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C:\Users\Adam.Baker\Downloads\"/>
    </mc:Choice>
  </mc:AlternateContent>
  <xr:revisionPtr revIDLastSave="0" documentId="13_ncr:1_{6A95DF77-C2CB-4401-B724-CD9142975C3B}" xr6:coauthVersionLast="47" xr6:coauthVersionMax="47" xr10:uidLastSave="{00000000-0000-0000-0000-000000000000}"/>
  <workbookProtection workbookAlgorithmName="SHA-512" workbookHashValue="FxnUf9/QCV2bFn/Sqgu3ZIA8zsHB/+ylUlRs1VqCwEL8fXa6NQvWN7O+LWPwUzl3RiLf42rWPylQepTa+i5ByA==" workbookSaltValue="owrPhbOm2qzUdoClq1pAOQ==" workbookSpinCount="100000" lockStructure="1"/>
  <bookViews>
    <workbookView xWindow="-120" yWindow="-120" windowWidth="29040" windowHeight="15840" tabRatio="519" xr2:uid="{B5D91D93-7BFD-4160-88BF-F73E8B76983F}"/>
  </bookViews>
  <sheets>
    <sheet name="Contents" sheetId="10" r:id="rId1"/>
    <sheet name="Introduction" sheetId="11" r:id="rId2"/>
    <sheet name="2023 VfM Metrics Consolidated" sheetId="16" r:id="rId3"/>
    <sheet name="2023 VfM Metrics Entity" sheetId="6" r:id="rId4"/>
    <sheet name="BYO peer group - instructions" sheetId="15" r:id="rId5"/>
    <sheet name="BYO peer group - selection" sheetId="5" r:id="rId6"/>
    <sheet name="BYO peer group - results" sheetId="13" r:id="rId7"/>
    <sheet name="Peer group source" sheetId="3" state="hidden" r:id="rId8"/>
    <sheet name="Filters" sheetId="4" state="hidden" r:id="rId9"/>
  </sheets>
  <definedNames>
    <definedName name="__1234Graph_AALLTAX" hidden="1">#REF!</definedName>
    <definedName name="__1234Graph_ACFSINDIV" hidden="1">#REF!</definedName>
    <definedName name="__1234Graph_AEFF" hidden="1">#REF!</definedName>
    <definedName name="__1234Graph_AHOMEVAT" hidden="1">#REF!</definedName>
    <definedName name="__1234Graph_APIC" hidden="1">#REF!</definedName>
    <definedName name="__1234Graph_BEFF" hidden="1">#REF!</definedName>
    <definedName name="__1234Graph_BPIC" hidden="1">#REF!</definedName>
    <definedName name="__1234GraphA" hidden="1">#REF!</definedName>
    <definedName name="__123Graph_A" localSheetId="0" hidden="1">#REF!</definedName>
    <definedName name="__123Graph_A" localSheetId="1" hidden="1">#REF!</definedName>
    <definedName name="__123Graph_A" hidden="1">#REF!</definedName>
    <definedName name="__123Graph_AALLTAX" localSheetId="0" hidden="1">#REF!</definedName>
    <definedName name="__123Graph_AALLTAX" localSheetId="1" hidden="1">#REF!</definedName>
    <definedName name="__123Graph_AALLTAX" hidden="1">#REF!</definedName>
    <definedName name="__123Graph_ACFSINDIV" localSheetId="0" hidden="1">#REF!</definedName>
    <definedName name="__123Graph_ACFSINDIV" localSheetId="1" hidden="1">#REF!</definedName>
    <definedName name="__123Graph_ACFSINDIV" hidden="1">#REF!</definedName>
    <definedName name="__123Graph_ACHGSPD1" hidden="1">#REF!</definedName>
    <definedName name="__123Graph_ACHGSPD2" hidden="1">#REF!</definedName>
    <definedName name="__123Graph_AEFF" localSheetId="0" hidden="1">#REF!</definedName>
    <definedName name="__123Graph_AEFF" localSheetId="1" hidden="1">#REF!</definedName>
    <definedName name="__123Graph_AEFF" hidden="1">#REF!</definedName>
    <definedName name="__123Graph_AGR14PBF1" hidden="1">#REF!</definedName>
    <definedName name="__123Graph_AHOMEVAT" localSheetId="0" hidden="1">#REF!</definedName>
    <definedName name="__123Graph_AHOMEVAT" localSheetId="1" hidden="1">#REF!</definedName>
    <definedName name="__123Graph_AHOMEVAT" hidden="1">#REF!</definedName>
    <definedName name="__123Graph_AIMPORT" localSheetId="0" hidden="1">#REF!</definedName>
    <definedName name="__123Graph_AIMPORT" localSheetId="1" hidden="1">#REF!</definedName>
    <definedName name="__123Graph_AIMPORT" hidden="1">#REF!</definedName>
    <definedName name="__123Graph_ALBFFIN" localSheetId="0" hidden="1">#REF!</definedName>
    <definedName name="__123Graph_ALBFFIN" localSheetId="1"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DNUMBERS" hidden="1">#REF!</definedName>
    <definedName name="__123Graph_APDTRENDS" hidden="1">#REF!</definedName>
    <definedName name="__123Graph_APIC" localSheetId="0" hidden="1">#REF!</definedName>
    <definedName name="__123Graph_APIC" localSheetId="1" hidden="1">#REF!</definedName>
    <definedName name="__123Graph_APIC" hidden="1">#REF!</definedName>
    <definedName name="__123Graph_ATOBREV" localSheetId="0" hidden="1">#REF!</definedName>
    <definedName name="__123Graph_ATOBREV" localSheetId="1" hidden="1">#REF!</definedName>
    <definedName name="__123Graph_ATOBREV" hidden="1">#REF!</definedName>
    <definedName name="__123Graph_ATOTAL" localSheetId="0" hidden="1">#REF!</definedName>
    <definedName name="__123Graph_ATOTAL" localSheetId="1" hidden="1">#REF!</definedName>
    <definedName name="__123Graph_ATOTAL" hidden="1">#REF!</definedName>
    <definedName name="__123Graph_B" localSheetId="0" hidden="1">#REF!</definedName>
    <definedName name="__123Graph_B" localSheetId="1" hidden="1">#REF!</definedName>
    <definedName name="__123Graph_B" hidden="1">#REF!</definedName>
    <definedName name="__123Graph_BCFSINDIV" hidden="1">#REF!</definedName>
    <definedName name="__123Graph_BCFSUK" hidden="1">#REF!</definedName>
    <definedName name="__123Graph_BCHGSPD1" hidden="1">#REF!</definedName>
    <definedName name="__123Graph_BCHGSPD2" hidden="1">#REF!</definedName>
    <definedName name="__123Graph_BEFF" localSheetId="0" hidden="1">#REF!</definedName>
    <definedName name="__123Graph_BEFF" localSheetId="1" hidden="1">#REF!</definedName>
    <definedName name="__123Graph_BEFF" hidden="1">#REF!</definedName>
    <definedName name="__123Graph_BHOMEVAT" localSheetId="0" hidden="1">#REF!</definedName>
    <definedName name="__123Graph_BHOMEVAT" localSheetId="1" hidden="1">#REF!</definedName>
    <definedName name="__123Graph_BHOMEVAT" hidden="1">#REF!</definedName>
    <definedName name="__123Graph_BIMPORT" localSheetId="0" hidden="1">#REF!</definedName>
    <definedName name="__123Graph_BIMPORT" localSheetId="1" hidden="1">#REF!</definedName>
    <definedName name="__123Graph_BIMPORT" hidden="1">#REF!</definedName>
    <definedName name="__123Graph_BLBF" localSheetId="0" hidden="1">#REF!</definedName>
    <definedName name="__123Graph_BLBF" localSheetId="1" hidden="1">#REF!</definedName>
    <definedName name="__123Graph_BLBF" hidden="1">#REF!</definedName>
    <definedName name="__123Graph_BLBFFIN" hidden="1">#REF!</definedName>
    <definedName name="__123Graph_BLCB" hidden="1">#REF!</definedName>
    <definedName name="__123Graph_BPDTRENDS" hidden="1">#REF!</definedName>
    <definedName name="__123Graph_BPIC" localSheetId="0" hidden="1">#REF!</definedName>
    <definedName name="__123Graph_BPIC" localSheetId="1" hidden="1">#REF!</definedName>
    <definedName name="__123Graph_BPIC" hidden="1">#REF!</definedName>
    <definedName name="__123Graph_BTOTAL" localSheetId="0" hidden="1">#REF!</definedName>
    <definedName name="__123Graph_BTOTAL" localSheetId="1" hidden="1">#REF!</definedName>
    <definedName name="__123Graph_BTOTAL" hidden="1">#REF!</definedName>
    <definedName name="__123Graph_CACT13BUD" localSheetId="0" hidden="1">#REF!</definedName>
    <definedName name="__123Graph_CACT13BUD" localSheetId="1" hidden="1">#REF!</definedName>
    <definedName name="__123Graph_CACT13BUD" hidden="1">#REF!</definedName>
    <definedName name="__123Graph_CCFSINDIV" localSheetId="0" hidden="1">#REF!</definedName>
    <definedName name="__123Graph_CCFSINDIV" localSheetId="1" hidden="1">#REF!</definedName>
    <definedName name="__123Graph_CCFSINDIV" hidden="1">#REF!</definedName>
    <definedName name="__123Graph_CCFSUK" hidden="1">#REF!</definedName>
    <definedName name="__123Graph_CEFF" hidden="1">#REF!</definedName>
    <definedName name="__123Graph_CGR14PBF1" hidden="1">#REF!</definedName>
    <definedName name="__123Graph_CLBF" localSheetId="0" hidden="1">#REF!</definedName>
    <definedName name="__123Graph_CLBF" localSheetId="1" hidden="1">#REF!</definedName>
    <definedName name="__123Graph_CLBF" hidden="1">#REF!</definedName>
    <definedName name="__123Graph_CPIC" localSheetId="0" hidden="1">#REF!</definedName>
    <definedName name="__123Graph_CPIC" localSheetId="1" hidden="1">#REF!</definedName>
    <definedName name="__123Graph_CPIC" hidden="1">#REF!</definedName>
    <definedName name="__123Graph_DACT13BUD" localSheetId="0" hidden="1">#REF!</definedName>
    <definedName name="__123Graph_DACT13BUD" localSheetId="1" hidden="1">#REF!</definedName>
    <definedName name="__123Graph_DACT13BUD" hidden="1">#REF!</definedName>
    <definedName name="__123Graph_DCFSINDIV" localSheetId="0" hidden="1">#REF!</definedName>
    <definedName name="__123Graph_DCFSINDIV" localSheetId="1" hidden="1">#REF!</definedName>
    <definedName name="__123Graph_DCFSINDIV" hidden="1">#REF!</definedName>
    <definedName name="__123Graph_DCFSUK" hidden="1">#REF!</definedName>
    <definedName name="__123Graph_DEFF" hidden="1">#REF!</definedName>
    <definedName name="__123Graph_DGR14PBF1" hidden="1">#REF!</definedName>
    <definedName name="__123Graph_DLBF" localSheetId="0" hidden="1">#REF!</definedName>
    <definedName name="__123Graph_DLBF" localSheetId="1" hidden="1">#REF!</definedName>
    <definedName name="__123Graph_DLBF" hidden="1">#REF!</definedName>
    <definedName name="__123Graph_DPIC" localSheetId="0" hidden="1">#REF!</definedName>
    <definedName name="__123Graph_DPIC" localSheetId="1" hidden="1">#REF!</definedName>
    <definedName name="__123Graph_DPIC" hidden="1">#REF!</definedName>
    <definedName name="__123Graph_EACT13BUD" localSheetId="0" hidden="1">#REF!</definedName>
    <definedName name="__123Graph_EACT13BUD" localSheetId="1" hidden="1">#REF!</definedName>
    <definedName name="__123Graph_EACT13BUD" hidden="1">#REF!</definedName>
    <definedName name="__123Graph_ECFSINDIV" localSheetId="0" hidden="1">#REF!</definedName>
    <definedName name="__123Graph_ECFSINDIV" localSheetId="1" hidden="1">#REF!</definedName>
    <definedName name="__123Graph_ECFSINDIV" hidden="1">#REF!</definedName>
    <definedName name="__123Graph_ECFSUK" hidden="1">#REF!</definedName>
    <definedName name="__123Graph_EEFF" hidden="1">#REF!</definedName>
    <definedName name="__123Graph_EEFFHIC" hidden="1">#REF!</definedName>
    <definedName name="__123Graph_EGR14PBF1" hidden="1">#REF!</definedName>
    <definedName name="__123Graph_ELBF" localSheetId="0" hidden="1">#REF!</definedName>
    <definedName name="__123Graph_ELBF" localSheetId="1" hidden="1">#REF!</definedName>
    <definedName name="__123Graph_ELBF" hidden="1">#REF!</definedName>
    <definedName name="__123Graph_EPIC" localSheetId="0" hidden="1">#REF!</definedName>
    <definedName name="__123Graph_EPIC" localSheetId="1" hidden="1">#REF!</definedName>
    <definedName name="__123Graph_EPIC" hidden="1">#REF!</definedName>
    <definedName name="__123Graph_FACT13BUD" localSheetId="0" hidden="1">#REF!</definedName>
    <definedName name="__123Graph_FACT13BUD" localSheetId="1" hidden="1">#REF!</definedName>
    <definedName name="__123Graph_FACT13BUD" hidden="1">#REF!</definedName>
    <definedName name="__123Graph_FCFSUK" localSheetId="0" hidden="1">#REF!</definedName>
    <definedName name="__123Graph_FCFSUK" localSheetId="1" hidden="1">#REF!</definedName>
    <definedName name="__123Graph_FCFSUK" hidden="1">#REF!</definedName>
    <definedName name="__123Graph_FEFF" hidden="1">#REF!</definedName>
    <definedName name="__123Graph_FEFFHIC" hidden="1">#REF!</definedName>
    <definedName name="__123Graph_FGR14PBF1" hidden="1">#REF!</definedName>
    <definedName name="__123Graph_FLBF" localSheetId="0" hidden="1">#REF!</definedName>
    <definedName name="__123Graph_FLBF" localSheetId="1" hidden="1">#REF!</definedName>
    <definedName name="__123Graph_FLBF" hidden="1">#REF!</definedName>
    <definedName name="__123Graph_FPIC" localSheetId="0" hidden="1">#REF!</definedName>
    <definedName name="__123Graph_FPIC" localSheetId="1" hidden="1">#REF!</definedName>
    <definedName name="__123Graph_FPIC" hidden="1">#REF!</definedName>
    <definedName name="__123Graph_LBL_ARESID" hidden="1">#REF!</definedName>
    <definedName name="__123Graph_LBL_BRESID" hidden="1">#REF!</definedName>
    <definedName name="__123Graph_X" localSheetId="0" hidden="1">#REF!</definedName>
    <definedName name="__123Graph_X" localSheetId="1" hidden="1">#REF!</definedName>
    <definedName name="__123Graph_X" hidden="1">#REF!</definedName>
    <definedName name="__123Graph_XACTHIC" localSheetId="0" hidden="1">#REF!</definedName>
    <definedName name="__123Graph_XACTHIC" localSheetId="1" hidden="1">#REF!</definedName>
    <definedName name="__123Graph_XACTHIC" hidden="1">#REF!</definedName>
    <definedName name="__123Graph_XALLTAX" localSheetId="0" hidden="1">#REF!</definedName>
    <definedName name="__123Graph_XALLTAX" localSheetId="1" hidden="1">#REF!</definedName>
    <definedName name="__123Graph_XALLTAX" hidden="1">#REF!</definedName>
    <definedName name="__123Graph_XCHGSPD1" hidden="1">#REF!</definedName>
    <definedName name="__123Graph_XCHGSPD2" hidden="1">#REF!</definedName>
    <definedName name="__123Graph_XEFF" localSheetId="0" hidden="1">#REF!</definedName>
    <definedName name="__123Graph_XEFF" localSheetId="1" hidden="1">#REF!</definedName>
    <definedName name="__123Graph_XEFF" hidden="1">#REF!</definedName>
    <definedName name="__123Graph_XGR14PBF1" hidden="1">#REF!</definedName>
    <definedName name="__123Graph_XHOMEVAT" localSheetId="0" hidden="1">#REF!</definedName>
    <definedName name="__123Graph_XHOMEVAT" localSheetId="1" hidden="1">#REF!</definedName>
    <definedName name="__123Graph_XHOMEVAT" hidden="1">#REF!</definedName>
    <definedName name="__123Graph_XIMPORT" localSheetId="0" hidden="1">#REF!</definedName>
    <definedName name="__123Graph_XIMPORT" localSheetId="1" hidden="1">#REF!</definedName>
    <definedName name="__123Graph_XIMPORT" hidden="1">#REF!</definedName>
    <definedName name="__123Graph_XLBF" localSheetId="0" hidden="1">#REF!</definedName>
    <definedName name="__123Graph_XLBF" localSheetId="1"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DNUMBERS" hidden="1">#REF!</definedName>
    <definedName name="__123Graph_XPDTRENDS" hidden="1">#REF!</definedName>
    <definedName name="__123Graph_XPIC" localSheetId="0" hidden="1">#REF!</definedName>
    <definedName name="__123Graph_XPIC" localSheetId="1" hidden="1">#REF!</definedName>
    <definedName name="__123Graph_XPIC" hidden="1">#REF!</definedName>
    <definedName name="__123Graph_XSTAG2ALL" localSheetId="0" hidden="1">#REF!</definedName>
    <definedName name="__123Graph_XSTAG2ALL" localSheetId="1" hidden="1">#REF!</definedName>
    <definedName name="__123Graph_XSTAG2ALL" hidden="1">#REF!</definedName>
    <definedName name="__123Graph_XSTAG2EC" localSheetId="0" hidden="1">#REF!</definedName>
    <definedName name="__123Graph_XSTAG2EC" localSheetId="1" hidden="1">#REF!</definedName>
    <definedName name="__123Graph_XSTAG2EC" hidden="1">#REF!</definedName>
    <definedName name="__123Graph_XTOBREV" localSheetId="0" hidden="1">#REF!</definedName>
    <definedName name="__123Graph_XTOBREV" localSheetId="1" hidden="1">#REF!</definedName>
    <definedName name="__123Graph_XTOBREV" hidden="1">#REF!</definedName>
    <definedName name="__123Graph_XTOTAL" hidden="1">#REF!</definedName>
    <definedName name="_1__123Graph_ACHART_15" hidden="1">#REF!</definedName>
    <definedName name="_10__123Graph_XCHART_15" hidden="1">#REF!</definedName>
    <definedName name="_2__123Graph_BCHART_10" hidden="1">#REF!</definedName>
    <definedName name="_3__123Graph_BCHART_13" hidden="1">#REF!</definedName>
    <definedName name="_4__123Graph_BCHART_15" hidden="1">#REF!</definedName>
    <definedName name="_5__123Graph_CCHART_10" hidden="1">#REF!</definedName>
    <definedName name="_6__123Graph_CCHART_13" hidden="1">#REF!</definedName>
    <definedName name="_7__123Graph_CCHART_15" hidden="1">#REF!</definedName>
    <definedName name="_8__123Graph_XCHART_10" hidden="1">#REF!</definedName>
    <definedName name="_9__123Graph_XCHART_13" hidden="1">#REF!</definedName>
    <definedName name="_Fill" localSheetId="0" hidden="1">#REF!</definedName>
    <definedName name="_Fill" localSheetId="1" hidden="1">#REF!</definedName>
    <definedName name="_Fill" hidden="1">#REF!</definedName>
    <definedName name="_xlnm._FilterDatabase" localSheetId="2" hidden="1">'2023 VfM Metrics Consolidated'!$A$10:$DE$208</definedName>
    <definedName name="_xlnm._FilterDatabase" localSheetId="3" hidden="1">'2023 VfM Metrics Entity'!$A$10:$DE$234</definedName>
    <definedName name="_xlnm._FilterDatabase" localSheetId="6" hidden="1">'BYO peer group - results'!$B$18:$AJ$60</definedName>
    <definedName name="_xlnm._FilterDatabase" localSheetId="5" hidden="1">'BYO peer group - selection'!$B$12:$R$14</definedName>
    <definedName name="_xlnm._FilterDatabase" localSheetId="7" hidden="1">'Peer group source'!$A$10:$DE$208</definedName>
    <definedName name="_Key1" localSheetId="0" hidden="1">#REF!</definedName>
    <definedName name="_Key1" localSheetId="1" hidden="1">#REF!</definedName>
    <definedName name="_Key1" hidden="1">#REF!</definedName>
    <definedName name="_Order1" hidden="1">255</definedName>
    <definedName name="_Order2" hidden="1">255</definedName>
    <definedName name="_Regression_Out" localSheetId="0" hidden="1">#REF!</definedName>
    <definedName name="_Regression_Out" localSheetId="1" hidden="1">#REF!</definedName>
    <definedName name="_Regression_Out" hidden="1">#REF!</definedName>
    <definedName name="_Regression_X" localSheetId="0" hidden="1">#REF!</definedName>
    <definedName name="_Regression_X" localSheetId="1" hidden="1">#REF!</definedName>
    <definedName name="_Regression_X" hidden="1">#REF!</definedName>
    <definedName name="_Regression_Y" localSheetId="0" hidden="1">#REF!</definedName>
    <definedName name="_Regression_Y" localSheetId="1" hidden="1">#REF!</definedName>
    <definedName name="_Regression_Y" hidden="1">#REF!</definedName>
    <definedName name="_Sort" hidden="1">#REF!</definedName>
    <definedName name="ArrayHeaders">'BYO peer group - results'!$B$18:$AJ$18</definedName>
    <definedName name="asdas" localSheetId="0"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 hidden="1">#REF!</definedName>
    <definedName name="BLPH1" hidden="1">#REF!</definedName>
    <definedName name="BLPH2" hidden="1">#REF!</definedName>
    <definedName name="BLPH3" hidden="1">#REF!</definedName>
    <definedName name="BLPH4" hidden="1">#REF!</definedName>
    <definedName name="BLPH5" hidden="1">#REF!</definedName>
    <definedName name="CriteriaMet">Filters!$AP$832</definedName>
    <definedName name="dgsgf" localSheetId="0"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0" hidden="1">#REF!</definedName>
    <definedName name="Distribution" localSheetId="1" hidden="1">#REF!</definedName>
    <definedName name="Distribution" hidden="1">#REF!</definedName>
    <definedName name="EFO" localSheetId="0" hidden="1">#REF!</definedName>
    <definedName name="EFO" localSheetId="1" hidden="1">#REF!</definedName>
    <definedName name="EFO" hidden="1">#REF!</definedName>
    <definedName name="ExtraProfiles" localSheetId="0" hidden="1">#REF!</definedName>
    <definedName name="ExtraProfiles" localSheetId="1" hidden="1">#REF!</definedName>
    <definedName name="ExtraProfiles" hidden="1">#REF!</definedName>
    <definedName name="FDDD" localSheetId="0"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#REF!</definedName>
    <definedName name="ghj" localSheetId="0"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HTML_CodePage" hidden="1">1</definedName>
    <definedName name="HTML_Control" localSheetId="0" hidden="1">{"'Claimants'!$B$2:$E$38"}</definedName>
    <definedName name="HTML_Control" localSheetId="1"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nitialList">Filters!$AR$832</definedName>
    <definedName name="InvalidOverrides">Filters!$D$1051</definedName>
    <definedName name="jhkgh" localSheetId="0"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ct18_Regression_Out" hidden="1">#REF!</definedName>
    <definedName name="Oct18_Regression_X" hidden="1">#REF!</definedName>
    <definedName name="Oct18_Regression_Y" hidden="1">#REF!</definedName>
    <definedName name="Oct18asdas" hidden="1">{#N/A,#N/A,FALSE,"TMCOMP96";#N/A,#N/A,FALSE,"MAT96";#N/A,#N/A,FALSE,"FANDA96";#N/A,#N/A,FALSE,"INTRAN96";#N/A,#N/A,FALSE,"NAA9697";#N/A,#N/A,FALSE,"ECWEBB";#N/A,#N/A,FALSE,"MFT96";#N/A,#N/A,FALSE,"CTrecon"}</definedName>
    <definedName name="Oct18dgsgf" hidden="1">{#N/A,#N/A,FALSE,"TMCOMP96";#N/A,#N/A,FALSE,"MAT96";#N/A,#N/A,FALSE,"FANDA96";#N/A,#N/A,FALSE,"INTRAN96";#N/A,#N/A,FALSE,"NAA9697";#N/A,#N/A,FALSE,"ECWEBB";#N/A,#N/A,FALSE,"MFT96";#N/A,#N/A,FALSE,"CTrecon"}</definedName>
    <definedName name="Oct18Distribution" hidden="1">#REF!</definedName>
    <definedName name="Oct18ExtraProfiles" hidden="1">#REF!</definedName>
    <definedName name="Oct18fg" hidden="1">{#N/A,#N/A,FALSE,"TMCOMP96";#N/A,#N/A,FALSE,"MAT96";#N/A,#N/A,FALSE,"FANDA96";#N/A,#N/A,FALSE,"INTRAN96";#N/A,#N/A,FALSE,"NAA9697";#N/A,#N/A,FALSE,"ECWEBB";#N/A,#N/A,FALSE,"MFT96";#N/A,#N/A,FALSE,"CTrecon"}</definedName>
    <definedName name="Oct18fgfd" hidden="1">{#N/A,#N/A,FALSE,"TMCOMP96";#N/A,#N/A,FALSE,"MAT96";#N/A,#N/A,FALSE,"FANDA96";#N/A,#N/A,FALSE,"INTRAN96";#N/A,#N/A,FALSE,"NAA9697";#N/A,#N/A,FALSE,"ECWEBB";#N/A,#N/A,FALSE,"MFT96";#N/A,#N/A,FALSE,"CTrecon"}</definedName>
    <definedName name="Oct18ghj" hidden="1">{#N/A,#N/A,FALSE,"TMCOMP96";#N/A,#N/A,FALSE,"MAT96";#N/A,#N/A,FALSE,"FANDA96";#N/A,#N/A,FALSE,"INTRAN96";#N/A,#N/A,FALSE,"NAA9697";#N/A,#N/A,FALSE,"ECWEBB";#N/A,#N/A,FALSE,"MFT96";#N/A,#N/A,FALSE,"CTrecon"}</definedName>
    <definedName name="Oct18jhkgh" hidden="1">{#N/A,#N/A,FALSE,"TMCOMP96";#N/A,#N/A,FALSE,"MAT96";#N/A,#N/A,FALSE,"FANDA96";#N/A,#N/A,FALSE,"INTRAN96";#N/A,#N/A,FALSE,"NAA9697";#N/A,#N/A,FALSE,"ECWEBB";#N/A,#N/A,FALSE,"MFT96";#N/A,#N/A,FALSE,"CTrecon"}</definedName>
    <definedName name="Oct18jhkgh2" hidden="1">{#N/A,#N/A,FALSE,"TMCOMP96";#N/A,#N/A,FALSE,"MAT96";#N/A,#N/A,FALSE,"FANDA96";#N/A,#N/A,FALSE,"INTRAN96";#N/A,#N/A,FALSE,"NAA9697";#N/A,#N/A,FALSE,"ECWEBB";#N/A,#N/A,FALSE,"MFT96";#N/A,#N/A,FALSE,"CTrecon"}</definedName>
    <definedName name="Oct18Option2" hidden="1">{#N/A,#N/A,FALSE,"TMCOMP96";#N/A,#N/A,FALSE,"MAT96";#N/A,#N/A,FALSE,"FANDA96";#N/A,#N/A,FALSE,"INTRAN96";#N/A,#N/A,FALSE,"NAA9697";#N/A,#N/A,FALSE,"ECWEBB";#N/A,#N/A,FALSE,"MFT96";#N/A,#N/A,FALSE,"CTrecon"}</definedName>
    <definedName name="Oct18Population" hidden="1">#REF!</definedName>
    <definedName name="Oct18Profiles" hidden="1">#REF!</definedName>
    <definedName name="Oct18Projections" hidden="1">#REF!</definedName>
    <definedName name="Oct18sdf" hidden="1">{#N/A,#N/A,FALSE,"TMCOMP96";#N/A,#N/A,FALSE,"MAT96";#N/A,#N/A,FALSE,"FANDA96";#N/A,#N/A,FALSE,"INTRAN96";#N/A,#N/A,FALSE,"NAA9697";#N/A,#N/A,FALSE,"ECWEBB";#N/A,#N/A,FALSE,"MFT96";#N/A,#N/A,FALSE,"CTrecon"}</definedName>
    <definedName name="Oct18sdff" hidden="1">{#N/A,#N/A,FALSE,"TMCOMP96";#N/A,#N/A,FALSE,"MAT96";#N/A,#N/A,FALSE,"FANDA96";#N/A,#N/A,FALSE,"INTRAN96";#N/A,#N/A,FALSE,"NAA9697";#N/A,#N/A,FALSE,"ECWEBB";#N/A,#N/A,FALSE,"MFT96";#N/A,#N/A,FALSE,"CTrecon"}</definedName>
    <definedName name="Oct18sfad" hidden="1">{#N/A,#N/A,FALSE,"TMCOMP96";#N/A,#N/A,FALSE,"MAT96";#N/A,#N/A,FALSE,"FANDA96";#N/A,#N/A,FALSE,"INTRAN96";#N/A,#N/A,FALSE,"NAA9697";#N/A,#N/A,FALSE,"ECWEBB";#N/A,#N/A,FALSE,"MFT96";#N/A,#N/A,FALSE,"CTrecon"}</definedName>
    <definedName name="Oct18trggh" hidden="1">{#N/A,#N/A,FALSE,"TMCOMP96";#N/A,#N/A,FALSE,"MAT96";#N/A,#N/A,FALSE,"FANDA96";#N/A,#N/A,FALSE,"INTRAN96";#N/A,#N/A,FALSE,"NAA9697";#N/A,#N/A,FALSE,"ECWEBB";#N/A,#N/A,FALSE,"MFT96";#N/A,#N/A,FALSE,"CTrecon"}</definedName>
    <definedName name="Oct18wrn.TMCOMP."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verride_If_Excl">Filters!$F$1039</definedName>
    <definedName name="Override_If_Incl">Filters!$F$1043</definedName>
    <definedName name="Pop" localSheetId="0" hidden="1">#REF!</definedName>
    <definedName name="Pop" localSheetId="1" hidden="1">#REF!</definedName>
    <definedName name="Pop" hidden="1">#REF!</definedName>
    <definedName name="Population" localSheetId="0" hidden="1">#REF!</definedName>
    <definedName name="Population" localSheetId="1" hidden="1">#REF!</definedName>
    <definedName name="Population" hidden="1">#REF!</definedName>
    <definedName name="Profiles" localSheetId="0" hidden="1">#REF!</definedName>
    <definedName name="Profiles" localSheetId="1" hidden="1">#REF!</definedName>
    <definedName name="Profiles" hidden="1">#REF!</definedName>
    <definedName name="Projections" localSheetId="0" hidden="1">#REF!</definedName>
    <definedName name="Projections" localSheetId="1" hidden="1">#REF!</definedName>
    <definedName name="Projections" hidden="1">#REF!</definedName>
    <definedName name="PropTypeMinMax">'BYO peer group - selection'!$E$13</definedName>
    <definedName name="PropTypeOnOff">'BYO peer group - selection'!$G$12</definedName>
    <definedName name="PropTypePercent">'BYO peer group - selection'!$E$14</definedName>
    <definedName name="PropTypeType">'BYO peer group - selection'!$G$13</definedName>
    <definedName name="RegionEE">'BYO peer group - selection'!$O$14</definedName>
    <definedName name="RegionEM">'BYO peer group - selection'!$M$14</definedName>
    <definedName name="RegionLon">'BYO peer group - selection'!$J$14</definedName>
    <definedName name="RegionMinimum">'BYO peer group - selection'!$R$13</definedName>
    <definedName name="RegionNE">'BYO peer group - selection'!$P$14</definedName>
    <definedName name="RegionNW">'BYO peer group - selection'!$Q$14</definedName>
    <definedName name="RegionSE">'BYO peer group - selection'!$K$14</definedName>
    <definedName name="RegionSW">'BYO peer group - selection'!$L$14</definedName>
    <definedName name="RegionTestAnyOrTotal">'BYO peer group - selection'!$S$13</definedName>
    <definedName name="RegionWM">'BYO peer group - selection'!$N$14</definedName>
    <definedName name="RegionYH">'BYO peer group - selection'!$R$14</definedName>
    <definedName name="Results" hidden="1">#REF!</definedName>
    <definedName name="RP_TypeLSVT">'BYO peer group - selection'!$I$14</definedName>
    <definedName name="RP_TypeTrad">'BYO peer group - selection'!$H$14</definedName>
    <definedName name="sdf" localSheetId="0"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lectedProvider">'BYO peer group - selection'!$J$2</definedName>
    <definedName name="sfad" localSheetId="0"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H_sort" hidden="1">#REF!</definedName>
    <definedName name="SizeMax">'BYO peer group - selection'!$C$14</definedName>
    <definedName name="SizeMin">'BYO peer group - selection'!$C$13</definedName>
    <definedName name="SizeOnOff">'BYO peer group - selection'!$C$12</definedName>
    <definedName name="SortColumnName">'BYO peer group - results'!$T$6</definedName>
    <definedName name="SortColumnNumber">Filters!$D$1039</definedName>
    <definedName name="SortList">Filters!$B$1039:$B$1054</definedName>
    <definedName name="SortOrderName">'BYO peer group - results'!$T$7</definedName>
    <definedName name="SortOrderNumber">Filters!$D$1043</definedName>
    <definedName name="T4.9i" localSheetId="0"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otalProviders">Filters!$D$1047</definedName>
    <definedName name="trggh" localSheetId="0"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0" hidden="1">{#N/A,#N/A,FALSE,"CGBR95C"}</definedName>
    <definedName name="wrn.table1." localSheetId="1" hidden="1">{#N/A,#N/A,FALSE,"CGBR95C"}</definedName>
    <definedName name="wrn.table1." hidden="1">{#N/A,#N/A,FALSE,"CGBR95C"}</definedName>
    <definedName name="wrn.table2." localSheetId="0" hidden="1">{#N/A,#N/A,FALSE,"CGBR95C"}</definedName>
    <definedName name="wrn.table2." localSheetId="1" hidden="1">{#N/A,#N/A,FALSE,"CGBR95C"}</definedName>
    <definedName name="wrn.table2." hidden="1">{#N/A,#N/A,FALSE,"CGBR95C"}</definedName>
    <definedName name="wrn.tablea." localSheetId="0" hidden="1">{#N/A,#N/A,FALSE,"CGBR95C"}</definedName>
    <definedName name="wrn.tablea." localSheetId="1" hidden="1">{#N/A,#N/A,FALSE,"CGBR95C"}</definedName>
    <definedName name="wrn.tablea." hidden="1">{#N/A,#N/A,FALSE,"CGBR95C"}</definedName>
    <definedName name="wrn.tableb." localSheetId="0" hidden="1">{#N/A,#N/A,FALSE,"CGBR95C"}</definedName>
    <definedName name="wrn.tableb." localSheetId="1" hidden="1">{#N/A,#N/A,FALSE,"CGBR95C"}</definedName>
    <definedName name="wrn.tableb." hidden="1">{#N/A,#N/A,FALSE,"CGBR95C"}</definedName>
    <definedName name="wrn.tableq." localSheetId="0" hidden="1">{#N/A,#N/A,FALSE,"CGBR95C"}</definedName>
    <definedName name="wrn.tableq." localSheetId="1" hidden="1">{#N/A,#N/A,FALSE,"CGBR95C"}</definedName>
    <definedName name="wrn.tableq." hidden="1">{#N/A,#N/A,FALSE,"CGBR95C"}</definedName>
    <definedName name="wrn.TMCOMP." localSheetId="0"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3" l="1"/>
  <c r="C7" i="5" l="1"/>
  <c r="J18" i="13" l="1"/>
  <c r="F1099" i="4"/>
  <c r="C1099" i="4"/>
  <c r="F1064" i="4" l="1"/>
  <c r="F1079" i="4"/>
  <c r="F1080" i="4"/>
  <c r="F1081" i="4"/>
  <c r="F1082" i="4"/>
  <c r="F1085" i="4"/>
  <c r="F1092" i="4"/>
  <c r="F1093" i="4"/>
  <c r="F1094" i="4"/>
  <c r="F1095" i="4"/>
  <c r="F1096" i="4"/>
  <c r="F1102" i="4"/>
  <c r="F1103" i="4"/>
  <c r="F1104" i="4"/>
  <c r="F1105" i="4"/>
  <c r="F1106" i="4"/>
  <c r="F1107" i="4"/>
  <c r="F1110" i="4"/>
  <c r="F1112" i="4"/>
  <c r="F1116" i="4"/>
  <c r="F1127" i="4"/>
  <c r="F1128" i="4"/>
  <c r="F1129" i="4"/>
  <c r="F1130" i="4"/>
  <c r="F1138" i="4"/>
  <c r="F1151" i="4"/>
  <c r="F1152" i="4"/>
  <c r="F1153" i="4"/>
  <c r="F1154" i="4"/>
  <c r="F1155" i="4"/>
  <c r="F1175" i="4"/>
  <c r="F1176" i="4"/>
  <c r="F1177" i="4"/>
  <c r="F1178" i="4"/>
  <c r="F1199" i="4"/>
  <c r="F1200" i="4"/>
  <c r="F1201" i="4"/>
  <c r="F1202" i="4"/>
  <c r="F1223" i="4"/>
  <c r="F1224" i="4"/>
  <c r="F1225" i="4"/>
  <c r="F1226" i="4"/>
  <c r="F1247" i="4"/>
  <c r="F1248" i="4"/>
  <c r="F1249" i="4"/>
  <c r="F1250" i="4"/>
  <c r="D1067" i="4"/>
  <c r="F1067" i="4" s="1"/>
  <c r="D1068" i="4"/>
  <c r="F1068" i="4" s="1"/>
  <c r="D1069" i="4"/>
  <c r="F1069" i="4" s="1"/>
  <c r="D1070" i="4"/>
  <c r="F1070" i="4" s="1"/>
  <c r="D1071" i="4"/>
  <c r="F1071" i="4" s="1"/>
  <c r="D1079" i="4"/>
  <c r="D1080" i="4"/>
  <c r="D1081" i="4"/>
  <c r="D1082" i="4"/>
  <c r="D1091" i="4"/>
  <c r="F1091" i="4" s="1"/>
  <c r="D1092" i="4"/>
  <c r="D1093" i="4"/>
  <c r="D1094" i="4"/>
  <c r="D1095" i="4"/>
  <c r="D1103" i="4"/>
  <c r="D1104" i="4"/>
  <c r="D1105" i="4"/>
  <c r="D1106" i="4"/>
  <c r="D1115" i="4"/>
  <c r="F1115" i="4" s="1"/>
  <c r="D1116" i="4"/>
  <c r="D1117" i="4"/>
  <c r="F1117" i="4" s="1"/>
  <c r="D1118" i="4"/>
  <c r="F1118" i="4" s="1"/>
  <c r="D1119" i="4"/>
  <c r="F1119" i="4" s="1"/>
  <c r="D1127" i="4"/>
  <c r="D1128" i="4"/>
  <c r="D1129" i="4"/>
  <c r="D1130" i="4"/>
  <c r="D1139" i="4"/>
  <c r="F1139" i="4" s="1"/>
  <c r="D1140" i="4"/>
  <c r="F1140" i="4" s="1"/>
  <c r="D1141" i="4"/>
  <c r="F1141" i="4" s="1"/>
  <c r="D1142" i="4"/>
  <c r="F1142" i="4" s="1"/>
  <c r="D1143" i="4"/>
  <c r="F1143" i="4" s="1"/>
  <c r="D1151" i="4"/>
  <c r="D1152" i="4"/>
  <c r="D1153" i="4"/>
  <c r="D1154" i="4"/>
  <c r="D1163" i="4"/>
  <c r="F1163" i="4" s="1"/>
  <c r="D1164" i="4"/>
  <c r="F1164" i="4" s="1"/>
  <c r="D1165" i="4"/>
  <c r="F1165" i="4" s="1"/>
  <c r="D1166" i="4"/>
  <c r="F1166" i="4" s="1"/>
  <c r="D1167" i="4"/>
  <c r="F1167" i="4" s="1"/>
  <c r="D1175" i="4"/>
  <c r="D1176" i="4"/>
  <c r="D1177" i="4"/>
  <c r="D1178" i="4"/>
  <c r="D1187" i="4"/>
  <c r="F1187" i="4" s="1"/>
  <c r="D1188" i="4"/>
  <c r="F1188" i="4" s="1"/>
  <c r="D1189" i="4"/>
  <c r="F1189" i="4" s="1"/>
  <c r="D1190" i="4"/>
  <c r="F1190" i="4" s="1"/>
  <c r="D1191" i="4"/>
  <c r="F1191" i="4" s="1"/>
  <c r="D1199" i="4"/>
  <c r="D1200" i="4"/>
  <c r="D1201" i="4"/>
  <c r="D1202" i="4"/>
  <c r="D1211" i="4"/>
  <c r="F1211" i="4" s="1"/>
  <c r="D1212" i="4"/>
  <c r="F1212" i="4" s="1"/>
  <c r="D1213" i="4"/>
  <c r="F1213" i="4" s="1"/>
  <c r="D1214" i="4"/>
  <c r="F1214" i="4" s="1"/>
  <c r="D1215" i="4"/>
  <c r="F1215" i="4" s="1"/>
  <c r="D1223" i="4"/>
  <c r="D1224" i="4"/>
  <c r="D1225" i="4"/>
  <c r="D1226" i="4"/>
  <c r="D1235" i="4"/>
  <c r="F1235" i="4" s="1"/>
  <c r="D1236" i="4"/>
  <c r="F1236" i="4" s="1"/>
  <c r="D1237" i="4"/>
  <c r="F1237" i="4" s="1"/>
  <c r="D1238" i="4"/>
  <c r="F1238" i="4" s="1"/>
  <c r="D1239" i="4"/>
  <c r="F1239" i="4" s="1"/>
  <c r="D1247" i="4"/>
  <c r="D1248" i="4"/>
  <c r="D1249" i="4"/>
  <c r="D1250" i="4"/>
  <c r="C1061" i="4"/>
  <c r="C1062" i="4"/>
  <c r="C1063" i="4"/>
  <c r="C1064" i="4"/>
  <c r="C1065" i="4"/>
  <c r="C1066" i="4"/>
  <c r="D1066" i="4" s="1"/>
  <c r="F1066" i="4" s="1"/>
  <c r="C1067" i="4"/>
  <c r="C1068" i="4"/>
  <c r="C1069" i="4"/>
  <c r="C1070" i="4"/>
  <c r="C1071" i="4"/>
  <c r="C1072" i="4"/>
  <c r="C1073" i="4"/>
  <c r="C1074" i="4"/>
  <c r="C1075" i="4"/>
  <c r="C1076" i="4"/>
  <c r="C1077" i="4"/>
  <c r="C1078" i="4"/>
  <c r="D1078" i="4" s="1"/>
  <c r="F1078" i="4" s="1"/>
  <c r="C1079" i="4"/>
  <c r="C1080" i="4"/>
  <c r="C1081" i="4"/>
  <c r="C1082" i="4"/>
  <c r="C1083" i="4"/>
  <c r="D1083" i="4" s="1"/>
  <c r="F1083" i="4" s="1"/>
  <c r="C1084" i="4"/>
  <c r="C1085" i="4"/>
  <c r="C1086" i="4"/>
  <c r="C1087" i="4"/>
  <c r="C1088" i="4"/>
  <c r="C1089" i="4"/>
  <c r="C1090" i="4"/>
  <c r="D1090" i="4" s="1"/>
  <c r="F1090" i="4" s="1"/>
  <c r="C1091" i="4"/>
  <c r="C1092" i="4"/>
  <c r="C1093" i="4"/>
  <c r="C1094" i="4"/>
  <c r="C1095" i="4"/>
  <c r="C1096" i="4"/>
  <c r="C1097" i="4"/>
  <c r="C1098" i="4"/>
  <c r="C1100" i="4"/>
  <c r="C1101" i="4"/>
  <c r="C1102" i="4"/>
  <c r="D1102" i="4" s="1"/>
  <c r="C1103" i="4"/>
  <c r="C1104" i="4"/>
  <c r="C1105" i="4"/>
  <c r="C1106" i="4"/>
  <c r="C1107" i="4"/>
  <c r="D1107" i="4" s="1"/>
  <c r="C1108" i="4"/>
  <c r="C1109" i="4"/>
  <c r="C1110" i="4"/>
  <c r="C1111" i="4"/>
  <c r="C1112" i="4"/>
  <c r="C1113" i="4"/>
  <c r="C1114" i="4"/>
  <c r="D1114" i="4" s="1"/>
  <c r="F1114" i="4" s="1"/>
  <c r="C1115" i="4"/>
  <c r="C1116" i="4"/>
  <c r="C1117" i="4"/>
  <c r="C1118" i="4"/>
  <c r="C1119" i="4"/>
  <c r="C1120" i="4"/>
  <c r="C1121" i="4"/>
  <c r="C1122" i="4"/>
  <c r="C1123" i="4"/>
  <c r="C1124" i="4"/>
  <c r="C1125" i="4"/>
  <c r="C1126" i="4"/>
  <c r="D1126" i="4" s="1"/>
  <c r="F1126" i="4" s="1"/>
  <c r="C1127" i="4"/>
  <c r="C1128" i="4"/>
  <c r="C1129" i="4"/>
  <c r="C1130" i="4"/>
  <c r="C1131" i="4"/>
  <c r="D1131" i="4" s="1"/>
  <c r="F1131" i="4" s="1"/>
  <c r="C1132" i="4"/>
  <c r="D1132" i="4" s="1"/>
  <c r="F1132" i="4" s="1"/>
  <c r="C1133" i="4"/>
  <c r="C1134" i="4"/>
  <c r="C1135" i="4"/>
  <c r="C1136" i="4"/>
  <c r="C1137" i="4"/>
  <c r="C1138" i="4"/>
  <c r="D1138" i="4" s="1"/>
  <c r="C1139" i="4"/>
  <c r="C1140" i="4"/>
  <c r="C1141" i="4"/>
  <c r="C1142" i="4"/>
  <c r="C1143" i="4"/>
  <c r="C1144" i="4"/>
  <c r="C1145" i="4"/>
  <c r="C1146" i="4"/>
  <c r="C1147" i="4"/>
  <c r="C1148" i="4"/>
  <c r="C1149" i="4"/>
  <c r="C1150" i="4"/>
  <c r="D1150" i="4" s="1"/>
  <c r="F1150" i="4" s="1"/>
  <c r="C1151" i="4"/>
  <c r="C1152" i="4"/>
  <c r="C1153" i="4"/>
  <c r="C1154" i="4"/>
  <c r="C1155" i="4"/>
  <c r="D1155" i="4" s="1"/>
  <c r="C1156" i="4"/>
  <c r="C1157" i="4"/>
  <c r="C1158" i="4"/>
  <c r="C1159" i="4"/>
  <c r="C1160" i="4"/>
  <c r="C1161" i="4"/>
  <c r="C1162" i="4"/>
  <c r="D1162" i="4" s="1"/>
  <c r="F1162" i="4" s="1"/>
  <c r="C1163" i="4"/>
  <c r="C1164" i="4"/>
  <c r="C1165" i="4"/>
  <c r="C1166" i="4"/>
  <c r="C1167" i="4"/>
  <c r="C1168" i="4"/>
  <c r="C1169" i="4"/>
  <c r="C1170" i="4"/>
  <c r="C1171" i="4"/>
  <c r="C1172" i="4"/>
  <c r="C1173" i="4"/>
  <c r="C1174" i="4"/>
  <c r="D1174" i="4" s="1"/>
  <c r="F1174" i="4" s="1"/>
  <c r="C1175" i="4"/>
  <c r="C1176" i="4"/>
  <c r="C1177" i="4"/>
  <c r="C1178" i="4"/>
  <c r="C1179" i="4"/>
  <c r="D1179" i="4" s="1"/>
  <c r="F1179" i="4" s="1"/>
  <c r="C1180" i="4"/>
  <c r="D1180" i="4" s="1"/>
  <c r="F1180" i="4" s="1"/>
  <c r="C1181" i="4"/>
  <c r="C1182" i="4"/>
  <c r="C1183" i="4"/>
  <c r="C1184" i="4"/>
  <c r="C1185" i="4"/>
  <c r="C1186" i="4"/>
  <c r="D1186" i="4" s="1"/>
  <c r="F1186" i="4" s="1"/>
  <c r="C1187" i="4"/>
  <c r="C1188" i="4"/>
  <c r="C1189" i="4"/>
  <c r="C1190" i="4"/>
  <c r="C1191" i="4"/>
  <c r="C1192" i="4"/>
  <c r="C1193" i="4"/>
  <c r="C1194" i="4"/>
  <c r="C1195" i="4"/>
  <c r="C1196" i="4"/>
  <c r="C1197" i="4"/>
  <c r="C1198" i="4"/>
  <c r="D1198" i="4" s="1"/>
  <c r="F1198" i="4" s="1"/>
  <c r="C1199" i="4"/>
  <c r="C1200" i="4"/>
  <c r="C1201" i="4"/>
  <c r="C1202" i="4"/>
  <c r="C1203" i="4"/>
  <c r="D1203" i="4" s="1"/>
  <c r="F1203" i="4" s="1"/>
  <c r="C1204" i="4"/>
  <c r="C1205" i="4"/>
  <c r="C1206" i="4"/>
  <c r="C1207" i="4"/>
  <c r="C1208" i="4"/>
  <c r="C1209" i="4"/>
  <c r="C1210" i="4"/>
  <c r="D1210" i="4" s="1"/>
  <c r="F1210" i="4" s="1"/>
  <c r="C1211" i="4"/>
  <c r="C1212" i="4"/>
  <c r="C1213" i="4"/>
  <c r="C1214" i="4"/>
  <c r="C1215" i="4"/>
  <c r="C1216" i="4"/>
  <c r="D1216" i="4" s="1"/>
  <c r="F1216" i="4" s="1"/>
  <c r="C1217" i="4"/>
  <c r="C1218" i="4"/>
  <c r="C1219" i="4"/>
  <c r="C1220" i="4"/>
  <c r="C1221" i="4"/>
  <c r="C1222" i="4"/>
  <c r="D1222" i="4" s="1"/>
  <c r="F1222" i="4" s="1"/>
  <c r="C1223" i="4"/>
  <c r="C1224" i="4"/>
  <c r="C1225" i="4"/>
  <c r="C1226" i="4"/>
  <c r="C1227" i="4"/>
  <c r="D1227" i="4" s="1"/>
  <c r="F1227" i="4" s="1"/>
  <c r="C1228" i="4"/>
  <c r="C1229" i="4"/>
  <c r="C1230" i="4"/>
  <c r="C1231" i="4"/>
  <c r="C1232" i="4"/>
  <c r="C1233" i="4"/>
  <c r="C1234" i="4"/>
  <c r="D1234" i="4" s="1"/>
  <c r="F1234" i="4" s="1"/>
  <c r="C1235" i="4"/>
  <c r="C1236" i="4"/>
  <c r="C1237" i="4"/>
  <c r="C1238" i="4"/>
  <c r="C1239" i="4"/>
  <c r="C1240" i="4"/>
  <c r="D1240" i="4" s="1"/>
  <c r="F1240" i="4" s="1"/>
  <c r="C1241" i="4"/>
  <c r="C1242" i="4"/>
  <c r="C1243" i="4"/>
  <c r="C1244" i="4"/>
  <c r="C1245" i="4"/>
  <c r="C1246" i="4"/>
  <c r="D1246" i="4" s="1"/>
  <c r="F1246" i="4" s="1"/>
  <c r="C1247" i="4"/>
  <c r="C1248" i="4"/>
  <c r="C1249" i="4"/>
  <c r="C1250" i="4"/>
  <c r="C1251" i="4"/>
  <c r="D1251" i="4" s="1"/>
  <c r="F1251" i="4" s="1"/>
  <c r="C1252" i="4"/>
  <c r="C1253" i="4"/>
  <c r="C1254" i="4"/>
  <c r="C1255" i="4"/>
  <c r="C1256" i="4"/>
  <c r="C1257" i="4"/>
  <c r="C1060" i="4"/>
  <c r="AU832" i="4"/>
  <c r="AV832" i="4"/>
  <c r="AW832" i="4"/>
  <c r="AX832" i="4"/>
  <c r="AY832" i="4"/>
  <c r="AZ832" i="4"/>
  <c r="BA832" i="4"/>
  <c r="BB832" i="4"/>
  <c r="BC832" i="4"/>
  <c r="AT832" i="4"/>
  <c r="AJ831" i="4"/>
  <c r="AH832" i="4"/>
  <c r="AI832" i="4"/>
  <c r="AJ832" i="4"/>
  <c r="C8" i="5"/>
  <c r="C8" i="13" s="1"/>
  <c r="B5" i="5"/>
  <c r="CU208" i="16"/>
  <c r="CO208" i="16"/>
  <c r="CQ208" i="16" s="1"/>
  <c r="CN208" i="16"/>
  <c r="CL208" i="16"/>
  <c r="CJ208" i="16"/>
  <c r="CH208" i="16"/>
  <c r="CE208" i="16"/>
  <c r="CB208" i="16"/>
  <c r="BX208" i="16"/>
  <c r="BW208" i="16" s="1"/>
  <c r="BU208" i="16"/>
  <c r="BS208" i="16"/>
  <c r="BR208" i="16" s="1"/>
  <c r="BP208" i="16"/>
  <c r="BC208" i="16"/>
  <c r="BB208" i="16" s="1"/>
  <c r="AY208" i="16"/>
  <c r="AP208" i="16"/>
  <c r="AO208" i="16" s="1"/>
  <c r="AL208" i="16"/>
  <c r="AF208" i="16"/>
  <c r="Z208" i="16"/>
  <c r="V208" i="16"/>
  <c r="R208" i="16"/>
  <c r="O208" i="16"/>
  <c r="K208" i="16"/>
  <c r="E208" i="16"/>
  <c r="CU207" i="16"/>
  <c r="CO207" i="16"/>
  <c r="CQ207" i="16" s="1"/>
  <c r="CN207" i="16"/>
  <c r="CL207" i="16"/>
  <c r="CJ207" i="16"/>
  <c r="CH207" i="16"/>
  <c r="CE207" i="16"/>
  <c r="CB207" i="16"/>
  <c r="BX207" i="16"/>
  <c r="BU207" i="16"/>
  <c r="BS207" i="16"/>
  <c r="BR207" i="16" s="1"/>
  <c r="BP207" i="16"/>
  <c r="BC207" i="16"/>
  <c r="AY207" i="16"/>
  <c r="AP207" i="16"/>
  <c r="AL207" i="16"/>
  <c r="AF207" i="16"/>
  <c r="Z207" i="16"/>
  <c r="V207" i="16"/>
  <c r="R207" i="16"/>
  <c r="O207" i="16"/>
  <c r="K207" i="16"/>
  <c r="E207" i="16"/>
  <c r="CU206" i="16"/>
  <c r="CO206" i="16"/>
  <c r="CQ206" i="16" s="1"/>
  <c r="CN206" i="16"/>
  <c r="CL206" i="16"/>
  <c r="CJ206" i="16"/>
  <c r="CH206" i="16"/>
  <c r="CE206" i="16"/>
  <c r="CB206" i="16"/>
  <c r="BX206" i="16"/>
  <c r="BU206" i="16"/>
  <c r="BS206" i="16"/>
  <c r="BR206" i="16" s="1"/>
  <c r="BP206" i="16"/>
  <c r="BC206" i="16"/>
  <c r="AY206" i="16"/>
  <c r="AP206" i="16"/>
  <c r="AL206" i="16"/>
  <c r="AF206" i="16"/>
  <c r="Z206" i="16"/>
  <c r="V206" i="16"/>
  <c r="R206" i="16"/>
  <c r="O206" i="16"/>
  <c r="K206" i="16"/>
  <c r="E206" i="16"/>
  <c r="CU205" i="16"/>
  <c r="CO205" i="16"/>
  <c r="CQ205" i="16" s="1"/>
  <c r="CN205" i="16"/>
  <c r="CL205" i="16"/>
  <c r="CJ205" i="16"/>
  <c r="CH205" i="16"/>
  <c r="CE205" i="16"/>
  <c r="CB205" i="16"/>
  <c r="BX205" i="16"/>
  <c r="BU205" i="16"/>
  <c r="BS205" i="16"/>
  <c r="BR205" i="16" s="1"/>
  <c r="BP205" i="16"/>
  <c r="BC205" i="16"/>
  <c r="AY205" i="16"/>
  <c r="AP205" i="16"/>
  <c r="AL205" i="16"/>
  <c r="AF205" i="16"/>
  <c r="Z205" i="16"/>
  <c r="V205" i="16"/>
  <c r="R205" i="16"/>
  <c r="O205" i="16"/>
  <c r="K205" i="16"/>
  <c r="E205" i="16"/>
  <c r="CU204" i="16"/>
  <c r="CO204" i="16"/>
  <c r="CQ204" i="16" s="1"/>
  <c r="CN204" i="16"/>
  <c r="CL204" i="16"/>
  <c r="CJ204" i="16"/>
  <c r="CH204" i="16"/>
  <c r="CE204" i="16"/>
  <c r="CB204" i="16"/>
  <c r="BX204" i="16"/>
  <c r="BU204" i="16"/>
  <c r="BS204" i="16"/>
  <c r="BR204" i="16" s="1"/>
  <c r="BP204" i="16"/>
  <c r="BC204" i="16"/>
  <c r="AY204" i="16"/>
  <c r="AP204" i="16"/>
  <c r="AL204" i="16"/>
  <c r="AF204" i="16"/>
  <c r="Z204" i="16"/>
  <c r="V204" i="16"/>
  <c r="R204" i="16"/>
  <c r="O204" i="16"/>
  <c r="K204" i="16"/>
  <c r="E204" i="16"/>
  <c r="CU203" i="16"/>
  <c r="CO203" i="16"/>
  <c r="CQ203" i="16" s="1"/>
  <c r="CN203" i="16"/>
  <c r="CL203" i="16"/>
  <c r="CJ203" i="16"/>
  <c r="CH203" i="16"/>
  <c r="CE203" i="16"/>
  <c r="CB203" i="16"/>
  <c r="BX203" i="16"/>
  <c r="BU203" i="16"/>
  <c r="BS203" i="16"/>
  <c r="BR203" i="16" s="1"/>
  <c r="BP203" i="16"/>
  <c r="BC203" i="16"/>
  <c r="AY203" i="16"/>
  <c r="AP203" i="16"/>
  <c r="AL203" i="16"/>
  <c r="AF203" i="16"/>
  <c r="Z203" i="16"/>
  <c r="V203" i="16"/>
  <c r="R203" i="16"/>
  <c r="O203" i="16"/>
  <c r="K203" i="16"/>
  <c r="E203" i="16"/>
  <c r="CU202" i="16"/>
  <c r="CO202" i="16"/>
  <c r="CQ202" i="16" s="1"/>
  <c r="CN202" i="16"/>
  <c r="CL202" i="16"/>
  <c r="CJ202" i="16"/>
  <c r="CH202" i="16"/>
  <c r="CE202" i="16"/>
  <c r="CB202" i="16"/>
  <c r="BX202" i="16"/>
  <c r="BU202" i="16"/>
  <c r="BS202" i="16"/>
  <c r="BR202" i="16" s="1"/>
  <c r="BP202" i="16"/>
  <c r="BC202" i="16"/>
  <c r="AY202" i="16"/>
  <c r="AP202" i="16"/>
  <c r="AL202" i="16"/>
  <c r="AF202" i="16"/>
  <c r="Z202" i="16"/>
  <c r="V202" i="16"/>
  <c r="R202" i="16"/>
  <c r="O202" i="16"/>
  <c r="K202" i="16"/>
  <c r="E202" i="16"/>
  <c r="CU201" i="16"/>
  <c r="CO201" i="16"/>
  <c r="CQ201" i="16" s="1"/>
  <c r="CN201" i="16"/>
  <c r="CL201" i="16"/>
  <c r="CJ201" i="16"/>
  <c r="CH201" i="16"/>
  <c r="CE201" i="16"/>
  <c r="CB201" i="16"/>
  <c r="BX201" i="16"/>
  <c r="BU201" i="16"/>
  <c r="BS201" i="16"/>
  <c r="BR201" i="16" s="1"/>
  <c r="BP201" i="16"/>
  <c r="BC201" i="16"/>
  <c r="AY201" i="16"/>
  <c r="AP201" i="16"/>
  <c r="AL201" i="16"/>
  <c r="AF201" i="16"/>
  <c r="Z201" i="16"/>
  <c r="V201" i="16"/>
  <c r="R201" i="16"/>
  <c r="O201" i="16"/>
  <c r="K201" i="16"/>
  <c r="E201" i="16"/>
  <c r="CU200" i="16"/>
  <c r="CO200" i="16"/>
  <c r="CQ200" i="16" s="1"/>
  <c r="CN200" i="16"/>
  <c r="CL200" i="16"/>
  <c r="CJ200" i="16"/>
  <c r="CH200" i="16"/>
  <c r="CE200" i="16"/>
  <c r="CB200" i="16"/>
  <c r="BX200" i="16"/>
  <c r="BU200" i="16"/>
  <c r="BS200" i="16"/>
  <c r="BR200" i="16" s="1"/>
  <c r="BP200" i="16"/>
  <c r="BC200" i="16"/>
  <c r="AY200" i="16"/>
  <c r="AP200" i="16"/>
  <c r="AL200" i="16"/>
  <c r="AF200" i="16"/>
  <c r="Z200" i="16"/>
  <c r="V200" i="16"/>
  <c r="R200" i="16"/>
  <c r="O200" i="16"/>
  <c r="K200" i="16"/>
  <c r="E200" i="16"/>
  <c r="CU199" i="16"/>
  <c r="CO199" i="16"/>
  <c r="CQ199" i="16" s="1"/>
  <c r="CN199" i="16"/>
  <c r="CL199" i="16"/>
  <c r="CJ199" i="16"/>
  <c r="CH199" i="16"/>
  <c r="CE199" i="16"/>
  <c r="CB199" i="16"/>
  <c r="BX199" i="16"/>
  <c r="BU199" i="16"/>
  <c r="BS199" i="16"/>
  <c r="BR199" i="16" s="1"/>
  <c r="BP199" i="16"/>
  <c r="BC199" i="16"/>
  <c r="AY199" i="16"/>
  <c r="AP199" i="16"/>
  <c r="AL199" i="16"/>
  <c r="AF199" i="16"/>
  <c r="Z199" i="16"/>
  <c r="V199" i="16"/>
  <c r="R199" i="16"/>
  <c r="O199" i="16"/>
  <c r="K199" i="16"/>
  <c r="E199" i="16"/>
  <c r="CU198" i="16"/>
  <c r="CO198" i="16"/>
  <c r="CQ198" i="16" s="1"/>
  <c r="CN198" i="16"/>
  <c r="CL198" i="16"/>
  <c r="CJ198" i="16"/>
  <c r="CH198" i="16"/>
  <c r="CE198" i="16"/>
  <c r="CB198" i="16"/>
  <c r="BX198" i="16"/>
  <c r="BU198" i="16"/>
  <c r="BS198" i="16"/>
  <c r="BR198" i="16" s="1"/>
  <c r="BP198" i="16"/>
  <c r="BC198" i="16"/>
  <c r="AY198" i="16"/>
  <c r="AP198" i="16"/>
  <c r="AL198" i="16"/>
  <c r="AF198" i="16"/>
  <c r="Z198" i="16"/>
  <c r="V198" i="16"/>
  <c r="R198" i="16"/>
  <c r="O198" i="16"/>
  <c r="K198" i="16"/>
  <c r="E198" i="16"/>
  <c r="CU197" i="16"/>
  <c r="CO197" i="16"/>
  <c r="CQ197" i="16" s="1"/>
  <c r="CN197" i="16"/>
  <c r="CL197" i="16"/>
  <c r="CJ197" i="16"/>
  <c r="CH197" i="16"/>
  <c r="CE197" i="16"/>
  <c r="CB197" i="16"/>
  <c r="BX197" i="16"/>
  <c r="BU197" i="16"/>
  <c r="BS197" i="16"/>
  <c r="BR197" i="16" s="1"/>
  <c r="BP197" i="16"/>
  <c r="BC197" i="16"/>
  <c r="AY197" i="16"/>
  <c r="AP197" i="16"/>
  <c r="AL197" i="16"/>
  <c r="AF197" i="16"/>
  <c r="Z197" i="16"/>
  <c r="V197" i="16"/>
  <c r="R197" i="16"/>
  <c r="O197" i="16"/>
  <c r="K197" i="16"/>
  <c r="E197" i="16"/>
  <c r="CU196" i="16"/>
  <c r="CO196" i="16"/>
  <c r="CQ196" i="16" s="1"/>
  <c r="CN196" i="16"/>
  <c r="CL196" i="16"/>
  <c r="CJ196" i="16"/>
  <c r="CH196" i="16"/>
  <c r="CE196" i="16"/>
  <c r="CB196" i="16"/>
  <c r="BX196" i="16"/>
  <c r="BU196" i="16"/>
  <c r="BS196" i="16"/>
  <c r="BR196" i="16" s="1"/>
  <c r="BP196" i="16"/>
  <c r="BC196" i="16"/>
  <c r="AY196" i="16"/>
  <c r="AP196" i="16"/>
  <c r="AL196" i="16"/>
  <c r="AF196" i="16"/>
  <c r="Z196" i="16"/>
  <c r="V196" i="16"/>
  <c r="R196" i="16"/>
  <c r="O196" i="16"/>
  <c r="K196" i="16"/>
  <c r="E196" i="16"/>
  <c r="CU195" i="16"/>
  <c r="CO195" i="16"/>
  <c r="CQ195" i="16" s="1"/>
  <c r="CN195" i="16"/>
  <c r="CL195" i="16"/>
  <c r="CJ195" i="16"/>
  <c r="CH195" i="16"/>
  <c r="CE195" i="16"/>
  <c r="CB195" i="16"/>
  <c r="BX195" i="16"/>
  <c r="BU195" i="16"/>
  <c r="BS195" i="16"/>
  <c r="BR195" i="16" s="1"/>
  <c r="BP195" i="16"/>
  <c r="BC195" i="16"/>
  <c r="AY195" i="16"/>
  <c r="AP195" i="16"/>
  <c r="AL195" i="16"/>
  <c r="AF195" i="16"/>
  <c r="Z195" i="16"/>
  <c r="V195" i="16"/>
  <c r="R195" i="16"/>
  <c r="O195" i="16"/>
  <c r="K195" i="16"/>
  <c r="E195" i="16"/>
  <c r="CU194" i="16"/>
  <c r="CO194" i="16"/>
  <c r="CQ194" i="16" s="1"/>
  <c r="CN194" i="16"/>
  <c r="CL194" i="16"/>
  <c r="CJ194" i="16"/>
  <c r="CH194" i="16"/>
  <c r="CE194" i="16"/>
  <c r="CB194" i="16"/>
  <c r="BX194" i="16"/>
  <c r="BU194" i="16"/>
  <c r="BS194" i="16"/>
  <c r="BR194" i="16" s="1"/>
  <c r="BP194" i="16"/>
  <c r="BC194" i="16"/>
  <c r="AY194" i="16"/>
  <c r="AP194" i="16"/>
  <c r="AL194" i="16"/>
  <c r="AF194" i="16"/>
  <c r="Z194" i="16"/>
  <c r="V194" i="16"/>
  <c r="R194" i="16"/>
  <c r="O194" i="16"/>
  <c r="K194" i="16"/>
  <c r="E194" i="16"/>
  <c r="CU193" i="16"/>
  <c r="CO193" i="16"/>
  <c r="CQ193" i="16" s="1"/>
  <c r="CN193" i="16"/>
  <c r="CL193" i="16"/>
  <c r="CJ193" i="16"/>
  <c r="CH193" i="16"/>
  <c r="CE193" i="16"/>
  <c r="CB193" i="16"/>
  <c r="BX193" i="16"/>
  <c r="BU193" i="16"/>
  <c r="BS193" i="16"/>
  <c r="BR193" i="16" s="1"/>
  <c r="BP193" i="16"/>
  <c r="BC193" i="16"/>
  <c r="AY193" i="16"/>
  <c r="AP193" i="16"/>
  <c r="AL193" i="16"/>
  <c r="AF193" i="16"/>
  <c r="Z193" i="16"/>
  <c r="V193" i="16"/>
  <c r="R193" i="16"/>
  <c r="O193" i="16"/>
  <c r="K193" i="16"/>
  <c r="E193" i="16"/>
  <c r="CU192" i="16"/>
  <c r="CO192" i="16"/>
  <c r="CQ192" i="16" s="1"/>
  <c r="CN192" i="16"/>
  <c r="CL192" i="16"/>
  <c r="CJ192" i="16"/>
  <c r="CH192" i="16"/>
  <c r="CE192" i="16"/>
  <c r="CB192" i="16"/>
  <c r="BX192" i="16"/>
  <c r="BU192" i="16"/>
  <c r="BS192" i="16"/>
  <c r="BR192" i="16" s="1"/>
  <c r="BP192" i="16"/>
  <c r="BC192" i="16"/>
  <c r="AY192" i="16"/>
  <c r="AP192" i="16"/>
  <c r="AL192" i="16"/>
  <c r="AF192" i="16"/>
  <c r="Z192" i="16"/>
  <c r="V192" i="16"/>
  <c r="R192" i="16"/>
  <c r="O192" i="16"/>
  <c r="K192" i="16"/>
  <c r="E192" i="16"/>
  <c r="CU191" i="16"/>
  <c r="CO191" i="16"/>
  <c r="CQ191" i="16" s="1"/>
  <c r="CN191" i="16"/>
  <c r="CL191" i="16"/>
  <c r="CJ191" i="16"/>
  <c r="CH191" i="16"/>
  <c r="CE191" i="16"/>
  <c r="CB191" i="16"/>
  <c r="BX191" i="16"/>
  <c r="BU191" i="16"/>
  <c r="BS191" i="16"/>
  <c r="BR191" i="16" s="1"/>
  <c r="BP191" i="16"/>
  <c r="BC191" i="16"/>
  <c r="AY191" i="16"/>
  <c r="AP191" i="16"/>
  <c r="AL191" i="16"/>
  <c r="AF191" i="16"/>
  <c r="Z191" i="16"/>
  <c r="V191" i="16"/>
  <c r="R191" i="16"/>
  <c r="O191" i="16"/>
  <c r="K191" i="16"/>
  <c r="E191" i="16"/>
  <c r="CU190" i="16"/>
  <c r="CO190" i="16"/>
  <c r="CQ190" i="16" s="1"/>
  <c r="CN190" i="16"/>
  <c r="CL190" i="16"/>
  <c r="CJ190" i="16"/>
  <c r="CH190" i="16"/>
  <c r="CE190" i="16"/>
  <c r="CB190" i="16"/>
  <c r="BX190" i="16"/>
  <c r="BU190" i="16"/>
  <c r="BS190" i="16"/>
  <c r="BR190" i="16" s="1"/>
  <c r="BP190" i="16"/>
  <c r="BC190" i="16"/>
  <c r="AY190" i="16"/>
  <c r="AP190" i="16"/>
  <c r="AL190" i="16"/>
  <c r="AF190" i="16"/>
  <c r="Z190" i="16"/>
  <c r="V190" i="16"/>
  <c r="R190" i="16"/>
  <c r="O190" i="16"/>
  <c r="K190" i="16"/>
  <c r="E190" i="16"/>
  <c r="CU189" i="16"/>
  <c r="CO189" i="16"/>
  <c r="CQ189" i="16" s="1"/>
  <c r="CN189" i="16"/>
  <c r="CL189" i="16"/>
  <c r="CJ189" i="16"/>
  <c r="CH189" i="16"/>
  <c r="CE189" i="16"/>
  <c r="CB189" i="16"/>
  <c r="BX189" i="16"/>
  <c r="BU189" i="16"/>
  <c r="BS189" i="16"/>
  <c r="BR189" i="16" s="1"/>
  <c r="BP189" i="16"/>
  <c r="BC189" i="16"/>
  <c r="AY189" i="16"/>
  <c r="AP189" i="16"/>
  <c r="AL189" i="16"/>
  <c r="AF189" i="16"/>
  <c r="Z189" i="16"/>
  <c r="V189" i="16"/>
  <c r="R189" i="16"/>
  <c r="O189" i="16"/>
  <c r="K189" i="16"/>
  <c r="E189" i="16"/>
  <c r="CU188" i="16"/>
  <c r="CO188" i="16"/>
  <c r="CQ188" i="16" s="1"/>
  <c r="CN188" i="16"/>
  <c r="CL188" i="16"/>
  <c r="CJ188" i="16"/>
  <c r="CH188" i="16"/>
  <c r="CE188" i="16"/>
  <c r="CB188" i="16"/>
  <c r="BX188" i="16"/>
  <c r="BU188" i="16"/>
  <c r="BS188" i="16"/>
  <c r="BR188" i="16" s="1"/>
  <c r="BP188" i="16"/>
  <c r="BC188" i="16"/>
  <c r="AY188" i="16"/>
  <c r="AP188" i="16"/>
  <c r="AL188" i="16"/>
  <c r="AF188" i="16"/>
  <c r="Z188" i="16"/>
  <c r="V188" i="16"/>
  <c r="R188" i="16"/>
  <c r="O188" i="16"/>
  <c r="K188" i="16"/>
  <c r="E188" i="16"/>
  <c r="CU187" i="16"/>
  <c r="CO187" i="16"/>
  <c r="CQ187" i="16" s="1"/>
  <c r="CN187" i="16"/>
  <c r="CL187" i="16"/>
  <c r="CJ187" i="16"/>
  <c r="CH187" i="16"/>
  <c r="CE187" i="16"/>
  <c r="CB187" i="16"/>
  <c r="BX187" i="16"/>
  <c r="BU187" i="16"/>
  <c r="BS187" i="16"/>
  <c r="BR187" i="16" s="1"/>
  <c r="BP187" i="16"/>
  <c r="BC187" i="16"/>
  <c r="AY187" i="16"/>
  <c r="AP187" i="16"/>
  <c r="AL187" i="16"/>
  <c r="AF187" i="16"/>
  <c r="Z187" i="16"/>
  <c r="V187" i="16"/>
  <c r="R187" i="16"/>
  <c r="O187" i="16"/>
  <c r="K187" i="16"/>
  <c r="E187" i="16"/>
  <c r="CU186" i="16"/>
  <c r="CO186" i="16"/>
  <c r="CQ186" i="16" s="1"/>
  <c r="CN186" i="16"/>
  <c r="CL186" i="16"/>
  <c r="CJ186" i="16"/>
  <c r="CH186" i="16"/>
  <c r="CE186" i="16"/>
  <c r="CB186" i="16"/>
  <c r="BX186" i="16"/>
  <c r="BU186" i="16"/>
  <c r="BS186" i="16"/>
  <c r="BR186" i="16" s="1"/>
  <c r="BP186" i="16"/>
  <c r="BC186" i="16"/>
  <c r="AY186" i="16"/>
  <c r="AP186" i="16"/>
  <c r="AL186" i="16"/>
  <c r="AF186" i="16"/>
  <c r="Z186" i="16"/>
  <c r="V186" i="16"/>
  <c r="R186" i="16"/>
  <c r="O186" i="16"/>
  <c r="K186" i="16"/>
  <c r="E186" i="16"/>
  <c r="CU185" i="16"/>
  <c r="CO185" i="16"/>
  <c r="CQ185" i="16" s="1"/>
  <c r="CN185" i="16"/>
  <c r="CL185" i="16"/>
  <c r="CJ185" i="16"/>
  <c r="CH185" i="16"/>
  <c r="CE185" i="16"/>
  <c r="CB185" i="16"/>
  <c r="BX185" i="16"/>
  <c r="BU185" i="16"/>
  <c r="BS185" i="16"/>
  <c r="BR185" i="16" s="1"/>
  <c r="BP185" i="16"/>
  <c r="BC185" i="16"/>
  <c r="AY185" i="16"/>
  <c r="AP185" i="16"/>
  <c r="AL185" i="16"/>
  <c r="AF185" i="16"/>
  <c r="Z185" i="16"/>
  <c r="V185" i="16"/>
  <c r="R185" i="16"/>
  <c r="O185" i="16"/>
  <c r="K185" i="16"/>
  <c r="E185" i="16"/>
  <c r="CU184" i="16"/>
  <c r="CO184" i="16"/>
  <c r="CQ184" i="16" s="1"/>
  <c r="CN184" i="16"/>
  <c r="CL184" i="16"/>
  <c r="CJ184" i="16"/>
  <c r="CH184" i="16"/>
  <c r="CE184" i="16"/>
  <c r="CB184" i="16"/>
  <c r="BX184" i="16"/>
  <c r="BU184" i="16"/>
  <c r="BS184" i="16"/>
  <c r="BR184" i="16" s="1"/>
  <c r="BP184" i="16"/>
  <c r="BC184" i="16"/>
  <c r="AY184" i="16"/>
  <c r="AP184" i="16"/>
  <c r="AL184" i="16"/>
  <c r="AF184" i="16"/>
  <c r="Z184" i="16"/>
  <c r="V184" i="16"/>
  <c r="R184" i="16"/>
  <c r="O184" i="16"/>
  <c r="K184" i="16"/>
  <c r="E184" i="16"/>
  <c r="CU183" i="16"/>
  <c r="CO183" i="16"/>
  <c r="CQ183" i="16" s="1"/>
  <c r="CN183" i="16"/>
  <c r="CL183" i="16"/>
  <c r="CJ183" i="16"/>
  <c r="CH183" i="16"/>
  <c r="CE183" i="16"/>
  <c r="CB183" i="16"/>
  <c r="BX183" i="16"/>
  <c r="BU183" i="16"/>
  <c r="BS183" i="16"/>
  <c r="BR183" i="16" s="1"/>
  <c r="BP183" i="16"/>
  <c r="BC183" i="16"/>
  <c r="AY183" i="16"/>
  <c r="AP183" i="16"/>
  <c r="AL183" i="16"/>
  <c r="AF183" i="16"/>
  <c r="Z183" i="16"/>
  <c r="V183" i="16"/>
  <c r="R183" i="16"/>
  <c r="O183" i="16"/>
  <c r="K183" i="16"/>
  <c r="E183" i="16"/>
  <c r="CU182" i="16"/>
  <c r="CO182" i="16"/>
  <c r="CQ182" i="16" s="1"/>
  <c r="CN182" i="16"/>
  <c r="CL182" i="16"/>
  <c r="CJ182" i="16"/>
  <c r="CH182" i="16"/>
  <c r="CE182" i="16"/>
  <c r="CB182" i="16"/>
  <c r="BX182" i="16"/>
  <c r="BU182" i="16"/>
  <c r="BS182" i="16"/>
  <c r="BR182" i="16" s="1"/>
  <c r="BP182" i="16"/>
  <c r="BC182" i="16"/>
  <c r="AY182" i="16"/>
  <c r="AP182" i="16"/>
  <c r="AL182" i="16"/>
  <c r="AF182" i="16"/>
  <c r="Z182" i="16"/>
  <c r="V182" i="16"/>
  <c r="R182" i="16"/>
  <c r="O182" i="16"/>
  <c r="K182" i="16"/>
  <c r="E182" i="16"/>
  <c r="CU181" i="16"/>
  <c r="CO181" i="16"/>
  <c r="CQ181" i="16" s="1"/>
  <c r="CN181" i="16"/>
  <c r="CL181" i="16"/>
  <c r="CJ181" i="16"/>
  <c r="CH181" i="16"/>
  <c r="CE181" i="16"/>
  <c r="CB181" i="16"/>
  <c r="BX181" i="16"/>
  <c r="BU181" i="16"/>
  <c r="BS181" i="16"/>
  <c r="BR181" i="16" s="1"/>
  <c r="BP181" i="16"/>
  <c r="BC181" i="16"/>
  <c r="AY181" i="16"/>
  <c r="AP181" i="16"/>
  <c r="AL181" i="16"/>
  <c r="AF181" i="16"/>
  <c r="Z181" i="16"/>
  <c r="V181" i="16"/>
  <c r="R181" i="16"/>
  <c r="O181" i="16"/>
  <c r="K181" i="16"/>
  <c r="E181" i="16"/>
  <c r="CU180" i="16"/>
  <c r="CO180" i="16"/>
  <c r="CQ180" i="16" s="1"/>
  <c r="CN180" i="16"/>
  <c r="CL180" i="16"/>
  <c r="CJ180" i="16"/>
  <c r="CH180" i="16"/>
  <c r="CE180" i="16"/>
  <c r="CB180" i="16"/>
  <c r="BX180" i="16"/>
  <c r="BU180" i="16"/>
  <c r="BS180" i="16"/>
  <c r="BR180" i="16" s="1"/>
  <c r="BP180" i="16"/>
  <c r="BC180" i="16"/>
  <c r="AY180" i="16"/>
  <c r="AP180" i="16"/>
  <c r="AL180" i="16"/>
  <c r="AF180" i="16"/>
  <c r="Z180" i="16"/>
  <c r="V180" i="16"/>
  <c r="R180" i="16"/>
  <c r="O180" i="16"/>
  <c r="K180" i="16"/>
  <c r="E180" i="16"/>
  <c r="CU179" i="16"/>
  <c r="CO179" i="16"/>
  <c r="CQ179" i="16" s="1"/>
  <c r="CN179" i="16"/>
  <c r="CL179" i="16"/>
  <c r="CJ179" i="16"/>
  <c r="CH179" i="16"/>
  <c r="CE179" i="16"/>
  <c r="CB179" i="16"/>
  <c r="BX179" i="16"/>
  <c r="BU179" i="16"/>
  <c r="BS179" i="16"/>
  <c r="BR179" i="16" s="1"/>
  <c r="BP179" i="16"/>
  <c r="BC179" i="16"/>
  <c r="AY179" i="16"/>
  <c r="AP179" i="16"/>
  <c r="AL179" i="16"/>
  <c r="AF179" i="16"/>
  <c r="Z179" i="16"/>
  <c r="V179" i="16"/>
  <c r="R179" i="16"/>
  <c r="O179" i="16"/>
  <c r="K179" i="16"/>
  <c r="E179" i="16"/>
  <c r="CU178" i="16"/>
  <c r="CO178" i="16"/>
  <c r="CQ178" i="16" s="1"/>
  <c r="CN178" i="16"/>
  <c r="CL178" i="16"/>
  <c r="CJ178" i="16"/>
  <c r="CH178" i="16"/>
  <c r="CE178" i="16"/>
  <c r="CB178" i="16"/>
  <c r="BX178" i="16"/>
  <c r="BU178" i="16"/>
  <c r="BS178" i="16"/>
  <c r="BR178" i="16" s="1"/>
  <c r="BP178" i="16"/>
  <c r="BC178" i="16"/>
  <c r="AY178" i="16"/>
  <c r="AP178" i="16"/>
  <c r="AL178" i="16"/>
  <c r="AF178" i="16"/>
  <c r="Z178" i="16"/>
  <c r="V178" i="16"/>
  <c r="R178" i="16"/>
  <c r="O178" i="16"/>
  <c r="K178" i="16"/>
  <c r="E178" i="16"/>
  <c r="CU177" i="16"/>
  <c r="CO177" i="16"/>
  <c r="CQ177" i="16" s="1"/>
  <c r="CN177" i="16"/>
  <c r="CL177" i="16"/>
  <c r="CJ177" i="16"/>
  <c r="CH177" i="16"/>
  <c r="CE177" i="16"/>
  <c r="CB177" i="16"/>
  <c r="BX177" i="16"/>
  <c r="BU177" i="16"/>
  <c r="BS177" i="16"/>
  <c r="BR177" i="16" s="1"/>
  <c r="BP177" i="16"/>
  <c r="BC177" i="16"/>
  <c r="AY177" i="16"/>
  <c r="AP177" i="16"/>
  <c r="AL177" i="16"/>
  <c r="AF177" i="16"/>
  <c r="Z177" i="16"/>
  <c r="V177" i="16"/>
  <c r="R177" i="16"/>
  <c r="O177" i="16"/>
  <c r="K177" i="16"/>
  <c r="E177" i="16"/>
  <c r="CU176" i="16"/>
  <c r="CO176" i="16"/>
  <c r="CQ176" i="16" s="1"/>
  <c r="CN176" i="16"/>
  <c r="CL176" i="16"/>
  <c r="CJ176" i="16"/>
  <c r="CH176" i="16"/>
  <c r="CE176" i="16"/>
  <c r="CB176" i="16"/>
  <c r="BX176" i="16"/>
  <c r="BU176" i="16"/>
  <c r="BS176" i="16"/>
  <c r="BR176" i="16" s="1"/>
  <c r="BP176" i="16"/>
  <c r="BC176" i="16"/>
  <c r="AY176" i="16"/>
  <c r="AP176" i="16"/>
  <c r="AL176" i="16"/>
  <c r="AF176" i="16"/>
  <c r="Z176" i="16"/>
  <c r="V176" i="16"/>
  <c r="R176" i="16"/>
  <c r="O176" i="16"/>
  <c r="K176" i="16"/>
  <c r="E176" i="16"/>
  <c r="CU175" i="16"/>
  <c r="CO175" i="16"/>
  <c r="CQ175" i="16" s="1"/>
  <c r="CN175" i="16"/>
  <c r="CL175" i="16"/>
  <c r="CJ175" i="16"/>
  <c r="CH175" i="16"/>
  <c r="CE175" i="16"/>
  <c r="CB175" i="16"/>
  <c r="BX175" i="16"/>
  <c r="BU175" i="16"/>
  <c r="BS175" i="16"/>
  <c r="BR175" i="16" s="1"/>
  <c r="BP175" i="16"/>
  <c r="BC175" i="16"/>
  <c r="AY175" i="16"/>
  <c r="AP175" i="16"/>
  <c r="AL175" i="16"/>
  <c r="AF175" i="16"/>
  <c r="Z175" i="16"/>
  <c r="V175" i="16"/>
  <c r="R175" i="16"/>
  <c r="O175" i="16"/>
  <c r="K175" i="16"/>
  <c r="E175" i="16"/>
  <c r="CU174" i="16"/>
  <c r="CO174" i="16"/>
  <c r="CQ174" i="16" s="1"/>
  <c r="CN174" i="16"/>
  <c r="CL174" i="16"/>
  <c r="CJ174" i="16"/>
  <c r="CH174" i="16"/>
  <c r="CE174" i="16"/>
  <c r="CB174" i="16"/>
  <c r="BX174" i="16"/>
  <c r="BU174" i="16"/>
  <c r="BS174" i="16"/>
  <c r="BR174" i="16" s="1"/>
  <c r="BP174" i="16"/>
  <c r="BC174" i="16"/>
  <c r="AY174" i="16"/>
  <c r="AP174" i="16"/>
  <c r="AL174" i="16"/>
  <c r="AF174" i="16"/>
  <c r="Z174" i="16"/>
  <c r="V174" i="16"/>
  <c r="R174" i="16"/>
  <c r="O174" i="16"/>
  <c r="K174" i="16"/>
  <c r="E174" i="16"/>
  <c r="CU173" i="16"/>
  <c r="CO173" i="16"/>
  <c r="CQ173" i="16" s="1"/>
  <c r="CN173" i="16"/>
  <c r="CL173" i="16"/>
  <c r="CJ173" i="16"/>
  <c r="CH173" i="16"/>
  <c r="CE173" i="16"/>
  <c r="CB173" i="16"/>
  <c r="BX173" i="16"/>
  <c r="BU173" i="16"/>
  <c r="BS173" i="16"/>
  <c r="BR173" i="16" s="1"/>
  <c r="BP173" i="16"/>
  <c r="BC173" i="16"/>
  <c r="AY173" i="16"/>
  <c r="AP173" i="16"/>
  <c r="AL173" i="16"/>
  <c r="AF173" i="16"/>
  <c r="Z173" i="16"/>
  <c r="V173" i="16"/>
  <c r="R173" i="16"/>
  <c r="O173" i="16"/>
  <c r="K173" i="16"/>
  <c r="E173" i="16"/>
  <c r="CU172" i="16"/>
  <c r="CO172" i="16"/>
  <c r="CQ172" i="16" s="1"/>
  <c r="CN172" i="16"/>
  <c r="CL172" i="16"/>
  <c r="CJ172" i="16"/>
  <c r="CH172" i="16"/>
  <c r="CE172" i="16"/>
  <c r="CB172" i="16"/>
  <c r="BX172" i="16"/>
  <c r="BU172" i="16"/>
  <c r="BS172" i="16"/>
  <c r="BR172" i="16" s="1"/>
  <c r="BP172" i="16"/>
  <c r="BC172" i="16"/>
  <c r="AY172" i="16"/>
  <c r="AP172" i="16"/>
  <c r="AL172" i="16"/>
  <c r="AF172" i="16"/>
  <c r="Z172" i="16"/>
  <c r="V172" i="16"/>
  <c r="R172" i="16"/>
  <c r="O172" i="16"/>
  <c r="K172" i="16"/>
  <c r="E172" i="16"/>
  <c r="CU171" i="16"/>
  <c r="CO171" i="16"/>
  <c r="CQ171" i="16" s="1"/>
  <c r="CN171" i="16"/>
  <c r="CL171" i="16"/>
  <c r="CJ171" i="16"/>
  <c r="CH171" i="16"/>
  <c r="CE171" i="16"/>
  <c r="CB171" i="16"/>
  <c r="BX171" i="16"/>
  <c r="BU171" i="16"/>
  <c r="BS171" i="16"/>
  <c r="BR171" i="16" s="1"/>
  <c r="BP171" i="16"/>
  <c r="BC171" i="16"/>
  <c r="AY171" i="16"/>
  <c r="AP171" i="16"/>
  <c r="AL171" i="16"/>
  <c r="AF171" i="16"/>
  <c r="Z171" i="16"/>
  <c r="V171" i="16"/>
  <c r="R171" i="16"/>
  <c r="O171" i="16"/>
  <c r="K171" i="16"/>
  <c r="E171" i="16"/>
  <c r="CU170" i="16"/>
  <c r="CO170" i="16"/>
  <c r="CQ170" i="16" s="1"/>
  <c r="CN170" i="16"/>
  <c r="CL170" i="16"/>
  <c r="CJ170" i="16"/>
  <c r="CH170" i="16"/>
  <c r="CE170" i="16"/>
  <c r="CB170" i="16"/>
  <c r="BX170" i="16"/>
  <c r="BU170" i="16"/>
  <c r="BS170" i="16"/>
  <c r="BR170" i="16" s="1"/>
  <c r="BP170" i="16"/>
  <c r="BC170" i="16"/>
  <c r="AY170" i="16"/>
  <c r="AP170" i="16"/>
  <c r="AL170" i="16"/>
  <c r="AF170" i="16"/>
  <c r="Z170" i="16"/>
  <c r="V170" i="16"/>
  <c r="R170" i="16"/>
  <c r="O170" i="16"/>
  <c r="K170" i="16"/>
  <c r="E170" i="16"/>
  <c r="CU169" i="16"/>
  <c r="CO169" i="16"/>
  <c r="CQ169" i="16" s="1"/>
  <c r="CN169" i="16"/>
  <c r="CL169" i="16"/>
  <c r="CJ169" i="16"/>
  <c r="CH169" i="16"/>
  <c r="CE169" i="16"/>
  <c r="CB169" i="16"/>
  <c r="BX169" i="16"/>
  <c r="BU169" i="16"/>
  <c r="BS169" i="16"/>
  <c r="BR169" i="16" s="1"/>
  <c r="BP169" i="16"/>
  <c r="BC169" i="16"/>
  <c r="AY169" i="16"/>
  <c r="AP169" i="16"/>
  <c r="AL169" i="16"/>
  <c r="AF169" i="16"/>
  <c r="Z169" i="16"/>
  <c r="V169" i="16"/>
  <c r="R169" i="16"/>
  <c r="O169" i="16"/>
  <c r="K169" i="16"/>
  <c r="E169" i="16"/>
  <c r="CU168" i="16"/>
  <c r="CO168" i="16"/>
  <c r="CQ168" i="16" s="1"/>
  <c r="CN168" i="16"/>
  <c r="CL168" i="16"/>
  <c r="CJ168" i="16"/>
  <c r="CH168" i="16"/>
  <c r="CE168" i="16"/>
  <c r="CB168" i="16"/>
  <c r="BX168" i="16"/>
  <c r="BU168" i="16"/>
  <c r="BS168" i="16"/>
  <c r="BR168" i="16" s="1"/>
  <c r="BP168" i="16"/>
  <c r="BC168" i="16"/>
  <c r="AY168" i="16"/>
  <c r="AP168" i="16"/>
  <c r="AL168" i="16"/>
  <c r="AF168" i="16"/>
  <c r="Z168" i="16"/>
  <c r="V168" i="16"/>
  <c r="R168" i="16"/>
  <c r="O168" i="16"/>
  <c r="K168" i="16"/>
  <c r="E168" i="16"/>
  <c r="CU167" i="16"/>
  <c r="CO167" i="16"/>
  <c r="CQ167" i="16" s="1"/>
  <c r="CN167" i="16"/>
  <c r="CL167" i="16"/>
  <c r="CJ167" i="16"/>
  <c r="CH167" i="16"/>
  <c r="CE167" i="16"/>
  <c r="CB167" i="16"/>
  <c r="BX167" i="16"/>
  <c r="BU167" i="16"/>
  <c r="BS167" i="16"/>
  <c r="BR167" i="16" s="1"/>
  <c r="BP167" i="16"/>
  <c r="BC167" i="16"/>
  <c r="AY167" i="16"/>
  <c r="AP167" i="16"/>
  <c r="AL167" i="16"/>
  <c r="AF167" i="16"/>
  <c r="Z167" i="16"/>
  <c r="V167" i="16"/>
  <c r="R167" i="16"/>
  <c r="O167" i="16"/>
  <c r="K167" i="16"/>
  <c r="E167" i="16"/>
  <c r="CU166" i="16"/>
  <c r="CO166" i="16"/>
  <c r="CQ166" i="16" s="1"/>
  <c r="CN166" i="16"/>
  <c r="CL166" i="16"/>
  <c r="CJ166" i="16"/>
  <c r="CH166" i="16"/>
  <c r="CE166" i="16"/>
  <c r="CB166" i="16"/>
  <c r="BX166" i="16"/>
  <c r="BU166" i="16"/>
  <c r="BS166" i="16"/>
  <c r="BR166" i="16" s="1"/>
  <c r="BP166" i="16"/>
  <c r="BC166" i="16"/>
  <c r="AY166" i="16"/>
  <c r="AP166" i="16"/>
  <c r="AL166" i="16"/>
  <c r="AF166" i="16"/>
  <c r="Z166" i="16"/>
  <c r="V166" i="16"/>
  <c r="R166" i="16"/>
  <c r="O166" i="16"/>
  <c r="K166" i="16"/>
  <c r="E166" i="16"/>
  <c r="CU165" i="16"/>
  <c r="CO165" i="16"/>
  <c r="CQ165" i="16" s="1"/>
  <c r="CN165" i="16"/>
  <c r="CL165" i="16"/>
  <c r="CJ165" i="16"/>
  <c r="CH165" i="16"/>
  <c r="CE165" i="16"/>
  <c r="CB165" i="16"/>
  <c r="BX165" i="16"/>
  <c r="BU165" i="16"/>
  <c r="BS165" i="16"/>
  <c r="BR165" i="16" s="1"/>
  <c r="BP165" i="16"/>
  <c r="BC165" i="16"/>
  <c r="AY165" i="16"/>
  <c r="AP165" i="16"/>
  <c r="AL165" i="16"/>
  <c r="AF165" i="16"/>
  <c r="Z165" i="16"/>
  <c r="V165" i="16"/>
  <c r="R165" i="16"/>
  <c r="O165" i="16"/>
  <c r="K165" i="16"/>
  <c r="E165" i="16"/>
  <c r="CU164" i="16"/>
  <c r="CO164" i="16"/>
  <c r="CQ164" i="16" s="1"/>
  <c r="CN164" i="16"/>
  <c r="CL164" i="16"/>
  <c r="CJ164" i="16"/>
  <c r="CH164" i="16"/>
  <c r="CE164" i="16"/>
  <c r="CB164" i="16"/>
  <c r="BX164" i="16"/>
  <c r="BU164" i="16"/>
  <c r="BS164" i="16"/>
  <c r="BR164" i="16" s="1"/>
  <c r="BP164" i="16"/>
  <c r="BC164" i="16"/>
  <c r="AY164" i="16"/>
  <c r="AP164" i="16"/>
  <c r="AL164" i="16"/>
  <c r="AF164" i="16"/>
  <c r="Z164" i="16"/>
  <c r="V164" i="16"/>
  <c r="R164" i="16"/>
  <c r="O164" i="16"/>
  <c r="K164" i="16"/>
  <c r="E164" i="16"/>
  <c r="CU163" i="16"/>
  <c r="CO163" i="16"/>
  <c r="CQ163" i="16" s="1"/>
  <c r="CN163" i="16"/>
  <c r="CL163" i="16"/>
  <c r="CJ163" i="16"/>
  <c r="CH163" i="16"/>
  <c r="CE163" i="16"/>
  <c r="CB163" i="16"/>
  <c r="BX163" i="16"/>
  <c r="BU163" i="16"/>
  <c r="BS163" i="16"/>
  <c r="BR163" i="16" s="1"/>
  <c r="BP163" i="16"/>
  <c r="BC163" i="16"/>
  <c r="AY163" i="16"/>
  <c r="AP163" i="16"/>
  <c r="AL163" i="16"/>
  <c r="AF163" i="16"/>
  <c r="Z163" i="16"/>
  <c r="V163" i="16"/>
  <c r="R163" i="16"/>
  <c r="O163" i="16"/>
  <c r="K163" i="16"/>
  <c r="E163" i="16"/>
  <c r="CU162" i="16"/>
  <c r="CO162" i="16"/>
  <c r="CQ162" i="16" s="1"/>
  <c r="CN162" i="16"/>
  <c r="CL162" i="16"/>
  <c r="CJ162" i="16"/>
  <c r="CH162" i="16"/>
  <c r="CE162" i="16"/>
  <c r="CB162" i="16"/>
  <c r="BX162" i="16"/>
  <c r="BU162" i="16"/>
  <c r="BS162" i="16"/>
  <c r="BR162" i="16" s="1"/>
  <c r="BP162" i="16"/>
  <c r="BC162" i="16"/>
  <c r="AY162" i="16"/>
  <c r="AP162" i="16"/>
  <c r="AL162" i="16"/>
  <c r="AF162" i="16"/>
  <c r="Z162" i="16"/>
  <c r="V162" i="16"/>
  <c r="R162" i="16"/>
  <c r="O162" i="16"/>
  <c r="K162" i="16"/>
  <c r="E162" i="16"/>
  <c r="CU161" i="16"/>
  <c r="CO161" i="16"/>
  <c r="CQ161" i="16" s="1"/>
  <c r="CN161" i="16"/>
  <c r="CL161" i="16"/>
  <c r="CJ161" i="16"/>
  <c r="CH161" i="16"/>
  <c r="CE161" i="16"/>
  <c r="CB161" i="16"/>
  <c r="BX161" i="16"/>
  <c r="BU161" i="16"/>
  <c r="BS161" i="16"/>
  <c r="BR161" i="16" s="1"/>
  <c r="BP161" i="16"/>
  <c r="BC161" i="16"/>
  <c r="AY161" i="16"/>
  <c r="AP161" i="16"/>
  <c r="AL161" i="16"/>
  <c r="AF161" i="16"/>
  <c r="Z161" i="16"/>
  <c r="V161" i="16"/>
  <c r="R161" i="16"/>
  <c r="O161" i="16"/>
  <c r="K161" i="16"/>
  <c r="E161" i="16"/>
  <c r="CU160" i="16"/>
  <c r="CO160" i="16"/>
  <c r="CQ160" i="16" s="1"/>
  <c r="CN160" i="16"/>
  <c r="CL160" i="16"/>
  <c r="CJ160" i="16"/>
  <c r="CH160" i="16"/>
  <c r="CE160" i="16"/>
  <c r="CB160" i="16"/>
  <c r="BX160" i="16"/>
  <c r="BU160" i="16"/>
  <c r="BS160" i="16"/>
  <c r="BR160" i="16" s="1"/>
  <c r="BP160" i="16"/>
  <c r="BC160" i="16"/>
  <c r="AY160" i="16"/>
  <c r="AP160" i="16"/>
  <c r="AL160" i="16"/>
  <c r="AF160" i="16"/>
  <c r="Z160" i="16"/>
  <c r="V160" i="16"/>
  <c r="R160" i="16"/>
  <c r="O160" i="16"/>
  <c r="K160" i="16"/>
  <c r="E160" i="16"/>
  <c r="CU159" i="16"/>
  <c r="CO159" i="16"/>
  <c r="CQ159" i="16" s="1"/>
  <c r="CN159" i="16"/>
  <c r="CL159" i="16"/>
  <c r="CJ159" i="16"/>
  <c r="CH159" i="16"/>
  <c r="CE159" i="16"/>
  <c r="CB159" i="16"/>
  <c r="BX159" i="16"/>
  <c r="BU159" i="16"/>
  <c r="BS159" i="16"/>
  <c r="BR159" i="16" s="1"/>
  <c r="BP159" i="16"/>
  <c r="BC159" i="16"/>
  <c r="AY159" i="16"/>
  <c r="AP159" i="16"/>
  <c r="AL159" i="16"/>
  <c r="AF159" i="16"/>
  <c r="Z159" i="16"/>
  <c r="V159" i="16"/>
  <c r="R159" i="16"/>
  <c r="O159" i="16"/>
  <c r="K159" i="16"/>
  <c r="E159" i="16"/>
  <c r="CU158" i="16"/>
  <c r="CO158" i="16"/>
  <c r="CQ158" i="16" s="1"/>
  <c r="CN158" i="16"/>
  <c r="CL158" i="16"/>
  <c r="CJ158" i="16"/>
  <c r="CH158" i="16"/>
  <c r="CE158" i="16"/>
  <c r="CB158" i="16"/>
  <c r="BX158" i="16"/>
  <c r="BU158" i="16"/>
  <c r="BS158" i="16"/>
  <c r="BR158" i="16" s="1"/>
  <c r="BP158" i="16"/>
  <c r="BC158" i="16"/>
  <c r="AY158" i="16"/>
  <c r="AP158" i="16"/>
  <c r="AL158" i="16"/>
  <c r="AF158" i="16"/>
  <c r="Z158" i="16"/>
  <c r="V158" i="16"/>
  <c r="R158" i="16"/>
  <c r="O158" i="16"/>
  <c r="K158" i="16"/>
  <c r="E158" i="16"/>
  <c r="CU157" i="16"/>
  <c r="CO157" i="16"/>
  <c r="CQ157" i="16" s="1"/>
  <c r="CN157" i="16"/>
  <c r="CL157" i="16"/>
  <c r="CJ157" i="16"/>
  <c r="CH157" i="16"/>
  <c r="CE157" i="16"/>
  <c r="CB157" i="16"/>
  <c r="BX157" i="16"/>
  <c r="BU157" i="16"/>
  <c r="BS157" i="16"/>
  <c r="BR157" i="16" s="1"/>
  <c r="BP157" i="16"/>
  <c r="BC157" i="16"/>
  <c r="AY157" i="16"/>
  <c r="AP157" i="16"/>
  <c r="AL157" i="16"/>
  <c r="AF157" i="16"/>
  <c r="Z157" i="16"/>
  <c r="V157" i="16"/>
  <c r="R157" i="16"/>
  <c r="O157" i="16"/>
  <c r="K157" i="16"/>
  <c r="E157" i="16"/>
  <c r="CU156" i="16"/>
  <c r="CO156" i="16"/>
  <c r="CQ156" i="16" s="1"/>
  <c r="CN156" i="16"/>
  <c r="CL156" i="16"/>
  <c r="CJ156" i="16"/>
  <c r="CH156" i="16"/>
  <c r="CE156" i="16"/>
  <c r="CB156" i="16"/>
  <c r="BX156" i="16"/>
  <c r="BU156" i="16"/>
  <c r="BS156" i="16"/>
  <c r="BR156" i="16" s="1"/>
  <c r="BP156" i="16"/>
  <c r="BC156" i="16"/>
  <c r="AY156" i="16"/>
  <c r="AP156" i="16"/>
  <c r="AL156" i="16"/>
  <c r="AF156" i="16"/>
  <c r="Z156" i="16"/>
  <c r="V156" i="16"/>
  <c r="R156" i="16"/>
  <c r="O156" i="16"/>
  <c r="K156" i="16"/>
  <c r="E156" i="16"/>
  <c r="CU155" i="16"/>
  <c r="CO155" i="16"/>
  <c r="CQ155" i="16" s="1"/>
  <c r="CN155" i="16"/>
  <c r="CL155" i="16"/>
  <c r="CJ155" i="16"/>
  <c r="CH155" i="16"/>
  <c r="CE155" i="16"/>
  <c r="CB155" i="16"/>
  <c r="BX155" i="16"/>
  <c r="BU155" i="16"/>
  <c r="BS155" i="16"/>
  <c r="BR155" i="16" s="1"/>
  <c r="BP155" i="16"/>
  <c r="BC155" i="16"/>
  <c r="AY155" i="16"/>
  <c r="AP155" i="16"/>
  <c r="AL155" i="16"/>
  <c r="AF155" i="16"/>
  <c r="Z155" i="16"/>
  <c r="V155" i="16"/>
  <c r="R155" i="16"/>
  <c r="O155" i="16"/>
  <c r="K155" i="16"/>
  <c r="E155" i="16"/>
  <c r="CU154" i="16"/>
  <c r="CO154" i="16"/>
  <c r="CQ154" i="16" s="1"/>
  <c r="CN154" i="16"/>
  <c r="CL154" i="16"/>
  <c r="CJ154" i="16"/>
  <c r="CH154" i="16"/>
  <c r="CE154" i="16"/>
  <c r="CB154" i="16"/>
  <c r="BX154" i="16"/>
  <c r="BU154" i="16"/>
  <c r="BS154" i="16"/>
  <c r="BR154" i="16" s="1"/>
  <c r="BP154" i="16"/>
  <c r="BC154" i="16"/>
  <c r="AY154" i="16"/>
  <c r="AP154" i="16"/>
  <c r="AL154" i="16"/>
  <c r="AF154" i="16"/>
  <c r="Z154" i="16"/>
  <c r="V154" i="16"/>
  <c r="R154" i="16"/>
  <c r="O154" i="16"/>
  <c r="K154" i="16"/>
  <c r="E154" i="16"/>
  <c r="CU153" i="16"/>
  <c r="CO153" i="16"/>
  <c r="CQ153" i="16" s="1"/>
  <c r="CN153" i="16"/>
  <c r="CL153" i="16"/>
  <c r="CJ153" i="16"/>
  <c r="CH153" i="16"/>
  <c r="CE153" i="16"/>
  <c r="CB153" i="16"/>
  <c r="BX153" i="16"/>
  <c r="BU153" i="16"/>
  <c r="BS153" i="16"/>
  <c r="BR153" i="16" s="1"/>
  <c r="BP153" i="16"/>
  <c r="BC153" i="16"/>
  <c r="AY153" i="16"/>
  <c r="AP153" i="16"/>
  <c r="AL153" i="16"/>
  <c r="AF153" i="16"/>
  <c r="Z153" i="16"/>
  <c r="V153" i="16"/>
  <c r="R153" i="16"/>
  <c r="O153" i="16"/>
  <c r="K153" i="16"/>
  <c r="E153" i="16"/>
  <c r="CU152" i="16"/>
  <c r="CO152" i="16"/>
  <c r="CQ152" i="16" s="1"/>
  <c r="CN152" i="16"/>
  <c r="CL152" i="16"/>
  <c r="CJ152" i="16"/>
  <c r="CH152" i="16"/>
  <c r="CE152" i="16"/>
  <c r="CB152" i="16"/>
  <c r="BX152" i="16"/>
  <c r="BU152" i="16"/>
  <c r="BS152" i="16"/>
  <c r="BR152" i="16" s="1"/>
  <c r="BP152" i="16"/>
  <c r="BC152" i="16"/>
  <c r="AY152" i="16"/>
  <c r="AP152" i="16"/>
  <c r="AL152" i="16"/>
  <c r="AF152" i="16"/>
  <c r="Z152" i="16"/>
  <c r="V152" i="16"/>
  <c r="R152" i="16"/>
  <c r="O152" i="16"/>
  <c r="K152" i="16"/>
  <c r="E152" i="16"/>
  <c r="CU151" i="16"/>
  <c r="CO151" i="16"/>
  <c r="CQ151" i="16" s="1"/>
  <c r="CN151" i="16"/>
  <c r="CL151" i="16"/>
  <c r="CJ151" i="16"/>
  <c r="CH151" i="16"/>
  <c r="CE151" i="16"/>
  <c r="CB151" i="16"/>
  <c r="BX151" i="16"/>
  <c r="BU151" i="16"/>
  <c r="BS151" i="16"/>
  <c r="BR151" i="16" s="1"/>
  <c r="BP151" i="16"/>
  <c r="BC151" i="16"/>
  <c r="AY151" i="16"/>
  <c r="AP151" i="16"/>
  <c r="AL151" i="16"/>
  <c r="AF151" i="16"/>
  <c r="Z151" i="16"/>
  <c r="V151" i="16"/>
  <c r="R151" i="16"/>
  <c r="O151" i="16"/>
  <c r="K151" i="16"/>
  <c r="E151" i="16"/>
  <c r="CU150" i="16"/>
  <c r="CO150" i="16"/>
  <c r="CQ150" i="16" s="1"/>
  <c r="CN150" i="16"/>
  <c r="CL150" i="16"/>
  <c r="CJ150" i="16"/>
  <c r="CH150" i="16"/>
  <c r="CE150" i="16"/>
  <c r="CB150" i="16"/>
  <c r="BX150" i="16"/>
  <c r="BU150" i="16"/>
  <c r="BS150" i="16"/>
  <c r="BR150" i="16" s="1"/>
  <c r="BP150" i="16"/>
  <c r="BC150" i="16"/>
  <c r="AY150" i="16"/>
  <c r="AP150" i="16"/>
  <c r="AL150" i="16"/>
  <c r="AF150" i="16"/>
  <c r="Z150" i="16"/>
  <c r="V150" i="16"/>
  <c r="R150" i="16"/>
  <c r="O150" i="16"/>
  <c r="K150" i="16"/>
  <c r="E150" i="16"/>
  <c r="CU149" i="16"/>
  <c r="CO149" i="16"/>
  <c r="CQ149" i="16" s="1"/>
  <c r="CN149" i="16"/>
  <c r="CL149" i="16"/>
  <c r="CJ149" i="16"/>
  <c r="CH149" i="16"/>
  <c r="CE149" i="16"/>
  <c r="CB149" i="16"/>
  <c r="BX149" i="16"/>
  <c r="BU149" i="16"/>
  <c r="BS149" i="16"/>
  <c r="BR149" i="16" s="1"/>
  <c r="BP149" i="16"/>
  <c r="BC149" i="16"/>
  <c r="AY149" i="16"/>
  <c r="AP149" i="16"/>
  <c r="AL149" i="16"/>
  <c r="AF149" i="16"/>
  <c r="Z149" i="16"/>
  <c r="V149" i="16"/>
  <c r="R149" i="16"/>
  <c r="O149" i="16"/>
  <c r="K149" i="16"/>
  <c r="E149" i="16"/>
  <c r="CU148" i="16"/>
  <c r="CO148" i="16"/>
  <c r="CQ148" i="16" s="1"/>
  <c r="CN148" i="16"/>
  <c r="CL148" i="16"/>
  <c r="CJ148" i="16"/>
  <c r="CH148" i="16"/>
  <c r="CE148" i="16"/>
  <c r="CB148" i="16"/>
  <c r="BX148" i="16"/>
  <c r="BU148" i="16"/>
  <c r="BS148" i="16"/>
  <c r="BR148" i="16" s="1"/>
  <c r="BP148" i="16"/>
  <c r="BC148" i="16"/>
  <c r="AY148" i="16"/>
  <c r="AP148" i="16"/>
  <c r="AL148" i="16"/>
  <c r="AF148" i="16"/>
  <c r="Z148" i="16"/>
  <c r="V148" i="16"/>
  <c r="R148" i="16"/>
  <c r="O148" i="16"/>
  <c r="K148" i="16"/>
  <c r="E148" i="16"/>
  <c r="CU147" i="16"/>
  <c r="CO147" i="16"/>
  <c r="CQ147" i="16" s="1"/>
  <c r="CN147" i="16"/>
  <c r="CL147" i="16"/>
  <c r="CJ147" i="16"/>
  <c r="CH147" i="16"/>
  <c r="CE147" i="16"/>
  <c r="CB147" i="16"/>
  <c r="BX147" i="16"/>
  <c r="BU147" i="16"/>
  <c r="BS147" i="16"/>
  <c r="BR147" i="16" s="1"/>
  <c r="BP147" i="16"/>
  <c r="BC147" i="16"/>
  <c r="AY147" i="16"/>
  <c r="AP147" i="16"/>
  <c r="AL147" i="16"/>
  <c r="AF147" i="16"/>
  <c r="Z147" i="16"/>
  <c r="V147" i="16"/>
  <c r="R147" i="16"/>
  <c r="O147" i="16"/>
  <c r="K147" i="16"/>
  <c r="E147" i="16"/>
  <c r="CU146" i="16"/>
  <c r="CO146" i="16"/>
  <c r="CQ146" i="16" s="1"/>
  <c r="CN146" i="16"/>
  <c r="CL146" i="16"/>
  <c r="CJ146" i="16"/>
  <c r="CH146" i="16"/>
  <c r="CE146" i="16"/>
  <c r="CB146" i="16"/>
  <c r="BX146" i="16"/>
  <c r="BU146" i="16"/>
  <c r="BS146" i="16"/>
  <c r="BR146" i="16" s="1"/>
  <c r="BP146" i="16"/>
  <c r="BC146" i="16"/>
  <c r="AY146" i="16"/>
  <c r="AP146" i="16"/>
  <c r="AL146" i="16"/>
  <c r="AF146" i="16"/>
  <c r="Z146" i="16"/>
  <c r="V146" i="16"/>
  <c r="R146" i="16"/>
  <c r="O146" i="16"/>
  <c r="K146" i="16"/>
  <c r="E146" i="16"/>
  <c r="CU145" i="16"/>
  <c r="CO145" i="16"/>
  <c r="CQ145" i="16" s="1"/>
  <c r="CN145" i="16"/>
  <c r="CL145" i="16"/>
  <c r="CJ145" i="16"/>
  <c r="CH145" i="16"/>
  <c r="CE145" i="16"/>
  <c r="CB145" i="16"/>
  <c r="BX145" i="16"/>
  <c r="BU145" i="16"/>
  <c r="BS145" i="16"/>
  <c r="BR145" i="16" s="1"/>
  <c r="BP145" i="16"/>
  <c r="BC145" i="16"/>
  <c r="AY145" i="16"/>
  <c r="AP145" i="16"/>
  <c r="AL145" i="16"/>
  <c r="AF145" i="16"/>
  <c r="Z145" i="16"/>
  <c r="V145" i="16"/>
  <c r="R145" i="16"/>
  <c r="O145" i="16"/>
  <c r="K145" i="16"/>
  <c r="E145" i="16"/>
  <c r="CU144" i="16"/>
  <c r="CO144" i="16"/>
  <c r="CQ144" i="16" s="1"/>
  <c r="CN144" i="16"/>
  <c r="CL144" i="16"/>
  <c r="CJ144" i="16"/>
  <c r="CH144" i="16"/>
  <c r="CE144" i="16"/>
  <c r="CB144" i="16"/>
  <c r="BX144" i="16"/>
  <c r="BU144" i="16"/>
  <c r="BS144" i="16"/>
  <c r="BR144" i="16" s="1"/>
  <c r="BP144" i="16"/>
  <c r="BC144" i="16"/>
  <c r="AY144" i="16"/>
  <c r="AP144" i="16"/>
  <c r="AL144" i="16"/>
  <c r="AF144" i="16"/>
  <c r="Z144" i="16"/>
  <c r="V144" i="16"/>
  <c r="R144" i="16"/>
  <c r="O144" i="16"/>
  <c r="K144" i="16"/>
  <c r="E144" i="16"/>
  <c r="CU143" i="16"/>
  <c r="CO143" i="16"/>
  <c r="CQ143" i="16" s="1"/>
  <c r="CN143" i="16"/>
  <c r="CL143" i="16"/>
  <c r="CJ143" i="16"/>
  <c r="CH143" i="16"/>
  <c r="CE143" i="16"/>
  <c r="CB143" i="16"/>
  <c r="BX143" i="16"/>
  <c r="BU143" i="16"/>
  <c r="BS143" i="16"/>
  <c r="BR143" i="16" s="1"/>
  <c r="BP143" i="16"/>
  <c r="BC143" i="16"/>
  <c r="AY143" i="16"/>
  <c r="AP143" i="16"/>
  <c r="AL143" i="16"/>
  <c r="AF143" i="16"/>
  <c r="Z143" i="16"/>
  <c r="V143" i="16"/>
  <c r="R143" i="16"/>
  <c r="O143" i="16"/>
  <c r="K143" i="16"/>
  <c r="E143" i="16"/>
  <c r="CU142" i="16"/>
  <c r="CO142" i="16"/>
  <c r="CQ142" i="16" s="1"/>
  <c r="CN142" i="16"/>
  <c r="CL142" i="16"/>
  <c r="CJ142" i="16"/>
  <c r="CH142" i="16"/>
  <c r="CE142" i="16"/>
  <c r="CB142" i="16"/>
  <c r="BX142" i="16"/>
  <c r="BU142" i="16"/>
  <c r="BS142" i="16"/>
  <c r="BR142" i="16" s="1"/>
  <c r="BP142" i="16"/>
  <c r="BC142" i="16"/>
  <c r="AY142" i="16"/>
  <c r="AP142" i="16"/>
  <c r="AL142" i="16"/>
  <c r="AF142" i="16"/>
  <c r="Z142" i="16"/>
  <c r="V142" i="16"/>
  <c r="R142" i="16"/>
  <c r="O142" i="16"/>
  <c r="K142" i="16"/>
  <c r="E142" i="16"/>
  <c r="CU141" i="16"/>
  <c r="CO141" i="16"/>
  <c r="CQ141" i="16" s="1"/>
  <c r="CN141" i="16"/>
  <c r="CL141" i="16"/>
  <c r="CJ141" i="16"/>
  <c r="CH141" i="16"/>
  <c r="CE141" i="16"/>
  <c r="CB141" i="16"/>
  <c r="BX141" i="16"/>
  <c r="BU141" i="16"/>
  <c r="BS141" i="16"/>
  <c r="BR141" i="16" s="1"/>
  <c r="BP141" i="16"/>
  <c r="BC141" i="16"/>
  <c r="AY141" i="16"/>
  <c r="AP141" i="16"/>
  <c r="AL141" i="16"/>
  <c r="AF141" i="16"/>
  <c r="Z141" i="16"/>
  <c r="V141" i="16"/>
  <c r="R141" i="16"/>
  <c r="O141" i="16"/>
  <c r="K141" i="16"/>
  <c r="E141" i="16"/>
  <c r="CU140" i="16"/>
  <c r="CO140" i="16"/>
  <c r="CQ140" i="16" s="1"/>
  <c r="CN140" i="16"/>
  <c r="CL140" i="16"/>
  <c r="CJ140" i="16"/>
  <c r="CH140" i="16"/>
  <c r="CE140" i="16"/>
  <c r="CB140" i="16"/>
  <c r="BX140" i="16"/>
  <c r="BU140" i="16"/>
  <c r="BS140" i="16"/>
  <c r="BR140" i="16" s="1"/>
  <c r="BP140" i="16"/>
  <c r="BC140" i="16"/>
  <c r="AY140" i="16"/>
  <c r="AP140" i="16"/>
  <c r="AL140" i="16"/>
  <c r="AF140" i="16"/>
  <c r="Z140" i="16"/>
  <c r="V140" i="16"/>
  <c r="R140" i="16"/>
  <c r="O140" i="16"/>
  <c r="K140" i="16"/>
  <c r="E140" i="16"/>
  <c r="CU139" i="16"/>
  <c r="CO139" i="16"/>
  <c r="CQ139" i="16" s="1"/>
  <c r="CN139" i="16"/>
  <c r="CL139" i="16"/>
  <c r="CJ139" i="16"/>
  <c r="CH139" i="16"/>
  <c r="CE139" i="16"/>
  <c r="CB139" i="16"/>
  <c r="BX139" i="16"/>
  <c r="BU139" i="16"/>
  <c r="BS139" i="16"/>
  <c r="BR139" i="16" s="1"/>
  <c r="BP139" i="16"/>
  <c r="BC139" i="16"/>
  <c r="AY139" i="16"/>
  <c r="AP139" i="16"/>
  <c r="AL139" i="16"/>
  <c r="AF139" i="16"/>
  <c r="Z139" i="16"/>
  <c r="V139" i="16"/>
  <c r="R139" i="16"/>
  <c r="O139" i="16"/>
  <c r="K139" i="16"/>
  <c r="E139" i="16"/>
  <c r="CU138" i="16"/>
  <c r="CO138" i="16"/>
  <c r="CQ138" i="16" s="1"/>
  <c r="CN138" i="16"/>
  <c r="CL138" i="16"/>
  <c r="CJ138" i="16"/>
  <c r="CH138" i="16"/>
  <c r="CE138" i="16"/>
  <c r="CB138" i="16"/>
  <c r="BX138" i="16"/>
  <c r="BU138" i="16"/>
  <c r="BS138" i="16"/>
  <c r="BR138" i="16" s="1"/>
  <c r="BP138" i="16"/>
  <c r="BC138" i="16"/>
  <c r="AY138" i="16"/>
  <c r="AP138" i="16"/>
  <c r="AL138" i="16"/>
  <c r="AF138" i="16"/>
  <c r="Z138" i="16"/>
  <c r="V138" i="16"/>
  <c r="R138" i="16"/>
  <c r="O138" i="16"/>
  <c r="K138" i="16"/>
  <c r="E138" i="16"/>
  <c r="CU137" i="16"/>
  <c r="CO137" i="16"/>
  <c r="CQ137" i="16" s="1"/>
  <c r="CN137" i="16"/>
  <c r="CL137" i="16"/>
  <c r="CJ137" i="16"/>
  <c r="CH137" i="16"/>
  <c r="CE137" i="16"/>
  <c r="CB137" i="16"/>
  <c r="BX137" i="16"/>
  <c r="BU137" i="16"/>
  <c r="BS137" i="16"/>
  <c r="BR137" i="16" s="1"/>
  <c r="BP137" i="16"/>
  <c r="BC137" i="16"/>
  <c r="AY137" i="16"/>
  <c r="AP137" i="16"/>
  <c r="AL137" i="16"/>
  <c r="AF137" i="16"/>
  <c r="Z137" i="16"/>
  <c r="V137" i="16"/>
  <c r="R137" i="16"/>
  <c r="O137" i="16"/>
  <c r="K137" i="16"/>
  <c r="E137" i="16"/>
  <c r="CU136" i="16"/>
  <c r="CO136" i="16"/>
  <c r="CQ136" i="16" s="1"/>
  <c r="CN136" i="16"/>
  <c r="CL136" i="16"/>
  <c r="CJ136" i="16"/>
  <c r="CH136" i="16"/>
  <c r="CE136" i="16"/>
  <c r="CB136" i="16"/>
  <c r="BX136" i="16"/>
  <c r="BU136" i="16"/>
  <c r="BS136" i="16"/>
  <c r="BR136" i="16" s="1"/>
  <c r="BP136" i="16"/>
  <c r="BC136" i="16"/>
  <c r="AY136" i="16"/>
  <c r="AP136" i="16"/>
  <c r="AL136" i="16"/>
  <c r="AF136" i="16"/>
  <c r="Z136" i="16"/>
  <c r="V136" i="16"/>
  <c r="R136" i="16"/>
  <c r="O136" i="16"/>
  <c r="K136" i="16"/>
  <c r="E136" i="16"/>
  <c r="CU135" i="16"/>
  <c r="CO135" i="16"/>
  <c r="CQ135" i="16" s="1"/>
  <c r="CN135" i="16"/>
  <c r="CL135" i="16"/>
  <c r="CJ135" i="16"/>
  <c r="CH135" i="16"/>
  <c r="CE135" i="16"/>
  <c r="CB135" i="16"/>
  <c r="BX135" i="16"/>
  <c r="BU135" i="16"/>
  <c r="BS135" i="16"/>
  <c r="BR135" i="16" s="1"/>
  <c r="BP135" i="16"/>
  <c r="BC135" i="16"/>
  <c r="AY135" i="16"/>
  <c r="AP135" i="16"/>
  <c r="AL135" i="16"/>
  <c r="AF135" i="16"/>
  <c r="Z135" i="16"/>
  <c r="V135" i="16"/>
  <c r="R135" i="16"/>
  <c r="O135" i="16"/>
  <c r="K135" i="16"/>
  <c r="E135" i="16"/>
  <c r="CU134" i="16"/>
  <c r="CO134" i="16"/>
  <c r="CQ134" i="16" s="1"/>
  <c r="CN134" i="16"/>
  <c r="CL134" i="16"/>
  <c r="CJ134" i="16"/>
  <c r="CH134" i="16"/>
  <c r="CE134" i="16"/>
  <c r="CB134" i="16"/>
  <c r="BX134" i="16"/>
  <c r="BU134" i="16"/>
  <c r="BS134" i="16"/>
  <c r="BR134" i="16" s="1"/>
  <c r="BP134" i="16"/>
  <c r="BC134" i="16"/>
  <c r="AY134" i="16"/>
  <c r="AP134" i="16"/>
  <c r="AL134" i="16"/>
  <c r="AF134" i="16"/>
  <c r="Z134" i="16"/>
  <c r="V134" i="16"/>
  <c r="R134" i="16"/>
  <c r="O134" i="16"/>
  <c r="K134" i="16"/>
  <c r="E134" i="16"/>
  <c r="CU133" i="16"/>
  <c r="CO133" i="16"/>
  <c r="CQ133" i="16" s="1"/>
  <c r="CN133" i="16"/>
  <c r="CL133" i="16"/>
  <c r="CJ133" i="16"/>
  <c r="CH133" i="16"/>
  <c r="CE133" i="16"/>
  <c r="CB133" i="16"/>
  <c r="BX133" i="16"/>
  <c r="BU133" i="16"/>
  <c r="BS133" i="16"/>
  <c r="BR133" i="16" s="1"/>
  <c r="BP133" i="16"/>
  <c r="BC133" i="16"/>
  <c r="AY133" i="16"/>
  <c r="AP133" i="16"/>
  <c r="AL133" i="16"/>
  <c r="AF133" i="16"/>
  <c r="Z133" i="16"/>
  <c r="V133" i="16"/>
  <c r="R133" i="16"/>
  <c r="O133" i="16"/>
  <c r="K133" i="16"/>
  <c r="E133" i="16"/>
  <c r="CU132" i="16"/>
  <c r="CO132" i="16"/>
  <c r="CQ132" i="16" s="1"/>
  <c r="CN132" i="16"/>
  <c r="CL132" i="16"/>
  <c r="CJ132" i="16"/>
  <c r="CH132" i="16"/>
  <c r="CE132" i="16"/>
  <c r="CB132" i="16"/>
  <c r="BX132" i="16"/>
  <c r="BU132" i="16"/>
  <c r="BS132" i="16"/>
  <c r="BR132" i="16" s="1"/>
  <c r="BP132" i="16"/>
  <c r="BC132" i="16"/>
  <c r="AY132" i="16"/>
  <c r="AP132" i="16"/>
  <c r="AL132" i="16"/>
  <c r="AF132" i="16"/>
  <c r="Z132" i="16"/>
  <c r="V132" i="16"/>
  <c r="R132" i="16"/>
  <c r="O132" i="16"/>
  <c r="K132" i="16"/>
  <c r="E132" i="16"/>
  <c r="CU131" i="16"/>
  <c r="CO131" i="16"/>
  <c r="CQ131" i="16" s="1"/>
  <c r="CN131" i="16"/>
  <c r="CL131" i="16"/>
  <c r="CJ131" i="16"/>
  <c r="CH131" i="16"/>
  <c r="CE131" i="16"/>
  <c r="CB131" i="16"/>
  <c r="BX131" i="16"/>
  <c r="BU131" i="16"/>
  <c r="BS131" i="16"/>
  <c r="BR131" i="16" s="1"/>
  <c r="BP131" i="16"/>
  <c r="BC131" i="16"/>
  <c r="AY131" i="16"/>
  <c r="AP131" i="16"/>
  <c r="AL131" i="16"/>
  <c r="AF131" i="16"/>
  <c r="Z131" i="16"/>
  <c r="V131" i="16"/>
  <c r="R131" i="16"/>
  <c r="N131" i="16" s="1"/>
  <c r="K131" i="16"/>
  <c r="E131" i="16"/>
  <c r="CU130" i="16"/>
  <c r="CO130" i="16"/>
  <c r="CQ130" i="16" s="1"/>
  <c r="CN130" i="16"/>
  <c r="CL130" i="16"/>
  <c r="CJ130" i="16"/>
  <c r="CH130" i="16"/>
  <c r="CE130" i="16"/>
  <c r="CB130" i="16"/>
  <c r="BX130" i="16"/>
  <c r="BU130" i="16"/>
  <c r="BS130" i="16"/>
  <c r="BR130" i="16" s="1"/>
  <c r="BP130" i="16"/>
  <c r="BC130" i="16"/>
  <c r="AY130" i="16"/>
  <c r="AP130" i="16"/>
  <c r="AL130" i="16"/>
  <c r="AF130" i="16"/>
  <c r="Z130" i="16"/>
  <c r="V130" i="16"/>
  <c r="R130" i="16"/>
  <c r="O130" i="16"/>
  <c r="K130" i="16"/>
  <c r="E130" i="16"/>
  <c r="CU129" i="16"/>
  <c r="CO129" i="16"/>
  <c r="CQ129" i="16" s="1"/>
  <c r="CN129" i="16"/>
  <c r="CL129" i="16"/>
  <c r="CJ129" i="16"/>
  <c r="CH129" i="16"/>
  <c r="CE129" i="16"/>
  <c r="CB129" i="16"/>
  <c r="BX129" i="16"/>
  <c r="BU129" i="16"/>
  <c r="BS129" i="16"/>
  <c r="BR129" i="16" s="1"/>
  <c r="BP129" i="16"/>
  <c r="BC129" i="16"/>
  <c r="AY129" i="16"/>
  <c r="AP129" i="16"/>
  <c r="AL129" i="16"/>
  <c r="AF129" i="16"/>
  <c r="Z129" i="16"/>
  <c r="V129" i="16"/>
  <c r="R129" i="16"/>
  <c r="O129" i="16"/>
  <c r="K129" i="16"/>
  <c r="E129" i="16"/>
  <c r="CU128" i="16"/>
  <c r="CO128" i="16"/>
  <c r="CQ128" i="16" s="1"/>
  <c r="CN128" i="16"/>
  <c r="CL128" i="16"/>
  <c r="CJ128" i="16"/>
  <c r="CH128" i="16"/>
  <c r="CE128" i="16"/>
  <c r="CB128" i="16"/>
  <c r="BX128" i="16"/>
  <c r="BU128" i="16"/>
  <c r="BS128" i="16"/>
  <c r="BR128" i="16" s="1"/>
  <c r="BP128" i="16"/>
  <c r="BC128" i="16"/>
  <c r="AY128" i="16"/>
  <c r="AP128" i="16"/>
  <c r="AL128" i="16"/>
  <c r="AF128" i="16"/>
  <c r="Z128" i="16"/>
  <c r="V128" i="16"/>
  <c r="R128" i="16"/>
  <c r="O128" i="16"/>
  <c r="K128" i="16"/>
  <c r="E128" i="16"/>
  <c r="CU127" i="16"/>
  <c r="CO127" i="16"/>
  <c r="CQ127" i="16" s="1"/>
  <c r="CN127" i="16"/>
  <c r="CL127" i="16"/>
  <c r="CJ127" i="16"/>
  <c r="CH127" i="16"/>
  <c r="CE127" i="16"/>
  <c r="CB127" i="16"/>
  <c r="BX127" i="16"/>
  <c r="BU127" i="16"/>
  <c r="BS127" i="16"/>
  <c r="BR127" i="16" s="1"/>
  <c r="BP127" i="16"/>
  <c r="BC127" i="16"/>
  <c r="AY127" i="16"/>
  <c r="AP127" i="16"/>
  <c r="AL127" i="16"/>
  <c r="AF127" i="16"/>
  <c r="Z127" i="16"/>
  <c r="V127" i="16"/>
  <c r="R127" i="16"/>
  <c r="O127" i="16"/>
  <c r="K127" i="16"/>
  <c r="E127" i="16"/>
  <c r="CU126" i="16"/>
  <c r="CO126" i="16"/>
  <c r="CQ126" i="16" s="1"/>
  <c r="CN126" i="16"/>
  <c r="CL126" i="16"/>
  <c r="CJ126" i="16"/>
  <c r="CH126" i="16"/>
  <c r="CE126" i="16"/>
  <c r="CB126" i="16"/>
  <c r="BX126" i="16"/>
  <c r="BU126" i="16"/>
  <c r="BS126" i="16"/>
  <c r="BR126" i="16" s="1"/>
  <c r="BP126" i="16"/>
  <c r="BC126" i="16"/>
  <c r="AY126" i="16"/>
  <c r="AP126" i="16"/>
  <c r="AL126" i="16"/>
  <c r="AF126" i="16"/>
  <c r="Z126" i="16"/>
  <c r="V126" i="16"/>
  <c r="R126" i="16"/>
  <c r="O126" i="16"/>
  <c r="K126" i="16"/>
  <c r="E126" i="16"/>
  <c r="CU125" i="16"/>
  <c r="CO125" i="16"/>
  <c r="CQ125" i="16" s="1"/>
  <c r="CN125" i="16"/>
  <c r="CL125" i="16"/>
  <c r="CJ125" i="16"/>
  <c r="CH125" i="16"/>
  <c r="CE125" i="16"/>
  <c r="CB125" i="16"/>
  <c r="BX125" i="16"/>
  <c r="BU125" i="16"/>
  <c r="BS125" i="16"/>
  <c r="BR125" i="16" s="1"/>
  <c r="BP125" i="16"/>
  <c r="BC125" i="16"/>
  <c r="AY125" i="16"/>
  <c r="AP125" i="16"/>
  <c r="AL125" i="16"/>
  <c r="AF125" i="16"/>
  <c r="Z125" i="16"/>
  <c r="V125" i="16"/>
  <c r="R125" i="16"/>
  <c r="O125" i="16"/>
  <c r="K125" i="16"/>
  <c r="E125" i="16"/>
  <c r="CU124" i="16"/>
  <c r="CO124" i="16"/>
  <c r="CQ124" i="16" s="1"/>
  <c r="CN124" i="16"/>
  <c r="CL124" i="16"/>
  <c r="CJ124" i="16"/>
  <c r="CH124" i="16"/>
  <c r="CE124" i="16"/>
  <c r="CB124" i="16"/>
  <c r="BX124" i="16"/>
  <c r="BU124" i="16"/>
  <c r="BS124" i="16"/>
  <c r="BR124" i="16" s="1"/>
  <c r="BP124" i="16"/>
  <c r="BC124" i="16"/>
  <c r="AY124" i="16"/>
  <c r="AP124" i="16"/>
  <c r="AL124" i="16"/>
  <c r="AF124" i="16"/>
  <c r="Z124" i="16"/>
  <c r="V124" i="16"/>
  <c r="R124" i="16"/>
  <c r="O124" i="16"/>
  <c r="K124" i="16"/>
  <c r="E124" i="16"/>
  <c r="CU123" i="16"/>
  <c r="CO123" i="16"/>
  <c r="CQ123" i="16" s="1"/>
  <c r="CN123" i="16"/>
  <c r="CL123" i="16"/>
  <c r="CJ123" i="16"/>
  <c r="CH123" i="16"/>
  <c r="CE123" i="16"/>
  <c r="CB123" i="16"/>
  <c r="BX123" i="16"/>
  <c r="BU123" i="16"/>
  <c r="BS123" i="16"/>
  <c r="BR123" i="16" s="1"/>
  <c r="BP123" i="16"/>
  <c r="BC123" i="16"/>
  <c r="AY123" i="16"/>
  <c r="AP123" i="16"/>
  <c r="AL123" i="16"/>
  <c r="AF123" i="16"/>
  <c r="Z123" i="16"/>
  <c r="V123" i="16"/>
  <c r="R123" i="16"/>
  <c r="O123" i="16"/>
  <c r="K123" i="16"/>
  <c r="E123" i="16"/>
  <c r="CU122" i="16"/>
  <c r="CO122" i="16"/>
  <c r="CQ122" i="16" s="1"/>
  <c r="CN122" i="16"/>
  <c r="CL122" i="16"/>
  <c r="CJ122" i="16"/>
  <c r="CH122" i="16"/>
  <c r="CE122" i="16"/>
  <c r="CB122" i="16"/>
  <c r="BX122" i="16"/>
  <c r="BU122" i="16"/>
  <c r="BS122" i="16"/>
  <c r="BR122" i="16" s="1"/>
  <c r="BP122" i="16"/>
  <c r="BC122" i="16"/>
  <c r="AY122" i="16"/>
  <c r="AP122" i="16"/>
  <c r="AL122" i="16"/>
  <c r="AF122" i="16"/>
  <c r="Z122" i="16"/>
  <c r="V122" i="16"/>
  <c r="R122" i="16"/>
  <c r="O122" i="16"/>
  <c r="K122" i="16"/>
  <c r="E122" i="16"/>
  <c r="CU121" i="16"/>
  <c r="CO121" i="16"/>
  <c r="CQ121" i="16" s="1"/>
  <c r="CN121" i="16"/>
  <c r="CL121" i="16"/>
  <c r="CJ121" i="16"/>
  <c r="CH121" i="16"/>
  <c r="CE121" i="16"/>
  <c r="CB121" i="16"/>
  <c r="BX121" i="16"/>
  <c r="BU121" i="16"/>
  <c r="BS121" i="16"/>
  <c r="BR121" i="16" s="1"/>
  <c r="BP121" i="16"/>
  <c r="BC121" i="16"/>
  <c r="AY121" i="16"/>
  <c r="AP121" i="16"/>
  <c r="AL121" i="16"/>
  <c r="AF121" i="16"/>
  <c r="Z121" i="16"/>
  <c r="V121" i="16"/>
  <c r="R121" i="16"/>
  <c r="O121" i="16"/>
  <c r="K121" i="16"/>
  <c r="E121" i="16"/>
  <c r="CU120" i="16"/>
  <c r="CO120" i="16"/>
  <c r="CQ120" i="16" s="1"/>
  <c r="CN120" i="16"/>
  <c r="CL120" i="16"/>
  <c r="CJ120" i="16"/>
  <c r="CH120" i="16"/>
  <c r="CE120" i="16"/>
  <c r="CB120" i="16"/>
  <c r="BX120" i="16"/>
  <c r="BU120" i="16"/>
  <c r="BS120" i="16"/>
  <c r="BR120" i="16" s="1"/>
  <c r="BP120" i="16"/>
  <c r="BC120" i="16"/>
  <c r="AY120" i="16"/>
  <c r="AP120" i="16"/>
  <c r="AL120" i="16"/>
  <c r="AF120" i="16"/>
  <c r="Z120" i="16"/>
  <c r="V120" i="16"/>
  <c r="R120" i="16"/>
  <c r="O120" i="16"/>
  <c r="K120" i="16"/>
  <c r="E120" i="16"/>
  <c r="CU119" i="16"/>
  <c r="CO119" i="16"/>
  <c r="CQ119" i="16" s="1"/>
  <c r="CN119" i="16"/>
  <c r="CL119" i="16"/>
  <c r="CJ119" i="16"/>
  <c r="CH119" i="16"/>
  <c r="CE119" i="16"/>
  <c r="CB119" i="16"/>
  <c r="BX119" i="16"/>
  <c r="BU119" i="16"/>
  <c r="BS119" i="16"/>
  <c r="BR119" i="16" s="1"/>
  <c r="BP119" i="16"/>
  <c r="BC119" i="16"/>
  <c r="AY119" i="16"/>
  <c r="AP119" i="16"/>
  <c r="AL119" i="16"/>
  <c r="AF119" i="16"/>
  <c r="Z119" i="16"/>
  <c r="V119" i="16"/>
  <c r="R119" i="16"/>
  <c r="O119" i="16"/>
  <c r="K119" i="16"/>
  <c r="E119" i="16"/>
  <c r="CU118" i="16"/>
  <c r="CO118" i="16"/>
  <c r="CQ118" i="16" s="1"/>
  <c r="CN118" i="16"/>
  <c r="CL118" i="16"/>
  <c r="CJ118" i="16"/>
  <c r="CH118" i="16"/>
  <c r="CE118" i="16"/>
  <c r="CB118" i="16"/>
  <c r="BX118" i="16"/>
  <c r="BU118" i="16"/>
  <c r="BS118" i="16"/>
  <c r="BR118" i="16" s="1"/>
  <c r="BP118" i="16"/>
  <c r="BC118" i="16"/>
  <c r="AY118" i="16"/>
  <c r="AP118" i="16"/>
  <c r="AL118" i="16"/>
  <c r="AF118" i="16"/>
  <c r="Z118" i="16"/>
  <c r="V118" i="16"/>
  <c r="R118" i="16"/>
  <c r="O118" i="16"/>
  <c r="K118" i="16"/>
  <c r="E118" i="16"/>
  <c r="CU117" i="16"/>
  <c r="CO117" i="16"/>
  <c r="CQ117" i="16" s="1"/>
  <c r="CN117" i="16"/>
  <c r="CL117" i="16"/>
  <c r="CJ117" i="16"/>
  <c r="CH117" i="16"/>
  <c r="CE117" i="16"/>
  <c r="CB117" i="16"/>
  <c r="BX117" i="16"/>
  <c r="BU117" i="16"/>
  <c r="BS117" i="16"/>
  <c r="BR117" i="16" s="1"/>
  <c r="BP117" i="16"/>
  <c r="BC117" i="16"/>
  <c r="AY117" i="16"/>
  <c r="AP117" i="16"/>
  <c r="AL117" i="16"/>
  <c r="AF117" i="16"/>
  <c r="Z117" i="16"/>
  <c r="V117" i="16"/>
  <c r="R117" i="16"/>
  <c r="O117" i="16"/>
  <c r="K117" i="16"/>
  <c r="E117" i="16"/>
  <c r="CU116" i="16"/>
  <c r="CO116" i="16"/>
  <c r="CQ116" i="16" s="1"/>
  <c r="CN116" i="16"/>
  <c r="CL116" i="16"/>
  <c r="CJ116" i="16"/>
  <c r="CH116" i="16"/>
  <c r="CE116" i="16"/>
  <c r="CB116" i="16"/>
  <c r="BX116" i="16"/>
  <c r="BU116" i="16"/>
  <c r="BS116" i="16"/>
  <c r="BR116" i="16" s="1"/>
  <c r="BP116" i="16"/>
  <c r="BC116" i="16"/>
  <c r="AY116" i="16"/>
  <c r="AP116" i="16"/>
  <c r="AL116" i="16"/>
  <c r="AF116" i="16"/>
  <c r="Z116" i="16"/>
  <c r="V116" i="16"/>
  <c r="R116" i="16"/>
  <c r="O116" i="16"/>
  <c r="K116" i="16"/>
  <c r="E116" i="16"/>
  <c r="CU115" i="16"/>
  <c r="CO115" i="16"/>
  <c r="CQ115" i="16" s="1"/>
  <c r="CN115" i="16"/>
  <c r="CL115" i="16"/>
  <c r="CJ115" i="16"/>
  <c r="CH115" i="16"/>
  <c r="CE115" i="16"/>
  <c r="CB115" i="16"/>
  <c r="BX115" i="16"/>
  <c r="BU115" i="16"/>
  <c r="BS115" i="16"/>
  <c r="BR115" i="16" s="1"/>
  <c r="BP115" i="16"/>
  <c r="BC115" i="16"/>
  <c r="AY115" i="16"/>
  <c r="AP115" i="16"/>
  <c r="AL115" i="16"/>
  <c r="AF115" i="16"/>
  <c r="Z115" i="16"/>
  <c r="V115" i="16"/>
  <c r="R115" i="16"/>
  <c r="O115" i="16"/>
  <c r="K115" i="16"/>
  <c r="E115" i="16"/>
  <c r="CU114" i="16"/>
  <c r="CO114" i="16"/>
  <c r="CQ114" i="16" s="1"/>
  <c r="CN114" i="16"/>
  <c r="CL114" i="16"/>
  <c r="CJ114" i="16"/>
  <c r="CH114" i="16"/>
  <c r="CE114" i="16"/>
  <c r="CB114" i="16"/>
  <c r="BX114" i="16"/>
  <c r="BU114" i="16"/>
  <c r="BS114" i="16"/>
  <c r="BR114" i="16" s="1"/>
  <c r="BP114" i="16"/>
  <c r="BC114" i="16"/>
  <c r="AY114" i="16"/>
  <c r="AP114" i="16"/>
  <c r="AL114" i="16"/>
  <c r="AF114" i="16"/>
  <c r="Z114" i="16"/>
  <c r="V114" i="16"/>
  <c r="R114" i="16"/>
  <c r="O114" i="16"/>
  <c r="K114" i="16"/>
  <c r="E114" i="16"/>
  <c r="CU113" i="16"/>
  <c r="CO113" i="16"/>
  <c r="CQ113" i="16" s="1"/>
  <c r="CN113" i="16"/>
  <c r="CL113" i="16"/>
  <c r="CJ113" i="16"/>
  <c r="CH113" i="16"/>
  <c r="CE113" i="16"/>
  <c r="CB113" i="16"/>
  <c r="BX113" i="16"/>
  <c r="BU113" i="16"/>
  <c r="BS113" i="16"/>
  <c r="BR113" i="16" s="1"/>
  <c r="BP113" i="16"/>
  <c r="BC113" i="16"/>
  <c r="AY113" i="16"/>
  <c r="AP113" i="16"/>
  <c r="AL113" i="16"/>
  <c r="AF113" i="16"/>
  <c r="Z113" i="16"/>
  <c r="V113" i="16"/>
  <c r="R113" i="16"/>
  <c r="O113" i="16"/>
  <c r="K113" i="16"/>
  <c r="E113" i="16"/>
  <c r="CU112" i="16"/>
  <c r="CO112" i="16"/>
  <c r="CQ112" i="16" s="1"/>
  <c r="CN112" i="16"/>
  <c r="CL112" i="16"/>
  <c r="CJ112" i="16"/>
  <c r="CH112" i="16"/>
  <c r="CE112" i="16"/>
  <c r="CB112" i="16"/>
  <c r="BX112" i="16"/>
  <c r="BU112" i="16"/>
  <c r="BS112" i="16"/>
  <c r="BR112" i="16" s="1"/>
  <c r="BP112" i="16"/>
  <c r="BC112" i="16"/>
  <c r="AY112" i="16"/>
  <c r="AP112" i="16"/>
  <c r="AL112" i="16"/>
  <c r="AF112" i="16"/>
  <c r="Z112" i="16"/>
  <c r="V112" i="16"/>
  <c r="R112" i="16"/>
  <c r="O112" i="16"/>
  <c r="K112" i="16"/>
  <c r="E112" i="16"/>
  <c r="CU111" i="16"/>
  <c r="CO111" i="16"/>
  <c r="CQ111" i="16" s="1"/>
  <c r="CN111" i="16"/>
  <c r="CL111" i="16"/>
  <c r="CJ111" i="16"/>
  <c r="CH111" i="16"/>
  <c r="CE111" i="16"/>
  <c r="CB111" i="16"/>
  <c r="BX111" i="16"/>
  <c r="BU111" i="16"/>
  <c r="BS111" i="16"/>
  <c r="BR111" i="16" s="1"/>
  <c r="BP111" i="16"/>
  <c r="BC111" i="16"/>
  <c r="AY111" i="16"/>
  <c r="AP111" i="16"/>
  <c r="AL111" i="16"/>
  <c r="AF111" i="16"/>
  <c r="Z111" i="16"/>
  <c r="V111" i="16"/>
  <c r="R111" i="16"/>
  <c r="O111" i="16"/>
  <c r="K111" i="16"/>
  <c r="E111" i="16"/>
  <c r="CU110" i="16"/>
  <c r="CO110" i="16"/>
  <c r="CQ110" i="16" s="1"/>
  <c r="CN110" i="16"/>
  <c r="CL110" i="16"/>
  <c r="CJ110" i="16"/>
  <c r="CH110" i="16"/>
  <c r="CE110" i="16"/>
  <c r="CB110" i="16"/>
  <c r="BX110" i="16"/>
  <c r="BU110" i="16"/>
  <c r="BS110" i="16"/>
  <c r="BR110" i="16" s="1"/>
  <c r="BP110" i="16"/>
  <c r="BC110" i="16"/>
  <c r="AY110" i="16"/>
  <c r="AP110" i="16"/>
  <c r="AL110" i="16"/>
  <c r="AF110" i="16"/>
  <c r="Z110" i="16"/>
  <c r="V110" i="16"/>
  <c r="R110" i="16"/>
  <c r="O110" i="16"/>
  <c r="K110" i="16"/>
  <c r="E110" i="16"/>
  <c r="CU109" i="16"/>
  <c r="CO109" i="16"/>
  <c r="CQ109" i="16" s="1"/>
  <c r="CN109" i="16"/>
  <c r="CL109" i="16"/>
  <c r="CJ109" i="16"/>
  <c r="CH109" i="16"/>
  <c r="CE109" i="16"/>
  <c r="CB109" i="16"/>
  <c r="BX109" i="16"/>
  <c r="BU109" i="16"/>
  <c r="BS109" i="16"/>
  <c r="BR109" i="16" s="1"/>
  <c r="BP109" i="16"/>
  <c r="BC109" i="16"/>
  <c r="AY109" i="16"/>
  <c r="AP109" i="16"/>
  <c r="AL109" i="16"/>
  <c r="AF109" i="16"/>
  <c r="Z109" i="16"/>
  <c r="V109" i="16"/>
  <c r="R109" i="16"/>
  <c r="O109" i="16"/>
  <c r="K109" i="16"/>
  <c r="E109" i="16"/>
  <c r="CU108" i="16"/>
  <c r="CO108" i="16"/>
  <c r="CQ108" i="16" s="1"/>
  <c r="CN108" i="16"/>
  <c r="CL108" i="16"/>
  <c r="CJ108" i="16"/>
  <c r="CH108" i="16"/>
  <c r="CE108" i="16"/>
  <c r="CB108" i="16"/>
  <c r="BX108" i="16"/>
  <c r="BU108" i="16"/>
  <c r="BS108" i="16"/>
  <c r="BR108" i="16" s="1"/>
  <c r="BP108" i="16"/>
  <c r="BC108" i="16"/>
  <c r="AY108" i="16"/>
  <c r="AP108" i="16"/>
  <c r="AL108" i="16"/>
  <c r="AF108" i="16"/>
  <c r="Z108" i="16"/>
  <c r="V108" i="16"/>
  <c r="R108" i="16"/>
  <c r="O108" i="16"/>
  <c r="K108" i="16"/>
  <c r="E108" i="16"/>
  <c r="CU107" i="16"/>
  <c r="CO107" i="16"/>
  <c r="CQ107" i="16" s="1"/>
  <c r="CN107" i="16"/>
  <c r="CL107" i="16"/>
  <c r="CJ107" i="16"/>
  <c r="CH107" i="16"/>
  <c r="CE107" i="16"/>
  <c r="CB107" i="16"/>
  <c r="BX107" i="16"/>
  <c r="BU107" i="16"/>
  <c r="BS107" i="16"/>
  <c r="BR107" i="16" s="1"/>
  <c r="BP107" i="16"/>
  <c r="BC107" i="16"/>
  <c r="AY107" i="16"/>
  <c r="AP107" i="16"/>
  <c r="AL107" i="16"/>
  <c r="AF107" i="16"/>
  <c r="Z107" i="16"/>
  <c r="V107" i="16"/>
  <c r="R107" i="16"/>
  <c r="O107" i="16"/>
  <c r="K107" i="16"/>
  <c r="E107" i="16"/>
  <c r="CU106" i="16"/>
  <c r="CO106" i="16"/>
  <c r="CQ106" i="16" s="1"/>
  <c r="CN106" i="16"/>
  <c r="CL106" i="16"/>
  <c r="CJ106" i="16"/>
  <c r="CH106" i="16"/>
  <c r="CE106" i="16"/>
  <c r="CB106" i="16"/>
  <c r="BX106" i="16"/>
  <c r="BU106" i="16"/>
  <c r="BS106" i="16"/>
  <c r="BR106" i="16" s="1"/>
  <c r="BP106" i="16"/>
  <c r="BC106" i="16"/>
  <c r="AY106" i="16"/>
  <c r="AP106" i="16"/>
  <c r="AL106" i="16"/>
  <c r="AF106" i="16"/>
  <c r="Z106" i="16"/>
  <c r="V106" i="16"/>
  <c r="R106" i="16"/>
  <c r="O106" i="16"/>
  <c r="K106" i="16"/>
  <c r="E106" i="16"/>
  <c r="CU105" i="16"/>
  <c r="CO105" i="16"/>
  <c r="CQ105" i="16" s="1"/>
  <c r="CN105" i="16"/>
  <c r="CL105" i="16"/>
  <c r="CJ105" i="16"/>
  <c r="CH105" i="16"/>
  <c r="CE105" i="16"/>
  <c r="CB105" i="16"/>
  <c r="BX105" i="16"/>
  <c r="BU105" i="16"/>
  <c r="BS105" i="16"/>
  <c r="BR105" i="16" s="1"/>
  <c r="BP105" i="16"/>
  <c r="BC105" i="16"/>
  <c r="AY105" i="16"/>
  <c r="AP105" i="16"/>
  <c r="AL105" i="16"/>
  <c r="AF105" i="16"/>
  <c r="Z105" i="16"/>
  <c r="V105" i="16"/>
  <c r="R105" i="16"/>
  <c r="O105" i="16"/>
  <c r="K105" i="16"/>
  <c r="E105" i="16"/>
  <c r="CU104" i="16"/>
  <c r="CO104" i="16"/>
  <c r="CQ104" i="16" s="1"/>
  <c r="CN104" i="16"/>
  <c r="CL104" i="16"/>
  <c r="CJ104" i="16"/>
  <c r="CH104" i="16"/>
  <c r="CE104" i="16"/>
  <c r="CB104" i="16"/>
  <c r="BX104" i="16"/>
  <c r="BU104" i="16"/>
  <c r="BS104" i="16"/>
  <c r="BR104" i="16" s="1"/>
  <c r="BP104" i="16"/>
  <c r="BC104" i="16"/>
  <c r="AY104" i="16"/>
  <c r="AP104" i="16"/>
  <c r="AL104" i="16"/>
  <c r="AF104" i="16"/>
  <c r="Z104" i="16"/>
  <c r="V104" i="16"/>
  <c r="R104" i="16"/>
  <c r="O104" i="16"/>
  <c r="K104" i="16"/>
  <c r="E104" i="16"/>
  <c r="CU103" i="16"/>
  <c r="CO103" i="16"/>
  <c r="CQ103" i="16" s="1"/>
  <c r="CN103" i="16"/>
  <c r="CL103" i="16"/>
  <c r="CJ103" i="16"/>
  <c r="CH103" i="16"/>
  <c r="CE103" i="16"/>
  <c r="CB103" i="16"/>
  <c r="BX103" i="16"/>
  <c r="BU103" i="16"/>
  <c r="BS103" i="16"/>
  <c r="BR103" i="16" s="1"/>
  <c r="BP103" i="16"/>
  <c r="BC103" i="16"/>
  <c r="AY103" i="16"/>
  <c r="AP103" i="16"/>
  <c r="AL103" i="16"/>
  <c r="AF103" i="16"/>
  <c r="Z103" i="16"/>
  <c r="V103" i="16"/>
  <c r="R103" i="16"/>
  <c r="O103" i="16"/>
  <c r="K103" i="16"/>
  <c r="E103" i="16"/>
  <c r="CU102" i="16"/>
  <c r="CO102" i="16"/>
  <c r="CQ102" i="16" s="1"/>
  <c r="CN102" i="16"/>
  <c r="CL102" i="16"/>
  <c r="CJ102" i="16"/>
  <c r="CH102" i="16"/>
  <c r="CE102" i="16"/>
  <c r="CB102" i="16"/>
  <c r="BX102" i="16"/>
  <c r="BU102" i="16"/>
  <c r="BS102" i="16"/>
  <c r="BR102" i="16" s="1"/>
  <c r="BP102" i="16"/>
  <c r="BC102" i="16"/>
  <c r="AY102" i="16"/>
  <c r="AP102" i="16"/>
  <c r="AL102" i="16"/>
  <c r="AF102" i="16"/>
  <c r="Z102" i="16"/>
  <c r="V102" i="16"/>
  <c r="R102" i="16"/>
  <c r="O102" i="16"/>
  <c r="K102" i="16"/>
  <c r="E102" i="16"/>
  <c r="CU101" i="16"/>
  <c r="CO101" i="16"/>
  <c r="CQ101" i="16" s="1"/>
  <c r="CN101" i="16"/>
  <c r="CL101" i="16"/>
  <c r="CJ101" i="16"/>
  <c r="CH101" i="16"/>
  <c r="CE101" i="16"/>
  <c r="CB101" i="16"/>
  <c r="BX101" i="16"/>
  <c r="BU101" i="16"/>
  <c r="BS101" i="16"/>
  <c r="BR101" i="16" s="1"/>
  <c r="BP101" i="16"/>
  <c r="BC101" i="16"/>
  <c r="AY101" i="16"/>
  <c r="AP101" i="16"/>
  <c r="AL101" i="16"/>
  <c r="AF101" i="16"/>
  <c r="Z101" i="16"/>
  <c r="V101" i="16"/>
  <c r="R101" i="16"/>
  <c r="O101" i="16"/>
  <c r="K101" i="16"/>
  <c r="E101" i="16"/>
  <c r="CU100" i="16"/>
  <c r="CO100" i="16"/>
  <c r="CQ100" i="16" s="1"/>
  <c r="CN100" i="16"/>
  <c r="CL100" i="16"/>
  <c r="CJ100" i="16"/>
  <c r="CH100" i="16"/>
  <c r="CE100" i="16"/>
  <c r="CB100" i="16"/>
  <c r="BX100" i="16"/>
  <c r="BU100" i="16"/>
  <c r="BS100" i="16"/>
  <c r="BR100" i="16" s="1"/>
  <c r="BP100" i="16"/>
  <c r="BC100" i="16"/>
  <c r="AY100" i="16"/>
  <c r="AP100" i="16"/>
  <c r="AL100" i="16"/>
  <c r="AF100" i="16"/>
  <c r="Z100" i="16"/>
  <c r="V100" i="16"/>
  <c r="R100" i="16"/>
  <c r="O100" i="16"/>
  <c r="K100" i="16"/>
  <c r="E100" i="16"/>
  <c r="CU99" i="16"/>
  <c r="CO99" i="16"/>
  <c r="CQ99" i="16" s="1"/>
  <c r="CN99" i="16"/>
  <c r="CL99" i="16"/>
  <c r="CJ99" i="16"/>
  <c r="CH99" i="16"/>
  <c r="CE99" i="16"/>
  <c r="CB99" i="16"/>
  <c r="BX99" i="16"/>
  <c r="BU99" i="16"/>
  <c r="BS99" i="16"/>
  <c r="BR99" i="16" s="1"/>
  <c r="BP99" i="16"/>
  <c r="BC99" i="16"/>
  <c r="AY99" i="16"/>
  <c r="AP99" i="16"/>
  <c r="AL99" i="16"/>
  <c r="AF99" i="16"/>
  <c r="Z99" i="16"/>
  <c r="V99" i="16"/>
  <c r="R99" i="16"/>
  <c r="O99" i="16"/>
  <c r="K99" i="16"/>
  <c r="E99" i="16"/>
  <c r="CU98" i="16"/>
  <c r="CO98" i="16"/>
  <c r="CQ98" i="16" s="1"/>
  <c r="CN98" i="16"/>
  <c r="CL98" i="16"/>
  <c r="CJ98" i="16"/>
  <c r="CH98" i="16"/>
  <c r="CE98" i="16"/>
  <c r="CB98" i="16"/>
  <c r="BX98" i="16"/>
  <c r="BU98" i="16"/>
  <c r="BS98" i="16"/>
  <c r="BR98" i="16" s="1"/>
  <c r="BP98" i="16"/>
  <c r="BC98" i="16"/>
  <c r="AY98" i="16"/>
  <c r="AP98" i="16"/>
  <c r="AL98" i="16"/>
  <c r="AF98" i="16"/>
  <c r="Z98" i="16"/>
  <c r="V98" i="16"/>
  <c r="R98" i="16"/>
  <c r="O98" i="16"/>
  <c r="K98" i="16"/>
  <c r="E98" i="16"/>
  <c r="CU97" i="16"/>
  <c r="CO97" i="16"/>
  <c r="CQ97" i="16" s="1"/>
  <c r="CN97" i="16"/>
  <c r="CL97" i="16"/>
  <c r="CJ97" i="16"/>
  <c r="CH97" i="16"/>
  <c r="CE97" i="16"/>
  <c r="CB97" i="16"/>
  <c r="BX97" i="16"/>
  <c r="BU97" i="16"/>
  <c r="BS97" i="16"/>
  <c r="BR97" i="16" s="1"/>
  <c r="BP97" i="16"/>
  <c r="BC97" i="16"/>
  <c r="AY97" i="16"/>
  <c r="AP97" i="16"/>
  <c r="AL97" i="16"/>
  <c r="AF97" i="16"/>
  <c r="Z97" i="16"/>
  <c r="V97" i="16"/>
  <c r="R97" i="16"/>
  <c r="O97" i="16"/>
  <c r="K97" i="16"/>
  <c r="E97" i="16"/>
  <c r="CU96" i="16"/>
  <c r="CO96" i="16"/>
  <c r="CQ96" i="16" s="1"/>
  <c r="CN96" i="16"/>
  <c r="CL96" i="16"/>
  <c r="CJ96" i="16"/>
  <c r="CH96" i="16"/>
  <c r="CE96" i="16"/>
  <c r="CB96" i="16"/>
  <c r="BX96" i="16"/>
  <c r="BU96" i="16"/>
  <c r="BS96" i="16"/>
  <c r="BR96" i="16" s="1"/>
  <c r="BP96" i="16"/>
  <c r="BC96" i="16"/>
  <c r="AY96" i="16"/>
  <c r="AP96" i="16"/>
  <c r="AL96" i="16"/>
  <c r="AF96" i="16"/>
  <c r="Z96" i="16"/>
  <c r="V96" i="16"/>
  <c r="R96" i="16"/>
  <c r="O96" i="16"/>
  <c r="K96" i="16"/>
  <c r="E96" i="16"/>
  <c r="CU95" i="16"/>
  <c r="CO95" i="16"/>
  <c r="CQ95" i="16" s="1"/>
  <c r="CN95" i="16"/>
  <c r="CL95" i="16"/>
  <c r="CJ95" i="16"/>
  <c r="CH95" i="16"/>
  <c r="CE95" i="16"/>
  <c r="CB95" i="16"/>
  <c r="BX95" i="16"/>
  <c r="BU95" i="16"/>
  <c r="BS95" i="16"/>
  <c r="BR95" i="16" s="1"/>
  <c r="BP95" i="16"/>
  <c r="BC95" i="16"/>
  <c r="AY95" i="16"/>
  <c r="AP95" i="16"/>
  <c r="AL95" i="16"/>
  <c r="AF95" i="16"/>
  <c r="Z95" i="16"/>
  <c r="V95" i="16"/>
  <c r="R95" i="16"/>
  <c r="O95" i="16"/>
  <c r="K95" i="16"/>
  <c r="E95" i="16"/>
  <c r="CU94" i="16"/>
  <c r="CO94" i="16"/>
  <c r="CQ94" i="16" s="1"/>
  <c r="CN94" i="16"/>
  <c r="CL94" i="16"/>
  <c r="CJ94" i="16"/>
  <c r="CH94" i="16"/>
  <c r="CE94" i="16"/>
  <c r="CB94" i="16"/>
  <c r="BX94" i="16"/>
  <c r="BU94" i="16"/>
  <c r="BS94" i="16"/>
  <c r="BR94" i="16" s="1"/>
  <c r="BP94" i="16"/>
  <c r="BC94" i="16"/>
  <c r="AY94" i="16"/>
  <c r="AP94" i="16"/>
  <c r="AL94" i="16"/>
  <c r="AF94" i="16"/>
  <c r="Z94" i="16"/>
  <c r="V94" i="16"/>
  <c r="R94" i="16"/>
  <c r="O94" i="16"/>
  <c r="K94" i="16"/>
  <c r="E94" i="16"/>
  <c r="CU93" i="16"/>
  <c r="CO93" i="16"/>
  <c r="CQ93" i="16" s="1"/>
  <c r="CN93" i="16"/>
  <c r="CL93" i="16"/>
  <c r="CJ93" i="16"/>
  <c r="CH93" i="16"/>
  <c r="CE93" i="16"/>
  <c r="CB93" i="16"/>
  <c r="BX93" i="16"/>
  <c r="BU93" i="16"/>
  <c r="BS93" i="16"/>
  <c r="BR93" i="16" s="1"/>
  <c r="BP93" i="16"/>
  <c r="BC93" i="16"/>
  <c r="AY93" i="16"/>
  <c r="AP93" i="16"/>
  <c r="AL93" i="16"/>
  <c r="AF93" i="16"/>
  <c r="Z93" i="16"/>
  <c r="V93" i="16"/>
  <c r="R93" i="16"/>
  <c r="O93" i="16"/>
  <c r="K93" i="16"/>
  <c r="E93" i="16"/>
  <c r="CU92" i="16"/>
  <c r="CO92" i="16"/>
  <c r="CQ92" i="16" s="1"/>
  <c r="CN92" i="16"/>
  <c r="CL92" i="16"/>
  <c r="CJ92" i="16"/>
  <c r="CH92" i="16"/>
  <c r="CE92" i="16"/>
  <c r="CB92" i="16"/>
  <c r="BX92" i="16"/>
  <c r="BU92" i="16"/>
  <c r="BS92" i="16"/>
  <c r="BR92" i="16" s="1"/>
  <c r="BP92" i="16"/>
  <c r="BC92" i="16"/>
  <c r="AY92" i="16"/>
  <c r="AP92" i="16"/>
  <c r="AL92" i="16"/>
  <c r="AF92" i="16"/>
  <c r="Z92" i="16"/>
  <c r="V92" i="16"/>
  <c r="R92" i="16"/>
  <c r="O92" i="16"/>
  <c r="K92" i="16"/>
  <c r="E92" i="16"/>
  <c r="CU91" i="16"/>
  <c r="CO91" i="16"/>
  <c r="CQ91" i="16" s="1"/>
  <c r="CN91" i="16"/>
  <c r="CL91" i="16"/>
  <c r="CJ91" i="16"/>
  <c r="CH91" i="16"/>
  <c r="CE91" i="16"/>
  <c r="CB91" i="16"/>
  <c r="BX91" i="16"/>
  <c r="BU91" i="16"/>
  <c r="BS91" i="16"/>
  <c r="BR91" i="16" s="1"/>
  <c r="BP91" i="16"/>
  <c r="BC91" i="16"/>
  <c r="AY91" i="16"/>
  <c r="AP91" i="16"/>
  <c r="AL91" i="16"/>
  <c r="AF91" i="16"/>
  <c r="Z91" i="16"/>
  <c r="V91" i="16"/>
  <c r="R91" i="16"/>
  <c r="O91" i="16"/>
  <c r="K91" i="16"/>
  <c r="E91" i="16"/>
  <c r="CU90" i="16"/>
  <c r="CO90" i="16"/>
  <c r="CQ90" i="16" s="1"/>
  <c r="CN90" i="16"/>
  <c r="CL90" i="16"/>
  <c r="CJ90" i="16"/>
  <c r="CH90" i="16"/>
  <c r="CE90" i="16"/>
  <c r="CB90" i="16"/>
  <c r="BX90" i="16"/>
  <c r="BU90" i="16"/>
  <c r="BS90" i="16"/>
  <c r="BR90" i="16" s="1"/>
  <c r="BP90" i="16"/>
  <c r="BC90" i="16"/>
  <c r="AY90" i="16"/>
  <c r="AP90" i="16"/>
  <c r="AL90" i="16"/>
  <c r="AF90" i="16"/>
  <c r="Z90" i="16"/>
  <c r="V90" i="16"/>
  <c r="R90" i="16"/>
  <c r="O90" i="16"/>
  <c r="K90" i="16"/>
  <c r="E90" i="16"/>
  <c r="CU89" i="16"/>
  <c r="CO89" i="16"/>
  <c r="CQ89" i="16" s="1"/>
  <c r="CN89" i="16"/>
  <c r="CL89" i="16"/>
  <c r="CJ89" i="16"/>
  <c r="CH89" i="16"/>
  <c r="CE89" i="16"/>
  <c r="CB89" i="16"/>
  <c r="BX89" i="16"/>
  <c r="BU89" i="16"/>
  <c r="BS89" i="16"/>
  <c r="BR89" i="16" s="1"/>
  <c r="BP89" i="16"/>
  <c r="BC89" i="16"/>
  <c r="AY89" i="16"/>
  <c r="AP89" i="16"/>
  <c r="AL89" i="16"/>
  <c r="AF89" i="16"/>
  <c r="Z89" i="16"/>
  <c r="V89" i="16"/>
  <c r="R89" i="16"/>
  <c r="O89" i="16"/>
  <c r="K89" i="16"/>
  <c r="E89" i="16"/>
  <c r="CU88" i="16"/>
  <c r="CO88" i="16"/>
  <c r="CQ88" i="16" s="1"/>
  <c r="CN88" i="16"/>
  <c r="CL88" i="16"/>
  <c r="CJ88" i="16"/>
  <c r="CH88" i="16"/>
  <c r="CE88" i="16"/>
  <c r="CB88" i="16"/>
  <c r="BX88" i="16"/>
  <c r="BU88" i="16"/>
  <c r="BS88" i="16"/>
  <c r="BR88" i="16" s="1"/>
  <c r="BP88" i="16"/>
  <c r="BC88" i="16"/>
  <c r="AY88" i="16"/>
  <c r="AP88" i="16"/>
  <c r="AL88" i="16"/>
  <c r="AF88" i="16"/>
  <c r="Z88" i="16"/>
  <c r="V88" i="16"/>
  <c r="R88" i="16"/>
  <c r="O88" i="16"/>
  <c r="K88" i="16"/>
  <c r="E88" i="16"/>
  <c r="CU87" i="16"/>
  <c r="CO87" i="16"/>
  <c r="CQ87" i="16" s="1"/>
  <c r="CN87" i="16"/>
  <c r="CL87" i="16"/>
  <c r="CJ87" i="16"/>
  <c r="CH87" i="16"/>
  <c r="CE87" i="16"/>
  <c r="CB87" i="16"/>
  <c r="BX87" i="16"/>
  <c r="BU87" i="16"/>
  <c r="BS87" i="16"/>
  <c r="BR87" i="16" s="1"/>
  <c r="BP87" i="16"/>
  <c r="BC87" i="16"/>
  <c r="AY87" i="16"/>
  <c r="AP87" i="16"/>
  <c r="AL87" i="16"/>
  <c r="AF87" i="16"/>
  <c r="Z87" i="16"/>
  <c r="V87" i="16"/>
  <c r="R87" i="16"/>
  <c r="O87" i="16"/>
  <c r="K87" i="16"/>
  <c r="E87" i="16"/>
  <c r="CU86" i="16"/>
  <c r="CO86" i="16"/>
  <c r="CQ86" i="16" s="1"/>
  <c r="CN86" i="16"/>
  <c r="CL86" i="16"/>
  <c r="CJ86" i="16"/>
  <c r="CH86" i="16"/>
  <c r="CE86" i="16"/>
  <c r="CB86" i="16"/>
  <c r="BX86" i="16"/>
  <c r="BU86" i="16"/>
  <c r="BS86" i="16"/>
  <c r="BR86" i="16" s="1"/>
  <c r="BP86" i="16"/>
  <c r="BC86" i="16"/>
  <c r="AY86" i="16"/>
  <c r="AP86" i="16"/>
  <c r="AL86" i="16"/>
  <c r="AF86" i="16"/>
  <c r="Z86" i="16"/>
  <c r="V86" i="16"/>
  <c r="R86" i="16"/>
  <c r="O86" i="16"/>
  <c r="K86" i="16"/>
  <c r="E86" i="16"/>
  <c r="CU85" i="16"/>
  <c r="CO85" i="16"/>
  <c r="CQ85" i="16" s="1"/>
  <c r="CN85" i="16"/>
  <c r="CL85" i="16"/>
  <c r="CJ85" i="16"/>
  <c r="CH85" i="16"/>
  <c r="CE85" i="16"/>
  <c r="CB85" i="16"/>
  <c r="BX85" i="16"/>
  <c r="BU85" i="16"/>
  <c r="BS85" i="16"/>
  <c r="BR85" i="16" s="1"/>
  <c r="BP85" i="16"/>
  <c r="BC85" i="16"/>
  <c r="AY85" i="16"/>
  <c r="AP85" i="16"/>
  <c r="AL85" i="16"/>
  <c r="AF85" i="16"/>
  <c r="Z85" i="16"/>
  <c r="V85" i="16"/>
  <c r="R85" i="16"/>
  <c r="O85" i="16"/>
  <c r="K85" i="16"/>
  <c r="E85" i="16"/>
  <c r="CU84" i="16"/>
  <c r="CO84" i="16"/>
  <c r="CQ84" i="16" s="1"/>
  <c r="CN84" i="16"/>
  <c r="CL84" i="16"/>
  <c r="CJ84" i="16"/>
  <c r="CH84" i="16"/>
  <c r="CE84" i="16"/>
  <c r="CB84" i="16"/>
  <c r="BX84" i="16"/>
  <c r="BU84" i="16"/>
  <c r="BS84" i="16"/>
  <c r="BR84" i="16" s="1"/>
  <c r="BP84" i="16"/>
  <c r="BC84" i="16"/>
  <c r="AY84" i="16"/>
  <c r="AP84" i="16"/>
  <c r="AL84" i="16"/>
  <c r="AF84" i="16"/>
  <c r="Z84" i="16"/>
  <c r="V84" i="16"/>
  <c r="R84" i="16"/>
  <c r="O84" i="16"/>
  <c r="K84" i="16"/>
  <c r="E84" i="16"/>
  <c r="CU83" i="16"/>
  <c r="CO83" i="16"/>
  <c r="CQ83" i="16" s="1"/>
  <c r="CN83" i="16"/>
  <c r="CL83" i="16"/>
  <c r="CJ83" i="16"/>
  <c r="CH83" i="16"/>
  <c r="CE83" i="16"/>
  <c r="CB83" i="16"/>
  <c r="BX83" i="16"/>
  <c r="BU83" i="16"/>
  <c r="BS83" i="16"/>
  <c r="BR83" i="16" s="1"/>
  <c r="BP83" i="16"/>
  <c r="BC83" i="16"/>
  <c r="AY83" i="16"/>
  <c r="AP83" i="16"/>
  <c r="AL83" i="16"/>
  <c r="AF83" i="16"/>
  <c r="Z83" i="16"/>
  <c r="V83" i="16"/>
  <c r="R83" i="16"/>
  <c r="O83" i="16"/>
  <c r="K83" i="16"/>
  <c r="E83" i="16"/>
  <c r="CU82" i="16"/>
  <c r="CO82" i="16"/>
  <c r="CQ82" i="16" s="1"/>
  <c r="CN82" i="16"/>
  <c r="CL82" i="16"/>
  <c r="CJ82" i="16"/>
  <c r="CH82" i="16"/>
  <c r="CE82" i="16"/>
  <c r="CB82" i="16"/>
  <c r="BX82" i="16"/>
  <c r="BU82" i="16"/>
  <c r="BS82" i="16"/>
  <c r="BR82" i="16" s="1"/>
  <c r="BP82" i="16"/>
  <c r="BC82" i="16"/>
  <c r="AY82" i="16"/>
  <c r="AP82" i="16"/>
  <c r="AL82" i="16"/>
  <c r="AF82" i="16"/>
  <c r="Z82" i="16"/>
  <c r="V82" i="16"/>
  <c r="R82" i="16"/>
  <c r="O82" i="16"/>
  <c r="K82" i="16"/>
  <c r="E82" i="16"/>
  <c r="CU81" i="16"/>
  <c r="CO81" i="16"/>
  <c r="CQ81" i="16" s="1"/>
  <c r="CN81" i="16"/>
  <c r="CL81" i="16"/>
  <c r="CJ81" i="16"/>
  <c r="CH81" i="16"/>
  <c r="CE81" i="16"/>
  <c r="CB81" i="16"/>
  <c r="BX81" i="16"/>
  <c r="BU81" i="16"/>
  <c r="BS81" i="16"/>
  <c r="BR81" i="16" s="1"/>
  <c r="BP81" i="16"/>
  <c r="BC81" i="16"/>
  <c r="AY81" i="16"/>
  <c r="AP81" i="16"/>
  <c r="AL81" i="16"/>
  <c r="AF81" i="16"/>
  <c r="Z81" i="16"/>
  <c r="V81" i="16"/>
  <c r="R81" i="16"/>
  <c r="O81" i="16"/>
  <c r="K81" i="16"/>
  <c r="E81" i="16"/>
  <c r="CU80" i="16"/>
  <c r="CO80" i="16"/>
  <c r="CQ80" i="16" s="1"/>
  <c r="CN80" i="16"/>
  <c r="CL80" i="16"/>
  <c r="CJ80" i="16"/>
  <c r="CH80" i="16"/>
  <c r="CE80" i="16"/>
  <c r="CB80" i="16"/>
  <c r="BX80" i="16"/>
  <c r="BU80" i="16"/>
  <c r="BS80" i="16"/>
  <c r="BR80" i="16" s="1"/>
  <c r="BP80" i="16"/>
  <c r="BC80" i="16"/>
  <c r="AY80" i="16"/>
  <c r="AP80" i="16"/>
  <c r="AL80" i="16"/>
  <c r="AF80" i="16"/>
  <c r="Z80" i="16"/>
  <c r="V80" i="16"/>
  <c r="R80" i="16"/>
  <c r="O80" i="16"/>
  <c r="K80" i="16"/>
  <c r="E80" i="16"/>
  <c r="CU79" i="16"/>
  <c r="CO79" i="16"/>
  <c r="CQ79" i="16" s="1"/>
  <c r="CN79" i="16"/>
  <c r="CL79" i="16"/>
  <c r="CJ79" i="16"/>
  <c r="CH79" i="16"/>
  <c r="CE79" i="16"/>
  <c r="CB79" i="16"/>
  <c r="BX79" i="16"/>
  <c r="BU79" i="16"/>
  <c r="BS79" i="16"/>
  <c r="BR79" i="16" s="1"/>
  <c r="BP79" i="16"/>
  <c r="BC79" i="16"/>
  <c r="AY79" i="16"/>
  <c r="AP79" i="16"/>
  <c r="AL79" i="16"/>
  <c r="AF79" i="16"/>
  <c r="Z79" i="16"/>
  <c r="V79" i="16"/>
  <c r="R79" i="16"/>
  <c r="O79" i="16"/>
  <c r="K79" i="16"/>
  <c r="E79" i="16"/>
  <c r="CU78" i="16"/>
  <c r="CO78" i="16"/>
  <c r="CQ78" i="16" s="1"/>
  <c r="CN78" i="16"/>
  <c r="CL78" i="16"/>
  <c r="CJ78" i="16"/>
  <c r="CH78" i="16"/>
  <c r="CE78" i="16"/>
  <c r="CB78" i="16"/>
  <c r="BX78" i="16"/>
  <c r="BU78" i="16"/>
  <c r="BS78" i="16"/>
  <c r="BR78" i="16" s="1"/>
  <c r="BP78" i="16"/>
  <c r="BC78" i="16"/>
  <c r="AY78" i="16"/>
  <c r="AP78" i="16"/>
  <c r="AL78" i="16"/>
  <c r="AF78" i="16"/>
  <c r="Z78" i="16"/>
  <c r="V78" i="16"/>
  <c r="R78" i="16"/>
  <c r="O78" i="16"/>
  <c r="K78" i="16"/>
  <c r="E78" i="16"/>
  <c r="D78" i="16" s="1"/>
  <c r="CU77" i="16"/>
  <c r="CO77" i="16"/>
  <c r="CQ77" i="16" s="1"/>
  <c r="CN77" i="16"/>
  <c r="CL77" i="16"/>
  <c r="CJ77" i="16"/>
  <c r="CH77" i="16"/>
  <c r="CE77" i="16"/>
  <c r="CB77" i="16"/>
  <c r="BX77" i="16"/>
  <c r="BU77" i="16"/>
  <c r="BS77" i="16"/>
  <c r="BR77" i="16" s="1"/>
  <c r="BP77" i="16"/>
  <c r="BC77" i="16"/>
  <c r="AY77" i="16"/>
  <c r="AP77" i="16"/>
  <c r="AL77" i="16"/>
  <c r="AF77" i="16"/>
  <c r="Z77" i="16"/>
  <c r="V77" i="16"/>
  <c r="R77" i="16"/>
  <c r="O77" i="16"/>
  <c r="K77" i="16"/>
  <c r="E77" i="16"/>
  <c r="CU76" i="16"/>
  <c r="CO76" i="16"/>
  <c r="CQ76" i="16" s="1"/>
  <c r="CN76" i="16"/>
  <c r="CL76" i="16"/>
  <c r="CJ76" i="16"/>
  <c r="CH76" i="16"/>
  <c r="CE76" i="16"/>
  <c r="CB76" i="16"/>
  <c r="BX76" i="16"/>
  <c r="BU76" i="16"/>
  <c r="BS76" i="16"/>
  <c r="BR76" i="16" s="1"/>
  <c r="BP76" i="16"/>
  <c r="BC76" i="16"/>
  <c r="AY76" i="16"/>
  <c r="AP76" i="16"/>
  <c r="AL76" i="16"/>
  <c r="AF76" i="16"/>
  <c r="Z76" i="16"/>
  <c r="V76" i="16"/>
  <c r="R76" i="16"/>
  <c r="O76" i="16"/>
  <c r="K76" i="16"/>
  <c r="E76" i="16"/>
  <c r="CU75" i="16"/>
  <c r="CO75" i="16"/>
  <c r="CQ75" i="16" s="1"/>
  <c r="CN75" i="16"/>
  <c r="CL75" i="16"/>
  <c r="CJ75" i="16"/>
  <c r="CH75" i="16"/>
  <c r="CE75" i="16"/>
  <c r="CB75" i="16"/>
  <c r="BX75" i="16"/>
  <c r="BU75" i="16"/>
  <c r="BS75" i="16"/>
  <c r="BR75" i="16" s="1"/>
  <c r="BP75" i="16"/>
  <c r="BC75" i="16"/>
  <c r="AY75" i="16"/>
  <c r="AP75" i="16"/>
  <c r="AL75" i="16"/>
  <c r="AF75" i="16"/>
  <c r="Z75" i="16"/>
  <c r="V75" i="16"/>
  <c r="R75" i="16"/>
  <c r="O75" i="16"/>
  <c r="K75" i="16"/>
  <c r="E75" i="16"/>
  <c r="CU74" i="16"/>
  <c r="CO74" i="16"/>
  <c r="CQ74" i="16" s="1"/>
  <c r="CN74" i="16"/>
  <c r="CL74" i="16"/>
  <c r="CJ74" i="16"/>
  <c r="CH74" i="16"/>
  <c r="CE74" i="16"/>
  <c r="CB74" i="16"/>
  <c r="BX74" i="16"/>
  <c r="BU74" i="16"/>
  <c r="BS74" i="16"/>
  <c r="BR74" i="16" s="1"/>
  <c r="BP74" i="16"/>
  <c r="BC74" i="16"/>
  <c r="AY74" i="16"/>
  <c r="AP74" i="16"/>
  <c r="AL74" i="16"/>
  <c r="AF74" i="16"/>
  <c r="Z74" i="16"/>
  <c r="V74" i="16"/>
  <c r="R74" i="16"/>
  <c r="O74" i="16"/>
  <c r="K74" i="16"/>
  <c r="E74" i="16"/>
  <c r="CU73" i="16"/>
  <c r="CO73" i="16"/>
  <c r="CQ73" i="16" s="1"/>
  <c r="CN73" i="16"/>
  <c r="CL73" i="16"/>
  <c r="CJ73" i="16"/>
  <c r="CH73" i="16"/>
  <c r="CE73" i="16"/>
  <c r="CB73" i="16"/>
  <c r="BX73" i="16"/>
  <c r="BU73" i="16"/>
  <c r="BS73" i="16"/>
  <c r="BR73" i="16" s="1"/>
  <c r="BP73" i="16"/>
  <c r="BC73" i="16"/>
  <c r="AY73" i="16"/>
  <c r="AP73" i="16"/>
  <c r="AL73" i="16"/>
  <c r="AF73" i="16"/>
  <c r="Z73" i="16"/>
  <c r="V73" i="16"/>
  <c r="R73" i="16"/>
  <c r="O73" i="16"/>
  <c r="K73" i="16"/>
  <c r="E73" i="16"/>
  <c r="CU72" i="16"/>
  <c r="CO72" i="16"/>
  <c r="CQ72" i="16" s="1"/>
  <c r="CN72" i="16"/>
  <c r="CL72" i="16"/>
  <c r="CJ72" i="16"/>
  <c r="CH72" i="16"/>
  <c r="CE72" i="16"/>
  <c r="CB72" i="16"/>
  <c r="BX72" i="16"/>
  <c r="BU72" i="16"/>
  <c r="BS72" i="16"/>
  <c r="BR72" i="16" s="1"/>
  <c r="BP72" i="16"/>
  <c r="BC72" i="16"/>
  <c r="AY72" i="16"/>
  <c r="AP72" i="16"/>
  <c r="AL72" i="16"/>
  <c r="AF72" i="16"/>
  <c r="Z72" i="16"/>
  <c r="V72" i="16"/>
  <c r="R72" i="16"/>
  <c r="O72" i="16"/>
  <c r="K72" i="16"/>
  <c r="E72" i="16"/>
  <c r="CU71" i="16"/>
  <c r="CO71" i="16"/>
  <c r="CQ71" i="16" s="1"/>
  <c r="CN71" i="16"/>
  <c r="CL71" i="16"/>
  <c r="CJ71" i="16"/>
  <c r="CH71" i="16"/>
  <c r="CE71" i="16"/>
  <c r="CB71" i="16"/>
  <c r="BX71" i="16"/>
  <c r="BU71" i="16"/>
  <c r="BS71" i="16"/>
  <c r="BR71" i="16" s="1"/>
  <c r="BP71" i="16"/>
  <c r="BC71" i="16"/>
  <c r="AY71" i="16"/>
  <c r="AP71" i="16"/>
  <c r="AL71" i="16"/>
  <c r="AF71" i="16"/>
  <c r="Z71" i="16"/>
  <c r="V71" i="16"/>
  <c r="R71" i="16"/>
  <c r="O71" i="16"/>
  <c r="K71" i="16"/>
  <c r="E71" i="16"/>
  <c r="CU70" i="16"/>
  <c r="CO70" i="16"/>
  <c r="CQ70" i="16" s="1"/>
  <c r="CN70" i="16"/>
  <c r="CL70" i="16"/>
  <c r="CJ70" i="16"/>
  <c r="CH70" i="16"/>
  <c r="CE70" i="16"/>
  <c r="CB70" i="16"/>
  <c r="BX70" i="16"/>
  <c r="BU70" i="16"/>
  <c r="BS70" i="16"/>
  <c r="BR70" i="16" s="1"/>
  <c r="BP70" i="16"/>
  <c r="BC70" i="16"/>
  <c r="AY70" i="16"/>
  <c r="AP70" i="16"/>
  <c r="AL70" i="16"/>
  <c r="AF70" i="16"/>
  <c r="Z70" i="16"/>
  <c r="V70" i="16"/>
  <c r="R70" i="16"/>
  <c r="O70" i="16"/>
  <c r="K70" i="16"/>
  <c r="E70" i="16"/>
  <c r="CU69" i="16"/>
  <c r="CO69" i="16"/>
  <c r="CQ69" i="16" s="1"/>
  <c r="CN69" i="16"/>
  <c r="CL69" i="16"/>
  <c r="CJ69" i="16"/>
  <c r="CH69" i="16"/>
  <c r="CE69" i="16"/>
  <c r="CB69" i="16"/>
  <c r="BX69" i="16"/>
  <c r="BU69" i="16"/>
  <c r="BS69" i="16"/>
  <c r="BR69" i="16" s="1"/>
  <c r="BP69" i="16"/>
  <c r="BC69" i="16"/>
  <c r="AY69" i="16"/>
  <c r="AP69" i="16"/>
  <c r="AL69" i="16"/>
  <c r="AF69" i="16"/>
  <c r="Z69" i="16"/>
  <c r="V69" i="16"/>
  <c r="R69" i="16"/>
  <c r="O69" i="16"/>
  <c r="K69" i="16"/>
  <c r="E69" i="16"/>
  <c r="CU68" i="16"/>
  <c r="CO68" i="16"/>
  <c r="CQ68" i="16" s="1"/>
  <c r="CN68" i="16"/>
  <c r="CL68" i="16"/>
  <c r="CJ68" i="16"/>
  <c r="CH68" i="16"/>
  <c r="CE68" i="16"/>
  <c r="CB68" i="16"/>
  <c r="BX68" i="16"/>
  <c r="BU68" i="16"/>
  <c r="BS68" i="16"/>
  <c r="BR68" i="16" s="1"/>
  <c r="BP68" i="16"/>
  <c r="BC68" i="16"/>
  <c r="AY68" i="16"/>
  <c r="AP68" i="16"/>
  <c r="AL68" i="16"/>
  <c r="AF68" i="16"/>
  <c r="Z68" i="16"/>
  <c r="V68" i="16"/>
  <c r="R68" i="16"/>
  <c r="O68" i="16"/>
  <c r="K68" i="16"/>
  <c r="E68" i="16"/>
  <c r="CU67" i="16"/>
  <c r="CO67" i="16"/>
  <c r="CQ67" i="16" s="1"/>
  <c r="CN67" i="16"/>
  <c r="CL67" i="16"/>
  <c r="CJ67" i="16"/>
  <c r="CH67" i="16"/>
  <c r="CE67" i="16"/>
  <c r="CB67" i="16"/>
  <c r="BX67" i="16"/>
  <c r="BU67" i="16"/>
  <c r="BS67" i="16"/>
  <c r="BR67" i="16" s="1"/>
  <c r="BP67" i="16"/>
  <c r="BC67" i="16"/>
  <c r="AY67" i="16"/>
  <c r="AP67" i="16"/>
  <c r="AL67" i="16"/>
  <c r="AF67" i="16"/>
  <c r="Z67" i="16"/>
  <c r="V67" i="16"/>
  <c r="R67" i="16"/>
  <c r="O67" i="16"/>
  <c r="K67" i="16"/>
  <c r="E67" i="16"/>
  <c r="CU66" i="16"/>
  <c r="CO66" i="16"/>
  <c r="CQ66" i="16" s="1"/>
  <c r="CN66" i="16"/>
  <c r="CL66" i="16"/>
  <c r="CJ66" i="16"/>
  <c r="CH66" i="16"/>
  <c r="CE66" i="16"/>
  <c r="CB66" i="16"/>
  <c r="BX66" i="16"/>
  <c r="BU66" i="16"/>
  <c r="BS66" i="16"/>
  <c r="BR66" i="16" s="1"/>
  <c r="BP66" i="16"/>
  <c r="BC66" i="16"/>
  <c r="AY66" i="16"/>
  <c r="AP66" i="16"/>
  <c r="AL66" i="16"/>
  <c r="AF66" i="16"/>
  <c r="Z66" i="16"/>
  <c r="V66" i="16"/>
  <c r="R66" i="16"/>
  <c r="O66" i="16"/>
  <c r="K66" i="16"/>
  <c r="E66" i="16"/>
  <c r="CU65" i="16"/>
  <c r="CO65" i="16"/>
  <c r="CQ65" i="16" s="1"/>
  <c r="CN65" i="16"/>
  <c r="CL65" i="16"/>
  <c r="CJ65" i="16"/>
  <c r="CH65" i="16"/>
  <c r="CE65" i="16"/>
  <c r="CB65" i="16"/>
  <c r="BX65" i="16"/>
  <c r="BU65" i="16"/>
  <c r="BS65" i="16"/>
  <c r="BR65" i="16" s="1"/>
  <c r="BP65" i="16"/>
  <c r="BC65" i="16"/>
  <c r="AY65" i="16"/>
  <c r="AP65" i="16"/>
  <c r="AL65" i="16"/>
  <c r="AF65" i="16"/>
  <c r="Z65" i="16"/>
  <c r="V65" i="16"/>
  <c r="R65" i="16"/>
  <c r="O65" i="16"/>
  <c r="K65" i="16"/>
  <c r="E65" i="16"/>
  <c r="CU64" i="16"/>
  <c r="CO64" i="16"/>
  <c r="CQ64" i="16" s="1"/>
  <c r="CN64" i="16"/>
  <c r="CL64" i="16"/>
  <c r="CJ64" i="16"/>
  <c r="CH64" i="16"/>
  <c r="CE64" i="16"/>
  <c r="CB64" i="16"/>
  <c r="BX64" i="16"/>
  <c r="BU64" i="16"/>
  <c r="BS64" i="16"/>
  <c r="BR64" i="16" s="1"/>
  <c r="BP64" i="16"/>
  <c r="BC64" i="16"/>
  <c r="AY64" i="16"/>
  <c r="AP64" i="16"/>
  <c r="AL64" i="16"/>
  <c r="AF64" i="16"/>
  <c r="Z64" i="16"/>
  <c r="V64" i="16"/>
  <c r="R64" i="16"/>
  <c r="O64" i="16"/>
  <c r="K64" i="16"/>
  <c r="E64" i="16"/>
  <c r="CU63" i="16"/>
  <c r="CO63" i="16"/>
  <c r="CQ63" i="16" s="1"/>
  <c r="CN63" i="16"/>
  <c r="CL63" i="16"/>
  <c r="CJ63" i="16"/>
  <c r="CH63" i="16"/>
  <c r="CE63" i="16"/>
  <c r="CB63" i="16"/>
  <c r="BX63" i="16"/>
  <c r="BU63" i="16"/>
  <c r="BS63" i="16"/>
  <c r="BR63" i="16" s="1"/>
  <c r="BP63" i="16"/>
  <c r="BC63" i="16"/>
  <c r="AY63" i="16"/>
  <c r="AP63" i="16"/>
  <c r="AL63" i="16"/>
  <c r="AF63" i="16"/>
  <c r="Z63" i="16"/>
  <c r="V63" i="16"/>
  <c r="R63" i="16"/>
  <c r="O63" i="16"/>
  <c r="K63" i="16"/>
  <c r="E63" i="16"/>
  <c r="CU62" i="16"/>
  <c r="CO62" i="16"/>
  <c r="CQ62" i="16" s="1"/>
  <c r="CN62" i="16"/>
  <c r="CL62" i="16"/>
  <c r="CJ62" i="16"/>
  <c r="CH62" i="16"/>
  <c r="CE62" i="16"/>
  <c r="CB62" i="16"/>
  <c r="BX62" i="16"/>
  <c r="BU62" i="16"/>
  <c r="BS62" i="16"/>
  <c r="BR62" i="16" s="1"/>
  <c r="BP62" i="16"/>
  <c r="BC62" i="16"/>
  <c r="AY62" i="16"/>
  <c r="AP62" i="16"/>
  <c r="AL62" i="16"/>
  <c r="AF62" i="16"/>
  <c r="Z62" i="16"/>
  <c r="V62" i="16"/>
  <c r="R62" i="16"/>
  <c r="O62" i="16"/>
  <c r="K62" i="16"/>
  <c r="E62" i="16"/>
  <c r="CU61" i="16"/>
  <c r="CO61" i="16"/>
  <c r="CQ61" i="16" s="1"/>
  <c r="CN61" i="16"/>
  <c r="CL61" i="16"/>
  <c r="CJ61" i="16"/>
  <c r="CH61" i="16"/>
  <c r="CE61" i="16"/>
  <c r="CB61" i="16"/>
  <c r="BX61" i="16"/>
  <c r="BU61" i="16"/>
  <c r="BS61" i="16"/>
  <c r="BR61" i="16" s="1"/>
  <c r="BP61" i="16"/>
  <c r="BC61" i="16"/>
  <c r="AY61" i="16"/>
  <c r="AP61" i="16"/>
  <c r="AL61" i="16"/>
  <c r="AF61" i="16"/>
  <c r="Z61" i="16"/>
  <c r="V61" i="16"/>
  <c r="R61" i="16"/>
  <c r="O61" i="16"/>
  <c r="K61" i="16"/>
  <c r="E61" i="16"/>
  <c r="CU60" i="16"/>
  <c r="CO60" i="16"/>
  <c r="CQ60" i="16" s="1"/>
  <c r="CN60" i="16"/>
  <c r="CL60" i="16"/>
  <c r="CJ60" i="16"/>
  <c r="CH60" i="16"/>
  <c r="CE60" i="16"/>
  <c r="CB60" i="16"/>
  <c r="BX60" i="16"/>
  <c r="BU60" i="16"/>
  <c r="BS60" i="16"/>
  <c r="BR60" i="16" s="1"/>
  <c r="BP60" i="16"/>
  <c r="BC60" i="16"/>
  <c r="AY60" i="16"/>
  <c r="AP60" i="16"/>
  <c r="AL60" i="16"/>
  <c r="AF60" i="16"/>
  <c r="Z60" i="16"/>
  <c r="V60" i="16"/>
  <c r="R60" i="16"/>
  <c r="O60" i="16"/>
  <c r="K60" i="16"/>
  <c r="E60" i="16"/>
  <c r="CU59" i="16"/>
  <c r="CO59" i="16"/>
  <c r="CQ59" i="16" s="1"/>
  <c r="CN59" i="16"/>
  <c r="CL59" i="16"/>
  <c r="CJ59" i="16"/>
  <c r="CH59" i="16"/>
  <c r="CE59" i="16"/>
  <c r="CB59" i="16"/>
  <c r="BX59" i="16"/>
  <c r="BU59" i="16"/>
  <c r="BS59" i="16"/>
  <c r="BR59" i="16" s="1"/>
  <c r="BP59" i="16"/>
  <c r="BC59" i="16"/>
  <c r="AY59" i="16"/>
  <c r="AP59" i="16"/>
  <c r="AL59" i="16"/>
  <c r="AF59" i="16"/>
  <c r="Z59" i="16"/>
  <c r="V59" i="16"/>
  <c r="R59" i="16"/>
  <c r="O59" i="16"/>
  <c r="K59" i="16"/>
  <c r="E59" i="16"/>
  <c r="CU58" i="16"/>
  <c r="CO58" i="16"/>
  <c r="CQ58" i="16" s="1"/>
  <c r="CN58" i="16"/>
  <c r="CL58" i="16"/>
  <c r="CJ58" i="16"/>
  <c r="CH58" i="16"/>
  <c r="CE58" i="16"/>
  <c r="CB58" i="16"/>
  <c r="BX58" i="16"/>
  <c r="BU58" i="16"/>
  <c r="BS58" i="16"/>
  <c r="BR58" i="16" s="1"/>
  <c r="BP58" i="16"/>
  <c r="BC58" i="16"/>
  <c r="AY58" i="16"/>
  <c r="AP58" i="16"/>
  <c r="AL58" i="16"/>
  <c r="AF58" i="16"/>
  <c r="Z58" i="16"/>
  <c r="V58" i="16"/>
  <c r="R58" i="16"/>
  <c r="O58" i="16"/>
  <c r="K58" i="16"/>
  <c r="E58" i="16"/>
  <c r="CU57" i="16"/>
  <c r="CO57" i="16"/>
  <c r="CQ57" i="16" s="1"/>
  <c r="CN57" i="16"/>
  <c r="CL57" i="16"/>
  <c r="CJ57" i="16"/>
  <c r="CH57" i="16"/>
  <c r="CE57" i="16"/>
  <c r="CB57" i="16"/>
  <c r="BX57" i="16"/>
  <c r="BU57" i="16"/>
  <c r="BS57" i="16"/>
  <c r="BR57" i="16" s="1"/>
  <c r="BP57" i="16"/>
  <c r="BC57" i="16"/>
  <c r="AY57" i="16"/>
  <c r="AP57" i="16"/>
  <c r="AL57" i="16"/>
  <c r="AF57" i="16"/>
  <c r="Z57" i="16"/>
  <c r="V57" i="16"/>
  <c r="R57" i="16"/>
  <c r="O57" i="16"/>
  <c r="K57" i="16"/>
  <c r="E57" i="16"/>
  <c r="CU56" i="16"/>
  <c r="CO56" i="16"/>
  <c r="CQ56" i="16" s="1"/>
  <c r="CN56" i="16"/>
  <c r="CL56" i="16"/>
  <c r="CJ56" i="16"/>
  <c r="CH56" i="16"/>
  <c r="CE56" i="16"/>
  <c r="CB56" i="16"/>
  <c r="BX56" i="16"/>
  <c r="BU56" i="16"/>
  <c r="BS56" i="16"/>
  <c r="BR56" i="16" s="1"/>
  <c r="BP56" i="16"/>
  <c r="BC56" i="16"/>
  <c r="AY56" i="16"/>
  <c r="AP56" i="16"/>
  <c r="AL56" i="16"/>
  <c r="AF56" i="16"/>
  <c r="Z56" i="16"/>
  <c r="V56" i="16"/>
  <c r="R56" i="16"/>
  <c r="O56" i="16"/>
  <c r="K56" i="16"/>
  <c r="E56" i="16"/>
  <c r="CU55" i="16"/>
  <c r="CO55" i="16"/>
  <c r="CQ55" i="16" s="1"/>
  <c r="CN55" i="16"/>
  <c r="CL55" i="16"/>
  <c r="CJ55" i="16"/>
  <c r="CH55" i="16"/>
  <c r="CE55" i="16"/>
  <c r="CB55" i="16"/>
  <c r="BX55" i="16"/>
  <c r="BU55" i="16"/>
  <c r="BS55" i="16"/>
  <c r="BR55" i="16" s="1"/>
  <c r="BP55" i="16"/>
  <c r="BC55" i="16"/>
  <c r="AY55" i="16"/>
  <c r="AP55" i="16"/>
  <c r="AL55" i="16"/>
  <c r="AF55" i="16"/>
  <c r="Z55" i="16"/>
  <c r="V55" i="16"/>
  <c r="R55" i="16"/>
  <c r="O55" i="16"/>
  <c r="K55" i="16"/>
  <c r="E55" i="16"/>
  <c r="CU54" i="16"/>
  <c r="CO54" i="16"/>
  <c r="CQ54" i="16" s="1"/>
  <c r="CN54" i="16"/>
  <c r="CL54" i="16"/>
  <c r="CJ54" i="16"/>
  <c r="CH54" i="16"/>
  <c r="CE54" i="16"/>
  <c r="CB54" i="16"/>
  <c r="BX54" i="16"/>
  <c r="BU54" i="16"/>
  <c r="BS54" i="16"/>
  <c r="BR54" i="16" s="1"/>
  <c r="BP54" i="16"/>
  <c r="BC54" i="16"/>
  <c r="AY54" i="16"/>
  <c r="AP54" i="16"/>
  <c r="AL54" i="16"/>
  <c r="AF54" i="16"/>
  <c r="Z54" i="16"/>
  <c r="V54" i="16"/>
  <c r="R54" i="16"/>
  <c r="O54" i="16"/>
  <c r="K54" i="16"/>
  <c r="E54" i="16"/>
  <c r="CU53" i="16"/>
  <c r="CO53" i="16"/>
  <c r="CQ53" i="16" s="1"/>
  <c r="CN53" i="16"/>
  <c r="CL53" i="16"/>
  <c r="CJ53" i="16"/>
  <c r="CH53" i="16"/>
  <c r="CE53" i="16"/>
  <c r="CB53" i="16"/>
  <c r="BX53" i="16"/>
  <c r="BU53" i="16"/>
  <c r="BS53" i="16"/>
  <c r="BR53" i="16" s="1"/>
  <c r="BP53" i="16"/>
  <c r="BC53" i="16"/>
  <c r="AY53" i="16"/>
  <c r="AP53" i="16"/>
  <c r="AL53" i="16"/>
  <c r="AF53" i="16"/>
  <c r="Z53" i="16"/>
  <c r="V53" i="16"/>
  <c r="R53" i="16"/>
  <c r="O53" i="16"/>
  <c r="K53" i="16"/>
  <c r="E53" i="16"/>
  <c r="CU52" i="16"/>
  <c r="CO52" i="16"/>
  <c r="CQ52" i="16" s="1"/>
  <c r="CN52" i="16"/>
  <c r="CL52" i="16"/>
  <c r="CJ52" i="16"/>
  <c r="CH52" i="16"/>
  <c r="CE52" i="16"/>
  <c r="CB52" i="16"/>
  <c r="BX52" i="16"/>
  <c r="BU52" i="16"/>
  <c r="BS52" i="16"/>
  <c r="BR52" i="16" s="1"/>
  <c r="BP52" i="16"/>
  <c r="BC52" i="16"/>
  <c r="AY52" i="16"/>
  <c r="AP52" i="16"/>
  <c r="AL52" i="16"/>
  <c r="AF52" i="16"/>
  <c r="Z52" i="16"/>
  <c r="V52" i="16"/>
  <c r="R52" i="16"/>
  <c r="O52" i="16"/>
  <c r="K52" i="16"/>
  <c r="E52" i="16"/>
  <c r="CU51" i="16"/>
  <c r="CO51" i="16"/>
  <c r="CQ51" i="16" s="1"/>
  <c r="CN51" i="16"/>
  <c r="CL51" i="16"/>
  <c r="CJ51" i="16"/>
  <c r="CH51" i="16"/>
  <c r="CE51" i="16"/>
  <c r="CB51" i="16"/>
  <c r="BX51" i="16"/>
  <c r="BU51" i="16"/>
  <c r="BS51" i="16"/>
  <c r="BR51" i="16" s="1"/>
  <c r="BP51" i="16"/>
  <c r="BC51" i="16"/>
  <c r="AY51" i="16"/>
  <c r="AP51" i="16"/>
  <c r="AL51" i="16"/>
  <c r="AF51" i="16"/>
  <c r="Z51" i="16"/>
  <c r="V51" i="16"/>
  <c r="R51" i="16"/>
  <c r="O51" i="16"/>
  <c r="K51" i="16"/>
  <c r="E51" i="16"/>
  <c r="CU50" i="16"/>
  <c r="CO50" i="16"/>
  <c r="CQ50" i="16" s="1"/>
  <c r="CN50" i="16"/>
  <c r="CL50" i="16"/>
  <c r="CJ50" i="16"/>
  <c r="CH50" i="16"/>
  <c r="CE50" i="16"/>
  <c r="CB50" i="16"/>
  <c r="BX50" i="16"/>
  <c r="BU50" i="16"/>
  <c r="BS50" i="16"/>
  <c r="BR50" i="16" s="1"/>
  <c r="BP50" i="16"/>
  <c r="BC50" i="16"/>
  <c r="AY50" i="16"/>
  <c r="AP50" i="16"/>
  <c r="AL50" i="16"/>
  <c r="AF50" i="16"/>
  <c r="Z50" i="16"/>
  <c r="V50" i="16"/>
  <c r="R50" i="16"/>
  <c r="O50" i="16"/>
  <c r="K50" i="16"/>
  <c r="E50" i="16"/>
  <c r="CU49" i="16"/>
  <c r="CO49" i="16"/>
  <c r="CQ49" i="16" s="1"/>
  <c r="CN49" i="16"/>
  <c r="CL49" i="16"/>
  <c r="CJ49" i="16"/>
  <c r="CH49" i="16"/>
  <c r="CE49" i="16"/>
  <c r="CB49" i="16"/>
  <c r="BX49" i="16"/>
  <c r="BU49" i="16"/>
  <c r="BS49" i="16"/>
  <c r="BR49" i="16" s="1"/>
  <c r="BP49" i="16"/>
  <c r="BC49" i="16"/>
  <c r="AY49" i="16"/>
  <c r="AP49" i="16"/>
  <c r="AL49" i="16"/>
  <c r="AF49" i="16"/>
  <c r="Z49" i="16"/>
  <c r="V49" i="16"/>
  <c r="R49" i="16"/>
  <c r="O49" i="16"/>
  <c r="K49" i="16"/>
  <c r="E49" i="16"/>
  <c r="CU48" i="16"/>
  <c r="CO48" i="16"/>
  <c r="CQ48" i="16" s="1"/>
  <c r="CN48" i="16"/>
  <c r="CL48" i="16"/>
  <c r="CJ48" i="16"/>
  <c r="CH48" i="16"/>
  <c r="CE48" i="16"/>
  <c r="CB48" i="16"/>
  <c r="BX48" i="16"/>
  <c r="BU48" i="16"/>
  <c r="BS48" i="16"/>
  <c r="BR48" i="16" s="1"/>
  <c r="BP48" i="16"/>
  <c r="BC48" i="16"/>
  <c r="AY48" i="16"/>
  <c r="AP48" i="16"/>
  <c r="AL48" i="16"/>
  <c r="AF48" i="16"/>
  <c r="Z48" i="16"/>
  <c r="V48" i="16"/>
  <c r="R48" i="16"/>
  <c r="O48" i="16"/>
  <c r="K48" i="16"/>
  <c r="E48" i="16"/>
  <c r="CU47" i="16"/>
  <c r="CO47" i="16"/>
  <c r="CQ47" i="16" s="1"/>
  <c r="CN47" i="16"/>
  <c r="CL47" i="16"/>
  <c r="CJ47" i="16"/>
  <c r="CH47" i="16"/>
  <c r="CE47" i="16"/>
  <c r="CB47" i="16"/>
  <c r="BX47" i="16"/>
  <c r="BU47" i="16"/>
  <c r="BS47" i="16"/>
  <c r="BR47" i="16" s="1"/>
  <c r="BP47" i="16"/>
  <c r="BC47" i="16"/>
  <c r="AY47" i="16"/>
  <c r="AP47" i="16"/>
  <c r="AL47" i="16"/>
  <c r="AF47" i="16"/>
  <c r="Z47" i="16"/>
  <c r="V47" i="16"/>
  <c r="R47" i="16"/>
  <c r="O47" i="16"/>
  <c r="K47" i="16"/>
  <c r="E47" i="16"/>
  <c r="CU46" i="16"/>
  <c r="CO46" i="16"/>
  <c r="CQ46" i="16" s="1"/>
  <c r="CN46" i="16"/>
  <c r="CL46" i="16"/>
  <c r="CJ46" i="16"/>
  <c r="CH46" i="16"/>
  <c r="CE46" i="16"/>
  <c r="CB46" i="16"/>
  <c r="BX46" i="16"/>
  <c r="BU46" i="16"/>
  <c r="BS46" i="16"/>
  <c r="BR46" i="16" s="1"/>
  <c r="BP46" i="16"/>
  <c r="BC46" i="16"/>
  <c r="AY46" i="16"/>
  <c r="AP46" i="16"/>
  <c r="AL46" i="16"/>
  <c r="AF46" i="16"/>
  <c r="Z46" i="16"/>
  <c r="V46" i="16"/>
  <c r="R46" i="16"/>
  <c r="O46" i="16"/>
  <c r="K46" i="16"/>
  <c r="E46" i="16"/>
  <c r="CU45" i="16"/>
  <c r="CO45" i="16"/>
  <c r="CQ45" i="16" s="1"/>
  <c r="CN45" i="16"/>
  <c r="CL45" i="16"/>
  <c r="CJ45" i="16"/>
  <c r="CH45" i="16"/>
  <c r="CE45" i="16"/>
  <c r="CB45" i="16"/>
  <c r="BX45" i="16"/>
  <c r="BU45" i="16"/>
  <c r="BS45" i="16"/>
  <c r="BR45" i="16" s="1"/>
  <c r="BP45" i="16"/>
  <c r="BC45" i="16"/>
  <c r="AY45" i="16"/>
  <c r="AP45" i="16"/>
  <c r="AL45" i="16"/>
  <c r="AF45" i="16"/>
  <c r="Z45" i="16"/>
  <c r="V45" i="16"/>
  <c r="R45" i="16"/>
  <c r="O45" i="16"/>
  <c r="K45" i="16"/>
  <c r="E45" i="16"/>
  <c r="CU44" i="16"/>
  <c r="CO44" i="16"/>
  <c r="CQ44" i="16" s="1"/>
  <c r="CN44" i="16"/>
  <c r="CL44" i="16"/>
  <c r="CJ44" i="16"/>
  <c r="CH44" i="16"/>
  <c r="CE44" i="16"/>
  <c r="CB44" i="16"/>
  <c r="BX44" i="16"/>
  <c r="BU44" i="16"/>
  <c r="BS44" i="16"/>
  <c r="BR44" i="16" s="1"/>
  <c r="BP44" i="16"/>
  <c r="BC44" i="16"/>
  <c r="AY44" i="16"/>
  <c r="AP44" i="16"/>
  <c r="AL44" i="16"/>
  <c r="AF44" i="16"/>
  <c r="Z44" i="16"/>
  <c r="V44" i="16"/>
  <c r="R44" i="16"/>
  <c r="O44" i="16"/>
  <c r="K44" i="16"/>
  <c r="E44" i="16"/>
  <c r="CU43" i="16"/>
  <c r="CO43" i="16"/>
  <c r="CQ43" i="16" s="1"/>
  <c r="CN43" i="16"/>
  <c r="CL43" i="16"/>
  <c r="CJ43" i="16"/>
  <c r="CH43" i="16"/>
  <c r="CE43" i="16"/>
  <c r="CB43" i="16"/>
  <c r="BX43" i="16"/>
  <c r="BU43" i="16"/>
  <c r="BS43" i="16"/>
  <c r="BR43" i="16" s="1"/>
  <c r="BP43" i="16"/>
  <c r="BC43" i="16"/>
  <c r="AY43" i="16"/>
  <c r="AP43" i="16"/>
  <c r="AL43" i="16"/>
  <c r="AF43" i="16"/>
  <c r="Z43" i="16"/>
  <c r="V43" i="16"/>
  <c r="R43" i="16"/>
  <c r="O43" i="16"/>
  <c r="K43" i="16"/>
  <c r="E43" i="16"/>
  <c r="CU42" i="16"/>
  <c r="CO42" i="16"/>
  <c r="CQ42" i="16" s="1"/>
  <c r="CN42" i="16"/>
  <c r="CL42" i="16"/>
  <c r="CJ42" i="16"/>
  <c r="CH42" i="16"/>
  <c r="CE42" i="16"/>
  <c r="CB42" i="16"/>
  <c r="BX42" i="16"/>
  <c r="BU42" i="16"/>
  <c r="BS42" i="16"/>
  <c r="BR42" i="16" s="1"/>
  <c r="BP42" i="16"/>
  <c r="BC42" i="16"/>
  <c r="AY42" i="16"/>
  <c r="AP42" i="16"/>
  <c r="AL42" i="16"/>
  <c r="AF42" i="16"/>
  <c r="Z42" i="16"/>
  <c r="V42" i="16"/>
  <c r="R42" i="16"/>
  <c r="O42" i="16"/>
  <c r="K42" i="16"/>
  <c r="E42" i="16"/>
  <c r="CU41" i="16"/>
  <c r="CO41" i="16"/>
  <c r="CQ41" i="16" s="1"/>
  <c r="CN41" i="16"/>
  <c r="CL41" i="16"/>
  <c r="CJ41" i="16"/>
  <c r="CH41" i="16"/>
  <c r="CE41" i="16"/>
  <c r="CB41" i="16"/>
  <c r="BX41" i="16"/>
  <c r="BU41" i="16"/>
  <c r="BS41" i="16"/>
  <c r="BR41" i="16" s="1"/>
  <c r="BP41" i="16"/>
  <c r="BC41" i="16"/>
  <c r="AY41" i="16"/>
  <c r="AP41" i="16"/>
  <c r="AL41" i="16"/>
  <c r="AF41" i="16"/>
  <c r="Z41" i="16"/>
  <c r="V41" i="16"/>
  <c r="R41" i="16"/>
  <c r="O41" i="16"/>
  <c r="K41" i="16"/>
  <c r="E41" i="16"/>
  <c r="CU40" i="16"/>
  <c r="CO40" i="16"/>
  <c r="CQ40" i="16" s="1"/>
  <c r="CN40" i="16"/>
  <c r="CL40" i="16"/>
  <c r="CJ40" i="16"/>
  <c r="CH40" i="16"/>
  <c r="CE40" i="16"/>
  <c r="CB40" i="16"/>
  <c r="BX40" i="16"/>
  <c r="BU40" i="16"/>
  <c r="BS40" i="16"/>
  <c r="BR40" i="16" s="1"/>
  <c r="BP40" i="16"/>
  <c r="BC40" i="16"/>
  <c r="AY40" i="16"/>
  <c r="AP40" i="16"/>
  <c r="AO40" i="16" s="1"/>
  <c r="AL40" i="16"/>
  <c r="AF40" i="16"/>
  <c r="Z40" i="16"/>
  <c r="V40" i="16"/>
  <c r="R40" i="16"/>
  <c r="O40" i="16"/>
  <c r="K40" i="16"/>
  <c r="E40" i="16"/>
  <c r="CU39" i="16"/>
  <c r="CO39" i="16"/>
  <c r="CQ39" i="16" s="1"/>
  <c r="CN39" i="16"/>
  <c r="CL39" i="16"/>
  <c r="CJ39" i="16"/>
  <c r="CH39" i="16"/>
  <c r="CE39" i="16"/>
  <c r="CB39" i="16"/>
  <c r="BX39" i="16"/>
  <c r="BU39" i="16"/>
  <c r="BS39" i="16"/>
  <c r="BR39" i="16" s="1"/>
  <c r="BP39" i="16"/>
  <c r="BC39" i="16"/>
  <c r="AY39" i="16"/>
  <c r="AP39" i="16"/>
  <c r="AL39" i="16"/>
  <c r="AF39" i="16"/>
  <c r="Z39" i="16"/>
  <c r="V39" i="16"/>
  <c r="R39" i="16"/>
  <c r="O39" i="16"/>
  <c r="K39" i="16"/>
  <c r="E39" i="16"/>
  <c r="CU38" i="16"/>
  <c r="CO38" i="16"/>
  <c r="CQ38" i="16" s="1"/>
  <c r="CN38" i="16"/>
  <c r="CL38" i="16"/>
  <c r="CJ38" i="16"/>
  <c r="CH38" i="16"/>
  <c r="CE38" i="16"/>
  <c r="CB38" i="16"/>
  <c r="BX38" i="16"/>
  <c r="BU38" i="16"/>
  <c r="BS38" i="16"/>
  <c r="BR38" i="16" s="1"/>
  <c r="BP38" i="16"/>
  <c r="BC38" i="16"/>
  <c r="AY38" i="16"/>
  <c r="AP38" i="16"/>
  <c r="AL38" i="16"/>
  <c r="AF38" i="16"/>
  <c r="Z38" i="16"/>
  <c r="V38" i="16"/>
  <c r="R38" i="16"/>
  <c r="O38" i="16"/>
  <c r="K38" i="16"/>
  <c r="E38" i="16"/>
  <c r="CU37" i="16"/>
  <c r="CO37" i="16"/>
  <c r="CQ37" i="16" s="1"/>
  <c r="CN37" i="16"/>
  <c r="CL37" i="16"/>
  <c r="CJ37" i="16"/>
  <c r="CH37" i="16"/>
  <c r="CE37" i="16"/>
  <c r="CB37" i="16"/>
  <c r="BX37" i="16"/>
  <c r="BU37" i="16"/>
  <c r="BS37" i="16"/>
  <c r="BR37" i="16" s="1"/>
  <c r="BP37" i="16"/>
  <c r="BC37" i="16"/>
  <c r="AY37" i="16"/>
  <c r="AP37" i="16"/>
  <c r="AL37" i="16"/>
  <c r="AF37" i="16"/>
  <c r="Z37" i="16"/>
  <c r="V37" i="16"/>
  <c r="R37" i="16"/>
  <c r="O37" i="16"/>
  <c r="K37" i="16"/>
  <c r="E37" i="16"/>
  <c r="CU36" i="16"/>
  <c r="CO36" i="16"/>
  <c r="CQ36" i="16" s="1"/>
  <c r="CN36" i="16"/>
  <c r="CL36" i="16"/>
  <c r="CJ36" i="16"/>
  <c r="CH36" i="16"/>
  <c r="CE36" i="16"/>
  <c r="CB36" i="16"/>
  <c r="BX36" i="16"/>
  <c r="BU36" i="16"/>
  <c r="BS36" i="16"/>
  <c r="BR36" i="16" s="1"/>
  <c r="BP36" i="16"/>
  <c r="BC36" i="16"/>
  <c r="AY36" i="16"/>
  <c r="AP36" i="16"/>
  <c r="AL36" i="16"/>
  <c r="AF36" i="16"/>
  <c r="Z36" i="16"/>
  <c r="V36" i="16"/>
  <c r="U36" i="16" s="1"/>
  <c r="R36" i="16"/>
  <c r="O36" i="16"/>
  <c r="K36" i="16"/>
  <c r="E36" i="16"/>
  <c r="CU35" i="16"/>
  <c r="CO35" i="16"/>
  <c r="CQ35" i="16" s="1"/>
  <c r="CN35" i="16"/>
  <c r="CL35" i="16"/>
  <c r="CJ35" i="16"/>
  <c r="CH35" i="16"/>
  <c r="CE35" i="16"/>
  <c r="CB35" i="16"/>
  <c r="BX35" i="16"/>
  <c r="BU35" i="16"/>
  <c r="BS35" i="16"/>
  <c r="BR35" i="16" s="1"/>
  <c r="BP35" i="16"/>
  <c r="BC35" i="16"/>
  <c r="AY35" i="16"/>
  <c r="AP35" i="16"/>
  <c r="AL35" i="16"/>
  <c r="AF35" i="16"/>
  <c r="Z35" i="16"/>
  <c r="V35" i="16"/>
  <c r="R35" i="16"/>
  <c r="O35" i="16"/>
  <c r="K35" i="16"/>
  <c r="E35" i="16"/>
  <c r="CU34" i="16"/>
  <c r="CO34" i="16"/>
  <c r="CQ34" i="16" s="1"/>
  <c r="CN34" i="16"/>
  <c r="CL34" i="16"/>
  <c r="CJ34" i="16"/>
  <c r="CH34" i="16"/>
  <c r="CE34" i="16"/>
  <c r="CB34" i="16"/>
  <c r="BX34" i="16"/>
  <c r="BU34" i="16"/>
  <c r="BS34" i="16"/>
  <c r="BR34" i="16" s="1"/>
  <c r="BP34" i="16"/>
  <c r="BC34" i="16"/>
  <c r="AY34" i="16"/>
  <c r="AP34" i="16"/>
  <c r="AL34" i="16"/>
  <c r="AF34" i="16"/>
  <c r="Z34" i="16"/>
  <c r="V34" i="16"/>
  <c r="R34" i="16"/>
  <c r="O34" i="16"/>
  <c r="K34" i="16"/>
  <c r="E34" i="16"/>
  <c r="CU33" i="16"/>
  <c r="CO33" i="16"/>
  <c r="CQ33" i="16" s="1"/>
  <c r="CN33" i="16"/>
  <c r="CL33" i="16"/>
  <c r="CJ33" i="16"/>
  <c r="CH33" i="16"/>
  <c r="CE33" i="16"/>
  <c r="CB33" i="16"/>
  <c r="BX33" i="16"/>
  <c r="BU33" i="16"/>
  <c r="BS33" i="16"/>
  <c r="BR33" i="16" s="1"/>
  <c r="BP33" i="16"/>
  <c r="BC33" i="16"/>
  <c r="AY33" i="16"/>
  <c r="AP33" i="16"/>
  <c r="AL33" i="16"/>
  <c r="AF33" i="16"/>
  <c r="Z33" i="16"/>
  <c r="V33" i="16"/>
  <c r="R33" i="16"/>
  <c r="O33" i="16"/>
  <c r="K33" i="16"/>
  <c r="E33" i="16"/>
  <c r="CU32" i="16"/>
  <c r="CO32" i="16"/>
  <c r="CQ32" i="16" s="1"/>
  <c r="CN32" i="16"/>
  <c r="CL32" i="16"/>
  <c r="CJ32" i="16"/>
  <c r="CH32" i="16"/>
  <c r="CE32" i="16"/>
  <c r="CB32" i="16"/>
  <c r="BX32" i="16"/>
  <c r="BU32" i="16"/>
  <c r="BS32" i="16"/>
  <c r="BR32" i="16" s="1"/>
  <c r="BP32" i="16"/>
  <c r="BC32" i="16"/>
  <c r="AY32" i="16"/>
  <c r="AP32" i="16"/>
  <c r="AL32" i="16"/>
  <c r="AF32" i="16"/>
  <c r="Z32" i="16"/>
  <c r="V32" i="16"/>
  <c r="R32" i="16"/>
  <c r="O32" i="16"/>
  <c r="K32" i="16"/>
  <c r="E32" i="16"/>
  <c r="CU31" i="16"/>
  <c r="CO31" i="16"/>
  <c r="CQ31" i="16" s="1"/>
  <c r="CN31" i="16"/>
  <c r="CL31" i="16"/>
  <c r="CJ31" i="16"/>
  <c r="CH31" i="16"/>
  <c r="CE31" i="16"/>
  <c r="CB31" i="16"/>
  <c r="BX31" i="16"/>
  <c r="BU31" i="16"/>
  <c r="BS31" i="16"/>
  <c r="BR31" i="16" s="1"/>
  <c r="BP31" i="16"/>
  <c r="BC31" i="16"/>
  <c r="AY31" i="16"/>
  <c r="AP31" i="16"/>
  <c r="AL31" i="16"/>
  <c r="AF31" i="16"/>
  <c r="Z31" i="16"/>
  <c r="V31" i="16"/>
  <c r="R31" i="16"/>
  <c r="O31" i="16"/>
  <c r="K31" i="16"/>
  <c r="E31" i="16"/>
  <c r="CU30" i="16"/>
  <c r="CO30" i="16"/>
  <c r="CQ30" i="16" s="1"/>
  <c r="CN30" i="16"/>
  <c r="CL30" i="16"/>
  <c r="CJ30" i="16"/>
  <c r="CH30" i="16"/>
  <c r="CE30" i="16"/>
  <c r="CB30" i="16"/>
  <c r="BX30" i="16"/>
  <c r="BU30" i="16"/>
  <c r="BS30" i="16"/>
  <c r="BR30" i="16" s="1"/>
  <c r="BP30" i="16"/>
  <c r="BC30" i="16"/>
  <c r="AY30" i="16"/>
  <c r="AP30" i="16"/>
  <c r="AL30" i="16"/>
  <c r="AF30" i="16"/>
  <c r="Z30" i="16"/>
  <c r="V30" i="16"/>
  <c r="R30" i="16"/>
  <c r="O30" i="16"/>
  <c r="K30" i="16"/>
  <c r="E30" i="16"/>
  <c r="CU29" i="16"/>
  <c r="CO29" i="16"/>
  <c r="CQ29" i="16" s="1"/>
  <c r="CN29" i="16"/>
  <c r="CL29" i="16"/>
  <c r="CJ29" i="16"/>
  <c r="CH29" i="16"/>
  <c r="CE29" i="16"/>
  <c r="CB29" i="16"/>
  <c r="BX29" i="16"/>
  <c r="BU29" i="16"/>
  <c r="BS29" i="16"/>
  <c r="BR29" i="16" s="1"/>
  <c r="BP29" i="16"/>
  <c r="BC29" i="16"/>
  <c r="AY29" i="16"/>
  <c r="AP29" i="16"/>
  <c r="AL29" i="16"/>
  <c r="AF29" i="16"/>
  <c r="Z29" i="16"/>
  <c r="V29" i="16"/>
  <c r="R29" i="16"/>
  <c r="O29" i="16"/>
  <c r="K29" i="16"/>
  <c r="E29" i="16"/>
  <c r="CU28" i="16"/>
  <c r="CO28" i="16"/>
  <c r="CQ28" i="16" s="1"/>
  <c r="CN28" i="16"/>
  <c r="CL28" i="16"/>
  <c r="CJ28" i="16"/>
  <c r="CH28" i="16"/>
  <c r="CE28" i="16"/>
  <c r="CB28" i="16"/>
  <c r="BX28" i="16"/>
  <c r="BU28" i="16"/>
  <c r="BS28" i="16"/>
  <c r="BR28" i="16" s="1"/>
  <c r="BP28" i="16"/>
  <c r="BC28" i="16"/>
  <c r="AY28" i="16"/>
  <c r="AP28" i="16"/>
  <c r="AL28" i="16"/>
  <c r="AF28" i="16"/>
  <c r="Z28" i="16"/>
  <c r="V28" i="16"/>
  <c r="R28" i="16"/>
  <c r="O28" i="16"/>
  <c r="K28" i="16"/>
  <c r="E28" i="16"/>
  <c r="CU27" i="16"/>
  <c r="CO27" i="16"/>
  <c r="CQ27" i="16" s="1"/>
  <c r="CN27" i="16"/>
  <c r="CL27" i="16"/>
  <c r="CJ27" i="16"/>
  <c r="CH27" i="16"/>
  <c r="CE27" i="16"/>
  <c r="CB27" i="16"/>
  <c r="BX27" i="16"/>
  <c r="BU27" i="16"/>
  <c r="BS27" i="16"/>
  <c r="BR27" i="16" s="1"/>
  <c r="BP27" i="16"/>
  <c r="BC27" i="16"/>
  <c r="AY27" i="16"/>
  <c r="AP27" i="16"/>
  <c r="AL27" i="16"/>
  <c r="AF27" i="16"/>
  <c r="Z27" i="16"/>
  <c r="V27" i="16"/>
  <c r="R27" i="16"/>
  <c r="O27" i="16"/>
  <c r="K27" i="16"/>
  <c r="E27" i="16"/>
  <c r="CU26" i="16"/>
  <c r="CO26" i="16"/>
  <c r="CQ26" i="16" s="1"/>
  <c r="CN26" i="16"/>
  <c r="CL26" i="16"/>
  <c r="CJ26" i="16"/>
  <c r="CH26" i="16"/>
  <c r="CE26" i="16"/>
  <c r="CB26" i="16"/>
  <c r="BX26" i="16"/>
  <c r="BU26" i="16"/>
  <c r="BS26" i="16"/>
  <c r="BR26" i="16" s="1"/>
  <c r="BP26" i="16"/>
  <c r="BC26" i="16"/>
  <c r="AY26" i="16"/>
  <c r="AP26" i="16"/>
  <c r="AL26" i="16"/>
  <c r="AF26" i="16"/>
  <c r="Z26" i="16"/>
  <c r="V26" i="16"/>
  <c r="R26" i="16"/>
  <c r="O26" i="16"/>
  <c r="K26" i="16"/>
  <c r="E26" i="16"/>
  <c r="CU25" i="16"/>
  <c r="CO25" i="16"/>
  <c r="CQ25" i="16" s="1"/>
  <c r="CN25" i="16"/>
  <c r="CL25" i="16"/>
  <c r="CJ25" i="16"/>
  <c r="CH25" i="16"/>
  <c r="CE25" i="16"/>
  <c r="CB25" i="16"/>
  <c r="BX25" i="16"/>
  <c r="BU25" i="16"/>
  <c r="BS25" i="16"/>
  <c r="BR25" i="16" s="1"/>
  <c r="BP25" i="16"/>
  <c r="BC25" i="16"/>
  <c r="AY25" i="16"/>
  <c r="AP25" i="16"/>
  <c r="AL25" i="16"/>
  <c r="AF25" i="16"/>
  <c r="Z25" i="16"/>
  <c r="V25" i="16"/>
  <c r="R25" i="16"/>
  <c r="O25" i="16"/>
  <c r="K25" i="16"/>
  <c r="E25" i="16"/>
  <c r="CU24" i="16"/>
  <c r="CO24" i="16"/>
  <c r="CQ24" i="16" s="1"/>
  <c r="CN24" i="16"/>
  <c r="CL24" i="16"/>
  <c r="CJ24" i="16"/>
  <c r="CH24" i="16"/>
  <c r="CE24" i="16"/>
  <c r="CB24" i="16"/>
  <c r="BX24" i="16"/>
  <c r="BU24" i="16"/>
  <c r="BS24" i="16"/>
  <c r="BR24" i="16" s="1"/>
  <c r="BP24" i="16"/>
  <c r="BC24" i="16"/>
  <c r="AY24" i="16"/>
  <c r="AP24" i="16"/>
  <c r="AL24" i="16"/>
  <c r="AF24" i="16"/>
  <c r="Z24" i="16"/>
  <c r="V24" i="16"/>
  <c r="R24" i="16"/>
  <c r="O24" i="16"/>
  <c r="K24" i="16"/>
  <c r="E24" i="16"/>
  <c r="CU23" i="16"/>
  <c r="CO23" i="16"/>
  <c r="CQ23" i="16" s="1"/>
  <c r="CN23" i="16"/>
  <c r="CL23" i="16"/>
  <c r="CJ23" i="16"/>
  <c r="CH23" i="16"/>
  <c r="CE23" i="16"/>
  <c r="CB23" i="16"/>
  <c r="BX23" i="16"/>
  <c r="BU23" i="16"/>
  <c r="BS23" i="16"/>
  <c r="BR23" i="16" s="1"/>
  <c r="BP23" i="16"/>
  <c r="BC23" i="16"/>
  <c r="AY23" i="16"/>
  <c r="AP23" i="16"/>
  <c r="AL23" i="16"/>
  <c r="AF23" i="16"/>
  <c r="Z23" i="16"/>
  <c r="V23" i="16"/>
  <c r="R23" i="16"/>
  <c r="O23" i="16"/>
  <c r="K23" i="16"/>
  <c r="E23" i="16"/>
  <c r="CU22" i="16"/>
  <c r="CO22" i="16"/>
  <c r="CQ22" i="16" s="1"/>
  <c r="CN22" i="16"/>
  <c r="CL22" i="16"/>
  <c r="CJ22" i="16"/>
  <c r="CH22" i="16"/>
  <c r="CE22" i="16"/>
  <c r="CB22" i="16"/>
  <c r="BX22" i="16"/>
  <c r="BU22" i="16"/>
  <c r="BS22" i="16"/>
  <c r="BR22" i="16" s="1"/>
  <c r="BP22" i="16"/>
  <c r="BC22" i="16"/>
  <c r="AY22" i="16"/>
  <c r="AP22" i="16"/>
  <c r="AL22" i="16"/>
  <c r="AF22" i="16"/>
  <c r="Z22" i="16"/>
  <c r="V22" i="16"/>
  <c r="R22" i="16"/>
  <c r="O22" i="16"/>
  <c r="K22" i="16"/>
  <c r="E22" i="16"/>
  <c r="CU21" i="16"/>
  <c r="CO21" i="16"/>
  <c r="CQ21" i="16" s="1"/>
  <c r="CN21" i="16"/>
  <c r="CL21" i="16"/>
  <c r="CJ21" i="16"/>
  <c r="CH21" i="16"/>
  <c r="CE21" i="16"/>
  <c r="CB21" i="16"/>
  <c r="BX21" i="16"/>
  <c r="BU21" i="16"/>
  <c r="BS21" i="16"/>
  <c r="BR21" i="16" s="1"/>
  <c r="BP21" i="16"/>
  <c r="BC21" i="16"/>
  <c r="AY21" i="16"/>
  <c r="AP21" i="16"/>
  <c r="AL21" i="16"/>
  <c r="AF21" i="16"/>
  <c r="Z21" i="16"/>
  <c r="V21" i="16"/>
  <c r="R21" i="16"/>
  <c r="O21" i="16"/>
  <c r="K21" i="16"/>
  <c r="E21" i="16"/>
  <c r="CU20" i="16"/>
  <c r="CO20" i="16"/>
  <c r="CQ20" i="16" s="1"/>
  <c r="CN20" i="16"/>
  <c r="CL20" i="16"/>
  <c r="CJ20" i="16"/>
  <c r="CH20" i="16"/>
  <c r="CE20" i="16"/>
  <c r="CB20" i="16"/>
  <c r="BX20" i="16"/>
  <c r="BU20" i="16"/>
  <c r="BS20" i="16"/>
  <c r="BR20" i="16" s="1"/>
  <c r="BP20" i="16"/>
  <c r="BC20" i="16"/>
  <c r="AY20" i="16"/>
  <c r="AP20" i="16"/>
  <c r="AL20" i="16"/>
  <c r="AF20" i="16"/>
  <c r="Z20" i="16"/>
  <c r="V20" i="16"/>
  <c r="R20" i="16"/>
  <c r="O20" i="16"/>
  <c r="K20" i="16"/>
  <c r="E20" i="16"/>
  <c r="CU19" i="16"/>
  <c r="CO19" i="16"/>
  <c r="CQ19" i="16" s="1"/>
  <c r="CN19" i="16"/>
  <c r="CL19" i="16"/>
  <c r="CJ19" i="16"/>
  <c r="CH19" i="16"/>
  <c r="CE19" i="16"/>
  <c r="CB19" i="16"/>
  <c r="BX19" i="16"/>
  <c r="BU19" i="16"/>
  <c r="BS19" i="16"/>
  <c r="BR19" i="16" s="1"/>
  <c r="BP19" i="16"/>
  <c r="BC19" i="16"/>
  <c r="AY19" i="16"/>
  <c r="AP19" i="16"/>
  <c r="AL19" i="16"/>
  <c r="AF19" i="16"/>
  <c r="Z19" i="16"/>
  <c r="V19" i="16"/>
  <c r="R19" i="16"/>
  <c r="O19" i="16"/>
  <c r="K19" i="16"/>
  <c r="E19" i="16"/>
  <c r="CU18" i="16"/>
  <c r="CO18" i="16"/>
  <c r="CQ18" i="16" s="1"/>
  <c r="CN18" i="16"/>
  <c r="CL18" i="16"/>
  <c r="CJ18" i="16"/>
  <c r="CH18" i="16"/>
  <c r="CE18" i="16"/>
  <c r="CB18" i="16"/>
  <c r="BX18" i="16"/>
  <c r="BU18" i="16"/>
  <c r="BS18" i="16"/>
  <c r="BR18" i="16" s="1"/>
  <c r="BP18" i="16"/>
  <c r="BC18" i="16"/>
  <c r="AY18" i="16"/>
  <c r="AP18" i="16"/>
  <c r="AL18" i="16"/>
  <c r="AF18" i="16"/>
  <c r="Z18" i="16"/>
  <c r="V18" i="16"/>
  <c r="R18" i="16"/>
  <c r="O18" i="16"/>
  <c r="K18" i="16"/>
  <c r="E18" i="16"/>
  <c r="CU17" i="16"/>
  <c r="CO17" i="16"/>
  <c r="CQ17" i="16" s="1"/>
  <c r="CN17" i="16"/>
  <c r="CL17" i="16"/>
  <c r="CJ17" i="16"/>
  <c r="CH17" i="16"/>
  <c r="CE17" i="16"/>
  <c r="CB17" i="16"/>
  <c r="BX17" i="16"/>
  <c r="BU17" i="16"/>
  <c r="BS17" i="16"/>
  <c r="BR17" i="16" s="1"/>
  <c r="BP17" i="16"/>
  <c r="BC17" i="16"/>
  <c r="AY17" i="16"/>
  <c r="AP17" i="16"/>
  <c r="AL17" i="16"/>
  <c r="AF17" i="16"/>
  <c r="Z17" i="16"/>
  <c r="V17" i="16"/>
  <c r="R17" i="16"/>
  <c r="O17" i="16"/>
  <c r="K17" i="16"/>
  <c r="E17" i="16"/>
  <c r="CU16" i="16"/>
  <c r="CO16" i="16"/>
  <c r="CQ16" i="16" s="1"/>
  <c r="CN16" i="16"/>
  <c r="CL16" i="16"/>
  <c r="CJ16" i="16"/>
  <c r="CH16" i="16"/>
  <c r="CE16" i="16"/>
  <c r="CB16" i="16"/>
  <c r="BX16" i="16"/>
  <c r="BU16" i="16"/>
  <c r="BS16" i="16"/>
  <c r="BR16" i="16" s="1"/>
  <c r="BP16" i="16"/>
  <c r="BC16" i="16"/>
  <c r="BB16" i="16" s="1"/>
  <c r="AY16" i="16"/>
  <c r="AP16" i="16"/>
  <c r="AL16" i="16"/>
  <c r="AF16" i="16"/>
  <c r="Z16" i="16"/>
  <c r="V16" i="16"/>
  <c r="R16" i="16"/>
  <c r="O16" i="16"/>
  <c r="K16" i="16"/>
  <c r="E16" i="16"/>
  <c r="CU15" i="16"/>
  <c r="CO15" i="16"/>
  <c r="CQ15" i="16" s="1"/>
  <c r="CN15" i="16"/>
  <c r="CL15" i="16"/>
  <c r="CJ15" i="16"/>
  <c r="CH15" i="16"/>
  <c r="CE15" i="16"/>
  <c r="CB15" i="16"/>
  <c r="BX15" i="16"/>
  <c r="BU15" i="16"/>
  <c r="BS15" i="16"/>
  <c r="BR15" i="16" s="1"/>
  <c r="BP15" i="16"/>
  <c r="BC15" i="16"/>
  <c r="AY15" i="16"/>
  <c r="AP15" i="16"/>
  <c r="AL15" i="16"/>
  <c r="AF15" i="16"/>
  <c r="Z15" i="16"/>
  <c r="V15" i="16"/>
  <c r="R15" i="16"/>
  <c r="O15" i="16"/>
  <c r="K15" i="16"/>
  <c r="E15" i="16"/>
  <c r="CU14" i="16"/>
  <c r="CO14" i="16"/>
  <c r="CQ14" i="16" s="1"/>
  <c r="CN14" i="16"/>
  <c r="CL14" i="16"/>
  <c r="CJ14" i="16"/>
  <c r="CH14" i="16"/>
  <c r="CE14" i="16"/>
  <c r="CB14" i="16"/>
  <c r="BX14" i="16"/>
  <c r="BU14" i="16"/>
  <c r="BS14" i="16"/>
  <c r="BR14" i="16" s="1"/>
  <c r="BP14" i="16"/>
  <c r="BC14" i="16"/>
  <c r="AY14" i="16"/>
  <c r="AP14" i="16"/>
  <c r="AL14" i="16"/>
  <c r="AF14" i="16"/>
  <c r="Z14" i="16"/>
  <c r="V14" i="16"/>
  <c r="R14" i="16"/>
  <c r="O14" i="16"/>
  <c r="K14" i="16"/>
  <c r="E14" i="16"/>
  <c r="CU13" i="16"/>
  <c r="CO13" i="16"/>
  <c r="CQ13" i="16" s="1"/>
  <c r="CN13" i="16"/>
  <c r="CL13" i="16"/>
  <c r="CJ13" i="16"/>
  <c r="CH13" i="16"/>
  <c r="CE13" i="16"/>
  <c r="CB13" i="16"/>
  <c r="BX13" i="16"/>
  <c r="BU13" i="16"/>
  <c r="BS13" i="16"/>
  <c r="BR13" i="16" s="1"/>
  <c r="BP13" i="16"/>
  <c r="BC13" i="16"/>
  <c r="AY13" i="16"/>
  <c r="AP13" i="16"/>
  <c r="AL13" i="16"/>
  <c r="AF13" i="16"/>
  <c r="Z13" i="16"/>
  <c r="V13" i="16"/>
  <c r="R13" i="16"/>
  <c r="O13" i="16"/>
  <c r="K13" i="16"/>
  <c r="E13" i="16"/>
  <c r="CU12" i="16"/>
  <c r="CO12" i="16"/>
  <c r="CQ12" i="16" s="1"/>
  <c r="CN12" i="16"/>
  <c r="CL12" i="16"/>
  <c r="CJ12" i="16"/>
  <c r="CH12" i="16"/>
  <c r="CE12" i="16"/>
  <c r="CB12" i="16"/>
  <c r="BX12" i="16"/>
  <c r="BU12" i="16"/>
  <c r="BS12" i="16"/>
  <c r="BR12" i="16" s="1"/>
  <c r="BP12" i="16"/>
  <c r="BC12" i="16"/>
  <c r="AY12" i="16"/>
  <c r="AP12" i="16"/>
  <c r="AL12" i="16"/>
  <c r="AF12" i="16"/>
  <c r="AE12" i="16" s="1"/>
  <c r="Z12" i="16"/>
  <c r="V12" i="16"/>
  <c r="R12" i="16"/>
  <c r="O12" i="16"/>
  <c r="K12" i="16"/>
  <c r="E12" i="16"/>
  <c r="CU11" i="16"/>
  <c r="CO11" i="16"/>
  <c r="CQ11" i="16" s="1"/>
  <c r="CN11" i="16"/>
  <c r="CL11" i="16"/>
  <c r="CJ11" i="16"/>
  <c r="CH11" i="16"/>
  <c r="CE11" i="16"/>
  <c r="CB11" i="16"/>
  <c r="BX11" i="16"/>
  <c r="BU11" i="16"/>
  <c r="BS11" i="16"/>
  <c r="BR11" i="16" s="1"/>
  <c r="BP11" i="16"/>
  <c r="BC11" i="16"/>
  <c r="AY11" i="16"/>
  <c r="AP11" i="16"/>
  <c r="AL11" i="16"/>
  <c r="AF11" i="16"/>
  <c r="Z11" i="16"/>
  <c r="V11" i="16"/>
  <c r="R11" i="16"/>
  <c r="O11" i="16"/>
  <c r="K11" i="16"/>
  <c r="E11" i="16"/>
  <c r="CJ9" i="16"/>
  <c r="B4" i="16"/>
  <c r="B1" i="16"/>
  <c r="K420" i="4"/>
  <c r="I420" i="4"/>
  <c r="H217" i="4"/>
  <c r="H216" i="4"/>
  <c r="R10" i="4"/>
  <c r="S12" i="5"/>
  <c r="D1043"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16" i="4"/>
  <c r="J13" i="5"/>
  <c r="CN66" i="3"/>
  <c r="CU151" i="6"/>
  <c r="CU228" i="6"/>
  <c r="CU190" i="6"/>
  <c r="CU188" i="6"/>
  <c r="CU34" i="6"/>
  <c r="CU233" i="6"/>
  <c r="CU214" i="6"/>
  <c r="CU49" i="6"/>
  <c r="CU16" i="6"/>
  <c r="CU71" i="6"/>
  <c r="CU36" i="6"/>
  <c r="CU122" i="6"/>
  <c r="CU173" i="6"/>
  <c r="CU194" i="6"/>
  <c r="CU163" i="6"/>
  <c r="CU43" i="6"/>
  <c r="CU114" i="6"/>
  <c r="CU172" i="6"/>
  <c r="CU128" i="6"/>
  <c r="CU97" i="6"/>
  <c r="CU220" i="6"/>
  <c r="CU14" i="6"/>
  <c r="CU168" i="6"/>
  <c r="CU148" i="6"/>
  <c r="CU94" i="6"/>
  <c r="CU38" i="6"/>
  <c r="CU184" i="6"/>
  <c r="CU63" i="6"/>
  <c r="CU118" i="6"/>
  <c r="CU159" i="6"/>
  <c r="CU50" i="6"/>
  <c r="CU65" i="6"/>
  <c r="CU161" i="6"/>
  <c r="CU162" i="6"/>
  <c r="CU158" i="6"/>
  <c r="CU208" i="6"/>
  <c r="CU59" i="6"/>
  <c r="CU231" i="6"/>
  <c r="CU232" i="6"/>
  <c r="CU42" i="6"/>
  <c r="CU100" i="6"/>
  <c r="CU133" i="6"/>
  <c r="CU186" i="6"/>
  <c r="CU17" i="6"/>
  <c r="CU23" i="6"/>
  <c r="CU141" i="6"/>
  <c r="CU134" i="6"/>
  <c r="CU153" i="6"/>
  <c r="CU41" i="6"/>
  <c r="CU104" i="6"/>
  <c r="CU196" i="6"/>
  <c r="CU25" i="6"/>
  <c r="CU108" i="6"/>
  <c r="CU152" i="6"/>
  <c r="CU201" i="6"/>
  <c r="CU213" i="6"/>
  <c r="CU170" i="6"/>
  <c r="CU48" i="6"/>
  <c r="CU178" i="6"/>
  <c r="CU179" i="6"/>
  <c r="CU119" i="6"/>
  <c r="CU234" i="6"/>
  <c r="CU211" i="6"/>
  <c r="CU124" i="6"/>
  <c r="CU56" i="6"/>
  <c r="CU79" i="6"/>
  <c r="CU180" i="6"/>
  <c r="CU215" i="6"/>
  <c r="CU83" i="6"/>
  <c r="CU45" i="6"/>
  <c r="CU191" i="6"/>
  <c r="CU64" i="6"/>
  <c r="CU165" i="6"/>
  <c r="CU203" i="6"/>
  <c r="CU227" i="6"/>
  <c r="CU29" i="6"/>
  <c r="CU116" i="6"/>
  <c r="CU19" i="6"/>
  <c r="CU54" i="6"/>
  <c r="CU206" i="6"/>
  <c r="CU126" i="6"/>
  <c r="CU76" i="6"/>
  <c r="CU102" i="6"/>
  <c r="CU51" i="6"/>
  <c r="CU202" i="6"/>
  <c r="CU222" i="6"/>
  <c r="CU226" i="6"/>
  <c r="CU181" i="6"/>
  <c r="CU218" i="6"/>
  <c r="CU82" i="6"/>
  <c r="CU197" i="6"/>
  <c r="CU39" i="6"/>
  <c r="CU174" i="6"/>
  <c r="CU93" i="6"/>
  <c r="CU57" i="6"/>
  <c r="CU209" i="6"/>
  <c r="CU121" i="6"/>
  <c r="CU146" i="6"/>
  <c r="CU113" i="6"/>
  <c r="CU221" i="6"/>
  <c r="CU61" i="6"/>
  <c r="CU78" i="6"/>
  <c r="CU52" i="6"/>
  <c r="CU88" i="6"/>
  <c r="CU26" i="6"/>
  <c r="CU140" i="6"/>
  <c r="CU74" i="6"/>
  <c r="CU136" i="6"/>
  <c r="CU46" i="6"/>
  <c r="CU68" i="6"/>
  <c r="CU144" i="6"/>
  <c r="CU111" i="6"/>
  <c r="CU125" i="6"/>
  <c r="CU145" i="6"/>
  <c r="CU84" i="6"/>
  <c r="CU99" i="6"/>
  <c r="CU225" i="6"/>
  <c r="CU77" i="6"/>
  <c r="CU62" i="6"/>
  <c r="CU189" i="6"/>
  <c r="CU154" i="6"/>
  <c r="CU85" i="6"/>
  <c r="CU229" i="6"/>
  <c r="CU183" i="6"/>
  <c r="CU28" i="6"/>
  <c r="CU210" i="6"/>
  <c r="CU137" i="6"/>
  <c r="CU212" i="6"/>
  <c r="CU129" i="6"/>
  <c r="CU72" i="6"/>
  <c r="CU106" i="6"/>
  <c r="CU115" i="6"/>
  <c r="CU143" i="6"/>
  <c r="CU160" i="6"/>
  <c r="CU69" i="6"/>
  <c r="CU31" i="6"/>
  <c r="CU166" i="6"/>
  <c r="CU185" i="6"/>
  <c r="CU171" i="6"/>
  <c r="CU80" i="6"/>
  <c r="CU175" i="6"/>
  <c r="CU27" i="6"/>
  <c r="CU195" i="6"/>
  <c r="CU101" i="6"/>
  <c r="CU167" i="6"/>
  <c r="CU11" i="6"/>
  <c r="CU12" i="6"/>
  <c r="CU13" i="6"/>
  <c r="CU15" i="6"/>
  <c r="CU18" i="6"/>
  <c r="CU20" i="6"/>
  <c r="CU21" i="6"/>
  <c r="CU22" i="6"/>
  <c r="CU24" i="6"/>
  <c r="CU30" i="6"/>
  <c r="CU32" i="6"/>
  <c r="CU33" i="6"/>
  <c r="CU35" i="6"/>
  <c r="CU37" i="6"/>
  <c r="CU40" i="6"/>
  <c r="CU44" i="6"/>
  <c r="CU47" i="6"/>
  <c r="CU53" i="6"/>
  <c r="CU55" i="6"/>
  <c r="CU58" i="6"/>
  <c r="CU60" i="6"/>
  <c r="CU66" i="6"/>
  <c r="CU67" i="6"/>
  <c r="CU70" i="6"/>
  <c r="CU73" i="6"/>
  <c r="CU75" i="6"/>
  <c r="CU81" i="6"/>
  <c r="CU86" i="6"/>
  <c r="CU87" i="6"/>
  <c r="CU89" i="6"/>
  <c r="CU90" i="6"/>
  <c r="CU91" i="6"/>
  <c r="CU92" i="6"/>
  <c r="CU95" i="6"/>
  <c r="CU96" i="6"/>
  <c r="CU98" i="6"/>
  <c r="CU103" i="6"/>
  <c r="CU105" i="6"/>
  <c r="CU107" i="6"/>
  <c r="CU109" i="6"/>
  <c r="CU110" i="6"/>
  <c r="CU112" i="6"/>
  <c r="CU117" i="6"/>
  <c r="CU120" i="6"/>
  <c r="CU123" i="6"/>
  <c r="CU127" i="6"/>
  <c r="CU130" i="6"/>
  <c r="CU131" i="6"/>
  <c r="CU132" i="6"/>
  <c r="CU135" i="6"/>
  <c r="CU138" i="6"/>
  <c r="CU139" i="6"/>
  <c r="CU142" i="6"/>
  <c r="CU147" i="6"/>
  <c r="CU149" i="6"/>
  <c r="CU150" i="6"/>
  <c r="CU155" i="6"/>
  <c r="CU156" i="6"/>
  <c r="CU157" i="6"/>
  <c r="CU164" i="6"/>
  <c r="CU169" i="6"/>
  <c r="CU176" i="6"/>
  <c r="CU177" i="6"/>
  <c r="CU182" i="6"/>
  <c r="CU187" i="6"/>
  <c r="CU192" i="6"/>
  <c r="CU193" i="6"/>
  <c r="CU198" i="6"/>
  <c r="CU199" i="6"/>
  <c r="CU200" i="6"/>
  <c r="CU204" i="6"/>
  <c r="CU205" i="6"/>
  <c r="CU207" i="6"/>
  <c r="CU216" i="6"/>
  <c r="CU217" i="6"/>
  <c r="CU219" i="6"/>
  <c r="CU223" i="6"/>
  <c r="CU224" i="6"/>
  <c r="CU230" i="6"/>
  <c r="CU11" i="3"/>
  <c r="CU12" i="3"/>
  <c r="CU13" i="3"/>
  <c r="CU14" i="3"/>
  <c r="CU15" i="3"/>
  <c r="CU16" i="3"/>
  <c r="CU17" i="3"/>
  <c r="CU18" i="3"/>
  <c r="CU19" i="3"/>
  <c r="CU20" i="3"/>
  <c r="CU21" i="3"/>
  <c r="CU22" i="3"/>
  <c r="CU23" i="3"/>
  <c r="CU24" i="3"/>
  <c r="CU25" i="3"/>
  <c r="CU26" i="3"/>
  <c r="CU27" i="3"/>
  <c r="CU28" i="3"/>
  <c r="CU29" i="3"/>
  <c r="CU30" i="3"/>
  <c r="CU31" i="3"/>
  <c r="CU32" i="3"/>
  <c r="CU33" i="3"/>
  <c r="CU34" i="3"/>
  <c r="CU35" i="3"/>
  <c r="CU36" i="3"/>
  <c r="CU37" i="3"/>
  <c r="CU38" i="3"/>
  <c r="CU39" i="3"/>
  <c r="CU40" i="3"/>
  <c r="CU41" i="3"/>
  <c r="CU42" i="3"/>
  <c r="CU43" i="3"/>
  <c r="CU44" i="3"/>
  <c r="CU45" i="3"/>
  <c r="CU46" i="3"/>
  <c r="CU47" i="3"/>
  <c r="CU48" i="3"/>
  <c r="CU49" i="3"/>
  <c r="CU50" i="3"/>
  <c r="CU51" i="3"/>
  <c r="CU52" i="3"/>
  <c r="CU53" i="3"/>
  <c r="CU54" i="3"/>
  <c r="CU55" i="3"/>
  <c r="CU56" i="3"/>
  <c r="CU57" i="3"/>
  <c r="CU58" i="3"/>
  <c r="CU59" i="3"/>
  <c r="CU60" i="3"/>
  <c r="CU61" i="3"/>
  <c r="CU62" i="3"/>
  <c r="CU63" i="3"/>
  <c r="CU64" i="3"/>
  <c r="CU65" i="3"/>
  <c r="CU66" i="3"/>
  <c r="CU67" i="3"/>
  <c r="CU68" i="3"/>
  <c r="CU69" i="3"/>
  <c r="CU70" i="3"/>
  <c r="CU71" i="3"/>
  <c r="CU72" i="3"/>
  <c r="CU73" i="3"/>
  <c r="CU74" i="3"/>
  <c r="CU75" i="3"/>
  <c r="CU76" i="3"/>
  <c r="CU77" i="3"/>
  <c r="CU78" i="3"/>
  <c r="CU79" i="3"/>
  <c r="CU80" i="3"/>
  <c r="CU81" i="3"/>
  <c r="CU82" i="3"/>
  <c r="CU83" i="3"/>
  <c r="CU84" i="3"/>
  <c r="CU85" i="3"/>
  <c r="CU86" i="3"/>
  <c r="CU87" i="3"/>
  <c r="CU88" i="3"/>
  <c r="CU89" i="3"/>
  <c r="CU90" i="3"/>
  <c r="CU91" i="3"/>
  <c r="CU92" i="3"/>
  <c r="CU93" i="3"/>
  <c r="CU94" i="3"/>
  <c r="CU95" i="3"/>
  <c r="CU96" i="3"/>
  <c r="CU97" i="3"/>
  <c r="CU98" i="3"/>
  <c r="CU99" i="3"/>
  <c r="CU100" i="3"/>
  <c r="CU101" i="3"/>
  <c r="CU102" i="3"/>
  <c r="CU103" i="3"/>
  <c r="CU104" i="3"/>
  <c r="CU105" i="3"/>
  <c r="CU106" i="3"/>
  <c r="CU107" i="3"/>
  <c r="CU108" i="3"/>
  <c r="CU109" i="3"/>
  <c r="CU110" i="3"/>
  <c r="CU111" i="3"/>
  <c r="CU112" i="3"/>
  <c r="CU113" i="3"/>
  <c r="CU114" i="3"/>
  <c r="CU115" i="3"/>
  <c r="CU116" i="3"/>
  <c r="CU117" i="3"/>
  <c r="CU118" i="3"/>
  <c r="CU119" i="3"/>
  <c r="CU120" i="3"/>
  <c r="CU121" i="3"/>
  <c r="CU122" i="3"/>
  <c r="CU123" i="3"/>
  <c r="CU124" i="3"/>
  <c r="CU125" i="3"/>
  <c r="CU126" i="3"/>
  <c r="CU127" i="3"/>
  <c r="CU128" i="3"/>
  <c r="CU129" i="3"/>
  <c r="CU130" i="3"/>
  <c r="CU131" i="3"/>
  <c r="CU132" i="3"/>
  <c r="CU133" i="3"/>
  <c r="CU134" i="3"/>
  <c r="CU135" i="3"/>
  <c r="CU136" i="3"/>
  <c r="CU137" i="3"/>
  <c r="CU138" i="3"/>
  <c r="CU139" i="3"/>
  <c r="CU140" i="3"/>
  <c r="CU141" i="3"/>
  <c r="CU142" i="3"/>
  <c r="CU143" i="3"/>
  <c r="CU144" i="3"/>
  <c r="CU145" i="3"/>
  <c r="CU146" i="3"/>
  <c r="CU147" i="3"/>
  <c r="CU148" i="3"/>
  <c r="CU149" i="3"/>
  <c r="CU150" i="3"/>
  <c r="CU151" i="3"/>
  <c r="CU152" i="3"/>
  <c r="CU153" i="3"/>
  <c r="CU154" i="3"/>
  <c r="CU155" i="3"/>
  <c r="CU156" i="3"/>
  <c r="CU157" i="3"/>
  <c r="CU158" i="3"/>
  <c r="CU159" i="3"/>
  <c r="CU160" i="3"/>
  <c r="CU161" i="3"/>
  <c r="CU162" i="3"/>
  <c r="CU163" i="3"/>
  <c r="CU164" i="3"/>
  <c r="CU165" i="3"/>
  <c r="CU166" i="3"/>
  <c r="CU167" i="3"/>
  <c r="CU168" i="3"/>
  <c r="CU169" i="3"/>
  <c r="CU170" i="3"/>
  <c r="CU171" i="3"/>
  <c r="CU172" i="3"/>
  <c r="CU173" i="3"/>
  <c r="CU174" i="3"/>
  <c r="CU175" i="3"/>
  <c r="CU176" i="3"/>
  <c r="CU177" i="3"/>
  <c r="CU178" i="3"/>
  <c r="CU179" i="3"/>
  <c r="CU180" i="3"/>
  <c r="CU181" i="3"/>
  <c r="CU182" i="3"/>
  <c r="CU183" i="3"/>
  <c r="CU184" i="3"/>
  <c r="CU185" i="3"/>
  <c r="CU186" i="3"/>
  <c r="CU187" i="3"/>
  <c r="CU188" i="3"/>
  <c r="CU189" i="3"/>
  <c r="CU190" i="3"/>
  <c r="CU191" i="3"/>
  <c r="CU192" i="3"/>
  <c r="CU193" i="3"/>
  <c r="CU194" i="3"/>
  <c r="CU195" i="3"/>
  <c r="CU196" i="3"/>
  <c r="CU197" i="3"/>
  <c r="CU198" i="3"/>
  <c r="CU199" i="3"/>
  <c r="CU200" i="3"/>
  <c r="CU201" i="3"/>
  <c r="CU202" i="3"/>
  <c r="CU203" i="3"/>
  <c r="CU204" i="3"/>
  <c r="CU205" i="3"/>
  <c r="CU206" i="3"/>
  <c r="CU207" i="3"/>
  <c r="CU208" i="3"/>
  <c r="N38" i="16" l="1"/>
  <c r="CP43" i="16"/>
  <c r="AO44" i="16"/>
  <c r="D87" i="16"/>
  <c r="CD91" i="16"/>
  <c r="BW126" i="16"/>
  <c r="AE153" i="16"/>
  <c r="CP154" i="16"/>
  <c r="BB169" i="16"/>
  <c r="CD175" i="16"/>
  <c r="AO179" i="16"/>
  <c r="BB181" i="16"/>
  <c r="D183" i="16"/>
  <c r="AE189" i="16"/>
  <c r="CP190" i="16"/>
  <c r="AO191" i="16"/>
  <c r="BB193" i="16"/>
  <c r="N197" i="16"/>
  <c r="BB106" i="16"/>
  <c r="D108" i="16"/>
  <c r="CD165" i="16"/>
  <c r="AE167" i="16"/>
  <c r="CP168" i="16"/>
  <c r="AE203" i="16"/>
  <c r="BB207" i="16"/>
  <c r="D21" i="16"/>
  <c r="CP44" i="16"/>
  <c r="CD53" i="16"/>
  <c r="AO57" i="16"/>
  <c r="BB59" i="16"/>
  <c r="U101" i="16"/>
  <c r="CD126" i="16"/>
  <c r="AE128" i="16"/>
  <c r="N135" i="16"/>
  <c r="U137" i="16"/>
  <c r="CD161" i="16"/>
  <c r="AO165" i="16"/>
  <c r="BW171" i="16"/>
  <c r="CD173" i="16"/>
  <c r="AO177" i="16"/>
  <c r="AE187" i="16"/>
  <c r="AO189" i="16"/>
  <c r="U197" i="16"/>
  <c r="D205" i="16"/>
  <c r="N71" i="16"/>
  <c r="CD92" i="16"/>
  <c r="AO96" i="16"/>
  <c r="U117" i="16"/>
  <c r="AO132" i="16"/>
  <c r="CP143" i="16"/>
  <c r="BB146" i="16"/>
  <c r="D207" i="16"/>
  <c r="U38" i="16"/>
  <c r="BB44" i="16"/>
  <c r="U50" i="16"/>
  <c r="BB80" i="16"/>
  <c r="BB117" i="16"/>
  <c r="D208" i="16"/>
  <c r="BB18" i="16"/>
  <c r="CD39" i="16"/>
  <c r="BB57" i="16"/>
  <c r="N113" i="16"/>
  <c r="U162" i="16"/>
  <c r="CD162" i="16"/>
  <c r="AO166" i="16"/>
  <c r="AO178" i="16"/>
  <c r="BB180" i="16"/>
  <c r="AO190" i="16"/>
  <c r="BB192" i="16"/>
  <c r="D206" i="16"/>
  <c r="AO41" i="16"/>
  <c r="BB43" i="16"/>
  <c r="AE185" i="16"/>
  <c r="CP186" i="16"/>
  <c r="BB189" i="16"/>
  <c r="N193" i="16"/>
  <c r="BW193" i="16"/>
  <c r="BW205" i="16"/>
  <c r="CD86" i="16"/>
  <c r="U35" i="16"/>
  <c r="CD35" i="16"/>
  <c r="D43" i="16"/>
  <c r="D44" i="16"/>
  <c r="BW38" i="16"/>
  <c r="BW204" i="16"/>
  <c r="CD208" i="16"/>
  <c r="AO23" i="16"/>
  <c r="D27" i="16"/>
  <c r="BW30" i="16"/>
  <c r="D67" i="16"/>
  <c r="D68" i="16"/>
  <c r="AO75" i="16"/>
  <c r="AO99" i="16"/>
  <c r="CD120" i="16"/>
  <c r="AE205" i="16"/>
  <c r="AO25" i="16"/>
  <c r="BB28" i="16"/>
  <c r="D30" i="16"/>
  <c r="U34" i="16"/>
  <c r="CP91" i="16"/>
  <c r="BW16" i="16"/>
  <c r="AO24" i="16"/>
  <c r="BB26" i="16"/>
  <c r="D29" i="16"/>
  <c r="BB53" i="16"/>
  <c r="AE77" i="16"/>
  <c r="BB81" i="16"/>
  <c r="AE89" i="16"/>
  <c r="N97" i="16"/>
  <c r="AO128" i="16"/>
  <c r="AO151" i="16"/>
  <c r="AE161" i="16"/>
  <c r="CP162" i="16"/>
  <c r="BB165" i="16"/>
  <c r="BB177" i="16"/>
  <c r="D12" i="16"/>
  <c r="CP19" i="16"/>
  <c r="BB37" i="16"/>
  <c r="AO61" i="16"/>
  <c r="D65" i="16"/>
  <c r="D119" i="16"/>
  <c r="BB101" i="16"/>
  <c r="BB150" i="16"/>
  <c r="BB20" i="16"/>
  <c r="N26" i="16"/>
  <c r="AO47" i="16"/>
  <c r="AO59" i="16"/>
  <c r="BW68" i="16"/>
  <c r="U71" i="16"/>
  <c r="AE73" i="16"/>
  <c r="CP74" i="16"/>
  <c r="CP75" i="16"/>
  <c r="BB102" i="16"/>
  <c r="U108" i="16"/>
  <c r="AO113" i="16"/>
  <c r="N120" i="16"/>
  <c r="BW120" i="16"/>
  <c r="U122" i="16"/>
  <c r="CD122" i="16"/>
  <c r="D165" i="16"/>
  <c r="AO173" i="16"/>
  <c r="BW179" i="16"/>
  <c r="N191" i="16"/>
  <c r="U193" i="16"/>
  <c r="CD193" i="16"/>
  <c r="N203" i="16"/>
  <c r="BW103" i="16"/>
  <c r="N116" i="16"/>
  <c r="CD118" i="16"/>
  <c r="U119" i="16"/>
  <c r="CP208" i="16"/>
  <c r="D25" i="16"/>
  <c r="U13" i="16"/>
  <c r="AE15" i="16"/>
  <c r="BB21" i="16"/>
  <c r="D23" i="16"/>
  <c r="AO60" i="16"/>
  <c r="AE87" i="16"/>
  <c r="BB105" i="16"/>
  <c r="D107" i="16"/>
  <c r="U112" i="16"/>
  <c r="AO116" i="16"/>
  <c r="D121" i="16"/>
  <c r="N123" i="16"/>
  <c r="CP128" i="16"/>
  <c r="BW146" i="16"/>
  <c r="N207" i="16"/>
  <c r="N208" i="16"/>
  <c r="CD40" i="16"/>
  <c r="CP45" i="16"/>
  <c r="AO46" i="16"/>
  <c r="N52" i="16"/>
  <c r="BW52" i="16"/>
  <c r="BB60" i="16"/>
  <c r="AO87" i="16"/>
  <c r="AE98" i="16"/>
  <c r="CP99" i="16"/>
  <c r="AE112" i="16"/>
  <c r="BW144" i="16"/>
  <c r="AE148" i="16"/>
  <c r="AE70" i="16"/>
  <c r="CP72" i="16"/>
  <c r="N80" i="16"/>
  <c r="U109" i="16"/>
  <c r="N29" i="16"/>
  <c r="AO28" i="16"/>
  <c r="D33" i="16"/>
  <c r="N35" i="16"/>
  <c r="AE40" i="16"/>
  <c r="BW50" i="16"/>
  <c r="CD52" i="16"/>
  <c r="AO56" i="16"/>
  <c r="D60" i="16"/>
  <c r="N79" i="16"/>
  <c r="U94" i="16"/>
  <c r="AE96" i="16"/>
  <c r="AO112" i="16"/>
  <c r="D116" i="16"/>
  <c r="BW202" i="16"/>
  <c r="BW28" i="16"/>
  <c r="AE50" i="16"/>
  <c r="BB54" i="16"/>
  <c r="D59" i="16"/>
  <c r="D115" i="16"/>
  <c r="CD119" i="16"/>
  <c r="BW154" i="16"/>
  <c r="AE158" i="16"/>
  <c r="D200" i="16"/>
  <c r="N204" i="16"/>
  <c r="BB34" i="16"/>
  <c r="U149" i="16"/>
  <c r="D38" i="16"/>
  <c r="U45" i="16"/>
  <c r="AE47" i="16"/>
  <c r="D72" i="16"/>
  <c r="N74" i="16"/>
  <c r="BW74" i="16"/>
  <c r="BW75" i="16"/>
  <c r="AE91" i="16"/>
  <c r="BW100" i="16"/>
  <c r="N114" i="16"/>
  <c r="BB147" i="16"/>
  <c r="D149" i="16"/>
  <c r="AO158" i="16"/>
  <c r="AE208" i="16"/>
  <c r="BB30" i="16"/>
  <c r="N47" i="16"/>
  <c r="CP12" i="16"/>
  <c r="N20" i="16"/>
  <c r="BB36" i="16"/>
  <c r="D39" i="16"/>
  <c r="D40" i="16"/>
  <c r="BW42" i="16"/>
  <c r="AE63" i="16"/>
  <c r="BB71" i="16"/>
  <c r="U92" i="16"/>
  <c r="U93" i="16"/>
  <c r="BB99" i="16"/>
  <c r="AE109" i="16"/>
  <c r="AO111" i="16"/>
  <c r="BB113" i="16"/>
  <c r="D118" i="16"/>
  <c r="AO127" i="16"/>
  <c r="BB130" i="16"/>
  <c r="BW145" i="16"/>
  <c r="CP151" i="16"/>
  <c r="AO152" i="16"/>
  <c r="D156" i="16"/>
  <c r="AE144" i="16"/>
  <c r="BB32" i="16"/>
  <c r="BB33" i="16"/>
  <c r="BW39" i="16"/>
  <c r="AO48" i="16"/>
  <c r="BB65" i="16"/>
  <c r="AE90" i="16"/>
  <c r="AE93" i="16"/>
  <c r="AO95" i="16"/>
  <c r="AO109" i="16"/>
  <c r="N117" i="16"/>
  <c r="BW118" i="16"/>
  <c r="N119" i="16"/>
  <c r="BW119" i="16"/>
  <c r="BB127" i="16"/>
  <c r="D130" i="16"/>
  <c r="U133" i="16"/>
  <c r="AO137" i="16"/>
  <c r="AE147" i="16"/>
  <c r="AE160" i="16"/>
  <c r="BB164" i="16"/>
  <c r="D178" i="16"/>
  <c r="BB188" i="16"/>
  <c r="AE196" i="16"/>
  <c r="AO198" i="16"/>
  <c r="AO67" i="16"/>
  <c r="AE126" i="16"/>
  <c r="BW104" i="16"/>
  <c r="U31" i="16"/>
  <c r="CD28" i="16"/>
  <c r="AO12" i="16"/>
  <c r="D16" i="16"/>
  <c r="AE28" i="16"/>
  <c r="AO31" i="16"/>
  <c r="CP32" i="16"/>
  <c r="AO33" i="16"/>
  <c r="BW47" i="16"/>
  <c r="CD49" i="16"/>
  <c r="AE51" i="16"/>
  <c r="CP52" i="16"/>
  <c r="D62" i="16"/>
  <c r="U68" i="16"/>
  <c r="AE72" i="16"/>
  <c r="D79" i="16"/>
  <c r="AE86" i="16"/>
  <c r="BB90" i="16"/>
  <c r="CD101" i="16"/>
  <c r="N112" i="16"/>
  <c r="U116" i="16"/>
  <c r="CD116" i="16"/>
  <c r="AE120" i="16"/>
  <c r="AE132" i="16"/>
  <c r="BB136" i="16"/>
  <c r="N140" i="16"/>
  <c r="AE145" i="16"/>
  <c r="AO146" i="16"/>
  <c r="D163" i="16"/>
  <c r="N165" i="16"/>
  <c r="CP170" i="16"/>
  <c r="D175" i="16"/>
  <c r="U179" i="16"/>
  <c r="CD179" i="16"/>
  <c r="BB185" i="16"/>
  <c r="AE193" i="16"/>
  <c r="D199" i="16"/>
  <c r="BW201" i="16"/>
  <c r="BW203" i="16"/>
  <c r="AO207" i="16"/>
  <c r="AE62" i="16"/>
  <c r="N105" i="16"/>
  <c r="AO11" i="16"/>
  <c r="BB13" i="16"/>
  <c r="N17" i="16"/>
  <c r="U20" i="16"/>
  <c r="U23" i="16"/>
  <c r="AO30" i="16"/>
  <c r="N44" i="16"/>
  <c r="AO73" i="16"/>
  <c r="N111" i="16"/>
  <c r="CD114" i="16"/>
  <c r="AE118" i="16"/>
  <c r="AE119" i="16"/>
  <c r="BB160" i="16"/>
  <c r="AE129" i="16"/>
  <c r="BB123" i="16"/>
  <c r="AE163" i="16"/>
  <c r="N104" i="16"/>
  <c r="U72" i="16"/>
  <c r="BW15" i="16"/>
  <c r="CD19" i="16"/>
  <c r="AE20" i="16"/>
  <c r="U22" i="16"/>
  <c r="D36" i="16"/>
  <c r="N41" i="16"/>
  <c r="U43" i="16"/>
  <c r="U46" i="16"/>
  <c r="AE48" i="16"/>
  <c r="BW59" i="16"/>
  <c r="N60" i="16"/>
  <c r="U63" i="16"/>
  <c r="BW78" i="16"/>
  <c r="AE83" i="16"/>
  <c r="D106" i="16"/>
  <c r="U111" i="16"/>
  <c r="AE113" i="16"/>
  <c r="AO118" i="16"/>
  <c r="CP119" i="16"/>
  <c r="AE130" i="16"/>
  <c r="AO131" i="16"/>
  <c r="BB133" i="16"/>
  <c r="D135" i="16"/>
  <c r="AE141" i="16"/>
  <c r="BW149" i="16"/>
  <c r="CD164" i="16"/>
  <c r="AE178" i="16"/>
  <c r="AO180" i="16"/>
  <c r="AE204" i="16"/>
  <c r="U42" i="16"/>
  <c r="N57" i="16"/>
  <c r="AE67" i="16"/>
  <c r="CD110" i="16"/>
  <c r="AE115" i="16"/>
  <c r="BB126" i="16"/>
  <c r="AE170" i="16"/>
  <c r="CP194" i="16"/>
  <c r="AO126" i="16"/>
  <c r="AE195" i="16"/>
  <c r="D13" i="16"/>
  <c r="N16" i="16"/>
  <c r="N18" i="16"/>
  <c r="AE34" i="16"/>
  <c r="AE36" i="16"/>
  <c r="AE42" i="16"/>
  <c r="CP48" i="16"/>
  <c r="AO72" i="16"/>
  <c r="D75" i="16"/>
  <c r="D76" i="16"/>
  <c r="AE88" i="16"/>
  <c r="AO91" i="16"/>
  <c r="BB96" i="16"/>
  <c r="D100" i="16"/>
  <c r="D101" i="16"/>
  <c r="D102" i="16"/>
  <c r="CD108" i="16"/>
  <c r="AE150" i="16"/>
  <c r="AE151" i="16"/>
  <c r="BB155" i="16"/>
  <c r="D157" i="16"/>
  <c r="U163" i="16"/>
  <c r="AO170" i="16"/>
  <c r="BB172" i="16"/>
  <c r="D174" i="16"/>
  <c r="U178" i="16"/>
  <c r="AE180" i="16"/>
  <c r="N188" i="16"/>
  <c r="U190" i="16"/>
  <c r="AE192" i="16"/>
  <c r="BB196" i="16"/>
  <c r="D198" i="16"/>
  <c r="BW200" i="16"/>
  <c r="U202" i="16"/>
  <c r="U205" i="16"/>
  <c r="BW207" i="16"/>
  <c r="AO119" i="16"/>
  <c r="U143" i="16"/>
  <c r="CD144" i="16"/>
  <c r="CD145" i="16"/>
  <c r="D173" i="16"/>
  <c r="N175" i="16"/>
  <c r="BW175" i="16"/>
  <c r="CD205" i="16"/>
  <c r="N13" i="16"/>
  <c r="U16" i="16"/>
  <c r="U19" i="16"/>
  <c r="AE31" i="16"/>
  <c r="AO32" i="16"/>
  <c r="AO34" i="16"/>
  <c r="AO35" i="16"/>
  <c r="AO36" i="16"/>
  <c r="CP41" i="16"/>
  <c r="AO42" i="16"/>
  <c r="AO45" i="16"/>
  <c r="D51" i="16"/>
  <c r="D71" i="16"/>
  <c r="CD83" i="16"/>
  <c r="AE85" i="16"/>
  <c r="CP86" i="16"/>
  <c r="CP87" i="16"/>
  <c r="AO88" i="16"/>
  <c r="BB91" i="16"/>
  <c r="N100" i="16"/>
  <c r="BW102" i="16"/>
  <c r="N186" i="16"/>
  <c r="AE190" i="16"/>
  <c r="AO192" i="16"/>
  <c r="AE202" i="16"/>
  <c r="BB120" i="16"/>
  <c r="U127" i="16"/>
  <c r="U130" i="16"/>
  <c r="AE131" i="16"/>
  <c r="CP132" i="16"/>
  <c r="N139" i="16"/>
  <c r="BW139" i="16"/>
  <c r="U208" i="16"/>
  <c r="U103" i="16"/>
  <c r="BW51" i="16"/>
  <c r="AE199" i="16"/>
  <c r="CP202" i="16"/>
  <c r="CP203" i="16"/>
  <c r="AO204" i="16"/>
  <c r="AO205" i="16"/>
  <c r="CP16" i="16"/>
  <c r="CP17" i="16"/>
  <c r="AO18" i="16"/>
  <c r="CP18" i="16"/>
  <c r="AO19" i="16"/>
  <c r="BB25" i="16"/>
  <c r="BB29" i="16"/>
  <c r="D35" i="16"/>
  <c r="N50" i="16"/>
  <c r="U51" i="16"/>
  <c r="CD51" i="16"/>
  <c r="AO55" i="16"/>
  <c r="N68" i="16"/>
  <c r="N69" i="16"/>
  <c r="U73" i="16"/>
  <c r="AE99" i="16"/>
  <c r="AO105" i="16"/>
  <c r="CP127" i="16"/>
  <c r="CP130" i="16"/>
  <c r="BB148" i="16"/>
  <c r="U155" i="16"/>
  <c r="AE157" i="16"/>
  <c r="N170" i="16"/>
  <c r="CD196" i="16"/>
  <c r="AO52" i="16"/>
  <c r="CD70" i="16"/>
  <c r="BW157" i="16"/>
  <c r="N66" i="16"/>
  <c r="AE142" i="16"/>
  <c r="N172" i="16"/>
  <c r="BB12" i="16"/>
  <c r="D19" i="16"/>
  <c r="N31" i="16"/>
  <c r="N32" i="16"/>
  <c r="N33" i="16"/>
  <c r="N34" i="16"/>
  <c r="BW35" i="16"/>
  <c r="U37" i="16"/>
  <c r="N40" i="16"/>
  <c r="BB45" i="16"/>
  <c r="BB48" i="16"/>
  <c r="N61" i="16"/>
  <c r="N62" i="16"/>
  <c r="BW62" i="16"/>
  <c r="AE66" i="16"/>
  <c r="CD67" i="16"/>
  <c r="AE68" i="16"/>
  <c r="AE71" i="16"/>
  <c r="CD71" i="16"/>
  <c r="AE74" i="16"/>
  <c r="CP83" i="16"/>
  <c r="AO84" i="16"/>
  <c r="BB87" i="16"/>
  <c r="D95" i="16"/>
  <c r="N99" i="16"/>
  <c r="D103" i="16"/>
  <c r="N107" i="16"/>
  <c r="BW108" i="16"/>
  <c r="N109" i="16"/>
  <c r="N110" i="16"/>
  <c r="BW113" i="16"/>
  <c r="U115" i="16"/>
  <c r="AO125" i="16"/>
  <c r="D132" i="16"/>
  <c r="N134" i="16"/>
  <c r="AE138" i="16"/>
  <c r="BB163" i="16"/>
  <c r="N171" i="16"/>
  <c r="BB178" i="16"/>
  <c r="BB179" i="16"/>
  <c r="D180" i="16"/>
  <c r="BW183" i="16"/>
  <c r="N196" i="16"/>
  <c r="BW198" i="16"/>
  <c r="U200" i="16"/>
  <c r="AE19" i="16"/>
  <c r="AE60" i="16"/>
  <c r="AE106" i="16"/>
  <c r="AO108" i="16"/>
  <c r="N141" i="16"/>
  <c r="U87" i="16"/>
  <c r="CP55" i="16"/>
  <c r="AE143" i="16"/>
  <c r="D11" i="16"/>
  <c r="N21" i="16"/>
  <c r="U24" i="16"/>
  <c r="U26" i="16"/>
  <c r="BW32" i="16"/>
  <c r="U33" i="16"/>
  <c r="CD33" i="16"/>
  <c r="AE39" i="16"/>
  <c r="U40" i="16"/>
  <c r="D52" i="16"/>
  <c r="N53" i="16"/>
  <c r="BW55" i="16"/>
  <c r="BW58" i="16"/>
  <c r="U61" i="16"/>
  <c r="U62" i="16"/>
  <c r="CP65" i="16"/>
  <c r="AO66" i="16"/>
  <c r="CP66" i="16"/>
  <c r="CP67" i="16"/>
  <c r="AO68" i="16"/>
  <c r="AO74" i="16"/>
  <c r="CP79" i="16"/>
  <c r="CP81" i="16"/>
  <c r="D88" i="16"/>
  <c r="N95" i="16"/>
  <c r="BW96" i="16"/>
  <c r="BW97" i="16"/>
  <c r="CP122" i="16"/>
  <c r="AO124" i="16"/>
  <c r="BB125" i="16"/>
  <c r="BW132" i="16"/>
  <c r="N144" i="16"/>
  <c r="N145" i="16"/>
  <c r="U150" i="16"/>
  <c r="AE154" i="16"/>
  <c r="D162" i="16"/>
  <c r="N180" i="16"/>
  <c r="N157" i="16"/>
  <c r="AO101" i="16"/>
  <c r="BB49" i="16"/>
  <c r="CD75" i="16"/>
  <c r="U81" i="16"/>
  <c r="N126" i="16"/>
  <c r="AE14" i="16"/>
  <c r="CP50" i="16"/>
  <c r="AO53" i="16"/>
  <c r="AO104" i="16"/>
  <c r="AO51" i="16"/>
  <c r="CP51" i="16"/>
  <c r="U75" i="16"/>
  <c r="BB41" i="16"/>
  <c r="U80" i="16"/>
  <c r="U82" i="16"/>
  <c r="N11" i="16"/>
  <c r="CD15" i="16"/>
  <c r="CD16" i="16"/>
  <c r="CD17" i="16"/>
  <c r="CD23" i="16"/>
  <c r="AE30" i="16"/>
  <c r="AO37" i="16"/>
  <c r="AO39" i="16"/>
  <c r="U49" i="16"/>
  <c r="U54" i="16"/>
  <c r="U55" i="16"/>
  <c r="CD57" i="16"/>
  <c r="CD58" i="16"/>
  <c r="CD61" i="16"/>
  <c r="AO64" i="16"/>
  <c r="BB66" i="16"/>
  <c r="BB67" i="16"/>
  <c r="BB68" i="16"/>
  <c r="BB79" i="16"/>
  <c r="BW86" i="16"/>
  <c r="N87" i="16"/>
  <c r="BW89" i="16"/>
  <c r="N91" i="16"/>
  <c r="N93" i="16"/>
  <c r="BW94" i="16"/>
  <c r="U95" i="16"/>
  <c r="U97" i="16"/>
  <c r="N101" i="16"/>
  <c r="AE107" i="16"/>
  <c r="U144" i="16"/>
  <c r="U145" i="16"/>
  <c r="U146" i="16"/>
  <c r="U148" i="16"/>
  <c r="CD148" i="16"/>
  <c r="BB156" i="16"/>
  <c r="N162" i="16"/>
  <c r="AO172" i="16"/>
  <c r="D176" i="16"/>
  <c r="U180" i="16"/>
  <c r="AE182" i="16"/>
  <c r="CP183" i="16"/>
  <c r="AO184" i="16"/>
  <c r="BW190" i="16"/>
  <c r="U192" i="16"/>
  <c r="CD192" i="16"/>
  <c r="N54" i="16"/>
  <c r="AE81" i="16"/>
  <c r="BB135" i="16"/>
  <c r="BB204" i="16"/>
  <c r="BB205" i="16"/>
  <c r="BW18" i="16"/>
  <c r="BW19" i="16"/>
  <c r="BW24" i="16"/>
  <c r="N25" i="16"/>
  <c r="BW26" i="16"/>
  <c r="BW36" i="16"/>
  <c r="D41" i="16"/>
  <c r="BB42" i="16"/>
  <c r="BB61" i="16"/>
  <c r="BB62" i="16"/>
  <c r="D64" i="16"/>
  <c r="N92" i="16"/>
  <c r="BW92" i="16"/>
  <c r="BW95" i="16"/>
  <c r="BW99" i="16"/>
  <c r="U100" i="16"/>
  <c r="N102" i="16"/>
  <c r="AE137" i="16"/>
  <c r="CP138" i="16"/>
  <c r="N149" i="16"/>
  <c r="CP157" i="16"/>
  <c r="AO159" i="16"/>
  <c r="AO161" i="16"/>
  <c r="AO181" i="16"/>
  <c r="N187" i="16"/>
  <c r="U189" i="16"/>
  <c r="AO193" i="16"/>
  <c r="CP196" i="16"/>
  <c r="BB199" i="16"/>
  <c r="BW123" i="16"/>
  <c r="AE168" i="16"/>
  <c r="AO81" i="16"/>
  <c r="AE165" i="16"/>
  <c r="CD115" i="16"/>
  <c r="BB201" i="16"/>
  <c r="CD47" i="16"/>
  <c r="CP71" i="16"/>
  <c r="BB69" i="16"/>
  <c r="BB206" i="16"/>
  <c r="CP60" i="16"/>
  <c r="BW23" i="16"/>
  <c r="BW65" i="16"/>
  <c r="CD97" i="16"/>
  <c r="CD99" i="16"/>
  <c r="N151" i="16"/>
  <c r="AE155" i="16"/>
  <c r="BW186" i="16"/>
  <c r="BB111" i="16"/>
  <c r="BW129" i="16"/>
  <c r="U125" i="16"/>
  <c r="U129" i="16"/>
  <c r="D111" i="16"/>
  <c r="N155" i="16"/>
  <c r="D69" i="16"/>
  <c r="CD87" i="16"/>
  <c r="BB139" i="16"/>
  <c r="N168" i="16"/>
  <c r="BW168" i="16"/>
  <c r="U170" i="16"/>
  <c r="CD171" i="16"/>
  <c r="AE173" i="16"/>
  <c r="AE174" i="16"/>
  <c r="CP174" i="16"/>
  <c r="N185" i="16"/>
  <c r="BW185" i="16"/>
  <c r="U186" i="16"/>
  <c r="CD79" i="16"/>
  <c r="CD81" i="16"/>
  <c r="N124" i="16"/>
  <c r="BW44" i="16"/>
  <c r="D109" i="16"/>
  <c r="BW115" i="16"/>
  <c r="N108" i="16"/>
  <c r="AE11" i="16"/>
  <c r="AE18" i="16"/>
  <c r="AE35" i="16"/>
  <c r="CP36" i="16"/>
  <c r="AE38" i="16"/>
  <c r="D55" i="16"/>
  <c r="CP70" i="16"/>
  <c r="U74" i="16"/>
  <c r="U78" i="16"/>
  <c r="U79" i="16"/>
  <c r="CD82" i="16"/>
  <c r="AE84" i="16"/>
  <c r="CP90" i="16"/>
  <c r="AE92" i="16"/>
  <c r="AE94" i="16"/>
  <c r="D123" i="16"/>
  <c r="N125" i="16"/>
  <c r="BW127" i="16"/>
  <c r="BW130" i="16"/>
  <c r="U131" i="16"/>
  <c r="AE134" i="16"/>
  <c r="BW167" i="16"/>
  <c r="AO174" i="16"/>
  <c r="BB176" i="16"/>
  <c r="D181" i="16"/>
  <c r="N183" i="16"/>
  <c r="N184" i="16"/>
  <c r="BW184" i="16"/>
  <c r="CP189" i="16"/>
  <c r="D15" i="16"/>
  <c r="AO17" i="16"/>
  <c r="U21" i="16"/>
  <c r="CD24" i="16"/>
  <c r="U27" i="16"/>
  <c r="BW27" i="16"/>
  <c r="U28" i="16"/>
  <c r="D32" i="16"/>
  <c r="D34" i="16"/>
  <c r="CP38" i="16"/>
  <c r="BW40" i="16"/>
  <c r="BW63" i="16"/>
  <c r="BW69" i="16"/>
  <c r="BW70" i="16"/>
  <c r="D84" i="16"/>
  <c r="BB89" i="16"/>
  <c r="CP93" i="16"/>
  <c r="AO94" i="16"/>
  <c r="CP94" i="16"/>
  <c r="CP97" i="16"/>
  <c r="AO98" i="16"/>
  <c r="U102" i="16"/>
  <c r="CD106" i="16"/>
  <c r="U114" i="16"/>
  <c r="N178" i="16"/>
  <c r="N179" i="16"/>
  <c r="N181" i="16"/>
  <c r="U183" i="16"/>
  <c r="AO188" i="16"/>
  <c r="BW61" i="16"/>
  <c r="BB157" i="16"/>
  <c r="N199" i="16"/>
  <c r="U201" i="16"/>
  <c r="CD201" i="16"/>
  <c r="U206" i="16"/>
  <c r="CD206" i="16"/>
  <c r="BW11" i="16"/>
  <c r="BW12" i="16"/>
  <c r="BW14" i="16"/>
  <c r="CD21" i="16"/>
  <c r="AE22" i="16"/>
  <c r="AE26" i="16"/>
  <c r="AE27" i="16"/>
  <c r="BB38" i="16"/>
  <c r="CD41" i="16"/>
  <c r="N43" i="16"/>
  <c r="D48" i="16"/>
  <c r="AE55" i="16"/>
  <c r="U58" i="16"/>
  <c r="U59" i="16"/>
  <c r="CD59" i="16"/>
  <c r="U60" i="16"/>
  <c r="CD62" i="16"/>
  <c r="AE65" i="16"/>
  <c r="U69" i="16"/>
  <c r="BB72" i="16"/>
  <c r="D73" i="16"/>
  <c r="N76" i="16"/>
  <c r="N77" i="16"/>
  <c r="N90" i="16"/>
  <c r="AE104" i="16"/>
  <c r="CP107" i="16"/>
  <c r="CP112" i="16"/>
  <c r="AO121" i="16"/>
  <c r="AO129" i="16"/>
  <c r="N136" i="16"/>
  <c r="BW136" i="16"/>
  <c r="BW137" i="16"/>
  <c r="U138" i="16"/>
  <c r="BW138" i="16"/>
  <c r="CD139" i="16"/>
  <c r="D169" i="16"/>
  <c r="D172" i="16"/>
  <c r="CD176" i="16"/>
  <c r="CD11" i="16"/>
  <c r="U15" i="16"/>
  <c r="D18" i="16"/>
  <c r="AE140" i="16"/>
  <c r="CP149" i="16"/>
  <c r="BB154" i="16"/>
  <c r="BW162" i="16"/>
  <c r="N164" i="16"/>
  <c r="AE206" i="16"/>
  <c r="CD12" i="16"/>
  <c r="CD14" i="16"/>
  <c r="AO21" i="16"/>
  <c r="CP21" i="16"/>
  <c r="CP25" i="16"/>
  <c r="AO27" i="16"/>
  <c r="CP27" i="16"/>
  <c r="AE29" i="16"/>
  <c r="CD30" i="16"/>
  <c r="BW31" i="16"/>
  <c r="BW34" i="16"/>
  <c r="N36" i="16"/>
  <c r="CP40" i="16"/>
  <c r="CD42" i="16"/>
  <c r="N48" i="16"/>
  <c r="AO54" i="16"/>
  <c r="CP54" i="16"/>
  <c r="CP63" i="16"/>
  <c r="CP64" i="16"/>
  <c r="AO65" i="16"/>
  <c r="BW71" i="16"/>
  <c r="U76" i="16"/>
  <c r="BW80" i="16"/>
  <c r="N82" i="16"/>
  <c r="N83" i="16"/>
  <c r="BW83" i="16"/>
  <c r="U86" i="16"/>
  <c r="BW87" i="16"/>
  <c r="BW88" i="16"/>
  <c r="N89" i="16"/>
  <c r="U90" i="16"/>
  <c r="D94" i="16"/>
  <c r="D98" i="16"/>
  <c r="D99" i="16"/>
  <c r="CP105" i="16"/>
  <c r="AO106" i="16"/>
  <c r="BB108" i="16"/>
  <c r="AO110" i="16"/>
  <c r="BB115" i="16"/>
  <c r="BB124" i="16"/>
  <c r="D126" i="16"/>
  <c r="D128" i="16"/>
  <c r="D131" i="16"/>
  <c r="BW133" i="16"/>
  <c r="U135" i="16"/>
  <c r="AO143" i="16"/>
  <c r="AO144" i="16"/>
  <c r="D154" i="16"/>
  <c r="BW163" i="16"/>
  <c r="BW166" i="16"/>
  <c r="BW169" i="16"/>
  <c r="BW170" i="16"/>
  <c r="BW172" i="16"/>
  <c r="U174" i="16"/>
  <c r="CD174" i="16"/>
  <c r="AO183" i="16"/>
  <c r="D188" i="16"/>
  <c r="N190" i="16"/>
  <c r="CD195" i="16"/>
  <c r="U198" i="16"/>
  <c r="AE207" i="16"/>
  <c r="CD207" i="16"/>
  <c r="N51" i="16"/>
  <c r="BW90" i="16"/>
  <c r="CP101" i="16"/>
  <c r="AE102" i="16"/>
  <c r="CP121" i="16"/>
  <c r="AE123" i="16"/>
  <c r="AE125" i="16"/>
  <c r="AE127" i="16"/>
  <c r="CD128" i="16"/>
  <c r="AE133" i="16"/>
  <c r="CP134" i="16"/>
  <c r="BW151" i="16"/>
  <c r="U153" i="16"/>
  <c r="AE169" i="16"/>
  <c r="CP173" i="16"/>
  <c r="BB162" i="16"/>
  <c r="CD13" i="16"/>
  <c r="BB158" i="16"/>
  <c r="CD36" i="16"/>
  <c r="BB63" i="16"/>
  <c r="AE184" i="16"/>
  <c r="AO13" i="16"/>
  <c r="CP13" i="16"/>
  <c r="CP14" i="16"/>
  <c r="AO15" i="16"/>
  <c r="BW22" i="16"/>
  <c r="N24" i="16"/>
  <c r="CD37" i="16"/>
  <c r="BB40" i="16"/>
  <c r="D49" i="16"/>
  <c r="BB50" i="16"/>
  <c r="AE54" i="16"/>
  <c r="CD55" i="16"/>
  <c r="U56" i="16"/>
  <c r="U57" i="16"/>
  <c r="N58" i="16"/>
  <c r="D61" i="16"/>
  <c r="D63" i="16"/>
  <c r="N75" i="16"/>
  <c r="D104" i="16"/>
  <c r="N132" i="16"/>
  <c r="CP184" i="16"/>
  <c r="CP185" i="16"/>
  <c r="N195" i="16"/>
  <c r="AO43" i="16"/>
  <c r="D53" i="16"/>
  <c r="CD64" i="16"/>
  <c r="CD89" i="16"/>
  <c r="CD90" i="16"/>
  <c r="BW150" i="16"/>
  <c r="CP166" i="16"/>
  <c r="BW13" i="16"/>
  <c r="BB17" i="16"/>
  <c r="N30" i="16"/>
  <c r="D105" i="16"/>
  <c r="BW135" i="16"/>
  <c r="BW76" i="16"/>
  <c r="BW77" i="16"/>
  <c r="N78" i="16"/>
  <c r="D80" i="16"/>
  <c r="N127" i="16"/>
  <c r="BW131" i="16"/>
  <c r="N133" i="16"/>
  <c r="CD134" i="16"/>
  <c r="AE139" i="16"/>
  <c r="CP139" i="16"/>
  <c r="N194" i="16"/>
  <c r="BW194" i="16"/>
  <c r="BW195" i="16"/>
  <c r="N198" i="16"/>
  <c r="BB52" i="16"/>
  <c r="N42" i="16"/>
  <c r="CP169" i="16"/>
  <c r="D31" i="16"/>
  <c r="U70" i="16"/>
  <c r="CD27" i="16"/>
  <c r="CP188" i="16"/>
  <c r="N201" i="16"/>
  <c r="N56" i="16"/>
  <c r="N12" i="16"/>
  <c r="U18" i="16"/>
  <c r="CD22" i="16"/>
  <c r="U39" i="16"/>
  <c r="N49" i="16"/>
  <c r="BB51" i="16"/>
  <c r="CP47" i="16"/>
  <c r="CP164" i="16"/>
  <c r="BW41" i="16"/>
  <c r="U14" i="16"/>
  <c r="D57" i="16"/>
  <c r="AO63" i="16"/>
  <c r="N205" i="16"/>
  <c r="U30" i="16"/>
  <c r="AO83" i="16"/>
  <c r="BW181" i="16"/>
  <c r="BW206" i="16"/>
  <c r="U11" i="16"/>
  <c r="AO16" i="16"/>
  <c r="AE17" i="16"/>
  <c r="CD18" i="16"/>
  <c r="D20" i="16"/>
  <c r="AE23" i="16"/>
  <c r="D26" i="16"/>
  <c r="AE32" i="16"/>
  <c r="CD32" i="16"/>
  <c r="AE46" i="16"/>
  <c r="U48" i="16"/>
  <c r="BW48" i="16"/>
  <c r="BW67" i="16"/>
  <c r="AO71" i="16"/>
  <c r="CD72" i="16"/>
  <c r="CD74" i="16"/>
  <c r="AE75" i="16"/>
  <c r="CD76" i="16"/>
  <c r="U77" i="16"/>
  <c r="D92" i="16"/>
  <c r="BB93" i="16"/>
  <c r="CP100" i="16"/>
  <c r="CD102" i="16"/>
  <c r="AE122" i="16"/>
  <c r="U124" i="16"/>
  <c r="CD125" i="16"/>
  <c r="U126" i="16"/>
  <c r="CD132" i="16"/>
  <c r="AE135" i="16"/>
  <c r="CP135" i="16"/>
  <c r="U172" i="16"/>
  <c r="CD172" i="16"/>
  <c r="AE175" i="16"/>
  <c r="CP175" i="16"/>
  <c r="AO176" i="16"/>
  <c r="CP177" i="16"/>
  <c r="CP20" i="16"/>
  <c r="D24" i="16"/>
  <c r="CD26" i="16"/>
  <c r="N28" i="16"/>
  <c r="CP30" i="16"/>
  <c r="CD31" i="16"/>
  <c r="N37" i="16"/>
  <c r="AE44" i="16"/>
  <c r="CD44" i="16"/>
  <c r="CD45" i="16"/>
  <c r="CD46" i="16"/>
  <c r="U47" i="16"/>
  <c r="AE53" i="16"/>
  <c r="BW54" i="16"/>
  <c r="BB56" i="16"/>
  <c r="BB58" i="16"/>
  <c r="CP58" i="16"/>
  <c r="CP59" i="16"/>
  <c r="AE61" i="16"/>
  <c r="CD63" i="16"/>
  <c r="U64" i="16"/>
  <c r="U65" i="16"/>
  <c r="U66" i="16"/>
  <c r="BW66" i="16"/>
  <c r="U67" i="16"/>
  <c r="AO70" i="16"/>
  <c r="N72" i="16"/>
  <c r="BB77" i="16"/>
  <c r="CP80" i="16"/>
  <c r="AE82" i="16"/>
  <c r="U84" i="16"/>
  <c r="BW84" i="16"/>
  <c r="BB92" i="16"/>
  <c r="AO93" i="16"/>
  <c r="CP95" i="16"/>
  <c r="BB104" i="16"/>
  <c r="BB107" i="16"/>
  <c r="CP108" i="16"/>
  <c r="BW124" i="16"/>
  <c r="BW125" i="16"/>
  <c r="D127" i="16"/>
  <c r="N137" i="16"/>
  <c r="N138" i="16"/>
  <c r="BW140" i="16"/>
  <c r="CD142" i="16"/>
  <c r="CD143" i="16"/>
  <c r="N147" i="16"/>
  <c r="BW148" i="16"/>
  <c r="N152" i="16"/>
  <c r="BW153" i="16"/>
  <c r="U154" i="16"/>
  <c r="BW155" i="16"/>
  <c r="N156" i="16"/>
  <c r="U184" i="16"/>
  <c r="CD184" i="16"/>
  <c r="CD185" i="16"/>
  <c r="AE188" i="16"/>
  <c r="D204" i="16"/>
  <c r="CP207" i="16"/>
  <c r="AE16" i="16"/>
  <c r="BB22" i="16"/>
  <c r="U25" i="16"/>
  <c r="CP28" i="16"/>
  <c r="CD29" i="16"/>
  <c r="D45" i="16"/>
  <c r="D47" i="16"/>
  <c r="AE57" i="16"/>
  <c r="BW60" i="16"/>
  <c r="CD69" i="16"/>
  <c r="AO90" i="16"/>
  <c r="N98" i="16"/>
  <c r="CP171" i="16"/>
  <c r="CP172" i="16"/>
  <c r="CP179" i="16"/>
  <c r="N192" i="16"/>
  <c r="BW196" i="16"/>
  <c r="BW197" i="16"/>
  <c r="U17" i="16"/>
  <c r="N22" i="16"/>
  <c r="BW25" i="16"/>
  <c r="BW43" i="16"/>
  <c r="AE58" i="16"/>
  <c r="AE69" i="16"/>
  <c r="D85" i="16"/>
  <c r="AO89" i="16"/>
  <c r="BW98" i="16"/>
  <c r="BW109" i="16"/>
  <c r="BW114" i="16"/>
  <c r="D117" i="16"/>
  <c r="D120" i="16"/>
  <c r="BB145" i="16"/>
  <c r="BB152" i="16"/>
  <c r="BB166" i="16"/>
  <c r="AE200" i="16"/>
  <c r="BB11" i="16"/>
  <c r="BB19" i="16"/>
  <c r="BW21" i="16"/>
  <c r="BB23" i="16"/>
  <c r="BB24" i="16"/>
  <c r="CP24" i="16"/>
  <c r="CD25" i="16"/>
  <c r="D28" i="16"/>
  <c r="CP29" i="16"/>
  <c r="D37" i="16"/>
  <c r="CD43" i="16"/>
  <c r="N45" i="16"/>
  <c r="BW46" i="16"/>
  <c r="AO49" i="16"/>
  <c r="CP49" i="16"/>
  <c r="U53" i="16"/>
  <c r="CP57" i="16"/>
  <c r="AO58" i="16"/>
  <c r="N64" i="16"/>
  <c r="N65" i="16"/>
  <c r="AO69" i="16"/>
  <c r="CP69" i="16"/>
  <c r="BB73" i="16"/>
  <c r="U83" i="16"/>
  <c r="N85" i="16"/>
  <c r="U96" i="16"/>
  <c r="CD96" i="16"/>
  <c r="CD98" i="16"/>
  <c r="AO107" i="16"/>
  <c r="U110" i="16"/>
  <c r="CD111" i="16"/>
  <c r="CD113" i="16"/>
  <c r="BW142" i="16"/>
  <c r="D146" i="16"/>
  <c r="D147" i="16"/>
  <c r="N154" i="16"/>
  <c r="N158" i="16"/>
  <c r="N159" i="16"/>
  <c r="BW160" i="16"/>
  <c r="BW161" i="16"/>
  <c r="BB170" i="16"/>
  <c r="D171" i="16"/>
  <c r="BB171" i="16"/>
  <c r="BW187" i="16"/>
  <c r="U188" i="16"/>
  <c r="U191" i="16"/>
  <c r="CD191" i="16"/>
  <c r="AE194" i="16"/>
  <c r="AE76" i="16"/>
  <c r="CD78" i="16"/>
  <c r="D89" i="16"/>
  <c r="BB95" i="16"/>
  <c r="CD103" i="16"/>
  <c r="CD104" i="16"/>
  <c r="U105" i="16"/>
  <c r="BW105" i="16"/>
  <c r="U106" i="16"/>
  <c r="BW107" i="16"/>
  <c r="BB110" i="16"/>
  <c r="BB128" i="16"/>
  <c r="CP133" i="16"/>
  <c r="CP136" i="16"/>
  <c r="CP140" i="16"/>
  <c r="AE149" i="16"/>
  <c r="N166" i="16"/>
  <c r="BB182" i="16"/>
  <c r="CP191" i="16"/>
  <c r="AO194" i="16"/>
  <c r="AE198" i="16"/>
  <c r="AO200" i="16"/>
  <c r="CP200" i="16"/>
  <c r="CP201" i="16"/>
  <c r="U207" i="16"/>
  <c r="BW72" i="16"/>
  <c r="N73" i="16"/>
  <c r="D74" i="16"/>
  <c r="BB75" i="16"/>
  <c r="AO76" i="16"/>
  <c r="CP76" i="16"/>
  <c r="AE78" i="16"/>
  <c r="AE79" i="16"/>
  <c r="D83" i="16"/>
  <c r="BB83" i="16"/>
  <c r="AO86" i="16"/>
  <c r="N88" i="16"/>
  <c r="D91" i="16"/>
  <c r="BW93" i="16"/>
  <c r="BB97" i="16"/>
  <c r="CD105" i="16"/>
  <c r="U107" i="16"/>
  <c r="BB112" i="16"/>
  <c r="AO114" i="16"/>
  <c r="BW121" i="16"/>
  <c r="D124" i="16"/>
  <c r="D125" i="16"/>
  <c r="AO130" i="16"/>
  <c r="BB131" i="16"/>
  <c r="BB134" i="16"/>
  <c r="CP144" i="16"/>
  <c r="AE146" i="16"/>
  <c r="CP153" i="16"/>
  <c r="AE156" i="16"/>
  <c r="AE162" i="16"/>
  <c r="BW165" i="16"/>
  <c r="D186" i="16"/>
  <c r="BB186" i="16"/>
  <c r="BB187" i="16"/>
  <c r="D190" i="16"/>
  <c r="CP156" i="16"/>
  <c r="CP160" i="16"/>
  <c r="N169" i="16"/>
  <c r="BB200" i="16"/>
  <c r="BB202" i="16"/>
  <c r="AE59" i="16"/>
  <c r="CD60" i="16"/>
  <c r="BB64" i="16"/>
  <c r="BW73" i="16"/>
  <c r="BB76" i="16"/>
  <c r="AO78" i="16"/>
  <c r="AO79" i="16"/>
  <c r="AE80" i="16"/>
  <c r="BB85" i="16"/>
  <c r="U88" i="16"/>
  <c r="U89" i="16"/>
  <c r="AO92" i="16"/>
  <c r="CP92" i="16"/>
  <c r="CD94" i="16"/>
  <c r="BB98" i="16"/>
  <c r="AE100" i="16"/>
  <c r="CD100" i="16"/>
  <c r="CP103" i="16"/>
  <c r="CP104" i="16"/>
  <c r="AE105" i="16"/>
  <c r="CD107" i="16"/>
  <c r="D110" i="16"/>
  <c r="D112" i="16"/>
  <c r="BB114" i="16"/>
  <c r="CD127" i="16"/>
  <c r="N128" i="16"/>
  <c r="D129" i="16"/>
  <c r="D134" i="16"/>
  <c r="D136" i="16"/>
  <c r="D137" i="16"/>
  <c r="BB137" i="16"/>
  <c r="D138" i="16"/>
  <c r="BB138" i="16"/>
  <c r="BB140" i="16"/>
  <c r="D142" i="16"/>
  <c r="D143" i="16"/>
  <c r="CP145" i="16"/>
  <c r="CP147" i="16"/>
  <c r="BB149" i="16"/>
  <c r="BB153" i="16"/>
  <c r="CP155" i="16"/>
  <c r="BB159" i="16"/>
  <c r="AE164" i="16"/>
  <c r="AE166" i="16"/>
  <c r="CD168" i="16"/>
  <c r="CD169" i="16"/>
  <c r="CD170" i="16"/>
  <c r="U171" i="16"/>
  <c r="BW174" i="16"/>
  <c r="N177" i="16"/>
  <c r="BW177" i="16"/>
  <c r="D191" i="16"/>
  <c r="D192" i="16"/>
  <c r="D193" i="16"/>
  <c r="BB198" i="16"/>
  <c r="BB203" i="16"/>
  <c r="AO206" i="16"/>
  <c r="CP206" i="16"/>
  <c r="BB84" i="16"/>
  <c r="CP150" i="16"/>
  <c r="AE49" i="16"/>
  <c r="BW33" i="16"/>
  <c r="CD73" i="16"/>
  <c r="BB191" i="16"/>
  <c r="N23" i="16"/>
  <c r="AE33" i="16"/>
  <c r="BB39" i="16"/>
  <c r="N59" i="16"/>
  <c r="D81" i="16"/>
  <c r="AO82" i="16"/>
  <c r="U121" i="16"/>
  <c r="N189" i="16"/>
  <c r="BW189" i="16"/>
  <c r="BB174" i="16"/>
  <c r="BW53" i="16"/>
  <c r="CP23" i="16"/>
  <c r="CP192" i="16"/>
  <c r="BW17" i="16"/>
  <c r="N27" i="16"/>
  <c r="BB14" i="16"/>
  <c r="CD84" i="16"/>
  <c r="U85" i="16"/>
  <c r="BW111" i="16"/>
  <c r="AE121" i="16"/>
  <c r="AO135" i="16"/>
  <c r="AE136" i="16"/>
  <c r="BW158" i="16"/>
  <c r="BW159" i="16"/>
  <c r="N160" i="16"/>
  <c r="N161" i="16"/>
  <c r="D164" i="16"/>
  <c r="CP165" i="16"/>
  <c r="AE177" i="16"/>
  <c r="CD181" i="16"/>
  <c r="CD182" i="16"/>
  <c r="CD183" i="16"/>
  <c r="BW188" i="16"/>
  <c r="AE21" i="16"/>
  <c r="BR6" i="16"/>
  <c r="D90" i="16"/>
  <c r="BW37" i="16"/>
  <c r="N63" i="16"/>
  <c r="BW143" i="16"/>
  <c r="CP193" i="16"/>
  <c r="N14" i="16"/>
  <c r="BW20" i="16"/>
  <c r="AO22" i="16"/>
  <c r="CP26" i="16"/>
  <c r="U29" i="16"/>
  <c r="BW29" i="16"/>
  <c r="BB35" i="16"/>
  <c r="CP35" i="16"/>
  <c r="CP37" i="16"/>
  <c r="CD38" i="16"/>
  <c r="N39" i="16"/>
  <c r="AE43" i="16"/>
  <c r="U44" i="16"/>
  <c r="CP46" i="16"/>
  <c r="CP61" i="16"/>
  <c r="D66" i="16"/>
  <c r="U91" i="16"/>
  <c r="BW91" i="16"/>
  <c r="D97" i="16"/>
  <c r="AE110" i="16"/>
  <c r="AO117" i="16"/>
  <c r="CP118" i="16"/>
  <c r="AO136" i="16"/>
  <c r="U159" i="16"/>
  <c r="CD159" i="16"/>
  <c r="U160" i="16"/>
  <c r="U161" i="16"/>
  <c r="AE176" i="16"/>
  <c r="AO203" i="16"/>
  <c r="CP11" i="16"/>
  <c r="AO29" i="16"/>
  <c r="BW122" i="16"/>
  <c r="AE37" i="16"/>
  <c r="U99" i="16"/>
  <c r="CD20" i="16"/>
  <c r="D22" i="16"/>
  <c r="U32" i="16"/>
  <c r="CP33" i="16"/>
  <c r="CP88" i="16"/>
  <c r="N96" i="16"/>
  <c r="BW106" i="16"/>
  <c r="CP109" i="16"/>
  <c r="BB116" i="16"/>
  <c r="CD158" i="16"/>
  <c r="CD160" i="16"/>
  <c r="N163" i="16"/>
  <c r="AE183" i="16"/>
  <c r="BW49" i="16"/>
  <c r="N15" i="16"/>
  <c r="BB190" i="16"/>
  <c r="AE24" i="16"/>
  <c r="CP39" i="16"/>
  <c r="AE13" i="16"/>
  <c r="BB46" i="16"/>
  <c r="AE181" i="16"/>
  <c r="N200" i="16"/>
  <c r="D202" i="16"/>
  <c r="BB173" i="16"/>
  <c r="BB27" i="16"/>
  <c r="CP34" i="16"/>
  <c r="CD77" i="16"/>
  <c r="U12" i="16"/>
  <c r="BB15" i="16"/>
  <c r="CP15" i="16"/>
  <c r="D17" i="16"/>
  <c r="AO20" i="16"/>
  <c r="CP22" i="16"/>
  <c r="AE25" i="16"/>
  <c r="CD34" i="16"/>
  <c r="AE41" i="16"/>
  <c r="D46" i="16"/>
  <c r="CD48" i="16"/>
  <c r="D54" i="16"/>
  <c r="AE64" i="16"/>
  <c r="CP68" i="16"/>
  <c r="BB74" i="16"/>
  <c r="BB88" i="16"/>
  <c r="CD95" i="16"/>
  <c r="D133" i="16"/>
  <c r="AE152" i="16"/>
  <c r="N167" i="16"/>
  <c r="BW199" i="16"/>
  <c r="D203" i="16"/>
  <c r="D56" i="16"/>
  <c r="BW64" i="16"/>
  <c r="CD66" i="16"/>
  <c r="N70" i="16"/>
  <c r="BW82" i="16"/>
  <c r="D86" i="16"/>
  <c r="BB86" i="16"/>
  <c r="CD88" i="16"/>
  <c r="D96" i="16"/>
  <c r="BB103" i="16"/>
  <c r="N106" i="16"/>
  <c r="N122" i="16"/>
  <c r="CD136" i="16"/>
  <c r="CD137" i="16"/>
  <c r="CD138" i="16"/>
  <c r="U139" i="16"/>
  <c r="N143" i="16"/>
  <c r="D145" i="16"/>
  <c r="CP146" i="16"/>
  <c r="AO147" i="16"/>
  <c r="U152" i="16"/>
  <c r="CD152" i="16"/>
  <c r="CD153" i="16"/>
  <c r="CP163" i="16"/>
  <c r="AO164" i="16"/>
  <c r="CD166" i="16"/>
  <c r="U167" i="16"/>
  <c r="AO175" i="16"/>
  <c r="BW182" i="16"/>
  <c r="CD194" i="16"/>
  <c r="U195" i="16"/>
  <c r="D197" i="16"/>
  <c r="BB197" i="16"/>
  <c r="BW45" i="16"/>
  <c r="N46" i="16"/>
  <c r="BW56" i="16"/>
  <c r="CP62" i="16"/>
  <c r="AO77" i="16"/>
  <c r="N81" i="16"/>
  <c r="CP82" i="16"/>
  <c r="N84" i="16"/>
  <c r="CD85" i="16"/>
  <c r="CP110" i="16"/>
  <c r="D114" i="16"/>
  <c r="CP114" i="16"/>
  <c r="CP120" i="16"/>
  <c r="CD130" i="16"/>
  <c r="CD131" i="16"/>
  <c r="U132" i="16"/>
  <c r="AO140" i="16"/>
  <c r="AO141" i="16"/>
  <c r="CP141" i="16"/>
  <c r="CP142" i="16"/>
  <c r="N148" i="16"/>
  <c r="D150" i="16"/>
  <c r="BB151" i="16"/>
  <c r="AE159" i="16"/>
  <c r="CP180" i="16"/>
  <c r="CP181" i="16"/>
  <c r="AO182" i="16"/>
  <c r="AE186" i="16"/>
  <c r="CD187" i="16"/>
  <c r="CD188" i="16"/>
  <c r="CD189" i="16"/>
  <c r="CD199" i="16"/>
  <c r="CD200" i="16"/>
  <c r="N202" i="16"/>
  <c r="U41" i="16"/>
  <c r="CP42" i="16"/>
  <c r="AE45" i="16"/>
  <c r="U52" i="16"/>
  <c r="CP53" i="16"/>
  <c r="BB55" i="16"/>
  <c r="AE56" i="16"/>
  <c r="CD56" i="16"/>
  <c r="D58" i="16"/>
  <c r="CD65" i="16"/>
  <c r="CP73" i="16"/>
  <c r="D77" i="16"/>
  <c r="CP77" i="16"/>
  <c r="D82" i="16"/>
  <c r="AO85" i="16"/>
  <c r="CD93" i="16"/>
  <c r="CP98" i="16"/>
  <c r="BB119" i="16"/>
  <c r="AO120" i="16"/>
  <c r="CD123" i="16"/>
  <c r="BB129" i="16"/>
  <c r="AO142" i="16"/>
  <c r="BW147" i="16"/>
  <c r="D151" i="16"/>
  <c r="AO155" i="16"/>
  <c r="AO156" i="16"/>
  <c r="AO157" i="16"/>
  <c r="BB167" i="16"/>
  <c r="AO169" i="16"/>
  <c r="U176" i="16"/>
  <c r="BW176" i="16"/>
  <c r="U177" i="16"/>
  <c r="D179" i="16"/>
  <c r="BB195" i="16"/>
  <c r="AE197" i="16"/>
  <c r="BB47" i="16"/>
  <c r="BW81" i="16"/>
  <c r="CP85" i="16"/>
  <c r="CD112" i="16"/>
  <c r="U113" i="16"/>
  <c r="BB184" i="16"/>
  <c r="AO186" i="16"/>
  <c r="AO196" i="16"/>
  <c r="CD80" i="16"/>
  <c r="AO115" i="16"/>
  <c r="CP115" i="16"/>
  <c r="U118" i="16"/>
  <c r="AO123" i="16"/>
  <c r="AE124" i="16"/>
  <c r="CD124" i="16"/>
  <c r="BW128" i="16"/>
  <c r="N129" i="16"/>
  <c r="D140" i="16"/>
  <c r="BB141" i="16"/>
  <c r="CD147" i="16"/>
  <c r="N150" i="16"/>
  <c r="N153" i="16"/>
  <c r="D168" i="16"/>
  <c r="BB168" i="16"/>
  <c r="D184" i="16"/>
  <c r="D185" i="16"/>
  <c r="AO197" i="16"/>
  <c r="CP197" i="16"/>
  <c r="CP198" i="16"/>
  <c r="AO199" i="16"/>
  <c r="CD50" i="16"/>
  <c r="AE52" i="16"/>
  <c r="CD54" i="16"/>
  <c r="CP56" i="16"/>
  <c r="BW57" i="16"/>
  <c r="CD68" i="16"/>
  <c r="D70" i="16"/>
  <c r="BB70" i="16"/>
  <c r="AO80" i="16"/>
  <c r="CP89" i="16"/>
  <c r="D93" i="16"/>
  <c r="CP96" i="16"/>
  <c r="AO103" i="16"/>
  <c r="CD117" i="16"/>
  <c r="CP123" i="16"/>
  <c r="D141" i="16"/>
  <c r="BB144" i="16"/>
  <c r="BW152" i="16"/>
  <c r="D155" i="16"/>
  <c r="BB161" i="16"/>
  <c r="U166" i="16"/>
  <c r="CD177" i="16"/>
  <c r="AO187" i="16"/>
  <c r="CP187" i="16"/>
  <c r="U194" i="16"/>
  <c r="D196" i="16"/>
  <c r="CD204" i="16"/>
  <c r="AE111" i="16"/>
  <c r="BW116" i="16"/>
  <c r="BB142" i="16"/>
  <c r="CP152" i="16"/>
  <c r="CP158" i="16"/>
  <c r="CP159" i="16"/>
  <c r="AE171" i="16"/>
  <c r="N173" i="16"/>
  <c r="BB175" i="16"/>
  <c r="CP176" i="16"/>
  <c r="BW178" i="16"/>
  <c r="CP182" i="16"/>
  <c r="U185" i="16"/>
  <c r="D187" i="16"/>
  <c r="CP199" i="16"/>
  <c r="AE201" i="16"/>
  <c r="CP204" i="16"/>
  <c r="N206" i="16"/>
  <c r="N94" i="16"/>
  <c r="AE95" i="16"/>
  <c r="U98" i="16"/>
  <c r="N103" i="16"/>
  <c r="D113" i="16"/>
  <c r="CP113" i="16"/>
  <c r="AE116" i="16"/>
  <c r="BB118" i="16"/>
  <c r="BB121" i="16"/>
  <c r="AO122" i="16"/>
  <c r="U123" i="16"/>
  <c r="CP124" i="16"/>
  <c r="CP126" i="16"/>
  <c r="N130" i="16"/>
  <c r="CP131" i="16"/>
  <c r="CD133" i="16"/>
  <c r="U134" i="16"/>
  <c r="BW134" i="16"/>
  <c r="CP137" i="16"/>
  <c r="AO138" i="16"/>
  <c r="U140" i="16"/>
  <c r="N146" i="16"/>
  <c r="AO148" i="16"/>
  <c r="CD149" i="16"/>
  <c r="D152" i="16"/>
  <c r="AO153" i="16"/>
  <c r="CD154" i="16"/>
  <c r="D158" i="16"/>
  <c r="AO160" i="16"/>
  <c r="CD167" i="16"/>
  <c r="U168" i="16"/>
  <c r="D170" i="16"/>
  <c r="AO171" i="16"/>
  <c r="U173" i="16"/>
  <c r="BW173" i="16"/>
  <c r="N174" i="16"/>
  <c r="CD178" i="16"/>
  <c r="D182" i="16"/>
  <c r="CD190" i="16"/>
  <c r="BW191" i="16"/>
  <c r="U196" i="16"/>
  <c r="AO201" i="16"/>
  <c r="BW117" i="16"/>
  <c r="N118" i="16"/>
  <c r="U120" i="16"/>
  <c r="D194" i="16"/>
  <c r="AO195" i="16"/>
  <c r="CD202" i="16"/>
  <c r="U203" i="16"/>
  <c r="AO97" i="16"/>
  <c r="AO100" i="16"/>
  <c r="AO102" i="16"/>
  <c r="AE114" i="16"/>
  <c r="BB122" i="16"/>
  <c r="CD129" i="16"/>
  <c r="AO133" i="16"/>
  <c r="CD135" i="16"/>
  <c r="AO139" i="16"/>
  <c r="CD140" i="16"/>
  <c r="U141" i="16"/>
  <c r="BW141" i="16"/>
  <c r="N142" i="16"/>
  <c r="BB143" i="16"/>
  <c r="D148" i="16"/>
  <c r="CP148" i="16"/>
  <c r="AO149" i="16"/>
  <c r="CD150" i="16"/>
  <c r="U151" i="16"/>
  <c r="D153" i="16"/>
  <c r="U156" i="16"/>
  <c r="BW156" i="16"/>
  <c r="U157" i="16"/>
  <c r="D159" i="16"/>
  <c r="CP161" i="16"/>
  <c r="AO162" i="16"/>
  <c r="CD163" i="16"/>
  <c r="U164" i="16"/>
  <c r="BW164" i="16"/>
  <c r="D166" i="16"/>
  <c r="AO167" i="16"/>
  <c r="U169" i="16"/>
  <c r="AE172" i="16"/>
  <c r="D177" i="16"/>
  <c r="AE179" i="16"/>
  <c r="BW180" i="16"/>
  <c r="BB183" i="16"/>
  <c r="BW192" i="16"/>
  <c r="BB194" i="16"/>
  <c r="CP106" i="16"/>
  <c r="CD141" i="16"/>
  <c r="U142" i="16"/>
  <c r="D144" i="16"/>
  <c r="CD146" i="16"/>
  <c r="U147" i="16"/>
  <c r="AO154" i="16"/>
  <c r="CD155" i="16"/>
  <c r="CD156" i="16"/>
  <c r="D160" i="16"/>
  <c r="CD180" i="16"/>
  <c r="U181" i="16"/>
  <c r="N182" i="16"/>
  <c r="CD186" i="16"/>
  <c r="D189" i="16"/>
  <c r="CP195" i="16"/>
  <c r="CD197" i="16"/>
  <c r="AO202" i="16"/>
  <c r="AE101" i="16"/>
  <c r="CP102" i="16"/>
  <c r="AE103" i="16"/>
  <c r="U104" i="16"/>
  <c r="BW110" i="16"/>
  <c r="CP116" i="16"/>
  <c r="AE117" i="16"/>
  <c r="CP125" i="16"/>
  <c r="CP129" i="16"/>
  <c r="BB132" i="16"/>
  <c r="AO134" i="16"/>
  <c r="U136" i="16"/>
  <c r="D139" i="16"/>
  <c r="AO145" i="16"/>
  <c r="AO150" i="16"/>
  <c r="CD151" i="16"/>
  <c r="CD157" i="16"/>
  <c r="U158" i="16"/>
  <c r="D161" i="16"/>
  <c r="AO163" i="16"/>
  <c r="U165" i="16"/>
  <c r="D167" i="16"/>
  <c r="CP167" i="16"/>
  <c r="AO168" i="16"/>
  <c r="U175" i="16"/>
  <c r="N176" i="16"/>
  <c r="CP178" i="16"/>
  <c r="U182" i="16"/>
  <c r="AO185" i="16"/>
  <c r="U187" i="16"/>
  <c r="AE191" i="16"/>
  <c r="D195" i="16"/>
  <c r="CD198" i="16"/>
  <c r="U199" i="16"/>
  <c r="D201" i="16"/>
  <c r="CD203" i="16"/>
  <c r="U204" i="16"/>
  <c r="CP205" i="16"/>
  <c r="D1257" i="4"/>
  <c r="F1257" i="4" s="1"/>
  <c r="D1245" i="4"/>
  <c r="F1245" i="4" s="1"/>
  <c r="D1233" i="4"/>
  <c r="F1233" i="4" s="1"/>
  <c r="D1221" i="4"/>
  <c r="F1221" i="4" s="1"/>
  <c r="D1209" i="4"/>
  <c r="F1209" i="4" s="1"/>
  <c r="D1197" i="4"/>
  <c r="F1197" i="4" s="1"/>
  <c r="D1185" i="4"/>
  <c r="F1185" i="4" s="1"/>
  <c r="D1173" i="4"/>
  <c r="F1173" i="4" s="1"/>
  <c r="D1161" i="4"/>
  <c r="F1161" i="4" s="1"/>
  <c r="D1149" i="4"/>
  <c r="F1149" i="4" s="1"/>
  <c r="D1137" i="4"/>
  <c r="F1137" i="4" s="1"/>
  <c r="D1125" i="4"/>
  <c r="F1125" i="4" s="1"/>
  <c r="D1113" i="4"/>
  <c r="F1113" i="4" s="1"/>
  <c r="D1101" i="4"/>
  <c r="F1101" i="4" s="1"/>
  <c r="D1089" i="4"/>
  <c r="F1089" i="4" s="1"/>
  <c r="D1077" i="4"/>
  <c r="F1077" i="4" s="1"/>
  <c r="D1065" i="4"/>
  <c r="F1065" i="4" s="1"/>
  <c r="D1256" i="4"/>
  <c r="F1256" i="4" s="1"/>
  <c r="D1244" i="4"/>
  <c r="F1244" i="4" s="1"/>
  <c r="D1232" i="4"/>
  <c r="F1232" i="4" s="1"/>
  <c r="D1220" i="4"/>
  <c r="F1220" i="4" s="1"/>
  <c r="D1208" i="4"/>
  <c r="F1208" i="4" s="1"/>
  <c r="D1196" i="4"/>
  <c r="F1196" i="4" s="1"/>
  <c r="D1184" i="4"/>
  <c r="F1184" i="4" s="1"/>
  <c r="D1172" i="4"/>
  <c r="F1172" i="4" s="1"/>
  <c r="D1160" i="4"/>
  <c r="F1160" i="4" s="1"/>
  <c r="D1148" i="4"/>
  <c r="F1148" i="4" s="1"/>
  <c r="D1136" i="4"/>
  <c r="F1136" i="4" s="1"/>
  <c r="D1124" i="4"/>
  <c r="F1124" i="4" s="1"/>
  <c r="D1112" i="4"/>
  <c r="D1100" i="4"/>
  <c r="F1100" i="4" s="1"/>
  <c r="D1088" i="4"/>
  <c r="F1088" i="4" s="1"/>
  <c r="D1076" i="4"/>
  <c r="F1076" i="4" s="1"/>
  <c r="D1064" i="4"/>
  <c r="D1255" i="4"/>
  <c r="F1255" i="4" s="1"/>
  <c r="D1243" i="4"/>
  <c r="F1243" i="4" s="1"/>
  <c r="D1231" i="4"/>
  <c r="F1231" i="4" s="1"/>
  <c r="D1219" i="4"/>
  <c r="F1219" i="4" s="1"/>
  <c r="D1207" i="4"/>
  <c r="F1207" i="4" s="1"/>
  <c r="D1195" i="4"/>
  <c r="F1195" i="4" s="1"/>
  <c r="D1183" i="4"/>
  <c r="F1183" i="4" s="1"/>
  <c r="D1171" i="4"/>
  <c r="F1171" i="4" s="1"/>
  <c r="D1159" i="4"/>
  <c r="F1159" i="4" s="1"/>
  <c r="D1147" i="4"/>
  <c r="F1147" i="4" s="1"/>
  <c r="D1135" i="4"/>
  <c r="F1135" i="4" s="1"/>
  <c r="D1123" i="4"/>
  <c r="F1123" i="4" s="1"/>
  <c r="D1111" i="4"/>
  <c r="F1111" i="4" s="1"/>
  <c r="D1099" i="4"/>
  <c r="D1087" i="4"/>
  <c r="F1087" i="4" s="1"/>
  <c r="D1075" i="4"/>
  <c r="F1075" i="4" s="1"/>
  <c r="D1063" i="4"/>
  <c r="F1063" i="4" s="1"/>
  <c r="D1254" i="4"/>
  <c r="F1254" i="4" s="1"/>
  <c r="D1242" i="4"/>
  <c r="F1242" i="4" s="1"/>
  <c r="D1230" i="4"/>
  <c r="F1230" i="4" s="1"/>
  <c r="D1218" i="4"/>
  <c r="F1218" i="4" s="1"/>
  <c r="D1206" i="4"/>
  <c r="F1206" i="4" s="1"/>
  <c r="D1194" i="4"/>
  <c r="F1194" i="4" s="1"/>
  <c r="D1182" i="4"/>
  <c r="F1182" i="4" s="1"/>
  <c r="D1170" i="4"/>
  <c r="F1170" i="4" s="1"/>
  <c r="D1158" i="4"/>
  <c r="F1158" i="4" s="1"/>
  <c r="D1146" i="4"/>
  <c r="F1146" i="4" s="1"/>
  <c r="D1134" i="4"/>
  <c r="F1134" i="4" s="1"/>
  <c r="D1122" i="4"/>
  <c r="F1122" i="4" s="1"/>
  <c r="D1110" i="4"/>
  <c r="D1098" i="4"/>
  <c r="F1098" i="4" s="1"/>
  <c r="D1086" i="4"/>
  <c r="F1086" i="4" s="1"/>
  <c r="D1074" i="4"/>
  <c r="F1074" i="4" s="1"/>
  <c r="D1062" i="4"/>
  <c r="F1062" i="4" s="1"/>
  <c r="D1253" i="4"/>
  <c r="F1253" i="4" s="1"/>
  <c r="D1241" i="4"/>
  <c r="F1241" i="4" s="1"/>
  <c r="D1229" i="4"/>
  <c r="F1229" i="4" s="1"/>
  <c r="D1217" i="4"/>
  <c r="F1217" i="4" s="1"/>
  <c r="D1205" i="4"/>
  <c r="F1205" i="4" s="1"/>
  <c r="D1193" i="4"/>
  <c r="F1193" i="4" s="1"/>
  <c r="D1181" i="4"/>
  <c r="F1181" i="4" s="1"/>
  <c r="D1169" i="4"/>
  <c r="F1169" i="4" s="1"/>
  <c r="D1157" i="4"/>
  <c r="F1157" i="4" s="1"/>
  <c r="D1145" i="4"/>
  <c r="F1145" i="4" s="1"/>
  <c r="D1133" i="4"/>
  <c r="F1133" i="4" s="1"/>
  <c r="D1121" i="4"/>
  <c r="F1121" i="4" s="1"/>
  <c r="D1109" i="4"/>
  <c r="F1109" i="4" s="1"/>
  <c r="D1097" i="4"/>
  <c r="F1097" i="4" s="1"/>
  <c r="D1085" i="4"/>
  <c r="D1073" i="4"/>
  <c r="F1073" i="4" s="1"/>
  <c r="D1061" i="4"/>
  <c r="F1061" i="4" s="1"/>
  <c r="D1252" i="4"/>
  <c r="F1252" i="4" s="1"/>
  <c r="D1228" i="4"/>
  <c r="F1228" i="4" s="1"/>
  <c r="D1204" i="4"/>
  <c r="F1204" i="4" s="1"/>
  <c r="D1192" i="4"/>
  <c r="F1192" i="4" s="1"/>
  <c r="D1168" i="4"/>
  <c r="F1168" i="4" s="1"/>
  <c r="D1156" i="4"/>
  <c r="F1156" i="4" s="1"/>
  <c r="D1144" i="4"/>
  <c r="F1144" i="4" s="1"/>
  <c r="D1120" i="4"/>
  <c r="F1120" i="4" s="1"/>
  <c r="D1108" i="4"/>
  <c r="F1108" i="4" s="1"/>
  <c r="D1096" i="4"/>
  <c r="D1084" i="4"/>
  <c r="F1084" i="4" s="1"/>
  <c r="D1072" i="4"/>
  <c r="F1072" i="4" s="1"/>
  <c r="D1060" i="4"/>
  <c r="F1060" i="4" s="1"/>
  <c r="BR4" i="16"/>
  <c r="BB31" i="16"/>
  <c r="CP31" i="16"/>
  <c r="N67" i="16"/>
  <c r="AE108" i="16"/>
  <c r="CD121" i="16"/>
  <c r="BR1" i="16"/>
  <c r="BR5" i="16"/>
  <c r="BR2" i="16"/>
  <c r="BR3" i="16"/>
  <c r="D14" i="16"/>
  <c r="N19" i="16"/>
  <c r="D42" i="16"/>
  <c r="D50" i="16"/>
  <c r="N55" i="16"/>
  <c r="N86" i="16"/>
  <c r="BB100" i="16"/>
  <c r="BW101" i="16"/>
  <c r="BB109" i="16"/>
  <c r="CP117" i="16"/>
  <c r="AO14" i="16"/>
  <c r="AO26" i="16"/>
  <c r="AO38" i="16"/>
  <c r="AO50" i="16"/>
  <c r="AO62" i="16"/>
  <c r="BB78" i="16"/>
  <c r="CP78" i="16"/>
  <c r="BW79" i="16"/>
  <c r="CP84" i="16"/>
  <c r="BW85" i="16"/>
  <c r="BB94" i="16"/>
  <c r="D122" i="16"/>
  <c r="U128" i="16"/>
  <c r="BB82" i="16"/>
  <c r="AE97" i="16"/>
  <c r="CD109" i="16"/>
  <c r="BW112" i="16"/>
  <c r="N121" i="16"/>
  <c r="CP111" i="16"/>
  <c r="N115" i="16"/>
  <c r="V13" i="4"/>
  <c r="M13" i="4" s="1"/>
  <c r="U13" i="4"/>
  <c r="L13" i="4" s="1"/>
  <c r="T13" i="4"/>
  <c r="K13" i="4" s="1"/>
  <c r="S13" i="4"/>
  <c r="J13" i="4" s="1"/>
  <c r="R13" i="4"/>
  <c r="I13" i="4" s="1"/>
  <c r="Q13" i="4"/>
  <c r="H13" i="4" s="1"/>
  <c r="P13" i="4"/>
  <c r="G13" i="4" s="1"/>
  <c r="O13" i="4"/>
  <c r="F13" i="4" s="1"/>
  <c r="N13" i="4"/>
  <c r="E13" i="4" s="1"/>
  <c r="N10" i="4"/>
  <c r="N5" i="16" l="1"/>
  <c r="D4" i="16"/>
  <c r="D1" i="16"/>
  <c r="U3" i="16"/>
  <c r="BB6" i="16"/>
  <c r="CD6" i="16"/>
  <c r="AO6" i="16"/>
  <c r="U5" i="16"/>
  <c r="U2" i="16"/>
  <c r="U6" i="16"/>
  <c r="BW4" i="16"/>
  <c r="D6" i="16"/>
  <c r="BW6" i="16"/>
  <c r="D3" i="16"/>
  <c r="CD1" i="16"/>
  <c r="N3" i="16"/>
  <c r="AE4" i="16"/>
  <c r="BB1" i="16"/>
  <c r="CD4" i="16"/>
  <c r="CD5" i="16"/>
  <c r="AO5" i="16"/>
  <c r="AE6" i="16"/>
  <c r="D5" i="16"/>
  <c r="U4" i="16"/>
  <c r="N1" i="16"/>
  <c r="AE2" i="16"/>
  <c r="N2" i="16"/>
  <c r="BW5" i="16"/>
  <c r="BW1" i="16"/>
  <c r="AE5" i="16"/>
  <c r="CD3" i="16"/>
  <c r="AE1" i="16"/>
  <c r="U1" i="16"/>
  <c r="N4" i="16"/>
  <c r="BB3" i="16"/>
  <c r="BB4" i="16"/>
  <c r="BW3" i="16"/>
  <c r="AO2" i="16"/>
  <c r="BB5" i="16"/>
  <c r="AO3" i="16"/>
  <c r="AO4" i="16"/>
  <c r="BB2" i="16"/>
  <c r="CD2" i="16"/>
  <c r="BW2" i="16"/>
  <c r="AO1" i="16"/>
  <c r="D2" i="16"/>
  <c r="AE3" i="16"/>
  <c r="N6" i="16"/>
  <c r="C5" i="13"/>
  <c r="H12" i="5" l="1"/>
  <c r="J12" i="5"/>
  <c r="B5" i="13"/>
  <c r="E825" i="4" l="1"/>
  <c r="E826" i="4" s="1"/>
  <c r="E827" i="4" s="1"/>
  <c r="E828" i="4" s="1"/>
  <c r="C7" i="13"/>
  <c r="C9" i="5"/>
  <c r="C9" i="13" s="1"/>
  <c r="C6" i="5"/>
  <c r="C6" i="13" s="1"/>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220" i="4"/>
  <c r="I622" i="4" l="1"/>
  <c r="J622" i="4"/>
  <c r="AA14" i="4"/>
  <c r="AJ18" i="13"/>
  <c r="AI18" i="13"/>
  <c r="AH18" i="13"/>
  <c r="AG18" i="13"/>
  <c r="AF18" i="13"/>
  <c r="AE18" i="13"/>
  <c r="AD18" i="13"/>
  <c r="AC18" i="13"/>
  <c r="AB18" i="13"/>
  <c r="AC13" i="13" s="1"/>
  <c r="AA18" i="13"/>
  <c r="Z18" i="13"/>
  <c r="Y18" i="13"/>
  <c r="Z13" i="13" s="1"/>
  <c r="X18" i="13"/>
  <c r="W18" i="13"/>
  <c r="V18" i="13"/>
  <c r="W13" i="13" s="1"/>
  <c r="U18" i="13"/>
  <c r="T18" i="13"/>
  <c r="S18" i="13"/>
  <c r="R18" i="13"/>
  <c r="Q18" i="13"/>
  <c r="P18" i="13"/>
  <c r="Q13" i="13" s="1"/>
  <c r="O18" i="13"/>
  <c r="N18" i="13"/>
  <c r="M18" i="13"/>
  <c r="L18" i="13"/>
  <c r="K18" i="13"/>
  <c r="I18" i="13"/>
  <c r="H18" i="13"/>
  <c r="G18" i="13"/>
  <c r="F18" i="13"/>
  <c r="D18" i="13"/>
  <c r="E13" i="13" s="1"/>
  <c r="C18" i="13"/>
  <c r="B18" i="13"/>
  <c r="C221" i="4"/>
  <c r="C423" i="4" s="1"/>
  <c r="C625" i="4" s="1"/>
  <c r="C835" i="4" s="1"/>
  <c r="C222" i="4"/>
  <c r="C424" i="4" s="1"/>
  <c r="C626" i="4" s="1"/>
  <c r="C836" i="4" s="1"/>
  <c r="C223" i="4"/>
  <c r="C425" i="4" s="1"/>
  <c r="C627" i="4" s="1"/>
  <c r="C837" i="4" s="1"/>
  <c r="C224" i="4"/>
  <c r="C426" i="4" s="1"/>
  <c r="C628" i="4" s="1"/>
  <c r="C838" i="4" s="1"/>
  <c r="C225" i="4"/>
  <c r="C427" i="4" s="1"/>
  <c r="C629" i="4" s="1"/>
  <c r="C839" i="4" s="1"/>
  <c r="C226" i="4"/>
  <c r="C428" i="4" s="1"/>
  <c r="C630" i="4" s="1"/>
  <c r="C840" i="4" s="1"/>
  <c r="C227" i="4"/>
  <c r="C429" i="4" s="1"/>
  <c r="C631" i="4" s="1"/>
  <c r="C841" i="4" s="1"/>
  <c r="C228" i="4"/>
  <c r="C430" i="4" s="1"/>
  <c r="C632" i="4" s="1"/>
  <c r="C842" i="4" s="1"/>
  <c r="C229" i="4"/>
  <c r="C431" i="4" s="1"/>
  <c r="C633" i="4" s="1"/>
  <c r="C843" i="4" s="1"/>
  <c r="C230" i="4"/>
  <c r="C432" i="4" s="1"/>
  <c r="C634" i="4" s="1"/>
  <c r="C844" i="4" s="1"/>
  <c r="C231" i="4"/>
  <c r="C433" i="4" s="1"/>
  <c r="C635" i="4" s="1"/>
  <c r="C845" i="4" s="1"/>
  <c r="C232" i="4"/>
  <c r="C434" i="4" s="1"/>
  <c r="C636" i="4" s="1"/>
  <c r="C846" i="4" s="1"/>
  <c r="C233" i="4"/>
  <c r="C435" i="4" s="1"/>
  <c r="C637" i="4" s="1"/>
  <c r="C847" i="4" s="1"/>
  <c r="C234" i="4"/>
  <c r="C436" i="4" s="1"/>
  <c r="C638" i="4" s="1"/>
  <c r="C848" i="4" s="1"/>
  <c r="C235" i="4"/>
  <c r="C437" i="4" s="1"/>
  <c r="C639" i="4" s="1"/>
  <c r="C849" i="4" s="1"/>
  <c r="C236" i="4"/>
  <c r="C438" i="4" s="1"/>
  <c r="C640" i="4" s="1"/>
  <c r="C850" i="4" s="1"/>
  <c r="C237" i="4"/>
  <c r="C439" i="4" s="1"/>
  <c r="C641" i="4" s="1"/>
  <c r="C851" i="4" s="1"/>
  <c r="C238" i="4"/>
  <c r="C440" i="4" s="1"/>
  <c r="C642" i="4" s="1"/>
  <c r="C852" i="4" s="1"/>
  <c r="C239" i="4"/>
  <c r="C441" i="4" s="1"/>
  <c r="C643" i="4" s="1"/>
  <c r="C853" i="4" s="1"/>
  <c r="C240" i="4"/>
  <c r="C442" i="4" s="1"/>
  <c r="C644" i="4" s="1"/>
  <c r="C854" i="4" s="1"/>
  <c r="C241" i="4"/>
  <c r="C443" i="4" s="1"/>
  <c r="C645" i="4" s="1"/>
  <c r="C855" i="4" s="1"/>
  <c r="C242" i="4"/>
  <c r="C444" i="4" s="1"/>
  <c r="C646" i="4" s="1"/>
  <c r="C856" i="4" s="1"/>
  <c r="C243" i="4"/>
  <c r="C445" i="4" s="1"/>
  <c r="C647" i="4" s="1"/>
  <c r="C857" i="4" s="1"/>
  <c r="C244" i="4"/>
  <c r="C446" i="4" s="1"/>
  <c r="C648" i="4" s="1"/>
  <c r="C858" i="4" s="1"/>
  <c r="C245" i="4"/>
  <c r="C447" i="4" s="1"/>
  <c r="C649" i="4" s="1"/>
  <c r="C859" i="4" s="1"/>
  <c r="C246" i="4"/>
  <c r="C448" i="4" s="1"/>
  <c r="C650" i="4" s="1"/>
  <c r="C860" i="4" s="1"/>
  <c r="C247" i="4"/>
  <c r="C449" i="4" s="1"/>
  <c r="C651" i="4" s="1"/>
  <c r="C861" i="4" s="1"/>
  <c r="C248" i="4"/>
  <c r="C450" i="4" s="1"/>
  <c r="C652" i="4" s="1"/>
  <c r="C862" i="4" s="1"/>
  <c r="C249" i="4"/>
  <c r="C451" i="4" s="1"/>
  <c r="C653" i="4" s="1"/>
  <c r="C863" i="4" s="1"/>
  <c r="C250" i="4"/>
  <c r="C452" i="4" s="1"/>
  <c r="C654" i="4" s="1"/>
  <c r="C864" i="4" s="1"/>
  <c r="C251" i="4"/>
  <c r="C453" i="4" s="1"/>
  <c r="C655" i="4" s="1"/>
  <c r="C865" i="4" s="1"/>
  <c r="C252" i="4"/>
  <c r="C454" i="4" s="1"/>
  <c r="C656" i="4" s="1"/>
  <c r="C866" i="4" s="1"/>
  <c r="C253" i="4"/>
  <c r="C455" i="4" s="1"/>
  <c r="C657" i="4" s="1"/>
  <c r="C867" i="4" s="1"/>
  <c r="C254" i="4"/>
  <c r="C456" i="4" s="1"/>
  <c r="C658" i="4" s="1"/>
  <c r="C868" i="4" s="1"/>
  <c r="C255" i="4"/>
  <c r="C457" i="4" s="1"/>
  <c r="C659" i="4" s="1"/>
  <c r="C869" i="4" s="1"/>
  <c r="C256" i="4"/>
  <c r="C458" i="4" s="1"/>
  <c r="C660" i="4" s="1"/>
  <c r="C870" i="4" s="1"/>
  <c r="C257" i="4"/>
  <c r="C459" i="4" s="1"/>
  <c r="C661" i="4" s="1"/>
  <c r="C871" i="4" s="1"/>
  <c r="C258" i="4"/>
  <c r="C460" i="4" s="1"/>
  <c r="C662" i="4" s="1"/>
  <c r="C872" i="4" s="1"/>
  <c r="C259" i="4"/>
  <c r="C461" i="4" s="1"/>
  <c r="C663" i="4" s="1"/>
  <c r="C873" i="4" s="1"/>
  <c r="C260" i="4"/>
  <c r="C462" i="4" s="1"/>
  <c r="C664" i="4" s="1"/>
  <c r="C874" i="4" s="1"/>
  <c r="C261" i="4"/>
  <c r="C463" i="4" s="1"/>
  <c r="C665" i="4" s="1"/>
  <c r="C875" i="4" s="1"/>
  <c r="C262" i="4"/>
  <c r="C464" i="4" s="1"/>
  <c r="C666" i="4" s="1"/>
  <c r="C876" i="4" s="1"/>
  <c r="C263" i="4"/>
  <c r="C465" i="4" s="1"/>
  <c r="C667" i="4" s="1"/>
  <c r="C877" i="4" s="1"/>
  <c r="C264" i="4"/>
  <c r="C466" i="4" s="1"/>
  <c r="C668" i="4" s="1"/>
  <c r="C878" i="4" s="1"/>
  <c r="C265" i="4"/>
  <c r="C467" i="4" s="1"/>
  <c r="C669" i="4" s="1"/>
  <c r="C879" i="4" s="1"/>
  <c r="C266" i="4"/>
  <c r="C468" i="4" s="1"/>
  <c r="C670" i="4" s="1"/>
  <c r="C880" i="4" s="1"/>
  <c r="C267" i="4"/>
  <c r="C469" i="4" s="1"/>
  <c r="C671" i="4" s="1"/>
  <c r="C881" i="4" s="1"/>
  <c r="C268" i="4"/>
  <c r="C470" i="4" s="1"/>
  <c r="C672" i="4" s="1"/>
  <c r="C882" i="4" s="1"/>
  <c r="C269" i="4"/>
  <c r="C471" i="4" s="1"/>
  <c r="C673" i="4" s="1"/>
  <c r="C883" i="4" s="1"/>
  <c r="C270" i="4"/>
  <c r="C472" i="4" s="1"/>
  <c r="C674" i="4" s="1"/>
  <c r="C884" i="4" s="1"/>
  <c r="C271" i="4"/>
  <c r="C473" i="4" s="1"/>
  <c r="C675" i="4" s="1"/>
  <c r="C885" i="4" s="1"/>
  <c r="C272" i="4"/>
  <c r="C474" i="4" s="1"/>
  <c r="C676" i="4" s="1"/>
  <c r="C886" i="4" s="1"/>
  <c r="C273" i="4"/>
  <c r="C475" i="4" s="1"/>
  <c r="C677" i="4" s="1"/>
  <c r="C887" i="4" s="1"/>
  <c r="C274" i="4"/>
  <c r="C476" i="4" s="1"/>
  <c r="C678" i="4" s="1"/>
  <c r="C888" i="4" s="1"/>
  <c r="C275" i="4"/>
  <c r="C477" i="4" s="1"/>
  <c r="C679" i="4" s="1"/>
  <c r="C889" i="4" s="1"/>
  <c r="C276" i="4"/>
  <c r="C478" i="4" s="1"/>
  <c r="C680" i="4" s="1"/>
  <c r="C890" i="4" s="1"/>
  <c r="C277" i="4"/>
  <c r="C479" i="4" s="1"/>
  <c r="C681" i="4" s="1"/>
  <c r="C891" i="4" s="1"/>
  <c r="C278" i="4"/>
  <c r="C480" i="4" s="1"/>
  <c r="C682" i="4" s="1"/>
  <c r="C892" i="4" s="1"/>
  <c r="C279" i="4"/>
  <c r="C481" i="4" s="1"/>
  <c r="C683" i="4" s="1"/>
  <c r="C893" i="4" s="1"/>
  <c r="C280" i="4"/>
  <c r="C482" i="4" s="1"/>
  <c r="C684" i="4" s="1"/>
  <c r="C894" i="4" s="1"/>
  <c r="C281" i="4"/>
  <c r="C483" i="4" s="1"/>
  <c r="C685" i="4" s="1"/>
  <c r="C895" i="4" s="1"/>
  <c r="C282" i="4"/>
  <c r="C484" i="4" s="1"/>
  <c r="C686" i="4" s="1"/>
  <c r="C896" i="4" s="1"/>
  <c r="C283" i="4"/>
  <c r="C485" i="4" s="1"/>
  <c r="C687" i="4" s="1"/>
  <c r="C897" i="4" s="1"/>
  <c r="C284" i="4"/>
  <c r="C486" i="4" s="1"/>
  <c r="C688" i="4" s="1"/>
  <c r="C898" i="4" s="1"/>
  <c r="C285" i="4"/>
  <c r="C487" i="4" s="1"/>
  <c r="C689" i="4" s="1"/>
  <c r="C899" i="4" s="1"/>
  <c r="C286" i="4"/>
  <c r="C488" i="4" s="1"/>
  <c r="C690" i="4" s="1"/>
  <c r="C900" i="4" s="1"/>
  <c r="C287" i="4"/>
  <c r="C489" i="4" s="1"/>
  <c r="C691" i="4" s="1"/>
  <c r="C901" i="4" s="1"/>
  <c r="C288" i="4"/>
  <c r="C490" i="4" s="1"/>
  <c r="C692" i="4" s="1"/>
  <c r="C902" i="4" s="1"/>
  <c r="C289" i="4"/>
  <c r="C491" i="4" s="1"/>
  <c r="C693" i="4" s="1"/>
  <c r="C903" i="4" s="1"/>
  <c r="C290" i="4"/>
  <c r="C492" i="4" s="1"/>
  <c r="C694" i="4" s="1"/>
  <c r="C904" i="4" s="1"/>
  <c r="C291" i="4"/>
  <c r="C493" i="4" s="1"/>
  <c r="C695" i="4" s="1"/>
  <c r="C905" i="4" s="1"/>
  <c r="C292" i="4"/>
  <c r="C494" i="4" s="1"/>
  <c r="C696" i="4" s="1"/>
  <c r="C906" i="4" s="1"/>
  <c r="C293" i="4"/>
  <c r="C495" i="4" s="1"/>
  <c r="C697" i="4" s="1"/>
  <c r="C907" i="4" s="1"/>
  <c r="C294" i="4"/>
  <c r="C496" i="4" s="1"/>
  <c r="C698" i="4" s="1"/>
  <c r="C908" i="4" s="1"/>
  <c r="C295" i="4"/>
  <c r="C497" i="4" s="1"/>
  <c r="C699" i="4" s="1"/>
  <c r="C909" i="4" s="1"/>
  <c r="C296" i="4"/>
  <c r="C498" i="4" s="1"/>
  <c r="C700" i="4" s="1"/>
  <c r="C910" i="4" s="1"/>
  <c r="C297" i="4"/>
  <c r="C499" i="4" s="1"/>
  <c r="C701" i="4" s="1"/>
  <c r="C911" i="4" s="1"/>
  <c r="C298" i="4"/>
  <c r="C500" i="4" s="1"/>
  <c r="C702" i="4" s="1"/>
  <c r="C912" i="4" s="1"/>
  <c r="C299" i="4"/>
  <c r="C501" i="4" s="1"/>
  <c r="C703" i="4" s="1"/>
  <c r="C913" i="4" s="1"/>
  <c r="C300" i="4"/>
  <c r="C502" i="4" s="1"/>
  <c r="C704" i="4" s="1"/>
  <c r="C914" i="4" s="1"/>
  <c r="C301" i="4"/>
  <c r="C503" i="4" s="1"/>
  <c r="C705" i="4" s="1"/>
  <c r="C915" i="4" s="1"/>
  <c r="C302" i="4"/>
  <c r="C504" i="4" s="1"/>
  <c r="C706" i="4" s="1"/>
  <c r="C916" i="4" s="1"/>
  <c r="C303" i="4"/>
  <c r="C505" i="4" s="1"/>
  <c r="C707" i="4" s="1"/>
  <c r="C917" i="4" s="1"/>
  <c r="C304" i="4"/>
  <c r="C506" i="4" s="1"/>
  <c r="C708" i="4" s="1"/>
  <c r="C918" i="4" s="1"/>
  <c r="C305" i="4"/>
  <c r="C507" i="4" s="1"/>
  <c r="C709" i="4" s="1"/>
  <c r="C919" i="4" s="1"/>
  <c r="C306" i="4"/>
  <c r="C508" i="4" s="1"/>
  <c r="C710" i="4" s="1"/>
  <c r="C920" i="4" s="1"/>
  <c r="C307" i="4"/>
  <c r="C509" i="4" s="1"/>
  <c r="C711" i="4" s="1"/>
  <c r="C921" i="4" s="1"/>
  <c r="C308" i="4"/>
  <c r="C510" i="4" s="1"/>
  <c r="C712" i="4" s="1"/>
  <c r="C922" i="4" s="1"/>
  <c r="C309" i="4"/>
  <c r="C511" i="4" s="1"/>
  <c r="C713" i="4" s="1"/>
  <c r="C923" i="4" s="1"/>
  <c r="C310" i="4"/>
  <c r="C512" i="4" s="1"/>
  <c r="C714" i="4" s="1"/>
  <c r="C924" i="4" s="1"/>
  <c r="C311" i="4"/>
  <c r="C513" i="4" s="1"/>
  <c r="C715" i="4" s="1"/>
  <c r="C925" i="4" s="1"/>
  <c r="C312" i="4"/>
  <c r="C514" i="4" s="1"/>
  <c r="C716" i="4" s="1"/>
  <c r="C926" i="4" s="1"/>
  <c r="C313" i="4"/>
  <c r="C515" i="4" s="1"/>
  <c r="C717" i="4" s="1"/>
  <c r="C927" i="4" s="1"/>
  <c r="C314" i="4"/>
  <c r="C516" i="4" s="1"/>
  <c r="C718" i="4" s="1"/>
  <c r="C928" i="4" s="1"/>
  <c r="C315" i="4"/>
  <c r="C517" i="4" s="1"/>
  <c r="C719" i="4" s="1"/>
  <c r="C929" i="4" s="1"/>
  <c r="C316" i="4"/>
  <c r="C518" i="4" s="1"/>
  <c r="C720" i="4" s="1"/>
  <c r="C930" i="4" s="1"/>
  <c r="C317" i="4"/>
  <c r="C519" i="4" s="1"/>
  <c r="C721" i="4" s="1"/>
  <c r="C931" i="4" s="1"/>
  <c r="C318" i="4"/>
  <c r="C520" i="4" s="1"/>
  <c r="C722" i="4" s="1"/>
  <c r="C932" i="4" s="1"/>
  <c r="C319" i="4"/>
  <c r="C521" i="4" s="1"/>
  <c r="C723" i="4" s="1"/>
  <c r="C933" i="4" s="1"/>
  <c r="C320" i="4"/>
  <c r="C522" i="4" s="1"/>
  <c r="C724" i="4" s="1"/>
  <c r="C934" i="4" s="1"/>
  <c r="C321" i="4"/>
  <c r="C523" i="4" s="1"/>
  <c r="C725" i="4" s="1"/>
  <c r="C935" i="4" s="1"/>
  <c r="C322" i="4"/>
  <c r="C524" i="4" s="1"/>
  <c r="C726" i="4" s="1"/>
  <c r="C936" i="4" s="1"/>
  <c r="C323" i="4"/>
  <c r="C525" i="4" s="1"/>
  <c r="C727" i="4" s="1"/>
  <c r="C937" i="4" s="1"/>
  <c r="C324" i="4"/>
  <c r="C526" i="4" s="1"/>
  <c r="C728" i="4" s="1"/>
  <c r="C938" i="4" s="1"/>
  <c r="C325" i="4"/>
  <c r="C527" i="4" s="1"/>
  <c r="C729" i="4" s="1"/>
  <c r="C939" i="4" s="1"/>
  <c r="C326" i="4"/>
  <c r="C528" i="4" s="1"/>
  <c r="C730" i="4" s="1"/>
  <c r="C940" i="4" s="1"/>
  <c r="C327" i="4"/>
  <c r="C529" i="4" s="1"/>
  <c r="C731" i="4" s="1"/>
  <c r="C941" i="4" s="1"/>
  <c r="C328" i="4"/>
  <c r="C530" i="4" s="1"/>
  <c r="C732" i="4" s="1"/>
  <c r="C942" i="4" s="1"/>
  <c r="C329" i="4"/>
  <c r="C531" i="4" s="1"/>
  <c r="C733" i="4" s="1"/>
  <c r="C943" i="4" s="1"/>
  <c r="C330" i="4"/>
  <c r="C532" i="4" s="1"/>
  <c r="C734" i="4" s="1"/>
  <c r="C944" i="4" s="1"/>
  <c r="C331" i="4"/>
  <c r="C533" i="4" s="1"/>
  <c r="C735" i="4" s="1"/>
  <c r="C945" i="4" s="1"/>
  <c r="C332" i="4"/>
  <c r="C534" i="4" s="1"/>
  <c r="C736" i="4" s="1"/>
  <c r="C946" i="4" s="1"/>
  <c r="C333" i="4"/>
  <c r="C535" i="4" s="1"/>
  <c r="C737" i="4" s="1"/>
  <c r="C947" i="4" s="1"/>
  <c r="C334" i="4"/>
  <c r="C536" i="4" s="1"/>
  <c r="C738" i="4" s="1"/>
  <c r="C948" i="4" s="1"/>
  <c r="C335" i="4"/>
  <c r="C537" i="4" s="1"/>
  <c r="C739" i="4" s="1"/>
  <c r="C949" i="4" s="1"/>
  <c r="C336" i="4"/>
  <c r="C538" i="4" s="1"/>
  <c r="C740" i="4" s="1"/>
  <c r="C950" i="4" s="1"/>
  <c r="C337" i="4"/>
  <c r="C539" i="4" s="1"/>
  <c r="C741" i="4" s="1"/>
  <c r="C951" i="4" s="1"/>
  <c r="C338" i="4"/>
  <c r="C540" i="4" s="1"/>
  <c r="C742" i="4" s="1"/>
  <c r="C952" i="4" s="1"/>
  <c r="C339" i="4"/>
  <c r="C541" i="4" s="1"/>
  <c r="C743" i="4" s="1"/>
  <c r="C953" i="4" s="1"/>
  <c r="C340" i="4"/>
  <c r="C542" i="4" s="1"/>
  <c r="C744" i="4" s="1"/>
  <c r="C954" i="4" s="1"/>
  <c r="C341" i="4"/>
  <c r="C543" i="4" s="1"/>
  <c r="C745" i="4" s="1"/>
  <c r="C955" i="4" s="1"/>
  <c r="C342" i="4"/>
  <c r="C544" i="4" s="1"/>
  <c r="C746" i="4" s="1"/>
  <c r="C956" i="4" s="1"/>
  <c r="C343" i="4"/>
  <c r="C545" i="4" s="1"/>
  <c r="C747" i="4" s="1"/>
  <c r="C957" i="4" s="1"/>
  <c r="C344" i="4"/>
  <c r="C546" i="4" s="1"/>
  <c r="C748" i="4" s="1"/>
  <c r="C958" i="4" s="1"/>
  <c r="C345" i="4"/>
  <c r="C547" i="4" s="1"/>
  <c r="C749" i="4" s="1"/>
  <c r="C959" i="4" s="1"/>
  <c r="C346" i="4"/>
  <c r="C548" i="4" s="1"/>
  <c r="C750" i="4" s="1"/>
  <c r="C960" i="4" s="1"/>
  <c r="C347" i="4"/>
  <c r="C549" i="4" s="1"/>
  <c r="C751" i="4" s="1"/>
  <c r="C961" i="4" s="1"/>
  <c r="C348" i="4"/>
  <c r="C550" i="4" s="1"/>
  <c r="C752" i="4" s="1"/>
  <c r="C962" i="4" s="1"/>
  <c r="C349" i="4"/>
  <c r="C551" i="4" s="1"/>
  <c r="C753" i="4" s="1"/>
  <c r="C963" i="4" s="1"/>
  <c r="C350" i="4"/>
  <c r="C552" i="4" s="1"/>
  <c r="C754" i="4" s="1"/>
  <c r="C964" i="4" s="1"/>
  <c r="C351" i="4"/>
  <c r="C553" i="4" s="1"/>
  <c r="C755" i="4" s="1"/>
  <c r="C965" i="4" s="1"/>
  <c r="C352" i="4"/>
  <c r="C554" i="4" s="1"/>
  <c r="C756" i="4" s="1"/>
  <c r="C966" i="4" s="1"/>
  <c r="C353" i="4"/>
  <c r="C555" i="4" s="1"/>
  <c r="C757" i="4" s="1"/>
  <c r="C967" i="4" s="1"/>
  <c r="C354" i="4"/>
  <c r="C556" i="4" s="1"/>
  <c r="C758" i="4" s="1"/>
  <c r="C968" i="4" s="1"/>
  <c r="C355" i="4"/>
  <c r="C557" i="4" s="1"/>
  <c r="C759" i="4" s="1"/>
  <c r="C969" i="4" s="1"/>
  <c r="C356" i="4"/>
  <c r="C558" i="4" s="1"/>
  <c r="C760" i="4" s="1"/>
  <c r="C970" i="4" s="1"/>
  <c r="C357" i="4"/>
  <c r="C559" i="4" s="1"/>
  <c r="C761" i="4" s="1"/>
  <c r="C971" i="4" s="1"/>
  <c r="C358" i="4"/>
  <c r="C560" i="4" s="1"/>
  <c r="C762" i="4" s="1"/>
  <c r="C972" i="4" s="1"/>
  <c r="C359" i="4"/>
  <c r="C561" i="4" s="1"/>
  <c r="C763" i="4" s="1"/>
  <c r="C973" i="4" s="1"/>
  <c r="C360" i="4"/>
  <c r="C562" i="4" s="1"/>
  <c r="C764" i="4" s="1"/>
  <c r="C974" i="4" s="1"/>
  <c r="C361" i="4"/>
  <c r="C563" i="4" s="1"/>
  <c r="C765" i="4" s="1"/>
  <c r="C975" i="4" s="1"/>
  <c r="C362" i="4"/>
  <c r="C564" i="4" s="1"/>
  <c r="C766" i="4" s="1"/>
  <c r="C976" i="4" s="1"/>
  <c r="C363" i="4"/>
  <c r="C565" i="4" s="1"/>
  <c r="C767" i="4" s="1"/>
  <c r="C977" i="4" s="1"/>
  <c r="C364" i="4"/>
  <c r="C566" i="4" s="1"/>
  <c r="C768" i="4" s="1"/>
  <c r="C978" i="4" s="1"/>
  <c r="C365" i="4"/>
  <c r="C567" i="4" s="1"/>
  <c r="C769" i="4" s="1"/>
  <c r="C979" i="4" s="1"/>
  <c r="C366" i="4"/>
  <c r="C568" i="4" s="1"/>
  <c r="C770" i="4" s="1"/>
  <c r="C980" i="4" s="1"/>
  <c r="C367" i="4"/>
  <c r="C569" i="4" s="1"/>
  <c r="C771" i="4" s="1"/>
  <c r="C981" i="4" s="1"/>
  <c r="C368" i="4"/>
  <c r="C570" i="4" s="1"/>
  <c r="C772" i="4" s="1"/>
  <c r="C982" i="4" s="1"/>
  <c r="C369" i="4"/>
  <c r="C571" i="4" s="1"/>
  <c r="C773" i="4" s="1"/>
  <c r="C983" i="4" s="1"/>
  <c r="C370" i="4"/>
  <c r="C572" i="4" s="1"/>
  <c r="C774" i="4" s="1"/>
  <c r="C984" i="4" s="1"/>
  <c r="C371" i="4"/>
  <c r="C573" i="4" s="1"/>
  <c r="C775" i="4" s="1"/>
  <c r="C985" i="4" s="1"/>
  <c r="C372" i="4"/>
  <c r="C574" i="4" s="1"/>
  <c r="C776" i="4" s="1"/>
  <c r="C986" i="4" s="1"/>
  <c r="C373" i="4"/>
  <c r="C575" i="4" s="1"/>
  <c r="C777" i="4" s="1"/>
  <c r="C987" i="4" s="1"/>
  <c r="C374" i="4"/>
  <c r="C576" i="4" s="1"/>
  <c r="C778" i="4" s="1"/>
  <c r="C988" i="4" s="1"/>
  <c r="C375" i="4"/>
  <c r="C577" i="4" s="1"/>
  <c r="C779" i="4" s="1"/>
  <c r="C989" i="4" s="1"/>
  <c r="C376" i="4"/>
  <c r="C578" i="4" s="1"/>
  <c r="C780" i="4" s="1"/>
  <c r="C990" i="4" s="1"/>
  <c r="C377" i="4"/>
  <c r="C579" i="4" s="1"/>
  <c r="C781" i="4" s="1"/>
  <c r="C991" i="4" s="1"/>
  <c r="C378" i="4"/>
  <c r="C580" i="4" s="1"/>
  <c r="C782" i="4" s="1"/>
  <c r="C992" i="4" s="1"/>
  <c r="C379" i="4"/>
  <c r="C581" i="4" s="1"/>
  <c r="C783" i="4" s="1"/>
  <c r="C993" i="4" s="1"/>
  <c r="C380" i="4"/>
  <c r="C582" i="4" s="1"/>
  <c r="C784" i="4" s="1"/>
  <c r="C994" i="4" s="1"/>
  <c r="C381" i="4"/>
  <c r="C583" i="4" s="1"/>
  <c r="C785" i="4" s="1"/>
  <c r="C995" i="4" s="1"/>
  <c r="C382" i="4"/>
  <c r="C584" i="4" s="1"/>
  <c r="C786" i="4" s="1"/>
  <c r="C996" i="4" s="1"/>
  <c r="C383" i="4"/>
  <c r="C585" i="4" s="1"/>
  <c r="C787" i="4" s="1"/>
  <c r="C997" i="4" s="1"/>
  <c r="C384" i="4"/>
  <c r="C586" i="4" s="1"/>
  <c r="C788" i="4" s="1"/>
  <c r="C998" i="4" s="1"/>
  <c r="C385" i="4"/>
  <c r="C587" i="4" s="1"/>
  <c r="C789" i="4" s="1"/>
  <c r="C999" i="4" s="1"/>
  <c r="C386" i="4"/>
  <c r="C588" i="4" s="1"/>
  <c r="C790" i="4" s="1"/>
  <c r="C1000" i="4" s="1"/>
  <c r="C387" i="4"/>
  <c r="C589" i="4" s="1"/>
  <c r="C791" i="4" s="1"/>
  <c r="C1001" i="4" s="1"/>
  <c r="C388" i="4"/>
  <c r="C590" i="4" s="1"/>
  <c r="C792" i="4" s="1"/>
  <c r="C1002" i="4" s="1"/>
  <c r="C389" i="4"/>
  <c r="C591" i="4" s="1"/>
  <c r="C793" i="4" s="1"/>
  <c r="C1003" i="4" s="1"/>
  <c r="C390" i="4"/>
  <c r="C592" i="4" s="1"/>
  <c r="C794" i="4" s="1"/>
  <c r="C1004" i="4" s="1"/>
  <c r="C391" i="4"/>
  <c r="C593" i="4" s="1"/>
  <c r="C795" i="4" s="1"/>
  <c r="C1005" i="4" s="1"/>
  <c r="C392" i="4"/>
  <c r="C594" i="4" s="1"/>
  <c r="C796" i="4" s="1"/>
  <c r="C1006" i="4" s="1"/>
  <c r="C393" i="4"/>
  <c r="C595" i="4" s="1"/>
  <c r="C797" i="4" s="1"/>
  <c r="C1007" i="4" s="1"/>
  <c r="C394" i="4"/>
  <c r="C596" i="4" s="1"/>
  <c r="C798" i="4" s="1"/>
  <c r="C1008" i="4" s="1"/>
  <c r="C395" i="4"/>
  <c r="C597" i="4" s="1"/>
  <c r="C799" i="4" s="1"/>
  <c r="C1009" i="4" s="1"/>
  <c r="C396" i="4"/>
  <c r="C598" i="4" s="1"/>
  <c r="C800" i="4" s="1"/>
  <c r="C1010" i="4" s="1"/>
  <c r="C397" i="4"/>
  <c r="C599" i="4" s="1"/>
  <c r="C801" i="4" s="1"/>
  <c r="C1011" i="4" s="1"/>
  <c r="C398" i="4"/>
  <c r="C600" i="4" s="1"/>
  <c r="C802" i="4" s="1"/>
  <c r="C1012" i="4" s="1"/>
  <c r="C399" i="4"/>
  <c r="C601" i="4" s="1"/>
  <c r="C803" i="4" s="1"/>
  <c r="C1013" i="4" s="1"/>
  <c r="C400" i="4"/>
  <c r="C602" i="4" s="1"/>
  <c r="C804" i="4" s="1"/>
  <c r="C1014" i="4" s="1"/>
  <c r="C401" i="4"/>
  <c r="C603" i="4" s="1"/>
  <c r="C805" i="4" s="1"/>
  <c r="C1015" i="4" s="1"/>
  <c r="C402" i="4"/>
  <c r="C604" i="4" s="1"/>
  <c r="C806" i="4" s="1"/>
  <c r="C1016" i="4" s="1"/>
  <c r="C403" i="4"/>
  <c r="C605" i="4" s="1"/>
  <c r="C807" i="4" s="1"/>
  <c r="C1017" i="4" s="1"/>
  <c r="C404" i="4"/>
  <c r="C606" i="4" s="1"/>
  <c r="C808" i="4" s="1"/>
  <c r="C1018" i="4" s="1"/>
  <c r="C405" i="4"/>
  <c r="C607" i="4" s="1"/>
  <c r="C809" i="4" s="1"/>
  <c r="C1019" i="4" s="1"/>
  <c r="C406" i="4"/>
  <c r="C608" i="4" s="1"/>
  <c r="C810" i="4" s="1"/>
  <c r="C1020" i="4" s="1"/>
  <c r="C407" i="4"/>
  <c r="C609" i="4" s="1"/>
  <c r="C811" i="4" s="1"/>
  <c r="C1021" i="4" s="1"/>
  <c r="C408" i="4"/>
  <c r="C610" i="4" s="1"/>
  <c r="C812" i="4" s="1"/>
  <c r="C1022" i="4" s="1"/>
  <c r="C409" i="4"/>
  <c r="C611" i="4" s="1"/>
  <c r="C813" i="4" s="1"/>
  <c r="C1023" i="4" s="1"/>
  <c r="C410" i="4"/>
  <c r="C612" i="4" s="1"/>
  <c r="C814" i="4" s="1"/>
  <c r="C1024" i="4" s="1"/>
  <c r="C411" i="4"/>
  <c r="C613" i="4" s="1"/>
  <c r="C815" i="4" s="1"/>
  <c r="C1025" i="4" s="1"/>
  <c r="C412" i="4"/>
  <c r="C614" i="4" s="1"/>
  <c r="C816" i="4" s="1"/>
  <c r="C1026" i="4" s="1"/>
  <c r="C413" i="4"/>
  <c r="C615" i="4" s="1"/>
  <c r="C817" i="4" s="1"/>
  <c r="C1027" i="4" s="1"/>
  <c r="C414" i="4"/>
  <c r="C616" i="4" s="1"/>
  <c r="C818" i="4" s="1"/>
  <c r="C1028" i="4" s="1"/>
  <c r="C415" i="4"/>
  <c r="C617" i="4" s="1"/>
  <c r="C819" i="4" s="1"/>
  <c r="C1029" i="4" s="1"/>
  <c r="C416" i="4"/>
  <c r="C618" i="4" s="1"/>
  <c r="C820" i="4" s="1"/>
  <c r="C1030" i="4" s="1"/>
  <c r="C417" i="4"/>
  <c r="C619" i="4" s="1"/>
  <c r="C821" i="4" s="1"/>
  <c r="C1031" i="4" s="1"/>
  <c r="C220" i="4"/>
  <c r="C422" i="4" s="1"/>
  <c r="C624" i="4" s="1"/>
  <c r="C834" i="4" s="1"/>
  <c r="B220" i="4"/>
  <c r="B221" i="4"/>
  <c r="B423" i="4" s="1"/>
  <c r="B222" i="4"/>
  <c r="B424" i="4" s="1"/>
  <c r="B626" i="4" s="1"/>
  <c r="B836" i="4" s="1"/>
  <c r="B223" i="4"/>
  <c r="B425" i="4" s="1"/>
  <c r="B627" i="4" s="1"/>
  <c r="B837" i="4" s="1"/>
  <c r="B224" i="4"/>
  <c r="B426" i="4" s="1"/>
  <c r="B628" i="4" s="1"/>
  <c r="B838" i="4" s="1"/>
  <c r="B225" i="4"/>
  <c r="B427" i="4" s="1"/>
  <c r="B629" i="4" s="1"/>
  <c r="B839" i="4" s="1"/>
  <c r="B226" i="4"/>
  <c r="B428" i="4" s="1"/>
  <c r="B630" i="4" s="1"/>
  <c r="B840" i="4" s="1"/>
  <c r="B227" i="4"/>
  <c r="B429" i="4" s="1"/>
  <c r="B631" i="4" s="1"/>
  <c r="B841" i="4" s="1"/>
  <c r="B228" i="4"/>
  <c r="B430" i="4" s="1"/>
  <c r="B632" i="4" s="1"/>
  <c r="B842" i="4" s="1"/>
  <c r="B229" i="4"/>
  <c r="B431" i="4" s="1"/>
  <c r="B633" i="4" s="1"/>
  <c r="B843" i="4" s="1"/>
  <c r="B230" i="4"/>
  <c r="B432" i="4" s="1"/>
  <c r="B634" i="4" s="1"/>
  <c r="B844" i="4" s="1"/>
  <c r="B231" i="4"/>
  <c r="B433" i="4" s="1"/>
  <c r="B635" i="4" s="1"/>
  <c r="B845" i="4" s="1"/>
  <c r="B232" i="4"/>
  <c r="B434" i="4" s="1"/>
  <c r="B636" i="4" s="1"/>
  <c r="B846" i="4" s="1"/>
  <c r="B233" i="4"/>
  <c r="B435" i="4" s="1"/>
  <c r="B637" i="4" s="1"/>
  <c r="B847" i="4" s="1"/>
  <c r="B234" i="4"/>
  <c r="B436" i="4" s="1"/>
  <c r="B638" i="4" s="1"/>
  <c r="B848" i="4" s="1"/>
  <c r="B235" i="4"/>
  <c r="B437" i="4" s="1"/>
  <c r="B639" i="4" s="1"/>
  <c r="B849" i="4" s="1"/>
  <c r="B236" i="4"/>
  <c r="B438" i="4" s="1"/>
  <c r="B640" i="4" s="1"/>
  <c r="B850" i="4" s="1"/>
  <c r="B237" i="4"/>
  <c r="B439" i="4" s="1"/>
  <c r="B641" i="4" s="1"/>
  <c r="B851" i="4" s="1"/>
  <c r="B238" i="4"/>
  <c r="B440" i="4" s="1"/>
  <c r="B642" i="4" s="1"/>
  <c r="B852" i="4" s="1"/>
  <c r="B239" i="4"/>
  <c r="B441" i="4" s="1"/>
  <c r="B643" i="4" s="1"/>
  <c r="B853" i="4" s="1"/>
  <c r="B240" i="4"/>
  <c r="B442" i="4" s="1"/>
  <c r="B644" i="4" s="1"/>
  <c r="B854" i="4" s="1"/>
  <c r="B241" i="4"/>
  <c r="B443" i="4" s="1"/>
  <c r="B645" i="4" s="1"/>
  <c r="B855" i="4" s="1"/>
  <c r="B242" i="4"/>
  <c r="B444" i="4" s="1"/>
  <c r="B646" i="4" s="1"/>
  <c r="B856" i="4" s="1"/>
  <c r="B243" i="4"/>
  <c r="B445" i="4" s="1"/>
  <c r="B647" i="4" s="1"/>
  <c r="B857" i="4" s="1"/>
  <c r="B244" i="4"/>
  <c r="B446" i="4" s="1"/>
  <c r="B648" i="4" s="1"/>
  <c r="B858" i="4" s="1"/>
  <c r="B245" i="4"/>
  <c r="B447" i="4" s="1"/>
  <c r="B649" i="4" s="1"/>
  <c r="B859" i="4" s="1"/>
  <c r="B246" i="4"/>
  <c r="B448" i="4" s="1"/>
  <c r="B650" i="4" s="1"/>
  <c r="B860" i="4" s="1"/>
  <c r="B247" i="4"/>
  <c r="B449" i="4" s="1"/>
  <c r="B651" i="4" s="1"/>
  <c r="B861" i="4" s="1"/>
  <c r="B248" i="4"/>
  <c r="B450" i="4" s="1"/>
  <c r="B652" i="4" s="1"/>
  <c r="B862" i="4" s="1"/>
  <c r="B249" i="4"/>
  <c r="B451" i="4" s="1"/>
  <c r="B653" i="4" s="1"/>
  <c r="B863" i="4" s="1"/>
  <c r="B250" i="4"/>
  <c r="B452" i="4" s="1"/>
  <c r="B654" i="4" s="1"/>
  <c r="B864" i="4" s="1"/>
  <c r="B251" i="4"/>
  <c r="B453" i="4" s="1"/>
  <c r="B655" i="4" s="1"/>
  <c r="B865" i="4" s="1"/>
  <c r="B252" i="4"/>
  <c r="B454" i="4" s="1"/>
  <c r="B656" i="4" s="1"/>
  <c r="B866" i="4" s="1"/>
  <c r="B253" i="4"/>
  <c r="B455" i="4" s="1"/>
  <c r="B657" i="4" s="1"/>
  <c r="B867" i="4" s="1"/>
  <c r="B254" i="4"/>
  <c r="B456" i="4" s="1"/>
  <c r="B658" i="4" s="1"/>
  <c r="B868" i="4" s="1"/>
  <c r="B255" i="4"/>
  <c r="B457" i="4" s="1"/>
  <c r="B659" i="4" s="1"/>
  <c r="B869" i="4" s="1"/>
  <c r="B256" i="4"/>
  <c r="B458" i="4" s="1"/>
  <c r="B660" i="4" s="1"/>
  <c r="B870" i="4" s="1"/>
  <c r="B257" i="4"/>
  <c r="B459" i="4" s="1"/>
  <c r="B661" i="4" s="1"/>
  <c r="B871" i="4" s="1"/>
  <c r="B258" i="4"/>
  <c r="B460" i="4" s="1"/>
  <c r="B662" i="4" s="1"/>
  <c r="B872" i="4" s="1"/>
  <c r="B259" i="4"/>
  <c r="B461" i="4" s="1"/>
  <c r="B663" i="4" s="1"/>
  <c r="B873" i="4" s="1"/>
  <c r="B260" i="4"/>
  <c r="B462" i="4" s="1"/>
  <c r="B664" i="4" s="1"/>
  <c r="B874" i="4" s="1"/>
  <c r="B261" i="4"/>
  <c r="B463" i="4" s="1"/>
  <c r="B665" i="4" s="1"/>
  <c r="B875" i="4" s="1"/>
  <c r="B262" i="4"/>
  <c r="B464" i="4" s="1"/>
  <c r="B666" i="4" s="1"/>
  <c r="B876" i="4" s="1"/>
  <c r="B263" i="4"/>
  <c r="B465" i="4" s="1"/>
  <c r="B667" i="4" s="1"/>
  <c r="B877" i="4" s="1"/>
  <c r="B264" i="4"/>
  <c r="B466" i="4" s="1"/>
  <c r="B668" i="4" s="1"/>
  <c r="B878" i="4" s="1"/>
  <c r="B265" i="4"/>
  <c r="B467" i="4" s="1"/>
  <c r="B669" i="4" s="1"/>
  <c r="B879" i="4" s="1"/>
  <c r="B266" i="4"/>
  <c r="B468" i="4" s="1"/>
  <c r="B670" i="4" s="1"/>
  <c r="B880" i="4" s="1"/>
  <c r="B267" i="4"/>
  <c r="B469" i="4" s="1"/>
  <c r="B671" i="4" s="1"/>
  <c r="B881" i="4" s="1"/>
  <c r="B268" i="4"/>
  <c r="B470" i="4" s="1"/>
  <c r="B672" i="4" s="1"/>
  <c r="B882" i="4" s="1"/>
  <c r="B269" i="4"/>
  <c r="B471" i="4" s="1"/>
  <c r="B673" i="4" s="1"/>
  <c r="B883" i="4" s="1"/>
  <c r="B270" i="4"/>
  <c r="B472" i="4" s="1"/>
  <c r="B674" i="4" s="1"/>
  <c r="B884" i="4" s="1"/>
  <c r="B271" i="4"/>
  <c r="B473" i="4" s="1"/>
  <c r="B675" i="4" s="1"/>
  <c r="B885" i="4" s="1"/>
  <c r="B272" i="4"/>
  <c r="B474" i="4" s="1"/>
  <c r="B676" i="4" s="1"/>
  <c r="B886" i="4" s="1"/>
  <c r="B273" i="4"/>
  <c r="B475" i="4" s="1"/>
  <c r="B677" i="4" s="1"/>
  <c r="B887" i="4" s="1"/>
  <c r="B274" i="4"/>
  <c r="B476" i="4" s="1"/>
  <c r="B678" i="4" s="1"/>
  <c r="B888" i="4" s="1"/>
  <c r="B275" i="4"/>
  <c r="B477" i="4" s="1"/>
  <c r="B679" i="4" s="1"/>
  <c r="B889" i="4" s="1"/>
  <c r="B276" i="4"/>
  <c r="B478" i="4" s="1"/>
  <c r="B680" i="4" s="1"/>
  <c r="B890" i="4" s="1"/>
  <c r="B277" i="4"/>
  <c r="B479" i="4" s="1"/>
  <c r="B681" i="4" s="1"/>
  <c r="B891" i="4" s="1"/>
  <c r="B278" i="4"/>
  <c r="B480" i="4" s="1"/>
  <c r="B682" i="4" s="1"/>
  <c r="B892" i="4" s="1"/>
  <c r="B279" i="4"/>
  <c r="B481" i="4" s="1"/>
  <c r="B683" i="4" s="1"/>
  <c r="B893" i="4" s="1"/>
  <c r="B280" i="4"/>
  <c r="B482" i="4" s="1"/>
  <c r="B684" i="4" s="1"/>
  <c r="B894" i="4" s="1"/>
  <c r="B281" i="4"/>
  <c r="B483" i="4" s="1"/>
  <c r="B685" i="4" s="1"/>
  <c r="B895" i="4" s="1"/>
  <c r="B282" i="4"/>
  <c r="B484" i="4" s="1"/>
  <c r="B686" i="4" s="1"/>
  <c r="B896" i="4" s="1"/>
  <c r="B283" i="4"/>
  <c r="B485" i="4" s="1"/>
  <c r="B687" i="4" s="1"/>
  <c r="B897" i="4" s="1"/>
  <c r="B284" i="4"/>
  <c r="B486" i="4" s="1"/>
  <c r="B688" i="4" s="1"/>
  <c r="B898" i="4" s="1"/>
  <c r="B285" i="4"/>
  <c r="B487" i="4" s="1"/>
  <c r="B689" i="4" s="1"/>
  <c r="B899" i="4" s="1"/>
  <c r="B286" i="4"/>
  <c r="B488" i="4" s="1"/>
  <c r="B690" i="4" s="1"/>
  <c r="B900" i="4" s="1"/>
  <c r="B287" i="4"/>
  <c r="B489" i="4" s="1"/>
  <c r="B691" i="4" s="1"/>
  <c r="B901" i="4" s="1"/>
  <c r="B288" i="4"/>
  <c r="B490" i="4" s="1"/>
  <c r="B692" i="4" s="1"/>
  <c r="B902" i="4" s="1"/>
  <c r="B289" i="4"/>
  <c r="B491" i="4" s="1"/>
  <c r="B693" i="4" s="1"/>
  <c r="B903" i="4" s="1"/>
  <c r="B290" i="4"/>
  <c r="B492" i="4" s="1"/>
  <c r="B694" i="4" s="1"/>
  <c r="B904" i="4" s="1"/>
  <c r="B291" i="4"/>
  <c r="B493" i="4" s="1"/>
  <c r="B695" i="4" s="1"/>
  <c r="B905" i="4" s="1"/>
  <c r="B292" i="4"/>
  <c r="B494" i="4" s="1"/>
  <c r="B696" i="4" s="1"/>
  <c r="B906" i="4" s="1"/>
  <c r="B293" i="4"/>
  <c r="B495" i="4" s="1"/>
  <c r="B697" i="4" s="1"/>
  <c r="B907" i="4" s="1"/>
  <c r="B294" i="4"/>
  <c r="B496" i="4" s="1"/>
  <c r="B698" i="4" s="1"/>
  <c r="B908" i="4" s="1"/>
  <c r="B295" i="4"/>
  <c r="B497" i="4" s="1"/>
  <c r="B699" i="4" s="1"/>
  <c r="B909" i="4" s="1"/>
  <c r="B296" i="4"/>
  <c r="B498" i="4" s="1"/>
  <c r="B700" i="4" s="1"/>
  <c r="B910" i="4" s="1"/>
  <c r="B297" i="4"/>
  <c r="B499" i="4" s="1"/>
  <c r="B701" i="4" s="1"/>
  <c r="B911" i="4" s="1"/>
  <c r="B298" i="4"/>
  <c r="B500" i="4" s="1"/>
  <c r="B702" i="4" s="1"/>
  <c r="B912" i="4" s="1"/>
  <c r="B299" i="4"/>
  <c r="B501" i="4" s="1"/>
  <c r="B703" i="4" s="1"/>
  <c r="B913" i="4" s="1"/>
  <c r="B300" i="4"/>
  <c r="B502" i="4" s="1"/>
  <c r="B704" i="4" s="1"/>
  <c r="B914" i="4" s="1"/>
  <c r="B301" i="4"/>
  <c r="B503" i="4" s="1"/>
  <c r="B705" i="4" s="1"/>
  <c r="B915" i="4" s="1"/>
  <c r="B302" i="4"/>
  <c r="B504" i="4" s="1"/>
  <c r="B706" i="4" s="1"/>
  <c r="B916" i="4" s="1"/>
  <c r="B303" i="4"/>
  <c r="B505" i="4" s="1"/>
  <c r="B707" i="4" s="1"/>
  <c r="B917" i="4" s="1"/>
  <c r="B304" i="4"/>
  <c r="B506" i="4" s="1"/>
  <c r="B708" i="4" s="1"/>
  <c r="B918" i="4" s="1"/>
  <c r="B305" i="4"/>
  <c r="B507" i="4" s="1"/>
  <c r="B709" i="4" s="1"/>
  <c r="B919" i="4" s="1"/>
  <c r="B306" i="4"/>
  <c r="B508" i="4" s="1"/>
  <c r="B710" i="4" s="1"/>
  <c r="B920" i="4" s="1"/>
  <c r="B307" i="4"/>
  <c r="B509" i="4" s="1"/>
  <c r="B711" i="4" s="1"/>
  <c r="B921" i="4" s="1"/>
  <c r="B308" i="4"/>
  <c r="B510" i="4" s="1"/>
  <c r="B712" i="4" s="1"/>
  <c r="B922" i="4" s="1"/>
  <c r="B309" i="4"/>
  <c r="B511" i="4" s="1"/>
  <c r="B713" i="4" s="1"/>
  <c r="B923" i="4" s="1"/>
  <c r="B310" i="4"/>
  <c r="B512" i="4" s="1"/>
  <c r="B714" i="4" s="1"/>
  <c r="B924" i="4" s="1"/>
  <c r="B311" i="4"/>
  <c r="B513" i="4" s="1"/>
  <c r="B715" i="4" s="1"/>
  <c r="B925" i="4" s="1"/>
  <c r="B312" i="4"/>
  <c r="B514" i="4" s="1"/>
  <c r="B716" i="4" s="1"/>
  <c r="B926" i="4" s="1"/>
  <c r="B313" i="4"/>
  <c r="B515" i="4" s="1"/>
  <c r="B717" i="4" s="1"/>
  <c r="B927" i="4" s="1"/>
  <c r="B314" i="4"/>
  <c r="B516" i="4" s="1"/>
  <c r="B718" i="4" s="1"/>
  <c r="B928" i="4" s="1"/>
  <c r="B315" i="4"/>
  <c r="B517" i="4" s="1"/>
  <c r="B719" i="4" s="1"/>
  <c r="B929" i="4" s="1"/>
  <c r="B316" i="4"/>
  <c r="B518" i="4" s="1"/>
  <c r="B720" i="4" s="1"/>
  <c r="B930" i="4" s="1"/>
  <c r="B317" i="4"/>
  <c r="B519" i="4" s="1"/>
  <c r="B721" i="4" s="1"/>
  <c r="B931" i="4" s="1"/>
  <c r="B318" i="4"/>
  <c r="B520" i="4" s="1"/>
  <c r="B722" i="4" s="1"/>
  <c r="B932" i="4" s="1"/>
  <c r="B319" i="4"/>
  <c r="B521" i="4" s="1"/>
  <c r="B723" i="4" s="1"/>
  <c r="B933" i="4" s="1"/>
  <c r="B320" i="4"/>
  <c r="B522" i="4" s="1"/>
  <c r="B724" i="4" s="1"/>
  <c r="B934" i="4" s="1"/>
  <c r="B321" i="4"/>
  <c r="B523" i="4" s="1"/>
  <c r="B725" i="4" s="1"/>
  <c r="B935" i="4" s="1"/>
  <c r="B322" i="4"/>
  <c r="B524" i="4" s="1"/>
  <c r="B726" i="4" s="1"/>
  <c r="B936" i="4" s="1"/>
  <c r="B323" i="4"/>
  <c r="B525" i="4" s="1"/>
  <c r="B727" i="4" s="1"/>
  <c r="B937" i="4" s="1"/>
  <c r="B324" i="4"/>
  <c r="B526" i="4" s="1"/>
  <c r="B728" i="4" s="1"/>
  <c r="B938" i="4" s="1"/>
  <c r="B325" i="4"/>
  <c r="B527" i="4" s="1"/>
  <c r="B729" i="4" s="1"/>
  <c r="B939" i="4" s="1"/>
  <c r="B326" i="4"/>
  <c r="B528" i="4" s="1"/>
  <c r="B730" i="4" s="1"/>
  <c r="B940" i="4" s="1"/>
  <c r="B327" i="4"/>
  <c r="B529" i="4" s="1"/>
  <c r="B731" i="4" s="1"/>
  <c r="B941" i="4" s="1"/>
  <c r="B328" i="4"/>
  <c r="B530" i="4" s="1"/>
  <c r="B732" i="4" s="1"/>
  <c r="B942" i="4" s="1"/>
  <c r="B329" i="4"/>
  <c r="B531" i="4" s="1"/>
  <c r="B733" i="4" s="1"/>
  <c r="B943" i="4" s="1"/>
  <c r="B330" i="4"/>
  <c r="B532" i="4" s="1"/>
  <c r="B734" i="4" s="1"/>
  <c r="B944" i="4" s="1"/>
  <c r="B331" i="4"/>
  <c r="B533" i="4" s="1"/>
  <c r="B735" i="4" s="1"/>
  <c r="B945" i="4" s="1"/>
  <c r="B332" i="4"/>
  <c r="B534" i="4" s="1"/>
  <c r="B736" i="4" s="1"/>
  <c r="B946" i="4" s="1"/>
  <c r="B333" i="4"/>
  <c r="B535" i="4" s="1"/>
  <c r="B737" i="4" s="1"/>
  <c r="B947" i="4" s="1"/>
  <c r="B334" i="4"/>
  <c r="B536" i="4" s="1"/>
  <c r="B738" i="4" s="1"/>
  <c r="B948" i="4" s="1"/>
  <c r="B335" i="4"/>
  <c r="B537" i="4" s="1"/>
  <c r="B739" i="4" s="1"/>
  <c r="B949" i="4" s="1"/>
  <c r="B336" i="4"/>
  <c r="B538" i="4" s="1"/>
  <c r="B740" i="4" s="1"/>
  <c r="B950" i="4" s="1"/>
  <c r="B337" i="4"/>
  <c r="B539" i="4" s="1"/>
  <c r="B741" i="4" s="1"/>
  <c r="B951" i="4" s="1"/>
  <c r="B338" i="4"/>
  <c r="B540" i="4" s="1"/>
  <c r="B742" i="4" s="1"/>
  <c r="B952" i="4" s="1"/>
  <c r="B339" i="4"/>
  <c r="B541" i="4" s="1"/>
  <c r="B743" i="4" s="1"/>
  <c r="B953" i="4" s="1"/>
  <c r="B340" i="4"/>
  <c r="B542" i="4" s="1"/>
  <c r="B744" i="4" s="1"/>
  <c r="B954" i="4" s="1"/>
  <c r="B341" i="4"/>
  <c r="B543" i="4" s="1"/>
  <c r="B745" i="4" s="1"/>
  <c r="B955" i="4" s="1"/>
  <c r="B342" i="4"/>
  <c r="B544" i="4" s="1"/>
  <c r="B746" i="4" s="1"/>
  <c r="B956" i="4" s="1"/>
  <c r="B343" i="4"/>
  <c r="B545" i="4" s="1"/>
  <c r="B747" i="4" s="1"/>
  <c r="B957" i="4" s="1"/>
  <c r="B344" i="4"/>
  <c r="B546" i="4" s="1"/>
  <c r="B748" i="4" s="1"/>
  <c r="B958" i="4" s="1"/>
  <c r="B345" i="4"/>
  <c r="B547" i="4" s="1"/>
  <c r="B749" i="4" s="1"/>
  <c r="B959" i="4" s="1"/>
  <c r="B346" i="4"/>
  <c r="B548" i="4" s="1"/>
  <c r="B750" i="4" s="1"/>
  <c r="B960" i="4" s="1"/>
  <c r="B347" i="4"/>
  <c r="B549" i="4" s="1"/>
  <c r="B751" i="4" s="1"/>
  <c r="B961" i="4" s="1"/>
  <c r="B348" i="4"/>
  <c r="B550" i="4" s="1"/>
  <c r="B752" i="4" s="1"/>
  <c r="B962" i="4" s="1"/>
  <c r="B349" i="4"/>
  <c r="B551" i="4" s="1"/>
  <c r="B753" i="4" s="1"/>
  <c r="B963" i="4" s="1"/>
  <c r="B350" i="4"/>
  <c r="B552" i="4" s="1"/>
  <c r="B754" i="4" s="1"/>
  <c r="B964" i="4" s="1"/>
  <c r="B351" i="4"/>
  <c r="B553" i="4" s="1"/>
  <c r="B755" i="4" s="1"/>
  <c r="B965" i="4" s="1"/>
  <c r="B352" i="4"/>
  <c r="B554" i="4" s="1"/>
  <c r="B756" i="4" s="1"/>
  <c r="B966" i="4" s="1"/>
  <c r="B353" i="4"/>
  <c r="B555" i="4" s="1"/>
  <c r="B757" i="4" s="1"/>
  <c r="B967" i="4" s="1"/>
  <c r="B354" i="4"/>
  <c r="B556" i="4" s="1"/>
  <c r="B758" i="4" s="1"/>
  <c r="B968" i="4" s="1"/>
  <c r="B355" i="4"/>
  <c r="B557" i="4" s="1"/>
  <c r="B759" i="4" s="1"/>
  <c r="B969" i="4" s="1"/>
  <c r="B356" i="4"/>
  <c r="B558" i="4" s="1"/>
  <c r="B760" i="4" s="1"/>
  <c r="B970" i="4" s="1"/>
  <c r="B357" i="4"/>
  <c r="B559" i="4" s="1"/>
  <c r="B761" i="4" s="1"/>
  <c r="B971" i="4" s="1"/>
  <c r="B358" i="4"/>
  <c r="B560" i="4" s="1"/>
  <c r="B762" i="4" s="1"/>
  <c r="B972" i="4" s="1"/>
  <c r="B359" i="4"/>
  <c r="B561" i="4" s="1"/>
  <c r="B763" i="4" s="1"/>
  <c r="B973" i="4" s="1"/>
  <c r="B360" i="4"/>
  <c r="B562" i="4" s="1"/>
  <c r="B764" i="4" s="1"/>
  <c r="B974" i="4" s="1"/>
  <c r="B361" i="4"/>
  <c r="B563" i="4" s="1"/>
  <c r="B765" i="4" s="1"/>
  <c r="B975" i="4" s="1"/>
  <c r="B362" i="4"/>
  <c r="B564" i="4" s="1"/>
  <c r="B766" i="4" s="1"/>
  <c r="B976" i="4" s="1"/>
  <c r="B363" i="4"/>
  <c r="B565" i="4" s="1"/>
  <c r="B767" i="4" s="1"/>
  <c r="B977" i="4" s="1"/>
  <c r="B364" i="4"/>
  <c r="B566" i="4" s="1"/>
  <c r="B768" i="4" s="1"/>
  <c r="B978" i="4" s="1"/>
  <c r="B365" i="4"/>
  <c r="B567" i="4" s="1"/>
  <c r="B769" i="4" s="1"/>
  <c r="B979" i="4" s="1"/>
  <c r="B366" i="4"/>
  <c r="B568" i="4" s="1"/>
  <c r="B770" i="4" s="1"/>
  <c r="B980" i="4" s="1"/>
  <c r="B367" i="4"/>
  <c r="B569" i="4" s="1"/>
  <c r="B771" i="4" s="1"/>
  <c r="B981" i="4" s="1"/>
  <c r="B368" i="4"/>
  <c r="B570" i="4" s="1"/>
  <c r="B772" i="4" s="1"/>
  <c r="B982" i="4" s="1"/>
  <c r="B369" i="4"/>
  <c r="B571" i="4" s="1"/>
  <c r="B773" i="4" s="1"/>
  <c r="B983" i="4" s="1"/>
  <c r="B370" i="4"/>
  <c r="B572" i="4" s="1"/>
  <c r="B774" i="4" s="1"/>
  <c r="B984" i="4" s="1"/>
  <c r="B371" i="4"/>
  <c r="B573" i="4" s="1"/>
  <c r="B775" i="4" s="1"/>
  <c r="B985" i="4" s="1"/>
  <c r="B372" i="4"/>
  <c r="B574" i="4" s="1"/>
  <c r="B776" i="4" s="1"/>
  <c r="B986" i="4" s="1"/>
  <c r="B373" i="4"/>
  <c r="B575" i="4" s="1"/>
  <c r="B777" i="4" s="1"/>
  <c r="B987" i="4" s="1"/>
  <c r="B374" i="4"/>
  <c r="B576" i="4" s="1"/>
  <c r="B778" i="4" s="1"/>
  <c r="B988" i="4" s="1"/>
  <c r="B375" i="4"/>
  <c r="B577" i="4" s="1"/>
  <c r="B779" i="4" s="1"/>
  <c r="B989" i="4" s="1"/>
  <c r="B376" i="4"/>
  <c r="B578" i="4" s="1"/>
  <c r="B780" i="4" s="1"/>
  <c r="B990" i="4" s="1"/>
  <c r="B377" i="4"/>
  <c r="B579" i="4" s="1"/>
  <c r="B781" i="4" s="1"/>
  <c r="B991" i="4" s="1"/>
  <c r="B378" i="4"/>
  <c r="B580" i="4" s="1"/>
  <c r="B782" i="4" s="1"/>
  <c r="B992" i="4" s="1"/>
  <c r="B379" i="4"/>
  <c r="B581" i="4" s="1"/>
  <c r="B783" i="4" s="1"/>
  <c r="B993" i="4" s="1"/>
  <c r="B380" i="4"/>
  <c r="B582" i="4" s="1"/>
  <c r="B784" i="4" s="1"/>
  <c r="B994" i="4" s="1"/>
  <c r="B381" i="4"/>
  <c r="B583" i="4" s="1"/>
  <c r="B785" i="4" s="1"/>
  <c r="B995" i="4" s="1"/>
  <c r="B382" i="4"/>
  <c r="B584" i="4" s="1"/>
  <c r="B786" i="4" s="1"/>
  <c r="B996" i="4" s="1"/>
  <c r="B383" i="4"/>
  <c r="B585" i="4" s="1"/>
  <c r="B787" i="4" s="1"/>
  <c r="B997" i="4" s="1"/>
  <c r="B384" i="4"/>
  <c r="B586" i="4" s="1"/>
  <c r="B788" i="4" s="1"/>
  <c r="B998" i="4" s="1"/>
  <c r="B385" i="4"/>
  <c r="B587" i="4" s="1"/>
  <c r="B789" i="4" s="1"/>
  <c r="B999" i="4" s="1"/>
  <c r="B386" i="4"/>
  <c r="B588" i="4" s="1"/>
  <c r="B790" i="4" s="1"/>
  <c r="B1000" i="4" s="1"/>
  <c r="B387" i="4"/>
  <c r="B589" i="4" s="1"/>
  <c r="B791" i="4" s="1"/>
  <c r="B1001" i="4" s="1"/>
  <c r="B388" i="4"/>
  <c r="B590" i="4" s="1"/>
  <c r="B792" i="4" s="1"/>
  <c r="B1002" i="4" s="1"/>
  <c r="B389" i="4"/>
  <c r="B591" i="4" s="1"/>
  <c r="B793" i="4" s="1"/>
  <c r="B1003" i="4" s="1"/>
  <c r="B390" i="4"/>
  <c r="B592" i="4" s="1"/>
  <c r="B794" i="4" s="1"/>
  <c r="B1004" i="4" s="1"/>
  <c r="B391" i="4"/>
  <c r="B593" i="4" s="1"/>
  <c r="B795" i="4" s="1"/>
  <c r="B1005" i="4" s="1"/>
  <c r="B392" i="4"/>
  <c r="B594" i="4" s="1"/>
  <c r="B796" i="4" s="1"/>
  <c r="B1006" i="4" s="1"/>
  <c r="B393" i="4"/>
  <c r="B595" i="4" s="1"/>
  <c r="B797" i="4" s="1"/>
  <c r="B1007" i="4" s="1"/>
  <c r="B394" i="4"/>
  <c r="B596" i="4" s="1"/>
  <c r="B798" i="4" s="1"/>
  <c r="B1008" i="4" s="1"/>
  <c r="B395" i="4"/>
  <c r="B597" i="4" s="1"/>
  <c r="B799" i="4" s="1"/>
  <c r="B1009" i="4" s="1"/>
  <c r="B396" i="4"/>
  <c r="B598" i="4" s="1"/>
  <c r="B800" i="4" s="1"/>
  <c r="B1010" i="4" s="1"/>
  <c r="B397" i="4"/>
  <c r="B599" i="4" s="1"/>
  <c r="B801" i="4" s="1"/>
  <c r="B1011" i="4" s="1"/>
  <c r="B398" i="4"/>
  <c r="B600" i="4" s="1"/>
  <c r="B802" i="4" s="1"/>
  <c r="B1012" i="4" s="1"/>
  <c r="B399" i="4"/>
  <c r="B601" i="4" s="1"/>
  <c r="B803" i="4" s="1"/>
  <c r="B1013" i="4" s="1"/>
  <c r="B400" i="4"/>
  <c r="B602" i="4" s="1"/>
  <c r="B804" i="4" s="1"/>
  <c r="B1014" i="4" s="1"/>
  <c r="B401" i="4"/>
  <c r="B603" i="4" s="1"/>
  <c r="B805" i="4" s="1"/>
  <c r="B1015" i="4" s="1"/>
  <c r="B402" i="4"/>
  <c r="B604" i="4" s="1"/>
  <c r="B806" i="4" s="1"/>
  <c r="B1016" i="4" s="1"/>
  <c r="B403" i="4"/>
  <c r="B605" i="4" s="1"/>
  <c r="B807" i="4" s="1"/>
  <c r="B1017" i="4" s="1"/>
  <c r="B404" i="4"/>
  <c r="B606" i="4" s="1"/>
  <c r="B808" i="4" s="1"/>
  <c r="B1018" i="4" s="1"/>
  <c r="B405" i="4"/>
  <c r="B607" i="4" s="1"/>
  <c r="B809" i="4" s="1"/>
  <c r="B1019" i="4" s="1"/>
  <c r="B406" i="4"/>
  <c r="B608" i="4" s="1"/>
  <c r="B810" i="4" s="1"/>
  <c r="B1020" i="4" s="1"/>
  <c r="B407" i="4"/>
  <c r="B609" i="4" s="1"/>
  <c r="B811" i="4" s="1"/>
  <c r="B1021" i="4" s="1"/>
  <c r="B408" i="4"/>
  <c r="B610" i="4" s="1"/>
  <c r="B812" i="4" s="1"/>
  <c r="B1022" i="4" s="1"/>
  <c r="B409" i="4"/>
  <c r="B611" i="4" s="1"/>
  <c r="B813" i="4" s="1"/>
  <c r="B1023" i="4" s="1"/>
  <c r="B410" i="4"/>
  <c r="B612" i="4" s="1"/>
  <c r="B814" i="4" s="1"/>
  <c r="B1024" i="4" s="1"/>
  <c r="B411" i="4"/>
  <c r="B613" i="4" s="1"/>
  <c r="B815" i="4" s="1"/>
  <c r="B1025" i="4" s="1"/>
  <c r="B412" i="4"/>
  <c r="B614" i="4" s="1"/>
  <c r="B816" i="4" s="1"/>
  <c r="B1026" i="4" s="1"/>
  <c r="B413" i="4"/>
  <c r="B615" i="4" s="1"/>
  <c r="B817" i="4" s="1"/>
  <c r="B1027" i="4" s="1"/>
  <c r="B414" i="4"/>
  <c r="B616" i="4" s="1"/>
  <c r="B818" i="4" s="1"/>
  <c r="B1028" i="4" s="1"/>
  <c r="B415" i="4"/>
  <c r="B617" i="4" s="1"/>
  <c r="B819" i="4" s="1"/>
  <c r="B1029" i="4" s="1"/>
  <c r="B416" i="4"/>
  <c r="B618" i="4" s="1"/>
  <c r="B820" i="4" s="1"/>
  <c r="B1030" i="4" s="1"/>
  <c r="B417" i="4"/>
  <c r="B619" i="4" s="1"/>
  <c r="B821" i="4" s="1"/>
  <c r="B1031" i="4" s="1"/>
  <c r="B422" i="4" l="1"/>
  <c r="D1039" i="4" a="1"/>
  <c r="D1039" i="4" s="1"/>
  <c r="B625" i="4"/>
  <c r="B835" i="4" s="1"/>
  <c r="B624" i="4"/>
  <c r="H13" i="13"/>
  <c r="T13" i="13"/>
  <c r="K13" i="13"/>
  <c r="N13" i="13"/>
  <c r="CJ170" i="3"/>
  <c r="CJ89" i="3"/>
  <c r="CJ131" i="3"/>
  <c r="CJ17" i="3"/>
  <c r="CJ58" i="3"/>
  <c r="CJ197" i="3"/>
  <c r="CJ35" i="3"/>
  <c r="CJ18" i="3"/>
  <c r="CJ144" i="3"/>
  <c r="CJ206" i="3"/>
  <c r="CJ199" i="3"/>
  <c r="CJ192" i="3"/>
  <c r="CJ48" i="3"/>
  <c r="CJ66" i="3"/>
  <c r="CJ115" i="3"/>
  <c r="CJ53" i="3"/>
  <c r="CJ27" i="3"/>
  <c r="CJ136" i="3"/>
  <c r="CJ57" i="3"/>
  <c r="CJ203" i="3"/>
  <c r="CJ168" i="3"/>
  <c r="CJ87" i="3"/>
  <c r="CJ179" i="3"/>
  <c r="CJ59" i="3"/>
  <c r="CJ190" i="3"/>
  <c r="CJ162" i="3"/>
  <c r="CJ109" i="3"/>
  <c r="CJ142" i="3"/>
  <c r="CJ15" i="3"/>
  <c r="CJ113" i="3"/>
  <c r="CJ25" i="3"/>
  <c r="CJ72" i="3"/>
  <c r="CJ173" i="3"/>
  <c r="CJ180" i="3"/>
  <c r="CJ95" i="3"/>
  <c r="CJ51" i="3"/>
  <c r="CJ67" i="3"/>
  <c r="CJ200" i="3"/>
  <c r="CJ63" i="3"/>
  <c r="CJ118" i="3"/>
  <c r="CJ46" i="3"/>
  <c r="CJ76" i="3"/>
  <c r="CJ40" i="3"/>
  <c r="CJ91" i="3"/>
  <c r="CJ161" i="3"/>
  <c r="CJ84" i="3"/>
  <c r="CJ189" i="3"/>
  <c r="CJ39" i="3"/>
  <c r="CJ171" i="3"/>
  <c r="CJ117" i="3"/>
  <c r="CJ106" i="3"/>
  <c r="CJ28" i="3"/>
  <c r="CJ187" i="3"/>
  <c r="CJ153" i="3"/>
  <c r="CJ36" i="3"/>
  <c r="CJ34" i="3"/>
  <c r="CJ44" i="3"/>
  <c r="CJ78" i="3"/>
  <c r="CJ96" i="3"/>
  <c r="CJ71" i="3"/>
  <c r="CJ123" i="3"/>
  <c r="CJ191" i="3"/>
  <c r="CJ101" i="3"/>
  <c r="CJ54" i="3"/>
  <c r="CJ163" i="3"/>
  <c r="CJ204" i="3"/>
  <c r="CJ119" i="3"/>
  <c r="CJ165" i="3"/>
  <c r="CJ98" i="3"/>
  <c r="CJ114" i="3"/>
  <c r="CJ30" i="3"/>
  <c r="CJ149" i="3"/>
  <c r="CJ152" i="3"/>
  <c r="CJ62" i="3"/>
  <c r="CJ79" i="3"/>
  <c r="CJ122" i="3"/>
  <c r="CJ107" i="3"/>
  <c r="CJ174" i="3"/>
  <c r="CJ188" i="3"/>
  <c r="CJ37" i="3"/>
  <c r="CJ45" i="3"/>
  <c r="CJ175" i="3"/>
  <c r="CJ127" i="3"/>
  <c r="CJ14" i="3"/>
  <c r="CJ19" i="3"/>
  <c r="CJ146" i="3"/>
  <c r="CJ93" i="3"/>
  <c r="CJ69" i="3"/>
  <c r="CJ22" i="3"/>
  <c r="CJ102" i="3"/>
  <c r="CJ151" i="3"/>
  <c r="CJ21" i="3"/>
  <c r="CJ99" i="3"/>
  <c r="CJ135" i="3"/>
  <c r="CJ26" i="3"/>
  <c r="CJ125" i="3"/>
  <c r="CJ92" i="3"/>
  <c r="CJ126" i="3"/>
  <c r="CJ32" i="3"/>
  <c r="CJ145" i="3"/>
  <c r="CJ31" i="3"/>
  <c r="CJ150" i="3"/>
  <c r="CJ184" i="3"/>
  <c r="CJ202" i="3"/>
  <c r="CJ43" i="3"/>
  <c r="CJ108" i="3"/>
  <c r="CJ198" i="3"/>
  <c r="CJ155" i="3"/>
  <c r="CJ205" i="3"/>
  <c r="CJ49" i="3"/>
  <c r="CJ177" i="3"/>
  <c r="CJ80" i="3"/>
  <c r="CJ112" i="3"/>
  <c r="CJ47" i="3"/>
  <c r="CJ60" i="3"/>
  <c r="CJ90" i="3"/>
  <c r="CJ24" i="3"/>
  <c r="CJ68" i="3"/>
  <c r="CJ61" i="3"/>
  <c r="CJ156" i="3"/>
  <c r="CJ148" i="3"/>
  <c r="CJ86" i="3"/>
  <c r="CJ23" i="3"/>
  <c r="CJ147" i="3"/>
  <c r="CJ159" i="3"/>
  <c r="CJ65" i="3"/>
  <c r="CJ73" i="3"/>
  <c r="CJ157" i="3"/>
  <c r="CJ103" i="3"/>
  <c r="CJ81" i="3"/>
  <c r="CJ158" i="3"/>
  <c r="CJ124" i="3"/>
  <c r="CJ143" i="3"/>
  <c r="CJ140" i="3"/>
  <c r="CJ141" i="3"/>
  <c r="CJ160" i="3"/>
  <c r="CJ56" i="3"/>
  <c r="CJ139" i="3"/>
  <c r="CJ201" i="3"/>
  <c r="CJ178" i="3"/>
  <c r="CJ121" i="3"/>
  <c r="CJ52" i="3"/>
  <c r="CJ74" i="3"/>
  <c r="CJ50" i="3"/>
  <c r="CJ38" i="3"/>
  <c r="CJ182" i="3"/>
  <c r="CJ195" i="3"/>
  <c r="CJ196" i="3"/>
  <c r="CJ130" i="3"/>
  <c r="CJ13" i="3"/>
  <c r="CJ55" i="3"/>
  <c r="CJ82" i="3"/>
  <c r="CJ194" i="3"/>
  <c r="CJ207" i="3"/>
  <c r="CJ70" i="3"/>
  <c r="CJ183" i="3"/>
  <c r="CJ97" i="3"/>
  <c r="CJ128" i="3"/>
  <c r="CJ116" i="3"/>
  <c r="CJ185" i="3"/>
  <c r="CJ105" i="3"/>
  <c r="CJ29" i="3"/>
  <c r="CJ208" i="3"/>
  <c r="CJ41" i="3"/>
  <c r="CJ186" i="3"/>
  <c r="CJ75" i="3"/>
  <c r="CJ16" i="3"/>
  <c r="CJ132" i="3"/>
  <c r="CJ85" i="3"/>
  <c r="CJ94" i="3"/>
  <c r="CJ111" i="3"/>
  <c r="CJ110" i="3"/>
  <c r="CJ77" i="3"/>
  <c r="CJ64" i="3"/>
  <c r="CJ133" i="3"/>
  <c r="CJ167" i="3"/>
  <c r="CJ20" i="3"/>
  <c r="CJ100" i="3"/>
  <c r="CJ12" i="3"/>
  <c r="CJ169" i="3"/>
  <c r="CJ83" i="3"/>
  <c r="CJ193" i="3"/>
  <c r="CJ33" i="3"/>
  <c r="CJ138" i="3"/>
  <c r="CJ129" i="3"/>
  <c r="CJ88" i="3"/>
  <c r="CJ11" i="3"/>
  <c r="CJ176" i="3"/>
  <c r="CJ181" i="3"/>
  <c r="CJ166" i="3"/>
  <c r="CJ172" i="3"/>
  <c r="CJ137" i="3"/>
  <c r="CJ164" i="3"/>
  <c r="CJ154" i="3"/>
  <c r="CJ120" i="3"/>
  <c r="CJ42" i="3"/>
  <c r="CJ134" i="3"/>
  <c r="CJ104" i="3"/>
  <c r="B834" i="4" l="1"/>
  <c r="D1047" i="4" s="1"/>
  <c r="CH25" i="3"/>
  <c r="CH115" i="3"/>
  <c r="CH57" i="3"/>
  <c r="CH58" i="3"/>
  <c r="CH120" i="3"/>
  <c r="CH20" i="3"/>
  <c r="CH110" i="3"/>
  <c r="CH186" i="3"/>
  <c r="CH169" i="3"/>
  <c r="CH139" i="3"/>
  <c r="CH107" i="3"/>
  <c r="CH140" i="3"/>
  <c r="CH153" i="3"/>
  <c r="CH184" i="3"/>
  <c r="CH161" i="3"/>
  <c r="CH11" i="3"/>
  <c r="CH70" i="3"/>
  <c r="CH116" i="3"/>
  <c r="CH122" i="3"/>
  <c r="CH43" i="3"/>
  <c r="CH177" i="3"/>
  <c r="CH165" i="3"/>
  <c r="CH188" i="3"/>
  <c r="CH79" i="3"/>
  <c r="CH80" i="3"/>
  <c r="CE16" i="3"/>
  <c r="CE155" i="3"/>
  <c r="CB35" i="3"/>
  <c r="CB136" i="3"/>
  <c r="CB87" i="3"/>
  <c r="CB190" i="3"/>
  <c r="CB120" i="3"/>
  <c r="CB104" i="3"/>
  <c r="CB134" i="3"/>
  <c r="CB110" i="3"/>
  <c r="CB186" i="3"/>
  <c r="CB139" i="3"/>
  <c r="CB107" i="3"/>
  <c r="CB47" i="3"/>
  <c r="CB182" i="3"/>
  <c r="CB24" i="3"/>
  <c r="CB140" i="3"/>
  <c r="CB132" i="3"/>
  <c r="CB13" i="3"/>
  <c r="CB111" i="3"/>
  <c r="CB72" i="3"/>
  <c r="CB78" i="3"/>
  <c r="CB161" i="3"/>
  <c r="CB46" i="3"/>
  <c r="CB71" i="3"/>
  <c r="CB208" i="3"/>
  <c r="CB90" i="3"/>
  <c r="CB130" i="3"/>
  <c r="CB141" i="3"/>
  <c r="CB148" i="3"/>
  <c r="CB43" i="3"/>
  <c r="CB150" i="3"/>
  <c r="CB159" i="3"/>
  <c r="CB200" i="3"/>
  <c r="CB151" i="3"/>
  <c r="CB19" i="3"/>
  <c r="BX153" i="3"/>
  <c r="BX128" i="3"/>
  <c r="BU28" i="3"/>
  <c r="BU201" i="3"/>
  <c r="BU93" i="3"/>
  <c r="BU103" i="3"/>
  <c r="BU51" i="3"/>
  <c r="BU203" i="3"/>
  <c r="BU48" i="3"/>
  <c r="BU58" i="3"/>
  <c r="BU104" i="3"/>
  <c r="BU185" i="3"/>
  <c r="BU154" i="3"/>
  <c r="BU169" i="3"/>
  <c r="BU94" i="3"/>
  <c r="BU33" i="3"/>
  <c r="BU167" i="3"/>
  <c r="BU52" i="3"/>
  <c r="BU26" i="3"/>
  <c r="BU205" i="3"/>
  <c r="BU24" i="3"/>
  <c r="BU68" i="3"/>
  <c r="BU126" i="3"/>
  <c r="BU13" i="3"/>
  <c r="BU127" i="3"/>
  <c r="BU158" i="3"/>
  <c r="BU153" i="3"/>
  <c r="BU78" i="3"/>
  <c r="BU69" i="3"/>
  <c r="BU81" i="3"/>
  <c r="BU161" i="3"/>
  <c r="BU34" i="3"/>
  <c r="BU204" i="3"/>
  <c r="BU163" i="3"/>
  <c r="BU145" i="3"/>
  <c r="BU122" i="3"/>
  <c r="BU112" i="3"/>
  <c r="BU200" i="3"/>
  <c r="BU76" i="3"/>
  <c r="BU177" i="3"/>
  <c r="BU101" i="3"/>
  <c r="BU165" i="3"/>
  <c r="BU152" i="3"/>
  <c r="BU67" i="3"/>
  <c r="BU70" i="3"/>
  <c r="BU39" i="3"/>
  <c r="BS93" i="3"/>
  <c r="BS91" i="3"/>
  <c r="BS54" i="3"/>
  <c r="BS203" i="3"/>
  <c r="BS48" i="3"/>
  <c r="BS104" i="3"/>
  <c r="BS134" i="3"/>
  <c r="BS83" i="3"/>
  <c r="BS176" i="3"/>
  <c r="BS110" i="3"/>
  <c r="BS183" i="3"/>
  <c r="BS169" i="3"/>
  <c r="BS94" i="3"/>
  <c r="BS121" i="3"/>
  <c r="BS149" i="3"/>
  <c r="BS139" i="3"/>
  <c r="BS125" i="3"/>
  <c r="BS182" i="3"/>
  <c r="BS147" i="3"/>
  <c r="BS22" i="3"/>
  <c r="BS24" i="3"/>
  <c r="BS29" i="3"/>
  <c r="BS102" i="3"/>
  <c r="BS126" i="3"/>
  <c r="BS13" i="3"/>
  <c r="BS99" i="3"/>
  <c r="BS153" i="3"/>
  <c r="BS81" i="3"/>
  <c r="BS174" i="3"/>
  <c r="BS60" i="3"/>
  <c r="BS161" i="3"/>
  <c r="BS191" i="3"/>
  <c r="BS208" i="3"/>
  <c r="BS133" i="3"/>
  <c r="BS128" i="3"/>
  <c r="BS90" i="3"/>
  <c r="BS124" i="3"/>
  <c r="BS130" i="3"/>
  <c r="BR130" i="3" s="1"/>
  <c r="BS82" i="3"/>
  <c r="BS141" i="3"/>
  <c r="BS148" i="3"/>
  <c r="BS112" i="3"/>
  <c r="BS39" i="3"/>
  <c r="BR39" i="3" s="1"/>
  <c r="BS76" i="3"/>
  <c r="BS177" i="3"/>
  <c r="BS101" i="3"/>
  <c r="BS165" i="3"/>
  <c r="BS152" i="3"/>
  <c r="BS19" i="3"/>
  <c r="BS188" i="3"/>
  <c r="BS79" i="3"/>
  <c r="BS67" i="3"/>
  <c r="BS80" i="3"/>
  <c r="BP15" i="3"/>
  <c r="BP51" i="3"/>
  <c r="BP40" i="3"/>
  <c r="BP25" i="3"/>
  <c r="BP87" i="3"/>
  <c r="BP17" i="3"/>
  <c r="BP190" i="3"/>
  <c r="BP16" i="3"/>
  <c r="BP120" i="3"/>
  <c r="BP181" i="3"/>
  <c r="BP154" i="3"/>
  <c r="BP166" i="3"/>
  <c r="BP129" i="3"/>
  <c r="BP12" i="3"/>
  <c r="BP169" i="3"/>
  <c r="BP94" i="3"/>
  <c r="BP167" i="3"/>
  <c r="BP149" i="3"/>
  <c r="BP139" i="3"/>
  <c r="BP182" i="3"/>
  <c r="BP140" i="3"/>
  <c r="BP132" i="3"/>
  <c r="BP126" i="3"/>
  <c r="BP13" i="3"/>
  <c r="BP111" i="3"/>
  <c r="BP199" i="3"/>
  <c r="BP78" i="3"/>
  <c r="BP69" i="3"/>
  <c r="BP174" i="3"/>
  <c r="BP184" i="3"/>
  <c r="BP71" i="3"/>
  <c r="BP34" i="3"/>
  <c r="BP119" i="3"/>
  <c r="BP98" i="3"/>
  <c r="BP191" i="3"/>
  <c r="BP208" i="3"/>
  <c r="BP133" i="3"/>
  <c r="BP124" i="3"/>
  <c r="BP130" i="3"/>
  <c r="BP82" i="3"/>
  <c r="BP141" i="3"/>
  <c r="BP196" i="3"/>
  <c r="BP163" i="3"/>
  <c r="BP73" i="3"/>
  <c r="BP112" i="3"/>
  <c r="BP76" i="3"/>
  <c r="BP177" i="3"/>
  <c r="BP101" i="3"/>
  <c r="BP165" i="3"/>
  <c r="BP151" i="3"/>
  <c r="BP122" i="3"/>
  <c r="AY185" i="3"/>
  <c r="BP185" i="3"/>
  <c r="BP33" i="3"/>
  <c r="BP125" i="3"/>
  <c r="BP99" i="3"/>
  <c r="BP148" i="3"/>
  <c r="BP45" i="3"/>
  <c r="BU124" i="3"/>
  <c r="BU130" i="3"/>
  <c r="BU73" i="3"/>
  <c r="CH94" i="3"/>
  <c r="W20" i="5" l="1"/>
  <c r="W32" i="5"/>
  <c r="W44" i="5"/>
  <c r="W56" i="5"/>
  <c r="W68" i="5"/>
  <c r="W80" i="5"/>
  <c r="W92" i="5"/>
  <c r="W104" i="5"/>
  <c r="W116" i="5"/>
  <c r="W128" i="5"/>
  <c r="W140" i="5"/>
  <c r="W152" i="5"/>
  <c r="W164" i="5"/>
  <c r="W176" i="5"/>
  <c r="W188" i="5"/>
  <c r="W200" i="5"/>
  <c r="W212" i="5"/>
  <c r="W22" i="5"/>
  <c r="W34" i="5"/>
  <c r="W46" i="5"/>
  <c r="W58" i="5"/>
  <c r="W70" i="5"/>
  <c r="W82" i="5"/>
  <c r="W94" i="5"/>
  <c r="W106" i="5"/>
  <c r="W118" i="5"/>
  <c r="W130" i="5"/>
  <c r="W142" i="5"/>
  <c r="W154" i="5"/>
  <c r="W166" i="5"/>
  <c r="W178" i="5"/>
  <c r="W190" i="5"/>
  <c r="W202" i="5"/>
  <c r="W35" i="5"/>
  <c r="W95" i="5"/>
  <c r="W143" i="5"/>
  <c r="W179" i="5"/>
  <c r="W36" i="5"/>
  <c r="W84" i="5"/>
  <c r="W120" i="5"/>
  <c r="W156" i="5"/>
  <c r="W192" i="5"/>
  <c r="W21" i="5"/>
  <c r="W33" i="5"/>
  <c r="W45" i="5"/>
  <c r="W57" i="5"/>
  <c r="W69" i="5"/>
  <c r="W81" i="5"/>
  <c r="W93" i="5"/>
  <c r="W105" i="5"/>
  <c r="W117" i="5"/>
  <c r="W129" i="5"/>
  <c r="W141" i="5"/>
  <c r="W153" i="5"/>
  <c r="W165" i="5"/>
  <c r="W177" i="5"/>
  <c r="W189" i="5"/>
  <c r="W201" i="5"/>
  <c r="W213" i="5"/>
  <c r="W23" i="5"/>
  <c r="W47" i="5"/>
  <c r="W59" i="5"/>
  <c r="W71" i="5"/>
  <c r="W83" i="5"/>
  <c r="W107" i="5"/>
  <c r="W119" i="5"/>
  <c r="W131" i="5"/>
  <c r="W155" i="5"/>
  <c r="W167" i="5"/>
  <c r="W191" i="5"/>
  <c r="W203" i="5"/>
  <c r="W24" i="5"/>
  <c r="W48" i="5"/>
  <c r="W60" i="5"/>
  <c r="W72" i="5"/>
  <c r="W96" i="5"/>
  <c r="W108" i="5"/>
  <c r="W132" i="5"/>
  <c r="W144" i="5"/>
  <c r="W168" i="5"/>
  <c r="W180" i="5"/>
  <c r="W204" i="5"/>
  <c r="W19" i="5"/>
  <c r="W41" i="5"/>
  <c r="W63" i="5"/>
  <c r="W85" i="5"/>
  <c r="W102" i="5"/>
  <c r="W124" i="5"/>
  <c r="W146" i="5"/>
  <c r="W163" i="5"/>
  <c r="W185" i="5"/>
  <c r="W207" i="5"/>
  <c r="W25" i="5"/>
  <c r="W42" i="5"/>
  <c r="W64" i="5"/>
  <c r="W86" i="5"/>
  <c r="W103" i="5"/>
  <c r="W125" i="5"/>
  <c r="W147" i="5"/>
  <c r="W169" i="5"/>
  <c r="W186" i="5"/>
  <c r="W208" i="5"/>
  <c r="W26" i="5"/>
  <c r="W43" i="5"/>
  <c r="W65" i="5"/>
  <c r="W87" i="5"/>
  <c r="W109" i="5"/>
  <c r="W126" i="5"/>
  <c r="W148" i="5"/>
  <c r="W170" i="5"/>
  <c r="W187" i="5"/>
  <c r="W209" i="5"/>
  <c r="W27" i="5"/>
  <c r="W49" i="5"/>
  <c r="W66" i="5"/>
  <c r="W88" i="5"/>
  <c r="W110" i="5"/>
  <c r="W127" i="5"/>
  <c r="W149" i="5"/>
  <c r="W171" i="5"/>
  <c r="W193" i="5"/>
  <c r="W210" i="5"/>
  <c r="W50" i="5"/>
  <c r="W89" i="5"/>
  <c r="W111" i="5"/>
  <c r="W150" i="5"/>
  <c r="W194" i="5"/>
  <c r="W173" i="5"/>
  <c r="W30" i="5"/>
  <c r="W52" i="5"/>
  <c r="W74" i="5"/>
  <c r="W91" i="5"/>
  <c r="W113" i="5"/>
  <c r="W135" i="5"/>
  <c r="W157" i="5"/>
  <c r="W174" i="5"/>
  <c r="W196" i="5"/>
  <c r="W114" i="5"/>
  <c r="W175" i="5"/>
  <c r="W37" i="5"/>
  <c r="W76" i="5"/>
  <c r="W115" i="5"/>
  <c r="W137" i="5"/>
  <c r="W181" i="5"/>
  <c r="W121" i="5"/>
  <c r="W182" i="5"/>
  <c r="W100" i="5"/>
  <c r="W161" i="5"/>
  <c r="W205" i="5"/>
  <c r="W123" i="5"/>
  <c r="W184" i="5"/>
  <c r="W28" i="5"/>
  <c r="W67" i="5"/>
  <c r="W133" i="5"/>
  <c r="W172" i="5"/>
  <c r="W211" i="5"/>
  <c r="W29" i="5"/>
  <c r="W51" i="5"/>
  <c r="W73" i="5"/>
  <c r="W90" i="5"/>
  <c r="W112" i="5"/>
  <c r="W134" i="5"/>
  <c r="W151" i="5"/>
  <c r="W195" i="5"/>
  <c r="W31" i="5"/>
  <c r="W53" i="5"/>
  <c r="W75" i="5"/>
  <c r="W97" i="5"/>
  <c r="W136" i="5"/>
  <c r="W158" i="5"/>
  <c r="W197" i="5"/>
  <c r="W54" i="5"/>
  <c r="W98" i="5"/>
  <c r="W159" i="5"/>
  <c r="W198" i="5"/>
  <c r="W16" i="5"/>
  <c r="W38" i="5"/>
  <c r="W55" i="5"/>
  <c r="W77" i="5"/>
  <c r="W99" i="5"/>
  <c r="W138" i="5"/>
  <c r="W160" i="5"/>
  <c r="W199" i="5"/>
  <c r="W17" i="5"/>
  <c r="W39" i="5"/>
  <c r="W61" i="5"/>
  <c r="W78" i="5"/>
  <c r="W122" i="5"/>
  <c r="W139" i="5"/>
  <c r="W183" i="5"/>
  <c r="W18" i="5"/>
  <c r="W40" i="5"/>
  <c r="W62" i="5"/>
  <c r="W79" i="5"/>
  <c r="W101" i="5"/>
  <c r="W145" i="5"/>
  <c r="W162" i="5"/>
  <c r="W206" i="5"/>
  <c r="CN32" i="3"/>
  <c r="CN202" i="3"/>
  <c r="CN114" i="3"/>
  <c r="CN61" i="3"/>
  <c r="CN41" i="3"/>
  <c r="CN98" i="3"/>
  <c r="CN142" i="3"/>
  <c r="CN89" i="3"/>
  <c r="CN74" i="3"/>
  <c r="CN205" i="3"/>
  <c r="CN85" i="3"/>
  <c r="CN100" i="3"/>
  <c r="CN164" i="3"/>
  <c r="CN109" i="3"/>
  <c r="CN136" i="3"/>
  <c r="CN179" i="3"/>
  <c r="CN96" i="3"/>
  <c r="CN49" i="3"/>
  <c r="CN31" i="3"/>
  <c r="CN163" i="3"/>
  <c r="CN105" i="3"/>
  <c r="CN117" i="3"/>
  <c r="CN60" i="3"/>
  <c r="CN23" i="3"/>
  <c r="CN38" i="3"/>
  <c r="CN137" i="3"/>
  <c r="CN64" i="3"/>
  <c r="CN83" i="3"/>
  <c r="CN57" i="3"/>
  <c r="CN118" i="3"/>
  <c r="CN27" i="3"/>
  <c r="CN92" i="3"/>
  <c r="CN86" i="3"/>
  <c r="CN159" i="3"/>
  <c r="CN157" i="3"/>
  <c r="CN77" i="3"/>
  <c r="CN119" i="3"/>
  <c r="CN84" i="3"/>
  <c r="CN50" i="3"/>
  <c r="CN56" i="3"/>
  <c r="CN26" i="3"/>
  <c r="CN138" i="3"/>
  <c r="CN12" i="3"/>
  <c r="CN134" i="3"/>
  <c r="CN144" i="3"/>
  <c r="CN113" i="3"/>
  <c r="CN206" i="3"/>
  <c r="CN67" i="3"/>
  <c r="CN198" i="3"/>
  <c r="CN150" i="3"/>
  <c r="CN196" i="3"/>
  <c r="CN90" i="3"/>
  <c r="CN171" i="3"/>
  <c r="CN174" i="3"/>
  <c r="CN127" i="3"/>
  <c r="CN62" i="3"/>
  <c r="CN47" i="3"/>
  <c r="CN97" i="3"/>
  <c r="CN129" i="3"/>
  <c r="CN181" i="3"/>
  <c r="CN192" i="3"/>
  <c r="CN54" i="3"/>
  <c r="CN15" i="3"/>
  <c r="CN79" i="3"/>
  <c r="CN156" i="3"/>
  <c r="CN43" i="3"/>
  <c r="CN141" i="3"/>
  <c r="CN128" i="3"/>
  <c r="CN21" i="3"/>
  <c r="CN81" i="3"/>
  <c r="CN111" i="3"/>
  <c r="CN68" i="3"/>
  <c r="CN107" i="3"/>
  <c r="CN193" i="3"/>
  <c r="CN166" i="3"/>
  <c r="CN104" i="3"/>
  <c r="CN48" i="3"/>
  <c r="CN91" i="3"/>
  <c r="CL187" i="3"/>
  <c r="CN187" i="3"/>
  <c r="CN188" i="3"/>
  <c r="CN177" i="3"/>
  <c r="CN122" i="3"/>
  <c r="CN82" i="3"/>
  <c r="CN133" i="3"/>
  <c r="CN30" i="3"/>
  <c r="CN69" i="3"/>
  <c r="CN99" i="3"/>
  <c r="CN132" i="3"/>
  <c r="CN125" i="3"/>
  <c r="CN33" i="3"/>
  <c r="CN154" i="3"/>
  <c r="CN120" i="3"/>
  <c r="CN190" i="3"/>
  <c r="CN25" i="3"/>
  <c r="CN168" i="3"/>
  <c r="CL168" i="3"/>
  <c r="CN19" i="3"/>
  <c r="CN76" i="3"/>
  <c r="CN73" i="3"/>
  <c r="CN130" i="3"/>
  <c r="CN208" i="3"/>
  <c r="CN34" i="3"/>
  <c r="CN78" i="3"/>
  <c r="CN13" i="3"/>
  <c r="CN140" i="3"/>
  <c r="CN139" i="3"/>
  <c r="CN94" i="3"/>
  <c r="CN20" i="3"/>
  <c r="CN16" i="3"/>
  <c r="CN17" i="3"/>
  <c r="CN40" i="3"/>
  <c r="CL173" i="3"/>
  <c r="CN173" i="3"/>
  <c r="CN45" i="3"/>
  <c r="CN151" i="3"/>
  <c r="CN200" i="3"/>
  <c r="CN148" i="3"/>
  <c r="CN124" i="3"/>
  <c r="CN11" i="3"/>
  <c r="CN71" i="3"/>
  <c r="CN126" i="3"/>
  <c r="CN24" i="3"/>
  <c r="CN149" i="3"/>
  <c r="CN169" i="3"/>
  <c r="CN185" i="3"/>
  <c r="CN58" i="3"/>
  <c r="CN87" i="3"/>
  <c r="CN51" i="3"/>
  <c r="CL66" i="3"/>
  <c r="CN80" i="3"/>
  <c r="CN152" i="3"/>
  <c r="CN37" i="3"/>
  <c r="CN145" i="3"/>
  <c r="CN116" i="3"/>
  <c r="CN123" i="3"/>
  <c r="CN46" i="3"/>
  <c r="CN72" i="3"/>
  <c r="CN65" i="3"/>
  <c r="CN22" i="3"/>
  <c r="CN52" i="3"/>
  <c r="CN183" i="3"/>
  <c r="CN176" i="3"/>
  <c r="CN53" i="3"/>
  <c r="CN63" i="3"/>
  <c r="CN103" i="3"/>
  <c r="CL106" i="3"/>
  <c r="CN106" i="3"/>
  <c r="CN44" i="3"/>
  <c r="CN165" i="3"/>
  <c r="CN39" i="3"/>
  <c r="CN155" i="3"/>
  <c r="CN75" i="3"/>
  <c r="CN191" i="3"/>
  <c r="CN161" i="3"/>
  <c r="CN199" i="3"/>
  <c r="CN102" i="3"/>
  <c r="CN147" i="3"/>
  <c r="CN167" i="3"/>
  <c r="CN186" i="3"/>
  <c r="CN172" i="3"/>
  <c r="CN180" i="3"/>
  <c r="CN115" i="3"/>
  <c r="CN35" i="3"/>
  <c r="CN201" i="3"/>
  <c r="CN14" i="3"/>
  <c r="CN160" i="3"/>
  <c r="CN108" i="3"/>
  <c r="CN146" i="3"/>
  <c r="CN195" i="3"/>
  <c r="CN162" i="3"/>
  <c r="CN95" i="3"/>
  <c r="CN189" i="3"/>
  <c r="CN178" i="3"/>
  <c r="CN207" i="3"/>
  <c r="CN143" i="3"/>
  <c r="CN194" i="3"/>
  <c r="CN88" i="3"/>
  <c r="CN18" i="3"/>
  <c r="CN197" i="3"/>
  <c r="CN170" i="3"/>
  <c r="CN131" i="3"/>
  <c r="CN36" i="3"/>
  <c r="CN101" i="3"/>
  <c r="CN112" i="3"/>
  <c r="CN135" i="3"/>
  <c r="CN70" i="3"/>
  <c r="CN204" i="3"/>
  <c r="CN184" i="3"/>
  <c r="CN158" i="3"/>
  <c r="CN29" i="3"/>
  <c r="CN182" i="3"/>
  <c r="CN121" i="3"/>
  <c r="CN110" i="3"/>
  <c r="CN42" i="3"/>
  <c r="CN59" i="3"/>
  <c r="CN203" i="3"/>
  <c r="CN93" i="3"/>
  <c r="CN28" i="3"/>
  <c r="CN175" i="3"/>
  <c r="CH55" i="3"/>
  <c r="CN55" i="3"/>
  <c r="BU27" i="3"/>
  <c r="BP134" i="3"/>
  <c r="BP127" i="3"/>
  <c r="BP62" i="3"/>
  <c r="BU128" i="3"/>
  <c r="CB81" i="3"/>
  <c r="BU45" i="3"/>
  <c r="BS151" i="3"/>
  <c r="BR151" i="3" s="1"/>
  <c r="BS200" i="3"/>
  <c r="BR200" i="3" s="1"/>
  <c r="BP11" i="3"/>
  <c r="BP153" i="3"/>
  <c r="CN153" i="3"/>
  <c r="CH24" i="3"/>
  <c r="CB116" i="3"/>
  <c r="CH52" i="3"/>
  <c r="BU176" i="3"/>
  <c r="BS197" i="3"/>
  <c r="BU170" i="3"/>
  <c r="BU135" i="3"/>
  <c r="CB184" i="3"/>
  <c r="CH160" i="3"/>
  <c r="CB160" i="3"/>
  <c r="BS160" i="3"/>
  <c r="BR160" i="3" s="1"/>
  <c r="BC160" i="3"/>
  <c r="BU160" i="3"/>
  <c r="CH146" i="3"/>
  <c r="CE146" i="3"/>
  <c r="CB146" i="3"/>
  <c r="BP146" i="3"/>
  <c r="BU146" i="3"/>
  <c r="BS146" i="3"/>
  <c r="BR146" i="3" s="1"/>
  <c r="BC146" i="3"/>
  <c r="CH162" i="3"/>
  <c r="BS162" i="3"/>
  <c r="BX162" i="3"/>
  <c r="CE95" i="3"/>
  <c r="CB95" i="3"/>
  <c r="BU95" i="3"/>
  <c r="CH95" i="3"/>
  <c r="BS95" i="3"/>
  <c r="BR95" i="3" s="1"/>
  <c r="BC95" i="3"/>
  <c r="CB178" i="3"/>
  <c r="BU178" i="3"/>
  <c r="BX178" i="3"/>
  <c r="BS143" i="3"/>
  <c r="CH143" i="3"/>
  <c r="CE143" i="3"/>
  <c r="BU143" i="3"/>
  <c r="CB194" i="3"/>
  <c r="BP194" i="3"/>
  <c r="CE194" i="3"/>
  <c r="BU194" i="3"/>
  <c r="CH18" i="3"/>
  <c r="BC18" i="3"/>
  <c r="BS18" i="3"/>
  <c r="CH131" i="3"/>
  <c r="BX131" i="3"/>
  <c r="CE131" i="3"/>
  <c r="BP131" i="3"/>
  <c r="BU131" i="3"/>
  <c r="CB131" i="3"/>
  <c r="BS131" i="3"/>
  <c r="BR131" i="3" s="1"/>
  <c r="BC131" i="3"/>
  <c r="BX150" i="3"/>
  <c r="BW150" i="3" s="1"/>
  <c r="BX32" i="3"/>
  <c r="CB32" i="3"/>
  <c r="BS32" i="3"/>
  <c r="BU32" i="3"/>
  <c r="CE114" i="3"/>
  <c r="CB114" i="3"/>
  <c r="BS114" i="3"/>
  <c r="CH114" i="3"/>
  <c r="BC114" i="3"/>
  <c r="CH41" i="3"/>
  <c r="CE41" i="3"/>
  <c r="BS41" i="3"/>
  <c r="BR41" i="3" s="1"/>
  <c r="CB41" i="3"/>
  <c r="BU41" i="3"/>
  <c r="BC41" i="3"/>
  <c r="BP142" i="3"/>
  <c r="CB142" i="3"/>
  <c r="BU142" i="3"/>
  <c r="CE142" i="3"/>
  <c r="BX142" i="3"/>
  <c r="BS142" i="3"/>
  <c r="BR142" i="3" s="1"/>
  <c r="CH142" i="3"/>
  <c r="CH74" i="3"/>
  <c r="BC74" i="3"/>
  <c r="BX74" i="3"/>
  <c r="BS74" i="3"/>
  <c r="BR74" i="3" s="1"/>
  <c r="BU74" i="3"/>
  <c r="CB74" i="3"/>
  <c r="CH85" i="3"/>
  <c r="CB85" i="3"/>
  <c r="BS85" i="3"/>
  <c r="BR85" i="3" s="1"/>
  <c r="BX85" i="3"/>
  <c r="CB164" i="3"/>
  <c r="CH164" i="3"/>
  <c r="BU164" i="3"/>
  <c r="BC164" i="3"/>
  <c r="CH136" i="3"/>
  <c r="CH96" i="3"/>
  <c r="BU96" i="3"/>
  <c r="CB96" i="3"/>
  <c r="CE96" i="3"/>
  <c r="BS96" i="3"/>
  <c r="BR96" i="3" s="1"/>
  <c r="BP96" i="3"/>
  <c r="BC207" i="3"/>
  <c r="BU14" i="3"/>
  <c r="CH49" i="3"/>
  <c r="CB49" i="3"/>
  <c r="BX49" i="3"/>
  <c r="BS49" i="3"/>
  <c r="BR49" i="3" s="1"/>
  <c r="BU49" i="3"/>
  <c r="CB31" i="3"/>
  <c r="BP31" i="3"/>
  <c r="CH31" i="3"/>
  <c r="CE31" i="3"/>
  <c r="BU31" i="3"/>
  <c r="CB105" i="3"/>
  <c r="CH105" i="3"/>
  <c r="BX105" i="3"/>
  <c r="CE105" i="3"/>
  <c r="BC105" i="3"/>
  <c r="BS105" i="3"/>
  <c r="BR105" i="3" s="1"/>
  <c r="CH60" i="3"/>
  <c r="CB60" i="3"/>
  <c r="CE60" i="3"/>
  <c r="BU60" i="3"/>
  <c r="BC60" i="3"/>
  <c r="CH23" i="3"/>
  <c r="CB23" i="3"/>
  <c r="BU23" i="3"/>
  <c r="BS23" i="3"/>
  <c r="BR23" i="3" s="1"/>
  <c r="BC23" i="3"/>
  <c r="CH137" i="3"/>
  <c r="BU137" i="3"/>
  <c r="BS137" i="3"/>
  <c r="BR137" i="3" s="1"/>
  <c r="CE137" i="3"/>
  <c r="BP137" i="3"/>
  <c r="BC137" i="3"/>
  <c r="CH83" i="3"/>
  <c r="BP83" i="3"/>
  <c r="CE83" i="3"/>
  <c r="CB83" i="3"/>
  <c r="BU83" i="3"/>
  <c r="BX118" i="3"/>
  <c r="CH118" i="3"/>
  <c r="BP118" i="3"/>
  <c r="BU118" i="3"/>
  <c r="BS118" i="3"/>
  <c r="BR118" i="3" s="1"/>
  <c r="BC162" i="3"/>
  <c r="BS178" i="3"/>
  <c r="BR178" i="3" s="1"/>
  <c r="BU197" i="3"/>
  <c r="CB189" i="3"/>
  <c r="CE49" i="3"/>
  <c r="BU86" i="3"/>
  <c r="BS86" i="3"/>
  <c r="BR86" i="3" s="1"/>
  <c r="CH86" i="3"/>
  <c r="CB157" i="3"/>
  <c r="BS157" i="3"/>
  <c r="BP157" i="3"/>
  <c r="CH157" i="3"/>
  <c r="BC157" i="3"/>
  <c r="BU157" i="3"/>
  <c r="CB119" i="3"/>
  <c r="CH50" i="3"/>
  <c r="CB50" i="3"/>
  <c r="BS50" i="3"/>
  <c r="BR50" i="3" s="1"/>
  <c r="BC50" i="3"/>
  <c r="CH26" i="3"/>
  <c r="BS26" i="3"/>
  <c r="BR26" i="3" s="1"/>
  <c r="CB26" i="3"/>
  <c r="CH12" i="3"/>
  <c r="BU12" i="3"/>
  <c r="BS12" i="3"/>
  <c r="CB12" i="3"/>
  <c r="CB144" i="3"/>
  <c r="CE144" i="3"/>
  <c r="BP144" i="3"/>
  <c r="CH144" i="3"/>
  <c r="BU144" i="3"/>
  <c r="CH206" i="3"/>
  <c r="CB206" i="3"/>
  <c r="BU206" i="3"/>
  <c r="BC202" i="3"/>
  <c r="BP143" i="3"/>
  <c r="BS170" i="3"/>
  <c r="BR170" i="3" s="1"/>
  <c r="CH198" i="3"/>
  <c r="BU198" i="3"/>
  <c r="BP198" i="3"/>
  <c r="BS198" i="3"/>
  <c r="BR198" i="3" s="1"/>
  <c r="CB198" i="3"/>
  <c r="CH196" i="3"/>
  <c r="BU196" i="3"/>
  <c r="BC196" i="3"/>
  <c r="BB196" i="3" s="1"/>
  <c r="CB196" i="3"/>
  <c r="CB171" i="3"/>
  <c r="BC171" i="3"/>
  <c r="BU171" i="3"/>
  <c r="BP171" i="3"/>
  <c r="BS171" i="3"/>
  <c r="BR171" i="3" s="1"/>
  <c r="CB129" i="3"/>
  <c r="CH129" i="3"/>
  <c r="BS129" i="3"/>
  <c r="BP150" i="3"/>
  <c r="BP85" i="3"/>
  <c r="CH38" i="3"/>
  <c r="BC143" i="3"/>
  <c r="BP207" i="3"/>
  <c r="BS144" i="3"/>
  <c r="BR144" i="3" s="1"/>
  <c r="BS27" i="3"/>
  <c r="BR27" i="3" s="1"/>
  <c r="BX96" i="3"/>
  <c r="BX77" i="3"/>
  <c r="BC49" i="3"/>
  <c r="BP86" i="3"/>
  <c r="BP50" i="3"/>
  <c r="BP74" i="3"/>
  <c r="BS206" i="3"/>
  <c r="BR206" i="3" s="1"/>
  <c r="BU62" i="3"/>
  <c r="BX206" i="3"/>
  <c r="BC47" i="3"/>
  <c r="BC94" i="3"/>
  <c r="BB94" i="3" s="1"/>
  <c r="BS61" i="3"/>
  <c r="BR61" i="3" s="1"/>
  <c r="BS192" i="3"/>
  <c r="BR192" i="3" s="1"/>
  <c r="BU18" i="3"/>
  <c r="CB175" i="3"/>
  <c r="BP192" i="3"/>
  <c r="BS207" i="3"/>
  <c r="BR207" i="3" s="1"/>
  <c r="CH152" i="3"/>
  <c r="CE152" i="3"/>
  <c r="CB152" i="3"/>
  <c r="BP152" i="3"/>
  <c r="CH145" i="3"/>
  <c r="CB145" i="3"/>
  <c r="BP145" i="3"/>
  <c r="BS145" i="3"/>
  <c r="BR145" i="3" s="1"/>
  <c r="CE145" i="3"/>
  <c r="BX145" i="3"/>
  <c r="BC145" i="3"/>
  <c r="BS123" i="3"/>
  <c r="BR123" i="3" s="1"/>
  <c r="BU123" i="3"/>
  <c r="CH123" i="3"/>
  <c r="BP123" i="3"/>
  <c r="BC123" i="3"/>
  <c r="CB123" i="3"/>
  <c r="CH72" i="3"/>
  <c r="BU72" i="3"/>
  <c r="BX72" i="3"/>
  <c r="BW72" i="3" s="1"/>
  <c r="BC72" i="3"/>
  <c r="BS72" i="3"/>
  <c r="BR72" i="3" s="1"/>
  <c r="BP72" i="3"/>
  <c r="CH22" i="3"/>
  <c r="CB22" i="3"/>
  <c r="BX22" i="3"/>
  <c r="BU22" i="3"/>
  <c r="BP22" i="3"/>
  <c r="CH183" i="3"/>
  <c r="CB183" i="3"/>
  <c r="BC183" i="3"/>
  <c r="BP183" i="3"/>
  <c r="BU183" i="3"/>
  <c r="CH53" i="3"/>
  <c r="BP53" i="3"/>
  <c r="CB53" i="3"/>
  <c r="BU53" i="3"/>
  <c r="BC53" i="3"/>
  <c r="BS53" i="3"/>
  <c r="BR53" i="3" s="1"/>
  <c r="CH103" i="3"/>
  <c r="BS103" i="3"/>
  <c r="BR103" i="3" s="1"/>
  <c r="BX103" i="3"/>
  <c r="CB103" i="3"/>
  <c r="BP103" i="3"/>
  <c r="BC108" i="3"/>
  <c r="BC116" i="3"/>
  <c r="BC152" i="3"/>
  <c r="BC97" i="3"/>
  <c r="BR125" i="3"/>
  <c r="BU77" i="3"/>
  <c r="BU55" i="3"/>
  <c r="BX83" i="3"/>
  <c r="BX80" i="3"/>
  <c r="BX18" i="3"/>
  <c r="CB86" i="3"/>
  <c r="CE205" i="3"/>
  <c r="CH32" i="3"/>
  <c r="CH119" i="3"/>
  <c r="CH44" i="3"/>
  <c r="BP44" i="3"/>
  <c r="CB44" i="3"/>
  <c r="BU44" i="3"/>
  <c r="BC44" i="3"/>
  <c r="BS44" i="3"/>
  <c r="BR44" i="3" s="1"/>
  <c r="CE165" i="3"/>
  <c r="CD165" i="3" s="1"/>
  <c r="CB165" i="3"/>
  <c r="BX165" i="3"/>
  <c r="BC165" i="3"/>
  <c r="BB165" i="3" s="1"/>
  <c r="CH39" i="3"/>
  <c r="CB39" i="3"/>
  <c r="BP39" i="3"/>
  <c r="BX39" i="3"/>
  <c r="BU155" i="3"/>
  <c r="BS155" i="3"/>
  <c r="BR155" i="3" s="1"/>
  <c r="CB155" i="3"/>
  <c r="BX155" i="3"/>
  <c r="CH155" i="3"/>
  <c r="CD155" i="3" s="1"/>
  <c r="CE75" i="3"/>
  <c r="CH75" i="3"/>
  <c r="BP75" i="3"/>
  <c r="BX75" i="3"/>
  <c r="BU75" i="3"/>
  <c r="CB75" i="3"/>
  <c r="BS75" i="3"/>
  <c r="BC75" i="3"/>
  <c r="CH191" i="3"/>
  <c r="BX191" i="3"/>
  <c r="CB191" i="3"/>
  <c r="BC191" i="3"/>
  <c r="BB191" i="3" s="1"/>
  <c r="CE161" i="3"/>
  <c r="CD161" i="3" s="1"/>
  <c r="BX161" i="3"/>
  <c r="BW161" i="3" s="1"/>
  <c r="BP161" i="3"/>
  <c r="CH199" i="3"/>
  <c r="CB199" i="3"/>
  <c r="BU199" i="3"/>
  <c r="BS199" i="3"/>
  <c r="BR199" i="3" s="1"/>
  <c r="CH102" i="3"/>
  <c r="BP102" i="3"/>
  <c r="CB102" i="3"/>
  <c r="BU102" i="3"/>
  <c r="BX102" i="3"/>
  <c r="CH147" i="3"/>
  <c r="CB147" i="3"/>
  <c r="BP147" i="3"/>
  <c r="BU147" i="3"/>
  <c r="BC147" i="3"/>
  <c r="CH167" i="3"/>
  <c r="CE167" i="3"/>
  <c r="BX167" i="3"/>
  <c r="BS167" i="3"/>
  <c r="BR167" i="3" s="1"/>
  <c r="CB167" i="3"/>
  <c r="BU186" i="3"/>
  <c r="BS186" i="3"/>
  <c r="BR186" i="3" s="1"/>
  <c r="CE186" i="3"/>
  <c r="CD186" i="3" s="1"/>
  <c r="CE172" i="3"/>
  <c r="CB172" i="3"/>
  <c r="BX172" i="3"/>
  <c r="BP172" i="3"/>
  <c r="BU172" i="3"/>
  <c r="CH172" i="3"/>
  <c r="BC172" i="3"/>
  <c r="CH180" i="3"/>
  <c r="CE180" i="3"/>
  <c r="BS180" i="3"/>
  <c r="BR180" i="3" s="1"/>
  <c r="CB180" i="3"/>
  <c r="BU180" i="3"/>
  <c r="BX180" i="3"/>
  <c r="BP180" i="3"/>
  <c r="CB115" i="3"/>
  <c r="BS115" i="3"/>
  <c r="BP115" i="3"/>
  <c r="BU115" i="3"/>
  <c r="BC115" i="3"/>
  <c r="BX35" i="3"/>
  <c r="BW35" i="3" s="1"/>
  <c r="BU35" i="3"/>
  <c r="BS35" i="3"/>
  <c r="BP35" i="3"/>
  <c r="CH201" i="3"/>
  <c r="BP201" i="3"/>
  <c r="CB201" i="3"/>
  <c r="BS201" i="3"/>
  <c r="BR201" i="3" s="1"/>
  <c r="BC198" i="3"/>
  <c r="BC64" i="3"/>
  <c r="BC12" i="3"/>
  <c r="BB12" i="3" s="1"/>
  <c r="BP37" i="3"/>
  <c r="BP95" i="3"/>
  <c r="BP186" i="3"/>
  <c r="BP206" i="3"/>
  <c r="BS196" i="3"/>
  <c r="BR196" i="3" s="1"/>
  <c r="BS119" i="3"/>
  <c r="BR119" i="3" s="1"/>
  <c r="BS172" i="3"/>
  <c r="BR172" i="3" s="1"/>
  <c r="BU184" i="3"/>
  <c r="BU97" i="3"/>
  <c r="BX108" i="3"/>
  <c r="BX146" i="3"/>
  <c r="BX171" i="3"/>
  <c r="BX95" i="3"/>
  <c r="CH35" i="3"/>
  <c r="BP14" i="3"/>
  <c r="CH14" i="3"/>
  <c r="CE14" i="3"/>
  <c r="CB14" i="3"/>
  <c r="BS14" i="3"/>
  <c r="BR14" i="3" s="1"/>
  <c r="BC14" i="3"/>
  <c r="CE108" i="3"/>
  <c r="BU108" i="3"/>
  <c r="CB108" i="3"/>
  <c r="BS108" i="3"/>
  <c r="BR108" i="3" s="1"/>
  <c r="CH108" i="3"/>
  <c r="CB195" i="3"/>
  <c r="BU195" i="3"/>
  <c r="BS195" i="3"/>
  <c r="BR195" i="3" s="1"/>
  <c r="BS189" i="3"/>
  <c r="BP189" i="3"/>
  <c r="BU189" i="3"/>
  <c r="CE189" i="3"/>
  <c r="CH207" i="3"/>
  <c r="CE207" i="3"/>
  <c r="BX207" i="3"/>
  <c r="CB207" i="3"/>
  <c r="BU207" i="3"/>
  <c r="CE88" i="3"/>
  <c r="CH88" i="3"/>
  <c r="BS88" i="3"/>
  <c r="BR88" i="3" s="1"/>
  <c r="CB88" i="3"/>
  <c r="BU88" i="3"/>
  <c r="BP88" i="3"/>
  <c r="CB197" i="3"/>
  <c r="CH197" i="3"/>
  <c r="BC197" i="3"/>
  <c r="CH170" i="3"/>
  <c r="CE170" i="3"/>
  <c r="CB170" i="3"/>
  <c r="BP170" i="3"/>
  <c r="BP195" i="3"/>
  <c r="BX53" i="3"/>
  <c r="BX177" i="3"/>
  <c r="CH202" i="3"/>
  <c r="CB202" i="3"/>
  <c r="BS202" i="3"/>
  <c r="BR202" i="3" s="1"/>
  <c r="BU202" i="3"/>
  <c r="BP202" i="3"/>
  <c r="BX202" i="3"/>
  <c r="CE202" i="3"/>
  <c r="CE61" i="3"/>
  <c r="CB61" i="3"/>
  <c r="BP61" i="3"/>
  <c r="BU61" i="3"/>
  <c r="BC61" i="3"/>
  <c r="CH61" i="3"/>
  <c r="BU98" i="3"/>
  <c r="CB98" i="3"/>
  <c r="CE98" i="3"/>
  <c r="BS98" i="3"/>
  <c r="BR98" i="3" s="1"/>
  <c r="BX98" i="3"/>
  <c r="BC98" i="3"/>
  <c r="BB98" i="3" s="1"/>
  <c r="CH98" i="3"/>
  <c r="CE89" i="3"/>
  <c r="BS89" i="3"/>
  <c r="BR89" i="3" s="1"/>
  <c r="BX89" i="3"/>
  <c r="BP89" i="3"/>
  <c r="BU89" i="3"/>
  <c r="CB205" i="3"/>
  <c r="CH205" i="3"/>
  <c r="BP205" i="3"/>
  <c r="BS205" i="3"/>
  <c r="BR205" i="3" s="1"/>
  <c r="CB100" i="3"/>
  <c r="BP100" i="3"/>
  <c r="CH100" i="3"/>
  <c r="BX100" i="3"/>
  <c r="BS100" i="3"/>
  <c r="BU100" i="3"/>
  <c r="CE109" i="3"/>
  <c r="CB109" i="3"/>
  <c r="CH109" i="3"/>
  <c r="BU109" i="3"/>
  <c r="BS109" i="3"/>
  <c r="BR109" i="3" s="1"/>
  <c r="BP109" i="3"/>
  <c r="BX179" i="3"/>
  <c r="BU179" i="3"/>
  <c r="BP179" i="3"/>
  <c r="CE179" i="3"/>
  <c r="CH179" i="3"/>
  <c r="CB179" i="3"/>
  <c r="BC178" i="3"/>
  <c r="BC109" i="3"/>
  <c r="BP41" i="3"/>
  <c r="BP197" i="3"/>
  <c r="BX152" i="3"/>
  <c r="CH178" i="3"/>
  <c r="CH175" i="3"/>
  <c r="BS175" i="3"/>
  <c r="BR175" i="3" s="1"/>
  <c r="BP175" i="3"/>
  <c r="BU175" i="3"/>
  <c r="BX163" i="3"/>
  <c r="BC163" i="3"/>
  <c r="BB163" i="3" s="1"/>
  <c r="CH163" i="3"/>
  <c r="CB163" i="3"/>
  <c r="CH117" i="3"/>
  <c r="CE117" i="3"/>
  <c r="BU117" i="3"/>
  <c r="BP117" i="3"/>
  <c r="BC117" i="3"/>
  <c r="CE55" i="3"/>
  <c r="CB55" i="3"/>
  <c r="BP55" i="3"/>
  <c r="BS55" i="3"/>
  <c r="BR55" i="3" s="1"/>
  <c r="BC55" i="3"/>
  <c r="BU38" i="3"/>
  <c r="BS38" i="3"/>
  <c r="BR38" i="3" s="1"/>
  <c r="CB38" i="3"/>
  <c r="BC38" i="3"/>
  <c r="CH64" i="3"/>
  <c r="CE64" i="3"/>
  <c r="BS64" i="3"/>
  <c r="BR64" i="3" s="1"/>
  <c r="BP64" i="3"/>
  <c r="BU64" i="3"/>
  <c r="BS57" i="3"/>
  <c r="BR57" i="3" s="1"/>
  <c r="CB57" i="3"/>
  <c r="BU57" i="3"/>
  <c r="CB27" i="3"/>
  <c r="CH27" i="3"/>
  <c r="BC27" i="3"/>
  <c r="BP27" i="3"/>
  <c r="O197" i="3"/>
  <c r="BC100" i="3"/>
  <c r="BP108" i="3"/>
  <c r="BP136" i="3"/>
  <c r="BS31" i="3"/>
  <c r="BR31" i="3" s="1"/>
  <c r="BX61" i="3"/>
  <c r="BX189" i="3"/>
  <c r="CB118" i="3"/>
  <c r="CE157" i="3"/>
  <c r="CH92" i="3"/>
  <c r="CE92" i="3"/>
  <c r="BS92" i="3"/>
  <c r="BR92" i="3" s="1"/>
  <c r="CB92" i="3"/>
  <c r="BX92" i="3"/>
  <c r="BU92" i="3"/>
  <c r="BC92" i="3"/>
  <c r="CH159" i="3"/>
  <c r="BU159" i="3"/>
  <c r="BP159" i="3"/>
  <c r="CH77" i="3"/>
  <c r="CE77" i="3"/>
  <c r="CB77" i="3"/>
  <c r="BC77" i="3"/>
  <c r="BS77" i="3"/>
  <c r="CH84" i="3"/>
  <c r="CB84" i="3"/>
  <c r="BU84" i="3"/>
  <c r="BS84" i="3"/>
  <c r="BR84" i="3" s="1"/>
  <c r="BP84" i="3"/>
  <c r="BX56" i="3"/>
  <c r="BP56" i="3"/>
  <c r="CB56" i="3"/>
  <c r="BS56" i="3"/>
  <c r="BC56" i="3"/>
  <c r="CH56" i="3"/>
  <c r="CH138" i="3"/>
  <c r="BU138" i="3"/>
  <c r="BS138" i="3"/>
  <c r="BR138" i="3" s="1"/>
  <c r="BC138" i="3"/>
  <c r="CB138" i="3"/>
  <c r="BX138" i="3"/>
  <c r="CH134" i="3"/>
  <c r="CE134" i="3"/>
  <c r="BU134" i="3"/>
  <c r="BU113" i="3"/>
  <c r="BC113" i="3"/>
  <c r="CH113" i="3"/>
  <c r="BS113" i="3"/>
  <c r="BC205" i="3"/>
  <c r="BC57" i="3"/>
  <c r="BC118" i="3"/>
  <c r="BP114" i="3"/>
  <c r="BP105" i="3"/>
  <c r="BP113" i="3"/>
  <c r="BU162" i="3"/>
  <c r="BU136" i="3"/>
  <c r="BX26" i="3"/>
  <c r="CB162" i="3"/>
  <c r="CB89" i="3"/>
  <c r="CB113" i="3"/>
  <c r="CH67" i="3"/>
  <c r="CB67" i="3"/>
  <c r="BP67" i="3"/>
  <c r="CE150" i="3"/>
  <c r="BU150" i="3"/>
  <c r="BS150" i="3"/>
  <c r="BR150" i="3" s="1"/>
  <c r="BX90" i="3"/>
  <c r="BW90" i="3" s="1"/>
  <c r="BP90" i="3"/>
  <c r="BU90" i="3"/>
  <c r="CH90" i="3"/>
  <c r="CE174" i="3"/>
  <c r="BX174" i="3"/>
  <c r="BU174" i="3"/>
  <c r="CH174" i="3"/>
  <c r="CB174" i="3"/>
  <c r="CH127" i="3"/>
  <c r="CE127" i="3"/>
  <c r="BX127" i="3"/>
  <c r="BS127" i="3"/>
  <c r="BR127" i="3" s="1"/>
  <c r="BC127" i="3"/>
  <c r="CE62" i="3"/>
  <c r="CB62" i="3"/>
  <c r="CH62" i="3"/>
  <c r="BS62" i="3"/>
  <c r="BR62" i="3" s="1"/>
  <c r="BP47" i="3"/>
  <c r="BX47" i="3"/>
  <c r="BW47" i="3" s="1"/>
  <c r="BS47" i="3"/>
  <c r="BX97" i="3"/>
  <c r="CB97" i="3"/>
  <c r="BP97" i="3"/>
  <c r="CH97" i="3"/>
  <c r="BS97" i="3"/>
  <c r="CB181" i="3"/>
  <c r="BS181" i="3"/>
  <c r="BR181" i="3" s="1"/>
  <c r="BC181" i="3"/>
  <c r="BB181" i="3" s="1"/>
  <c r="BU181" i="3"/>
  <c r="CH192" i="3"/>
  <c r="CB192" i="3"/>
  <c r="BU192" i="3"/>
  <c r="CB54" i="3"/>
  <c r="CH54" i="3"/>
  <c r="BP54" i="3"/>
  <c r="BU54" i="3"/>
  <c r="BX54" i="3"/>
  <c r="CH15" i="3"/>
  <c r="CB15" i="3"/>
  <c r="BS15" i="3"/>
  <c r="BR15" i="3" s="1"/>
  <c r="BU15" i="3"/>
  <c r="BP32" i="3"/>
  <c r="BS159" i="3"/>
  <c r="BR159" i="3" s="1"/>
  <c r="BS179" i="3"/>
  <c r="BU56" i="3"/>
  <c r="BU47" i="3"/>
  <c r="BX60" i="3"/>
  <c r="BX65" i="3"/>
  <c r="BX64" i="3"/>
  <c r="BX190" i="3"/>
  <c r="BW190" i="3" s="1"/>
  <c r="CB117" i="3"/>
  <c r="CH195" i="3"/>
  <c r="CH194" i="3"/>
  <c r="BC144" i="3"/>
  <c r="BP160" i="3"/>
  <c r="BP77" i="3"/>
  <c r="BP178" i="3"/>
  <c r="BP138" i="3"/>
  <c r="BP18" i="3"/>
  <c r="BU114" i="3"/>
  <c r="BU119" i="3"/>
  <c r="BU129" i="3"/>
  <c r="CB127" i="3"/>
  <c r="CB143" i="3"/>
  <c r="CE118" i="3"/>
  <c r="CE68" i="3"/>
  <c r="CE201" i="3"/>
  <c r="CH47" i="3"/>
  <c r="AY84" i="3"/>
  <c r="BC175" i="3"/>
  <c r="BC194" i="3"/>
  <c r="BC119" i="3"/>
  <c r="BB119" i="3" s="1"/>
  <c r="BC170" i="3"/>
  <c r="BP49" i="3"/>
  <c r="BP38" i="3"/>
  <c r="BP57" i="3"/>
  <c r="BX86" i="3"/>
  <c r="BX129" i="3"/>
  <c r="CH189" i="3"/>
  <c r="BC67" i="3"/>
  <c r="BB67" i="3" s="1"/>
  <c r="BS194" i="3"/>
  <c r="BU105" i="3"/>
  <c r="CB137" i="3"/>
  <c r="CB18" i="3"/>
  <c r="CE86" i="3"/>
  <c r="CE119" i="3"/>
  <c r="CE192" i="3"/>
  <c r="CH150" i="3"/>
  <c r="BP92" i="3"/>
  <c r="BP23" i="3"/>
  <c r="BP26" i="3"/>
  <c r="BP164" i="3"/>
  <c r="BS163" i="3"/>
  <c r="BR163" i="3" s="1"/>
  <c r="BS117" i="3"/>
  <c r="BR117" i="3" s="1"/>
  <c r="BU85" i="3"/>
  <c r="BX205" i="3"/>
  <c r="BX25" i="3"/>
  <c r="BX15" i="3"/>
  <c r="CE90" i="3"/>
  <c r="CD90" i="3" s="1"/>
  <c r="CE171" i="3"/>
  <c r="CH89" i="3"/>
  <c r="CE80" i="3"/>
  <c r="CD80" i="3" s="1"/>
  <c r="BP80" i="3"/>
  <c r="CB80" i="3"/>
  <c r="CB37" i="3"/>
  <c r="BX37" i="3"/>
  <c r="CH37" i="3"/>
  <c r="BU37" i="3"/>
  <c r="BS37" i="3"/>
  <c r="BR37" i="3" s="1"/>
  <c r="CE37" i="3"/>
  <c r="BC37" i="3"/>
  <c r="BP116" i="3"/>
  <c r="BS116" i="3"/>
  <c r="BR116" i="3" s="1"/>
  <c r="CE116" i="3"/>
  <c r="CD116" i="3" s="1"/>
  <c r="BU116" i="3"/>
  <c r="CH46" i="3"/>
  <c r="BX46" i="3"/>
  <c r="BW46" i="3" s="1"/>
  <c r="BS46" i="3"/>
  <c r="BR46" i="3" s="1"/>
  <c r="BP46" i="3"/>
  <c r="BC46" i="3"/>
  <c r="BU46" i="3"/>
  <c r="BP65" i="3"/>
  <c r="CE65" i="3"/>
  <c r="BS65" i="3"/>
  <c r="BR65" i="3" s="1"/>
  <c r="CB65" i="3"/>
  <c r="BC65" i="3"/>
  <c r="BU65" i="3"/>
  <c r="CB52" i="3"/>
  <c r="BX52" i="3"/>
  <c r="BP52" i="3"/>
  <c r="BC52" i="3"/>
  <c r="CE52" i="3"/>
  <c r="BS52" i="3"/>
  <c r="BR52" i="3" s="1"/>
  <c r="BX176" i="3"/>
  <c r="CB176" i="3"/>
  <c r="BP176" i="3"/>
  <c r="CH176" i="3"/>
  <c r="CB63" i="3"/>
  <c r="CE63" i="3"/>
  <c r="BU63" i="3"/>
  <c r="BS63" i="3"/>
  <c r="BR63" i="3" s="1"/>
  <c r="BP63" i="3"/>
  <c r="CH63" i="3"/>
  <c r="BC206" i="3"/>
  <c r="BC86" i="3"/>
  <c r="CH181" i="3"/>
  <c r="CH36" i="3"/>
  <c r="BU36" i="3"/>
  <c r="CB36" i="3"/>
  <c r="BP36" i="3"/>
  <c r="BX36" i="3"/>
  <c r="BS36" i="3"/>
  <c r="BR36" i="3" s="1"/>
  <c r="CE101" i="3"/>
  <c r="CB101" i="3"/>
  <c r="BC101" i="3"/>
  <c r="BB101" i="3" s="1"/>
  <c r="CH101" i="3"/>
  <c r="CH112" i="3"/>
  <c r="CE112" i="3"/>
  <c r="CB112" i="3"/>
  <c r="BX112" i="3"/>
  <c r="BC112" i="3"/>
  <c r="BB112" i="3" s="1"/>
  <c r="CH135" i="3"/>
  <c r="BS135" i="3"/>
  <c r="BR135" i="3" s="1"/>
  <c r="CB135" i="3"/>
  <c r="BX135" i="3"/>
  <c r="BP135" i="3"/>
  <c r="BC135" i="3"/>
  <c r="CB70" i="3"/>
  <c r="CE70" i="3"/>
  <c r="CD70" i="3" s="1"/>
  <c r="BS70" i="3"/>
  <c r="BR70" i="3" s="1"/>
  <c r="BP70" i="3"/>
  <c r="BC70" i="3"/>
  <c r="CE204" i="3"/>
  <c r="CH204" i="3"/>
  <c r="BX204" i="3"/>
  <c r="BP204" i="3"/>
  <c r="BC204" i="3"/>
  <c r="BS204" i="3"/>
  <c r="BR204" i="3" s="1"/>
  <c r="CB204" i="3"/>
  <c r="CE184" i="3"/>
  <c r="CD184" i="3" s="1"/>
  <c r="BS184" i="3"/>
  <c r="BX184" i="3"/>
  <c r="BC184" i="3"/>
  <c r="BB184" i="3" s="1"/>
  <c r="CH158" i="3"/>
  <c r="CB158" i="3"/>
  <c r="BP158" i="3"/>
  <c r="O158" i="3"/>
  <c r="BS158" i="3"/>
  <c r="BR158" i="3" s="1"/>
  <c r="CH29" i="3"/>
  <c r="CB29" i="3"/>
  <c r="BU29" i="3"/>
  <c r="BP29" i="3"/>
  <c r="CH182" i="3"/>
  <c r="BX182" i="3"/>
  <c r="BW182" i="3" s="1"/>
  <c r="BU182" i="3"/>
  <c r="BC182" i="3"/>
  <c r="BB182" i="3" s="1"/>
  <c r="BP121" i="3"/>
  <c r="BC121" i="3"/>
  <c r="CB121" i="3"/>
  <c r="CH121" i="3"/>
  <c r="BU121" i="3"/>
  <c r="BU110" i="3"/>
  <c r="BP110" i="3"/>
  <c r="CE110" i="3"/>
  <c r="CD110" i="3" s="1"/>
  <c r="CE42" i="3"/>
  <c r="BU42" i="3"/>
  <c r="BX42" i="3"/>
  <c r="BS42" i="3"/>
  <c r="BR42" i="3" s="1"/>
  <c r="BP42" i="3"/>
  <c r="BC42" i="3"/>
  <c r="CH42" i="3"/>
  <c r="CB42" i="3"/>
  <c r="CH59" i="3"/>
  <c r="CB59" i="3"/>
  <c r="BU59" i="3"/>
  <c r="CE59" i="3"/>
  <c r="BP59" i="3"/>
  <c r="BS59" i="3"/>
  <c r="BC59" i="3"/>
  <c r="CH203" i="3"/>
  <c r="CE203" i="3"/>
  <c r="CB203" i="3"/>
  <c r="BC203" i="3"/>
  <c r="BP203" i="3"/>
  <c r="CB93" i="3"/>
  <c r="BP93" i="3"/>
  <c r="CH93" i="3"/>
  <c r="BX93" i="3"/>
  <c r="BC93" i="3"/>
  <c r="CH28" i="3"/>
  <c r="BC28" i="3"/>
  <c r="CE28" i="3"/>
  <c r="CB28" i="3"/>
  <c r="BS28" i="3"/>
  <c r="BR28" i="3" s="1"/>
  <c r="BP28" i="3"/>
  <c r="BC80" i="3"/>
  <c r="BC31" i="3"/>
  <c r="BC63" i="3"/>
  <c r="BC39" i="3"/>
  <c r="BC150" i="3"/>
  <c r="BC199" i="3"/>
  <c r="BB199" i="3" s="1"/>
  <c r="BP155" i="3"/>
  <c r="BP162" i="3"/>
  <c r="BP60" i="3"/>
  <c r="BS164" i="3"/>
  <c r="BS136" i="3"/>
  <c r="BU80" i="3"/>
  <c r="BU191" i="3"/>
  <c r="BU50" i="3"/>
  <c r="BX203" i="3"/>
  <c r="BX123" i="3"/>
  <c r="BX121" i="3"/>
  <c r="BX183" i="3"/>
  <c r="CB64" i="3"/>
  <c r="CE162" i="3"/>
  <c r="CH171" i="3"/>
  <c r="CH65" i="3"/>
  <c r="BX82" i="3"/>
  <c r="CE17" i="3"/>
  <c r="BX156" i="3"/>
  <c r="BU156" i="3"/>
  <c r="BP156" i="3"/>
  <c r="CB156" i="3"/>
  <c r="CE141" i="3"/>
  <c r="CH141" i="3"/>
  <c r="BU141" i="3"/>
  <c r="BX141" i="3"/>
  <c r="BW141" i="3" s="1"/>
  <c r="CB21" i="3"/>
  <c r="CH21" i="3"/>
  <c r="BU21" i="3"/>
  <c r="BX21" i="3"/>
  <c r="BP21" i="3"/>
  <c r="CE21" i="3"/>
  <c r="BC21" i="3"/>
  <c r="BU111" i="3"/>
  <c r="CH111" i="3"/>
  <c r="BS111" i="3"/>
  <c r="BR111" i="3" s="1"/>
  <c r="CE107" i="3"/>
  <c r="CD107" i="3" s="1"/>
  <c r="BS107" i="3"/>
  <c r="BR107" i="3" s="1"/>
  <c r="BU107" i="3"/>
  <c r="BP107" i="3"/>
  <c r="CH166" i="3"/>
  <c r="BU166" i="3"/>
  <c r="BS166" i="3"/>
  <c r="CB48" i="3"/>
  <c r="CH48" i="3"/>
  <c r="BC48" i="3"/>
  <c r="BP48" i="3"/>
  <c r="BC156" i="3"/>
  <c r="BC128" i="3"/>
  <c r="BS43" i="3"/>
  <c r="BX188" i="3"/>
  <c r="BU188" i="3"/>
  <c r="BP188" i="3"/>
  <c r="CB188" i="3"/>
  <c r="CE177" i="3"/>
  <c r="CD177" i="3" s="1"/>
  <c r="CB177" i="3"/>
  <c r="CB122" i="3"/>
  <c r="BS122" i="3"/>
  <c r="BR122" i="3" s="1"/>
  <c r="BX122" i="3"/>
  <c r="CB82" i="3"/>
  <c r="CH82" i="3"/>
  <c r="BC82" i="3"/>
  <c r="BB82" i="3" s="1"/>
  <c r="CE133" i="3"/>
  <c r="CB133" i="3"/>
  <c r="BU133" i="3"/>
  <c r="CH133" i="3"/>
  <c r="CH30" i="3"/>
  <c r="CE30" i="3"/>
  <c r="CB30" i="3"/>
  <c r="BP30" i="3"/>
  <c r="BS30" i="3"/>
  <c r="BR30" i="3" s="1"/>
  <c r="BU30" i="3"/>
  <c r="BC30" i="3"/>
  <c r="CE69" i="3"/>
  <c r="CH69" i="3"/>
  <c r="BX69" i="3"/>
  <c r="BS69" i="3"/>
  <c r="BR69" i="3" s="1"/>
  <c r="CH99" i="3"/>
  <c r="CB99" i="3"/>
  <c r="BX99" i="3"/>
  <c r="BU99" i="3"/>
  <c r="BC99" i="3"/>
  <c r="BB99" i="3" s="1"/>
  <c r="BU132" i="3"/>
  <c r="BS132" i="3"/>
  <c r="BR132" i="3" s="1"/>
  <c r="BC132" i="3"/>
  <c r="BB132" i="3" s="1"/>
  <c r="CH125" i="3"/>
  <c r="CB125" i="3"/>
  <c r="BU125" i="3"/>
  <c r="BX125" i="3"/>
  <c r="CH33" i="3"/>
  <c r="BS33" i="3"/>
  <c r="BR33" i="3" s="1"/>
  <c r="CB33" i="3"/>
  <c r="BC33" i="3"/>
  <c r="BB33" i="3" s="1"/>
  <c r="CE154" i="3"/>
  <c r="CH154" i="3"/>
  <c r="CB154" i="3"/>
  <c r="BC154" i="3"/>
  <c r="BB154" i="3" s="1"/>
  <c r="BS154" i="3"/>
  <c r="BR154" i="3" s="1"/>
  <c r="BX120" i="3"/>
  <c r="BW120" i="3" s="1"/>
  <c r="BU120" i="3"/>
  <c r="BC120" i="3"/>
  <c r="BB120" i="3" s="1"/>
  <c r="BS120" i="3"/>
  <c r="CH190" i="3"/>
  <c r="BC190" i="3"/>
  <c r="BB190" i="3" s="1"/>
  <c r="BU190" i="3"/>
  <c r="BS190" i="3"/>
  <c r="CB25" i="3"/>
  <c r="BU25" i="3"/>
  <c r="BS25" i="3"/>
  <c r="BR25" i="3" s="1"/>
  <c r="BS21" i="3"/>
  <c r="BR21" i="3" s="1"/>
  <c r="BU43" i="3"/>
  <c r="BU82" i="3"/>
  <c r="BX51" i="3"/>
  <c r="BX166" i="3"/>
  <c r="CB69" i="3"/>
  <c r="CB166" i="3"/>
  <c r="CE13" i="3"/>
  <c r="CH132" i="3"/>
  <c r="BX79" i="3"/>
  <c r="BP79" i="3"/>
  <c r="CB79" i="3"/>
  <c r="BU79" i="3"/>
  <c r="BC79" i="3"/>
  <c r="BP43" i="3"/>
  <c r="BX43" i="3"/>
  <c r="BW43" i="3" s="1"/>
  <c r="CH128" i="3"/>
  <c r="CB128" i="3"/>
  <c r="BW128" i="3" s="1"/>
  <c r="BP128" i="3"/>
  <c r="CH81" i="3"/>
  <c r="BX81" i="3"/>
  <c r="BP81" i="3"/>
  <c r="BC81" i="3"/>
  <c r="CH68" i="3"/>
  <c r="BX68" i="3"/>
  <c r="BP68" i="3"/>
  <c r="CH193" i="3"/>
  <c r="BP193" i="3"/>
  <c r="CB193" i="3"/>
  <c r="BU193" i="3"/>
  <c r="BS193" i="3"/>
  <c r="BR193" i="3" s="1"/>
  <c r="BX104" i="3"/>
  <c r="BW104" i="3" s="1"/>
  <c r="CE104" i="3"/>
  <c r="CH104" i="3"/>
  <c r="BP104" i="3"/>
  <c r="CH91" i="3"/>
  <c r="BC91" i="3"/>
  <c r="BP91" i="3"/>
  <c r="CB91" i="3"/>
  <c r="BC111" i="3"/>
  <c r="BB111" i="3" s="1"/>
  <c r="BC107" i="3"/>
  <c r="BC166" i="3"/>
  <c r="BB166" i="3" s="1"/>
  <c r="BS68" i="3"/>
  <c r="BR68" i="3" s="1"/>
  <c r="BC188" i="3"/>
  <c r="BC177" i="3"/>
  <c r="BB177" i="3" s="1"/>
  <c r="BC43" i="3"/>
  <c r="BC69" i="3"/>
  <c r="BB69" i="3" s="1"/>
  <c r="BC68" i="3"/>
  <c r="BC193" i="3"/>
  <c r="BS156" i="3"/>
  <c r="BR156" i="3" s="1"/>
  <c r="BU91" i="3"/>
  <c r="BX17" i="3"/>
  <c r="BX111" i="3"/>
  <c r="BW111" i="3" s="1"/>
  <c r="CB68" i="3"/>
  <c r="CH156" i="3"/>
  <c r="CH19" i="3"/>
  <c r="BU19" i="3"/>
  <c r="BP19" i="3"/>
  <c r="CH76" i="3"/>
  <c r="CE76" i="3"/>
  <c r="CE73" i="3"/>
  <c r="CB73" i="3"/>
  <c r="BX73" i="3"/>
  <c r="CH73" i="3"/>
  <c r="BS73" i="3"/>
  <c r="BR73" i="3" s="1"/>
  <c r="CH130" i="3"/>
  <c r="CH208" i="3"/>
  <c r="BU208" i="3"/>
  <c r="CH34" i="3"/>
  <c r="BS34" i="3"/>
  <c r="BR34" i="3" s="1"/>
  <c r="CH78" i="3"/>
  <c r="BS78" i="3"/>
  <c r="BR78" i="3" s="1"/>
  <c r="CE140" i="3"/>
  <c r="CD140" i="3" s="1"/>
  <c r="BX140" i="3"/>
  <c r="BW140" i="3" s="1"/>
  <c r="BU140" i="3"/>
  <c r="BS140" i="3"/>
  <c r="BC140" i="3"/>
  <c r="BB140" i="3" s="1"/>
  <c r="CE139" i="3"/>
  <c r="CD139" i="3" s="1"/>
  <c r="CE94" i="3"/>
  <c r="CD94" i="3" s="1"/>
  <c r="CB20" i="3"/>
  <c r="CE20" i="3"/>
  <c r="CD20" i="3" s="1"/>
  <c r="BS20" i="3"/>
  <c r="BR20" i="3" s="1"/>
  <c r="BP20" i="3"/>
  <c r="BU20" i="3"/>
  <c r="CH16" i="3"/>
  <c r="CD16" i="3" s="1"/>
  <c r="CB16" i="3"/>
  <c r="BU16" i="3"/>
  <c r="BC16" i="3"/>
  <c r="BB16" i="3" s="1"/>
  <c r="CH17" i="3"/>
  <c r="BC17" i="3"/>
  <c r="BB17" i="3" s="1"/>
  <c r="CB17" i="3"/>
  <c r="BU17" i="3"/>
  <c r="CE40" i="3"/>
  <c r="CB40" i="3"/>
  <c r="BS40" i="3"/>
  <c r="BR40" i="3" s="1"/>
  <c r="CH40" i="3"/>
  <c r="BC73" i="3"/>
  <c r="BB73" i="3" s="1"/>
  <c r="BC124" i="3"/>
  <c r="BB124" i="3" s="1"/>
  <c r="BC19" i="3"/>
  <c r="BC76" i="3"/>
  <c r="BB76" i="3" s="1"/>
  <c r="BC200" i="3"/>
  <c r="BC11" i="3"/>
  <c r="BC34" i="3"/>
  <c r="BB34" i="3" s="1"/>
  <c r="BC78" i="3"/>
  <c r="BB78" i="3" s="1"/>
  <c r="BC24" i="3"/>
  <c r="BS45" i="3"/>
  <c r="BR45" i="3" s="1"/>
  <c r="BS16" i="3"/>
  <c r="BR16" i="3" s="1"/>
  <c r="BS17" i="3"/>
  <c r="BR17" i="3" s="1"/>
  <c r="BU139" i="3"/>
  <c r="BX76" i="3"/>
  <c r="BX20" i="3"/>
  <c r="BX40" i="3"/>
  <c r="CB76" i="3"/>
  <c r="CB34" i="3"/>
  <c r="CH13" i="3"/>
  <c r="BR19" i="3"/>
  <c r="BX13" i="3"/>
  <c r="BW13" i="3" s="1"/>
  <c r="CH45" i="3"/>
  <c r="CE45" i="3"/>
  <c r="CB45" i="3"/>
  <c r="BX45" i="3"/>
  <c r="BU151" i="3"/>
  <c r="CH200" i="3"/>
  <c r="CE200" i="3"/>
  <c r="BP200" i="3"/>
  <c r="BX200" i="3"/>
  <c r="BW200" i="3" s="1"/>
  <c r="CE148" i="3"/>
  <c r="CH148" i="3"/>
  <c r="BU148" i="3"/>
  <c r="CB124" i="3"/>
  <c r="CH124" i="3"/>
  <c r="CB11" i="3"/>
  <c r="CE11" i="3"/>
  <c r="CD11" i="3" s="1"/>
  <c r="BS11" i="3"/>
  <c r="BR11" i="3" s="1"/>
  <c r="BU71" i="3"/>
  <c r="CH71" i="3"/>
  <c r="BS71" i="3"/>
  <c r="CH126" i="3"/>
  <c r="CB126" i="3"/>
  <c r="BX24" i="3"/>
  <c r="BW24" i="3" s="1"/>
  <c r="CH149" i="3"/>
  <c r="CE149" i="3"/>
  <c r="CB149" i="3"/>
  <c r="BU149" i="3"/>
  <c r="BC149" i="3"/>
  <c r="BB149" i="3" s="1"/>
  <c r="CB169" i="3"/>
  <c r="CE169" i="3"/>
  <c r="CD169" i="3" s="1"/>
  <c r="BX169" i="3"/>
  <c r="CB185" i="3"/>
  <c r="BS185" i="3"/>
  <c r="BR185" i="3" s="1"/>
  <c r="BC185" i="3"/>
  <c r="BB185" i="3" s="1"/>
  <c r="CB58" i="3"/>
  <c r="BX58" i="3"/>
  <c r="CH87" i="3"/>
  <c r="CE87" i="3"/>
  <c r="BX87" i="3"/>
  <c r="BW87" i="3" s="1"/>
  <c r="BU87" i="3"/>
  <c r="CH51" i="3"/>
  <c r="CB51" i="3"/>
  <c r="BS51" i="3"/>
  <c r="BR51" i="3" s="1"/>
  <c r="BC51" i="3"/>
  <c r="BB51" i="3" s="1"/>
  <c r="BC45" i="3"/>
  <c r="BB45" i="3" s="1"/>
  <c r="BP24" i="3"/>
  <c r="BP58" i="3"/>
  <c r="BS58" i="3"/>
  <c r="BR58" i="3" s="1"/>
  <c r="BS87" i="3"/>
  <c r="BR87" i="3" s="1"/>
  <c r="BU11" i="3"/>
  <c r="BU40" i="3"/>
  <c r="CB153" i="3"/>
  <c r="BW153" i="3" s="1"/>
  <c r="CB94" i="3"/>
  <c r="CE34" i="3"/>
  <c r="CE51" i="3"/>
  <c r="CH151" i="3"/>
  <c r="CH185" i="3"/>
  <c r="CE124" i="3"/>
  <c r="CE71" i="3"/>
  <c r="CE158" i="3"/>
  <c r="CE23" i="3"/>
  <c r="CE22" i="3"/>
  <c r="CE120" i="3"/>
  <c r="CD120" i="3" s="1"/>
  <c r="CE93" i="3"/>
  <c r="CE67" i="3"/>
  <c r="CE160" i="3"/>
  <c r="CE12" i="3"/>
  <c r="CE57" i="3"/>
  <c r="CD57" i="3" s="1"/>
  <c r="CE54" i="3"/>
  <c r="CE46" i="3"/>
  <c r="CE126" i="3"/>
  <c r="CE147" i="3"/>
  <c r="CE125" i="3"/>
  <c r="CE129" i="3"/>
  <c r="CE138" i="3"/>
  <c r="CE79" i="3"/>
  <c r="CD79" i="3" s="1"/>
  <c r="CE175" i="3"/>
  <c r="CE43" i="3"/>
  <c r="CD43" i="3" s="1"/>
  <c r="CE163" i="3"/>
  <c r="CE128" i="3"/>
  <c r="CD128" i="3" s="1"/>
  <c r="CE81" i="3"/>
  <c r="CE183" i="3"/>
  <c r="CE58" i="3"/>
  <c r="CD58" i="3" s="1"/>
  <c r="CE115" i="3"/>
  <c r="CD115" i="3" s="1"/>
  <c r="CE91" i="3"/>
  <c r="CE19" i="3"/>
  <c r="CE208" i="3"/>
  <c r="CE78" i="3"/>
  <c r="CE195" i="3"/>
  <c r="CE132" i="3"/>
  <c r="CE48" i="3"/>
  <c r="CE44" i="3"/>
  <c r="CE188" i="3"/>
  <c r="CD188" i="3" s="1"/>
  <c r="CE39" i="3"/>
  <c r="CE122" i="3"/>
  <c r="CD122" i="3" s="1"/>
  <c r="CE182" i="3"/>
  <c r="CE166" i="3"/>
  <c r="CE25" i="3"/>
  <c r="CD25" i="3" s="1"/>
  <c r="CE27" i="3"/>
  <c r="CE36" i="3"/>
  <c r="CD36" i="3" s="1"/>
  <c r="CE151" i="3"/>
  <c r="CE153" i="3"/>
  <c r="CD153" i="3" s="1"/>
  <c r="CE50" i="3"/>
  <c r="CE102" i="3"/>
  <c r="CE197" i="3"/>
  <c r="CE206" i="3"/>
  <c r="CE32" i="3"/>
  <c r="CE123" i="3"/>
  <c r="CD123" i="3" s="1"/>
  <c r="CE29" i="3"/>
  <c r="CE38" i="3"/>
  <c r="CE185" i="3"/>
  <c r="CE190" i="3"/>
  <c r="CE103" i="3"/>
  <c r="CE15" i="3"/>
  <c r="CE156" i="3"/>
  <c r="CE178" i="3"/>
  <c r="CE26" i="3"/>
  <c r="CE193" i="3"/>
  <c r="CE181" i="3"/>
  <c r="CE82" i="3"/>
  <c r="CE111" i="3"/>
  <c r="CD111" i="3" s="1"/>
  <c r="CE24" i="3"/>
  <c r="CE33" i="3"/>
  <c r="CE176" i="3"/>
  <c r="CE35" i="3"/>
  <c r="CE159" i="3"/>
  <c r="CE130" i="3"/>
  <c r="CE84" i="3"/>
  <c r="CE99" i="3"/>
  <c r="CE47" i="3"/>
  <c r="CE121" i="3"/>
  <c r="BX109" i="3"/>
  <c r="BX196" i="3"/>
  <c r="BX78" i="3"/>
  <c r="BW78" i="3" s="1"/>
  <c r="BX16" i="3"/>
  <c r="BX44" i="3"/>
  <c r="BX147" i="3"/>
  <c r="BW147" i="3" s="1"/>
  <c r="BX164" i="3"/>
  <c r="BX19" i="3"/>
  <c r="BW19" i="3" s="1"/>
  <c r="BX34" i="3"/>
  <c r="BX62" i="3"/>
  <c r="BX201" i="3"/>
  <c r="BX151" i="3"/>
  <c r="BW151" i="3" s="1"/>
  <c r="BX71" i="3"/>
  <c r="BW71" i="3" s="1"/>
  <c r="BX101" i="3"/>
  <c r="BX70" i="3"/>
  <c r="BX193" i="3"/>
  <c r="BX185" i="3"/>
  <c r="BX115" i="3"/>
  <c r="BX208" i="3"/>
  <c r="BW208" i="3" s="1"/>
  <c r="BX117" i="3"/>
  <c r="BX94" i="3"/>
  <c r="BX192" i="3"/>
  <c r="BX91" i="3"/>
  <c r="BX41" i="3"/>
  <c r="BX11" i="3"/>
  <c r="BX199" i="3"/>
  <c r="BX29" i="3"/>
  <c r="BX130" i="3"/>
  <c r="BW130" i="3" s="1"/>
  <c r="BX139" i="3"/>
  <c r="BW139" i="3" s="1"/>
  <c r="BX137" i="3"/>
  <c r="BX181" i="3"/>
  <c r="BX48" i="3"/>
  <c r="BX124" i="3"/>
  <c r="BX158" i="3"/>
  <c r="BX149" i="3"/>
  <c r="BX59" i="3"/>
  <c r="BX197" i="3"/>
  <c r="BX67" i="3"/>
  <c r="BX38" i="3"/>
  <c r="BX114" i="3"/>
  <c r="BX148" i="3"/>
  <c r="BW148" i="3" s="1"/>
  <c r="BX136" i="3"/>
  <c r="BW136" i="3" s="1"/>
  <c r="BR80" i="3"/>
  <c r="BR79" i="3"/>
  <c r="BR112" i="3"/>
  <c r="BR81" i="3"/>
  <c r="BR147" i="3"/>
  <c r="BR161" i="3"/>
  <c r="BR124" i="3"/>
  <c r="BR153" i="3"/>
  <c r="BR149" i="3"/>
  <c r="BR93" i="3"/>
  <c r="BR152" i="3"/>
  <c r="BR128" i="3"/>
  <c r="BR48" i="3"/>
  <c r="BR148" i="3"/>
  <c r="BR24" i="3"/>
  <c r="BR176" i="3"/>
  <c r="BR104" i="3"/>
  <c r="BR203" i="3"/>
  <c r="BR101" i="3"/>
  <c r="BR121" i="3"/>
  <c r="BR67" i="3"/>
  <c r="BR191" i="3"/>
  <c r="BR94" i="3"/>
  <c r="BR54" i="3"/>
  <c r="BR174" i="3"/>
  <c r="BR165" i="3"/>
  <c r="BR76" i="3"/>
  <c r="BR208" i="3"/>
  <c r="BR13" i="3"/>
  <c r="BR169" i="3"/>
  <c r="BR83" i="3"/>
  <c r="BR182" i="3"/>
  <c r="BR177" i="3"/>
  <c r="BR133" i="3"/>
  <c r="BR60" i="3"/>
  <c r="BR126" i="3"/>
  <c r="BR183" i="3"/>
  <c r="BR134" i="3"/>
  <c r="BR91" i="3"/>
  <c r="BC192" i="3"/>
  <c r="BC35" i="3"/>
  <c r="BC130" i="3"/>
  <c r="BB130" i="3" s="1"/>
  <c r="BC13" i="3"/>
  <c r="BB13" i="3" s="1"/>
  <c r="BC22" i="3"/>
  <c r="BC122" i="3"/>
  <c r="BB122" i="3" s="1"/>
  <c r="BC133" i="3"/>
  <c r="BB133" i="3" s="1"/>
  <c r="BC208" i="3"/>
  <c r="BB208" i="3" s="1"/>
  <c r="BC136" i="3"/>
  <c r="BC36" i="3"/>
  <c r="BC148" i="3"/>
  <c r="BB148" i="3" s="1"/>
  <c r="BC125" i="3"/>
  <c r="BB125" i="3" s="1"/>
  <c r="BC139" i="3"/>
  <c r="BB139" i="3" s="1"/>
  <c r="BC158" i="3"/>
  <c r="BC102" i="3"/>
  <c r="BC167" i="3"/>
  <c r="BB167" i="3" s="1"/>
  <c r="BC104" i="3"/>
  <c r="BC195" i="3"/>
  <c r="BC153" i="3"/>
  <c r="BC141" i="3"/>
  <c r="BB141" i="3" s="1"/>
  <c r="BC62" i="3"/>
  <c r="BC71" i="3"/>
  <c r="BB71" i="3" s="1"/>
  <c r="BC26" i="3"/>
  <c r="BC126" i="3"/>
  <c r="BB126" i="3" s="1"/>
  <c r="BC110" i="3"/>
  <c r="BC87" i="3"/>
  <c r="BB87" i="3" s="1"/>
  <c r="BC103" i="3"/>
  <c r="BC151" i="3"/>
  <c r="BB151" i="3" s="1"/>
  <c r="BC58" i="3"/>
  <c r="BC84" i="3"/>
  <c r="BC29" i="3"/>
  <c r="BC169" i="3"/>
  <c r="BB169" i="3" s="1"/>
  <c r="BC176" i="3"/>
  <c r="AP31" i="3"/>
  <c r="Z117" i="3"/>
  <c r="AP60" i="3"/>
  <c r="R83" i="3"/>
  <c r="AP83" i="3"/>
  <c r="AY118" i="3"/>
  <c r="O163" i="3"/>
  <c r="V159" i="3"/>
  <c r="O77" i="3"/>
  <c r="O26" i="3"/>
  <c r="AP77" i="3"/>
  <c r="O92" i="3"/>
  <c r="AP92" i="3"/>
  <c r="AP56" i="3"/>
  <c r="R56" i="3"/>
  <c r="O138" i="3"/>
  <c r="AY12" i="3"/>
  <c r="AP67" i="3"/>
  <c r="AY150" i="3"/>
  <c r="AP150" i="3"/>
  <c r="AP196" i="3"/>
  <c r="AY62" i="3"/>
  <c r="AY198" i="3"/>
  <c r="AY61" i="3"/>
  <c r="AY164" i="3"/>
  <c r="AP165" i="3"/>
  <c r="AP69" i="3"/>
  <c r="AY190" i="3"/>
  <c r="AY76" i="3"/>
  <c r="AY208" i="3"/>
  <c r="AY13" i="3"/>
  <c r="AP13" i="3"/>
  <c r="AY200" i="3"/>
  <c r="AY11" i="3"/>
  <c r="AY149" i="3"/>
  <c r="O58" i="3"/>
  <c r="AY58" i="3"/>
  <c r="AY37" i="3"/>
  <c r="AY145" i="3"/>
  <c r="AY65" i="3"/>
  <c r="O183" i="3"/>
  <c r="AY176" i="3"/>
  <c r="AY53" i="3"/>
  <c r="AY106" i="3"/>
  <c r="AY191" i="3"/>
  <c r="AY141" i="3"/>
  <c r="AY81" i="3"/>
  <c r="AY104" i="3"/>
  <c r="AY188" i="3"/>
  <c r="AY122" i="3"/>
  <c r="AY139" i="3"/>
  <c r="AY20" i="3"/>
  <c r="AY151" i="3"/>
  <c r="AY124" i="3"/>
  <c r="AY71" i="3"/>
  <c r="AY24" i="3"/>
  <c r="AY169" i="3"/>
  <c r="AP109" i="3"/>
  <c r="AP139" i="3"/>
  <c r="AY165" i="3"/>
  <c r="AY180" i="3"/>
  <c r="AY201" i="3"/>
  <c r="AY112" i="3"/>
  <c r="AY135" i="3"/>
  <c r="AY204" i="3"/>
  <c r="AY184" i="3"/>
  <c r="Z110" i="3"/>
  <c r="AY42" i="3"/>
  <c r="AY203" i="3"/>
  <c r="AY28" i="3"/>
  <c r="AY88" i="3"/>
  <c r="AY110" i="3"/>
  <c r="AY161" i="3"/>
  <c r="AY121" i="3"/>
  <c r="R59" i="3"/>
  <c r="AY160" i="3"/>
  <c r="O189" i="3"/>
  <c r="AY143" i="3"/>
  <c r="O157" i="3"/>
  <c r="AY95" i="3"/>
  <c r="AY205" i="3"/>
  <c r="AP205" i="3"/>
  <c r="AY31" i="3"/>
  <c r="AY38" i="3"/>
  <c r="AY181" i="3"/>
  <c r="AY74" i="3"/>
  <c r="AY100" i="3"/>
  <c r="AP41" i="3"/>
  <c r="AY32" i="3"/>
  <c r="AY49" i="3"/>
  <c r="AY175" i="3"/>
  <c r="AY163" i="3"/>
  <c r="AY23" i="3"/>
  <c r="AY137" i="3"/>
  <c r="AY64" i="3"/>
  <c r="AY57" i="3"/>
  <c r="AY27" i="3"/>
  <c r="O117" i="3"/>
  <c r="O12" i="3"/>
  <c r="AY206" i="3"/>
  <c r="V119" i="3"/>
  <c r="AY56" i="3"/>
  <c r="AY117" i="3"/>
  <c r="AY17" i="3"/>
  <c r="AY41" i="3"/>
  <c r="AY105" i="3"/>
  <c r="AY67" i="3"/>
  <c r="AY123" i="3"/>
  <c r="AY171" i="3"/>
  <c r="AY77" i="3"/>
  <c r="AY157" i="3"/>
  <c r="AY90" i="3"/>
  <c r="AP27" i="3"/>
  <c r="AP183" i="3"/>
  <c r="O196" i="3"/>
  <c r="R171" i="3"/>
  <c r="O174" i="3"/>
  <c r="V127" i="3"/>
  <c r="V97" i="3"/>
  <c r="O54" i="3"/>
  <c r="O15" i="3"/>
  <c r="O48" i="3"/>
  <c r="O97" i="3"/>
  <c r="O68" i="3"/>
  <c r="Z76" i="3"/>
  <c r="R76" i="3"/>
  <c r="O130" i="3"/>
  <c r="AL139" i="3"/>
  <c r="R90" i="3"/>
  <c r="O188" i="3"/>
  <c r="O115" i="3"/>
  <c r="AL59" i="3"/>
  <c r="O121" i="3"/>
  <c r="V189" i="3"/>
  <c r="Z93" i="3"/>
  <c r="O64" i="3"/>
  <c r="O29" i="3"/>
  <c r="O144" i="3"/>
  <c r="Z153" i="3"/>
  <c r="AL147" i="3"/>
  <c r="R158" i="3"/>
  <c r="AL160" i="3"/>
  <c r="AL194" i="3"/>
  <c r="R170" i="3"/>
  <c r="O170" i="3"/>
  <c r="AL131" i="3"/>
  <c r="O71" i="3"/>
  <c r="O50" i="3"/>
  <c r="V166" i="3"/>
  <c r="O32" i="3"/>
  <c r="O98" i="3"/>
  <c r="O142" i="3"/>
  <c r="O89" i="3"/>
  <c r="AL100" i="3"/>
  <c r="O100" i="3"/>
  <c r="AL109" i="3"/>
  <c r="O109" i="3"/>
  <c r="O178" i="3"/>
  <c r="O172" i="3"/>
  <c r="AL49" i="3"/>
  <c r="V105" i="3"/>
  <c r="R60" i="3"/>
  <c r="R55" i="3"/>
  <c r="O38" i="3"/>
  <c r="R137" i="3"/>
  <c r="AL64" i="3"/>
  <c r="R27" i="3"/>
  <c r="O23" i="3"/>
  <c r="R23" i="3"/>
  <c r="AL37" i="3"/>
  <c r="R199" i="3"/>
  <c r="V146" i="3"/>
  <c r="R141" i="3"/>
  <c r="R104" i="3"/>
  <c r="V151" i="3"/>
  <c r="AL149" i="3"/>
  <c r="AL185" i="3"/>
  <c r="R123" i="3"/>
  <c r="O22" i="3"/>
  <c r="O191" i="3"/>
  <c r="AL167" i="3"/>
  <c r="O165" i="3"/>
  <c r="AL172" i="3"/>
  <c r="AL128" i="3"/>
  <c r="O111" i="3"/>
  <c r="AL91" i="3"/>
  <c r="V63" i="3"/>
  <c r="AL188" i="3"/>
  <c r="O177" i="3"/>
  <c r="AL30" i="3"/>
  <c r="R30" i="3"/>
  <c r="R99" i="3"/>
  <c r="AL190" i="3"/>
  <c r="R79" i="3"/>
  <c r="V133" i="3"/>
  <c r="AL76" i="3"/>
  <c r="AF208" i="3"/>
  <c r="AL34" i="3"/>
  <c r="R34" i="3"/>
  <c r="AF17" i="3"/>
  <c r="O17" i="3"/>
  <c r="V147" i="3"/>
  <c r="R101" i="3"/>
  <c r="AL184" i="3"/>
  <c r="AL121" i="3"/>
  <c r="V42" i="3"/>
  <c r="R42" i="3"/>
  <c r="O134" i="3"/>
  <c r="O93" i="3"/>
  <c r="R28" i="3"/>
  <c r="V203" i="3"/>
  <c r="Z144" i="3"/>
  <c r="Z86" i="3"/>
  <c r="R86" i="3"/>
  <c r="Z159" i="3"/>
  <c r="AL119" i="3"/>
  <c r="AL56" i="3"/>
  <c r="V56" i="3"/>
  <c r="AL113" i="3"/>
  <c r="O56" i="3"/>
  <c r="AL67" i="3"/>
  <c r="V174" i="3"/>
  <c r="Z129" i="3"/>
  <c r="Z192" i="3"/>
  <c r="O101" i="3"/>
  <c r="O112" i="3"/>
  <c r="O150" i="3"/>
  <c r="R157" i="3"/>
  <c r="R12" i="3"/>
  <c r="R206" i="3"/>
  <c r="Z50" i="3"/>
  <c r="AL36" i="3"/>
  <c r="AL206" i="3"/>
  <c r="AL92" i="3"/>
  <c r="AL174" i="3"/>
  <c r="AL88" i="3"/>
  <c r="V86" i="3"/>
  <c r="R138" i="3"/>
  <c r="R96" i="3"/>
  <c r="O208" i="3"/>
  <c r="O181" i="3"/>
  <c r="O201" i="3"/>
  <c r="O202" i="3"/>
  <c r="O28" i="3"/>
  <c r="O175" i="3"/>
  <c r="O49" i="3"/>
  <c r="O182" i="3"/>
  <c r="O110" i="3"/>
  <c r="O60" i="3"/>
  <c r="K147" i="3"/>
  <c r="K140" i="3"/>
  <c r="K78" i="3"/>
  <c r="K206" i="3"/>
  <c r="CD13" i="3" l="1"/>
  <c r="BW37" i="3"/>
  <c r="CD195" i="3"/>
  <c r="CP106" i="3"/>
  <c r="BB24" i="3"/>
  <c r="BB135" i="3"/>
  <c r="BB52" i="3"/>
  <c r="BB194" i="3"/>
  <c r="CD99" i="3"/>
  <c r="BB153" i="3"/>
  <c r="BW100" i="3"/>
  <c r="CD121" i="3"/>
  <c r="CD32" i="3"/>
  <c r="CD126" i="3"/>
  <c r="CD71" i="3"/>
  <c r="BB188" i="3"/>
  <c r="CD81" i="3"/>
  <c r="BW203" i="3"/>
  <c r="BB115" i="3"/>
  <c r="CD47" i="3"/>
  <c r="CD30" i="3"/>
  <c r="BB204" i="3"/>
  <c r="BW135" i="3"/>
  <c r="CD55" i="3"/>
  <c r="CD167" i="3"/>
  <c r="BB44" i="3"/>
  <c r="BB62" i="3"/>
  <c r="CD24" i="3"/>
  <c r="CL110" i="3"/>
  <c r="CP110" i="3" s="1"/>
  <c r="CO110" i="3"/>
  <c r="CQ110" i="3" s="1"/>
  <c r="CL204" i="3"/>
  <c r="CP204" i="3" s="1"/>
  <c r="CO204" i="3"/>
  <c r="CQ204" i="3" s="1"/>
  <c r="CL95" i="3"/>
  <c r="CP95" i="3" s="1"/>
  <c r="CO95" i="3"/>
  <c r="CQ95" i="3" s="1"/>
  <c r="CL14" i="3"/>
  <c r="CP14" i="3" s="1"/>
  <c r="CO14" i="3"/>
  <c r="CQ14" i="3" s="1"/>
  <c r="CL123" i="3"/>
  <c r="CP123" i="3" s="1"/>
  <c r="CO123" i="3"/>
  <c r="CQ123" i="3" s="1"/>
  <c r="CL11" i="3"/>
  <c r="CP11" i="3" s="1"/>
  <c r="CO11" i="3"/>
  <c r="CQ11" i="3" s="1"/>
  <c r="CL20" i="3"/>
  <c r="CP20" i="3" s="1"/>
  <c r="CO20" i="3"/>
  <c r="CQ20" i="3" s="1"/>
  <c r="CL48" i="3"/>
  <c r="CP48" i="3" s="1"/>
  <c r="CO48" i="3"/>
  <c r="CQ48" i="3" s="1"/>
  <c r="CL111" i="3"/>
  <c r="CP111" i="3" s="1"/>
  <c r="CO111" i="3"/>
  <c r="CQ111" i="3" s="1"/>
  <c r="CL43" i="3"/>
  <c r="CP43" i="3" s="1"/>
  <c r="CO43" i="3"/>
  <c r="CQ43" i="3" s="1"/>
  <c r="CL198" i="3"/>
  <c r="CP198" i="3" s="1"/>
  <c r="CO198" i="3"/>
  <c r="CQ198" i="3" s="1"/>
  <c r="CL84" i="3"/>
  <c r="CP84" i="3" s="1"/>
  <c r="CO84" i="3"/>
  <c r="CQ84" i="3" s="1"/>
  <c r="CL92" i="3"/>
  <c r="CP92" i="3" s="1"/>
  <c r="CO92" i="3"/>
  <c r="CQ92" i="3" s="1"/>
  <c r="CL117" i="3"/>
  <c r="CP117" i="3" s="1"/>
  <c r="CO117" i="3"/>
  <c r="CQ117" i="3" s="1"/>
  <c r="CL96" i="3"/>
  <c r="CP96" i="3" s="1"/>
  <c r="CO96" i="3"/>
  <c r="CQ96" i="3" s="1"/>
  <c r="BB41" i="3"/>
  <c r="CL28" i="3"/>
  <c r="CP28" i="3" s="1"/>
  <c r="CO28" i="3"/>
  <c r="CQ28" i="3" s="1"/>
  <c r="CL131" i="3"/>
  <c r="CP131" i="3" s="1"/>
  <c r="CO131" i="3"/>
  <c r="CQ131" i="3" s="1"/>
  <c r="CL167" i="3"/>
  <c r="CP167" i="3" s="1"/>
  <c r="CO167" i="3"/>
  <c r="CQ167" i="3" s="1"/>
  <c r="CL103" i="3"/>
  <c r="CP103" i="3" s="1"/>
  <c r="CO103" i="3"/>
  <c r="CQ103" i="3" s="1"/>
  <c r="CL52" i="3"/>
  <c r="CP52" i="3" s="1"/>
  <c r="CO52" i="3"/>
  <c r="CQ52" i="3" s="1"/>
  <c r="CP66" i="3"/>
  <c r="CL149" i="3"/>
  <c r="CP149" i="3" s="1"/>
  <c r="CO149" i="3"/>
  <c r="CQ149" i="3" s="1"/>
  <c r="CL34" i="3"/>
  <c r="CP34" i="3" s="1"/>
  <c r="CO34" i="3"/>
  <c r="CQ34" i="3" s="1"/>
  <c r="CP168" i="3"/>
  <c r="CL125" i="3"/>
  <c r="CP125" i="3" s="1"/>
  <c r="CO125" i="3"/>
  <c r="CQ125" i="3" s="1"/>
  <c r="CL82" i="3"/>
  <c r="CP82" i="3" s="1"/>
  <c r="CO82" i="3"/>
  <c r="CQ82" i="3" s="1"/>
  <c r="CL181" i="3"/>
  <c r="CP181" i="3" s="1"/>
  <c r="CO181" i="3"/>
  <c r="CQ181" i="3" s="1"/>
  <c r="CL12" i="3"/>
  <c r="CP12" i="3" s="1"/>
  <c r="CO12" i="3"/>
  <c r="CQ12" i="3" s="1"/>
  <c r="CL119" i="3"/>
  <c r="CP119" i="3" s="1"/>
  <c r="CO119" i="3"/>
  <c r="CQ119" i="3" s="1"/>
  <c r="CL27" i="3"/>
  <c r="CP27" i="3" s="1"/>
  <c r="CO27" i="3"/>
  <c r="CQ27" i="3" s="1"/>
  <c r="CL137" i="3"/>
  <c r="CP137" i="3" s="1"/>
  <c r="CO137" i="3"/>
  <c r="CQ137" i="3" s="1"/>
  <c r="CL105" i="3"/>
  <c r="CP105" i="3" s="1"/>
  <c r="CO105" i="3"/>
  <c r="CQ105" i="3" s="1"/>
  <c r="BW184" i="3"/>
  <c r="CL121" i="3"/>
  <c r="CP121" i="3" s="1"/>
  <c r="CO121" i="3"/>
  <c r="CQ121" i="3" s="1"/>
  <c r="CL194" i="3"/>
  <c r="CP194" i="3" s="1"/>
  <c r="CO194" i="3"/>
  <c r="CQ194" i="3" s="1"/>
  <c r="CL162" i="3"/>
  <c r="CP162" i="3" s="1"/>
  <c r="CO162" i="3"/>
  <c r="CQ162" i="3" s="1"/>
  <c r="CL201" i="3"/>
  <c r="CP201" i="3" s="1"/>
  <c r="CO201" i="3"/>
  <c r="CQ201" i="3" s="1"/>
  <c r="CL75" i="3"/>
  <c r="CP75" i="3" s="1"/>
  <c r="CO75" i="3"/>
  <c r="CQ75" i="3" s="1"/>
  <c r="CL116" i="3"/>
  <c r="CP116" i="3" s="1"/>
  <c r="CO116" i="3"/>
  <c r="CQ116" i="3" s="1"/>
  <c r="CL24" i="3"/>
  <c r="CP24" i="3" s="1"/>
  <c r="CO24" i="3"/>
  <c r="CQ24" i="3" s="1"/>
  <c r="CL45" i="3"/>
  <c r="CP45" i="3" s="1"/>
  <c r="CO45" i="3"/>
  <c r="CQ45" i="3" s="1"/>
  <c r="CL208" i="3"/>
  <c r="CP208" i="3" s="1"/>
  <c r="CO208" i="3"/>
  <c r="CQ208" i="3" s="1"/>
  <c r="CL25" i="3"/>
  <c r="CP25" i="3" s="1"/>
  <c r="CO25" i="3"/>
  <c r="CQ25" i="3" s="1"/>
  <c r="CL122" i="3"/>
  <c r="CP122" i="3" s="1"/>
  <c r="CO122" i="3"/>
  <c r="CQ122" i="3" s="1"/>
  <c r="CL104" i="3"/>
  <c r="CP104" i="3" s="1"/>
  <c r="CO104" i="3"/>
  <c r="CQ104" i="3" s="1"/>
  <c r="CL129" i="3"/>
  <c r="CP129" i="3" s="1"/>
  <c r="CO129" i="3"/>
  <c r="CQ129" i="3" s="1"/>
  <c r="CL67" i="3"/>
  <c r="CP67" i="3" s="1"/>
  <c r="CO67" i="3"/>
  <c r="CQ67" i="3" s="1"/>
  <c r="CL179" i="3"/>
  <c r="CP179" i="3" s="1"/>
  <c r="CO179" i="3"/>
  <c r="CQ179" i="3" s="1"/>
  <c r="CP173" i="3"/>
  <c r="CL139" i="3"/>
  <c r="CP139" i="3" s="1"/>
  <c r="CO139" i="3"/>
  <c r="CQ139" i="3" s="1"/>
  <c r="CL190" i="3"/>
  <c r="CP190" i="3" s="1"/>
  <c r="CO190" i="3"/>
  <c r="CQ190" i="3" s="1"/>
  <c r="CL177" i="3"/>
  <c r="CP177" i="3" s="1"/>
  <c r="CO177" i="3"/>
  <c r="CQ177" i="3" s="1"/>
  <c r="CL171" i="3"/>
  <c r="CP171" i="3" s="1"/>
  <c r="CO171" i="3"/>
  <c r="CQ171" i="3" s="1"/>
  <c r="CL206" i="3"/>
  <c r="CP206" i="3" s="1"/>
  <c r="CO206" i="3"/>
  <c r="CQ206" i="3" s="1"/>
  <c r="CL118" i="3"/>
  <c r="CP118" i="3" s="1"/>
  <c r="CO118" i="3"/>
  <c r="CQ118" i="3" s="1"/>
  <c r="CL23" i="3"/>
  <c r="CP23" i="3" s="1"/>
  <c r="CO23" i="3"/>
  <c r="CQ23" i="3" s="1"/>
  <c r="CL31" i="3"/>
  <c r="CP31" i="3" s="1"/>
  <c r="CO31" i="3"/>
  <c r="CQ31" i="3" s="1"/>
  <c r="CL89" i="3"/>
  <c r="CP89" i="3" s="1"/>
  <c r="CO89" i="3"/>
  <c r="CQ89" i="3" s="1"/>
  <c r="CD181" i="3"/>
  <c r="CD61" i="3"/>
  <c r="BB75" i="3"/>
  <c r="CL203" i="3"/>
  <c r="CP203" i="3" s="1"/>
  <c r="CO203" i="3"/>
  <c r="CQ203" i="3" s="1"/>
  <c r="CL29" i="3"/>
  <c r="CP29" i="3" s="1"/>
  <c r="CO29" i="3"/>
  <c r="CQ29" i="3" s="1"/>
  <c r="CL207" i="3"/>
  <c r="CP207" i="3" s="1"/>
  <c r="CO207" i="3"/>
  <c r="CQ207" i="3" s="1"/>
  <c r="CL102" i="3"/>
  <c r="CP102" i="3" s="1"/>
  <c r="CO102" i="3"/>
  <c r="CQ102" i="3" s="1"/>
  <c r="CL39" i="3"/>
  <c r="CP39" i="3" s="1"/>
  <c r="CO39" i="3"/>
  <c r="CQ39" i="3" s="1"/>
  <c r="CL58" i="3"/>
  <c r="CP58" i="3" s="1"/>
  <c r="CO58" i="3"/>
  <c r="CQ58" i="3" s="1"/>
  <c r="CL126" i="3"/>
  <c r="CP126" i="3" s="1"/>
  <c r="CO126" i="3"/>
  <c r="CQ126" i="3" s="1"/>
  <c r="CL148" i="3"/>
  <c r="CP148" i="3" s="1"/>
  <c r="CO148" i="3"/>
  <c r="CQ148" i="3" s="1"/>
  <c r="CL40" i="3"/>
  <c r="CP40" i="3" s="1"/>
  <c r="CO40" i="3"/>
  <c r="CQ40" i="3" s="1"/>
  <c r="CL140" i="3"/>
  <c r="CP140" i="3" s="1"/>
  <c r="CO140" i="3"/>
  <c r="CQ140" i="3" s="1"/>
  <c r="CL73" i="3"/>
  <c r="CP73" i="3" s="1"/>
  <c r="CO73" i="3"/>
  <c r="CQ73" i="3" s="1"/>
  <c r="CL120" i="3"/>
  <c r="CP120" i="3" s="1"/>
  <c r="CO120" i="3"/>
  <c r="CQ120" i="3" s="1"/>
  <c r="CL69" i="3"/>
  <c r="CP69" i="3" s="1"/>
  <c r="CO69" i="3"/>
  <c r="CQ69" i="3" s="1"/>
  <c r="CL21" i="3"/>
  <c r="CP21" i="3" s="1"/>
  <c r="CO21" i="3"/>
  <c r="CQ21" i="3" s="1"/>
  <c r="CL26" i="3"/>
  <c r="CP26" i="3" s="1"/>
  <c r="CO26" i="3"/>
  <c r="CQ26" i="3" s="1"/>
  <c r="CL157" i="3"/>
  <c r="CP157" i="3" s="1"/>
  <c r="CO157" i="3"/>
  <c r="CQ157" i="3" s="1"/>
  <c r="CL109" i="3"/>
  <c r="CP109" i="3" s="1"/>
  <c r="CO109" i="3"/>
  <c r="CQ109" i="3" s="1"/>
  <c r="CD150" i="3"/>
  <c r="CD202" i="3"/>
  <c r="CL112" i="3"/>
  <c r="CP112" i="3" s="1"/>
  <c r="CO112" i="3"/>
  <c r="CQ112" i="3" s="1"/>
  <c r="CL197" i="3"/>
  <c r="CP197" i="3" s="1"/>
  <c r="CO197" i="3"/>
  <c r="CQ197" i="3" s="1"/>
  <c r="CL178" i="3"/>
  <c r="CP178" i="3" s="1"/>
  <c r="CO178" i="3"/>
  <c r="CQ178" i="3" s="1"/>
  <c r="CL165" i="3"/>
  <c r="CP165" i="3" s="1"/>
  <c r="CO165" i="3"/>
  <c r="CQ165" i="3" s="1"/>
  <c r="CL176" i="3"/>
  <c r="CP176" i="3" s="1"/>
  <c r="CO176" i="3"/>
  <c r="CQ176" i="3" s="1"/>
  <c r="CL72" i="3"/>
  <c r="CP72" i="3" s="1"/>
  <c r="CO72" i="3"/>
  <c r="CQ72" i="3" s="1"/>
  <c r="CL37" i="3"/>
  <c r="CP37" i="3" s="1"/>
  <c r="CO37" i="3"/>
  <c r="CQ37" i="3" s="1"/>
  <c r="CL153" i="3"/>
  <c r="CP153" i="3" s="1"/>
  <c r="CO153" i="3"/>
  <c r="CQ153" i="3" s="1"/>
  <c r="CL188" i="3"/>
  <c r="CP188" i="3" s="1"/>
  <c r="CO188" i="3"/>
  <c r="CQ188" i="3" s="1"/>
  <c r="CL193" i="3"/>
  <c r="CP193" i="3" s="1"/>
  <c r="CO193" i="3"/>
  <c r="CQ193" i="3" s="1"/>
  <c r="CL128" i="3"/>
  <c r="CP128" i="3" s="1"/>
  <c r="CO128" i="3"/>
  <c r="CQ128" i="3" s="1"/>
  <c r="CL15" i="3"/>
  <c r="CP15" i="3" s="1"/>
  <c r="CO15" i="3"/>
  <c r="CQ15" i="3" s="1"/>
  <c r="CL47" i="3"/>
  <c r="CP47" i="3" s="1"/>
  <c r="CO47" i="3"/>
  <c r="CQ47" i="3" s="1"/>
  <c r="CL90" i="3"/>
  <c r="CP90" i="3" s="1"/>
  <c r="CO90" i="3"/>
  <c r="CQ90" i="3" s="1"/>
  <c r="CL113" i="3"/>
  <c r="CP113" i="3" s="1"/>
  <c r="CO113" i="3"/>
  <c r="CQ113" i="3" s="1"/>
  <c r="CL159" i="3"/>
  <c r="CP159" i="3" s="1"/>
  <c r="CO159" i="3"/>
  <c r="CQ159" i="3" s="1"/>
  <c r="CL57" i="3"/>
  <c r="CP57" i="3" s="1"/>
  <c r="CO57" i="3"/>
  <c r="CQ57" i="3" s="1"/>
  <c r="CL55" i="3"/>
  <c r="CP55" i="3" s="1"/>
  <c r="CO55" i="3"/>
  <c r="CQ55" i="3" s="1"/>
  <c r="BW62" i="3"/>
  <c r="BB11" i="3"/>
  <c r="CL36" i="3"/>
  <c r="CP36" i="3" s="1"/>
  <c r="CO36" i="3"/>
  <c r="CQ36" i="3" s="1"/>
  <c r="CL88" i="3"/>
  <c r="CP88" i="3" s="1"/>
  <c r="CO88" i="3"/>
  <c r="CQ88" i="3" s="1"/>
  <c r="CL186" i="3"/>
  <c r="CP186" i="3" s="1"/>
  <c r="CO186" i="3"/>
  <c r="CQ186" i="3" s="1"/>
  <c r="CL191" i="3"/>
  <c r="CP191" i="3" s="1"/>
  <c r="CO191" i="3"/>
  <c r="CQ191" i="3" s="1"/>
  <c r="CL183" i="3"/>
  <c r="CP183" i="3" s="1"/>
  <c r="CO183" i="3"/>
  <c r="CQ183" i="3" s="1"/>
  <c r="CL80" i="3"/>
  <c r="CP80" i="3" s="1"/>
  <c r="CO80" i="3"/>
  <c r="CQ80" i="3" s="1"/>
  <c r="CL169" i="3"/>
  <c r="CP169" i="3" s="1"/>
  <c r="CO169" i="3"/>
  <c r="CQ169" i="3" s="1"/>
  <c r="CL71" i="3"/>
  <c r="CP71" i="3" s="1"/>
  <c r="CO71" i="3"/>
  <c r="CQ71" i="3" s="1"/>
  <c r="CL16" i="3"/>
  <c r="CP16" i="3" s="1"/>
  <c r="CO16" i="3"/>
  <c r="CQ16" i="3" s="1"/>
  <c r="CL19" i="3"/>
  <c r="CP19" i="3" s="1"/>
  <c r="CO19" i="3"/>
  <c r="CQ19" i="3" s="1"/>
  <c r="CL33" i="3"/>
  <c r="CP33" i="3" s="1"/>
  <c r="CO33" i="3"/>
  <c r="CQ33" i="3" s="1"/>
  <c r="CL133" i="3"/>
  <c r="CP133" i="3" s="1"/>
  <c r="CO133" i="3"/>
  <c r="CQ133" i="3" s="1"/>
  <c r="CL141" i="3"/>
  <c r="CP141" i="3" s="1"/>
  <c r="CO141" i="3"/>
  <c r="CQ141" i="3" s="1"/>
  <c r="CL192" i="3"/>
  <c r="CP192" i="3" s="1"/>
  <c r="CO192" i="3"/>
  <c r="CQ192" i="3" s="1"/>
  <c r="CL127" i="3"/>
  <c r="CP127" i="3" s="1"/>
  <c r="CO127" i="3"/>
  <c r="CQ127" i="3" s="1"/>
  <c r="CL64" i="3"/>
  <c r="CP64" i="3" s="1"/>
  <c r="CO64" i="3"/>
  <c r="CQ64" i="3" s="1"/>
  <c r="BB127" i="3"/>
  <c r="CL70" i="3"/>
  <c r="CP70" i="3" s="1"/>
  <c r="CO70" i="3"/>
  <c r="CQ70" i="3" s="1"/>
  <c r="CL195" i="3"/>
  <c r="CP195" i="3" s="1"/>
  <c r="CO195" i="3"/>
  <c r="CQ195" i="3" s="1"/>
  <c r="CL51" i="3"/>
  <c r="CP51" i="3" s="1"/>
  <c r="CO51" i="3"/>
  <c r="CQ51" i="3" s="1"/>
  <c r="CL94" i="3"/>
  <c r="CP94" i="3" s="1"/>
  <c r="CO94" i="3"/>
  <c r="CQ94" i="3" s="1"/>
  <c r="CL132" i="3"/>
  <c r="CP132" i="3" s="1"/>
  <c r="CO132" i="3"/>
  <c r="CQ132" i="3" s="1"/>
  <c r="CL81" i="3"/>
  <c r="CP81" i="3" s="1"/>
  <c r="CO81" i="3"/>
  <c r="CQ81" i="3" s="1"/>
  <c r="CL156" i="3"/>
  <c r="CP156" i="3" s="1"/>
  <c r="CO156" i="3"/>
  <c r="CQ156" i="3" s="1"/>
  <c r="CL174" i="3"/>
  <c r="CP174" i="3" s="1"/>
  <c r="CO174" i="3"/>
  <c r="CQ174" i="3" s="1"/>
  <c r="CL38" i="3"/>
  <c r="CP38" i="3" s="1"/>
  <c r="CO38" i="3"/>
  <c r="CQ38" i="3" s="1"/>
  <c r="CL163" i="3"/>
  <c r="CP163" i="3" s="1"/>
  <c r="CO163" i="3"/>
  <c r="CQ163" i="3" s="1"/>
  <c r="CL74" i="3"/>
  <c r="CP74" i="3" s="1"/>
  <c r="CO74" i="3"/>
  <c r="CQ74" i="3" s="1"/>
  <c r="CD52" i="3"/>
  <c r="CL93" i="3"/>
  <c r="CP93" i="3" s="1"/>
  <c r="CO93" i="3"/>
  <c r="CQ93" i="3" s="1"/>
  <c r="CL182" i="3"/>
  <c r="CP182" i="3" s="1"/>
  <c r="CO182" i="3"/>
  <c r="CQ182" i="3" s="1"/>
  <c r="CL135" i="3"/>
  <c r="CP135" i="3" s="1"/>
  <c r="CO135" i="3"/>
  <c r="CQ135" i="3" s="1"/>
  <c r="CL170" i="3"/>
  <c r="CP170" i="3" s="1"/>
  <c r="CO170" i="3"/>
  <c r="CQ170" i="3" s="1"/>
  <c r="CL143" i="3"/>
  <c r="CP143" i="3" s="1"/>
  <c r="CO143" i="3"/>
  <c r="CQ143" i="3" s="1"/>
  <c r="CL35" i="3"/>
  <c r="CP35" i="3" s="1"/>
  <c r="CO35" i="3"/>
  <c r="CQ35" i="3" s="1"/>
  <c r="CL147" i="3"/>
  <c r="CP147" i="3" s="1"/>
  <c r="CO147" i="3"/>
  <c r="CQ147" i="3" s="1"/>
  <c r="CL155" i="3"/>
  <c r="CP155" i="3" s="1"/>
  <c r="CO155" i="3"/>
  <c r="CQ155" i="3" s="1"/>
  <c r="CL63" i="3"/>
  <c r="CP63" i="3" s="1"/>
  <c r="CO63" i="3"/>
  <c r="CQ63" i="3" s="1"/>
  <c r="CL22" i="3"/>
  <c r="CP22" i="3" s="1"/>
  <c r="CO22" i="3"/>
  <c r="CQ22" i="3" s="1"/>
  <c r="CL124" i="3"/>
  <c r="CP124" i="3" s="1"/>
  <c r="CO124" i="3"/>
  <c r="CQ124" i="3" s="1"/>
  <c r="CL130" i="3"/>
  <c r="CP130" i="3" s="1"/>
  <c r="CO130" i="3"/>
  <c r="CQ130" i="3" s="1"/>
  <c r="CL99" i="3"/>
  <c r="CP99" i="3" s="1"/>
  <c r="CO99" i="3"/>
  <c r="CQ99" i="3" s="1"/>
  <c r="CL166" i="3"/>
  <c r="CP166" i="3" s="1"/>
  <c r="CO166" i="3"/>
  <c r="CQ166" i="3" s="1"/>
  <c r="CL79" i="3"/>
  <c r="CP79" i="3" s="1"/>
  <c r="CO79" i="3"/>
  <c r="CQ79" i="3" s="1"/>
  <c r="CL97" i="3"/>
  <c r="CP97" i="3" s="1"/>
  <c r="CO97" i="3"/>
  <c r="CQ97" i="3" s="1"/>
  <c r="CL138" i="3"/>
  <c r="CP138" i="3" s="1"/>
  <c r="CO138" i="3"/>
  <c r="CQ138" i="3" s="1"/>
  <c r="CL77" i="3"/>
  <c r="CP77" i="3" s="1"/>
  <c r="CO77" i="3"/>
  <c r="CQ77" i="3" s="1"/>
  <c r="CL136" i="3"/>
  <c r="CP136" i="3" s="1"/>
  <c r="CO136" i="3"/>
  <c r="CQ136" i="3" s="1"/>
  <c r="BW197" i="3"/>
  <c r="CD82" i="3"/>
  <c r="CD158" i="3"/>
  <c r="CD40" i="3"/>
  <c r="BW81" i="3"/>
  <c r="BW127" i="3"/>
  <c r="CD89" i="3"/>
  <c r="CL146" i="3"/>
  <c r="CP146" i="3" s="1"/>
  <c r="CO146" i="3"/>
  <c r="CQ146" i="3" s="1"/>
  <c r="CL115" i="3"/>
  <c r="CP115" i="3" s="1"/>
  <c r="CO115" i="3"/>
  <c r="CQ115" i="3" s="1"/>
  <c r="CL53" i="3"/>
  <c r="CP53" i="3" s="1"/>
  <c r="CO53" i="3"/>
  <c r="CQ53" i="3" s="1"/>
  <c r="CL65" i="3"/>
  <c r="CP65" i="3" s="1"/>
  <c r="CO65" i="3"/>
  <c r="CQ65" i="3" s="1"/>
  <c r="CL145" i="3"/>
  <c r="CP145" i="3" s="1"/>
  <c r="CO145" i="3"/>
  <c r="CQ145" i="3" s="1"/>
  <c r="CL87" i="3"/>
  <c r="CP87" i="3" s="1"/>
  <c r="CO87" i="3"/>
  <c r="CQ87" i="3" s="1"/>
  <c r="CL59" i="3"/>
  <c r="CP59" i="3" s="1"/>
  <c r="CO59" i="3"/>
  <c r="CQ59" i="3" s="1"/>
  <c r="CL158" i="3"/>
  <c r="CP158" i="3" s="1"/>
  <c r="CO158" i="3"/>
  <c r="CQ158" i="3" s="1"/>
  <c r="CL108" i="3"/>
  <c r="CP108" i="3" s="1"/>
  <c r="CO108" i="3"/>
  <c r="CQ108" i="3" s="1"/>
  <c r="CL180" i="3"/>
  <c r="CP180" i="3" s="1"/>
  <c r="CO180" i="3"/>
  <c r="CQ180" i="3" s="1"/>
  <c r="CL199" i="3"/>
  <c r="CP199" i="3" s="1"/>
  <c r="CO199" i="3"/>
  <c r="CQ199" i="3" s="1"/>
  <c r="CL152" i="3"/>
  <c r="CP152" i="3" s="1"/>
  <c r="CO152" i="3"/>
  <c r="CQ152" i="3" s="1"/>
  <c r="CL185" i="3"/>
  <c r="CP185" i="3" s="1"/>
  <c r="CO185" i="3"/>
  <c r="CQ185" i="3" s="1"/>
  <c r="CL200" i="3"/>
  <c r="CP200" i="3" s="1"/>
  <c r="CO200" i="3"/>
  <c r="CQ200" i="3" s="1"/>
  <c r="CL13" i="3"/>
  <c r="CP13" i="3" s="1"/>
  <c r="CO13" i="3"/>
  <c r="CQ13" i="3" s="1"/>
  <c r="CL107" i="3"/>
  <c r="CP107" i="3" s="1"/>
  <c r="CO107" i="3"/>
  <c r="CQ107" i="3" s="1"/>
  <c r="CL62" i="3"/>
  <c r="CP62" i="3" s="1"/>
  <c r="CO62" i="3"/>
  <c r="CQ62" i="3" s="1"/>
  <c r="CL56" i="3"/>
  <c r="CP56" i="3" s="1"/>
  <c r="CO56" i="3"/>
  <c r="CQ56" i="3" s="1"/>
  <c r="CL175" i="3"/>
  <c r="CP175" i="3" s="1"/>
  <c r="CO175" i="3"/>
  <c r="CQ175" i="3" s="1"/>
  <c r="CL164" i="3"/>
  <c r="CP164" i="3" s="1"/>
  <c r="CO164" i="3"/>
  <c r="CQ164" i="3" s="1"/>
  <c r="CL142" i="3"/>
  <c r="CP142" i="3" s="1"/>
  <c r="CO142" i="3"/>
  <c r="CQ142" i="3" s="1"/>
  <c r="CD201" i="3"/>
  <c r="CL184" i="3"/>
  <c r="CP184" i="3" s="1"/>
  <c r="CO184" i="3"/>
  <c r="CQ184" i="3" s="1"/>
  <c r="CL18" i="3"/>
  <c r="CP18" i="3" s="1"/>
  <c r="CO18" i="3"/>
  <c r="CQ18" i="3" s="1"/>
  <c r="CL160" i="3"/>
  <c r="CP160" i="3" s="1"/>
  <c r="CO160" i="3"/>
  <c r="CQ160" i="3" s="1"/>
  <c r="CL46" i="3"/>
  <c r="CP46" i="3" s="1"/>
  <c r="CO46" i="3"/>
  <c r="CQ46" i="3" s="1"/>
  <c r="CL17" i="3"/>
  <c r="CP17" i="3" s="1"/>
  <c r="CO17" i="3"/>
  <c r="CQ17" i="3" s="1"/>
  <c r="CL76" i="3"/>
  <c r="CP76" i="3" s="1"/>
  <c r="CO76" i="3"/>
  <c r="CQ76" i="3" s="1"/>
  <c r="CL154" i="3"/>
  <c r="CP154" i="3" s="1"/>
  <c r="CO154" i="3"/>
  <c r="CQ154" i="3" s="1"/>
  <c r="CL30" i="3"/>
  <c r="CP30" i="3" s="1"/>
  <c r="CO30" i="3"/>
  <c r="CQ30" i="3" s="1"/>
  <c r="CP187" i="3"/>
  <c r="CL54" i="3"/>
  <c r="CP54" i="3" s="1"/>
  <c r="CO54" i="3"/>
  <c r="CQ54" i="3" s="1"/>
  <c r="CL196" i="3"/>
  <c r="CP196" i="3" s="1"/>
  <c r="CO196" i="3"/>
  <c r="CQ196" i="3" s="1"/>
  <c r="CL144" i="3"/>
  <c r="CP144" i="3" s="1"/>
  <c r="CO144" i="3"/>
  <c r="CQ144" i="3" s="1"/>
  <c r="CL50" i="3"/>
  <c r="CP50" i="3" s="1"/>
  <c r="CO50" i="3"/>
  <c r="CQ50" i="3" s="1"/>
  <c r="CL86" i="3"/>
  <c r="CP86" i="3" s="1"/>
  <c r="CO86" i="3"/>
  <c r="CQ86" i="3" s="1"/>
  <c r="CL83" i="3"/>
  <c r="CP83" i="3" s="1"/>
  <c r="CO83" i="3"/>
  <c r="CQ83" i="3" s="1"/>
  <c r="CL100" i="3"/>
  <c r="CP100" i="3" s="1"/>
  <c r="CO100" i="3"/>
  <c r="CQ100" i="3" s="1"/>
  <c r="CL42" i="3"/>
  <c r="CP42" i="3" s="1"/>
  <c r="CO42" i="3"/>
  <c r="CQ42" i="3" s="1"/>
  <c r="CL101" i="3"/>
  <c r="CP101" i="3" s="1"/>
  <c r="CO101" i="3"/>
  <c r="CQ101" i="3" s="1"/>
  <c r="CL189" i="3"/>
  <c r="CP189" i="3" s="1"/>
  <c r="CO189" i="3"/>
  <c r="CQ189" i="3" s="1"/>
  <c r="CL172" i="3"/>
  <c r="CP172" i="3" s="1"/>
  <c r="CO172" i="3"/>
  <c r="CQ172" i="3" s="1"/>
  <c r="CL161" i="3"/>
  <c r="CP161" i="3" s="1"/>
  <c r="CO161" i="3"/>
  <c r="CQ161" i="3" s="1"/>
  <c r="CL44" i="3"/>
  <c r="CP44" i="3" s="1"/>
  <c r="CO44" i="3"/>
  <c r="CQ44" i="3" s="1"/>
  <c r="CL151" i="3"/>
  <c r="CP151" i="3" s="1"/>
  <c r="CO151" i="3"/>
  <c r="CQ151" i="3" s="1"/>
  <c r="CL78" i="3"/>
  <c r="CP78" i="3" s="1"/>
  <c r="CO78" i="3"/>
  <c r="CQ78" i="3" s="1"/>
  <c r="CL91" i="3"/>
  <c r="CP91" i="3" s="1"/>
  <c r="CO91" i="3"/>
  <c r="CQ91" i="3" s="1"/>
  <c r="CL68" i="3"/>
  <c r="CP68" i="3" s="1"/>
  <c r="CO68" i="3"/>
  <c r="CQ68" i="3" s="1"/>
  <c r="CL150" i="3"/>
  <c r="CP150" i="3" s="1"/>
  <c r="CO150" i="3"/>
  <c r="CQ150" i="3" s="1"/>
  <c r="CL134" i="3"/>
  <c r="CP134" i="3" s="1"/>
  <c r="CO134" i="3"/>
  <c r="CQ134" i="3" s="1"/>
  <c r="CL60" i="3"/>
  <c r="CP60" i="3" s="1"/>
  <c r="CO60" i="3"/>
  <c r="CQ60" i="3" s="1"/>
  <c r="CL49" i="3"/>
  <c r="CP49" i="3" s="1"/>
  <c r="CO49" i="3"/>
  <c r="CQ49" i="3" s="1"/>
  <c r="CL98" i="3"/>
  <c r="CP98" i="3" s="1"/>
  <c r="CO98" i="3"/>
  <c r="CQ98" i="3" s="1"/>
  <c r="CL85" i="3"/>
  <c r="CP85" i="3" s="1"/>
  <c r="CO85" i="3"/>
  <c r="CQ85" i="3" s="1"/>
  <c r="CL41" i="3"/>
  <c r="CP41" i="3" s="1"/>
  <c r="CO41" i="3"/>
  <c r="CQ41" i="3" s="1"/>
  <c r="CL205" i="3"/>
  <c r="CP205" i="3" s="1"/>
  <c r="CO205" i="3"/>
  <c r="CQ205" i="3" s="1"/>
  <c r="CL61" i="3"/>
  <c r="CP61" i="3" s="1"/>
  <c r="CO61" i="3"/>
  <c r="CQ61" i="3" s="1"/>
  <c r="CL114" i="3"/>
  <c r="CP114" i="3" s="1"/>
  <c r="CO114" i="3"/>
  <c r="CQ114" i="3" s="1"/>
  <c r="CL202" i="3"/>
  <c r="CP202" i="3" s="1"/>
  <c r="CO202" i="3"/>
  <c r="CQ202" i="3" s="1"/>
  <c r="CL32" i="3"/>
  <c r="CP32" i="3" s="1"/>
  <c r="CO32" i="3"/>
  <c r="CQ32" i="3" s="1"/>
  <c r="CD193" i="3"/>
  <c r="CD39" i="3"/>
  <c r="CD21" i="3"/>
  <c r="BW49" i="3"/>
  <c r="BW202" i="3"/>
  <c r="CD44" i="3"/>
  <c r="CD206" i="3"/>
  <c r="CD26" i="3"/>
  <c r="CD31" i="3"/>
  <c r="CD143" i="3"/>
  <c r="CD180" i="3"/>
  <c r="BW123" i="3"/>
  <c r="CD156" i="3"/>
  <c r="BB172" i="3"/>
  <c r="CD197" i="3"/>
  <c r="BW39" i="3"/>
  <c r="CD86" i="3"/>
  <c r="CD105" i="3"/>
  <c r="BW92" i="3"/>
  <c r="CD64" i="3"/>
  <c r="CD41" i="3"/>
  <c r="CD146" i="3"/>
  <c r="BB145" i="3"/>
  <c r="BB131" i="3"/>
  <c r="CD163" i="3"/>
  <c r="BW82" i="3"/>
  <c r="BW98" i="3"/>
  <c r="CD170" i="3"/>
  <c r="BB79" i="3"/>
  <c r="CD28" i="3"/>
  <c r="BB70" i="3"/>
  <c r="BW112" i="3"/>
  <c r="CD92" i="3"/>
  <c r="BW85" i="3"/>
  <c r="BW142" i="3"/>
  <c r="CD46" i="3"/>
  <c r="BW52" i="3"/>
  <c r="BW99" i="3"/>
  <c r="CD178" i="3"/>
  <c r="BB117" i="3"/>
  <c r="BB35" i="3"/>
  <c r="CD68" i="3"/>
  <c r="BB80" i="3"/>
  <c r="BW25" i="3"/>
  <c r="BW61" i="3"/>
  <c r="BB103" i="3"/>
  <c r="BW174" i="3"/>
  <c r="AO56" i="3"/>
  <c r="CD15" i="3"/>
  <c r="BW73" i="3"/>
  <c r="CD203" i="3"/>
  <c r="CD138" i="3"/>
  <c r="BB38" i="3"/>
  <c r="CD117" i="3"/>
  <c r="BW172" i="3"/>
  <c r="CD83" i="3"/>
  <c r="BW67" i="3"/>
  <c r="BW101" i="3"/>
  <c r="BW196" i="3"/>
  <c r="CD91" i="3"/>
  <c r="CD125" i="3"/>
  <c r="CD23" i="3"/>
  <c r="CD149" i="3"/>
  <c r="BW121" i="3"/>
  <c r="BB150" i="3"/>
  <c r="BW93" i="3"/>
  <c r="BB46" i="3"/>
  <c r="BW65" i="3"/>
  <c r="CD134" i="3"/>
  <c r="BW163" i="3"/>
  <c r="BB123" i="3"/>
  <c r="CD137" i="3"/>
  <c r="BB146" i="3"/>
  <c r="CD59" i="3"/>
  <c r="BW22" i="3"/>
  <c r="CD152" i="3"/>
  <c r="CD84" i="3"/>
  <c r="BW178" i="3"/>
  <c r="BW138" i="3"/>
  <c r="BB158" i="3"/>
  <c r="CD151" i="3"/>
  <c r="BB107" i="3"/>
  <c r="BW188" i="3"/>
  <c r="BW36" i="3"/>
  <c r="BB57" i="3"/>
  <c r="BW105" i="3"/>
  <c r="CD194" i="3"/>
  <c r="BW117" i="3"/>
  <c r="CD50" i="3"/>
  <c r="CD51" i="3"/>
  <c r="BW169" i="3"/>
  <c r="CD200" i="3"/>
  <c r="BW51" i="3"/>
  <c r="BB42" i="3"/>
  <c r="BB121" i="3"/>
  <c r="BB197" i="3"/>
  <c r="CD207" i="3"/>
  <c r="BB147" i="3"/>
  <c r="BB138" i="3"/>
  <c r="BB200" i="3"/>
  <c r="BB84" i="3"/>
  <c r="BB137" i="3"/>
  <c r="BB118" i="3"/>
  <c r="BW17" i="3"/>
  <c r="BB58" i="3"/>
  <c r="BB18" i="3"/>
  <c r="CD29" i="3"/>
  <c r="BW156" i="3"/>
  <c r="BB64" i="3"/>
  <c r="BW48" i="3"/>
  <c r="BW108" i="3"/>
  <c r="BB19" i="3"/>
  <c r="BW115" i="3"/>
  <c r="BW185" i="3"/>
  <c r="BW44" i="3"/>
  <c r="BW45" i="3"/>
  <c r="BB193" i="3"/>
  <c r="BB59" i="3"/>
  <c r="BW42" i="3"/>
  <c r="BB113" i="3"/>
  <c r="BB56" i="3"/>
  <c r="BB109" i="3"/>
  <c r="BW180" i="3"/>
  <c r="BW165" i="3"/>
  <c r="BW96" i="3"/>
  <c r="BW40" i="3"/>
  <c r="BW21" i="3"/>
  <c r="BB160" i="3"/>
  <c r="BB176" i="3"/>
  <c r="BW16" i="3"/>
  <c r="BB128" i="3"/>
  <c r="BW181" i="3"/>
  <c r="BB178" i="3"/>
  <c r="BB61" i="3"/>
  <c r="BB29" i="3"/>
  <c r="BB195" i="3"/>
  <c r="BB48" i="3"/>
  <c r="BW60" i="3"/>
  <c r="BB95" i="3"/>
  <c r="BW34" i="3"/>
  <c r="BW69" i="3"/>
  <c r="BB72" i="3"/>
  <c r="BB14" i="3"/>
  <c r="BW38" i="3"/>
  <c r="CD38" i="3"/>
  <c r="CD19" i="3"/>
  <c r="CD129" i="3"/>
  <c r="CD22" i="3"/>
  <c r="CD87" i="3"/>
  <c r="CD45" i="3"/>
  <c r="BB81" i="3"/>
  <c r="CD42" i="3"/>
  <c r="BB170" i="3"/>
  <c r="BW64" i="3"/>
  <c r="BW54" i="3"/>
  <c r="BB55" i="3"/>
  <c r="BW53" i="3"/>
  <c r="CD14" i="3"/>
  <c r="BW102" i="3"/>
  <c r="BB162" i="3"/>
  <c r="CD60" i="3"/>
  <c r="CD114" i="3"/>
  <c r="BW131" i="3"/>
  <c r="CD141" i="3"/>
  <c r="CD182" i="3"/>
  <c r="CD104" i="3"/>
  <c r="CD154" i="3"/>
  <c r="CD179" i="3"/>
  <c r="CD88" i="3"/>
  <c r="CD183" i="3"/>
  <c r="CD124" i="3"/>
  <c r="CD148" i="3"/>
  <c r="CD101" i="3"/>
  <c r="CD54" i="3"/>
  <c r="CD102" i="3"/>
  <c r="CD17" i="3"/>
  <c r="CD63" i="3"/>
  <c r="CD130" i="3"/>
  <c r="CD48" i="3"/>
  <c r="CD12" i="3"/>
  <c r="CD98" i="3"/>
  <c r="CD159" i="3"/>
  <c r="CD160" i="3"/>
  <c r="CD34" i="3"/>
  <c r="CD204" i="3"/>
  <c r="CD118" i="3"/>
  <c r="CD108" i="3"/>
  <c r="CD145" i="3"/>
  <c r="CD49" i="3"/>
  <c r="CD35" i="3"/>
  <c r="CD175" i="3"/>
  <c r="CD67" i="3"/>
  <c r="CD133" i="3"/>
  <c r="CD171" i="3"/>
  <c r="CD174" i="3"/>
  <c r="CD189" i="3"/>
  <c r="CD205" i="3"/>
  <c r="CD144" i="3"/>
  <c r="CD95" i="3"/>
  <c r="CD176" i="3"/>
  <c r="CD190" i="3"/>
  <c r="CD78" i="3"/>
  <c r="CD93" i="3"/>
  <c r="CD73" i="3"/>
  <c r="CD69" i="3"/>
  <c r="CD162" i="3"/>
  <c r="CD65" i="3"/>
  <c r="CD192" i="3"/>
  <c r="CD172" i="3"/>
  <c r="CD142" i="3"/>
  <c r="CD33" i="3"/>
  <c r="CD185" i="3"/>
  <c r="CD27" i="3"/>
  <c r="CD208" i="3"/>
  <c r="CD76" i="3"/>
  <c r="CD112" i="3"/>
  <c r="CD37" i="3"/>
  <c r="CD119" i="3"/>
  <c r="CD62" i="3"/>
  <c r="CD77" i="3"/>
  <c r="CD157" i="3"/>
  <c r="CD109" i="3"/>
  <c r="CD75" i="3"/>
  <c r="CD96" i="3"/>
  <c r="CD131" i="3"/>
  <c r="CD127" i="3"/>
  <c r="CD132" i="3"/>
  <c r="BW176" i="3"/>
  <c r="BW164" i="3"/>
  <c r="BW97" i="3"/>
  <c r="BW56" i="3"/>
  <c r="BW77" i="3"/>
  <c r="BW137" i="3"/>
  <c r="BW79" i="3"/>
  <c r="BW18" i="3"/>
  <c r="BW103" i="3"/>
  <c r="BW167" i="3"/>
  <c r="BW32" i="3"/>
  <c r="BW193" i="3"/>
  <c r="BW20" i="3"/>
  <c r="BW75" i="3"/>
  <c r="BW83" i="3"/>
  <c r="BW206" i="3"/>
  <c r="BW162" i="3"/>
  <c r="BW29" i="3"/>
  <c r="BW70" i="3"/>
  <c r="BW76" i="3"/>
  <c r="BW26" i="3"/>
  <c r="BW199" i="3"/>
  <c r="BW207" i="3"/>
  <c r="BW11" i="3"/>
  <c r="BW109" i="3"/>
  <c r="BW68" i="3"/>
  <c r="BW166" i="3"/>
  <c r="BW204" i="3"/>
  <c r="BW129" i="3"/>
  <c r="BW189" i="3"/>
  <c r="BW59" i="3"/>
  <c r="BW41" i="3"/>
  <c r="BW15" i="3"/>
  <c r="BW86" i="3"/>
  <c r="BW179" i="3"/>
  <c r="BW89" i="3"/>
  <c r="BW95" i="3"/>
  <c r="BW118" i="3"/>
  <c r="BW149" i="3"/>
  <c r="BW91" i="3"/>
  <c r="BW122" i="3"/>
  <c r="BW177" i="3"/>
  <c r="BW171" i="3"/>
  <c r="BW191" i="3"/>
  <c r="BW145" i="3"/>
  <c r="BW158" i="3"/>
  <c r="BW58" i="3"/>
  <c r="BW183" i="3"/>
  <c r="BW205" i="3"/>
  <c r="BW152" i="3"/>
  <c r="BW146" i="3"/>
  <c r="BW155" i="3"/>
  <c r="BW74" i="3"/>
  <c r="BW125" i="3"/>
  <c r="BB110" i="3"/>
  <c r="BB192" i="3"/>
  <c r="BB202" i="3"/>
  <c r="BB26" i="3"/>
  <c r="BB156" i="3"/>
  <c r="BB23" i="3"/>
  <c r="BB74" i="3"/>
  <c r="BB36" i="3"/>
  <c r="BB175" i="3"/>
  <c r="BB143" i="3"/>
  <c r="BB171" i="3"/>
  <c r="BB136" i="3"/>
  <c r="BB100" i="3"/>
  <c r="BB49" i="3"/>
  <c r="BB50" i="3"/>
  <c r="BB28" i="3"/>
  <c r="BB203" i="3"/>
  <c r="BB77" i="3"/>
  <c r="BB97" i="3"/>
  <c r="BB105" i="3"/>
  <c r="BB207" i="3"/>
  <c r="BB65" i="3"/>
  <c r="BB144" i="3"/>
  <c r="BB205" i="3"/>
  <c r="BB152" i="3"/>
  <c r="BB53" i="3"/>
  <c r="BB47" i="3"/>
  <c r="BB104" i="3"/>
  <c r="BB22" i="3"/>
  <c r="BB68" i="3"/>
  <c r="BB30" i="3"/>
  <c r="BB39" i="3"/>
  <c r="BB86" i="3"/>
  <c r="BB37" i="3"/>
  <c r="BB92" i="3"/>
  <c r="BB27" i="3"/>
  <c r="BB198" i="3"/>
  <c r="BB116" i="3"/>
  <c r="BB183" i="3"/>
  <c r="BB157" i="3"/>
  <c r="BB164" i="3"/>
  <c r="BB91" i="3"/>
  <c r="BB63" i="3"/>
  <c r="BB206" i="3"/>
  <c r="BB108" i="3"/>
  <c r="BB102" i="3"/>
  <c r="BB43" i="3"/>
  <c r="BB21" i="3"/>
  <c r="BB31" i="3"/>
  <c r="BB93" i="3"/>
  <c r="BB60" i="3"/>
  <c r="BB114" i="3"/>
  <c r="AO67" i="3"/>
  <c r="AO41" i="3"/>
  <c r="N157" i="3"/>
  <c r="BX160" i="3"/>
  <c r="BW160" i="3" s="1"/>
  <c r="O96" i="3"/>
  <c r="N96" i="3" s="1"/>
  <c r="R169" i="3"/>
  <c r="AO150" i="3"/>
  <c r="BR22" i="3"/>
  <c r="BC90" i="3"/>
  <c r="BB90" i="3" s="1"/>
  <c r="BX55" i="3"/>
  <c r="BW55" i="3" s="1"/>
  <c r="AL134" i="3"/>
  <c r="V55" i="3"/>
  <c r="AL31" i="3"/>
  <c r="R179" i="3"/>
  <c r="O143" i="3"/>
  <c r="Z201" i="3"/>
  <c r="R125" i="3"/>
  <c r="V171" i="3"/>
  <c r="AY54" i="3"/>
  <c r="AP197" i="3"/>
  <c r="BR166" i="3"/>
  <c r="BR29" i="3"/>
  <c r="BC25" i="3"/>
  <c r="BB25" i="3" s="1"/>
  <c r="BC89" i="3"/>
  <c r="BB89" i="3" s="1"/>
  <c r="BC96" i="3"/>
  <c r="BB96" i="3" s="1"/>
  <c r="BX134" i="3"/>
  <c r="BW134" i="3" s="1"/>
  <c r="AL138" i="3"/>
  <c r="AL77" i="3"/>
  <c r="AY78" i="3"/>
  <c r="AY183" i="3"/>
  <c r="AO183" i="3" s="1"/>
  <c r="CD103" i="3"/>
  <c r="CE72" i="3"/>
  <c r="CD72" i="3" s="1"/>
  <c r="Z55" i="3"/>
  <c r="V188" i="3"/>
  <c r="AP152" i="3"/>
  <c r="BR97" i="3"/>
  <c r="BR75" i="3"/>
  <c r="BC85" i="3"/>
  <c r="BB85" i="3" s="1"/>
  <c r="V59" i="3"/>
  <c r="AP44" i="3"/>
  <c r="AP26" i="3"/>
  <c r="BR59" i="3"/>
  <c r="BC20" i="3"/>
  <c r="BB20" i="3" s="1"/>
  <c r="CE74" i="3"/>
  <c r="CD74" i="3" s="1"/>
  <c r="BR82" i="3"/>
  <c r="BC201" i="3"/>
  <c r="BB201" i="3" s="1"/>
  <c r="R98" i="3"/>
  <c r="N98" i="3" s="1"/>
  <c r="O205" i="3"/>
  <c r="BC129" i="3"/>
  <c r="BB129" i="3" s="1"/>
  <c r="V197" i="3"/>
  <c r="V29" i="3"/>
  <c r="CD166" i="3"/>
  <c r="O166" i="3"/>
  <c r="V77" i="3"/>
  <c r="AY89" i="3"/>
  <c r="BX57" i="3"/>
  <c r="BW57" i="3" s="1"/>
  <c r="BX88" i="3"/>
  <c r="BW88" i="3" s="1"/>
  <c r="BC186" i="3"/>
  <c r="BB186" i="3" s="1"/>
  <c r="O86" i="3"/>
  <c r="N86" i="3" s="1"/>
  <c r="AP174" i="3"/>
  <c r="BC189" i="3"/>
  <c r="BB189" i="3" s="1"/>
  <c r="BX50" i="3"/>
  <c r="BW50" i="3" s="1"/>
  <c r="R49" i="3"/>
  <c r="N49" i="3" s="1"/>
  <c r="O31" i="3"/>
  <c r="AY99" i="3"/>
  <c r="R150" i="3"/>
  <c r="N150" i="3" s="1"/>
  <c r="BR99" i="3"/>
  <c r="BR115" i="3"/>
  <c r="BX28" i="3"/>
  <c r="BW28" i="3" s="1"/>
  <c r="BC174" i="3"/>
  <c r="BB174" i="3" s="1"/>
  <c r="K102" i="3"/>
  <c r="O105" i="3"/>
  <c r="AY36" i="3"/>
  <c r="O104" i="3"/>
  <c r="N104" i="3" s="1"/>
  <c r="AY68" i="3"/>
  <c r="AP80" i="3"/>
  <c r="AY109" i="3"/>
  <c r="AO109" i="3" s="1"/>
  <c r="AY98" i="3"/>
  <c r="Z64" i="3"/>
  <c r="BW201" i="3"/>
  <c r="BX30" i="3"/>
  <c r="BW30" i="3" s="1"/>
  <c r="BR188" i="3"/>
  <c r="CE85" i="3"/>
  <c r="CD85" i="3" s="1"/>
  <c r="BR143" i="3"/>
  <c r="K155" i="3"/>
  <c r="V50" i="3"/>
  <c r="U50" i="3" s="1"/>
  <c r="V148" i="3"/>
  <c r="Z17" i="3"/>
  <c r="V20" i="3"/>
  <c r="AL78" i="3"/>
  <c r="Z208" i="3"/>
  <c r="R48" i="3"/>
  <c r="N48" i="3" s="1"/>
  <c r="V161" i="3"/>
  <c r="R20" i="3"/>
  <c r="Z30" i="3"/>
  <c r="AY113" i="3"/>
  <c r="V175" i="3"/>
  <c r="AY167" i="3"/>
  <c r="AY80" i="3"/>
  <c r="V144" i="3"/>
  <c r="U144" i="3" s="1"/>
  <c r="BR77" i="3"/>
  <c r="BW124" i="3"/>
  <c r="BX126" i="3"/>
  <c r="BW126" i="3" s="1"/>
  <c r="BR71" i="3"/>
  <c r="BX33" i="3"/>
  <c r="BW33" i="3" s="1"/>
  <c r="BX116" i="3"/>
  <c r="BW116" i="3" s="1"/>
  <c r="BR100" i="3"/>
  <c r="BR35" i="3"/>
  <c r="BC155" i="3"/>
  <c r="BB155" i="3" s="1"/>
  <c r="BC88" i="3"/>
  <c r="BB88" i="3" s="1"/>
  <c r="CE136" i="3"/>
  <c r="CD136" i="3" s="1"/>
  <c r="CE18" i="3"/>
  <c r="CD18" i="3" s="1"/>
  <c r="BR162" i="3"/>
  <c r="K24" i="3"/>
  <c r="K13" i="3"/>
  <c r="K75" i="3"/>
  <c r="R196" i="3"/>
  <c r="N196" i="3" s="1"/>
  <c r="V12" i="3"/>
  <c r="O70" i="3"/>
  <c r="V157" i="3"/>
  <c r="V134" i="3"/>
  <c r="AL26" i="3"/>
  <c r="Z157" i="3"/>
  <c r="Z150" i="3"/>
  <c r="V92" i="3"/>
  <c r="Z42" i="3"/>
  <c r="U42" i="3" s="1"/>
  <c r="AL110" i="3"/>
  <c r="V70" i="3"/>
  <c r="AF69" i="3"/>
  <c r="V31" i="3"/>
  <c r="O164" i="3"/>
  <c r="V40" i="3"/>
  <c r="R16" i="3"/>
  <c r="V94" i="3"/>
  <c r="Z13" i="3"/>
  <c r="V208" i="3"/>
  <c r="AL133" i="3"/>
  <c r="AF193" i="3"/>
  <c r="O21" i="3"/>
  <c r="R43" i="3"/>
  <c r="AL55" i="3"/>
  <c r="V135" i="3"/>
  <c r="Z29" i="3"/>
  <c r="V15" i="3"/>
  <c r="R130" i="3"/>
  <c r="N130" i="3" s="1"/>
  <c r="O154" i="3"/>
  <c r="O193" i="3"/>
  <c r="O128" i="3"/>
  <c r="Z90" i="3"/>
  <c r="O67" i="3"/>
  <c r="AY192" i="3"/>
  <c r="AY202" i="3"/>
  <c r="O113" i="3"/>
  <c r="O159" i="3"/>
  <c r="AP85" i="3"/>
  <c r="AY114" i="3"/>
  <c r="AY207" i="3"/>
  <c r="O59" i="3"/>
  <c r="N59" i="3" s="1"/>
  <c r="AY44" i="3"/>
  <c r="AP78" i="3"/>
  <c r="AY45" i="3"/>
  <c r="AY120" i="3"/>
  <c r="AY132" i="3"/>
  <c r="BR47" i="3"/>
  <c r="BR102" i="3"/>
  <c r="BR141" i="3"/>
  <c r="BR120" i="3"/>
  <c r="BX154" i="3"/>
  <c r="BW154" i="3" s="1"/>
  <c r="BX132" i="3"/>
  <c r="BW132" i="3" s="1"/>
  <c r="BX133" i="3"/>
  <c r="BW133" i="3" s="1"/>
  <c r="BR136" i="3"/>
  <c r="CE198" i="3"/>
  <c r="CD198" i="3" s="1"/>
  <c r="BR194" i="3"/>
  <c r="BX159" i="3"/>
  <c r="BW159" i="3" s="1"/>
  <c r="BX27" i="3"/>
  <c r="BW27" i="3" s="1"/>
  <c r="BX194" i="3"/>
  <c r="BW194" i="3" s="1"/>
  <c r="CE199" i="3"/>
  <c r="CD199" i="3" s="1"/>
  <c r="BX119" i="3"/>
  <c r="BW119" i="3" s="1"/>
  <c r="BX157" i="3"/>
  <c r="BW157" i="3" s="1"/>
  <c r="BC179" i="3"/>
  <c r="BB179" i="3" s="1"/>
  <c r="CE164" i="3"/>
  <c r="CD164" i="3" s="1"/>
  <c r="BR18" i="3"/>
  <c r="BR197" i="3"/>
  <c r="AO13" i="3"/>
  <c r="AP103" i="3"/>
  <c r="AP113" i="3"/>
  <c r="BW114" i="3"/>
  <c r="BC159" i="3"/>
  <c r="BB159" i="3" s="1"/>
  <c r="CE53" i="3"/>
  <c r="CD53" i="3" s="1"/>
  <c r="BX23" i="3"/>
  <c r="BW23" i="3" s="1"/>
  <c r="V136" i="3"/>
  <c r="AP185" i="3"/>
  <c r="AO185" i="3" s="1"/>
  <c r="CD147" i="3"/>
  <c r="BC134" i="3"/>
  <c r="BB134" i="3" s="1"/>
  <c r="AP160" i="3"/>
  <c r="AO160" i="3" s="1"/>
  <c r="AP70" i="3"/>
  <c r="AP97" i="3"/>
  <c r="BR179" i="3"/>
  <c r="BC40" i="3"/>
  <c r="BB40" i="3" s="1"/>
  <c r="BC15" i="3"/>
  <c r="BB15" i="3" s="1"/>
  <c r="CE56" i="3"/>
  <c r="CD56" i="3" s="1"/>
  <c r="BX31" i="3"/>
  <c r="BW31" i="3" s="1"/>
  <c r="O136" i="3"/>
  <c r="AP36" i="3"/>
  <c r="BR110" i="3"/>
  <c r="BC32" i="3"/>
  <c r="BB32" i="3" s="1"/>
  <c r="O18" i="3"/>
  <c r="O207" i="3"/>
  <c r="AP134" i="3"/>
  <c r="AY92" i="3"/>
  <c r="AO92" i="3" s="1"/>
  <c r="AY142" i="3"/>
  <c r="O146" i="3"/>
  <c r="AY155" i="3"/>
  <c r="AP161" i="3"/>
  <c r="AO161" i="3" s="1"/>
  <c r="AY187" i="3"/>
  <c r="AP123" i="3"/>
  <c r="AO123" i="3" s="1"/>
  <c r="BR164" i="3"/>
  <c r="BR32" i="3"/>
  <c r="BR12" i="3"/>
  <c r="CE97" i="3"/>
  <c r="CD97" i="3" s="1"/>
  <c r="O88" i="3"/>
  <c r="O11" i="3"/>
  <c r="V95" i="3"/>
  <c r="O79" i="3"/>
  <c r="N79" i="3" s="1"/>
  <c r="R139" i="3"/>
  <c r="AY26" i="3"/>
  <c r="AY147" i="3"/>
  <c r="O120" i="3"/>
  <c r="AY107" i="3"/>
  <c r="AP192" i="3"/>
  <c r="O206" i="3"/>
  <c r="N206" i="3" s="1"/>
  <c r="BR129" i="3"/>
  <c r="BR56" i="3"/>
  <c r="BR184" i="3"/>
  <c r="BR139" i="3"/>
  <c r="BX107" i="3"/>
  <c r="BW107" i="3" s="1"/>
  <c r="BX110" i="3"/>
  <c r="BW110" i="3" s="1"/>
  <c r="BX198" i="3"/>
  <c r="BW198" i="3" s="1"/>
  <c r="BC54" i="3"/>
  <c r="BB54" i="3" s="1"/>
  <c r="BR189" i="3"/>
  <c r="BC161" i="3"/>
  <c r="BB161" i="3" s="1"/>
  <c r="BX12" i="3"/>
  <c r="BW12" i="3" s="1"/>
  <c r="Z113" i="3"/>
  <c r="AL103" i="3"/>
  <c r="AL52" i="3"/>
  <c r="O42" i="3"/>
  <c r="N42" i="3" s="1"/>
  <c r="V101" i="3"/>
  <c r="AY83" i="3"/>
  <c r="AO83" i="3" s="1"/>
  <c r="AY173" i="3"/>
  <c r="N138" i="3"/>
  <c r="O119" i="3"/>
  <c r="AP50" i="3"/>
  <c r="BW192" i="3"/>
  <c r="BC83" i="3"/>
  <c r="BB83" i="3" s="1"/>
  <c r="CE135" i="3"/>
  <c r="CD135" i="3" s="1"/>
  <c r="BX113" i="3"/>
  <c r="BW113" i="3" s="1"/>
  <c r="BX175" i="3"/>
  <c r="BW175" i="3" s="1"/>
  <c r="CE196" i="3"/>
  <c r="CD196" i="3" s="1"/>
  <c r="BX144" i="3"/>
  <c r="BW144" i="3" s="1"/>
  <c r="CE100" i="3"/>
  <c r="CD100" i="3" s="1"/>
  <c r="BC142" i="3"/>
  <c r="BB142" i="3" s="1"/>
  <c r="O192" i="3"/>
  <c r="AY101" i="3"/>
  <c r="AY63" i="3"/>
  <c r="R175" i="3"/>
  <c r="N175" i="3" s="1"/>
  <c r="AP64" i="3"/>
  <c r="AO64" i="3" s="1"/>
  <c r="BX195" i="3"/>
  <c r="BW195" i="3" s="1"/>
  <c r="BX14" i="3"/>
  <c r="BW14" i="3" s="1"/>
  <c r="BX186" i="3"/>
  <c r="BW186" i="3" s="1"/>
  <c r="K40" i="3"/>
  <c r="AL50" i="3"/>
  <c r="V204" i="3"/>
  <c r="O45" i="3"/>
  <c r="O16" i="3"/>
  <c r="Z94" i="3"/>
  <c r="V13" i="3"/>
  <c r="O34" i="3"/>
  <c r="N34" i="3" s="1"/>
  <c r="V73" i="3"/>
  <c r="Z107" i="3"/>
  <c r="Z108" i="3"/>
  <c r="AL41" i="3"/>
  <c r="O24" i="3"/>
  <c r="AY159" i="3"/>
  <c r="AY131" i="3"/>
  <c r="AY158" i="3"/>
  <c r="AY148" i="3"/>
  <c r="AY40" i="3"/>
  <c r="AY97" i="3"/>
  <c r="BR157" i="3"/>
  <c r="BR190" i="3"/>
  <c r="BW94" i="3"/>
  <c r="K88" i="3"/>
  <c r="K80" i="3"/>
  <c r="O135" i="3"/>
  <c r="AL15" i="3"/>
  <c r="AL90" i="3"/>
  <c r="V67" i="3"/>
  <c r="R50" i="3"/>
  <c r="N50" i="3" s="1"/>
  <c r="Z134" i="3"/>
  <c r="AL12" i="3"/>
  <c r="R84" i="3"/>
  <c r="O36" i="3"/>
  <c r="Z70" i="3"/>
  <c r="AL20" i="3"/>
  <c r="V52" i="3"/>
  <c r="V200" i="3"/>
  <c r="O194" i="3"/>
  <c r="V16" i="3"/>
  <c r="AL140" i="3"/>
  <c r="AF13" i="3"/>
  <c r="AL208" i="3"/>
  <c r="AE208" i="3" s="1"/>
  <c r="AL19" i="3"/>
  <c r="O80" i="3"/>
  <c r="AL154" i="3"/>
  <c r="O125" i="3"/>
  <c r="O82" i="3"/>
  <c r="R122" i="3"/>
  <c r="AL193" i="3"/>
  <c r="R167" i="3"/>
  <c r="R160" i="3"/>
  <c r="O57" i="3"/>
  <c r="O160" i="3"/>
  <c r="O167" i="3"/>
  <c r="V154" i="3"/>
  <c r="Z48" i="3"/>
  <c r="V181" i="3"/>
  <c r="AP98" i="3"/>
  <c r="AY136" i="3"/>
  <c r="AP135" i="3"/>
  <c r="AO135" i="3" s="1"/>
  <c r="AP30" i="3"/>
  <c r="AP119" i="3"/>
  <c r="AY60" i="3"/>
  <c r="AO60" i="3" s="1"/>
  <c r="AY174" i="3"/>
  <c r="AY134" i="3"/>
  <c r="AP55" i="3"/>
  <c r="BR90" i="3"/>
  <c r="BR140" i="3"/>
  <c r="BR113" i="3"/>
  <c r="BR43" i="3"/>
  <c r="BX63" i="3"/>
  <c r="BW63" i="3" s="1"/>
  <c r="BW80" i="3"/>
  <c r="CE113" i="3"/>
  <c r="CD113" i="3" s="1"/>
  <c r="BX84" i="3"/>
  <c r="BW84" i="3" s="1"/>
  <c r="BX143" i="3"/>
  <c r="BW143" i="3" s="1"/>
  <c r="BX170" i="3"/>
  <c r="BW170" i="3" s="1"/>
  <c r="BC180" i="3"/>
  <c r="BB180" i="3" s="1"/>
  <c r="CE191" i="3"/>
  <c r="CD191" i="3" s="1"/>
  <c r="BR114" i="3"/>
  <c r="R78" i="3"/>
  <c r="AF192" i="3"/>
  <c r="AL23" i="3"/>
  <c r="AL61" i="3"/>
  <c r="AF18" i="3"/>
  <c r="AL29" i="3"/>
  <c r="O127" i="3"/>
  <c r="AP54" i="3"/>
  <c r="AP84" i="3"/>
  <c r="AO84" i="3" s="1"/>
  <c r="AY144" i="3"/>
  <c r="AP105" i="3"/>
  <c r="AO105" i="3" s="1"/>
  <c r="AP146" i="3"/>
  <c r="AY14" i="3"/>
  <c r="AP59" i="3"/>
  <c r="AP35" i="3"/>
  <c r="AY59" i="3"/>
  <c r="AP71" i="3"/>
  <c r="AO71" i="3" s="1"/>
  <c r="AP53" i="3"/>
  <c r="AO53" i="3" s="1"/>
  <c r="Z20" i="3"/>
  <c r="AP96" i="3"/>
  <c r="AY102" i="3"/>
  <c r="AF150" i="3"/>
  <c r="AP15" i="3"/>
  <c r="AP75" i="3"/>
  <c r="V158" i="3"/>
  <c r="AF196" i="3"/>
  <c r="V207" i="3"/>
  <c r="R180" i="3"/>
  <c r="O107" i="3"/>
  <c r="AY15" i="3"/>
  <c r="AP62" i="3"/>
  <c r="AO62" i="3" s="1"/>
  <c r="AP89" i="3"/>
  <c r="AP206" i="3"/>
  <c r="AO206" i="3" s="1"/>
  <c r="AP86" i="3"/>
  <c r="AP117" i="3"/>
  <c r="AO117" i="3" s="1"/>
  <c r="AP137" i="3"/>
  <c r="AO137" i="3" s="1"/>
  <c r="AP49" i="3"/>
  <c r="AO49" i="3" s="1"/>
  <c r="AP118" i="3"/>
  <c r="AO118" i="3" s="1"/>
  <c r="AY146" i="3"/>
  <c r="AP112" i="3"/>
  <c r="AO112" i="3" s="1"/>
  <c r="AP188" i="3"/>
  <c r="AO188" i="3" s="1"/>
  <c r="AP21" i="3"/>
  <c r="V129" i="3"/>
  <c r="U129" i="3" s="1"/>
  <c r="O91" i="3"/>
  <c r="R144" i="3"/>
  <c r="N144" i="3" s="1"/>
  <c r="V117" i="3"/>
  <c r="U117" i="3" s="1"/>
  <c r="R89" i="3"/>
  <c r="N89" i="3" s="1"/>
  <c r="AF96" i="3"/>
  <c r="O85" i="3"/>
  <c r="AL98" i="3"/>
  <c r="R51" i="3"/>
  <c r="K76" i="3"/>
  <c r="K101" i="3"/>
  <c r="R67" i="3"/>
  <c r="V138" i="3"/>
  <c r="R159" i="3"/>
  <c r="AL86" i="3"/>
  <c r="AL115" i="3"/>
  <c r="R126" i="3"/>
  <c r="AL151" i="3"/>
  <c r="Z57" i="3"/>
  <c r="Z32" i="3"/>
  <c r="O156" i="3"/>
  <c r="V108" i="3"/>
  <c r="AL124" i="3"/>
  <c r="V112" i="3"/>
  <c r="R25" i="3"/>
  <c r="Z104" i="3"/>
  <c r="V68" i="3"/>
  <c r="O81" i="3"/>
  <c r="AL54" i="3"/>
  <c r="V196" i="3"/>
  <c r="O198" i="3"/>
  <c r="AP47" i="3"/>
  <c r="AP32" i="3"/>
  <c r="AO32" i="3" s="1"/>
  <c r="AY138" i="3"/>
  <c r="AP163" i="3"/>
  <c r="AO163" i="3" s="1"/>
  <c r="AP57" i="3"/>
  <c r="AO57" i="3" s="1"/>
  <c r="AY179" i="3"/>
  <c r="AP164" i="3"/>
  <c r="AO164" i="3" s="1"/>
  <c r="Z162" i="3"/>
  <c r="AY178" i="3"/>
  <c r="AP25" i="3"/>
  <c r="AY154" i="3"/>
  <c r="AP104" i="3"/>
  <c r="AO104" i="3" s="1"/>
  <c r="AY103" i="3"/>
  <c r="Z128" i="3"/>
  <c r="O184" i="3"/>
  <c r="O43" i="3"/>
  <c r="AP159" i="3"/>
  <c r="AP99" i="3"/>
  <c r="R110" i="3"/>
  <c r="N110" i="3" s="1"/>
  <c r="Z114" i="3"/>
  <c r="AF101" i="3"/>
  <c r="O190" i="3"/>
  <c r="AP94" i="3"/>
  <c r="AY19" i="3"/>
  <c r="AY128" i="3"/>
  <c r="AF132" i="3"/>
  <c r="AY129" i="3"/>
  <c r="AP195" i="3"/>
  <c r="K109" i="3"/>
  <c r="AF26" i="3"/>
  <c r="AP179" i="3"/>
  <c r="O84" i="3"/>
  <c r="AP142" i="3"/>
  <c r="AY55" i="3"/>
  <c r="AY108" i="3"/>
  <c r="E54" i="3"/>
  <c r="R124" i="3"/>
  <c r="AF136" i="3"/>
  <c r="R174" i="3"/>
  <c r="N174" i="3" s="1"/>
  <c r="O204" i="3"/>
  <c r="V167" i="3"/>
  <c r="AP19" i="3"/>
  <c r="AY127" i="3"/>
  <c r="K162" i="3"/>
  <c r="AF189" i="3"/>
  <c r="R129" i="3"/>
  <c r="O171" i="3"/>
  <c r="N171" i="3" s="1"/>
  <c r="AY195" i="3"/>
  <c r="AY39" i="3"/>
  <c r="AO139" i="3"/>
  <c r="AP51" i="3"/>
  <c r="R38" i="3"/>
  <c r="N38" i="3" s="1"/>
  <c r="Z92" i="3"/>
  <c r="O123" i="3"/>
  <c r="N123" i="3" s="1"/>
  <c r="AL176" i="3"/>
  <c r="Z45" i="3"/>
  <c r="AL201" i="3"/>
  <c r="O37" i="3"/>
  <c r="V57" i="3"/>
  <c r="V163" i="3"/>
  <c r="V177" i="3"/>
  <c r="AL164" i="3"/>
  <c r="V98" i="3"/>
  <c r="O41" i="3"/>
  <c r="AP90" i="3"/>
  <c r="AO90" i="3" s="1"/>
  <c r="AP100" i="3"/>
  <c r="AO100" i="3" s="1"/>
  <c r="V26" i="3"/>
  <c r="AP23" i="3"/>
  <c r="AO23" i="3" s="1"/>
  <c r="AP61" i="3"/>
  <c r="AO61" i="3" s="1"/>
  <c r="AP170" i="3"/>
  <c r="AY197" i="3"/>
  <c r="AL108" i="3"/>
  <c r="AP39" i="3"/>
  <c r="AY87" i="3"/>
  <c r="AY94" i="3"/>
  <c r="AY91" i="3"/>
  <c r="AP46" i="3"/>
  <c r="AY22" i="3"/>
  <c r="AP72" i="3"/>
  <c r="AY116" i="3"/>
  <c r="R186" i="3"/>
  <c r="Z47" i="3"/>
  <c r="V36" i="3"/>
  <c r="V93" i="3"/>
  <c r="U93" i="3" s="1"/>
  <c r="R182" i="3"/>
  <c r="N182" i="3" s="1"/>
  <c r="AF75" i="3"/>
  <c r="AP167" i="3"/>
  <c r="AO165" i="3"/>
  <c r="AP20" i="3"/>
  <c r="AO20" i="3" s="1"/>
  <c r="R192" i="3"/>
  <c r="V62" i="3"/>
  <c r="AL181" i="3"/>
  <c r="Z67" i="3"/>
  <c r="V84" i="3"/>
  <c r="AL148" i="3"/>
  <c r="V180" i="3"/>
  <c r="AY47" i="3"/>
  <c r="AP74" i="3"/>
  <c r="AO74" i="3" s="1"/>
  <c r="R204" i="3"/>
  <c r="AF67" i="3"/>
  <c r="AE67" i="3" s="1"/>
  <c r="Z109" i="3"/>
  <c r="R32" i="3"/>
  <c r="N32" i="3" s="1"/>
  <c r="AL198" i="3"/>
  <c r="Z28" i="3"/>
  <c r="AL155" i="3"/>
  <c r="AL117" i="3"/>
  <c r="V28" i="3"/>
  <c r="V145" i="3"/>
  <c r="O47" i="3"/>
  <c r="Z130" i="3"/>
  <c r="AF171" i="3"/>
  <c r="AP127" i="3"/>
  <c r="AP184" i="3"/>
  <c r="AO184" i="3" s="1"/>
  <c r="AY168" i="3"/>
  <c r="AP133" i="3"/>
  <c r="AY79" i="3"/>
  <c r="Z196" i="3"/>
  <c r="R92" i="3"/>
  <c r="N92" i="3" s="1"/>
  <c r="Z83" i="3"/>
  <c r="AF71" i="3"/>
  <c r="Z61" i="3"/>
  <c r="Z194" i="3"/>
  <c r="Z15" i="3"/>
  <c r="AP12" i="3"/>
  <c r="AO12" i="3" s="1"/>
  <c r="AY194" i="3"/>
  <c r="AY199" i="3"/>
  <c r="AP16" i="3"/>
  <c r="AY133" i="3"/>
  <c r="AY125" i="3"/>
  <c r="AF47" i="3"/>
  <c r="O99" i="3"/>
  <c r="N99" i="3" s="1"/>
  <c r="R82" i="3"/>
  <c r="Z58" i="3"/>
  <c r="AL71" i="3"/>
  <c r="O27" i="3"/>
  <c r="N27" i="3" s="1"/>
  <c r="O118" i="3"/>
  <c r="AF105" i="3"/>
  <c r="O74" i="3"/>
  <c r="Z41" i="3"/>
  <c r="AL143" i="3"/>
  <c r="AP171" i="3"/>
  <c r="AO171" i="3" s="1"/>
  <c r="AY126" i="3"/>
  <c r="AP87" i="3"/>
  <c r="AP126" i="3"/>
  <c r="AY130" i="3"/>
  <c r="AY177" i="3"/>
  <c r="AP48" i="3"/>
  <c r="AP43" i="3"/>
  <c r="K79" i="3"/>
  <c r="R207" i="3"/>
  <c r="O149" i="3"/>
  <c r="R45" i="3"/>
  <c r="Z166" i="3"/>
  <c r="U166" i="3" s="1"/>
  <c r="R118" i="3"/>
  <c r="AL38" i="3"/>
  <c r="O55" i="3"/>
  <c r="N55" i="3" s="1"/>
  <c r="AL60" i="3"/>
  <c r="R105" i="3"/>
  <c r="Z31" i="3"/>
  <c r="V160" i="3"/>
  <c r="O108" i="3"/>
  <c r="O179" i="3"/>
  <c r="Z98" i="3"/>
  <c r="V41" i="3"/>
  <c r="O61" i="3"/>
  <c r="R178" i="3"/>
  <c r="N178" i="3" s="1"/>
  <c r="V47" i="3"/>
  <c r="AP198" i="3"/>
  <c r="AO198" i="3" s="1"/>
  <c r="AP157" i="3"/>
  <c r="AO157" i="3" s="1"/>
  <c r="R26" i="3"/>
  <c r="N26" i="3" s="1"/>
  <c r="AP38" i="3"/>
  <c r="AO38" i="3" s="1"/>
  <c r="AL96" i="3"/>
  <c r="O203" i="3"/>
  <c r="AP155" i="3"/>
  <c r="AY172" i="3"/>
  <c r="AP110" i="3"/>
  <c r="AO110" i="3" s="1"/>
  <c r="AY29" i="3"/>
  <c r="AY140" i="3"/>
  <c r="AY34" i="3"/>
  <c r="AY73" i="3"/>
  <c r="AP116" i="3"/>
  <c r="AY66" i="3"/>
  <c r="AY51" i="3"/>
  <c r="AP149" i="3"/>
  <c r="AO149" i="3" s="1"/>
  <c r="AP153" i="3"/>
  <c r="AY43" i="3"/>
  <c r="AY196" i="3"/>
  <c r="AO196" i="3" s="1"/>
  <c r="AP202" i="3"/>
  <c r="AY119" i="3"/>
  <c r="R100" i="3"/>
  <c r="N100" i="3" s="1"/>
  <c r="AP101" i="3"/>
  <c r="AP204" i="3"/>
  <c r="AO204" i="3" s="1"/>
  <c r="AP169" i="3"/>
  <c r="AO169" i="3" s="1"/>
  <c r="AO205" i="3"/>
  <c r="AY18" i="3"/>
  <c r="AP172" i="3"/>
  <c r="AP88" i="3"/>
  <c r="AO88" i="3" s="1"/>
  <c r="AP58" i="3"/>
  <c r="AO58" i="3" s="1"/>
  <c r="AP190" i="3"/>
  <c r="AO190" i="3" s="1"/>
  <c r="K46" i="3"/>
  <c r="AF186" i="3"/>
  <c r="R70" i="3"/>
  <c r="AF94" i="3"/>
  <c r="AP138" i="3"/>
  <c r="AP194" i="3"/>
  <c r="AP178" i="3"/>
  <c r="AP182" i="3"/>
  <c r="AP140" i="3"/>
  <c r="AP145" i="3"/>
  <c r="AO145" i="3" s="1"/>
  <c r="AP200" i="3"/>
  <c r="AO200" i="3" s="1"/>
  <c r="R40" i="3"/>
  <c r="AP29" i="3"/>
  <c r="V78" i="3"/>
  <c r="V113" i="3"/>
  <c r="AP24" i="3"/>
  <c r="AO24" i="3" s="1"/>
  <c r="AP17" i="3"/>
  <c r="AO17" i="3" s="1"/>
  <c r="AL62" i="3"/>
  <c r="AY35" i="3"/>
  <c r="AP151" i="3"/>
  <c r="AO151" i="3" s="1"/>
  <c r="O116" i="3"/>
  <c r="R201" i="3"/>
  <c r="N201" i="3" s="1"/>
  <c r="AY72" i="3"/>
  <c r="Z125" i="3"/>
  <c r="AF85" i="3"/>
  <c r="Z146" i="3"/>
  <c r="U146" i="3" s="1"/>
  <c r="AP181" i="3"/>
  <c r="AO181" i="3" s="1"/>
  <c r="AP175" i="3"/>
  <c r="AO175" i="3" s="1"/>
  <c r="AP45" i="3"/>
  <c r="Z65" i="3"/>
  <c r="AF60" i="3"/>
  <c r="V51" i="3"/>
  <c r="Z14" i="3"/>
  <c r="AP191" i="3"/>
  <c r="AO191" i="3" s="1"/>
  <c r="AY33" i="3"/>
  <c r="AP91" i="3"/>
  <c r="R197" i="3"/>
  <c r="N197" i="3" s="1"/>
  <c r="R29" i="3"/>
  <c r="N29" i="3" s="1"/>
  <c r="Z12" i="3"/>
  <c r="R184" i="3"/>
  <c r="AF181" i="3"/>
  <c r="AF62" i="3"/>
  <c r="AP40" i="3"/>
  <c r="AF174" i="3"/>
  <c r="AE174" i="3" s="1"/>
  <c r="AP144" i="3"/>
  <c r="AP136" i="3"/>
  <c r="N12" i="3"/>
  <c r="O140" i="3"/>
  <c r="V48" i="3"/>
  <c r="AP129" i="3"/>
  <c r="AP199" i="3"/>
  <c r="AY186" i="3"/>
  <c r="AP34" i="3"/>
  <c r="V192" i="3"/>
  <c r="U192" i="3" s="1"/>
  <c r="V131" i="3"/>
  <c r="AL79" i="3"/>
  <c r="Z62" i="3"/>
  <c r="AP102" i="3"/>
  <c r="AP148" i="3"/>
  <c r="AP76" i="3"/>
  <c r="AO76" i="3" s="1"/>
  <c r="V90" i="3"/>
  <c r="V198" i="3"/>
  <c r="V170" i="3"/>
  <c r="R128" i="3"/>
  <c r="K32" i="3"/>
  <c r="K70" i="3"/>
  <c r="Z206" i="3"/>
  <c r="Z56" i="3"/>
  <c r="U56" i="3" s="1"/>
  <c r="R77" i="3"/>
  <c r="N77" i="3" s="1"/>
  <c r="AF86" i="3"/>
  <c r="Z204" i="3"/>
  <c r="O13" i="3"/>
  <c r="AL94" i="3"/>
  <c r="V140" i="3"/>
  <c r="V91" i="3"/>
  <c r="V122" i="3"/>
  <c r="AL111" i="3"/>
  <c r="AF185" i="3"/>
  <c r="AE185" i="3" s="1"/>
  <c r="V104" i="3"/>
  <c r="V107" i="3"/>
  <c r="AF24" i="3"/>
  <c r="AL46" i="3"/>
  <c r="AL63" i="3"/>
  <c r="AF169" i="3"/>
  <c r="AF207" i="3"/>
  <c r="AF15" i="3"/>
  <c r="O76" i="3"/>
  <c r="N76" i="3" s="1"/>
  <c r="O33" i="3"/>
  <c r="V132" i="3"/>
  <c r="K68" i="3"/>
  <c r="AP143" i="3"/>
  <c r="AO143" i="3" s="1"/>
  <c r="AP95" i="3"/>
  <c r="AO95" i="3" s="1"/>
  <c r="AY93" i="3"/>
  <c r="AY170" i="3"/>
  <c r="AY182" i="3"/>
  <c r="AP124" i="3"/>
  <c r="AO124" i="3" s="1"/>
  <c r="AY30" i="3"/>
  <c r="AP65" i="3"/>
  <c r="AO65" i="3" s="1"/>
  <c r="V82" i="3"/>
  <c r="O35" i="3"/>
  <c r="AP11" i="3"/>
  <c r="AO11" i="3" s="1"/>
  <c r="AL203" i="3"/>
  <c r="AL137" i="3"/>
  <c r="V125" i="3"/>
  <c r="AF156" i="3"/>
  <c r="O126" i="3"/>
  <c r="AF149" i="3"/>
  <c r="AE149" i="3" s="1"/>
  <c r="AF11" i="3"/>
  <c r="O95" i="3"/>
  <c r="Z182" i="3"/>
  <c r="O129" i="3"/>
  <c r="AF104" i="3"/>
  <c r="AF122" i="3"/>
  <c r="O141" i="3"/>
  <c r="N141" i="3" s="1"/>
  <c r="Z127" i="3"/>
  <c r="U127" i="3" s="1"/>
  <c r="AP121" i="3"/>
  <c r="AO121" i="3" s="1"/>
  <c r="AP115" i="3"/>
  <c r="AP162" i="3"/>
  <c r="AP201" i="3"/>
  <c r="AO201" i="3" s="1"/>
  <c r="AP166" i="3"/>
  <c r="AP107" i="3"/>
  <c r="AP176" i="3"/>
  <c r="AO176" i="3" s="1"/>
  <c r="AP208" i="3"/>
  <c r="AO208" i="3" s="1"/>
  <c r="AP177" i="3"/>
  <c r="R31" i="3"/>
  <c r="R36" i="3"/>
  <c r="AF56" i="3"/>
  <c r="AE56" i="3" s="1"/>
  <c r="Z84" i="3"/>
  <c r="O195" i="3"/>
  <c r="AL17" i="3"/>
  <c r="AE17" i="3" s="1"/>
  <c r="AL16" i="3"/>
  <c r="R94" i="3"/>
  <c r="O78" i="3"/>
  <c r="O73" i="3"/>
  <c r="AL125" i="3"/>
  <c r="O69" i="3"/>
  <c r="Z185" i="3"/>
  <c r="O102" i="3"/>
  <c r="AL58" i="3"/>
  <c r="V71" i="3"/>
  <c r="N23" i="3"/>
  <c r="Z137" i="3"/>
  <c r="R74" i="3"/>
  <c r="O199" i="3"/>
  <c r="N199" i="3" s="1"/>
  <c r="AL178" i="3"/>
  <c r="R162" i="3"/>
  <c r="R14" i="3"/>
  <c r="O44" i="3"/>
  <c r="O186" i="3"/>
  <c r="O75" i="3"/>
  <c r="AF165" i="3"/>
  <c r="O72" i="3"/>
  <c r="R116" i="3"/>
  <c r="V45" i="3"/>
  <c r="Z174" i="3"/>
  <c r="U174" i="3" s="1"/>
  <c r="O30" i="3"/>
  <c r="N30" i="3" s="1"/>
  <c r="AY162" i="3"/>
  <c r="AP33" i="3"/>
  <c r="AY166" i="3"/>
  <c r="AY21" i="3"/>
  <c r="AP79" i="3"/>
  <c r="AP22" i="3"/>
  <c r="AP37" i="3"/>
  <c r="AO37" i="3" s="1"/>
  <c r="AY152" i="3"/>
  <c r="AY69" i="3"/>
  <c r="AO69" i="3" s="1"/>
  <c r="AY82" i="3"/>
  <c r="R11" i="3"/>
  <c r="AL132" i="3"/>
  <c r="AL177" i="3"/>
  <c r="AL166" i="3"/>
  <c r="Z102" i="3"/>
  <c r="AL161" i="3"/>
  <c r="AF191" i="3"/>
  <c r="Z11" i="3"/>
  <c r="AF151" i="3"/>
  <c r="O153" i="3"/>
  <c r="AL27" i="3"/>
  <c r="AL179" i="3"/>
  <c r="Z100" i="3"/>
  <c r="V142" i="3"/>
  <c r="V32" i="3"/>
  <c r="AL207" i="3"/>
  <c r="K146" i="3"/>
  <c r="AL14" i="3"/>
  <c r="R35" i="3"/>
  <c r="R24" i="3"/>
  <c r="AL102" i="3"/>
  <c r="V111" i="3"/>
  <c r="AO77" i="3"/>
  <c r="AY50" i="3"/>
  <c r="AP93" i="3"/>
  <c r="AP158" i="3"/>
  <c r="AP108" i="3"/>
  <c r="AP28" i="3"/>
  <c r="AO28" i="3" s="1"/>
  <c r="AY25" i="3"/>
  <c r="AY156" i="3"/>
  <c r="AY153" i="3"/>
  <c r="AP82" i="3"/>
  <c r="AF167" i="3"/>
  <c r="AE167" i="3" s="1"/>
  <c r="Z155" i="3"/>
  <c r="Z52" i="3"/>
  <c r="AL11" i="3"/>
  <c r="O185" i="3"/>
  <c r="Z183" i="3"/>
  <c r="AY16" i="3"/>
  <c r="AP154" i="3"/>
  <c r="R142" i="3"/>
  <c r="N142" i="3" s="1"/>
  <c r="AL129" i="3"/>
  <c r="R65" i="3"/>
  <c r="AF161" i="3"/>
  <c r="AF44" i="3"/>
  <c r="R103" i="3"/>
  <c r="R85" i="3"/>
  <c r="V96" i="3"/>
  <c r="V74" i="3"/>
  <c r="Z142" i="3"/>
  <c r="AF114" i="3"/>
  <c r="AF178" i="3"/>
  <c r="O162" i="3"/>
  <c r="Z97" i="3"/>
  <c r="U97" i="3" s="1"/>
  <c r="AP14" i="3"/>
  <c r="AP180" i="3"/>
  <c r="AO180" i="3" s="1"/>
  <c r="AP130" i="3"/>
  <c r="AP111" i="3"/>
  <c r="Z181" i="3"/>
  <c r="AL40" i="3"/>
  <c r="V139" i="3"/>
  <c r="V169" i="3"/>
  <c r="V25" i="3"/>
  <c r="AL120" i="3"/>
  <c r="V69" i="3"/>
  <c r="AF133" i="3"/>
  <c r="AL43" i="3"/>
  <c r="R156" i="3"/>
  <c r="Z99" i="3"/>
  <c r="AF128" i="3"/>
  <c r="AE128" i="3" s="1"/>
  <c r="AL153" i="3"/>
  <c r="O151" i="3"/>
  <c r="AF118" i="3"/>
  <c r="O83" i="3"/>
  <c r="N83" i="3" s="1"/>
  <c r="AF117" i="3"/>
  <c r="V49" i="3"/>
  <c r="AF164" i="3"/>
  <c r="AL136" i="3"/>
  <c r="V164" i="3"/>
  <c r="V100" i="3"/>
  <c r="Z85" i="3"/>
  <c r="AL114" i="3"/>
  <c r="Z189" i="3"/>
  <c r="U189" i="3" s="1"/>
  <c r="V35" i="3"/>
  <c r="AY85" i="3"/>
  <c r="AP18" i="3"/>
  <c r="AY189" i="3"/>
  <c r="AY70" i="3"/>
  <c r="AY115" i="3"/>
  <c r="AP147" i="3"/>
  <c r="AP203" i="3"/>
  <c r="AO203" i="3" s="1"/>
  <c r="AP122" i="3"/>
  <c r="AO122" i="3" s="1"/>
  <c r="AP68" i="3"/>
  <c r="AP141" i="3"/>
  <c r="AO141" i="3" s="1"/>
  <c r="AP63" i="3"/>
  <c r="AY52" i="3"/>
  <c r="AY46" i="3"/>
  <c r="AY193" i="3"/>
  <c r="AF157" i="3"/>
  <c r="O137" i="3"/>
  <c r="N137" i="3" s="1"/>
  <c r="AY86" i="3"/>
  <c r="AP128" i="3"/>
  <c r="K174" i="3"/>
  <c r="K29" i="3"/>
  <c r="Z138" i="3"/>
  <c r="AL42" i="3"/>
  <c r="AL75" i="3"/>
  <c r="V44" i="3"/>
  <c r="AF146" i="3"/>
  <c r="AP81" i="3"/>
  <c r="AO81" i="3" s="1"/>
  <c r="AY111" i="3"/>
  <c r="Z59" i="3"/>
  <c r="AF51" i="3"/>
  <c r="Z197" i="3"/>
  <c r="V126" i="3"/>
  <c r="V85" i="3"/>
  <c r="Z89" i="3"/>
  <c r="AF98" i="3"/>
  <c r="AF61" i="3"/>
  <c r="Z116" i="3"/>
  <c r="AL48" i="3"/>
  <c r="AP52" i="3"/>
  <c r="AP125" i="3"/>
  <c r="AP193" i="3"/>
  <c r="K128" i="3"/>
  <c r="AF54" i="3"/>
  <c r="R203" i="3"/>
  <c r="Z190" i="3"/>
  <c r="Z68" i="3"/>
  <c r="V11" i="3"/>
  <c r="AL144" i="3"/>
  <c r="O132" i="3"/>
  <c r="AL68" i="3"/>
  <c r="K81" i="3"/>
  <c r="Z79" i="3"/>
  <c r="Z175" i="3"/>
  <c r="K12" i="3"/>
  <c r="K82" i="3"/>
  <c r="K139" i="3"/>
  <c r="K98" i="3"/>
  <c r="K111" i="3"/>
  <c r="O40" i="3"/>
  <c r="O19" i="3"/>
  <c r="AL85" i="3"/>
  <c r="Z156" i="3"/>
  <c r="Z133" i="3"/>
  <c r="U133" i="3" s="1"/>
  <c r="AL82" i="3"/>
  <c r="AL122" i="3"/>
  <c r="AL51" i="3"/>
  <c r="V156" i="3"/>
  <c r="Z172" i="3"/>
  <c r="R46" i="3"/>
  <c r="V118" i="3"/>
  <c r="R41" i="3"/>
  <c r="AF55" i="3"/>
  <c r="V60" i="3"/>
  <c r="AF194" i="3"/>
  <c r="AE194" i="3" s="1"/>
  <c r="Z18" i="3"/>
  <c r="O152" i="3"/>
  <c r="R95" i="3"/>
  <c r="AL195" i="3"/>
  <c r="AP114" i="3"/>
  <c r="AY96" i="3"/>
  <c r="AP131" i="3"/>
  <c r="AP189" i="3"/>
  <c r="AP207" i="3"/>
  <c r="AP42" i="3"/>
  <c r="AO42" i="3" s="1"/>
  <c r="AP186" i="3"/>
  <c r="AY75" i="3"/>
  <c r="AP73" i="3"/>
  <c r="AP120" i="3"/>
  <c r="AP132" i="3"/>
  <c r="AP156" i="3"/>
  <c r="AY48" i="3"/>
  <c r="AO27" i="3"/>
  <c r="AO31" i="3"/>
  <c r="R87" i="3"/>
  <c r="K28" i="3"/>
  <c r="AF97" i="3"/>
  <c r="AL126" i="3"/>
  <c r="AF22" i="3"/>
  <c r="R154" i="3"/>
  <c r="R183" i="3"/>
  <c r="N183" i="3" s="1"/>
  <c r="K178" i="3"/>
  <c r="R127" i="3"/>
  <c r="AF203" i="3"/>
  <c r="Z112" i="3"/>
  <c r="AF20" i="3"/>
  <c r="AF139" i="3"/>
  <c r="AE139" i="3" s="1"/>
  <c r="O148" i="3"/>
  <c r="V24" i="3"/>
  <c r="AF200" i="3"/>
  <c r="V38" i="3"/>
  <c r="AF74" i="3"/>
  <c r="AL142" i="3"/>
  <c r="Z148" i="3"/>
  <c r="R189" i="3"/>
  <c r="N189" i="3" s="1"/>
  <c r="AF25" i="3"/>
  <c r="Z193" i="3"/>
  <c r="R80" i="3"/>
  <c r="Z176" i="3"/>
  <c r="V123" i="3"/>
  <c r="AL152" i="3"/>
  <c r="AF107" i="3"/>
  <c r="AF141" i="3"/>
  <c r="AL200" i="3"/>
  <c r="AL118" i="3"/>
  <c r="Z147" i="3"/>
  <c r="U147" i="3" s="1"/>
  <c r="R63" i="3"/>
  <c r="Z195" i="3"/>
  <c r="AF160" i="3"/>
  <c r="AE160" i="3" s="1"/>
  <c r="O200" i="3"/>
  <c r="AF45" i="3"/>
  <c r="R202" i="3"/>
  <c r="N202" i="3" s="1"/>
  <c r="AF120" i="3"/>
  <c r="Z69" i="3"/>
  <c r="R188" i="3"/>
  <c r="N188" i="3" s="1"/>
  <c r="R193" i="3"/>
  <c r="AF21" i="3"/>
  <c r="O51" i="3"/>
  <c r="AL141" i="3"/>
  <c r="AF142" i="3"/>
  <c r="AL202" i="3"/>
  <c r="AL170" i="3"/>
  <c r="AF170" i="3"/>
  <c r="V88" i="3"/>
  <c r="AF95" i="3"/>
  <c r="Z180" i="3"/>
  <c r="Z63" i="3"/>
  <c r="U63" i="3" s="1"/>
  <c r="Z72" i="3"/>
  <c r="Z124" i="3"/>
  <c r="R181" i="3"/>
  <c r="N181" i="3" s="1"/>
  <c r="V206" i="3"/>
  <c r="AL101" i="3"/>
  <c r="AL73" i="3"/>
  <c r="R132" i="3"/>
  <c r="Z188" i="3"/>
  <c r="Z160" i="3"/>
  <c r="O180" i="3"/>
  <c r="O65" i="3"/>
  <c r="AF123" i="3"/>
  <c r="AL81" i="3"/>
  <c r="R147" i="3"/>
  <c r="V141" i="3"/>
  <c r="R152" i="3"/>
  <c r="AL74" i="3"/>
  <c r="O114" i="3"/>
  <c r="AF202" i="3"/>
  <c r="AF183" i="3"/>
  <c r="AF199" i="3"/>
  <c r="K93" i="3"/>
  <c r="K122" i="3"/>
  <c r="K55" i="3"/>
  <c r="N60" i="3"/>
  <c r="AF129" i="3"/>
  <c r="AF206" i="3"/>
  <c r="AE206" i="3" s="1"/>
  <c r="AF84" i="3"/>
  <c r="AF184" i="3"/>
  <c r="AE184" i="3" s="1"/>
  <c r="V54" i="3"/>
  <c r="Z121" i="3"/>
  <c r="AL182" i="3"/>
  <c r="AF201" i="3"/>
  <c r="Z40" i="3"/>
  <c r="Z139" i="3"/>
  <c r="Z19" i="3"/>
  <c r="AL104" i="3"/>
  <c r="AL107" i="3"/>
  <c r="V176" i="3"/>
  <c r="AL53" i="3"/>
  <c r="V37" i="3"/>
  <c r="AL205" i="3"/>
  <c r="Z27" i="3"/>
  <c r="AF83" i="3"/>
  <c r="Z163" i="3"/>
  <c r="AL175" i="3"/>
  <c r="Z91" i="3"/>
  <c r="V18" i="3"/>
  <c r="V109" i="3"/>
  <c r="AF100" i="3"/>
  <c r="AE100" i="3" s="1"/>
  <c r="AL32" i="3"/>
  <c r="V155" i="3"/>
  <c r="K189" i="3"/>
  <c r="E143" i="3"/>
  <c r="R165" i="3"/>
  <c r="N165" i="3" s="1"/>
  <c r="R52" i="3"/>
  <c r="R44" i="3"/>
  <c r="R112" i="3"/>
  <c r="N112" i="3" s="1"/>
  <c r="R15" i="3"/>
  <c r="N15" i="3" s="1"/>
  <c r="AF127" i="3"/>
  <c r="AL196" i="3"/>
  <c r="Z198" i="3"/>
  <c r="AF138" i="3"/>
  <c r="U159" i="3"/>
  <c r="V30" i="3"/>
  <c r="AF40" i="3"/>
  <c r="O139" i="3"/>
  <c r="R140" i="3"/>
  <c r="AF155" i="3"/>
  <c r="Z44" i="3"/>
  <c r="AF126" i="3"/>
  <c r="V79" i="3"/>
  <c r="Z24" i="3"/>
  <c r="AL146" i="3"/>
  <c r="R176" i="3"/>
  <c r="AL83" i="3"/>
  <c r="V137" i="3"/>
  <c r="Z105" i="3"/>
  <c r="U105" i="3" s="1"/>
  <c r="AF175" i="3"/>
  <c r="R109" i="3"/>
  <c r="N109" i="3" s="1"/>
  <c r="AL89" i="3"/>
  <c r="O176" i="3"/>
  <c r="AL189" i="3"/>
  <c r="AL162" i="3"/>
  <c r="O103" i="3"/>
  <c r="K171" i="3"/>
  <c r="R37" i="3"/>
  <c r="R148" i="3"/>
  <c r="R54" i="3"/>
  <c r="N54" i="3" s="1"/>
  <c r="Z77" i="3"/>
  <c r="AL84" i="3"/>
  <c r="AF28" i="3"/>
  <c r="AF91" i="3"/>
  <c r="AE91" i="3" s="1"/>
  <c r="V179" i="3"/>
  <c r="O169" i="3"/>
  <c r="O14" i="3"/>
  <c r="Z140" i="3"/>
  <c r="Z73" i="3"/>
  <c r="R172" i="3"/>
  <c r="N172" i="3" s="1"/>
  <c r="AF52" i="3"/>
  <c r="V185" i="3"/>
  <c r="V149" i="3"/>
  <c r="R108" i="3"/>
  <c r="V46" i="3"/>
  <c r="AL24" i="3"/>
  <c r="Z71" i="3"/>
  <c r="Z131" i="3"/>
  <c r="V23" i="3"/>
  <c r="AF38" i="3"/>
  <c r="Z23" i="3"/>
  <c r="V205" i="3"/>
  <c r="AL87" i="3"/>
  <c r="V178" i="3"/>
  <c r="R146" i="3"/>
  <c r="V172" i="3"/>
  <c r="V87" i="3"/>
  <c r="AF153" i="3"/>
  <c r="O90" i="3"/>
  <c r="N90" i="3" s="1"/>
  <c r="E195" i="3"/>
  <c r="K35" i="3"/>
  <c r="E95" i="3"/>
  <c r="N158" i="3"/>
  <c r="Z36" i="3"/>
  <c r="AL150" i="3"/>
  <c r="R93" i="3"/>
  <c r="N93" i="3" s="1"/>
  <c r="O25" i="3"/>
  <c r="Z120" i="3"/>
  <c r="AF33" i="3"/>
  <c r="O133" i="3"/>
  <c r="Z177" i="3"/>
  <c r="V65" i="3"/>
  <c r="AF48" i="3"/>
  <c r="AF166" i="3"/>
  <c r="R21" i="3"/>
  <c r="V128" i="3"/>
  <c r="Z43" i="3"/>
  <c r="AL156" i="3"/>
  <c r="V191" i="3"/>
  <c r="Z115" i="3"/>
  <c r="O46" i="3"/>
  <c r="R200" i="3"/>
  <c r="V43" i="3"/>
  <c r="Z118" i="3"/>
  <c r="AL105" i="3"/>
  <c r="AL163" i="3"/>
  <c r="AF31" i="3"/>
  <c r="Z22" i="3"/>
  <c r="R18" i="3"/>
  <c r="AL35" i="3"/>
  <c r="AF180" i="3"/>
  <c r="AL199" i="3"/>
  <c r="Z80" i="3"/>
  <c r="AF87" i="3"/>
  <c r="AL169" i="3"/>
  <c r="K203" i="3"/>
  <c r="K91" i="3"/>
  <c r="K114" i="3"/>
  <c r="R97" i="3"/>
  <c r="N97" i="3" s="1"/>
  <c r="R22" i="3"/>
  <c r="N22" i="3" s="1"/>
  <c r="R161" i="3"/>
  <c r="R149" i="3"/>
  <c r="R194" i="3"/>
  <c r="R198" i="3"/>
  <c r="AF137" i="3"/>
  <c r="V115" i="3"/>
  <c r="O122" i="3"/>
  <c r="Z34" i="3"/>
  <c r="AL130" i="3"/>
  <c r="AL69" i="3"/>
  <c r="AL33" i="3"/>
  <c r="Z82" i="3"/>
  <c r="AF177" i="3"/>
  <c r="V199" i="3"/>
  <c r="O52" i="3"/>
  <c r="AL65" i="3"/>
  <c r="R81" i="3"/>
  <c r="Z39" i="3"/>
  <c r="O53" i="3"/>
  <c r="Z200" i="3"/>
  <c r="AF27" i="3"/>
  <c r="AL57" i="3"/>
  <c r="V193" i="3"/>
  <c r="AL197" i="3"/>
  <c r="AL18" i="3"/>
  <c r="K194" i="3"/>
  <c r="Z207" i="3"/>
  <c r="Z178" i="3"/>
  <c r="AL95" i="3"/>
  <c r="V195" i="3"/>
  <c r="O147" i="3"/>
  <c r="V183" i="3"/>
  <c r="V72" i="3"/>
  <c r="R13" i="3"/>
  <c r="K191" i="3"/>
  <c r="E50" i="3"/>
  <c r="K159" i="3"/>
  <c r="K20" i="3"/>
  <c r="K44" i="3"/>
  <c r="K14" i="3"/>
  <c r="R47" i="3"/>
  <c r="AF90" i="3"/>
  <c r="Z26" i="3"/>
  <c r="AL159" i="3"/>
  <c r="AF92" i="3"/>
  <c r="AE92" i="3" s="1"/>
  <c r="Z135" i="3"/>
  <c r="O62" i="3"/>
  <c r="AL28" i="3"/>
  <c r="V110" i="3"/>
  <c r="U110" i="3" s="1"/>
  <c r="V184" i="3"/>
  <c r="AF135" i="3"/>
  <c r="AF36" i="3"/>
  <c r="AE36" i="3" s="1"/>
  <c r="AF64" i="3"/>
  <c r="AE64" i="3" s="1"/>
  <c r="AF65" i="3"/>
  <c r="Z132" i="3"/>
  <c r="Z202" i="3"/>
  <c r="V58" i="3"/>
  <c r="V61" i="3"/>
  <c r="O39" i="3"/>
  <c r="V17" i="3"/>
  <c r="Z16" i="3"/>
  <c r="O20" i="3"/>
  <c r="O94" i="3"/>
  <c r="AF140" i="3"/>
  <c r="R208" i="3"/>
  <c r="N208" i="3" s="1"/>
  <c r="V130" i="3"/>
  <c r="R73" i="3"/>
  <c r="AF154" i="3"/>
  <c r="V22" i="3"/>
  <c r="Z25" i="3"/>
  <c r="V120" i="3"/>
  <c r="Z154" i="3"/>
  <c r="AF99" i="3"/>
  <c r="R69" i="3"/>
  <c r="AF30" i="3"/>
  <c r="AE30" i="3" s="1"/>
  <c r="V21" i="3"/>
  <c r="R134" i="3"/>
  <c r="N134" i="3" s="1"/>
  <c r="Z141" i="3"/>
  <c r="O161" i="3"/>
  <c r="R166" i="3"/>
  <c r="R164" i="3"/>
  <c r="R205" i="3"/>
  <c r="V143" i="3"/>
  <c r="R143" i="3"/>
  <c r="O145" i="3"/>
  <c r="Z46" i="3"/>
  <c r="AF147" i="3"/>
  <c r="AE147" i="3" s="1"/>
  <c r="R75" i="3"/>
  <c r="AF72" i="3"/>
  <c r="V116" i="3"/>
  <c r="AL80" i="3"/>
  <c r="O155" i="3"/>
  <c r="AF176" i="3"/>
  <c r="R151" i="3"/>
  <c r="K182" i="3"/>
  <c r="K50" i="3"/>
  <c r="K74" i="3"/>
  <c r="K207" i="3"/>
  <c r="R136" i="3"/>
  <c r="Z38" i="3"/>
  <c r="AF130" i="3"/>
  <c r="V76" i="3"/>
  <c r="U76" i="3" s="1"/>
  <c r="Z122" i="3"/>
  <c r="AF102" i="3"/>
  <c r="V201" i="3"/>
  <c r="AF57" i="3"/>
  <c r="AF49" i="3"/>
  <c r="AE49" i="3" s="1"/>
  <c r="R58" i="3"/>
  <c r="N58" i="3" s="1"/>
  <c r="V39" i="3"/>
  <c r="AF35" i="3"/>
  <c r="E199" i="3"/>
  <c r="R57" i="3"/>
  <c r="Z54" i="3"/>
  <c r="AL97" i="3"/>
  <c r="AL171" i="3"/>
  <c r="AL135" i="3"/>
  <c r="AF110" i="3"/>
  <c r="Z170" i="3"/>
  <c r="AF34" i="3"/>
  <c r="AE34" i="3" s="1"/>
  <c r="AF73" i="3"/>
  <c r="AF103" i="3"/>
  <c r="R53" i="3"/>
  <c r="Z37" i="3"/>
  <c r="V27" i="3"/>
  <c r="R117" i="3"/>
  <c r="N117" i="3" s="1"/>
  <c r="AF41" i="3"/>
  <c r="K62" i="3"/>
  <c r="K156" i="3"/>
  <c r="K48" i="3"/>
  <c r="E70" i="3"/>
  <c r="AF172" i="3"/>
  <c r="AE172" i="3" s="1"/>
  <c r="K36" i="3"/>
  <c r="K184" i="3"/>
  <c r="R163" i="3"/>
  <c r="N163" i="3" s="1"/>
  <c r="Z33" i="3"/>
  <c r="AF43" i="3"/>
  <c r="Z123" i="3"/>
  <c r="Z51" i="3"/>
  <c r="Z149" i="3"/>
  <c r="AF81" i="3"/>
  <c r="V14" i="3"/>
  <c r="R88" i="3"/>
  <c r="V124" i="3"/>
  <c r="K201" i="3"/>
  <c r="K134" i="3"/>
  <c r="K89" i="3"/>
  <c r="E205" i="3"/>
  <c r="K104" i="3"/>
  <c r="R115" i="3"/>
  <c r="N115" i="3" s="1"/>
  <c r="R177" i="3"/>
  <c r="N177" i="3" s="1"/>
  <c r="R135" i="3"/>
  <c r="AL192" i="3"/>
  <c r="AL93" i="3"/>
  <c r="AF42" i="3"/>
  <c r="V121" i="3"/>
  <c r="AL70" i="3"/>
  <c r="AL112" i="3"/>
  <c r="Z74" i="3"/>
  <c r="V81" i="3"/>
  <c r="R102" i="3"/>
  <c r="O63" i="3"/>
  <c r="Z78" i="3"/>
  <c r="V162" i="3"/>
  <c r="R68" i="3"/>
  <c r="N68" i="3" s="1"/>
  <c r="V99" i="3"/>
  <c r="Z199" i="3"/>
  <c r="R191" i="3"/>
  <c r="N191" i="3" s="1"/>
  <c r="Z152" i="3"/>
  <c r="V103" i="3"/>
  <c r="V152" i="3"/>
  <c r="Z167" i="3"/>
  <c r="Z179" i="3"/>
  <c r="R113" i="3"/>
  <c r="AL180" i="3"/>
  <c r="V186" i="3"/>
  <c r="R64" i="3"/>
  <c r="N64" i="3" s="1"/>
  <c r="Z101" i="3"/>
  <c r="AF116" i="3"/>
  <c r="R120" i="3"/>
  <c r="AF121" i="3"/>
  <c r="AE121" i="3" s="1"/>
  <c r="R119" i="3"/>
  <c r="E14" i="3"/>
  <c r="AF111" i="3"/>
  <c r="AL123" i="3"/>
  <c r="AF53" i="3"/>
  <c r="Z164" i="3"/>
  <c r="AF88" i="3"/>
  <c r="AE88" i="3" s="1"/>
  <c r="AF46" i="3"/>
  <c r="AF198" i="3"/>
  <c r="AF144" i="3"/>
  <c r="AF112" i="3"/>
  <c r="R19" i="3"/>
  <c r="V114" i="3"/>
  <c r="R153" i="3"/>
  <c r="K131" i="3"/>
  <c r="K38" i="3"/>
  <c r="N56" i="3"/>
  <c r="R145" i="3"/>
  <c r="R91" i="3"/>
  <c r="R71" i="3"/>
  <c r="N71" i="3" s="1"/>
  <c r="Z191" i="3"/>
  <c r="AF115" i="3"/>
  <c r="AL44" i="3"/>
  <c r="AF58" i="3"/>
  <c r="AF108" i="3"/>
  <c r="Z205" i="3"/>
  <c r="O124" i="3"/>
  <c r="AF23" i="3"/>
  <c r="Z95" i="3"/>
  <c r="AF39" i="3"/>
  <c r="V153" i="3"/>
  <c r="U153" i="3" s="1"/>
  <c r="AF197" i="3"/>
  <c r="AF14" i="3"/>
  <c r="R131" i="3"/>
  <c r="N131" i="3" s="1"/>
  <c r="AF29" i="3"/>
  <c r="R133" i="3"/>
  <c r="R114" i="3"/>
  <c r="K22" i="3"/>
  <c r="K136" i="3"/>
  <c r="E74" i="3"/>
  <c r="AL47" i="3"/>
  <c r="AL13" i="3"/>
  <c r="AF78" i="3"/>
  <c r="R61" i="3"/>
  <c r="AF152" i="3"/>
  <c r="Z75" i="3"/>
  <c r="K185" i="3"/>
  <c r="E29" i="3"/>
  <c r="R111" i="3"/>
  <c r="N111" i="3" s="1"/>
  <c r="AF119" i="3"/>
  <c r="AE119" i="3" s="1"/>
  <c r="AF77" i="3"/>
  <c r="AF158" i="3"/>
  <c r="AF76" i="3"/>
  <c r="AE76" i="3" s="1"/>
  <c r="AF19" i="3"/>
  <c r="V190" i="3"/>
  <c r="Z87" i="3"/>
  <c r="Z151" i="3"/>
  <c r="U151" i="3" s="1"/>
  <c r="AF148" i="3"/>
  <c r="Z88" i="3"/>
  <c r="V83" i="3"/>
  <c r="V64" i="3"/>
  <c r="Z49" i="3"/>
  <c r="AF109" i="3"/>
  <c r="AE109" i="3" s="1"/>
  <c r="AF89" i="3"/>
  <c r="Z186" i="3"/>
  <c r="AL116" i="3"/>
  <c r="K167" i="3"/>
  <c r="R72" i="3"/>
  <c r="R155" i="3"/>
  <c r="AL127" i="3"/>
  <c r="AF159" i="3"/>
  <c r="AF59" i="3"/>
  <c r="AE59" i="3" s="1"/>
  <c r="AF190" i="3"/>
  <c r="AE190" i="3" s="1"/>
  <c r="Z103" i="3"/>
  <c r="Z126" i="3"/>
  <c r="Z53" i="3"/>
  <c r="AF37" i="3"/>
  <c r="AE37" i="3" s="1"/>
  <c r="AF163" i="3"/>
  <c r="V202" i="3"/>
  <c r="AF32" i="3"/>
  <c r="AF131" i="3"/>
  <c r="AE131" i="3" s="1"/>
  <c r="V150" i="3"/>
  <c r="AF12" i="3"/>
  <c r="AF50" i="3"/>
  <c r="AL204" i="3"/>
  <c r="R17" i="3"/>
  <c r="N17" i="3" s="1"/>
  <c r="V80" i="3"/>
  <c r="O87" i="3"/>
  <c r="AF125" i="3"/>
  <c r="AF82" i="3"/>
  <c r="Z111" i="3"/>
  <c r="AL21" i="3"/>
  <c r="Z81" i="3"/>
  <c r="AF79" i="3"/>
  <c r="V75" i="3"/>
  <c r="AF80" i="3"/>
  <c r="AF124" i="3"/>
  <c r="K99" i="3"/>
  <c r="K208" i="3"/>
  <c r="K151" i="3"/>
  <c r="K110" i="3"/>
  <c r="K97" i="3"/>
  <c r="K121" i="3"/>
  <c r="Z171" i="3"/>
  <c r="AF113" i="3"/>
  <c r="AE113" i="3" s="1"/>
  <c r="AL157" i="3"/>
  <c r="Z184" i="3"/>
  <c r="R62" i="3"/>
  <c r="Z161" i="3"/>
  <c r="V34" i="3"/>
  <c r="V19" i="3"/>
  <c r="Z136" i="3"/>
  <c r="AL25" i="3"/>
  <c r="R33" i="3"/>
  <c r="R107" i="3"/>
  <c r="AF205" i="3"/>
  <c r="Z96" i="3"/>
  <c r="V194" i="3"/>
  <c r="Z143" i="3"/>
  <c r="AF63" i="3"/>
  <c r="Z169" i="3"/>
  <c r="K199" i="3"/>
  <c r="E171" i="3"/>
  <c r="N170" i="3"/>
  <c r="AF134" i="3"/>
  <c r="AF93" i="3"/>
  <c r="R121" i="3"/>
  <c r="N121" i="3" s="1"/>
  <c r="AF182" i="3"/>
  <c r="Z158" i="3"/>
  <c r="AF70" i="3"/>
  <c r="AF143" i="3"/>
  <c r="R190" i="3"/>
  <c r="AF188" i="3"/>
  <c r="AE188" i="3" s="1"/>
  <c r="Z21" i="3"/>
  <c r="AL165" i="3"/>
  <c r="V102" i="3"/>
  <c r="AF145" i="3"/>
  <c r="AL39" i="3"/>
  <c r="V53" i="3"/>
  <c r="Z60" i="3"/>
  <c r="AF179" i="3"/>
  <c r="V89" i="3"/>
  <c r="AF162" i="3"/>
  <c r="Z165" i="3"/>
  <c r="Z35" i="3"/>
  <c r="AL183" i="3"/>
  <c r="AL45" i="3"/>
  <c r="E43" i="3"/>
  <c r="E55" i="3"/>
  <c r="K53" i="3"/>
  <c r="K169" i="3"/>
  <c r="K34" i="3"/>
  <c r="K202" i="3"/>
  <c r="Z119" i="3"/>
  <c r="U119" i="3" s="1"/>
  <c r="V182" i="3"/>
  <c r="Z203" i="3"/>
  <c r="U203" i="3" s="1"/>
  <c r="AL158" i="3"/>
  <c r="AF204" i="3"/>
  <c r="AF16" i="3"/>
  <c r="V33" i="3"/>
  <c r="AL99" i="3"/>
  <c r="AF68" i="3"/>
  <c r="Z145" i="3"/>
  <c r="AL191" i="3"/>
  <c r="R185" i="3"/>
  <c r="R39" i="3"/>
  <c r="AL22" i="3"/>
  <c r="AL145" i="3"/>
  <c r="R195" i="3"/>
  <c r="AF195" i="3"/>
  <c r="V165" i="3"/>
  <c r="AL186" i="3"/>
  <c r="AL72" i="3"/>
  <c r="U86" i="3"/>
  <c r="N28" i="3"/>
  <c r="N101" i="3"/>
  <c r="K125" i="3"/>
  <c r="E49" i="3"/>
  <c r="E97" i="3"/>
  <c r="E203" i="3"/>
  <c r="E204" i="3"/>
  <c r="E39" i="3"/>
  <c r="E75" i="3"/>
  <c r="K129" i="3"/>
  <c r="E107" i="3"/>
  <c r="E79" i="3"/>
  <c r="E57" i="3"/>
  <c r="E41" i="3"/>
  <c r="E191" i="3"/>
  <c r="K135" i="3"/>
  <c r="E157" i="3"/>
  <c r="K180" i="3"/>
  <c r="K161" i="3"/>
  <c r="E72" i="3"/>
  <c r="E105" i="3"/>
  <c r="E108" i="3"/>
  <c r="K59" i="3"/>
  <c r="K64" i="3"/>
  <c r="E165" i="3"/>
  <c r="K96" i="3"/>
  <c r="E88" i="3"/>
  <c r="E60" i="3"/>
  <c r="K165" i="3"/>
  <c r="K108" i="3"/>
  <c r="E125" i="3"/>
  <c r="E121" i="3"/>
  <c r="K77" i="3"/>
  <c r="K190" i="3"/>
  <c r="K188" i="3"/>
  <c r="E152" i="3"/>
  <c r="E103" i="3"/>
  <c r="E16" i="3"/>
  <c r="E138" i="3"/>
  <c r="K95" i="3"/>
  <c r="E150" i="3"/>
  <c r="E67" i="3"/>
  <c r="K150" i="3"/>
  <c r="E182" i="3"/>
  <c r="E46" i="3"/>
  <c r="E12" i="3"/>
  <c r="K120" i="3"/>
  <c r="E127" i="3"/>
  <c r="K33" i="3"/>
  <c r="E92" i="3"/>
  <c r="K61" i="3"/>
  <c r="E170" i="3"/>
  <c r="E47" i="3"/>
  <c r="K127" i="3"/>
  <c r="E82" i="3"/>
  <c r="E123" i="3"/>
  <c r="K142" i="3"/>
  <c r="E61" i="3"/>
  <c r="K43" i="3"/>
  <c r="E56" i="3"/>
  <c r="K198" i="3"/>
  <c r="E119" i="3"/>
  <c r="E178" i="3"/>
  <c r="E162" i="3"/>
  <c r="E198" i="3"/>
  <c r="E62" i="3"/>
  <c r="K181" i="3"/>
  <c r="E102" i="3"/>
  <c r="E161" i="3"/>
  <c r="K16" i="3"/>
  <c r="E181" i="3"/>
  <c r="E69" i="3"/>
  <c r="E96" i="3"/>
  <c r="K186" i="3"/>
  <c r="E163" i="3"/>
  <c r="K145" i="3"/>
  <c r="E112" i="3"/>
  <c r="K25" i="3"/>
  <c r="E194" i="3"/>
  <c r="K63" i="3"/>
  <c r="E201" i="3"/>
  <c r="E83" i="3"/>
  <c r="E196" i="3"/>
  <c r="K154" i="3"/>
  <c r="K17" i="3"/>
  <c r="K15" i="3"/>
  <c r="E42" i="3"/>
  <c r="E144" i="3"/>
  <c r="E26" i="3"/>
  <c r="K119" i="3"/>
  <c r="E156" i="3"/>
  <c r="E33" i="3"/>
  <c r="E99" i="3"/>
  <c r="E30" i="3"/>
  <c r="K107" i="3"/>
  <c r="E20" i="3"/>
  <c r="K87" i="3"/>
  <c r="E110" i="3"/>
  <c r="E147" i="3"/>
  <c r="D147" i="3" s="1"/>
  <c r="E36" i="3"/>
  <c r="E25" i="3"/>
  <c r="K177" i="3"/>
  <c r="E174" i="3"/>
  <c r="E90" i="3"/>
  <c r="E134" i="3"/>
  <c r="E189" i="3"/>
  <c r="E160" i="3"/>
  <c r="E186" i="3"/>
  <c r="E81" i="3"/>
  <c r="E176" i="3"/>
  <c r="E158" i="3"/>
  <c r="E59" i="3"/>
  <c r="E58" i="3"/>
  <c r="K42" i="3"/>
  <c r="E206" i="3"/>
  <c r="D206" i="3" s="1"/>
  <c r="K144" i="3"/>
  <c r="E89" i="3"/>
  <c r="E188" i="3"/>
  <c r="E27" i="3"/>
  <c r="K205" i="3"/>
  <c r="E135" i="3"/>
  <c r="E44" i="3"/>
  <c r="K90" i="3"/>
  <c r="K157" i="3"/>
  <c r="K170" i="3"/>
  <c r="E207" i="3"/>
  <c r="E116" i="3"/>
  <c r="K117" i="3"/>
  <c r="E63" i="3"/>
  <c r="E98" i="3"/>
  <c r="E45" i="3"/>
  <c r="K39" i="3"/>
  <c r="E28" i="3"/>
  <c r="K204" i="3"/>
  <c r="E180" i="3"/>
  <c r="E35" i="3"/>
  <c r="K113" i="3"/>
  <c r="K138" i="3"/>
  <c r="K84" i="3"/>
  <c r="K69" i="3"/>
  <c r="E38" i="3"/>
  <c r="E37" i="3"/>
  <c r="K132" i="3"/>
  <c r="E122" i="3"/>
  <c r="E193" i="3"/>
  <c r="E31" i="3"/>
  <c r="K176" i="3"/>
  <c r="K175" i="3"/>
  <c r="E177" i="3"/>
  <c r="E146" i="3"/>
  <c r="K172" i="3"/>
  <c r="E159" i="3"/>
  <c r="E137" i="3"/>
  <c r="E73" i="3"/>
  <c r="K137" i="3"/>
  <c r="K149" i="3"/>
  <c r="E53" i="3"/>
  <c r="E131" i="3"/>
  <c r="K54" i="3"/>
  <c r="E167" i="3"/>
  <c r="E115" i="3"/>
  <c r="K26" i="3"/>
  <c r="E84" i="3"/>
  <c r="K37" i="3"/>
  <c r="K193" i="3"/>
  <c r="E111" i="3"/>
  <c r="K86" i="3"/>
  <c r="K124" i="3"/>
  <c r="E17" i="3"/>
  <c r="E101" i="3"/>
  <c r="K197" i="3"/>
  <c r="E129" i="3"/>
  <c r="E151" i="3"/>
  <c r="E114" i="3"/>
  <c r="K115" i="3"/>
  <c r="E183" i="3"/>
  <c r="E18" i="3"/>
  <c r="E192" i="3"/>
  <c r="K112" i="3"/>
  <c r="E86" i="3"/>
  <c r="E94" i="3"/>
  <c r="E142" i="3"/>
  <c r="K73" i="3"/>
  <c r="E51" i="3"/>
  <c r="E71" i="3"/>
  <c r="E77" i="3"/>
  <c r="E200" i="3"/>
  <c r="K123" i="3"/>
  <c r="E85" i="3"/>
  <c r="E197" i="3"/>
  <c r="K192" i="3"/>
  <c r="E172" i="3"/>
  <c r="E133" i="3"/>
  <c r="E208" i="3"/>
  <c r="E140" i="3"/>
  <c r="D140" i="3" s="1"/>
  <c r="E179" i="3"/>
  <c r="E164" i="3"/>
  <c r="K196" i="3"/>
  <c r="E190" i="3"/>
  <c r="E104" i="3"/>
  <c r="E65" i="3"/>
  <c r="E11" i="3"/>
  <c r="K179" i="3"/>
  <c r="K164" i="3"/>
  <c r="K133" i="3"/>
  <c r="K195" i="3"/>
  <c r="K67" i="3"/>
  <c r="K56" i="3"/>
  <c r="K21" i="3"/>
  <c r="K83" i="3"/>
  <c r="K116" i="3"/>
  <c r="E87" i="3"/>
  <c r="K143" i="3"/>
  <c r="K18" i="3"/>
  <c r="K160" i="3"/>
  <c r="K166" i="3"/>
  <c r="E118" i="3"/>
  <c r="E93" i="3"/>
  <c r="K30" i="3"/>
  <c r="K141" i="3"/>
  <c r="E148" i="3"/>
  <c r="E23" i="3"/>
  <c r="E19" i="3"/>
  <c r="E22" i="3"/>
  <c r="E153" i="3"/>
  <c r="K118" i="3"/>
  <c r="K163" i="3"/>
  <c r="K19" i="3"/>
  <c r="K11" i="3"/>
  <c r="K85" i="3"/>
  <c r="E76" i="3"/>
  <c r="E48" i="3"/>
  <c r="K57" i="3"/>
  <c r="K105" i="3"/>
  <c r="E80" i="3"/>
  <c r="K200" i="3"/>
  <c r="K52" i="3"/>
  <c r="E145" i="3"/>
  <c r="E15" i="3"/>
  <c r="E155" i="3"/>
  <c r="K23" i="3"/>
  <c r="K153" i="3"/>
  <c r="E139" i="3"/>
  <c r="E64" i="3"/>
  <c r="K49" i="3"/>
  <c r="K148" i="3"/>
  <c r="E34" i="3"/>
  <c r="E91" i="3"/>
  <c r="E141" i="3"/>
  <c r="K58" i="3"/>
  <c r="E149" i="3"/>
  <c r="E175" i="3"/>
  <c r="E13" i="3"/>
  <c r="E126" i="3"/>
  <c r="E68" i="3"/>
  <c r="E185" i="3"/>
  <c r="E113" i="3"/>
  <c r="E21" i="3"/>
  <c r="E120" i="3"/>
  <c r="K31" i="3"/>
  <c r="K51" i="3"/>
  <c r="K158" i="3"/>
  <c r="E166" i="3"/>
  <c r="K71" i="3"/>
  <c r="E40" i="3"/>
  <c r="E130" i="3"/>
  <c r="E32" i="3"/>
  <c r="E202" i="3"/>
  <c r="K47" i="3"/>
  <c r="E184" i="3"/>
  <c r="E154" i="3"/>
  <c r="E132" i="3"/>
  <c r="E128" i="3"/>
  <c r="E117" i="3"/>
  <c r="K72" i="3"/>
  <c r="E169" i="3"/>
  <c r="E124" i="3"/>
  <c r="E78" i="3"/>
  <c r="D78" i="3" s="1"/>
  <c r="E52" i="3"/>
  <c r="K152" i="3"/>
  <c r="K45" i="3"/>
  <c r="E136" i="3"/>
  <c r="E100" i="3"/>
  <c r="K183" i="3"/>
  <c r="D183" i="3" s="1"/>
  <c r="K27" i="3"/>
  <c r="E24" i="3"/>
  <c r="K94" i="3"/>
  <c r="K92" i="3"/>
  <c r="K60" i="3"/>
  <c r="K103" i="3"/>
  <c r="K65" i="3"/>
  <c r="K126" i="3"/>
  <c r="K130" i="3"/>
  <c r="E109" i="3"/>
  <c r="K100" i="3"/>
  <c r="K41" i="3"/>
  <c r="U11" i="3" l="1"/>
  <c r="AE133" i="3"/>
  <c r="AO167" i="3"/>
  <c r="AO107" i="3"/>
  <c r="AE89" i="3"/>
  <c r="U90" i="3"/>
  <c r="U57" i="3"/>
  <c r="N184" i="3"/>
  <c r="N147" i="3"/>
  <c r="N169" i="3"/>
  <c r="AO103" i="3"/>
  <c r="N43" i="3"/>
  <c r="U70" i="3"/>
  <c r="AO120" i="3"/>
  <c r="AO45" i="3"/>
  <c r="U188" i="3"/>
  <c r="AE170" i="3"/>
  <c r="U96" i="3"/>
  <c r="AE103" i="3"/>
  <c r="N192" i="3"/>
  <c r="U55" i="3"/>
  <c r="AO46" i="3"/>
  <c r="N13" i="3"/>
  <c r="AO207" i="3"/>
  <c r="N180" i="3"/>
  <c r="AE115" i="3"/>
  <c r="U160" i="3"/>
  <c r="U48" i="3"/>
  <c r="U73" i="3"/>
  <c r="AE11" i="3"/>
  <c r="D109" i="3"/>
  <c r="AE137" i="3"/>
  <c r="AE154" i="3"/>
  <c r="AO26" i="3"/>
  <c r="N70" i="3"/>
  <c r="AO96" i="3"/>
  <c r="AE90" i="3"/>
  <c r="U31" i="3"/>
  <c r="U167" i="3"/>
  <c r="N36" i="3"/>
  <c r="U104" i="3"/>
  <c r="AO94" i="3"/>
  <c r="N25" i="3"/>
  <c r="N31" i="3"/>
  <c r="U62" i="3"/>
  <c r="AO70" i="3"/>
  <c r="N128" i="3"/>
  <c r="AO182" i="3"/>
  <c r="AO113" i="3"/>
  <c r="N67" i="3"/>
  <c r="AO98" i="3"/>
  <c r="N166" i="3"/>
  <c r="N80" i="3"/>
  <c r="AO36" i="3"/>
  <c r="U112" i="3"/>
  <c r="U138" i="3"/>
  <c r="AO39" i="3"/>
  <c r="N159" i="3"/>
  <c r="AE79" i="3"/>
  <c r="AE77" i="3"/>
  <c r="N127" i="3"/>
  <c r="U163" i="3"/>
  <c r="AE164" i="3"/>
  <c r="U208" i="3"/>
  <c r="U143" i="3"/>
  <c r="N18" i="3"/>
  <c r="N84" i="3"/>
  <c r="N125" i="3"/>
  <c r="N57" i="3"/>
  <c r="AE186" i="3"/>
  <c r="AE136" i="3"/>
  <c r="N14" i="3"/>
  <c r="U41" i="3"/>
  <c r="AE176" i="3"/>
  <c r="N203" i="3"/>
  <c r="D102" i="3"/>
  <c r="U79" i="3"/>
  <c r="D80" i="3"/>
  <c r="AO78" i="3"/>
  <c r="U52" i="3"/>
  <c r="U204" i="3"/>
  <c r="U92" i="3"/>
  <c r="U171" i="3"/>
  <c r="U49" i="3"/>
  <c r="U152" i="3"/>
  <c r="N69" i="3"/>
  <c r="AE201" i="3"/>
  <c r="N193" i="3"/>
  <c r="U148" i="3"/>
  <c r="AE114" i="3"/>
  <c r="AO99" i="3"/>
  <c r="AO72" i="3"/>
  <c r="D75" i="3"/>
  <c r="AO142" i="3"/>
  <c r="N136" i="3"/>
  <c r="AO35" i="3"/>
  <c r="D82" i="3"/>
  <c r="AE55" i="3"/>
  <c r="AE47" i="3"/>
  <c r="AO48" i="3"/>
  <c r="U64" i="3"/>
  <c r="AO115" i="3"/>
  <c r="AO136" i="3"/>
  <c r="U113" i="3"/>
  <c r="AO195" i="3"/>
  <c r="N167" i="3"/>
  <c r="U13" i="3"/>
  <c r="N179" i="3"/>
  <c r="U200" i="3"/>
  <c r="AO197" i="3"/>
  <c r="D128" i="3"/>
  <c r="N122" i="3"/>
  <c r="AE146" i="3"/>
  <c r="AO85" i="3"/>
  <c r="AO30" i="3"/>
  <c r="AE157" i="3"/>
  <c r="AE203" i="3"/>
  <c r="N40" i="3"/>
  <c r="U181" i="3"/>
  <c r="D88" i="3"/>
  <c r="U17" i="3"/>
  <c r="N149" i="3"/>
  <c r="N24" i="3"/>
  <c r="U107" i="3"/>
  <c r="AO144" i="3"/>
  <c r="AO126" i="3"/>
  <c r="N82" i="3"/>
  <c r="AO134" i="3"/>
  <c r="N160" i="3"/>
  <c r="U15" i="3"/>
  <c r="U157" i="3"/>
  <c r="N105" i="3"/>
  <c r="AO174" i="3"/>
  <c r="AO133" i="3"/>
  <c r="AO158" i="3"/>
  <c r="AO194" i="3"/>
  <c r="AO179" i="3"/>
  <c r="AO189" i="3"/>
  <c r="AO89" i="3"/>
  <c r="AO87" i="3"/>
  <c r="AO51" i="3"/>
  <c r="AO159" i="3"/>
  <c r="AO79" i="3"/>
  <c r="AO16" i="3"/>
  <c r="AO131" i="3"/>
  <c r="AO202" i="3"/>
  <c r="AO170" i="3"/>
  <c r="AO55" i="3"/>
  <c r="AO47" i="3"/>
  <c r="AO119" i="3"/>
  <c r="AO80" i="3"/>
  <c r="AE155" i="3"/>
  <c r="AE61" i="3"/>
  <c r="AE98" i="3"/>
  <c r="AE189" i="3"/>
  <c r="AE134" i="3"/>
  <c r="AE52" i="3"/>
  <c r="AE95" i="3"/>
  <c r="AE120" i="3"/>
  <c r="AE198" i="3"/>
  <c r="AE195" i="3"/>
  <c r="AE51" i="3"/>
  <c r="AE143" i="3"/>
  <c r="AE78" i="3"/>
  <c r="AE15" i="3"/>
  <c r="AE13" i="3"/>
  <c r="AE69" i="3"/>
  <c r="AE105" i="3"/>
  <c r="AE22" i="3"/>
  <c r="AE169" i="3"/>
  <c r="AE132" i="3"/>
  <c r="AE26" i="3"/>
  <c r="U134" i="3"/>
  <c r="U67" i="3"/>
  <c r="U30" i="3"/>
  <c r="U85" i="3"/>
  <c r="U22" i="3"/>
  <c r="U99" i="3"/>
  <c r="U114" i="3"/>
  <c r="U47" i="3"/>
  <c r="U116" i="3"/>
  <c r="U109" i="3"/>
  <c r="U206" i="3"/>
  <c r="U150" i="3"/>
  <c r="U32" i="3"/>
  <c r="U28" i="3"/>
  <c r="U94" i="3"/>
  <c r="U29" i="3"/>
  <c r="U111" i="3"/>
  <c r="U95" i="3"/>
  <c r="U207" i="3"/>
  <c r="U20" i="3"/>
  <c r="U45" i="3"/>
  <c r="U77" i="3"/>
  <c r="N16" i="3"/>
  <c r="N124" i="3"/>
  <c r="N81" i="3"/>
  <c r="N35" i="3"/>
  <c r="N41" i="3"/>
  <c r="N207" i="3"/>
  <c r="N139" i="3"/>
  <c r="N78" i="3"/>
  <c r="N95" i="3"/>
  <c r="N118" i="3"/>
  <c r="N88" i="3"/>
  <c r="N21" i="3"/>
  <c r="N11" i="3"/>
  <c r="N113" i="3"/>
  <c r="N74" i="3"/>
  <c r="N91" i="3"/>
  <c r="N33" i="3"/>
  <c r="N37" i="3"/>
  <c r="D29" i="3"/>
  <c r="D136" i="3"/>
  <c r="D203" i="3"/>
  <c r="D40" i="3"/>
  <c r="D13" i="3"/>
  <c r="D81" i="3"/>
  <c r="D79" i="3"/>
  <c r="D36" i="3"/>
  <c r="N119" i="3"/>
  <c r="AO114" i="3"/>
  <c r="AO68" i="3"/>
  <c r="AE85" i="3"/>
  <c r="AO178" i="3"/>
  <c r="N45" i="3"/>
  <c r="U68" i="3"/>
  <c r="AE32" i="3"/>
  <c r="U39" i="3"/>
  <c r="N155" i="3"/>
  <c r="N20" i="3"/>
  <c r="N103" i="3"/>
  <c r="AE196" i="3"/>
  <c r="N154" i="3"/>
  <c r="AO152" i="3"/>
  <c r="N126" i="3"/>
  <c r="AE86" i="3"/>
  <c r="AO148" i="3"/>
  <c r="D101" i="3"/>
  <c r="N195" i="3"/>
  <c r="U161" i="3"/>
  <c r="U78" i="3"/>
  <c r="N135" i="3"/>
  <c r="N143" i="3"/>
  <c r="AE99" i="3"/>
  <c r="U16" i="3"/>
  <c r="N194" i="3"/>
  <c r="U115" i="3"/>
  <c r="U172" i="3"/>
  <c r="AO132" i="3"/>
  <c r="AE54" i="3"/>
  <c r="U197" i="3"/>
  <c r="AO14" i="3"/>
  <c r="AO153" i="3"/>
  <c r="AO102" i="3"/>
  <c r="AO129" i="3"/>
  <c r="AO172" i="3"/>
  <c r="AO155" i="3"/>
  <c r="U177" i="3"/>
  <c r="AO54" i="3"/>
  <c r="U130" i="3"/>
  <c r="N151" i="3"/>
  <c r="AO63" i="3"/>
  <c r="AO40" i="3"/>
  <c r="AE71" i="3"/>
  <c r="U136" i="3"/>
  <c r="AE140" i="3"/>
  <c r="N61" i="3"/>
  <c r="U180" i="3"/>
  <c r="AE75" i="3"/>
  <c r="AE16" i="3"/>
  <c r="U205" i="3"/>
  <c r="U46" i="3"/>
  <c r="AO147" i="3"/>
  <c r="AE60" i="3"/>
  <c r="D169" i="3"/>
  <c r="AE80" i="3"/>
  <c r="N146" i="3"/>
  <c r="U175" i="3"/>
  <c r="U59" i="3"/>
  <c r="AO25" i="3"/>
  <c r="AO97" i="3"/>
  <c r="AE193" i="3"/>
  <c r="AE50" i="3"/>
  <c r="AE135" i="3"/>
  <c r="N205" i="3"/>
  <c r="U25" i="3"/>
  <c r="U135" i="3"/>
  <c r="U43" i="3"/>
  <c r="AE150" i="3"/>
  <c r="U40" i="3"/>
  <c r="AO75" i="3"/>
  <c r="AO125" i="3"/>
  <c r="AO21" i="3"/>
  <c r="AE122" i="3"/>
  <c r="AO43" i="3"/>
  <c r="U108" i="3"/>
  <c r="AE130" i="3"/>
  <c r="N85" i="3"/>
  <c r="AE138" i="3"/>
  <c r="D193" i="3"/>
  <c r="N120" i="3"/>
  <c r="U170" i="3"/>
  <c r="U154" i="3"/>
  <c r="U12" i="3"/>
  <c r="D155" i="3"/>
  <c r="D122" i="3"/>
  <c r="N102" i="3"/>
  <c r="AE110" i="3"/>
  <c r="N108" i="3"/>
  <c r="AO193" i="3"/>
  <c r="D24" i="3"/>
  <c r="D12" i="3"/>
  <c r="AE12" i="3"/>
  <c r="AE19" i="3"/>
  <c r="AE152" i="3"/>
  <c r="AE44" i="3"/>
  <c r="N153" i="3"/>
  <c r="U101" i="3"/>
  <c r="AE41" i="3"/>
  <c r="AE171" i="3"/>
  <c r="U201" i="3"/>
  <c r="N164" i="3"/>
  <c r="U36" i="3"/>
  <c r="AE87" i="3"/>
  <c r="AE20" i="3"/>
  <c r="AO177" i="3"/>
  <c r="U132" i="3"/>
  <c r="AO19" i="3"/>
  <c r="AO146" i="3"/>
  <c r="AO192" i="3"/>
  <c r="AO50" i="3"/>
  <c r="AE31" i="3"/>
  <c r="N73" i="3"/>
  <c r="AO101" i="3"/>
  <c r="AO44" i="3"/>
  <c r="D70" i="3"/>
  <c r="AE177" i="3"/>
  <c r="AE104" i="3"/>
  <c r="AO138" i="3"/>
  <c r="AE127" i="3"/>
  <c r="U83" i="3"/>
  <c r="U58" i="3"/>
  <c r="U149" i="3"/>
  <c r="U91" i="3"/>
  <c r="AO29" i="3"/>
  <c r="AO59" i="3"/>
  <c r="D91" i="3"/>
  <c r="U35" i="3"/>
  <c r="U169" i="3"/>
  <c r="AO130" i="3"/>
  <c r="N116" i="3"/>
  <c r="AE94" i="3"/>
  <c r="U98" i="3"/>
  <c r="U196" i="3"/>
  <c r="AE96" i="3"/>
  <c r="D34" i="3"/>
  <c r="D121" i="3"/>
  <c r="N190" i="3"/>
  <c r="N62" i="3"/>
  <c r="AE124" i="3"/>
  <c r="AE148" i="3"/>
  <c r="AE144" i="3"/>
  <c r="U26" i="3"/>
  <c r="AE27" i="3"/>
  <c r="AE175" i="3"/>
  <c r="AE101" i="3"/>
  <c r="AO73" i="3"/>
  <c r="U100" i="3"/>
  <c r="N156" i="3"/>
  <c r="AE161" i="3"/>
  <c r="AO82" i="3"/>
  <c r="AE151" i="3"/>
  <c r="U84" i="3"/>
  <c r="AO162" i="3"/>
  <c r="AO199" i="3"/>
  <c r="AO91" i="3"/>
  <c r="AO15" i="3"/>
  <c r="D53" i="3"/>
  <c r="U179" i="3"/>
  <c r="D96" i="3"/>
  <c r="U51" i="3"/>
  <c r="AO34" i="3"/>
  <c r="D111" i="3"/>
  <c r="U74" i="3"/>
  <c r="U128" i="3"/>
  <c r="U182" i="3"/>
  <c r="AE204" i="3"/>
  <c r="N114" i="3"/>
  <c r="N152" i="3"/>
  <c r="U194" i="3"/>
  <c r="AE42" i="3"/>
  <c r="U137" i="3"/>
  <c r="U141" i="3"/>
  <c r="AO86" i="3"/>
  <c r="AO22" i="3"/>
  <c r="N204" i="3"/>
  <c r="N185" i="3"/>
  <c r="AE179" i="3"/>
  <c r="U158" i="3"/>
  <c r="U122" i="3"/>
  <c r="D74" i="3"/>
  <c r="N47" i="3"/>
  <c r="AE38" i="3"/>
  <c r="U140" i="3"/>
  <c r="N200" i="3"/>
  <c r="AO52" i="3"/>
  <c r="U69" i="3"/>
  <c r="N162" i="3"/>
  <c r="N186" i="3"/>
  <c r="U185" i="3"/>
  <c r="U125" i="3"/>
  <c r="AE62" i="3"/>
  <c r="D15" i="3"/>
  <c r="U61" i="3"/>
  <c r="U44" i="3"/>
  <c r="AE162" i="3"/>
  <c r="AE97" i="3"/>
  <c r="AO128" i="3"/>
  <c r="N39" i="3"/>
  <c r="AE24" i="3"/>
  <c r="D139" i="3"/>
  <c r="D76" i="3"/>
  <c r="D35" i="3"/>
  <c r="D162" i="3"/>
  <c r="U126" i="3"/>
  <c r="AE29" i="3"/>
  <c r="AE108" i="3"/>
  <c r="D50" i="3"/>
  <c r="AE153" i="3"/>
  <c r="N176" i="3"/>
  <c r="U155" i="3"/>
  <c r="N51" i="3"/>
  <c r="AE178" i="3"/>
  <c r="AO154" i="3"/>
  <c r="AE181" i="3"/>
  <c r="AO140" i="3"/>
  <c r="AO127" i="3"/>
  <c r="N129" i="3"/>
  <c r="AE18" i="3"/>
  <c r="AE118" i="3"/>
  <c r="U82" i="3"/>
  <c r="D98" i="3"/>
  <c r="AE23" i="3"/>
  <c r="U89" i="3"/>
  <c r="D195" i="3"/>
  <c r="D54" i="3"/>
  <c r="D176" i="3"/>
  <c r="U145" i="3"/>
  <c r="N107" i="3"/>
  <c r="AE58" i="3"/>
  <c r="U162" i="3"/>
  <c r="AE192" i="3"/>
  <c r="U178" i="3"/>
  <c r="AE65" i="3"/>
  <c r="N198" i="3"/>
  <c r="N46" i="3"/>
  <c r="AE33" i="3"/>
  <c r="U87" i="3"/>
  <c r="U131" i="3"/>
  <c r="U198" i="3"/>
  <c r="AE21" i="3"/>
  <c r="N19" i="3"/>
  <c r="AO18" i="3"/>
  <c r="AE117" i="3"/>
  <c r="AO108" i="3"/>
  <c r="AE207" i="3"/>
  <c r="AO116" i="3"/>
  <c r="U80" i="3"/>
  <c r="AE73" i="3"/>
  <c r="D20" i="3"/>
  <c r="U71" i="3"/>
  <c r="U120" i="3"/>
  <c r="D22" i="3"/>
  <c r="U60" i="3"/>
  <c r="N72" i="3"/>
  <c r="AE53" i="3"/>
  <c r="AE43" i="3"/>
  <c r="AE35" i="3"/>
  <c r="AE74" i="3"/>
  <c r="D62" i="3"/>
  <c r="AE84" i="3"/>
  <c r="D185" i="3"/>
  <c r="D55" i="3"/>
  <c r="U183" i="3"/>
  <c r="D32" i="3"/>
  <c r="D68" i="3"/>
  <c r="D59" i="3"/>
  <c r="D95" i="3"/>
  <c r="U102" i="3"/>
  <c r="AE82" i="3"/>
  <c r="U54" i="3"/>
  <c r="N75" i="3"/>
  <c r="U118" i="3"/>
  <c r="U65" i="3"/>
  <c r="N44" i="3"/>
  <c r="AE129" i="3"/>
  <c r="AE183" i="3"/>
  <c r="AE200" i="3"/>
  <c r="U156" i="3"/>
  <c r="AE46" i="3"/>
  <c r="AE156" i="3"/>
  <c r="AE205" i="3"/>
  <c r="AE107" i="3"/>
  <c r="U18" i="3"/>
  <c r="AO93" i="3"/>
  <c r="AE14" i="3"/>
  <c r="N140" i="3"/>
  <c r="D93" i="3"/>
  <c r="D208" i="3"/>
  <c r="D178" i="3"/>
  <c r="D191" i="3"/>
  <c r="AE45" i="3"/>
  <c r="AE165" i="3"/>
  <c r="D171" i="3"/>
  <c r="U19" i="3"/>
  <c r="AE125" i="3"/>
  <c r="U14" i="3"/>
  <c r="AE40" i="3"/>
  <c r="U139" i="3"/>
  <c r="AE202" i="3"/>
  <c r="U24" i="3"/>
  <c r="AO111" i="3"/>
  <c r="AO166" i="3"/>
  <c r="AE63" i="3"/>
  <c r="AO186" i="3"/>
  <c r="D143" i="3"/>
  <c r="D189" i="3"/>
  <c r="D104" i="3"/>
  <c r="D46" i="3"/>
  <c r="AE142" i="3"/>
  <c r="AE191" i="3"/>
  <c r="AE182" i="3"/>
  <c r="U164" i="3"/>
  <c r="D174" i="3"/>
  <c r="U88" i="3"/>
  <c r="D134" i="3"/>
  <c r="AO33" i="3"/>
  <c r="D146" i="3"/>
  <c r="AE68" i="3"/>
  <c r="AE166" i="3"/>
  <c r="N65" i="3"/>
  <c r="U142" i="3"/>
  <c r="D25" i="3"/>
  <c r="AE111" i="3"/>
  <c r="AE72" i="3"/>
  <c r="AE48" i="3"/>
  <c r="U176" i="3"/>
  <c r="AO156" i="3"/>
  <c r="D94" i="3"/>
  <c r="D131" i="3"/>
  <c r="D204" i="3"/>
  <c r="D110" i="3"/>
  <c r="D16" i="3"/>
  <c r="U21" i="3"/>
  <c r="D199" i="3"/>
  <c r="U34" i="3"/>
  <c r="N87" i="3"/>
  <c r="U190" i="3"/>
  <c r="N63" i="3"/>
  <c r="AE81" i="3"/>
  <c r="AE102" i="3"/>
  <c r="N94" i="3"/>
  <c r="N133" i="3"/>
  <c r="N132" i="3"/>
  <c r="N148" i="3"/>
  <c r="AE199" i="3"/>
  <c r="U23" i="3"/>
  <c r="D186" i="3"/>
  <c r="U184" i="3"/>
  <c r="N145" i="3"/>
  <c r="U124" i="3"/>
  <c r="U186" i="3"/>
  <c r="U72" i="3"/>
  <c r="D83" i="3"/>
  <c r="D202" i="3"/>
  <c r="D49" i="3"/>
  <c r="D114" i="3"/>
  <c r="AE123" i="3"/>
  <c r="AE57" i="3"/>
  <c r="AE28" i="3"/>
  <c r="D179" i="3"/>
  <c r="D207" i="3"/>
  <c r="D156" i="3"/>
  <c r="D194" i="3"/>
  <c r="D182" i="3"/>
  <c r="D72" i="3"/>
  <c r="AE145" i="3"/>
  <c r="AE25" i="3"/>
  <c r="U81" i="3"/>
  <c r="AE197" i="3"/>
  <c r="U123" i="3"/>
  <c r="N53" i="3"/>
  <c r="U195" i="3"/>
  <c r="AE141" i="3"/>
  <c r="D28" i="3"/>
  <c r="D44" i="3"/>
  <c r="D14" i="3"/>
  <c r="AE180" i="3"/>
  <c r="D135" i="3"/>
  <c r="D205" i="3"/>
  <c r="N52" i="3"/>
  <c r="D132" i="3"/>
  <c r="D165" i="3"/>
  <c r="AE83" i="3"/>
  <c r="U38" i="3"/>
  <c r="U193" i="3"/>
  <c r="D184" i="3"/>
  <c r="D159" i="3"/>
  <c r="AE159" i="3"/>
  <c r="N161" i="3"/>
  <c r="D201" i="3"/>
  <c r="D108" i="3"/>
  <c r="U27" i="3"/>
  <c r="D152" i="3"/>
  <c r="U33" i="3"/>
  <c r="AE93" i="3"/>
  <c r="U202" i="3"/>
  <c r="U191" i="3"/>
  <c r="U37" i="3"/>
  <c r="D67" i="3"/>
  <c r="D167" i="3"/>
  <c r="D125" i="3"/>
  <c r="AE163" i="3"/>
  <c r="AE116" i="3"/>
  <c r="U199" i="3"/>
  <c r="U121" i="3"/>
  <c r="AE126" i="3"/>
  <c r="D48" i="3"/>
  <c r="AE39" i="3"/>
  <c r="D39" i="3"/>
  <c r="D157" i="3"/>
  <c r="D97" i="3"/>
  <c r="AE70" i="3"/>
  <c r="D196" i="3"/>
  <c r="D77" i="3"/>
  <c r="D138" i="3"/>
  <c r="U53" i="3"/>
  <c r="D197" i="3"/>
  <c r="D38" i="3"/>
  <c r="U165" i="3"/>
  <c r="D27" i="3"/>
  <c r="D41" i="3"/>
  <c r="D145" i="3"/>
  <c r="D151" i="3"/>
  <c r="D89" i="3"/>
  <c r="D43" i="3"/>
  <c r="AE158" i="3"/>
  <c r="U103" i="3"/>
  <c r="D105" i="3"/>
  <c r="AE112" i="3"/>
  <c r="D69" i="3"/>
  <c r="U75" i="3"/>
  <c r="D57" i="3"/>
  <c r="D154" i="3"/>
  <c r="D120" i="3"/>
  <c r="D141" i="3"/>
  <c r="D90" i="3"/>
  <c r="D99" i="3"/>
  <c r="D161" i="3"/>
  <c r="D58" i="3"/>
  <c r="D84" i="3"/>
  <c r="D198" i="3"/>
  <c r="D150" i="3"/>
  <c r="D26" i="3"/>
  <c r="D42" i="3"/>
  <c r="D170" i="3"/>
  <c r="D63" i="3"/>
  <c r="D188" i="3"/>
  <c r="D61" i="3"/>
  <c r="D142" i="3"/>
  <c r="D71" i="3"/>
  <c r="D85" i="3"/>
  <c r="D86" i="3"/>
  <c r="D107" i="3"/>
  <c r="D181" i="3"/>
  <c r="D56" i="3"/>
  <c r="D127" i="3"/>
  <c r="D23" i="3"/>
  <c r="D129" i="3"/>
  <c r="D119" i="3"/>
  <c r="D60" i="3"/>
  <c r="D64" i="3"/>
  <c r="D177" i="3"/>
  <c r="D190" i="3"/>
  <c r="D123" i="3"/>
  <c r="D112" i="3"/>
  <c r="D180" i="3"/>
  <c r="D33" i="3"/>
  <c r="D124" i="3"/>
  <c r="D160" i="3"/>
  <c r="D116" i="3"/>
  <c r="D19" i="3"/>
  <c r="D103" i="3"/>
  <c r="D92" i="3"/>
  <c r="D17" i="3"/>
  <c r="D47" i="3"/>
  <c r="D30" i="3"/>
  <c r="D11" i="3"/>
  <c r="D172" i="3"/>
  <c r="D163" i="3"/>
  <c r="D21" i="3"/>
  <c r="D37" i="3"/>
  <c r="D115" i="3"/>
  <c r="D117" i="3"/>
  <c r="D158" i="3"/>
  <c r="D87" i="3"/>
  <c r="D65" i="3"/>
  <c r="D144" i="3"/>
  <c r="D51" i="3"/>
  <c r="D149" i="3"/>
  <c r="D73" i="3"/>
  <c r="D166" i="3"/>
  <c r="D175" i="3"/>
  <c r="D31" i="3"/>
  <c r="D164" i="3"/>
  <c r="D137" i="3"/>
  <c r="D45" i="3"/>
  <c r="D113" i="3"/>
  <c r="D192" i="3"/>
  <c r="D200" i="3"/>
  <c r="D153" i="3"/>
  <c r="D133" i="3"/>
  <c r="D18" i="3"/>
  <c r="D126" i="3"/>
  <c r="D148" i="3"/>
  <c r="D52" i="3"/>
  <c r="D100" i="3"/>
  <c r="D118" i="3"/>
  <c r="D130" i="3"/>
  <c r="AQ834" i="4" l="1"/>
  <c r="AQ835" i="4"/>
  <c r="AQ836" i="4"/>
  <c r="AQ837" i="4"/>
  <c r="AQ838" i="4"/>
  <c r="AQ839" i="4"/>
  <c r="AQ840" i="4"/>
  <c r="AQ841" i="4"/>
  <c r="AQ842" i="4"/>
  <c r="AQ843" i="4"/>
  <c r="AQ844" i="4"/>
  <c r="AQ845" i="4"/>
  <c r="AQ846" i="4"/>
  <c r="AQ847" i="4"/>
  <c r="AQ848" i="4"/>
  <c r="AQ849" i="4"/>
  <c r="AQ850" i="4"/>
  <c r="AQ851" i="4"/>
  <c r="AQ852" i="4"/>
  <c r="AQ853" i="4"/>
  <c r="AQ854" i="4"/>
  <c r="AQ855" i="4"/>
  <c r="AQ856" i="4"/>
  <c r="AQ857" i="4"/>
  <c r="AQ858" i="4"/>
  <c r="AQ859" i="4"/>
  <c r="AQ860" i="4"/>
  <c r="AQ861" i="4"/>
  <c r="AQ862" i="4"/>
  <c r="AQ863" i="4"/>
  <c r="AQ864" i="4"/>
  <c r="AQ865" i="4"/>
  <c r="AQ866" i="4"/>
  <c r="AQ867" i="4"/>
  <c r="AQ868" i="4"/>
  <c r="AQ869" i="4"/>
  <c r="AQ870" i="4"/>
  <c r="AQ871" i="4"/>
  <c r="AQ872" i="4"/>
  <c r="AQ873" i="4"/>
  <c r="AQ874" i="4"/>
  <c r="AQ875" i="4"/>
  <c r="AQ876" i="4"/>
  <c r="AQ877" i="4"/>
  <c r="AQ878" i="4"/>
  <c r="AQ879" i="4"/>
  <c r="AQ880" i="4"/>
  <c r="AQ881" i="4"/>
  <c r="AQ882" i="4"/>
  <c r="AQ883" i="4"/>
  <c r="AQ884" i="4"/>
  <c r="AQ885" i="4"/>
  <c r="AQ886" i="4"/>
  <c r="AQ887" i="4"/>
  <c r="AQ888" i="4"/>
  <c r="AQ889" i="4"/>
  <c r="AQ890" i="4"/>
  <c r="AQ891" i="4"/>
  <c r="AQ892" i="4"/>
  <c r="AQ893" i="4"/>
  <c r="AQ894" i="4"/>
  <c r="AQ895" i="4"/>
  <c r="AQ896" i="4"/>
  <c r="AQ897" i="4"/>
  <c r="AQ898" i="4"/>
  <c r="AQ899" i="4"/>
  <c r="AQ900" i="4"/>
  <c r="AQ901" i="4"/>
  <c r="AQ902" i="4"/>
  <c r="AQ903" i="4"/>
  <c r="AQ904" i="4"/>
  <c r="AQ905" i="4"/>
  <c r="AQ906" i="4"/>
  <c r="AQ907" i="4"/>
  <c r="AQ908" i="4"/>
  <c r="AQ909" i="4"/>
  <c r="AQ910" i="4"/>
  <c r="AQ911" i="4"/>
  <c r="AQ912" i="4"/>
  <c r="AQ913" i="4"/>
  <c r="AQ914" i="4"/>
  <c r="AQ915" i="4"/>
  <c r="AQ916" i="4"/>
  <c r="AQ917" i="4"/>
  <c r="AQ918" i="4"/>
  <c r="AQ919" i="4"/>
  <c r="AQ920" i="4"/>
  <c r="AQ921" i="4"/>
  <c r="AQ922" i="4"/>
  <c r="AQ923" i="4"/>
  <c r="AQ924" i="4"/>
  <c r="AQ925" i="4"/>
  <c r="AQ926" i="4"/>
  <c r="AQ927" i="4"/>
  <c r="AQ928" i="4"/>
  <c r="AQ929" i="4"/>
  <c r="AQ930" i="4"/>
  <c r="AQ931" i="4"/>
  <c r="AQ932" i="4"/>
  <c r="AQ933" i="4"/>
  <c r="AQ934" i="4"/>
  <c r="AQ935" i="4"/>
  <c r="AQ936" i="4"/>
  <c r="AQ937" i="4"/>
  <c r="AQ938" i="4"/>
  <c r="AQ939" i="4"/>
  <c r="AQ940" i="4"/>
  <c r="AQ941" i="4"/>
  <c r="AQ942" i="4"/>
  <c r="AQ943" i="4"/>
  <c r="AQ944" i="4"/>
  <c r="AQ945" i="4"/>
  <c r="AQ946" i="4"/>
  <c r="AQ947" i="4"/>
  <c r="AQ948" i="4"/>
  <c r="AQ949" i="4"/>
  <c r="AQ950" i="4"/>
  <c r="AQ951" i="4"/>
  <c r="AQ952" i="4"/>
  <c r="AQ953" i="4"/>
  <c r="AQ954" i="4"/>
  <c r="AQ955" i="4"/>
  <c r="AQ956" i="4"/>
  <c r="AQ957" i="4"/>
  <c r="AQ958" i="4"/>
  <c r="AQ959" i="4"/>
  <c r="AQ960" i="4"/>
  <c r="AQ961" i="4"/>
  <c r="AQ962" i="4"/>
  <c r="AQ963" i="4"/>
  <c r="AQ964" i="4"/>
  <c r="AQ965" i="4"/>
  <c r="AQ966" i="4"/>
  <c r="AQ967" i="4"/>
  <c r="AQ968" i="4"/>
  <c r="AQ969" i="4"/>
  <c r="AQ970" i="4"/>
  <c r="AQ971" i="4"/>
  <c r="AQ972" i="4"/>
  <c r="AQ973" i="4"/>
  <c r="AQ974" i="4"/>
  <c r="AQ975" i="4"/>
  <c r="AQ976" i="4"/>
  <c r="AQ977" i="4"/>
  <c r="AQ978" i="4"/>
  <c r="AQ979" i="4"/>
  <c r="AQ980" i="4"/>
  <c r="AQ981" i="4"/>
  <c r="AQ982" i="4"/>
  <c r="AQ983" i="4"/>
  <c r="AQ984" i="4"/>
  <c r="AQ985" i="4"/>
  <c r="AQ986" i="4"/>
  <c r="AQ987" i="4"/>
  <c r="AQ988" i="4"/>
  <c r="AQ989" i="4"/>
  <c r="AQ990" i="4"/>
  <c r="AQ991" i="4"/>
  <c r="AQ992" i="4"/>
  <c r="AQ993" i="4"/>
  <c r="AQ994" i="4"/>
  <c r="AQ995" i="4"/>
  <c r="AQ996" i="4"/>
  <c r="AQ997" i="4"/>
  <c r="AQ998" i="4"/>
  <c r="AQ999" i="4"/>
  <c r="AQ1000" i="4"/>
  <c r="AQ1001" i="4"/>
  <c r="AQ1002" i="4"/>
  <c r="AQ1003" i="4"/>
  <c r="AQ1004" i="4"/>
  <c r="AQ1005" i="4"/>
  <c r="AQ1006" i="4"/>
  <c r="AQ1007" i="4"/>
  <c r="AQ1008" i="4"/>
  <c r="AQ1009" i="4"/>
  <c r="AQ1010" i="4"/>
  <c r="AQ1011" i="4"/>
  <c r="AQ1012" i="4"/>
  <c r="AQ1013" i="4"/>
  <c r="AQ1014" i="4"/>
  <c r="AQ1015" i="4"/>
  <c r="AQ1016" i="4"/>
  <c r="AQ1017" i="4"/>
  <c r="AQ1018" i="4"/>
  <c r="AQ1019" i="4"/>
  <c r="AQ1020" i="4"/>
  <c r="AQ1021" i="4"/>
  <c r="AQ1022" i="4"/>
  <c r="AQ1023" i="4"/>
  <c r="AQ1024" i="4"/>
  <c r="AQ1025" i="4"/>
  <c r="AQ1026" i="4"/>
  <c r="AQ1027" i="4"/>
  <c r="AQ1028" i="4"/>
  <c r="AQ1029" i="4"/>
  <c r="AQ1030" i="4"/>
  <c r="AQ1031" i="4"/>
  <c r="CO18" i="6" l="1"/>
  <c r="CO19" i="6"/>
  <c r="CO36" i="6"/>
  <c r="CO37" i="6"/>
  <c r="CO38" i="6"/>
  <c r="CO45" i="6"/>
  <c r="CO51" i="6"/>
  <c r="CO53" i="6"/>
  <c r="CO60" i="6"/>
  <c r="CO65" i="6"/>
  <c r="CO73" i="6"/>
  <c r="CO74" i="6"/>
  <c r="CO81" i="6"/>
  <c r="CO85" i="6"/>
  <c r="CO101" i="6"/>
  <c r="CO103" i="6"/>
  <c r="CO105" i="6"/>
  <c r="CO110" i="6"/>
  <c r="CO115" i="6"/>
  <c r="CO117" i="6"/>
  <c r="CO122" i="6"/>
  <c r="CO130" i="6"/>
  <c r="CO132" i="6"/>
  <c r="CO136" i="6"/>
  <c r="CO137" i="6"/>
  <c r="CO146" i="6"/>
  <c r="CO158" i="6"/>
  <c r="CO168" i="6"/>
  <c r="CO178" i="6"/>
  <c r="CO184" i="6"/>
  <c r="CO196" i="6"/>
  <c r="CO205" i="6"/>
  <c r="CO11" i="6"/>
  <c r="CO12" i="6"/>
  <c r="CO13" i="6"/>
  <c r="CO14" i="6"/>
  <c r="CO15" i="6"/>
  <c r="CO17" i="6"/>
  <c r="CO20" i="6"/>
  <c r="CO21" i="6"/>
  <c r="CO22" i="6"/>
  <c r="CO23" i="6"/>
  <c r="CO24" i="6"/>
  <c r="CO25" i="6"/>
  <c r="CO26" i="6"/>
  <c r="CO27" i="6"/>
  <c r="CO28" i="6"/>
  <c r="CO29" i="6"/>
  <c r="CO30" i="6"/>
  <c r="CO31" i="6"/>
  <c r="CO32" i="6"/>
  <c r="CO33" i="6"/>
  <c r="CO34" i="6"/>
  <c r="CO35" i="6"/>
  <c r="CO39" i="6"/>
  <c r="CO40" i="6"/>
  <c r="CO41" i="6"/>
  <c r="CO42" i="6"/>
  <c r="CO43" i="6"/>
  <c r="CO44" i="6"/>
  <c r="CO46" i="6"/>
  <c r="CO47" i="6"/>
  <c r="CO48" i="6"/>
  <c r="CO49" i="6"/>
  <c r="CO50" i="6"/>
  <c r="CO52" i="6"/>
  <c r="CO54" i="6"/>
  <c r="CO55" i="6"/>
  <c r="CO56" i="6"/>
  <c r="CO57" i="6"/>
  <c r="CO58" i="6"/>
  <c r="CO59" i="6"/>
  <c r="CO61" i="6"/>
  <c r="CO62" i="6"/>
  <c r="CO63" i="6"/>
  <c r="CO64" i="6"/>
  <c r="CO66" i="6"/>
  <c r="CO67" i="6"/>
  <c r="CO68" i="6"/>
  <c r="CO69" i="6"/>
  <c r="CO70" i="6"/>
  <c r="CO71" i="6"/>
  <c r="CO72" i="6"/>
  <c r="CO75" i="6"/>
  <c r="CO76" i="6"/>
  <c r="CO77" i="6"/>
  <c r="CO78" i="6"/>
  <c r="CO79" i="6"/>
  <c r="CO80" i="6"/>
  <c r="CO82" i="6"/>
  <c r="CO83" i="6"/>
  <c r="CO84" i="6"/>
  <c r="CO86" i="6"/>
  <c r="CO87" i="6"/>
  <c r="CO88" i="6"/>
  <c r="CO89" i="6"/>
  <c r="CO90" i="6"/>
  <c r="CO91" i="6"/>
  <c r="CO92" i="6"/>
  <c r="CO93" i="6"/>
  <c r="CO94" i="6"/>
  <c r="CO95" i="6"/>
  <c r="CO96" i="6"/>
  <c r="CO97" i="6"/>
  <c r="CO98" i="6"/>
  <c r="CO99" i="6"/>
  <c r="CO100" i="6"/>
  <c r="CO102" i="6"/>
  <c r="CO104" i="6"/>
  <c r="CO106" i="6"/>
  <c r="CO107" i="6"/>
  <c r="CO108" i="6"/>
  <c r="CO109" i="6"/>
  <c r="CO111" i="6"/>
  <c r="CO112" i="6"/>
  <c r="CO113" i="6"/>
  <c r="CO114" i="6"/>
  <c r="CO116" i="6"/>
  <c r="CO118" i="6"/>
  <c r="CO119" i="6"/>
  <c r="CO120" i="6"/>
  <c r="CO121" i="6"/>
  <c r="CO123" i="6"/>
  <c r="CO124" i="6"/>
  <c r="CO125" i="6"/>
  <c r="CO126" i="6"/>
  <c r="CO127" i="6"/>
  <c r="CO128" i="6"/>
  <c r="CO129" i="6"/>
  <c r="CO131" i="6"/>
  <c r="CO133" i="6"/>
  <c r="CO134" i="6"/>
  <c r="CO135" i="6"/>
  <c r="CO138" i="6"/>
  <c r="CO139" i="6"/>
  <c r="CO140" i="6"/>
  <c r="CO141" i="6"/>
  <c r="CO142" i="6"/>
  <c r="CO143" i="6"/>
  <c r="CO144" i="6"/>
  <c r="CO145" i="6"/>
  <c r="CO147" i="6"/>
  <c r="CO148" i="6"/>
  <c r="CO149" i="6"/>
  <c r="CO150" i="6"/>
  <c r="CO151" i="6"/>
  <c r="CO152" i="6"/>
  <c r="CO153" i="6"/>
  <c r="CO154" i="6"/>
  <c r="CO155" i="6"/>
  <c r="CO156" i="6"/>
  <c r="CO157" i="6"/>
  <c r="CO159" i="6"/>
  <c r="CO160" i="6"/>
  <c r="CO161" i="6"/>
  <c r="CO162" i="6"/>
  <c r="CO163" i="6"/>
  <c r="CO164" i="6"/>
  <c r="CO165" i="6"/>
  <c r="CO166" i="6"/>
  <c r="CO167" i="6"/>
  <c r="CO169" i="6"/>
  <c r="CO170" i="6"/>
  <c r="CO171" i="6"/>
  <c r="CO172" i="6"/>
  <c r="CO173" i="6"/>
  <c r="CO174" i="6"/>
  <c r="CO175" i="6"/>
  <c r="CO176" i="6"/>
  <c r="CO177" i="6"/>
  <c r="CO179" i="6"/>
  <c r="CO180" i="6"/>
  <c r="CO181" i="6"/>
  <c r="CO182" i="6"/>
  <c r="CO183" i="6"/>
  <c r="CO185" i="6"/>
  <c r="CO186" i="6"/>
  <c r="CO187" i="6"/>
  <c r="CO188" i="6"/>
  <c r="CO189" i="6"/>
  <c r="CO190" i="6"/>
  <c r="CO191" i="6"/>
  <c r="CO192" i="6"/>
  <c r="CO193" i="6"/>
  <c r="CO194" i="6"/>
  <c r="CO195" i="6"/>
  <c r="CO197" i="6"/>
  <c r="CO198" i="6"/>
  <c r="CO199" i="6"/>
  <c r="CO200" i="6"/>
  <c r="CO201" i="6"/>
  <c r="CO202" i="6"/>
  <c r="CO203" i="6"/>
  <c r="CO204" i="6"/>
  <c r="CO206" i="6"/>
  <c r="CO207" i="6"/>
  <c r="CO208" i="6"/>
  <c r="CO209" i="6"/>
  <c r="CO210" i="6"/>
  <c r="CO211" i="6"/>
  <c r="CO212" i="6"/>
  <c r="CO213" i="6"/>
  <c r="CO214" i="6"/>
  <c r="CO215" i="6"/>
  <c r="CO216" i="6"/>
  <c r="CO217" i="6"/>
  <c r="CO218" i="6"/>
  <c r="CO219" i="6"/>
  <c r="CO220" i="6"/>
  <c r="CO221" i="6"/>
  <c r="CO222" i="6"/>
  <c r="CO223" i="6"/>
  <c r="CO224" i="6"/>
  <c r="CO225" i="6"/>
  <c r="CO226" i="6"/>
  <c r="CO227" i="6"/>
  <c r="CO228" i="6"/>
  <c r="CO229" i="6"/>
  <c r="CO230" i="6"/>
  <c r="CO231" i="6"/>
  <c r="CO232" i="6"/>
  <c r="CO233" i="6"/>
  <c r="CO234" i="6"/>
  <c r="CN36" i="6"/>
  <c r="CN38" i="6"/>
  <c r="CN51" i="6"/>
  <c r="CN73" i="6"/>
  <c r="CN81" i="6"/>
  <c r="CN110" i="6"/>
  <c r="CN117" i="6"/>
  <c r="CN130" i="6"/>
  <c r="CN137" i="6"/>
  <c r="CN146" i="6"/>
  <c r="CN168" i="6"/>
  <c r="CN184" i="6"/>
  <c r="CN196" i="6"/>
  <c r="CN12" i="6"/>
  <c r="CN14" i="6"/>
  <c r="CN17" i="6"/>
  <c r="CN23" i="6"/>
  <c r="CN25" i="6"/>
  <c r="CN27" i="6"/>
  <c r="CN30" i="6"/>
  <c r="CN31" i="6"/>
  <c r="CN32" i="6"/>
  <c r="CN34" i="6"/>
  <c r="CN35" i="6"/>
  <c r="CN40" i="6"/>
  <c r="CN41" i="6"/>
  <c r="CN42" i="6"/>
  <c r="CN43" i="6"/>
  <c r="CN46" i="6"/>
  <c r="CN47" i="6"/>
  <c r="CN50" i="6"/>
  <c r="CN52" i="6"/>
  <c r="CN54" i="6"/>
  <c r="CN56" i="6"/>
  <c r="CN61" i="6"/>
  <c r="CN63" i="6"/>
  <c r="CN66" i="6"/>
  <c r="CN70" i="6"/>
  <c r="CN71" i="6"/>
  <c r="CN72" i="6"/>
  <c r="CN76" i="6"/>
  <c r="CN77" i="6"/>
  <c r="CN79" i="6"/>
  <c r="CN80" i="6"/>
  <c r="CN82" i="6"/>
  <c r="CN83" i="6"/>
  <c r="CN86" i="6"/>
  <c r="CN87" i="6"/>
  <c r="CN90" i="6"/>
  <c r="CN91" i="6"/>
  <c r="CN93" i="6"/>
  <c r="CN97" i="6"/>
  <c r="CN99" i="6"/>
  <c r="CN102" i="6"/>
  <c r="CN108" i="6"/>
  <c r="CN109" i="6"/>
  <c r="CN111" i="6"/>
  <c r="CN113" i="6"/>
  <c r="CN116" i="6"/>
  <c r="CN119" i="6"/>
  <c r="CN124" i="6"/>
  <c r="CN128" i="6"/>
  <c r="CN133" i="6"/>
  <c r="CN141" i="6"/>
  <c r="CN149" i="6"/>
  <c r="CN153" i="6"/>
  <c r="CN155" i="6"/>
  <c r="CN157" i="6"/>
  <c r="CN162" i="6"/>
  <c r="CN166" i="6"/>
  <c r="CN170" i="6"/>
  <c r="CN182" i="6"/>
  <c r="CN187" i="6"/>
  <c r="CN189" i="6"/>
  <c r="CN191" i="6"/>
  <c r="CN195" i="6"/>
  <c r="CN199" i="6"/>
  <c r="CN202" i="6"/>
  <c r="CN209" i="6"/>
  <c r="CN216" i="6"/>
  <c r="CN220" i="6"/>
  <c r="CN222" i="6"/>
  <c r="CN224" i="6"/>
  <c r="CN228" i="6"/>
  <c r="CN232" i="6"/>
  <c r="CL73" i="6"/>
  <c r="CL146" i="6"/>
  <c r="CL29" i="6"/>
  <c r="CL46" i="6"/>
  <c r="CL47" i="6"/>
  <c r="CL54" i="6"/>
  <c r="CL57" i="6"/>
  <c r="CL62" i="6"/>
  <c r="CL67" i="6"/>
  <c r="CL69" i="6"/>
  <c r="CL86" i="6"/>
  <c r="CL87" i="6"/>
  <c r="CL91" i="6"/>
  <c r="CL94" i="6"/>
  <c r="CL98" i="6"/>
  <c r="CL104" i="6"/>
  <c r="CL107" i="6"/>
  <c r="CL123" i="6"/>
  <c r="CL124" i="6"/>
  <c r="CL128" i="6"/>
  <c r="CL129" i="6"/>
  <c r="CL134" i="6"/>
  <c r="CL140" i="6"/>
  <c r="CL144" i="6"/>
  <c r="CL147" i="6"/>
  <c r="CL157" i="6"/>
  <c r="CL161" i="6"/>
  <c r="CL162" i="6"/>
  <c r="CL166" i="6"/>
  <c r="CL167" i="6"/>
  <c r="CL169" i="6"/>
  <c r="CL171" i="6"/>
  <c r="CL177" i="6"/>
  <c r="CL180" i="6"/>
  <c r="CL191" i="6"/>
  <c r="CL194" i="6"/>
  <c r="CL195" i="6"/>
  <c r="CL199" i="6"/>
  <c r="CL200" i="6"/>
  <c r="CL201" i="6"/>
  <c r="CL203" i="6"/>
  <c r="CL208" i="6"/>
  <c r="CL212" i="6"/>
  <c r="CL214" i="6"/>
  <c r="CL224" i="6"/>
  <c r="CL227" i="6"/>
  <c r="CL228" i="6"/>
  <c r="CL232" i="6"/>
  <c r="CL233" i="6"/>
  <c r="CL234" i="6"/>
  <c r="CN18" i="6"/>
  <c r="CN19" i="6"/>
  <c r="CN37" i="6"/>
  <c r="CN45" i="6"/>
  <c r="CN53" i="6"/>
  <c r="CN60" i="6"/>
  <c r="CN65" i="6"/>
  <c r="CN74" i="6"/>
  <c r="CN85" i="6"/>
  <c r="CN101" i="6"/>
  <c r="CN103" i="6"/>
  <c r="CN105" i="6"/>
  <c r="CN115" i="6"/>
  <c r="CN122" i="6"/>
  <c r="CN132" i="6"/>
  <c r="CN136" i="6"/>
  <c r="CN158" i="6"/>
  <c r="CN178" i="6"/>
  <c r="CN205" i="6"/>
  <c r="CN11" i="6"/>
  <c r="CN13" i="6"/>
  <c r="CN15" i="6"/>
  <c r="CN20" i="6"/>
  <c r="CN21" i="6"/>
  <c r="CN22" i="6"/>
  <c r="CN24" i="6"/>
  <c r="CN26" i="6"/>
  <c r="CN28" i="6"/>
  <c r="CN29" i="6"/>
  <c r="CN33" i="6"/>
  <c r="CN39" i="6"/>
  <c r="CN44" i="6"/>
  <c r="CN48" i="6"/>
  <c r="CN49" i="6"/>
  <c r="CN55" i="6"/>
  <c r="CN57" i="6"/>
  <c r="CN58" i="6"/>
  <c r="CN59" i="6"/>
  <c r="CN62" i="6"/>
  <c r="CN64" i="6"/>
  <c r="CN67" i="6"/>
  <c r="CN68" i="6"/>
  <c r="CN69" i="6"/>
  <c r="CN75" i="6"/>
  <c r="CN78" i="6"/>
  <c r="CN84" i="6"/>
  <c r="CN88" i="6"/>
  <c r="CN89" i="6"/>
  <c r="CN92" i="6"/>
  <c r="CN94" i="6"/>
  <c r="CN95" i="6"/>
  <c r="CN96" i="6"/>
  <c r="CN98" i="6"/>
  <c r="CN100" i="6"/>
  <c r="CN104" i="6"/>
  <c r="CN106" i="6"/>
  <c r="CN107" i="6"/>
  <c r="CN112" i="6"/>
  <c r="CN114" i="6"/>
  <c r="CN118" i="6"/>
  <c r="CN120" i="6"/>
  <c r="CN121" i="6"/>
  <c r="CN123" i="6"/>
  <c r="CN125" i="6"/>
  <c r="CN126" i="6"/>
  <c r="CN127" i="6"/>
  <c r="CN129" i="6"/>
  <c r="CN131" i="6"/>
  <c r="CN134" i="6"/>
  <c r="CN135" i="6"/>
  <c r="CN138" i="6"/>
  <c r="CN139" i="6"/>
  <c r="CN140" i="6"/>
  <c r="CN142" i="6"/>
  <c r="CN143" i="6"/>
  <c r="CN144" i="6"/>
  <c r="CN145" i="6"/>
  <c r="CN147" i="6"/>
  <c r="CN148" i="6"/>
  <c r="CN150" i="6"/>
  <c r="CN151" i="6"/>
  <c r="CN152" i="6"/>
  <c r="CN154" i="6"/>
  <c r="CN156" i="6"/>
  <c r="CN159" i="6"/>
  <c r="CN160" i="6"/>
  <c r="CN161" i="6"/>
  <c r="CN163" i="6"/>
  <c r="CN164" i="6"/>
  <c r="CN165" i="6"/>
  <c r="CN167" i="6"/>
  <c r="CN169" i="6"/>
  <c r="CN171" i="6"/>
  <c r="CN172" i="6"/>
  <c r="CN173" i="6"/>
  <c r="CN174" i="6"/>
  <c r="CN175" i="6"/>
  <c r="CN176" i="6"/>
  <c r="CN177" i="6"/>
  <c r="CN179" i="6"/>
  <c r="CN180" i="6"/>
  <c r="CN181" i="6"/>
  <c r="CN183" i="6"/>
  <c r="CN185" i="6"/>
  <c r="CN186" i="6"/>
  <c r="CN188" i="6"/>
  <c r="CN190" i="6"/>
  <c r="CN192" i="6"/>
  <c r="CN193" i="6"/>
  <c r="CN194" i="6"/>
  <c r="CN197" i="6"/>
  <c r="CN198" i="6"/>
  <c r="CN200" i="6"/>
  <c r="CN201" i="6"/>
  <c r="CN203" i="6"/>
  <c r="CN204" i="6"/>
  <c r="CN206" i="6"/>
  <c r="CN207" i="6"/>
  <c r="CN208" i="6"/>
  <c r="CN210" i="6"/>
  <c r="CN211" i="6"/>
  <c r="CN212" i="6"/>
  <c r="CN213" i="6"/>
  <c r="CN214" i="6"/>
  <c r="CN215" i="6"/>
  <c r="CN217" i="6"/>
  <c r="CN218" i="6"/>
  <c r="CN219" i="6"/>
  <c r="CN221" i="6"/>
  <c r="CN223" i="6"/>
  <c r="CN225" i="6"/>
  <c r="CN226" i="6"/>
  <c r="CN227" i="6"/>
  <c r="CN229" i="6"/>
  <c r="CN230" i="6"/>
  <c r="CN231" i="6"/>
  <c r="CN233" i="6"/>
  <c r="CN234" i="6"/>
  <c r="CL18" i="6"/>
  <c r="CL19" i="6"/>
  <c r="CL36" i="6"/>
  <c r="CL37" i="6"/>
  <c r="CL38" i="6"/>
  <c r="CL45" i="6"/>
  <c r="CL51" i="6"/>
  <c r="CL53" i="6"/>
  <c r="CL60" i="6"/>
  <c r="CL65" i="6"/>
  <c r="CL74" i="6"/>
  <c r="CL81" i="6"/>
  <c r="CL85" i="6"/>
  <c r="CL101" i="6"/>
  <c r="CL103" i="6"/>
  <c r="CL105" i="6"/>
  <c r="CL110" i="6"/>
  <c r="CL115" i="6"/>
  <c r="CL117" i="6"/>
  <c r="CL122" i="6"/>
  <c r="CL130" i="6"/>
  <c r="CL132" i="6"/>
  <c r="CL136" i="6"/>
  <c r="CL137" i="6"/>
  <c r="CL158" i="6"/>
  <c r="CL168" i="6"/>
  <c r="CL178" i="6"/>
  <c r="CL184" i="6"/>
  <c r="CL196" i="6"/>
  <c r="CL205" i="6"/>
  <c r="CL11" i="6"/>
  <c r="CL12" i="6"/>
  <c r="CL13" i="6"/>
  <c r="CL14" i="6"/>
  <c r="CL15" i="6"/>
  <c r="CL17" i="6"/>
  <c r="CL20" i="6"/>
  <c r="CL21" i="6"/>
  <c r="CL22" i="6"/>
  <c r="CL23" i="6"/>
  <c r="CL24" i="6"/>
  <c r="CL25" i="6"/>
  <c r="CL26" i="6"/>
  <c r="CL27" i="6"/>
  <c r="CL28" i="6"/>
  <c r="CL30" i="6"/>
  <c r="CL31" i="6"/>
  <c r="CL32" i="6"/>
  <c r="CL33" i="6"/>
  <c r="CL34" i="6"/>
  <c r="CL35" i="6"/>
  <c r="CL39" i="6"/>
  <c r="CL40" i="6"/>
  <c r="CL41" i="6"/>
  <c r="CL42" i="6"/>
  <c r="CL43" i="6"/>
  <c r="CL44" i="6"/>
  <c r="CL48" i="6"/>
  <c r="CL49" i="6"/>
  <c r="CL50" i="6"/>
  <c r="CL52" i="6"/>
  <c r="CL55" i="6"/>
  <c r="CL56" i="6"/>
  <c r="CL58" i="6"/>
  <c r="CL59" i="6"/>
  <c r="CL61" i="6"/>
  <c r="CL63" i="6"/>
  <c r="CL64" i="6"/>
  <c r="CL66" i="6"/>
  <c r="CL68" i="6"/>
  <c r="CL70" i="6"/>
  <c r="CL71" i="6"/>
  <c r="CL72" i="6"/>
  <c r="CL75" i="6"/>
  <c r="CL76" i="6"/>
  <c r="CL77" i="6"/>
  <c r="CL78" i="6"/>
  <c r="CL79" i="6"/>
  <c r="CL80" i="6"/>
  <c r="CL82" i="6"/>
  <c r="CL83" i="6"/>
  <c r="CL84" i="6"/>
  <c r="CL88" i="6"/>
  <c r="CL89" i="6"/>
  <c r="CL90" i="6"/>
  <c r="CL92" i="6"/>
  <c r="CL93" i="6"/>
  <c r="CL95" i="6"/>
  <c r="CL96" i="6"/>
  <c r="CL97" i="6"/>
  <c r="CL99" i="6"/>
  <c r="CL100" i="6"/>
  <c r="CL102" i="6"/>
  <c r="CL106" i="6"/>
  <c r="CL108" i="6"/>
  <c r="CL109" i="6"/>
  <c r="CL111" i="6"/>
  <c r="CL112" i="6"/>
  <c r="CL113" i="6"/>
  <c r="CL114" i="6"/>
  <c r="CL116" i="6"/>
  <c r="CL118" i="6"/>
  <c r="CL119" i="6"/>
  <c r="CL120" i="6"/>
  <c r="CL121" i="6"/>
  <c r="CL125" i="6"/>
  <c r="CL126" i="6"/>
  <c r="CL127" i="6"/>
  <c r="CL131" i="6"/>
  <c r="CL133" i="6"/>
  <c r="CL135" i="6"/>
  <c r="CL138" i="6"/>
  <c r="CL139" i="6"/>
  <c r="CL141" i="6"/>
  <c r="CL142" i="6"/>
  <c r="CL143" i="6"/>
  <c r="CL145" i="6"/>
  <c r="CL148" i="6"/>
  <c r="CL149" i="6"/>
  <c r="CL150" i="6"/>
  <c r="CL151" i="6"/>
  <c r="CL152" i="6"/>
  <c r="CL153" i="6"/>
  <c r="CL154" i="6"/>
  <c r="CL155" i="6"/>
  <c r="CL156" i="6"/>
  <c r="CL159" i="6"/>
  <c r="CL160" i="6"/>
  <c r="CL163" i="6"/>
  <c r="CL164" i="6"/>
  <c r="CL165" i="6"/>
  <c r="CL170" i="6"/>
  <c r="CL172" i="6"/>
  <c r="CL173" i="6"/>
  <c r="CL174" i="6"/>
  <c r="CL175" i="6"/>
  <c r="CL176" i="6"/>
  <c r="CL179" i="6"/>
  <c r="CL181" i="6"/>
  <c r="CL182" i="6"/>
  <c r="CL183" i="6"/>
  <c r="CL185" i="6"/>
  <c r="CL186" i="6"/>
  <c r="CL187" i="6"/>
  <c r="CL188" i="6"/>
  <c r="CL189" i="6"/>
  <c r="CL190" i="6"/>
  <c r="CL192" i="6"/>
  <c r="CL193" i="6"/>
  <c r="CL197" i="6"/>
  <c r="CL198" i="6"/>
  <c r="CL202" i="6"/>
  <c r="CL204" i="6"/>
  <c r="CL206" i="6"/>
  <c r="CL207" i="6"/>
  <c r="CL209" i="6"/>
  <c r="CL210" i="6"/>
  <c r="CL211" i="6"/>
  <c r="CL213" i="6"/>
  <c r="CL215" i="6"/>
  <c r="CL216" i="6"/>
  <c r="CL217" i="6"/>
  <c r="CL218" i="6"/>
  <c r="CL219" i="6"/>
  <c r="CL220" i="6"/>
  <c r="CL221" i="6"/>
  <c r="CL222" i="6"/>
  <c r="CL223" i="6"/>
  <c r="CL225" i="6"/>
  <c r="CL226" i="6"/>
  <c r="CL229" i="6"/>
  <c r="CL230" i="6"/>
  <c r="CL231" i="6"/>
  <c r="CP49" i="6" l="1"/>
  <c r="CP48" i="6"/>
  <c r="CP45" i="6"/>
  <c r="CP178" i="6"/>
  <c r="CP145" i="6"/>
  <c r="CP50" i="6"/>
  <c r="CP193" i="6"/>
  <c r="CP28" i="6"/>
  <c r="CP61" i="6"/>
  <c r="CP192" i="6"/>
  <c r="CP112" i="6"/>
  <c r="CP150" i="6"/>
  <c r="CP27" i="6"/>
  <c r="CP172" i="6"/>
  <c r="CP121" i="6"/>
  <c r="CP41" i="6"/>
  <c r="CP160" i="6"/>
  <c r="CP226" i="6"/>
  <c r="CP168" i="6"/>
  <c r="CP204" i="6"/>
  <c r="CP142" i="6"/>
  <c r="CP135" i="6"/>
  <c r="CP34" i="6"/>
  <c r="CP117" i="6"/>
  <c r="CP151" i="6"/>
  <c r="CP102" i="6"/>
  <c r="CP175" i="6"/>
  <c r="CP105" i="6"/>
  <c r="CP55" i="6"/>
  <c r="CP11" i="6"/>
  <c r="CP163" i="6"/>
  <c r="CP97" i="6"/>
  <c r="CP131" i="6"/>
  <c r="CP88" i="6"/>
  <c r="CP91" i="6"/>
  <c r="CP154" i="6"/>
  <c r="CP114" i="6"/>
  <c r="CP53" i="6"/>
  <c r="CP130" i="6"/>
  <c r="CP188" i="6"/>
  <c r="CP76" i="6"/>
  <c r="CP122" i="6"/>
  <c r="CP38" i="6"/>
  <c r="CP23" i="6"/>
  <c r="CP60" i="6"/>
  <c r="CP90" i="6"/>
  <c r="CP225" i="6"/>
  <c r="CP179" i="6"/>
  <c r="CP100" i="6"/>
  <c r="CP78" i="6"/>
  <c r="CP20" i="6"/>
  <c r="CP54" i="6"/>
  <c r="CP120" i="6"/>
  <c r="CP84" i="6"/>
  <c r="CP210" i="6"/>
  <c r="CP159" i="6"/>
  <c r="CP95" i="6"/>
  <c r="CP33" i="6"/>
  <c r="CP14" i="6"/>
  <c r="CP115" i="6"/>
  <c r="CP36" i="6"/>
  <c r="CP213" i="6"/>
  <c r="CP221" i="6"/>
  <c r="CP111" i="6"/>
  <c r="CP75" i="6"/>
  <c r="CP15" i="6"/>
  <c r="CP58" i="6"/>
  <c r="CP81" i="6"/>
  <c r="CP43" i="6"/>
  <c r="CP80" i="6"/>
  <c r="CP30" i="6"/>
  <c r="CP74" i="6"/>
  <c r="CP136" i="6"/>
  <c r="CP21" i="6"/>
  <c r="CP39" i="6"/>
  <c r="CP185" i="6"/>
  <c r="CP83" i="6"/>
  <c r="CP197" i="6"/>
  <c r="CP230" i="6"/>
  <c r="CP183" i="6"/>
  <c r="CP24" i="6"/>
  <c r="CP19" i="6"/>
  <c r="CP26" i="6"/>
  <c r="CP229" i="6"/>
  <c r="CP92" i="6"/>
  <c r="CP218" i="6"/>
  <c r="CP217" i="6"/>
  <c r="CP68" i="6"/>
  <c r="CP103" i="6"/>
  <c r="CP37" i="6"/>
  <c r="CP66" i="6"/>
  <c r="CP205" i="6"/>
  <c r="CP101" i="6"/>
  <c r="CP126" i="6"/>
  <c r="CP164" i="6"/>
  <c r="CP125" i="6"/>
  <c r="CP231" i="6"/>
  <c r="CP219" i="6"/>
  <c r="CP198" i="6"/>
  <c r="CP186" i="6"/>
  <c r="CP165" i="6"/>
  <c r="CP152" i="6"/>
  <c r="CP127" i="6"/>
  <c r="CP32" i="6"/>
  <c r="CP207" i="6"/>
  <c r="CP174" i="6"/>
  <c r="CP139" i="6"/>
  <c r="CP184" i="6"/>
  <c r="CP215" i="6"/>
  <c r="CP181" i="6"/>
  <c r="CP148" i="6"/>
  <c r="CP22" i="6"/>
  <c r="CP79" i="6"/>
  <c r="CP59" i="6"/>
  <c r="CP65" i="6"/>
  <c r="CP40" i="6"/>
  <c r="CP137" i="6"/>
  <c r="CP223" i="6"/>
  <c r="CP190" i="6"/>
  <c r="CP156" i="6"/>
  <c r="CP118" i="6"/>
  <c r="CP202" i="6"/>
  <c r="CP170" i="6"/>
  <c r="CP133" i="6"/>
  <c r="CP108" i="6"/>
  <c r="CP72" i="6"/>
  <c r="CP211" i="6"/>
  <c r="CP176" i="6"/>
  <c r="CP143" i="6"/>
  <c r="CP96" i="6"/>
  <c r="CP173" i="6"/>
  <c r="CP158" i="6"/>
  <c r="CP110" i="6"/>
  <c r="CP70" i="6"/>
  <c r="CP12" i="6"/>
  <c r="CP18" i="6"/>
  <c r="CP206" i="6"/>
  <c r="CP89" i="6"/>
  <c r="CP64" i="6"/>
  <c r="CP85" i="6"/>
  <c r="CP138" i="6"/>
  <c r="CP149" i="6"/>
  <c r="CP119" i="6"/>
  <c r="CP109" i="6"/>
  <c r="CP44" i="6"/>
  <c r="CP25" i="6"/>
  <c r="CP228" i="6"/>
  <c r="CP214" i="6"/>
  <c r="CP166" i="6"/>
  <c r="CP157" i="6"/>
  <c r="CP220" i="6"/>
  <c r="CP209" i="6"/>
  <c r="CP93" i="6"/>
  <c r="CP82" i="6"/>
  <c r="CP71" i="6"/>
  <c r="CP13" i="6"/>
  <c r="CP182" i="6"/>
  <c r="CP155" i="6"/>
  <c r="CP116" i="6"/>
  <c r="CP106" i="6"/>
  <c r="CP56" i="6"/>
  <c r="CP42" i="6"/>
  <c r="CP31" i="6"/>
  <c r="CP234" i="6"/>
  <c r="CP212" i="6"/>
  <c r="CP203" i="6"/>
  <c r="CP195" i="6"/>
  <c r="CP180" i="6"/>
  <c r="CP140" i="6"/>
  <c r="CP128" i="6"/>
  <c r="CP87" i="6"/>
  <c r="CP216" i="6"/>
  <c r="CP189" i="6"/>
  <c r="CP153" i="6"/>
  <c r="CP113" i="6"/>
  <c r="CP52" i="6"/>
  <c r="CP132" i="6"/>
  <c r="CP51" i="6"/>
  <c r="CP232" i="6"/>
  <c r="CP224" i="6"/>
  <c r="CP201" i="6"/>
  <c r="CP177" i="6"/>
  <c r="CP171" i="6"/>
  <c r="CP162" i="6"/>
  <c r="CP147" i="6"/>
  <c r="CP141" i="6"/>
  <c r="CP99" i="6"/>
  <c r="CP77" i="6"/>
  <c r="CP196" i="6"/>
  <c r="CP200" i="6"/>
  <c r="CP161" i="6"/>
  <c r="CP98" i="6"/>
  <c r="CP67" i="6"/>
  <c r="CP57" i="6"/>
  <c r="CP222" i="6"/>
  <c r="CP187" i="6"/>
  <c r="CP63" i="6"/>
  <c r="CP35" i="6"/>
  <c r="CP17" i="6"/>
  <c r="CP208" i="6"/>
  <c r="CP199" i="6"/>
  <c r="CP191" i="6"/>
  <c r="CP169" i="6"/>
  <c r="CP144" i="6"/>
  <c r="CP134" i="6"/>
  <c r="CP124" i="6"/>
  <c r="CP47" i="6"/>
  <c r="CP167" i="6"/>
  <c r="CP123" i="6"/>
  <c r="CP107" i="6"/>
  <c r="CP46" i="6"/>
  <c r="CP29" i="6"/>
  <c r="CP146" i="6"/>
  <c r="CP73" i="6"/>
  <c r="CP227" i="6"/>
  <c r="CP129" i="6"/>
  <c r="CP104" i="6"/>
  <c r="CP94" i="6"/>
  <c r="CP62" i="6"/>
  <c r="CP233" i="6"/>
  <c r="CP194" i="6"/>
  <c r="CP86" i="6"/>
  <c r="CP69" i="6"/>
  <c r="CH18" i="6" l="1"/>
  <c r="CH53" i="6"/>
  <c r="CH60" i="6"/>
  <c r="CH101" i="6"/>
  <c r="CH103" i="6"/>
  <c r="CH132" i="6"/>
  <c r="CH136" i="6"/>
  <c r="CH184" i="6"/>
  <c r="CH17" i="6"/>
  <c r="CH25" i="6"/>
  <c r="CH32" i="6"/>
  <c r="CH33" i="6"/>
  <c r="CH42" i="6"/>
  <c r="CH43" i="6"/>
  <c r="CH50" i="6"/>
  <c r="CH52" i="6"/>
  <c r="CH59" i="6"/>
  <c r="CH61" i="6"/>
  <c r="CH69" i="6"/>
  <c r="CH70" i="6"/>
  <c r="CH79" i="6"/>
  <c r="CH80" i="6"/>
  <c r="CH87" i="6"/>
  <c r="CH88" i="6"/>
  <c r="CH94" i="6"/>
  <c r="CH102" i="6"/>
  <c r="CH104" i="6"/>
  <c r="CH113" i="6"/>
  <c r="CH123" i="6"/>
  <c r="CH133" i="6"/>
  <c r="CH141" i="6"/>
  <c r="CH150" i="6"/>
  <c r="CH151" i="6"/>
  <c r="CH159" i="6"/>
  <c r="CH160" i="6"/>
  <c r="CH166" i="6"/>
  <c r="CH167" i="6"/>
  <c r="CH174" i="6"/>
  <c r="CH181" i="6"/>
  <c r="CH182" i="6"/>
  <c r="CH190" i="6"/>
  <c r="CH191" i="6"/>
  <c r="CH197" i="6"/>
  <c r="CH198" i="6"/>
  <c r="CH204" i="6"/>
  <c r="CH213" i="6"/>
  <c r="CH221" i="6"/>
  <c r="CH222" i="6"/>
  <c r="CH228" i="6"/>
  <c r="CH229" i="6"/>
  <c r="CH19" i="6"/>
  <c r="CH15" i="6"/>
  <c r="CH26" i="6"/>
  <c r="CH131" i="6"/>
  <c r="CH142" i="6"/>
  <c r="CH206" i="6"/>
  <c r="CH214" i="6"/>
  <c r="CE16" i="6"/>
  <c r="CE122" i="6"/>
  <c r="CE25" i="6"/>
  <c r="CE52" i="6"/>
  <c r="CE124" i="6"/>
  <c r="CE133" i="6"/>
  <c r="CE182" i="6"/>
  <c r="CE17" i="6"/>
  <c r="CE46" i="6"/>
  <c r="CE66" i="6"/>
  <c r="CE188" i="6"/>
  <c r="CB45" i="6"/>
  <c r="CB74" i="6"/>
  <c r="CB110" i="6"/>
  <c r="CB136" i="6"/>
  <c r="CB15" i="6"/>
  <c r="CB24" i="6"/>
  <c r="CB30" i="6"/>
  <c r="CB39" i="6"/>
  <c r="CB55" i="6"/>
  <c r="CB62" i="6"/>
  <c r="CB70" i="6"/>
  <c r="CB78" i="6"/>
  <c r="CB92" i="6"/>
  <c r="CB98" i="6"/>
  <c r="CB108" i="6"/>
  <c r="CB114" i="6"/>
  <c r="CB124" i="6"/>
  <c r="CB143" i="6"/>
  <c r="CB151" i="6"/>
  <c r="CB159" i="6"/>
  <c r="CB166" i="6"/>
  <c r="CB174" i="6"/>
  <c r="CB188" i="6"/>
  <c r="CB195" i="6"/>
  <c r="CB211" i="6"/>
  <c r="CB218" i="6"/>
  <c r="CB225" i="6"/>
  <c r="CB232" i="6"/>
  <c r="BU18" i="6"/>
  <c r="BU81" i="6"/>
  <c r="BU103" i="6"/>
  <c r="BU168" i="6"/>
  <c r="BU205" i="6"/>
  <c r="BU25" i="6"/>
  <c r="BU43" i="6"/>
  <c r="BU48" i="6"/>
  <c r="BU68" i="6"/>
  <c r="BU83" i="6"/>
  <c r="BU88" i="6"/>
  <c r="BU106" i="6"/>
  <c r="BU120" i="6"/>
  <c r="BU125" i="6"/>
  <c r="BU141" i="6"/>
  <c r="BU159" i="6"/>
  <c r="BU163" i="6"/>
  <c r="BU179" i="6"/>
  <c r="BU192" i="6"/>
  <c r="BU209" i="6"/>
  <c r="BU213" i="6"/>
  <c r="BU229" i="6"/>
  <c r="BP16" i="6"/>
  <c r="BS16" i="6"/>
  <c r="BR16" i="6" s="1"/>
  <c r="BU36" i="6"/>
  <c r="CB16" i="6"/>
  <c r="BU63" i="6"/>
  <c r="BU99" i="6"/>
  <c r="BU145" i="6"/>
  <c r="BU225" i="6"/>
  <c r="CB180" i="6"/>
  <c r="CE38" i="6"/>
  <c r="CE58" i="6"/>
  <c r="CL16" i="6"/>
  <c r="CN16" i="6"/>
  <c r="CO16" i="6"/>
  <c r="CQ16" i="6" s="1"/>
  <c r="CQ18" i="6"/>
  <c r="CQ19" i="6"/>
  <c r="CQ36" i="6"/>
  <c r="CQ37" i="6"/>
  <c r="CQ38" i="6"/>
  <c r="CQ45" i="6"/>
  <c r="CQ51" i="6"/>
  <c r="CQ53" i="6"/>
  <c r="CQ60" i="6"/>
  <c r="CQ65" i="6"/>
  <c r="CQ73" i="6"/>
  <c r="CQ74" i="6"/>
  <c r="CQ81" i="6"/>
  <c r="CQ85" i="6"/>
  <c r="CQ101" i="6"/>
  <c r="CQ103" i="6"/>
  <c r="CQ105" i="6"/>
  <c r="CQ110" i="6"/>
  <c r="CQ115" i="6"/>
  <c r="CQ117" i="6"/>
  <c r="CQ122" i="6"/>
  <c r="CQ130" i="6"/>
  <c r="CQ132" i="6"/>
  <c r="CQ136" i="6"/>
  <c r="CQ137" i="6"/>
  <c r="CQ146" i="6"/>
  <c r="CQ158" i="6"/>
  <c r="CQ168" i="6"/>
  <c r="CQ178" i="6"/>
  <c r="CQ184" i="6"/>
  <c r="CQ196" i="6"/>
  <c r="CQ205" i="6"/>
  <c r="CQ11" i="6"/>
  <c r="CQ12" i="6"/>
  <c r="CQ13" i="6"/>
  <c r="CQ14" i="6"/>
  <c r="CQ15" i="6"/>
  <c r="CQ17" i="6"/>
  <c r="CQ20" i="6"/>
  <c r="CQ21" i="6"/>
  <c r="CQ22" i="6"/>
  <c r="CQ23" i="6"/>
  <c r="CQ24" i="6"/>
  <c r="CQ25" i="6"/>
  <c r="CQ26" i="6"/>
  <c r="CQ27" i="6"/>
  <c r="CQ28" i="6"/>
  <c r="CQ29" i="6"/>
  <c r="CQ30" i="6"/>
  <c r="CQ31" i="6"/>
  <c r="CQ32" i="6"/>
  <c r="CQ33" i="6"/>
  <c r="CQ34" i="6"/>
  <c r="CQ35" i="6"/>
  <c r="CQ39" i="6"/>
  <c r="CQ40" i="6"/>
  <c r="CQ41" i="6"/>
  <c r="CQ42" i="6"/>
  <c r="CQ43" i="6"/>
  <c r="CQ44" i="6"/>
  <c r="CQ46" i="6"/>
  <c r="CQ47" i="6"/>
  <c r="CQ48" i="6"/>
  <c r="CQ49" i="6"/>
  <c r="CQ50" i="6"/>
  <c r="CQ52" i="6"/>
  <c r="CQ54" i="6"/>
  <c r="CQ55" i="6"/>
  <c r="CQ56" i="6"/>
  <c r="CQ57" i="6"/>
  <c r="CQ58" i="6"/>
  <c r="CQ59" i="6"/>
  <c r="CQ61" i="6"/>
  <c r="CQ62" i="6"/>
  <c r="CQ63" i="6"/>
  <c r="CQ64" i="6"/>
  <c r="CQ66" i="6"/>
  <c r="CQ67" i="6"/>
  <c r="CQ68" i="6"/>
  <c r="CQ69" i="6"/>
  <c r="CQ70" i="6"/>
  <c r="CQ71" i="6"/>
  <c r="CQ72" i="6"/>
  <c r="CQ75" i="6"/>
  <c r="CQ76" i="6"/>
  <c r="CQ77" i="6"/>
  <c r="CQ78" i="6"/>
  <c r="CQ79" i="6"/>
  <c r="CQ80" i="6"/>
  <c r="CQ82" i="6"/>
  <c r="CQ83" i="6"/>
  <c r="CQ84" i="6"/>
  <c r="CQ86" i="6"/>
  <c r="CQ87" i="6"/>
  <c r="CQ88" i="6"/>
  <c r="CQ89" i="6"/>
  <c r="CQ90" i="6"/>
  <c r="CQ91" i="6"/>
  <c r="CQ92" i="6"/>
  <c r="CQ93" i="6"/>
  <c r="CQ94" i="6"/>
  <c r="CQ95" i="6"/>
  <c r="CQ96" i="6"/>
  <c r="CQ97" i="6"/>
  <c r="CQ98" i="6"/>
  <c r="CQ99" i="6"/>
  <c r="CQ100" i="6"/>
  <c r="CQ102" i="6"/>
  <c r="CQ104" i="6"/>
  <c r="CQ106" i="6"/>
  <c r="CQ107" i="6"/>
  <c r="CQ108" i="6"/>
  <c r="CQ109" i="6"/>
  <c r="CQ111" i="6"/>
  <c r="CQ112" i="6"/>
  <c r="CQ113" i="6"/>
  <c r="CQ114" i="6"/>
  <c r="CQ116" i="6"/>
  <c r="CQ118" i="6"/>
  <c r="CQ119" i="6"/>
  <c r="CQ120" i="6"/>
  <c r="CQ121" i="6"/>
  <c r="CQ123" i="6"/>
  <c r="CQ124" i="6"/>
  <c r="CQ125" i="6"/>
  <c r="CQ126" i="6"/>
  <c r="CQ127" i="6"/>
  <c r="CQ128" i="6"/>
  <c r="CQ129" i="6"/>
  <c r="CQ131" i="6"/>
  <c r="CQ133" i="6"/>
  <c r="CQ134" i="6"/>
  <c r="CQ135" i="6"/>
  <c r="CQ138" i="6"/>
  <c r="CQ139" i="6"/>
  <c r="CQ140" i="6"/>
  <c r="CQ141" i="6"/>
  <c r="CQ142" i="6"/>
  <c r="CQ143" i="6"/>
  <c r="CQ144" i="6"/>
  <c r="CQ145" i="6"/>
  <c r="CQ147" i="6"/>
  <c r="CQ148" i="6"/>
  <c r="CQ149" i="6"/>
  <c r="CQ150" i="6"/>
  <c r="CQ151" i="6"/>
  <c r="CQ152" i="6"/>
  <c r="CQ153" i="6"/>
  <c r="CQ154" i="6"/>
  <c r="CQ155" i="6"/>
  <c r="CQ156" i="6"/>
  <c r="CQ157" i="6"/>
  <c r="CQ159" i="6"/>
  <c r="CQ160" i="6"/>
  <c r="CQ161" i="6"/>
  <c r="CQ162" i="6"/>
  <c r="CQ163" i="6"/>
  <c r="CQ164" i="6"/>
  <c r="CQ165" i="6"/>
  <c r="CQ166" i="6"/>
  <c r="CQ167" i="6"/>
  <c r="CQ169" i="6"/>
  <c r="CQ170" i="6"/>
  <c r="CQ171" i="6"/>
  <c r="CQ172" i="6"/>
  <c r="CQ173" i="6"/>
  <c r="CQ174" i="6"/>
  <c r="CQ175" i="6"/>
  <c r="CQ176" i="6"/>
  <c r="CQ177" i="6"/>
  <c r="CQ179" i="6"/>
  <c r="CQ180" i="6"/>
  <c r="CQ181" i="6"/>
  <c r="CQ182" i="6"/>
  <c r="CQ183" i="6"/>
  <c r="CQ185" i="6"/>
  <c r="CQ186" i="6"/>
  <c r="CQ187" i="6"/>
  <c r="CQ188" i="6"/>
  <c r="CQ189" i="6"/>
  <c r="CQ190" i="6"/>
  <c r="CQ191" i="6"/>
  <c r="CQ192" i="6"/>
  <c r="CQ193" i="6"/>
  <c r="CQ194" i="6"/>
  <c r="CQ195" i="6"/>
  <c r="CQ197" i="6"/>
  <c r="CQ198" i="6"/>
  <c r="CQ199" i="6"/>
  <c r="CQ200" i="6"/>
  <c r="CQ201" i="6"/>
  <c r="CQ202" i="6"/>
  <c r="CQ203" i="6"/>
  <c r="CQ204" i="6"/>
  <c r="CQ206" i="6"/>
  <c r="CQ207" i="6"/>
  <c r="CQ208" i="6"/>
  <c r="CQ209" i="6"/>
  <c r="CQ210" i="6"/>
  <c r="CQ211" i="6"/>
  <c r="CQ212" i="6"/>
  <c r="CQ213" i="6"/>
  <c r="CQ214" i="6"/>
  <c r="CQ215" i="6"/>
  <c r="CQ216" i="6"/>
  <c r="CQ217" i="6"/>
  <c r="CQ218" i="6"/>
  <c r="CQ219" i="6"/>
  <c r="CQ220" i="6"/>
  <c r="CQ221" i="6"/>
  <c r="CQ222" i="6"/>
  <c r="CQ223" i="6"/>
  <c r="CQ224" i="6"/>
  <c r="CQ225" i="6"/>
  <c r="CQ226" i="6"/>
  <c r="CQ227" i="6"/>
  <c r="CQ228" i="6"/>
  <c r="CQ229" i="6"/>
  <c r="CQ230" i="6"/>
  <c r="CQ231" i="6"/>
  <c r="CQ232" i="6"/>
  <c r="CQ233" i="6"/>
  <c r="CQ234" i="6"/>
  <c r="CD182" i="6" l="1"/>
  <c r="CP16" i="6"/>
  <c r="CD52" i="6"/>
  <c r="CD25" i="6"/>
  <c r="CD17" i="6"/>
  <c r="CD133" i="6"/>
  <c r="CH36" i="6"/>
  <c r="CH220" i="6"/>
  <c r="CH212" i="6"/>
  <c r="CH203" i="6"/>
  <c r="CH189" i="6"/>
  <c r="CH180" i="6"/>
  <c r="CH173" i="6"/>
  <c r="CH165" i="6"/>
  <c r="CH157" i="6"/>
  <c r="CH149" i="6"/>
  <c r="CH140" i="6"/>
  <c r="CH129" i="6"/>
  <c r="CH121" i="6"/>
  <c r="CH112" i="6"/>
  <c r="CH100" i="6"/>
  <c r="CH93" i="6"/>
  <c r="CH78" i="6"/>
  <c r="CH68" i="6"/>
  <c r="CH58" i="6"/>
  <c r="CD58" i="6" s="1"/>
  <c r="CH49" i="6"/>
  <c r="CH31" i="6"/>
  <c r="CH24" i="6"/>
  <c r="CH14" i="6"/>
  <c r="CH178" i="6"/>
  <c r="CH130" i="6"/>
  <c r="CH16" i="6"/>
  <c r="CD16" i="6" s="1"/>
  <c r="CH234" i="6"/>
  <c r="CH227" i="6"/>
  <c r="CH219" i="6"/>
  <c r="CH211" i="6"/>
  <c r="CH195" i="6"/>
  <c r="CH188" i="6"/>
  <c r="CD188" i="6" s="1"/>
  <c r="CH179" i="6"/>
  <c r="CH172" i="6"/>
  <c r="CH164" i="6"/>
  <c r="CH156" i="6"/>
  <c r="CH148" i="6"/>
  <c r="CH139" i="6"/>
  <c r="CH128" i="6"/>
  <c r="CH120" i="6"/>
  <c r="CH111" i="6"/>
  <c r="CH99" i="6"/>
  <c r="CH92" i="6"/>
  <c r="CH86" i="6"/>
  <c r="CH77" i="6"/>
  <c r="CH67" i="6"/>
  <c r="CH57" i="6"/>
  <c r="CH48" i="6"/>
  <c r="CH41" i="6"/>
  <c r="CH30" i="6"/>
  <c r="CH23" i="6"/>
  <c r="CH13" i="6"/>
  <c r="CH168" i="6"/>
  <c r="CH122" i="6"/>
  <c r="CD122" i="6" s="1"/>
  <c r="CH85" i="6"/>
  <c r="CH51" i="6"/>
  <c r="CH233" i="6"/>
  <c r="CH226" i="6"/>
  <c r="CH218" i="6"/>
  <c r="CH210" i="6"/>
  <c r="CH202" i="6"/>
  <c r="CH187" i="6"/>
  <c r="CH177" i="6"/>
  <c r="CH171" i="6"/>
  <c r="CH163" i="6"/>
  <c r="CH155" i="6"/>
  <c r="CH147" i="6"/>
  <c r="CH138" i="6"/>
  <c r="CH127" i="6"/>
  <c r="CH119" i="6"/>
  <c r="CH109" i="6"/>
  <c r="CH98" i="6"/>
  <c r="CH91" i="6"/>
  <c r="CH84" i="6"/>
  <c r="CH76" i="6"/>
  <c r="CH66" i="6"/>
  <c r="CD66" i="6" s="1"/>
  <c r="CH47" i="6"/>
  <c r="CH40" i="6"/>
  <c r="CH29" i="6"/>
  <c r="CH22" i="6"/>
  <c r="CH12" i="6"/>
  <c r="CH158" i="6"/>
  <c r="CH117" i="6"/>
  <c r="CH81" i="6"/>
  <c r="CH45" i="6"/>
  <c r="CH232" i="6"/>
  <c r="CH225" i="6"/>
  <c r="CH217" i="6"/>
  <c r="CH209" i="6"/>
  <c r="CH201" i="6"/>
  <c r="CH194" i="6"/>
  <c r="CH186" i="6"/>
  <c r="CH176" i="6"/>
  <c r="CH162" i="6"/>
  <c r="CH154" i="6"/>
  <c r="CH145" i="6"/>
  <c r="CH135" i="6"/>
  <c r="CH126" i="6"/>
  <c r="CH118" i="6"/>
  <c r="CH108" i="6"/>
  <c r="CH97" i="6"/>
  <c r="CH83" i="6"/>
  <c r="CH75" i="6"/>
  <c r="CH64" i="6"/>
  <c r="CH56" i="6"/>
  <c r="CH39" i="6"/>
  <c r="CH21" i="6"/>
  <c r="CH11" i="6"/>
  <c r="CH115" i="6"/>
  <c r="CH74" i="6"/>
  <c r="CH38" i="6"/>
  <c r="CD38" i="6" s="1"/>
  <c r="CH231" i="6"/>
  <c r="CH224" i="6"/>
  <c r="CH216" i="6"/>
  <c r="CH208" i="6"/>
  <c r="CH200" i="6"/>
  <c r="CH193" i="6"/>
  <c r="CH185" i="6"/>
  <c r="CH175" i="6"/>
  <c r="CH170" i="6"/>
  <c r="CH153" i="6"/>
  <c r="CH144" i="6"/>
  <c r="CH134" i="6"/>
  <c r="CH125" i="6"/>
  <c r="CH116" i="6"/>
  <c r="CH107" i="6"/>
  <c r="CH96" i="6"/>
  <c r="CH90" i="6"/>
  <c r="CH82" i="6"/>
  <c r="CH72" i="6"/>
  <c r="CH63" i="6"/>
  <c r="CH55" i="6"/>
  <c r="CH46" i="6"/>
  <c r="CD46" i="6" s="1"/>
  <c r="CH35" i="6"/>
  <c r="CH28" i="6"/>
  <c r="CH20" i="6"/>
  <c r="CH205" i="6"/>
  <c r="CH146" i="6"/>
  <c r="CH110" i="6"/>
  <c r="CH73" i="6"/>
  <c r="CH37" i="6"/>
  <c r="CH230" i="6"/>
  <c r="CH223" i="6"/>
  <c r="CH215" i="6"/>
  <c r="CH207" i="6"/>
  <c r="CH199" i="6"/>
  <c r="CH192" i="6"/>
  <c r="CH183" i="6"/>
  <c r="CH169" i="6"/>
  <c r="CH161" i="6"/>
  <c r="CH152" i="6"/>
  <c r="CH143" i="6"/>
  <c r="CH124" i="6"/>
  <c r="CD124" i="6" s="1"/>
  <c r="CH114" i="6"/>
  <c r="CH106" i="6"/>
  <c r="CH95" i="6"/>
  <c r="CH89" i="6"/>
  <c r="CH71" i="6"/>
  <c r="CH62" i="6"/>
  <c r="CH54" i="6"/>
  <c r="CH44" i="6"/>
  <c r="CH34" i="6"/>
  <c r="CH27" i="6"/>
  <c r="CH196" i="6"/>
  <c r="CH137" i="6"/>
  <c r="CH105" i="6"/>
  <c r="CH65" i="6"/>
  <c r="CE181" i="6"/>
  <c r="CD181" i="6" s="1"/>
  <c r="CE131" i="6"/>
  <c r="CD131" i="6" s="1"/>
  <c r="CE50" i="6"/>
  <c r="CD50" i="6" s="1"/>
  <c r="CE96" i="6"/>
  <c r="CE118" i="6"/>
  <c r="CE35" i="6"/>
  <c r="CE205" i="6"/>
  <c r="CE116" i="6"/>
  <c r="CE65" i="6"/>
  <c r="CE30" i="6"/>
  <c r="CE158" i="6"/>
  <c r="CE29" i="6"/>
  <c r="CE146" i="6"/>
  <c r="CE200" i="6"/>
  <c r="CE194" i="6"/>
  <c r="CE140" i="6"/>
  <c r="CE24" i="6"/>
  <c r="CE117" i="6"/>
  <c r="CE234" i="6"/>
  <c r="CE228" i="6"/>
  <c r="CD228" i="6" s="1"/>
  <c r="CE222" i="6"/>
  <c r="CD222" i="6" s="1"/>
  <c r="CE198" i="6"/>
  <c r="CD198" i="6" s="1"/>
  <c r="CE180" i="6"/>
  <c r="CE170" i="6"/>
  <c r="CE139" i="6"/>
  <c r="CE129" i="6"/>
  <c r="CE114" i="6"/>
  <c r="CE64" i="6"/>
  <c r="CE57" i="6"/>
  <c r="CE44" i="6"/>
  <c r="CE15" i="6"/>
  <c r="CD15" i="6" s="1"/>
  <c r="CE196" i="6"/>
  <c r="CE60" i="6"/>
  <c r="CD60" i="6" s="1"/>
  <c r="CE37" i="6"/>
  <c r="CE207" i="6"/>
  <c r="CE187" i="6"/>
  <c r="CE160" i="6"/>
  <c r="CD160" i="6" s="1"/>
  <c r="CE145" i="6"/>
  <c r="CE97" i="6"/>
  <c r="CE91" i="6"/>
  <c r="CE78" i="6"/>
  <c r="CE71" i="6"/>
  <c r="CE233" i="6"/>
  <c r="CE221" i="6"/>
  <c r="CD221" i="6" s="1"/>
  <c r="CE193" i="6"/>
  <c r="CE150" i="6"/>
  <c r="CD150" i="6" s="1"/>
  <c r="CE138" i="6"/>
  <c r="CE123" i="6"/>
  <c r="CD123" i="6" s="1"/>
  <c r="CE109" i="6"/>
  <c r="CE63" i="6"/>
  <c r="CE49" i="6"/>
  <c r="CE43" i="6"/>
  <c r="CD43" i="6" s="1"/>
  <c r="CE23" i="6"/>
  <c r="CE136" i="6"/>
  <c r="CD136" i="6" s="1"/>
  <c r="CE115" i="6"/>
  <c r="CE206" i="6"/>
  <c r="CD206" i="6" s="1"/>
  <c r="CE199" i="6"/>
  <c r="CE159" i="6"/>
  <c r="CD159" i="6" s="1"/>
  <c r="CE152" i="6"/>
  <c r="CE86" i="6"/>
  <c r="CE227" i="6"/>
  <c r="CE216" i="6"/>
  <c r="CE210" i="6"/>
  <c r="CE203" i="6"/>
  <c r="CE174" i="6"/>
  <c r="CD174" i="6" s="1"/>
  <c r="CE169" i="6"/>
  <c r="CE162" i="6"/>
  <c r="CE155" i="6"/>
  <c r="CE143" i="6"/>
  <c r="CE135" i="6"/>
  <c r="CE127" i="6"/>
  <c r="CE108" i="6"/>
  <c r="CE100" i="6"/>
  <c r="CE83" i="6"/>
  <c r="CE76" i="6"/>
  <c r="CE56" i="6"/>
  <c r="CE48" i="6"/>
  <c r="CE28" i="6"/>
  <c r="CE22" i="6"/>
  <c r="CE132" i="6"/>
  <c r="CD132" i="6" s="1"/>
  <c r="CE110" i="6"/>
  <c r="CE218" i="6"/>
  <c r="CE212" i="6"/>
  <c r="CE112" i="6"/>
  <c r="CE104" i="6"/>
  <c r="CD104" i="6" s="1"/>
  <c r="CE220" i="6"/>
  <c r="CE215" i="6"/>
  <c r="CE209" i="6"/>
  <c r="CE185" i="6"/>
  <c r="CE177" i="6"/>
  <c r="CE173" i="6"/>
  <c r="CE167" i="6"/>
  <c r="CD167" i="6" s="1"/>
  <c r="CE154" i="6"/>
  <c r="CE149" i="6"/>
  <c r="CE121" i="6"/>
  <c r="CE107" i="6"/>
  <c r="CE99" i="6"/>
  <c r="CE88" i="6"/>
  <c r="CD88" i="6" s="1"/>
  <c r="CE41" i="6"/>
  <c r="CE32" i="6"/>
  <c r="CD32" i="6" s="1"/>
  <c r="CE27" i="6"/>
  <c r="CE12" i="6"/>
  <c r="CE105" i="6"/>
  <c r="CE81" i="6"/>
  <c r="CE19" i="6"/>
  <c r="CD19" i="6" s="1"/>
  <c r="CE224" i="6"/>
  <c r="CE164" i="6"/>
  <c r="CE111" i="6"/>
  <c r="CE168" i="6"/>
  <c r="CE226" i="6"/>
  <c r="CE214" i="6"/>
  <c r="CD214" i="6" s="1"/>
  <c r="CE202" i="6"/>
  <c r="CE183" i="6"/>
  <c r="CE176" i="6"/>
  <c r="CE172" i="6"/>
  <c r="CE166" i="6"/>
  <c r="CD166" i="6" s="1"/>
  <c r="CE161" i="6"/>
  <c r="CE153" i="6"/>
  <c r="CE148" i="6"/>
  <c r="CE142" i="6"/>
  <c r="CD142" i="6" s="1"/>
  <c r="CE134" i="6"/>
  <c r="CE106" i="6"/>
  <c r="CE98" i="6"/>
  <c r="CE93" i="6"/>
  <c r="CE80" i="6"/>
  <c r="CD80" i="6" s="1"/>
  <c r="CE75" i="6"/>
  <c r="CE55" i="6"/>
  <c r="CE47" i="6"/>
  <c r="CE40" i="6"/>
  <c r="CE103" i="6"/>
  <c r="CD103" i="6" s="1"/>
  <c r="CE74" i="6"/>
  <c r="CE18" i="6"/>
  <c r="CD18" i="6" s="1"/>
  <c r="CE229" i="6"/>
  <c r="CD229" i="6" s="1"/>
  <c r="CE223" i="6"/>
  <c r="CE175" i="6"/>
  <c r="CE171" i="6"/>
  <c r="CE101" i="6"/>
  <c r="CD101" i="6" s="1"/>
  <c r="CE73" i="6"/>
  <c r="CE45" i="6"/>
  <c r="CE230" i="6"/>
  <c r="CE219" i="6"/>
  <c r="CE213" i="6"/>
  <c r="CD213" i="6" s="1"/>
  <c r="CE201" i="6"/>
  <c r="CE195" i="6"/>
  <c r="CE189" i="6"/>
  <c r="CE165" i="6"/>
  <c r="CE147" i="6"/>
  <c r="CE141" i="6"/>
  <c r="CD141" i="6" s="1"/>
  <c r="CE92" i="6"/>
  <c r="CE87" i="6"/>
  <c r="CD87" i="6" s="1"/>
  <c r="CE79" i="6"/>
  <c r="CD79" i="6" s="1"/>
  <c r="CE59" i="6"/>
  <c r="CD59" i="6" s="1"/>
  <c r="CE54" i="6"/>
  <c r="CE39" i="6"/>
  <c r="CE20" i="6"/>
  <c r="CE11" i="6"/>
  <c r="CB231" i="6"/>
  <c r="CB224" i="6"/>
  <c r="CB217" i="6"/>
  <c r="CB210" i="6"/>
  <c r="CB202" i="6"/>
  <c r="CB187" i="6"/>
  <c r="CB179" i="6"/>
  <c r="CB173" i="6"/>
  <c r="CB165" i="6"/>
  <c r="CB157" i="6"/>
  <c r="CB150" i="6"/>
  <c r="CB142" i="6"/>
  <c r="CB133" i="6"/>
  <c r="CB113" i="6"/>
  <c r="CB107" i="6"/>
  <c r="CB91" i="6"/>
  <c r="CB86" i="6"/>
  <c r="CB77" i="6"/>
  <c r="CB69" i="6"/>
  <c r="CB54" i="6"/>
  <c r="CB46" i="6"/>
  <c r="CB35" i="6"/>
  <c r="CB29" i="6"/>
  <c r="CB14" i="6"/>
  <c r="CB184" i="6"/>
  <c r="CB132" i="6"/>
  <c r="CB105" i="6"/>
  <c r="CB38" i="6"/>
  <c r="CB230" i="6"/>
  <c r="CB223" i="6"/>
  <c r="CB216" i="6"/>
  <c r="CB209" i="6"/>
  <c r="CB201" i="6"/>
  <c r="CB194" i="6"/>
  <c r="CB177" i="6"/>
  <c r="CB172" i="6"/>
  <c r="CB164" i="6"/>
  <c r="CB156" i="6"/>
  <c r="CB149" i="6"/>
  <c r="CB141" i="6"/>
  <c r="CB131" i="6"/>
  <c r="CB123" i="6"/>
  <c r="CB106" i="6"/>
  <c r="CB97" i="6"/>
  <c r="CB84" i="6"/>
  <c r="CB68" i="6"/>
  <c r="CB61" i="6"/>
  <c r="CB52" i="6"/>
  <c r="CB44" i="6"/>
  <c r="CB23" i="6"/>
  <c r="CB13" i="6"/>
  <c r="CB178" i="6"/>
  <c r="CB103" i="6"/>
  <c r="CB73" i="6"/>
  <c r="CB37" i="6"/>
  <c r="CB229" i="6"/>
  <c r="CB222" i="6"/>
  <c r="CB215" i="6"/>
  <c r="CB208" i="6"/>
  <c r="CB200" i="6"/>
  <c r="CB193" i="6"/>
  <c r="CB186" i="6"/>
  <c r="CB171" i="6"/>
  <c r="CB163" i="6"/>
  <c r="CB155" i="6"/>
  <c r="CB148" i="6"/>
  <c r="CB140" i="6"/>
  <c r="CB129" i="6"/>
  <c r="CB121" i="6"/>
  <c r="CB104" i="6"/>
  <c r="CB96" i="6"/>
  <c r="CB83" i="6"/>
  <c r="CB76" i="6"/>
  <c r="CB67" i="6"/>
  <c r="CB59" i="6"/>
  <c r="CB43" i="6"/>
  <c r="CB34" i="6"/>
  <c r="CB28" i="6"/>
  <c r="CB22" i="6"/>
  <c r="CB168" i="6"/>
  <c r="CB130" i="6"/>
  <c r="CB101" i="6"/>
  <c r="CB65" i="6"/>
  <c r="CB228" i="6"/>
  <c r="CB221" i="6"/>
  <c r="CB214" i="6"/>
  <c r="CB207" i="6"/>
  <c r="CB199" i="6"/>
  <c r="CB192" i="6"/>
  <c r="CB185" i="6"/>
  <c r="CB176" i="6"/>
  <c r="CB162" i="6"/>
  <c r="CB154" i="6"/>
  <c r="CB147" i="6"/>
  <c r="CB139" i="6"/>
  <c r="CB128" i="6"/>
  <c r="CB120" i="6"/>
  <c r="CB112" i="6"/>
  <c r="CB95" i="6"/>
  <c r="CB90" i="6"/>
  <c r="CB82" i="6"/>
  <c r="CB75" i="6"/>
  <c r="CB58" i="6"/>
  <c r="CB50" i="6"/>
  <c r="CB42" i="6"/>
  <c r="CB33" i="6"/>
  <c r="CB21" i="6"/>
  <c r="CB12" i="6"/>
  <c r="CB158" i="6"/>
  <c r="CB122" i="6"/>
  <c r="CB60" i="6"/>
  <c r="CB36" i="6"/>
  <c r="CB220" i="6"/>
  <c r="CB213" i="6"/>
  <c r="CB206" i="6"/>
  <c r="CB198" i="6"/>
  <c r="CB191" i="6"/>
  <c r="CB183" i="6"/>
  <c r="CB175" i="6"/>
  <c r="CB170" i="6"/>
  <c r="CB153" i="6"/>
  <c r="CB145" i="6"/>
  <c r="CB138" i="6"/>
  <c r="CB127" i="6"/>
  <c r="CB119" i="6"/>
  <c r="CB111" i="6"/>
  <c r="CB102" i="6"/>
  <c r="CB94" i="6"/>
  <c r="CB89" i="6"/>
  <c r="CB72" i="6"/>
  <c r="CB66" i="6"/>
  <c r="CB57" i="6"/>
  <c r="CB49" i="6"/>
  <c r="CB32" i="6"/>
  <c r="CB27" i="6"/>
  <c r="CB20" i="6"/>
  <c r="CB11" i="6"/>
  <c r="CB117" i="6"/>
  <c r="CB53" i="6"/>
  <c r="CB19" i="6"/>
  <c r="CB234" i="6"/>
  <c r="CB227" i="6"/>
  <c r="CB212" i="6"/>
  <c r="CB204" i="6"/>
  <c r="CB197" i="6"/>
  <c r="CB190" i="6"/>
  <c r="CB182" i="6"/>
  <c r="CB169" i="6"/>
  <c r="CB161" i="6"/>
  <c r="CB144" i="6"/>
  <c r="CB135" i="6"/>
  <c r="CB126" i="6"/>
  <c r="CB118" i="6"/>
  <c r="CB109" i="6"/>
  <c r="CB100" i="6"/>
  <c r="CB88" i="6"/>
  <c r="CB80" i="6"/>
  <c r="CB71" i="6"/>
  <c r="CB64" i="6"/>
  <c r="CB48" i="6"/>
  <c r="CB41" i="6"/>
  <c r="CB31" i="6"/>
  <c r="CB26" i="6"/>
  <c r="CB205" i="6"/>
  <c r="CB146" i="6"/>
  <c r="CB115" i="6"/>
  <c r="CB85" i="6"/>
  <c r="CB18" i="6"/>
  <c r="CB233" i="6"/>
  <c r="CB226" i="6"/>
  <c r="CB219" i="6"/>
  <c r="CB203" i="6"/>
  <c r="CB189" i="6"/>
  <c r="CB181" i="6"/>
  <c r="CB167" i="6"/>
  <c r="CB160" i="6"/>
  <c r="CB152" i="6"/>
  <c r="CB134" i="6"/>
  <c r="CB125" i="6"/>
  <c r="CB116" i="6"/>
  <c r="CB99" i="6"/>
  <c r="CB93" i="6"/>
  <c r="CB87" i="6"/>
  <c r="CB79" i="6"/>
  <c r="CB63" i="6"/>
  <c r="CB56" i="6"/>
  <c r="CB47" i="6"/>
  <c r="CB40" i="6"/>
  <c r="CB25" i="6"/>
  <c r="CB17" i="6"/>
  <c r="CB196" i="6"/>
  <c r="CB137" i="6"/>
  <c r="CB81" i="6"/>
  <c r="CB51" i="6"/>
  <c r="BX65" i="6"/>
  <c r="BX20" i="6"/>
  <c r="BX105" i="6"/>
  <c r="BX136" i="6"/>
  <c r="BW136" i="6" s="1"/>
  <c r="BX96" i="6"/>
  <c r="BX154" i="6"/>
  <c r="BX172" i="6"/>
  <c r="BX49" i="6"/>
  <c r="BX71" i="6"/>
  <c r="BX97" i="6"/>
  <c r="BX116" i="6"/>
  <c r="BX36" i="6"/>
  <c r="BX137" i="6"/>
  <c r="BX35" i="6"/>
  <c r="BX50" i="6"/>
  <c r="BX98" i="6"/>
  <c r="BW98" i="6" s="1"/>
  <c r="BX118" i="6"/>
  <c r="BX174" i="6"/>
  <c r="BW174" i="6" s="1"/>
  <c r="BX37" i="6"/>
  <c r="BX146" i="6"/>
  <c r="BX25" i="6"/>
  <c r="BX52" i="6"/>
  <c r="BX128" i="6"/>
  <c r="BX208" i="6"/>
  <c r="BX191" i="6"/>
  <c r="BX164" i="6"/>
  <c r="BX66" i="6"/>
  <c r="BX76" i="6"/>
  <c r="BX135" i="6"/>
  <c r="BX39" i="6"/>
  <c r="BW39" i="6" s="1"/>
  <c r="BX221" i="6"/>
  <c r="BX204" i="6"/>
  <c r="BX229" i="6"/>
  <c r="BX179" i="6"/>
  <c r="BX163" i="6"/>
  <c r="BX145" i="6"/>
  <c r="BX129" i="6"/>
  <c r="BX188" i="6"/>
  <c r="BW188" i="6" s="1"/>
  <c r="BX234" i="6"/>
  <c r="BX228" i="6"/>
  <c r="BX218" i="6"/>
  <c r="BW218" i="6" s="1"/>
  <c r="BX185" i="6"/>
  <c r="BX162" i="6"/>
  <c r="BX144" i="6"/>
  <c r="BX131" i="6"/>
  <c r="BX233" i="6"/>
  <c r="BX183" i="6"/>
  <c r="BX167" i="6"/>
  <c r="BX56" i="6"/>
  <c r="BX232" i="6"/>
  <c r="BW232" i="6" s="1"/>
  <c r="BX222" i="6"/>
  <c r="BX206" i="6"/>
  <c r="BX189" i="6"/>
  <c r="BX166" i="6"/>
  <c r="BW166" i="6" s="1"/>
  <c r="BX155" i="6"/>
  <c r="BX149" i="6"/>
  <c r="BX138" i="6"/>
  <c r="BU230" i="6"/>
  <c r="BU224" i="6"/>
  <c r="BU219" i="6"/>
  <c r="BU214" i="6"/>
  <c r="BU208" i="6"/>
  <c r="BU202" i="6"/>
  <c r="BU197" i="6"/>
  <c r="BU191" i="6"/>
  <c r="BU186" i="6"/>
  <c r="BU180" i="6"/>
  <c r="BU170" i="6"/>
  <c r="BU164" i="6"/>
  <c r="BU157" i="6"/>
  <c r="BU152" i="6"/>
  <c r="BU147" i="6"/>
  <c r="BU140" i="6"/>
  <c r="BU133" i="6"/>
  <c r="BU126" i="6"/>
  <c r="BU119" i="6"/>
  <c r="BU107" i="6"/>
  <c r="BU98" i="6"/>
  <c r="BU93" i="6"/>
  <c r="BU89" i="6"/>
  <c r="BU82" i="6"/>
  <c r="BU76" i="6"/>
  <c r="BU69" i="6"/>
  <c r="BU62" i="6"/>
  <c r="BU56" i="6"/>
  <c r="BU49" i="6"/>
  <c r="BU42" i="6"/>
  <c r="BU34" i="6"/>
  <c r="BU29" i="6"/>
  <c r="BU24" i="6"/>
  <c r="BU17" i="6"/>
  <c r="BU11" i="6"/>
  <c r="BU158" i="6"/>
  <c r="BU130" i="6"/>
  <c r="BU105" i="6"/>
  <c r="BU74" i="6"/>
  <c r="BU51" i="6"/>
  <c r="BU19" i="6"/>
  <c r="BU234" i="6"/>
  <c r="BU228" i="6"/>
  <c r="BU223" i="6"/>
  <c r="BU218" i="6"/>
  <c r="BU212" i="6"/>
  <c r="BU207" i="6"/>
  <c r="BU201" i="6"/>
  <c r="BU195" i="6"/>
  <c r="BU190" i="6"/>
  <c r="BU185" i="6"/>
  <c r="BU177" i="6"/>
  <c r="BU174" i="6"/>
  <c r="BU169" i="6"/>
  <c r="BU162" i="6"/>
  <c r="BU156" i="6"/>
  <c r="BU151" i="6"/>
  <c r="BU144" i="6"/>
  <c r="BU139" i="6"/>
  <c r="BU131" i="6"/>
  <c r="BU124" i="6"/>
  <c r="BU118" i="6"/>
  <c r="BU112" i="6"/>
  <c r="BU104" i="6"/>
  <c r="BU97" i="6"/>
  <c r="BU92" i="6"/>
  <c r="BU87" i="6"/>
  <c r="BU80" i="6"/>
  <c r="BU75" i="6"/>
  <c r="BU67" i="6"/>
  <c r="BU61" i="6"/>
  <c r="BU55" i="6"/>
  <c r="BU47" i="6"/>
  <c r="BU41" i="6"/>
  <c r="BU33" i="6"/>
  <c r="BU28" i="6"/>
  <c r="BU23" i="6"/>
  <c r="BU15" i="6"/>
  <c r="BU196" i="6"/>
  <c r="BU146" i="6"/>
  <c r="BU122" i="6"/>
  <c r="BU101" i="6"/>
  <c r="BU73" i="6"/>
  <c r="BU45" i="6"/>
  <c r="BU16" i="6"/>
  <c r="BU233" i="6"/>
  <c r="BU217" i="6"/>
  <c r="BU200" i="6"/>
  <c r="BU183" i="6"/>
  <c r="BU167" i="6"/>
  <c r="BU150" i="6"/>
  <c r="BU129" i="6"/>
  <c r="BU111" i="6"/>
  <c r="BU91" i="6"/>
  <c r="BU72" i="6"/>
  <c r="BU54" i="6"/>
  <c r="BU32" i="6"/>
  <c r="BU14" i="6"/>
  <c r="BU117" i="6"/>
  <c r="BU38" i="6"/>
  <c r="BU232" i="6"/>
  <c r="BU227" i="6"/>
  <c r="BU222" i="6"/>
  <c r="BU216" i="6"/>
  <c r="BU211" i="6"/>
  <c r="BU206" i="6"/>
  <c r="BU199" i="6"/>
  <c r="BU194" i="6"/>
  <c r="BU189" i="6"/>
  <c r="BU182" i="6"/>
  <c r="BU176" i="6"/>
  <c r="BU173" i="6"/>
  <c r="BU166" i="6"/>
  <c r="BU161" i="6"/>
  <c r="BU155" i="6"/>
  <c r="BU149" i="6"/>
  <c r="BU143" i="6"/>
  <c r="BU138" i="6"/>
  <c r="BU128" i="6"/>
  <c r="BU123" i="6"/>
  <c r="BU116" i="6"/>
  <c r="BU109" i="6"/>
  <c r="BU102" i="6"/>
  <c r="BU96" i="6"/>
  <c r="BU86" i="6"/>
  <c r="BU79" i="6"/>
  <c r="BU71" i="6"/>
  <c r="BU66" i="6"/>
  <c r="BU59" i="6"/>
  <c r="BU52" i="6"/>
  <c r="BU46" i="6"/>
  <c r="BU40" i="6"/>
  <c r="BU31" i="6"/>
  <c r="BU27" i="6"/>
  <c r="BU22" i="6"/>
  <c r="BU13" i="6"/>
  <c r="BU184" i="6"/>
  <c r="BU137" i="6"/>
  <c r="BU115" i="6"/>
  <c r="BU65" i="6"/>
  <c r="BU37" i="6"/>
  <c r="BU221" i="6"/>
  <c r="BU204" i="6"/>
  <c r="BU188" i="6"/>
  <c r="BU172" i="6"/>
  <c r="BU154" i="6"/>
  <c r="BU135" i="6"/>
  <c r="BU114" i="6"/>
  <c r="BU95" i="6"/>
  <c r="BU78" i="6"/>
  <c r="BU58" i="6"/>
  <c r="BU39" i="6"/>
  <c r="BU21" i="6"/>
  <c r="BU136" i="6"/>
  <c r="BU60" i="6"/>
  <c r="BU231" i="6"/>
  <c r="BU226" i="6"/>
  <c r="BU220" i="6"/>
  <c r="BU215" i="6"/>
  <c r="BU210" i="6"/>
  <c r="BU203" i="6"/>
  <c r="BU198" i="6"/>
  <c r="BU193" i="6"/>
  <c r="BU187" i="6"/>
  <c r="BU181" i="6"/>
  <c r="BU175" i="6"/>
  <c r="BU171" i="6"/>
  <c r="BU165" i="6"/>
  <c r="BU160" i="6"/>
  <c r="BU153" i="6"/>
  <c r="BU148" i="6"/>
  <c r="BU142" i="6"/>
  <c r="BU134" i="6"/>
  <c r="BU127" i="6"/>
  <c r="BU121" i="6"/>
  <c r="BU113" i="6"/>
  <c r="BU108" i="6"/>
  <c r="BU100" i="6"/>
  <c r="BU94" i="6"/>
  <c r="BU90" i="6"/>
  <c r="BU84" i="6"/>
  <c r="BU77" i="6"/>
  <c r="BU70" i="6"/>
  <c r="BU64" i="6"/>
  <c r="BU57" i="6"/>
  <c r="BU50" i="6"/>
  <c r="BU44" i="6"/>
  <c r="BU35" i="6"/>
  <c r="BU30" i="6"/>
  <c r="BU26" i="6"/>
  <c r="BU20" i="6"/>
  <c r="BU12" i="6"/>
  <c r="BU178" i="6"/>
  <c r="BU132" i="6"/>
  <c r="BU110" i="6"/>
  <c r="BU85" i="6"/>
  <c r="BU53" i="6"/>
  <c r="BS69" i="6"/>
  <c r="BR69" i="6" s="1"/>
  <c r="BS230" i="6"/>
  <c r="BR230" i="6" s="1"/>
  <c r="BS224" i="6"/>
  <c r="BR224" i="6" s="1"/>
  <c r="BS219" i="6"/>
  <c r="BR219" i="6" s="1"/>
  <c r="BS214" i="6"/>
  <c r="BR214" i="6" s="1"/>
  <c r="BS208" i="6"/>
  <c r="BR208" i="6" s="1"/>
  <c r="BS202" i="6"/>
  <c r="BR202" i="6" s="1"/>
  <c r="BS197" i="6"/>
  <c r="BR197" i="6" s="1"/>
  <c r="BS191" i="6"/>
  <c r="BR191" i="6" s="1"/>
  <c r="BS186" i="6"/>
  <c r="BR186" i="6" s="1"/>
  <c r="BS180" i="6"/>
  <c r="BR180" i="6" s="1"/>
  <c r="BS170" i="6"/>
  <c r="BR170" i="6" s="1"/>
  <c r="BS164" i="6"/>
  <c r="BR164" i="6" s="1"/>
  <c r="BS157" i="6"/>
  <c r="BR157" i="6" s="1"/>
  <c r="BS152" i="6"/>
  <c r="BR152" i="6" s="1"/>
  <c r="BS147" i="6"/>
  <c r="BR147" i="6" s="1"/>
  <c r="BS140" i="6"/>
  <c r="BR140" i="6" s="1"/>
  <c r="BS133" i="6"/>
  <c r="BR133" i="6" s="1"/>
  <c r="BS126" i="6"/>
  <c r="BR126" i="6" s="1"/>
  <c r="BS119" i="6"/>
  <c r="BR119" i="6" s="1"/>
  <c r="BS107" i="6"/>
  <c r="BR107" i="6" s="1"/>
  <c r="BS99" i="6"/>
  <c r="BR99" i="6" s="1"/>
  <c r="BS94" i="6"/>
  <c r="BR94" i="6" s="1"/>
  <c r="BS86" i="6"/>
  <c r="BR86" i="6" s="1"/>
  <c r="BS75" i="6"/>
  <c r="BR75" i="6" s="1"/>
  <c r="BS63" i="6"/>
  <c r="BR63" i="6" s="1"/>
  <c r="BS57" i="6"/>
  <c r="BR57" i="6" s="1"/>
  <c r="BS46" i="6"/>
  <c r="BR46" i="6" s="1"/>
  <c r="BS33" i="6"/>
  <c r="BR33" i="6" s="1"/>
  <c r="BS25" i="6"/>
  <c r="BR25" i="6" s="1"/>
  <c r="BS20" i="6"/>
  <c r="BR20" i="6" s="1"/>
  <c r="BS184" i="6"/>
  <c r="BR184" i="6" s="1"/>
  <c r="BS122" i="6"/>
  <c r="BR122" i="6" s="1"/>
  <c r="BS81" i="6"/>
  <c r="BR81" i="6" s="1"/>
  <c r="BS53" i="6"/>
  <c r="BR53" i="6" s="1"/>
  <c r="BS209" i="6"/>
  <c r="BR209" i="6" s="1"/>
  <c r="BS95" i="6"/>
  <c r="BR95" i="6" s="1"/>
  <c r="BS13" i="6"/>
  <c r="BR13" i="6" s="1"/>
  <c r="BS229" i="6"/>
  <c r="BR229" i="6" s="1"/>
  <c r="BS213" i="6"/>
  <c r="BR213" i="6" s="1"/>
  <c r="BS179" i="6"/>
  <c r="BR179" i="6" s="1"/>
  <c r="BS163" i="6"/>
  <c r="BR163" i="6" s="1"/>
  <c r="BS145" i="6"/>
  <c r="BR145" i="6" s="1"/>
  <c r="BS125" i="6"/>
  <c r="BR125" i="6" s="1"/>
  <c r="BS106" i="6"/>
  <c r="BR106" i="6" s="1"/>
  <c r="BS98" i="6"/>
  <c r="BR98" i="6" s="1"/>
  <c r="BS90" i="6"/>
  <c r="BR90" i="6" s="1"/>
  <c r="BS79" i="6"/>
  <c r="BR79" i="6" s="1"/>
  <c r="BS68" i="6"/>
  <c r="BR68" i="6" s="1"/>
  <c r="BS62" i="6"/>
  <c r="BR62" i="6" s="1"/>
  <c r="BS50" i="6"/>
  <c r="BR50" i="6" s="1"/>
  <c r="BS40" i="6"/>
  <c r="BR40" i="6" s="1"/>
  <c r="BS24" i="6"/>
  <c r="BR24" i="6" s="1"/>
  <c r="BS12" i="6"/>
  <c r="BR12" i="6" s="1"/>
  <c r="BS137" i="6"/>
  <c r="BR137" i="6" s="1"/>
  <c r="BS103" i="6"/>
  <c r="BR103" i="6" s="1"/>
  <c r="BS74" i="6"/>
  <c r="BR74" i="6" s="1"/>
  <c r="BS36" i="6"/>
  <c r="BR36" i="6" s="1"/>
  <c r="BS159" i="6"/>
  <c r="BR159" i="6" s="1"/>
  <c r="BS29" i="6"/>
  <c r="BR29" i="6" s="1"/>
  <c r="BS105" i="6"/>
  <c r="BR105" i="6" s="1"/>
  <c r="BS234" i="6"/>
  <c r="BR234" i="6" s="1"/>
  <c r="BS228" i="6"/>
  <c r="BR228" i="6" s="1"/>
  <c r="BS223" i="6"/>
  <c r="BR223" i="6" s="1"/>
  <c r="BS218" i="6"/>
  <c r="BR218" i="6" s="1"/>
  <c r="BS212" i="6"/>
  <c r="BR212" i="6" s="1"/>
  <c r="BS207" i="6"/>
  <c r="BR207" i="6" s="1"/>
  <c r="BS201" i="6"/>
  <c r="BR201" i="6" s="1"/>
  <c r="BS195" i="6"/>
  <c r="BR195" i="6" s="1"/>
  <c r="BS190" i="6"/>
  <c r="BR190" i="6" s="1"/>
  <c r="BS185" i="6"/>
  <c r="BR185" i="6" s="1"/>
  <c r="BS177" i="6"/>
  <c r="BR177" i="6" s="1"/>
  <c r="BS174" i="6"/>
  <c r="BR174" i="6" s="1"/>
  <c r="BS169" i="6"/>
  <c r="BR169" i="6" s="1"/>
  <c r="BS162" i="6"/>
  <c r="BR162" i="6" s="1"/>
  <c r="BS156" i="6"/>
  <c r="BR156" i="6" s="1"/>
  <c r="BS151" i="6"/>
  <c r="BR151" i="6" s="1"/>
  <c r="BS144" i="6"/>
  <c r="BR144" i="6" s="1"/>
  <c r="BS139" i="6"/>
  <c r="BR139" i="6" s="1"/>
  <c r="BS131" i="6"/>
  <c r="BR131" i="6" s="1"/>
  <c r="BS124" i="6"/>
  <c r="BR124" i="6" s="1"/>
  <c r="BS118" i="6"/>
  <c r="BR118" i="6" s="1"/>
  <c r="BS112" i="6"/>
  <c r="BR112" i="6" s="1"/>
  <c r="BS104" i="6"/>
  <c r="BR104" i="6" s="1"/>
  <c r="BS93" i="6"/>
  <c r="BR93" i="6" s="1"/>
  <c r="BS84" i="6"/>
  <c r="BR84" i="6" s="1"/>
  <c r="BS72" i="6"/>
  <c r="BR72" i="6" s="1"/>
  <c r="BS67" i="6"/>
  <c r="BR67" i="6" s="1"/>
  <c r="BS56" i="6"/>
  <c r="BR56" i="6" s="1"/>
  <c r="BS44" i="6"/>
  <c r="BR44" i="6" s="1"/>
  <c r="BS32" i="6"/>
  <c r="BR32" i="6" s="1"/>
  <c r="BS28" i="6"/>
  <c r="BR28" i="6" s="1"/>
  <c r="BS17" i="6"/>
  <c r="BR17" i="6" s="1"/>
  <c r="BS178" i="6"/>
  <c r="BR178" i="6" s="1"/>
  <c r="BS117" i="6"/>
  <c r="BR117" i="6" s="1"/>
  <c r="BS101" i="6"/>
  <c r="BR101" i="6" s="1"/>
  <c r="BS51" i="6"/>
  <c r="BR51" i="6" s="1"/>
  <c r="BS52" i="6"/>
  <c r="BR52" i="6" s="1"/>
  <c r="BS21" i="6"/>
  <c r="BR21" i="6" s="1"/>
  <c r="BS233" i="6"/>
  <c r="BR233" i="6" s="1"/>
  <c r="BS217" i="6"/>
  <c r="BR217" i="6" s="1"/>
  <c r="BS200" i="6"/>
  <c r="BR200" i="6" s="1"/>
  <c r="BS183" i="6"/>
  <c r="BR183" i="6" s="1"/>
  <c r="BS167" i="6"/>
  <c r="BR167" i="6" s="1"/>
  <c r="BS150" i="6"/>
  <c r="BR150" i="6" s="1"/>
  <c r="BS129" i="6"/>
  <c r="BR129" i="6" s="1"/>
  <c r="BS111" i="6"/>
  <c r="BR111" i="6" s="1"/>
  <c r="BS97" i="6"/>
  <c r="BR97" i="6" s="1"/>
  <c r="BS89" i="6"/>
  <c r="BR89" i="6" s="1"/>
  <c r="BS78" i="6"/>
  <c r="BR78" i="6" s="1"/>
  <c r="BS71" i="6"/>
  <c r="BR71" i="6" s="1"/>
  <c r="BS61" i="6"/>
  <c r="BR61" i="6" s="1"/>
  <c r="BS49" i="6"/>
  <c r="BR49" i="6" s="1"/>
  <c r="BS39" i="6"/>
  <c r="BR39" i="6" s="1"/>
  <c r="BS31" i="6"/>
  <c r="BR31" i="6" s="1"/>
  <c r="BS23" i="6"/>
  <c r="BR23" i="6" s="1"/>
  <c r="BS11" i="6"/>
  <c r="BR11" i="6" s="1"/>
  <c r="BS136" i="6"/>
  <c r="BR136" i="6" s="1"/>
  <c r="BS115" i="6"/>
  <c r="BR115" i="6" s="1"/>
  <c r="BS73" i="6"/>
  <c r="BR73" i="6" s="1"/>
  <c r="BS19" i="6"/>
  <c r="BR19" i="6" s="1"/>
  <c r="BS225" i="6"/>
  <c r="BR225" i="6" s="1"/>
  <c r="BS41" i="6"/>
  <c r="BR41" i="6" s="1"/>
  <c r="BS60" i="6"/>
  <c r="BR60" i="6" s="1"/>
  <c r="BS232" i="6"/>
  <c r="BR232" i="6" s="1"/>
  <c r="BS227" i="6"/>
  <c r="BR227" i="6" s="1"/>
  <c r="BS222" i="6"/>
  <c r="BR222" i="6" s="1"/>
  <c r="BS216" i="6"/>
  <c r="BR216" i="6" s="1"/>
  <c r="BS211" i="6"/>
  <c r="BR211" i="6" s="1"/>
  <c r="BS206" i="6"/>
  <c r="BR206" i="6" s="1"/>
  <c r="BS199" i="6"/>
  <c r="BR199" i="6" s="1"/>
  <c r="BS194" i="6"/>
  <c r="BR194" i="6" s="1"/>
  <c r="BS189" i="6"/>
  <c r="BR189" i="6" s="1"/>
  <c r="BS182" i="6"/>
  <c r="BR182" i="6" s="1"/>
  <c r="BS176" i="6"/>
  <c r="BR176" i="6" s="1"/>
  <c r="BS173" i="6"/>
  <c r="BR173" i="6" s="1"/>
  <c r="BS166" i="6"/>
  <c r="BR166" i="6" s="1"/>
  <c r="BS161" i="6"/>
  <c r="BR161" i="6" s="1"/>
  <c r="BS155" i="6"/>
  <c r="BR155" i="6" s="1"/>
  <c r="BS149" i="6"/>
  <c r="BR149" i="6" s="1"/>
  <c r="BS143" i="6"/>
  <c r="BR143" i="6" s="1"/>
  <c r="BS138" i="6"/>
  <c r="BR138" i="6" s="1"/>
  <c r="BS128" i="6"/>
  <c r="BR128" i="6" s="1"/>
  <c r="BS123" i="6"/>
  <c r="BR123" i="6" s="1"/>
  <c r="BS116" i="6"/>
  <c r="BR116" i="6" s="1"/>
  <c r="BS109" i="6"/>
  <c r="BR109" i="6" s="1"/>
  <c r="BS102" i="6"/>
  <c r="BR102" i="6" s="1"/>
  <c r="BS92" i="6"/>
  <c r="BR92" i="6" s="1"/>
  <c r="BS83" i="6"/>
  <c r="BR83" i="6" s="1"/>
  <c r="BS77" i="6"/>
  <c r="BR77" i="6" s="1"/>
  <c r="BS66" i="6"/>
  <c r="BR66" i="6" s="1"/>
  <c r="BS55" i="6"/>
  <c r="BR55" i="6" s="1"/>
  <c r="BS43" i="6"/>
  <c r="BR43" i="6" s="1"/>
  <c r="BS35" i="6"/>
  <c r="BR35" i="6" s="1"/>
  <c r="BS27" i="6"/>
  <c r="BR27" i="6" s="1"/>
  <c r="BS15" i="6"/>
  <c r="BR15" i="6" s="1"/>
  <c r="BS168" i="6"/>
  <c r="BR168" i="6" s="1"/>
  <c r="BS132" i="6"/>
  <c r="BR132" i="6" s="1"/>
  <c r="BS45" i="6"/>
  <c r="BR45" i="6" s="1"/>
  <c r="BS120" i="6"/>
  <c r="BR120" i="6" s="1"/>
  <c r="BS80" i="6"/>
  <c r="BR80" i="6" s="1"/>
  <c r="BS37" i="6"/>
  <c r="BR37" i="6" s="1"/>
  <c r="BS221" i="6"/>
  <c r="BR221" i="6" s="1"/>
  <c r="BS204" i="6"/>
  <c r="BR204" i="6" s="1"/>
  <c r="BS188" i="6"/>
  <c r="BR188" i="6" s="1"/>
  <c r="BS172" i="6"/>
  <c r="BR172" i="6" s="1"/>
  <c r="BS154" i="6"/>
  <c r="BR154" i="6" s="1"/>
  <c r="BS135" i="6"/>
  <c r="BR135" i="6" s="1"/>
  <c r="BS114" i="6"/>
  <c r="BR114" i="6" s="1"/>
  <c r="BS96" i="6"/>
  <c r="BR96" i="6" s="1"/>
  <c r="BS88" i="6"/>
  <c r="BR88" i="6" s="1"/>
  <c r="BS82" i="6"/>
  <c r="BR82" i="6" s="1"/>
  <c r="BS70" i="6"/>
  <c r="BR70" i="6" s="1"/>
  <c r="BS59" i="6"/>
  <c r="BR59" i="6" s="1"/>
  <c r="BS48" i="6"/>
  <c r="BR48" i="6" s="1"/>
  <c r="BS42" i="6"/>
  <c r="BR42" i="6" s="1"/>
  <c r="BS30" i="6"/>
  <c r="BR30" i="6" s="1"/>
  <c r="BS22" i="6"/>
  <c r="BR22" i="6" s="1"/>
  <c r="BS205" i="6"/>
  <c r="BR205" i="6" s="1"/>
  <c r="BS158" i="6"/>
  <c r="BR158" i="6" s="1"/>
  <c r="BS110" i="6"/>
  <c r="BR110" i="6" s="1"/>
  <c r="BS65" i="6"/>
  <c r="BR65" i="6" s="1"/>
  <c r="BS18" i="6"/>
  <c r="BR18" i="6" s="1"/>
  <c r="BS192" i="6"/>
  <c r="BR192" i="6" s="1"/>
  <c r="BS141" i="6"/>
  <c r="BR141" i="6" s="1"/>
  <c r="BS58" i="6"/>
  <c r="BR58" i="6" s="1"/>
  <c r="BS146" i="6"/>
  <c r="BR146" i="6" s="1"/>
  <c r="BS231" i="6"/>
  <c r="BR231" i="6" s="1"/>
  <c r="BS226" i="6"/>
  <c r="BR226" i="6" s="1"/>
  <c r="BS220" i="6"/>
  <c r="BR220" i="6" s="1"/>
  <c r="BS215" i="6"/>
  <c r="BR215" i="6" s="1"/>
  <c r="BS210" i="6"/>
  <c r="BR210" i="6" s="1"/>
  <c r="BS203" i="6"/>
  <c r="BR203" i="6" s="1"/>
  <c r="BS198" i="6"/>
  <c r="BR198" i="6" s="1"/>
  <c r="BS193" i="6"/>
  <c r="BR193" i="6" s="1"/>
  <c r="BS187" i="6"/>
  <c r="BR187" i="6" s="1"/>
  <c r="BS181" i="6"/>
  <c r="BR181" i="6" s="1"/>
  <c r="BS175" i="6"/>
  <c r="BR175" i="6" s="1"/>
  <c r="BS171" i="6"/>
  <c r="BR171" i="6" s="1"/>
  <c r="BS165" i="6"/>
  <c r="BR165" i="6" s="1"/>
  <c r="BS160" i="6"/>
  <c r="BR160" i="6" s="1"/>
  <c r="BS153" i="6"/>
  <c r="BR153" i="6" s="1"/>
  <c r="BS148" i="6"/>
  <c r="BR148" i="6" s="1"/>
  <c r="BS142" i="6"/>
  <c r="BR142" i="6" s="1"/>
  <c r="BS134" i="6"/>
  <c r="BR134" i="6" s="1"/>
  <c r="BS127" i="6"/>
  <c r="BR127" i="6" s="1"/>
  <c r="BS121" i="6"/>
  <c r="BR121" i="6" s="1"/>
  <c r="BS113" i="6"/>
  <c r="BR113" i="6" s="1"/>
  <c r="BS108" i="6"/>
  <c r="BR108" i="6" s="1"/>
  <c r="BS100" i="6"/>
  <c r="BR100" i="6" s="1"/>
  <c r="BS91" i="6"/>
  <c r="BR91" i="6" s="1"/>
  <c r="BS87" i="6"/>
  <c r="BR87" i="6" s="1"/>
  <c r="BS76" i="6"/>
  <c r="BR76" i="6" s="1"/>
  <c r="BS64" i="6"/>
  <c r="BR64" i="6" s="1"/>
  <c r="BS54" i="6"/>
  <c r="BR54" i="6" s="1"/>
  <c r="BS47" i="6"/>
  <c r="BR47" i="6" s="1"/>
  <c r="BS34" i="6"/>
  <c r="BR34" i="6" s="1"/>
  <c r="BS26" i="6"/>
  <c r="BR26" i="6" s="1"/>
  <c r="BS14" i="6"/>
  <c r="BR14" i="6" s="1"/>
  <c r="BS196" i="6"/>
  <c r="BR196" i="6" s="1"/>
  <c r="BS130" i="6"/>
  <c r="BR130" i="6" s="1"/>
  <c r="BS85" i="6"/>
  <c r="BR85" i="6" s="1"/>
  <c r="BS38" i="6"/>
  <c r="BR38" i="6" s="1"/>
  <c r="BP230" i="6"/>
  <c r="BP217" i="6"/>
  <c r="BP211" i="6"/>
  <c r="BP203" i="6"/>
  <c r="BP197" i="6"/>
  <c r="BP183" i="6"/>
  <c r="BP176" i="6"/>
  <c r="BP171" i="6"/>
  <c r="BP164" i="6"/>
  <c r="BP150" i="6"/>
  <c r="BP143" i="6"/>
  <c r="BP134" i="6"/>
  <c r="BP126" i="6"/>
  <c r="BP111" i="6"/>
  <c r="BP102" i="6"/>
  <c r="BP94" i="6"/>
  <c r="BP89" i="6"/>
  <c r="BP72" i="6"/>
  <c r="BP66" i="6"/>
  <c r="BP57" i="6"/>
  <c r="BP49" i="6"/>
  <c r="BP32" i="6"/>
  <c r="BP27" i="6"/>
  <c r="BP20" i="6"/>
  <c r="BP11" i="6"/>
  <c r="BP103" i="6"/>
  <c r="BP53" i="6"/>
  <c r="BP229" i="6"/>
  <c r="BP223" i="6"/>
  <c r="BP216" i="6"/>
  <c r="BP210" i="6"/>
  <c r="BP190" i="6"/>
  <c r="BP182" i="6"/>
  <c r="BP175" i="6"/>
  <c r="BP163" i="6"/>
  <c r="BP156" i="6"/>
  <c r="BP149" i="6"/>
  <c r="BP142" i="6"/>
  <c r="BP125" i="6"/>
  <c r="BP118" i="6"/>
  <c r="BP109" i="6"/>
  <c r="BP100" i="6"/>
  <c r="BP88" i="6"/>
  <c r="BP80" i="6"/>
  <c r="BP71" i="6"/>
  <c r="BP64" i="6"/>
  <c r="BP48" i="6"/>
  <c r="BP41" i="6"/>
  <c r="BP31" i="6"/>
  <c r="BP26" i="6"/>
  <c r="BP205" i="6"/>
  <c r="BP146" i="6"/>
  <c r="BP117" i="6"/>
  <c r="BP74" i="6"/>
  <c r="BP36" i="6"/>
  <c r="BP204" i="6"/>
  <c r="BP75" i="6"/>
  <c r="BP228" i="6"/>
  <c r="BP222" i="6"/>
  <c r="BP209" i="6"/>
  <c r="BP202" i="6"/>
  <c r="BP195" i="6"/>
  <c r="BP189" i="6"/>
  <c r="BP170" i="6"/>
  <c r="BP162" i="6"/>
  <c r="BP155" i="6"/>
  <c r="BP141" i="6"/>
  <c r="BP133" i="6"/>
  <c r="BP124" i="6"/>
  <c r="BP116" i="6"/>
  <c r="BP99" i="6"/>
  <c r="BP93" i="6"/>
  <c r="BP87" i="6"/>
  <c r="BP79" i="6"/>
  <c r="BP63" i="6"/>
  <c r="BP56" i="6"/>
  <c r="BP47" i="6"/>
  <c r="BP40" i="6"/>
  <c r="BP25" i="6"/>
  <c r="BP17" i="6"/>
  <c r="BP196" i="6"/>
  <c r="BP137" i="6"/>
  <c r="BP101" i="6"/>
  <c r="BP51" i="6"/>
  <c r="BP19" i="6"/>
  <c r="BP218" i="6"/>
  <c r="BP185" i="6"/>
  <c r="BP157" i="6"/>
  <c r="BP135" i="6"/>
  <c r="BP112" i="6"/>
  <c r="BP90" i="6"/>
  <c r="BP58" i="6"/>
  <c r="BP42" i="6"/>
  <c r="BP21" i="6"/>
  <c r="BP158" i="6"/>
  <c r="BP37" i="6"/>
  <c r="BP234" i="6"/>
  <c r="BP221" i="6"/>
  <c r="BP215" i="6"/>
  <c r="BP208" i="6"/>
  <c r="BP201" i="6"/>
  <c r="BP188" i="6"/>
  <c r="BP181" i="6"/>
  <c r="BP169" i="6"/>
  <c r="BP154" i="6"/>
  <c r="BP148" i="6"/>
  <c r="BP140" i="6"/>
  <c r="BP131" i="6"/>
  <c r="BP114" i="6"/>
  <c r="BP108" i="6"/>
  <c r="BP98" i="6"/>
  <c r="BP92" i="6"/>
  <c r="BP78" i="6"/>
  <c r="BP70" i="6"/>
  <c r="BP62" i="6"/>
  <c r="BP55" i="6"/>
  <c r="BP39" i="6"/>
  <c r="BP30" i="6"/>
  <c r="BP24" i="6"/>
  <c r="BP15" i="6"/>
  <c r="BP136" i="6"/>
  <c r="BP115" i="6"/>
  <c r="BP73" i="6"/>
  <c r="BP45" i="6"/>
  <c r="BP224" i="6"/>
  <c r="BP191" i="6"/>
  <c r="BP172" i="6"/>
  <c r="BP151" i="6"/>
  <c r="BP127" i="6"/>
  <c r="BP95" i="6"/>
  <c r="BP82" i="6"/>
  <c r="BP33" i="6"/>
  <c r="BP12" i="6"/>
  <c r="BP122" i="6"/>
  <c r="BP81" i="6"/>
  <c r="BP233" i="6"/>
  <c r="BP227" i="6"/>
  <c r="BP220" i="6"/>
  <c r="BP214" i="6"/>
  <c r="BP200" i="6"/>
  <c r="BP194" i="6"/>
  <c r="BP187" i="6"/>
  <c r="BP180" i="6"/>
  <c r="BP167" i="6"/>
  <c r="BP161" i="6"/>
  <c r="BP153" i="6"/>
  <c r="BP147" i="6"/>
  <c r="BP129" i="6"/>
  <c r="BP123" i="6"/>
  <c r="BP113" i="6"/>
  <c r="BP107" i="6"/>
  <c r="BP91" i="6"/>
  <c r="BP86" i="6"/>
  <c r="BP77" i="6"/>
  <c r="BP69" i="6"/>
  <c r="BP54" i="6"/>
  <c r="BP46" i="6"/>
  <c r="BP35" i="6"/>
  <c r="BP29" i="6"/>
  <c r="BP14" i="6"/>
  <c r="BP184" i="6"/>
  <c r="BP132" i="6"/>
  <c r="BP65" i="6"/>
  <c r="BP18" i="6"/>
  <c r="BP231" i="6"/>
  <c r="BP198" i="6"/>
  <c r="BP165" i="6"/>
  <c r="BP119" i="6"/>
  <c r="BP50" i="6"/>
  <c r="BP232" i="6"/>
  <c r="BP226" i="6"/>
  <c r="BP213" i="6"/>
  <c r="BP207" i="6"/>
  <c r="BP199" i="6"/>
  <c r="BP193" i="6"/>
  <c r="BP179" i="6"/>
  <c r="BP174" i="6"/>
  <c r="BP166" i="6"/>
  <c r="BP160" i="6"/>
  <c r="BP145" i="6"/>
  <c r="BP139" i="6"/>
  <c r="BP128" i="6"/>
  <c r="BP121" i="6"/>
  <c r="BP106" i="6"/>
  <c r="BP97" i="6"/>
  <c r="BP84" i="6"/>
  <c r="BP68" i="6"/>
  <c r="BP61" i="6"/>
  <c r="BP52" i="6"/>
  <c r="BP44" i="6"/>
  <c r="BP23" i="6"/>
  <c r="BP13" i="6"/>
  <c r="BP178" i="6"/>
  <c r="BP110" i="6"/>
  <c r="BP85" i="6"/>
  <c r="BP38" i="6"/>
  <c r="BP225" i="6"/>
  <c r="BP219" i="6"/>
  <c r="BP212" i="6"/>
  <c r="BP206" i="6"/>
  <c r="BP192" i="6"/>
  <c r="BP186" i="6"/>
  <c r="BP177" i="6"/>
  <c r="BP173" i="6"/>
  <c r="BP159" i="6"/>
  <c r="BP152" i="6"/>
  <c r="BP144" i="6"/>
  <c r="BP138" i="6"/>
  <c r="BP120" i="6"/>
  <c r="BP104" i="6"/>
  <c r="BP96" i="6"/>
  <c r="BP83" i="6"/>
  <c r="BP76" i="6"/>
  <c r="BP67" i="6"/>
  <c r="BP59" i="6"/>
  <c r="BP43" i="6"/>
  <c r="BP34" i="6"/>
  <c r="BP28" i="6"/>
  <c r="BP22" i="6"/>
  <c r="BP168" i="6"/>
  <c r="BP130" i="6"/>
  <c r="BP105" i="6"/>
  <c r="BP60" i="6"/>
  <c r="CD216" i="6" l="1"/>
  <c r="CD56" i="6"/>
  <c r="CD155" i="6"/>
  <c r="CD169" i="6"/>
  <c r="CD55" i="6"/>
  <c r="CD20" i="6"/>
  <c r="BW162" i="6"/>
  <c r="CD138" i="6"/>
  <c r="BW154" i="6"/>
  <c r="BW97" i="6"/>
  <c r="BW155" i="6"/>
  <c r="BW164" i="6"/>
  <c r="CD35" i="6"/>
  <c r="CD127" i="6"/>
  <c r="CD143" i="6"/>
  <c r="CD37" i="6"/>
  <c r="CD41" i="6"/>
  <c r="CD140" i="6"/>
  <c r="CD148" i="6"/>
  <c r="CD212" i="6"/>
  <c r="BW131" i="6"/>
  <c r="BR6" i="6"/>
  <c r="BR5" i="6"/>
  <c r="BR4" i="6"/>
  <c r="BR1" i="6"/>
  <c r="BR3" i="6"/>
  <c r="BR2" i="6"/>
  <c r="BW20" i="6"/>
  <c r="CD227" i="6"/>
  <c r="CD195" i="6"/>
  <c r="CD11" i="6"/>
  <c r="CD73" i="6"/>
  <c r="CD106" i="6"/>
  <c r="CD173" i="6"/>
  <c r="BW222" i="6"/>
  <c r="CD86" i="6"/>
  <c r="BW105" i="6"/>
  <c r="CD40" i="6"/>
  <c r="CD200" i="6"/>
  <c r="BW76" i="6"/>
  <c r="CD193" i="6"/>
  <c r="CD116" i="6"/>
  <c r="BW37" i="6"/>
  <c r="CD189" i="6"/>
  <c r="CD146" i="6"/>
  <c r="BW191" i="6"/>
  <c r="CD81" i="6"/>
  <c r="CD108" i="6"/>
  <c r="CD199" i="6"/>
  <c r="BW49" i="6"/>
  <c r="CD121" i="6"/>
  <c r="CD210" i="6"/>
  <c r="BW149" i="6"/>
  <c r="BW167" i="6"/>
  <c r="BW228" i="6"/>
  <c r="CD183" i="6"/>
  <c r="CD99" i="6"/>
  <c r="CD100" i="6"/>
  <c r="BW128" i="6"/>
  <c r="BW50" i="6"/>
  <c r="CD139" i="6"/>
  <c r="CD233" i="6"/>
  <c r="CD171" i="6"/>
  <c r="CD185" i="6"/>
  <c r="CD71" i="6"/>
  <c r="CD64" i="6"/>
  <c r="BW204" i="6"/>
  <c r="BW65" i="6"/>
  <c r="CD175" i="6"/>
  <c r="CD107" i="6"/>
  <c r="CD209" i="6"/>
  <c r="CD78" i="6"/>
  <c r="CD96" i="6"/>
  <c r="BW208" i="6"/>
  <c r="CD223" i="6"/>
  <c r="CD75" i="6"/>
  <c r="CD105" i="6"/>
  <c r="CD22" i="6"/>
  <c r="CD91" i="6"/>
  <c r="BW129" i="6"/>
  <c r="CD12" i="6"/>
  <c r="CD149" i="6"/>
  <c r="CD220" i="6"/>
  <c r="CD28" i="6"/>
  <c r="CD135" i="6"/>
  <c r="BW145" i="6"/>
  <c r="BW35" i="6"/>
  <c r="CD230" i="6"/>
  <c r="CD161" i="6"/>
  <c r="CD48" i="6"/>
  <c r="BW25" i="6"/>
  <c r="CD74" i="6"/>
  <c r="CD98" i="6"/>
  <c r="CD111" i="6"/>
  <c r="BW138" i="6"/>
  <c r="CD177" i="6"/>
  <c r="CD83" i="6"/>
  <c r="CD152" i="6"/>
  <c r="CD57" i="6"/>
  <c r="BW118" i="6"/>
  <c r="BW71" i="6"/>
  <c r="CD201" i="6"/>
  <c r="CD203" i="6"/>
  <c r="CD109" i="6"/>
  <c r="CD29" i="6"/>
  <c r="BW233" i="6"/>
  <c r="CD215" i="6"/>
  <c r="CD158" i="6"/>
  <c r="BW189" i="6"/>
  <c r="BW172" i="6"/>
  <c r="CD226" i="6"/>
  <c r="CD115" i="6"/>
  <c r="CD196" i="6"/>
  <c r="CD30" i="6"/>
  <c r="CD93" i="6"/>
  <c r="CD154" i="6"/>
  <c r="CD165" i="6"/>
  <c r="CD172" i="6"/>
  <c r="BW137" i="6"/>
  <c r="CD147" i="6"/>
  <c r="CD23" i="6"/>
  <c r="CD39" i="6"/>
  <c r="CD164" i="6"/>
  <c r="CD76" i="6"/>
  <c r="CD194" i="6"/>
  <c r="CD205" i="6"/>
  <c r="BW116" i="6"/>
  <c r="CD54" i="6"/>
  <c r="CD224" i="6"/>
  <c r="CD218" i="6"/>
  <c r="CD49" i="6"/>
  <c r="CD207" i="6"/>
  <c r="CD118" i="6"/>
  <c r="BW221" i="6"/>
  <c r="CD129" i="6"/>
  <c r="CD234" i="6"/>
  <c r="CD92" i="6"/>
  <c r="CD153" i="6"/>
  <c r="CD117" i="6"/>
  <c r="CD219" i="6"/>
  <c r="CD97" i="6"/>
  <c r="BW206" i="6"/>
  <c r="BW144" i="6"/>
  <c r="BW135" i="6"/>
  <c r="BW52" i="6"/>
  <c r="CD168" i="6"/>
  <c r="CD27" i="6"/>
  <c r="CD145" i="6"/>
  <c r="CD170" i="6"/>
  <c r="CD24" i="6"/>
  <c r="CD65" i="6"/>
  <c r="BW163" i="6"/>
  <c r="BW96" i="6"/>
  <c r="CD45" i="6"/>
  <c r="CD112" i="6"/>
  <c r="BW185" i="6"/>
  <c r="BW179" i="6"/>
  <c r="BW66" i="6"/>
  <c r="BW146" i="6"/>
  <c r="BW36" i="6"/>
  <c r="CD162" i="6"/>
  <c r="CD187" i="6"/>
  <c r="CD44" i="6"/>
  <c r="CD180" i="6"/>
  <c r="BW56" i="6"/>
  <c r="CD176" i="6"/>
  <c r="BW229" i="6"/>
  <c r="CD47" i="6"/>
  <c r="CD134" i="6"/>
  <c r="CD110" i="6"/>
  <c r="CD63" i="6"/>
  <c r="BW183" i="6"/>
  <c r="BW234" i="6"/>
  <c r="CD202" i="6"/>
  <c r="CD114" i="6"/>
  <c r="CE72" i="6"/>
  <c r="CD72" i="6" s="1"/>
  <c r="CE191" i="6"/>
  <c r="CD191" i="6" s="1"/>
  <c r="CE156" i="6"/>
  <c r="CD156" i="6" s="1"/>
  <c r="CE51" i="6"/>
  <c r="CD51" i="6" s="1"/>
  <c r="CE61" i="6"/>
  <c r="CD61" i="6" s="1"/>
  <c r="CE120" i="6"/>
  <c r="CD120" i="6" s="1"/>
  <c r="CE21" i="6"/>
  <c r="CD21" i="6" s="1"/>
  <c r="CE53" i="6"/>
  <c r="CD53" i="6" s="1"/>
  <c r="CE33" i="6"/>
  <c r="CD33" i="6" s="1"/>
  <c r="CE89" i="6"/>
  <c r="CD89" i="6" s="1"/>
  <c r="CE36" i="6"/>
  <c r="CD36" i="6" s="1"/>
  <c r="CE69" i="6"/>
  <c r="CD69" i="6" s="1"/>
  <c r="CE179" i="6"/>
  <c r="CD179" i="6" s="1"/>
  <c r="CE137" i="6"/>
  <c r="CD137" i="6" s="1"/>
  <c r="CE70" i="6"/>
  <c r="CD70" i="6" s="1"/>
  <c r="CE144" i="6"/>
  <c r="CD144" i="6" s="1"/>
  <c r="CE204" i="6"/>
  <c r="CD204" i="6" s="1"/>
  <c r="CE67" i="6"/>
  <c r="CD67" i="6" s="1"/>
  <c r="CE126" i="6"/>
  <c r="CD126" i="6" s="1"/>
  <c r="CE85" i="6"/>
  <c r="CD85" i="6" s="1"/>
  <c r="CE42" i="6"/>
  <c r="CD42" i="6" s="1"/>
  <c r="CE94" i="6"/>
  <c r="CD94" i="6" s="1"/>
  <c r="CE84" i="6"/>
  <c r="CD84" i="6" s="1"/>
  <c r="CE186" i="6"/>
  <c r="CD186" i="6" s="1"/>
  <c r="CE77" i="6"/>
  <c r="CD77" i="6" s="1"/>
  <c r="CE151" i="6"/>
  <c r="CD151" i="6" s="1"/>
  <c r="CE211" i="6"/>
  <c r="CD211" i="6" s="1"/>
  <c r="CE26" i="6"/>
  <c r="CD26" i="6" s="1"/>
  <c r="CE232" i="6"/>
  <c r="CD232" i="6" s="1"/>
  <c r="CE90" i="6"/>
  <c r="CD90" i="6" s="1"/>
  <c r="CE157" i="6"/>
  <c r="CD157" i="6" s="1"/>
  <c r="CE217" i="6"/>
  <c r="CD217" i="6" s="1"/>
  <c r="CE31" i="6"/>
  <c r="CD31" i="6" s="1"/>
  <c r="CE119" i="6"/>
  <c r="CD119" i="6" s="1"/>
  <c r="CE130" i="6"/>
  <c r="CD130" i="6" s="1"/>
  <c r="CE190" i="6"/>
  <c r="CD190" i="6" s="1"/>
  <c r="CE14" i="6"/>
  <c r="CD14" i="6" s="1"/>
  <c r="CE95" i="6"/>
  <c r="CD95" i="6" s="1"/>
  <c r="CE163" i="6"/>
  <c r="CD163" i="6" s="1"/>
  <c r="CE125" i="6"/>
  <c r="CD125" i="6" s="1"/>
  <c r="CE178" i="6"/>
  <c r="CD178" i="6" s="1"/>
  <c r="CE82" i="6"/>
  <c r="CD82" i="6" s="1"/>
  <c r="CE231" i="6"/>
  <c r="CD231" i="6" s="1"/>
  <c r="CE184" i="6"/>
  <c r="CD184" i="6" s="1"/>
  <c r="CE62" i="6"/>
  <c r="CD62" i="6" s="1"/>
  <c r="CE113" i="6"/>
  <c r="CD113" i="6" s="1"/>
  <c r="CE192" i="6"/>
  <c r="CD192" i="6" s="1"/>
  <c r="CE128" i="6"/>
  <c r="CD128" i="6" s="1"/>
  <c r="CE34" i="6"/>
  <c r="CD34" i="6" s="1"/>
  <c r="CE102" i="6"/>
  <c r="CD102" i="6" s="1"/>
  <c r="CE225" i="6"/>
  <c r="CD225" i="6" s="1"/>
  <c r="CE208" i="6"/>
  <c r="CD208" i="6" s="1"/>
  <c r="CE13" i="6"/>
  <c r="CD13" i="6" s="1"/>
  <c r="CE68" i="6"/>
  <c r="CD68" i="6" s="1"/>
  <c r="CE197" i="6"/>
  <c r="CD197" i="6" s="1"/>
  <c r="BX150" i="6"/>
  <c r="BW150" i="6" s="1"/>
  <c r="BX59" i="6"/>
  <c r="BW59" i="6" s="1"/>
  <c r="BX80" i="6"/>
  <c r="BW80" i="6" s="1"/>
  <c r="BX190" i="6"/>
  <c r="BW190" i="6" s="1"/>
  <c r="BX19" i="6"/>
  <c r="BW19" i="6" s="1"/>
  <c r="BX104" i="6"/>
  <c r="BW104" i="6" s="1"/>
  <c r="BX33" i="6"/>
  <c r="BW33" i="6" s="1"/>
  <c r="BX227" i="6"/>
  <c r="BW227" i="6" s="1"/>
  <c r="BX161" i="6"/>
  <c r="BW161" i="6" s="1"/>
  <c r="BX90" i="6"/>
  <c r="BW90" i="6" s="1"/>
  <c r="BX94" i="6"/>
  <c r="BW94" i="6" s="1"/>
  <c r="BX93" i="6"/>
  <c r="BW93" i="6" s="1"/>
  <c r="BX209" i="6"/>
  <c r="BW209" i="6" s="1"/>
  <c r="BX46" i="6"/>
  <c r="BW46" i="6" s="1"/>
  <c r="BX210" i="6"/>
  <c r="BW210" i="6" s="1"/>
  <c r="BX182" i="6"/>
  <c r="BW182" i="6" s="1"/>
  <c r="BX120" i="6"/>
  <c r="BW120" i="6" s="1"/>
  <c r="BX177" i="6"/>
  <c r="BW177" i="6" s="1"/>
  <c r="BX67" i="6"/>
  <c r="BW67" i="6" s="1"/>
  <c r="BX214" i="6"/>
  <c r="BW214" i="6" s="1"/>
  <c r="BX75" i="6"/>
  <c r="BW75" i="6" s="1"/>
  <c r="BX122" i="6"/>
  <c r="BW122" i="6" s="1"/>
  <c r="BX181" i="6"/>
  <c r="BW181" i="6" s="1"/>
  <c r="BX108" i="6"/>
  <c r="BW108" i="6" s="1"/>
  <c r="BX43" i="6"/>
  <c r="BW43" i="6" s="1"/>
  <c r="BX60" i="6"/>
  <c r="BW60" i="6" s="1"/>
  <c r="BX107" i="6"/>
  <c r="BW107" i="6" s="1"/>
  <c r="BX42" i="6"/>
  <c r="BW42" i="6" s="1"/>
  <c r="BX86" i="6"/>
  <c r="BW86" i="6" s="1"/>
  <c r="BX110" i="6"/>
  <c r="BW110" i="6" s="1"/>
  <c r="BX13" i="6"/>
  <c r="BW13" i="6" s="1"/>
  <c r="BX219" i="6"/>
  <c r="BW219" i="6" s="1"/>
  <c r="BX152" i="6"/>
  <c r="BW152" i="6" s="1"/>
  <c r="BX83" i="6"/>
  <c r="BW83" i="6" s="1"/>
  <c r="BX21" i="6"/>
  <c r="BW21" i="6" s="1"/>
  <c r="BX89" i="6"/>
  <c r="BW89" i="6" s="1"/>
  <c r="BX11" i="6"/>
  <c r="BW11" i="6" s="1"/>
  <c r="BX225" i="6"/>
  <c r="BW225" i="6" s="1"/>
  <c r="BX34" i="6"/>
  <c r="BW34" i="6" s="1"/>
  <c r="BX171" i="6"/>
  <c r="BW171" i="6" s="1"/>
  <c r="BX23" i="6"/>
  <c r="BW23" i="6" s="1"/>
  <c r="BX78" i="6"/>
  <c r="BW78" i="6" s="1"/>
  <c r="BX84" i="6"/>
  <c r="BW84" i="6" s="1"/>
  <c r="BX178" i="6"/>
  <c r="BW178" i="6" s="1"/>
  <c r="BX211" i="6"/>
  <c r="BW211" i="6" s="1"/>
  <c r="BX143" i="6"/>
  <c r="BW143" i="6" s="1"/>
  <c r="BX77" i="6"/>
  <c r="BW77" i="6" s="1"/>
  <c r="BX12" i="6"/>
  <c r="BW12" i="6" s="1"/>
  <c r="BX82" i="6"/>
  <c r="BW82" i="6" s="1"/>
  <c r="BX158" i="6"/>
  <c r="BW158" i="6" s="1"/>
  <c r="BX27" i="6"/>
  <c r="BW27" i="6" s="1"/>
  <c r="BX175" i="6"/>
  <c r="BW175" i="6" s="1"/>
  <c r="BX220" i="6"/>
  <c r="BW220" i="6" s="1"/>
  <c r="BX180" i="6"/>
  <c r="BW180" i="6" s="1"/>
  <c r="BX224" i="6"/>
  <c r="BW224" i="6" s="1"/>
  <c r="BX119" i="6"/>
  <c r="BW119" i="6" s="1"/>
  <c r="BX44" i="6"/>
  <c r="BW44" i="6" s="1"/>
  <c r="BX231" i="6"/>
  <c r="BW231" i="6" s="1"/>
  <c r="BX165" i="6"/>
  <c r="BW165" i="6" s="1"/>
  <c r="BX92" i="6"/>
  <c r="BW92" i="6" s="1"/>
  <c r="BX91" i="6"/>
  <c r="BW91" i="6" s="1"/>
  <c r="BX14" i="6"/>
  <c r="BW14" i="6" s="1"/>
  <c r="BX70" i="6"/>
  <c r="BW70" i="6" s="1"/>
  <c r="BX69" i="6"/>
  <c r="BW69" i="6" s="1"/>
  <c r="BX202" i="6"/>
  <c r="BW202" i="6" s="1"/>
  <c r="BX133" i="6"/>
  <c r="BW133" i="6" s="1"/>
  <c r="BX68" i="6"/>
  <c r="BW68" i="6" s="1"/>
  <c r="BX168" i="6"/>
  <c r="BW168" i="6" s="1"/>
  <c r="BX61" i="6"/>
  <c r="BW61" i="6" s="1"/>
  <c r="BX73" i="6"/>
  <c r="BW73" i="6" s="1"/>
  <c r="BX17" i="6"/>
  <c r="BW17" i="6" s="1"/>
  <c r="BX30" i="6"/>
  <c r="BW30" i="6" s="1"/>
  <c r="BX134" i="6"/>
  <c r="BW134" i="6" s="1"/>
  <c r="BX226" i="6"/>
  <c r="BW226" i="6" s="1"/>
  <c r="BX200" i="6"/>
  <c r="BW200" i="6" s="1"/>
  <c r="BX199" i="6"/>
  <c r="BW199" i="6" s="1"/>
  <c r="BX217" i="6"/>
  <c r="BW217" i="6" s="1"/>
  <c r="BX151" i="6"/>
  <c r="BW151" i="6" s="1"/>
  <c r="BX195" i="6"/>
  <c r="BW195" i="6" s="1"/>
  <c r="BX140" i="6"/>
  <c r="BW140" i="6" s="1"/>
  <c r="BX230" i="6"/>
  <c r="BW230" i="6" s="1"/>
  <c r="BX109" i="6"/>
  <c r="BW109" i="6" s="1"/>
  <c r="BX29" i="6"/>
  <c r="BW29" i="6" s="1"/>
  <c r="BX223" i="6"/>
  <c r="BW223" i="6" s="1"/>
  <c r="BX156" i="6"/>
  <c r="BW156" i="6" s="1"/>
  <c r="BX79" i="6"/>
  <c r="BW79" i="6" s="1"/>
  <c r="BX24" i="6"/>
  <c r="BW24" i="6" s="1"/>
  <c r="BX87" i="6"/>
  <c r="BW87" i="6" s="1"/>
  <c r="BX196" i="6"/>
  <c r="BW196" i="6" s="1"/>
  <c r="BX63" i="6"/>
  <c r="BW63" i="6" s="1"/>
  <c r="BX81" i="6"/>
  <c r="BW81" i="6" s="1"/>
  <c r="BX194" i="6"/>
  <c r="BW194" i="6" s="1"/>
  <c r="BX123" i="6"/>
  <c r="BW123" i="6" s="1"/>
  <c r="BX62" i="6"/>
  <c r="BW62" i="6" s="1"/>
  <c r="BX132" i="6"/>
  <c r="BW132" i="6" s="1"/>
  <c r="BX54" i="6"/>
  <c r="BW54" i="6" s="1"/>
  <c r="BX38" i="6"/>
  <c r="BW38" i="6" s="1"/>
  <c r="BX141" i="6"/>
  <c r="BW141" i="6" s="1"/>
  <c r="BX142" i="6"/>
  <c r="BW142" i="6" s="1"/>
  <c r="BX187" i="6"/>
  <c r="BW187" i="6" s="1"/>
  <c r="BX201" i="6"/>
  <c r="BW201" i="6" s="1"/>
  <c r="BX147" i="6"/>
  <c r="BW147" i="6" s="1"/>
  <c r="BX99" i="6"/>
  <c r="BW99" i="6" s="1"/>
  <c r="BX215" i="6"/>
  <c r="BW215" i="6" s="1"/>
  <c r="BX148" i="6"/>
  <c r="BW148" i="6" s="1"/>
  <c r="BX72" i="6"/>
  <c r="BW72" i="6" s="1"/>
  <c r="BX15" i="6"/>
  <c r="BW15" i="6" s="1"/>
  <c r="BX115" i="6"/>
  <c r="BW115" i="6" s="1"/>
  <c r="BX125" i="6"/>
  <c r="BW125" i="6" s="1"/>
  <c r="BX28" i="6"/>
  <c r="BW28" i="6" s="1"/>
  <c r="BX186" i="6"/>
  <c r="BW186" i="6" s="1"/>
  <c r="BX55" i="6"/>
  <c r="BW55" i="6" s="1"/>
  <c r="BX103" i="6"/>
  <c r="BW103" i="6" s="1"/>
  <c r="BX121" i="6"/>
  <c r="BW121" i="6" s="1"/>
  <c r="BX47" i="6"/>
  <c r="BW47" i="6" s="1"/>
  <c r="BX16" i="6"/>
  <c r="BW16" i="6" s="1"/>
  <c r="BX159" i="6"/>
  <c r="BW159" i="6" s="1"/>
  <c r="BX130" i="6"/>
  <c r="BW130" i="6" s="1"/>
  <c r="BX193" i="6"/>
  <c r="BW193" i="6" s="1"/>
  <c r="BX213" i="6"/>
  <c r="BW213" i="6" s="1"/>
  <c r="BX197" i="6"/>
  <c r="BW197" i="6" s="1"/>
  <c r="BX207" i="6"/>
  <c r="BW207" i="6" s="1"/>
  <c r="BX139" i="6"/>
  <c r="BW139" i="6" s="1"/>
  <c r="BX64" i="6"/>
  <c r="BW64" i="6" s="1"/>
  <c r="BX85" i="6"/>
  <c r="BW85" i="6" s="1"/>
  <c r="BX114" i="6"/>
  <c r="BW114" i="6" s="1"/>
  <c r="BX22" i="6"/>
  <c r="BW22" i="6" s="1"/>
  <c r="BX124" i="6"/>
  <c r="BW124" i="6" s="1"/>
  <c r="BX48" i="6"/>
  <c r="BW48" i="6" s="1"/>
  <c r="BX18" i="6"/>
  <c r="BW18" i="6" s="1"/>
  <c r="BX176" i="6"/>
  <c r="BW176" i="6" s="1"/>
  <c r="BX102" i="6"/>
  <c r="BW102" i="6" s="1"/>
  <c r="BX40" i="6"/>
  <c r="BW40" i="6" s="1"/>
  <c r="BX74" i="6"/>
  <c r="BW74" i="6" s="1"/>
  <c r="BX112" i="6"/>
  <c r="BW112" i="6" s="1"/>
  <c r="BX31" i="6"/>
  <c r="BW31" i="6" s="1"/>
  <c r="BX153" i="6"/>
  <c r="BW153" i="6" s="1"/>
  <c r="BX101" i="6"/>
  <c r="BW101" i="6" s="1"/>
  <c r="BX173" i="6"/>
  <c r="BW173" i="6" s="1"/>
  <c r="BX216" i="6"/>
  <c r="BW216" i="6" s="1"/>
  <c r="BX111" i="6"/>
  <c r="BW111" i="6" s="1"/>
  <c r="BX169" i="6"/>
  <c r="BW169" i="6" s="1"/>
  <c r="BX212" i="6"/>
  <c r="BW212" i="6" s="1"/>
  <c r="BX157" i="6"/>
  <c r="BW157" i="6" s="1"/>
  <c r="BX88" i="6"/>
  <c r="BW88" i="6" s="1"/>
  <c r="BX205" i="6"/>
  <c r="BW205" i="6" s="1"/>
  <c r="BX198" i="6"/>
  <c r="BW198" i="6" s="1"/>
  <c r="BX127" i="6"/>
  <c r="BW127" i="6" s="1"/>
  <c r="BX58" i="6"/>
  <c r="BW58" i="6" s="1"/>
  <c r="BX117" i="6"/>
  <c r="BW117" i="6" s="1"/>
  <c r="BX126" i="6"/>
  <c r="BW126" i="6" s="1"/>
  <c r="BX57" i="6"/>
  <c r="BW57" i="6" s="1"/>
  <c r="BX53" i="6"/>
  <c r="BW53" i="6" s="1"/>
  <c r="BX106" i="6"/>
  <c r="BW106" i="6" s="1"/>
  <c r="BX184" i="6"/>
  <c r="BW184" i="6" s="1"/>
  <c r="BX113" i="6"/>
  <c r="BW113" i="6" s="1"/>
  <c r="BX41" i="6"/>
  <c r="BW41" i="6" s="1"/>
  <c r="BX170" i="6"/>
  <c r="BW170" i="6" s="1"/>
  <c r="BX95" i="6"/>
  <c r="BW95" i="6" s="1"/>
  <c r="BX32" i="6"/>
  <c r="BW32" i="6" s="1"/>
  <c r="BX45" i="6"/>
  <c r="BW45" i="6" s="1"/>
  <c r="BX100" i="6"/>
  <c r="BW100" i="6" s="1"/>
  <c r="BX26" i="6"/>
  <c r="BW26" i="6" s="1"/>
  <c r="BX192" i="6"/>
  <c r="BW192" i="6" s="1"/>
  <c r="BX51" i="6"/>
  <c r="BW51" i="6" s="1"/>
  <c r="BX160" i="6"/>
  <c r="BW160" i="6" s="1"/>
  <c r="BX203" i="6"/>
  <c r="BW203" i="6" s="1"/>
  <c r="BW4" i="6" l="1"/>
  <c r="BW6" i="6"/>
  <c r="CD2" i="6"/>
  <c r="BW5" i="6"/>
  <c r="CD1" i="6"/>
  <c r="CD6" i="6"/>
  <c r="CD5" i="6"/>
  <c r="CD4" i="6"/>
  <c r="CD3" i="6"/>
  <c r="BW3" i="6"/>
  <c r="BW2" i="6"/>
  <c r="BW1" i="6"/>
  <c r="CJ9" i="6" l="1"/>
  <c r="CJ9" i="3"/>
  <c r="H823" i="4" l="1"/>
  <c r="K823" i="4" s="1"/>
  <c r="N823" i="4" s="1"/>
  <c r="Q823" i="4" s="1"/>
  <c r="T823" i="4" s="1"/>
  <c r="W823" i="4" s="1"/>
  <c r="Z823" i="4" s="1"/>
  <c r="AC823" i="4" s="1"/>
  <c r="H824" i="4"/>
  <c r="K824" i="4" s="1"/>
  <c r="N824" i="4" s="1"/>
  <c r="Q824" i="4" s="1"/>
  <c r="T824" i="4" s="1"/>
  <c r="W824" i="4" s="1"/>
  <c r="Z824" i="4" s="1"/>
  <c r="AC824" i="4" s="1"/>
  <c r="H825" i="4"/>
  <c r="K825" i="4" s="1"/>
  <c r="N825" i="4" s="1"/>
  <c r="Q825" i="4" s="1"/>
  <c r="T825" i="4" s="1"/>
  <c r="W825" i="4" s="1"/>
  <c r="Z825" i="4" s="1"/>
  <c r="AC825" i="4" s="1"/>
  <c r="H826" i="4"/>
  <c r="K826" i="4" s="1"/>
  <c r="N826" i="4" s="1"/>
  <c r="Q826" i="4" s="1"/>
  <c r="T826" i="4" s="1"/>
  <c r="W826" i="4" s="1"/>
  <c r="Z826" i="4" s="1"/>
  <c r="AC826" i="4" s="1"/>
  <c r="H827" i="4"/>
  <c r="K827" i="4" s="1"/>
  <c r="N827" i="4" s="1"/>
  <c r="Q827" i="4" s="1"/>
  <c r="T827" i="4" s="1"/>
  <c r="W827" i="4" s="1"/>
  <c r="Z827" i="4" s="1"/>
  <c r="AC827" i="4" s="1"/>
  <c r="H828" i="4"/>
  <c r="K828" i="4" s="1"/>
  <c r="N828" i="4" s="1"/>
  <c r="Q828" i="4" s="1"/>
  <c r="T828" i="4" s="1"/>
  <c r="W828" i="4" s="1"/>
  <c r="Z828" i="4" s="1"/>
  <c r="AC828" i="4" s="1"/>
  <c r="G823" i="4"/>
  <c r="J823" i="4"/>
  <c r="M823" i="4"/>
  <c r="P823" i="4"/>
  <c r="S823" i="4"/>
  <c r="V823" i="4"/>
  <c r="Y823" i="4"/>
  <c r="AB823" i="4"/>
  <c r="D823" i="4"/>
  <c r="AB832" i="4"/>
  <c r="AF832" i="4"/>
  <c r="Y832" i="4"/>
  <c r="V832" i="4"/>
  <c r="G832" i="4"/>
  <c r="J832" i="4"/>
  <c r="M832" i="4"/>
  <c r="P832" i="4"/>
  <c r="S832" i="4"/>
  <c r="AE832" i="4"/>
  <c r="AG832" i="4"/>
  <c r="D832" i="4"/>
  <c r="AK835" i="4"/>
  <c r="AK836" i="4"/>
  <c r="AK837" i="4"/>
  <c r="AK838" i="4"/>
  <c r="AK839" i="4"/>
  <c r="AK840" i="4"/>
  <c r="AK841" i="4"/>
  <c r="AK842" i="4"/>
  <c r="AK843" i="4"/>
  <c r="AK844" i="4"/>
  <c r="AK845" i="4"/>
  <c r="AK846" i="4"/>
  <c r="AK847" i="4"/>
  <c r="AK848" i="4"/>
  <c r="AK849" i="4"/>
  <c r="AK850" i="4"/>
  <c r="AK851" i="4"/>
  <c r="AK852" i="4"/>
  <c r="AK853" i="4"/>
  <c r="AK854" i="4"/>
  <c r="AK855" i="4"/>
  <c r="AK856" i="4"/>
  <c r="AK857" i="4"/>
  <c r="AK858" i="4"/>
  <c r="AK859" i="4"/>
  <c r="AK860" i="4"/>
  <c r="AK861" i="4"/>
  <c r="AK862" i="4"/>
  <c r="AK863" i="4"/>
  <c r="AK864" i="4"/>
  <c r="AK865" i="4"/>
  <c r="AK866" i="4"/>
  <c r="AK867" i="4"/>
  <c r="AK868" i="4"/>
  <c r="AK869" i="4"/>
  <c r="AK870" i="4"/>
  <c r="AK871" i="4"/>
  <c r="AK872" i="4"/>
  <c r="AK873" i="4"/>
  <c r="AK874" i="4"/>
  <c r="AK875" i="4"/>
  <c r="AK876" i="4"/>
  <c r="AK877" i="4"/>
  <c r="AK878" i="4"/>
  <c r="AK879" i="4"/>
  <c r="AK880" i="4"/>
  <c r="AK881" i="4"/>
  <c r="AK882" i="4"/>
  <c r="AK883" i="4"/>
  <c r="AK884" i="4"/>
  <c r="AK885" i="4"/>
  <c r="AK886" i="4"/>
  <c r="AK887" i="4"/>
  <c r="AK888" i="4"/>
  <c r="AK889" i="4"/>
  <c r="AK890" i="4"/>
  <c r="AK891" i="4"/>
  <c r="AK892" i="4"/>
  <c r="AK893" i="4"/>
  <c r="AK894" i="4"/>
  <c r="AK895" i="4"/>
  <c r="AK896" i="4"/>
  <c r="AK897" i="4"/>
  <c r="AK898" i="4"/>
  <c r="AK899" i="4"/>
  <c r="AK900" i="4"/>
  <c r="AK901" i="4"/>
  <c r="AK902" i="4"/>
  <c r="AK903" i="4"/>
  <c r="AK904" i="4"/>
  <c r="AK905" i="4"/>
  <c r="AK906" i="4"/>
  <c r="AK907" i="4"/>
  <c r="AK908" i="4"/>
  <c r="AK909" i="4"/>
  <c r="AK910" i="4"/>
  <c r="AK911" i="4"/>
  <c r="AK912" i="4"/>
  <c r="AK913" i="4"/>
  <c r="AK914" i="4"/>
  <c r="AK915" i="4"/>
  <c r="AK916" i="4"/>
  <c r="AK917" i="4"/>
  <c r="AK918" i="4"/>
  <c r="AK919" i="4"/>
  <c r="AK920" i="4"/>
  <c r="AK921" i="4"/>
  <c r="AK922" i="4"/>
  <c r="AK923" i="4"/>
  <c r="AK924" i="4"/>
  <c r="AK925" i="4"/>
  <c r="AK926" i="4"/>
  <c r="AK927" i="4"/>
  <c r="AK928" i="4"/>
  <c r="AK929" i="4"/>
  <c r="AK930" i="4"/>
  <c r="AK931" i="4"/>
  <c r="AK932" i="4"/>
  <c r="AK933" i="4"/>
  <c r="AK934" i="4"/>
  <c r="AK935" i="4"/>
  <c r="AK936" i="4"/>
  <c r="AK937" i="4"/>
  <c r="AK938" i="4"/>
  <c r="AK939" i="4"/>
  <c r="AK940" i="4"/>
  <c r="AK941" i="4"/>
  <c r="AK942" i="4"/>
  <c r="AK943" i="4"/>
  <c r="AK944" i="4"/>
  <c r="AK945" i="4"/>
  <c r="AK946" i="4"/>
  <c r="AK947" i="4"/>
  <c r="AK948" i="4"/>
  <c r="AK949" i="4"/>
  <c r="AK950" i="4"/>
  <c r="AK951" i="4"/>
  <c r="AK952" i="4"/>
  <c r="AK953" i="4"/>
  <c r="AK954" i="4"/>
  <c r="AK955" i="4"/>
  <c r="AK956" i="4"/>
  <c r="AK957" i="4"/>
  <c r="AK958" i="4"/>
  <c r="AK959" i="4"/>
  <c r="AK960" i="4"/>
  <c r="AK961" i="4"/>
  <c r="AK962" i="4"/>
  <c r="AK963" i="4"/>
  <c r="AK964" i="4"/>
  <c r="AK965" i="4"/>
  <c r="AK966" i="4"/>
  <c r="AK967" i="4"/>
  <c r="AK968" i="4"/>
  <c r="AK969" i="4"/>
  <c r="AK970" i="4"/>
  <c r="AK971" i="4"/>
  <c r="AK972" i="4"/>
  <c r="AK973" i="4"/>
  <c r="AK974" i="4"/>
  <c r="AK975" i="4"/>
  <c r="AK976" i="4"/>
  <c r="AK977" i="4"/>
  <c r="AK978" i="4"/>
  <c r="AK979" i="4"/>
  <c r="AK980" i="4"/>
  <c r="AK981" i="4"/>
  <c r="AK982" i="4"/>
  <c r="AK983" i="4"/>
  <c r="AK984" i="4"/>
  <c r="AK985" i="4"/>
  <c r="AK986" i="4"/>
  <c r="AK987" i="4"/>
  <c r="AK988" i="4"/>
  <c r="AK989" i="4"/>
  <c r="AK990" i="4"/>
  <c r="AK991" i="4"/>
  <c r="AK992" i="4"/>
  <c r="AK993" i="4"/>
  <c r="AK994" i="4"/>
  <c r="AK995" i="4"/>
  <c r="AK996" i="4"/>
  <c r="AK997" i="4"/>
  <c r="AK998" i="4"/>
  <c r="AK999" i="4"/>
  <c r="AK1000" i="4"/>
  <c r="AK1001" i="4"/>
  <c r="AK1002" i="4"/>
  <c r="AK1003" i="4"/>
  <c r="AK1004" i="4"/>
  <c r="AK1005" i="4"/>
  <c r="AK1006" i="4"/>
  <c r="AK1007" i="4"/>
  <c r="AK1008" i="4"/>
  <c r="AK1009" i="4"/>
  <c r="AK1010" i="4"/>
  <c r="AK1011" i="4"/>
  <c r="AK1012" i="4"/>
  <c r="AK1013" i="4"/>
  <c r="AK1014" i="4"/>
  <c r="AK1015" i="4"/>
  <c r="AK1016" i="4"/>
  <c r="AK1017" i="4"/>
  <c r="AK1018" i="4"/>
  <c r="AK1019" i="4"/>
  <c r="AK1020" i="4"/>
  <c r="AK1021" i="4"/>
  <c r="AK1022" i="4"/>
  <c r="AK1023" i="4"/>
  <c r="AK1024" i="4"/>
  <c r="AK1025" i="4"/>
  <c r="AK1026" i="4"/>
  <c r="AK1027" i="4"/>
  <c r="AK1028" i="4"/>
  <c r="AK1029" i="4"/>
  <c r="AK1030" i="4"/>
  <c r="AK1031" i="4"/>
  <c r="AK834" i="4"/>
  <c r="E622" i="4"/>
  <c r="E420" i="4"/>
  <c r="E218" i="4"/>
  <c r="F218" i="4"/>
  <c r="E14"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275" i="4" s="1"/>
  <c r="D477" i="4" s="1"/>
  <c r="D679" i="4" s="1"/>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315" i="4" s="1"/>
  <c r="D517" i="4" s="1"/>
  <c r="D719" i="4" s="1"/>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377" i="4" s="1"/>
  <c r="D579" i="4" s="1"/>
  <c r="D781" i="4" s="1"/>
  <c r="D174" i="4"/>
  <c r="D175" i="4"/>
  <c r="D176" i="4"/>
  <c r="D177" i="4"/>
  <c r="D178" i="4"/>
  <c r="D382" i="4" s="1"/>
  <c r="D584" i="4" s="1"/>
  <c r="D786" i="4" s="1"/>
  <c r="D179" i="4"/>
  <c r="D180" i="4"/>
  <c r="D181" i="4"/>
  <c r="D182" i="4"/>
  <c r="D183" i="4"/>
  <c r="D184" i="4"/>
  <c r="D185" i="4"/>
  <c r="D186" i="4"/>
  <c r="D187" i="4"/>
  <c r="D188" i="4"/>
  <c r="D189" i="4"/>
  <c r="D190" i="4"/>
  <c r="D191" i="4"/>
  <c r="D192" i="4"/>
  <c r="D396" i="4" s="1"/>
  <c r="D598" i="4" s="1"/>
  <c r="D800" i="4" s="1"/>
  <c r="D193" i="4"/>
  <c r="D194" i="4"/>
  <c r="D195" i="4"/>
  <c r="D196" i="4"/>
  <c r="D197" i="4"/>
  <c r="D198" i="4"/>
  <c r="D199" i="4"/>
  <c r="D200" i="4"/>
  <c r="D201" i="4"/>
  <c r="D202" i="4"/>
  <c r="D203" i="4"/>
  <c r="D204" i="4"/>
  <c r="D205" i="4"/>
  <c r="D206" i="4"/>
  <c r="D207" i="4"/>
  <c r="D208" i="4"/>
  <c r="D209" i="4"/>
  <c r="D210" i="4"/>
  <c r="D211" i="4"/>
  <c r="D212" i="4"/>
  <c r="D213" i="4"/>
  <c r="F14" i="4"/>
  <c r="G14" i="4"/>
  <c r="H14" i="4"/>
  <c r="I14" i="4"/>
  <c r="J14" i="4"/>
  <c r="K14" i="4"/>
  <c r="L14" i="4"/>
  <c r="M14" i="4"/>
  <c r="AX1011" i="4" l="1" a="1"/>
  <c r="AX1011" i="4" s="1"/>
  <c r="M193" i="5" s="1" a="1"/>
  <c r="M193" i="5" s="1"/>
  <c r="AY1011" i="4" a="1"/>
  <c r="AY1011" i="4" s="1"/>
  <c r="N193" i="5" s="1" a="1"/>
  <c r="N193" i="5" s="1"/>
  <c r="AU1011" i="4" a="1"/>
  <c r="AU1011" i="4" s="1"/>
  <c r="J193" i="5" s="1" a="1"/>
  <c r="J193" i="5" s="1"/>
  <c r="AV1011" i="4" a="1"/>
  <c r="AV1011" i="4" s="1"/>
  <c r="K193" i="5" s="1" a="1"/>
  <c r="K193" i="5" s="1"/>
  <c r="AW1011" i="4" a="1"/>
  <c r="AW1011" i="4" s="1"/>
  <c r="L193" i="5" s="1" a="1"/>
  <c r="L193" i="5" s="1"/>
  <c r="BA1011" i="4" a="1"/>
  <c r="BA1011" i="4" s="1"/>
  <c r="P193" i="5" s="1" a="1"/>
  <c r="P193" i="5" s="1"/>
  <c r="BB1011" i="4" a="1"/>
  <c r="BB1011" i="4" s="1"/>
  <c r="Q193" i="5" s="1" a="1"/>
  <c r="Q193" i="5" s="1"/>
  <c r="AZ1011" i="4" a="1"/>
  <c r="AZ1011" i="4" s="1"/>
  <c r="O193" i="5" s="1" a="1"/>
  <c r="O193" i="5" s="1"/>
  <c r="BC1011" i="4" a="1"/>
  <c r="BC1011" i="4" s="1"/>
  <c r="R193" i="5" s="1" a="1"/>
  <c r="R193" i="5" s="1"/>
  <c r="AU987" i="4" a="1"/>
  <c r="AU987" i="4" s="1"/>
  <c r="J169" i="5" s="1" a="1"/>
  <c r="J169" i="5" s="1"/>
  <c r="AV987" i="4" a="1"/>
  <c r="AV987" i="4" s="1"/>
  <c r="K169" i="5" s="1" a="1"/>
  <c r="K169" i="5" s="1"/>
  <c r="AZ987" i="4" a="1"/>
  <c r="AZ987" i="4" s="1"/>
  <c r="O169" i="5" s="1" a="1"/>
  <c r="O169" i="5" s="1"/>
  <c r="AW987" i="4" a="1"/>
  <c r="AW987" i="4" s="1"/>
  <c r="L169" i="5" s="1" a="1"/>
  <c r="L169" i="5" s="1"/>
  <c r="AX987" i="4" a="1"/>
  <c r="AX987" i="4" s="1"/>
  <c r="M169" i="5" s="1" a="1"/>
  <c r="M169" i="5" s="1"/>
  <c r="BA987" i="4" a="1"/>
  <c r="BA987" i="4" s="1"/>
  <c r="P169" i="5" s="1" a="1"/>
  <c r="P169" i="5" s="1"/>
  <c r="BB987" i="4" a="1"/>
  <c r="BB987" i="4" s="1"/>
  <c r="Q169" i="5" s="1" a="1"/>
  <c r="Q169" i="5" s="1"/>
  <c r="AY987" i="4" a="1"/>
  <c r="AY987" i="4" s="1"/>
  <c r="N169" i="5" s="1" a="1"/>
  <c r="N169" i="5" s="1"/>
  <c r="BC987" i="4" a="1"/>
  <c r="BC987" i="4" s="1"/>
  <c r="R169" i="5" s="1" a="1"/>
  <c r="R169" i="5" s="1"/>
  <c r="AV963" i="4" a="1"/>
  <c r="AV963" i="4" s="1"/>
  <c r="K145" i="5" s="1" a="1"/>
  <c r="K145" i="5" s="1"/>
  <c r="BC963" i="4" a="1"/>
  <c r="BC963" i="4" s="1"/>
  <c r="R145" i="5" s="1" a="1"/>
  <c r="R145" i="5" s="1"/>
  <c r="AU963" i="4" a="1"/>
  <c r="AU963" i="4" s="1"/>
  <c r="J145" i="5" s="1" a="1"/>
  <c r="J145" i="5" s="1"/>
  <c r="AZ963" i="4" a="1"/>
  <c r="AZ963" i="4" s="1"/>
  <c r="O145" i="5" s="1" a="1"/>
  <c r="O145" i="5" s="1"/>
  <c r="BB963" i="4" a="1"/>
  <c r="BB963" i="4" s="1"/>
  <c r="Q145" i="5" s="1" a="1"/>
  <c r="Q145" i="5" s="1"/>
  <c r="BA963" i="4" a="1"/>
  <c r="BA963" i="4" s="1"/>
  <c r="P145" i="5" s="1" a="1"/>
  <c r="P145" i="5" s="1"/>
  <c r="AW963" i="4" a="1"/>
  <c r="AW963" i="4" s="1"/>
  <c r="L145" i="5" s="1" a="1"/>
  <c r="L145" i="5" s="1"/>
  <c r="AY963" i="4" a="1"/>
  <c r="AY963" i="4" s="1"/>
  <c r="N145" i="5" s="1" a="1"/>
  <c r="N145" i="5" s="1"/>
  <c r="AX963" i="4" a="1"/>
  <c r="AX963" i="4" s="1"/>
  <c r="M145" i="5" s="1" a="1"/>
  <c r="M145" i="5" s="1"/>
  <c r="AV939" i="4" a="1"/>
  <c r="AV939" i="4" s="1"/>
  <c r="K121" i="5" s="1" a="1"/>
  <c r="K121" i="5" s="1"/>
  <c r="AW939" i="4" a="1"/>
  <c r="AW939" i="4" s="1"/>
  <c r="L121" i="5" s="1" a="1"/>
  <c r="L121" i="5" s="1"/>
  <c r="AU939" i="4" a="1"/>
  <c r="AU939" i="4" s="1"/>
  <c r="J121" i="5" s="1" a="1"/>
  <c r="J121" i="5" s="1"/>
  <c r="AX939" i="4" a="1"/>
  <c r="AX939" i="4" s="1"/>
  <c r="M121" i="5" s="1" a="1"/>
  <c r="M121" i="5" s="1"/>
  <c r="AY939" i="4" a="1"/>
  <c r="AY939" i="4" s="1"/>
  <c r="N121" i="5" s="1" a="1"/>
  <c r="N121" i="5" s="1"/>
  <c r="AZ939" i="4" a="1"/>
  <c r="AZ939" i="4" s="1"/>
  <c r="O121" i="5" s="1" a="1"/>
  <c r="O121" i="5" s="1"/>
  <c r="BA939" i="4" a="1"/>
  <c r="BA939" i="4" s="1"/>
  <c r="P121" i="5" s="1" a="1"/>
  <c r="P121" i="5" s="1"/>
  <c r="BB939" i="4" a="1"/>
  <c r="BB939" i="4" s="1"/>
  <c r="Q121" i="5" s="1" a="1"/>
  <c r="Q121" i="5" s="1"/>
  <c r="BC939" i="4" a="1"/>
  <c r="BC939" i="4" s="1"/>
  <c r="R121" i="5" s="1" a="1"/>
  <c r="R121" i="5" s="1"/>
  <c r="AU915" i="4" a="1"/>
  <c r="AU915" i="4" s="1"/>
  <c r="J97" i="5" s="1" a="1"/>
  <c r="J97" i="5" s="1"/>
  <c r="AV915" i="4" a="1"/>
  <c r="AV915" i="4" s="1"/>
  <c r="K97" i="5" s="1" a="1"/>
  <c r="K97" i="5" s="1"/>
  <c r="BB915" i="4" a="1"/>
  <c r="BB915" i="4" s="1"/>
  <c r="Q97" i="5" s="1" a="1"/>
  <c r="Q97" i="5" s="1"/>
  <c r="AZ915" i="4" a="1"/>
  <c r="AZ915" i="4" s="1"/>
  <c r="O97" i="5" s="1" a="1"/>
  <c r="O97" i="5" s="1"/>
  <c r="AX915" i="4" a="1"/>
  <c r="AX915" i="4" s="1"/>
  <c r="M97" i="5" s="1" a="1"/>
  <c r="M97" i="5" s="1"/>
  <c r="BC915" i="4" a="1"/>
  <c r="BC915" i="4" s="1"/>
  <c r="R97" i="5" s="1" a="1"/>
  <c r="R97" i="5" s="1"/>
  <c r="BA915" i="4" a="1"/>
  <c r="BA915" i="4" s="1"/>
  <c r="P97" i="5" s="1" a="1"/>
  <c r="P97" i="5" s="1"/>
  <c r="AY915" i="4" a="1"/>
  <c r="AY915" i="4" s="1"/>
  <c r="N97" i="5" s="1" a="1"/>
  <c r="N97" i="5" s="1"/>
  <c r="AW915" i="4" a="1"/>
  <c r="AW915" i="4" s="1"/>
  <c r="L97" i="5" s="1" a="1"/>
  <c r="L97" i="5" s="1"/>
  <c r="AU891" i="4" a="1"/>
  <c r="AU891" i="4" s="1"/>
  <c r="J73" i="5" s="1" a="1"/>
  <c r="J73" i="5" s="1"/>
  <c r="AV891" i="4" a="1"/>
  <c r="AV891" i="4" s="1"/>
  <c r="K73" i="5" s="1" a="1"/>
  <c r="K73" i="5" s="1"/>
  <c r="BB891" i="4" a="1"/>
  <c r="BB891" i="4" s="1"/>
  <c r="Q73" i="5" s="1" a="1"/>
  <c r="Q73" i="5" s="1"/>
  <c r="BC891" i="4" a="1"/>
  <c r="BC891" i="4" s="1"/>
  <c r="R73" i="5" s="1" a="1"/>
  <c r="R73" i="5" s="1"/>
  <c r="AZ891" i="4" a="1"/>
  <c r="AZ891" i="4" s="1"/>
  <c r="O73" i="5" s="1" a="1"/>
  <c r="O73" i="5" s="1"/>
  <c r="AX891" i="4" a="1"/>
  <c r="AX891" i="4" s="1"/>
  <c r="M73" i="5" s="1" a="1"/>
  <c r="M73" i="5" s="1"/>
  <c r="AW891" i="4" a="1"/>
  <c r="AW891" i="4" s="1"/>
  <c r="L73" i="5" s="1" a="1"/>
  <c r="L73" i="5" s="1"/>
  <c r="AY891" i="4" a="1"/>
  <c r="AY891" i="4" s="1"/>
  <c r="N73" i="5" s="1" a="1"/>
  <c r="N73" i="5" s="1"/>
  <c r="BA891" i="4" a="1"/>
  <c r="BA891" i="4" s="1"/>
  <c r="P73" i="5" s="1" a="1"/>
  <c r="P73" i="5" s="1"/>
  <c r="AU867" i="4" a="1"/>
  <c r="AU867" i="4" s="1"/>
  <c r="J49" i="5" s="1" a="1"/>
  <c r="J49" i="5" s="1"/>
  <c r="AV867" i="4" a="1"/>
  <c r="AV867" i="4" s="1"/>
  <c r="K49" i="5" s="1" a="1"/>
  <c r="K49" i="5" s="1"/>
  <c r="AW867" i="4" a="1"/>
  <c r="AW867" i="4" s="1"/>
  <c r="L49" i="5" s="1" a="1"/>
  <c r="L49" i="5" s="1"/>
  <c r="BC867" i="4" a="1"/>
  <c r="BC867" i="4" s="1"/>
  <c r="R49" i="5" s="1" a="1"/>
  <c r="R49" i="5" s="1"/>
  <c r="AX867" i="4" a="1"/>
  <c r="AX867" i="4" s="1"/>
  <c r="M49" i="5" s="1" a="1"/>
  <c r="M49" i="5" s="1"/>
  <c r="BA867" i="4" a="1"/>
  <c r="BA867" i="4" s="1"/>
  <c r="P49" i="5" s="1" a="1"/>
  <c r="P49" i="5" s="1"/>
  <c r="AY867" i="4" a="1"/>
  <c r="AY867" i="4" s="1"/>
  <c r="N49" i="5" s="1" a="1"/>
  <c r="N49" i="5" s="1"/>
  <c r="BB867" i="4" a="1"/>
  <c r="BB867" i="4" s="1"/>
  <c r="Q49" i="5" s="1" a="1"/>
  <c r="Q49" i="5" s="1"/>
  <c r="AZ867" i="4" a="1"/>
  <c r="AZ867" i="4" s="1"/>
  <c r="O49" i="5" s="1" a="1"/>
  <c r="O49" i="5" s="1"/>
  <c r="AV855" i="4" a="1"/>
  <c r="AV855" i="4" s="1"/>
  <c r="K37" i="5" s="1" a="1"/>
  <c r="K37" i="5" s="1"/>
  <c r="AX855" i="4" a="1"/>
  <c r="AX855" i="4" s="1"/>
  <c r="M37" i="5" s="1" a="1"/>
  <c r="M37" i="5" s="1"/>
  <c r="AU855" i="4" a="1"/>
  <c r="AU855" i="4" s="1"/>
  <c r="J37" i="5" s="1" a="1"/>
  <c r="J37" i="5" s="1"/>
  <c r="BC855" i="4" a="1"/>
  <c r="BC855" i="4" s="1"/>
  <c r="R37" i="5" s="1" a="1"/>
  <c r="R37" i="5" s="1"/>
  <c r="AW855" i="4" a="1"/>
  <c r="AW855" i="4" s="1"/>
  <c r="L37" i="5" s="1" a="1"/>
  <c r="L37" i="5" s="1"/>
  <c r="AY855" i="4" a="1"/>
  <c r="AY855" i="4" s="1"/>
  <c r="N37" i="5" s="1" a="1"/>
  <c r="N37" i="5" s="1"/>
  <c r="BB855" i="4" a="1"/>
  <c r="BB855" i="4" s="1"/>
  <c r="Q37" i="5" s="1" a="1"/>
  <c r="Q37" i="5" s="1"/>
  <c r="BA855" i="4" a="1"/>
  <c r="BA855" i="4" s="1"/>
  <c r="P37" i="5" s="1" a="1"/>
  <c r="P37" i="5" s="1"/>
  <c r="AZ855" i="4" a="1"/>
  <c r="AZ855" i="4" s="1"/>
  <c r="O37" i="5" s="1" a="1"/>
  <c r="O37" i="5" s="1"/>
  <c r="AU843" i="4" a="1"/>
  <c r="AU843" i="4" s="1"/>
  <c r="J25" i="5" s="1" a="1"/>
  <c r="J25" i="5" s="1"/>
  <c r="AV843" i="4" a="1"/>
  <c r="AV843" i="4" s="1"/>
  <c r="K25" i="5" s="1" a="1"/>
  <c r="K25" i="5" s="1"/>
  <c r="BB843" i="4" a="1"/>
  <c r="BB843" i="4" s="1"/>
  <c r="Q25" i="5" s="1" a="1"/>
  <c r="Q25" i="5" s="1"/>
  <c r="AZ843" i="4" a="1"/>
  <c r="AZ843" i="4" s="1"/>
  <c r="O25" i="5" s="1" a="1"/>
  <c r="O25" i="5" s="1"/>
  <c r="AY843" i="4" a="1"/>
  <c r="AY843" i="4" s="1"/>
  <c r="N25" i="5" s="1" a="1"/>
  <c r="N25" i="5" s="1"/>
  <c r="AX843" i="4" a="1"/>
  <c r="AX843" i="4" s="1"/>
  <c r="M25" i="5" s="1" a="1"/>
  <c r="M25" i="5" s="1"/>
  <c r="BC843" i="4" a="1"/>
  <c r="BC843" i="4" s="1"/>
  <c r="R25" i="5" s="1" a="1"/>
  <c r="R25" i="5" s="1"/>
  <c r="BA843" i="4" a="1"/>
  <c r="BA843" i="4" s="1"/>
  <c r="P25" i="5" s="1" a="1"/>
  <c r="P25" i="5" s="1"/>
  <c r="AW843" i="4" a="1"/>
  <c r="AW843" i="4" s="1"/>
  <c r="L25" i="5" s="1" a="1"/>
  <c r="L25" i="5" s="1"/>
  <c r="AU1010" i="4" a="1"/>
  <c r="AU1010" i="4" s="1"/>
  <c r="J192" i="5" s="1" a="1"/>
  <c r="J192" i="5" s="1"/>
  <c r="AV1010" i="4" a="1"/>
  <c r="AV1010" i="4" s="1"/>
  <c r="K192" i="5" s="1" a="1"/>
  <c r="K192" i="5" s="1"/>
  <c r="AW1010" i="4" a="1"/>
  <c r="AW1010" i="4" s="1"/>
  <c r="L192" i="5" s="1" a="1"/>
  <c r="L192" i="5" s="1"/>
  <c r="AY1010" i="4" a="1"/>
  <c r="AY1010" i="4" s="1"/>
  <c r="N192" i="5" s="1" a="1"/>
  <c r="N192" i="5" s="1"/>
  <c r="AX1010" i="4" a="1"/>
  <c r="AX1010" i="4" s="1"/>
  <c r="M192" i="5" s="1" a="1"/>
  <c r="M192" i="5" s="1"/>
  <c r="BC1010" i="4" a="1"/>
  <c r="BC1010" i="4" s="1"/>
  <c r="R192" i="5" s="1" a="1"/>
  <c r="R192" i="5" s="1"/>
  <c r="BB1010" i="4" a="1"/>
  <c r="BB1010" i="4" s="1"/>
  <c r="Q192" i="5" s="1" a="1"/>
  <c r="Q192" i="5" s="1"/>
  <c r="BA1010" i="4" a="1"/>
  <c r="BA1010" i="4" s="1"/>
  <c r="P192" i="5" s="1" a="1"/>
  <c r="P192" i="5" s="1"/>
  <c r="AZ1010" i="4" a="1"/>
  <c r="AZ1010" i="4" s="1"/>
  <c r="O192" i="5" s="1" a="1"/>
  <c r="O192" i="5" s="1"/>
  <c r="BC986" i="4" a="1"/>
  <c r="BC986" i="4" s="1"/>
  <c r="R168" i="5" s="1" a="1"/>
  <c r="R168" i="5" s="1"/>
  <c r="AW986" i="4" a="1"/>
  <c r="AW986" i="4" s="1"/>
  <c r="L168" i="5" s="1" a="1"/>
  <c r="L168" i="5" s="1"/>
  <c r="AX986" i="4" a="1"/>
  <c r="AX986" i="4" s="1"/>
  <c r="M168" i="5" s="1" a="1"/>
  <c r="M168" i="5" s="1"/>
  <c r="AZ986" i="4" a="1"/>
  <c r="AZ986" i="4" s="1"/>
  <c r="O168" i="5" s="1" a="1"/>
  <c r="O168" i="5" s="1"/>
  <c r="AU986" i="4" a="1"/>
  <c r="AU986" i="4" s="1"/>
  <c r="J168" i="5" s="1" a="1"/>
  <c r="J168" i="5" s="1"/>
  <c r="AV986" i="4" a="1"/>
  <c r="AV986" i="4" s="1"/>
  <c r="K168" i="5" s="1" a="1"/>
  <c r="K168" i="5" s="1"/>
  <c r="BA986" i="4" a="1"/>
  <c r="BA986" i="4" s="1"/>
  <c r="P168" i="5" s="1" a="1"/>
  <c r="P168" i="5" s="1"/>
  <c r="BB986" i="4" a="1"/>
  <c r="BB986" i="4" s="1"/>
  <c r="Q168" i="5" s="1" a="1"/>
  <c r="Q168" i="5" s="1"/>
  <c r="AY986" i="4" a="1"/>
  <c r="AY986" i="4" s="1"/>
  <c r="N168" i="5" s="1" a="1"/>
  <c r="N168" i="5" s="1"/>
  <c r="AY962" i="4" a="1"/>
  <c r="AY962" i="4" s="1"/>
  <c r="N144" i="5" s="1" a="1"/>
  <c r="N144" i="5" s="1"/>
  <c r="AZ962" i="4" a="1"/>
  <c r="AZ962" i="4" s="1"/>
  <c r="O144" i="5" s="1" a="1"/>
  <c r="O144" i="5" s="1"/>
  <c r="AU962" i="4" a="1"/>
  <c r="AU962" i="4" s="1"/>
  <c r="J144" i="5" s="1" a="1"/>
  <c r="J144" i="5" s="1"/>
  <c r="AV962" i="4" a="1"/>
  <c r="AV962" i="4" s="1"/>
  <c r="K144" i="5" s="1" a="1"/>
  <c r="K144" i="5" s="1"/>
  <c r="AW962" i="4" a="1"/>
  <c r="AW962" i="4" s="1"/>
  <c r="L144" i="5" s="1" a="1"/>
  <c r="L144" i="5" s="1"/>
  <c r="AX962" i="4" a="1"/>
  <c r="AX962" i="4" s="1"/>
  <c r="M144" i="5" s="1" a="1"/>
  <c r="M144" i="5" s="1"/>
  <c r="BA962" i="4" a="1"/>
  <c r="BA962" i="4" s="1"/>
  <c r="P144" i="5" s="1" a="1"/>
  <c r="P144" i="5" s="1"/>
  <c r="BC962" i="4" a="1"/>
  <c r="BC962" i="4" s="1"/>
  <c r="R144" i="5" s="1" a="1"/>
  <c r="R144" i="5" s="1"/>
  <c r="BB962" i="4" a="1"/>
  <c r="BB962" i="4" s="1"/>
  <c r="Q144" i="5" s="1" a="1"/>
  <c r="Q144" i="5" s="1"/>
  <c r="AU938" i="4" a="1"/>
  <c r="AU938" i="4" s="1"/>
  <c r="J120" i="5" s="1" a="1"/>
  <c r="J120" i="5" s="1"/>
  <c r="AV938" i="4" a="1"/>
  <c r="AV938" i="4" s="1"/>
  <c r="K120" i="5" s="1" a="1"/>
  <c r="K120" i="5" s="1"/>
  <c r="AW938" i="4" a="1"/>
  <c r="AW938" i="4" s="1"/>
  <c r="L120" i="5" s="1" a="1"/>
  <c r="L120" i="5" s="1"/>
  <c r="AX938" i="4" a="1"/>
  <c r="AX938" i="4" s="1"/>
  <c r="M120" i="5" s="1" a="1"/>
  <c r="M120" i="5" s="1"/>
  <c r="AY938" i="4" a="1"/>
  <c r="AY938" i="4" s="1"/>
  <c r="N120" i="5" s="1" a="1"/>
  <c r="N120" i="5" s="1"/>
  <c r="BA938" i="4" a="1"/>
  <c r="BA938" i="4" s="1"/>
  <c r="P120" i="5" s="1" a="1"/>
  <c r="P120" i="5" s="1"/>
  <c r="BB938" i="4" a="1"/>
  <c r="BB938" i="4" s="1"/>
  <c r="Q120" i="5" s="1" a="1"/>
  <c r="Q120" i="5" s="1"/>
  <c r="BC938" i="4" a="1"/>
  <c r="BC938" i="4" s="1"/>
  <c r="R120" i="5" s="1" a="1"/>
  <c r="R120" i="5" s="1"/>
  <c r="AZ938" i="4" a="1"/>
  <c r="AZ938" i="4" s="1"/>
  <c r="O120" i="5" s="1" a="1"/>
  <c r="O120" i="5" s="1"/>
  <c r="AV914" i="4" a="1"/>
  <c r="AV914" i="4" s="1"/>
  <c r="K96" i="5" s="1" a="1"/>
  <c r="K96" i="5" s="1"/>
  <c r="AW914" i="4" a="1"/>
  <c r="AW914" i="4" s="1"/>
  <c r="L96" i="5" s="1" a="1"/>
  <c r="L96" i="5" s="1"/>
  <c r="AU914" i="4" a="1"/>
  <c r="AU914" i="4" s="1"/>
  <c r="J96" i="5" s="1" a="1"/>
  <c r="J96" i="5" s="1"/>
  <c r="AX914" i="4" a="1"/>
  <c r="AX914" i="4" s="1"/>
  <c r="M96" i="5" s="1" a="1"/>
  <c r="M96" i="5" s="1"/>
  <c r="BC914" i="4" a="1"/>
  <c r="BC914" i="4" s="1"/>
  <c r="R96" i="5" s="1" a="1"/>
  <c r="R96" i="5" s="1"/>
  <c r="BB914" i="4" a="1"/>
  <c r="BB914" i="4" s="1"/>
  <c r="Q96" i="5" s="1" a="1"/>
  <c r="Q96" i="5" s="1"/>
  <c r="AZ914" i="4" a="1"/>
  <c r="AZ914" i="4" s="1"/>
  <c r="O96" i="5" s="1" a="1"/>
  <c r="O96" i="5" s="1"/>
  <c r="AY914" i="4" a="1"/>
  <c r="AY914" i="4" s="1"/>
  <c r="N96" i="5" s="1" a="1"/>
  <c r="N96" i="5" s="1"/>
  <c r="BA914" i="4" a="1"/>
  <c r="BA914" i="4" s="1"/>
  <c r="P96" i="5" s="1" a="1"/>
  <c r="P96" i="5" s="1"/>
  <c r="AY890" i="4" a="1"/>
  <c r="AY890" i="4" s="1"/>
  <c r="N72" i="5" s="1" a="1"/>
  <c r="N72" i="5" s="1"/>
  <c r="AX890" i="4" a="1"/>
  <c r="AX890" i="4" s="1"/>
  <c r="M72" i="5" s="1" a="1"/>
  <c r="M72" i="5" s="1"/>
  <c r="AZ890" i="4" a="1"/>
  <c r="AZ890" i="4" s="1"/>
  <c r="O72" i="5" s="1" a="1"/>
  <c r="O72" i="5" s="1"/>
  <c r="BA890" i="4" a="1"/>
  <c r="BA890" i="4" s="1"/>
  <c r="P72" i="5" s="1" a="1"/>
  <c r="P72" i="5" s="1"/>
  <c r="AU890" i="4" a="1"/>
  <c r="AU890" i="4" s="1"/>
  <c r="J72" i="5" s="1" a="1"/>
  <c r="J72" i="5" s="1"/>
  <c r="AV890" i="4" a="1"/>
  <c r="AV890" i="4" s="1"/>
  <c r="K72" i="5" s="1" a="1"/>
  <c r="K72" i="5" s="1"/>
  <c r="BB890" i="4" a="1"/>
  <c r="BB890" i="4" s="1"/>
  <c r="Q72" i="5" s="1" a="1"/>
  <c r="Q72" i="5" s="1"/>
  <c r="BC890" i="4" a="1"/>
  <c r="BC890" i="4" s="1"/>
  <c r="R72" i="5" s="1" a="1"/>
  <c r="R72" i="5" s="1"/>
  <c r="AW890" i="4" a="1"/>
  <c r="AW890" i="4" s="1"/>
  <c r="L72" i="5" s="1" a="1"/>
  <c r="L72" i="5" s="1"/>
  <c r="AU854" i="4" a="1"/>
  <c r="AU854" i="4" s="1"/>
  <c r="J36" i="5" s="1" a="1"/>
  <c r="J36" i="5" s="1"/>
  <c r="AV854" i="4" a="1"/>
  <c r="AV854" i="4" s="1"/>
  <c r="K36" i="5" s="1" a="1"/>
  <c r="K36" i="5" s="1"/>
  <c r="AY854" i="4" a="1"/>
  <c r="AY854" i="4" s="1"/>
  <c r="N36" i="5" s="1" a="1"/>
  <c r="N36" i="5" s="1"/>
  <c r="AZ854" i="4" a="1"/>
  <c r="AZ854" i="4" s="1"/>
  <c r="O36" i="5" s="1" a="1"/>
  <c r="O36" i="5" s="1"/>
  <c r="BC854" i="4" a="1"/>
  <c r="BC854" i="4" s="1"/>
  <c r="R36" i="5" s="1" a="1"/>
  <c r="R36" i="5" s="1"/>
  <c r="BA854" i="4" a="1"/>
  <c r="BA854" i="4" s="1"/>
  <c r="P36" i="5" s="1" a="1"/>
  <c r="P36" i="5" s="1"/>
  <c r="AW854" i="4" a="1"/>
  <c r="AW854" i="4" s="1"/>
  <c r="L36" i="5" s="1" a="1"/>
  <c r="L36" i="5" s="1"/>
  <c r="AX854" i="4" a="1"/>
  <c r="AX854" i="4" s="1"/>
  <c r="M36" i="5" s="1" a="1"/>
  <c r="M36" i="5" s="1"/>
  <c r="BB854" i="4" a="1"/>
  <c r="BB854" i="4" s="1"/>
  <c r="Q36" i="5" s="1" a="1"/>
  <c r="Q36" i="5" s="1"/>
  <c r="AV1021" i="4" a="1"/>
  <c r="AV1021" i="4" s="1"/>
  <c r="K203" i="5" s="1" a="1"/>
  <c r="K203" i="5" s="1"/>
  <c r="AW1021" i="4" a="1"/>
  <c r="AW1021" i="4" s="1"/>
  <c r="L203" i="5" s="1" a="1"/>
  <c r="L203" i="5" s="1"/>
  <c r="AU1021" i="4" a="1"/>
  <c r="AU1021" i="4" s="1"/>
  <c r="J203" i="5" s="1" a="1"/>
  <c r="J203" i="5" s="1"/>
  <c r="AY1021" i="4" a="1"/>
  <c r="AY1021" i="4" s="1"/>
  <c r="N203" i="5" s="1" a="1"/>
  <c r="N203" i="5" s="1"/>
  <c r="AZ1021" i="4" a="1"/>
  <c r="AZ1021" i="4" s="1"/>
  <c r="O203" i="5" s="1" a="1"/>
  <c r="O203" i="5" s="1"/>
  <c r="BA1021" i="4" a="1"/>
  <c r="BA1021" i="4" s="1"/>
  <c r="P203" i="5" s="1" a="1"/>
  <c r="P203" i="5" s="1"/>
  <c r="BC1021" i="4" a="1"/>
  <c r="BC1021" i="4" s="1"/>
  <c r="R203" i="5" s="1" a="1"/>
  <c r="R203" i="5" s="1"/>
  <c r="BB1021" i="4" a="1"/>
  <c r="BB1021" i="4" s="1"/>
  <c r="Q203" i="5" s="1" a="1"/>
  <c r="Q203" i="5" s="1"/>
  <c r="AX1021" i="4" a="1"/>
  <c r="AX1021" i="4" s="1"/>
  <c r="M203" i="5" s="1" a="1"/>
  <c r="M203" i="5" s="1"/>
  <c r="AU997" i="4" a="1"/>
  <c r="AU997" i="4" s="1"/>
  <c r="J179" i="5" s="1" a="1"/>
  <c r="J179" i="5" s="1"/>
  <c r="AV997" i="4" a="1"/>
  <c r="AV997" i="4" s="1"/>
  <c r="K179" i="5" s="1" a="1"/>
  <c r="K179" i="5" s="1"/>
  <c r="AX997" i="4" a="1"/>
  <c r="AX997" i="4" s="1"/>
  <c r="M179" i="5" s="1" a="1"/>
  <c r="M179" i="5" s="1"/>
  <c r="AW997" i="4" a="1"/>
  <c r="AW997" i="4" s="1"/>
  <c r="L179" i="5" s="1" a="1"/>
  <c r="L179" i="5" s="1"/>
  <c r="BC997" i="4" a="1"/>
  <c r="BC997" i="4" s="1"/>
  <c r="R179" i="5" s="1" a="1"/>
  <c r="R179" i="5" s="1"/>
  <c r="BA997" i="4" a="1"/>
  <c r="BA997" i="4" s="1"/>
  <c r="P179" i="5" s="1" a="1"/>
  <c r="P179" i="5" s="1"/>
  <c r="AY997" i="4" a="1"/>
  <c r="AY997" i="4" s="1"/>
  <c r="N179" i="5" s="1" a="1"/>
  <c r="N179" i="5" s="1"/>
  <c r="AZ997" i="4" a="1"/>
  <c r="AZ997" i="4" s="1"/>
  <c r="O179" i="5" s="1" a="1"/>
  <c r="O179" i="5" s="1"/>
  <c r="BB997" i="4" a="1"/>
  <c r="BB997" i="4" s="1"/>
  <c r="Q179" i="5" s="1" a="1"/>
  <c r="Q179" i="5" s="1"/>
  <c r="AU973" i="4" a="1"/>
  <c r="AU973" i="4" s="1"/>
  <c r="J155" i="5" s="1" a="1"/>
  <c r="J155" i="5" s="1"/>
  <c r="AV973" i="4" a="1"/>
  <c r="AV973" i="4" s="1"/>
  <c r="K155" i="5" s="1" a="1"/>
  <c r="K155" i="5" s="1"/>
  <c r="AY973" i="4" a="1"/>
  <c r="AY973" i="4" s="1"/>
  <c r="N155" i="5" s="1" a="1"/>
  <c r="N155" i="5" s="1"/>
  <c r="AZ973" i="4" a="1"/>
  <c r="AZ973" i="4" s="1"/>
  <c r="O155" i="5" s="1" a="1"/>
  <c r="O155" i="5" s="1"/>
  <c r="BB973" i="4" a="1"/>
  <c r="BB973" i="4" s="1"/>
  <c r="Q155" i="5" s="1" a="1"/>
  <c r="Q155" i="5" s="1"/>
  <c r="BC973" i="4" a="1"/>
  <c r="BC973" i="4" s="1"/>
  <c r="R155" i="5" s="1" a="1"/>
  <c r="R155" i="5" s="1"/>
  <c r="AW973" i="4" a="1"/>
  <c r="AW973" i="4" s="1"/>
  <c r="L155" i="5" s="1" a="1"/>
  <c r="L155" i="5" s="1"/>
  <c r="BA973" i="4" a="1"/>
  <c r="BA973" i="4" s="1"/>
  <c r="P155" i="5" s="1" a="1"/>
  <c r="P155" i="5" s="1"/>
  <c r="AX973" i="4" a="1"/>
  <c r="AX973" i="4" s="1"/>
  <c r="M155" i="5" s="1" a="1"/>
  <c r="M155" i="5" s="1"/>
  <c r="AU949" i="4" a="1"/>
  <c r="AU949" i="4" s="1"/>
  <c r="J131" i="5" s="1" a="1"/>
  <c r="J131" i="5" s="1"/>
  <c r="AV949" i="4" a="1"/>
  <c r="AV949" i="4" s="1"/>
  <c r="K131" i="5" s="1" a="1"/>
  <c r="K131" i="5" s="1"/>
  <c r="AW949" i="4" a="1"/>
  <c r="AW949" i="4" s="1"/>
  <c r="L131" i="5" s="1" a="1"/>
  <c r="L131" i="5" s="1"/>
  <c r="AX949" i="4" a="1"/>
  <c r="AX949" i="4" s="1"/>
  <c r="M131" i="5" s="1" a="1"/>
  <c r="M131" i="5" s="1"/>
  <c r="AY949" i="4" a="1"/>
  <c r="AY949" i="4" s="1"/>
  <c r="N131" i="5" s="1" a="1"/>
  <c r="N131" i="5" s="1"/>
  <c r="AZ949" i="4" a="1"/>
  <c r="AZ949" i="4" s="1"/>
  <c r="O131" i="5" s="1" a="1"/>
  <c r="O131" i="5" s="1"/>
  <c r="BC949" i="4" a="1"/>
  <c r="BC949" i="4" s="1"/>
  <c r="R131" i="5" s="1" a="1"/>
  <c r="R131" i="5" s="1"/>
  <c r="BA949" i="4" a="1"/>
  <c r="BA949" i="4" s="1"/>
  <c r="P131" i="5" s="1" a="1"/>
  <c r="P131" i="5" s="1"/>
  <c r="BB949" i="4" a="1"/>
  <c r="BB949" i="4" s="1"/>
  <c r="Q131" i="5" s="1" a="1"/>
  <c r="Q131" i="5" s="1"/>
  <c r="AW925" i="4" a="1"/>
  <c r="AW925" i="4" s="1"/>
  <c r="L107" i="5" s="1" a="1"/>
  <c r="L107" i="5" s="1"/>
  <c r="AU925" i="4" a="1"/>
  <c r="AU925" i="4" s="1"/>
  <c r="J107" i="5" s="1" a="1"/>
  <c r="J107" i="5" s="1"/>
  <c r="AV925" i="4" a="1"/>
  <c r="AV925" i="4" s="1"/>
  <c r="K107" i="5" s="1" a="1"/>
  <c r="K107" i="5" s="1"/>
  <c r="BB925" i="4" a="1"/>
  <c r="BB925" i="4" s="1"/>
  <c r="Q107" i="5" s="1" a="1"/>
  <c r="Q107" i="5" s="1"/>
  <c r="AX925" i="4" a="1"/>
  <c r="AX925" i="4" s="1"/>
  <c r="M107" i="5" s="1" a="1"/>
  <c r="M107" i="5" s="1"/>
  <c r="BA925" i="4" a="1"/>
  <c r="BA925" i="4" s="1"/>
  <c r="P107" i="5" s="1" a="1"/>
  <c r="P107" i="5" s="1"/>
  <c r="BC925" i="4" a="1"/>
  <c r="BC925" i="4" s="1"/>
  <c r="R107" i="5" s="1" a="1"/>
  <c r="R107" i="5" s="1"/>
  <c r="AY925" i="4" a="1"/>
  <c r="AY925" i="4" s="1"/>
  <c r="N107" i="5" s="1" a="1"/>
  <c r="N107" i="5" s="1"/>
  <c r="AZ925" i="4" a="1"/>
  <c r="AZ925" i="4" s="1"/>
  <c r="O107" i="5" s="1" a="1"/>
  <c r="O107" i="5" s="1"/>
  <c r="AU901" i="4" a="1"/>
  <c r="AU901" i="4" s="1"/>
  <c r="J83" i="5" s="1" a="1"/>
  <c r="J83" i="5" s="1"/>
  <c r="AV901" i="4" a="1"/>
  <c r="AV901" i="4" s="1"/>
  <c r="K83" i="5" s="1" a="1"/>
  <c r="K83" i="5" s="1"/>
  <c r="BA901" i="4" a="1"/>
  <c r="BA901" i="4" s="1"/>
  <c r="P83" i="5" s="1" a="1"/>
  <c r="P83" i="5" s="1"/>
  <c r="AW901" i="4" a="1"/>
  <c r="AW901" i="4" s="1"/>
  <c r="L83" i="5" s="1" a="1"/>
  <c r="L83" i="5" s="1"/>
  <c r="BC901" i="4" a="1"/>
  <c r="BC901" i="4" s="1"/>
  <c r="R83" i="5" s="1" a="1"/>
  <c r="R83" i="5" s="1"/>
  <c r="AZ901" i="4" a="1"/>
  <c r="AZ901" i="4" s="1"/>
  <c r="O83" i="5" s="1" a="1"/>
  <c r="O83" i="5" s="1"/>
  <c r="BB901" i="4" a="1"/>
  <c r="BB901" i="4" s="1"/>
  <c r="Q83" i="5" s="1" a="1"/>
  <c r="Q83" i="5" s="1"/>
  <c r="AY901" i="4" a="1"/>
  <c r="AY901" i="4" s="1"/>
  <c r="N83" i="5" s="1" a="1"/>
  <c r="N83" i="5" s="1"/>
  <c r="AX901" i="4" a="1"/>
  <c r="AX901" i="4" s="1"/>
  <c r="M83" i="5" s="1" a="1"/>
  <c r="M83" i="5" s="1"/>
  <c r="AW877" i="4" a="1"/>
  <c r="AW877" i="4" s="1"/>
  <c r="L59" i="5" s="1" a="1"/>
  <c r="L59" i="5" s="1"/>
  <c r="AU877" i="4" a="1"/>
  <c r="AU877" i="4" s="1"/>
  <c r="J59" i="5" s="1" a="1"/>
  <c r="J59" i="5" s="1"/>
  <c r="AV877" i="4" a="1"/>
  <c r="AV877" i="4" s="1"/>
  <c r="K59" i="5" s="1" a="1"/>
  <c r="K59" i="5" s="1"/>
  <c r="BC877" i="4" a="1"/>
  <c r="BC877" i="4" s="1"/>
  <c r="R59" i="5" s="1" a="1"/>
  <c r="R59" i="5" s="1"/>
  <c r="AX877" i="4" a="1"/>
  <c r="AX877" i="4" s="1"/>
  <c r="M59" i="5" s="1" a="1"/>
  <c r="M59" i="5" s="1"/>
  <c r="AZ877" i="4" a="1"/>
  <c r="AZ877" i="4" s="1"/>
  <c r="O59" i="5" s="1" a="1"/>
  <c r="O59" i="5" s="1"/>
  <c r="BB877" i="4" a="1"/>
  <c r="BB877" i="4" s="1"/>
  <c r="Q59" i="5" s="1" a="1"/>
  <c r="Q59" i="5" s="1"/>
  <c r="BA877" i="4" a="1"/>
  <c r="BA877" i="4" s="1"/>
  <c r="P59" i="5" s="1" a="1"/>
  <c r="P59" i="5" s="1"/>
  <c r="AY877" i="4" a="1"/>
  <c r="AY877" i="4" s="1"/>
  <c r="N59" i="5" s="1" a="1"/>
  <c r="N59" i="5" s="1"/>
  <c r="AU1020" i="4" a="1"/>
  <c r="AU1020" i="4" s="1"/>
  <c r="J202" i="5" s="1" a="1"/>
  <c r="J202" i="5" s="1"/>
  <c r="AV1020" i="4" a="1"/>
  <c r="AV1020" i="4" s="1"/>
  <c r="K202" i="5" s="1" a="1"/>
  <c r="K202" i="5" s="1"/>
  <c r="AZ1020" i="4" a="1"/>
  <c r="AZ1020" i="4" s="1"/>
  <c r="O202" i="5" s="1" a="1"/>
  <c r="O202" i="5" s="1"/>
  <c r="AW1020" i="4" a="1"/>
  <c r="AW1020" i="4" s="1"/>
  <c r="L202" i="5" s="1" a="1"/>
  <c r="L202" i="5" s="1"/>
  <c r="AX1020" i="4" a="1"/>
  <c r="AX1020" i="4" s="1"/>
  <c r="M202" i="5" s="1" a="1"/>
  <c r="M202" i="5" s="1"/>
  <c r="AY1020" i="4" a="1"/>
  <c r="AY1020" i="4" s="1"/>
  <c r="N202" i="5" s="1" a="1"/>
  <c r="N202" i="5" s="1"/>
  <c r="BA1020" i="4" a="1"/>
  <c r="BA1020" i="4" s="1"/>
  <c r="P202" i="5" s="1" a="1"/>
  <c r="P202" i="5" s="1"/>
  <c r="BB1020" i="4" a="1"/>
  <c r="BB1020" i="4" s="1"/>
  <c r="Q202" i="5" s="1" a="1"/>
  <c r="Q202" i="5" s="1"/>
  <c r="BC1020" i="4" a="1"/>
  <c r="BC1020" i="4" s="1"/>
  <c r="R202" i="5" s="1" a="1"/>
  <c r="R202" i="5" s="1"/>
  <c r="AY996" i="4" a="1"/>
  <c r="AY996" i="4" s="1"/>
  <c r="N178" i="5" s="1" a="1"/>
  <c r="N178" i="5" s="1"/>
  <c r="AU996" i="4" a="1"/>
  <c r="AU996" i="4" s="1"/>
  <c r="J178" i="5" s="1" a="1"/>
  <c r="J178" i="5" s="1"/>
  <c r="AV996" i="4" a="1"/>
  <c r="AV996" i="4" s="1"/>
  <c r="K178" i="5" s="1" a="1"/>
  <c r="K178" i="5" s="1"/>
  <c r="AX996" i="4" a="1"/>
  <c r="AX996" i="4" s="1"/>
  <c r="M178" i="5" s="1" a="1"/>
  <c r="M178" i="5" s="1"/>
  <c r="AW996" i="4" a="1"/>
  <c r="AW996" i="4" s="1"/>
  <c r="L178" i="5" s="1" a="1"/>
  <c r="L178" i="5" s="1"/>
  <c r="AZ996" i="4" a="1"/>
  <c r="AZ996" i="4" s="1"/>
  <c r="O178" i="5" s="1" a="1"/>
  <c r="O178" i="5" s="1"/>
  <c r="BC996" i="4" a="1"/>
  <c r="BC996" i="4" s="1"/>
  <c r="R178" i="5" s="1" a="1"/>
  <c r="R178" i="5" s="1"/>
  <c r="BA996" i="4" a="1"/>
  <c r="BA996" i="4" s="1"/>
  <c r="P178" i="5" s="1" a="1"/>
  <c r="P178" i="5" s="1"/>
  <c r="BB996" i="4" a="1"/>
  <c r="BB996" i="4" s="1"/>
  <c r="Q178" i="5" s="1" a="1"/>
  <c r="Q178" i="5" s="1"/>
  <c r="AU972" i="4" a="1"/>
  <c r="AU972" i="4" s="1"/>
  <c r="J154" i="5" s="1" a="1"/>
  <c r="J154" i="5" s="1"/>
  <c r="BA972" i="4" a="1"/>
  <c r="BA972" i="4" s="1"/>
  <c r="P154" i="5" s="1" a="1"/>
  <c r="P154" i="5" s="1"/>
  <c r="AV972" i="4" a="1"/>
  <c r="AV972" i="4" s="1"/>
  <c r="K154" i="5" s="1" a="1"/>
  <c r="K154" i="5" s="1"/>
  <c r="AW972" i="4" a="1"/>
  <c r="AW972" i="4" s="1"/>
  <c r="L154" i="5" s="1" a="1"/>
  <c r="L154" i="5" s="1"/>
  <c r="AZ972" i="4" a="1"/>
  <c r="AZ972" i="4" s="1"/>
  <c r="O154" i="5" s="1" a="1"/>
  <c r="O154" i="5" s="1"/>
  <c r="AY972" i="4" a="1"/>
  <c r="AY972" i="4" s="1"/>
  <c r="N154" i="5" s="1" a="1"/>
  <c r="N154" i="5" s="1"/>
  <c r="AX972" i="4" a="1"/>
  <c r="AX972" i="4" s="1"/>
  <c r="M154" i="5" s="1" a="1"/>
  <c r="M154" i="5" s="1"/>
  <c r="BB972" i="4" a="1"/>
  <c r="BB972" i="4" s="1"/>
  <c r="Q154" i="5" s="1" a="1"/>
  <c r="Q154" i="5" s="1"/>
  <c r="BC972" i="4" a="1"/>
  <c r="BC972" i="4" s="1"/>
  <c r="R154" i="5" s="1" a="1"/>
  <c r="R154" i="5" s="1"/>
  <c r="AX948" i="4" a="1"/>
  <c r="AX948" i="4" s="1"/>
  <c r="M130" i="5" s="1" a="1"/>
  <c r="M130" i="5" s="1"/>
  <c r="AU948" i="4" a="1"/>
  <c r="AU948" i="4" s="1"/>
  <c r="J130" i="5" s="1" a="1"/>
  <c r="J130" i="5" s="1"/>
  <c r="AV948" i="4" a="1"/>
  <c r="AV948" i="4" s="1"/>
  <c r="K130" i="5" s="1" a="1"/>
  <c r="K130" i="5" s="1"/>
  <c r="BB948" i="4" a="1"/>
  <c r="BB948" i="4" s="1"/>
  <c r="Q130" i="5" s="1" a="1"/>
  <c r="Q130" i="5" s="1"/>
  <c r="AW948" i="4" a="1"/>
  <c r="AW948" i="4" s="1"/>
  <c r="L130" i="5" s="1" a="1"/>
  <c r="L130" i="5" s="1"/>
  <c r="BC948" i="4" a="1"/>
  <c r="BC948" i="4" s="1"/>
  <c r="R130" i="5" s="1" a="1"/>
  <c r="R130" i="5" s="1"/>
  <c r="AZ948" i="4" a="1"/>
  <c r="AZ948" i="4" s="1"/>
  <c r="O130" i="5" s="1" a="1"/>
  <c r="O130" i="5" s="1"/>
  <c r="BA948" i="4" a="1"/>
  <c r="BA948" i="4" s="1"/>
  <c r="P130" i="5" s="1" a="1"/>
  <c r="P130" i="5" s="1"/>
  <c r="AY948" i="4" a="1"/>
  <c r="AY948" i="4" s="1"/>
  <c r="N130" i="5" s="1" a="1"/>
  <c r="N130" i="5" s="1"/>
  <c r="AU924" i="4" a="1"/>
  <c r="AU924" i="4" s="1"/>
  <c r="J106" i="5" s="1" a="1"/>
  <c r="J106" i="5" s="1"/>
  <c r="AV924" i="4" a="1"/>
  <c r="AV924" i="4" s="1"/>
  <c r="K106" i="5" s="1" a="1"/>
  <c r="K106" i="5" s="1"/>
  <c r="AW924" i="4" a="1"/>
  <c r="AW924" i="4" s="1"/>
  <c r="L106" i="5" s="1" a="1"/>
  <c r="L106" i="5" s="1"/>
  <c r="BB924" i="4" a="1"/>
  <c r="BB924" i="4" s="1"/>
  <c r="Q106" i="5" s="1" a="1"/>
  <c r="Q106" i="5" s="1"/>
  <c r="BC924" i="4" a="1"/>
  <c r="BC924" i="4" s="1"/>
  <c r="R106" i="5" s="1" a="1"/>
  <c r="R106" i="5" s="1"/>
  <c r="AZ924" i="4" a="1"/>
  <c r="AZ924" i="4" s="1"/>
  <c r="O106" i="5" s="1" a="1"/>
  <c r="O106" i="5" s="1"/>
  <c r="AY924" i="4" a="1"/>
  <c r="AY924" i="4" s="1"/>
  <c r="N106" i="5" s="1" a="1"/>
  <c r="N106" i="5" s="1"/>
  <c r="AX924" i="4" a="1"/>
  <c r="AX924" i="4" s="1"/>
  <c r="M106" i="5" s="1" a="1"/>
  <c r="M106" i="5" s="1"/>
  <c r="BA924" i="4" a="1"/>
  <c r="BA924" i="4" s="1"/>
  <c r="P106" i="5" s="1" a="1"/>
  <c r="P106" i="5" s="1"/>
  <c r="AU900" i="4" a="1"/>
  <c r="AU900" i="4" s="1"/>
  <c r="J82" i="5" s="1" a="1"/>
  <c r="J82" i="5" s="1"/>
  <c r="AV900" i="4" a="1"/>
  <c r="AV900" i="4" s="1"/>
  <c r="K82" i="5" s="1" a="1"/>
  <c r="K82" i="5" s="1"/>
  <c r="AX900" i="4" a="1"/>
  <c r="AX900" i="4" s="1"/>
  <c r="M82" i="5" s="1" a="1"/>
  <c r="M82" i="5" s="1"/>
  <c r="AZ900" i="4" a="1"/>
  <c r="AZ900" i="4" s="1"/>
  <c r="O82" i="5" s="1" a="1"/>
  <c r="O82" i="5" s="1"/>
  <c r="AY900" i="4" a="1"/>
  <c r="AY900" i="4" s="1"/>
  <c r="N82" i="5" s="1" a="1"/>
  <c r="N82" i="5" s="1"/>
  <c r="BC900" i="4" a="1"/>
  <c r="BC900" i="4" s="1"/>
  <c r="R82" i="5" s="1" a="1"/>
  <c r="R82" i="5" s="1"/>
  <c r="BA900" i="4" a="1"/>
  <c r="BA900" i="4" s="1"/>
  <c r="P82" i="5" s="1" a="1"/>
  <c r="P82" i="5" s="1"/>
  <c r="AW900" i="4" a="1"/>
  <c r="AW900" i="4" s="1"/>
  <c r="L82" i="5" s="1" a="1"/>
  <c r="L82" i="5" s="1"/>
  <c r="BB900" i="4" a="1"/>
  <c r="BB900" i="4" s="1"/>
  <c r="Q82" i="5" s="1" a="1"/>
  <c r="Q82" i="5" s="1"/>
  <c r="AU888" i="4" a="1"/>
  <c r="AU888" i="4" s="1"/>
  <c r="J70" i="5" s="1" a="1"/>
  <c r="J70" i="5" s="1"/>
  <c r="AV888" i="4" a="1"/>
  <c r="AV888" i="4" s="1"/>
  <c r="K70" i="5" s="1" a="1"/>
  <c r="K70" i="5" s="1"/>
  <c r="AX888" i="4" a="1"/>
  <c r="AX888" i="4" s="1"/>
  <c r="M70" i="5" s="1" a="1"/>
  <c r="M70" i="5" s="1"/>
  <c r="AW888" i="4" a="1"/>
  <c r="AW888" i="4" s="1"/>
  <c r="L70" i="5" s="1" a="1"/>
  <c r="L70" i="5" s="1"/>
  <c r="BC888" i="4" a="1"/>
  <c r="BC888" i="4" s="1"/>
  <c r="R70" i="5" s="1" a="1"/>
  <c r="R70" i="5" s="1"/>
  <c r="AZ888" i="4" a="1"/>
  <c r="AZ888" i="4" s="1"/>
  <c r="O70" i="5" s="1" a="1"/>
  <c r="O70" i="5" s="1"/>
  <c r="BA888" i="4" a="1"/>
  <c r="BA888" i="4" s="1"/>
  <c r="P70" i="5" s="1" a="1"/>
  <c r="P70" i="5" s="1"/>
  <c r="AY888" i="4" a="1"/>
  <c r="AY888" i="4" s="1"/>
  <c r="N70" i="5" s="1" a="1"/>
  <c r="N70" i="5" s="1"/>
  <c r="BB888" i="4" a="1"/>
  <c r="BB888" i="4" s="1"/>
  <c r="Q70" i="5" s="1" a="1"/>
  <c r="Q70" i="5" s="1"/>
  <c r="BB864" i="4" a="1"/>
  <c r="BB864" i="4" s="1"/>
  <c r="Q46" i="5" s="1" a="1"/>
  <c r="Q46" i="5" s="1"/>
  <c r="BC864" i="4" a="1"/>
  <c r="BC864" i="4" s="1"/>
  <c r="R46" i="5" s="1" a="1"/>
  <c r="R46" i="5" s="1"/>
  <c r="AV864" i="4" a="1"/>
  <c r="AV864" i="4" s="1"/>
  <c r="K46" i="5" s="1" a="1"/>
  <c r="K46" i="5" s="1"/>
  <c r="AW864" i="4" a="1"/>
  <c r="AW864" i="4" s="1"/>
  <c r="L46" i="5" s="1" a="1"/>
  <c r="L46" i="5" s="1"/>
  <c r="AZ864" i="4" a="1"/>
  <c r="AZ864" i="4" s="1"/>
  <c r="O46" i="5" s="1" a="1"/>
  <c r="O46" i="5" s="1"/>
  <c r="BA864" i="4" a="1"/>
  <c r="BA864" i="4" s="1"/>
  <c r="P46" i="5" s="1" a="1"/>
  <c r="P46" i="5" s="1"/>
  <c r="AY864" i="4" a="1"/>
  <c r="AY864" i="4" s="1"/>
  <c r="N46" i="5" s="1" a="1"/>
  <c r="N46" i="5" s="1"/>
  <c r="AX864" i="4" a="1"/>
  <c r="AX864" i="4" s="1"/>
  <c r="M46" i="5" s="1" a="1"/>
  <c r="M46" i="5" s="1"/>
  <c r="AU864" i="4" a="1"/>
  <c r="AU864" i="4" s="1"/>
  <c r="J46" i="5" s="1" a="1"/>
  <c r="J46" i="5" s="1"/>
  <c r="AU852" i="4" a="1"/>
  <c r="AU852" i="4" s="1"/>
  <c r="J34" i="5" s="1" a="1"/>
  <c r="J34" i="5" s="1"/>
  <c r="AV852" i="4" a="1"/>
  <c r="AV852" i="4" s="1"/>
  <c r="K34" i="5" s="1" a="1"/>
  <c r="K34" i="5" s="1"/>
  <c r="BB852" i="4" a="1"/>
  <c r="BB852" i="4" s="1"/>
  <c r="Q34" i="5" s="1" a="1"/>
  <c r="Q34" i="5" s="1"/>
  <c r="BC852" i="4" a="1"/>
  <c r="BC852" i="4" s="1"/>
  <c r="R34" i="5" s="1" a="1"/>
  <c r="R34" i="5" s="1"/>
  <c r="AX852" i="4" a="1"/>
  <c r="AX852" i="4" s="1"/>
  <c r="M34" i="5" s="1" a="1"/>
  <c r="M34" i="5" s="1"/>
  <c r="AZ852" i="4" a="1"/>
  <c r="AZ852" i="4" s="1"/>
  <c r="O34" i="5" s="1" a="1"/>
  <c r="O34" i="5" s="1"/>
  <c r="BA852" i="4" a="1"/>
  <c r="BA852" i="4" s="1"/>
  <c r="P34" i="5" s="1" a="1"/>
  <c r="P34" i="5" s="1"/>
  <c r="AW852" i="4" a="1"/>
  <c r="AW852" i="4" s="1"/>
  <c r="L34" i="5" s="1" a="1"/>
  <c r="L34" i="5" s="1"/>
  <c r="AY852" i="4" a="1"/>
  <c r="AY852" i="4" s="1"/>
  <c r="N34" i="5" s="1" a="1"/>
  <c r="N34" i="5" s="1"/>
  <c r="AV840" i="4" a="1"/>
  <c r="AV840" i="4" s="1"/>
  <c r="K22" i="5" s="1" a="1"/>
  <c r="K22" i="5" s="1"/>
  <c r="AZ840" i="4" a="1"/>
  <c r="AZ840" i="4" s="1"/>
  <c r="O22" i="5" s="1" a="1"/>
  <c r="O22" i="5" s="1"/>
  <c r="AY840" i="4" a="1"/>
  <c r="AY840" i="4" s="1"/>
  <c r="N22" i="5" s="1" a="1"/>
  <c r="N22" i="5" s="1"/>
  <c r="AU840" i="4" a="1"/>
  <c r="AU840" i="4" s="1"/>
  <c r="J22" i="5" s="1" a="1"/>
  <c r="J22" i="5" s="1"/>
  <c r="BA840" i="4" a="1"/>
  <c r="BA840" i="4" s="1"/>
  <c r="P22" i="5" s="1" a="1"/>
  <c r="P22" i="5" s="1"/>
  <c r="BC840" i="4" a="1"/>
  <c r="BC840" i="4" s="1"/>
  <c r="R22" i="5" s="1" a="1"/>
  <c r="R22" i="5" s="1"/>
  <c r="AW840" i="4" a="1"/>
  <c r="AW840" i="4" s="1"/>
  <c r="L22" i="5" s="1" a="1"/>
  <c r="L22" i="5" s="1"/>
  <c r="BB840" i="4" a="1"/>
  <c r="BB840" i="4" s="1"/>
  <c r="Q22" i="5" s="1" a="1"/>
  <c r="Q22" i="5" s="1"/>
  <c r="AX840" i="4" a="1"/>
  <c r="AX840" i="4" s="1"/>
  <c r="M22" i="5" s="1" a="1"/>
  <c r="M22" i="5" s="1"/>
  <c r="AV1019" i="4" a="1"/>
  <c r="AV1019" i="4" s="1"/>
  <c r="K201" i="5" s="1" a="1"/>
  <c r="K201" i="5" s="1"/>
  <c r="AW1019" i="4" a="1"/>
  <c r="AW1019" i="4" s="1"/>
  <c r="L201" i="5" s="1" a="1"/>
  <c r="L201" i="5" s="1"/>
  <c r="AU1019" i="4" a="1"/>
  <c r="AU1019" i="4" s="1"/>
  <c r="J201" i="5" s="1" a="1"/>
  <c r="J201" i="5" s="1"/>
  <c r="AX1019" i="4" a="1"/>
  <c r="AX1019" i="4" s="1"/>
  <c r="M201" i="5" s="1" a="1"/>
  <c r="M201" i="5" s="1"/>
  <c r="AY1019" i="4" a="1"/>
  <c r="AY1019" i="4" s="1"/>
  <c r="N201" i="5" s="1" a="1"/>
  <c r="N201" i="5" s="1"/>
  <c r="BB1019" i="4" a="1"/>
  <c r="BB1019" i="4" s="1"/>
  <c r="Q201" i="5" s="1" a="1"/>
  <c r="Q201" i="5" s="1"/>
  <c r="BC1019" i="4" a="1"/>
  <c r="BC1019" i="4" s="1"/>
  <c r="R201" i="5" s="1" a="1"/>
  <c r="R201" i="5" s="1"/>
  <c r="AZ1019" i="4" a="1"/>
  <c r="AZ1019" i="4" s="1"/>
  <c r="O201" i="5" s="1" a="1"/>
  <c r="O201" i="5" s="1"/>
  <c r="BA1019" i="4" a="1"/>
  <c r="BA1019" i="4" s="1"/>
  <c r="P201" i="5" s="1" a="1"/>
  <c r="P201" i="5" s="1"/>
  <c r="AX1007" i="4" a="1"/>
  <c r="AX1007" i="4" s="1"/>
  <c r="M189" i="5" s="1" a="1"/>
  <c r="M189" i="5" s="1"/>
  <c r="AY1007" i="4" a="1"/>
  <c r="AY1007" i="4" s="1"/>
  <c r="N189" i="5" s="1" a="1"/>
  <c r="N189" i="5" s="1"/>
  <c r="AU1007" i="4" a="1"/>
  <c r="AU1007" i="4" s="1"/>
  <c r="J189" i="5" s="1" a="1"/>
  <c r="J189" i="5" s="1"/>
  <c r="AV1007" i="4" a="1"/>
  <c r="AV1007" i="4" s="1"/>
  <c r="K189" i="5" s="1" a="1"/>
  <c r="K189" i="5" s="1"/>
  <c r="AZ1007" i="4" a="1"/>
  <c r="AZ1007" i="4" s="1"/>
  <c r="O189" i="5" s="1" a="1"/>
  <c r="O189" i="5" s="1"/>
  <c r="AW1007" i="4" a="1"/>
  <c r="AW1007" i="4" s="1"/>
  <c r="L189" i="5" s="1" a="1"/>
  <c r="L189" i="5" s="1"/>
  <c r="BC1007" i="4" a="1"/>
  <c r="BC1007" i="4" s="1"/>
  <c r="R189" i="5" s="1" a="1"/>
  <c r="R189" i="5" s="1"/>
  <c r="BB1007" i="4" a="1"/>
  <c r="BB1007" i="4" s="1"/>
  <c r="Q189" i="5" s="1" a="1"/>
  <c r="Q189" i="5" s="1"/>
  <c r="BA1007" i="4" a="1"/>
  <c r="BA1007" i="4" s="1"/>
  <c r="P189" i="5" s="1" a="1"/>
  <c r="P189" i="5" s="1"/>
  <c r="AU995" i="4" a="1"/>
  <c r="AU995" i="4" s="1"/>
  <c r="J177" i="5" s="1" a="1"/>
  <c r="J177" i="5" s="1"/>
  <c r="AV995" i="4" a="1"/>
  <c r="AV995" i="4" s="1"/>
  <c r="K177" i="5" s="1" a="1"/>
  <c r="K177" i="5" s="1"/>
  <c r="AX995" i="4" a="1"/>
  <c r="AX995" i="4" s="1"/>
  <c r="M177" i="5" s="1" a="1"/>
  <c r="M177" i="5" s="1"/>
  <c r="AY995" i="4" a="1"/>
  <c r="AY995" i="4" s="1"/>
  <c r="N177" i="5" s="1" a="1"/>
  <c r="N177" i="5" s="1"/>
  <c r="AZ995" i="4" a="1"/>
  <c r="AZ995" i="4" s="1"/>
  <c r="O177" i="5" s="1" a="1"/>
  <c r="O177" i="5" s="1"/>
  <c r="BA995" i="4" a="1"/>
  <c r="BA995" i="4" s="1"/>
  <c r="P177" i="5" s="1" a="1"/>
  <c r="P177" i="5" s="1"/>
  <c r="AW995" i="4" a="1"/>
  <c r="AW995" i="4" s="1"/>
  <c r="L177" i="5" s="1" a="1"/>
  <c r="L177" i="5" s="1"/>
  <c r="BC995" i="4" a="1"/>
  <c r="BC995" i="4" s="1"/>
  <c r="R177" i="5" s="1" a="1"/>
  <c r="R177" i="5" s="1"/>
  <c r="BB995" i="4" a="1"/>
  <c r="BB995" i="4" s="1"/>
  <c r="Q177" i="5" s="1" a="1"/>
  <c r="Q177" i="5" s="1"/>
  <c r="AU983" i="4" a="1"/>
  <c r="AU983" i="4" s="1"/>
  <c r="J165" i="5" s="1" a="1"/>
  <c r="J165" i="5" s="1"/>
  <c r="AV983" i="4" a="1"/>
  <c r="AV983" i="4" s="1"/>
  <c r="K165" i="5" s="1" a="1"/>
  <c r="K165" i="5" s="1"/>
  <c r="AW983" i="4" a="1"/>
  <c r="AW983" i="4" s="1"/>
  <c r="L165" i="5" s="1" a="1"/>
  <c r="L165" i="5" s="1"/>
  <c r="BC983" i="4" a="1"/>
  <c r="BC983" i="4" s="1"/>
  <c r="R165" i="5" s="1" a="1"/>
  <c r="R165" i="5" s="1"/>
  <c r="BA983" i="4" a="1"/>
  <c r="BA983" i="4" s="1"/>
  <c r="P165" i="5" s="1" a="1"/>
  <c r="P165" i="5" s="1"/>
  <c r="AZ983" i="4" a="1"/>
  <c r="AZ983" i="4" s="1"/>
  <c r="O165" i="5" s="1" a="1"/>
  <c r="O165" i="5" s="1"/>
  <c r="AY983" i="4" a="1"/>
  <c r="AY983" i="4" s="1"/>
  <c r="N165" i="5" s="1" a="1"/>
  <c r="N165" i="5" s="1"/>
  <c r="AX983" i="4" a="1"/>
  <c r="AX983" i="4" s="1"/>
  <c r="M165" i="5" s="1" a="1"/>
  <c r="M165" i="5" s="1"/>
  <c r="BB983" i="4" a="1"/>
  <c r="BB983" i="4" s="1"/>
  <c r="Q165" i="5" s="1" a="1"/>
  <c r="Q165" i="5" s="1"/>
  <c r="AV971" i="4" a="1"/>
  <c r="AV971" i="4" s="1"/>
  <c r="K153" i="5" s="1" a="1"/>
  <c r="K153" i="5" s="1"/>
  <c r="AU971" i="4" a="1"/>
  <c r="AU971" i="4" s="1"/>
  <c r="J153" i="5" s="1" a="1"/>
  <c r="J153" i="5" s="1"/>
  <c r="BB971" i="4" a="1"/>
  <c r="BB971" i="4" s="1"/>
  <c r="Q153" i="5" s="1" a="1"/>
  <c r="Q153" i="5" s="1"/>
  <c r="AX971" i="4" a="1"/>
  <c r="AX971" i="4" s="1"/>
  <c r="M153" i="5" s="1" a="1"/>
  <c r="M153" i="5" s="1"/>
  <c r="BA971" i="4" a="1"/>
  <c r="BA971" i="4" s="1"/>
  <c r="P153" i="5" s="1" a="1"/>
  <c r="P153" i="5" s="1"/>
  <c r="AW971" i="4" a="1"/>
  <c r="AW971" i="4" s="1"/>
  <c r="L153" i="5" s="1" a="1"/>
  <c r="L153" i="5" s="1"/>
  <c r="AY971" i="4" a="1"/>
  <c r="AY971" i="4" s="1"/>
  <c r="N153" i="5" s="1" a="1"/>
  <c r="N153" i="5" s="1"/>
  <c r="AZ971" i="4" a="1"/>
  <c r="AZ971" i="4" s="1"/>
  <c r="O153" i="5" s="1" a="1"/>
  <c r="O153" i="5" s="1"/>
  <c r="BC971" i="4" a="1"/>
  <c r="BC971" i="4" s="1"/>
  <c r="R153" i="5" s="1" a="1"/>
  <c r="R153" i="5" s="1"/>
  <c r="AU959" i="4" a="1"/>
  <c r="AU959" i="4" s="1"/>
  <c r="J141" i="5" s="1" a="1"/>
  <c r="J141" i="5" s="1"/>
  <c r="AV959" i="4" a="1"/>
  <c r="AV959" i="4" s="1"/>
  <c r="K141" i="5" s="1" a="1"/>
  <c r="K141" i="5" s="1"/>
  <c r="AW959" i="4" a="1"/>
  <c r="AW959" i="4" s="1"/>
  <c r="L141" i="5" s="1" a="1"/>
  <c r="L141" i="5" s="1"/>
  <c r="AZ959" i="4" a="1"/>
  <c r="AZ959" i="4" s="1"/>
  <c r="O141" i="5" s="1" a="1"/>
  <c r="O141" i="5" s="1"/>
  <c r="AX959" i="4" a="1"/>
  <c r="AX959" i="4" s="1"/>
  <c r="M141" i="5" s="1" a="1"/>
  <c r="M141" i="5" s="1"/>
  <c r="BB959" i="4" a="1"/>
  <c r="BB959" i="4" s="1"/>
  <c r="Q141" i="5" s="1" a="1"/>
  <c r="Q141" i="5" s="1"/>
  <c r="AY959" i="4" a="1"/>
  <c r="AY959" i="4" s="1"/>
  <c r="N141" i="5" s="1" a="1"/>
  <c r="N141" i="5" s="1"/>
  <c r="BA959" i="4" a="1"/>
  <c r="BA959" i="4" s="1"/>
  <c r="P141" i="5" s="1" a="1"/>
  <c r="P141" i="5" s="1"/>
  <c r="BC959" i="4" a="1"/>
  <c r="BC959" i="4" s="1"/>
  <c r="R141" i="5" s="1" a="1"/>
  <c r="R141" i="5" s="1"/>
  <c r="AV947" i="4" a="1"/>
  <c r="AV947" i="4" s="1"/>
  <c r="K129" i="5" s="1" a="1"/>
  <c r="K129" i="5" s="1"/>
  <c r="BA947" i="4" a="1"/>
  <c r="BA947" i="4" s="1"/>
  <c r="P129" i="5" s="1" a="1"/>
  <c r="P129" i="5" s="1"/>
  <c r="BC947" i="4" a="1"/>
  <c r="BC947" i="4" s="1"/>
  <c r="R129" i="5" s="1" a="1"/>
  <c r="R129" i="5" s="1"/>
  <c r="AU947" i="4" a="1"/>
  <c r="AU947" i="4" s="1"/>
  <c r="J129" i="5" s="1" a="1"/>
  <c r="J129" i="5" s="1"/>
  <c r="AX947" i="4" a="1"/>
  <c r="AX947" i="4" s="1"/>
  <c r="M129" i="5" s="1" a="1"/>
  <c r="M129" i="5" s="1"/>
  <c r="AZ947" i="4" a="1"/>
  <c r="AZ947" i="4" s="1"/>
  <c r="O129" i="5" s="1" a="1"/>
  <c r="O129" i="5" s="1"/>
  <c r="AY947" i="4" a="1"/>
  <c r="AY947" i="4" s="1"/>
  <c r="N129" i="5" s="1" a="1"/>
  <c r="N129" i="5" s="1"/>
  <c r="BB947" i="4" a="1"/>
  <c r="BB947" i="4" s="1"/>
  <c r="Q129" i="5" s="1" a="1"/>
  <c r="Q129" i="5" s="1"/>
  <c r="AW947" i="4" a="1"/>
  <c r="AW947" i="4" s="1"/>
  <c r="L129" i="5" s="1" a="1"/>
  <c r="L129" i="5" s="1"/>
  <c r="AU935" i="4" a="1"/>
  <c r="AU935" i="4" s="1"/>
  <c r="J117" i="5" s="1" a="1"/>
  <c r="J117" i="5" s="1"/>
  <c r="AV935" i="4" a="1"/>
  <c r="AV935" i="4" s="1"/>
  <c r="K117" i="5" s="1" a="1"/>
  <c r="K117" i="5" s="1"/>
  <c r="AW935" i="4" a="1"/>
  <c r="AW935" i="4" s="1"/>
  <c r="L117" i="5" s="1" a="1"/>
  <c r="L117" i="5" s="1"/>
  <c r="AX935" i="4" a="1"/>
  <c r="AX935" i="4" s="1"/>
  <c r="M117" i="5" s="1" a="1"/>
  <c r="M117" i="5" s="1"/>
  <c r="AY935" i="4" a="1"/>
  <c r="AY935" i="4" s="1"/>
  <c r="N117" i="5" s="1" a="1"/>
  <c r="N117" i="5" s="1"/>
  <c r="AZ935" i="4" a="1"/>
  <c r="AZ935" i="4" s="1"/>
  <c r="O117" i="5" s="1" a="1"/>
  <c r="O117" i="5" s="1"/>
  <c r="BC935" i="4" a="1"/>
  <c r="BC935" i="4" s="1"/>
  <c r="R117" i="5" s="1" a="1"/>
  <c r="R117" i="5" s="1"/>
  <c r="BB935" i="4" a="1"/>
  <c r="BB935" i="4" s="1"/>
  <c r="Q117" i="5" s="1" a="1"/>
  <c r="Q117" i="5" s="1"/>
  <c r="BA935" i="4" a="1"/>
  <c r="BA935" i="4" s="1"/>
  <c r="P117" i="5" s="1" a="1"/>
  <c r="P117" i="5" s="1"/>
  <c r="AU923" i="4" a="1"/>
  <c r="AU923" i="4" s="1"/>
  <c r="J105" i="5" s="1" a="1"/>
  <c r="J105" i="5" s="1"/>
  <c r="AV923" i="4" a="1"/>
  <c r="AV923" i="4" s="1"/>
  <c r="K105" i="5" s="1" a="1"/>
  <c r="K105" i="5" s="1"/>
  <c r="AW923" i="4" a="1"/>
  <c r="AW923" i="4" s="1"/>
  <c r="L105" i="5" s="1" a="1"/>
  <c r="L105" i="5" s="1"/>
  <c r="AY923" i="4" a="1"/>
  <c r="AY923" i="4" s="1"/>
  <c r="N105" i="5" s="1" a="1"/>
  <c r="N105" i="5" s="1"/>
  <c r="BC923" i="4" a="1"/>
  <c r="BC923" i="4" s="1"/>
  <c r="R105" i="5" s="1" a="1"/>
  <c r="R105" i="5" s="1"/>
  <c r="BB923" i="4" a="1"/>
  <c r="BB923" i="4" s="1"/>
  <c r="Q105" i="5" s="1" a="1"/>
  <c r="Q105" i="5" s="1"/>
  <c r="AX923" i="4" a="1"/>
  <c r="AX923" i="4" s="1"/>
  <c r="M105" i="5" s="1" a="1"/>
  <c r="M105" i="5" s="1"/>
  <c r="AZ923" i="4" a="1"/>
  <c r="AZ923" i="4" s="1"/>
  <c r="O105" i="5" s="1" a="1"/>
  <c r="O105" i="5" s="1"/>
  <c r="BA923" i="4" a="1"/>
  <c r="BA923" i="4" s="1"/>
  <c r="P105" i="5" s="1" a="1"/>
  <c r="P105" i="5" s="1"/>
  <c r="AU911" i="4" a="1"/>
  <c r="AU911" i="4" s="1"/>
  <c r="J93" i="5" s="1" a="1"/>
  <c r="J93" i="5" s="1"/>
  <c r="AW911" i="4" a="1"/>
  <c r="AW911" i="4" s="1"/>
  <c r="L93" i="5" s="1" a="1"/>
  <c r="L93" i="5" s="1"/>
  <c r="BC911" i="4" a="1"/>
  <c r="BC911" i="4" s="1"/>
  <c r="R93" i="5" s="1" a="1"/>
  <c r="R93" i="5" s="1"/>
  <c r="AV911" i="4" a="1"/>
  <c r="AV911" i="4" s="1"/>
  <c r="K93" i="5" s="1" a="1"/>
  <c r="K93" i="5" s="1"/>
  <c r="AY911" i="4" a="1"/>
  <c r="AY911" i="4" s="1"/>
  <c r="N93" i="5" s="1" a="1"/>
  <c r="N93" i="5" s="1"/>
  <c r="BB911" i="4" a="1"/>
  <c r="BB911" i="4" s="1"/>
  <c r="Q93" i="5" s="1" a="1"/>
  <c r="Q93" i="5" s="1"/>
  <c r="BA911" i="4" a="1"/>
  <c r="BA911" i="4" s="1"/>
  <c r="P93" i="5" s="1" a="1"/>
  <c r="P93" i="5" s="1"/>
  <c r="AZ911" i="4" a="1"/>
  <c r="AZ911" i="4" s="1"/>
  <c r="O93" i="5" s="1" a="1"/>
  <c r="O93" i="5" s="1"/>
  <c r="AX911" i="4" a="1"/>
  <c r="AX911" i="4" s="1"/>
  <c r="M93" i="5" s="1" a="1"/>
  <c r="M93" i="5" s="1"/>
  <c r="AZ899" i="4" a="1"/>
  <c r="AZ899" i="4" s="1"/>
  <c r="O81" i="5" s="1" a="1"/>
  <c r="O81" i="5" s="1"/>
  <c r="BA899" i="4" a="1"/>
  <c r="BA899" i="4" s="1"/>
  <c r="P81" i="5" s="1" a="1"/>
  <c r="P81" i="5" s="1"/>
  <c r="AU899" i="4" a="1"/>
  <c r="AU899" i="4" s="1"/>
  <c r="J81" i="5" s="1" a="1"/>
  <c r="J81" i="5" s="1"/>
  <c r="AV899" i="4" a="1"/>
  <c r="AV899" i="4" s="1"/>
  <c r="K81" i="5" s="1" a="1"/>
  <c r="K81" i="5" s="1"/>
  <c r="BB899" i="4" a="1"/>
  <c r="BB899" i="4" s="1"/>
  <c r="Q81" i="5" s="1" a="1"/>
  <c r="Q81" i="5" s="1"/>
  <c r="AY899" i="4" a="1"/>
  <c r="AY899" i="4" s="1"/>
  <c r="N81" i="5" s="1" a="1"/>
  <c r="N81" i="5" s="1"/>
  <c r="AX899" i="4" a="1"/>
  <c r="AX899" i="4" s="1"/>
  <c r="M81" i="5" s="1" a="1"/>
  <c r="M81" i="5" s="1"/>
  <c r="AW899" i="4" a="1"/>
  <c r="AW899" i="4" s="1"/>
  <c r="L81" i="5" s="1" a="1"/>
  <c r="L81" i="5" s="1"/>
  <c r="BC899" i="4" a="1"/>
  <c r="BC899" i="4" s="1"/>
  <c r="R81" i="5" s="1" a="1"/>
  <c r="R81" i="5" s="1"/>
  <c r="AV887" i="4" a="1"/>
  <c r="AV887" i="4" s="1"/>
  <c r="K69" i="5" s="1" a="1"/>
  <c r="K69" i="5" s="1"/>
  <c r="AX887" i="4" a="1"/>
  <c r="AX887" i="4" s="1"/>
  <c r="M69" i="5" s="1" a="1"/>
  <c r="M69" i="5" s="1"/>
  <c r="AY887" i="4" a="1"/>
  <c r="AY887" i="4" s="1"/>
  <c r="N69" i="5" s="1" a="1"/>
  <c r="N69" i="5" s="1"/>
  <c r="AU887" i="4" a="1"/>
  <c r="AU887" i="4" s="1"/>
  <c r="J69" i="5" s="1" a="1"/>
  <c r="J69" i="5" s="1"/>
  <c r="BB887" i="4" a="1"/>
  <c r="BB887" i="4" s="1"/>
  <c r="Q69" i="5" s="1" a="1"/>
  <c r="Q69" i="5" s="1"/>
  <c r="AZ887" i="4" a="1"/>
  <c r="AZ887" i="4" s="1"/>
  <c r="O69" i="5" s="1" a="1"/>
  <c r="O69" i="5" s="1"/>
  <c r="BA887" i="4" a="1"/>
  <c r="BA887" i="4" s="1"/>
  <c r="P69" i="5" s="1" a="1"/>
  <c r="P69" i="5" s="1"/>
  <c r="AW887" i="4" a="1"/>
  <c r="AW887" i="4" s="1"/>
  <c r="L69" i="5" s="1" a="1"/>
  <c r="L69" i="5" s="1"/>
  <c r="BC887" i="4" a="1"/>
  <c r="BC887" i="4" s="1"/>
  <c r="R69" i="5" s="1" a="1"/>
  <c r="R69" i="5" s="1"/>
  <c r="AW875" i="4" a="1"/>
  <c r="AW875" i="4" s="1"/>
  <c r="L57" i="5" s="1" a="1"/>
  <c r="L57" i="5" s="1"/>
  <c r="AX875" i="4" a="1"/>
  <c r="AX875" i="4" s="1"/>
  <c r="M57" i="5" s="1" a="1"/>
  <c r="M57" i="5" s="1"/>
  <c r="AU875" i="4" a="1"/>
  <c r="AU875" i="4" s="1"/>
  <c r="J57" i="5" s="1" a="1"/>
  <c r="J57" i="5" s="1"/>
  <c r="AV875" i="4" a="1"/>
  <c r="AV875" i="4" s="1"/>
  <c r="K57" i="5" s="1" a="1"/>
  <c r="K57" i="5" s="1"/>
  <c r="BB875" i="4" a="1"/>
  <c r="BB875" i="4" s="1"/>
  <c r="Q57" i="5" s="1" a="1"/>
  <c r="Q57" i="5" s="1"/>
  <c r="BA875" i="4" a="1"/>
  <c r="BA875" i="4" s="1"/>
  <c r="P57" i="5" s="1" a="1"/>
  <c r="P57" i="5" s="1"/>
  <c r="AY875" i="4" a="1"/>
  <c r="AY875" i="4" s="1"/>
  <c r="N57" i="5" s="1" a="1"/>
  <c r="N57" i="5" s="1"/>
  <c r="BC875" i="4" a="1"/>
  <c r="BC875" i="4" s="1"/>
  <c r="R57" i="5" s="1" a="1"/>
  <c r="R57" i="5" s="1"/>
  <c r="AZ875" i="4" a="1"/>
  <c r="AZ875" i="4" s="1"/>
  <c r="O57" i="5" s="1" a="1"/>
  <c r="O57" i="5" s="1"/>
  <c r="AU863" i="4" a="1"/>
  <c r="AU863" i="4" s="1"/>
  <c r="J45" i="5" s="1" a="1"/>
  <c r="J45" i="5" s="1"/>
  <c r="AV863" i="4" a="1"/>
  <c r="AV863" i="4" s="1"/>
  <c r="K45" i="5" s="1" a="1"/>
  <c r="K45" i="5" s="1"/>
  <c r="AX863" i="4" a="1"/>
  <c r="AX863" i="4" s="1"/>
  <c r="M45" i="5" s="1" a="1"/>
  <c r="M45" i="5" s="1"/>
  <c r="AY863" i="4" a="1"/>
  <c r="AY863" i="4" s="1"/>
  <c r="N45" i="5" s="1" a="1"/>
  <c r="N45" i="5" s="1"/>
  <c r="BB863" i="4" a="1"/>
  <c r="BB863" i="4" s="1"/>
  <c r="Q45" i="5" s="1" a="1"/>
  <c r="Q45" i="5" s="1"/>
  <c r="BC863" i="4" a="1"/>
  <c r="BC863" i="4" s="1"/>
  <c r="R45" i="5" s="1" a="1"/>
  <c r="R45" i="5" s="1"/>
  <c r="AW863" i="4" a="1"/>
  <c r="AW863" i="4" s="1"/>
  <c r="L45" i="5" s="1" a="1"/>
  <c r="L45" i="5" s="1"/>
  <c r="BA863" i="4" a="1"/>
  <c r="BA863" i="4" s="1"/>
  <c r="P45" i="5" s="1" a="1"/>
  <c r="P45" i="5" s="1"/>
  <c r="AZ863" i="4" a="1"/>
  <c r="AZ863" i="4" s="1"/>
  <c r="O45" i="5" s="1" a="1"/>
  <c r="O45" i="5" s="1"/>
  <c r="AZ851" i="4" a="1"/>
  <c r="AZ851" i="4" s="1"/>
  <c r="O33" i="5" s="1" a="1"/>
  <c r="O33" i="5" s="1"/>
  <c r="BA851" i="4" a="1"/>
  <c r="BA851" i="4" s="1"/>
  <c r="P33" i="5" s="1" a="1"/>
  <c r="P33" i="5" s="1"/>
  <c r="AU851" i="4" a="1"/>
  <c r="AU851" i="4" s="1"/>
  <c r="J33" i="5" s="1" a="1"/>
  <c r="J33" i="5" s="1"/>
  <c r="AV851" i="4" a="1"/>
  <c r="AV851" i="4" s="1"/>
  <c r="K33" i="5" s="1" a="1"/>
  <c r="K33" i="5" s="1"/>
  <c r="AW851" i="4" a="1"/>
  <c r="AW851" i="4" s="1"/>
  <c r="L33" i="5" s="1" a="1"/>
  <c r="L33" i="5" s="1"/>
  <c r="BB851" i="4" a="1"/>
  <c r="BB851" i="4" s="1"/>
  <c r="Q33" i="5" s="1" a="1"/>
  <c r="Q33" i="5" s="1"/>
  <c r="AY851" i="4" a="1"/>
  <c r="AY851" i="4" s="1"/>
  <c r="N33" i="5" s="1" a="1"/>
  <c r="N33" i="5" s="1"/>
  <c r="BC851" i="4" a="1"/>
  <c r="BC851" i="4" s="1"/>
  <c r="R33" i="5" s="1" a="1"/>
  <c r="R33" i="5" s="1"/>
  <c r="AX851" i="4" a="1"/>
  <c r="AX851" i="4" s="1"/>
  <c r="M33" i="5" s="1" a="1"/>
  <c r="M33" i="5" s="1"/>
  <c r="AU839" i="4" a="1"/>
  <c r="AU839" i="4" s="1"/>
  <c r="J21" i="5" s="1" a="1"/>
  <c r="J21" i="5" s="1"/>
  <c r="AV839" i="4" a="1"/>
  <c r="AV839" i="4" s="1"/>
  <c r="K21" i="5" s="1" a="1"/>
  <c r="K21" i="5" s="1"/>
  <c r="AZ839" i="4" a="1"/>
  <c r="AZ839" i="4" s="1"/>
  <c r="O21" i="5" s="1" a="1"/>
  <c r="O21" i="5" s="1"/>
  <c r="BC839" i="4" a="1"/>
  <c r="BC839" i="4" s="1"/>
  <c r="R21" i="5" s="1" a="1"/>
  <c r="R21" i="5" s="1"/>
  <c r="BA839" i="4" a="1"/>
  <c r="BA839" i="4" s="1"/>
  <c r="P21" i="5" s="1" a="1"/>
  <c r="P21" i="5" s="1"/>
  <c r="BB839" i="4" a="1"/>
  <c r="BB839" i="4" s="1"/>
  <c r="Q21" i="5" s="1" a="1"/>
  <c r="Q21" i="5" s="1"/>
  <c r="AW839" i="4" a="1"/>
  <c r="AW839" i="4" s="1"/>
  <c r="L21" i="5" s="1" a="1"/>
  <c r="L21" i="5" s="1"/>
  <c r="AX839" i="4" a="1"/>
  <c r="AX839" i="4" s="1"/>
  <c r="M21" i="5" s="1" a="1"/>
  <c r="M21" i="5" s="1"/>
  <c r="AY839" i="4" a="1"/>
  <c r="AY839" i="4" s="1"/>
  <c r="N21" i="5" s="1" a="1"/>
  <c r="N21" i="5" s="1"/>
  <c r="AU1030" i="4" a="1"/>
  <c r="AU1030" i="4" s="1"/>
  <c r="J212" i="5" s="1" a="1"/>
  <c r="J212" i="5" s="1"/>
  <c r="AW1030" i="4" a="1"/>
  <c r="AW1030" i="4" s="1"/>
  <c r="L212" i="5" s="1" a="1"/>
  <c r="L212" i="5" s="1"/>
  <c r="BA1030" i="4" a="1"/>
  <c r="BA1030" i="4" s="1"/>
  <c r="P212" i="5" s="1" a="1"/>
  <c r="P212" i="5" s="1"/>
  <c r="AV1030" i="4" a="1"/>
  <c r="AV1030" i="4" s="1"/>
  <c r="K212" i="5" s="1" a="1"/>
  <c r="K212" i="5" s="1"/>
  <c r="BC1030" i="4" a="1"/>
  <c r="BC1030" i="4" s="1"/>
  <c r="R212" i="5" s="1" a="1"/>
  <c r="R212" i="5" s="1"/>
  <c r="AX1030" i="4" a="1"/>
  <c r="AX1030" i="4" s="1"/>
  <c r="M212" i="5" s="1" a="1"/>
  <c r="M212" i="5" s="1"/>
  <c r="BB1030" i="4" a="1"/>
  <c r="BB1030" i="4" s="1"/>
  <c r="Q212" i="5" s="1" a="1"/>
  <c r="Q212" i="5" s="1"/>
  <c r="AY1030" i="4" a="1"/>
  <c r="AY1030" i="4" s="1"/>
  <c r="N212" i="5" s="1" a="1"/>
  <c r="N212" i="5" s="1"/>
  <c r="AZ1030" i="4" a="1"/>
  <c r="AZ1030" i="4" s="1"/>
  <c r="O212" i="5" s="1" a="1"/>
  <c r="O212" i="5" s="1"/>
  <c r="AU1018" i="4" a="1"/>
  <c r="AU1018" i="4" s="1"/>
  <c r="J200" i="5" s="1" a="1"/>
  <c r="J200" i="5" s="1"/>
  <c r="AV1018" i="4" a="1"/>
  <c r="AV1018" i="4" s="1"/>
  <c r="K200" i="5" s="1" a="1"/>
  <c r="K200" i="5" s="1"/>
  <c r="AW1018" i="4" a="1"/>
  <c r="AW1018" i="4" s="1"/>
  <c r="L200" i="5" s="1" a="1"/>
  <c r="L200" i="5" s="1"/>
  <c r="BB1018" i="4" a="1"/>
  <c r="BB1018" i="4" s="1"/>
  <c r="Q200" i="5" s="1" a="1"/>
  <c r="Q200" i="5" s="1"/>
  <c r="BA1018" i="4" a="1"/>
  <c r="BA1018" i="4" s="1"/>
  <c r="P200" i="5" s="1" a="1"/>
  <c r="P200" i="5" s="1"/>
  <c r="AY1018" i="4" a="1"/>
  <c r="AY1018" i="4" s="1"/>
  <c r="N200" i="5" s="1" a="1"/>
  <c r="N200" i="5" s="1"/>
  <c r="BC1018" i="4" a="1"/>
  <c r="BC1018" i="4" s="1"/>
  <c r="R200" i="5" s="1" a="1"/>
  <c r="R200" i="5" s="1"/>
  <c r="AX1018" i="4" a="1"/>
  <c r="AX1018" i="4" s="1"/>
  <c r="M200" i="5" s="1" a="1"/>
  <c r="M200" i="5" s="1"/>
  <c r="AZ1018" i="4" a="1"/>
  <c r="AZ1018" i="4" s="1"/>
  <c r="O200" i="5" s="1" a="1"/>
  <c r="O200" i="5" s="1"/>
  <c r="AU1006" i="4" a="1"/>
  <c r="AU1006" i="4" s="1"/>
  <c r="J188" i="5" s="1" a="1"/>
  <c r="J188" i="5" s="1"/>
  <c r="AV1006" i="4" a="1"/>
  <c r="AV1006" i="4" s="1"/>
  <c r="K188" i="5" s="1" a="1"/>
  <c r="K188" i="5" s="1"/>
  <c r="AW1006" i="4" a="1"/>
  <c r="AW1006" i="4" s="1"/>
  <c r="L188" i="5" s="1" a="1"/>
  <c r="L188" i="5" s="1"/>
  <c r="AZ1006" i="4" a="1"/>
  <c r="AZ1006" i="4" s="1"/>
  <c r="O188" i="5" s="1" a="1"/>
  <c r="O188" i="5" s="1"/>
  <c r="BB1006" i="4" a="1"/>
  <c r="BB1006" i="4" s="1"/>
  <c r="Q188" i="5" s="1" a="1"/>
  <c r="Q188" i="5" s="1"/>
  <c r="BA1006" i="4" a="1"/>
  <c r="BA1006" i="4" s="1"/>
  <c r="P188" i="5" s="1" a="1"/>
  <c r="P188" i="5" s="1"/>
  <c r="AX1006" i="4" a="1"/>
  <c r="AX1006" i="4" s="1"/>
  <c r="M188" i="5" s="1" a="1"/>
  <c r="M188" i="5" s="1"/>
  <c r="AY1006" i="4" a="1"/>
  <c r="AY1006" i="4" s="1"/>
  <c r="N188" i="5" s="1" a="1"/>
  <c r="N188" i="5" s="1"/>
  <c r="BC1006" i="4" a="1"/>
  <c r="BC1006" i="4" s="1"/>
  <c r="R188" i="5" s="1" a="1"/>
  <c r="R188" i="5" s="1"/>
  <c r="AU994" i="4" a="1"/>
  <c r="AU994" i="4" s="1"/>
  <c r="J176" i="5" s="1" a="1"/>
  <c r="J176" i="5" s="1"/>
  <c r="AV994" i="4" a="1"/>
  <c r="AV994" i="4" s="1"/>
  <c r="K176" i="5" s="1" a="1"/>
  <c r="K176" i="5" s="1"/>
  <c r="AW994" i="4" a="1"/>
  <c r="AW994" i="4" s="1"/>
  <c r="L176" i="5" s="1" a="1"/>
  <c r="L176" i="5" s="1"/>
  <c r="AZ994" i="4" a="1"/>
  <c r="AZ994" i="4" s="1"/>
  <c r="O176" i="5" s="1" a="1"/>
  <c r="O176" i="5" s="1"/>
  <c r="BB994" i="4" a="1"/>
  <c r="BB994" i="4" s="1"/>
  <c r="Q176" i="5" s="1" a="1"/>
  <c r="Q176" i="5" s="1"/>
  <c r="AX994" i="4" a="1"/>
  <c r="AX994" i="4" s="1"/>
  <c r="M176" i="5" s="1" a="1"/>
  <c r="M176" i="5" s="1"/>
  <c r="BC994" i="4" a="1"/>
  <c r="BC994" i="4" s="1"/>
  <c r="R176" i="5" s="1" a="1"/>
  <c r="R176" i="5" s="1"/>
  <c r="BA994" i="4" a="1"/>
  <c r="BA994" i="4" s="1"/>
  <c r="P176" i="5" s="1" a="1"/>
  <c r="P176" i="5" s="1"/>
  <c r="AY994" i="4" a="1"/>
  <c r="AY994" i="4" s="1"/>
  <c r="N176" i="5" s="1" a="1"/>
  <c r="N176" i="5" s="1"/>
  <c r="AU982" i="4" a="1"/>
  <c r="AU982" i="4" s="1"/>
  <c r="J164" i="5" s="1" a="1"/>
  <c r="J164" i="5" s="1"/>
  <c r="AV982" i="4" a="1"/>
  <c r="AV982" i="4" s="1"/>
  <c r="K164" i="5" s="1" a="1"/>
  <c r="K164" i="5" s="1"/>
  <c r="AW982" i="4" a="1"/>
  <c r="AW982" i="4" s="1"/>
  <c r="L164" i="5" s="1" a="1"/>
  <c r="L164" i="5" s="1"/>
  <c r="AX982" i="4" a="1"/>
  <c r="AX982" i="4" s="1"/>
  <c r="M164" i="5" s="1" a="1"/>
  <c r="M164" i="5" s="1"/>
  <c r="AZ982" i="4" a="1"/>
  <c r="AZ982" i="4" s="1"/>
  <c r="O164" i="5" s="1" a="1"/>
  <c r="O164" i="5" s="1"/>
  <c r="BA982" i="4" a="1"/>
  <c r="BA982" i="4" s="1"/>
  <c r="P164" i="5" s="1" a="1"/>
  <c r="P164" i="5" s="1"/>
  <c r="AY982" i="4" a="1"/>
  <c r="AY982" i="4" s="1"/>
  <c r="N164" i="5" s="1" a="1"/>
  <c r="N164" i="5" s="1"/>
  <c r="BB982" i="4" a="1"/>
  <c r="BB982" i="4" s="1"/>
  <c r="Q164" i="5" s="1" a="1"/>
  <c r="Q164" i="5" s="1"/>
  <c r="BC982" i="4" a="1"/>
  <c r="BC982" i="4" s="1"/>
  <c r="R164" i="5" s="1" a="1"/>
  <c r="R164" i="5" s="1"/>
  <c r="AU970" i="4" a="1"/>
  <c r="AU970" i="4" s="1"/>
  <c r="J152" i="5" s="1" a="1"/>
  <c r="J152" i="5" s="1"/>
  <c r="AV970" i="4" a="1"/>
  <c r="AV970" i="4" s="1"/>
  <c r="K152" i="5" s="1" a="1"/>
  <c r="K152" i="5" s="1"/>
  <c r="BA970" i="4" a="1"/>
  <c r="BA970" i="4" s="1"/>
  <c r="P152" i="5" s="1" a="1"/>
  <c r="P152" i="5" s="1"/>
  <c r="BB970" i="4" a="1"/>
  <c r="BB970" i="4" s="1"/>
  <c r="Q152" i="5" s="1" a="1"/>
  <c r="Q152" i="5" s="1"/>
  <c r="BC970" i="4" a="1"/>
  <c r="BC970" i="4" s="1"/>
  <c r="R152" i="5" s="1" a="1"/>
  <c r="R152" i="5" s="1"/>
  <c r="AW970" i="4" a="1"/>
  <c r="AW970" i="4" s="1"/>
  <c r="L152" i="5" s="1" a="1"/>
  <c r="L152" i="5" s="1"/>
  <c r="AZ970" i="4" a="1"/>
  <c r="AZ970" i="4" s="1"/>
  <c r="O152" i="5" s="1" a="1"/>
  <c r="O152" i="5" s="1"/>
  <c r="AY970" i="4" a="1"/>
  <c r="AY970" i="4" s="1"/>
  <c r="N152" i="5" s="1" a="1"/>
  <c r="N152" i="5" s="1"/>
  <c r="AX970" i="4" a="1"/>
  <c r="AX970" i="4" s="1"/>
  <c r="M152" i="5" s="1" a="1"/>
  <c r="M152" i="5" s="1"/>
  <c r="AZ958" i="4" a="1"/>
  <c r="AZ958" i="4" s="1"/>
  <c r="O140" i="5" s="1" a="1"/>
  <c r="O140" i="5" s="1"/>
  <c r="AU958" i="4" a="1"/>
  <c r="AU958" i="4" s="1"/>
  <c r="J140" i="5" s="1" a="1"/>
  <c r="J140" i="5" s="1"/>
  <c r="AV958" i="4" a="1"/>
  <c r="AV958" i="4" s="1"/>
  <c r="K140" i="5" s="1" a="1"/>
  <c r="K140" i="5" s="1"/>
  <c r="AW958" i="4" a="1"/>
  <c r="AW958" i="4" s="1"/>
  <c r="L140" i="5" s="1" a="1"/>
  <c r="L140" i="5" s="1"/>
  <c r="AX958" i="4" a="1"/>
  <c r="AX958" i="4" s="1"/>
  <c r="M140" i="5" s="1" a="1"/>
  <c r="M140" i="5" s="1"/>
  <c r="BC958" i="4" a="1"/>
  <c r="BC958" i="4" s="1"/>
  <c r="R140" i="5" s="1" a="1"/>
  <c r="R140" i="5" s="1"/>
  <c r="AY958" i="4" a="1"/>
  <c r="AY958" i="4" s="1"/>
  <c r="N140" i="5" s="1" a="1"/>
  <c r="N140" i="5" s="1"/>
  <c r="BB958" i="4" a="1"/>
  <c r="BB958" i="4" s="1"/>
  <c r="Q140" i="5" s="1" a="1"/>
  <c r="Q140" i="5" s="1"/>
  <c r="BA958" i="4" a="1"/>
  <c r="BA958" i="4" s="1"/>
  <c r="P140" i="5" s="1" a="1"/>
  <c r="P140" i="5" s="1"/>
  <c r="AU946" i="4" a="1"/>
  <c r="AU946" i="4" s="1"/>
  <c r="J128" i="5" s="1" a="1"/>
  <c r="J128" i="5" s="1"/>
  <c r="AV946" i="4" a="1"/>
  <c r="AV946" i="4" s="1"/>
  <c r="K128" i="5" s="1" a="1"/>
  <c r="K128" i="5" s="1"/>
  <c r="AY946" i="4" a="1"/>
  <c r="AY946" i="4" s="1"/>
  <c r="N128" i="5" s="1" a="1"/>
  <c r="N128" i="5" s="1"/>
  <c r="AZ946" i="4" a="1"/>
  <c r="AZ946" i="4" s="1"/>
  <c r="O128" i="5" s="1" a="1"/>
  <c r="O128" i="5" s="1"/>
  <c r="AW946" i="4" a="1"/>
  <c r="AW946" i="4" s="1"/>
  <c r="L128" i="5" s="1" a="1"/>
  <c r="L128" i="5" s="1"/>
  <c r="BB946" i="4" a="1"/>
  <c r="BB946" i="4" s="1"/>
  <c r="Q128" i="5" s="1" a="1"/>
  <c r="Q128" i="5" s="1"/>
  <c r="BA946" i="4" a="1"/>
  <c r="BA946" i="4" s="1"/>
  <c r="P128" i="5" s="1" a="1"/>
  <c r="P128" i="5" s="1"/>
  <c r="AX946" i="4" a="1"/>
  <c r="AX946" i="4" s="1"/>
  <c r="M128" i="5" s="1" a="1"/>
  <c r="M128" i="5" s="1"/>
  <c r="BC946" i="4" a="1"/>
  <c r="BC946" i="4" s="1"/>
  <c r="R128" i="5" s="1" a="1"/>
  <c r="R128" i="5" s="1"/>
  <c r="AV934" i="4" a="1"/>
  <c r="AV934" i="4" s="1"/>
  <c r="K116" i="5" s="1" a="1"/>
  <c r="K116" i="5" s="1"/>
  <c r="AW934" i="4" a="1"/>
  <c r="AW934" i="4" s="1"/>
  <c r="L116" i="5" s="1" a="1"/>
  <c r="L116" i="5" s="1"/>
  <c r="AX934" i="4" a="1"/>
  <c r="AX934" i="4" s="1"/>
  <c r="M116" i="5" s="1" a="1"/>
  <c r="M116" i="5" s="1"/>
  <c r="AU934" i="4" a="1"/>
  <c r="AU934" i="4" s="1"/>
  <c r="J116" i="5" s="1" a="1"/>
  <c r="J116" i="5" s="1"/>
  <c r="AY934" i="4" a="1"/>
  <c r="AY934" i="4" s="1"/>
  <c r="N116" i="5" s="1" a="1"/>
  <c r="N116" i="5" s="1"/>
  <c r="AZ934" i="4" a="1"/>
  <c r="AZ934" i="4" s="1"/>
  <c r="O116" i="5" s="1" a="1"/>
  <c r="O116" i="5" s="1"/>
  <c r="BB934" i="4" a="1"/>
  <c r="BB934" i="4" s="1"/>
  <c r="Q116" i="5" s="1" a="1"/>
  <c r="Q116" i="5" s="1"/>
  <c r="BA934" i="4" a="1"/>
  <c r="BA934" i="4" s="1"/>
  <c r="P116" i="5" s="1" a="1"/>
  <c r="P116" i="5" s="1"/>
  <c r="BC934" i="4" a="1"/>
  <c r="BC934" i="4" s="1"/>
  <c r="R116" i="5" s="1" a="1"/>
  <c r="R116" i="5" s="1"/>
  <c r="AU922" i="4" a="1"/>
  <c r="AU922" i="4" s="1"/>
  <c r="J104" i="5" s="1" a="1"/>
  <c r="J104" i="5" s="1"/>
  <c r="AV922" i="4" a="1"/>
  <c r="AV922" i="4" s="1"/>
  <c r="K104" i="5" s="1" a="1"/>
  <c r="K104" i="5" s="1"/>
  <c r="AY922" i="4" a="1"/>
  <c r="AY922" i="4" s="1"/>
  <c r="N104" i="5" s="1" a="1"/>
  <c r="N104" i="5" s="1"/>
  <c r="BA922" i="4" a="1"/>
  <c r="BA922" i="4" s="1"/>
  <c r="P104" i="5" s="1" a="1"/>
  <c r="P104" i="5" s="1"/>
  <c r="AZ922" i="4" a="1"/>
  <c r="AZ922" i="4" s="1"/>
  <c r="O104" i="5" s="1" a="1"/>
  <c r="O104" i="5" s="1"/>
  <c r="BB922" i="4" a="1"/>
  <c r="BB922" i="4" s="1"/>
  <c r="Q104" i="5" s="1" a="1"/>
  <c r="Q104" i="5" s="1"/>
  <c r="AX922" i="4" a="1"/>
  <c r="AX922" i="4" s="1"/>
  <c r="M104" i="5" s="1" a="1"/>
  <c r="M104" i="5" s="1"/>
  <c r="AW922" i="4" a="1"/>
  <c r="AW922" i="4" s="1"/>
  <c r="L104" i="5" s="1" a="1"/>
  <c r="L104" i="5" s="1"/>
  <c r="BC922" i="4" a="1"/>
  <c r="BC922" i="4" s="1"/>
  <c r="R104" i="5" s="1" a="1"/>
  <c r="R104" i="5" s="1"/>
  <c r="AV910" i="4" a="1"/>
  <c r="AV910" i="4" s="1"/>
  <c r="K92" i="5" s="1" a="1"/>
  <c r="K92" i="5" s="1"/>
  <c r="AU910" i="4" a="1"/>
  <c r="AU910" i="4" s="1"/>
  <c r="J92" i="5" s="1" a="1"/>
  <c r="J92" i="5" s="1"/>
  <c r="BA910" i="4" a="1"/>
  <c r="BA910" i="4" s="1"/>
  <c r="P92" i="5" s="1" a="1"/>
  <c r="P92" i="5" s="1"/>
  <c r="AW910" i="4" a="1"/>
  <c r="AW910" i="4" s="1"/>
  <c r="L92" i="5" s="1" a="1"/>
  <c r="L92" i="5" s="1"/>
  <c r="BC910" i="4" a="1"/>
  <c r="BC910" i="4" s="1"/>
  <c r="R92" i="5" s="1" a="1"/>
  <c r="R92" i="5" s="1"/>
  <c r="AY910" i="4" a="1"/>
  <c r="AY910" i="4" s="1"/>
  <c r="N92" i="5" s="1" a="1"/>
  <c r="N92" i="5" s="1"/>
  <c r="BB910" i="4" a="1"/>
  <c r="BB910" i="4" s="1"/>
  <c r="Q92" i="5" s="1" a="1"/>
  <c r="Q92" i="5" s="1"/>
  <c r="AX910" i="4" a="1"/>
  <c r="AX910" i="4" s="1"/>
  <c r="M92" i="5" s="1" a="1"/>
  <c r="M92" i="5" s="1"/>
  <c r="AZ910" i="4" a="1"/>
  <c r="AZ910" i="4" s="1"/>
  <c r="O92" i="5" s="1" a="1"/>
  <c r="O92" i="5" s="1"/>
  <c r="AX898" i="4" a="1"/>
  <c r="AX898" i="4" s="1"/>
  <c r="M80" i="5" s="1" a="1"/>
  <c r="M80" i="5" s="1"/>
  <c r="AY898" i="4" a="1"/>
  <c r="AY898" i="4" s="1"/>
  <c r="N80" i="5" s="1" a="1"/>
  <c r="N80" i="5" s="1"/>
  <c r="AU898" i="4" a="1"/>
  <c r="AU898" i="4" s="1"/>
  <c r="J80" i="5" s="1" a="1"/>
  <c r="J80" i="5" s="1"/>
  <c r="AV898" i="4" a="1"/>
  <c r="AV898" i="4" s="1"/>
  <c r="K80" i="5" s="1" a="1"/>
  <c r="K80" i="5" s="1"/>
  <c r="AZ898" i="4" a="1"/>
  <c r="AZ898" i="4" s="1"/>
  <c r="O80" i="5" s="1" a="1"/>
  <c r="O80" i="5" s="1"/>
  <c r="BA898" i="4" a="1"/>
  <c r="BA898" i="4" s="1"/>
  <c r="P80" i="5" s="1" a="1"/>
  <c r="P80" i="5" s="1"/>
  <c r="BB898" i="4" a="1"/>
  <c r="BB898" i="4" s="1"/>
  <c r="Q80" i="5" s="1" a="1"/>
  <c r="Q80" i="5" s="1"/>
  <c r="AW898" i="4" a="1"/>
  <c r="AW898" i="4" s="1"/>
  <c r="L80" i="5" s="1" a="1"/>
  <c r="L80" i="5" s="1"/>
  <c r="BC898" i="4" a="1"/>
  <c r="BC898" i="4" s="1"/>
  <c r="R80" i="5" s="1" a="1"/>
  <c r="R80" i="5" s="1"/>
  <c r="AU886" i="4" a="1"/>
  <c r="AU886" i="4" s="1"/>
  <c r="J68" i="5" s="1" a="1"/>
  <c r="J68" i="5" s="1"/>
  <c r="AV886" i="4" a="1"/>
  <c r="AV886" i="4" s="1"/>
  <c r="K68" i="5" s="1" a="1"/>
  <c r="K68" i="5" s="1"/>
  <c r="BC886" i="4" a="1"/>
  <c r="BC886" i="4" s="1"/>
  <c r="R68" i="5" s="1" a="1"/>
  <c r="R68" i="5" s="1"/>
  <c r="BA886" i="4" a="1"/>
  <c r="BA886" i="4" s="1"/>
  <c r="P68" i="5" s="1" a="1"/>
  <c r="P68" i="5" s="1"/>
  <c r="AY886" i="4" a="1"/>
  <c r="AY886" i="4" s="1"/>
  <c r="N68" i="5" s="1" a="1"/>
  <c r="N68" i="5" s="1"/>
  <c r="BB886" i="4" a="1"/>
  <c r="BB886" i="4" s="1"/>
  <c r="Q68" i="5" s="1" a="1"/>
  <c r="Q68" i="5" s="1"/>
  <c r="AX886" i="4" a="1"/>
  <c r="AX886" i="4" s="1"/>
  <c r="M68" i="5" s="1" a="1"/>
  <c r="M68" i="5" s="1"/>
  <c r="AW886" i="4" a="1"/>
  <c r="AW886" i="4" s="1"/>
  <c r="L68" i="5" s="1" a="1"/>
  <c r="L68" i="5" s="1"/>
  <c r="AZ886" i="4" a="1"/>
  <c r="AZ886" i="4" s="1"/>
  <c r="O68" i="5" s="1" a="1"/>
  <c r="O68" i="5" s="1"/>
  <c r="AV874" i="4" a="1"/>
  <c r="AV874" i="4" s="1"/>
  <c r="K56" i="5" s="1" a="1"/>
  <c r="K56" i="5" s="1"/>
  <c r="BC874" i="4" a="1"/>
  <c r="BC874" i="4" s="1"/>
  <c r="R56" i="5" s="1" a="1"/>
  <c r="R56" i="5" s="1"/>
  <c r="AU874" i="4" a="1"/>
  <c r="AU874" i="4" s="1"/>
  <c r="J56" i="5" s="1" a="1"/>
  <c r="J56" i="5" s="1"/>
  <c r="AY874" i="4" a="1"/>
  <c r="AY874" i="4" s="1"/>
  <c r="N56" i="5" s="1" a="1"/>
  <c r="N56" i="5" s="1"/>
  <c r="BA874" i="4" a="1"/>
  <c r="BA874" i="4" s="1"/>
  <c r="P56" i="5" s="1" a="1"/>
  <c r="P56" i="5" s="1"/>
  <c r="AX874" i="4" a="1"/>
  <c r="AX874" i="4" s="1"/>
  <c r="M56" i="5" s="1" a="1"/>
  <c r="M56" i="5" s="1"/>
  <c r="BB874" i="4" a="1"/>
  <c r="BB874" i="4" s="1"/>
  <c r="Q56" i="5" s="1" a="1"/>
  <c r="Q56" i="5" s="1"/>
  <c r="AZ874" i="4" a="1"/>
  <c r="AZ874" i="4" s="1"/>
  <c r="O56" i="5" s="1" a="1"/>
  <c r="O56" i="5" s="1"/>
  <c r="AW874" i="4" a="1"/>
  <c r="AW874" i="4" s="1"/>
  <c r="L56" i="5" s="1" a="1"/>
  <c r="L56" i="5" s="1"/>
  <c r="AZ862" i="4" a="1"/>
  <c r="AZ862" i="4" s="1"/>
  <c r="O44" i="5" s="1" a="1"/>
  <c r="O44" i="5" s="1"/>
  <c r="AV862" i="4" a="1"/>
  <c r="AV862" i="4" s="1"/>
  <c r="K44" i="5" s="1" a="1"/>
  <c r="K44" i="5" s="1"/>
  <c r="AU862" i="4" a="1"/>
  <c r="AU862" i="4" s="1"/>
  <c r="J44" i="5" s="1" a="1"/>
  <c r="J44" i="5" s="1"/>
  <c r="AW862" i="4" a="1"/>
  <c r="AW862" i="4" s="1"/>
  <c r="L44" i="5" s="1" a="1"/>
  <c r="L44" i="5" s="1"/>
  <c r="AY862" i="4" a="1"/>
  <c r="AY862" i="4" s="1"/>
  <c r="N44" i="5" s="1" a="1"/>
  <c r="N44" i="5" s="1"/>
  <c r="BC862" i="4" a="1"/>
  <c r="BC862" i="4" s="1"/>
  <c r="R44" i="5" s="1" a="1"/>
  <c r="R44" i="5" s="1"/>
  <c r="AX862" i="4" a="1"/>
  <c r="AX862" i="4" s="1"/>
  <c r="M44" i="5" s="1" a="1"/>
  <c r="M44" i="5" s="1"/>
  <c r="BB862" i="4" a="1"/>
  <c r="BB862" i="4" s="1"/>
  <c r="Q44" i="5" s="1" a="1"/>
  <c r="Q44" i="5" s="1"/>
  <c r="BA862" i="4" a="1"/>
  <c r="BA862" i="4" s="1"/>
  <c r="P44" i="5" s="1" a="1"/>
  <c r="P44" i="5" s="1"/>
  <c r="AU850" i="4" a="1"/>
  <c r="AU850" i="4" s="1"/>
  <c r="J32" i="5" s="1" a="1"/>
  <c r="J32" i="5" s="1"/>
  <c r="AV850" i="4" a="1"/>
  <c r="AV850" i="4" s="1"/>
  <c r="K32" i="5" s="1" a="1"/>
  <c r="K32" i="5" s="1"/>
  <c r="AW850" i="4" a="1"/>
  <c r="AW850" i="4" s="1"/>
  <c r="L32" i="5" s="1" a="1"/>
  <c r="L32" i="5" s="1"/>
  <c r="AX850" i="4" a="1"/>
  <c r="AX850" i="4" s="1"/>
  <c r="M32" i="5" s="1" a="1"/>
  <c r="M32" i="5" s="1"/>
  <c r="AY850" i="4" a="1"/>
  <c r="AY850" i="4" s="1"/>
  <c r="N32" i="5" s="1" a="1"/>
  <c r="N32" i="5" s="1"/>
  <c r="BC850" i="4" a="1"/>
  <c r="BC850" i="4" s="1"/>
  <c r="R32" i="5" s="1" a="1"/>
  <c r="R32" i="5" s="1"/>
  <c r="BB850" i="4" a="1"/>
  <c r="BB850" i="4" s="1"/>
  <c r="Q32" i="5" s="1" a="1"/>
  <c r="Q32" i="5" s="1"/>
  <c r="BA850" i="4" a="1"/>
  <c r="BA850" i="4" s="1"/>
  <c r="P32" i="5" s="1" a="1"/>
  <c r="P32" i="5" s="1"/>
  <c r="AZ850" i="4" a="1"/>
  <c r="AZ850" i="4" s="1"/>
  <c r="O32" i="5" s="1" a="1"/>
  <c r="O32" i="5" s="1"/>
  <c r="AU838" i="4" a="1"/>
  <c r="AU838" i="4" s="1"/>
  <c r="J20" i="5" s="1" a="1"/>
  <c r="J20" i="5" s="1"/>
  <c r="AV838" i="4" a="1"/>
  <c r="AV838" i="4" s="1"/>
  <c r="K20" i="5" s="1" a="1"/>
  <c r="K20" i="5" s="1"/>
  <c r="AW838" i="4" a="1"/>
  <c r="AW838" i="4" s="1"/>
  <c r="L20" i="5" s="1" a="1"/>
  <c r="L20" i="5" s="1"/>
  <c r="AY838" i="4" a="1"/>
  <c r="AY838" i="4" s="1"/>
  <c r="N20" i="5" s="1" a="1"/>
  <c r="N20" i="5" s="1"/>
  <c r="BC838" i="4" a="1"/>
  <c r="BC838" i="4" s="1"/>
  <c r="R20" i="5" s="1" a="1"/>
  <c r="R20" i="5" s="1"/>
  <c r="BA838" i="4" a="1"/>
  <c r="BA838" i="4" s="1"/>
  <c r="P20" i="5" s="1" a="1"/>
  <c r="P20" i="5" s="1"/>
  <c r="BB838" i="4" a="1"/>
  <c r="BB838" i="4" s="1"/>
  <c r="Q20" i="5" s="1" a="1"/>
  <c r="Q20" i="5" s="1"/>
  <c r="AX838" i="4" a="1"/>
  <c r="AX838" i="4" s="1"/>
  <c r="M20" i="5" s="1" a="1"/>
  <c r="M20" i="5" s="1"/>
  <c r="AZ838" i="4" a="1"/>
  <c r="AZ838" i="4" s="1"/>
  <c r="O20" i="5" s="1" a="1"/>
  <c r="O20" i="5" s="1"/>
  <c r="AZ1029" i="4" a="1"/>
  <c r="AZ1029" i="4" s="1"/>
  <c r="O211" i="5" s="1" a="1"/>
  <c r="O211" i="5" s="1"/>
  <c r="AW1029" i="4" a="1"/>
  <c r="AW1029" i="4" s="1"/>
  <c r="L211" i="5" s="1" a="1"/>
  <c r="L211" i="5" s="1"/>
  <c r="AX1029" i="4" a="1"/>
  <c r="AX1029" i="4" s="1"/>
  <c r="M211" i="5" s="1" a="1"/>
  <c r="M211" i="5" s="1"/>
  <c r="AY1029" i="4" a="1"/>
  <c r="AY1029" i="4" s="1"/>
  <c r="N211" i="5" s="1" a="1"/>
  <c r="N211" i="5" s="1"/>
  <c r="AU1029" i="4" a="1"/>
  <c r="AU1029" i="4" s="1"/>
  <c r="J211" i="5" s="1" a="1"/>
  <c r="J211" i="5" s="1"/>
  <c r="AV1029" i="4" a="1"/>
  <c r="AV1029" i="4" s="1"/>
  <c r="K211" i="5" s="1" a="1"/>
  <c r="K211" i="5" s="1"/>
  <c r="BB1029" i="4" a="1"/>
  <c r="BB1029" i="4" s="1"/>
  <c r="Q211" i="5" s="1" a="1"/>
  <c r="Q211" i="5" s="1"/>
  <c r="BA1029" i="4" a="1"/>
  <c r="BA1029" i="4" s="1"/>
  <c r="P211" i="5" s="1" a="1"/>
  <c r="P211" i="5" s="1"/>
  <c r="BC1029" i="4" a="1"/>
  <c r="BC1029" i="4" s="1"/>
  <c r="R211" i="5" s="1" a="1"/>
  <c r="R211" i="5" s="1"/>
  <c r="AU1017" i="4" a="1"/>
  <c r="AU1017" i="4" s="1"/>
  <c r="J199" i="5" s="1" a="1"/>
  <c r="J199" i="5" s="1"/>
  <c r="AV1017" i="4" a="1"/>
  <c r="AV1017" i="4" s="1"/>
  <c r="K199" i="5" s="1" a="1"/>
  <c r="K199" i="5" s="1"/>
  <c r="BA1017" i="4" a="1"/>
  <c r="BA1017" i="4" s="1"/>
  <c r="P199" i="5" s="1" a="1"/>
  <c r="P199" i="5" s="1"/>
  <c r="BC1017" i="4" a="1"/>
  <c r="BC1017" i="4" s="1"/>
  <c r="R199" i="5" s="1" a="1"/>
  <c r="R199" i="5" s="1"/>
  <c r="AZ1017" i="4" a="1"/>
  <c r="AZ1017" i="4" s="1"/>
  <c r="O199" i="5" s="1" a="1"/>
  <c r="O199" i="5" s="1"/>
  <c r="BB1017" i="4" a="1"/>
  <c r="BB1017" i="4" s="1"/>
  <c r="Q199" i="5" s="1" a="1"/>
  <c r="Q199" i="5" s="1"/>
  <c r="AW1017" i="4" a="1"/>
  <c r="AW1017" i="4" s="1"/>
  <c r="L199" i="5" s="1" a="1"/>
  <c r="L199" i="5" s="1"/>
  <c r="AY1017" i="4" a="1"/>
  <c r="AY1017" i="4" s="1"/>
  <c r="N199" i="5" s="1" a="1"/>
  <c r="N199" i="5" s="1"/>
  <c r="AX1017" i="4" a="1"/>
  <c r="AX1017" i="4" s="1"/>
  <c r="M199" i="5" s="1" a="1"/>
  <c r="M199" i="5" s="1"/>
  <c r="AV1005" i="4" a="1"/>
  <c r="AV1005" i="4" s="1"/>
  <c r="K187" i="5" s="1" a="1"/>
  <c r="K187" i="5" s="1"/>
  <c r="AU1005" i="4" a="1"/>
  <c r="AU1005" i="4" s="1"/>
  <c r="J187" i="5" s="1" a="1"/>
  <c r="J187" i="5" s="1"/>
  <c r="BB1005" i="4" a="1"/>
  <c r="BB1005" i="4" s="1"/>
  <c r="Q187" i="5" s="1" a="1"/>
  <c r="Q187" i="5" s="1"/>
  <c r="BA1005" i="4" a="1"/>
  <c r="BA1005" i="4" s="1"/>
  <c r="P187" i="5" s="1" a="1"/>
  <c r="P187" i="5" s="1"/>
  <c r="AX1005" i="4" a="1"/>
  <c r="AX1005" i="4" s="1"/>
  <c r="M187" i="5" s="1" a="1"/>
  <c r="M187" i="5" s="1"/>
  <c r="BC1005" i="4" a="1"/>
  <c r="BC1005" i="4" s="1"/>
  <c r="R187" i="5" s="1" a="1"/>
  <c r="R187" i="5" s="1"/>
  <c r="AW1005" i="4" a="1"/>
  <c r="AW1005" i="4" s="1"/>
  <c r="L187" i="5" s="1" a="1"/>
  <c r="L187" i="5" s="1"/>
  <c r="AY1005" i="4" a="1"/>
  <c r="AY1005" i="4" s="1"/>
  <c r="N187" i="5" s="1" a="1"/>
  <c r="N187" i="5" s="1"/>
  <c r="AZ1005" i="4" a="1"/>
  <c r="AZ1005" i="4" s="1"/>
  <c r="O187" i="5" s="1" a="1"/>
  <c r="O187" i="5" s="1"/>
  <c r="AW993" i="4" a="1"/>
  <c r="AW993" i="4" s="1"/>
  <c r="L175" i="5" s="1" a="1"/>
  <c r="L175" i="5" s="1"/>
  <c r="AX993" i="4" a="1"/>
  <c r="AX993" i="4" s="1"/>
  <c r="M175" i="5" s="1" a="1"/>
  <c r="M175" i="5" s="1"/>
  <c r="AV993" i="4" a="1"/>
  <c r="AV993" i="4" s="1"/>
  <c r="K175" i="5" s="1" a="1"/>
  <c r="K175" i="5" s="1"/>
  <c r="BB993" i="4" a="1"/>
  <c r="BB993" i="4" s="1"/>
  <c r="Q175" i="5" s="1" a="1"/>
  <c r="Q175" i="5" s="1"/>
  <c r="AU993" i="4" a="1"/>
  <c r="AU993" i="4" s="1"/>
  <c r="J175" i="5" s="1" a="1"/>
  <c r="J175" i="5" s="1"/>
  <c r="AZ993" i="4" a="1"/>
  <c r="AZ993" i="4" s="1"/>
  <c r="O175" i="5" s="1" a="1"/>
  <c r="O175" i="5" s="1"/>
  <c r="BA993" i="4" a="1"/>
  <c r="BA993" i="4" s="1"/>
  <c r="P175" i="5" s="1" a="1"/>
  <c r="P175" i="5" s="1"/>
  <c r="BC993" i="4" a="1"/>
  <c r="BC993" i="4" s="1"/>
  <c r="R175" i="5" s="1" a="1"/>
  <c r="R175" i="5" s="1"/>
  <c r="AY993" i="4" a="1"/>
  <c r="AY993" i="4" s="1"/>
  <c r="N175" i="5" s="1" a="1"/>
  <c r="N175" i="5" s="1"/>
  <c r="BA981" i="4" a="1"/>
  <c r="BA981" i="4" s="1"/>
  <c r="P163" i="5" s="1" a="1"/>
  <c r="P163" i="5" s="1"/>
  <c r="BB981" i="4" a="1"/>
  <c r="BB981" i="4" s="1"/>
  <c r="Q163" i="5" s="1" a="1"/>
  <c r="Q163" i="5" s="1"/>
  <c r="AZ981" i="4" a="1"/>
  <c r="AZ981" i="4" s="1"/>
  <c r="O163" i="5" s="1" a="1"/>
  <c r="O163" i="5" s="1"/>
  <c r="AU981" i="4" a="1"/>
  <c r="AU981" i="4" s="1"/>
  <c r="J163" i="5" s="1" a="1"/>
  <c r="J163" i="5" s="1"/>
  <c r="AV981" i="4" a="1"/>
  <c r="AV981" i="4" s="1"/>
  <c r="K163" i="5" s="1" a="1"/>
  <c r="K163" i="5" s="1"/>
  <c r="AW981" i="4" a="1"/>
  <c r="AW981" i="4" s="1"/>
  <c r="L163" i="5" s="1" a="1"/>
  <c r="L163" i="5" s="1"/>
  <c r="BC981" i="4" a="1"/>
  <c r="BC981" i="4" s="1"/>
  <c r="R163" i="5" s="1" a="1"/>
  <c r="R163" i="5" s="1"/>
  <c r="AY981" i="4" a="1"/>
  <c r="AY981" i="4" s="1"/>
  <c r="N163" i="5" s="1" a="1"/>
  <c r="N163" i="5" s="1"/>
  <c r="AX981" i="4" a="1"/>
  <c r="AX981" i="4" s="1"/>
  <c r="M163" i="5" s="1" a="1"/>
  <c r="M163" i="5" s="1"/>
  <c r="AU969" i="4" a="1"/>
  <c r="AU969" i="4" s="1"/>
  <c r="J151" i="5" s="1" a="1"/>
  <c r="J151" i="5" s="1"/>
  <c r="AV969" i="4" a="1"/>
  <c r="AV969" i="4" s="1"/>
  <c r="K151" i="5" s="1" a="1"/>
  <c r="K151" i="5" s="1"/>
  <c r="AW969" i="4" a="1"/>
  <c r="AW969" i="4" s="1"/>
  <c r="L151" i="5" s="1" a="1"/>
  <c r="L151" i="5" s="1"/>
  <c r="AX969" i="4" a="1"/>
  <c r="AX969" i="4" s="1"/>
  <c r="M151" i="5" s="1" a="1"/>
  <c r="M151" i="5" s="1"/>
  <c r="AY969" i="4" a="1"/>
  <c r="AY969" i="4" s="1"/>
  <c r="N151" i="5" s="1" a="1"/>
  <c r="N151" i="5" s="1"/>
  <c r="BB969" i="4" a="1"/>
  <c r="BB969" i="4" s="1"/>
  <c r="Q151" i="5" s="1" a="1"/>
  <c r="Q151" i="5" s="1"/>
  <c r="AZ969" i="4" a="1"/>
  <c r="AZ969" i="4" s="1"/>
  <c r="O151" i="5" s="1" a="1"/>
  <c r="O151" i="5" s="1"/>
  <c r="BC969" i="4" a="1"/>
  <c r="BC969" i="4" s="1"/>
  <c r="R151" i="5" s="1" a="1"/>
  <c r="R151" i="5" s="1"/>
  <c r="BA969" i="4" a="1"/>
  <c r="BA969" i="4" s="1"/>
  <c r="P151" i="5" s="1" a="1"/>
  <c r="P151" i="5" s="1"/>
  <c r="AY957" i="4" a="1"/>
  <c r="AY957" i="4" s="1"/>
  <c r="N139" i="5" s="1" a="1"/>
  <c r="N139" i="5" s="1"/>
  <c r="AZ957" i="4" a="1"/>
  <c r="AZ957" i="4" s="1"/>
  <c r="O139" i="5" s="1" a="1"/>
  <c r="O139" i="5" s="1"/>
  <c r="AU957" i="4" a="1"/>
  <c r="AU957" i="4" s="1"/>
  <c r="J139" i="5" s="1" a="1"/>
  <c r="J139" i="5" s="1"/>
  <c r="AV957" i="4" a="1"/>
  <c r="AV957" i="4" s="1"/>
  <c r="K139" i="5" s="1" a="1"/>
  <c r="K139" i="5" s="1"/>
  <c r="BA957" i="4" a="1"/>
  <c r="BA957" i="4" s="1"/>
  <c r="P139" i="5" s="1" a="1"/>
  <c r="P139" i="5" s="1"/>
  <c r="AX957" i="4" a="1"/>
  <c r="AX957" i="4" s="1"/>
  <c r="M139" i="5" s="1" a="1"/>
  <c r="M139" i="5" s="1"/>
  <c r="AW957" i="4" a="1"/>
  <c r="AW957" i="4" s="1"/>
  <c r="L139" i="5" s="1" a="1"/>
  <c r="L139" i="5" s="1"/>
  <c r="BB957" i="4" a="1"/>
  <c r="BB957" i="4" s="1"/>
  <c r="Q139" i="5" s="1" a="1"/>
  <c r="Q139" i="5" s="1"/>
  <c r="BC957" i="4" a="1"/>
  <c r="BC957" i="4" s="1"/>
  <c r="R139" i="5" s="1" a="1"/>
  <c r="R139" i="5" s="1"/>
  <c r="AZ945" i="4" a="1"/>
  <c r="AZ945" i="4" s="1"/>
  <c r="O127" i="5" s="1" a="1"/>
  <c r="O127" i="5" s="1"/>
  <c r="BB945" i="4" a="1"/>
  <c r="BB945" i="4" s="1"/>
  <c r="Q127" i="5" s="1" a="1"/>
  <c r="Q127" i="5" s="1"/>
  <c r="AU945" i="4" a="1"/>
  <c r="AU945" i="4" s="1"/>
  <c r="J127" i="5" s="1" a="1"/>
  <c r="J127" i="5" s="1"/>
  <c r="AV945" i="4" a="1"/>
  <c r="AV945" i="4" s="1"/>
  <c r="K127" i="5" s="1" a="1"/>
  <c r="K127" i="5" s="1"/>
  <c r="AY945" i="4" a="1"/>
  <c r="AY945" i="4" s="1"/>
  <c r="N127" i="5" s="1" a="1"/>
  <c r="N127" i="5" s="1"/>
  <c r="BA945" i="4" a="1"/>
  <c r="BA945" i="4" s="1"/>
  <c r="P127" i="5" s="1" a="1"/>
  <c r="P127" i="5" s="1"/>
  <c r="AX945" i="4" a="1"/>
  <c r="AX945" i="4" s="1"/>
  <c r="M127" i="5" s="1" a="1"/>
  <c r="M127" i="5" s="1"/>
  <c r="AW945" i="4" a="1"/>
  <c r="AW945" i="4" s="1"/>
  <c r="L127" i="5" s="1" a="1"/>
  <c r="L127" i="5" s="1"/>
  <c r="BC945" i="4" a="1"/>
  <c r="BC945" i="4" s="1"/>
  <c r="R127" i="5" s="1" a="1"/>
  <c r="R127" i="5" s="1"/>
  <c r="AU933" i="4" a="1"/>
  <c r="AU933" i="4" s="1"/>
  <c r="J115" i="5" s="1" a="1"/>
  <c r="J115" i="5" s="1"/>
  <c r="AW933" i="4" a="1"/>
  <c r="AW933" i="4" s="1"/>
  <c r="L115" i="5" s="1" a="1"/>
  <c r="L115" i="5" s="1"/>
  <c r="AX933" i="4" a="1"/>
  <c r="AX933" i="4" s="1"/>
  <c r="M115" i="5" s="1" a="1"/>
  <c r="M115" i="5" s="1"/>
  <c r="AV933" i="4" a="1"/>
  <c r="AV933" i="4" s="1"/>
  <c r="K115" i="5" s="1" a="1"/>
  <c r="K115" i="5" s="1"/>
  <c r="BB933" i="4" a="1"/>
  <c r="BB933" i="4" s="1"/>
  <c r="Q115" i="5" s="1" a="1"/>
  <c r="Q115" i="5" s="1"/>
  <c r="BA933" i="4" a="1"/>
  <c r="BA933" i="4" s="1"/>
  <c r="P115" i="5" s="1" a="1"/>
  <c r="P115" i="5" s="1"/>
  <c r="BC933" i="4" a="1"/>
  <c r="BC933" i="4" s="1"/>
  <c r="R115" i="5" s="1" a="1"/>
  <c r="R115" i="5" s="1"/>
  <c r="AZ933" i="4" a="1"/>
  <c r="AZ933" i="4" s="1"/>
  <c r="O115" i="5" s="1" a="1"/>
  <c r="O115" i="5" s="1"/>
  <c r="AY933" i="4" a="1"/>
  <c r="AY933" i="4" s="1"/>
  <c r="N115" i="5" s="1" a="1"/>
  <c r="N115" i="5" s="1"/>
  <c r="AU921" i="4" a="1"/>
  <c r="AU921" i="4" s="1"/>
  <c r="J103" i="5" s="1" a="1"/>
  <c r="J103" i="5" s="1"/>
  <c r="AV921" i="4" a="1"/>
  <c r="AV921" i="4" s="1"/>
  <c r="K103" i="5" s="1" a="1"/>
  <c r="K103" i="5" s="1"/>
  <c r="BC921" i="4" a="1"/>
  <c r="BC921" i="4" s="1"/>
  <c r="R103" i="5" s="1" a="1"/>
  <c r="R103" i="5" s="1"/>
  <c r="AX921" i="4" a="1"/>
  <c r="AX921" i="4" s="1"/>
  <c r="M103" i="5" s="1" a="1"/>
  <c r="M103" i="5" s="1"/>
  <c r="AY921" i="4" a="1"/>
  <c r="AY921" i="4" s="1"/>
  <c r="N103" i="5" s="1" a="1"/>
  <c r="N103" i="5" s="1"/>
  <c r="BA921" i="4" a="1"/>
  <c r="BA921" i="4" s="1"/>
  <c r="P103" i="5" s="1" a="1"/>
  <c r="P103" i="5" s="1"/>
  <c r="AZ921" i="4" a="1"/>
  <c r="AZ921" i="4" s="1"/>
  <c r="O103" i="5" s="1" a="1"/>
  <c r="O103" i="5" s="1"/>
  <c r="BB921" i="4" a="1"/>
  <c r="BB921" i="4" s="1"/>
  <c r="Q103" i="5" s="1" a="1"/>
  <c r="Q103" i="5" s="1"/>
  <c r="AW921" i="4" a="1"/>
  <c r="AW921" i="4" s="1"/>
  <c r="L103" i="5" s="1" a="1"/>
  <c r="L103" i="5" s="1"/>
  <c r="AV909" i="4" a="1"/>
  <c r="AV909" i="4" s="1"/>
  <c r="K91" i="5" s="1" a="1"/>
  <c r="K91" i="5" s="1"/>
  <c r="AW909" i="4" a="1"/>
  <c r="AW909" i="4" s="1"/>
  <c r="L91" i="5" s="1" a="1"/>
  <c r="L91" i="5" s="1"/>
  <c r="AU909" i="4" a="1"/>
  <c r="AU909" i="4" s="1"/>
  <c r="J91" i="5" s="1" a="1"/>
  <c r="J91" i="5" s="1"/>
  <c r="AY909" i="4" a="1"/>
  <c r="AY909" i="4" s="1"/>
  <c r="N91" i="5" s="1" a="1"/>
  <c r="N91" i="5" s="1"/>
  <c r="AX909" i="4" a="1"/>
  <c r="AX909" i="4" s="1"/>
  <c r="M91" i="5" s="1" a="1"/>
  <c r="M91" i="5" s="1"/>
  <c r="BA909" i="4" a="1"/>
  <c r="BA909" i="4" s="1"/>
  <c r="P91" i="5" s="1" a="1"/>
  <c r="P91" i="5" s="1"/>
  <c r="AZ909" i="4" a="1"/>
  <c r="AZ909" i="4" s="1"/>
  <c r="O91" i="5" s="1" a="1"/>
  <c r="O91" i="5" s="1"/>
  <c r="BC909" i="4" a="1"/>
  <c r="BC909" i="4" s="1"/>
  <c r="R91" i="5" s="1" a="1"/>
  <c r="R91" i="5" s="1"/>
  <c r="BB909" i="4" a="1"/>
  <c r="BB909" i="4" s="1"/>
  <c r="Q91" i="5" s="1" a="1"/>
  <c r="Q91" i="5" s="1"/>
  <c r="AX897" i="4" a="1"/>
  <c r="AX897" i="4" s="1"/>
  <c r="M79" i="5" s="1" a="1"/>
  <c r="M79" i="5" s="1"/>
  <c r="AY897" i="4" a="1"/>
  <c r="AY897" i="4" s="1"/>
  <c r="N79" i="5" s="1" a="1"/>
  <c r="N79" i="5" s="1"/>
  <c r="AZ897" i="4" a="1"/>
  <c r="AZ897" i="4" s="1"/>
  <c r="O79" i="5" s="1" a="1"/>
  <c r="O79" i="5" s="1"/>
  <c r="BA897" i="4" a="1"/>
  <c r="BA897" i="4" s="1"/>
  <c r="P79" i="5" s="1" a="1"/>
  <c r="P79" i="5" s="1"/>
  <c r="AW897" i="4" a="1"/>
  <c r="AW897" i="4" s="1"/>
  <c r="L79" i="5" s="1" a="1"/>
  <c r="L79" i="5" s="1"/>
  <c r="AU897" i="4" a="1"/>
  <c r="AU897" i="4" s="1"/>
  <c r="J79" i="5" s="1" a="1"/>
  <c r="J79" i="5" s="1"/>
  <c r="AV897" i="4" a="1"/>
  <c r="AV897" i="4" s="1"/>
  <c r="K79" i="5" s="1" a="1"/>
  <c r="K79" i="5" s="1"/>
  <c r="BC897" i="4" a="1"/>
  <c r="BC897" i="4" s="1"/>
  <c r="R79" i="5" s="1" a="1"/>
  <c r="R79" i="5" s="1"/>
  <c r="BB897" i="4" a="1"/>
  <c r="BB897" i="4" s="1"/>
  <c r="Q79" i="5" s="1" a="1"/>
  <c r="Q79" i="5" s="1"/>
  <c r="AU885" i="4" a="1"/>
  <c r="AU885" i="4" s="1"/>
  <c r="J67" i="5" s="1" a="1"/>
  <c r="J67" i="5" s="1"/>
  <c r="AV885" i="4" a="1"/>
  <c r="AV885" i="4" s="1"/>
  <c r="K67" i="5" s="1" a="1"/>
  <c r="K67" i="5" s="1"/>
  <c r="AX885" i="4" a="1"/>
  <c r="AX885" i="4" s="1"/>
  <c r="M67" i="5" s="1" a="1"/>
  <c r="M67" i="5" s="1"/>
  <c r="AY885" i="4" a="1"/>
  <c r="AY885" i="4" s="1"/>
  <c r="N67" i="5" s="1" a="1"/>
  <c r="N67" i="5" s="1"/>
  <c r="AZ885" i="4" a="1"/>
  <c r="AZ885" i="4" s="1"/>
  <c r="O67" i="5" s="1" a="1"/>
  <c r="O67" i="5" s="1"/>
  <c r="AW885" i="4" a="1"/>
  <c r="AW885" i="4" s="1"/>
  <c r="L67" i="5" s="1" a="1"/>
  <c r="L67" i="5" s="1"/>
  <c r="BC885" i="4" a="1"/>
  <c r="BC885" i="4" s="1"/>
  <c r="R67" i="5" s="1" a="1"/>
  <c r="R67" i="5" s="1"/>
  <c r="BB885" i="4" a="1"/>
  <c r="BB885" i="4" s="1"/>
  <c r="Q67" i="5" s="1" a="1"/>
  <c r="Q67" i="5" s="1"/>
  <c r="BA885" i="4" a="1"/>
  <c r="BA885" i="4" s="1"/>
  <c r="P67" i="5" s="1" a="1"/>
  <c r="P67" i="5" s="1"/>
  <c r="AV873" i="4" a="1"/>
  <c r="AV873" i="4" s="1"/>
  <c r="K55" i="5" s="1" a="1"/>
  <c r="K55" i="5" s="1"/>
  <c r="AU873" i="4" a="1"/>
  <c r="AU873" i="4" s="1"/>
  <c r="J55" i="5" s="1" a="1"/>
  <c r="J55" i="5" s="1"/>
  <c r="AW873" i="4" a="1"/>
  <c r="AW873" i="4" s="1"/>
  <c r="L55" i="5" s="1" a="1"/>
  <c r="L55" i="5" s="1"/>
  <c r="AX873" i="4" a="1"/>
  <c r="AX873" i="4" s="1"/>
  <c r="M55" i="5" s="1" a="1"/>
  <c r="M55" i="5" s="1"/>
  <c r="AY873" i="4" a="1"/>
  <c r="AY873" i="4" s="1"/>
  <c r="N55" i="5" s="1" a="1"/>
  <c r="N55" i="5" s="1"/>
  <c r="BA873" i="4" a="1"/>
  <c r="BA873" i="4" s="1"/>
  <c r="P55" i="5" s="1" a="1"/>
  <c r="P55" i="5" s="1"/>
  <c r="BB873" i="4" a="1"/>
  <c r="BB873" i="4" s="1"/>
  <c r="Q55" i="5" s="1" a="1"/>
  <c r="Q55" i="5" s="1"/>
  <c r="BC873" i="4" a="1"/>
  <c r="BC873" i="4" s="1"/>
  <c r="R55" i="5" s="1" a="1"/>
  <c r="R55" i="5" s="1"/>
  <c r="AZ873" i="4" a="1"/>
  <c r="AZ873" i="4" s="1"/>
  <c r="O55" i="5" s="1" a="1"/>
  <c r="O55" i="5" s="1"/>
  <c r="BB861" i="4" a="1"/>
  <c r="BB861" i="4" s="1"/>
  <c r="Q43" i="5" s="1" a="1"/>
  <c r="Q43" i="5" s="1"/>
  <c r="AU861" i="4" a="1"/>
  <c r="AU861" i="4" s="1"/>
  <c r="J43" i="5" s="1" a="1"/>
  <c r="J43" i="5" s="1"/>
  <c r="AV861" i="4" a="1"/>
  <c r="AV861" i="4" s="1"/>
  <c r="K43" i="5" s="1" a="1"/>
  <c r="K43" i="5" s="1"/>
  <c r="AZ861" i="4" a="1"/>
  <c r="AZ861" i="4" s="1"/>
  <c r="O43" i="5" s="1" a="1"/>
  <c r="O43" i="5" s="1"/>
  <c r="BC861" i="4" a="1"/>
  <c r="BC861" i="4" s="1"/>
  <c r="R43" i="5" s="1" a="1"/>
  <c r="R43" i="5" s="1"/>
  <c r="AY861" i="4" a="1"/>
  <c r="AY861" i="4" s="1"/>
  <c r="N43" i="5" s="1" a="1"/>
  <c r="N43" i="5" s="1"/>
  <c r="AW861" i="4" a="1"/>
  <c r="AW861" i="4" s="1"/>
  <c r="L43" i="5" s="1" a="1"/>
  <c r="L43" i="5" s="1"/>
  <c r="BA861" i="4" a="1"/>
  <c r="BA861" i="4" s="1"/>
  <c r="P43" i="5" s="1" a="1"/>
  <c r="P43" i="5" s="1"/>
  <c r="AX861" i="4" a="1"/>
  <c r="AX861" i="4" s="1"/>
  <c r="M43" i="5" s="1" a="1"/>
  <c r="M43" i="5" s="1"/>
  <c r="AU849" i="4" a="1"/>
  <c r="AU849" i="4" s="1"/>
  <c r="J31" i="5" s="1" a="1"/>
  <c r="J31" i="5" s="1"/>
  <c r="AW849" i="4" a="1"/>
  <c r="AW849" i="4" s="1"/>
  <c r="L31" i="5" s="1" a="1"/>
  <c r="L31" i="5" s="1"/>
  <c r="AV849" i="4" a="1"/>
  <c r="AV849" i="4" s="1"/>
  <c r="K31" i="5" s="1" a="1"/>
  <c r="K31" i="5" s="1"/>
  <c r="AX849" i="4" a="1"/>
  <c r="AX849" i="4" s="1"/>
  <c r="M31" i="5" s="1" a="1"/>
  <c r="M31" i="5" s="1"/>
  <c r="BA849" i="4" a="1"/>
  <c r="BA849" i="4" s="1"/>
  <c r="P31" i="5" s="1" a="1"/>
  <c r="P31" i="5" s="1"/>
  <c r="BC849" i="4" a="1"/>
  <c r="BC849" i="4" s="1"/>
  <c r="R31" i="5" s="1" a="1"/>
  <c r="R31" i="5" s="1"/>
  <c r="AZ849" i="4" a="1"/>
  <c r="AZ849" i="4" s="1"/>
  <c r="O31" i="5" s="1" a="1"/>
  <c r="O31" i="5" s="1"/>
  <c r="BB849" i="4" a="1"/>
  <c r="BB849" i="4" s="1"/>
  <c r="Q31" i="5" s="1" a="1"/>
  <c r="Q31" i="5" s="1"/>
  <c r="AY849" i="4" a="1"/>
  <c r="AY849" i="4" s="1"/>
  <c r="N31" i="5" s="1" a="1"/>
  <c r="N31" i="5" s="1"/>
  <c r="AU837" i="4" a="1"/>
  <c r="AU837" i="4" s="1"/>
  <c r="J19" i="5" s="1" a="1"/>
  <c r="J19" i="5" s="1"/>
  <c r="AV837" i="4" a="1"/>
  <c r="AV837" i="4" s="1"/>
  <c r="K19" i="5" s="1" a="1"/>
  <c r="K19" i="5" s="1"/>
  <c r="AY837" i="4" a="1"/>
  <c r="AY837" i="4" s="1"/>
  <c r="N19" i="5" s="1" a="1"/>
  <c r="N19" i="5" s="1"/>
  <c r="BC837" i="4" a="1"/>
  <c r="BC837" i="4" s="1"/>
  <c r="R19" i="5" s="1" a="1"/>
  <c r="R19" i="5" s="1"/>
  <c r="AZ837" i="4" a="1"/>
  <c r="AZ837" i="4" s="1"/>
  <c r="O19" i="5" s="1" a="1"/>
  <c r="O19" i="5" s="1"/>
  <c r="BA837" i="4" a="1"/>
  <c r="BA837" i="4" s="1"/>
  <c r="P19" i="5" s="1" a="1"/>
  <c r="P19" i="5" s="1"/>
  <c r="BB837" i="4" a="1"/>
  <c r="BB837" i="4" s="1"/>
  <c r="Q19" i="5" s="1" a="1"/>
  <c r="Q19" i="5" s="1"/>
  <c r="AW837" i="4" a="1"/>
  <c r="AW837" i="4" s="1"/>
  <c r="L19" i="5" s="1" a="1"/>
  <c r="L19" i="5" s="1"/>
  <c r="AX837" i="4" a="1"/>
  <c r="AX837" i="4" s="1"/>
  <c r="M19" i="5" s="1" a="1"/>
  <c r="M19" i="5" s="1"/>
  <c r="AU1028" i="4" a="1"/>
  <c r="AU1028" i="4" s="1"/>
  <c r="J210" i="5" s="1" a="1"/>
  <c r="J210" i="5" s="1"/>
  <c r="AV1028" i="4" a="1"/>
  <c r="AV1028" i="4" s="1"/>
  <c r="K210" i="5" s="1" a="1"/>
  <c r="K210" i="5" s="1"/>
  <c r="AW1028" i="4" a="1"/>
  <c r="AW1028" i="4" s="1"/>
  <c r="L210" i="5" s="1" a="1"/>
  <c r="L210" i="5" s="1"/>
  <c r="AY1028" i="4" a="1"/>
  <c r="AY1028" i="4" s="1"/>
  <c r="N210" i="5" s="1" a="1"/>
  <c r="N210" i="5" s="1"/>
  <c r="BA1028" i="4" a="1"/>
  <c r="BA1028" i="4" s="1"/>
  <c r="P210" i="5" s="1" a="1"/>
  <c r="P210" i="5" s="1"/>
  <c r="BB1028" i="4" a="1"/>
  <c r="BB1028" i="4" s="1"/>
  <c r="Q210" i="5" s="1" a="1"/>
  <c r="Q210" i="5" s="1"/>
  <c r="AX1028" i="4" a="1"/>
  <c r="AX1028" i="4" s="1"/>
  <c r="M210" i="5" s="1" a="1"/>
  <c r="M210" i="5" s="1"/>
  <c r="BC1028" i="4" a="1"/>
  <c r="BC1028" i="4" s="1"/>
  <c r="R210" i="5" s="1" a="1"/>
  <c r="R210" i="5" s="1"/>
  <c r="AZ1028" i="4" a="1"/>
  <c r="AZ1028" i="4" s="1"/>
  <c r="O210" i="5" s="1" a="1"/>
  <c r="O210" i="5" s="1"/>
  <c r="AX1016" i="4" a="1"/>
  <c r="AX1016" i="4" s="1"/>
  <c r="M198" i="5" s="1" a="1"/>
  <c r="M198" i="5" s="1"/>
  <c r="AY1016" i="4" a="1"/>
  <c r="AY1016" i="4" s="1"/>
  <c r="N198" i="5" s="1" a="1"/>
  <c r="N198" i="5" s="1"/>
  <c r="AU1016" i="4" a="1"/>
  <c r="AU1016" i="4" s="1"/>
  <c r="J198" i="5" s="1" a="1"/>
  <c r="J198" i="5" s="1"/>
  <c r="AV1016" i="4" a="1"/>
  <c r="AV1016" i="4" s="1"/>
  <c r="K198" i="5" s="1" a="1"/>
  <c r="K198" i="5" s="1"/>
  <c r="AZ1016" i="4" a="1"/>
  <c r="AZ1016" i="4" s="1"/>
  <c r="O198" i="5" s="1" a="1"/>
  <c r="O198" i="5" s="1"/>
  <c r="BC1016" i="4" a="1"/>
  <c r="BC1016" i="4" s="1"/>
  <c r="R198" i="5" s="1" a="1"/>
  <c r="R198" i="5" s="1"/>
  <c r="BB1016" i="4" a="1"/>
  <c r="BB1016" i="4" s="1"/>
  <c r="Q198" i="5" s="1" a="1"/>
  <c r="Q198" i="5" s="1"/>
  <c r="AW1016" i="4" a="1"/>
  <c r="AW1016" i="4" s="1"/>
  <c r="L198" i="5" s="1" a="1"/>
  <c r="L198" i="5" s="1"/>
  <c r="BA1016" i="4" a="1"/>
  <c r="BA1016" i="4" s="1"/>
  <c r="P198" i="5" s="1" a="1"/>
  <c r="P198" i="5" s="1"/>
  <c r="AV1004" i="4" a="1"/>
  <c r="AV1004" i="4" s="1"/>
  <c r="K186" i="5" s="1" a="1"/>
  <c r="K186" i="5" s="1"/>
  <c r="AX1004" i="4" a="1"/>
  <c r="AX1004" i="4" s="1"/>
  <c r="M186" i="5" s="1" a="1"/>
  <c r="M186" i="5" s="1"/>
  <c r="AU1004" i="4" a="1"/>
  <c r="AU1004" i="4" s="1"/>
  <c r="J186" i="5" s="1" a="1"/>
  <c r="J186" i="5" s="1"/>
  <c r="BA1004" i="4" a="1"/>
  <c r="BA1004" i="4" s="1"/>
  <c r="P186" i="5" s="1" a="1"/>
  <c r="P186" i="5" s="1"/>
  <c r="BB1004" i="4" a="1"/>
  <c r="BB1004" i="4" s="1"/>
  <c r="Q186" i="5" s="1" a="1"/>
  <c r="Q186" i="5" s="1"/>
  <c r="BC1004" i="4" a="1"/>
  <c r="BC1004" i="4" s="1"/>
  <c r="R186" i="5" s="1" a="1"/>
  <c r="R186" i="5" s="1"/>
  <c r="AY1004" i="4" a="1"/>
  <c r="AY1004" i="4" s="1"/>
  <c r="N186" i="5" s="1" a="1"/>
  <c r="N186" i="5" s="1"/>
  <c r="AW1004" i="4" a="1"/>
  <c r="AW1004" i="4" s="1"/>
  <c r="L186" i="5" s="1" a="1"/>
  <c r="L186" i="5" s="1"/>
  <c r="AZ1004" i="4" a="1"/>
  <c r="AZ1004" i="4" s="1"/>
  <c r="O186" i="5" s="1" a="1"/>
  <c r="O186" i="5" s="1"/>
  <c r="AU992" i="4" a="1"/>
  <c r="AU992" i="4" s="1"/>
  <c r="J174" i="5" s="1" a="1"/>
  <c r="J174" i="5" s="1"/>
  <c r="AV992" i="4" a="1"/>
  <c r="AV992" i="4" s="1"/>
  <c r="K174" i="5" s="1" a="1"/>
  <c r="K174" i="5" s="1"/>
  <c r="AW992" i="4" a="1"/>
  <c r="AW992" i="4" s="1"/>
  <c r="L174" i="5" s="1" a="1"/>
  <c r="L174" i="5" s="1"/>
  <c r="AX992" i="4" a="1"/>
  <c r="AX992" i="4" s="1"/>
  <c r="M174" i="5" s="1" a="1"/>
  <c r="M174" i="5" s="1"/>
  <c r="AY992" i="4" a="1"/>
  <c r="AY992" i="4" s="1"/>
  <c r="N174" i="5" s="1" a="1"/>
  <c r="N174" i="5" s="1"/>
  <c r="BC992" i="4" a="1"/>
  <c r="BC992" i="4" s="1"/>
  <c r="R174" i="5" s="1" a="1"/>
  <c r="R174" i="5" s="1"/>
  <c r="AZ992" i="4" a="1"/>
  <c r="AZ992" i="4" s="1"/>
  <c r="O174" i="5" s="1" a="1"/>
  <c r="O174" i="5" s="1"/>
  <c r="BB992" i="4" a="1"/>
  <c r="BB992" i="4" s="1"/>
  <c r="Q174" i="5" s="1" a="1"/>
  <c r="Q174" i="5" s="1"/>
  <c r="BA992" i="4" a="1"/>
  <c r="BA992" i="4" s="1"/>
  <c r="P174" i="5" s="1" a="1"/>
  <c r="P174" i="5" s="1"/>
  <c r="AU980" i="4" a="1"/>
  <c r="AU980" i="4" s="1"/>
  <c r="J162" i="5" s="1" a="1"/>
  <c r="J162" i="5" s="1"/>
  <c r="AV980" i="4" a="1"/>
  <c r="AV980" i="4" s="1"/>
  <c r="K162" i="5" s="1" a="1"/>
  <c r="K162" i="5" s="1"/>
  <c r="AW980" i="4" a="1"/>
  <c r="AW980" i="4" s="1"/>
  <c r="L162" i="5" s="1" a="1"/>
  <c r="L162" i="5" s="1"/>
  <c r="AX980" i="4" a="1"/>
  <c r="AX980" i="4" s="1"/>
  <c r="M162" i="5" s="1" a="1"/>
  <c r="M162" i="5" s="1"/>
  <c r="AZ980" i="4" a="1"/>
  <c r="AZ980" i="4" s="1"/>
  <c r="O162" i="5" s="1" a="1"/>
  <c r="O162" i="5" s="1"/>
  <c r="AY980" i="4" a="1"/>
  <c r="AY980" i="4" s="1"/>
  <c r="N162" i="5" s="1" a="1"/>
  <c r="N162" i="5" s="1"/>
  <c r="BB980" i="4" a="1"/>
  <c r="BB980" i="4" s="1"/>
  <c r="Q162" i="5" s="1" a="1"/>
  <c r="Q162" i="5" s="1"/>
  <c r="BC980" i="4" a="1"/>
  <c r="BC980" i="4" s="1"/>
  <c r="R162" i="5" s="1" a="1"/>
  <c r="R162" i="5" s="1"/>
  <c r="BA980" i="4" a="1"/>
  <c r="BA980" i="4" s="1"/>
  <c r="P162" i="5" s="1" a="1"/>
  <c r="P162" i="5" s="1"/>
  <c r="AU968" i="4" a="1"/>
  <c r="AU968" i="4" s="1"/>
  <c r="J150" i="5" s="1" a="1"/>
  <c r="J150" i="5" s="1"/>
  <c r="AV968" i="4" a="1"/>
  <c r="AV968" i="4" s="1"/>
  <c r="K150" i="5" s="1" a="1"/>
  <c r="K150" i="5" s="1"/>
  <c r="AW968" i="4" a="1"/>
  <c r="AW968" i="4" s="1"/>
  <c r="L150" i="5" s="1" a="1"/>
  <c r="L150" i="5" s="1"/>
  <c r="AX968" i="4" a="1"/>
  <c r="AX968" i="4" s="1"/>
  <c r="M150" i="5" s="1" a="1"/>
  <c r="M150" i="5" s="1"/>
  <c r="AY968" i="4" a="1"/>
  <c r="AY968" i="4" s="1"/>
  <c r="N150" i="5" s="1" a="1"/>
  <c r="N150" i="5" s="1"/>
  <c r="BC968" i="4" a="1"/>
  <c r="BC968" i="4" s="1"/>
  <c r="R150" i="5" s="1" a="1"/>
  <c r="R150" i="5" s="1"/>
  <c r="AZ968" i="4" a="1"/>
  <c r="AZ968" i="4" s="1"/>
  <c r="O150" i="5" s="1" a="1"/>
  <c r="O150" i="5" s="1"/>
  <c r="BB968" i="4" a="1"/>
  <c r="BB968" i="4" s="1"/>
  <c r="Q150" i="5" s="1" a="1"/>
  <c r="Q150" i="5" s="1"/>
  <c r="BA968" i="4" a="1"/>
  <c r="BA968" i="4" s="1"/>
  <c r="P150" i="5" s="1" a="1"/>
  <c r="P150" i="5" s="1"/>
  <c r="AV956" i="4" a="1"/>
  <c r="AV956" i="4" s="1"/>
  <c r="K138" i="5" s="1" a="1"/>
  <c r="K138" i="5" s="1"/>
  <c r="AY956" i="4" a="1"/>
  <c r="AY956" i="4" s="1"/>
  <c r="N138" i="5" s="1" a="1"/>
  <c r="N138" i="5" s="1"/>
  <c r="AU956" i="4" a="1"/>
  <c r="AU956" i="4" s="1"/>
  <c r="J138" i="5" s="1" a="1"/>
  <c r="J138" i="5" s="1"/>
  <c r="AW956" i="4" a="1"/>
  <c r="AW956" i="4" s="1"/>
  <c r="L138" i="5" s="1" a="1"/>
  <c r="L138" i="5" s="1"/>
  <c r="BA956" i="4" a="1"/>
  <c r="BA956" i="4" s="1"/>
  <c r="P138" i="5" s="1" a="1"/>
  <c r="P138" i="5" s="1"/>
  <c r="BC956" i="4" a="1"/>
  <c r="BC956" i="4" s="1"/>
  <c r="R138" i="5" s="1" a="1"/>
  <c r="R138" i="5" s="1"/>
  <c r="BB956" i="4" a="1"/>
  <c r="BB956" i="4" s="1"/>
  <c r="Q138" i="5" s="1" a="1"/>
  <c r="Q138" i="5" s="1"/>
  <c r="AZ956" i="4" a="1"/>
  <c r="AZ956" i="4" s="1"/>
  <c r="O138" i="5" s="1" a="1"/>
  <c r="O138" i="5" s="1"/>
  <c r="AX956" i="4" a="1"/>
  <c r="AX956" i="4" s="1"/>
  <c r="M138" i="5" s="1" a="1"/>
  <c r="M138" i="5" s="1"/>
  <c r="AU944" i="4" a="1"/>
  <c r="AU944" i="4" s="1"/>
  <c r="J126" i="5" s="1" a="1"/>
  <c r="J126" i="5" s="1"/>
  <c r="AV944" i="4" a="1"/>
  <c r="AV944" i="4" s="1"/>
  <c r="K126" i="5" s="1" a="1"/>
  <c r="K126" i="5" s="1"/>
  <c r="BC944" i="4" a="1"/>
  <c r="BC944" i="4" s="1"/>
  <c r="R126" i="5" s="1" a="1"/>
  <c r="R126" i="5" s="1"/>
  <c r="AZ944" i="4" a="1"/>
  <c r="AZ944" i="4" s="1"/>
  <c r="O126" i="5" s="1" a="1"/>
  <c r="O126" i="5" s="1"/>
  <c r="BB944" i="4" a="1"/>
  <c r="BB944" i="4" s="1"/>
  <c r="Q126" i="5" s="1" a="1"/>
  <c r="Q126" i="5" s="1"/>
  <c r="AY944" i="4" a="1"/>
  <c r="AY944" i="4" s="1"/>
  <c r="N126" i="5" s="1" a="1"/>
  <c r="N126" i="5" s="1"/>
  <c r="AX944" i="4" a="1"/>
  <c r="AX944" i="4" s="1"/>
  <c r="M126" i="5" s="1" a="1"/>
  <c r="M126" i="5" s="1"/>
  <c r="AW944" i="4" a="1"/>
  <c r="AW944" i="4" s="1"/>
  <c r="L126" i="5" s="1" a="1"/>
  <c r="L126" i="5" s="1"/>
  <c r="BA944" i="4" a="1"/>
  <c r="BA944" i="4" s="1"/>
  <c r="P126" i="5" s="1" a="1"/>
  <c r="P126" i="5" s="1"/>
  <c r="AW932" i="4" a="1"/>
  <c r="AW932" i="4" s="1"/>
  <c r="L114" i="5" s="1" a="1"/>
  <c r="L114" i="5" s="1"/>
  <c r="AU932" i="4" a="1"/>
  <c r="AU932" i="4" s="1"/>
  <c r="J114" i="5" s="1" a="1"/>
  <c r="J114" i="5" s="1"/>
  <c r="AV932" i="4" a="1"/>
  <c r="AV932" i="4" s="1"/>
  <c r="K114" i="5" s="1" a="1"/>
  <c r="K114" i="5" s="1"/>
  <c r="AY932" i="4" a="1"/>
  <c r="AY932" i="4" s="1"/>
  <c r="N114" i="5" s="1" a="1"/>
  <c r="N114" i="5" s="1"/>
  <c r="AZ932" i="4" a="1"/>
  <c r="AZ932" i="4" s="1"/>
  <c r="O114" i="5" s="1" a="1"/>
  <c r="O114" i="5" s="1"/>
  <c r="AX932" i="4" a="1"/>
  <c r="AX932" i="4" s="1"/>
  <c r="M114" i="5" s="1" a="1"/>
  <c r="M114" i="5" s="1"/>
  <c r="BA932" i="4" a="1"/>
  <c r="BA932" i="4" s="1"/>
  <c r="P114" i="5" s="1" a="1"/>
  <c r="P114" i="5" s="1"/>
  <c r="BC932" i="4" a="1"/>
  <c r="BC932" i="4" s="1"/>
  <c r="R114" i="5" s="1" a="1"/>
  <c r="R114" i="5" s="1"/>
  <c r="BB932" i="4" a="1"/>
  <c r="BB932" i="4" s="1"/>
  <c r="Q114" i="5" s="1" a="1"/>
  <c r="Q114" i="5" s="1"/>
  <c r="BA920" i="4" a="1"/>
  <c r="BA920" i="4" s="1"/>
  <c r="P102" i="5" s="1" a="1"/>
  <c r="P102" i="5" s="1"/>
  <c r="AV920" i="4" a="1"/>
  <c r="AV920" i="4" s="1"/>
  <c r="K102" i="5" s="1" a="1"/>
  <c r="K102" i="5" s="1"/>
  <c r="AY920" i="4" a="1"/>
  <c r="AY920" i="4" s="1"/>
  <c r="N102" i="5" s="1" a="1"/>
  <c r="N102" i="5" s="1"/>
  <c r="AU920" i="4" a="1"/>
  <c r="AU920" i="4" s="1"/>
  <c r="J102" i="5" s="1" a="1"/>
  <c r="J102" i="5" s="1"/>
  <c r="BC920" i="4" a="1"/>
  <c r="BC920" i="4" s="1"/>
  <c r="R102" i="5" s="1" a="1"/>
  <c r="R102" i="5" s="1"/>
  <c r="AW920" i="4" a="1"/>
  <c r="AW920" i="4" s="1"/>
  <c r="L102" i="5" s="1" a="1"/>
  <c r="L102" i="5" s="1"/>
  <c r="BB920" i="4" a="1"/>
  <c r="BB920" i="4" s="1"/>
  <c r="Q102" i="5" s="1" a="1"/>
  <c r="Q102" i="5" s="1"/>
  <c r="AX920" i="4" a="1"/>
  <c r="AX920" i="4" s="1"/>
  <c r="M102" i="5" s="1" a="1"/>
  <c r="M102" i="5" s="1"/>
  <c r="AZ920" i="4" a="1"/>
  <c r="AZ920" i="4" s="1"/>
  <c r="O102" i="5" s="1" a="1"/>
  <c r="O102" i="5" s="1"/>
  <c r="AU908" i="4" a="1"/>
  <c r="AU908" i="4" s="1"/>
  <c r="J90" i="5" s="1" a="1"/>
  <c r="J90" i="5" s="1"/>
  <c r="AV908" i="4" a="1"/>
  <c r="AV908" i="4" s="1"/>
  <c r="K90" i="5" s="1" a="1"/>
  <c r="K90" i="5" s="1"/>
  <c r="AW908" i="4" a="1"/>
  <c r="AW908" i="4" s="1"/>
  <c r="L90" i="5" s="1" a="1"/>
  <c r="L90" i="5" s="1"/>
  <c r="AX908" i="4" a="1"/>
  <c r="AX908" i="4" s="1"/>
  <c r="M90" i="5" s="1" a="1"/>
  <c r="M90" i="5" s="1"/>
  <c r="BA908" i="4" a="1"/>
  <c r="BA908" i="4" s="1"/>
  <c r="P90" i="5" s="1" a="1"/>
  <c r="P90" i="5" s="1"/>
  <c r="AZ908" i="4" a="1"/>
  <c r="AZ908" i="4" s="1"/>
  <c r="O90" i="5" s="1" a="1"/>
  <c r="O90" i="5" s="1"/>
  <c r="BC908" i="4" a="1"/>
  <c r="BC908" i="4" s="1"/>
  <c r="R90" i="5" s="1" a="1"/>
  <c r="R90" i="5" s="1"/>
  <c r="BB908" i="4" a="1"/>
  <c r="BB908" i="4" s="1"/>
  <c r="Q90" i="5" s="1" a="1"/>
  <c r="Q90" i="5" s="1"/>
  <c r="AY908" i="4" a="1"/>
  <c r="AY908" i="4" s="1"/>
  <c r="N90" i="5" s="1" a="1"/>
  <c r="N90" i="5" s="1"/>
  <c r="AV896" i="4" a="1"/>
  <c r="AV896" i="4" s="1"/>
  <c r="K78" i="5" s="1" a="1"/>
  <c r="K78" i="5" s="1"/>
  <c r="AW896" i="4" a="1"/>
  <c r="AW896" i="4" s="1"/>
  <c r="L78" i="5" s="1" a="1"/>
  <c r="L78" i="5" s="1"/>
  <c r="AU896" i="4" a="1"/>
  <c r="AU896" i="4" s="1"/>
  <c r="J78" i="5" s="1" a="1"/>
  <c r="J78" i="5" s="1"/>
  <c r="AX896" i="4" a="1"/>
  <c r="AX896" i="4" s="1"/>
  <c r="M78" i="5" s="1" a="1"/>
  <c r="M78" i="5" s="1"/>
  <c r="BC896" i="4" a="1"/>
  <c r="BC896" i="4" s="1"/>
  <c r="R78" i="5" s="1" a="1"/>
  <c r="R78" i="5" s="1"/>
  <c r="BB896" i="4" a="1"/>
  <c r="BB896" i="4" s="1"/>
  <c r="Q78" i="5" s="1" a="1"/>
  <c r="Q78" i="5" s="1"/>
  <c r="BA896" i="4" a="1"/>
  <c r="BA896" i="4" s="1"/>
  <c r="P78" i="5" s="1" a="1"/>
  <c r="P78" i="5" s="1"/>
  <c r="AY896" i="4" a="1"/>
  <c r="AY896" i="4" s="1"/>
  <c r="N78" i="5" s="1" a="1"/>
  <c r="N78" i="5" s="1"/>
  <c r="AZ896" i="4" a="1"/>
  <c r="AZ896" i="4" s="1"/>
  <c r="O78" i="5" s="1" a="1"/>
  <c r="O78" i="5" s="1"/>
  <c r="AZ884" i="4" a="1"/>
  <c r="AZ884" i="4" s="1"/>
  <c r="O66" i="5" s="1" a="1"/>
  <c r="O66" i="5" s="1"/>
  <c r="AU884" i="4" a="1"/>
  <c r="AU884" i="4" s="1"/>
  <c r="J66" i="5" s="1" a="1"/>
  <c r="J66" i="5" s="1"/>
  <c r="AV884" i="4" a="1"/>
  <c r="AV884" i="4" s="1"/>
  <c r="K66" i="5" s="1" a="1"/>
  <c r="K66" i="5" s="1"/>
  <c r="BC884" i="4" a="1"/>
  <c r="BC884" i="4" s="1"/>
  <c r="R66" i="5" s="1" a="1"/>
  <c r="R66" i="5" s="1"/>
  <c r="AW884" i="4" a="1"/>
  <c r="AW884" i="4" s="1"/>
  <c r="L66" i="5" s="1" a="1"/>
  <c r="L66" i="5" s="1"/>
  <c r="BA884" i="4" a="1"/>
  <c r="BA884" i="4" s="1"/>
  <c r="P66" i="5" s="1" a="1"/>
  <c r="P66" i="5" s="1"/>
  <c r="BB884" i="4" a="1"/>
  <c r="BB884" i="4" s="1"/>
  <c r="Q66" i="5" s="1" a="1"/>
  <c r="Q66" i="5" s="1"/>
  <c r="AX884" i="4" a="1"/>
  <c r="AX884" i="4" s="1"/>
  <c r="M66" i="5" s="1" a="1"/>
  <c r="M66" i="5" s="1"/>
  <c r="AY884" i="4" a="1"/>
  <c r="AY884" i="4" s="1"/>
  <c r="N66" i="5" s="1" a="1"/>
  <c r="N66" i="5" s="1"/>
  <c r="AU872" i="4" a="1"/>
  <c r="AU872" i="4" s="1"/>
  <c r="J54" i="5" s="1" a="1"/>
  <c r="J54" i="5" s="1"/>
  <c r="AV872" i="4" a="1"/>
  <c r="AV872" i="4" s="1"/>
  <c r="K54" i="5" s="1" a="1"/>
  <c r="K54" i="5" s="1"/>
  <c r="AW872" i="4" a="1"/>
  <c r="AW872" i="4" s="1"/>
  <c r="L54" i="5" s="1" a="1"/>
  <c r="L54" i="5" s="1"/>
  <c r="AX872" i="4" a="1"/>
  <c r="AX872" i="4" s="1"/>
  <c r="M54" i="5" s="1" a="1"/>
  <c r="M54" i="5" s="1"/>
  <c r="BB872" i="4" a="1"/>
  <c r="BB872" i="4" s="1"/>
  <c r="Q54" i="5" s="1" a="1"/>
  <c r="Q54" i="5" s="1"/>
  <c r="BA872" i="4" a="1"/>
  <c r="BA872" i="4" s="1"/>
  <c r="P54" i="5" s="1" a="1"/>
  <c r="P54" i="5" s="1"/>
  <c r="AZ872" i="4" a="1"/>
  <c r="AZ872" i="4" s="1"/>
  <c r="O54" i="5" s="1" a="1"/>
  <c r="O54" i="5" s="1"/>
  <c r="BC872" i="4" a="1"/>
  <c r="BC872" i="4" s="1"/>
  <c r="R54" i="5" s="1" a="1"/>
  <c r="R54" i="5" s="1"/>
  <c r="AY872" i="4" a="1"/>
  <c r="AY872" i="4" s="1"/>
  <c r="N54" i="5" s="1" a="1"/>
  <c r="N54" i="5" s="1"/>
  <c r="AU860" i="4" a="1"/>
  <c r="AU860" i="4" s="1"/>
  <c r="J42" i="5" s="1" a="1"/>
  <c r="J42" i="5" s="1"/>
  <c r="AV860" i="4" a="1"/>
  <c r="AV860" i="4" s="1"/>
  <c r="K42" i="5" s="1" a="1"/>
  <c r="K42" i="5" s="1"/>
  <c r="BA860" i="4" a="1"/>
  <c r="BA860" i="4" s="1"/>
  <c r="P42" i="5" s="1" a="1"/>
  <c r="P42" i="5" s="1"/>
  <c r="AW860" i="4" a="1"/>
  <c r="AW860" i="4" s="1"/>
  <c r="L42" i="5" s="1" a="1"/>
  <c r="L42" i="5" s="1"/>
  <c r="BC860" i="4" a="1"/>
  <c r="BC860" i="4" s="1"/>
  <c r="R42" i="5" s="1" a="1"/>
  <c r="R42" i="5" s="1"/>
  <c r="AX860" i="4" a="1"/>
  <c r="AX860" i="4" s="1"/>
  <c r="M42" i="5" s="1" a="1"/>
  <c r="M42" i="5" s="1"/>
  <c r="AZ860" i="4" a="1"/>
  <c r="AZ860" i="4" s="1"/>
  <c r="O42" i="5" s="1" a="1"/>
  <c r="O42" i="5" s="1"/>
  <c r="BB860" i="4" a="1"/>
  <c r="BB860" i="4" s="1"/>
  <c r="Q42" i="5" s="1" a="1"/>
  <c r="Q42" i="5" s="1"/>
  <c r="AY860" i="4" a="1"/>
  <c r="AY860" i="4" s="1"/>
  <c r="N42" i="5" s="1" a="1"/>
  <c r="N42" i="5" s="1"/>
  <c r="AV848" i="4" a="1"/>
  <c r="AV848" i="4" s="1"/>
  <c r="K30" i="5" s="1" a="1"/>
  <c r="K30" i="5" s="1"/>
  <c r="AW848" i="4" a="1"/>
  <c r="AW848" i="4" s="1"/>
  <c r="L30" i="5" s="1" a="1"/>
  <c r="L30" i="5" s="1"/>
  <c r="AX848" i="4" a="1"/>
  <c r="AX848" i="4" s="1"/>
  <c r="M30" i="5" s="1" a="1"/>
  <c r="M30" i="5" s="1"/>
  <c r="AU848" i="4" a="1"/>
  <c r="AU848" i="4" s="1"/>
  <c r="J30" i="5" s="1" a="1"/>
  <c r="J30" i="5" s="1"/>
  <c r="BA848" i="4" a="1"/>
  <c r="BA848" i="4" s="1"/>
  <c r="P30" i="5" s="1" a="1"/>
  <c r="P30" i="5" s="1"/>
  <c r="AZ848" i="4" a="1"/>
  <c r="AZ848" i="4" s="1"/>
  <c r="O30" i="5" s="1" a="1"/>
  <c r="O30" i="5" s="1"/>
  <c r="BB848" i="4" a="1"/>
  <c r="BB848" i="4" s="1"/>
  <c r="Q30" i="5" s="1" a="1"/>
  <c r="Q30" i="5" s="1"/>
  <c r="BC848" i="4" a="1"/>
  <c r="BC848" i="4" s="1"/>
  <c r="R30" i="5" s="1" a="1"/>
  <c r="R30" i="5" s="1"/>
  <c r="AY848" i="4" a="1"/>
  <c r="AY848" i="4" s="1"/>
  <c r="N30" i="5" s="1" a="1"/>
  <c r="N30" i="5" s="1"/>
  <c r="AV836" i="4" a="1"/>
  <c r="AV836" i="4" s="1"/>
  <c r="K18" i="5" s="1" a="1"/>
  <c r="K18" i="5" s="1"/>
  <c r="AY836" i="4" a="1"/>
  <c r="AY836" i="4" s="1"/>
  <c r="N18" i="5" s="1" a="1"/>
  <c r="N18" i="5" s="1"/>
  <c r="AU836" i="4" a="1"/>
  <c r="AU836" i="4" s="1"/>
  <c r="J18" i="5" s="1" a="1"/>
  <c r="J18" i="5" s="1"/>
  <c r="BC836" i="4" a="1"/>
  <c r="BC836" i="4" s="1"/>
  <c r="R18" i="5" s="1" a="1"/>
  <c r="R18" i="5" s="1"/>
  <c r="BB836" i="4" a="1"/>
  <c r="BB836" i="4" s="1"/>
  <c r="Q18" i="5" s="1" a="1"/>
  <c r="Q18" i="5" s="1"/>
  <c r="BA836" i="4" a="1"/>
  <c r="BA836" i="4" s="1"/>
  <c r="P18" i="5" s="1" a="1"/>
  <c r="P18" i="5" s="1"/>
  <c r="AZ836" i="4" a="1"/>
  <c r="AZ836" i="4" s="1"/>
  <c r="O18" i="5" s="1" a="1"/>
  <c r="O18" i="5" s="1"/>
  <c r="AW836" i="4" a="1"/>
  <c r="AW836" i="4" s="1"/>
  <c r="L18" i="5" s="1" a="1"/>
  <c r="L18" i="5" s="1"/>
  <c r="AX836" i="4" a="1"/>
  <c r="AX836" i="4" s="1"/>
  <c r="M18" i="5" s="1" a="1"/>
  <c r="M18" i="5" s="1"/>
  <c r="AW1023" i="4" a="1"/>
  <c r="AW1023" i="4" s="1"/>
  <c r="L205" i="5" s="1" a="1"/>
  <c r="L205" i="5" s="1"/>
  <c r="AZ1023" i="4" a="1"/>
  <c r="AZ1023" i="4" s="1"/>
  <c r="O205" i="5" s="1" a="1"/>
  <c r="O205" i="5" s="1"/>
  <c r="AU1023" i="4" a="1"/>
  <c r="AU1023" i="4" s="1"/>
  <c r="J205" i="5" s="1" a="1"/>
  <c r="J205" i="5" s="1"/>
  <c r="AV1023" i="4" a="1"/>
  <c r="AV1023" i="4" s="1"/>
  <c r="K205" i="5" s="1" a="1"/>
  <c r="K205" i="5" s="1"/>
  <c r="AX1023" i="4" a="1"/>
  <c r="AX1023" i="4" s="1"/>
  <c r="M205" i="5" s="1" a="1"/>
  <c r="M205" i="5" s="1"/>
  <c r="AY1023" i="4" a="1"/>
  <c r="AY1023" i="4" s="1"/>
  <c r="N205" i="5" s="1" a="1"/>
  <c r="N205" i="5" s="1"/>
  <c r="BB1023" i="4" a="1"/>
  <c r="BB1023" i="4" s="1"/>
  <c r="Q205" i="5" s="1" a="1"/>
  <c r="Q205" i="5" s="1"/>
  <c r="BC1023" i="4" a="1"/>
  <c r="BC1023" i="4" s="1"/>
  <c r="R205" i="5" s="1" a="1"/>
  <c r="R205" i="5" s="1"/>
  <c r="BA1023" i="4" a="1"/>
  <c r="BA1023" i="4" s="1"/>
  <c r="P205" i="5" s="1" a="1"/>
  <c r="P205" i="5" s="1"/>
  <c r="AY999" i="4" a="1"/>
  <c r="AY999" i="4" s="1"/>
  <c r="N181" i="5" s="1" a="1"/>
  <c r="N181" i="5" s="1"/>
  <c r="AZ999" i="4" a="1"/>
  <c r="AZ999" i="4" s="1"/>
  <c r="O181" i="5" s="1" a="1"/>
  <c r="O181" i="5" s="1"/>
  <c r="AU999" i="4" a="1"/>
  <c r="AU999" i="4" s="1"/>
  <c r="J181" i="5" s="1" a="1"/>
  <c r="J181" i="5" s="1"/>
  <c r="AV999" i="4" a="1"/>
  <c r="AV999" i="4" s="1"/>
  <c r="K181" i="5" s="1" a="1"/>
  <c r="K181" i="5" s="1"/>
  <c r="AX999" i="4" a="1"/>
  <c r="AX999" i="4" s="1"/>
  <c r="M181" i="5" s="1" a="1"/>
  <c r="M181" i="5" s="1"/>
  <c r="BA999" i="4" a="1"/>
  <c r="BA999" i="4" s="1"/>
  <c r="P181" i="5" s="1" a="1"/>
  <c r="P181" i="5" s="1"/>
  <c r="AW999" i="4" a="1"/>
  <c r="AW999" i="4" s="1"/>
  <c r="L181" i="5" s="1" a="1"/>
  <c r="L181" i="5" s="1"/>
  <c r="BC999" i="4" a="1"/>
  <c r="BC999" i="4" s="1"/>
  <c r="R181" i="5" s="1" a="1"/>
  <c r="R181" i="5" s="1"/>
  <c r="BB999" i="4" a="1"/>
  <c r="BB999" i="4" s="1"/>
  <c r="Q181" i="5" s="1" a="1"/>
  <c r="Q181" i="5" s="1"/>
  <c r="AU975" i="4" a="1"/>
  <c r="AU975" i="4" s="1"/>
  <c r="J157" i="5" s="1" a="1"/>
  <c r="J157" i="5" s="1"/>
  <c r="AV975" i="4" a="1"/>
  <c r="AV975" i="4" s="1"/>
  <c r="K157" i="5" s="1" a="1"/>
  <c r="K157" i="5" s="1"/>
  <c r="AX975" i="4" a="1"/>
  <c r="AX975" i="4" s="1"/>
  <c r="M157" i="5" s="1" a="1"/>
  <c r="M157" i="5" s="1"/>
  <c r="AY975" i="4" a="1"/>
  <c r="AY975" i="4" s="1"/>
  <c r="N157" i="5" s="1" a="1"/>
  <c r="N157" i="5" s="1"/>
  <c r="AZ975" i="4" a="1"/>
  <c r="AZ975" i="4" s="1"/>
  <c r="O157" i="5" s="1" a="1"/>
  <c r="O157" i="5" s="1"/>
  <c r="BC975" i="4" a="1"/>
  <c r="BC975" i="4" s="1"/>
  <c r="R157" i="5" s="1" a="1"/>
  <c r="R157" i="5" s="1"/>
  <c r="BA975" i="4" a="1"/>
  <c r="BA975" i="4" s="1"/>
  <c r="P157" i="5" s="1" a="1"/>
  <c r="P157" i="5" s="1"/>
  <c r="AW975" i="4" a="1"/>
  <c r="AW975" i="4" s="1"/>
  <c r="L157" i="5" s="1" a="1"/>
  <c r="L157" i="5" s="1"/>
  <c r="BB975" i="4" a="1"/>
  <c r="BB975" i="4" s="1"/>
  <c r="Q157" i="5" s="1" a="1"/>
  <c r="Q157" i="5" s="1"/>
  <c r="AW951" i="4" a="1"/>
  <c r="AW951" i="4" s="1"/>
  <c r="L133" i="5" s="1" a="1"/>
  <c r="L133" i="5" s="1"/>
  <c r="AX951" i="4" a="1"/>
  <c r="AX951" i="4" s="1"/>
  <c r="M133" i="5" s="1" a="1"/>
  <c r="M133" i="5" s="1"/>
  <c r="AY951" i="4" a="1"/>
  <c r="AY951" i="4" s="1"/>
  <c r="N133" i="5" s="1" a="1"/>
  <c r="N133" i="5" s="1"/>
  <c r="AZ951" i="4" a="1"/>
  <c r="AZ951" i="4" s="1"/>
  <c r="O133" i="5" s="1" a="1"/>
  <c r="O133" i="5" s="1"/>
  <c r="AU951" i="4" a="1"/>
  <c r="AU951" i="4" s="1"/>
  <c r="J133" i="5" s="1" a="1"/>
  <c r="J133" i="5" s="1"/>
  <c r="AV951" i="4" a="1"/>
  <c r="AV951" i="4" s="1"/>
  <c r="K133" i="5" s="1" a="1"/>
  <c r="K133" i="5" s="1"/>
  <c r="BC951" i="4" a="1"/>
  <c r="BC951" i="4" s="1"/>
  <c r="R133" i="5" s="1" a="1"/>
  <c r="R133" i="5" s="1"/>
  <c r="BB951" i="4" a="1"/>
  <c r="BB951" i="4" s="1"/>
  <c r="Q133" i="5" s="1" a="1"/>
  <c r="Q133" i="5" s="1"/>
  <c r="BA951" i="4" a="1"/>
  <c r="BA951" i="4" s="1"/>
  <c r="P133" i="5" s="1" a="1"/>
  <c r="P133" i="5" s="1"/>
  <c r="AU927" i="4" a="1"/>
  <c r="AU927" i="4" s="1"/>
  <c r="J109" i="5" s="1" a="1"/>
  <c r="J109" i="5" s="1"/>
  <c r="AV927" i="4" a="1"/>
  <c r="AV927" i="4" s="1"/>
  <c r="K109" i="5" s="1" a="1"/>
  <c r="K109" i="5" s="1"/>
  <c r="AW927" i="4" a="1"/>
  <c r="AW927" i="4" s="1"/>
  <c r="L109" i="5" s="1" a="1"/>
  <c r="L109" i="5" s="1"/>
  <c r="AX927" i="4" a="1"/>
  <c r="AX927" i="4" s="1"/>
  <c r="M109" i="5" s="1" a="1"/>
  <c r="M109" i="5" s="1"/>
  <c r="AY927" i="4" a="1"/>
  <c r="AY927" i="4" s="1"/>
  <c r="N109" i="5" s="1" a="1"/>
  <c r="N109" i="5" s="1"/>
  <c r="AZ927" i="4" a="1"/>
  <c r="AZ927" i="4" s="1"/>
  <c r="O109" i="5" s="1" a="1"/>
  <c r="O109" i="5" s="1"/>
  <c r="BA927" i="4" a="1"/>
  <c r="BA927" i="4" s="1"/>
  <c r="P109" i="5" s="1" a="1"/>
  <c r="P109" i="5" s="1"/>
  <c r="BC927" i="4" a="1"/>
  <c r="BC927" i="4" s="1"/>
  <c r="R109" i="5" s="1" a="1"/>
  <c r="R109" i="5" s="1"/>
  <c r="BB927" i="4" a="1"/>
  <c r="BB927" i="4" s="1"/>
  <c r="Q109" i="5" s="1" a="1"/>
  <c r="Q109" i="5" s="1"/>
  <c r="AZ903" i="4" a="1"/>
  <c r="AZ903" i="4" s="1"/>
  <c r="O85" i="5" s="1" a="1"/>
  <c r="O85" i="5" s="1"/>
  <c r="BA903" i="4" a="1"/>
  <c r="BA903" i="4" s="1"/>
  <c r="P85" i="5" s="1" a="1"/>
  <c r="P85" i="5" s="1"/>
  <c r="AV903" i="4" a="1"/>
  <c r="AV903" i="4" s="1"/>
  <c r="K85" i="5" s="1" a="1"/>
  <c r="K85" i="5" s="1"/>
  <c r="AU903" i="4" a="1"/>
  <c r="AU903" i="4" s="1"/>
  <c r="J85" i="5" s="1" a="1"/>
  <c r="J85" i="5" s="1"/>
  <c r="AW903" i="4" a="1"/>
  <c r="AW903" i="4" s="1"/>
  <c r="L85" i="5" s="1" a="1"/>
  <c r="L85" i="5" s="1"/>
  <c r="BC903" i="4" a="1"/>
  <c r="BC903" i="4" s="1"/>
  <c r="R85" i="5" s="1" a="1"/>
  <c r="R85" i="5" s="1"/>
  <c r="BB903" i="4" a="1"/>
  <c r="BB903" i="4" s="1"/>
  <c r="Q85" i="5" s="1" a="1"/>
  <c r="Q85" i="5" s="1"/>
  <c r="AY903" i="4" a="1"/>
  <c r="AY903" i="4" s="1"/>
  <c r="N85" i="5" s="1" a="1"/>
  <c r="N85" i="5" s="1"/>
  <c r="AX903" i="4" a="1"/>
  <c r="AX903" i="4" s="1"/>
  <c r="M85" i="5" s="1" a="1"/>
  <c r="M85" i="5" s="1"/>
  <c r="AV879" i="4" a="1"/>
  <c r="AV879" i="4" s="1"/>
  <c r="K61" i="5" s="1" a="1"/>
  <c r="K61" i="5" s="1"/>
  <c r="AU879" i="4" a="1"/>
  <c r="AU879" i="4" s="1"/>
  <c r="J61" i="5" s="1" a="1"/>
  <c r="J61" i="5" s="1"/>
  <c r="AZ879" i="4" a="1"/>
  <c r="AZ879" i="4" s="1"/>
  <c r="O61" i="5" s="1" a="1"/>
  <c r="O61" i="5" s="1"/>
  <c r="AX879" i="4" a="1"/>
  <c r="AX879" i="4" s="1"/>
  <c r="M61" i="5" s="1" a="1"/>
  <c r="M61" i="5" s="1"/>
  <c r="BB879" i="4" a="1"/>
  <c r="BB879" i="4" s="1"/>
  <c r="Q61" i="5" s="1" a="1"/>
  <c r="Q61" i="5" s="1"/>
  <c r="BA879" i="4" a="1"/>
  <c r="BA879" i="4" s="1"/>
  <c r="P61" i="5" s="1" a="1"/>
  <c r="P61" i="5" s="1"/>
  <c r="AY879" i="4" a="1"/>
  <c r="AY879" i="4" s="1"/>
  <c r="N61" i="5" s="1" a="1"/>
  <c r="N61" i="5" s="1"/>
  <c r="BC879" i="4" a="1"/>
  <c r="BC879" i="4" s="1"/>
  <c r="R61" i="5" s="1" a="1"/>
  <c r="R61" i="5" s="1"/>
  <c r="AW879" i="4" a="1"/>
  <c r="AW879" i="4" s="1"/>
  <c r="L61" i="5" s="1" a="1"/>
  <c r="L61" i="5" s="1"/>
  <c r="AV1022" i="4" a="1"/>
  <c r="AV1022" i="4" s="1"/>
  <c r="K204" i="5" s="1" a="1"/>
  <c r="K204" i="5" s="1"/>
  <c r="AW1022" i="4" a="1"/>
  <c r="AW1022" i="4" s="1"/>
  <c r="L204" i="5" s="1" a="1"/>
  <c r="L204" i="5" s="1"/>
  <c r="AU1022" i="4" a="1"/>
  <c r="AU1022" i="4" s="1"/>
  <c r="J204" i="5" s="1" a="1"/>
  <c r="J204" i="5" s="1"/>
  <c r="AX1022" i="4" a="1"/>
  <c r="AX1022" i="4" s="1"/>
  <c r="M204" i="5" s="1" a="1"/>
  <c r="M204" i="5" s="1"/>
  <c r="AZ1022" i="4" a="1"/>
  <c r="AZ1022" i="4" s="1"/>
  <c r="O204" i="5" s="1" a="1"/>
  <c r="O204" i="5" s="1"/>
  <c r="BB1022" i="4" a="1"/>
  <c r="BB1022" i="4" s="1"/>
  <c r="Q204" i="5" s="1" a="1"/>
  <c r="Q204" i="5" s="1"/>
  <c r="BC1022" i="4" a="1"/>
  <c r="BC1022" i="4" s="1"/>
  <c r="R204" i="5" s="1" a="1"/>
  <c r="R204" i="5" s="1"/>
  <c r="AY1022" i="4" a="1"/>
  <c r="AY1022" i="4" s="1"/>
  <c r="N204" i="5" s="1" a="1"/>
  <c r="N204" i="5" s="1"/>
  <c r="BA1022" i="4" a="1"/>
  <c r="BA1022" i="4" s="1"/>
  <c r="P204" i="5" s="1" a="1"/>
  <c r="P204" i="5" s="1"/>
  <c r="AU998" i="4" a="1"/>
  <c r="AU998" i="4" s="1"/>
  <c r="J180" i="5" s="1" a="1"/>
  <c r="J180" i="5" s="1"/>
  <c r="AV998" i="4" a="1"/>
  <c r="AV998" i="4" s="1"/>
  <c r="K180" i="5" s="1" a="1"/>
  <c r="K180" i="5" s="1"/>
  <c r="AX998" i="4" a="1"/>
  <c r="AX998" i="4" s="1"/>
  <c r="M180" i="5" s="1" a="1"/>
  <c r="M180" i="5" s="1"/>
  <c r="AY998" i="4" a="1"/>
  <c r="AY998" i="4" s="1"/>
  <c r="N180" i="5" s="1" a="1"/>
  <c r="N180" i="5" s="1"/>
  <c r="BC998" i="4" a="1"/>
  <c r="BC998" i="4" s="1"/>
  <c r="R180" i="5" s="1" a="1"/>
  <c r="R180" i="5" s="1"/>
  <c r="AW998" i="4" a="1"/>
  <c r="AW998" i="4" s="1"/>
  <c r="L180" i="5" s="1" a="1"/>
  <c r="L180" i="5" s="1"/>
  <c r="BA998" i="4" a="1"/>
  <c r="BA998" i="4" s="1"/>
  <c r="P180" i="5" s="1" a="1"/>
  <c r="P180" i="5" s="1"/>
  <c r="AZ998" i="4" a="1"/>
  <c r="AZ998" i="4" s="1"/>
  <c r="O180" i="5" s="1" a="1"/>
  <c r="O180" i="5" s="1"/>
  <c r="BB998" i="4" a="1"/>
  <c r="BB998" i="4" s="1"/>
  <c r="Q180" i="5" s="1" a="1"/>
  <c r="Q180" i="5" s="1"/>
  <c r="AV974" i="4" a="1"/>
  <c r="AV974" i="4" s="1"/>
  <c r="K156" i="5" s="1" a="1"/>
  <c r="K156" i="5" s="1"/>
  <c r="AZ974" i="4" a="1"/>
  <c r="AZ974" i="4" s="1"/>
  <c r="O156" i="5" s="1" a="1"/>
  <c r="O156" i="5" s="1"/>
  <c r="AU974" i="4" a="1"/>
  <c r="AU974" i="4" s="1"/>
  <c r="J156" i="5" s="1" a="1"/>
  <c r="J156" i="5" s="1"/>
  <c r="BC974" i="4" a="1"/>
  <c r="BC974" i="4" s="1"/>
  <c r="R156" i="5" s="1" a="1"/>
  <c r="R156" i="5" s="1"/>
  <c r="BB974" i="4" a="1"/>
  <c r="BB974" i="4" s="1"/>
  <c r="Q156" i="5" s="1" a="1"/>
  <c r="Q156" i="5" s="1"/>
  <c r="BA974" i="4" a="1"/>
  <c r="BA974" i="4" s="1"/>
  <c r="P156" i="5" s="1" a="1"/>
  <c r="P156" i="5" s="1"/>
  <c r="AW974" i="4" a="1"/>
  <c r="AW974" i="4" s="1"/>
  <c r="L156" i="5" s="1" a="1"/>
  <c r="L156" i="5" s="1"/>
  <c r="AX974" i="4" a="1"/>
  <c r="AX974" i="4" s="1"/>
  <c r="M156" i="5" s="1" a="1"/>
  <c r="M156" i="5" s="1"/>
  <c r="AY974" i="4" a="1"/>
  <c r="AY974" i="4" s="1"/>
  <c r="N156" i="5" s="1" a="1"/>
  <c r="N156" i="5" s="1"/>
  <c r="AY950" i="4" a="1"/>
  <c r="AY950" i="4" s="1"/>
  <c r="N132" i="5" s="1" a="1"/>
  <c r="N132" i="5" s="1"/>
  <c r="AZ950" i="4" a="1"/>
  <c r="AZ950" i="4" s="1"/>
  <c r="O132" i="5" s="1" a="1"/>
  <c r="O132" i="5" s="1"/>
  <c r="AV950" i="4" a="1"/>
  <c r="AV950" i="4" s="1"/>
  <c r="K132" i="5" s="1" a="1"/>
  <c r="K132" i="5" s="1"/>
  <c r="AW950" i="4" a="1"/>
  <c r="AW950" i="4" s="1"/>
  <c r="L132" i="5" s="1" a="1"/>
  <c r="L132" i="5" s="1"/>
  <c r="AX950" i="4" a="1"/>
  <c r="AX950" i="4" s="1"/>
  <c r="M132" i="5" s="1" a="1"/>
  <c r="M132" i="5" s="1"/>
  <c r="AU950" i="4" a="1"/>
  <c r="AU950" i="4" s="1"/>
  <c r="J132" i="5" s="1" a="1"/>
  <c r="J132" i="5" s="1"/>
  <c r="BB950" i="4" a="1"/>
  <c r="BB950" i="4" s="1"/>
  <c r="Q132" i="5" s="1" a="1"/>
  <c r="Q132" i="5" s="1"/>
  <c r="BC950" i="4" a="1"/>
  <c r="BC950" i="4" s="1"/>
  <c r="R132" i="5" s="1" a="1"/>
  <c r="R132" i="5" s="1"/>
  <c r="BA950" i="4" a="1"/>
  <c r="BA950" i="4" s="1"/>
  <c r="P132" i="5" s="1" a="1"/>
  <c r="P132" i="5" s="1"/>
  <c r="AU926" i="4" a="1"/>
  <c r="AU926" i="4" s="1"/>
  <c r="J108" i="5" s="1" a="1"/>
  <c r="J108" i="5" s="1"/>
  <c r="AV926" i="4" a="1"/>
  <c r="AV926" i="4" s="1"/>
  <c r="K108" i="5" s="1" a="1"/>
  <c r="K108" i="5" s="1"/>
  <c r="AX926" i="4" a="1"/>
  <c r="AX926" i="4" s="1"/>
  <c r="M108" i="5" s="1" a="1"/>
  <c r="M108" i="5" s="1"/>
  <c r="AY926" i="4" a="1"/>
  <c r="AY926" i="4" s="1"/>
  <c r="N108" i="5" s="1" a="1"/>
  <c r="N108" i="5" s="1"/>
  <c r="BB926" i="4" a="1"/>
  <c r="BB926" i="4" s="1"/>
  <c r="Q108" i="5" s="1" a="1"/>
  <c r="Q108" i="5" s="1"/>
  <c r="BA926" i="4" a="1"/>
  <c r="BA926" i="4" s="1"/>
  <c r="P108" i="5" s="1" a="1"/>
  <c r="P108" i="5" s="1"/>
  <c r="AW926" i="4" a="1"/>
  <c r="AW926" i="4" s="1"/>
  <c r="L108" i="5" s="1" a="1"/>
  <c r="L108" i="5" s="1"/>
  <c r="BC926" i="4" a="1"/>
  <c r="BC926" i="4" s="1"/>
  <c r="R108" i="5" s="1" a="1"/>
  <c r="R108" i="5" s="1"/>
  <c r="AZ926" i="4" a="1"/>
  <c r="AZ926" i="4" s="1"/>
  <c r="O108" i="5" s="1" a="1"/>
  <c r="O108" i="5" s="1"/>
  <c r="AU902" i="4" a="1"/>
  <c r="AU902" i="4" s="1"/>
  <c r="J84" i="5" s="1" a="1"/>
  <c r="J84" i="5" s="1"/>
  <c r="AV902" i="4" a="1"/>
  <c r="AV902" i="4" s="1"/>
  <c r="K84" i="5" s="1" a="1"/>
  <c r="K84" i="5" s="1"/>
  <c r="AW902" i="4" a="1"/>
  <c r="AW902" i="4" s="1"/>
  <c r="L84" i="5" s="1" a="1"/>
  <c r="L84" i="5" s="1"/>
  <c r="AX902" i="4" a="1"/>
  <c r="AX902" i="4" s="1"/>
  <c r="M84" i="5" s="1" a="1"/>
  <c r="M84" i="5" s="1"/>
  <c r="BA902" i="4" a="1"/>
  <c r="BA902" i="4" s="1"/>
  <c r="P84" i="5" s="1" a="1"/>
  <c r="P84" i="5" s="1"/>
  <c r="BC902" i="4" a="1"/>
  <c r="BC902" i="4" s="1"/>
  <c r="R84" i="5" s="1" a="1"/>
  <c r="R84" i="5" s="1"/>
  <c r="AY902" i="4" a="1"/>
  <c r="AY902" i="4" s="1"/>
  <c r="N84" i="5" s="1" a="1"/>
  <c r="N84" i="5" s="1"/>
  <c r="BB902" i="4" a="1"/>
  <c r="BB902" i="4" s="1"/>
  <c r="Q84" i="5" s="1" a="1"/>
  <c r="Q84" i="5" s="1"/>
  <c r="AZ902" i="4" a="1"/>
  <c r="AZ902" i="4" s="1"/>
  <c r="O84" i="5" s="1" a="1"/>
  <c r="O84" i="5" s="1"/>
  <c r="AU878" i="4" a="1"/>
  <c r="AU878" i="4" s="1"/>
  <c r="J60" i="5" s="1" a="1"/>
  <c r="J60" i="5" s="1"/>
  <c r="AV878" i="4" a="1"/>
  <c r="AV878" i="4" s="1"/>
  <c r="K60" i="5" s="1" a="1"/>
  <c r="K60" i="5" s="1"/>
  <c r="AZ878" i="4" a="1"/>
  <c r="AZ878" i="4" s="1"/>
  <c r="O60" i="5" s="1" a="1"/>
  <c r="O60" i="5" s="1"/>
  <c r="AY878" i="4" a="1"/>
  <c r="AY878" i="4" s="1"/>
  <c r="N60" i="5" s="1" a="1"/>
  <c r="N60" i="5" s="1"/>
  <c r="AW878" i="4" a="1"/>
  <c r="AW878" i="4" s="1"/>
  <c r="L60" i="5" s="1" a="1"/>
  <c r="L60" i="5" s="1"/>
  <c r="AX878" i="4" a="1"/>
  <c r="AX878" i="4" s="1"/>
  <c r="M60" i="5" s="1" a="1"/>
  <c r="M60" i="5" s="1"/>
  <c r="BC878" i="4" a="1"/>
  <c r="BC878" i="4" s="1"/>
  <c r="R60" i="5" s="1" a="1"/>
  <c r="R60" i="5" s="1"/>
  <c r="BB878" i="4" a="1"/>
  <c r="BB878" i="4" s="1"/>
  <c r="Q60" i="5" s="1" a="1"/>
  <c r="Q60" i="5" s="1"/>
  <c r="BA878" i="4" a="1"/>
  <c r="BA878" i="4" s="1"/>
  <c r="P60" i="5" s="1" a="1"/>
  <c r="P60" i="5" s="1"/>
  <c r="AX866" i="4" a="1"/>
  <c r="AX866" i="4" s="1"/>
  <c r="M48" i="5" s="1" a="1"/>
  <c r="M48" i="5" s="1"/>
  <c r="AV866" i="4" a="1"/>
  <c r="AV866" i="4" s="1"/>
  <c r="K48" i="5" s="1" a="1"/>
  <c r="K48" i="5" s="1"/>
  <c r="AW866" i="4" a="1"/>
  <c r="AW866" i="4" s="1"/>
  <c r="L48" i="5" s="1" a="1"/>
  <c r="L48" i="5" s="1"/>
  <c r="BB866" i="4" a="1"/>
  <c r="BB866" i="4" s="1"/>
  <c r="Q48" i="5" s="1" a="1"/>
  <c r="Q48" i="5" s="1"/>
  <c r="BC866" i="4" a="1"/>
  <c r="BC866" i="4" s="1"/>
  <c r="R48" i="5" s="1" a="1"/>
  <c r="R48" i="5" s="1"/>
  <c r="AY866" i="4" a="1"/>
  <c r="AY866" i="4" s="1"/>
  <c r="N48" i="5" s="1" a="1"/>
  <c r="N48" i="5" s="1"/>
  <c r="BA866" i="4" a="1"/>
  <c r="BA866" i="4" s="1"/>
  <c r="P48" i="5" s="1" a="1"/>
  <c r="P48" i="5" s="1"/>
  <c r="AU866" i="4" a="1"/>
  <c r="AU866" i="4" s="1"/>
  <c r="J48" i="5" s="1" a="1"/>
  <c r="J48" i="5" s="1"/>
  <c r="AZ866" i="4" a="1"/>
  <c r="AZ866" i="4" s="1"/>
  <c r="O48" i="5" s="1" a="1"/>
  <c r="O48" i="5" s="1"/>
  <c r="AU842" i="4" a="1"/>
  <c r="AU842" i="4" s="1"/>
  <c r="J24" i="5" s="1" a="1"/>
  <c r="J24" i="5" s="1"/>
  <c r="AV842" i="4" a="1"/>
  <c r="AV842" i="4" s="1"/>
  <c r="K24" i="5" s="1" a="1"/>
  <c r="K24" i="5" s="1"/>
  <c r="AX842" i="4" a="1"/>
  <c r="AX842" i="4" s="1"/>
  <c r="M24" i="5" s="1" a="1"/>
  <c r="M24" i="5" s="1"/>
  <c r="BA842" i="4" a="1"/>
  <c r="BA842" i="4" s="1"/>
  <c r="P24" i="5" s="1" a="1"/>
  <c r="P24" i="5" s="1"/>
  <c r="BC842" i="4" a="1"/>
  <c r="BC842" i="4" s="1"/>
  <c r="R24" i="5" s="1" a="1"/>
  <c r="R24" i="5" s="1"/>
  <c r="BB842" i="4" a="1"/>
  <c r="BB842" i="4" s="1"/>
  <c r="Q24" i="5" s="1" a="1"/>
  <c r="Q24" i="5" s="1"/>
  <c r="AY842" i="4" a="1"/>
  <c r="AY842" i="4" s="1"/>
  <c r="N24" i="5" s="1" a="1"/>
  <c r="N24" i="5" s="1"/>
  <c r="AW842" i="4" a="1"/>
  <c r="AW842" i="4" s="1"/>
  <c r="L24" i="5" s="1" a="1"/>
  <c r="L24" i="5" s="1"/>
  <c r="AZ842" i="4" a="1"/>
  <c r="AZ842" i="4" s="1"/>
  <c r="O24" i="5" s="1" a="1"/>
  <c r="O24" i="5" s="1"/>
  <c r="AU1009" i="4" a="1"/>
  <c r="AU1009" i="4" s="1"/>
  <c r="J191" i="5" s="1" a="1"/>
  <c r="J191" i="5" s="1"/>
  <c r="AV1009" i="4" a="1"/>
  <c r="AV1009" i="4" s="1"/>
  <c r="K191" i="5" s="1" a="1"/>
  <c r="K191" i="5" s="1"/>
  <c r="AZ1009" i="4" a="1"/>
  <c r="AZ1009" i="4" s="1"/>
  <c r="O191" i="5" s="1" a="1"/>
  <c r="O191" i="5" s="1"/>
  <c r="BC1009" i="4" a="1"/>
  <c r="BC1009" i="4" s="1"/>
  <c r="R191" i="5" s="1" a="1"/>
  <c r="R191" i="5" s="1"/>
  <c r="AY1009" i="4" a="1"/>
  <c r="AY1009" i="4" s="1"/>
  <c r="N191" i="5" s="1" a="1"/>
  <c r="N191" i="5" s="1"/>
  <c r="AW1009" i="4" a="1"/>
  <c r="AW1009" i="4" s="1"/>
  <c r="L191" i="5" s="1" a="1"/>
  <c r="L191" i="5" s="1"/>
  <c r="BB1009" i="4" a="1"/>
  <c r="BB1009" i="4" s="1"/>
  <c r="Q191" i="5" s="1" a="1"/>
  <c r="Q191" i="5" s="1"/>
  <c r="AX1009" i="4" a="1"/>
  <c r="AX1009" i="4" s="1"/>
  <c r="M191" i="5" s="1" a="1"/>
  <c r="M191" i="5" s="1"/>
  <c r="BA1009" i="4" a="1"/>
  <c r="BA1009" i="4" s="1"/>
  <c r="P191" i="5" s="1" a="1"/>
  <c r="P191" i="5" s="1"/>
  <c r="AU985" i="4" a="1"/>
  <c r="AU985" i="4" s="1"/>
  <c r="J167" i="5" s="1" a="1"/>
  <c r="J167" i="5" s="1"/>
  <c r="AV985" i="4" a="1"/>
  <c r="AV985" i="4" s="1"/>
  <c r="K167" i="5" s="1" a="1"/>
  <c r="K167" i="5" s="1"/>
  <c r="AW985" i="4" a="1"/>
  <c r="AW985" i="4" s="1"/>
  <c r="L167" i="5" s="1" a="1"/>
  <c r="L167" i="5" s="1"/>
  <c r="AX985" i="4" a="1"/>
  <c r="AX985" i="4" s="1"/>
  <c r="M167" i="5" s="1" a="1"/>
  <c r="M167" i="5" s="1"/>
  <c r="BB985" i="4" a="1"/>
  <c r="BB985" i="4" s="1"/>
  <c r="Q167" i="5" s="1" a="1"/>
  <c r="Q167" i="5" s="1"/>
  <c r="AY985" i="4" a="1"/>
  <c r="AY985" i="4" s="1"/>
  <c r="N167" i="5" s="1" a="1"/>
  <c r="N167" i="5" s="1"/>
  <c r="BC985" i="4" a="1"/>
  <c r="BC985" i="4" s="1"/>
  <c r="R167" i="5" s="1" a="1"/>
  <c r="R167" i="5" s="1"/>
  <c r="AZ985" i="4" a="1"/>
  <c r="AZ985" i="4" s="1"/>
  <c r="O167" i="5" s="1" a="1"/>
  <c r="O167" i="5" s="1"/>
  <c r="BA985" i="4" a="1"/>
  <c r="BA985" i="4" s="1"/>
  <c r="P167" i="5" s="1" a="1"/>
  <c r="P167" i="5" s="1"/>
  <c r="AX961" i="4" a="1"/>
  <c r="AX961" i="4" s="1"/>
  <c r="M143" i="5" s="1" a="1"/>
  <c r="M143" i="5" s="1"/>
  <c r="AY961" i="4" a="1"/>
  <c r="AY961" i="4" s="1"/>
  <c r="N143" i="5" s="1" a="1"/>
  <c r="N143" i="5" s="1"/>
  <c r="AU961" i="4" a="1"/>
  <c r="AU961" i="4" s="1"/>
  <c r="J143" i="5" s="1" a="1"/>
  <c r="J143" i="5" s="1"/>
  <c r="BA961" i="4" a="1"/>
  <c r="BA961" i="4" s="1"/>
  <c r="P143" i="5" s="1" a="1"/>
  <c r="P143" i="5" s="1"/>
  <c r="BC961" i="4" a="1"/>
  <c r="BC961" i="4" s="1"/>
  <c r="R143" i="5" s="1" a="1"/>
  <c r="R143" i="5" s="1"/>
  <c r="AV961" i="4" a="1"/>
  <c r="AV961" i="4" s="1"/>
  <c r="K143" i="5" s="1" a="1"/>
  <c r="K143" i="5" s="1"/>
  <c r="AW961" i="4" a="1"/>
  <c r="AW961" i="4" s="1"/>
  <c r="L143" i="5" s="1" a="1"/>
  <c r="L143" i="5" s="1"/>
  <c r="AZ961" i="4" a="1"/>
  <c r="AZ961" i="4" s="1"/>
  <c r="O143" i="5" s="1" a="1"/>
  <c r="O143" i="5" s="1"/>
  <c r="BB961" i="4" a="1"/>
  <c r="BB961" i="4" s="1"/>
  <c r="Q143" i="5" s="1" a="1"/>
  <c r="Q143" i="5" s="1"/>
  <c r="AV937" i="4" a="1"/>
  <c r="AV937" i="4" s="1"/>
  <c r="K119" i="5" s="1" a="1"/>
  <c r="K119" i="5" s="1"/>
  <c r="AW937" i="4" a="1"/>
  <c r="AW937" i="4" s="1"/>
  <c r="L119" i="5" s="1" a="1"/>
  <c r="L119" i="5" s="1"/>
  <c r="AU937" i="4" a="1"/>
  <c r="AU937" i="4" s="1"/>
  <c r="J119" i="5" s="1" a="1"/>
  <c r="J119" i="5" s="1"/>
  <c r="AX937" i="4" a="1"/>
  <c r="AX937" i="4" s="1"/>
  <c r="M119" i="5" s="1" a="1"/>
  <c r="M119" i="5" s="1"/>
  <c r="AZ937" i="4" a="1"/>
  <c r="AZ937" i="4" s="1"/>
  <c r="O119" i="5" s="1" a="1"/>
  <c r="O119" i="5" s="1"/>
  <c r="BB937" i="4" a="1"/>
  <c r="BB937" i="4" s="1"/>
  <c r="Q119" i="5" s="1" a="1"/>
  <c r="Q119" i="5" s="1"/>
  <c r="AY937" i="4" a="1"/>
  <c r="AY937" i="4" s="1"/>
  <c r="N119" i="5" s="1" a="1"/>
  <c r="N119" i="5" s="1"/>
  <c r="BC937" i="4" a="1"/>
  <c r="BC937" i="4" s="1"/>
  <c r="R119" i="5" s="1" a="1"/>
  <c r="R119" i="5" s="1"/>
  <c r="BA937" i="4" a="1"/>
  <c r="BA937" i="4" s="1"/>
  <c r="P119" i="5" s="1" a="1"/>
  <c r="P119" i="5" s="1"/>
  <c r="AW913" i="4" a="1"/>
  <c r="AW913" i="4" s="1"/>
  <c r="L95" i="5" s="1" a="1"/>
  <c r="L95" i="5" s="1"/>
  <c r="AX913" i="4" a="1"/>
  <c r="AX913" i="4" s="1"/>
  <c r="M95" i="5" s="1" a="1"/>
  <c r="M95" i="5" s="1"/>
  <c r="AU913" i="4" a="1"/>
  <c r="AU913" i="4" s="1"/>
  <c r="J95" i="5" s="1" a="1"/>
  <c r="J95" i="5" s="1"/>
  <c r="AV913" i="4" a="1"/>
  <c r="AV913" i="4" s="1"/>
  <c r="K95" i="5" s="1" a="1"/>
  <c r="K95" i="5" s="1"/>
  <c r="BB913" i="4" a="1"/>
  <c r="BB913" i="4" s="1"/>
  <c r="Q95" i="5" s="1" a="1"/>
  <c r="Q95" i="5" s="1"/>
  <c r="BC913" i="4" a="1"/>
  <c r="BC913" i="4" s="1"/>
  <c r="R95" i="5" s="1" a="1"/>
  <c r="R95" i="5" s="1"/>
  <c r="AZ913" i="4" a="1"/>
  <c r="AZ913" i="4" s="1"/>
  <c r="O95" i="5" s="1" a="1"/>
  <c r="O95" i="5" s="1"/>
  <c r="AY913" i="4" a="1"/>
  <c r="AY913" i="4" s="1"/>
  <c r="N95" i="5" s="1" a="1"/>
  <c r="N95" i="5" s="1"/>
  <c r="BA913" i="4" a="1"/>
  <c r="BA913" i="4" s="1"/>
  <c r="P95" i="5" s="1" a="1"/>
  <c r="P95" i="5" s="1"/>
  <c r="AX889" i="4" a="1"/>
  <c r="AX889" i="4" s="1"/>
  <c r="M71" i="5" s="1" a="1"/>
  <c r="M71" i="5" s="1"/>
  <c r="AY889" i="4" a="1"/>
  <c r="AY889" i="4" s="1"/>
  <c r="N71" i="5" s="1" a="1"/>
  <c r="N71" i="5" s="1"/>
  <c r="AZ889" i="4" a="1"/>
  <c r="AZ889" i="4" s="1"/>
  <c r="O71" i="5" s="1" a="1"/>
  <c r="O71" i="5" s="1"/>
  <c r="BA889" i="4" a="1"/>
  <c r="BA889" i="4" s="1"/>
  <c r="P71" i="5" s="1" a="1"/>
  <c r="P71" i="5" s="1"/>
  <c r="AU889" i="4" a="1"/>
  <c r="AU889" i="4" s="1"/>
  <c r="J71" i="5" s="1" a="1"/>
  <c r="J71" i="5" s="1"/>
  <c r="AV889" i="4" a="1"/>
  <c r="AV889" i="4" s="1"/>
  <c r="K71" i="5" s="1" a="1"/>
  <c r="K71" i="5" s="1"/>
  <c r="BC889" i="4" a="1"/>
  <c r="BC889" i="4" s="1"/>
  <c r="R71" i="5" s="1" a="1"/>
  <c r="R71" i="5" s="1"/>
  <c r="AW889" i="4" a="1"/>
  <c r="AW889" i="4" s="1"/>
  <c r="L71" i="5" s="1" a="1"/>
  <c r="L71" i="5" s="1"/>
  <c r="BB889" i="4" a="1"/>
  <c r="BB889" i="4" s="1"/>
  <c r="Q71" i="5" s="1" a="1"/>
  <c r="Q71" i="5" s="1"/>
  <c r="AU865" i="4" a="1"/>
  <c r="AU865" i="4" s="1"/>
  <c r="J47" i="5" s="1" a="1"/>
  <c r="J47" i="5" s="1"/>
  <c r="AV865" i="4" a="1"/>
  <c r="AV865" i="4" s="1"/>
  <c r="K47" i="5" s="1" a="1"/>
  <c r="K47" i="5" s="1"/>
  <c r="AZ865" i="4" a="1"/>
  <c r="AZ865" i="4" s="1"/>
  <c r="O47" i="5" s="1" a="1"/>
  <c r="O47" i="5" s="1"/>
  <c r="BC865" i="4" a="1"/>
  <c r="BC865" i="4" s="1"/>
  <c r="R47" i="5" s="1" a="1"/>
  <c r="R47" i="5" s="1"/>
  <c r="AX865" i="4" a="1"/>
  <c r="AX865" i="4" s="1"/>
  <c r="M47" i="5" s="1" a="1"/>
  <c r="M47" i="5" s="1"/>
  <c r="BB865" i="4" a="1"/>
  <c r="BB865" i="4" s="1"/>
  <c r="Q47" i="5" s="1" a="1"/>
  <c r="Q47" i="5" s="1"/>
  <c r="AW865" i="4" a="1"/>
  <c r="AW865" i="4" s="1"/>
  <c r="L47" i="5" s="1" a="1"/>
  <c r="L47" i="5" s="1"/>
  <c r="AY865" i="4" a="1"/>
  <c r="AY865" i="4" s="1"/>
  <c r="N47" i="5" s="1" a="1"/>
  <c r="N47" i="5" s="1"/>
  <c r="BA865" i="4" a="1"/>
  <c r="BA865" i="4" s="1"/>
  <c r="P47" i="5" s="1" a="1"/>
  <c r="P47" i="5" s="1"/>
  <c r="AU853" i="4" a="1"/>
  <c r="AU853" i="4" s="1"/>
  <c r="J35" i="5" s="1" a="1"/>
  <c r="J35" i="5" s="1"/>
  <c r="AV853" i="4" a="1"/>
  <c r="AV853" i="4" s="1"/>
  <c r="K35" i="5" s="1" a="1"/>
  <c r="K35" i="5" s="1"/>
  <c r="AX853" i="4" a="1"/>
  <c r="AX853" i="4" s="1"/>
  <c r="M35" i="5" s="1" a="1"/>
  <c r="M35" i="5" s="1"/>
  <c r="AY853" i="4" a="1"/>
  <c r="AY853" i="4" s="1"/>
  <c r="N35" i="5" s="1" a="1"/>
  <c r="N35" i="5" s="1"/>
  <c r="AW853" i="4" a="1"/>
  <c r="AW853" i="4" s="1"/>
  <c r="L35" i="5" s="1" a="1"/>
  <c r="L35" i="5" s="1"/>
  <c r="BC853" i="4" a="1"/>
  <c r="BC853" i="4" s="1"/>
  <c r="R35" i="5" s="1" a="1"/>
  <c r="R35" i="5" s="1"/>
  <c r="BA853" i="4" a="1"/>
  <c r="BA853" i="4" s="1"/>
  <c r="P35" i="5" s="1" a="1"/>
  <c r="P35" i="5" s="1"/>
  <c r="AZ853" i="4" a="1"/>
  <c r="AZ853" i="4" s="1"/>
  <c r="O35" i="5" s="1" a="1"/>
  <c r="O35" i="5" s="1"/>
  <c r="BB853" i="4" a="1"/>
  <c r="BB853" i="4" s="1"/>
  <c r="Q35" i="5" s="1" a="1"/>
  <c r="Q35" i="5" s="1"/>
  <c r="AW841" i="4" a="1"/>
  <c r="AW841" i="4" s="1"/>
  <c r="L23" i="5" s="1" a="1"/>
  <c r="L23" i="5" s="1"/>
  <c r="AU841" i="4" a="1"/>
  <c r="AU841" i="4" s="1"/>
  <c r="J23" i="5" s="1" a="1"/>
  <c r="J23" i="5" s="1"/>
  <c r="AV841" i="4" a="1"/>
  <c r="AV841" i="4" s="1"/>
  <c r="K23" i="5" s="1" a="1"/>
  <c r="K23" i="5" s="1"/>
  <c r="AX841" i="4" a="1"/>
  <c r="AX841" i="4" s="1"/>
  <c r="M23" i="5" s="1" a="1"/>
  <c r="M23" i="5" s="1"/>
  <c r="BB841" i="4" a="1"/>
  <c r="BB841" i="4" s="1"/>
  <c r="Q23" i="5" s="1" a="1"/>
  <c r="Q23" i="5" s="1"/>
  <c r="AY841" i="4" a="1"/>
  <c r="AY841" i="4" s="1"/>
  <c r="N23" i="5" s="1" a="1"/>
  <c r="N23" i="5" s="1"/>
  <c r="BA841" i="4" a="1"/>
  <c r="BA841" i="4" s="1"/>
  <c r="P23" i="5" s="1" a="1"/>
  <c r="P23" i="5" s="1"/>
  <c r="BC841" i="4" a="1"/>
  <c r="BC841" i="4" s="1"/>
  <c r="R23" i="5" s="1" a="1"/>
  <c r="R23" i="5" s="1"/>
  <c r="AZ841" i="4" a="1"/>
  <c r="AZ841" i="4" s="1"/>
  <c r="O23" i="5" s="1" a="1"/>
  <c r="O23" i="5" s="1"/>
  <c r="AX834" i="4" a="1"/>
  <c r="AX834" i="4" s="1"/>
  <c r="M16" i="5" s="1" a="1"/>
  <c r="M16" i="5" s="1"/>
  <c r="AY834" i="4" a="1"/>
  <c r="AY834" i="4" s="1"/>
  <c r="N16" i="5" s="1" a="1"/>
  <c r="N16" i="5" s="1"/>
  <c r="AU834" i="4" a="1"/>
  <c r="AU834" i="4" s="1"/>
  <c r="J16" i="5" s="1" a="1"/>
  <c r="J16" i="5" s="1"/>
  <c r="AV834" i="4" a="1"/>
  <c r="AV834" i="4" s="1"/>
  <c r="K16" i="5" s="1" a="1"/>
  <c r="K16" i="5" s="1"/>
  <c r="AW834" i="4" a="1"/>
  <c r="AW834" i="4" s="1"/>
  <c r="L16" i="5" s="1" a="1"/>
  <c r="L16" i="5" s="1"/>
  <c r="AZ834" i="4" a="1"/>
  <c r="AZ834" i="4" s="1"/>
  <c r="O16" i="5" s="1" a="1"/>
  <c r="O16" i="5" s="1"/>
  <c r="BB834" i="4" a="1"/>
  <c r="BB834" i="4" s="1"/>
  <c r="Q16" i="5" s="1" a="1"/>
  <c r="Q16" i="5" s="1"/>
  <c r="BC834" i="4" a="1"/>
  <c r="BC834" i="4" s="1"/>
  <c r="R16" i="5" s="1" a="1"/>
  <c r="R16" i="5" s="1"/>
  <c r="BA834" i="4" a="1"/>
  <c r="BA834" i="4" s="1"/>
  <c r="P16" i="5" s="1" a="1"/>
  <c r="P16" i="5" s="1"/>
  <c r="AW1008" i="4" a="1"/>
  <c r="AW1008" i="4" s="1"/>
  <c r="L190" i="5" s="1" a="1"/>
  <c r="L190" i="5" s="1"/>
  <c r="AX1008" i="4" a="1"/>
  <c r="AX1008" i="4" s="1"/>
  <c r="M190" i="5" s="1" a="1"/>
  <c r="M190" i="5" s="1"/>
  <c r="AU1008" i="4" a="1"/>
  <c r="AU1008" i="4" s="1"/>
  <c r="J190" i="5" s="1" a="1"/>
  <c r="J190" i="5" s="1"/>
  <c r="AV1008" i="4" a="1"/>
  <c r="AV1008" i="4" s="1"/>
  <c r="K190" i="5" s="1" a="1"/>
  <c r="K190" i="5" s="1"/>
  <c r="AY1008" i="4" a="1"/>
  <c r="AY1008" i="4" s="1"/>
  <c r="N190" i="5" s="1" a="1"/>
  <c r="N190" i="5" s="1"/>
  <c r="AZ1008" i="4" a="1"/>
  <c r="AZ1008" i="4" s="1"/>
  <c r="O190" i="5" s="1" a="1"/>
  <c r="O190" i="5" s="1"/>
  <c r="BA1008" i="4" a="1"/>
  <c r="BA1008" i="4" s="1"/>
  <c r="P190" i="5" s="1" a="1"/>
  <c r="P190" i="5" s="1"/>
  <c r="BC1008" i="4" a="1"/>
  <c r="BC1008" i="4" s="1"/>
  <c r="R190" i="5" s="1" a="1"/>
  <c r="R190" i="5" s="1"/>
  <c r="BB1008" i="4" a="1"/>
  <c r="BB1008" i="4" s="1"/>
  <c r="Q190" i="5" s="1" a="1"/>
  <c r="Q190" i="5" s="1"/>
  <c r="AV984" i="4" a="1"/>
  <c r="AV984" i="4" s="1"/>
  <c r="K166" i="5" s="1" a="1"/>
  <c r="K166" i="5" s="1"/>
  <c r="AW984" i="4" a="1"/>
  <c r="AW984" i="4" s="1"/>
  <c r="L166" i="5" s="1" a="1"/>
  <c r="L166" i="5" s="1"/>
  <c r="AU984" i="4" a="1"/>
  <c r="AU984" i="4" s="1"/>
  <c r="J166" i="5" s="1" a="1"/>
  <c r="J166" i="5" s="1"/>
  <c r="AX984" i="4" a="1"/>
  <c r="AX984" i="4" s="1"/>
  <c r="M166" i="5" s="1" a="1"/>
  <c r="M166" i="5" s="1"/>
  <c r="AZ984" i="4" a="1"/>
  <c r="AZ984" i="4" s="1"/>
  <c r="O166" i="5" s="1" a="1"/>
  <c r="O166" i="5" s="1"/>
  <c r="AY984" i="4" a="1"/>
  <c r="AY984" i="4" s="1"/>
  <c r="N166" i="5" s="1" a="1"/>
  <c r="N166" i="5" s="1"/>
  <c r="BB984" i="4" a="1"/>
  <c r="BB984" i="4" s="1"/>
  <c r="Q166" i="5" s="1" a="1"/>
  <c r="Q166" i="5" s="1"/>
  <c r="BA984" i="4" a="1"/>
  <c r="BA984" i="4" s="1"/>
  <c r="P166" i="5" s="1" a="1"/>
  <c r="P166" i="5" s="1"/>
  <c r="BC984" i="4" a="1"/>
  <c r="BC984" i="4" s="1"/>
  <c r="R166" i="5" s="1" a="1"/>
  <c r="R166" i="5" s="1"/>
  <c r="AX960" i="4" a="1"/>
  <c r="AX960" i="4" s="1"/>
  <c r="M142" i="5" s="1" a="1"/>
  <c r="M142" i="5" s="1"/>
  <c r="AY960" i="4" a="1"/>
  <c r="AY960" i="4" s="1"/>
  <c r="N142" i="5" s="1" a="1"/>
  <c r="N142" i="5" s="1"/>
  <c r="AU960" i="4" a="1"/>
  <c r="AU960" i="4" s="1"/>
  <c r="J142" i="5" s="1" a="1"/>
  <c r="J142" i="5" s="1"/>
  <c r="AV960" i="4" a="1"/>
  <c r="AV960" i="4" s="1"/>
  <c r="K142" i="5" s="1" a="1"/>
  <c r="K142" i="5" s="1"/>
  <c r="AW960" i="4" a="1"/>
  <c r="AW960" i="4" s="1"/>
  <c r="L142" i="5" s="1" a="1"/>
  <c r="L142" i="5" s="1"/>
  <c r="BC960" i="4" a="1"/>
  <c r="BC960" i="4" s="1"/>
  <c r="R142" i="5" s="1" a="1"/>
  <c r="R142" i="5" s="1"/>
  <c r="AZ960" i="4" a="1"/>
  <c r="AZ960" i="4" s="1"/>
  <c r="O142" i="5" s="1" a="1"/>
  <c r="O142" i="5" s="1"/>
  <c r="BB960" i="4" a="1"/>
  <c r="BB960" i="4" s="1"/>
  <c r="Q142" i="5" s="1" a="1"/>
  <c r="Q142" i="5" s="1"/>
  <c r="BA960" i="4" a="1"/>
  <c r="BA960" i="4" s="1"/>
  <c r="P142" i="5" s="1" a="1"/>
  <c r="P142" i="5" s="1"/>
  <c r="AW936" i="4" a="1"/>
  <c r="AW936" i="4" s="1"/>
  <c r="L118" i="5" s="1" a="1"/>
  <c r="L118" i="5" s="1"/>
  <c r="AU936" i="4" a="1"/>
  <c r="AU936" i="4" s="1"/>
  <c r="J118" i="5" s="1" a="1"/>
  <c r="J118" i="5" s="1"/>
  <c r="AV936" i="4" a="1"/>
  <c r="AV936" i="4" s="1"/>
  <c r="K118" i="5" s="1" a="1"/>
  <c r="K118" i="5" s="1"/>
  <c r="BB936" i="4" a="1"/>
  <c r="BB936" i="4" s="1"/>
  <c r="Q118" i="5" s="1" a="1"/>
  <c r="Q118" i="5" s="1"/>
  <c r="AZ936" i="4" a="1"/>
  <c r="AZ936" i="4" s="1"/>
  <c r="O118" i="5" s="1" a="1"/>
  <c r="O118" i="5" s="1"/>
  <c r="BC936" i="4" a="1"/>
  <c r="BC936" i="4" s="1"/>
  <c r="R118" i="5" s="1" a="1"/>
  <c r="R118" i="5" s="1"/>
  <c r="AY936" i="4" a="1"/>
  <c r="AY936" i="4" s="1"/>
  <c r="N118" i="5" s="1" a="1"/>
  <c r="N118" i="5" s="1"/>
  <c r="AX936" i="4" a="1"/>
  <c r="AX936" i="4" s="1"/>
  <c r="M118" i="5" s="1" a="1"/>
  <c r="M118" i="5" s="1"/>
  <c r="BA936" i="4" a="1"/>
  <c r="BA936" i="4" s="1"/>
  <c r="P118" i="5" s="1" a="1"/>
  <c r="P118" i="5" s="1"/>
  <c r="AU912" i="4" a="1"/>
  <c r="AU912" i="4" s="1"/>
  <c r="J94" i="5" s="1" a="1"/>
  <c r="J94" i="5" s="1"/>
  <c r="AV912" i="4" a="1"/>
  <c r="AV912" i="4" s="1"/>
  <c r="K94" i="5" s="1" a="1"/>
  <c r="K94" i="5" s="1"/>
  <c r="AW912" i="4" a="1"/>
  <c r="AW912" i="4" s="1"/>
  <c r="L94" i="5" s="1" a="1"/>
  <c r="L94" i="5" s="1"/>
  <c r="AX912" i="4" a="1"/>
  <c r="AX912" i="4" s="1"/>
  <c r="M94" i="5" s="1" a="1"/>
  <c r="M94" i="5" s="1"/>
  <c r="AZ912" i="4" a="1"/>
  <c r="AZ912" i="4" s="1"/>
  <c r="O94" i="5" s="1" a="1"/>
  <c r="O94" i="5" s="1"/>
  <c r="BB912" i="4" a="1"/>
  <c r="BB912" i="4" s="1"/>
  <c r="Q94" i="5" s="1" a="1"/>
  <c r="Q94" i="5" s="1"/>
  <c r="BA912" i="4" a="1"/>
  <c r="BA912" i="4" s="1"/>
  <c r="P94" i="5" s="1" a="1"/>
  <c r="P94" i="5" s="1"/>
  <c r="AY912" i="4" a="1"/>
  <c r="AY912" i="4" s="1"/>
  <c r="N94" i="5" s="1" a="1"/>
  <c r="N94" i="5" s="1"/>
  <c r="BC912" i="4" a="1"/>
  <c r="BC912" i="4" s="1"/>
  <c r="R94" i="5" s="1" a="1"/>
  <c r="R94" i="5" s="1"/>
  <c r="AV876" i="4" a="1"/>
  <c r="AV876" i="4" s="1"/>
  <c r="K58" i="5" s="1" a="1"/>
  <c r="K58" i="5" s="1"/>
  <c r="AW876" i="4" a="1"/>
  <c r="AW876" i="4" s="1"/>
  <c r="L58" i="5" s="1" a="1"/>
  <c r="L58" i="5" s="1"/>
  <c r="AY876" i="4" a="1"/>
  <c r="AY876" i="4" s="1"/>
  <c r="N58" i="5" s="1" a="1"/>
  <c r="N58" i="5" s="1"/>
  <c r="AU876" i="4" a="1"/>
  <c r="AU876" i="4" s="1"/>
  <c r="J58" i="5" s="1" a="1"/>
  <c r="J58" i="5" s="1"/>
  <c r="BA876" i="4" a="1"/>
  <c r="BA876" i="4" s="1"/>
  <c r="P58" i="5" s="1" a="1"/>
  <c r="P58" i="5" s="1"/>
  <c r="BB876" i="4" a="1"/>
  <c r="BB876" i="4" s="1"/>
  <c r="Q58" i="5" s="1" a="1"/>
  <c r="Q58" i="5" s="1"/>
  <c r="BC876" i="4" a="1"/>
  <c r="BC876" i="4" s="1"/>
  <c r="R58" i="5" s="1" a="1"/>
  <c r="R58" i="5" s="1"/>
  <c r="AZ876" i="4" a="1"/>
  <c r="AZ876" i="4" s="1"/>
  <c r="O58" i="5" s="1" a="1"/>
  <c r="O58" i="5" s="1"/>
  <c r="AX876" i="4" a="1"/>
  <c r="AX876" i="4" s="1"/>
  <c r="M58" i="5" s="1" a="1"/>
  <c r="M58" i="5" s="1"/>
  <c r="AU1031" i="4" a="1"/>
  <c r="AU1031" i="4" s="1"/>
  <c r="J213" i="5" s="1" a="1"/>
  <c r="J213" i="5" s="1"/>
  <c r="AV1031" i="4" a="1"/>
  <c r="AV1031" i="4" s="1"/>
  <c r="K213" i="5" s="1" a="1"/>
  <c r="K213" i="5" s="1"/>
  <c r="AW1031" i="4" a="1"/>
  <c r="AW1031" i="4" s="1"/>
  <c r="L213" i="5" s="1" a="1"/>
  <c r="L213" i="5" s="1"/>
  <c r="AX1031" i="4" a="1"/>
  <c r="AX1031" i="4" s="1"/>
  <c r="M213" i="5" s="1" a="1"/>
  <c r="M213" i="5" s="1"/>
  <c r="AZ1031" i="4" a="1"/>
  <c r="AZ1031" i="4" s="1"/>
  <c r="O213" i="5" s="1" a="1"/>
  <c r="O213" i="5" s="1"/>
  <c r="BC1031" i="4" a="1"/>
  <c r="BC1031" i="4" s="1"/>
  <c r="R213" i="5" s="1" a="1"/>
  <c r="R213" i="5" s="1"/>
  <c r="BA1031" i="4" a="1"/>
  <c r="BA1031" i="4" s="1"/>
  <c r="P213" i="5" s="1" a="1"/>
  <c r="P213" i="5" s="1"/>
  <c r="AY1031" i="4" a="1"/>
  <c r="AY1031" i="4" s="1"/>
  <c r="N213" i="5" s="1" a="1"/>
  <c r="N213" i="5" s="1"/>
  <c r="BB1031" i="4" a="1"/>
  <c r="BB1031" i="4" s="1"/>
  <c r="Q213" i="5" s="1" a="1"/>
  <c r="Q213" i="5" s="1"/>
  <c r="AW1027" i="4" a="1"/>
  <c r="AW1027" i="4" s="1"/>
  <c r="L209" i="5" s="1" a="1"/>
  <c r="L209" i="5" s="1"/>
  <c r="AV1027" i="4" a="1"/>
  <c r="AV1027" i="4" s="1"/>
  <c r="K209" i="5" s="1" a="1"/>
  <c r="K209" i="5" s="1"/>
  <c r="AU1027" i="4" a="1"/>
  <c r="AU1027" i="4" s="1"/>
  <c r="J209" i="5" s="1" a="1"/>
  <c r="J209" i="5" s="1"/>
  <c r="BA1027" i="4" a="1"/>
  <c r="BA1027" i="4" s="1"/>
  <c r="P209" i="5" s="1" a="1"/>
  <c r="P209" i="5" s="1"/>
  <c r="BC1027" i="4" a="1"/>
  <c r="BC1027" i="4" s="1"/>
  <c r="R209" i="5" s="1" a="1"/>
  <c r="R209" i="5" s="1"/>
  <c r="AZ1027" i="4" a="1"/>
  <c r="AZ1027" i="4" s="1"/>
  <c r="O209" i="5" s="1" a="1"/>
  <c r="O209" i="5" s="1"/>
  <c r="AX1027" i="4" a="1"/>
  <c r="AX1027" i="4" s="1"/>
  <c r="M209" i="5" s="1" a="1"/>
  <c r="M209" i="5" s="1"/>
  <c r="BB1027" i="4" a="1"/>
  <c r="BB1027" i="4" s="1"/>
  <c r="Q209" i="5" s="1" a="1"/>
  <c r="Q209" i="5" s="1"/>
  <c r="AY1027" i="4" a="1"/>
  <c r="AY1027" i="4" s="1"/>
  <c r="N209" i="5" s="1" a="1"/>
  <c r="N209" i="5" s="1"/>
  <c r="AU1015" i="4" a="1"/>
  <c r="AU1015" i="4" s="1"/>
  <c r="J197" i="5" s="1" a="1"/>
  <c r="J197" i="5" s="1"/>
  <c r="AV1015" i="4" a="1"/>
  <c r="AV1015" i="4" s="1"/>
  <c r="K197" i="5" s="1" a="1"/>
  <c r="K197" i="5" s="1"/>
  <c r="AW1015" i="4" a="1"/>
  <c r="AW1015" i="4" s="1"/>
  <c r="L197" i="5" s="1" a="1"/>
  <c r="L197" i="5" s="1"/>
  <c r="AX1015" i="4" a="1"/>
  <c r="AX1015" i="4" s="1"/>
  <c r="M197" i="5" s="1" a="1"/>
  <c r="M197" i="5" s="1"/>
  <c r="AY1015" i="4" a="1"/>
  <c r="AY1015" i="4" s="1"/>
  <c r="N197" i="5" s="1" a="1"/>
  <c r="N197" i="5" s="1"/>
  <c r="AZ1015" i="4" a="1"/>
  <c r="AZ1015" i="4" s="1"/>
  <c r="O197" i="5" s="1" a="1"/>
  <c r="O197" i="5" s="1"/>
  <c r="BA1015" i="4" a="1"/>
  <c r="BA1015" i="4" s="1"/>
  <c r="P197" i="5" s="1" a="1"/>
  <c r="P197" i="5" s="1"/>
  <c r="BB1015" i="4" a="1"/>
  <c r="BB1015" i="4" s="1"/>
  <c r="Q197" i="5" s="1" a="1"/>
  <c r="Q197" i="5" s="1"/>
  <c r="BC1015" i="4" a="1"/>
  <c r="BC1015" i="4" s="1"/>
  <c r="R197" i="5" s="1" a="1"/>
  <c r="R197" i="5" s="1"/>
  <c r="AU1003" i="4" a="1"/>
  <c r="AU1003" i="4" s="1"/>
  <c r="J185" i="5" s="1" a="1"/>
  <c r="J185" i="5" s="1"/>
  <c r="AV1003" i="4" a="1"/>
  <c r="AV1003" i="4" s="1"/>
  <c r="K185" i="5" s="1" a="1"/>
  <c r="K185" i="5" s="1"/>
  <c r="AX1003" i="4" a="1"/>
  <c r="AX1003" i="4" s="1"/>
  <c r="M185" i="5" s="1" a="1"/>
  <c r="M185" i="5" s="1"/>
  <c r="BB1003" i="4" a="1"/>
  <c r="BB1003" i="4" s="1"/>
  <c r="Q185" i="5" s="1" a="1"/>
  <c r="Q185" i="5" s="1"/>
  <c r="AZ1003" i="4" a="1"/>
  <c r="AZ1003" i="4" s="1"/>
  <c r="O185" i="5" s="1" a="1"/>
  <c r="O185" i="5" s="1"/>
  <c r="BC1003" i="4" a="1"/>
  <c r="BC1003" i="4" s="1"/>
  <c r="R185" i="5" s="1" a="1"/>
  <c r="R185" i="5" s="1"/>
  <c r="AW1003" i="4" a="1"/>
  <c r="AW1003" i="4" s="1"/>
  <c r="L185" i="5" s="1" a="1"/>
  <c r="L185" i="5" s="1"/>
  <c r="BA1003" i="4" a="1"/>
  <c r="BA1003" i="4" s="1"/>
  <c r="P185" i="5" s="1" a="1"/>
  <c r="P185" i="5" s="1"/>
  <c r="AY1003" i="4" a="1"/>
  <c r="AY1003" i="4" s="1"/>
  <c r="N185" i="5" s="1" a="1"/>
  <c r="N185" i="5" s="1"/>
  <c r="AZ991" i="4" a="1"/>
  <c r="AZ991" i="4" s="1"/>
  <c r="O173" i="5" s="1" a="1"/>
  <c r="O173" i="5" s="1"/>
  <c r="BA991" i="4" a="1"/>
  <c r="BA991" i="4" s="1"/>
  <c r="P173" i="5" s="1" a="1"/>
  <c r="P173" i="5" s="1"/>
  <c r="AV991" i="4" a="1"/>
  <c r="AV991" i="4" s="1"/>
  <c r="K173" i="5" s="1" a="1"/>
  <c r="K173" i="5" s="1"/>
  <c r="AU991" i="4" a="1"/>
  <c r="AU991" i="4" s="1"/>
  <c r="J173" i="5" s="1" a="1"/>
  <c r="J173" i="5" s="1"/>
  <c r="AW991" i="4" a="1"/>
  <c r="AW991" i="4" s="1"/>
  <c r="L173" i="5" s="1" a="1"/>
  <c r="L173" i="5" s="1"/>
  <c r="AX991" i="4" a="1"/>
  <c r="AX991" i="4" s="1"/>
  <c r="M173" i="5" s="1" a="1"/>
  <c r="M173" i="5" s="1"/>
  <c r="AY991" i="4" a="1"/>
  <c r="AY991" i="4" s="1"/>
  <c r="N173" i="5" s="1" a="1"/>
  <c r="N173" i="5" s="1"/>
  <c r="BC991" i="4" a="1"/>
  <c r="BC991" i="4" s="1"/>
  <c r="R173" i="5" s="1" a="1"/>
  <c r="R173" i="5" s="1"/>
  <c r="BB991" i="4" a="1"/>
  <c r="BB991" i="4" s="1"/>
  <c r="Q173" i="5" s="1" a="1"/>
  <c r="Q173" i="5" s="1"/>
  <c r="AW979" i="4" a="1"/>
  <c r="AW979" i="4" s="1"/>
  <c r="L161" i="5" s="1" a="1"/>
  <c r="L161" i="5" s="1"/>
  <c r="AZ979" i="4" a="1"/>
  <c r="AZ979" i="4" s="1"/>
  <c r="O161" i="5" s="1" a="1"/>
  <c r="O161" i="5" s="1"/>
  <c r="AU979" i="4" a="1"/>
  <c r="AU979" i="4" s="1"/>
  <c r="J161" i="5" s="1" a="1"/>
  <c r="J161" i="5" s="1"/>
  <c r="AV979" i="4" a="1"/>
  <c r="AV979" i="4" s="1"/>
  <c r="K161" i="5" s="1" a="1"/>
  <c r="K161" i="5" s="1"/>
  <c r="BB979" i="4" a="1"/>
  <c r="BB979" i="4" s="1"/>
  <c r="Q161" i="5" s="1" a="1"/>
  <c r="Q161" i="5" s="1"/>
  <c r="BA979" i="4" a="1"/>
  <c r="BA979" i="4" s="1"/>
  <c r="P161" i="5" s="1" a="1"/>
  <c r="P161" i="5" s="1"/>
  <c r="AX979" i="4" a="1"/>
  <c r="AX979" i="4" s="1"/>
  <c r="M161" i="5" s="1" a="1"/>
  <c r="M161" i="5" s="1"/>
  <c r="AY979" i="4" a="1"/>
  <c r="AY979" i="4" s="1"/>
  <c r="N161" i="5" s="1" a="1"/>
  <c r="N161" i="5" s="1"/>
  <c r="BC979" i="4" a="1"/>
  <c r="BC979" i="4" s="1"/>
  <c r="R161" i="5" s="1" a="1"/>
  <c r="R161" i="5" s="1"/>
  <c r="AU967" i="4" a="1"/>
  <c r="AU967" i="4" s="1"/>
  <c r="J149" i="5" s="1" a="1"/>
  <c r="J149" i="5" s="1"/>
  <c r="AV967" i="4" a="1"/>
  <c r="AV967" i="4" s="1"/>
  <c r="K149" i="5" s="1" a="1"/>
  <c r="K149" i="5" s="1"/>
  <c r="AW967" i="4" a="1"/>
  <c r="AW967" i="4" s="1"/>
  <c r="L149" i="5" s="1" a="1"/>
  <c r="L149" i="5" s="1"/>
  <c r="AZ967" i="4" a="1"/>
  <c r="AZ967" i="4" s="1"/>
  <c r="O149" i="5" s="1" a="1"/>
  <c r="O149" i="5" s="1"/>
  <c r="BC967" i="4" a="1"/>
  <c r="BC967" i="4" s="1"/>
  <c r="R149" i="5" s="1" a="1"/>
  <c r="R149" i="5" s="1"/>
  <c r="BA967" i="4" a="1"/>
  <c r="BA967" i="4" s="1"/>
  <c r="P149" i="5" s="1" a="1"/>
  <c r="P149" i="5" s="1"/>
  <c r="BB967" i="4" a="1"/>
  <c r="BB967" i="4" s="1"/>
  <c r="Q149" i="5" s="1" a="1"/>
  <c r="Q149" i="5" s="1"/>
  <c r="AY967" i="4" a="1"/>
  <c r="AY967" i="4" s="1"/>
  <c r="N149" i="5" s="1" a="1"/>
  <c r="N149" i="5" s="1"/>
  <c r="AX967" i="4" a="1"/>
  <c r="AX967" i="4" s="1"/>
  <c r="M149" i="5" s="1" a="1"/>
  <c r="M149" i="5" s="1"/>
  <c r="AU955" i="4" a="1"/>
  <c r="AU955" i="4" s="1"/>
  <c r="J137" i="5" s="1" a="1"/>
  <c r="J137" i="5" s="1"/>
  <c r="AV955" i="4" a="1"/>
  <c r="AV955" i="4" s="1"/>
  <c r="K137" i="5" s="1" a="1"/>
  <c r="K137" i="5" s="1"/>
  <c r="AW955" i="4" a="1"/>
  <c r="AW955" i="4" s="1"/>
  <c r="L137" i="5" s="1" a="1"/>
  <c r="L137" i="5" s="1"/>
  <c r="BA955" i="4" a="1"/>
  <c r="BA955" i="4" s="1"/>
  <c r="P137" i="5" s="1" a="1"/>
  <c r="P137" i="5" s="1"/>
  <c r="BB955" i="4" a="1"/>
  <c r="BB955" i="4" s="1"/>
  <c r="Q137" i="5" s="1" a="1"/>
  <c r="Q137" i="5" s="1"/>
  <c r="AZ955" i="4" a="1"/>
  <c r="AZ955" i="4" s="1"/>
  <c r="O137" i="5" s="1" a="1"/>
  <c r="O137" i="5" s="1"/>
  <c r="AY955" i="4" a="1"/>
  <c r="AY955" i="4" s="1"/>
  <c r="N137" i="5" s="1" a="1"/>
  <c r="N137" i="5" s="1"/>
  <c r="AX955" i="4" a="1"/>
  <c r="AX955" i="4" s="1"/>
  <c r="M137" i="5" s="1" a="1"/>
  <c r="M137" i="5" s="1"/>
  <c r="BC955" i="4" a="1"/>
  <c r="BC955" i="4" s="1"/>
  <c r="R137" i="5" s="1" a="1"/>
  <c r="R137" i="5" s="1"/>
  <c r="AW943" i="4" a="1"/>
  <c r="AW943" i="4" s="1"/>
  <c r="L125" i="5" s="1" a="1"/>
  <c r="L125" i="5" s="1"/>
  <c r="AX943" i="4" a="1"/>
  <c r="AX943" i="4" s="1"/>
  <c r="M125" i="5" s="1" a="1"/>
  <c r="M125" i="5" s="1"/>
  <c r="BB943" i="4" a="1"/>
  <c r="BB943" i="4" s="1"/>
  <c r="Q125" i="5" s="1" a="1"/>
  <c r="Q125" i="5" s="1"/>
  <c r="BC943" i="4" a="1"/>
  <c r="BC943" i="4" s="1"/>
  <c r="R125" i="5" s="1" a="1"/>
  <c r="R125" i="5" s="1"/>
  <c r="AY943" i="4" a="1"/>
  <c r="AY943" i="4" s="1"/>
  <c r="N125" i="5" s="1" a="1"/>
  <c r="N125" i="5" s="1"/>
  <c r="AZ943" i="4" a="1"/>
  <c r="AZ943" i="4" s="1"/>
  <c r="O125" i="5" s="1" a="1"/>
  <c r="O125" i="5" s="1"/>
  <c r="BA943" i="4" a="1"/>
  <c r="BA943" i="4" s="1"/>
  <c r="P125" i="5" s="1" a="1"/>
  <c r="P125" i="5" s="1"/>
  <c r="AU943" i="4" a="1"/>
  <c r="AU943" i="4" s="1"/>
  <c r="J125" i="5" s="1" a="1"/>
  <c r="J125" i="5" s="1"/>
  <c r="AV943" i="4" a="1"/>
  <c r="AV943" i="4" s="1"/>
  <c r="K125" i="5" s="1" a="1"/>
  <c r="K125" i="5" s="1"/>
  <c r="AU931" i="4" a="1"/>
  <c r="AU931" i="4" s="1"/>
  <c r="J113" i="5" s="1" a="1"/>
  <c r="J113" i="5" s="1"/>
  <c r="AW931" i="4" a="1"/>
  <c r="AW931" i="4" s="1"/>
  <c r="L113" i="5" s="1" a="1"/>
  <c r="L113" i="5" s="1"/>
  <c r="AX931" i="4" a="1"/>
  <c r="AX931" i="4" s="1"/>
  <c r="M113" i="5" s="1" a="1"/>
  <c r="M113" i="5" s="1"/>
  <c r="AY931" i="4" a="1"/>
  <c r="AY931" i="4" s="1"/>
  <c r="N113" i="5" s="1" a="1"/>
  <c r="N113" i="5" s="1"/>
  <c r="AV931" i="4" a="1"/>
  <c r="AV931" i="4" s="1"/>
  <c r="K113" i="5" s="1" a="1"/>
  <c r="K113" i="5" s="1"/>
  <c r="BA931" i="4" a="1"/>
  <c r="BA931" i="4" s="1"/>
  <c r="P113" i="5" s="1" a="1"/>
  <c r="P113" i="5" s="1"/>
  <c r="BC931" i="4" a="1"/>
  <c r="BC931" i="4" s="1"/>
  <c r="R113" i="5" s="1" a="1"/>
  <c r="R113" i="5" s="1"/>
  <c r="AZ931" i="4" a="1"/>
  <c r="AZ931" i="4" s="1"/>
  <c r="O113" i="5" s="1" a="1"/>
  <c r="O113" i="5" s="1"/>
  <c r="BB931" i="4" a="1"/>
  <c r="BB931" i="4" s="1"/>
  <c r="Q113" i="5" s="1" a="1"/>
  <c r="Q113" i="5" s="1"/>
  <c r="AU919" i="4" a="1"/>
  <c r="AU919" i="4" s="1"/>
  <c r="J101" i="5" s="1" a="1"/>
  <c r="J101" i="5" s="1"/>
  <c r="AV919" i="4" a="1"/>
  <c r="AV919" i="4" s="1"/>
  <c r="K101" i="5" s="1" a="1"/>
  <c r="K101" i="5" s="1"/>
  <c r="AW919" i="4" a="1"/>
  <c r="AW919" i="4" s="1"/>
  <c r="L101" i="5" s="1" a="1"/>
  <c r="L101" i="5" s="1"/>
  <c r="BB919" i="4" a="1"/>
  <c r="BB919" i="4" s="1"/>
  <c r="Q101" i="5" s="1" a="1"/>
  <c r="Q101" i="5" s="1"/>
  <c r="AZ919" i="4" a="1"/>
  <c r="AZ919" i="4" s="1"/>
  <c r="O101" i="5" s="1" a="1"/>
  <c r="O101" i="5" s="1"/>
  <c r="BA919" i="4" a="1"/>
  <c r="BA919" i="4" s="1"/>
  <c r="P101" i="5" s="1" a="1"/>
  <c r="P101" i="5" s="1"/>
  <c r="BC919" i="4" a="1"/>
  <c r="BC919" i="4" s="1"/>
  <c r="R101" i="5" s="1" a="1"/>
  <c r="R101" i="5" s="1"/>
  <c r="AY919" i="4" a="1"/>
  <c r="AY919" i="4" s="1"/>
  <c r="N101" i="5" s="1" a="1"/>
  <c r="N101" i="5" s="1"/>
  <c r="AX919" i="4" a="1"/>
  <c r="AX919" i="4" s="1"/>
  <c r="M101" i="5" s="1" a="1"/>
  <c r="M101" i="5" s="1"/>
  <c r="AU907" i="4" a="1"/>
  <c r="AU907" i="4" s="1"/>
  <c r="J89" i="5" s="1" a="1"/>
  <c r="J89" i="5" s="1"/>
  <c r="AV907" i="4" a="1"/>
  <c r="AV907" i="4" s="1"/>
  <c r="K89" i="5" s="1" a="1"/>
  <c r="K89" i="5" s="1"/>
  <c r="AW907" i="4" a="1"/>
  <c r="AW907" i="4" s="1"/>
  <c r="L89" i="5" s="1" a="1"/>
  <c r="L89" i="5" s="1"/>
  <c r="AY907" i="4" a="1"/>
  <c r="AY907" i="4" s="1"/>
  <c r="N89" i="5" s="1" a="1"/>
  <c r="N89" i="5" s="1"/>
  <c r="BA907" i="4" a="1"/>
  <c r="BA907" i="4" s="1"/>
  <c r="P89" i="5" s="1" a="1"/>
  <c r="P89" i="5" s="1"/>
  <c r="AX907" i="4" a="1"/>
  <c r="AX907" i="4" s="1"/>
  <c r="M89" i="5" s="1" a="1"/>
  <c r="M89" i="5" s="1"/>
  <c r="BC907" i="4" a="1"/>
  <c r="BC907" i="4" s="1"/>
  <c r="R89" i="5" s="1" a="1"/>
  <c r="R89" i="5" s="1"/>
  <c r="BB907" i="4" a="1"/>
  <c r="BB907" i="4" s="1"/>
  <c r="Q89" i="5" s="1" a="1"/>
  <c r="Q89" i="5" s="1"/>
  <c r="AZ907" i="4" a="1"/>
  <c r="AZ907" i="4" s="1"/>
  <c r="O89" i="5" s="1" a="1"/>
  <c r="O89" i="5" s="1"/>
  <c r="AU895" i="4" a="1"/>
  <c r="AU895" i="4" s="1"/>
  <c r="J77" i="5" s="1" a="1"/>
  <c r="J77" i="5" s="1"/>
  <c r="AV895" i="4" a="1"/>
  <c r="AV895" i="4" s="1"/>
  <c r="K77" i="5" s="1" a="1"/>
  <c r="K77" i="5" s="1"/>
  <c r="AY895" i="4" a="1"/>
  <c r="AY895" i="4" s="1"/>
  <c r="N77" i="5" s="1" a="1"/>
  <c r="N77" i="5" s="1"/>
  <c r="AZ895" i="4" a="1"/>
  <c r="AZ895" i="4" s="1"/>
  <c r="O77" i="5" s="1" a="1"/>
  <c r="O77" i="5" s="1"/>
  <c r="BB895" i="4" a="1"/>
  <c r="BB895" i="4" s="1"/>
  <c r="Q77" i="5" s="1" a="1"/>
  <c r="Q77" i="5" s="1"/>
  <c r="BA895" i="4" a="1"/>
  <c r="BA895" i="4" s="1"/>
  <c r="P77" i="5" s="1" a="1"/>
  <c r="P77" i="5" s="1"/>
  <c r="BC895" i="4" a="1"/>
  <c r="BC895" i="4" s="1"/>
  <c r="R77" i="5" s="1" a="1"/>
  <c r="R77" i="5" s="1"/>
  <c r="AX895" i="4" a="1"/>
  <c r="AX895" i="4" s="1"/>
  <c r="M77" i="5" s="1" a="1"/>
  <c r="M77" i="5" s="1"/>
  <c r="AW895" i="4" a="1"/>
  <c r="AW895" i="4" s="1"/>
  <c r="L77" i="5" s="1" a="1"/>
  <c r="L77" i="5" s="1"/>
  <c r="AW883" i="4" a="1"/>
  <c r="AW883" i="4" s="1"/>
  <c r="L65" i="5" s="1" a="1"/>
  <c r="L65" i="5" s="1"/>
  <c r="AZ883" i="4" a="1"/>
  <c r="AZ883" i="4" s="1"/>
  <c r="O65" i="5" s="1" a="1"/>
  <c r="O65" i="5" s="1"/>
  <c r="BA883" i="4" a="1"/>
  <c r="BA883" i="4" s="1"/>
  <c r="P65" i="5" s="1" a="1"/>
  <c r="P65" i="5" s="1"/>
  <c r="AU883" i="4" a="1"/>
  <c r="AU883" i="4" s="1"/>
  <c r="J65" i="5" s="1" a="1"/>
  <c r="J65" i="5" s="1"/>
  <c r="AV883" i="4" a="1"/>
  <c r="AV883" i="4" s="1"/>
  <c r="K65" i="5" s="1" a="1"/>
  <c r="K65" i="5" s="1"/>
  <c r="AY883" i="4" a="1"/>
  <c r="AY883" i="4" s="1"/>
  <c r="N65" i="5" s="1" a="1"/>
  <c r="N65" i="5" s="1"/>
  <c r="BC883" i="4" a="1"/>
  <c r="BC883" i="4" s="1"/>
  <c r="R65" i="5" s="1" a="1"/>
  <c r="R65" i="5" s="1"/>
  <c r="AX883" i="4" a="1"/>
  <c r="AX883" i="4" s="1"/>
  <c r="M65" i="5" s="1" a="1"/>
  <c r="M65" i="5" s="1"/>
  <c r="BB883" i="4" a="1"/>
  <c r="BB883" i="4" s="1"/>
  <c r="Q65" i="5" s="1" a="1"/>
  <c r="Q65" i="5" s="1"/>
  <c r="AU871" i="4" a="1"/>
  <c r="AU871" i="4" s="1"/>
  <c r="J53" i="5" s="1" a="1"/>
  <c r="J53" i="5" s="1"/>
  <c r="AV871" i="4" a="1"/>
  <c r="AV871" i="4" s="1"/>
  <c r="K53" i="5" s="1" a="1"/>
  <c r="K53" i="5" s="1"/>
  <c r="AZ871" i="4" a="1"/>
  <c r="AZ871" i="4" s="1"/>
  <c r="O53" i="5" s="1" a="1"/>
  <c r="O53" i="5" s="1"/>
  <c r="BA871" i="4" a="1"/>
  <c r="BA871" i="4" s="1"/>
  <c r="P53" i="5" s="1" a="1"/>
  <c r="P53" i="5" s="1"/>
  <c r="BC871" i="4" a="1"/>
  <c r="BC871" i="4" s="1"/>
  <c r="R53" i="5" s="1" a="1"/>
  <c r="R53" i="5" s="1"/>
  <c r="AW871" i="4" a="1"/>
  <c r="AW871" i="4" s="1"/>
  <c r="L53" i="5" s="1" a="1"/>
  <c r="L53" i="5" s="1"/>
  <c r="BB871" i="4" a="1"/>
  <c r="BB871" i="4" s="1"/>
  <c r="Q53" i="5" s="1" a="1"/>
  <c r="Q53" i="5" s="1"/>
  <c r="AY871" i="4" a="1"/>
  <c r="AY871" i="4" s="1"/>
  <c r="N53" i="5" s="1" a="1"/>
  <c r="N53" i="5" s="1"/>
  <c r="AX871" i="4" a="1"/>
  <c r="AX871" i="4" s="1"/>
  <c r="M53" i="5" s="1" a="1"/>
  <c r="M53" i="5" s="1"/>
  <c r="AV859" i="4" a="1"/>
  <c r="AV859" i="4" s="1"/>
  <c r="K41" i="5" s="1" a="1"/>
  <c r="K41" i="5" s="1"/>
  <c r="AU859" i="4" a="1"/>
  <c r="AU859" i="4" s="1"/>
  <c r="J41" i="5" s="1" a="1"/>
  <c r="J41" i="5" s="1"/>
  <c r="BA859" i="4" a="1"/>
  <c r="BA859" i="4" s="1"/>
  <c r="P41" i="5" s="1" a="1"/>
  <c r="P41" i="5" s="1"/>
  <c r="BB859" i="4" a="1"/>
  <c r="BB859" i="4" s="1"/>
  <c r="Q41" i="5" s="1" a="1"/>
  <c r="Q41" i="5" s="1"/>
  <c r="AW859" i="4" a="1"/>
  <c r="AW859" i="4" s="1"/>
  <c r="L41" i="5" s="1" a="1"/>
  <c r="L41" i="5" s="1"/>
  <c r="AX859" i="4" a="1"/>
  <c r="AX859" i="4" s="1"/>
  <c r="M41" i="5" s="1" a="1"/>
  <c r="M41" i="5" s="1"/>
  <c r="AY859" i="4" a="1"/>
  <c r="AY859" i="4" s="1"/>
  <c r="N41" i="5" s="1" a="1"/>
  <c r="N41" i="5" s="1"/>
  <c r="BC859" i="4" a="1"/>
  <c r="BC859" i="4" s="1"/>
  <c r="R41" i="5" s="1" a="1"/>
  <c r="R41" i="5" s="1"/>
  <c r="AZ859" i="4" a="1"/>
  <c r="AZ859" i="4" s="1"/>
  <c r="O41" i="5" s="1" a="1"/>
  <c r="O41" i="5" s="1"/>
  <c r="AU847" i="4" a="1"/>
  <c r="AU847" i="4" s="1"/>
  <c r="J29" i="5" s="1" a="1"/>
  <c r="J29" i="5" s="1"/>
  <c r="AV847" i="4" a="1"/>
  <c r="AV847" i="4" s="1"/>
  <c r="K29" i="5" s="1" a="1"/>
  <c r="K29" i="5" s="1"/>
  <c r="AW847" i="4" a="1"/>
  <c r="AW847" i="4" s="1"/>
  <c r="L29" i="5" s="1" a="1"/>
  <c r="L29" i="5" s="1"/>
  <c r="AX847" i="4" a="1"/>
  <c r="AX847" i="4" s="1"/>
  <c r="M29" i="5" s="1" a="1"/>
  <c r="M29" i="5" s="1"/>
  <c r="BC847" i="4" a="1"/>
  <c r="BC847" i="4" s="1"/>
  <c r="R29" i="5" s="1" a="1"/>
  <c r="R29" i="5" s="1"/>
  <c r="BA847" i="4" a="1"/>
  <c r="BA847" i="4" s="1"/>
  <c r="P29" i="5" s="1" a="1"/>
  <c r="P29" i="5" s="1"/>
  <c r="AY847" i="4" a="1"/>
  <c r="AY847" i="4" s="1"/>
  <c r="N29" i="5" s="1" a="1"/>
  <c r="N29" i="5" s="1"/>
  <c r="AZ847" i="4" a="1"/>
  <c r="AZ847" i="4" s="1"/>
  <c r="O29" i="5" s="1" a="1"/>
  <c r="O29" i="5" s="1"/>
  <c r="BB847" i="4" a="1"/>
  <c r="BB847" i="4" s="1"/>
  <c r="Q29" i="5" s="1" a="1"/>
  <c r="Q29" i="5" s="1"/>
  <c r="AU835" i="4" a="1"/>
  <c r="AU835" i="4" s="1"/>
  <c r="J17" i="5" s="1" a="1"/>
  <c r="J17" i="5" s="1"/>
  <c r="AV835" i="4" a="1"/>
  <c r="AV835" i="4" s="1"/>
  <c r="K17" i="5" s="1" a="1"/>
  <c r="K17" i="5" s="1"/>
  <c r="BB835" i="4" a="1"/>
  <c r="BB835" i="4" s="1"/>
  <c r="Q17" i="5" s="1" a="1"/>
  <c r="Q17" i="5" s="1"/>
  <c r="BA835" i="4" a="1"/>
  <c r="BA835" i="4" s="1"/>
  <c r="P17" i="5" s="1" a="1"/>
  <c r="P17" i="5" s="1"/>
  <c r="AZ835" i="4" a="1"/>
  <c r="AZ835" i="4" s="1"/>
  <c r="O17" i="5" s="1" a="1"/>
  <c r="O17" i="5" s="1"/>
  <c r="AX835" i="4" a="1"/>
  <c r="AX835" i="4" s="1"/>
  <c r="M17" i="5" s="1" a="1"/>
  <c r="M17" i="5" s="1"/>
  <c r="BC835" i="4" a="1"/>
  <c r="BC835" i="4" s="1"/>
  <c r="R17" i="5" s="1" a="1"/>
  <c r="R17" i="5" s="1"/>
  <c r="AW835" i="4" a="1"/>
  <c r="AW835" i="4" s="1"/>
  <c r="L17" i="5" s="1" a="1"/>
  <c r="L17" i="5" s="1"/>
  <c r="AY835" i="4" a="1"/>
  <c r="AY835" i="4" s="1"/>
  <c r="N17" i="5" s="1" a="1"/>
  <c r="N17" i="5" s="1"/>
  <c r="BB1026" i="4" a="1"/>
  <c r="BB1026" i="4" s="1"/>
  <c r="Q208" i="5" s="1" a="1"/>
  <c r="Q208" i="5" s="1"/>
  <c r="BC1026" i="4" a="1"/>
  <c r="BC1026" i="4" s="1"/>
  <c r="R208" i="5" s="1" a="1"/>
  <c r="R208" i="5" s="1"/>
  <c r="AU1026" i="4" a="1"/>
  <c r="AU1026" i="4" s="1"/>
  <c r="J208" i="5" s="1" a="1"/>
  <c r="J208" i="5" s="1"/>
  <c r="AV1026" i="4" a="1"/>
  <c r="AV1026" i="4" s="1"/>
  <c r="K208" i="5" s="1" a="1"/>
  <c r="K208" i="5" s="1"/>
  <c r="BA1026" i="4" a="1"/>
  <c r="BA1026" i="4" s="1"/>
  <c r="P208" i="5" s="1" a="1"/>
  <c r="P208" i="5" s="1"/>
  <c r="AX1026" i="4" a="1"/>
  <c r="AX1026" i="4" s="1"/>
  <c r="M208" i="5" s="1" a="1"/>
  <c r="M208" i="5" s="1"/>
  <c r="AZ1026" i="4" a="1"/>
  <c r="AZ1026" i="4" s="1"/>
  <c r="O208" i="5" s="1" a="1"/>
  <c r="O208" i="5" s="1"/>
  <c r="AW1026" i="4" a="1"/>
  <c r="AW1026" i="4" s="1"/>
  <c r="L208" i="5" s="1" a="1"/>
  <c r="L208" i="5" s="1"/>
  <c r="AY1026" i="4" a="1"/>
  <c r="AY1026" i="4" s="1"/>
  <c r="N208" i="5" s="1" a="1"/>
  <c r="N208" i="5" s="1"/>
  <c r="AW1014" i="4" a="1"/>
  <c r="AW1014" i="4" s="1"/>
  <c r="L196" i="5" s="1" a="1"/>
  <c r="L196" i="5" s="1"/>
  <c r="AX1014" i="4" a="1"/>
  <c r="AX1014" i="4" s="1"/>
  <c r="M196" i="5" s="1" a="1"/>
  <c r="M196" i="5" s="1"/>
  <c r="AV1014" i="4" a="1"/>
  <c r="AV1014" i="4" s="1"/>
  <c r="K196" i="5" s="1" a="1"/>
  <c r="K196" i="5" s="1"/>
  <c r="AY1014" i="4" a="1"/>
  <c r="AY1014" i="4" s="1"/>
  <c r="N196" i="5" s="1" a="1"/>
  <c r="N196" i="5" s="1"/>
  <c r="AU1014" i="4" a="1"/>
  <c r="AU1014" i="4" s="1"/>
  <c r="J196" i="5" s="1" a="1"/>
  <c r="J196" i="5" s="1"/>
  <c r="AZ1014" i="4" a="1"/>
  <c r="AZ1014" i="4" s="1"/>
  <c r="O196" i="5" s="1" a="1"/>
  <c r="O196" i="5" s="1"/>
  <c r="BC1014" i="4" a="1"/>
  <c r="BC1014" i="4" s="1"/>
  <c r="R196" i="5" s="1" a="1"/>
  <c r="R196" i="5" s="1"/>
  <c r="BB1014" i="4" a="1"/>
  <c r="BB1014" i="4" s="1"/>
  <c r="Q196" i="5" s="1" a="1"/>
  <c r="Q196" i="5" s="1"/>
  <c r="BA1014" i="4" a="1"/>
  <c r="BA1014" i="4" s="1"/>
  <c r="P196" i="5" s="1" a="1"/>
  <c r="P196" i="5" s="1"/>
  <c r="AW1002" i="4" a="1"/>
  <c r="AW1002" i="4" s="1"/>
  <c r="L184" i="5" s="1" a="1"/>
  <c r="L184" i="5" s="1"/>
  <c r="AU1002" i="4" a="1"/>
  <c r="AU1002" i="4" s="1"/>
  <c r="J184" i="5" s="1" a="1"/>
  <c r="J184" i="5" s="1"/>
  <c r="AV1002" i="4" a="1"/>
  <c r="AV1002" i="4" s="1"/>
  <c r="K184" i="5" s="1" a="1"/>
  <c r="K184" i="5" s="1"/>
  <c r="AX1002" i="4" a="1"/>
  <c r="AX1002" i="4" s="1"/>
  <c r="M184" i="5" s="1" a="1"/>
  <c r="M184" i="5" s="1"/>
  <c r="BC1002" i="4" a="1"/>
  <c r="BC1002" i="4" s="1"/>
  <c r="R184" i="5" s="1" a="1"/>
  <c r="R184" i="5" s="1"/>
  <c r="AZ1002" i="4" a="1"/>
  <c r="AZ1002" i="4" s="1"/>
  <c r="O184" i="5" s="1" a="1"/>
  <c r="O184" i="5" s="1"/>
  <c r="BB1002" i="4" a="1"/>
  <c r="BB1002" i="4" s="1"/>
  <c r="Q184" i="5" s="1" a="1"/>
  <c r="Q184" i="5" s="1"/>
  <c r="BA1002" i="4" a="1"/>
  <c r="BA1002" i="4" s="1"/>
  <c r="P184" i="5" s="1" a="1"/>
  <c r="P184" i="5" s="1"/>
  <c r="AY1002" i="4" a="1"/>
  <c r="AY1002" i="4" s="1"/>
  <c r="N184" i="5" s="1" a="1"/>
  <c r="N184" i="5" s="1"/>
  <c r="AU990" i="4" a="1"/>
  <c r="AU990" i="4" s="1"/>
  <c r="J172" i="5" s="1" a="1"/>
  <c r="J172" i="5" s="1"/>
  <c r="AV990" i="4" a="1"/>
  <c r="AV990" i="4" s="1"/>
  <c r="K172" i="5" s="1" a="1"/>
  <c r="K172" i="5" s="1"/>
  <c r="AY990" i="4" a="1"/>
  <c r="AY990" i="4" s="1"/>
  <c r="N172" i="5" s="1" a="1"/>
  <c r="N172" i="5" s="1"/>
  <c r="AZ990" i="4" a="1"/>
  <c r="AZ990" i="4" s="1"/>
  <c r="O172" i="5" s="1" a="1"/>
  <c r="O172" i="5" s="1"/>
  <c r="AW990" i="4" a="1"/>
  <c r="AW990" i="4" s="1"/>
  <c r="L172" i="5" s="1" a="1"/>
  <c r="L172" i="5" s="1"/>
  <c r="AX990" i="4" a="1"/>
  <c r="AX990" i="4" s="1"/>
  <c r="M172" i="5" s="1" a="1"/>
  <c r="M172" i="5" s="1"/>
  <c r="BB990" i="4" a="1"/>
  <c r="BB990" i="4" s="1"/>
  <c r="Q172" i="5" s="1" a="1"/>
  <c r="Q172" i="5" s="1"/>
  <c r="BA990" i="4" a="1"/>
  <c r="BA990" i="4" s="1"/>
  <c r="P172" i="5" s="1" a="1"/>
  <c r="P172" i="5" s="1"/>
  <c r="BC990" i="4" a="1"/>
  <c r="BC990" i="4" s="1"/>
  <c r="R172" i="5" s="1" a="1"/>
  <c r="R172" i="5" s="1"/>
  <c r="BB978" i="4" a="1"/>
  <c r="BB978" i="4" s="1"/>
  <c r="Q160" i="5" s="1" a="1"/>
  <c r="Q160" i="5" s="1"/>
  <c r="AU978" i="4" a="1"/>
  <c r="AU978" i="4" s="1"/>
  <c r="J160" i="5" s="1" a="1"/>
  <c r="J160" i="5" s="1"/>
  <c r="AV978" i="4" a="1"/>
  <c r="AV978" i="4" s="1"/>
  <c r="K160" i="5" s="1" a="1"/>
  <c r="K160" i="5" s="1"/>
  <c r="BC978" i="4" a="1"/>
  <c r="BC978" i="4" s="1"/>
  <c r="R160" i="5" s="1" a="1"/>
  <c r="R160" i="5" s="1"/>
  <c r="AX978" i="4" a="1"/>
  <c r="AX978" i="4" s="1"/>
  <c r="M160" i="5" s="1" a="1"/>
  <c r="M160" i="5" s="1"/>
  <c r="AW978" i="4" a="1"/>
  <c r="AW978" i="4" s="1"/>
  <c r="L160" i="5" s="1" a="1"/>
  <c r="L160" i="5" s="1"/>
  <c r="AY978" i="4" a="1"/>
  <c r="AY978" i="4" s="1"/>
  <c r="N160" i="5" s="1" a="1"/>
  <c r="N160" i="5" s="1"/>
  <c r="AZ978" i="4" a="1"/>
  <c r="AZ978" i="4" s="1"/>
  <c r="O160" i="5" s="1" a="1"/>
  <c r="O160" i="5" s="1"/>
  <c r="BA978" i="4" a="1"/>
  <c r="BA978" i="4" s="1"/>
  <c r="P160" i="5" s="1" a="1"/>
  <c r="P160" i="5" s="1"/>
  <c r="AV966" i="4" a="1"/>
  <c r="AV966" i="4" s="1"/>
  <c r="K148" i="5" s="1" a="1"/>
  <c r="K148" i="5" s="1"/>
  <c r="AW966" i="4" a="1"/>
  <c r="AW966" i="4" s="1"/>
  <c r="L148" i="5" s="1" a="1"/>
  <c r="L148" i="5" s="1"/>
  <c r="AU966" i="4" a="1"/>
  <c r="AU966" i="4" s="1"/>
  <c r="J148" i="5" s="1" a="1"/>
  <c r="J148" i="5" s="1"/>
  <c r="AX966" i="4" a="1"/>
  <c r="AX966" i="4" s="1"/>
  <c r="M148" i="5" s="1" a="1"/>
  <c r="M148" i="5" s="1"/>
  <c r="AY966" i="4" a="1"/>
  <c r="AY966" i="4" s="1"/>
  <c r="N148" i="5" s="1" a="1"/>
  <c r="N148" i="5" s="1"/>
  <c r="BA966" i="4" a="1"/>
  <c r="BA966" i="4" s="1"/>
  <c r="P148" i="5" s="1" a="1"/>
  <c r="P148" i="5" s="1"/>
  <c r="AZ966" i="4" a="1"/>
  <c r="AZ966" i="4" s="1"/>
  <c r="O148" i="5" s="1" a="1"/>
  <c r="O148" i="5" s="1"/>
  <c r="BB966" i="4" a="1"/>
  <c r="BB966" i="4" s="1"/>
  <c r="Q148" i="5" s="1" a="1"/>
  <c r="Q148" i="5" s="1"/>
  <c r="BC966" i="4" a="1"/>
  <c r="BC966" i="4" s="1"/>
  <c r="R148" i="5" s="1" a="1"/>
  <c r="R148" i="5" s="1"/>
  <c r="AV954" i="4" a="1"/>
  <c r="AV954" i="4" s="1"/>
  <c r="K136" i="5" s="1" a="1"/>
  <c r="K136" i="5" s="1"/>
  <c r="AW954" i="4" a="1"/>
  <c r="AW954" i="4" s="1"/>
  <c r="L136" i="5" s="1" a="1"/>
  <c r="L136" i="5" s="1"/>
  <c r="AZ954" i="4" a="1"/>
  <c r="AZ954" i="4" s="1"/>
  <c r="O136" i="5" s="1" a="1"/>
  <c r="O136" i="5" s="1"/>
  <c r="BA954" i="4" a="1"/>
  <c r="BA954" i="4" s="1"/>
  <c r="P136" i="5" s="1" a="1"/>
  <c r="P136" i="5" s="1"/>
  <c r="AU954" i="4" a="1"/>
  <c r="AU954" i="4" s="1"/>
  <c r="J136" i="5" s="1" a="1"/>
  <c r="J136" i="5" s="1"/>
  <c r="AY954" i="4" a="1"/>
  <c r="AY954" i="4" s="1"/>
  <c r="N136" i="5" s="1" a="1"/>
  <c r="N136" i="5" s="1"/>
  <c r="BB954" i="4" a="1"/>
  <c r="BB954" i="4" s="1"/>
  <c r="Q136" i="5" s="1" a="1"/>
  <c r="Q136" i="5" s="1"/>
  <c r="BC954" i="4" a="1"/>
  <c r="BC954" i="4" s="1"/>
  <c r="R136" i="5" s="1" a="1"/>
  <c r="R136" i="5" s="1"/>
  <c r="AX954" i="4" a="1"/>
  <c r="AX954" i="4" s="1"/>
  <c r="M136" i="5" s="1" a="1"/>
  <c r="M136" i="5" s="1"/>
  <c r="AU942" i="4" a="1"/>
  <c r="AU942" i="4" s="1"/>
  <c r="J124" i="5" s="1" a="1"/>
  <c r="J124" i="5" s="1"/>
  <c r="AV942" i="4" a="1"/>
  <c r="AV942" i="4" s="1"/>
  <c r="K124" i="5" s="1" a="1"/>
  <c r="K124" i="5" s="1"/>
  <c r="AW942" i="4" a="1"/>
  <c r="AW942" i="4" s="1"/>
  <c r="L124" i="5" s="1" a="1"/>
  <c r="L124" i="5" s="1"/>
  <c r="AX942" i="4" a="1"/>
  <c r="AX942" i="4" s="1"/>
  <c r="M124" i="5" s="1" a="1"/>
  <c r="M124" i="5" s="1"/>
  <c r="AY942" i="4" a="1"/>
  <c r="AY942" i="4" s="1"/>
  <c r="N124" i="5" s="1" a="1"/>
  <c r="N124" i="5" s="1"/>
  <c r="AZ942" i="4" a="1"/>
  <c r="AZ942" i="4" s="1"/>
  <c r="O124" i="5" s="1" a="1"/>
  <c r="O124" i="5" s="1"/>
  <c r="BA942" i="4" a="1"/>
  <c r="BA942" i="4" s="1"/>
  <c r="P124" i="5" s="1" a="1"/>
  <c r="P124" i="5" s="1"/>
  <c r="BB942" i="4" a="1"/>
  <c r="BB942" i="4" s="1"/>
  <c r="Q124" i="5" s="1" a="1"/>
  <c r="Q124" i="5" s="1"/>
  <c r="BC942" i="4" a="1"/>
  <c r="BC942" i="4" s="1"/>
  <c r="R124" i="5" s="1" a="1"/>
  <c r="R124" i="5" s="1"/>
  <c r="BA930" i="4" a="1"/>
  <c r="BA930" i="4" s="1"/>
  <c r="P112" i="5" s="1" a="1"/>
  <c r="P112" i="5" s="1"/>
  <c r="AW930" i="4" a="1"/>
  <c r="AW930" i="4" s="1"/>
  <c r="L112" i="5" s="1" a="1"/>
  <c r="L112" i="5" s="1"/>
  <c r="AX930" i="4" a="1"/>
  <c r="AX930" i="4" s="1"/>
  <c r="M112" i="5" s="1" a="1"/>
  <c r="M112" i="5" s="1"/>
  <c r="AZ930" i="4" a="1"/>
  <c r="AZ930" i="4" s="1"/>
  <c r="O112" i="5" s="1" a="1"/>
  <c r="O112" i="5" s="1"/>
  <c r="AU930" i="4" a="1"/>
  <c r="AU930" i="4" s="1"/>
  <c r="J112" i="5" s="1" a="1"/>
  <c r="J112" i="5" s="1"/>
  <c r="AV930" i="4" a="1"/>
  <c r="AV930" i="4" s="1"/>
  <c r="K112" i="5" s="1" a="1"/>
  <c r="K112" i="5" s="1"/>
  <c r="BB930" i="4" a="1"/>
  <c r="BB930" i="4" s="1"/>
  <c r="Q112" i="5" s="1" a="1"/>
  <c r="Q112" i="5" s="1"/>
  <c r="AY930" i="4" a="1"/>
  <c r="AY930" i="4" s="1"/>
  <c r="N112" i="5" s="1" a="1"/>
  <c r="N112" i="5" s="1"/>
  <c r="BC930" i="4" a="1"/>
  <c r="BC930" i="4" s="1"/>
  <c r="R112" i="5" s="1" a="1"/>
  <c r="R112" i="5" s="1"/>
  <c r="AV918" i="4" a="1"/>
  <c r="AV918" i="4" s="1"/>
  <c r="K100" i="5" s="1" a="1"/>
  <c r="K100" i="5" s="1"/>
  <c r="AY918" i="4" a="1"/>
  <c r="AY918" i="4" s="1"/>
  <c r="N100" i="5" s="1" a="1"/>
  <c r="N100" i="5" s="1"/>
  <c r="AU918" i="4" a="1"/>
  <c r="AU918" i="4" s="1"/>
  <c r="J100" i="5" s="1" a="1"/>
  <c r="J100" i="5" s="1"/>
  <c r="AZ918" i="4" a="1"/>
  <c r="AZ918" i="4" s="1"/>
  <c r="O100" i="5" s="1" a="1"/>
  <c r="O100" i="5" s="1"/>
  <c r="BA918" i="4" a="1"/>
  <c r="BA918" i="4" s="1"/>
  <c r="P100" i="5" s="1" a="1"/>
  <c r="P100" i="5" s="1"/>
  <c r="BC918" i="4" a="1"/>
  <c r="BC918" i="4" s="1"/>
  <c r="R100" i="5" s="1" a="1"/>
  <c r="R100" i="5" s="1"/>
  <c r="AW918" i="4" a="1"/>
  <c r="AW918" i="4" s="1"/>
  <c r="L100" i="5" s="1" a="1"/>
  <c r="L100" i="5" s="1"/>
  <c r="BB918" i="4" a="1"/>
  <c r="BB918" i="4" s="1"/>
  <c r="Q100" i="5" s="1" a="1"/>
  <c r="Q100" i="5" s="1"/>
  <c r="AX918" i="4" a="1"/>
  <c r="AX918" i="4" s="1"/>
  <c r="M100" i="5" s="1" a="1"/>
  <c r="M100" i="5" s="1"/>
  <c r="AV906" i="4" a="1"/>
  <c r="AV906" i="4" s="1"/>
  <c r="K88" i="5" s="1" a="1"/>
  <c r="K88" i="5" s="1"/>
  <c r="AU906" i="4" a="1"/>
  <c r="AU906" i="4" s="1"/>
  <c r="J88" i="5" s="1" a="1"/>
  <c r="J88" i="5" s="1"/>
  <c r="AY906" i="4" a="1"/>
  <c r="AY906" i="4" s="1"/>
  <c r="N88" i="5" s="1" a="1"/>
  <c r="N88" i="5" s="1"/>
  <c r="BC906" i="4" a="1"/>
  <c r="BC906" i="4" s="1"/>
  <c r="R88" i="5" s="1" a="1"/>
  <c r="R88" i="5" s="1"/>
  <c r="BB906" i="4" a="1"/>
  <c r="BB906" i="4" s="1"/>
  <c r="Q88" i="5" s="1" a="1"/>
  <c r="Q88" i="5" s="1"/>
  <c r="BA906" i="4" a="1"/>
  <c r="BA906" i="4" s="1"/>
  <c r="P88" i="5" s="1" a="1"/>
  <c r="P88" i="5" s="1"/>
  <c r="AZ906" i="4" a="1"/>
  <c r="AZ906" i="4" s="1"/>
  <c r="O88" i="5" s="1" a="1"/>
  <c r="O88" i="5" s="1"/>
  <c r="AW906" i="4" a="1"/>
  <c r="AW906" i="4" s="1"/>
  <c r="L88" i="5" s="1" a="1"/>
  <c r="L88" i="5" s="1"/>
  <c r="AX906" i="4" a="1"/>
  <c r="AX906" i="4" s="1"/>
  <c r="M88" i="5" s="1" a="1"/>
  <c r="M88" i="5" s="1"/>
  <c r="AV894" i="4" a="1"/>
  <c r="AV894" i="4" s="1"/>
  <c r="K76" i="5" s="1" a="1"/>
  <c r="K76" i="5" s="1"/>
  <c r="AW894" i="4" a="1"/>
  <c r="AW894" i="4" s="1"/>
  <c r="L76" i="5" s="1" a="1"/>
  <c r="L76" i="5" s="1"/>
  <c r="AX894" i="4" a="1"/>
  <c r="AX894" i="4" s="1"/>
  <c r="M76" i="5" s="1" a="1"/>
  <c r="M76" i="5" s="1"/>
  <c r="AU894" i="4" a="1"/>
  <c r="AU894" i="4" s="1"/>
  <c r="J76" i="5" s="1" a="1"/>
  <c r="J76" i="5" s="1"/>
  <c r="BC894" i="4" a="1"/>
  <c r="BC894" i="4" s="1"/>
  <c r="R76" i="5" s="1" a="1"/>
  <c r="R76" i="5" s="1"/>
  <c r="AY894" i="4" a="1"/>
  <c r="AY894" i="4" s="1"/>
  <c r="N76" i="5" s="1" a="1"/>
  <c r="N76" i="5" s="1"/>
  <c r="BA894" i="4" a="1"/>
  <c r="BA894" i="4" s="1"/>
  <c r="P76" i="5" s="1" a="1"/>
  <c r="P76" i="5" s="1"/>
  <c r="AZ894" i="4" a="1"/>
  <c r="AZ894" i="4" s="1"/>
  <c r="O76" i="5" s="1" a="1"/>
  <c r="O76" i="5" s="1"/>
  <c r="BB894" i="4" a="1"/>
  <c r="BB894" i="4" s="1"/>
  <c r="Q76" i="5" s="1" a="1"/>
  <c r="Q76" i="5" s="1"/>
  <c r="AU882" i="4" a="1"/>
  <c r="AU882" i="4" s="1"/>
  <c r="J64" i="5" s="1" a="1"/>
  <c r="J64" i="5" s="1"/>
  <c r="AV882" i="4" a="1"/>
  <c r="AV882" i="4" s="1"/>
  <c r="K64" i="5" s="1" a="1"/>
  <c r="K64" i="5" s="1"/>
  <c r="AW882" i="4" a="1"/>
  <c r="AW882" i="4" s="1"/>
  <c r="L64" i="5" s="1" a="1"/>
  <c r="L64" i="5" s="1"/>
  <c r="AX882" i="4" a="1"/>
  <c r="AX882" i="4" s="1"/>
  <c r="M64" i="5" s="1" a="1"/>
  <c r="M64" i="5" s="1"/>
  <c r="BA882" i="4" a="1"/>
  <c r="BA882" i="4" s="1"/>
  <c r="P64" i="5" s="1" a="1"/>
  <c r="P64" i="5" s="1"/>
  <c r="BB882" i="4" a="1"/>
  <c r="BB882" i="4" s="1"/>
  <c r="Q64" i="5" s="1" a="1"/>
  <c r="Q64" i="5" s="1"/>
  <c r="AY882" i="4" a="1"/>
  <c r="AY882" i="4" s="1"/>
  <c r="N64" i="5" s="1" a="1"/>
  <c r="N64" i="5" s="1"/>
  <c r="AZ882" i="4" a="1"/>
  <c r="AZ882" i="4" s="1"/>
  <c r="O64" i="5" s="1" a="1"/>
  <c r="O64" i="5" s="1"/>
  <c r="BC882" i="4" a="1"/>
  <c r="BC882" i="4" s="1"/>
  <c r="R64" i="5" s="1" a="1"/>
  <c r="R64" i="5" s="1"/>
  <c r="AV870" i="4" a="1"/>
  <c r="AV870" i="4" s="1"/>
  <c r="K52" i="5" s="1" a="1"/>
  <c r="K52" i="5" s="1"/>
  <c r="AW870" i="4" a="1"/>
  <c r="AW870" i="4" s="1"/>
  <c r="L52" i="5" s="1" a="1"/>
  <c r="L52" i="5" s="1"/>
  <c r="AU870" i="4" a="1"/>
  <c r="AU870" i="4" s="1"/>
  <c r="J52" i="5" s="1" a="1"/>
  <c r="J52" i="5" s="1"/>
  <c r="AX870" i="4" a="1"/>
  <c r="AX870" i="4" s="1"/>
  <c r="M52" i="5" s="1" a="1"/>
  <c r="M52" i="5" s="1"/>
  <c r="BB870" i="4" a="1"/>
  <c r="BB870" i="4" s="1"/>
  <c r="Q52" i="5" s="1" a="1"/>
  <c r="Q52" i="5" s="1"/>
  <c r="AZ870" i="4" a="1"/>
  <c r="AZ870" i="4" s="1"/>
  <c r="O52" i="5" s="1" a="1"/>
  <c r="O52" i="5" s="1"/>
  <c r="BC870" i="4" a="1"/>
  <c r="BC870" i="4" s="1"/>
  <c r="R52" i="5" s="1" a="1"/>
  <c r="R52" i="5" s="1"/>
  <c r="BA870" i="4" a="1"/>
  <c r="BA870" i="4" s="1"/>
  <c r="P52" i="5" s="1" a="1"/>
  <c r="P52" i="5" s="1"/>
  <c r="AY870" i="4" a="1"/>
  <c r="AY870" i="4" s="1"/>
  <c r="N52" i="5" s="1" a="1"/>
  <c r="N52" i="5" s="1"/>
  <c r="AZ858" i="4" a="1"/>
  <c r="AZ858" i="4" s="1"/>
  <c r="O40" i="5" s="1" a="1"/>
  <c r="O40" i="5" s="1"/>
  <c r="AV858" i="4" a="1"/>
  <c r="AV858" i="4" s="1"/>
  <c r="K40" i="5" s="1" a="1"/>
  <c r="K40" i="5" s="1"/>
  <c r="AX858" i="4" a="1"/>
  <c r="AX858" i="4" s="1"/>
  <c r="M40" i="5" s="1" a="1"/>
  <c r="M40" i="5" s="1"/>
  <c r="AU858" i="4" a="1"/>
  <c r="AU858" i="4" s="1"/>
  <c r="J40" i="5" s="1" a="1"/>
  <c r="J40" i="5" s="1"/>
  <c r="BC858" i="4" a="1"/>
  <c r="BC858" i="4" s="1"/>
  <c r="R40" i="5" s="1" a="1"/>
  <c r="R40" i="5" s="1"/>
  <c r="AW858" i="4" a="1"/>
  <c r="AW858" i="4" s="1"/>
  <c r="L40" i="5" s="1" a="1"/>
  <c r="L40" i="5" s="1"/>
  <c r="BB858" i="4" a="1"/>
  <c r="BB858" i="4" s="1"/>
  <c r="Q40" i="5" s="1" a="1"/>
  <c r="Q40" i="5" s="1"/>
  <c r="AY858" i="4" a="1"/>
  <c r="AY858" i="4" s="1"/>
  <c r="N40" i="5" s="1" a="1"/>
  <c r="N40" i="5" s="1"/>
  <c r="BA858" i="4" a="1"/>
  <c r="BA858" i="4" s="1"/>
  <c r="P40" i="5" s="1" a="1"/>
  <c r="P40" i="5" s="1"/>
  <c r="AU846" i="4" a="1"/>
  <c r="AU846" i="4" s="1"/>
  <c r="J28" i="5" s="1" a="1"/>
  <c r="J28" i="5" s="1"/>
  <c r="AZ846" i="4" a="1"/>
  <c r="AZ846" i="4" s="1"/>
  <c r="O28" i="5" s="1" a="1"/>
  <c r="O28" i="5" s="1"/>
  <c r="AV846" i="4" a="1"/>
  <c r="AV846" i="4" s="1"/>
  <c r="K28" i="5" s="1" a="1"/>
  <c r="K28" i="5" s="1"/>
  <c r="BC846" i="4" a="1"/>
  <c r="BC846" i="4" s="1"/>
  <c r="R28" i="5" s="1" a="1"/>
  <c r="R28" i="5" s="1"/>
  <c r="AX846" i="4" a="1"/>
  <c r="AX846" i="4" s="1"/>
  <c r="M28" i="5" s="1" a="1"/>
  <c r="M28" i="5" s="1"/>
  <c r="BA846" i="4" a="1"/>
  <c r="BA846" i="4" s="1"/>
  <c r="P28" i="5" s="1" a="1"/>
  <c r="P28" i="5" s="1"/>
  <c r="AY846" i="4" a="1"/>
  <c r="AY846" i="4" s="1"/>
  <c r="N28" i="5" s="1" a="1"/>
  <c r="N28" i="5" s="1"/>
  <c r="BB846" i="4" a="1"/>
  <c r="BB846" i="4" s="1"/>
  <c r="Q28" i="5" s="1" a="1"/>
  <c r="Q28" i="5" s="1"/>
  <c r="AW846" i="4" a="1"/>
  <c r="AW846" i="4" s="1"/>
  <c r="L28" i="5" s="1" a="1"/>
  <c r="L28" i="5" s="1"/>
  <c r="AU1025" i="4" a="1"/>
  <c r="AU1025" i="4" s="1"/>
  <c r="J207" i="5" s="1" a="1"/>
  <c r="J207" i="5" s="1"/>
  <c r="AV1025" i="4" a="1"/>
  <c r="AV1025" i="4" s="1"/>
  <c r="K207" i="5" s="1" a="1"/>
  <c r="K207" i="5" s="1"/>
  <c r="AX1025" i="4" a="1"/>
  <c r="AX1025" i="4" s="1"/>
  <c r="M207" i="5" s="1" a="1"/>
  <c r="M207" i="5" s="1"/>
  <c r="AY1025" i="4" a="1"/>
  <c r="AY1025" i="4" s="1"/>
  <c r="N207" i="5" s="1" a="1"/>
  <c r="N207" i="5" s="1"/>
  <c r="AZ1025" i="4" a="1"/>
  <c r="AZ1025" i="4" s="1"/>
  <c r="O207" i="5" s="1" a="1"/>
  <c r="O207" i="5" s="1"/>
  <c r="BA1025" i="4" a="1"/>
  <c r="BA1025" i="4" s="1"/>
  <c r="P207" i="5" s="1" a="1"/>
  <c r="P207" i="5" s="1"/>
  <c r="AW1025" i="4" a="1"/>
  <c r="AW1025" i="4" s="1"/>
  <c r="L207" i="5" s="1" a="1"/>
  <c r="L207" i="5" s="1"/>
  <c r="BB1025" i="4" a="1"/>
  <c r="BB1025" i="4" s="1"/>
  <c r="Q207" i="5" s="1" a="1"/>
  <c r="Q207" i="5" s="1"/>
  <c r="BC1025" i="4" a="1"/>
  <c r="BC1025" i="4" s="1"/>
  <c r="R207" i="5" s="1" a="1"/>
  <c r="R207" i="5" s="1"/>
  <c r="AV1013" i="4" a="1"/>
  <c r="AV1013" i="4" s="1"/>
  <c r="K195" i="5" s="1" a="1"/>
  <c r="K195" i="5" s="1"/>
  <c r="AW1013" i="4" a="1"/>
  <c r="AW1013" i="4" s="1"/>
  <c r="L195" i="5" s="1" a="1"/>
  <c r="L195" i="5" s="1"/>
  <c r="AU1013" i="4" a="1"/>
  <c r="AU1013" i="4" s="1"/>
  <c r="J195" i="5" s="1" a="1"/>
  <c r="J195" i="5" s="1"/>
  <c r="BB1013" i="4" a="1"/>
  <c r="BB1013" i="4" s="1"/>
  <c r="Q195" i="5" s="1" a="1"/>
  <c r="Q195" i="5" s="1"/>
  <c r="AZ1013" i="4" a="1"/>
  <c r="AZ1013" i="4" s="1"/>
  <c r="O195" i="5" s="1" a="1"/>
  <c r="O195" i="5" s="1"/>
  <c r="AX1013" i="4" a="1"/>
  <c r="AX1013" i="4" s="1"/>
  <c r="M195" i="5" s="1" a="1"/>
  <c r="M195" i="5" s="1"/>
  <c r="BA1013" i="4" a="1"/>
  <c r="BA1013" i="4" s="1"/>
  <c r="P195" i="5" s="1" a="1"/>
  <c r="P195" i="5" s="1"/>
  <c r="BC1013" i="4" a="1"/>
  <c r="BC1013" i="4" s="1"/>
  <c r="R195" i="5" s="1" a="1"/>
  <c r="R195" i="5" s="1"/>
  <c r="AY1013" i="4" a="1"/>
  <c r="AY1013" i="4" s="1"/>
  <c r="N195" i="5" s="1" a="1"/>
  <c r="N195" i="5" s="1"/>
  <c r="AU1001" i="4" a="1"/>
  <c r="AU1001" i="4" s="1"/>
  <c r="J183" i="5" s="1" a="1"/>
  <c r="J183" i="5" s="1"/>
  <c r="AV1001" i="4" a="1"/>
  <c r="AV1001" i="4" s="1"/>
  <c r="K183" i="5" s="1" a="1"/>
  <c r="K183" i="5" s="1"/>
  <c r="BA1001" i="4" a="1"/>
  <c r="BA1001" i="4" s="1"/>
  <c r="P183" i="5" s="1" a="1"/>
  <c r="P183" i="5" s="1"/>
  <c r="AX1001" i="4" a="1"/>
  <c r="AX1001" i="4" s="1"/>
  <c r="M183" i="5" s="1" a="1"/>
  <c r="M183" i="5" s="1"/>
  <c r="AW1001" i="4" a="1"/>
  <c r="AW1001" i="4" s="1"/>
  <c r="L183" i="5" s="1" a="1"/>
  <c r="L183" i="5" s="1"/>
  <c r="AY1001" i="4" a="1"/>
  <c r="AY1001" i="4" s="1"/>
  <c r="N183" i="5" s="1" a="1"/>
  <c r="N183" i="5" s="1"/>
  <c r="BC1001" i="4" a="1"/>
  <c r="BC1001" i="4" s="1"/>
  <c r="R183" i="5" s="1" a="1"/>
  <c r="R183" i="5" s="1"/>
  <c r="BB1001" i="4" a="1"/>
  <c r="BB1001" i="4" s="1"/>
  <c r="Q183" i="5" s="1" a="1"/>
  <c r="Q183" i="5" s="1"/>
  <c r="AZ1001" i="4" a="1"/>
  <c r="AZ1001" i="4" s="1"/>
  <c r="O183" i="5" s="1" a="1"/>
  <c r="O183" i="5" s="1"/>
  <c r="AU989" i="4" a="1"/>
  <c r="AU989" i="4" s="1"/>
  <c r="J171" i="5" s="1" a="1"/>
  <c r="J171" i="5" s="1"/>
  <c r="AV989" i="4" a="1"/>
  <c r="AV989" i="4" s="1"/>
  <c r="K171" i="5" s="1" a="1"/>
  <c r="K171" i="5" s="1"/>
  <c r="AW989" i="4" a="1"/>
  <c r="AW989" i="4" s="1"/>
  <c r="L171" i="5" s="1" a="1"/>
  <c r="L171" i="5" s="1"/>
  <c r="AX989" i="4" a="1"/>
  <c r="AX989" i="4" s="1"/>
  <c r="M171" i="5" s="1" a="1"/>
  <c r="M171" i="5" s="1"/>
  <c r="AZ989" i="4" a="1"/>
  <c r="AZ989" i="4" s="1"/>
  <c r="O171" i="5" s="1" a="1"/>
  <c r="O171" i="5" s="1"/>
  <c r="BC989" i="4" a="1"/>
  <c r="BC989" i="4" s="1"/>
  <c r="R171" i="5" s="1" a="1"/>
  <c r="R171" i="5" s="1"/>
  <c r="BB989" i="4" a="1"/>
  <c r="BB989" i="4" s="1"/>
  <c r="Q171" i="5" s="1" a="1"/>
  <c r="Q171" i="5" s="1"/>
  <c r="BA989" i="4" a="1"/>
  <c r="BA989" i="4" s="1"/>
  <c r="P171" i="5" s="1" a="1"/>
  <c r="P171" i="5" s="1"/>
  <c r="AY989" i="4" a="1"/>
  <c r="AY989" i="4" s="1"/>
  <c r="N171" i="5" s="1" a="1"/>
  <c r="N171" i="5" s="1"/>
  <c r="AU977" i="4" a="1"/>
  <c r="AU977" i="4" s="1"/>
  <c r="J159" i="5" s="1" a="1"/>
  <c r="J159" i="5" s="1"/>
  <c r="BC977" i="4" a="1"/>
  <c r="BC977" i="4" s="1"/>
  <c r="R159" i="5" s="1" a="1"/>
  <c r="R159" i="5" s="1"/>
  <c r="AV977" i="4" a="1"/>
  <c r="AV977" i="4" s="1"/>
  <c r="K159" i="5" s="1" a="1"/>
  <c r="K159" i="5" s="1"/>
  <c r="AX977" i="4" a="1"/>
  <c r="AX977" i="4" s="1"/>
  <c r="M159" i="5" s="1" a="1"/>
  <c r="M159" i="5" s="1"/>
  <c r="AY977" i="4" a="1"/>
  <c r="AY977" i="4" s="1"/>
  <c r="N159" i="5" s="1" a="1"/>
  <c r="N159" i="5" s="1"/>
  <c r="AZ977" i="4" a="1"/>
  <c r="AZ977" i="4" s="1"/>
  <c r="O159" i="5" s="1" a="1"/>
  <c r="O159" i="5" s="1"/>
  <c r="BA977" i="4" a="1"/>
  <c r="BA977" i="4" s="1"/>
  <c r="P159" i="5" s="1" a="1"/>
  <c r="P159" i="5" s="1"/>
  <c r="AW977" i="4" a="1"/>
  <c r="AW977" i="4" s="1"/>
  <c r="L159" i="5" s="1" a="1"/>
  <c r="L159" i="5" s="1"/>
  <c r="BB977" i="4" a="1"/>
  <c r="BB977" i="4" s="1"/>
  <c r="Q159" i="5" s="1" a="1"/>
  <c r="Q159" i="5" s="1"/>
  <c r="AW965" i="4" a="1"/>
  <c r="AW965" i="4" s="1"/>
  <c r="L147" i="5" s="1" a="1"/>
  <c r="L147" i="5" s="1"/>
  <c r="BB965" i="4" a="1"/>
  <c r="BB965" i="4" s="1"/>
  <c r="Q147" i="5" s="1" a="1"/>
  <c r="Q147" i="5" s="1"/>
  <c r="BC965" i="4" a="1"/>
  <c r="BC965" i="4" s="1"/>
  <c r="R147" i="5" s="1" a="1"/>
  <c r="R147" i="5" s="1"/>
  <c r="AU965" i="4" a="1"/>
  <c r="AU965" i="4" s="1"/>
  <c r="J147" i="5" s="1" a="1"/>
  <c r="J147" i="5" s="1"/>
  <c r="AV965" i="4" a="1"/>
  <c r="AV965" i="4" s="1"/>
  <c r="K147" i="5" s="1" a="1"/>
  <c r="K147" i="5" s="1"/>
  <c r="AY965" i="4" a="1"/>
  <c r="AY965" i="4" s="1"/>
  <c r="N147" i="5" s="1" a="1"/>
  <c r="N147" i="5" s="1"/>
  <c r="BA965" i="4" a="1"/>
  <c r="BA965" i="4" s="1"/>
  <c r="P147" i="5" s="1" a="1"/>
  <c r="P147" i="5" s="1"/>
  <c r="AX965" i="4" a="1"/>
  <c r="AX965" i="4" s="1"/>
  <c r="M147" i="5" s="1" a="1"/>
  <c r="M147" i="5" s="1"/>
  <c r="AZ965" i="4" a="1"/>
  <c r="AZ965" i="4" s="1"/>
  <c r="O147" i="5" s="1" a="1"/>
  <c r="O147" i="5" s="1"/>
  <c r="AU953" i="4" a="1"/>
  <c r="AU953" i="4" s="1"/>
  <c r="J135" i="5" s="1" a="1"/>
  <c r="J135" i="5" s="1"/>
  <c r="BA953" i="4" a="1"/>
  <c r="BA953" i="4" s="1"/>
  <c r="P135" i="5" s="1" a="1"/>
  <c r="P135" i="5" s="1"/>
  <c r="AV953" i="4" a="1"/>
  <c r="AV953" i="4" s="1"/>
  <c r="K135" i="5" s="1" a="1"/>
  <c r="K135" i="5" s="1"/>
  <c r="AW953" i="4" a="1"/>
  <c r="AW953" i="4" s="1"/>
  <c r="L135" i="5" s="1" a="1"/>
  <c r="L135" i="5" s="1"/>
  <c r="AX953" i="4" a="1"/>
  <c r="AX953" i="4" s="1"/>
  <c r="M135" i="5" s="1" a="1"/>
  <c r="M135" i="5" s="1"/>
  <c r="AY953" i="4" a="1"/>
  <c r="AY953" i="4" s="1"/>
  <c r="N135" i="5" s="1" a="1"/>
  <c r="N135" i="5" s="1"/>
  <c r="AZ953" i="4" a="1"/>
  <c r="AZ953" i="4" s="1"/>
  <c r="O135" i="5" s="1" a="1"/>
  <c r="O135" i="5" s="1"/>
  <c r="BC953" i="4" a="1"/>
  <c r="BC953" i="4" s="1"/>
  <c r="R135" i="5" s="1" a="1"/>
  <c r="R135" i="5" s="1"/>
  <c r="BB953" i="4" a="1"/>
  <c r="BB953" i="4" s="1"/>
  <c r="Q135" i="5" s="1" a="1"/>
  <c r="Q135" i="5" s="1"/>
  <c r="AW941" i="4" a="1"/>
  <c r="AW941" i="4" s="1"/>
  <c r="L123" i="5" s="1" a="1"/>
  <c r="L123" i="5" s="1"/>
  <c r="AX941" i="4" a="1"/>
  <c r="AX941" i="4" s="1"/>
  <c r="M123" i="5" s="1" a="1"/>
  <c r="M123" i="5" s="1"/>
  <c r="AZ941" i="4" a="1"/>
  <c r="AZ941" i="4" s="1"/>
  <c r="O123" i="5" s="1" a="1"/>
  <c r="O123" i="5" s="1"/>
  <c r="AU941" i="4" a="1"/>
  <c r="AU941" i="4" s="1"/>
  <c r="J123" i="5" s="1" a="1"/>
  <c r="J123" i="5" s="1"/>
  <c r="AV941" i="4" a="1"/>
  <c r="AV941" i="4" s="1"/>
  <c r="K123" i="5" s="1" a="1"/>
  <c r="K123" i="5" s="1"/>
  <c r="AY941" i="4" a="1"/>
  <c r="AY941" i="4" s="1"/>
  <c r="N123" i="5" s="1" a="1"/>
  <c r="N123" i="5" s="1"/>
  <c r="BC941" i="4" a="1"/>
  <c r="BC941" i="4" s="1"/>
  <c r="R123" i="5" s="1" a="1"/>
  <c r="R123" i="5" s="1"/>
  <c r="BB941" i="4" a="1"/>
  <c r="BB941" i="4" s="1"/>
  <c r="Q123" i="5" s="1" a="1"/>
  <c r="Q123" i="5" s="1"/>
  <c r="BA941" i="4" a="1"/>
  <c r="BA941" i="4" s="1"/>
  <c r="P123" i="5" s="1" a="1"/>
  <c r="P123" i="5" s="1"/>
  <c r="AU929" i="4" a="1"/>
  <c r="AU929" i="4" s="1"/>
  <c r="J111" i="5" s="1" a="1"/>
  <c r="J111" i="5" s="1"/>
  <c r="AV929" i="4" a="1"/>
  <c r="AV929" i="4" s="1"/>
  <c r="K111" i="5" s="1" a="1"/>
  <c r="K111" i="5" s="1"/>
  <c r="AW929" i="4" a="1"/>
  <c r="AW929" i="4" s="1"/>
  <c r="L111" i="5" s="1" a="1"/>
  <c r="L111" i="5" s="1"/>
  <c r="AX929" i="4" a="1"/>
  <c r="AX929" i="4" s="1"/>
  <c r="M111" i="5" s="1" a="1"/>
  <c r="M111" i="5" s="1"/>
  <c r="AZ929" i="4" a="1"/>
  <c r="AZ929" i="4" s="1"/>
  <c r="O111" i="5" s="1" a="1"/>
  <c r="O111" i="5" s="1"/>
  <c r="BA929" i="4" a="1"/>
  <c r="BA929" i="4" s="1"/>
  <c r="P111" i="5" s="1" a="1"/>
  <c r="P111" i="5" s="1"/>
  <c r="AY929" i="4" a="1"/>
  <c r="AY929" i="4" s="1"/>
  <c r="N111" i="5" s="1" a="1"/>
  <c r="N111" i="5" s="1"/>
  <c r="BC929" i="4" a="1"/>
  <c r="BC929" i="4" s="1"/>
  <c r="R111" i="5" s="1" a="1"/>
  <c r="R111" i="5" s="1"/>
  <c r="BB929" i="4" a="1"/>
  <c r="BB929" i="4" s="1"/>
  <c r="Q111" i="5" s="1" a="1"/>
  <c r="Q111" i="5" s="1"/>
  <c r="AU917" i="4" a="1"/>
  <c r="AU917" i="4" s="1"/>
  <c r="J99" i="5" s="1" a="1"/>
  <c r="J99" i="5" s="1"/>
  <c r="AV917" i="4" a="1"/>
  <c r="AV917" i="4" s="1"/>
  <c r="K99" i="5" s="1" a="1"/>
  <c r="K99" i="5" s="1"/>
  <c r="AX917" i="4" a="1"/>
  <c r="AX917" i="4" s="1"/>
  <c r="M99" i="5" s="1" a="1"/>
  <c r="M99" i="5" s="1"/>
  <c r="AY917" i="4" a="1"/>
  <c r="AY917" i="4" s="1"/>
  <c r="N99" i="5" s="1" a="1"/>
  <c r="N99" i="5" s="1"/>
  <c r="AZ917" i="4" a="1"/>
  <c r="AZ917" i="4" s="1"/>
  <c r="O99" i="5" s="1" a="1"/>
  <c r="O99" i="5" s="1"/>
  <c r="BB917" i="4" a="1"/>
  <c r="BB917" i="4" s="1"/>
  <c r="Q99" i="5" s="1" a="1"/>
  <c r="Q99" i="5" s="1"/>
  <c r="BC917" i="4" a="1"/>
  <c r="BC917" i="4" s="1"/>
  <c r="R99" i="5" s="1" a="1"/>
  <c r="R99" i="5" s="1"/>
  <c r="BA917" i="4" a="1"/>
  <c r="BA917" i="4" s="1"/>
  <c r="P99" i="5" s="1" a="1"/>
  <c r="P99" i="5" s="1"/>
  <c r="AW917" i="4" a="1"/>
  <c r="AW917" i="4" s="1"/>
  <c r="L99" i="5" s="1" a="1"/>
  <c r="L99" i="5" s="1"/>
  <c r="AY905" i="4" a="1"/>
  <c r="AY905" i="4" s="1"/>
  <c r="N87" i="5" s="1" a="1"/>
  <c r="N87" i="5" s="1"/>
  <c r="AZ905" i="4" a="1"/>
  <c r="AZ905" i="4" s="1"/>
  <c r="O87" i="5" s="1" a="1"/>
  <c r="O87" i="5" s="1"/>
  <c r="AU905" i="4" a="1"/>
  <c r="AU905" i="4" s="1"/>
  <c r="J87" i="5" s="1" a="1"/>
  <c r="J87" i="5" s="1"/>
  <c r="AV905" i="4" a="1"/>
  <c r="AV905" i="4" s="1"/>
  <c r="K87" i="5" s="1" a="1"/>
  <c r="K87" i="5" s="1"/>
  <c r="BC905" i="4" a="1"/>
  <c r="BC905" i="4" s="1"/>
  <c r="R87" i="5" s="1" a="1"/>
  <c r="R87" i="5" s="1"/>
  <c r="BA905" i="4" a="1"/>
  <c r="BA905" i="4" s="1"/>
  <c r="P87" i="5" s="1" a="1"/>
  <c r="P87" i="5" s="1"/>
  <c r="AX905" i="4" a="1"/>
  <c r="AX905" i="4" s="1"/>
  <c r="M87" i="5" s="1" a="1"/>
  <c r="M87" i="5" s="1"/>
  <c r="BB905" i="4" a="1"/>
  <c r="BB905" i="4" s="1"/>
  <c r="Q87" i="5" s="1" a="1"/>
  <c r="Q87" i="5" s="1"/>
  <c r="AW905" i="4" a="1"/>
  <c r="AW905" i="4" s="1"/>
  <c r="L87" i="5" s="1" a="1"/>
  <c r="L87" i="5" s="1"/>
  <c r="AV893" i="4" a="1"/>
  <c r="AV893" i="4" s="1"/>
  <c r="K75" i="5" s="1" a="1"/>
  <c r="K75" i="5" s="1"/>
  <c r="AW893" i="4" a="1"/>
  <c r="AW893" i="4" s="1"/>
  <c r="L75" i="5" s="1" a="1"/>
  <c r="L75" i="5" s="1"/>
  <c r="AU893" i="4" a="1"/>
  <c r="AU893" i="4" s="1"/>
  <c r="J75" i="5" s="1" a="1"/>
  <c r="J75" i="5" s="1"/>
  <c r="AY893" i="4" a="1"/>
  <c r="AY893" i="4" s="1"/>
  <c r="N75" i="5" s="1" a="1"/>
  <c r="N75" i="5" s="1"/>
  <c r="BC893" i="4" a="1"/>
  <c r="BC893" i="4" s="1"/>
  <c r="R75" i="5" s="1" a="1"/>
  <c r="R75" i="5" s="1"/>
  <c r="BA893" i="4" a="1"/>
  <c r="BA893" i="4" s="1"/>
  <c r="P75" i="5" s="1" a="1"/>
  <c r="P75" i="5" s="1"/>
  <c r="BB893" i="4" a="1"/>
  <c r="BB893" i="4" s="1"/>
  <c r="Q75" i="5" s="1" a="1"/>
  <c r="Q75" i="5" s="1"/>
  <c r="AZ893" i="4" a="1"/>
  <c r="AZ893" i="4" s="1"/>
  <c r="O75" i="5" s="1" a="1"/>
  <c r="O75" i="5" s="1"/>
  <c r="AX893" i="4" a="1"/>
  <c r="AX893" i="4" s="1"/>
  <c r="M75" i="5" s="1" a="1"/>
  <c r="M75" i="5" s="1"/>
  <c r="BC881" i="4" a="1"/>
  <c r="BC881" i="4" s="1"/>
  <c r="R63" i="5" s="1" a="1"/>
  <c r="R63" i="5" s="1"/>
  <c r="AU881" i="4" a="1"/>
  <c r="AU881" i="4" s="1"/>
  <c r="J63" i="5" s="1" a="1"/>
  <c r="J63" i="5" s="1"/>
  <c r="AV881" i="4" a="1"/>
  <c r="AV881" i="4" s="1"/>
  <c r="K63" i="5" s="1" a="1"/>
  <c r="K63" i="5" s="1"/>
  <c r="AW881" i="4" a="1"/>
  <c r="AW881" i="4" s="1"/>
  <c r="L63" i="5" s="1" a="1"/>
  <c r="L63" i="5" s="1"/>
  <c r="BA881" i="4" a="1"/>
  <c r="BA881" i="4" s="1"/>
  <c r="P63" i="5" s="1" a="1"/>
  <c r="P63" i="5" s="1"/>
  <c r="BB881" i="4" a="1"/>
  <c r="BB881" i="4" s="1"/>
  <c r="Q63" i="5" s="1" a="1"/>
  <c r="Q63" i="5" s="1"/>
  <c r="AZ881" i="4" a="1"/>
  <c r="AZ881" i="4" s="1"/>
  <c r="O63" i="5" s="1" a="1"/>
  <c r="O63" i="5" s="1"/>
  <c r="AY881" i="4" a="1"/>
  <c r="AY881" i="4" s="1"/>
  <c r="N63" i="5" s="1" a="1"/>
  <c r="N63" i="5" s="1"/>
  <c r="AX881" i="4" a="1"/>
  <c r="AX881" i="4" s="1"/>
  <c r="M63" i="5" s="1" a="1"/>
  <c r="M63" i="5" s="1"/>
  <c r="AZ869" i="4" a="1"/>
  <c r="AZ869" i="4" s="1"/>
  <c r="O51" i="5" s="1" a="1"/>
  <c r="O51" i="5" s="1"/>
  <c r="BA869" i="4" a="1"/>
  <c r="BA869" i="4" s="1"/>
  <c r="P51" i="5" s="1" a="1"/>
  <c r="P51" i="5" s="1"/>
  <c r="AU869" i="4" a="1"/>
  <c r="AU869" i="4" s="1"/>
  <c r="J51" i="5" s="1" a="1"/>
  <c r="J51" i="5" s="1"/>
  <c r="AV869" i="4" a="1"/>
  <c r="AV869" i="4" s="1"/>
  <c r="K51" i="5" s="1" a="1"/>
  <c r="K51" i="5" s="1"/>
  <c r="AW869" i="4" a="1"/>
  <c r="AW869" i="4" s="1"/>
  <c r="L51" i="5" s="1" a="1"/>
  <c r="L51" i="5" s="1"/>
  <c r="AX869" i="4" a="1"/>
  <c r="AX869" i="4" s="1"/>
  <c r="M51" i="5" s="1" a="1"/>
  <c r="M51" i="5" s="1"/>
  <c r="AY869" i="4" a="1"/>
  <c r="AY869" i="4" s="1"/>
  <c r="N51" i="5" s="1" a="1"/>
  <c r="N51" i="5" s="1"/>
  <c r="BB869" i="4" a="1"/>
  <c r="BB869" i="4" s="1"/>
  <c r="Q51" i="5" s="1" a="1"/>
  <c r="Q51" i="5" s="1"/>
  <c r="BC869" i="4" a="1"/>
  <c r="BC869" i="4" s="1"/>
  <c r="R51" i="5" s="1" a="1"/>
  <c r="R51" i="5" s="1"/>
  <c r="AU857" i="4" a="1"/>
  <c r="AU857" i="4" s="1"/>
  <c r="J39" i="5" s="1" a="1"/>
  <c r="J39" i="5" s="1"/>
  <c r="AV857" i="4" a="1"/>
  <c r="AV857" i="4" s="1"/>
  <c r="K39" i="5" s="1" a="1"/>
  <c r="K39" i="5" s="1"/>
  <c r="BC857" i="4" a="1"/>
  <c r="BC857" i="4" s="1"/>
  <c r="R39" i="5" s="1" a="1"/>
  <c r="R39" i="5" s="1"/>
  <c r="AW857" i="4" a="1"/>
  <c r="AW857" i="4" s="1"/>
  <c r="L39" i="5" s="1" a="1"/>
  <c r="L39" i="5" s="1"/>
  <c r="BA857" i="4" a="1"/>
  <c r="BA857" i="4" s="1"/>
  <c r="P39" i="5" s="1" a="1"/>
  <c r="P39" i="5" s="1"/>
  <c r="BB857" i="4" a="1"/>
  <c r="BB857" i="4" s="1"/>
  <c r="Q39" i="5" s="1" a="1"/>
  <c r="Q39" i="5" s="1"/>
  <c r="AZ857" i="4" a="1"/>
  <c r="AZ857" i="4" s="1"/>
  <c r="O39" i="5" s="1" a="1"/>
  <c r="O39" i="5" s="1"/>
  <c r="AX857" i="4" a="1"/>
  <c r="AX857" i="4" s="1"/>
  <c r="M39" i="5" s="1" a="1"/>
  <c r="M39" i="5" s="1"/>
  <c r="AY857" i="4" a="1"/>
  <c r="AY857" i="4" s="1"/>
  <c r="N39" i="5" s="1" a="1"/>
  <c r="N39" i="5" s="1"/>
  <c r="AW845" i="4" a="1"/>
  <c r="AW845" i="4" s="1"/>
  <c r="L27" i="5" s="1" a="1"/>
  <c r="L27" i="5" s="1"/>
  <c r="AX845" i="4" a="1"/>
  <c r="AX845" i="4" s="1"/>
  <c r="M27" i="5" s="1" a="1"/>
  <c r="M27" i="5" s="1"/>
  <c r="AU845" i="4" a="1"/>
  <c r="AU845" i="4" s="1"/>
  <c r="J27" i="5" s="1" a="1"/>
  <c r="J27" i="5" s="1"/>
  <c r="AV845" i="4" a="1"/>
  <c r="AV845" i="4" s="1"/>
  <c r="K27" i="5" s="1" a="1"/>
  <c r="K27" i="5" s="1"/>
  <c r="AZ845" i="4" a="1"/>
  <c r="AZ845" i="4" s="1"/>
  <c r="O27" i="5" s="1" a="1"/>
  <c r="O27" i="5" s="1"/>
  <c r="BB845" i="4" a="1"/>
  <c r="BB845" i="4" s="1"/>
  <c r="Q27" i="5" s="1" a="1"/>
  <c r="Q27" i="5" s="1"/>
  <c r="BC845" i="4" a="1"/>
  <c r="BC845" i="4" s="1"/>
  <c r="R27" i="5" s="1" a="1"/>
  <c r="R27" i="5" s="1"/>
  <c r="AY845" i="4" a="1"/>
  <c r="AY845" i="4" s="1"/>
  <c r="N27" i="5" s="1" a="1"/>
  <c r="N27" i="5" s="1"/>
  <c r="BA845" i="4" a="1"/>
  <c r="BA845" i="4" s="1"/>
  <c r="P27" i="5" s="1" a="1"/>
  <c r="P27" i="5" s="1"/>
  <c r="AZ1024" i="4" a="1"/>
  <c r="AZ1024" i="4" s="1"/>
  <c r="O206" i="5" s="1" a="1"/>
  <c r="O206" i="5" s="1"/>
  <c r="BA1024" i="4" a="1"/>
  <c r="BA1024" i="4" s="1"/>
  <c r="P206" i="5" s="1" a="1"/>
  <c r="P206" i="5" s="1"/>
  <c r="AU1024" i="4" a="1"/>
  <c r="AU1024" i="4" s="1"/>
  <c r="J206" i="5" s="1" a="1"/>
  <c r="J206" i="5" s="1"/>
  <c r="AV1024" i="4" a="1"/>
  <c r="AV1024" i="4" s="1"/>
  <c r="K206" i="5" s="1" a="1"/>
  <c r="K206" i="5" s="1"/>
  <c r="AX1024" i="4" a="1"/>
  <c r="AX1024" i="4" s="1"/>
  <c r="M206" i="5" s="1" a="1"/>
  <c r="M206" i="5" s="1"/>
  <c r="AY1024" i="4" a="1"/>
  <c r="AY1024" i="4" s="1"/>
  <c r="N206" i="5" s="1" a="1"/>
  <c r="N206" i="5" s="1"/>
  <c r="BB1024" i="4" a="1"/>
  <c r="BB1024" i="4" s="1"/>
  <c r="Q206" i="5" s="1" a="1"/>
  <c r="Q206" i="5" s="1"/>
  <c r="AW1024" i="4" a="1"/>
  <c r="AW1024" i="4" s="1"/>
  <c r="L206" i="5" s="1" a="1"/>
  <c r="L206" i="5" s="1"/>
  <c r="BC1024" i="4" a="1"/>
  <c r="BC1024" i="4" s="1"/>
  <c r="R206" i="5" s="1" a="1"/>
  <c r="R206" i="5" s="1"/>
  <c r="AU1012" i="4" a="1"/>
  <c r="AU1012" i="4" s="1"/>
  <c r="J194" i="5" s="1" a="1"/>
  <c r="J194" i="5" s="1"/>
  <c r="AV1012" i="4" a="1"/>
  <c r="AV1012" i="4" s="1"/>
  <c r="K194" i="5" s="1" a="1"/>
  <c r="K194" i="5" s="1"/>
  <c r="AW1012" i="4" a="1"/>
  <c r="AW1012" i="4" s="1"/>
  <c r="L194" i="5" s="1" a="1"/>
  <c r="L194" i="5" s="1"/>
  <c r="AX1012" i="4" a="1"/>
  <c r="AX1012" i="4" s="1"/>
  <c r="M194" i="5" s="1" a="1"/>
  <c r="M194" i="5" s="1"/>
  <c r="AY1012" i="4" a="1"/>
  <c r="AY1012" i="4" s="1"/>
  <c r="N194" i="5" s="1" a="1"/>
  <c r="N194" i="5" s="1"/>
  <c r="BA1012" i="4" a="1"/>
  <c r="BA1012" i="4" s="1"/>
  <c r="P194" i="5" s="1" a="1"/>
  <c r="P194" i="5" s="1"/>
  <c r="BC1012" i="4" a="1"/>
  <c r="BC1012" i="4" s="1"/>
  <c r="R194" i="5" s="1" a="1"/>
  <c r="R194" i="5" s="1"/>
  <c r="BB1012" i="4" a="1"/>
  <c r="BB1012" i="4" s="1"/>
  <c r="Q194" i="5" s="1" a="1"/>
  <c r="Q194" i="5" s="1"/>
  <c r="AZ1012" i="4" a="1"/>
  <c r="AZ1012" i="4" s="1"/>
  <c r="O194" i="5" s="1" a="1"/>
  <c r="O194" i="5" s="1"/>
  <c r="AV1000" i="4" a="1"/>
  <c r="AV1000" i="4" s="1"/>
  <c r="K182" i="5" s="1" a="1"/>
  <c r="K182" i="5" s="1"/>
  <c r="AY1000" i="4" a="1"/>
  <c r="AY1000" i="4" s="1"/>
  <c r="N182" i="5" s="1" a="1"/>
  <c r="N182" i="5" s="1"/>
  <c r="AU1000" i="4" a="1"/>
  <c r="AU1000" i="4" s="1"/>
  <c r="J182" i="5" s="1" a="1"/>
  <c r="J182" i="5" s="1"/>
  <c r="BA1000" i="4" a="1"/>
  <c r="BA1000" i="4" s="1"/>
  <c r="P182" i="5" s="1" a="1"/>
  <c r="P182" i="5" s="1"/>
  <c r="BB1000" i="4" a="1"/>
  <c r="BB1000" i="4" s="1"/>
  <c r="Q182" i="5" s="1" a="1"/>
  <c r="Q182" i="5" s="1"/>
  <c r="BC1000" i="4" a="1"/>
  <c r="BC1000" i="4" s="1"/>
  <c r="R182" i="5" s="1" a="1"/>
  <c r="R182" i="5" s="1"/>
  <c r="AZ1000" i="4" a="1"/>
  <c r="AZ1000" i="4" s="1"/>
  <c r="O182" i="5" s="1" a="1"/>
  <c r="O182" i="5" s="1"/>
  <c r="AX1000" i="4" a="1"/>
  <c r="AX1000" i="4" s="1"/>
  <c r="M182" i="5" s="1" a="1"/>
  <c r="M182" i="5" s="1"/>
  <c r="AW1000" i="4" a="1"/>
  <c r="AW1000" i="4" s="1"/>
  <c r="L182" i="5" s="1" a="1"/>
  <c r="L182" i="5" s="1"/>
  <c r="AX988" i="4" a="1"/>
  <c r="AX988" i="4" s="1"/>
  <c r="M170" i="5" s="1" a="1"/>
  <c r="M170" i="5" s="1"/>
  <c r="BC988" i="4" a="1"/>
  <c r="BC988" i="4" s="1"/>
  <c r="R170" i="5" s="1" a="1"/>
  <c r="R170" i="5" s="1"/>
  <c r="AU988" i="4" a="1"/>
  <c r="AU988" i="4" s="1"/>
  <c r="J170" i="5" s="1" a="1"/>
  <c r="J170" i="5" s="1"/>
  <c r="AV988" i="4" a="1"/>
  <c r="AV988" i="4" s="1"/>
  <c r="K170" i="5" s="1" a="1"/>
  <c r="K170" i="5" s="1"/>
  <c r="BA988" i="4" a="1"/>
  <c r="BA988" i="4" s="1"/>
  <c r="P170" i="5" s="1" a="1"/>
  <c r="P170" i="5" s="1"/>
  <c r="AW988" i="4" a="1"/>
  <c r="AW988" i="4" s="1"/>
  <c r="L170" i="5" s="1" a="1"/>
  <c r="L170" i="5" s="1"/>
  <c r="BB988" i="4" a="1"/>
  <c r="BB988" i="4" s="1"/>
  <c r="Q170" i="5" s="1" a="1"/>
  <c r="Q170" i="5" s="1"/>
  <c r="AZ988" i="4" a="1"/>
  <c r="AZ988" i="4" s="1"/>
  <c r="O170" i="5" s="1" a="1"/>
  <c r="O170" i="5" s="1"/>
  <c r="AY988" i="4" a="1"/>
  <c r="AY988" i="4" s="1"/>
  <c r="N170" i="5" s="1" a="1"/>
  <c r="N170" i="5" s="1"/>
  <c r="BB976" i="4" a="1"/>
  <c r="BB976" i="4" s="1"/>
  <c r="Q158" i="5" s="1" a="1"/>
  <c r="Q158" i="5" s="1"/>
  <c r="AU976" i="4" a="1"/>
  <c r="AU976" i="4" s="1"/>
  <c r="J158" i="5" s="1" a="1"/>
  <c r="J158" i="5" s="1"/>
  <c r="AV976" i="4" a="1"/>
  <c r="AV976" i="4" s="1"/>
  <c r="K158" i="5" s="1" a="1"/>
  <c r="K158" i="5" s="1"/>
  <c r="AY976" i="4" a="1"/>
  <c r="AY976" i="4" s="1"/>
  <c r="N158" i="5" s="1" a="1"/>
  <c r="N158" i="5" s="1"/>
  <c r="AZ976" i="4" a="1"/>
  <c r="AZ976" i="4" s="1"/>
  <c r="O158" i="5" s="1" a="1"/>
  <c r="O158" i="5" s="1"/>
  <c r="BA976" i="4" a="1"/>
  <c r="BA976" i="4" s="1"/>
  <c r="P158" i="5" s="1" a="1"/>
  <c r="P158" i="5" s="1"/>
  <c r="BC976" i="4" a="1"/>
  <c r="BC976" i="4" s="1"/>
  <c r="R158" i="5" s="1" a="1"/>
  <c r="R158" i="5" s="1"/>
  <c r="AW976" i="4" a="1"/>
  <c r="AW976" i="4" s="1"/>
  <c r="L158" i="5" s="1" a="1"/>
  <c r="L158" i="5" s="1"/>
  <c r="AX976" i="4" a="1"/>
  <c r="AX976" i="4" s="1"/>
  <c r="M158" i="5" s="1" a="1"/>
  <c r="M158" i="5" s="1"/>
  <c r="AU964" i="4" a="1"/>
  <c r="AU964" i="4" s="1"/>
  <c r="J146" i="5" s="1" a="1"/>
  <c r="J146" i="5" s="1"/>
  <c r="AV964" i="4" a="1"/>
  <c r="AV964" i="4" s="1"/>
  <c r="K146" i="5" s="1" a="1"/>
  <c r="K146" i="5" s="1"/>
  <c r="AW964" i="4" a="1"/>
  <c r="AW964" i="4" s="1"/>
  <c r="L146" i="5" s="1" a="1"/>
  <c r="L146" i="5" s="1"/>
  <c r="AY964" i="4" a="1"/>
  <c r="AY964" i="4" s="1"/>
  <c r="N146" i="5" s="1" a="1"/>
  <c r="N146" i="5" s="1"/>
  <c r="AX964" i="4" a="1"/>
  <c r="AX964" i="4" s="1"/>
  <c r="M146" i="5" s="1" a="1"/>
  <c r="M146" i="5" s="1"/>
  <c r="BA964" i="4" a="1"/>
  <c r="BA964" i="4" s="1"/>
  <c r="P146" i="5" s="1" a="1"/>
  <c r="P146" i="5" s="1"/>
  <c r="BB964" i="4" a="1"/>
  <c r="BB964" i="4" s="1"/>
  <c r="Q146" i="5" s="1" a="1"/>
  <c r="Q146" i="5" s="1"/>
  <c r="AZ964" i="4" a="1"/>
  <c r="AZ964" i="4" s="1"/>
  <c r="O146" i="5" s="1" a="1"/>
  <c r="O146" i="5" s="1"/>
  <c r="BC964" i="4" a="1"/>
  <c r="BC964" i="4" s="1"/>
  <c r="R146" i="5" s="1" a="1"/>
  <c r="R146" i="5" s="1"/>
  <c r="AX952" i="4" a="1"/>
  <c r="AX952" i="4" s="1"/>
  <c r="M134" i="5" s="1" a="1"/>
  <c r="M134" i="5" s="1"/>
  <c r="AY952" i="4" a="1"/>
  <c r="AY952" i="4" s="1"/>
  <c r="N134" i="5" s="1" a="1"/>
  <c r="N134" i="5" s="1"/>
  <c r="AW952" i="4" a="1"/>
  <c r="AW952" i="4" s="1"/>
  <c r="L134" i="5" s="1" a="1"/>
  <c r="L134" i="5" s="1"/>
  <c r="AZ952" i="4" a="1"/>
  <c r="AZ952" i="4" s="1"/>
  <c r="O134" i="5" s="1" a="1"/>
  <c r="O134" i="5" s="1"/>
  <c r="AU952" i="4" a="1"/>
  <c r="AU952" i="4" s="1"/>
  <c r="J134" i="5" s="1" a="1"/>
  <c r="J134" i="5" s="1"/>
  <c r="AV952" i="4" a="1"/>
  <c r="AV952" i="4" s="1"/>
  <c r="K134" i="5" s="1" a="1"/>
  <c r="K134" i="5" s="1"/>
  <c r="BB952" i="4" a="1"/>
  <c r="BB952" i="4" s="1"/>
  <c r="Q134" i="5" s="1" a="1"/>
  <c r="Q134" i="5" s="1"/>
  <c r="BA952" i="4" a="1"/>
  <c r="BA952" i="4" s="1"/>
  <c r="P134" i="5" s="1" a="1"/>
  <c r="P134" i="5" s="1"/>
  <c r="BC952" i="4" a="1"/>
  <c r="BC952" i="4" s="1"/>
  <c r="R134" i="5" s="1" a="1"/>
  <c r="R134" i="5" s="1"/>
  <c r="AV940" i="4" a="1"/>
  <c r="AV940" i="4" s="1"/>
  <c r="K122" i="5" s="1" a="1"/>
  <c r="K122" i="5" s="1"/>
  <c r="AW940" i="4" a="1"/>
  <c r="AW940" i="4" s="1"/>
  <c r="L122" i="5" s="1" a="1"/>
  <c r="L122" i="5" s="1"/>
  <c r="AX940" i="4" a="1"/>
  <c r="AX940" i="4" s="1"/>
  <c r="M122" i="5" s="1" a="1"/>
  <c r="M122" i="5" s="1"/>
  <c r="AU940" i="4" a="1"/>
  <c r="AU940" i="4" s="1"/>
  <c r="J122" i="5" s="1" a="1"/>
  <c r="J122" i="5" s="1"/>
  <c r="BC940" i="4" a="1"/>
  <c r="BC940" i="4" s="1"/>
  <c r="R122" i="5" s="1" a="1"/>
  <c r="R122" i="5" s="1"/>
  <c r="BB940" i="4" a="1"/>
  <c r="BB940" i="4" s="1"/>
  <c r="Q122" i="5" s="1" a="1"/>
  <c r="Q122" i="5" s="1"/>
  <c r="AY940" i="4" a="1"/>
  <c r="AY940" i="4" s="1"/>
  <c r="N122" i="5" s="1" a="1"/>
  <c r="N122" i="5" s="1"/>
  <c r="BA940" i="4" a="1"/>
  <c r="BA940" i="4" s="1"/>
  <c r="P122" i="5" s="1" a="1"/>
  <c r="P122" i="5" s="1"/>
  <c r="AZ940" i="4" a="1"/>
  <c r="AZ940" i="4" s="1"/>
  <c r="O122" i="5" s="1" a="1"/>
  <c r="O122" i="5" s="1"/>
  <c r="BB928" i="4" a="1"/>
  <c r="BB928" i="4" s="1"/>
  <c r="Q110" i="5" s="1" a="1"/>
  <c r="Q110" i="5" s="1"/>
  <c r="AU928" i="4" a="1"/>
  <c r="AU928" i="4" s="1"/>
  <c r="J110" i="5" s="1" a="1"/>
  <c r="J110" i="5" s="1"/>
  <c r="AV928" i="4" a="1"/>
  <c r="AV928" i="4" s="1"/>
  <c r="K110" i="5" s="1" a="1"/>
  <c r="K110" i="5" s="1"/>
  <c r="AZ928" i="4" a="1"/>
  <c r="AZ928" i="4" s="1"/>
  <c r="O110" i="5" s="1" a="1"/>
  <c r="O110" i="5" s="1"/>
  <c r="AX928" i="4" a="1"/>
  <c r="AX928" i="4" s="1"/>
  <c r="M110" i="5" s="1" a="1"/>
  <c r="M110" i="5" s="1"/>
  <c r="BC928" i="4" a="1"/>
  <c r="BC928" i="4" s="1"/>
  <c r="R110" i="5" s="1" a="1"/>
  <c r="R110" i="5" s="1"/>
  <c r="AW928" i="4" a="1"/>
  <c r="AW928" i="4" s="1"/>
  <c r="L110" i="5" s="1" a="1"/>
  <c r="L110" i="5" s="1"/>
  <c r="AY928" i="4" a="1"/>
  <c r="AY928" i="4" s="1"/>
  <c r="N110" i="5" s="1" a="1"/>
  <c r="N110" i="5" s="1"/>
  <c r="BA928" i="4" a="1"/>
  <c r="BA928" i="4" s="1"/>
  <c r="P110" i="5" s="1" a="1"/>
  <c r="P110" i="5" s="1"/>
  <c r="AV916" i="4" a="1"/>
  <c r="AV916" i="4" s="1"/>
  <c r="K98" i="5" s="1" a="1"/>
  <c r="K98" i="5" s="1"/>
  <c r="AU916" i="4" a="1"/>
  <c r="AU916" i="4" s="1"/>
  <c r="J98" i="5" s="1" a="1"/>
  <c r="J98" i="5" s="1"/>
  <c r="BB916" i="4" a="1"/>
  <c r="BB916" i="4" s="1"/>
  <c r="Q98" i="5" s="1" a="1"/>
  <c r="Q98" i="5" s="1"/>
  <c r="AX916" i="4" a="1"/>
  <c r="AX916" i="4" s="1"/>
  <c r="M98" i="5" s="1" a="1"/>
  <c r="M98" i="5" s="1"/>
  <c r="AW916" i="4" a="1"/>
  <c r="AW916" i="4" s="1"/>
  <c r="L98" i="5" s="1" a="1"/>
  <c r="L98" i="5" s="1"/>
  <c r="AZ916" i="4" a="1"/>
  <c r="AZ916" i="4" s="1"/>
  <c r="O98" i="5" s="1" a="1"/>
  <c r="O98" i="5" s="1"/>
  <c r="BA916" i="4" a="1"/>
  <c r="BA916" i="4" s="1"/>
  <c r="P98" i="5" s="1" a="1"/>
  <c r="P98" i="5" s="1"/>
  <c r="BC916" i="4" a="1"/>
  <c r="BC916" i="4" s="1"/>
  <c r="R98" i="5" s="1" a="1"/>
  <c r="R98" i="5" s="1"/>
  <c r="AY916" i="4" a="1"/>
  <c r="AY916" i="4" s="1"/>
  <c r="N98" i="5" s="1" a="1"/>
  <c r="N98" i="5" s="1"/>
  <c r="AU904" i="4" a="1"/>
  <c r="AU904" i="4" s="1"/>
  <c r="J86" i="5" s="1" a="1"/>
  <c r="J86" i="5" s="1"/>
  <c r="AV904" i="4" a="1"/>
  <c r="AV904" i="4" s="1"/>
  <c r="K86" i="5" s="1" a="1"/>
  <c r="K86" i="5" s="1"/>
  <c r="BC904" i="4" a="1"/>
  <c r="BC904" i="4" s="1"/>
  <c r="R86" i="5" s="1" a="1"/>
  <c r="R86" i="5" s="1"/>
  <c r="AZ904" i="4" a="1"/>
  <c r="AZ904" i="4" s="1"/>
  <c r="O86" i="5" s="1" a="1"/>
  <c r="O86" i="5" s="1"/>
  <c r="AY904" i="4" a="1"/>
  <c r="AY904" i="4" s="1"/>
  <c r="N86" i="5" s="1" a="1"/>
  <c r="N86" i="5" s="1"/>
  <c r="AX904" i="4" a="1"/>
  <c r="AX904" i="4" s="1"/>
  <c r="M86" i="5" s="1" a="1"/>
  <c r="M86" i="5" s="1"/>
  <c r="BB904" i="4" a="1"/>
  <c r="BB904" i="4" s="1"/>
  <c r="Q86" i="5" s="1" a="1"/>
  <c r="Q86" i="5" s="1"/>
  <c r="BA904" i="4" a="1"/>
  <c r="BA904" i="4" s="1"/>
  <c r="P86" i="5" s="1" a="1"/>
  <c r="P86" i="5" s="1"/>
  <c r="AW904" i="4" a="1"/>
  <c r="AW904" i="4" s="1"/>
  <c r="L86" i="5" s="1" a="1"/>
  <c r="L86" i="5" s="1"/>
  <c r="AY892" i="4" a="1"/>
  <c r="AY892" i="4" s="1"/>
  <c r="N74" i="5" s="1" a="1"/>
  <c r="N74" i="5" s="1"/>
  <c r="AU892" i="4" a="1"/>
  <c r="AU892" i="4" s="1"/>
  <c r="J74" i="5" s="1" a="1"/>
  <c r="J74" i="5" s="1"/>
  <c r="AV892" i="4" a="1"/>
  <c r="AV892" i="4" s="1"/>
  <c r="K74" i="5" s="1" a="1"/>
  <c r="K74" i="5" s="1"/>
  <c r="AW892" i="4" a="1"/>
  <c r="AW892" i="4" s="1"/>
  <c r="L74" i="5" s="1" a="1"/>
  <c r="L74" i="5" s="1"/>
  <c r="BA892" i="4" a="1"/>
  <c r="BA892" i="4" s="1"/>
  <c r="P74" i="5" s="1" a="1"/>
  <c r="P74" i="5" s="1"/>
  <c r="AZ892" i="4" a="1"/>
  <c r="AZ892" i="4" s="1"/>
  <c r="O74" i="5" s="1" a="1"/>
  <c r="O74" i="5" s="1"/>
  <c r="BC892" i="4" a="1"/>
  <c r="BC892" i="4" s="1"/>
  <c r="R74" i="5" s="1" a="1"/>
  <c r="R74" i="5" s="1"/>
  <c r="BB892" i="4" a="1"/>
  <c r="BB892" i="4" s="1"/>
  <c r="Q74" i="5" s="1" a="1"/>
  <c r="Q74" i="5" s="1"/>
  <c r="AX892" i="4" a="1"/>
  <c r="AX892" i="4" s="1"/>
  <c r="M74" i="5" s="1" a="1"/>
  <c r="M74" i="5" s="1"/>
  <c r="AU880" i="4" a="1"/>
  <c r="AU880" i="4" s="1"/>
  <c r="J62" i="5" s="1" a="1"/>
  <c r="J62" i="5" s="1"/>
  <c r="AV880" i="4" a="1"/>
  <c r="AV880" i="4" s="1"/>
  <c r="K62" i="5" s="1" a="1"/>
  <c r="K62" i="5" s="1"/>
  <c r="AW880" i="4" a="1"/>
  <c r="AW880" i="4" s="1"/>
  <c r="L62" i="5" s="1" a="1"/>
  <c r="L62" i="5" s="1"/>
  <c r="AX880" i="4" a="1"/>
  <c r="AX880" i="4" s="1"/>
  <c r="M62" i="5" s="1" a="1"/>
  <c r="M62" i="5" s="1"/>
  <c r="BA880" i="4" a="1"/>
  <c r="BA880" i="4" s="1"/>
  <c r="P62" i="5" s="1" a="1"/>
  <c r="P62" i="5" s="1"/>
  <c r="BC880" i="4" a="1"/>
  <c r="BC880" i="4" s="1"/>
  <c r="R62" i="5" s="1" a="1"/>
  <c r="R62" i="5" s="1"/>
  <c r="AY880" i="4" a="1"/>
  <c r="AY880" i="4" s="1"/>
  <c r="N62" i="5" s="1" a="1"/>
  <c r="N62" i="5" s="1"/>
  <c r="BB880" i="4" a="1"/>
  <c r="BB880" i="4" s="1"/>
  <c r="Q62" i="5" s="1" a="1"/>
  <c r="Q62" i="5" s="1"/>
  <c r="AZ880" i="4" a="1"/>
  <c r="AZ880" i="4" s="1"/>
  <c r="O62" i="5" s="1" a="1"/>
  <c r="O62" i="5" s="1"/>
  <c r="AV868" i="4" a="1"/>
  <c r="AV868" i="4" s="1"/>
  <c r="K50" i="5" s="1" a="1"/>
  <c r="K50" i="5" s="1"/>
  <c r="AW868" i="4" a="1"/>
  <c r="AW868" i="4" s="1"/>
  <c r="L50" i="5" s="1" a="1"/>
  <c r="L50" i="5" s="1"/>
  <c r="AX868" i="4" a="1"/>
  <c r="AX868" i="4" s="1"/>
  <c r="M50" i="5" s="1" a="1"/>
  <c r="M50" i="5" s="1"/>
  <c r="AU868" i="4" a="1"/>
  <c r="AU868" i="4" s="1"/>
  <c r="J50" i="5" s="1" a="1"/>
  <c r="J50" i="5" s="1"/>
  <c r="BA868" i="4" a="1"/>
  <c r="BA868" i="4" s="1"/>
  <c r="P50" i="5" s="1" a="1"/>
  <c r="P50" i="5" s="1"/>
  <c r="AY868" i="4" a="1"/>
  <c r="AY868" i="4" s="1"/>
  <c r="N50" i="5" s="1" a="1"/>
  <c r="N50" i="5" s="1"/>
  <c r="BB868" i="4" a="1"/>
  <c r="BB868" i="4" s="1"/>
  <c r="Q50" i="5" s="1" a="1"/>
  <c r="Q50" i="5" s="1"/>
  <c r="BC868" i="4" a="1"/>
  <c r="BC868" i="4" s="1"/>
  <c r="R50" i="5" s="1" a="1"/>
  <c r="R50" i="5" s="1"/>
  <c r="AZ868" i="4" a="1"/>
  <c r="AZ868" i="4" s="1"/>
  <c r="O50" i="5" s="1" a="1"/>
  <c r="O50" i="5" s="1"/>
  <c r="AU856" i="4" a="1"/>
  <c r="AU856" i="4" s="1"/>
  <c r="J38" i="5" s="1" a="1"/>
  <c r="J38" i="5" s="1"/>
  <c r="AV856" i="4" a="1"/>
  <c r="AV856" i="4" s="1"/>
  <c r="K38" i="5" s="1" a="1"/>
  <c r="K38" i="5" s="1"/>
  <c r="AZ856" i="4" a="1"/>
  <c r="AZ856" i="4" s="1"/>
  <c r="O38" i="5" s="1" a="1"/>
  <c r="O38" i="5" s="1"/>
  <c r="BB856" i="4" a="1"/>
  <c r="BB856" i="4" s="1"/>
  <c r="Q38" i="5" s="1" a="1"/>
  <c r="Q38" i="5" s="1"/>
  <c r="AY856" i="4" a="1"/>
  <c r="AY856" i="4" s="1"/>
  <c r="N38" i="5" s="1" a="1"/>
  <c r="N38" i="5" s="1"/>
  <c r="BA856" i="4" a="1"/>
  <c r="BA856" i="4" s="1"/>
  <c r="P38" i="5" s="1" a="1"/>
  <c r="P38" i="5" s="1"/>
  <c r="BC856" i="4" a="1"/>
  <c r="BC856" i="4" s="1"/>
  <c r="R38" i="5" s="1" a="1"/>
  <c r="R38" i="5" s="1"/>
  <c r="AW856" i="4" a="1"/>
  <c r="AW856" i="4" s="1"/>
  <c r="L38" i="5" s="1" a="1"/>
  <c r="L38" i="5" s="1"/>
  <c r="AX856" i="4" a="1"/>
  <c r="AX856" i="4" s="1"/>
  <c r="M38" i="5" s="1" a="1"/>
  <c r="M38" i="5" s="1"/>
  <c r="AU844" i="4" a="1"/>
  <c r="AU844" i="4" s="1"/>
  <c r="J26" i="5" s="1" a="1"/>
  <c r="J26" i="5" s="1"/>
  <c r="AV844" i="4" a="1"/>
  <c r="AV844" i="4" s="1"/>
  <c r="K26" i="5" s="1" a="1"/>
  <c r="K26" i="5" s="1"/>
  <c r="AW844" i="4" a="1"/>
  <c r="AW844" i="4" s="1"/>
  <c r="L26" i="5" s="1" a="1"/>
  <c r="L26" i="5" s="1"/>
  <c r="AX844" i="4" a="1"/>
  <c r="AX844" i="4" s="1"/>
  <c r="M26" i="5" s="1" a="1"/>
  <c r="M26" i="5" s="1"/>
  <c r="BA844" i="4" a="1"/>
  <c r="BA844" i="4" s="1"/>
  <c r="P26" i="5" s="1" a="1"/>
  <c r="P26" i="5" s="1"/>
  <c r="AY844" i="4" a="1"/>
  <c r="AY844" i="4" s="1"/>
  <c r="N26" i="5" s="1" a="1"/>
  <c r="N26" i="5" s="1"/>
  <c r="BC844" i="4" a="1"/>
  <c r="BC844" i="4" s="1"/>
  <c r="R26" i="5" s="1" a="1"/>
  <c r="R26" i="5" s="1"/>
  <c r="BB844" i="4" a="1"/>
  <c r="BB844" i="4" s="1"/>
  <c r="Q26" i="5" s="1" a="1"/>
  <c r="Q26" i="5" s="1"/>
  <c r="AZ844" i="4" a="1"/>
  <c r="AZ844" i="4" s="1"/>
  <c r="O26" i="5" s="1" a="1"/>
  <c r="O26" i="5" s="1"/>
  <c r="AT1011" i="4" a="1"/>
  <c r="AT1011" i="4" s="1"/>
  <c r="I193" i="5" s="1" a="1"/>
  <c r="I193" i="5" s="1"/>
  <c r="AI1011" i="4" a="1"/>
  <c r="AI1011" i="4" s="1"/>
  <c r="H193" i="5" s="1" a="1"/>
  <c r="H193" i="5" s="1"/>
  <c r="AT987" i="4" a="1"/>
  <c r="AT987" i="4" s="1"/>
  <c r="I169" i="5" s="1" a="1"/>
  <c r="I169" i="5" s="1"/>
  <c r="AI987" i="4" a="1"/>
  <c r="AI987" i="4" s="1"/>
  <c r="H169" i="5" s="1" a="1"/>
  <c r="H169" i="5" s="1"/>
  <c r="AT963" i="4" a="1"/>
  <c r="AT963" i="4" s="1"/>
  <c r="I145" i="5" s="1" a="1"/>
  <c r="I145" i="5" s="1"/>
  <c r="AI963" i="4" a="1"/>
  <c r="AI963" i="4" s="1"/>
  <c r="H145" i="5" s="1" a="1"/>
  <c r="H145" i="5" s="1"/>
  <c r="AT939" i="4" a="1"/>
  <c r="AT939" i="4" s="1"/>
  <c r="I121" i="5" s="1" a="1"/>
  <c r="I121" i="5" s="1"/>
  <c r="AI939" i="4" a="1"/>
  <c r="AI939" i="4" s="1"/>
  <c r="H121" i="5" s="1" a="1"/>
  <c r="H121" i="5" s="1"/>
  <c r="AT915" i="4" a="1"/>
  <c r="AT915" i="4" s="1"/>
  <c r="I97" i="5" s="1" a="1"/>
  <c r="I97" i="5" s="1"/>
  <c r="AI915" i="4" a="1"/>
  <c r="AI915" i="4" s="1"/>
  <c r="H97" i="5" s="1" a="1"/>
  <c r="H97" i="5" s="1"/>
  <c r="AT891" i="4" a="1"/>
  <c r="AT891" i="4" s="1"/>
  <c r="I73" i="5" s="1" a="1"/>
  <c r="I73" i="5" s="1"/>
  <c r="AI891" i="4" a="1"/>
  <c r="AI891" i="4" s="1"/>
  <c r="H73" i="5" s="1" a="1"/>
  <c r="H73" i="5" s="1"/>
  <c r="AT867" i="4" a="1"/>
  <c r="AT867" i="4" s="1"/>
  <c r="I49" i="5" s="1" a="1"/>
  <c r="I49" i="5" s="1"/>
  <c r="AI867" i="4" a="1"/>
  <c r="AI867" i="4" s="1"/>
  <c r="H49" i="5" s="1" a="1"/>
  <c r="H49" i="5" s="1"/>
  <c r="AT855" i="4" a="1"/>
  <c r="AT855" i="4" s="1"/>
  <c r="I37" i="5" s="1" a="1"/>
  <c r="I37" i="5" s="1"/>
  <c r="AI855" i="4" a="1"/>
  <c r="AI855" i="4" s="1"/>
  <c r="H37" i="5" s="1" a="1"/>
  <c r="H37" i="5" s="1"/>
  <c r="AT843" i="4" a="1"/>
  <c r="AT843" i="4" s="1"/>
  <c r="I25" i="5" s="1" a="1"/>
  <c r="I25" i="5" s="1"/>
  <c r="AI843" i="4" a="1"/>
  <c r="AI843" i="4" s="1"/>
  <c r="H25" i="5" s="1" a="1"/>
  <c r="H25" i="5" s="1"/>
  <c r="AT1010" i="4" a="1"/>
  <c r="AT1010" i="4" s="1"/>
  <c r="I192" i="5" s="1" a="1"/>
  <c r="I192" i="5" s="1"/>
  <c r="AI1010" i="4" a="1"/>
  <c r="AI1010" i="4" s="1"/>
  <c r="H192" i="5" s="1" a="1"/>
  <c r="H192" i="5" s="1"/>
  <c r="AT986" i="4" a="1"/>
  <c r="AT986" i="4" s="1"/>
  <c r="I168" i="5" s="1" a="1"/>
  <c r="I168" i="5" s="1"/>
  <c r="AI986" i="4" a="1"/>
  <c r="AI986" i="4" s="1"/>
  <c r="H168" i="5" s="1" a="1"/>
  <c r="H168" i="5" s="1"/>
  <c r="AT962" i="4" a="1"/>
  <c r="AT962" i="4" s="1"/>
  <c r="I144" i="5" s="1" a="1"/>
  <c r="I144" i="5" s="1"/>
  <c r="AI962" i="4" a="1"/>
  <c r="AI962" i="4" s="1"/>
  <c r="H144" i="5" s="1" a="1"/>
  <c r="H144" i="5" s="1"/>
  <c r="AT938" i="4" a="1"/>
  <c r="AT938" i="4" s="1"/>
  <c r="I120" i="5" s="1" a="1"/>
  <c r="I120" i="5" s="1"/>
  <c r="AI938" i="4" a="1"/>
  <c r="AI938" i="4" s="1"/>
  <c r="H120" i="5" s="1" a="1"/>
  <c r="H120" i="5" s="1"/>
  <c r="AT914" i="4" a="1"/>
  <c r="AT914" i="4" s="1"/>
  <c r="I96" i="5" s="1" a="1"/>
  <c r="I96" i="5" s="1"/>
  <c r="AI914" i="4" a="1"/>
  <c r="AI914" i="4" s="1"/>
  <c r="H96" i="5" s="1" a="1"/>
  <c r="H96" i="5" s="1"/>
  <c r="AT890" i="4" a="1"/>
  <c r="AT890" i="4" s="1"/>
  <c r="I72" i="5" s="1" a="1"/>
  <c r="I72" i="5" s="1"/>
  <c r="AI890" i="4" a="1"/>
  <c r="AI890" i="4" s="1"/>
  <c r="H72" i="5" s="1" a="1"/>
  <c r="H72" i="5" s="1"/>
  <c r="AT866" i="4" a="1"/>
  <c r="AT866" i="4" s="1"/>
  <c r="I48" i="5" s="1" a="1"/>
  <c r="I48" i="5" s="1"/>
  <c r="AI866" i="4" a="1"/>
  <c r="AI866" i="4" s="1"/>
  <c r="H48" i="5" s="1" a="1"/>
  <c r="H48" i="5" s="1"/>
  <c r="AT854" i="4" a="1"/>
  <c r="AT854" i="4" s="1"/>
  <c r="I36" i="5" s="1" a="1"/>
  <c r="I36" i="5" s="1"/>
  <c r="AI854" i="4" a="1"/>
  <c r="AI854" i="4" s="1"/>
  <c r="H36" i="5" s="1" a="1"/>
  <c r="H36" i="5" s="1"/>
  <c r="AT1009" i="4" a="1"/>
  <c r="AT1009" i="4" s="1"/>
  <c r="I191" i="5" s="1" a="1"/>
  <c r="I191" i="5" s="1"/>
  <c r="AI1009" i="4" a="1"/>
  <c r="AI1009" i="4" s="1"/>
  <c r="H191" i="5" s="1" a="1"/>
  <c r="H191" i="5" s="1"/>
  <c r="AT985" i="4" a="1"/>
  <c r="AT985" i="4" s="1"/>
  <c r="I167" i="5" s="1" a="1"/>
  <c r="I167" i="5" s="1"/>
  <c r="AI985" i="4" a="1"/>
  <c r="AI985" i="4" s="1"/>
  <c r="H167" i="5" s="1" a="1"/>
  <c r="H167" i="5" s="1"/>
  <c r="AT961" i="4" a="1"/>
  <c r="AT961" i="4" s="1"/>
  <c r="I143" i="5" s="1" a="1"/>
  <c r="I143" i="5" s="1"/>
  <c r="AI961" i="4" a="1"/>
  <c r="AI961" i="4" s="1"/>
  <c r="H143" i="5" s="1" a="1"/>
  <c r="H143" i="5" s="1"/>
  <c r="AT937" i="4" a="1"/>
  <c r="AT937" i="4" s="1"/>
  <c r="I119" i="5" s="1" a="1"/>
  <c r="I119" i="5" s="1"/>
  <c r="AI937" i="4" a="1"/>
  <c r="AI937" i="4" s="1"/>
  <c r="H119" i="5" s="1" a="1"/>
  <c r="H119" i="5" s="1"/>
  <c r="AT913" i="4" a="1"/>
  <c r="AT913" i="4" s="1"/>
  <c r="I95" i="5" s="1" a="1"/>
  <c r="I95" i="5" s="1"/>
  <c r="AI913" i="4" a="1"/>
  <c r="AI913" i="4" s="1"/>
  <c r="H95" i="5" s="1" a="1"/>
  <c r="H95" i="5" s="1"/>
  <c r="AT889" i="4" a="1"/>
  <c r="AT889" i="4" s="1"/>
  <c r="I71" i="5" s="1" a="1"/>
  <c r="I71" i="5" s="1"/>
  <c r="AI889" i="4" a="1"/>
  <c r="AI889" i="4" s="1"/>
  <c r="H71" i="5" s="1" a="1"/>
  <c r="H71" i="5" s="1"/>
  <c r="AI865" i="4" a="1"/>
  <c r="AI865" i="4" s="1"/>
  <c r="H47" i="5" s="1" a="1"/>
  <c r="H47" i="5" s="1"/>
  <c r="AT865" i="4" a="1"/>
  <c r="AT865" i="4" s="1"/>
  <c r="I47" i="5" s="1" a="1"/>
  <c r="I47" i="5" s="1"/>
  <c r="AT853" i="4" a="1"/>
  <c r="AT853" i="4" s="1"/>
  <c r="I35" i="5" s="1" a="1"/>
  <c r="I35" i="5" s="1"/>
  <c r="AI853" i="4" a="1"/>
  <c r="AI853" i="4" s="1"/>
  <c r="H35" i="5" s="1" a="1"/>
  <c r="H35" i="5" s="1"/>
  <c r="AI841" i="4" a="1"/>
  <c r="AI841" i="4" s="1"/>
  <c r="H23" i="5" s="1" a="1"/>
  <c r="H23" i="5" s="1"/>
  <c r="AT841" i="4" a="1"/>
  <c r="AT841" i="4" s="1"/>
  <c r="I23" i="5" s="1" a="1"/>
  <c r="I23" i="5" s="1"/>
  <c r="AT834" i="4" a="1"/>
  <c r="AT834" i="4" s="1"/>
  <c r="I16" i="5" s="1" a="1"/>
  <c r="I16" i="5" s="1"/>
  <c r="AI834" i="4" a="1"/>
  <c r="AI834" i="4" s="1"/>
  <c r="H16" i="5" s="1" a="1"/>
  <c r="H16" i="5" s="1"/>
  <c r="AT1008" i="4" a="1"/>
  <c r="AT1008" i="4" s="1"/>
  <c r="I190" i="5" s="1" a="1"/>
  <c r="I190" i="5" s="1"/>
  <c r="AI1008" i="4" a="1"/>
  <c r="AI1008" i="4" s="1"/>
  <c r="H190" i="5" s="1" a="1"/>
  <c r="H190" i="5" s="1"/>
  <c r="AT984" i="4" a="1"/>
  <c r="AT984" i="4" s="1"/>
  <c r="I166" i="5" s="1" a="1"/>
  <c r="I166" i="5" s="1"/>
  <c r="AI984" i="4" a="1"/>
  <c r="AI984" i="4" s="1"/>
  <c r="H166" i="5" s="1" a="1"/>
  <c r="H166" i="5" s="1"/>
  <c r="AT960" i="4" a="1"/>
  <c r="AT960" i="4" s="1"/>
  <c r="I142" i="5" s="1" a="1"/>
  <c r="I142" i="5" s="1"/>
  <c r="AI960" i="4" a="1"/>
  <c r="AI960" i="4" s="1"/>
  <c r="H142" i="5" s="1" a="1"/>
  <c r="H142" i="5" s="1"/>
  <c r="AT936" i="4" a="1"/>
  <c r="AT936" i="4" s="1"/>
  <c r="I118" i="5" s="1" a="1"/>
  <c r="I118" i="5" s="1"/>
  <c r="AI936" i="4" a="1"/>
  <c r="AI936" i="4" s="1"/>
  <c r="H118" i="5" s="1" a="1"/>
  <c r="H118" i="5" s="1"/>
  <c r="AT912" i="4" a="1"/>
  <c r="AT912" i="4" s="1"/>
  <c r="I94" i="5" s="1" a="1"/>
  <c r="I94" i="5" s="1"/>
  <c r="AI912" i="4" a="1"/>
  <c r="AI912" i="4" s="1"/>
  <c r="H94" i="5" s="1" a="1"/>
  <c r="H94" i="5" s="1"/>
  <c r="AT888" i="4" a="1"/>
  <c r="AT888" i="4" s="1"/>
  <c r="I70" i="5" s="1" a="1"/>
  <c r="I70" i="5" s="1"/>
  <c r="AI888" i="4" a="1"/>
  <c r="AI888" i="4" s="1"/>
  <c r="H70" i="5" s="1" a="1"/>
  <c r="H70" i="5" s="1"/>
  <c r="AT876" i="4" a="1"/>
  <c r="AT876" i="4" s="1"/>
  <c r="I58" i="5" s="1" a="1"/>
  <c r="I58" i="5" s="1"/>
  <c r="AI876" i="4" a="1"/>
  <c r="AI876" i="4" s="1"/>
  <c r="H58" i="5" s="1" a="1"/>
  <c r="H58" i="5" s="1"/>
  <c r="AT864" i="4" a="1"/>
  <c r="AT864" i="4" s="1"/>
  <c r="I46" i="5" s="1" a="1"/>
  <c r="I46" i="5" s="1"/>
  <c r="AI864" i="4" a="1"/>
  <c r="AI864" i="4" s="1"/>
  <c r="H46" i="5" s="1" a="1"/>
  <c r="H46" i="5" s="1"/>
  <c r="AI840" i="4" a="1"/>
  <c r="AI840" i="4" s="1"/>
  <c r="H22" i="5" s="1" a="1"/>
  <c r="H22" i="5" s="1"/>
  <c r="AT840" i="4" a="1"/>
  <c r="AT840" i="4" s="1"/>
  <c r="I22" i="5" s="1" a="1"/>
  <c r="I22" i="5" s="1"/>
  <c r="AT1019" i="4" a="1"/>
  <c r="AT1019" i="4" s="1"/>
  <c r="I201" i="5" s="1" a="1"/>
  <c r="I201" i="5" s="1"/>
  <c r="AI1019" i="4" a="1"/>
  <c r="AI1019" i="4" s="1"/>
  <c r="H201" i="5" s="1" a="1"/>
  <c r="H201" i="5" s="1"/>
  <c r="AT1007" i="4" a="1"/>
  <c r="AT1007" i="4" s="1"/>
  <c r="I189" i="5" s="1" a="1"/>
  <c r="I189" i="5" s="1"/>
  <c r="AI1007" i="4" a="1"/>
  <c r="AI1007" i="4" s="1"/>
  <c r="H189" i="5" s="1" a="1"/>
  <c r="H189" i="5" s="1"/>
  <c r="AT995" i="4" a="1"/>
  <c r="AT995" i="4" s="1"/>
  <c r="I177" i="5" s="1" a="1"/>
  <c r="I177" i="5" s="1"/>
  <c r="AI995" i="4" a="1"/>
  <c r="AI995" i="4" s="1"/>
  <c r="H177" i="5" s="1" a="1"/>
  <c r="H177" i="5" s="1"/>
  <c r="AI983" i="4" a="1"/>
  <c r="AI983" i="4" s="1"/>
  <c r="H165" i="5" s="1" a="1"/>
  <c r="H165" i="5" s="1"/>
  <c r="AT983" i="4" a="1"/>
  <c r="AT983" i="4" s="1"/>
  <c r="I165" i="5" s="1" a="1"/>
  <c r="I165" i="5" s="1"/>
  <c r="AT971" i="4" a="1"/>
  <c r="AT971" i="4" s="1"/>
  <c r="I153" i="5" s="1" a="1"/>
  <c r="I153" i="5" s="1"/>
  <c r="AI971" i="4" a="1"/>
  <c r="AI971" i="4" s="1"/>
  <c r="H153" i="5" s="1" a="1"/>
  <c r="H153" i="5" s="1"/>
  <c r="AT959" i="4" a="1"/>
  <c r="AT959" i="4" s="1"/>
  <c r="I141" i="5" s="1" a="1"/>
  <c r="I141" i="5" s="1"/>
  <c r="AI959" i="4" a="1"/>
  <c r="AI959" i="4" s="1"/>
  <c r="H141" i="5" s="1" a="1"/>
  <c r="H141" i="5" s="1"/>
  <c r="AT947" i="4" a="1"/>
  <c r="AT947" i="4" s="1"/>
  <c r="I129" i="5" s="1" a="1"/>
  <c r="I129" i="5" s="1"/>
  <c r="AI947" i="4" a="1"/>
  <c r="AI947" i="4" s="1"/>
  <c r="H129" i="5" s="1" a="1"/>
  <c r="H129" i="5" s="1"/>
  <c r="AI935" i="4" a="1"/>
  <c r="AI935" i="4" s="1"/>
  <c r="H117" i="5" s="1" a="1"/>
  <c r="H117" i="5" s="1"/>
  <c r="AT935" i="4" a="1"/>
  <c r="AT935" i="4" s="1"/>
  <c r="I117" i="5" s="1" a="1"/>
  <c r="I117" i="5" s="1"/>
  <c r="AT923" i="4" a="1"/>
  <c r="AT923" i="4" s="1"/>
  <c r="I105" i="5" s="1" a="1"/>
  <c r="I105" i="5" s="1"/>
  <c r="AI923" i="4" a="1"/>
  <c r="AI923" i="4" s="1"/>
  <c r="H105" i="5" s="1" a="1"/>
  <c r="H105" i="5" s="1"/>
  <c r="AT911" i="4" a="1"/>
  <c r="AT911" i="4" s="1"/>
  <c r="I93" i="5" s="1" a="1"/>
  <c r="I93" i="5" s="1"/>
  <c r="AI911" i="4" a="1"/>
  <c r="AI911" i="4" s="1"/>
  <c r="H93" i="5" s="1" a="1"/>
  <c r="H93" i="5" s="1"/>
  <c r="AT899" i="4" a="1"/>
  <c r="AT899" i="4" s="1"/>
  <c r="I81" i="5" s="1" a="1"/>
  <c r="I81" i="5" s="1"/>
  <c r="AI899" i="4" a="1"/>
  <c r="AI899" i="4" s="1"/>
  <c r="H81" i="5" s="1" a="1"/>
  <c r="H81" i="5" s="1"/>
  <c r="AT887" i="4" a="1"/>
  <c r="AT887" i="4" s="1"/>
  <c r="I69" i="5" s="1" a="1"/>
  <c r="I69" i="5" s="1"/>
  <c r="AI887" i="4" a="1"/>
  <c r="AI887" i="4" s="1"/>
  <c r="H69" i="5" s="1" a="1"/>
  <c r="H69" i="5" s="1"/>
  <c r="AT875" i="4" a="1"/>
  <c r="AT875" i="4" s="1"/>
  <c r="I57" i="5" s="1" a="1"/>
  <c r="I57" i="5" s="1"/>
  <c r="AI875" i="4" a="1"/>
  <c r="AI875" i="4" s="1"/>
  <c r="H57" i="5" s="1" a="1"/>
  <c r="H57" i="5" s="1"/>
  <c r="AT863" i="4" a="1"/>
  <c r="AT863" i="4" s="1"/>
  <c r="I45" i="5" s="1" a="1"/>
  <c r="I45" i="5" s="1"/>
  <c r="AI863" i="4" a="1"/>
  <c r="AI863" i="4" s="1"/>
  <c r="H45" i="5" s="1" a="1"/>
  <c r="H45" i="5" s="1"/>
  <c r="AI851" i="4" a="1"/>
  <c r="AI851" i="4" s="1"/>
  <c r="H33" i="5" s="1" a="1"/>
  <c r="H33" i="5" s="1"/>
  <c r="AT851" i="4" a="1"/>
  <c r="AT851" i="4" s="1"/>
  <c r="I33" i="5" s="1" a="1"/>
  <c r="I33" i="5" s="1"/>
  <c r="AT839" i="4" a="1"/>
  <c r="AT839" i="4" s="1"/>
  <c r="I21" i="5" s="1" a="1"/>
  <c r="I21" i="5" s="1"/>
  <c r="AI839" i="4" a="1"/>
  <c r="AI839" i="4" s="1"/>
  <c r="H21" i="5" s="1" a="1"/>
  <c r="H21" i="5" s="1"/>
  <c r="AT1030" i="4" a="1"/>
  <c r="AT1030" i="4" s="1"/>
  <c r="I212" i="5" s="1" a="1"/>
  <c r="I212" i="5" s="1"/>
  <c r="AI1030" i="4" a="1"/>
  <c r="AI1030" i="4" s="1"/>
  <c r="H212" i="5" s="1" a="1"/>
  <c r="H212" i="5" s="1"/>
  <c r="AT1018" i="4" a="1"/>
  <c r="AT1018" i="4" s="1"/>
  <c r="I200" i="5" s="1" a="1"/>
  <c r="I200" i="5" s="1"/>
  <c r="AI1018" i="4" a="1"/>
  <c r="AI1018" i="4" s="1"/>
  <c r="H200" i="5" s="1" a="1"/>
  <c r="H200" i="5" s="1"/>
  <c r="AI1006" i="4" a="1"/>
  <c r="AI1006" i="4" s="1"/>
  <c r="H188" i="5" s="1" a="1"/>
  <c r="H188" i="5" s="1"/>
  <c r="AT1006" i="4" a="1"/>
  <c r="AT1006" i="4" s="1"/>
  <c r="I188" i="5" s="1" a="1"/>
  <c r="I188" i="5" s="1"/>
  <c r="AT994" i="4" a="1"/>
  <c r="AT994" i="4" s="1"/>
  <c r="I176" i="5" s="1" a="1"/>
  <c r="I176" i="5" s="1"/>
  <c r="AI994" i="4" a="1"/>
  <c r="AI994" i="4" s="1"/>
  <c r="H176" i="5" s="1" a="1"/>
  <c r="H176" i="5" s="1"/>
  <c r="AT982" i="4" a="1"/>
  <c r="AT982" i="4" s="1"/>
  <c r="I164" i="5" s="1" a="1"/>
  <c r="I164" i="5" s="1"/>
  <c r="AI982" i="4" a="1"/>
  <c r="AI982" i="4" s="1"/>
  <c r="H164" i="5" s="1" a="1"/>
  <c r="H164" i="5" s="1"/>
  <c r="AT970" i="4" a="1"/>
  <c r="AT970" i="4" s="1"/>
  <c r="I152" i="5" s="1" a="1"/>
  <c r="I152" i="5" s="1"/>
  <c r="AI970" i="4" a="1"/>
  <c r="AI970" i="4" s="1"/>
  <c r="H152" i="5" s="1" a="1"/>
  <c r="H152" i="5" s="1"/>
  <c r="AT958" i="4" a="1"/>
  <c r="AT958" i="4" s="1"/>
  <c r="I140" i="5" s="1" a="1"/>
  <c r="I140" i="5" s="1"/>
  <c r="AI958" i="4" a="1"/>
  <c r="AI958" i="4" s="1"/>
  <c r="H140" i="5" s="1" a="1"/>
  <c r="H140" i="5" s="1"/>
  <c r="AT946" i="4" a="1"/>
  <c r="AT946" i="4" s="1"/>
  <c r="I128" i="5" s="1" a="1"/>
  <c r="I128" i="5" s="1"/>
  <c r="AI946" i="4" a="1"/>
  <c r="AI946" i="4" s="1"/>
  <c r="H128" i="5" s="1" a="1"/>
  <c r="H128" i="5" s="1"/>
  <c r="AT934" i="4" a="1"/>
  <c r="AT934" i="4" s="1"/>
  <c r="I116" i="5" s="1" a="1"/>
  <c r="I116" i="5" s="1"/>
  <c r="AI934" i="4" a="1"/>
  <c r="AI934" i="4" s="1"/>
  <c r="H116" i="5" s="1" a="1"/>
  <c r="H116" i="5" s="1"/>
  <c r="AT922" i="4" a="1"/>
  <c r="AT922" i="4" s="1"/>
  <c r="I104" i="5" s="1" a="1"/>
  <c r="I104" i="5" s="1"/>
  <c r="AI922" i="4" a="1"/>
  <c r="AI922" i="4" s="1"/>
  <c r="H104" i="5" s="1" a="1"/>
  <c r="H104" i="5" s="1"/>
  <c r="AT910" i="4" a="1"/>
  <c r="AT910" i="4" s="1"/>
  <c r="I92" i="5" s="1" a="1"/>
  <c r="I92" i="5" s="1"/>
  <c r="AI910" i="4" a="1"/>
  <c r="AI910" i="4" s="1"/>
  <c r="H92" i="5" s="1" a="1"/>
  <c r="H92" i="5" s="1"/>
  <c r="AT898" i="4" a="1"/>
  <c r="AT898" i="4" s="1"/>
  <c r="I80" i="5" s="1" a="1"/>
  <c r="I80" i="5" s="1"/>
  <c r="AI898" i="4" a="1"/>
  <c r="AI898" i="4" s="1"/>
  <c r="H80" i="5" s="1" a="1"/>
  <c r="H80" i="5" s="1"/>
  <c r="AT886" i="4" a="1"/>
  <c r="AT886" i="4" s="1"/>
  <c r="I68" i="5" s="1" a="1"/>
  <c r="I68" i="5" s="1"/>
  <c r="AI886" i="4" a="1"/>
  <c r="AI886" i="4" s="1"/>
  <c r="H68" i="5" s="1" a="1"/>
  <c r="H68" i="5" s="1"/>
  <c r="AI874" i="4" a="1"/>
  <c r="AI874" i="4" s="1"/>
  <c r="H56" i="5" s="1" a="1"/>
  <c r="H56" i="5" s="1"/>
  <c r="AT874" i="4" a="1"/>
  <c r="AT874" i="4" s="1"/>
  <c r="I56" i="5" s="1" a="1"/>
  <c r="I56" i="5" s="1"/>
  <c r="AT862" i="4" a="1"/>
  <c r="AT862" i="4" s="1"/>
  <c r="I44" i="5" s="1" a="1"/>
  <c r="I44" i="5" s="1"/>
  <c r="AI862" i="4" a="1"/>
  <c r="AI862" i="4" s="1"/>
  <c r="H44" i="5" s="1" a="1"/>
  <c r="H44" i="5" s="1"/>
  <c r="AT850" i="4" a="1"/>
  <c r="AT850" i="4" s="1"/>
  <c r="I32" i="5" s="1" a="1"/>
  <c r="I32" i="5" s="1"/>
  <c r="AI850" i="4" a="1"/>
  <c r="AI850" i="4" s="1"/>
  <c r="H32" i="5" s="1" a="1"/>
  <c r="H32" i="5" s="1"/>
  <c r="AT838" i="4" a="1"/>
  <c r="AT838" i="4" s="1"/>
  <c r="I20" i="5" s="1" a="1"/>
  <c r="I20" i="5" s="1"/>
  <c r="AI838" i="4" a="1"/>
  <c r="AI838" i="4" s="1"/>
  <c r="H20" i="5" s="1" a="1"/>
  <c r="H20" i="5" s="1"/>
  <c r="AT1029" i="4" a="1"/>
  <c r="AT1029" i="4" s="1"/>
  <c r="I211" i="5" s="1" a="1"/>
  <c r="I211" i="5" s="1"/>
  <c r="AI1029" i="4" a="1"/>
  <c r="AI1029" i="4" s="1"/>
  <c r="H211" i="5" s="1" a="1"/>
  <c r="H211" i="5" s="1"/>
  <c r="AT1017" i="4" a="1"/>
  <c r="AT1017" i="4" s="1"/>
  <c r="I199" i="5" s="1" a="1"/>
  <c r="I199" i="5" s="1"/>
  <c r="AI1017" i="4" a="1"/>
  <c r="AI1017" i="4" s="1"/>
  <c r="H199" i="5" s="1" a="1"/>
  <c r="H199" i="5" s="1"/>
  <c r="AI1005" i="4" a="1"/>
  <c r="AI1005" i="4" s="1"/>
  <c r="H187" i="5" s="1" a="1"/>
  <c r="H187" i="5" s="1"/>
  <c r="AT1005" i="4" a="1"/>
  <c r="AT1005" i="4" s="1"/>
  <c r="I187" i="5" s="1" a="1"/>
  <c r="I187" i="5" s="1"/>
  <c r="AI993" i="4" a="1"/>
  <c r="AI993" i="4" s="1"/>
  <c r="H175" i="5" s="1" a="1"/>
  <c r="H175" i="5" s="1"/>
  <c r="AT993" i="4" a="1"/>
  <c r="AT993" i="4" s="1"/>
  <c r="I175" i="5" s="1" a="1"/>
  <c r="I175" i="5" s="1"/>
  <c r="AT981" i="4" a="1"/>
  <c r="AT981" i="4" s="1"/>
  <c r="I163" i="5" s="1" a="1"/>
  <c r="I163" i="5" s="1"/>
  <c r="AI981" i="4" a="1"/>
  <c r="AI981" i="4" s="1"/>
  <c r="H163" i="5" s="1" a="1"/>
  <c r="H163" i="5" s="1"/>
  <c r="AT969" i="4" a="1"/>
  <c r="AT969" i="4" s="1"/>
  <c r="I151" i="5" s="1" a="1"/>
  <c r="I151" i="5" s="1"/>
  <c r="AI969" i="4" a="1"/>
  <c r="AI969" i="4" s="1"/>
  <c r="H151" i="5" s="1" a="1"/>
  <c r="H151" i="5" s="1"/>
  <c r="AT957" i="4" a="1"/>
  <c r="AT957" i="4" s="1"/>
  <c r="I139" i="5" s="1" a="1"/>
  <c r="I139" i="5" s="1"/>
  <c r="AI957" i="4" a="1"/>
  <c r="AI957" i="4" s="1"/>
  <c r="H139" i="5" s="1" a="1"/>
  <c r="H139" i="5" s="1"/>
  <c r="AT945" i="4" a="1"/>
  <c r="AT945" i="4" s="1"/>
  <c r="I127" i="5" s="1" a="1"/>
  <c r="I127" i="5" s="1"/>
  <c r="AI945" i="4" a="1"/>
  <c r="AI945" i="4" s="1"/>
  <c r="H127" i="5" s="1" a="1"/>
  <c r="H127" i="5" s="1"/>
  <c r="AT933" i="4" a="1"/>
  <c r="AT933" i="4" s="1"/>
  <c r="I115" i="5" s="1" a="1"/>
  <c r="I115" i="5" s="1"/>
  <c r="AI933" i="4" a="1"/>
  <c r="AI933" i="4" s="1"/>
  <c r="H115" i="5" s="1" a="1"/>
  <c r="H115" i="5" s="1"/>
  <c r="AT921" i="4" a="1"/>
  <c r="AT921" i="4" s="1"/>
  <c r="I103" i="5" s="1" a="1"/>
  <c r="I103" i="5" s="1"/>
  <c r="AI921" i="4" a="1"/>
  <c r="AI921" i="4" s="1"/>
  <c r="H103" i="5" s="1" a="1"/>
  <c r="H103" i="5" s="1"/>
  <c r="AT909" i="4" a="1"/>
  <c r="AT909" i="4" s="1"/>
  <c r="I91" i="5" s="1" a="1"/>
  <c r="I91" i="5" s="1"/>
  <c r="AI909" i="4" a="1"/>
  <c r="AI909" i="4" s="1"/>
  <c r="H91" i="5" s="1" a="1"/>
  <c r="H91" i="5" s="1"/>
  <c r="AT897" i="4" a="1"/>
  <c r="AT897" i="4" s="1"/>
  <c r="I79" i="5" s="1" a="1"/>
  <c r="I79" i="5" s="1"/>
  <c r="AI897" i="4" a="1"/>
  <c r="AI897" i="4" s="1"/>
  <c r="H79" i="5" s="1" a="1"/>
  <c r="H79" i="5" s="1"/>
  <c r="AT885" i="4" a="1"/>
  <c r="AT885" i="4" s="1"/>
  <c r="I67" i="5" s="1" a="1"/>
  <c r="I67" i="5" s="1"/>
  <c r="AI885" i="4" a="1"/>
  <c r="AI885" i="4" s="1"/>
  <c r="H67" i="5" s="1" a="1"/>
  <c r="H67" i="5" s="1"/>
  <c r="AT873" i="4" a="1"/>
  <c r="AT873" i="4" s="1"/>
  <c r="I55" i="5" s="1" a="1"/>
  <c r="I55" i="5" s="1"/>
  <c r="AI873" i="4" a="1"/>
  <c r="AI873" i="4" s="1"/>
  <c r="H55" i="5" s="1" a="1"/>
  <c r="H55" i="5" s="1"/>
  <c r="AT861" i="4" a="1"/>
  <c r="AT861" i="4" s="1"/>
  <c r="I43" i="5" s="1" a="1"/>
  <c r="I43" i="5" s="1"/>
  <c r="AI861" i="4" a="1"/>
  <c r="AI861" i="4" s="1"/>
  <c r="H43" i="5" s="1" a="1"/>
  <c r="H43" i="5" s="1"/>
  <c r="AI849" i="4" a="1"/>
  <c r="AI849" i="4" s="1"/>
  <c r="H31" i="5" s="1" a="1"/>
  <c r="H31" i="5" s="1"/>
  <c r="AT849" i="4" a="1"/>
  <c r="AT849" i="4" s="1"/>
  <c r="I31" i="5" s="1" a="1"/>
  <c r="I31" i="5" s="1"/>
  <c r="AT837" i="4" a="1"/>
  <c r="AT837" i="4" s="1"/>
  <c r="I19" i="5" s="1" a="1"/>
  <c r="I19" i="5" s="1"/>
  <c r="AI837" i="4" a="1"/>
  <c r="AI837" i="4" s="1"/>
  <c r="H19" i="5" s="1" a="1"/>
  <c r="H19" i="5" s="1"/>
  <c r="AT1028" i="4" a="1"/>
  <c r="AT1028" i="4" s="1"/>
  <c r="I210" i="5" s="1" a="1"/>
  <c r="I210" i="5" s="1"/>
  <c r="AI1028" i="4" a="1"/>
  <c r="AI1028" i="4" s="1"/>
  <c r="H210" i="5" s="1" a="1"/>
  <c r="H210" i="5" s="1"/>
  <c r="AT1016" i="4" a="1"/>
  <c r="AT1016" i="4" s="1"/>
  <c r="I198" i="5" s="1" a="1"/>
  <c r="I198" i="5" s="1"/>
  <c r="AI1016" i="4" a="1"/>
  <c r="AI1016" i="4" s="1"/>
  <c r="H198" i="5" s="1" a="1"/>
  <c r="H198" i="5" s="1"/>
  <c r="AT1004" i="4" a="1"/>
  <c r="AT1004" i="4" s="1"/>
  <c r="I186" i="5" s="1" a="1"/>
  <c r="I186" i="5" s="1"/>
  <c r="AI1004" i="4" a="1"/>
  <c r="AI1004" i="4" s="1"/>
  <c r="H186" i="5" s="1" a="1"/>
  <c r="H186" i="5" s="1"/>
  <c r="AI992" i="4" a="1"/>
  <c r="AI992" i="4" s="1"/>
  <c r="H174" i="5" s="1" a="1"/>
  <c r="H174" i="5" s="1"/>
  <c r="AT992" i="4" a="1"/>
  <c r="AT992" i="4" s="1"/>
  <c r="I174" i="5" s="1" a="1"/>
  <c r="I174" i="5" s="1"/>
  <c r="AT980" i="4" a="1"/>
  <c r="AT980" i="4" s="1"/>
  <c r="I162" i="5" s="1" a="1"/>
  <c r="I162" i="5" s="1"/>
  <c r="AI980" i="4" a="1"/>
  <c r="AI980" i="4" s="1"/>
  <c r="H162" i="5" s="1" a="1"/>
  <c r="H162" i="5" s="1"/>
  <c r="AT968" i="4" a="1"/>
  <c r="AT968" i="4" s="1"/>
  <c r="I150" i="5" s="1" a="1"/>
  <c r="I150" i="5" s="1"/>
  <c r="AI968" i="4" a="1"/>
  <c r="AI968" i="4" s="1"/>
  <c r="H150" i="5" s="1" a="1"/>
  <c r="H150" i="5" s="1"/>
  <c r="AI956" i="4" a="1"/>
  <c r="AI956" i="4" s="1"/>
  <c r="H138" i="5" s="1" a="1"/>
  <c r="H138" i="5" s="1"/>
  <c r="AT956" i="4" a="1"/>
  <c r="AT956" i="4" s="1"/>
  <c r="I138" i="5" s="1" a="1"/>
  <c r="I138" i="5" s="1"/>
  <c r="AT944" i="4" a="1"/>
  <c r="AT944" i="4" s="1"/>
  <c r="I126" i="5" s="1" a="1"/>
  <c r="I126" i="5" s="1"/>
  <c r="AI944" i="4" a="1"/>
  <c r="AI944" i="4" s="1"/>
  <c r="H126" i="5" s="1" a="1"/>
  <c r="H126" i="5" s="1"/>
  <c r="AT932" i="4" a="1"/>
  <c r="AT932" i="4" s="1"/>
  <c r="I114" i="5" s="1" a="1"/>
  <c r="I114" i="5" s="1"/>
  <c r="AI932" i="4" a="1"/>
  <c r="AI932" i="4" s="1"/>
  <c r="H114" i="5" s="1" a="1"/>
  <c r="H114" i="5" s="1"/>
  <c r="AT920" i="4" a="1"/>
  <c r="AT920" i="4" s="1"/>
  <c r="I102" i="5" s="1" a="1"/>
  <c r="I102" i="5" s="1"/>
  <c r="AI920" i="4" a="1"/>
  <c r="AI920" i="4" s="1"/>
  <c r="H102" i="5" s="1" a="1"/>
  <c r="H102" i="5" s="1"/>
  <c r="AT908" i="4" a="1"/>
  <c r="AT908" i="4" s="1"/>
  <c r="I90" i="5" s="1" a="1"/>
  <c r="I90" i="5" s="1"/>
  <c r="AI908" i="4" a="1"/>
  <c r="AI908" i="4" s="1"/>
  <c r="H90" i="5" s="1" a="1"/>
  <c r="H90" i="5" s="1"/>
  <c r="AT896" i="4" a="1"/>
  <c r="AT896" i="4" s="1"/>
  <c r="I78" i="5" s="1" a="1"/>
  <c r="I78" i="5" s="1"/>
  <c r="AI896" i="4" a="1"/>
  <c r="AI896" i="4" s="1"/>
  <c r="H78" i="5" s="1" a="1"/>
  <c r="H78" i="5" s="1"/>
  <c r="AT884" i="4" a="1"/>
  <c r="AT884" i="4" s="1"/>
  <c r="I66" i="5" s="1" a="1"/>
  <c r="I66" i="5" s="1"/>
  <c r="AI884" i="4" a="1"/>
  <c r="AI884" i="4" s="1"/>
  <c r="H66" i="5" s="1" a="1"/>
  <c r="H66" i="5" s="1"/>
  <c r="AT872" i="4" a="1"/>
  <c r="AT872" i="4" s="1"/>
  <c r="I54" i="5" s="1" a="1"/>
  <c r="I54" i="5" s="1"/>
  <c r="AI872" i="4" a="1"/>
  <c r="AI872" i="4" s="1"/>
  <c r="H54" i="5" s="1" a="1"/>
  <c r="H54" i="5" s="1"/>
  <c r="AT860" i="4" a="1"/>
  <c r="AT860" i="4" s="1"/>
  <c r="I42" i="5" s="1" a="1"/>
  <c r="I42" i="5" s="1"/>
  <c r="AI860" i="4" a="1"/>
  <c r="AI860" i="4" s="1"/>
  <c r="H42" i="5" s="1" a="1"/>
  <c r="H42" i="5" s="1"/>
  <c r="AI848" i="4" a="1"/>
  <c r="AI848" i="4" s="1"/>
  <c r="H30" i="5" s="1" a="1"/>
  <c r="H30" i="5" s="1"/>
  <c r="AT848" i="4" a="1"/>
  <c r="AT848" i="4" s="1"/>
  <c r="I30" i="5" s="1" a="1"/>
  <c r="I30" i="5" s="1"/>
  <c r="AT836" i="4" a="1"/>
  <c r="AT836" i="4" s="1"/>
  <c r="I18" i="5" s="1" a="1"/>
  <c r="I18" i="5" s="1"/>
  <c r="AI836" i="4" a="1"/>
  <c r="AI836" i="4" s="1"/>
  <c r="H18" i="5" s="1" a="1"/>
  <c r="H18" i="5" s="1"/>
  <c r="AT1023" i="4" a="1"/>
  <c r="AT1023" i="4" s="1"/>
  <c r="I205" i="5" s="1" a="1"/>
  <c r="I205" i="5" s="1"/>
  <c r="AI1023" i="4" a="1"/>
  <c r="AI1023" i="4" s="1"/>
  <c r="H205" i="5" s="1" a="1"/>
  <c r="H205" i="5" s="1"/>
  <c r="AI999" i="4" a="1"/>
  <c r="AI999" i="4" s="1"/>
  <c r="H181" i="5" s="1" a="1"/>
  <c r="H181" i="5" s="1"/>
  <c r="AT999" i="4" a="1"/>
  <c r="AT999" i="4" s="1"/>
  <c r="I181" i="5" s="1" a="1"/>
  <c r="I181" i="5" s="1"/>
  <c r="AT975" i="4" a="1"/>
  <c r="AT975" i="4" s="1"/>
  <c r="I157" i="5" s="1" a="1"/>
  <c r="I157" i="5" s="1"/>
  <c r="AI975" i="4" a="1"/>
  <c r="AI975" i="4" s="1"/>
  <c r="H157" i="5" s="1" a="1"/>
  <c r="H157" i="5" s="1"/>
  <c r="AI951" i="4" a="1"/>
  <c r="AI951" i="4" s="1"/>
  <c r="H133" i="5" s="1" a="1"/>
  <c r="H133" i="5" s="1"/>
  <c r="AT951" i="4" a="1"/>
  <c r="AT951" i="4" s="1"/>
  <c r="I133" i="5" s="1" a="1"/>
  <c r="I133" i="5" s="1"/>
  <c r="AT927" i="4" a="1"/>
  <c r="AT927" i="4" s="1"/>
  <c r="I109" i="5" s="1" a="1"/>
  <c r="I109" i="5" s="1"/>
  <c r="AI927" i="4" a="1"/>
  <c r="AI927" i="4" s="1"/>
  <c r="H109" i="5" s="1" a="1"/>
  <c r="H109" i="5" s="1"/>
  <c r="AT903" i="4" a="1"/>
  <c r="AT903" i="4" s="1"/>
  <c r="I85" i="5" s="1" a="1"/>
  <c r="I85" i="5" s="1"/>
  <c r="AI903" i="4" a="1"/>
  <c r="AI903" i="4" s="1"/>
  <c r="H85" i="5" s="1" a="1"/>
  <c r="H85" i="5" s="1"/>
  <c r="AI879" i="4" a="1"/>
  <c r="AI879" i="4" s="1"/>
  <c r="H61" i="5" s="1" a="1"/>
  <c r="H61" i="5" s="1"/>
  <c r="AT879" i="4" a="1"/>
  <c r="AT879" i="4" s="1"/>
  <c r="I61" i="5" s="1" a="1"/>
  <c r="I61" i="5" s="1"/>
  <c r="AT1022" i="4" a="1"/>
  <c r="AT1022" i="4" s="1"/>
  <c r="I204" i="5" s="1" a="1"/>
  <c r="I204" i="5" s="1"/>
  <c r="AI1022" i="4" a="1"/>
  <c r="AI1022" i="4" s="1"/>
  <c r="H204" i="5" s="1" a="1"/>
  <c r="H204" i="5" s="1"/>
  <c r="AI998" i="4" a="1"/>
  <c r="AI998" i="4" s="1"/>
  <c r="H180" i="5" s="1" a="1"/>
  <c r="H180" i="5" s="1"/>
  <c r="AT998" i="4" a="1"/>
  <c r="AT998" i="4" s="1"/>
  <c r="I180" i="5" s="1" a="1"/>
  <c r="I180" i="5" s="1"/>
  <c r="AT974" i="4" a="1"/>
  <c r="AT974" i="4" s="1"/>
  <c r="I156" i="5" s="1" a="1"/>
  <c r="I156" i="5" s="1"/>
  <c r="AI974" i="4" a="1"/>
  <c r="AI974" i="4" s="1"/>
  <c r="H156" i="5" s="1" a="1"/>
  <c r="H156" i="5" s="1"/>
  <c r="AT950" i="4" a="1"/>
  <c r="AT950" i="4" s="1"/>
  <c r="I132" i="5" s="1" a="1"/>
  <c r="I132" i="5" s="1"/>
  <c r="AI950" i="4" a="1"/>
  <c r="AI950" i="4" s="1"/>
  <c r="H132" i="5" s="1" a="1"/>
  <c r="H132" i="5" s="1"/>
  <c r="AT926" i="4" a="1"/>
  <c r="AT926" i="4" s="1"/>
  <c r="I108" i="5" s="1" a="1"/>
  <c r="I108" i="5" s="1"/>
  <c r="AI926" i="4" a="1"/>
  <c r="AI926" i="4" s="1"/>
  <c r="H108" i="5" s="1" a="1"/>
  <c r="H108" i="5" s="1"/>
  <c r="AT902" i="4" a="1"/>
  <c r="AT902" i="4" s="1"/>
  <c r="I84" i="5" s="1" a="1"/>
  <c r="I84" i="5" s="1"/>
  <c r="AI902" i="4" a="1"/>
  <c r="AI902" i="4" s="1"/>
  <c r="H84" i="5" s="1" a="1"/>
  <c r="H84" i="5" s="1"/>
  <c r="AT878" i="4" a="1"/>
  <c r="AT878" i="4" s="1"/>
  <c r="I60" i="5" s="1" a="1"/>
  <c r="I60" i="5" s="1"/>
  <c r="AI878" i="4" a="1"/>
  <c r="AI878" i="4" s="1"/>
  <c r="H60" i="5" s="1" a="1"/>
  <c r="H60" i="5" s="1"/>
  <c r="AT842" i="4" a="1"/>
  <c r="AT842" i="4" s="1"/>
  <c r="I24" i="5" s="1" a="1"/>
  <c r="I24" i="5" s="1"/>
  <c r="AI842" i="4" a="1"/>
  <c r="AI842" i="4" s="1"/>
  <c r="H24" i="5" s="1" a="1"/>
  <c r="H24" i="5" s="1"/>
  <c r="AT1021" i="4" a="1"/>
  <c r="AT1021" i="4" s="1"/>
  <c r="I203" i="5" s="1" a="1"/>
  <c r="I203" i="5" s="1"/>
  <c r="AI1021" i="4" a="1"/>
  <c r="AI1021" i="4" s="1"/>
  <c r="H203" i="5" s="1" a="1"/>
  <c r="H203" i="5" s="1"/>
  <c r="AT997" i="4" a="1"/>
  <c r="AT997" i="4" s="1"/>
  <c r="I179" i="5" s="1" a="1"/>
  <c r="I179" i="5" s="1"/>
  <c r="AI997" i="4" a="1"/>
  <c r="AI997" i="4" s="1"/>
  <c r="H179" i="5" s="1" a="1"/>
  <c r="H179" i="5" s="1"/>
  <c r="AT973" i="4" a="1"/>
  <c r="AT973" i="4" s="1"/>
  <c r="I155" i="5" s="1" a="1"/>
  <c r="I155" i="5" s="1"/>
  <c r="AI973" i="4" a="1"/>
  <c r="AI973" i="4" s="1"/>
  <c r="H155" i="5" s="1" a="1"/>
  <c r="H155" i="5" s="1"/>
  <c r="AT949" i="4" a="1"/>
  <c r="AT949" i="4" s="1"/>
  <c r="I131" i="5" s="1" a="1"/>
  <c r="I131" i="5" s="1"/>
  <c r="AI949" i="4" a="1"/>
  <c r="AI949" i="4" s="1"/>
  <c r="H131" i="5" s="1" a="1"/>
  <c r="H131" i="5" s="1"/>
  <c r="AT925" i="4" a="1"/>
  <c r="AT925" i="4" s="1"/>
  <c r="I107" i="5" s="1" a="1"/>
  <c r="I107" i="5" s="1"/>
  <c r="AI925" i="4" a="1"/>
  <c r="AI925" i="4" s="1"/>
  <c r="H107" i="5" s="1" a="1"/>
  <c r="H107" i="5" s="1"/>
  <c r="AT901" i="4" a="1"/>
  <c r="AT901" i="4" s="1"/>
  <c r="I83" i="5" s="1" a="1"/>
  <c r="I83" i="5" s="1"/>
  <c r="AI901" i="4" a="1"/>
  <c r="AI901" i="4" s="1"/>
  <c r="H83" i="5" s="1" a="1"/>
  <c r="H83" i="5" s="1"/>
  <c r="AT877" i="4" a="1"/>
  <c r="AT877" i="4" s="1"/>
  <c r="I59" i="5" s="1" a="1"/>
  <c r="I59" i="5" s="1"/>
  <c r="AI877" i="4" a="1"/>
  <c r="AI877" i="4" s="1"/>
  <c r="H59" i="5" s="1" a="1"/>
  <c r="H59" i="5" s="1"/>
  <c r="AT1020" i="4" a="1"/>
  <c r="AT1020" i="4" s="1"/>
  <c r="I202" i="5" s="1" a="1"/>
  <c r="I202" i="5" s="1"/>
  <c r="AI1020" i="4" a="1"/>
  <c r="AI1020" i="4" s="1"/>
  <c r="H202" i="5" s="1" a="1"/>
  <c r="H202" i="5" s="1"/>
  <c r="AT996" i="4" a="1"/>
  <c r="AT996" i="4" s="1"/>
  <c r="I178" i="5" s="1" a="1"/>
  <c r="I178" i="5" s="1"/>
  <c r="AI996" i="4" a="1"/>
  <c r="AI996" i="4" s="1"/>
  <c r="H178" i="5" s="1" a="1"/>
  <c r="H178" i="5" s="1"/>
  <c r="AT972" i="4" a="1"/>
  <c r="AT972" i="4" s="1"/>
  <c r="I154" i="5" s="1" a="1"/>
  <c r="I154" i="5" s="1"/>
  <c r="AI972" i="4" a="1"/>
  <c r="AI972" i="4" s="1"/>
  <c r="H154" i="5" s="1" a="1"/>
  <c r="H154" i="5" s="1"/>
  <c r="AT948" i="4" a="1"/>
  <c r="AT948" i="4" s="1"/>
  <c r="I130" i="5" s="1" a="1"/>
  <c r="I130" i="5" s="1"/>
  <c r="AI948" i="4" a="1"/>
  <c r="AI948" i="4" s="1"/>
  <c r="H130" i="5" s="1" a="1"/>
  <c r="H130" i="5" s="1"/>
  <c r="AT924" i="4" a="1"/>
  <c r="AT924" i="4" s="1"/>
  <c r="I106" i="5" s="1" a="1"/>
  <c r="I106" i="5" s="1"/>
  <c r="AI924" i="4" a="1"/>
  <c r="AI924" i="4" s="1"/>
  <c r="H106" i="5" s="1" a="1"/>
  <c r="H106" i="5" s="1"/>
  <c r="AT900" i="4" a="1"/>
  <c r="AT900" i="4" s="1"/>
  <c r="I82" i="5" s="1" a="1"/>
  <c r="I82" i="5" s="1"/>
  <c r="AI900" i="4" a="1"/>
  <c r="AI900" i="4" s="1"/>
  <c r="H82" i="5" s="1" a="1"/>
  <c r="H82" i="5" s="1"/>
  <c r="AT852" i="4" a="1"/>
  <c r="AT852" i="4" s="1"/>
  <c r="I34" i="5" s="1" a="1"/>
  <c r="I34" i="5" s="1"/>
  <c r="AI852" i="4" a="1"/>
  <c r="AI852" i="4" s="1"/>
  <c r="H34" i="5" s="1" a="1"/>
  <c r="H34" i="5" s="1"/>
  <c r="AT1031" i="4" a="1"/>
  <c r="AT1031" i="4" s="1"/>
  <c r="I213" i="5" s="1" a="1"/>
  <c r="I213" i="5" s="1"/>
  <c r="AI1031" i="4" a="1"/>
  <c r="AI1031" i="4" s="1"/>
  <c r="H213" i="5" s="1" a="1"/>
  <c r="H213" i="5" s="1"/>
  <c r="AT1027" i="4" a="1"/>
  <c r="AT1027" i="4" s="1"/>
  <c r="I209" i="5" s="1" a="1"/>
  <c r="I209" i="5" s="1"/>
  <c r="AI1027" i="4" a="1"/>
  <c r="AI1027" i="4" s="1"/>
  <c r="H209" i="5" s="1" a="1"/>
  <c r="H209" i="5" s="1"/>
  <c r="AT1015" i="4" a="1"/>
  <c r="AT1015" i="4" s="1"/>
  <c r="I197" i="5" s="1" a="1"/>
  <c r="I197" i="5" s="1"/>
  <c r="AI1015" i="4" a="1"/>
  <c r="AI1015" i="4" s="1"/>
  <c r="H197" i="5" s="1" a="1"/>
  <c r="H197" i="5" s="1"/>
  <c r="AT1003" i="4" a="1"/>
  <c r="AT1003" i="4" s="1"/>
  <c r="I185" i="5" s="1" a="1"/>
  <c r="I185" i="5" s="1"/>
  <c r="AI1003" i="4" a="1"/>
  <c r="AI1003" i="4" s="1"/>
  <c r="H185" i="5" s="1" a="1"/>
  <c r="H185" i="5" s="1"/>
  <c r="AT991" i="4" a="1"/>
  <c r="AT991" i="4" s="1"/>
  <c r="I173" i="5" s="1" a="1"/>
  <c r="I173" i="5" s="1"/>
  <c r="AI991" i="4" a="1"/>
  <c r="AI991" i="4" s="1"/>
  <c r="H173" i="5" s="1" a="1"/>
  <c r="H173" i="5" s="1"/>
  <c r="AT979" i="4" a="1"/>
  <c r="AT979" i="4" s="1"/>
  <c r="I161" i="5" s="1" a="1"/>
  <c r="I161" i="5" s="1"/>
  <c r="AI979" i="4" a="1"/>
  <c r="AI979" i="4" s="1"/>
  <c r="H161" i="5" s="1" a="1"/>
  <c r="H161" i="5" s="1"/>
  <c r="AT967" i="4" a="1"/>
  <c r="AT967" i="4" s="1"/>
  <c r="I149" i="5" s="1" a="1"/>
  <c r="I149" i="5" s="1"/>
  <c r="AI967" i="4" a="1"/>
  <c r="AI967" i="4" s="1"/>
  <c r="H149" i="5" s="1" a="1"/>
  <c r="H149" i="5" s="1"/>
  <c r="AT955" i="4" a="1"/>
  <c r="AT955" i="4" s="1"/>
  <c r="I137" i="5" s="1" a="1"/>
  <c r="I137" i="5" s="1"/>
  <c r="AI955" i="4" a="1"/>
  <c r="AI955" i="4" s="1"/>
  <c r="H137" i="5" s="1" a="1"/>
  <c r="H137" i="5" s="1"/>
  <c r="AT943" i="4" a="1"/>
  <c r="AT943" i="4" s="1"/>
  <c r="I125" i="5" s="1" a="1"/>
  <c r="I125" i="5" s="1"/>
  <c r="AI943" i="4" a="1"/>
  <c r="AI943" i="4" s="1"/>
  <c r="H125" i="5" s="1" a="1"/>
  <c r="H125" i="5" s="1"/>
  <c r="AI931" i="4" a="1"/>
  <c r="AI931" i="4" s="1"/>
  <c r="H113" i="5" s="1" a="1"/>
  <c r="H113" i="5" s="1"/>
  <c r="AT931" i="4" a="1"/>
  <c r="AT931" i="4" s="1"/>
  <c r="I113" i="5" s="1" a="1"/>
  <c r="I113" i="5" s="1"/>
  <c r="AT919" i="4" a="1"/>
  <c r="AT919" i="4" s="1"/>
  <c r="I101" i="5" s="1" a="1"/>
  <c r="I101" i="5" s="1"/>
  <c r="AI919" i="4" a="1"/>
  <c r="AI919" i="4" s="1"/>
  <c r="H101" i="5" s="1" a="1"/>
  <c r="H101" i="5" s="1"/>
  <c r="AT907" i="4" a="1"/>
  <c r="AT907" i="4" s="1"/>
  <c r="I89" i="5" s="1" a="1"/>
  <c r="I89" i="5" s="1"/>
  <c r="AI907" i="4" a="1"/>
  <c r="AI907" i="4" s="1"/>
  <c r="H89" i="5" s="1" a="1"/>
  <c r="H89" i="5" s="1"/>
  <c r="AT895" i="4" a="1"/>
  <c r="AT895" i="4" s="1"/>
  <c r="I77" i="5" s="1" a="1"/>
  <c r="I77" i="5" s="1"/>
  <c r="AI895" i="4" a="1"/>
  <c r="AI895" i="4" s="1"/>
  <c r="H77" i="5" s="1" a="1"/>
  <c r="H77" i="5" s="1"/>
  <c r="AT883" i="4" a="1"/>
  <c r="AT883" i="4" s="1"/>
  <c r="I65" i="5" s="1" a="1"/>
  <c r="I65" i="5" s="1"/>
  <c r="AI883" i="4" a="1"/>
  <c r="AI883" i="4" s="1"/>
  <c r="H65" i="5" s="1" a="1"/>
  <c r="H65" i="5" s="1"/>
  <c r="AT871" i="4" a="1"/>
  <c r="AT871" i="4" s="1"/>
  <c r="I53" i="5" s="1" a="1"/>
  <c r="I53" i="5" s="1"/>
  <c r="AI871" i="4" a="1"/>
  <c r="AI871" i="4" s="1"/>
  <c r="H53" i="5" s="1" a="1"/>
  <c r="H53" i="5" s="1"/>
  <c r="AT859" i="4" a="1"/>
  <c r="AT859" i="4" s="1"/>
  <c r="I41" i="5" s="1" a="1"/>
  <c r="I41" i="5" s="1"/>
  <c r="AI859" i="4" a="1"/>
  <c r="AI859" i="4" s="1"/>
  <c r="H41" i="5" s="1" a="1"/>
  <c r="H41" i="5" s="1"/>
  <c r="AT847" i="4" a="1"/>
  <c r="AT847" i="4" s="1"/>
  <c r="I29" i="5" s="1" a="1"/>
  <c r="I29" i="5" s="1"/>
  <c r="AI847" i="4" a="1"/>
  <c r="AI847" i="4" s="1"/>
  <c r="H29" i="5" s="1" a="1"/>
  <c r="H29" i="5" s="1"/>
  <c r="AT835" i="4" a="1"/>
  <c r="AT835" i="4" s="1"/>
  <c r="I17" i="5" s="1" a="1"/>
  <c r="I17" i="5" s="1"/>
  <c r="AI835" i="4" a="1"/>
  <c r="AI835" i="4" s="1"/>
  <c r="H17" i="5" s="1" a="1"/>
  <c r="H17" i="5" s="1"/>
  <c r="AI1026" i="4" a="1"/>
  <c r="AI1026" i="4" s="1"/>
  <c r="H208" i="5" s="1" a="1"/>
  <c r="H208" i="5" s="1"/>
  <c r="AT1026" i="4" a="1"/>
  <c r="AT1026" i="4" s="1"/>
  <c r="I208" i="5" s="1" a="1"/>
  <c r="I208" i="5" s="1"/>
  <c r="AT1014" i="4" a="1"/>
  <c r="AT1014" i="4" s="1"/>
  <c r="I196" i="5" s="1" a="1"/>
  <c r="I196" i="5" s="1"/>
  <c r="AI1014" i="4" a="1"/>
  <c r="AI1014" i="4" s="1"/>
  <c r="H196" i="5" s="1" a="1"/>
  <c r="H196" i="5" s="1"/>
  <c r="AT1002" i="4" a="1"/>
  <c r="AT1002" i="4" s="1"/>
  <c r="I184" i="5" s="1" a="1"/>
  <c r="I184" i="5" s="1"/>
  <c r="AI1002" i="4" a="1"/>
  <c r="AI1002" i="4" s="1"/>
  <c r="H184" i="5" s="1" a="1"/>
  <c r="H184" i="5" s="1"/>
  <c r="AT990" i="4" a="1"/>
  <c r="AT990" i="4" s="1"/>
  <c r="I172" i="5" s="1" a="1"/>
  <c r="I172" i="5" s="1"/>
  <c r="AI990" i="4" a="1"/>
  <c r="AI990" i="4" s="1"/>
  <c r="H172" i="5" s="1" a="1"/>
  <c r="H172" i="5" s="1"/>
  <c r="AT978" i="4" a="1"/>
  <c r="AT978" i="4" s="1"/>
  <c r="I160" i="5" s="1" a="1"/>
  <c r="I160" i="5" s="1"/>
  <c r="AI978" i="4" a="1"/>
  <c r="AI978" i="4" s="1"/>
  <c r="H160" i="5" s="1" a="1"/>
  <c r="H160" i="5" s="1"/>
  <c r="AT966" i="4" a="1"/>
  <c r="AT966" i="4" s="1"/>
  <c r="I148" i="5" s="1" a="1"/>
  <c r="I148" i="5" s="1"/>
  <c r="AI966" i="4" a="1"/>
  <c r="AI966" i="4" s="1"/>
  <c r="H148" i="5" s="1" a="1"/>
  <c r="H148" i="5" s="1"/>
  <c r="AT954" i="4" a="1"/>
  <c r="AT954" i="4" s="1"/>
  <c r="I136" i="5" s="1" a="1"/>
  <c r="I136" i="5" s="1"/>
  <c r="AI954" i="4" a="1"/>
  <c r="AI954" i="4" s="1"/>
  <c r="H136" i="5" s="1" a="1"/>
  <c r="H136" i="5" s="1"/>
  <c r="AI942" i="4" a="1"/>
  <c r="AI942" i="4" s="1"/>
  <c r="H124" i="5" s="1" a="1"/>
  <c r="H124" i="5" s="1"/>
  <c r="AT942" i="4" a="1"/>
  <c r="AT942" i="4" s="1"/>
  <c r="I124" i="5" s="1" a="1"/>
  <c r="I124" i="5" s="1"/>
  <c r="AI930" i="4" a="1"/>
  <c r="AI930" i="4" s="1"/>
  <c r="H112" i="5" s="1" a="1"/>
  <c r="H112" i="5" s="1"/>
  <c r="AT930" i="4" a="1"/>
  <c r="AT930" i="4" s="1"/>
  <c r="I112" i="5" s="1" a="1"/>
  <c r="I112" i="5" s="1"/>
  <c r="AT918" i="4" a="1"/>
  <c r="AT918" i="4" s="1"/>
  <c r="I100" i="5" s="1" a="1"/>
  <c r="I100" i="5" s="1"/>
  <c r="AI918" i="4" a="1"/>
  <c r="AI918" i="4" s="1"/>
  <c r="H100" i="5" s="1" a="1"/>
  <c r="H100" i="5" s="1"/>
  <c r="AT906" i="4" a="1"/>
  <c r="AT906" i="4" s="1"/>
  <c r="I88" i="5" s="1" a="1"/>
  <c r="I88" i="5" s="1"/>
  <c r="AI906" i="4" a="1"/>
  <c r="AI906" i="4" s="1"/>
  <c r="H88" i="5" s="1" a="1"/>
  <c r="H88" i="5" s="1"/>
  <c r="AT894" i="4" a="1"/>
  <c r="AT894" i="4" s="1"/>
  <c r="I76" i="5" s="1" a="1"/>
  <c r="I76" i="5" s="1"/>
  <c r="AI894" i="4" a="1"/>
  <c r="AI894" i="4" s="1"/>
  <c r="H76" i="5" s="1" a="1"/>
  <c r="H76" i="5" s="1"/>
  <c r="AT882" i="4" a="1"/>
  <c r="AT882" i="4" s="1"/>
  <c r="I64" i="5" s="1" a="1"/>
  <c r="I64" i="5" s="1"/>
  <c r="AI882" i="4" a="1"/>
  <c r="AI882" i="4" s="1"/>
  <c r="H64" i="5" s="1" a="1"/>
  <c r="H64" i="5" s="1"/>
  <c r="AT870" i="4" a="1"/>
  <c r="AT870" i="4" s="1"/>
  <c r="I52" i="5" s="1" a="1"/>
  <c r="I52" i="5" s="1"/>
  <c r="AI870" i="4" a="1"/>
  <c r="AI870" i="4" s="1"/>
  <c r="H52" i="5" s="1" a="1"/>
  <c r="H52" i="5" s="1"/>
  <c r="AT858" i="4" a="1"/>
  <c r="AT858" i="4" s="1"/>
  <c r="I40" i="5" s="1" a="1"/>
  <c r="I40" i="5" s="1"/>
  <c r="AI858" i="4" a="1"/>
  <c r="AI858" i="4" s="1"/>
  <c r="H40" i="5" s="1" a="1"/>
  <c r="H40" i="5" s="1"/>
  <c r="AT846" i="4" a="1"/>
  <c r="AT846" i="4" s="1"/>
  <c r="I28" i="5" s="1" a="1"/>
  <c r="I28" i="5" s="1"/>
  <c r="AI846" i="4" a="1"/>
  <c r="AI846" i="4" s="1"/>
  <c r="H28" i="5" s="1" a="1"/>
  <c r="H28" i="5" s="1"/>
  <c r="AI1025" i="4" a="1"/>
  <c r="AI1025" i="4" s="1"/>
  <c r="H207" i="5" s="1" a="1"/>
  <c r="H207" i="5" s="1"/>
  <c r="AT1025" i="4" a="1"/>
  <c r="AT1025" i="4" s="1"/>
  <c r="I207" i="5" s="1" a="1"/>
  <c r="I207" i="5" s="1"/>
  <c r="AT1013" i="4" a="1"/>
  <c r="AT1013" i="4" s="1"/>
  <c r="I195" i="5" s="1" a="1"/>
  <c r="I195" i="5" s="1"/>
  <c r="AI1013" i="4" a="1"/>
  <c r="AI1013" i="4" s="1"/>
  <c r="H195" i="5" s="1" a="1"/>
  <c r="H195" i="5" s="1"/>
  <c r="AT1001" i="4" a="1"/>
  <c r="AT1001" i="4" s="1"/>
  <c r="I183" i="5" s="1" a="1"/>
  <c r="I183" i="5" s="1"/>
  <c r="AI1001" i="4" a="1"/>
  <c r="AI1001" i="4" s="1"/>
  <c r="H183" i="5" s="1" a="1"/>
  <c r="H183" i="5" s="1"/>
  <c r="AT989" i="4" a="1"/>
  <c r="AT989" i="4" s="1"/>
  <c r="I171" i="5" s="1" a="1"/>
  <c r="I171" i="5" s="1"/>
  <c r="AI989" i="4" a="1"/>
  <c r="AI989" i="4" s="1"/>
  <c r="H171" i="5" s="1" a="1"/>
  <c r="H171" i="5" s="1"/>
  <c r="AT977" i="4" a="1"/>
  <c r="AT977" i="4" s="1"/>
  <c r="I159" i="5" s="1" a="1"/>
  <c r="I159" i="5" s="1"/>
  <c r="AI977" i="4" a="1"/>
  <c r="AI977" i="4" s="1"/>
  <c r="H159" i="5" s="1" a="1"/>
  <c r="H159" i="5" s="1"/>
  <c r="AT965" i="4" a="1"/>
  <c r="AT965" i="4" s="1"/>
  <c r="I147" i="5" s="1" a="1"/>
  <c r="I147" i="5" s="1"/>
  <c r="AI965" i="4" a="1"/>
  <c r="AI965" i="4" s="1"/>
  <c r="H147" i="5" s="1" a="1"/>
  <c r="H147" i="5" s="1"/>
  <c r="AT953" i="4" a="1"/>
  <c r="AT953" i="4" s="1"/>
  <c r="I135" i="5" s="1" a="1"/>
  <c r="I135" i="5" s="1"/>
  <c r="AI953" i="4" a="1"/>
  <c r="AI953" i="4" s="1"/>
  <c r="H135" i="5" s="1" a="1"/>
  <c r="H135" i="5" s="1"/>
  <c r="AT941" i="4" a="1"/>
  <c r="AT941" i="4" s="1"/>
  <c r="I123" i="5" s="1" a="1"/>
  <c r="I123" i="5" s="1"/>
  <c r="AI941" i="4" a="1"/>
  <c r="AI941" i="4" s="1"/>
  <c r="H123" i="5" s="1" a="1"/>
  <c r="H123" i="5" s="1"/>
  <c r="AT929" i="4" a="1"/>
  <c r="AT929" i="4" s="1"/>
  <c r="I111" i="5" s="1" a="1"/>
  <c r="I111" i="5" s="1"/>
  <c r="AI929" i="4" a="1"/>
  <c r="AI929" i="4" s="1"/>
  <c r="H111" i="5" s="1" a="1"/>
  <c r="H111" i="5" s="1"/>
  <c r="AT917" i="4" a="1"/>
  <c r="AT917" i="4" s="1"/>
  <c r="I99" i="5" s="1" a="1"/>
  <c r="I99" i="5" s="1"/>
  <c r="AI917" i="4" a="1"/>
  <c r="AI917" i="4" s="1"/>
  <c r="H99" i="5" s="1" a="1"/>
  <c r="H99" i="5" s="1"/>
  <c r="AT905" i="4" a="1"/>
  <c r="AT905" i="4" s="1"/>
  <c r="I87" i="5" s="1" a="1"/>
  <c r="I87" i="5" s="1"/>
  <c r="AI905" i="4" a="1"/>
  <c r="AI905" i="4" s="1"/>
  <c r="H87" i="5" s="1" a="1"/>
  <c r="H87" i="5" s="1"/>
  <c r="AI893" i="4" a="1"/>
  <c r="AI893" i="4" s="1"/>
  <c r="H75" i="5" s="1" a="1"/>
  <c r="H75" i="5" s="1"/>
  <c r="AT893" i="4" a="1"/>
  <c r="AT893" i="4" s="1"/>
  <c r="I75" i="5" s="1" a="1"/>
  <c r="I75" i="5" s="1"/>
  <c r="AT881" i="4" a="1"/>
  <c r="AT881" i="4" s="1"/>
  <c r="I63" i="5" s="1" a="1"/>
  <c r="I63" i="5" s="1"/>
  <c r="AI881" i="4" a="1"/>
  <c r="AI881" i="4" s="1"/>
  <c r="H63" i="5" s="1" a="1"/>
  <c r="H63" i="5" s="1"/>
  <c r="AT869" i="4" a="1"/>
  <c r="AT869" i="4" s="1"/>
  <c r="I51" i="5" s="1" a="1"/>
  <c r="I51" i="5" s="1"/>
  <c r="AI869" i="4" a="1"/>
  <c r="AI869" i="4" s="1"/>
  <c r="H51" i="5" s="1" a="1"/>
  <c r="H51" i="5" s="1"/>
  <c r="AT857" i="4" a="1"/>
  <c r="AT857" i="4" s="1"/>
  <c r="I39" i="5" s="1" a="1"/>
  <c r="I39" i="5" s="1"/>
  <c r="AI857" i="4" a="1"/>
  <c r="AI857" i="4" s="1"/>
  <c r="H39" i="5" s="1" a="1"/>
  <c r="H39" i="5" s="1"/>
  <c r="AT845" i="4" a="1"/>
  <c r="AT845" i="4" s="1"/>
  <c r="I27" i="5" s="1" a="1"/>
  <c r="I27" i="5" s="1"/>
  <c r="AI845" i="4" a="1"/>
  <c r="AI845" i="4" s="1"/>
  <c r="H27" i="5" s="1" a="1"/>
  <c r="H27" i="5" s="1"/>
  <c r="AT1024" i="4" a="1"/>
  <c r="AT1024" i="4" s="1"/>
  <c r="I206" i="5" s="1" a="1"/>
  <c r="I206" i="5" s="1"/>
  <c r="AI1024" i="4" a="1"/>
  <c r="AI1024" i="4" s="1"/>
  <c r="H206" i="5" s="1" a="1"/>
  <c r="H206" i="5" s="1"/>
  <c r="AT1012" i="4" a="1"/>
  <c r="AT1012" i="4" s="1"/>
  <c r="I194" i="5" s="1" a="1"/>
  <c r="I194" i="5" s="1"/>
  <c r="AI1012" i="4" a="1"/>
  <c r="AI1012" i="4" s="1"/>
  <c r="H194" i="5" s="1" a="1"/>
  <c r="H194" i="5" s="1"/>
  <c r="AT1000" i="4" a="1"/>
  <c r="AT1000" i="4" s="1"/>
  <c r="I182" i="5" s="1" a="1"/>
  <c r="I182" i="5" s="1"/>
  <c r="AI1000" i="4" a="1"/>
  <c r="AI1000" i="4" s="1"/>
  <c r="H182" i="5" s="1" a="1"/>
  <c r="H182" i="5" s="1"/>
  <c r="AT988" i="4" a="1"/>
  <c r="AT988" i="4" s="1"/>
  <c r="I170" i="5" s="1" a="1"/>
  <c r="I170" i="5" s="1"/>
  <c r="AI988" i="4" a="1"/>
  <c r="AI988" i="4" s="1"/>
  <c r="H170" i="5" s="1" a="1"/>
  <c r="H170" i="5" s="1"/>
  <c r="AT976" i="4" a="1"/>
  <c r="AT976" i="4" s="1"/>
  <c r="I158" i="5" s="1" a="1"/>
  <c r="I158" i="5" s="1"/>
  <c r="AI976" i="4" a="1"/>
  <c r="AI976" i="4" s="1"/>
  <c r="H158" i="5" s="1" a="1"/>
  <c r="H158" i="5" s="1"/>
  <c r="AT964" i="4" a="1"/>
  <c r="AT964" i="4" s="1"/>
  <c r="I146" i="5" s="1" a="1"/>
  <c r="I146" i="5" s="1"/>
  <c r="AI964" i="4" a="1"/>
  <c r="AI964" i="4" s="1"/>
  <c r="H146" i="5" s="1" a="1"/>
  <c r="H146" i="5" s="1"/>
  <c r="AT952" i="4" a="1"/>
  <c r="AT952" i="4" s="1"/>
  <c r="I134" i="5" s="1" a="1"/>
  <c r="I134" i="5" s="1"/>
  <c r="AI952" i="4" a="1"/>
  <c r="AI952" i="4" s="1"/>
  <c r="H134" i="5" s="1" a="1"/>
  <c r="H134" i="5" s="1"/>
  <c r="AT940" i="4" a="1"/>
  <c r="AT940" i="4" s="1"/>
  <c r="I122" i="5" s="1" a="1"/>
  <c r="I122" i="5" s="1"/>
  <c r="AI940" i="4" a="1"/>
  <c r="AI940" i="4" s="1"/>
  <c r="H122" i="5" s="1" a="1"/>
  <c r="H122" i="5" s="1"/>
  <c r="AT928" i="4" a="1"/>
  <c r="AT928" i="4" s="1"/>
  <c r="I110" i="5" s="1" a="1"/>
  <c r="I110" i="5" s="1"/>
  <c r="AI928" i="4" a="1"/>
  <c r="AI928" i="4" s="1"/>
  <c r="H110" i="5" s="1" a="1"/>
  <c r="H110" i="5" s="1"/>
  <c r="AI916" i="4" a="1"/>
  <c r="AI916" i="4" s="1"/>
  <c r="H98" i="5" s="1" a="1"/>
  <c r="H98" i="5" s="1"/>
  <c r="AT916" i="4" a="1"/>
  <c r="AT916" i="4" s="1"/>
  <c r="I98" i="5" s="1" a="1"/>
  <c r="I98" i="5" s="1"/>
  <c r="AT904" i="4" a="1"/>
  <c r="AT904" i="4" s="1"/>
  <c r="I86" i="5" s="1" a="1"/>
  <c r="I86" i="5" s="1"/>
  <c r="AI904" i="4" a="1"/>
  <c r="AI904" i="4" s="1"/>
  <c r="H86" i="5" s="1" a="1"/>
  <c r="H86" i="5" s="1"/>
  <c r="AI892" i="4" a="1"/>
  <c r="AI892" i="4" s="1"/>
  <c r="H74" i="5" s="1" a="1"/>
  <c r="H74" i="5" s="1"/>
  <c r="AT892" i="4" a="1"/>
  <c r="AT892" i="4" s="1"/>
  <c r="I74" i="5" s="1" a="1"/>
  <c r="I74" i="5" s="1"/>
  <c r="AT880" i="4" a="1"/>
  <c r="AT880" i="4" s="1"/>
  <c r="I62" i="5" s="1" a="1"/>
  <c r="I62" i="5" s="1"/>
  <c r="AI880" i="4" a="1"/>
  <c r="AI880" i="4" s="1"/>
  <c r="H62" i="5" s="1" a="1"/>
  <c r="H62" i="5" s="1"/>
  <c r="AT868" i="4" a="1"/>
  <c r="AT868" i="4" s="1"/>
  <c r="I50" i="5" s="1" a="1"/>
  <c r="I50" i="5" s="1"/>
  <c r="AI868" i="4" a="1"/>
  <c r="AI868" i="4" s="1"/>
  <c r="H50" i="5" s="1" a="1"/>
  <c r="H50" i="5" s="1"/>
  <c r="AT856" i="4" a="1"/>
  <c r="AT856" i="4" s="1"/>
  <c r="I38" i="5" s="1" a="1"/>
  <c r="I38" i="5" s="1"/>
  <c r="AI856" i="4" a="1"/>
  <c r="AI856" i="4" s="1"/>
  <c r="H38" i="5" s="1" a="1"/>
  <c r="H38" i="5" s="1"/>
  <c r="AT844" i="4" a="1"/>
  <c r="AT844" i="4" s="1"/>
  <c r="I26" i="5" s="1" a="1"/>
  <c r="I26" i="5" s="1"/>
  <c r="AI844" i="4" a="1"/>
  <c r="AI844" i="4" s="1"/>
  <c r="H26" i="5" s="1" a="1"/>
  <c r="H26" i="5" s="1"/>
  <c r="AA179" i="4" a="1"/>
  <c r="AA179" i="4" s="1"/>
  <c r="D383" i="4"/>
  <c r="D585" i="4" s="1"/>
  <c r="D787" i="4" s="1"/>
  <c r="J787" i="4" s="1" a="1"/>
  <c r="J787" i="4" s="1"/>
  <c r="AA167" i="4" a="1"/>
  <c r="AA167" i="4" s="1"/>
  <c r="D371" i="4"/>
  <c r="F371" i="4" s="1" a="1"/>
  <c r="F371" i="4" s="1"/>
  <c r="AA155" i="4" a="1"/>
  <c r="AA155" i="4" s="1"/>
  <c r="D359" i="4"/>
  <c r="D561" i="4" s="1"/>
  <c r="D763" i="4" s="1"/>
  <c r="I763" i="4" s="1" a="1"/>
  <c r="I763" i="4" s="1"/>
  <c r="AA143" i="4" a="1"/>
  <c r="AA143" i="4" s="1"/>
  <c r="D347" i="4"/>
  <c r="D549" i="4" s="1"/>
  <c r="D751" i="4" s="1"/>
  <c r="J751" i="4" s="1" a="1"/>
  <c r="J751" i="4" s="1"/>
  <c r="AA131" i="4" a="1"/>
  <c r="AA131" i="4" s="1"/>
  <c r="D335" i="4"/>
  <c r="D537" i="4" s="1"/>
  <c r="D739" i="4" s="1"/>
  <c r="I739" i="4" s="1" a="1"/>
  <c r="I739" i="4" s="1"/>
  <c r="AA119" i="4" a="1"/>
  <c r="AA119" i="4" s="1"/>
  <c r="D323" i="4"/>
  <c r="D525" i="4" s="1"/>
  <c r="D727" i="4" s="1"/>
  <c r="I727" i="4" s="1" a="1"/>
  <c r="I727" i="4" s="1"/>
  <c r="AA107" i="4" a="1"/>
  <c r="AA107" i="4" s="1"/>
  <c r="D311" i="4"/>
  <c r="D513" i="4" s="1"/>
  <c r="D715" i="4" s="1"/>
  <c r="J715" i="4" s="1" a="1"/>
  <c r="J715" i="4" s="1"/>
  <c r="AA95" i="4" a="1"/>
  <c r="AA95" i="4" s="1"/>
  <c r="D299" i="4"/>
  <c r="E299" i="4" s="1" a="1"/>
  <c r="E299" i="4" s="1"/>
  <c r="AA83" i="4" a="1"/>
  <c r="AA83" i="4" s="1"/>
  <c r="D287" i="4"/>
  <c r="D489" i="4" s="1"/>
  <c r="D691" i="4" s="1"/>
  <c r="I691" i="4" s="1" a="1"/>
  <c r="I691" i="4" s="1"/>
  <c r="AA59" i="4" a="1"/>
  <c r="AA59" i="4" s="1"/>
  <c r="D263" i="4"/>
  <c r="D465" i="4" s="1"/>
  <c r="D667" i="4" s="1"/>
  <c r="AA47" i="4" a="1"/>
  <c r="AA47" i="4" s="1"/>
  <c r="D251" i="4"/>
  <c r="D453" i="4" s="1"/>
  <c r="D655" i="4" s="1"/>
  <c r="J655" i="4" s="1" a="1"/>
  <c r="J655" i="4" s="1"/>
  <c r="AA35" i="4" a="1"/>
  <c r="AA35" i="4" s="1"/>
  <c r="D239" i="4"/>
  <c r="D441" i="4" s="1"/>
  <c r="D643" i="4" s="1"/>
  <c r="J643" i="4" s="1" a="1"/>
  <c r="J643" i="4" s="1"/>
  <c r="AA23" i="4" a="1"/>
  <c r="AA23" i="4" s="1"/>
  <c r="D227" i="4"/>
  <c r="D429" i="4" s="1"/>
  <c r="D631" i="4" s="1"/>
  <c r="J631" i="4" s="1" a="1"/>
  <c r="J631" i="4" s="1"/>
  <c r="AA202" i="4" a="1"/>
  <c r="AA202" i="4" s="1"/>
  <c r="D406" i="4"/>
  <c r="D608" i="4" s="1"/>
  <c r="D810" i="4" s="1"/>
  <c r="I810" i="4" s="1" a="1"/>
  <c r="I810" i="4" s="1"/>
  <c r="AA190" i="4" a="1"/>
  <c r="AA190" i="4" s="1"/>
  <c r="D394" i="4"/>
  <c r="D596" i="4" s="1"/>
  <c r="D798" i="4" s="1"/>
  <c r="J798" i="4" s="1" a="1"/>
  <c r="J798" i="4" s="1"/>
  <c r="AA166" i="4" a="1"/>
  <c r="AA166" i="4" s="1"/>
  <c r="D370" i="4"/>
  <c r="D572" i="4" s="1"/>
  <c r="D774" i="4" s="1"/>
  <c r="AA154" i="4" a="1"/>
  <c r="AA154" i="4" s="1"/>
  <c r="D358" i="4"/>
  <c r="D560" i="4" s="1"/>
  <c r="D762" i="4" s="1"/>
  <c r="J762" i="4" s="1" a="1"/>
  <c r="J762" i="4" s="1"/>
  <c r="AA142" i="4" a="1"/>
  <c r="AA142" i="4" s="1"/>
  <c r="D346" i="4"/>
  <c r="D548" i="4" s="1"/>
  <c r="D750" i="4" s="1"/>
  <c r="J750" i="4" s="1" a="1"/>
  <c r="J750" i="4" s="1"/>
  <c r="AA130" i="4" a="1"/>
  <c r="AA130" i="4" s="1"/>
  <c r="D334" i="4"/>
  <c r="D536" i="4" s="1"/>
  <c r="D738" i="4" s="1"/>
  <c r="J738" i="4" s="1" a="1"/>
  <c r="J738" i="4" s="1"/>
  <c r="AA118" i="4" a="1"/>
  <c r="AA118" i="4" s="1"/>
  <c r="D322" i="4"/>
  <c r="E322" i="4" s="1" a="1"/>
  <c r="E322" i="4" s="1"/>
  <c r="AA106" i="4" a="1"/>
  <c r="AA106" i="4" s="1"/>
  <c r="D310" i="4"/>
  <c r="D512" i="4" s="1"/>
  <c r="D714" i="4" s="1"/>
  <c r="J714" i="4" s="1" a="1"/>
  <c r="J714" i="4" s="1"/>
  <c r="AA94" i="4" a="1"/>
  <c r="AA94" i="4" s="1"/>
  <c r="D298" i="4"/>
  <c r="D500" i="4" s="1"/>
  <c r="D702" i="4" s="1"/>
  <c r="AA82" i="4" a="1"/>
  <c r="AA82" i="4" s="1"/>
  <c r="D286" i="4"/>
  <c r="D488" i="4" s="1"/>
  <c r="D690" i="4" s="1"/>
  <c r="J690" i="4" s="1" a="1"/>
  <c r="J690" i="4" s="1"/>
  <c r="AA70" i="4" a="1"/>
  <c r="AA70" i="4" s="1"/>
  <c r="D274" i="4"/>
  <c r="AA58" i="4" a="1"/>
  <c r="AA58" i="4" s="1"/>
  <c r="D262" i="4"/>
  <c r="D464" i="4" s="1"/>
  <c r="D666" i="4" s="1"/>
  <c r="E666" i="4" s="1" a="1"/>
  <c r="E666" i="4" s="1"/>
  <c r="AA46" i="4" a="1"/>
  <c r="AA46" i="4" s="1"/>
  <c r="D250" i="4"/>
  <c r="D452" i="4" s="1"/>
  <c r="D654" i="4" s="1"/>
  <c r="I654" i="4" s="1" a="1"/>
  <c r="I654" i="4" s="1"/>
  <c r="AA34" i="4" a="1"/>
  <c r="AA34" i="4" s="1"/>
  <c r="D238" i="4"/>
  <c r="D440" i="4" s="1"/>
  <c r="D642" i="4" s="1"/>
  <c r="I642" i="4" s="1" a="1"/>
  <c r="I642" i="4" s="1"/>
  <c r="AA22" i="4" a="1"/>
  <c r="AA22" i="4" s="1"/>
  <c r="D226" i="4"/>
  <c r="D428" i="4" s="1"/>
  <c r="D630" i="4" s="1"/>
  <c r="E630" i="4" s="1" a="1"/>
  <c r="E630" i="4" s="1"/>
  <c r="AA189" i="4" a="1"/>
  <c r="AA189" i="4" s="1"/>
  <c r="D393" i="4"/>
  <c r="D595" i="4" s="1"/>
  <c r="D797" i="4" s="1"/>
  <c r="I797" i="4" s="1" a="1"/>
  <c r="I797" i="4" s="1"/>
  <c r="AA117" i="4" a="1"/>
  <c r="AA117" i="4" s="1"/>
  <c r="D321" i="4"/>
  <c r="D523" i="4" s="1"/>
  <c r="D725" i="4" s="1"/>
  <c r="J725" i="4" s="1" a="1"/>
  <c r="J725" i="4" s="1"/>
  <c r="AA57" i="4" a="1"/>
  <c r="AA57" i="4" s="1"/>
  <c r="D261" i="4"/>
  <c r="D463" i="4" s="1"/>
  <c r="D665" i="4" s="1"/>
  <c r="I665" i="4" s="1" a="1"/>
  <c r="I665" i="4" s="1"/>
  <c r="AA33" i="4" a="1"/>
  <c r="AA33" i="4" s="1"/>
  <c r="D237" i="4"/>
  <c r="D439" i="4" s="1"/>
  <c r="D641" i="4" s="1"/>
  <c r="J641" i="4" s="1" a="1"/>
  <c r="J641" i="4" s="1"/>
  <c r="AA21" i="4" a="1"/>
  <c r="AA21" i="4" s="1"/>
  <c r="D225" i="4"/>
  <c r="D427" i="4" s="1"/>
  <c r="D629" i="4" s="1"/>
  <c r="I629" i="4" s="1" a="1"/>
  <c r="I629" i="4" s="1"/>
  <c r="AA164" i="4" a="1"/>
  <c r="AA164" i="4" s="1"/>
  <c r="D368" i="4"/>
  <c r="D570" i="4" s="1"/>
  <c r="D772" i="4" s="1"/>
  <c r="E772" i="4" s="1" a="1"/>
  <c r="E772" i="4" s="1"/>
  <c r="AA151" i="4" a="1"/>
  <c r="AA151" i="4" s="1"/>
  <c r="D355" i="4"/>
  <c r="D557" i="4" s="1"/>
  <c r="D759" i="4" s="1"/>
  <c r="I759" i="4" s="1" a="1"/>
  <c r="I759" i="4" s="1"/>
  <c r="AA91" i="4" a="1"/>
  <c r="AA91" i="4" s="1"/>
  <c r="D295" i="4"/>
  <c r="D497" i="4" s="1"/>
  <c r="D699" i="4" s="1"/>
  <c r="J699" i="4" s="1" a="1"/>
  <c r="J699" i="4" s="1"/>
  <c r="AA55" i="4" a="1"/>
  <c r="AA55" i="4" s="1"/>
  <c r="D259" i="4"/>
  <c r="D461" i="4" s="1"/>
  <c r="D663" i="4" s="1"/>
  <c r="J663" i="4" s="1" a="1"/>
  <c r="J663" i="4" s="1"/>
  <c r="AA19" i="4" a="1"/>
  <c r="AA19" i="4" s="1"/>
  <c r="D223" i="4"/>
  <c r="AA162" i="4" a="1"/>
  <c r="AA162" i="4" s="1"/>
  <c r="D366" i="4"/>
  <c r="D568" i="4" s="1"/>
  <c r="D770" i="4" s="1"/>
  <c r="I770" i="4" s="1" a="1"/>
  <c r="I770" i="4" s="1"/>
  <c r="AA138" i="4" a="1"/>
  <c r="AA138" i="4" s="1"/>
  <c r="D342" i="4"/>
  <c r="AA102" i="4" a="1"/>
  <c r="AA102" i="4" s="1"/>
  <c r="D306" i="4"/>
  <c r="D508" i="4" s="1"/>
  <c r="D710" i="4" s="1"/>
  <c r="I710" i="4" s="1" a="1"/>
  <c r="I710" i="4" s="1"/>
  <c r="AA209" i="4" a="1"/>
  <c r="AA209" i="4" s="1"/>
  <c r="D413" i="4"/>
  <c r="D615" i="4" s="1"/>
  <c r="D817" i="4" s="1"/>
  <c r="E817" i="4" s="1" a="1"/>
  <c r="E817" i="4" s="1"/>
  <c r="AA161" i="4" a="1"/>
  <c r="AA161" i="4" s="1"/>
  <c r="D365" i="4"/>
  <c r="D567" i="4" s="1"/>
  <c r="D769" i="4" s="1"/>
  <c r="J769" i="4" s="1" a="1"/>
  <c r="J769" i="4" s="1"/>
  <c r="AA149" i="4" a="1"/>
  <c r="AA149" i="4" s="1"/>
  <c r="D353" i="4"/>
  <c r="D555" i="4" s="1"/>
  <c r="D757" i="4" s="1"/>
  <c r="I757" i="4" s="1" a="1"/>
  <c r="I757" i="4" s="1"/>
  <c r="AA137" i="4" a="1"/>
  <c r="AA137" i="4" s="1"/>
  <c r="D341" i="4"/>
  <c r="D543" i="4" s="1"/>
  <c r="D745" i="4" s="1"/>
  <c r="E745" i="4" s="1" a="1"/>
  <c r="E745" i="4" s="1"/>
  <c r="AA125" i="4" a="1"/>
  <c r="AA125" i="4" s="1"/>
  <c r="D329" i="4"/>
  <c r="D531" i="4" s="1"/>
  <c r="D733" i="4" s="1"/>
  <c r="AA113" i="4" a="1"/>
  <c r="AA113" i="4" s="1"/>
  <c r="D317" i="4"/>
  <c r="D519" i="4" s="1"/>
  <c r="D721" i="4" s="1"/>
  <c r="I721" i="4" s="1" a="1"/>
  <c r="I721" i="4" s="1"/>
  <c r="AA101" i="4" a="1"/>
  <c r="AA101" i="4" s="1"/>
  <c r="D305" i="4"/>
  <c r="D507" i="4" s="1"/>
  <c r="D709" i="4" s="1"/>
  <c r="AA89" i="4" a="1"/>
  <c r="AA89" i="4" s="1"/>
  <c r="D293" i="4"/>
  <c r="D495" i="4" s="1"/>
  <c r="D697" i="4" s="1"/>
  <c r="E697" i="4" s="1" a="1"/>
  <c r="E697" i="4" s="1"/>
  <c r="AA77" i="4" a="1"/>
  <c r="AA77" i="4" s="1"/>
  <c r="D281" i="4"/>
  <c r="D483" i="4" s="1"/>
  <c r="D685" i="4" s="1"/>
  <c r="J685" i="4" s="1" a="1"/>
  <c r="J685" i="4" s="1"/>
  <c r="AA65" i="4" a="1"/>
  <c r="AA65" i="4" s="1"/>
  <c r="D269" i="4"/>
  <c r="D471" i="4" s="1"/>
  <c r="D673" i="4" s="1"/>
  <c r="J673" i="4" s="1" a="1"/>
  <c r="J673" i="4" s="1"/>
  <c r="AA53" i="4" a="1"/>
  <c r="AA53" i="4" s="1"/>
  <c r="D257" i="4"/>
  <c r="AA41" i="4" a="1"/>
  <c r="AA41" i="4" s="1"/>
  <c r="D245" i="4"/>
  <c r="D447" i="4" s="1"/>
  <c r="D649" i="4" s="1"/>
  <c r="E649" i="4" s="1" a="1"/>
  <c r="E649" i="4" s="1"/>
  <c r="AA29" i="4" a="1"/>
  <c r="AA29" i="4" s="1"/>
  <c r="D233" i="4"/>
  <c r="D435" i="4" s="1"/>
  <c r="D637" i="4" s="1"/>
  <c r="I637" i="4" s="1" a="1"/>
  <c r="I637" i="4" s="1"/>
  <c r="AA17" i="4" a="1"/>
  <c r="AA17" i="4" s="1"/>
  <c r="D221" i="4"/>
  <c r="D423" i="4" s="1"/>
  <c r="D625" i="4" s="1"/>
  <c r="I625" i="4" s="1" a="1"/>
  <c r="I625" i="4" s="1"/>
  <c r="AA201" i="4" a="1"/>
  <c r="AA201" i="4" s="1"/>
  <c r="D405" i="4"/>
  <c r="D607" i="4" s="1"/>
  <c r="D809" i="4" s="1"/>
  <c r="I809" i="4" s="1" a="1"/>
  <c r="I809" i="4" s="1"/>
  <c r="AA153" i="4" a="1"/>
  <c r="AA153" i="4" s="1"/>
  <c r="D357" i="4"/>
  <c r="D559" i="4" s="1"/>
  <c r="D761" i="4" s="1"/>
  <c r="I761" i="4" s="1" a="1"/>
  <c r="I761" i="4" s="1"/>
  <c r="AA105" i="4" a="1"/>
  <c r="AA105" i="4" s="1"/>
  <c r="D309" i="4"/>
  <c r="D511" i="4" s="1"/>
  <c r="D713" i="4" s="1"/>
  <c r="J713" i="4" s="1" a="1"/>
  <c r="J713" i="4" s="1"/>
  <c r="AA69" i="4" a="1"/>
  <c r="AA69" i="4" s="1"/>
  <c r="D273" i="4"/>
  <c r="D475" i="4" s="1"/>
  <c r="D677" i="4" s="1"/>
  <c r="I677" i="4" s="1" a="1"/>
  <c r="I677" i="4" s="1"/>
  <c r="AA45" i="4" a="1"/>
  <c r="AA45" i="4" s="1"/>
  <c r="D249" i="4"/>
  <c r="D451" i="4" s="1"/>
  <c r="D653" i="4" s="1"/>
  <c r="E653" i="4" s="1" a="1"/>
  <c r="E653" i="4" s="1"/>
  <c r="AA212" i="4" a="1"/>
  <c r="AA212" i="4" s="1"/>
  <c r="D416" i="4"/>
  <c r="D618" i="4" s="1"/>
  <c r="D820" i="4" s="1"/>
  <c r="I820" i="4" s="1" a="1"/>
  <c r="I820" i="4" s="1"/>
  <c r="AA176" i="4" a="1"/>
  <c r="AA176" i="4" s="1"/>
  <c r="D380" i="4"/>
  <c r="E380" i="4" s="1" a="1"/>
  <c r="E380" i="4" s="1"/>
  <c r="AA116" i="4" a="1"/>
  <c r="AA116" i="4" s="1"/>
  <c r="D320" i="4"/>
  <c r="D522" i="4" s="1"/>
  <c r="D724" i="4" s="1"/>
  <c r="E724" i="4" s="1" a="1"/>
  <c r="E724" i="4" s="1"/>
  <c r="AA92" i="4" a="1"/>
  <c r="AA92" i="4" s="1"/>
  <c r="D296" i="4"/>
  <c r="D498" i="4" s="1"/>
  <c r="D700" i="4" s="1"/>
  <c r="E700" i="4" s="1" a="1"/>
  <c r="E700" i="4" s="1"/>
  <c r="AA56" i="4" a="1"/>
  <c r="AA56" i="4" s="1"/>
  <c r="D260" i="4"/>
  <c r="AA32" i="4" a="1"/>
  <c r="AA32" i="4" s="1"/>
  <c r="D236" i="4"/>
  <c r="D438" i="4" s="1"/>
  <c r="D640" i="4" s="1"/>
  <c r="AA199" i="4" a="1"/>
  <c r="AA199" i="4" s="1"/>
  <c r="D403" i="4"/>
  <c r="D605" i="4" s="1"/>
  <c r="D807" i="4" s="1"/>
  <c r="E807" i="4" s="1" a="1"/>
  <c r="E807" i="4" s="1"/>
  <c r="AA163" i="4" a="1"/>
  <c r="AA163" i="4" s="1"/>
  <c r="D367" i="4"/>
  <c r="D569" i="4" s="1"/>
  <c r="D771" i="4" s="1"/>
  <c r="I771" i="4" s="1" a="1"/>
  <c r="I771" i="4" s="1"/>
  <c r="AA103" i="4" a="1"/>
  <c r="AA103" i="4" s="1"/>
  <c r="D307" i="4"/>
  <c r="D509" i="4" s="1"/>
  <c r="D711" i="4" s="1"/>
  <c r="E711" i="4" s="1" a="1"/>
  <c r="E711" i="4" s="1"/>
  <c r="AA210" i="4" a="1"/>
  <c r="AA210" i="4" s="1"/>
  <c r="D414" i="4"/>
  <c r="D616" i="4" s="1"/>
  <c r="D818" i="4" s="1"/>
  <c r="E818" i="4" s="1" a="1"/>
  <c r="E818" i="4" s="1"/>
  <c r="AA174" i="4" a="1"/>
  <c r="AA174" i="4" s="1"/>
  <c r="D378" i="4"/>
  <c r="D580" i="4" s="1"/>
  <c r="D782" i="4" s="1"/>
  <c r="E782" i="4" s="1" a="1"/>
  <c r="E782" i="4" s="1"/>
  <c r="AA150" i="4" a="1"/>
  <c r="AA150" i="4" s="1"/>
  <c r="D354" i="4"/>
  <c r="D556" i="4" s="1"/>
  <c r="D758" i="4" s="1"/>
  <c r="E758" i="4" s="1" a="1"/>
  <c r="E758" i="4" s="1"/>
  <c r="AA126" i="4" a="1"/>
  <c r="AA126" i="4" s="1"/>
  <c r="D330" i="4"/>
  <c r="D532" i="4" s="1"/>
  <c r="D734" i="4" s="1"/>
  <c r="I734" i="4" s="1" a="1"/>
  <c r="I734" i="4" s="1"/>
  <c r="AA114" i="4" a="1"/>
  <c r="AA114" i="4" s="1"/>
  <c r="D318" i="4"/>
  <c r="F318" i="4" s="1" a="1"/>
  <c r="F318" i="4" s="1"/>
  <c r="AA90" i="4" a="1"/>
  <c r="AA90" i="4" s="1"/>
  <c r="D294" i="4"/>
  <c r="D496" i="4" s="1"/>
  <c r="D698" i="4" s="1"/>
  <c r="E698" i="4" s="1" a="1"/>
  <c r="E698" i="4" s="1"/>
  <c r="AA78" i="4" a="1"/>
  <c r="AA78" i="4" s="1"/>
  <c r="D282" i="4"/>
  <c r="AA66" i="4" a="1"/>
  <c r="AA66" i="4" s="1"/>
  <c r="D270" i="4"/>
  <c r="D472" i="4" s="1"/>
  <c r="D674" i="4" s="1"/>
  <c r="E674" i="4" s="1" a="1"/>
  <c r="E674" i="4" s="1"/>
  <c r="AA54" i="4" a="1"/>
  <c r="AA54" i="4" s="1"/>
  <c r="D258" i="4"/>
  <c r="D460" i="4" s="1"/>
  <c r="D662" i="4" s="1"/>
  <c r="J662" i="4" s="1" a="1"/>
  <c r="J662" i="4" s="1"/>
  <c r="AA42" i="4" a="1"/>
  <c r="AA42" i="4" s="1"/>
  <c r="D246" i="4"/>
  <c r="D448" i="4" s="1"/>
  <c r="D650" i="4" s="1"/>
  <c r="E650" i="4" s="1" a="1"/>
  <c r="E650" i="4" s="1"/>
  <c r="AA30" i="4" a="1"/>
  <c r="AA30" i="4" s="1"/>
  <c r="D234" i="4"/>
  <c r="D436" i="4" s="1"/>
  <c r="D638" i="4" s="1"/>
  <c r="I638" i="4" s="1" a="1"/>
  <c r="I638" i="4" s="1"/>
  <c r="AA18" i="4" a="1"/>
  <c r="AA18" i="4" s="1"/>
  <c r="D222" i="4"/>
  <c r="D424" i="4" s="1"/>
  <c r="D626" i="4" s="1"/>
  <c r="E626" i="4" s="1" a="1"/>
  <c r="E626" i="4" s="1"/>
  <c r="AA197" i="4" a="1"/>
  <c r="AA197" i="4" s="1"/>
  <c r="D401" i="4"/>
  <c r="D603" i="4" s="1"/>
  <c r="D805" i="4" s="1"/>
  <c r="AA185" i="4" a="1"/>
  <c r="AA185" i="4" s="1"/>
  <c r="D389" i="4"/>
  <c r="D591" i="4" s="1"/>
  <c r="D793" i="4" s="1"/>
  <c r="AA208" i="4" a="1"/>
  <c r="AA208" i="4" s="1"/>
  <c r="D412" i="4"/>
  <c r="D614" i="4" s="1"/>
  <c r="D816" i="4" s="1"/>
  <c r="J816" i="4" s="1" a="1"/>
  <c r="J816" i="4" s="1"/>
  <c r="AA196" i="4" a="1"/>
  <c r="AA196" i="4" s="1"/>
  <c r="D400" i="4"/>
  <c r="D602" i="4" s="1"/>
  <c r="D804" i="4" s="1"/>
  <c r="I804" i="4" s="1" a="1"/>
  <c r="I804" i="4" s="1"/>
  <c r="AA184" i="4" a="1"/>
  <c r="AA184" i="4" s="1"/>
  <c r="D388" i="4"/>
  <c r="D590" i="4" s="1"/>
  <c r="D792" i="4" s="1"/>
  <c r="J792" i="4" s="1" a="1"/>
  <c r="J792" i="4" s="1"/>
  <c r="AA172" i="4" a="1"/>
  <c r="AA172" i="4" s="1"/>
  <c r="D376" i="4"/>
  <c r="D578" i="4" s="1"/>
  <c r="D780" i="4" s="1"/>
  <c r="E780" i="4" s="1" a="1"/>
  <c r="E780" i="4" s="1"/>
  <c r="AA160" i="4" a="1"/>
  <c r="AA160" i="4" s="1"/>
  <c r="D364" i="4"/>
  <c r="D566" i="4" s="1"/>
  <c r="D768" i="4" s="1"/>
  <c r="J768" i="4" s="1" a="1"/>
  <c r="J768" i="4" s="1"/>
  <c r="AA148" i="4" a="1"/>
  <c r="AA148" i="4" s="1"/>
  <c r="D352" i="4"/>
  <c r="D554" i="4" s="1"/>
  <c r="D756" i="4" s="1"/>
  <c r="J756" i="4" s="1" a="1"/>
  <c r="J756" i="4" s="1"/>
  <c r="AA136" i="4" a="1"/>
  <c r="AA136" i="4" s="1"/>
  <c r="D340" i="4"/>
  <c r="D542" i="4" s="1"/>
  <c r="D744" i="4" s="1"/>
  <c r="E744" i="4" s="1" a="1"/>
  <c r="E744" i="4" s="1"/>
  <c r="AA124" i="4" a="1"/>
  <c r="AA124" i="4" s="1"/>
  <c r="D328" i="4"/>
  <c r="D530" i="4" s="1"/>
  <c r="D732" i="4" s="1"/>
  <c r="I732" i="4" s="1" a="1"/>
  <c r="I732" i="4" s="1"/>
  <c r="AA112" i="4" a="1"/>
  <c r="AA112" i="4" s="1"/>
  <c r="D316" i="4"/>
  <c r="D518" i="4" s="1"/>
  <c r="D720" i="4" s="1"/>
  <c r="J720" i="4" s="1" a="1"/>
  <c r="J720" i="4" s="1"/>
  <c r="AA100" i="4" a="1"/>
  <c r="AA100" i="4" s="1"/>
  <c r="D304" i="4"/>
  <c r="D506" i="4" s="1"/>
  <c r="D708" i="4" s="1"/>
  <c r="I708" i="4" s="1" a="1"/>
  <c r="I708" i="4" s="1"/>
  <c r="AA88" i="4" a="1"/>
  <c r="AA88" i="4" s="1"/>
  <c r="D292" i="4"/>
  <c r="D494" i="4" s="1"/>
  <c r="D696" i="4" s="1"/>
  <c r="E696" i="4" s="1" a="1"/>
  <c r="E696" i="4" s="1"/>
  <c r="AA76" i="4" a="1"/>
  <c r="AA76" i="4" s="1"/>
  <c r="D280" i="4"/>
  <c r="D482" i="4" s="1"/>
  <c r="D684" i="4" s="1"/>
  <c r="E684" i="4" s="1" a="1"/>
  <c r="E684" i="4" s="1"/>
  <c r="AA64" i="4" a="1"/>
  <c r="AA64" i="4" s="1"/>
  <c r="D268" i="4"/>
  <c r="D470" i="4" s="1"/>
  <c r="D672" i="4" s="1"/>
  <c r="I672" i="4" s="1" a="1"/>
  <c r="I672" i="4" s="1"/>
  <c r="AA52" i="4" a="1"/>
  <c r="AA52" i="4" s="1"/>
  <c r="D256" i="4"/>
  <c r="D458" i="4" s="1"/>
  <c r="D660" i="4" s="1"/>
  <c r="J660" i="4" s="1" a="1"/>
  <c r="J660" i="4" s="1"/>
  <c r="AA40" i="4" a="1"/>
  <c r="AA40" i="4" s="1"/>
  <c r="D244" i="4"/>
  <c r="F244" i="4" s="1" a="1"/>
  <c r="F244" i="4" s="1"/>
  <c r="AA28" i="4" a="1"/>
  <c r="AA28" i="4" s="1"/>
  <c r="D232" i="4"/>
  <c r="D434" i="4" s="1"/>
  <c r="D636" i="4" s="1"/>
  <c r="J636" i="4" s="1" a="1"/>
  <c r="J636" i="4" s="1"/>
  <c r="AA16" i="4" a="1"/>
  <c r="AA16" i="4" s="1"/>
  <c r="D220" i="4"/>
  <c r="D422" i="4" s="1"/>
  <c r="D624" i="4" s="1"/>
  <c r="E624" i="4" s="1" a="1"/>
  <c r="E624" i="4" s="1"/>
  <c r="AA203" i="4" a="1"/>
  <c r="AA203" i="4" s="1"/>
  <c r="D407" i="4"/>
  <c r="AA165" i="4" a="1"/>
  <c r="AA165" i="4" s="1"/>
  <c r="D369" i="4"/>
  <c r="D571" i="4" s="1"/>
  <c r="D773" i="4" s="1"/>
  <c r="E773" i="4" s="1" a="1"/>
  <c r="E773" i="4" s="1"/>
  <c r="AA81" i="4" a="1"/>
  <c r="AA81" i="4" s="1"/>
  <c r="D285" i="4"/>
  <c r="D487" i="4" s="1"/>
  <c r="D689" i="4" s="1"/>
  <c r="I689" i="4" s="1" a="1"/>
  <c r="I689" i="4" s="1"/>
  <c r="AA200" i="4" a="1"/>
  <c r="AA200" i="4" s="1"/>
  <c r="D404" i="4"/>
  <c r="E404" i="4" s="1" a="1"/>
  <c r="E404" i="4" s="1"/>
  <c r="AA128" i="4" a="1"/>
  <c r="AA128" i="4" s="1"/>
  <c r="D332" i="4"/>
  <c r="D534" i="4" s="1"/>
  <c r="D736" i="4" s="1"/>
  <c r="I736" i="4" s="1" a="1"/>
  <c r="I736" i="4" s="1"/>
  <c r="AA80" i="4" a="1"/>
  <c r="AA80" i="4" s="1"/>
  <c r="D284" i="4"/>
  <c r="D486" i="4" s="1"/>
  <c r="D688" i="4" s="1"/>
  <c r="E688" i="4" s="1" a="1"/>
  <c r="E688" i="4" s="1"/>
  <c r="AA44" i="4" a="1"/>
  <c r="AA44" i="4" s="1"/>
  <c r="D248" i="4"/>
  <c r="D450" i="4" s="1"/>
  <c r="D652" i="4" s="1"/>
  <c r="E652" i="4" s="1" a="1"/>
  <c r="E652" i="4" s="1"/>
  <c r="AA20" i="4" a="1"/>
  <c r="AA20" i="4" s="1"/>
  <c r="D224" i="4"/>
  <c r="D426" i="4" s="1"/>
  <c r="D628" i="4" s="1"/>
  <c r="I628" i="4" s="1" a="1"/>
  <c r="I628" i="4" s="1"/>
  <c r="AA187" i="4" a="1"/>
  <c r="AA187" i="4" s="1"/>
  <c r="D391" i="4"/>
  <c r="D593" i="4" s="1"/>
  <c r="D795" i="4" s="1"/>
  <c r="I795" i="4" s="1" a="1"/>
  <c r="I795" i="4" s="1"/>
  <c r="AA115" i="4" a="1"/>
  <c r="AA115" i="4" s="1"/>
  <c r="D319" i="4"/>
  <c r="D521" i="4" s="1"/>
  <c r="D723" i="4" s="1"/>
  <c r="E723" i="4" s="1" a="1"/>
  <c r="E723" i="4" s="1"/>
  <c r="AA67" i="4" a="1"/>
  <c r="AA67" i="4" s="1"/>
  <c r="D271" i="4"/>
  <c r="D473" i="4" s="1"/>
  <c r="D675" i="4" s="1"/>
  <c r="J675" i="4" s="1" a="1"/>
  <c r="J675" i="4" s="1"/>
  <c r="AA31" i="4" a="1"/>
  <c r="AA31" i="4" s="1"/>
  <c r="D235" i="4"/>
  <c r="D437" i="4" s="1"/>
  <c r="D639" i="4" s="1"/>
  <c r="I639" i="4" s="1" a="1"/>
  <c r="I639" i="4" s="1"/>
  <c r="AA198" i="4" a="1"/>
  <c r="AA198" i="4" s="1"/>
  <c r="D402" i="4"/>
  <c r="AA195" i="4" a="1"/>
  <c r="AA195" i="4" s="1"/>
  <c r="D399" i="4"/>
  <c r="D601" i="4" s="1"/>
  <c r="D803" i="4" s="1"/>
  <c r="E803" i="4" s="1" a="1"/>
  <c r="E803" i="4" s="1"/>
  <c r="AA147" i="4" a="1"/>
  <c r="AA147" i="4" s="1"/>
  <c r="D351" i="4"/>
  <c r="D553" i="4" s="1"/>
  <c r="D755" i="4" s="1"/>
  <c r="I755" i="4" s="1" a="1"/>
  <c r="I755" i="4" s="1"/>
  <c r="AA123" i="4" a="1"/>
  <c r="AA123" i="4" s="1"/>
  <c r="D327" i="4"/>
  <c r="F327" i="4" s="1" a="1"/>
  <c r="F327" i="4" s="1"/>
  <c r="AA75" i="4" a="1"/>
  <c r="AA75" i="4" s="1"/>
  <c r="D279" i="4"/>
  <c r="D481" i="4" s="1"/>
  <c r="D683" i="4" s="1"/>
  <c r="J683" i="4" s="1" a="1"/>
  <c r="J683" i="4" s="1"/>
  <c r="AA39" i="4" a="1"/>
  <c r="AA39" i="4" s="1"/>
  <c r="D243" i="4"/>
  <c r="D445" i="4" s="1"/>
  <c r="D647" i="4" s="1"/>
  <c r="AA27" i="4" a="1"/>
  <c r="AA27" i="4" s="1"/>
  <c r="D231" i="4"/>
  <c r="AA206" i="4" a="1"/>
  <c r="AA206" i="4" s="1"/>
  <c r="D410" i="4"/>
  <c r="D612" i="4" s="1"/>
  <c r="D814" i="4" s="1"/>
  <c r="I814" i="4" s="1" a="1"/>
  <c r="I814" i="4" s="1"/>
  <c r="AA182" i="4" a="1"/>
  <c r="AA182" i="4" s="1"/>
  <c r="D386" i="4"/>
  <c r="D588" i="4" s="1"/>
  <c r="D790" i="4" s="1"/>
  <c r="I790" i="4" s="1" a="1"/>
  <c r="I790" i="4" s="1"/>
  <c r="AA158" i="4" a="1"/>
  <c r="AA158" i="4" s="1"/>
  <c r="D362" i="4"/>
  <c r="D564" i="4" s="1"/>
  <c r="D766" i="4" s="1"/>
  <c r="AA146" i="4" a="1"/>
  <c r="AA146" i="4" s="1"/>
  <c r="D350" i="4"/>
  <c r="D552" i="4" s="1"/>
  <c r="D754" i="4" s="1"/>
  <c r="I754" i="4" s="1" a="1"/>
  <c r="I754" i="4" s="1"/>
  <c r="AA134" i="4" a="1"/>
  <c r="AA134" i="4" s="1"/>
  <c r="D338" i="4"/>
  <c r="D540" i="4" s="1"/>
  <c r="D742" i="4" s="1"/>
  <c r="AA122" i="4" a="1"/>
  <c r="AA122" i="4" s="1"/>
  <c r="D326" i="4"/>
  <c r="D528" i="4" s="1"/>
  <c r="D730" i="4" s="1"/>
  <c r="E730" i="4" s="1" a="1"/>
  <c r="E730" i="4" s="1"/>
  <c r="AA110" i="4" a="1"/>
  <c r="AA110" i="4" s="1"/>
  <c r="D314" i="4"/>
  <c r="D516" i="4" s="1"/>
  <c r="D718" i="4" s="1"/>
  <c r="I718" i="4" s="1" a="1"/>
  <c r="I718" i="4" s="1"/>
  <c r="AA98" i="4" a="1"/>
  <c r="AA98" i="4" s="1"/>
  <c r="D302" i="4"/>
  <c r="D504" i="4" s="1"/>
  <c r="D706" i="4" s="1"/>
  <c r="I706" i="4" s="1" a="1"/>
  <c r="I706" i="4" s="1"/>
  <c r="AA86" i="4" a="1"/>
  <c r="AA86" i="4" s="1"/>
  <c r="D290" i="4"/>
  <c r="F290" i="4" s="1" a="1"/>
  <c r="F290" i="4" s="1"/>
  <c r="AA74" i="4" a="1"/>
  <c r="AA74" i="4" s="1"/>
  <c r="D278" i="4"/>
  <c r="D480" i="4" s="1"/>
  <c r="D682" i="4" s="1"/>
  <c r="I682" i="4" s="1" a="1"/>
  <c r="I682" i="4" s="1"/>
  <c r="AA62" i="4" a="1"/>
  <c r="AA62" i="4" s="1"/>
  <c r="D266" i="4"/>
  <c r="D468" i="4" s="1"/>
  <c r="D670" i="4" s="1"/>
  <c r="AA50" i="4" a="1"/>
  <c r="AA50" i="4" s="1"/>
  <c r="D254" i="4"/>
  <c r="D456" i="4" s="1"/>
  <c r="D658" i="4" s="1"/>
  <c r="J658" i="4" s="1" a="1"/>
  <c r="J658" i="4" s="1"/>
  <c r="AA38" i="4" a="1"/>
  <c r="AA38" i="4" s="1"/>
  <c r="D242" i="4"/>
  <c r="D444" i="4" s="1"/>
  <c r="D646" i="4" s="1"/>
  <c r="I646" i="4" s="1" a="1"/>
  <c r="I646" i="4" s="1"/>
  <c r="AA26" i="4" a="1"/>
  <c r="AA26" i="4" s="1"/>
  <c r="D230" i="4"/>
  <c r="D432" i="4" s="1"/>
  <c r="D634" i="4" s="1"/>
  <c r="E634" i="4" s="1" a="1"/>
  <c r="E634" i="4" s="1"/>
  <c r="AA191" i="4" a="1"/>
  <c r="AA191" i="4" s="1"/>
  <c r="D395" i="4"/>
  <c r="D597" i="4" s="1"/>
  <c r="D799" i="4" s="1"/>
  <c r="E799" i="4" s="1" a="1"/>
  <c r="E799" i="4" s="1"/>
  <c r="AA177" i="4" a="1"/>
  <c r="AA177" i="4" s="1"/>
  <c r="D381" i="4"/>
  <c r="D583" i="4" s="1"/>
  <c r="D785" i="4" s="1"/>
  <c r="J785" i="4" s="1" a="1"/>
  <c r="J785" i="4" s="1"/>
  <c r="AA141" i="4" a="1"/>
  <c r="AA141" i="4" s="1"/>
  <c r="D345" i="4"/>
  <c r="D547" i="4" s="1"/>
  <c r="D749" i="4" s="1"/>
  <c r="AA93" i="4" a="1"/>
  <c r="AA93" i="4" s="1"/>
  <c r="D297" i="4"/>
  <c r="D499" i="4" s="1"/>
  <c r="D701" i="4" s="1"/>
  <c r="I701" i="4" s="1" a="1"/>
  <c r="I701" i="4" s="1"/>
  <c r="AA188" i="4" a="1"/>
  <c r="AA188" i="4" s="1"/>
  <c r="D392" i="4"/>
  <c r="D594" i="4" s="1"/>
  <c r="D796" i="4" s="1"/>
  <c r="E796" i="4" s="1" a="1"/>
  <c r="E796" i="4" s="1"/>
  <c r="AA152" i="4" a="1"/>
  <c r="AA152" i="4" s="1"/>
  <c r="D356" i="4"/>
  <c r="D558" i="4" s="1"/>
  <c r="D760" i="4" s="1"/>
  <c r="E760" i="4" s="1" a="1"/>
  <c r="E760" i="4" s="1"/>
  <c r="AA104" i="4" a="1"/>
  <c r="AA104" i="4" s="1"/>
  <c r="D308" i="4"/>
  <c r="D510" i="4" s="1"/>
  <c r="D712" i="4" s="1"/>
  <c r="E712" i="4" s="1" a="1"/>
  <c r="E712" i="4" s="1"/>
  <c r="AA68" i="4" a="1"/>
  <c r="AA68" i="4" s="1"/>
  <c r="D272" i="4"/>
  <c r="D474" i="4" s="1"/>
  <c r="D676" i="4" s="1"/>
  <c r="E676" i="4" s="1" a="1"/>
  <c r="E676" i="4" s="1"/>
  <c r="AA175" i="4" a="1"/>
  <c r="AA175" i="4" s="1"/>
  <c r="D379" i="4"/>
  <c r="D581" i="4" s="1"/>
  <c r="D783" i="4" s="1"/>
  <c r="E783" i="4" s="1" a="1"/>
  <c r="E783" i="4" s="1"/>
  <c r="AA127" i="4" a="1"/>
  <c r="AA127" i="4" s="1"/>
  <c r="D331" i="4"/>
  <c r="D533" i="4" s="1"/>
  <c r="D735" i="4" s="1"/>
  <c r="J735" i="4" s="1" a="1"/>
  <c r="J735" i="4" s="1"/>
  <c r="AA79" i="4" a="1"/>
  <c r="AA79" i="4" s="1"/>
  <c r="D283" i="4"/>
  <c r="D485" i="4" s="1"/>
  <c r="D687" i="4" s="1"/>
  <c r="E687" i="4" s="1" a="1"/>
  <c r="E687" i="4" s="1"/>
  <c r="AA43" i="4" a="1"/>
  <c r="AA43" i="4" s="1"/>
  <c r="D247" i="4"/>
  <c r="D449" i="4" s="1"/>
  <c r="D651" i="4" s="1"/>
  <c r="J651" i="4" s="1" a="1"/>
  <c r="J651" i="4" s="1"/>
  <c r="AA186" i="4" a="1"/>
  <c r="AA186" i="4" s="1"/>
  <c r="D390" i="4"/>
  <c r="D592" i="4" s="1"/>
  <c r="D794" i="4" s="1"/>
  <c r="J794" i="4" s="1" a="1"/>
  <c r="J794" i="4" s="1"/>
  <c r="AA183" i="4" a="1"/>
  <c r="AA183" i="4" s="1"/>
  <c r="D387" i="4"/>
  <c r="D589" i="4" s="1"/>
  <c r="D791" i="4" s="1"/>
  <c r="I791" i="4" s="1" a="1"/>
  <c r="I791" i="4" s="1"/>
  <c r="AA159" i="4" a="1"/>
  <c r="AA159" i="4" s="1"/>
  <c r="D363" i="4"/>
  <c r="D565" i="4" s="1"/>
  <c r="D767" i="4" s="1"/>
  <c r="AA135" i="4" a="1"/>
  <c r="AA135" i="4" s="1"/>
  <c r="D339" i="4"/>
  <c r="D541" i="4" s="1"/>
  <c r="D743" i="4" s="1"/>
  <c r="I743" i="4" s="1" a="1"/>
  <c r="I743" i="4" s="1"/>
  <c r="AA99" i="4" a="1"/>
  <c r="AA99" i="4" s="1"/>
  <c r="D303" i="4"/>
  <c r="D505" i="4" s="1"/>
  <c r="D707" i="4" s="1"/>
  <c r="J707" i="4" s="1" a="1"/>
  <c r="J707" i="4" s="1"/>
  <c r="AA87" i="4" a="1"/>
  <c r="AA87" i="4" s="1"/>
  <c r="D291" i="4"/>
  <c r="D493" i="4" s="1"/>
  <c r="D695" i="4" s="1"/>
  <c r="J695" i="4" s="1" a="1"/>
  <c r="J695" i="4" s="1"/>
  <c r="AA51" i="4" a="1"/>
  <c r="AA51" i="4" s="1"/>
  <c r="D255" i="4"/>
  <c r="D457" i="4" s="1"/>
  <c r="D659" i="4" s="1"/>
  <c r="E659" i="4" s="1" a="1"/>
  <c r="E659" i="4" s="1"/>
  <c r="AA194" i="4" a="1"/>
  <c r="AA194" i="4" s="1"/>
  <c r="D398" i="4"/>
  <c r="D600" i="4" s="1"/>
  <c r="D802" i="4" s="1"/>
  <c r="E802" i="4" s="1" a="1"/>
  <c r="E802" i="4" s="1"/>
  <c r="AA170" i="4" a="1"/>
  <c r="AA170" i="4" s="1"/>
  <c r="D374" i="4"/>
  <c r="AA205" i="4" a="1"/>
  <c r="AA205" i="4" s="1"/>
  <c r="D409" i="4"/>
  <c r="AA193" i="4" a="1"/>
  <c r="AA193" i="4" s="1"/>
  <c r="D397" i="4"/>
  <c r="D599" i="4" s="1"/>
  <c r="D801" i="4" s="1"/>
  <c r="I801" i="4" s="1" a="1"/>
  <c r="I801" i="4" s="1"/>
  <c r="AA181" i="4" a="1"/>
  <c r="AA181" i="4" s="1"/>
  <c r="D385" i="4"/>
  <c r="D587" i="4" s="1"/>
  <c r="D789" i="4" s="1"/>
  <c r="J789" i="4" s="1" a="1"/>
  <c r="J789" i="4" s="1"/>
  <c r="AA169" i="4" a="1"/>
  <c r="AA169" i="4" s="1"/>
  <c r="D373" i="4"/>
  <c r="E373" i="4" s="1" a="1"/>
  <c r="E373" i="4" s="1"/>
  <c r="AA157" i="4" a="1"/>
  <c r="AA157" i="4" s="1"/>
  <c r="D361" i="4"/>
  <c r="D563" i="4" s="1"/>
  <c r="D765" i="4" s="1"/>
  <c r="I765" i="4" s="1" a="1"/>
  <c r="I765" i="4" s="1"/>
  <c r="AA145" i="4" a="1"/>
  <c r="AA145" i="4" s="1"/>
  <c r="D349" i="4"/>
  <c r="D551" i="4" s="1"/>
  <c r="D753" i="4" s="1"/>
  <c r="J753" i="4" s="1" a="1"/>
  <c r="J753" i="4" s="1"/>
  <c r="AA133" i="4" a="1"/>
  <c r="AA133" i="4" s="1"/>
  <c r="D337" i="4"/>
  <c r="D539" i="4" s="1"/>
  <c r="D741" i="4" s="1"/>
  <c r="AA121" i="4" a="1"/>
  <c r="AA121" i="4" s="1"/>
  <c r="D325" i="4"/>
  <c r="D527" i="4" s="1"/>
  <c r="D729" i="4" s="1"/>
  <c r="E729" i="4" s="1" a="1"/>
  <c r="E729" i="4" s="1"/>
  <c r="AA109" i="4" a="1"/>
  <c r="AA109" i="4" s="1"/>
  <c r="D313" i="4"/>
  <c r="D515" i="4" s="1"/>
  <c r="D717" i="4" s="1"/>
  <c r="I717" i="4" s="1" a="1"/>
  <c r="I717" i="4" s="1"/>
  <c r="AA97" i="4" a="1"/>
  <c r="AA97" i="4" s="1"/>
  <c r="D301" i="4"/>
  <c r="D503" i="4" s="1"/>
  <c r="D705" i="4" s="1"/>
  <c r="I705" i="4" s="1" a="1"/>
  <c r="I705" i="4" s="1"/>
  <c r="AA85" i="4" a="1"/>
  <c r="AA85" i="4" s="1"/>
  <c r="D289" i="4"/>
  <c r="D491" i="4" s="1"/>
  <c r="D693" i="4" s="1"/>
  <c r="I693" i="4" s="1" a="1"/>
  <c r="I693" i="4" s="1"/>
  <c r="AA73" i="4" a="1"/>
  <c r="AA73" i="4" s="1"/>
  <c r="D277" i="4"/>
  <c r="AA61" i="4" a="1"/>
  <c r="AA61" i="4" s="1"/>
  <c r="D265" i="4"/>
  <c r="D467" i="4" s="1"/>
  <c r="D669" i="4" s="1"/>
  <c r="I669" i="4" s="1" a="1"/>
  <c r="I669" i="4" s="1"/>
  <c r="AA49" i="4" a="1"/>
  <c r="AA49" i="4" s="1"/>
  <c r="D253" i="4"/>
  <c r="D455" i="4" s="1"/>
  <c r="D657" i="4" s="1"/>
  <c r="I657" i="4" s="1" a="1"/>
  <c r="I657" i="4" s="1"/>
  <c r="AA37" i="4" a="1"/>
  <c r="AA37" i="4" s="1"/>
  <c r="D241" i="4"/>
  <c r="D443" i="4" s="1"/>
  <c r="D645" i="4" s="1"/>
  <c r="I645" i="4" s="1" a="1"/>
  <c r="I645" i="4" s="1"/>
  <c r="AA25" i="4" a="1"/>
  <c r="AA25" i="4" s="1"/>
  <c r="D229" i="4"/>
  <c r="D431" i="4" s="1"/>
  <c r="D633" i="4" s="1"/>
  <c r="E633" i="4" s="1" a="1"/>
  <c r="E633" i="4" s="1"/>
  <c r="AA213" i="4" a="1"/>
  <c r="AA213" i="4" s="1"/>
  <c r="D417" i="4"/>
  <c r="D619" i="4" s="1"/>
  <c r="D821" i="4" s="1"/>
  <c r="J821" i="4" s="1" a="1"/>
  <c r="J821" i="4" s="1"/>
  <c r="AA129" i="4" a="1"/>
  <c r="AA129" i="4" s="1"/>
  <c r="D333" i="4"/>
  <c r="D535" i="4" s="1"/>
  <c r="D737" i="4" s="1"/>
  <c r="E737" i="4" s="1" a="1"/>
  <c r="E737" i="4" s="1"/>
  <c r="AA140" i="4" a="1"/>
  <c r="AA140" i="4" s="1"/>
  <c r="D344" i="4"/>
  <c r="D546" i="4" s="1"/>
  <c r="D748" i="4" s="1"/>
  <c r="J748" i="4" s="1" a="1"/>
  <c r="J748" i="4" s="1"/>
  <c r="AA211" i="4" a="1"/>
  <c r="AA211" i="4" s="1"/>
  <c r="D415" i="4"/>
  <c r="D617" i="4" s="1"/>
  <c r="D819" i="4" s="1"/>
  <c r="I819" i="4" s="1" a="1"/>
  <c r="I819" i="4" s="1"/>
  <c r="AA139" i="4" a="1"/>
  <c r="AA139" i="4" s="1"/>
  <c r="D343" i="4"/>
  <c r="D545" i="4" s="1"/>
  <c r="D747" i="4" s="1"/>
  <c r="I747" i="4" s="1" a="1"/>
  <c r="I747" i="4" s="1"/>
  <c r="AA207" i="4" a="1"/>
  <c r="AA207" i="4" s="1"/>
  <c r="D411" i="4"/>
  <c r="F411" i="4" s="1" a="1"/>
  <c r="F411" i="4" s="1"/>
  <c r="AA171" i="4" a="1"/>
  <c r="AA171" i="4" s="1"/>
  <c r="D375" i="4"/>
  <c r="D577" i="4" s="1"/>
  <c r="D779" i="4" s="1"/>
  <c r="J779" i="4" s="1" a="1"/>
  <c r="J779" i="4" s="1"/>
  <c r="AA63" i="4" a="1"/>
  <c r="AA63" i="4" s="1"/>
  <c r="D267" i="4"/>
  <c r="D469" i="4" s="1"/>
  <c r="D671" i="4" s="1"/>
  <c r="J671" i="4" s="1" a="1"/>
  <c r="J671" i="4" s="1"/>
  <c r="AA204" i="4" a="1"/>
  <c r="AA204" i="4" s="1"/>
  <c r="D408" i="4"/>
  <c r="D610" i="4" s="1"/>
  <c r="D812" i="4" s="1"/>
  <c r="E812" i="4" s="1" a="1"/>
  <c r="E812" i="4" s="1"/>
  <c r="AA180" i="4" a="1"/>
  <c r="AA180" i="4" s="1"/>
  <c r="D384" i="4"/>
  <c r="D586" i="4" s="1"/>
  <c r="D788" i="4" s="1"/>
  <c r="I788" i="4" s="1" a="1"/>
  <c r="I788" i="4" s="1"/>
  <c r="AA168" i="4" a="1"/>
  <c r="AA168" i="4" s="1"/>
  <c r="D372" i="4"/>
  <c r="D574" i="4" s="1"/>
  <c r="D776" i="4" s="1"/>
  <c r="J776" i="4" s="1" a="1"/>
  <c r="J776" i="4" s="1"/>
  <c r="AA156" i="4" a="1"/>
  <c r="AA156" i="4" s="1"/>
  <c r="D360" i="4"/>
  <c r="AA144" i="4" a="1"/>
  <c r="AA144" i="4" s="1"/>
  <c r="D348" i="4"/>
  <c r="D550" i="4" s="1"/>
  <c r="D752" i="4" s="1"/>
  <c r="I752" i="4" s="1" a="1"/>
  <c r="I752" i="4" s="1"/>
  <c r="AA132" i="4" a="1"/>
  <c r="AA132" i="4" s="1"/>
  <c r="D336" i="4"/>
  <c r="AA120" i="4" a="1"/>
  <c r="AA120" i="4" s="1"/>
  <c r="D324" i="4"/>
  <c r="D526" i="4" s="1"/>
  <c r="D728" i="4" s="1"/>
  <c r="E728" i="4" s="1" a="1"/>
  <c r="E728" i="4" s="1"/>
  <c r="AA108" i="4" a="1"/>
  <c r="AA108" i="4" s="1"/>
  <c r="D312" i="4"/>
  <c r="D514" i="4" s="1"/>
  <c r="D716" i="4" s="1"/>
  <c r="J716" i="4" s="1" a="1"/>
  <c r="J716" i="4" s="1"/>
  <c r="AA96" i="4" a="1"/>
  <c r="AA96" i="4" s="1"/>
  <c r="D300" i="4"/>
  <c r="D502" i="4" s="1"/>
  <c r="D704" i="4" s="1"/>
  <c r="E704" i="4" s="1" a="1"/>
  <c r="E704" i="4" s="1"/>
  <c r="AA84" i="4" a="1"/>
  <c r="AA84" i="4" s="1"/>
  <c r="D288" i="4"/>
  <c r="D490" i="4" s="1"/>
  <c r="D692" i="4" s="1"/>
  <c r="AA72" i="4" a="1"/>
  <c r="AA72" i="4" s="1"/>
  <c r="D276" i="4"/>
  <c r="D478" i="4" s="1"/>
  <c r="D680" i="4" s="1"/>
  <c r="E680" i="4" s="1" a="1"/>
  <c r="E680" i="4" s="1"/>
  <c r="AA60" i="4" a="1"/>
  <c r="AA60" i="4" s="1"/>
  <c r="D264" i="4"/>
  <c r="AA48" i="4" a="1"/>
  <c r="AA48" i="4" s="1"/>
  <c r="D252" i="4"/>
  <c r="D454" i="4" s="1"/>
  <c r="D656" i="4" s="1"/>
  <c r="I656" i="4" s="1" a="1"/>
  <c r="I656" i="4" s="1"/>
  <c r="AA36" i="4" a="1"/>
  <c r="AA36" i="4" s="1"/>
  <c r="D240" i="4"/>
  <c r="D442" i="4" s="1"/>
  <c r="D644" i="4" s="1"/>
  <c r="J644" i="4" s="1" a="1"/>
  <c r="J644" i="4" s="1"/>
  <c r="AA24" i="4" a="1"/>
  <c r="AA24" i="4" s="1"/>
  <c r="D228" i="4"/>
  <c r="D430" i="4" s="1"/>
  <c r="D632" i="4" s="1"/>
  <c r="J632" i="4" s="1" a="1"/>
  <c r="J632" i="4" s="1"/>
  <c r="AA192" i="4" a="1"/>
  <c r="AA192" i="4" s="1"/>
  <c r="J659" i="4" a="1"/>
  <c r="J659" i="4" s="1"/>
  <c r="I786" i="4" a="1"/>
  <c r="I786" i="4" s="1"/>
  <c r="J786" i="4" a="1"/>
  <c r="J786" i="4" s="1"/>
  <c r="I781" i="4" a="1"/>
  <c r="I781" i="4" s="1"/>
  <c r="J781" i="4" a="1"/>
  <c r="J781" i="4" s="1"/>
  <c r="J719" i="4" a="1"/>
  <c r="J719" i="4" s="1"/>
  <c r="I719" i="4" a="1"/>
  <c r="I719" i="4" s="1"/>
  <c r="J800" i="4" a="1"/>
  <c r="J800" i="4" s="1"/>
  <c r="I800" i="4" a="1"/>
  <c r="I800" i="4" s="1"/>
  <c r="J679" i="4" a="1"/>
  <c r="J679" i="4" s="1"/>
  <c r="I679" i="4" a="1"/>
  <c r="I679" i="4" s="1"/>
  <c r="AA71" i="4" a="1"/>
  <c r="AA71" i="4" s="1"/>
  <c r="AA178" i="4" a="1"/>
  <c r="AA178" i="4" s="1"/>
  <c r="AA173" i="4" a="1"/>
  <c r="AA173" i="4" s="1"/>
  <c r="AA111" i="4" a="1"/>
  <c r="AA111" i="4" s="1"/>
  <c r="H186" i="4" a="1"/>
  <c r="H186" i="4" s="1"/>
  <c r="Q186" i="4" s="1"/>
  <c r="E781" i="4" a="1"/>
  <c r="E781" i="4" s="1"/>
  <c r="E188" i="4" a="1"/>
  <c r="E188" i="4" s="1"/>
  <c r="E164" i="4" a="1"/>
  <c r="E164" i="4" s="1"/>
  <c r="E201" i="4" a="1"/>
  <c r="E201" i="4" s="1"/>
  <c r="E181" i="4" a="1"/>
  <c r="E181" i="4" s="1"/>
  <c r="J198" i="4" a="1"/>
  <c r="J198" i="4" s="1"/>
  <c r="S198" i="4" s="1"/>
  <c r="E719" i="4" a="1"/>
  <c r="E719" i="4" s="1"/>
  <c r="E679" i="4" a="1"/>
  <c r="E679" i="4" s="1"/>
  <c r="E786" i="4" a="1"/>
  <c r="E786" i="4" s="1"/>
  <c r="F207" i="4" a="1"/>
  <c r="F207" i="4" s="1"/>
  <c r="O207" i="4" s="1"/>
  <c r="F315" i="4" a="1"/>
  <c r="F315" i="4" s="1"/>
  <c r="I189" i="4" a="1"/>
  <c r="I189" i="4" s="1"/>
  <c r="R189" i="4" s="1"/>
  <c r="I190" i="4" a="1"/>
  <c r="I190" i="4" s="1"/>
  <c r="R190" i="4" s="1"/>
  <c r="AG1029" i="4" a="1"/>
  <c r="AG1029" i="4" s="1"/>
  <c r="E211" i="5" s="1" a="1"/>
  <c r="E211" i="5" s="1"/>
  <c r="AF1029" i="4" a="1"/>
  <c r="AF1029" i="4" s="1"/>
  <c r="D211" i="5" s="1" a="1"/>
  <c r="D211" i="5" s="1"/>
  <c r="AJ1029" i="4" a="1"/>
  <c r="AJ1029" i="4" s="1"/>
  <c r="S211" i="5" s="1" a="1"/>
  <c r="S211" i="5" s="1"/>
  <c r="AF997" i="4" a="1"/>
  <c r="AF997" i="4" s="1"/>
  <c r="D179" i="5" s="1" a="1"/>
  <c r="D179" i="5" s="1"/>
  <c r="AG997" i="4" a="1"/>
  <c r="AG997" i="4" s="1"/>
  <c r="E179" i="5" s="1" a="1"/>
  <c r="E179" i="5" s="1"/>
  <c r="AJ997" i="4" a="1"/>
  <c r="AJ997" i="4" s="1"/>
  <c r="S179" i="5" s="1" a="1"/>
  <c r="S179" i="5" s="1"/>
  <c r="AJ917" i="4" a="1"/>
  <c r="AJ917" i="4" s="1"/>
  <c r="S99" i="5" s="1" a="1"/>
  <c r="S99" i="5" s="1"/>
  <c r="AF917" i="4" a="1"/>
  <c r="AF917" i="4" s="1"/>
  <c r="D99" i="5" s="1" a="1"/>
  <c r="D99" i="5" s="1"/>
  <c r="AG917" i="4" a="1"/>
  <c r="AG917" i="4" s="1"/>
  <c r="E99" i="5" s="1" a="1"/>
  <c r="E99" i="5" s="1"/>
  <c r="AJ877" i="4" a="1"/>
  <c r="AJ877" i="4" s="1"/>
  <c r="S59" i="5" s="1" a="1"/>
  <c r="S59" i="5" s="1"/>
  <c r="AF877" i="4" a="1"/>
  <c r="AF877" i="4" s="1"/>
  <c r="D59" i="5" s="1" a="1"/>
  <c r="D59" i="5" s="1"/>
  <c r="AG877" i="4" a="1"/>
  <c r="AG877" i="4" s="1"/>
  <c r="E59" i="5" s="1" a="1"/>
  <c r="E59" i="5" s="1"/>
  <c r="AF1028" i="4" a="1"/>
  <c r="AF1028" i="4" s="1"/>
  <c r="D210" i="5" s="1" a="1"/>
  <c r="D210" i="5" s="1"/>
  <c r="AJ1028" i="4" a="1"/>
  <c r="AJ1028" i="4" s="1"/>
  <c r="S210" i="5" s="1" a="1"/>
  <c r="S210" i="5" s="1"/>
  <c r="AG1028" i="4" a="1"/>
  <c r="AG1028" i="4" s="1"/>
  <c r="E210" i="5" s="1" a="1"/>
  <c r="E210" i="5" s="1"/>
  <c r="AF1020" i="4" a="1"/>
  <c r="AF1020" i="4" s="1"/>
  <c r="D202" i="5" s="1" a="1"/>
  <c r="D202" i="5" s="1"/>
  <c r="AG1020" i="4" a="1"/>
  <c r="AG1020" i="4" s="1"/>
  <c r="E202" i="5" s="1" a="1"/>
  <c r="E202" i="5" s="1"/>
  <c r="AJ1020" i="4" a="1"/>
  <c r="AJ1020" i="4" s="1"/>
  <c r="S202" i="5" s="1" a="1"/>
  <c r="S202" i="5" s="1"/>
  <c r="AF1012" i="4" a="1"/>
  <c r="AF1012" i="4" s="1"/>
  <c r="D194" i="5" s="1" a="1"/>
  <c r="D194" i="5" s="1"/>
  <c r="AJ1012" i="4" a="1"/>
  <c r="AJ1012" i="4" s="1"/>
  <c r="S194" i="5" s="1" a="1"/>
  <c r="S194" i="5" s="1"/>
  <c r="AG1012" i="4" a="1"/>
  <c r="AG1012" i="4" s="1"/>
  <c r="E194" i="5" s="1" a="1"/>
  <c r="E194" i="5" s="1"/>
  <c r="AF1004" i="4" a="1"/>
  <c r="AF1004" i="4" s="1"/>
  <c r="D186" i="5" s="1" a="1"/>
  <c r="D186" i="5" s="1"/>
  <c r="AG1004" i="4" a="1"/>
  <c r="AG1004" i="4" s="1"/>
  <c r="E186" i="5" s="1" a="1"/>
  <c r="E186" i="5" s="1"/>
  <c r="AJ1004" i="4" a="1"/>
  <c r="AJ1004" i="4" s="1"/>
  <c r="S186" i="5" s="1" a="1"/>
  <c r="S186" i="5" s="1"/>
  <c r="AF996" i="4" a="1"/>
  <c r="AF996" i="4" s="1"/>
  <c r="D178" i="5" s="1" a="1"/>
  <c r="D178" i="5" s="1"/>
  <c r="AG996" i="4" a="1"/>
  <c r="AG996" i="4" s="1"/>
  <c r="E178" i="5" s="1" a="1"/>
  <c r="E178" i="5" s="1"/>
  <c r="AJ996" i="4" a="1"/>
  <c r="AJ996" i="4" s="1"/>
  <c r="S178" i="5" s="1" a="1"/>
  <c r="S178" i="5" s="1"/>
  <c r="AF988" i="4" a="1"/>
  <c r="AF988" i="4" s="1"/>
  <c r="D170" i="5" s="1" a="1"/>
  <c r="D170" i="5" s="1"/>
  <c r="AG988" i="4" a="1"/>
  <c r="AG988" i="4" s="1"/>
  <c r="E170" i="5" s="1" a="1"/>
  <c r="E170" i="5" s="1"/>
  <c r="AJ988" i="4" a="1"/>
  <c r="AJ988" i="4" s="1"/>
  <c r="S170" i="5" s="1" a="1"/>
  <c r="S170" i="5" s="1"/>
  <c r="AG980" i="4" a="1"/>
  <c r="AG980" i="4" s="1"/>
  <c r="E162" i="5" s="1" a="1"/>
  <c r="E162" i="5" s="1"/>
  <c r="AF980" i="4" a="1"/>
  <c r="AF980" i="4" s="1"/>
  <c r="D162" i="5" s="1" a="1"/>
  <c r="D162" i="5" s="1"/>
  <c r="AJ980" i="4" a="1"/>
  <c r="AJ980" i="4" s="1"/>
  <c r="S162" i="5" s="1" a="1"/>
  <c r="S162" i="5" s="1"/>
  <c r="AG972" i="4" a="1"/>
  <c r="AG972" i="4" s="1"/>
  <c r="E154" i="5" s="1" a="1"/>
  <c r="E154" i="5" s="1"/>
  <c r="AJ972" i="4" a="1"/>
  <c r="AJ972" i="4" s="1"/>
  <c r="S154" i="5" s="1" a="1"/>
  <c r="S154" i="5" s="1"/>
  <c r="AF972" i="4" a="1"/>
  <c r="AF972" i="4" s="1"/>
  <c r="D154" i="5" s="1" a="1"/>
  <c r="D154" i="5" s="1"/>
  <c r="AF964" i="4" a="1"/>
  <c r="AF964" i="4" s="1"/>
  <c r="D146" i="5" s="1" a="1"/>
  <c r="D146" i="5" s="1"/>
  <c r="AJ964" i="4" a="1"/>
  <c r="AJ964" i="4" s="1"/>
  <c r="S146" i="5" s="1" a="1"/>
  <c r="S146" i="5" s="1"/>
  <c r="AG964" i="4" a="1"/>
  <c r="AG964" i="4" s="1"/>
  <c r="E146" i="5" s="1" a="1"/>
  <c r="E146" i="5" s="1"/>
  <c r="AF956" i="4" a="1"/>
  <c r="AF956" i="4" s="1"/>
  <c r="D138" i="5" s="1" a="1"/>
  <c r="D138" i="5" s="1"/>
  <c r="AG956" i="4" a="1"/>
  <c r="AG956" i="4" s="1"/>
  <c r="E138" i="5" s="1" a="1"/>
  <c r="E138" i="5" s="1"/>
  <c r="AJ956" i="4" a="1"/>
  <c r="AJ956" i="4" s="1"/>
  <c r="S138" i="5" s="1" a="1"/>
  <c r="S138" i="5" s="1"/>
  <c r="AG948" i="4" a="1"/>
  <c r="AG948" i="4" s="1"/>
  <c r="E130" i="5" s="1" a="1"/>
  <c r="E130" i="5" s="1"/>
  <c r="AF948" i="4" a="1"/>
  <c r="AF948" i="4" s="1"/>
  <c r="D130" i="5" s="1" a="1"/>
  <c r="D130" i="5" s="1"/>
  <c r="AJ948" i="4" a="1"/>
  <c r="AJ948" i="4" s="1"/>
  <c r="S130" i="5" s="1" a="1"/>
  <c r="S130" i="5" s="1"/>
  <c r="AF940" i="4" a="1"/>
  <c r="AF940" i="4" s="1"/>
  <c r="D122" i="5" s="1" a="1"/>
  <c r="D122" i="5" s="1"/>
  <c r="AG940" i="4" a="1"/>
  <c r="AG940" i="4" s="1"/>
  <c r="E122" i="5" s="1" a="1"/>
  <c r="E122" i="5" s="1"/>
  <c r="AJ940" i="4" a="1"/>
  <c r="AJ940" i="4" s="1"/>
  <c r="S122" i="5" s="1" a="1"/>
  <c r="S122" i="5" s="1"/>
  <c r="AF932" i="4" a="1"/>
  <c r="AF932" i="4" s="1"/>
  <c r="D114" i="5" s="1" a="1"/>
  <c r="D114" i="5" s="1"/>
  <c r="AG932" i="4" a="1"/>
  <c r="AG932" i="4" s="1"/>
  <c r="E114" i="5" s="1" a="1"/>
  <c r="E114" i="5" s="1"/>
  <c r="AJ932" i="4" a="1"/>
  <c r="AJ932" i="4" s="1"/>
  <c r="S114" i="5" s="1" a="1"/>
  <c r="S114" i="5" s="1"/>
  <c r="AF924" i="4" a="1"/>
  <c r="AF924" i="4" s="1"/>
  <c r="D106" i="5" s="1" a="1"/>
  <c r="D106" i="5" s="1"/>
  <c r="AG924" i="4" a="1"/>
  <c r="AG924" i="4" s="1"/>
  <c r="E106" i="5" s="1" a="1"/>
  <c r="E106" i="5" s="1"/>
  <c r="AJ924" i="4" a="1"/>
  <c r="AJ924" i="4" s="1"/>
  <c r="S106" i="5" s="1" a="1"/>
  <c r="S106" i="5" s="1"/>
  <c r="AG916" i="4" a="1"/>
  <c r="AG916" i="4" s="1"/>
  <c r="E98" i="5" s="1" a="1"/>
  <c r="E98" i="5" s="1"/>
  <c r="AF916" i="4" a="1"/>
  <c r="AF916" i="4" s="1"/>
  <c r="D98" i="5" s="1" a="1"/>
  <c r="D98" i="5" s="1"/>
  <c r="AJ916" i="4" a="1"/>
  <c r="AJ916" i="4" s="1"/>
  <c r="S98" i="5" s="1" a="1"/>
  <c r="S98" i="5" s="1"/>
  <c r="AF908" i="4" a="1"/>
  <c r="AF908" i="4" s="1"/>
  <c r="D90" i="5" s="1" a="1"/>
  <c r="D90" i="5" s="1"/>
  <c r="AG908" i="4" a="1"/>
  <c r="AG908" i="4" s="1"/>
  <c r="E90" i="5" s="1" a="1"/>
  <c r="E90" i="5" s="1"/>
  <c r="AJ908" i="4" a="1"/>
  <c r="AJ908" i="4" s="1"/>
  <c r="S90" i="5" s="1" a="1"/>
  <c r="S90" i="5" s="1"/>
  <c r="AF900" i="4" a="1"/>
  <c r="AF900" i="4" s="1"/>
  <c r="D82" i="5" s="1" a="1"/>
  <c r="D82" i="5" s="1"/>
  <c r="AG900" i="4" a="1"/>
  <c r="AG900" i="4" s="1"/>
  <c r="E82" i="5" s="1" a="1"/>
  <c r="E82" i="5" s="1"/>
  <c r="AJ900" i="4" a="1"/>
  <c r="AJ900" i="4" s="1"/>
  <c r="S82" i="5" s="1" a="1"/>
  <c r="S82" i="5" s="1"/>
  <c r="AF892" i="4" a="1"/>
  <c r="AF892" i="4" s="1"/>
  <c r="D74" i="5" s="1" a="1"/>
  <c r="D74" i="5" s="1"/>
  <c r="AG892" i="4" a="1"/>
  <c r="AG892" i="4" s="1"/>
  <c r="E74" i="5" s="1" a="1"/>
  <c r="E74" i="5" s="1"/>
  <c r="AJ892" i="4" a="1"/>
  <c r="AJ892" i="4" s="1"/>
  <c r="S74" i="5" s="1" a="1"/>
  <c r="S74" i="5" s="1"/>
  <c r="AG884" i="4" a="1"/>
  <c r="AG884" i="4" s="1"/>
  <c r="E66" i="5" s="1" a="1"/>
  <c r="E66" i="5" s="1"/>
  <c r="AF884" i="4" a="1"/>
  <c r="AF884" i="4" s="1"/>
  <c r="D66" i="5" s="1" a="1"/>
  <c r="D66" i="5" s="1"/>
  <c r="AJ884" i="4" a="1"/>
  <c r="AJ884" i="4" s="1"/>
  <c r="S66" i="5" s="1" a="1"/>
  <c r="S66" i="5" s="1"/>
  <c r="AJ876" i="4" a="1"/>
  <c r="AJ876" i="4" s="1"/>
  <c r="S58" i="5" s="1" a="1"/>
  <c r="S58" i="5" s="1"/>
  <c r="AF876" i="4" a="1"/>
  <c r="AF876" i="4" s="1"/>
  <c r="D58" i="5" s="1" a="1"/>
  <c r="D58" i="5" s="1"/>
  <c r="AG876" i="4" a="1"/>
  <c r="AG876" i="4" s="1"/>
  <c r="E58" i="5" s="1" a="1"/>
  <c r="E58" i="5" s="1"/>
  <c r="AG868" i="4" a="1"/>
  <c r="AG868" i="4" s="1"/>
  <c r="E50" i="5" s="1" a="1"/>
  <c r="E50" i="5" s="1"/>
  <c r="AJ868" i="4" a="1"/>
  <c r="AJ868" i="4" s="1"/>
  <c r="S50" i="5" s="1" a="1"/>
  <c r="S50" i="5" s="1"/>
  <c r="AF868" i="4" a="1"/>
  <c r="AF868" i="4" s="1"/>
  <c r="D50" i="5" s="1" a="1"/>
  <c r="D50" i="5" s="1"/>
  <c r="AF860" i="4" a="1"/>
  <c r="AF860" i="4" s="1"/>
  <c r="D42" i="5" s="1" a="1"/>
  <c r="D42" i="5" s="1"/>
  <c r="AG860" i="4" a="1"/>
  <c r="AG860" i="4" s="1"/>
  <c r="E42" i="5" s="1" a="1"/>
  <c r="E42" i="5" s="1"/>
  <c r="AJ860" i="4" a="1"/>
  <c r="AJ860" i="4" s="1"/>
  <c r="S42" i="5" s="1" a="1"/>
  <c r="S42" i="5" s="1"/>
  <c r="AF852" i="4" a="1"/>
  <c r="AF852" i="4" s="1"/>
  <c r="D34" i="5" s="1" a="1"/>
  <c r="D34" i="5" s="1"/>
  <c r="AG852" i="4" a="1"/>
  <c r="AG852" i="4" s="1"/>
  <c r="E34" i="5" s="1" a="1"/>
  <c r="E34" i="5" s="1"/>
  <c r="AJ852" i="4" a="1"/>
  <c r="AJ852" i="4" s="1"/>
  <c r="S34" i="5" s="1" a="1"/>
  <c r="S34" i="5" s="1"/>
  <c r="AG844" i="4" a="1"/>
  <c r="AG844" i="4" s="1"/>
  <c r="E26" i="5" s="1" a="1"/>
  <c r="E26" i="5" s="1"/>
  <c r="AJ844" i="4" a="1"/>
  <c r="AJ844" i="4" s="1"/>
  <c r="S26" i="5" s="1" a="1"/>
  <c r="S26" i="5" s="1"/>
  <c r="AF844" i="4" a="1"/>
  <c r="AF844" i="4" s="1"/>
  <c r="D26" i="5" s="1" a="1"/>
  <c r="D26" i="5" s="1"/>
  <c r="AF836" i="4" a="1"/>
  <c r="AF836" i="4" s="1"/>
  <c r="D18" i="5" s="1" a="1"/>
  <c r="D18" i="5" s="1"/>
  <c r="AG836" i="4" a="1"/>
  <c r="AG836" i="4" s="1"/>
  <c r="E18" i="5" s="1" a="1"/>
  <c r="E18" i="5" s="1"/>
  <c r="AJ836" i="4" a="1"/>
  <c r="AJ836" i="4" s="1"/>
  <c r="S18" i="5" s="1" a="1"/>
  <c r="S18" i="5" s="1"/>
  <c r="AF1021" i="4" a="1"/>
  <c r="AF1021" i="4" s="1"/>
  <c r="D203" i="5" s="1" a="1"/>
  <c r="D203" i="5" s="1"/>
  <c r="AG1021" i="4" a="1"/>
  <c r="AG1021" i="4" s="1"/>
  <c r="E203" i="5" s="1" a="1"/>
  <c r="E203" i="5" s="1"/>
  <c r="AJ1021" i="4" a="1"/>
  <c r="AJ1021" i="4" s="1"/>
  <c r="S203" i="5" s="1" a="1"/>
  <c r="S203" i="5" s="1"/>
  <c r="AF973" i="4" a="1"/>
  <c r="AF973" i="4" s="1"/>
  <c r="D155" i="5" s="1" a="1"/>
  <c r="D155" i="5" s="1"/>
  <c r="AG973" i="4" a="1"/>
  <c r="AG973" i="4" s="1"/>
  <c r="E155" i="5" s="1" a="1"/>
  <c r="E155" i="5" s="1"/>
  <c r="AJ973" i="4" a="1"/>
  <c r="AJ973" i="4" s="1"/>
  <c r="S155" i="5" s="1" a="1"/>
  <c r="S155" i="5" s="1"/>
  <c r="AF909" i="4" a="1"/>
  <c r="AF909" i="4" s="1"/>
  <c r="D91" i="5" s="1" a="1"/>
  <c r="D91" i="5" s="1"/>
  <c r="AJ909" i="4" a="1"/>
  <c r="AJ909" i="4" s="1"/>
  <c r="S91" i="5" s="1" a="1"/>
  <c r="S91" i="5" s="1"/>
  <c r="AG909" i="4" a="1"/>
  <c r="AG909" i="4" s="1"/>
  <c r="E91" i="5" s="1" a="1"/>
  <c r="E91" i="5" s="1"/>
  <c r="AF845" i="4" a="1"/>
  <c r="AF845" i="4" s="1"/>
  <c r="D27" i="5" s="1" a="1"/>
  <c r="D27" i="5" s="1"/>
  <c r="AG845" i="4" a="1"/>
  <c r="AG845" i="4" s="1"/>
  <c r="E27" i="5" s="1" a="1"/>
  <c r="E27" i="5" s="1"/>
  <c r="AJ845" i="4" a="1"/>
  <c r="AJ845" i="4" s="1"/>
  <c r="S27" i="5" s="1" a="1"/>
  <c r="S27" i="5" s="1"/>
  <c r="AJ1019" i="4" a="1"/>
  <c r="AJ1019" i="4" s="1"/>
  <c r="S201" i="5" s="1" a="1"/>
  <c r="S201" i="5" s="1"/>
  <c r="AF1019" i="4" a="1"/>
  <c r="AF1019" i="4" s="1"/>
  <c r="D201" i="5" s="1" a="1"/>
  <c r="D201" i="5" s="1"/>
  <c r="AF987" i="4" a="1"/>
  <c r="AF987" i="4" s="1"/>
  <c r="D169" i="5" s="1" a="1"/>
  <c r="D169" i="5" s="1"/>
  <c r="AG987" i="4" a="1"/>
  <c r="AG987" i="4" s="1"/>
  <c r="E169" i="5" s="1" a="1"/>
  <c r="E169" i="5" s="1"/>
  <c r="AJ987" i="4" a="1"/>
  <c r="AJ987" i="4" s="1"/>
  <c r="S169" i="5" s="1" a="1"/>
  <c r="S169" i="5" s="1"/>
  <c r="AF963" i="4" a="1"/>
  <c r="AF963" i="4" s="1"/>
  <c r="D145" i="5" s="1" a="1"/>
  <c r="D145" i="5" s="1"/>
  <c r="AJ963" i="4" a="1"/>
  <c r="AJ963" i="4" s="1"/>
  <c r="S145" i="5" s="1" a="1"/>
  <c r="S145" i="5" s="1"/>
  <c r="AG963" i="4" a="1"/>
  <c r="AG963" i="4" s="1"/>
  <c r="E145" i="5" s="1" a="1"/>
  <c r="E145" i="5" s="1"/>
  <c r="AG891" i="4" a="1"/>
  <c r="AG891" i="4" s="1"/>
  <c r="E73" i="5" s="1" a="1"/>
  <c r="E73" i="5" s="1"/>
  <c r="AJ891" i="4" a="1"/>
  <c r="AJ891" i="4" s="1"/>
  <c r="S73" i="5" s="1" a="1"/>
  <c r="S73" i="5" s="1"/>
  <c r="AF891" i="4" a="1"/>
  <c r="AF891" i="4" s="1"/>
  <c r="D73" i="5" s="1" a="1"/>
  <c r="D73" i="5" s="1"/>
  <c r="AJ835" i="4" a="1"/>
  <c r="AJ835" i="4" s="1"/>
  <c r="S17" i="5" s="1" a="1"/>
  <c r="S17" i="5" s="1"/>
  <c r="AF835" i="4" a="1"/>
  <c r="AF835" i="4" s="1"/>
  <c r="D17" i="5" s="1" a="1"/>
  <c r="D17" i="5" s="1"/>
  <c r="AG835" i="4" a="1"/>
  <c r="AG835" i="4" s="1"/>
  <c r="E17" i="5" s="1" a="1"/>
  <c r="E17" i="5" s="1"/>
  <c r="AF989" i="4" a="1"/>
  <c r="AF989" i="4" s="1"/>
  <c r="D171" i="5" s="1" a="1"/>
  <c r="D171" i="5" s="1"/>
  <c r="AG989" i="4" a="1"/>
  <c r="AG989" i="4" s="1"/>
  <c r="E171" i="5" s="1" a="1"/>
  <c r="E171" i="5" s="1"/>
  <c r="AJ989" i="4" a="1"/>
  <c r="AJ989" i="4" s="1"/>
  <c r="S171" i="5" s="1" a="1"/>
  <c r="S171" i="5" s="1"/>
  <c r="AG949" i="4" a="1"/>
  <c r="AG949" i="4" s="1"/>
  <c r="E131" i="5" s="1" a="1"/>
  <c r="E131" i="5" s="1"/>
  <c r="AJ949" i="4" a="1"/>
  <c r="AJ949" i="4" s="1"/>
  <c r="S131" i="5" s="1" a="1"/>
  <c r="S131" i="5" s="1"/>
  <c r="AF949" i="4" a="1"/>
  <c r="AF949" i="4" s="1"/>
  <c r="D131" i="5" s="1" a="1"/>
  <c r="D131" i="5" s="1"/>
  <c r="AG925" i="4" a="1"/>
  <c r="AG925" i="4" s="1"/>
  <c r="E107" i="5" s="1" a="1"/>
  <c r="E107" i="5" s="1"/>
  <c r="AF925" i="4" a="1"/>
  <c r="AF925" i="4" s="1"/>
  <c r="D107" i="5" s="1" a="1"/>
  <c r="D107" i="5" s="1"/>
  <c r="AJ925" i="4" a="1"/>
  <c r="AJ925" i="4" s="1"/>
  <c r="S107" i="5" s="1" a="1"/>
  <c r="S107" i="5" s="1"/>
  <c r="AF885" i="4" a="1"/>
  <c r="AF885" i="4" s="1"/>
  <c r="D67" i="5" s="1" a="1"/>
  <c r="D67" i="5" s="1"/>
  <c r="AG885" i="4" a="1"/>
  <c r="AG885" i="4" s="1"/>
  <c r="E67" i="5" s="1" a="1"/>
  <c r="E67" i="5" s="1"/>
  <c r="AJ885" i="4" a="1"/>
  <c r="AJ885" i="4" s="1"/>
  <c r="S67" i="5" s="1" a="1"/>
  <c r="S67" i="5" s="1"/>
  <c r="AG853" i="4" a="1"/>
  <c r="AG853" i="4" s="1"/>
  <c r="E35" i="5" s="1" a="1"/>
  <c r="E35" i="5" s="1"/>
  <c r="AF853" i="4" a="1"/>
  <c r="AF853" i="4" s="1"/>
  <c r="D35" i="5" s="1" a="1"/>
  <c r="D35" i="5" s="1"/>
  <c r="F35" i="5" s="1"/>
  <c r="G35" i="5" s="1"/>
  <c r="AJ853" i="4" a="1"/>
  <c r="AJ853" i="4" s="1"/>
  <c r="S35" i="5" s="1" a="1"/>
  <c r="S35" i="5" s="1"/>
  <c r="AJ1027" i="4" a="1"/>
  <c r="AJ1027" i="4" s="1"/>
  <c r="S209" i="5" s="1" a="1"/>
  <c r="S209" i="5" s="1"/>
  <c r="AF1027" i="4" a="1"/>
  <c r="AF1027" i="4" s="1"/>
  <c r="D209" i="5" s="1" a="1"/>
  <c r="D209" i="5" s="1"/>
  <c r="AG1027" i="4" a="1"/>
  <c r="AG1027" i="4" s="1"/>
  <c r="E209" i="5" s="1" a="1"/>
  <c r="E209" i="5" s="1"/>
  <c r="AF947" i="4" a="1"/>
  <c r="AF947" i="4" s="1"/>
  <c r="D129" i="5" s="1" a="1"/>
  <c r="D129" i="5" s="1"/>
  <c r="AG947" i="4" a="1"/>
  <c r="AG947" i="4" s="1"/>
  <c r="E129" i="5" s="1" a="1"/>
  <c r="E129" i="5" s="1"/>
  <c r="AJ947" i="4" a="1"/>
  <c r="AJ947" i="4" s="1"/>
  <c r="S129" i="5" s="1" a="1"/>
  <c r="S129" i="5" s="1"/>
  <c r="AF899" i="4" a="1"/>
  <c r="AF899" i="4" s="1"/>
  <c r="D81" i="5" s="1" a="1"/>
  <c r="D81" i="5" s="1"/>
  <c r="AJ899" i="4" a="1"/>
  <c r="AJ899" i="4" s="1"/>
  <c r="S81" i="5" s="1" a="1"/>
  <c r="S81" i="5" s="1"/>
  <c r="AG899" i="4" a="1"/>
  <c r="AG899" i="4" s="1"/>
  <c r="E81" i="5" s="1" a="1"/>
  <c r="E81" i="5" s="1"/>
  <c r="AG867" i="4" a="1"/>
  <c r="AG867" i="4" s="1"/>
  <c r="E49" i="5" s="1" a="1"/>
  <c r="E49" i="5" s="1"/>
  <c r="AF867" i="4" a="1"/>
  <c r="AF867" i="4" s="1"/>
  <c r="D49" i="5" s="1" a="1"/>
  <c r="D49" i="5" s="1"/>
  <c r="F49" i="5" s="1"/>
  <c r="G49" i="5" s="1"/>
  <c r="AJ867" i="4" a="1"/>
  <c r="AJ867" i="4" s="1"/>
  <c r="S49" i="5" s="1" a="1"/>
  <c r="S49" i="5" s="1"/>
  <c r="AG834" i="4" a="1"/>
  <c r="AG834" i="4" s="1"/>
  <c r="E16" i="5" s="1" a="1"/>
  <c r="E16" i="5" s="1"/>
  <c r="AJ834" i="4" a="1"/>
  <c r="AJ834" i="4" s="1"/>
  <c r="S16" i="5" s="1" a="1"/>
  <c r="S16" i="5" s="1"/>
  <c r="AF834" i="4" a="1"/>
  <c r="AF834" i="4" s="1"/>
  <c r="D16" i="5" s="1" a="1"/>
  <c r="D16" i="5" s="1"/>
  <c r="AJ1026" i="4" a="1"/>
  <c r="AJ1026" i="4" s="1"/>
  <c r="S208" i="5" s="1" a="1"/>
  <c r="S208" i="5" s="1"/>
  <c r="AG1026" i="4" a="1"/>
  <c r="AG1026" i="4" s="1"/>
  <c r="E208" i="5" s="1" a="1"/>
  <c r="E208" i="5" s="1"/>
  <c r="AF1026" i="4" a="1"/>
  <c r="AF1026" i="4" s="1"/>
  <c r="D208" i="5" s="1" a="1"/>
  <c r="D208" i="5" s="1"/>
  <c r="AJ1018" i="4" a="1"/>
  <c r="AJ1018" i="4" s="1"/>
  <c r="S200" i="5" s="1" a="1"/>
  <c r="S200" i="5" s="1"/>
  <c r="AG1018" i="4" a="1"/>
  <c r="AG1018" i="4" s="1"/>
  <c r="E200" i="5" s="1" a="1"/>
  <c r="E200" i="5" s="1"/>
  <c r="AF1018" i="4" a="1"/>
  <c r="AF1018" i="4" s="1"/>
  <c r="D200" i="5" s="1" a="1"/>
  <c r="D200" i="5" s="1"/>
  <c r="AJ1010" i="4" a="1"/>
  <c r="AJ1010" i="4" s="1"/>
  <c r="S192" i="5" s="1" a="1"/>
  <c r="S192" i="5" s="1"/>
  <c r="AG1010" i="4" a="1"/>
  <c r="AG1010" i="4" s="1"/>
  <c r="E192" i="5" s="1" a="1"/>
  <c r="E192" i="5" s="1"/>
  <c r="AJ1002" i="4" a="1"/>
  <c r="AJ1002" i="4" s="1"/>
  <c r="S184" i="5" s="1" a="1"/>
  <c r="S184" i="5" s="1"/>
  <c r="AG1002" i="4" a="1"/>
  <c r="AG1002" i="4" s="1"/>
  <c r="E184" i="5" s="1" a="1"/>
  <c r="E184" i="5" s="1"/>
  <c r="AF1002" i="4" a="1"/>
  <c r="AF1002" i="4" s="1"/>
  <c r="D184" i="5" s="1" a="1"/>
  <c r="D184" i="5" s="1"/>
  <c r="AJ994" i="4" a="1"/>
  <c r="AJ994" i="4" s="1"/>
  <c r="S176" i="5" s="1" a="1"/>
  <c r="S176" i="5" s="1"/>
  <c r="AF994" i="4" a="1"/>
  <c r="AF994" i="4" s="1"/>
  <c r="D176" i="5" s="1" a="1"/>
  <c r="D176" i="5" s="1"/>
  <c r="AG994" i="4" a="1"/>
  <c r="AG994" i="4" s="1"/>
  <c r="E176" i="5" s="1" a="1"/>
  <c r="E176" i="5" s="1"/>
  <c r="AJ986" i="4" a="1"/>
  <c r="AJ986" i="4" s="1"/>
  <c r="S168" i="5" s="1" a="1"/>
  <c r="S168" i="5" s="1"/>
  <c r="AF986" i="4" a="1"/>
  <c r="AF986" i="4" s="1"/>
  <c r="D168" i="5" s="1" a="1"/>
  <c r="D168" i="5" s="1"/>
  <c r="AG986" i="4" a="1"/>
  <c r="AG986" i="4" s="1"/>
  <c r="E168" i="5" s="1" a="1"/>
  <c r="E168" i="5" s="1"/>
  <c r="AF978" i="4" a="1"/>
  <c r="AF978" i="4" s="1"/>
  <c r="D160" i="5" s="1" a="1"/>
  <c r="D160" i="5" s="1"/>
  <c r="AG978" i="4" a="1"/>
  <c r="AG978" i="4" s="1"/>
  <c r="E160" i="5" s="1" a="1"/>
  <c r="E160" i="5" s="1"/>
  <c r="AJ978" i="4" a="1"/>
  <c r="AJ978" i="4" s="1"/>
  <c r="S160" i="5" s="1" a="1"/>
  <c r="S160" i="5" s="1"/>
  <c r="AJ970" i="4" a="1"/>
  <c r="AJ970" i="4" s="1"/>
  <c r="S152" i="5" s="1" a="1"/>
  <c r="S152" i="5" s="1"/>
  <c r="AG970" i="4" a="1"/>
  <c r="AG970" i="4" s="1"/>
  <c r="E152" i="5" s="1" a="1"/>
  <c r="E152" i="5" s="1"/>
  <c r="AF970" i="4" a="1"/>
  <c r="AF970" i="4" s="1"/>
  <c r="D152" i="5" s="1" a="1"/>
  <c r="D152" i="5" s="1"/>
  <c r="AG962" i="4" a="1"/>
  <c r="AG962" i="4" s="1"/>
  <c r="E144" i="5" s="1" a="1"/>
  <c r="E144" i="5" s="1"/>
  <c r="AF962" i="4" a="1"/>
  <c r="AF962" i="4" s="1"/>
  <c r="D144" i="5" s="1" a="1"/>
  <c r="D144" i="5" s="1"/>
  <c r="AJ962" i="4" a="1"/>
  <c r="AJ962" i="4" s="1"/>
  <c r="S144" i="5" s="1" a="1"/>
  <c r="S144" i="5" s="1"/>
  <c r="AF954" i="4" a="1"/>
  <c r="AF954" i="4" s="1"/>
  <c r="D136" i="5" s="1" a="1"/>
  <c r="D136" i="5" s="1"/>
  <c r="AG954" i="4" a="1"/>
  <c r="AG954" i="4" s="1"/>
  <c r="E136" i="5" s="1" a="1"/>
  <c r="E136" i="5" s="1"/>
  <c r="AJ954" i="4" a="1"/>
  <c r="AJ954" i="4" s="1"/>
  <c r="S136" i="5" s="1" a="1"/>
  <c r="S136" i="5" s="1"/>
  <c r="AG946" i="4" a="1"/>
  <c r="AG946" i="4" s="1"/>
  <c r="E128" i="5" s="1" a="1"/>
  <c r="E128" i="5" s="1"/>
  <c r="AF946" i="4" a="1"/>
  <c r="AF946" i="4" s="1"/>
  <c r="D128" i="5" s="1" a="1"/>
  <c r="D128" i="5" s="1"/>
  <c r="AJ946" i="4" a="1"/>
  <c r="AJ946" i="4" s="1"/>
  <c r="S128" i="5" s="1" a="1"/>
  <c r="S128" i="5" s="1"/>
  <c r="AG938" i="4" a="1"/>
  <c r="AG938" i="4" s="1"/>
  <c r="E120" i="5" s="1" a="1"/>
  <c r="E120" i="5" s="1"/>
  <c r="AF938" i="4" a="1"/>
  <c r="AF938" i="4" s="1"/>
  <c r="D120" i="5" s="1" a="1"/>
  <c r="D120" i="5" s="1"/>
  <c r="AJ938" i="4" a="1"/>
  <c r="AJ938" i="4" s="1"/>
  <c r="S120" i="5" s="1" a="1"/>
  <c r="S120" i="5" s="1"/>
  <c r="AF930" i="4" a="1"/>
  <c r="AF930" i="4" s="1"/>
  <c r="D112" i="5" s="1" a="1"/>
  <c r="D112" i="5" s="1"/>
  <c r="AG930" i="4" a="1"/>
  <c r="AG930" i="4" s="1"/>
  <c r="E112" i="5" s="1" a="1"/>
  <c r="E112" i="5" s="1"/>
  <c r="AJ930" i="4" a="1"/>
  <c r="AJ930" i="4" s="1"/>
  <c r="S112" i="5" s="1" a="1"/>
  <c r="S112" i="5" s="1"/>
  <c r="AF922" i="4" a="1"/>
  <c r="AF922" i="4" s="1"/>
  <c r="D104" i="5" s="1" a="1"/>
  <c r="D104" i="5" s="1"/>
  <c r="AG922" i="4" a="1"/>
  <c r="AG922" i="4" s="1"/>
  <c r="E104" i="5" s="1" a="1"/>
  <c r="E104" i="5" s="1"/>
  <c r="AJ922" i="4" a="1"/>
  <c r="AJ922" i="4" s="1"/>
  <c r="S104" i="5" s="1" a="1"/>
  <c r="S104" i="5" s="1"/>
  <c r="AJ914" i="4" a="1"/>
  <c r="AJ914" i="4" s="1"/>
  <c r="S96" i="5" s="1" a="1"/>
  <c r="S96" i="5" s="1"/>
  <c r="AF914" i="4" a="1"/>
  <c r="AF914" i="4" s="1"/>
  <c r="D96" i="5" s="1" a="1"/>
  <c r="D96" i="5" s="1"/>
  <c r="AG914" i="4" a="1"/>
  <c r="AG914" i="4" s="1"/>
  <c r="E96" i="5" s="1" a="1"/>
  <c r="E96" i="5" s="1"/>
  <c r="AF906" i="4" a="1"/>
  <c r="AF906" i="4" s="1"/>
  <c r="D88" i="5" s="1" a="1"/>
  <c r="D88" i="5" s="1"/>
  <c r="AJ906" i="4" a="1"/>
  <c r="AJ906" i="4" s="1"/>
  <c r="S88" i="5" s="1" a="1"/>
  <c r="S88" i="5" s="1"/>
  <c r="AG906" i="4" a="1"/>
  <c r="AG906" i="4" s="1"/>
  <c r="E88" i="5" s="1" a="1"/>
  <c r="E88" i="5" s="1"/>
  <c r="AJ898" i="4" a="1"/>
  <c r="AJ898" i="4" s="1"/>
  <c r="S80" i="5" s="1" a="1"/>
  <c r="S80" i="5" s="1"/>
  <c r="AF898" i="4" a="1"/>
  <c r="AF898" i="4" s="1"/>
  <c r="D80" i="5" s="1" a="1"/>
  <c r="D80" i="5" s="1"/>
  <c r="AG898" i="4" a="1"/>
  <c r="AG898" i="4" s="1"/>
  <c r="E80" i="5" s="1" a="1"/>
  <c r="E80" i="5" s="1"/>
  <c r="AJ890" i="4" a="1"/>
  <c r="AJ890" i="4" s="1"/>
  <c r="S72" i="5" s="1" a="1"/>
  <c r="S72" i="5" s="1"/>
  <c r="AF890" i="4" a="1"/>
  <c r="AF890" i="4" s="1"/>
  <c r="D72" i="5" s="1" a="1"/>
  <c r="D72" i="5" s="1"/>
  <c r="AG890" i="4" a="1"/>
  <c r="AG890" i="4" s="1"/>
  <c r="E72" i="5" s="1" a="1"/>
  <c r="E72" i="5" s="1"/>
  <c r="AF882" i="4" a="1"/>
  <c r="AF882" i="4" s="1"/>
  <c r="D64" i="5" s="1" a="1"/>
  <c r="D64" i="5" s="1"/>
  <c r="AG882" i="4" a="1"/>
  <c r="AG882" i="4" s="1"/>
  <c r="E64" i="5" s="1" a="1"/>
  <c r="E64" i="5" s="1"/>
  <c r="AJ882" i="4" a="1"/>
  <c r="AJ882" i="4" s="1"/>
  <c r="S64" i="5" s="1" a="1"/>
  <c r="S64" i="5" s="1"/>
  <c r="AF874" i="4" a="1"/>
  <c r="AF874" i="4" s="1"/>
  <c r="D56" i="5" s="1" a="1"/>
  <c r="D56" i="5" s="1"/>
  <c r="AJ874" i="4" a="1"/>
  <c r="AJ874" i="4" s="1"/>
  <c r="S56" i="5" s="1" a="1"/>
  <c r="S56" i="5" s="1"/>
  <c r="AG874" i="4" a="1"/>
  <c r="AG874" i="4" s="1"/>
  <c r="E56" i="5" s="1" a="1"/>
  <c r="E56" i="5" s="1"/>
  <c r="AF866" i="4" a="1"/>
  <c r="AF866" i="4" s="1"/>
  <c r="D48" i="5" s="1" a="1"/>
  <c r="D48" i="5" s="1"/>
  <c r="AG866" i="4" a="1"/>
  <c r="AG866" i="4" s="1"/>
  <c r="E48" i="5" s="1" a="1"/>
  <c r="E48" i="5" s="1"/>
  <c r="AJ866" i="4" a="1"/>
  <c r="AJ866" i="4" s="1"/>
  <c r="S48" i="5" s="1" a="1"/>
  <c r="S48" i="5" s="1"/>
  <c r="AF858" i="4" a="1"/>
  <c r="AF858" i="4" s="1"/>
  <c r="D40" i="5" s="1" a="1"/>
  <c r="D40" i="5" s="1"/>
  <c r="AG858" i="4" a="1"/>
  <c r="AG858" i="4" s="1"/>
  <c r="E40" i="5" s="1" a="1"/>
  <c r="E40" i="5" s="1"/>
  <c r="AJ858" i="4" a="1"/>
  <c r="AJ858" i="4" s="1"/>
  <c r="S40" i="5" s="1" a="1"/>
  <c r="S40" i="5" s="1"/>
  <c r="AJ850" i="4" a="1"/>
  <c r="AJ850" i="4" s="1"/>
  <c r="S32" i="5" s="1" a="1"/>
  <c r="S32" i="5" s="1"/>
  <c r="AF850" i="4" a="1"/>
  <c r="AF850" i="4" s="1"/>
  <c r="D32" i="5" s="1" a="1"/>
  <c r="D32" i="5" s="1"/>
  <c r="AG850" i="4" a="1"/>
  <c r="AG850" i="4" s="1"/>
  <c r="E32" i="5" s="1" a="1"/>
  <c r="E32" i="5" s="1"/>
  <c r="AG842" i="4" a="1"/>
  <c r="AG842" i="4" s="1"/>
  <c r="E24" i="5" s="1" a="1"/>
  <c r="E24" i="5" s="1"/>
  <c r="AF842" i="4" a="1"/>
  <c r="AF842" i="4" s="1"/>
  <c r="D24" i="5" s="1" a="1"/>
  <c r="D24" i="5" s="1"/>
  <c r="AJ842" i="4" a="1"/>
  <c r="AJ842" i="4" s="1"/>
  <c r="S24" i="5" s="1" a="1"/>
  <c r="S24" i="5" s="1"/>
  <c r="AF1005" i="4" a="1"/>
  <c r="AF1005" i="4" s="1"/>
  <c r="D187" i="5" s="1" a="1"/>
  <c r="D187" i="5" s="1"/>
  <c r="AG1005" i="4" a="1"/>
  <c r="AG1005" i="4" s="1"/>
  <c r="E187" i="5" s="1" a="1"/>
  <c r="E187" i="5" s="1"/>
  <c r="AJ1005" i="4" a="1"/>
  <c r="AJ1005" i="4" s="1"/>
  <c r="S187" i="5" s="1" a="1"/>
  <c r="S187" i="5" s="1"/>
  <c r="AF941" i="4" a="1"/>
  <c r="AF941" i="4" s="1"/>
  <c r="D123" i="5" s="1" a="1"/>
  <c r="D123" i="5" s="1"/>
  <c r="AJ941" i="4" a="1"/>
  <c r="AJ941" i="4" s="1"/>
  <c r="S123" i="5" s="1" a="1"/>
  <c r="S123" i="5" s="1"/>
  <c r="AG941" i="4" a="1"/>
  <c r="AG941" i="4" s="1"/>
  <c r="E123" i="5" s="1" a="1"/>
  <c r="E123" i="5" s="1"/>
  <c r="AG901" i="4" a="1"/>
  <c r="AG901" i="4" s="1"/>
  <c r="E83" i="5" s="1" a="1"/>
  <c r="E83" i="5" s="1"/>
  <c r="AF901" i="4" a="1"/>
  <c r="AF901" i="4" s="1"/>
  <c r="D83" i="5" s="1" a="1"/>
  <c r="D83" i="5" s="1"/>
  <c r="AJ901" i="4" a="1"/>
  <c r="AJ901" i="4" s="1"/>
  <c r="S83" i="5" s="1" a="1"/>
  <c r="S83" i="5" s="1"/>
  <c r="AG869" i="4" a="1"/>
  <c r="AG869" i="4" s="1"/>
  <c r="E51" i="5" s="1" a="1"/>
  <c r="E51" i="5" s="1"/>
  <c r="AJ869" i="4" a="1"/>
  <c r="AJ869" i="4" s="1"/>
  <c r="S51" i="5" s="1" a="1"/>
  <c r="S51" i="5" s="1"/>
  <c r="AF869" i="4" a="1"/>
  <c r="AF869" i="4" s="1"/>
  <c r="D51" i="5" s="1" a="1"/>
  <c r="D51" i="5" s="1"/>
  <c r="AJ1011" i="4" a="1"/>
  <c r="AJ1011" i="4" s="1"/>
  <c r="S193" i="5" s="1" a="1"/>
  <c r="S193" i="5" s="1"/>
  <c r="AF1011" i="4" a="1"/>
  <c r="AF1011" i="4" s="1"/>
  <c r="D193" i="5" s="1" a="1"/>
  <c r="D193" i="5" s="1"/>
  <c r="AG1011" i="4" a="1"/>
  <c r="AG1011" i="4" s="1"/>
  <c r="E193" i="5" s="1" a="1"/>
  <c r="E193" i="5" s="1"/>
  <c r="AF971" i="4" a="1"/>
  <c r="AF971" i="4" s="1"/>
  <c r="D153" i="5" s="1" a="1"/>
  <c r="D153" i="5" s="1"/>
  <c r="AG971" i="4" a="1"/>
  <c r="AG971" i="4" s="1"/>
  <c r="E153" i="5" s="1" a="1"/>
  <c r="E153" i="5" s="1"/>
  <c r="AJ971" i="4" a="1"/>
  <c r="AJ971" i="4" s="1"/>
  <c r="S153" i="5" s="1" a="1"/>
  <c r="S153" i="5" s="1"/>
  <c r="AF939" i="4" a="1"/>
  <c r="AF939" i="4" s="1"/>
  <c r="D121" i="5" s="1" a="1"/>
  <c r="D121" i="5" s="1"/>
  <c r="AG939" i="4" a="1"/>
  <c r="AG939" i="4" s="1"/>
  <c r="E121" i="5" s="1" a="1"/>
  <c r="E121" i="5" s="1"/>
  <c r="AJ939" i="4" a="1"/>
  <c r="AJ939" i="4" s="1"/>
  <c r="S121" i="5" s="1" a="1"/>
  <c r="S121" i="5" s="1"/>
  <c r="AG923" i="4" a="1"/>
  <c r="AG923" i="4" s="1"/>
  <c r="E105" i="5" s="1" a="1"/>
  <c r="E105" i="5" s="1"/>
  <c r="AF923" i="4" a="1"/>
  <c r="AF923" i="4" s="1"/>
  <c r="D105" i="5" s="1" a="1"/>
  <c r="D105" i="5" s="1"/>
  <c r="AJ923" i="4" a="1"/>
  <c r="AJ923" i="4" s="1"/>
  <c r="S105" i="5" s="1" a="1"/>
  <c r="S105" i="5" s="1"/>
  <c r="AG883" i="4" a="1"/>
  <c r="AG883" i="4" s="1"/>
  <c r="E65" i="5" s="1" a="1"/>
  <c r="E65" i="5" s="1"/>
  <c r="AJ883" i="4" a="1"/>
  <c r="AJ883" i="4" s="1"/>
  <c r="S65" i="5" s="1" a="1"/>
  <c r="S65" i="5" s="1"/>
  <c r="AF883" i="4" a="1"/>
  <c r="AF883" i="4" s="1"/>
  <c r="D65" i="5" s="1" a="1"/>
  <c r="D65" i="5" s="1"/>
  <c r="AG843" i="4" a="1"/>
  <c r="AG843" i="4" s="1"/>
  <c r="E25" i="5" s="1" a="1"/>
  <c r="E25" i="5" s="1"/>
  <c r="AJ843" i="4" a="1"/>
  <c r="AJ843" i="4" s="1"/>
  <c r="S25" i="5" s="1" a="1"/>
  <c r="S25" i="5" s="1"/>
  <c r="AF843" i="4" a="1"/>
  <c r="AF843" i="4" s="1"/>
  <c r="D25" i="5" s="1" a="1"/>
  <c r="D25" i="5" s="1"/>
  <c r="AJ1025" i="4" a="1"/>
  <c r="AJ1025" i="4" s="1"/>
  <c r="S207" i="5" s="1" a="1"/>
  <c r="S207" i="5" s="1"/>
  <c r="AF1025" i="4" a="1"/>
  <c r="AF1025" i="4" s="1"/>
  <c r="D207" i="5" s="1" a="1"/>
  <c r="D207" i="5" s="1"/>
  <c r="AG1025" i="4" a="1"/>
  <c r="AG1025" i="4" s="1"/>
  <c r="E207" i="5" s="1" a="1"/>
  <c r="E207" i="5" s="1"/>
  <c r="AJ1017" i="4" a="1"/>
  <c r="AJ1017" i="4" s="1"/>
  <c r="S199" i="5" s="1" a="1"/>
  <c r="S199" i="5" s="1"/>
  <c r="AF1017" i="4" a="1"/>
  <c r="AF1017" i="4" s="1"/>
  <c r="D199" i="5" s="1" a="1"/>
  <c r="D199" i="5" s="1"/>
  <c r="AG1017" i="4" a="1"/>
  <c r="AG1017" i="4" s="1"/>
  <c r="E199" i="5" s="1" a="1"/>
  <c r="E199" i="5" s="1"/>
  <c r="AJ1009" i="4" a="1"/>
  <c r="AJ1009" i="4" s="1"/>
  <c r="S191" i="5" s="1" a="1"/>
  <c r="S191" i="5" s="1"/>
  <c r="AF1009" i="4" a="1"/>
  <c r="AF1009" i="4" s="1"/>
  <c r="D191" i="5" s="1" a="1"/>
  <c r="D191" i="5" s="1"/>
  <c r="AG1009" i="4" a="1"/>
  <c r="AG1009" i="4" s="1"/>
  <c r="E191" i="5" s="1" a="1"/>
  <c r="E191" i="5" s="1"/>
  <c r="AJ1001" i="4" a="1"/>
  <c r="AJ1001" i="4" s="1"/>
  <c r="S183" i="5" s="1" a="1"/>
  <c r="S183" i="5" s="1"/>
  <c r="AF1001" i="4" a="1"/>
  <c r="AF1001" i="4" s="1"/>
  <c r="D183" i="5" s="1" a="1"/>
  <c r="D183" i="5" s="1"/>
  <c r="AG1001" i="4" a="1"/>
  <c r="AG1001" i="4" s="1"/>
  <c r="E183" i="5" s="1" a="1"/>
  <c r="E183" i="5" s="1"/>
  <c r="AF993" i="4" a="1"/>
  <c r="AF993" i="4" s="1"/>
  <c r="D175" i="5" s="1" a="1"/>
  <c r="D175" i="5" s="1"/>
  <c r="AG993" i="4" a="1"/>
  <c r="AG993" i="4" s="1"/>
  <c r="E175" i="5" s="1" a="1"/>
  <c r="E175" i="5" s="1"/>
  <c r="AJ993" i="4" a="1"/>
  <c r="AJ993" i="4" s="1"/>
  <c r="S175" i="5" s="1" a="1"/>
  <c r="S175" i="5" s="1"/>
  <c r="AF985" i="4" a="1"/>
  <c r="AF985" i="4" s="1"/>
  <c r="D167" i="5" s="1" a="1"/>
  <c r="D167" i="5" s="1"/>
  <c r="AG985" i="4" a="1"/>
  <c r="AG985" i="4" s="1"/>
  <c r="E167" i="5" s="1" a="1"/>
  <c r="E167" i="5" s="1"/>
  <c r="AJ985" i="4" a="1"/>
  <c r="AJ985" i="4" s="1"/>
  <c r="S167" i="5" s="1" a="1"/>
  <c r="S167" i="5" s="1"/>
  <c r="AJ977" i="4" a="1"/>
  <c r="AJ977" i="4" s="1"/>
  <c r="S159" i="5" s="1" a="1"/>
  <c r="S159" i="5" s="1"/>
  <c r="AG977" i="4" a="1"/>
  <c r="AG977" i="4" s="1"/>
  <c r="E159" i="5" s="1" a="1"/>
  <c r="E159" i="5" s="1"/>
  <c r="AF977" i="4" a="1"/>
  <c r="AF977" i="4" s="1"/>
  <c r="D159" i="5" s="1" a="1"/>
  <c r="D159" i="5" s="1"/>
  <c r="AG969" i="4" a="1"/>
  <c r="AG969" i="4" s="1"/>
  <c r="E151" i="5" s="1" a="1"/>
  <c r="E151" i="5" s="1"/>
  <c r="AF969" i="4" a="1"/>
  <c r="AF969" i="4" s="1"/>
  <c r="D151" i="5" s="1" a="1"/>
  <c r="D151" i="5" s="1"/>
  <c r="AJ969" i="4" a="1"/>
  <c r="AJ969" i="4" s="1"/>
  <c r="S151" i="5" s="1" a="1"/>
  <c r="S151" i="5" s="1"/>
  <c r="AF961" i="4" a="1"/>
  <c r="AF961" i="4" s="1"/>
  <c r="D143" i="5" s="1" a="1"/>
  <c r="D143" i="5" s="1"/>
  <c r="AJ961" i="4" a="1"/>
  <c r="AJ961" i="4" s="1"/>
  <c r="S143" i="5" s="1" a="1"/>
  <c r="S143" i="5" s="1"/>
  <c r="AG961" i="4" a="1"/>
  <c r="AG961" i="4" s="1"/>
  <c r="E143" i="5" s="1" a="1"/>
  <c r="E143" i="5" s="1"/>
  <c r="AF953" i="4" a="1"/>
  <c r="AF953" i="4" s="1"/>
  <c r="D135" i="5" s="1" a="1"/>
  <c r="D135" i="5" s="1"/>
  <c r="AG953" i="4" a="1"/>
  <c r="AG953" i="4" s="1"/>
  <c r="E135" i="5" s="1" a="1"/>
  <c r="E135" i="5" s="1"/>
  <c r="AJ953" i="4" a="1"/>
  <c r="AJ953" i="4" s="1"/>
  <c r="S135" i="5" s="1" a="1"/>
  <c r="S135" i="5" s="1"/>
  <c r="AG945" i="4" a="1"/>
  <c r="AG945" i="4" s="1"/>
  <c r="E127" i="5" s="1" a="1"/>
  <c r="E127" i="5" s="1"/>
  <c r="AJ945" i="4" a="1"/>
  <c r="AJ945" i="4" s="1"/>
  <c r="S127" i="5" s="1" a="1"/>
  <c r="S127" i="5" s="1"/>
  <c r="AF945" i="4" a="1"/>
  <c r="AF945" i="4" s="1"/>
  <c r="D127" i="5" s="1" a="1"/>
  <c r="D127" i="5" s="1"/>
  <c r="AG937" i="4" a="1"/>
  <c r="AG937" i="4" s="1"/>
  <c r="E119" i="5" s="1" a="1"/>
  <c r="E119" i="5" s="1"/>
  <c r="AJ937" i="4" a="1"/>
  <c r="AJ937" i="4" s="1"/>
  <c r="S119" i="5" s="1" a="1"/>
  <c r="S119" i="5" s="1"/>
  <c r="AF937" i="4" a="1"/>
  <c r="AF937" i="4" s="1"/>
  <c r="D119" i="5" s="1" a="1"/>
  <c r="D119" i="5" s="1"/>
  <c r="AF929" i="4" a="1"/>
  <c r="AF929" i="4" s="1"/>
  <c r="D111" i="5" s="1" a="1"/>
  <c r="D111" i="5" s="1"/>
  <c r="AG929" i="4" a="1"/>
  <c r="AG929" i="4" s="1"/>
  <c r="E111" i="5" s="1" a="1"/>
  <c r="E111" i="5" s="1"/>
  <c r="AJ929" i="4" a="1"/>
  <c r="AJ929" i="4" s="1"/>
  <c r="S111" i="5" s="1" a="1"/>
  <c r="S111" i="5" s="1"/>
  <c r="AG921" i="4" a="1"/>
  <c r="AG921" i="4" s="1"/>
  <c r="E103" i="5" s="1" a="1"/>
  <c r="E103" i="5" s="1"/>
  <c r="AF921" i="4" a="1"/>
  <c r="AF921" i="4" s="1"/>
  <c r="D103" i="5" s="1" a="1"/>
  <c r="D103" i="5" s="1"/>
  <c r="AJ921" i="4" a="1"/>
  <c r="AJ921" i="4" s="1"/>
  <c r="S103" i="5" s="1" a="1"/>
  <c r="S103" i="5" s="1"/>
  <c r="AF913" i="4" a="1"/>
  <c r="AF913" i="4" s="1"/>
  <c r="D95" i="5" s="1" a="1"/>
  <c r="D95" i="5" s="1"/>
  <c r="AJ913" i="4" a="1"/>
  <c r="AJ913" i="4" s="1"/>
  <c r="S95" i="5" s="1" a="1"/>
  <c r="S95" i="5" s="1"/>
  <c r="AG913" i="4" a="1"/>
  <c r="AG913" i="4" s="1"/>
  <c r="E95" i="5" s="1" a="1"/>
  <c r="E95" i="5" s="1"/>
  <c r="AF905" i="4" a="1"/>
  <c r="AF905" i="4" s="1"/>
  <c r="D87" i="5" s="1" a="1"/>
  <c r="D87" i="5" s="1"/>
  <c r="AG905" i="4" a="1"/>
  <c r="AG905" i="4" s="1"/>
  <c r="E87" i="5" s="1" a="1"/>
  <c r="E87" i="5" s="1"/>
  <c r="AJ905" i="4" a="1"/>
  <c r="AJ905" i="4" s="1"/>
  <c r="S87" i="5" s="1" a="1"/>
  <c r="S87" i="5" s="1"/>
  <c r="AJ897" i="4" a="1"/>
  <c r="AJ897" i="4" s="1"/>
  <c r="S79" i="5" s="1" a="1"/>
  <c r="S79" i="5" s="1"/>
  <c r="AF897" i="4" a="1"/>
  <c r="AF897" i="4" s="1"/>
  <c r="D79" i="5" s="1" a="1"/>
  <c r="D79" i="5" s="1"/>
  <c r="AG897" i="4" a="1"/>
  <c r="AG897" i="4" s="1"/>
  <c r="E79" i="5" s="1" a="1"/>
  <c r="E79" i="5" s="1"/>
  <c r="AJ889" i="4" a="1"/>
  <c r="AJ889" i="4" s="1"/>
  <c r="S71" i="5" s="1" a="1"/>
  <c r="S71" i="5" s="1"/>
  <c r="AG889" i="4" a="1"/>
  <c r="AG889" i="4" s="1"/>
  <c r="E71" i="5" s="1" a="1"/>
  <c r="E71" i="5" s="1"/>
  <c r="AF889" i="4" a="1"/>
  <c r="AF889" i="4" s="1"/>
  <c r="D71" i="5" s="1" a="1"/>
  <c r="D71" i="5" s="1"/>
  <c r="AF881" i="4" a="1"/>
  <c r="AF881" i="4" s="1"/>
  <c r="D63" i="5" s="1" a="1"/>
  <c r="D63" i="5" s="1"/>
  <c r="AJ881" i="4" a="1"/>
  <c r="AJ881" i="4" s="1"/>
  <c r="S63" i="5" s="1" a="1"/>
  <c r="S63" i="5" s="1"/>
  <c r="AG881" i="4" a="1"/>
  <c r="AG881" i="4" s="1"/>
  <c r="E63" i="5" s="1" a="1"/>
  <c r="E63" i="5" s="1"/>
  <c r="AG873" i="4" a="1"/>
  <c r="AG873" i="4" s="1"/>
  <c r="E55" i="5" s="1" a="1"/>
  <c r="E55" i="5" s="1"/>
  <c r="AJ873" i="4" a="1"/>
  <c r="AJ873" i="4" s="1"/>
  <c r="S55" i="5" s="1" a="1"/>
  <c r="S55" i="5" s="1"/>
  <c r="AF873" i="4" a="1"/>
  <c r="AF873" i="4" s="1"/>
  <c r="D55" i="5" s="1" a="1"/>
  <c r="D55" i="5" s="1"/>
  <c r="AF865" i="4" a="1"/>
  <c r="AF865" i="4" s="1"/>
  <c r="D47" i="5" s="1" a="1"/>
  <c r="D47" i="5" s="1"/>
  <c r="AG865" i="4" a="1"/>
  <c r="AG865" i="4" s="1"/>
  <c r="E47" i="5" s="1" a="1"/>
  <c r="E47" i="5" s="1"/>
  <c r="AJ865" i="4" a="1"/>
  <c r="AJ865" i="4" s="1"/>
  <c r="S47" i="5" s="1" a="1"/>
  <c r="S47" i="5" s="1"/>
  <c r="AF857" i="4" a="1"/>
  <c r="AF857" i="4" s="1"/>
  <c r="D39" i="5" s="1" a="1"/>
  <c r="D39" i="5" s="1"/>
  <c r="AJ857" i="4" a="1"/>
  <c r="AJ857" i="4" s="1"/>
  <c r="S39" i="5" s="1" a="1"/>
  <c r="S39" i="5" s="1"/>
  <c r="AG857" i="4" a="1"/>
  <c r="AG857" i="4" s="1"/>
  <c r="E39" i="5" s="1" a="1"/>
  <c r="E39" i="5" s="1"/>
  <c r="AJ849" i="4" a="1"/>
  <c r="AJ849" i="4" s="1"/>
  <c r="S31" i="5" s="1" a="1"/>
  <c r="S31" i="5" s="1"/>
  <c r="AF849" i="4" a="1"/>
  <c r="AF849" i="4" s="1"/>
  <c r="D31" i="5" s="1" a="1"/>
  <c r="D31" i="5" s="1"/>
  <c r="AG849" i="4" a="1"/>
  <c r="AG849" i="4" s="1"/>
  <c r="E31" i="5" s="1" a="1"/>
  <c r="E31" i="5" s="1"/>
  <c r="AF841" i="4" a="1"/>
  <c r="AF841" i="4" s="1"/>
  <c r="D23" i="5" s="1" a="1"/>
  <c r="D23" i="5" s="1"/>
  <c r="AG841" i="4" a="1"/>
  <c r="AG841" i="4" s="1"/>
  <c r="E23" i="5" s="1" a="1"/>
  <c r="E23" i="5" s="1"/>
  <c r="AJ841" i="4" a="1"/>
  <c r="AJ841" i="4" s="1"/>
  <c r="S23" i="5" s="1" a="1"/>
  <c r="S23" i="5" s="1"/>
  <c r="AG1019" i="4" a="1"/>
  <c r="AG1019" i="4" s="1"/>
  <c r="E201" i="5" s="1" a="1"/>
  <c r="E201" i="5" s="1"/>
  <c r="AF1013" i="4" a="1"/>
  <c r="AF1013" i="4" s="1"/>
  <c r="D195" i="5" s="1" a="1"/>
  <c r="D195" i="5" s="1"/>
  <c r="AG1013" i="4" a="1"/>
  <c r="AG1013" i="4" s="1"/>
  <c r="E195" i="5" s="1" a="1"/>
  <c r="E195" i="5" s="1"/>
  <c r="AJ1013" i="4" a="1"/>
  <c r="AJ1013" i="4" s="1"/>
  <c r="S195" i="5" s="1" a="1"/>
  <c r="S195" i="5" s="1"/>
  <c r="AF837" i="4" a="1"/>
  <c r="AF837" i="4" s="1"/>
  <c r="D19" i="5" s="1" a="1"/>
  <c r="D19" i="5" s="1"/>
  <c r="AG837" i="4" a="1"/>
  <c r="AG837" i="4" s="1"/>
  <c r="E19" i="5" s="1" a="1"/>
  <c r="E19" i="5" s="1"/>
  <c r="AJ837" i="4" a="1"/>
  <c r="AJ837" i="4" s="1"/>
  <c r="S19" i="5" s="1" a="1"/>
  <c r="S19" i="5" s="1"/>
  <c r="AJ995" i="4" a="1"/>
  <c r="AJ995" i="4" s="1"/>
  <c r="S177" i="5" s="1" a="1"/>
  <c r="S177" i="5" s="1"/>
  <c r="AG995" i="4" a="1"/>
  <c r="AG995" i="4" s="1"/>
  <c r="E177" i="5" s="1" a="1"/>
  <c r="E177" i="5" s="1"/>
  <c r="AF995" i="4" a="1"/>
  <c r="AF995" i="4" s="1"/>
  <c r="D177" i="5" s="1" a="1"/>
  <c r="D177" i="5" s="1"/>
  <c r="AF915" i="4" a="1"/>
  <c r="AF915" i="4" s="1"/>
  <c r="D97" i="5" s="1" a="1"/>
  <c r="D97" i="5" s="1"/>
  <c r="AJ915" i="4" a="1"/>
  <c r="AJ915" i="4" s="1"/>
  <c r="S97" i="5" s="1" a="1"/>
  <c r="S97" i="5" s="1"/>
  <c r="AG915" i="4" a="1"/>
  <c r="AG915" i="4" s="1"/>
  <c r="E97" i="5" s="1" a="1"/>
  <c r="E97" i="5" s="1"/>
  <c r="AF859" i="4" a="1"/>
  <c r="AF859" i="4" s="1"/>
  <c r="D41" i="5" s="1" a="1"/>
  <c r="D41" i="5" s="1"/>
  <c r="AG859" i="4" a="1"/>
  <c r="AG859" i="4" s="1"/>
  <c r="E41" i="5" s="1" a="1"/>
  <c r="E41" i="5" s="1"/>
  <c r="AJ859" i="4" a="1"/>
  <c r="AJ859" i="4" s="1"/>
  <c r="S41" i="5" s="1" a="1"/>
  <c r="S41" i="5" s="1"/>
  <c r="AF1000" i="4" a="1"/>
  <c r="AF1000" i="4" s="1"/>
  <c r="D182" i="5" s="1" a="1"/>
  <c r="D182" i="5" s="1"/>
  <c r="AJ1000" i="4" a="1"/>
  <c r="AJ1000" i="4" s="1"/>
  <c r="S182" i="5" s="1" a="1"/>
  <c r="S182" i="5" s="1"/>
  <c r="AG1000" i="4" a="1"/>
  <c r="AG1000" i="4" s="1"/>
  <c r="E182" i="5" s="1" a="1"/>
  <c r="E182" i="5" s="1"/>
  <c r="AG976" i="4" a="1"/>
  <c r="AG976" i="4" s="1"/>
  <c r="E158" i="5" s="1" a="1"/>
  <c r="E158" i="5" s="1"/>
  <c r="AF976" i="4" a="1"/>
  <c r="AF976" i="4" s="1"/>
  <c r="D158" i="5" s="1" a="1"/>
  <c r="D158" i="5" s="1"/>
  <c r="AJ976" i="4" a="1"/>
  <c r="AJ976" i="4" s="1"/>
  <c r="S158" i="5" s="1" a="1"/>
  <c r="S158" i="5" s="1"/>
  <c r="AJ968" i="4" a="1"/>
  <c r="AJ968" i="4" s="1"/>
  <c r="S150" i="5" s="1" a="1"/>
  <c r="S150" i="5" s="1"/>
  <c r="AG968" i="4" a="1"/>
  <c r="AG968" i="4" s="1"/>
  <c r="E150" i="5" s="1" a="1"/>
  <c r="E150" i="5" s="1"/>
  <c r="AF968" i="4" a="1"/>
  <c r="AF968" i="4" s="1"/>
  <c r="D150" i="5" s="1" a="1"/>
  <c r="D150" i="5" s="1"/>
  <c r="AJ960" i="4" a="1"/>
  <c r="AJ960" i="4" s="1"/>
  <c r="S142" i="5" s="1" a="1"/>
  <c r="S142" i="5" s="1"/>
  <c r="AF960" i="4" a="1"/>
  <c r="AF960" i="4" s="1"/>
  <c r="D142" i="5" s="1" a="1"/>
  <c r="D142" i="5" s="1"/>
  <c r="AG960" i="4" a="1"/>
  <c r="AG960" i="4" s="1"/>
  <c r="E142" i="5" s="1" a="1"/>
  <c r="E142" i="5" s="1"/>
  <c r="AJ952" i="4" a="1"/>
  <c r="AJ952" i="4" s="1"/>
  <c r="S134" i="5" s="1" a="1"/>
  <c r="S134" i="5" s="1"/>
  <c r="AF952" i="4" a="1"/>
  <c r="AF952" i="4" s="1"/>
  <c r="D134" i="5" s="1" a="1"/>
  <c r="D134" i="5" s="1"/>
  <c r="AG952" i="4" a="1"/>
  <c r="AG952" i="4" s="1"/>
  <c r="E134" i="5" s="1" a="1"/>
  <c r="E134" i="5" s="1"/>
  <c r="AJ944" i="4" a="1"/>
  <c r="AJ944" i="4" s="1"/>
  <c r="S126" i="5" s="1" a="1"/>
  <c r="S126" i="5" s="1"/>
  <c r="AF944" i="4" a="1"/>
  <c r="AF944" i="4" s="1"/>
  <c r="D126" i="5" s="1" a="1"/>
  <c r="D126" i="5" s="1"/>
  <c r="AG944" i="4" a="1"/>
  <c r="AG944" i="4" s="1"/>
  <c r="E126" i="5" s="1" a="1"/>
  <c r="E126" i="5" s="1"/>
  <c r="AG936" i="4" a="1"/>
  <c r="AG936" i="4" s="1"/>
  <c r="E118" i="5" s="1" a="1"/>
  <c r="E118" i="5" s="1"/>
  <c r="AF936" i="4" a="1"/>
  <c r="AF936" i="4" s="1"/>
  <c r="D118" i="5" s="1" a="1"/>
  <c r="D118" i="5" s="1"/>
  <c r="AJ936" i="4" a="1"/>
  <c r="AJ936" i="4" s="1"/>
  <c r="S118" i="5" s="1" a="1"/>
  <c r="S118" i="5" s="1"/>
  <c r="AF928" i="4" a="1"/>
  <c r="AF928" i="4" s="1"/>
  <c r="D110" i="5" s="1" a="1"/>
  <c r="D110" i="5" s="1"/>
  <c r="AG928" i="4" a="1"/>
  <c r="AG928" i="4" s="1"/>
  <c r="E110" i="5" s="1" a="1"/>
  <c r="E110" i="5" s="1"/>
  <c r="AJ928" i="4" a="1"/>
  <c r="AJ928" i="4" s="1"/>
  <c r="S110" i="5" s="1" a="1"/>
  <c r="S110" i="5" s="1"/>
  <c r="AG920" i="4" a="1"/>
  <c r="AG920" i="4" s="1"/>
  <c r="E102" i="5" s="1" a="1"/>
  <c r="E102" i="5" s="1"/>
  <c r="AJ920" i="4" a="1"/>
  <c r="AJ920" i="4" s="1"/>
  <c r="S102" i="5" s="1" a="1"/>
  <c r="S102" i="5" s="1"/>
  <c r="AF920" i="4" a="1"/>
  <c r="AF920" i="4" s="1"/>
  <c r="D102" i="5" s="1" a="1"/>
  <c r="D102" i="5" s="1"/>
  <c r="AJ912" i="4" a="1"/>
  <c r="AJ912" i="4" s="1"/>
  <c r="S94" i="5" s="1" a="1"/>
  <c r="S94" i="5" s="1"/>
  <c r="AF912" i="4" a="1"/>
  <c r="AF912" i="4" s="1"/>
  <c r="D94" i="5" s="1" a="1"/>
  <c r="D94" i="5" s="1"/>
  <c r="AG912" i="4" a="1"/>
  <c r="AG912" i="4" s="1"/>
  <c r="E94" i="5" s="1" a="1"/>
  <c r="E94" i="5" s="1"/>
  <c r="AF904" i="4" a="1"/>
  <c r="AF904" i="4" s="1"/>
  <c r="D86" i="5" s="1" a="1"/>
  <c r="D86" i="5" s="1"/>
  <c r="AG904" i="4" a="1"/>
  <c r="AG904" i="4" s="1"/>
  <c r="E86" i="5" s="1" a="1"/>
  <c r="E86" i="5" s="1"/>
  <c r="AJ904" i="4" a="1"/>
  <c r="AJ904" i="4" s="1"/>
  <c r="S86" i="5" s="1" a="1"/>
  <c r="S86" i="5" s="1"/>
  <c r="AJ896" i="4" a="1"/>
  <c r="AJ896" i="4" s="1"/>
  <c r="S78" i="5" s="1" a="1"/>
  <c r="S78" i="5" s="1"/>
  <c r="AF896" i="4" a="1"/>
  <c r="AF896" i="4" s="1"/>
  <c r="D78" i="5" s="1" a="1"/>
  <c r="D78" i="5" s="1"/>
  <c r="AG896" i="4" a="1"/>
  <c r="AG896" i="4" s="1"/>
  <c r="E78" i="5" s="1" a="1"/>
  <c r="E78" i="5" s="1"/>
  <c r="AG888" i="4" a="1"/>
  <c r="AG888" i="4" s="1"/>
  <c r="E70" i="5" s="1" a="1"/>
  <c r="E70" i="5" s="1"/>
  <c r="AF888" i="4" a="1"/>
  <c r="AF888" i="4" s="1"/>
  <c r="D70" i="5" s="1" a="1"/>
  <c r="D70" i="5" s="1"/>
  <c r="AJ888" i="4" a="1"/>
  <c r="AJ888" i="4" s="1"/>
  <c r="S70" i="5" s="1" a="1"/>
  <c r="S70" i="5" s="1"/>
  <c r="AG880" i="4" a="1"/>
  <c r="AG880" i="4" s="1"/>
  <c r="E62" i="5" s="1" a="1"/>
  <c r="E62" i="5" s="1"/>
  <c r="AF880" i="4" a="1"/>
  <c r="AF880" i="4" s="1"/>
  <c r="D62" i="5" s="1" a="1"/>
  <c r="D62" i="5" s="1"/>
  <c r="AJ880" i="4" a="1"/>
  <c r="AJ880" i="4" s="1"/>
  <c r="S62" i="5" s="1" a="1"/>
  <c r="S62" i="5" s="1"/>
  <c r="AG872" i="4" a="1"/>
  <c r="AG872" i="4" s="1"/>
  <c r="E54" i="5" s="1" a="1"/>
  <c r="E54" i="5" s="1"/>
  <c r="AJ872" i="4" a="1"/>
  <c r="AJ872" i="4" s="1"/>
  <c r="S54" i="5" s="1" a="1"/>
  <c r="S54" i="5" s="1"/>
  <c r="AF872" i="4" a="1"/>
  <c r="AF872" i="4" s="1"/>
  <c r="D54" i="5" s="1" a="1"/>
  <c r="D54" i="5" s="1"/>
  <c r="AJ864" i="4" a="1"/>
  <c r="AJ864" i="4" s="1"/>
  <c r="S46" i="5" s="1" a="1"/>
  <c r="S46" i="5" s="1"/>
  <c r="AG864" i="4" a="1"/>
  <c r="AG864" i="4" s="1"/>
  <c r="E46" i="5" s="1" a="1"/>
  <c r="E46" i="5" s="1"/>
  <c r="AF864" i="4" a="1"/>
  <c r="AF864" i="4" s="1"/>
  <c r="D46" i="5" s="1" a="1"/>
  <c r="D46" i="5" s="1"/>
  <c r="AJ856" i="4" a="1"/>
  <c r="AJ856" i="4" s="1"/>
  <c r="S38" i="5" s="1" a="1"/>
  <c r="S38" i="5" s="1"/>
  <c r="AF856" i="4" a="1"/>
  <c r="AF856" i="4" s="1"/>
  <c r="D38" i="5" s="1" a="1"/>
  <c r="D38" i="5" s="1"/>
  <c r="AG856" i="4" a="1"/>
  <c r="AG856" i="4" s="1"/>
  <c r="E38" i="5" s="1" a="1"/>
  <c r="E38" i="5" s="1"/>
  <c r="AJ848" i="4" a="1"/>
  <c r="AJ848" i="4" s="1"/>
  <c r="S30" i="5" s="1" a="1"/>
  <c r="S30" i="5" s="1"/>
  <c r="AF848" i="4" a="1"/>
  <c r="AF848" i="4" s="1"/>
  <c r="D30" i="5" s="1" a="1"/>
  <c r="D30" i="5" s="1"/>
  <c r="AG848" i="4" a="1"/>
  <c r="AG848" i="4" s="1"/>
  <c r="E30" i="5" s="1" a="1"/>
  <c r="E30" i="5" s="1"/>
  <c r="AF840" i="4" a="1"/>
  <c r="AF840" i="4" s="1"/>
  <c r="D22" i="5" s="1" a="1"/>
  <c r="D22" i="5" s="1"/>
  <c r="AJ840" i="4" a="1"/>
  <c r="AJ840" i="4" s="1"/>
  <c r="S22" i="5" s="1" a="1"/>
  <c r="S22" i="5" s="1"/>
  <c r="AG840" i="4" a="1"/>
  <c r="AG840" i="4" s="1"/>
  <c r="E22" i="5" s="1" a="1"/>
  <c r="E22" i="5" s="1"/>
  <c r="AF1010" i="4" a="1"/>
  <c r="AF1010" i="4" s="1"/>
  <c r="D192" i="5" s="1" a="1"/>
  <c r="D192" i="5" s="1"/>
  <c r="AJ957" i="4" a="1"/>
  <c r="AJ957" i="4" s="1"/>
  <c r="S139" i="5" s="1" a="1"/>
  <c r="S139" i="5" s="1"/>
  <c r="AF957" i="4" a="1"/>
  <c r="AF957" i="4" s="1"/>
  <c r="D139" i="5" s="1" a="1"/>
  <c r="D139" i="5" s="1"/>
  <c r="AG957" i="4" a="1"/>
  <c r="AG957" i="4" s="1"/>
  <c r="E139" i="5" s="1" a="1"/>
  <c r="E139" i="5" s="1"/>
  <c r="AG933" i="4" a="1"/>
  <c r="AG933" i="4" s="1"/>
  <c r="E115" i="5" s="1" a="1"/>
  <c r="E115" i="5" s="1"/>
  <c r="AF933" i="4" a="1"/>
  <c r="AF933" i="4" s="1"/>
  <c r="D115" i="5" s="1" a="1"/>
  <c r="D115" i="5" s="1"/>
  <c r="AJ933" i="4" a="1"/>
  <c r="AJ933" i="4" s="1"/>
  <c r="S115" i="5" s="1" a="1"/>
  <c r="S115" i="5" s="1"/>
  <c r="AG861" i="4" a="1"/>
  <c r="AG861" i="4" s="1"/>
  <c r="E43" i="5" s="1" a="1"/>
  <c r="E43" i="5" s="1"/>
  <c r="AJ861" i="4" a="1"/>
  <c r="AJ861" i="4" s="1"/>
  <c r="S43" i="5" s="1" a="1"/>
  <c r="S43" i="5" s="1"/>
  <c r="AF861" i="4" a="1"/>
  <c r="AF861" i="4" s="1"/>
  <c r="D43" i="5" s="1" a="1"/>
  <c r="D43" i="5" s="1"/>
  <c r="AJ979" i="4" a="1"/>
  <c r="AJ979" i="4" s="1"/>
  <c r="S161" i="5" s="1" a="1"/>
  <c r="S161" i="5" s="1"/>
  <c r="AF979" i="4" a="1"/>
  <c r="AF979" i="4" s="1"/>
  <c r="D161" i="5" s="1" a="1"/>
  <c r="D161" i="5" s="1"/>
  <c r="AG979" i="4" a="1"/>
  <c r="AG979" i="4" s="1"/>
  <c r="E161" i="5" s="1" a="1"/>
  <c r="E161" i="5" s="1"/>
  <c r="AF931" i="4" a="1"/>
  <c r="AF931" i="4" s="1"/>
  <c r="D113" i="5" s="1" a="1"/>
  <c r="D113" i="5" s="1"/>
  <c r="AG931" i="4" a="1"/>
  <c r="AG931" i="4" s="1"/>
  <c r="E113" i="5" s="1" a="1"/>
  <c r="E113" i="5" s="1"/>
  <c r="AJ931" i="4" a="1"/>
  <c r="AJ931" i="4" s="1"/>
  <c r="S113" i="5" s="1" a="1"/>
  <c r="S113" i="5" s="1"/>
  <c r="AG875" i="4" a="1"/>
  <c r="AG875" i="4" s="1"/>
  <c r="E57" i="5" s="1" a="1"/>
  <c r="E57" i="5" s="1"/>
  <c r="AF875" i="4" a="1"/>
  <c r="AF875" i="4" s="1"/>
  <c r="D57" i="5" s="1" a="1"/>
  <c r="D57" i="5" s="1"/>
  <c r="AJ875" i="4" a="1"/>
  <c r="AJ875" i="4" s="1"/>
  <c r="S57" i="5" s="1" a="1"/>
  <c r="S57" i="5" s="1"/>
  <c r="AF851" i="4" a="1"/>
  <c r="AF851" i="4" s="1"/>
  <c r="D33" i="5" s="1" a="1"/>
  <c r="D33" i="5" s="1"/>
  <c r="AG851" i="4" a="1"/>
  <c r="AG851" i="4" s="1"/>
  <c r="E33" i="5" s="1" a="1"/>
  <c r="E33" i="5" s="1"/>
  <c r="AJ851" i="4" a="1"/>
  <c r="AJ851" i="4" s="1"/>
  <c r="S33" i="5" s="1" a="1"/>
  <c r="S33" i="5" s="1"/>
  <c r="AF1024" i="4" a="1"/>
  <c r="AF1024" i="4" s="1"/>
  <c r="D206" i="5" s="1" a="1"/>
  <c r="D206" i="5" s="1"/>
  <c r="AG1024" i="4" a="1"/>
  <c r="AG1024" i="4" s="1"/>
  <c r="E206" i="5" s="1" a="1"/>
  <c r="E206" i="5" s="1"/>
  <c r="AJ1024" i="4" a="1"/>
  <c r="AJ1024" i="4" s="1"/>
  <c r="S206" i="5" s="1" a="1"/>
  <c r="S206" i="5" s="1"/>
  <c r="AJ984" i="4" a="1"/>
  <c r="AJ984" i="4" s="1"/>
  <c r="S166" i="5" s="1" a="1"/>
  <c r="S166" i="5" s="1"/>
  <c r="AF984" i="4" a="1"/>
  <c r="AF984" i="4" s="1"/>
  <c r="D166" i="5" s="1" a="1"/>
  <c r="D166" i="5" s="1"/>
  <c r="AG984" i="4" a="1"/>
  <c r="AG984" i="4" s="1"/>
  <c r="E166" i="5" s="1" a="1"/>
  <c r="E166" i="5" s="1"/>
  <c r="AG1031" i="4" a="1"/>
  <c r="AG1031" i="4" s="1"/>
  <c r="E213" i="5" s="1" a="1"/>
  <c r="E213" i="5" s="1"/>
  <c r="AF1031" i="4" a="1"/>
  <c r="AF1031" i="4" s="1"/>
  <c r="D213" i="5" s="1" a="1"/>
  <c r="D213" i="5" s="1"/>
  <c r="AJ1031" i="4" a="1"/>
  <c r="AJ1031" i="4" s="1"/>
  <c r="S213" i="5" s="1" a="1"/>
  <c r="S213" i="5" s="1"/>
  <c r="AG1023" i="4" a="1"/>
  <c r="AG1023" i="4" s="1"/>
  <c r="E205" i="5" s="1" a="1"/>
  <c r="E205" i="5" s="1"/>
  <c r="AF1023" i="4" a="1"/>
  <c r="AF1023" i="4" s="1"/>
  <c r="D205" i="5" s="1" a="1"/>
  <c r="D205" i="5" s="1"/>
  <c r="AJ1023" i="4" a="1"/>
  <c r="AJ1023" i="4" s="1"/>
  <c r="S205" i="5" s="1" a="1"/>
  <c r="S205" i="5" s="1"/>
  <c r="AG1015" i="4" a="1"/>
  <c r="AG1015" i="4" s="1"/>
  <c r="E197" i="5" s="1" a="1"/>
  <c r="E197" i="5" s="1"/>
  <c r="AF1015" i="4" a="1"/>
  <c r="AF1015" i="4" s="1"/>
  <c r="D197" i="5" s="1" a="1"/>
  <c r="D197" i="5" s="1"/>
  <c r="AJ1015" i="4" a="1"/>
  <c r="AJ1015" i="4" s="1"/>
  <c r="S197" i="5" s="1" a="1"/>
  <c r="S197" i="5" s="1"/>
  <c r="AG1007" i="4" a="1"/>
  <c r="AG1007" i="4" s="1"/>
  <c r="E189" i="5" s="1" a="1"/>
  <c r="E189" i="5" s="1"/>
  <c r="AF1007" i="4" a="1"/>
  <c r="AF1007" i="4" s="1"/>
  <c r="D189" i="5" s="1" a="1"/>
  <c r="D189" i="5" s="1"/>
  <c r="AJ1007" i="4" a="1"/>
  <c r="AJ1007" i="4" s="1"/>
  <c r="S189" i="5" s="1" a="1"/>
  <c r="S189" i="5" s="1"/>
  <c r="AG999" i="4" a="1"/>
  <c r="AG999" i="4" s="1"/>
  <c r="E181" i="5" s="1" a="1"/>
  <c r="E181" i="5" s="1"/>
  <c r="AF999" i="4" a="1"/>
  <c r="AF999" i="4" s="1"/>
  <c r="D181" i="5" s="1" a="1"/>
  <c r="D181" i="5" s="1"/>
  <c r="AJ999" i="4" a="1"/>
  <c r="AJ999" i="4" s="1"/>
  <c r="S181" i="5" s="1" a="1"/>
  <c r="S181" i="5" s="1"/>
  <c r="AG991" i="4" a="1"/>
  <c r="AG991" i="4" s="1"/>
  <c r="E173" i="5" s="1" a="1"/>
  <c r="E173" i="5" s="1"/>
  <c r="AF991" i="4" a="1"/>
  <c r="AF991" i="4" s="1"/>
  <c r="D173" i="5" s="1" a="1"/>
  <c r="D173" i="5" s="1"/>
  <c r="AJ991" i="4" a="1"/>
  <c r="AJ991" i="4" s="1"/>
  <c r="S173" i="5" s="1" a="1"/>
  <c r="S173" i="5" s="1"/>
  <c r="AJ983" i="4" a="1"/>
  <c r="AJ983" i="4" s="1"/>
  <c r="S165" i="5" s="1" a="1"/>
  <c r="S165" i="5" s="1"/>
  <c r="AF983" i="4" a="1"/>
  <c r="AF983" i="4" s="1"/>
  <c r="D165" i="5" s="1" a="1"/>
  <c r="D165" i="5" s="1"/>
  <c r="AG983" i="4" a="1"/>
  <c r="AG983" i="4" s="1"/>
  <c r="E165" i="5" s="1" a="1"/>
  <c r="E165" i="5" s="1"/>
  <c r="AF975" i="4" a="1"/>
  <c r="AF975" i="4" s="1"/>
  <c r="D157" i="5" s="1" a="1"/>
  <c r="D157" i="5" s="1"/>
  <c r="AJ975" i="4" a="1"/>
  <c r="AJ975" i="4" s="1"/>
  <c r="S157" i="5" s="1" a="1"/>
  <c r="S157" i="5" s="1"/>
  <c r="AG975" i="4" a="1"/>
  <c r="AG975" i="4" s="1"/>
  <c r="E157" i="5" s="1" a="1"/>
  <c r="E157" i="5" s="1"/>
  <c r="AJ967" i="4" a="1"/>
  <c r="AJ967" i="4" s="1"/>
  <c r="S149" i="5" s="1" a="1"/>
  <c r="S149" i="5" s="1"/>
  <c r="AF967" i="4" a="1"/>
  <c r="AF967" i="4" s="1"/>
  <c r="D149" i="5" s="1" a="1"/>
  <c r="D149" i="5" s="1"/>
  <c r="AG967" i="4" a="1"/>
  <c r="AG967" i="4" s="1"/>
  <c r="E149" i="5" s="1" a="1"/>
  <c r="E149" i="5" s="1"/>
  <c r="AJ959" i="4" a="1"/>
  <c r="AJ959" i="4" s="1"/>
  <c r="S141" i="5" s="1" a="1"/>
  <c r="S141" i="5" s="1"/>
  <c r="AG959" i="4" a="1"/>
  <c r="AG959" i="4" s="1"/>
  <c r="E141" i="5" s="1" a="1"/>
  <c r="E141" i="5" s="1"/>
  <c r="AF959" i="4" a="1"/>
  <c r="AF959" i="4" s="1"/>
  <c r="D141" i="5" s="1" a="1"/>
  <c r="D141" i="5" s="1"/>
  <c r="AJ951" i="4" a="1"/>
  <c r="AJ951" i="4" s="1"/>
  <c r="S133" i="5" s="1" a="1"/>
  <c r="S133" i="5" s="1"/>
  <c r="AF951" i="4" a="1"/>
  <c r="AF951" i="4" s="1"/>
  <c r="D133" i="5" s="1" a="1"/>
  <c r="D133" i="5" s="1"/>
  <c r="AG951" i="4" a="1"/>
  <c r="AG951" i="4" s="1"/>
  <c r="E133" i="5" s="1" a="1"/>
  <c r="E133" i="5" s="1"/>
  <c r="AG943" i="4" a="1"/>
  <c r="AG943" i="4" s="1"/>
  <c r="E125" i="5" s="1" a="1"/>
  <c r="E125" i="5" s="1"/>
  <c r="AF943" i="4" a="1"/>
  <c r="AF943" i="4" s="1"/>
  <c r="D125" i="5" s="1" a="1"/>
  <c r="D125" i="5" s="1"/>
  <c r="AJ943" i="4" a="1"/>
  <c r="AJ943" i="4" s="1"/>
  <c r="S125" i="5" s="1" a="1"/>
  <c r="S125" i="5" s="1"/>
  <c r="AF935" i="4" a="1"/>
  <c r="AF935" i="4" s="1"/>
  <c r="D117" i="5" s="1" a="1"/>
  <c r="D117" i="5" s="1"/>
  <c r="AG935" i="4" a="1"/>
  <c r="AG935" i="4" s="1"/>
  <c r="E117" i="5" s="1" a="1"/>
  <c r="E117" i="5" s="1"/>
  <c r="AJ935" i="4" a="1"/>
  <c r="AJ935" i="4" s="1"/>
  <c r="S117" i="5" s="1" a="1"/>
  <c r="S117" i="5" s="1"/>
  <c r="AJ927" i="4" a="1"/>
  <c r="AJ927" i="4" s="1"/>
  <c r="S109" i="5" s="1" a="1"/>
  <c r="S109" i="5" s="1"/>
  <c r="AF927" i="4" a="1"/>
  <c r="AF927" i="4" s="1"/>
  <c r="D109" i="5" s="1" a="1"/>
  <c r="D109" i="5" s="1"/>
  <c r="AG927" i="4" a="1"/>
  <c r="AG927" i="4" s="1"/>
  <c r="E109" i="5" s="1" a="1"/>
  <c r="E109" i="5" s="1"/>
  <c r="AF919" i="4" a="1"/>
  <c r="AF919" i="4" s="1"/>
  <c r="D101" i="5" s="1" a="1"/>
  <c r="D101" i="5" s="1"/>
  <c r="AG919" i="4" a="1"/>
  <c r="AG919" i="4" s="1"/>
  <c r="E101" i="5" s="1" a="1"/>
  <c r="E101" i="5" s="1"/>
  <c r="AJ919" i="4" a="1"/>
  <c r="AJ919" i="4" s="1"/>
  <c r="S101" i="5" s="1" a="1"/>
  <c r="S101" i="5" s="1"/>
  <c r="AJ911" i="4" a="1"/>
  <c r="AJ911" i="4" s="1"/>
  <c r="S93" i="5" s="1" a="1"/>
  <c r="S93" i="5" s="1"/>
  <c r="AF911" i="4" a="1"/>
  <c r="AF911" i="4" s="1"/>
  <c r="D93" i="5" s="1" a="1"/>
  <c r="D93" i="5" s="1"/>
  <c r="AG911" i="4" a="1"/>
  <c r="AG911" i="4" s="1"/>
  <c r="E93" i="5" s="1" a="1"/>
  <c r="E93" i="5" s="1"/>
  <c r="AJ903" i="4" a="1"/>
  <c r="AJ903" i="4" s="1"/>
  <c r="S85" i="5" s="1" a="1"/>
  <c r="S85" i="5" s="1"/>
  <c r="AG903" i="4" a="1"/>
  <c r="AG903" i="4" s="1"/>
  <c r="E85" i="5" s="1" a="1"/>
  <c r="E85" i="5" s="1"/>
  <c r="AF903" i="4" a="1"/>
  <c r="AF903" i="4" s="1"/>
  <c r="D85" i="5" s="1" a="1"/>
  <c r="D85" i="5" s="1"/>
  <c r="AJ895" i="4" a="1"/>
  <c r="AJ895" i="4" s="1"/>
  <c r="S77" i="5" s="1" a="1"/>
  <c r="S77" i="5" s="1"/>
  <c r="AF895" i="4" a="1"/>
  <c r="AF895" i="4" s="1"/>
  <c r="D77" i="5" s="1" a="1"/>
  <c r="D77" i="5" s="1"/>
  <c r="AG895" i="4" a="1"/>
  <c r="AG895" i="4" s="1"/>
  <c r="E77" i="5" s="1" a="1"/>
  <c r="E77" i="5" s="1"/>
  <c r="AJ887" i="4" a="1"/>
  <c r="AJ887" i="4" s="1"/>
  <c r="S69" i="5" s="1" a="1"/>
  <c r="S69" i="5" s="1"/>
  <c r="AF887" i="4" a="1"/>
  <c r="AF887" i="4" s="1"/>
  <c r="D69" i="5" s="1" a="1"/>
  <c r="D69" i="5" s="1"/>
  <c r="AG887" i="4" a="1"/>
  <c r="AG887" i="4" s="1"/>
  <c r="E69" i="5" s="1" a="1"/>
  <c r="E69" i="5" s="1"/>
  <c r="AJ879" i="4" a="1"/>
  <c r="AJ879" i="4" s="1"/>
  <c r="S61" i="5" s="1" a="1"/>
  <c r="S61" i="5" s="1"/>
  <c r="AF879" i="4" a="1"/>
  <c r="AF879" i="4" s="1"/>
  <c r="D61" i="5" s="1" a="1"/>
  <c r="D61" i="5" s="1"/>
  <c r="AG879" i="4" a="1"/>
  <c r="AG879" i="4" s="1"/>
  <c r="E61" i="5" s="1" a="1"/>
  <c r="E61" i="5" s="1"/>
  <c r="AJ871" i="4" a="1"/>
  <c r="AJ871" i="4" s="1"/>
  <c r="S53" i="5" s="1" a="1"/>
  <c r="S53" i="5" s="1"/>
  <c r="AF871" i="4" a="1"/>
  <c r="AF871" i="4" s="1"/>
  <c r="D53" i="5" s="1" a="1"/>
  <c r="D53" i="5" s="1"/>
  <c r="AG871" i="4" a="1"/>
  <c r="AG871" i="4" s="1"/>
  <c r="E53" i="5" s="1" a="1"/>
  <c r="E53" i="5" s="1"/>
  <c r="AJ863" i="4" a="1"/>
  <c r="AJ863" i="4" s="1"/>
  <c r="S45" i="5" s="1" a="1"/>
  <c r="S45" i="5" s="1"/>
  <c r="AG863" i="4" a="1"/>
  <c r="AG863" i="4" s="1"/>
  <c r="E45" i="5" s="1" a="1"/>
  <c r="E45" i="5" s="1"/>
  <c r="AF863" i="4" a="1"/>
  <c r="AF863" i="4" s="1"/>
  <c r="D45" i="5" s="1" a="1"/>
  <c r="D45" i="5" s="1"/>
  <c r="AJ855" i="4" a="1"/>
  <c r="AJ855" i="4" s="1"/>
  <c r="S37" i="5" s="1" a="1"/>
  <c r="S37" i="5" s="1"/>
  <c r="AF855" i="4" a="1"/>
  <c r="AF855" i="4" s="1"/>
  <c r="D37" i="5" s="1" a="1"/>
  <c r="D37" i="5" s="1"/>
  <c r="AG855" i="4" a="1"/>
  <c r="AG855" i="4" s="1"/>
  <c r="E37" i="5" s="1" a="1"/>
  <c r="E37" i="5" s="1"/>
  <c r="AJ847" i="4" a="1"/>
  <c r="AJ847" i="4" s="1"/>
  <c r="S29" i="5" s="1" a="1"/>
  <c r="S29" i="5" s="1"/>
  <c r="AF847" i="4" a="1"/>
  <c r="AF847" i="4" s="1"/>
  <c r="D29" i="5" s="1" a="1"/>
  <c r="D29" i="5" s="1"/>
  <c r="AG847" i="4" a="1"/>
  <c r="AG847" i="4" s="1"/>
  <c r="E29" i="5" s="1" a="1"/>
  <c r="E29" i="5" s="1"/>
  <c r="AG839" i="4" a="1"/>
  <c r="AG839" i="4" s="1"/>
  <c r="E21" i="5" s="1" a="1"/>
  <c r="E21" i="5" s="1"/>
  <c r="AJ839" i="4" a="1"/>
  <c r="AJ839" i="4" s="1"/>
  <c r="S21" i="5" s="1" a="1"/>
  <c r="S21" i="5" s="1"/>
  <c r="AF839" i="4" a="1"/>
  <c r="AF839" i="4" s="1"/>
  <c r="D21" i="5" s="1" a="1"/>
  <c r="D21" i="5" s="1"/>
  <c r="AG981" i="4" a="1"/>
  <c r="AG981" i="4" s="1"/>
  <c r="E163" i="5" s="1" a="1"/>
  <c r="E163" i="5" s="1"/>
  <c r="AJ981" i="4" a="1"/>
  <c r="AJ981" i="4" s="1"/>
  <c r="S163" i="5" s="1" a="1"/>
  <c r="S163" i="5" s="1"/>
  <c r="AF981" i="4" a="1"/>
  <c r="AF981" i="4" s="1"/>
  <c r="D163" i="5" s="1" a="1"/>
  <c r="D163" i="5" s="1"/>
  <c r="AG965" i="4" a="1"/>
  <c r="AG965" i="4" s="1"/>
  <c r="E147" i="5" s="1" a="1"/>
  <c r="E147" i="5" s="1"/>
  <c r="AJ965" i="4" a="1"/>
  <c r="AJ965" i="4" s="1"/>
  <c r="S147" i="5" s="1" a="1"/>
  <c r="S147" i="5" s="1"/>
  <c r="AF965" i="4" a="1"/>
  <c r="AF965" i="4" s="1"/>
  <c r="D147" i="5" s="1" a="1"/>
  <c r="D147" i="5" s="1"/>
  <c r="AF893" i="4" a="1"/>
  <c r="AF893" i="4" s="1"/>
  <c r="D75" i="5" s="1" a="1"/>
  <c r="D75" i="5" s="1"/>
  <c r="AG893" i="4" a="1"/>
  <c r="AG893" i="4" s="1"/>
  <c r="E75" i="5" s="1" a="1"/>
  <c r="E75" i="5" s="1"/>
  <c r="AJ893" i="4" a="1"/>
  <c r="AJ893" i="4" s="1"/>
  <c r="S75" i="5" s="1" a="1"/>
  <c r="S75" i="5" s="1"/>
  <c r="AJ1003" i="4" a="1"/>
  <c r="AJ1003" i="4" s="1"/>
  <c r="S185" i="5" s="1" a="1"/>
  <c r="S185" i="5" s="1"/>
  <c r="AF1003" i="4" a="1"/>
  <c r="AF1003" i="4" s="1"/>
  <c r="D185" i="5" s="1" a="1"/>
  <c r="D185" i="5" s="1"/>
  <c r="AG1003" i="4" a="1"/>
  <c r="AG1003" i="4" s="1"/>
  <c r="E185" i="5" s="1" a="1"/>
  <c r="E185" i="5" s="1"/>
  <c r="AG955" i="4" a="1"/>
  <c r="AG955" i="4" s="1"/>
  <c r="E137" i="5" s="1" a="1"/>
  <c r="E137" i="5" s="1"/>
  <c r="AF955" i="4" a="1"/>
  <c r="AF955" i="4" s="1"/>
  <c r="D137" i="5" s="1" a="1"/>
  <c r="D137" i="5" s="1"/>
  <c r="AJ955" i="4" a="1"/>
  <c r="AJ955" i="4" s="1"/>
  <c r="S137" i="5" s="1" a="1"/>
  <c r="S137" i="5" s="1"/>
  <c r="AG907" i="4" a="1"/>
  <c r="AG907" i="4" s="1"/>
  <c r="E89" i="5" s="1" a="1"/>
  <c r="E89" i="5" s="1"/>
  <c r="AF907" i="4" a="1"/>
  <c r="AF907" i="4" s="1"/>
  <c r="D89" i="5" s="1" a="1"/>
  <c r="D89" i="5" s="1"/>
  <c r="AJ907" i="4" a="1"/>
  <c r="AJ907" i="4" s="1"/>
  <c r="S89" i="5" s="1" a="1"/>
  <c r="S89" i="5" s="1"/>
  <c r="AF1016" i="4" a="1"/>
  <c r="AF1016" i="4" s="1"/>
  <c r="D198" i="5" s="1" a="1"/>
  <c r="D198" i="5" s="1"/>
  <c r="AJ1016" i="4" a="1"/>
  <c r="AJ1016" i="4" s="1"/>
  <c r="S198" i="5" s="1" a="1"/>
  <c r="S198" i="5" s="1"/>
  <c r="AG1016" i="4" a="1"/>
  <c r="AG1016" i="4" s="1"/>
  <c r="E198" i="5" s="1" a="1"/>
  <c r="E198" i="5" s="1"/>
  <c r="AF1008" i="4" a="1"/>
  <c r="AF1008" i="4" s="1"/>
  <c r="D190" i="5" s="1" a="1"/>
  <c r="D190" i="5" s="1"/>
  <c r="AG1008" i="4" a="1"/>
  <c r="AG1008" i="4" s="1"/>
  <c r="E190" i="5" s="1" a="1"/>
  <c r="E190" i="5" s="1"/>
  <c r="AJ1008" i="4" a="1"/>
  <c r="AJ1008" i="4" s="1"/>
  <c r="S190" i="5" s="1" a="1"/>
  <c r="S190" i="5" s="1"/>
  <c r="AF992" i="4" a="1"/>
  <c r="AF992" i="4" s="1"/>
  <c r="D174" i="5" s="1" a="1"/>
  <c r="D174" i="5" s="1"/>
  <c r="AJ992" i="4" a="1"/>
  <c r="AJ992" i="4" s="1"/>
  <c r="S174" i="5" s="1" a="1"/>
  <c r="S174" i="5" s="1"/>
  <c r="AG992" i="4" a="1"/>
  <c r="AG992" i="4" s="1"/>
  <c r="E174" i="5" s="1" a="1"/>
  <c r="E174" i="5" s="1"/>
  <c r="AF1030" i="4" a="1"/>
  <c r="AF1030" i="4" s="1"/>
  <c r="D212" i="5" s="1" a="1"/>
  <c r="D212" i="5" s="1"/>
  <c r="AJ1030" i="4" a="1"/>
  <c r="AJ1030" i="4" s="1"/>
  <c r="S212" i="5" s="1" a="1"/>
  <c r="S212" i="5" s="1"/>
  <c r="AG1030" i="4" a="1"/>
  <c r="AG1030" i="4" s="1"/>
  <c r="E212" i="5" s="1" a="1"/>
  <c r="E212" i="5" s="1"/>
  <c r="AF1022" i="4" a="1"/>
  <c r="AF1022" i="4" s="1"/>
  <c r="D204" i="5" s="1" a="1"/>
  <c r="D204" i="5" s="1"/>
  <c r="AG1022" i="4" a="1"/>
  <c r="AG1022" i="4" s="1"/>
  <c r="E204" i="5" s="1" a="1"/>
  <c r="E204" i="5" s="1"/>
  <c r="AJ1022" i="4" a="1"/>
  <c r="AJ1022" i="4" s="1"/>
  <c r="S204" i="5" s="1" a="1"/>
  <c r="S204" i="5" s="1"/>
  <c r="AF1014" i="4" a="1"/>
  <c r="AF1014" i="4" s="1"/>
  <c r="D196" i="5" s="1" a="1"/>
  <c r="D196" i="5" s="1"/>
  <c r="AG1014" i="4" a="1"/>
  <c r="AG1014" i="4" s="1"/>
  <c r="E196" i="5" s="1" a="1"/>
  <c r="E196" i="5" s="1"/>
  <c r="AJ1014" i="4" a="1"/>
  <c r="AJ1014" i="4" s="1"/>
  <c r="S196" i="5" s="1" a="1"/>
  <c r="S196" i="5" s="1"/>
  <c r="AF1006" i="4" a="1"/>
  <c r="AF1006" i="4" s="1"/>
  <c r="D188" i="5" s="1" a="1"/>
  <c r="D188" i="5" s="1"/>
  <c r="AG1006" i="4" a="1"/>
  <c r="AG1006" i="4" s="1"/>
  <c r="E188" i="5" s="1" a="1"/>
  <c r="E188" i="5" s="1"/>
  <c r="AJ1006" i="4" a="1"/>
  <c r="AJ1006" i="4" s="1"/>
  <c r="S188" i="5" s="1" a="1"/>
  <c r="S188" i="5" s="1"/>
  <c r="AG998" i="4" a="1"/>
  <c r="AG998" i="4" s="1"/>
  <c r="E180" i="5" s="1" a="1"/>
  <c r="E180" i="5" s="1"/>
  <c r="AJ998" i="4" a="1"/>
  <c r="AJ998" i="4" s="1"/>
  <c r="S180" i="5" s="1" a="1"/>
  <c r="S180" i="5" s="1"/>
  <c r="AF998" i="4" a="1"/>
  <c r="AF998" i="4" s="1"/>
  <c r="D180" i="5" s="1" a="1"/>
  <c r="D180" i="5" s="1"/>
  <c r="AG990" i="4" a="1"/>
  <c r="AG990" i="4" s="1"/>
  <c r="E172" i="5" s="1" a="1"/>
  <c r="E172" i="5" s="1"/>
  <c r="AF990" i="4" a="1"/>
  <c r="AF990" i="4" s="1"/>
  <c r="D172" i="5" s="1" a="1"/>
  <c r="D172" i="5" s="1"/>
  <c r="AJ990" i="4" a="1"/>
  <c r="AJ990" i="4" s="1"/>
  <c r="S172" i="5" s="1" a="1"/>
  <c r="S172" i="5" s="1"/>
  <c r="AG982" i="4" a="1"/>
  <c r="AG982" i="4" s="1"/>
  <c r="E164" i="5" s="1" a="1"/>
  <c r="E164" i="5" s="1"/>
  <c r="AJ982" i="4" a="1"/>
  <c r="AJ982" i="4" s="1"/>
  <c r="S164" i="5" s="1" a="1"/>
  <c r="S164" i="5" s="1"/>
  <c r="AF982" i="4" a="1"/>
  <c r="AF982" i="4" s="1"/>
  <c r="D164" i="5" s="1" a="1"/>
  <c r="D164" i="5" s="1"/>
  <c r="AG974" i="4" a="1"/>
  <c r="AG974" i="4" s="1"/>
  <c r="E156" i="5" s="1" a="1"/>
  <c r="E156" i="5" s="1"/>
  <c r="AF974" i="4" a="1"/>
  <c r="AF974" i="4" s="1"/>
  <c r="D156" i="5" s="1" a="1"/>
  <c r="D156" i="5" s="1"/>
  <c r="AJ974" i="4" a="1"/>
  <c r="AJ974" i="4" s="1"/>
  <c r="S156" i="5" s="1" a="1"/>
  <c r="S156" i="5" s="1"/>
  <c r="AF966" i="4" a="1"/>
  <c r="AF966" i="4" s="1"/>
  <c r="D148" i="5" s="1" a="1"/>
  <c r="D148" i="5" s="1"/>
  <c r="AJ966" i="4" a="1"/>
  <c r="AJ966" i="4" s="1"/>
  <c r="S148" i="5" s="1" a="1"/>
  <c r="S148" i="5" s="1"/>
  <c r="AG966" i="4" a="1"/>
  <c r="AG966" i="4" s="1"/>
  <c r="E148" i="5" s="1" a="1"/>
  <c r="E148" i="5" s="1"/>
  <c r="AJ958" i="4" a="1"/>
  <c r="AJ958" i="4" s="1"/>
  <c r="S140" i="5" s="1" a="1"/>
  <c r="S140" i="5" s="1"/>
  <c r="AF958" i="4" a="1"/>
  <c r="AF958" i="4" s="1"/>
  <c r="D140" i="5" s="1" a="1"/>
  <c r="D140" i="5" s="1"/>
  <c r="AG958" i="4" a="1"/>
  <c r="AG958" i="4" s="1"/>
  <c r="E140" i="5" s="1" a="1"/>
  <c r="E140" i="5" s="1"/>
  <c r="AF950" i="4" a="1"/>
  <c r="AF950" i="4" s="1"/>
  <c r="D132" i="5" s="1" a="1"/>
  <c r="D132" i="5" s="1"/>
  <c r="AJ950" i="4" a="1"/>
  <c r="AJ950" i="4" s="1"/>
  <c r="S132" i="5" s="1" a="1"/>
  <c r="S132" i="5" s="1"/>
  <c r="AG950" i="4" a="1"/>
  <c r="AG950" i="4" s="1"/>
  <c r="E132" i="5" s="1" a="1"/>
  <c r="E132" i="5" s="1"/>
  <c r="AG942" i="4" a="1"/>
  <c r="AG942" i="4" s="1"/>
  <c r="E124" i="5" s="1" a="1"/>
  <c r="E124" i="5" s="1"/>
  <c r="AF942" i="4" a="1"/>
  <c r="AF942" i="4" s="1"/>
  <c r="D124" i="5" s="1" a="1"/>
  <c r="D124" i="5" s="1"/>
  <c r="AJ942" i="4" a="1"/>
  <c r="AJ942" i="4" s="1"/>
  <c r="S124" i="5" s="1" a="1"/>
  <c r="S124" i="5" s="1"/>
  <c r="AG934" i="4" a="1"/>
  <c r="AG934" i="4" s="1"/>
  <c r="E116" i="5" s="1" a="1"/>
  <c r="E116" i="5" s="1"/>
  <c r="AJ934" i="4" a="1"/>
  <c r="AJ934" i="4" s="1"/>
  <c r="S116" i="5" s="1" a="1"/>
  <c r="S116" i="5" s="1"/>
  <c r="AF934" i="4" a="1"/>
  <c r="AF934" i="4" s="1"/>
  <c r="D116" i="5" s="1" a="1"/>
  <c r="D116" i="5" s="1"/>
  <c r="AJ926" i="4" a="1"/>
  <c r="AJ926" i="4" s="1"/>
  <c r="S108" i="5" s="1" a="1"/>
  <c r="S108" i="5" s="1"/>
  <c r="AF926" i="4" a="1"/>
  <c r="AF926" i="4" s="1"/>
  <c r="D108" i="5" s="1" a="1"/>
  <c r="D108" i="5" s="1"/>
  <c r="AG926" i="4" a="1"/>
  <c r="AG926" i="4" s="1"/>
  <c r="E108" i="5" s="1" a="1"/>
  <c r="E108" i="5" s="1"/>
  <c r="AF918" i="4" a="1"/>
  <c r="AF918" i="4" s="1"/>
  <c r="D100" i="5" s="1" a="1"/>
  <c r="D100" i="5" s="1"/>
  <c r="AG918" i="4" a="1"/>
  <c r="AG918" i="4" s="1"/>
  <c r="E100" i="5" s="1" a="1"/>
  <c r="E100" i="5" s="1"/>
  <c r="AJ918" i="4" a="1"/>
  <c r="AJ918" i="4" s="1"/>
  <c r="S100" i="5" s="1" a="1"/>
  <c r="S100" i="5" s="1"/>
  <c r="AJ910" i="4" a="1"/>
  <c r="AJ910" i="4" s="1"/>
  <c r="S92" i="5" s="1" a="1"/>
  <c r="S92" i="5" s="1"/>
  <c r="AF910" i="4" a="1"/>
  <c r="AF910" i="4" s="1"/>
  <c r="D92" i="5" s="1" a="1"/>
  <c r="D92" i="5" s="1"/>
  <c r="AG910" i="4" a="1"/>
  <c r="AG910" i="4" s="1"/>
  <c r="E92" i="5" s="1" a="1"/>
  <c r="E92" i="5" s="1"/>
  <c r="AJ902" i="4" a="1"/>
  <c r="AJ902" i="4" s="1"/>
  <c r="S84" i="5" s="1" a="1"/>
  <c r="S84" i="5" s="1"/>
  <c r="AF902" i="4" a="1"/>
  <c r="AF902" i="4" s="1"/>
  <c r="D84" i="5" s="1" a="1"/>
  <c r="D84" i="5" s="1"/>
  <c r="AG902" i="4" a="1"/>
  <c r="AG902" i="4" s="1"/>
  <c r="E84" i="5" s="1" a="1"/>
  <c r="E84" i="5" s="1"/>
  <c r="AJ894" i="4" a="1"/>
  <c r="AJ894" i="4" s="1"/>
  <c r="S76" i="5" s="1" a="1"/>
  <c r="S76" i="5" s="1"/>
  <c r="AG894" i="4" a="1"/>
  <c r="AG894" i="4" s="1"/>
  <c r="E76" i="5" s="1" a="1"/>
  <c r="E76" i="5" s="1"/>
  <c r="AF894" i="4" a="1"/>
  <c r="AF894" i="4" s="1"/>
  <c r="D76" i="5" s="1" a="1"/>
  <c r="D76" i="5" s="1"/>
  <c r="AJ886" i="4" a="1"/>
  <c r="AJ886" i="4" s="1"/>
  <c r="S68" i="5" s="1" a="1"/>
  <c r="S68" i="5" s="1"/>
  <c r="AF886" i="4" a="1"/>
  <c r="AF886" i="4" s="1"/>
  <c r="D68" i="5" s="1" a="1"/>
  <c r="D68" i="5" s="1"/>
  <c r="AG886" i="4" a="1"/>
  <c r="AG886" i="4" s="1"/>
  <c r="E68" i="5" s="1" a="1"/>
  <c r="E68" i="5" s="1"/>
  <c r="AJ878" i="4" a="1"/>
  <c r="AJ878" i="4" s="1"/>
  <c r="S60" i="5" s="1" a="1"/>
  <c r="S60" i="5" s="1"/>
  <c r="AG878" i="4" a="1"/>
  <c r="AG878" i="4" s="1"/>
  <c r="E60" i="5" s="1" a="1"/>
  <c r="E60" i="5" s="1"/>
  <c r="AF878" i="4" a="1"/>
  <c r="AF878" i="4" s="1"/>
  <c r="D60" i="5" s="1" a="1"/>
  <c r="D60" i="5" s="1"/>
  <c r="AJ870" i="4" a="1"/>
  <c r="AJ870" i="4" s="1"/>
  <c r="S52" i="5" s="1" a="1"/>
  <c r="S52" i="5" s="1"/>
  <c r="AF870" i="4" a="1"/>
  <c r="AF870" i="4" s="1"/>
  <c r="D52" i="5" s="1" a="1"/>
  <c r="D52" i="5" s="1"/>
  <c r="AG870" i="4" a="1"/>
  <c r="AG870" i="4" s="1"/>
  <c r="E52" i="5" s="1" a="1"/>
  <c r="E52" i="5" s="1"/>
  <c r="AJ862" i="4" a="1"/>
  <c r="AJ862" i="4" s="1"/>
  <c r="S44" i="5" s="1" a="1"/>
  <c r="S44" i="5" s="1"/>
  <c r="AF862" i="4" a="1"/>
  <c r="AF862" i="4" s="1"/>
  <c r="D44" i="5" s="1" a="1"/>
  <c r="D44" i="5" s="1"/>
  <c r="AG862" i="4" a="1"/>
  <c r="AG862" i="4" s="1"/>
  <c r="E44" i="5" s="1" a="1"/>
  <c r="E44" i="5" s="1"/>
  <c r="AG854" i="4" a="1"/>
  <c r="AG854" i="4" s="1"/>
  <c r="E36" i="5" s="1" a="1"/>
  <c r="E36" i="5" s="1"/>
  <c r="AF854" i="4" a="1"/>
  <c r="AF854" i="4" s="1"/>
  <c r="D36" i="5" s="1" a="1"/>
  <c r="D36" i="5" s="1"/>
  <c r="AJ854" i="4" a="1"/>
  <c r="AJ854" i="4" s="1"/>
  <c r="S36" i="5" s="1" a="1"/>
  <c r="S36" i="5" s="1"/>
  <c r="AG846" i="4" a="1"/>
  <c r="AG846" i="4" s="1"/>
  <c r="E28" i="5" s="1" a="1"/>
  <c r="E28" i="5" s="1"/>
  <c r="AF846" i="4" a="1"/>
  <c r="AF846" i="4" s="1"/>
  <c r="D28" i="5" s="1" a="1"/>
  <c r="D28" i="5" s="1"/>
  <c r="AJ846" i="4" a="1"/>
  <c r="AJ846" i="4" s="1"/>
  <c r="S28" i="5" s="1" a="1"/>
  <c r="S28" i="5" s="1"/>
  <c r="AF838" i="4" a="1"/>
  <c r="AF838" i="4" s="1"/>
  <c r="D20" i="5" s="1" a="1"/>
  <c r="D20" i="5" s="1"/>
  <c r="AG838" i="4" a="1"/>
  <c r="AG838" i="4" s="1"/>
  <c r="E20" i="5" s="1" a="1"/>
  <c r="E20" i="5" s="1"/>
  <c r="AJ838" i="4" a="1"/>
  <c r="AJ838" i="4" s="1"/>
  <c r="S20" i="5" s="1" a="1"/>
  <c r="S20" i="5" s="1"/>
  <c r="E800" i="4" a="1"/>
  <c r="E800" i="4" s="1"/>
  <c r="E197" i="4" a="1"/>
  <c r="E197" i="4" s="1"/>
  <c r="F201" i="4" a="1"/>
  <c r="F201" i="4" s="1"/>
  <c r="O201" i="4" s="1"/>
  <c r="M174" i="4" a="1"/>
  <c r="M174" i="4" s="1"/>
  <c r="I194" i="4" a="1"/>
  <c r="I194" i="4" s="1"/>
  <c r="R194" i="4" s="1"/>
  <c r="J213" i="4" a="1"/>
  <c r="J213" i="4" s="1"/>
  <c r="S213" i="4" s="1"/>
  <c r="F204" i="4" a="1"/>
  <c r="F204" i="4" s="1"/>
  <c r="O204" i="4" s="1"/>
  <c r="I16" i="4" a="1"/>
  <c r="I16" i="4" s="1"/>
  <c r="R16" i="4" s="1"/>
  <c r="J200" i="4" a="1"/>
  <c r="J200" i="4" s="1"/>
  <c r="S200" i="4" s="1"/>
  <c r="I184" i="4" a="1"/>
  <c r="I184" i="4" s="1"/>
  <c r="R184" i="4" s="1"/>
  <c r="F205" i="4" a="1"/>
  <c r="F205" i="4" s="1"/>
  <c r="O205" i="4" s="1"/>
  <c r="F212" i="4" a="1"/>
  <c r="F212" i="4" s="1"/>
  <c r="O212" i="4" s="1"/>
  <c r="F396" i="4" a="1"/>
  <c r="F396" i="4" s="1"/>
  <c r="G153" i="4" a="1"/>
  <c r="G153" i="4" s="1"/>
  <c r="P153" i="4" s="1"/>
  <c r="G174" i="4" a="1"/>
  <c r="G174" i="4" s="1"/>
  <c r="P174" i="4" s="1"/>
  <c r="E382" i="4" a="1"/>
  <c r="E382" i="4" s="1"/>
  <c r="F382" i="4" a="1"/>
  <c r="F382" i="4" s="1"/>
  <c r="I196" i="4" a="1"/>
  <c r="I196" i="4" s="1"/>
  <c r="R196" i="4" s="1"/>
  <c r="I191" i="4" a="1"/>
  <c r="I191" i="4" s="1"/>
  <c r="R191" i="4" s="1"/>
  <c r="E396" i="4" a="1"/>
  <c r="E396" i="4" s="1"/>
  <c r="E199" i="4" a="1"/>
  <c r="E199" i="4" s="1"/>
  <c r="E315" i="4" a="1"/>
  <c r="E315" i="4" s="1"/>
  <c r="E275" i="4" a="1"/>
  <c r="E275" i="4" s="1"/>
  <c r="F275" i="4" a="1"/>
  <c r="F275" i="4" s="1"/>
  <c r="E377" i="4" a="1"/>
  <c r="E377" i="4" s="1"/>
  <c r="F377" i="4" a="1"/>
  <c r="F377" i="4" s="1"/>
  <c r="M207" i="4" a="1"/>
  <c r="M207" i="4" s="1"/>
  <c r="L210" i="4" a="1"/>
  <c r="L210" i="4" s="1"/>
  <c r="U210" i="4" s="1"/>
  <c r="J16" i="4" a="1"/>
  <c r="J16" i="4" s="1"/>
  <c r="S16" i="4" s="1"/>
  <c r="J211" i="4" a="1"/>
  <c r="J211" i="4" s="1"/>
  <c r="S211" i="4" s="1"/>
  <c r="K211" i="4" a="1"/>
  <c r="K211" i="4" s="1"/>
  <c r="T211" i="4" s="1"/>
  <c r="E211" i="4" a="1"/>
  <c r="E211" i="4" s="1"/>
  <c r="L211" i="4" a="1"/>
  <c r="L211" i="4" s="1"/>
  <c r="U211" i="4" s="1"/>
  <c r="F211" i="4" a="1"/>
  <c r="F211" i="4" s="1"/>
  <c r="O211" i="4" s="1"/>
  <c r="G211" i="4" a="1"/>
  <c r="G211" i="4" s="1"/>
  <c r="P211" i="4" s="1"/>
  <c r="M211" i="4" a="1"/>
  <c r="M211" i="4" s="1"/>
  <c r="H211" i="4" a="1"/>
  <c r="H211" i="4" s="1"/>
  <c r="Q211" i="4" s="1"/>
  <c r="I211" i="4" a="1"/>
  <c r="I211" i="4" s="1"/>
  <c r="R211" i="4" s="1"/>
  <c r="K203" i="4" a="1"/>
  <c r="K203" i="4" s="1"/>
  <c r="T203" i="4" s="1"/>
  <c r="G203" i="4" a="1"/>
  <c r="G203" i="4" s="1"/>
  <c r="P203" i="4" s="1"/>
  <c r="L203" i="4" a="1"/>
  <c r="L203" i="4" s="1"/>
  <c r="U203" i="4" s="1"/>
  <c r="H203" i="4" a="1"/>
  <c r="H203" i="4" s="1"/>
  <c r="Q203" i="4" s="1"/>
  <c r="M203" i="4" a="1"/>
  <c r="M203" i="4" s="1"/>
  <c r="I203" i="4" a="1"/>
  <c r="I203" i="4" s="1"/>
  <c r="R203" i="4" s="1"/>
  <c r="E203" i="4" a="1"/>
  <c r="E203" i="4" s="1"/>
  <c r="J203" i="4" a="1"/>
  <c r="J203" i="4" s="1"/>
  <c r="S203" i="4" s="1"/>
  <c r="F203" i="4" a="1"/>
  <c r="F203" i="4" s="1"/>
  <c r="O203" i="4" s="1"/>
  <c r="J187" i="4" a="1"/>
  <c r="J187" i="4" s="1"/>
  <c r="S187" i="4" s="1"/>
  <c r="K187" i="4" a="1"/>
  <c r="K187" i="4" s="1"/>
  <c r="T187" i="4" s="1"/>
  <c r="F187" i="4" a="1"/>
  <c r="F187" i="4" s="1"/>
  <c r="O187" i="4" s="1"/>
  <c r="L187" i="4" a="1"/>
  <c r="L187" i="4" s="1"/>
  <c r="U187" i="4" s="1"/>
  <c r="G187" i="4" a="1"/>
  <c r="G187" i="4" s="1"/>
  <c r="P187" i="4" s="1"/>
  <c r="E187" i="4" a="1"/>
  <c r="E187" i="4" s="1"/>
  <c r="H187" i="4" a="1"/>
  <c r="H187" i="4" s="1"/>
  <c r="Q187" i="4" s="1"/>
  <c r="I187" i="4" a="1"/>
  <c r="I187" i="4" s="1"/>
  <c r="R187" i="4" s="1"/>
  <c r="M187" i="4" a="1"/>
  <c r="M187" i="4" s="1"/>
  <c r="F179" i="4" a="1"/>
  <c r="F179" i="4" s="1"/>
  <c r="O179" i="4" s="1"/>
  <c r="K179" i="4" a="1"/>
  <c r="K179" i="4" s="1"/>
  <c r="T179" i="4" s="1"/>
  <c r="G179" i="4" a="1"/>
  <c r="G179" i="4" s="1"/>
  <c r="P179" i="4" s="1"/>
  <c r="L179" i="4" a="1"/>
  <c r="L179" i="4" s="1"/>
  <c r="U179" i="4" s="1"/>
  <c r="M179" i="4" a="1"/>
  <c r="M179" i="4" s="1"/>
  <c r="H179" i="4" a="1"/>
  <c r="H179" i="4" s="1"/>
  <c r="Q179" i="4" s="1"/>
  <c r="E179" i="4" a="1"/>
  <c r="E179" i="4" s="1"/>
  <c r="I179" i="4" a="1"/>
  <c r="I179" i="4" s="1"/>
  <c r="R179" i="4" s="1"/>
  <c r="J179" i="4" a="1"/>
  <c r="J179" i="4" s="1"/>
  <c r="S179" i="4" s="1"/>
  <c r="J171" i="4" a="1"/>
  <c r="J171" i="4" s="1"/>
  <c r="S171" i="4" s="1"/>
  <c r="E171" i="4" a="1"/>
  <c r="E171" i="4" s="1"/>
  <c r="F171" i="4" a="1"/>
  <c r="F171" i="4" s="1"/>
  <c r="O171" i="4" s="1"/>
  <c r="K171" i="4" a="1"/>
  <c r="K171" i="4" s="1"/>
  <c r="T171" i="4" s="1"/>
  <c r="G171" i="4" a="1"/>
  <c r="G171" i="4" s="1"/>
  <c r="P171" i="4" s="1"/>
  <c r="L171" i="4" a="1"/>
  <c r="L171" i="4" s="1"/>
  <c r="U171" i="4" s="1"/>
  <c r="M171" i="4" a="1"/>
  <c r="M171" i="4" s="1"/>
  <c r="H171" i="4" a="1"/>
  <c r="H171" i="4" s="1"/>
  <c r="Q171" i="4" s="1"/>
  <c r="I171" i="4" a="1"/>
  <c r="I171" i="4" s="1"/>
  <c r="R171" i="4" s="1"/>
  <c r="H163" i="4" a="1"/>
  <c r="H163" i="4" s="1"/>
  <c r="Q163" i="4" s="1"/>
  <c r="I163" i="4" a="1"/>
  <c r="I163" i="4" s="1"/>
  <c r="R163" i="4" s="1"/>
  <c r="J163" i="4" a="1"/>
  <c r="J163" i="4" s="1"/>
  <c r="S163" i="4" s="1"/>
  <c r="E163" i="4" a="1"/>
  <c r="E163" i="4" s="1"/>
  <c r="K163" i="4" a="1"/>
  <c r="K163" i="4" s="1"/>
  <c r="T163" i="4" s="1"/>
  <c r="F163" i="4" a="1"/>
  <c r="F163" i="4" s="1"/>
  <c r="O163" i="4" s="1"/>
  <c r="L163" i="4" a="1"/>
  <c r="L163" i="4" s="1"/>
  <c r="U163" i="4" s="1"/>
  <c r="G163" i="4" a="1"/>
  <c r="G163" i="4" s="1"/>
  <c r="P163" i="4" s="1"/>
  <c r="M163" i="4" a="1"/>
  <c r="M163" i="4" s="1"/>
  <c r="H155" i="4" a="1"/>
  <c r="H155" i="4" s="1"/>
  <c r="Q155" i="4" s="1"/>
  <c r="I155" i="4" a="1"/>
  <c r="I155" i="4" s="1"/>
  <c r="R155" i="4" s="1"/>
  <c r="J155" i="4" a="1"/>
  <c r="J155" i="4" s="1"/>
  <c r="S155" i="4" s="1"/>
  <c r="K155" i="4" a="1"/>
  <c r="K155" i="4" s="1"/>
  <c r="T155" i="4" s="1"/>
  <c r="E155" i="4" a="1"/>
  <c r="E155" i="4" s="1"/>
  <c r="L155" i="4" a="1"/>
  <c r="L155" i="4" s="1"/>
  <c r="U155" i="4" s="1"/>
  <c r="F155" i="4" a="1"/>
  <c r="F155" i="4" s="1"/>
  <c r="O155" i="4" s="1"/>
  <c r="M155" i="4" a="1"/>
  <c r="M155" i="4" s="1"/>
  <c r="G155" i="4" a="1"/>
  <c r="G155" i="4" s="1"/>
  <c r="P155" i="4" s="1"/>
  <c r="I147" i="4" a="1"/>
  <c r="I147" i="4" s="1"/>
  <c r="R147" i="4" s="1"/>
  <c r="J147" i="4" a="1"/>
  <c r="J147" i="4" s="1"/>
  <c r="S147" i="4" s="1"/>
  <c r="K147" i="4" a="1"/>
  <c r="K147" i="4" s="1"/>
  <c r="T147" i="4" s="1"/>
  <c r="G147" i="4" a="1"/>
  <c r="G147" i="4" s="1"/>
  <c r="P147" i="4" s="1"/>
  <c r="M147" i="4" a="1"/>
  <c r="M147" i="4" s="1"/>
  <c r="E147" i="4" a="1"/>
  <c r="E147" i="4" s="1"/>
  <c r="F147" i="4" a="1"/>
  <c r="F147" i="4" s="1"/>
  <c r="O147" i="4" s="1"/>
  <c r="H147" i="4" a="1"/>
  <c r="H147" i="4" s="1"/>
  <c r="Q147" i="4" s="1"/>
  <c r="L147" i="4" a="1"/>
  <c r="L147" i="4" s="1"/>
  <c r="U147" i="4" s="1"/>
  <c r="F195" i="4" a="1"/>
  <c r="F195" i="4" s="1"/>
  <c r="O195" i="4" s="1"/>
  <c r="G195" i="4" a="1"/>
  <c r="G195" i="4" s="1"/>
  <c r="P195" i="4" s="1"/>
  <c r="M195" i="4" a="1"/>
  <c r="M195" i="4" s="1"/>
  <c r="H195" i="4" a="1"/>
  <c r="H195" i="4" s="1"/>
  <c r="Q195" i="4" s="1"/>
  <c r="I195" i="4" a="1"/>
  <c r="I195" i="4" s="1"/>
  <c r="R195" i="4" s="1"/>
  <c r="J195" i="4" a="1"/>
  <c r="J195" i="4" s="1"/>
  <c r="S195" i="4" s="1"/>
  <c r="K195" i="4" a="1"/>
  <c r="K195" i="4" s="1"/>
  <c r="T195" i="4" s="1"/>
  <c r="E195" i="4" a="1"/>
  <c r="E195" i="4" s="1"/>
  <c r="L195" i="4" a="1"/>
  <c r="L195" i="4" s="1"/>
  <c r="U195" i="4" s="1"/>
  <c r="G139" i="4" a="1"/>
  <c r="G139" i="4" s="1"/>
  <c r="P139" i="4" s="1"/>
  <c r="L139" i="4" a="1"/>
  <c r="L139" i="4" s="1"/>
  <c r="U139" i="4" s="1"/>
  <c r="M139" i="4" a="1"/>
  <c r="M139" i="4" s="1"/>
  <c r="H139" i="4" a="1"/>
  <c r="H139" i="4" s="1"/>
  <c r="Q139" i="4" s="1"/>
  <c r="J139" i="4" a="1"/>
  <c r="J139" i="4" s="1"/>
  <c r="S139" i="4" s="1"/>
  <c r="K139" i="4" a="1"/>
  <c r="K139" i="4" s="1"/>
  <c r="T139" i="4" s="1"/>
  <c r="E139" i="4" a="1"/>
  <c r="E139" i="4" s="1"/>
  <c r="F139" i="4" a="1"/>
  <c r="F139" i="4" s="1"/>
  <c r="O139" i="4" s="1"/>
  <c r="I139" i="4" a="1"/>
  <c r="I139" i="4" s="1"/>
  <c r="R139" i="4" s="1"/>
  <c r="F131" i="4" a="1"/>
  <c r="F131" i="4" s="1"/>
  <c r="O131" i="4" s="1"/>
  <c r="L131" i="4" a="1"/>
  <c r="L131" i="4" s="1"/>
  <c r="U131" i="4" s="1"/>
  <c r="M131" i="4" a="1"/>
  <c r="M131" i="4" s="1"/>
  <c r="G131" i="4" a="1"/>
  <c r="G131" i="4" s="1"/>
  <c r="P131" i="4" s="1"/>
  <c r="I131" i="4" a="1"/>
  <c r="I131" i="4" s="1"/>
  <c r="R131" i="4" s="1"/>
  <c r="E131" i="4" a="1"/>
  <c r="E131" i="4" s="1"/>
  <c r="H131" i="4" a="1"/>
  <c r="H131" i="4" s="1"/>
  <c r="Q131" i="4" s="1"/>
  <c r="J131" i="4" a="1"/>
  <c r="J131" i="4" s="1"/>
  <c r="S131" i="4" s="1"/>
  <c r="K131" i="4" a="1"/>
  <c r="K131" i="4" s="1"/>
  <c r="T131" i="4" s="1"/>
  <c r="J123" i="4" a="1"/>
  <c r="J123" i="4" s="1"/>
  <c r="S123" i="4" s="1"/>
  <c r="K123" i="4" a="1"/>
  <c r="K123" i="4" s="1"/>
  <c r="T123" i="4" s="1"/>
  <c r="E123" i="4" a="1"/>
  <c r="E123" i="4" s="1"/>
  <c r="L123" i="4" a="1"/>
  <c r="L123" i="4" s="1"/>
  <c r="U123" i="4" s="1"/>
  <c r="F123" i="4" a="1"/>
  <c r="F123" i="4" s="1"/>
  <c r="O123" i="4" s="1"/>
  <c r="M123" i="4" a="1"/>
  <c r="M123" i="4" s="1"/>
  <c r="G123" i="4" a="1"/>
  <c r="G123" i="4" s="1"/>
  <c r="P123" i="4" s="1"/>
  <c r="H123" i="4" a="1"/>
  <c r="H123" i="4" s="1"/>
  <c r="Q123" i="4" s="1"/>
  <c r="I123" i="4" a="1"/>
  <c r="I123" i="4" s="1"/>
  <c r="R123" i="4" s="1"/>
  <c r="G115" i="4" a="1"/>
  <c r="G115" i="4" s="1"/>
  <c r="P115" i="4" s="1"/>
  <c r="L115" i="4" a="1"/>
  <c r="L115" i="4" s="1"/>
  <c r="U115" i="4" s="1"/>
  <c r="H115" i="4" a="1"/>
  <c r="H115" i="4" s="1"/>
  <c r="Q115" i="4" s="1"/>
  <c r="M115" i="4" a="1"/>
  <c r="M115" i="4" s="1"/>
  <c r="I115" i="4" a="1"/>
  <c r="I115" i="4" s="1"/>
  <c r="R115" i="4" s="1"/>
  <c r="E115" i="4" a="1"/>
  <c r="E115" i="4" s="1"/>
  <c r="J115" i="4" a="1"/>
  <c r="J115" i="4" s="1"/>
  <c r="S115" i="4" s="1"/>
  <c r="F115" i="4" a="1"/>
  <c r="F115" i="4" s="1"/>
  <c r="O115" i="4" s="1"/>
  <c r="K115" i="4" a="1"/>
  <c r="K115" i="4" s="1"/>
  <c r="T115" i="4" s="1"/>
  <c r="J107" i="4" a="1"/>
  <c r="J107" i="4" s="1"/>
  <c r="S107" i="4" s="1"/>
  <c r="F107" i="4" a="1"/>
  <c r="F107" i="4" s="1"/>
  <c r="O107" i="4" s="1"/>
  <c r="K107" i="4" a="1"/>
  <c r="K107" i="4" s="1"/>
  <c r="T107" i="4" s="1"/>
  <c r="G107" i="4" a="1"/>
  <c r="G107" i="4" s="1"/>
  <c r="P107" i="4" s="1"/>
  <c r="L107" i="4" a="1"/>
  <c r="L107" i="4" s="1"/>
  <c r="U107" i="4" s="1"/>
  <c r="H107" i="4" a="1"/>
  <c r="H107" i="4" s="1"/>
  <c r="Q107" i="4" s="1"/>
  <c r="M107" i="4" a="1"/>
  <c r="M107" i="4" s="1"/>
  <c r="E107" i="4" a="1"/>
  <c r="E107" i="4" s="1"/>
  <c r="I107" i="4" a="1"/>
  <c r="I107" i="4" s="1"/>
  <c r="R107" i="4" s="1"/>
  <c r="J99" i="4" a="1"/>
  <c r="J99" i="4" s="1"/>
  <c r="S99" i="4" s="1"/>
  <c r="E99" i="4" a="1"/>
  <c r="E99" i="4" s="1"/>
  <c r="F99" i="4" a="1"/>
  <c r="F99" i="4" s="1"/>
  <c r="O99" i="4" s="1"/>
  <c r="K99" i="4" a="1"/>
  <c r="K99" i="4" s="1"/>
  <c r="T99" i="4" s="1"/>
  <c r="G99" i="4" a="1"/>
  <c r="G99" i="4" s="1"/>
  <c r="P99" i="4" s="1"/>
  <c r="I99" i="4" a="1"/>
  <c r="I99" i="4" s="1"/>
  <c r="R99" i="4" s="1"/>
  <c r="M99" i="4" a="1"/>
  <c r="M99" i="4" s="1"/>
  <c r="L99" i="4" a="1"/>
  <c r="L99" i="4" s="1"/>
  <c r="U99" i="4" s="1"/>
  <c r="H99" i="4" a="1"/>
  <c r="H99" i="4" s="1"/>
  <c r="Q99" i="4" s="1"/>
  <c r="K91" i="4" a="1"/>
  <c r="K91" i="4" s="1"/>
  <c r="T91" i="4" s="1"/>
  <c r="L91" i="4" a="1"/>
  <c r="L91" i="4" s="1"/>
  <c r="U91" i="4" s="1"/>
  <c r="E91" i="4" a="1"/>
  <c r="E91" i="4" s="1"/>
  <c r="M91" i="4" a="1"/>
  <c r="M91" i="4" s="1"/>
  <c r="F91" i="4" a="1"/>
  <c r="F91" i="4" s="1"/>
  <c r="O91" i="4" s="1"/>
  <c r="H91" i="4" a="1"/>
  <c r="H91" i="4" s="1"/>
  <c r="Q91" i="4" s="1"/>
  <c r="I91" i="4" a="1"/>
  <c r="I91" i="4" s="1"/>
  <c r="R91" i="4" s="1"/>
  <c r="G91" i="4" a="1"/>
  <c r="G91" i="4" s="1"/>
  <c r="P91" i="4" s="1"/>
  <c r="J91" i="4" a="1"/>
  <c r="J91" i="4" s="1"/>
  <c r="S91" i="4" s="1"/>
  <c r="K83" i="4" a="1"/>
  <c r="K83" i="4" s="1"/>
  <c r="T83" i="4" s="1"/>
  <c r="L83" i="4" a="1"/>
  <c r="L83" i="4" s="1"/>
  <c r="U83" i="4" s="1"/>
  <c r="E83" i="4" a="1"/>
  <c r="E83" i="4" s="1"/>
  <c r="M83" i="4" a="1"/>
  <c r="M83" i="4" s="1"/>
  <c r="F83" i="4" a="1"/>
  <c r="F83" i="4" s="1"/>
  <c r="O83" i="4" s="1"/>
  <c r="H83" i="4" a="1"/>
  <c r="H83" i="4" s="1"/>
  <c r="Q83" i="4" s="1"/>
  <c r="I83" i="4" a="1"/>
  <c r="I83" i="4" s="1"/>
  <c r="R83" i="4" s="1"/>
  <c r="G83" i="4" a="1"/>
  <c r="G83" i="4" s="1"/>
  <c r="P83" i="4" s="1"/>
  <c r="J83" i="4" a="1"/>
  <c r="J83" i="4" s="1"/>
  <c r="S83" i="4" s="1"/>
  <c r="K75" i="4" a="1"/>
  <c r="K75" i="4" s="1"/>
  <c r="T75" i="4" s="1"/>
  <c r="L75" i="4" a="1"/>
  <c r="L75" i="4" s="1"/>
  <c r="U75" i="4" s="1"/>
  <c r="E75" i="4" a="1"/>
  <c r="E75" i="4" s="1"/>
  <c r="M75" i="4" a="1"/>
  <c r="M75" i="4" s="1"/>
  <c r="F75" i="4" a="1"/>
  <c r="F75" i="4" s="1"/>
  <c r="O75" i="4" s="1"/>
  <c r="G75" i="4" a="1"/>
  <c r="G75" i="4" s="1"/>
  <c r="P75" i="4" s="1"/>
  <c r="H75" i="4" a="1"/>
  <c r="H75" i="4" s="1"/>
  <c r="Q75" i="4" s="1"/>
  <c r="I75" i="4" a="1"/>
  <c r="I75" i="4" s="1"/>
  <c r="R75" i="4" s="1"/>
  <c r="J75" i="4" a="1"/>
  <c r="J75" i="4" s="1"/>
  <c r="S75" i="4" s="1"/>
  <c r="J67" i="4" a="1"/>
  <c r="J67" i="4" s="1"/>
  <c r="S67" i="4" s="1"/>
  <c r="K67" i="4" a="1"/>
  <c r="K67" i="4" s="1"/>
  <c r="T67" i="4" s="1"/>
  <c r="L67" i="4" a="1"/>
  <c r="L67" i="4" s="1"/>
  <c r="U67" i="4" s="1"/>
  <c r="E67" i="4" a="1"/>
  <c r="E67" i="4" s="1"/>
  <c r="M67" i="4" a="1"/>
  <c r="M67" i="4" s="1"/>
  <c r="H67" i="4" a="1"/>
  <c r="H67" i="4" s="1"/>
  <c r="Q67" i="4" s="1"/>
  <c r="I67" i="4" a="1"/>
  <c r="I67" i="4" s="1"/>
  <c r="R67" i="4" s="1"/>
  <c r="F67" i="4" a="1"/>
  <c r="F67" i="4" s="1"/>
  <c r="O67" i="4" s="1"/>
  <c r="G67" i="4" a="1"/>
  <c r="G67" i="4" s="1"/>
  <c r="P67" i="4" s="1"/>
  <c r="I59" i="4" a="1"/>
  <c r="I59" i="4" s="1"/>
  <c r="R59" i="4" s="1"/>
  <c r="E59" i="4" a="1"/>
  <c r="E59" i="4" s="1"/>
  <c r="J59" i="4" a="1"/>
  <c r="J59" i="4" s="1"/>
  <c r="S59" i="4" s="1"/>
  <c r="F59" i="4" a="1"/>
  <c r="F59" i="4" s="1"/>
  <c r="O59" i="4" s="1"/>
  <c r="K59" i="4" a="1"/>
  <c r="K59" i="4" s="1"/>
  <c r="T59" i="4" s="1"/>
  <c r="G59" i="4" a="1"/>
  <c r="G59" i="4" s="1"/>
  <c r="P59" i="4" s="1"/>
  <c r="H59" i="4" a="1"/>
  <c r="H59" i="4" s="1"/>
  <c r="Q59" i="4" s="1"/>
  <c r="L59" i="4" a="1"/>
  <c r="L59" i="4" s="1"/>
  <c r="U59" i="4" s="1"/>
  <c r="M59" i="4" a="1"/>
  <c r="M59" i="4" s="1"/>
  <c r="I51" i="4" a="1"/>
  <c r="I51" i="4" s="1"/>
  <c r="R51" i="4" s="1"/>
  <c r="J51" i="4" a="1"/>
  <c r="J51" i="4" s="1"/>
  <c r="S51" i="4" s="1"/>
  <c r="E51" i="4" a="1"/>
  <c r="E51" i="4" s="1"/>
  <c r="K51" i="4" a="1"/>
  <c r="K51" i="4" s="1"/>
  <c r="T51" i="4" s="1"/>
  <c r="F51" i="4" a="1"/>
  <c r="F51" i="4" s="1"/>
  <c r="O51" i="4" s="1"/>
  <c r="L51" i="4" a="1"/>
  <c r="L51" i="4" s="1"/>
  <c r="U51" i="4" s="1"/>
  <c r="G51" i="4" a="1"/>
  <c r="G51" i="4" s="1"/>
  <c r="P51" i="4" s="1"/>
  <c r="H51" i="4" a="1"/>
  <c r="H51" i="4" s="1"/>
  <c r="Q51" i="4" s="1"/>
  <c r="M51" i="4" a="1"/>
  <c r="M51" i="4" s="1"/>
  <c r="E43" i="4" a="1"/>
  <c r="E43" i="4" s="1"/>
  <c r="K43" i="4" a="1"/>
  <c r="K43" i="4" s="1"/>
  <c r="T43" i="4" s="1"/>
  <c r="F43" i="4" a="1"/>
  <c r="F43" i="4" s="1"/>
  <c r="O43" i="4" s="1"/>
  <c r="G43" i="4" a="1"/>
  <c r="G43" i="4" s="1"/>
  <c r="P43" i="4" s="1"/>
  <c r="L43" i="4" a="1"/>
  <c r="L43" i="4" s="1"/>
  <c r="U43" i="4" s="1"/>
  <c r="M43" i="4" a="1"/>
  <c r="M43" i="4" s="1"/>
  <c r="H43" i="4" a="1"/>
  <c r="H43" i="4" s="1"/>
  <c r="Q43" i="4" s="1"/>
  <c r="I43" i="4" a="1"/>
  <c r="I43" i="4" s="1"/>
  <c r="R43" i="4" s="1"/>
  <c r="J43" i="4" a="1"/>
  <c r="J43" i="4" s="1"/>
  <c r="S43" i="4" s="1"/>
  <c r="F35" i="4" a="1"/>
  <c r="F35" i="4" s="1"/>
  <c r="O35" i="4" s="1"/>
  <c r="K35" i="4" a="1"/>
  <c r="K35" i="4" s="1"/>
  <c r="T35" i="4" s="1"/>
  <c r="G35" i="4" a="1"/>
  <c r="G35" i="4" s="1"/>
  <c r="P35" i="4" s="1"/>
  <c r="L35" i="4" a="1"/>
  <c r="L35" i="4" s="1"/>
  <c r="U35" i="4" s="1"/>
  <c r="M35" i="4" a="1"/>
  <c r="M35" i="4" s="1"/>
  <c r="H35" i="4" a="1"/>
  <c r="H35" i="4" s="1"/>
  <c r="Q35" i="4" s="1"/>
  <c r="E35" i="4" a="1"/>
  <c r="E35" i="4" s="1"/>
  <c r="I35" i="4" a="1"/>
  <c r="I35" i="4" s="1"/>
  <c r="R35" i="4" s="1"/>
  <c r="J35" i="4" a="1"/>
  <c r="J35" i="4" s="1"/>
  <c r="S35" i="4" s="1"/>
  <c r="L27" i="4" a="1"/>
  <c r="L27" i="4" s="1"/>
  <c r="U27" i="4" s="1"/>
  <c r="G27" i="4" a="1"/>
  <c r="G27" i="4" s="1"/>
  <c r="P27" i="4" s="1"/>
  <c r="M27" i="4" a="1"/>
  <c r="M27" i="4" s="1"/>
  <c r="H27" i="4" a="1"/>
  <c r="H27" i="4" s="1"/>
  <c r="Q27" i="4" s="1"/>
  <c r="I27" i="4" a="1"/>
  <c r="I27" i="4" s="1"/>
  <c r="R27" i="4" s="1"/>
  <c r="E27" i="4" a="1"/>
  <c r="E27" i="4" s="1"/>
  <c r="F27" i="4" a="1"/>
  <c r="F27" i="4" s="1"/>
  <c r="O27" i="4" s="1"/>
  <c r="J27" i="4" a="1"/>
  <c r="J27" i="4" s="1"/>
  <c r="S27" i="4" s="1"/>
  <c r="K27" i="4" a="1"/>
  <c r="K27" i="4" s="1"/>
  <c r="T27" i="4" s="1"/>
  <c r="G19" i="4" a="1"/>
  <c r="G19" i="4" s="1"/>
  <c r="P19" i="4" s="1"/>
  <c r="H19" i="4" a="1"/>
  <c r="H19" i="4" s="1"/>
  <c r="Q19" i="4" s="1"/>
  <c r="I19" i="4" a="1"/>
  <c r="I19" i="4" s="1"/>
  <c r="R19" i="4" s="1"/>
  <c r="J19" i="4" a="1"/>
  <c r="J19" i="4" s="1"/>
  <c r="S19" i="4" s="1"/>
  <c r="E19" i="4" a="1"/>
  <c r="E19" i="4" s="1"/>
  <c r="K19" i="4" a="1"/>
  <c r="K19" i="4" s="1"/>
  <c r="T19" i="4" s="1"/>
  <c r="F19" i="4" a="1"/>
  <c r="F19" i="4" s="1"/>
  <c r="O19" i="4" s="1"/>
  <c r="L19" i="4" a="1"/>
  <c r="L19" i="4" s="1"/>
  <c r="U19" i="4" s="1"/>
  <c r="M19" i="4" a="1"/>
  <c r="M19" i="4" s="1"/>
  <c r="F210" i="4" a="1"/>
  <c r="F210" i="4" s="1"/>
  <c r="O210" i="4" s="1"/>
  <c r="M210" i="4" a="1"/>
  <c r="M210" i="4" s="1"/>
  <c r="G210" i="4" a="1"/>
  <c r="G210" i="4" s="1"/>
  <c r="P210" i="4" s="1"/>
  <c r="H210" i="4" a="1"/>
  <c r="H210" i="4" s="1"/>
  <c r="Q210" i="4" s="1"/>
  <c r="I210" i="4" a="1"/>
  <c r="I210" i="4" s="1"/>
  <c r="R210" i="4" s="1"/>
  <c r="J210" i="4" a="1"/>
  <c r="J210" i="4" s="1"/>
  <c r="S210" i="4" s="1"/>
  <c r="K202" i="4" a="1"/>
  <c r="K202" i="4" s="1"/>
  <c r="T202" i="4" s="1"/>
  <c r="G202" i="4" a="1"/>
  <c r="G202" i="4" s="1"/>
  <c r="P202" i="4" s="1"/>
  <c r="L202" i="4" a="1"/>
  <c r="L202" i="4" s="1"/>
  <c r="U202" i="4" s="1"/>
  <c r="H202" i="4" a="1"/>
  <c r="H202" i="4" s="1"/>
  <c r="Q202" i="4" s="1"/>
  <c r="M202" i="4" a="1"/>
  <c r="M202" i="4" s="1"/>
  <c r="I202" i="4" a="1"/>
  <c r="I202" i="4" s="1"/>
  <c r="R202" i="4" s="1"/>
  <c r="E202" i="4" a="1"/>
  <c r="E202" i="4" s="1"/>
  <c r="J194" i="4" a="1"/>
  <c r="J194" i="4" s="1"/>
  <c r="S194" i="4" s="1"/>
  <c r="K194" i="4" a="1"/>
  <c r="K194" i="4" s="1"/>
  <c r="T194" i="4" s="1"/>
  <c r="E194" i="4" a="1"/>
  <c r="E194" i="4" s="1"/>
  <c r="L194" i="4" a="1"/>
  <c r="L194" i="4" s="1"/>
  <c r="U194" i="4" s="1"/>
  <c r="F194" i="4" a="1"/>
  <c r="F194" i="4" s="1"/>
  <c r="O194" i="4" s="1"/>
  <c r="G194" i="4" a="1"/>
  <c r="G194" i="4" s="1"/>
  <c r="P194" i="4" s="1"/>
  <c r="M194" i="4" a="1"/>
  <c r="M194" i="4" s="1"/>
  <c r="L186" i="4" a="1"/>
  <c r="L186" i="4" s="1"/>
  <c r="U186" i="4" s="1"/>
  <c r="F186" i="4" a="1"/>
  <c r="F186" i="4" s="1"/>
  <c r="O186" i="4" s="1"/>
  <c r="G186" i="4" a="1"/>
  <c r="G186" i="4" s="1"/>
  <c r="P186" i="4" s="1"/>
  <c r="M186" i="4" a="1"/>
  <c r="M186" i="4" s="1"/>
  <c r="I186" i="4" a="1"/>
  <c r="I186" i="4" s="1"/>
  <c r="R186" i="4" s="1"/>
  <c r="J186" i="4" a="1"/>
  <c r="J186" i="4" s="1"/>
  <c r="S186" i="4" s="1"/>
  <c r="K186" i="4" a="1"/>
  <c r="K186" i="4" s="1"/>
  <c r="T186" i="4" s="1"/>
  <c r="I178" i="4" a="1"/>
  <c r="I178" i="4" s="1"/>
  <c r="R178" i="4" s="1"/>
  <c r="E178" i="4" a="1"/>
  <c r="E178" i="4" s="1"/>
  <c r="J178" i="4" a="1"/>
  <c r="J178" i="4" s="1"/>
  <c r="S178" i="4" s="1"/>
  <c r="F178" i="4" a="1"/>
  <c r="F178" i="4" s="1"/>
  <c r="O178" i="4" s="1"/>
  <c r="K178" i="4" a="1"/>
  <c r="K178" i="4" s="1"/>
  <c r="T178" i="4" s="1"/>
  <c r="G178" i="4" a="1"/>
  <c r="G178" i="4" s="1"/>
  <c r="P178" i="4" s="1"/>
  <c r="L178" i="4" a="1"/>
  <c r="L178" i="4" s="1"/>
  <c r="U178" i="4" s="1"/>
  <c r="H170" i="4" a="1"/>
  <c r="H170" i="4" s="1"/>
  <c r="Q170" i="4" s="1"/>
  <c r="I170" i="4" a="1"/>
  <c r="I170" i="4" s="1"/>
  <c r="R170" i="4" s="1"/>
  <c r="E170" i="4" a="1"/>
  <c r="E170" i="4" s="1"/>
  <c r="J170" i="4" a="1"/>
  <c r="J170" i="4" s="1"/>
  <c r="S170" i="4" s="1"/>
  <c r="K170" i="4" a="1"/>
  <c r="K170" i="4" s="1"/>
  <c r="T170" i="4" s="1"/>
  <c r="F170" i="4" a="1"/>
  <c r="F170" i="4" s="1"/>
  <c r="O170" i="4" s="1"/>
  <c r="L170" i="4" a="1"/>
  <c r="L170" i="4" s="1"/>
  <c r="U170" i="4" s="1"/>
  <c r="G170" i="4" a="1"/>
  <c r="G170" i="4" s="1"/>
  <c r="P170" i="4" s="1"/>
  <c r="M170" i="4" a="1"/>
  <c r="M170" i="4" s="1"/>
  <c r="E162" i="4" a="1"/>
  <c r="E162" i="4" s="1"/>
  <c r="L162" i="4" a="1"/>
  <c r="L162" i="4" s="1"/>
  <c r="U162" i="4" s="1"/>
  <c r="F162" i="4" a="1"/>
  <c r="F162" i="4" s="1"/>
  <c r="O162" i="4" s="1"/>
  <c r="M162" i="4" a="1"/>
  <c r="M162" i="4" s="1"/>
  <c r="G162" i="4" a="1"/>
  <c r="G162" i="4" s="1"/>
  <c r="P162" i="4" s="1"/>
  <c r="H162" i="4" a="1"/>
  <c r="H162" i="4" s="1"/>
  <c r="Q162" i="4" s="1"/>
  <c r="I162" i="4" a="1"/>
  <c r="I162" i="4" s="1"/>
  <c r="R162" i="4" s="1"/>
  <c r="J162" i="4" a="1"/>
  <c r="J162" i="4" s="1"/>
  <c r="S162" i="4" s="1"/>
  <c r="K162" i="4" a="1"/>
  <c r="K162" i="4" s="1"/>
  <c r="T162" i="4" s="1"/>
  <c r="K154" i="4" a="1"/>
  <c r="K154" i="4" s="1"/>
  <c r="T154" i="4" s="1"/>
  <c r="E154" i="4" a="1"/>
  <c r="E154" i="4" s="1"/>
  <c r="L154" i="4" a="1"/>
  <c r="L154" i="4" s="1"/>
  <c r="U154" i="4" s="1"/>
  <c r="F154" i="4" a="1"/>
  <c r="F154" i="4" s="1"/>
  <c r="O154" i="4" s="1"/>
  <c r="G154" i="4" a="1"/>
  <c r="G154" i="4" s="1"/>
  <c r="P154" i="4" s="1"/>
  <c r="M154" i="4" a="1"/>
  <c r="M154" i="4" s="1"/>
  <c r="H154" i="4" a="1"/>
  <c r="H154" i="4" s="1"/>
  <c r="Q154" i="4" s="1"/>
  <c r="I154" i="4" a="1"/>
  <c r="I154" i="4" s="1"/>
  <c r="R154" i="4" s="1"/>
  <c r="J154" i="4" a="1"/>
  <c r="J154" i="4" s="1"/>
  <c r="S154" i="4" s="1"/>
  <c r="F146" i="4" a="1"/>
  <c r="F146" i="4" s="1"/>
  <c r="O146" i="4" s="1"/>
  <c r="G146" i="4" a="1"/>
  <c r="G146" i="4" s="1"/>
  <c r="P146" i="4" s="1"/>
  <c r="L146" i="4" a="1"/>
  <c r="L146" i="4" s="1"/>
  <c r="U146" i="4" s="1"/>
  <c r="H146" i="4" a="1"/>
  <c r="H146" i="4" s="1"/>
  <c r="Q146" i="4" s="1"/>
  <c r="M146" i="4" a="1"/>
  <c r="M146" i="4" s="1"/>
  <c r="K146" i="4" a="1"/>
  <c r="K146" i="4" s="1"/>
  <c r="T146" i="4" s="1"/>
  <c r="E146" i="4" a="1"/>
  <c r="E146" i="4" s="1"/>
  <c r="I146" i="4" a="1"/>
  <c r="I146" i="4" s="1"/>
  <c r="R146" i="4" s="1"/>
  <c r="J146" i="4" a="1"/>
  <c r="J146" i="4" s="1"/>
  <c r="S146" i="4" s="1"/>
  <c r="I138" i="4" a="1"/>
  <c r="I138" i="4" s="1"/>
  <c r="R138" i="4" s="1"/>
  <c r="E138" i="4" a="1"/>
  <c r="E138" i="4" s="1"/>
  <c r="J138" i="4" a="1"/>
  <c r="J138" i="4" s="1"/>
  <c r="S138" i="4" s="1"/>
  <c r="K138" i="4" a="1"/>
  <c r="K138" i="4" s="1"/>
  <c r="T138" i="4" s="1"/>
  <c r="G138" i="4" a="1"/>
  <c r="G138" i="4" s="1"/>
  <c r="P138" i="4" s="1"/>
  <c r="M138" i="4" a="1"/>
  <c r="M138" i="4" s="1"/>
  <c r="F138" i="4" a="1"/>
  <c r="F138" i="4" s="1"/>
  <c r="O138" i="4" s="1"/>
  <c r="H138" i="4" a="1"/>
  <c r="H138" i="4" s="1"/>
  <c r="Q138" i="4" s="1"/>
  <c r="L138" i="4" a="1"/>
  <c r="L138" i="4" s="1"/>
  <c r="U138" i="4" s="1"/>
  <c r="H130" i="4" a="1"/>
  <c r="H130" i="4" s="1"/>
  <c r="Q130" i="4" s="1"/>
  <c r="I130" i="4" a="1"/>
  <c r="I130" i="4" s="1"/>
  <c r="R130" i="4" s="1"/>
  <c r="J130" i="4" a="1"/>
  <c r="J130" i="4" s="1"/>
  <c r="S130" i="4" s="1"/>
  <c r="E130" i="4" a="1"/>
  <c r="E130" i="4" s="1"/>
  <c r="L130" i="4" a="1"/>
  <c r="L130" i="4" s="1"/>
  <c r="U130" i="4" s="1"/>
  <c r="F130" i="4" a="1"/>
  <c r="F130" i="4" s="1"/>
  <c r="O130" i="4" s="1"/>
  <c r="G130" i="4" a="1"/>
  <c r="G130" i="4" s="1"/>
  <c r="P130" i="4" s="1"/>
  <c r="K130" i="4" a="1"/>
  <c r="K130" i="4" s="1"/>
  <c r="T130" i="4" s="1"/>
  <c r="M130" i="4" a="1"/>
  <c r="M130" i="4" s="1"/>
  <c r="E122" i="4" a="1"/>
  <c r="E122" i="4" s="1"/>
  <c r="L122" i="4" a="1"/>
  <c r="L122" i="4" s="1"/>
  <c r="U122" i="4" s="1"/>
  <c r="F122" i="4" a="1"/>
  <c r="F122" i="4" s="1"/>
  <c r="O122" i="4" s="1"/>
  <c r="M122" i="4" a="1"/>
  <c r="M122" i="4" s="1"/>
  <c r="G122" i="4" a="1"/>
  <c r="G122" i="4" s="1"/>
  <c r="P122" i="4" s="1"/>
  <c r="H122" i="4" a="1"/>
  <c r="H122" i="4" s="1"/>
  <c r="Q122" i="4" s="1"/>
  <c r="I122" i="4" a="1"/>
  <c r="I122" i="4" s="1"/>
  <c r="R122" i="4" s="1"/>
  <c r="J122" i="4" a="1"/>
  <c r="J122" i="4" s="1"/>
  <c r="S122" i="4" s="1"/>
  <c r="K122" i="4" a="1"/>
  <c r="K122" i="4" s="1"/>
  <c r="T122" i="4" s="1"/>
  <c r="G114" i="4" a="1"/>
  <c r="G114" i="4" s="1"/>
  <c r="P114" i="4" s="1"/>
  <c r="L114" i="4" a="1"/>
  <c r="L114" i="4" s="1"/>
  <c r="U114" i="4" s="1"/>
  <c r="H114" i="4" a="1"/>
  <c r="H114" i="4" s="1"/>
  <c r="Q114" i="4" s="1"/>
  <c r="M114" i="4" a="1"/>
  <c r="M114" i="4" s="1"/>
  <c r="I114" i="4" a="1"/>
  <c r="I114" i="4" s="1"/>
  <c r="R114" i="4" s="1"/>
  <c r="E114" i="4" a="1"/>
  <c r="E114" i="4" s="1"/>
  <c r="F114" i="4" a="1"/>
  <c r="F114" i="4" s="1"/>
  <c r="O114" i="4" s="1"/>
  <c r="J114" i="4" a="1"/>
  <c r="J114" i="4" s="1"/>
  <c r="S114" i="4" s="1"/>
  <c r="K114" i="4" a="1"/>
  <c r="K114" i="4" s="1"/>
  <c r="T114" i="4" s="1"/>
  <c r="H106" i="4" a="1"/>
  <c r="H106" i="4" s="1"/>
  <c r="Q106" i="4" s="1"/>
  <c r="I106" i="4" a="1"/>
  <c r="I106" i="4" s="1"/>
  <c r="R106" i="4" s="1"/>
  <c r="J106" i="4" a="1"/>
  <c r="J106" i="4" s="1"/>
  <c r="S106" i="4" s="1"/>
  <c r="E106" i="4" a="1"/>
  <c r="E106" i="4" s="1"/>
  <c r="K106" i="4" a="1"/>
  <c r="K106" i="4" s="1"/>
  <c r="T106" i="4" s="1"/>
  <c r="F106" i="4" a="1"/>
  <c r="F106" i="4" s="1"/>
  <c r="O106" i="4" s="1"/>
  <c r="L106" i="4" a="1"/>
  <c r="L106" i="4" s="1"/>
  <c r="U106" i="4" s="1"/>
  <c r="G106" i="4" a="1"/>
  <c r="G106" i="4" s="1"/>
  <c r="P106" i="4" s="1"/>
  <c r="M106" i="4" a="1"/>
  <c r="M106" i="4" s="1"/>
  <c r="H98" i="4" a="1"/>
  <c r="H98" i="4" s="1"/>
  <c r="Q98" i="4" s="1"/>
  <c r="M98" i="4" a="1"/>
  <c r="M98" i="4" s="1"/>
  <c r="I98" i="4" a="1"/>
  <c r="I98" i="4" s="1"/>
  <c r="R98" i="4" s="1"/>
  <c r="J98" i="4" a="1"/>
  <c r="J98" i="4" s="1"/>
  <c r="S98" i="4" s="1"/>
  <c r="E98" i="4" a="1"/>
  <c r="E98" i="4" s="1"/>
  <c r="K98" i="4" a="1"/>
  <c r="K98" i="4" s="1"/>
  <c r="T98" i="4" s="1"/>
  <c r="F98" i="4" a="1"/>
  <c r="F98" i="4" s="1"/>
  <c r="O98" i="4" s="1"/>
  <c r="G98" i="4" a="1"/>
  <c r="G98" i="4" s="1"/>
  <c r="P98" i="4" s="1"/>
  <c r="L98" i="4" a="1"/>
  <c r="L98" i="4" s="1"/>
  <c r="U98" i="4" s="1"/>
  <c r="L90" i="4" a="1"/>
  <c r="L90" i="4" s="1"/>
  <c r="U90" i="4" s="1"/>
  <c r="E90" i="4" a="1"/>
  <c r="E90" i="4" s="1"/>
  <c r="M90" i="4" a="1"/>
  <c r="M90" i="4" s="1"/>
  <c r="F90" i="4" a="1"/>
  <c r="F90" i="4" s="1"/>
  <c r="O90" i="4" s="1"/>
  <c r="G90" i="4" a="1"/>
  <c r="G90" i="4" s="1"/>
  <c r="P90" i="4" s="1"/>
  <c r="I90" i="4" a="1"/>
  <c r="I90" i="4" s="1"/>
  <c r="R90" i="4" s="1"/>
  <c r="J90" i="4" a="1"/>
  <c r="J90" i="4" s="1"/>
  <c r="S90" i="4" s="1"/>
  <c r="H90" i="4" a="1"/>
  <c r="H90" i="4" s="1"/>
  <c r="Q90" i="4" s="1"/>
  <c r="K90" i="4" a="1"/>
  <c r="K90" i="4" s="1"/>
  <c r="T90" i="4" s="1"/>
  <c r="L82" i="4" a="1"/>
  <c r="L82" i="4" s="1"/>
  <c r="U82" i="4" s="1"/>
  <c r="E82" i="4" a="1"/>
  <c r="E82" i="4" s="1"/>
  <c r="M82" i="4" a="1"/>
  <c r="M82" i="4" s="1"/>
  <c r="F82" i="4" a="1"/>
  <c r="F82" i="4" s="1"/>
  <c r="O82" i="4" s="1"/>
  <c r="G82" i="4" a="1"/>
  <c r="G82" i="4" s="1"/>
  <c r="P82" i="4" s="1"/>
  <c r="I82" i="4" a="1"/>
  <c r="I82" i="4" s="1"/>
  <c r="R82" i="4" s="1"/>
  <c r="J82" i="4" a="1"/>
  <c r="J82" i="4" s="1"/>
  <c r="S82" i="4" s="1"/>
  <c r="H82" i="4" a="1"/>
  <c r="H82" i="4" s="1"/>
  <c r="Q82" i="4" s="1"/>
  <c r="K82" i="4" a="1"/>
  <c r="K82" i="4" s="1"/>
  <c r="T82" i="4" s="1"/>
  <c r="L74" i="4" a="1"/>
  <c r="L74" i="4" s="1"/>
  <c r="U74" i="4" s="1"/>
  <c r="E74" i="4" a="1"/>
  <c r="E74" i="4" s="1"/>
  <c r="M74" i="4" a="1"/>
  <c r="M74" i="4" s="1"/>
  <c r="F74" i="4" a="1"/>
  <c r="F74" i="4" s="1"/>
  <c r="O74" i="4" s="1"/>
  <c r="G74" i="4" a="1"/>
  <c r="G74" i="4" s="1"/>
  <c r="P74" i="4" s="1"/>
  <c r="H74" i="4" a="1"/>
  <c r="H74" i="4" s="1"/>
  <c r="Q74" i="4" s="1"/>
  <c r="I74" i="4" a="1"/>
  <c r="I74" i="4" s="1"/>
  <c r="R74" i="4" s="1"/>
  <c r="J74" i="4" a="1"/>
  <c r="J74" i="4" s="1"/>
  <c r="S74" i="4" s="1"/>
  <c r="K74" i="4" a="1"/>
  <c r="K74" i="4" s="1"/>
  <c r="T74" i="4" s="1"/>
  <c r="K66" i="4" a="1"/>
  <c r="K66" i="4" s="1"/>
  <c r="T66" i="4" s="1"/>
  <c r="L66" i="4" a="1"/>
  <c r="L66" i="4" s="1"/>
  <c r="U66" i="4" s="1"/>
  <c r="E66" i="4" a="1"/>
  <c r="E66" i="4" s="1"/>
  <c r="M66" i="4" a="1"/>
  <c r="M66" i="4" s="1"/>
  <c r="F66" i="4" a="1"/>
  <c r="F66" i="4" s="1"/>
  <c r="O66" i="4" s="1"/>
  <c r="G66" i="4" a="1"/>
  <c r="G66" i="4" s="1"/>
  <c r="P66" i="4" s="1"/>
  <c r="H66" i="4" a="1"/>
  <c r="H66" i="4" s="1"/>
  <c r="Q66" i="4" s="1"/>
  <c r="I66" i="4" a="1"/>
  <c r="I66" i="4" s="1"/>
  <c r="R66" i="4" s="1"/>
  <c r="J66" i="4" a="1"/>
  <c r="J66" i="4" s="1"/>
  <c r="S66" i="4" s="1"/>
  <c r="G58" i="4" a="1"/>
  <c r="G58" i="4" s="1"/>
  <c r="P58" i="4" s="1"/>
  <c r="L58" i="4" a="1"/>
  <c r="L58" i="4" s="1"/>
  <c r="U58" i="4" s="1"/>
  <c r="M58" i="4" a="1"/>
  <c r="M58" i="4" s="1"/>
  <c r="H58" i="4" a="1"/>
  <c r="H58" i="4" s="1"/>
  <c r="Q58" i="4" s="1"/>
  <c r="I58" i="4" a="1"/>
  <c r="I58" i="4" s="1"/>
  <c r="R58" i="4" s="1"/>
  <c r="J58" i="4" a="1"/>
  <c r="J58" i="4" s="1"/>
  <c r="S58" i="4" s="1"/>
  <c r="K58" i="4" a="1"/>
  <c r="K58" i="4" s="1"/>
  <c r="T58" i="4" s="1"/>
  <c r="E58" i="4" a="1"/>
  <c r="E58" i="4" s="1"/>
  <c r="F58" i="4" a="1"/>
  <c r="F58" i="4" s="1"/>
  <c r="O58" i="4" s="1"/>
  <c r="G50" i="4" a="1"/>
  <c r="G50" i="4" s="1"/>
  <c r="P50" i="4" s="1"/>
  <c r="H50" i="4" a="1"/>
  <c r="H50" i="4" s="1"/>
  <c r="Q50" i="4" s="1"/>
  <c r="M50" i="4" a="1"/>
  <c r="M50" i="4" s="1"/>
  <c r="I50" i="4" a="1"/>
  <c r="I50" i="4" s="1"/>
  <c r="R50" i="4" s="1"/>
  <c r="J50" i="4" a="1"/>
  <c r="J50" i="4" s="1"/>
  <c r="S50" i="4" s="1"/>
  <c r="E50" i="4" a="1"/>
  <c r="E50" i="4" s="1"/>
  <c r="F50" i="4" a="1"/>
  <c r="F50" i="4" s="1"/>
  <c r="O50" i="4" s="1"/>
  <c r="K50" i="4" a="1"/>
  <c r="K50" i="4" s="1"/>
  <c r="T50" i="4" s="1"/>
  <c r="L50" i="4" a="1"/>
  <c r="L50" i="4" s="1"/>
  <c r="U50" i="4" s="1"/>
  <c r="I42" i="4" a="1"/>
  <c r="I42" i="4" s="1"/>
  <c r="R42" i="4" s="1"/>
  <c r="J42" i="4" a="1"/>
  <c r="J42" i="4" s="1"/>
  <c r="S42" i="4" s="1"/>
  <c r="E42" i="4" a="1"/>
  <c r="E42" i="4" s="1"/>
  <c r="F42" i="4" a="1"/>
  <c r="F42" i="4" s="1"/>
  <c r="O42" i="4" s="1"/>
  <c r="K42" i="4" a="1"/>
  <c r="K42" i="4" s="1"/>
  <c r="T42" i="4" s="1"/>
  <c r="M42" i="4" a="1"/>
  <c r="M42" i="4" s="1"/>
  <c r="G42" i="4" a="1"/>
  <c r="G42" i="4" s="1"/>
  <c r="P42" i="4" s="1"/>
  <c r="H42" i="4" a="1"/>
  <c r="H42" i="4" s="1"/>
  <c r="Q42" i="4" s="1"/>
  <c r="L42" i="4" a="1"/>
  <c r="L42" i="4" s="1"/>
  <c r="U42" i="4" s="1"/>
  <c r="I34" i="4" a="1"/>
  <c r="I34" i="4" s="1"/>
  <c r="R34" i="4" s="1"/>
  <c r="E34" i="4" a="1"/>
  <c r="E34" i="4" s="1"/>
  <c r="J34" i="4" a="1"/>
  <c r="J34" i="4" s="1"/>
  <c r="S34" i="4" s="1"/>
  <c r="F34" i="4" a="1"/>
  <c r="F34" i="4" s="1"/>
  <c r="O34" i="4" s="1"/>
  <c r="K34" i="4" a="1"/>
  <c r="K34" i="4" s="1"/>
  <c r="T34" i="4" s="1"/>
  <c r="M34" i="4" a="1"/>
  <c r="M34" i="4" s="1"/>
  <c r="G34" i="4" a="1"/>
  <c r="G34" i="4" s="1"/>
  <c r="P34" i="4" s="1"/>
  <c r="H34" i="4" a="1"/>
  <c r="H34" i="4" s="1"/>
  <c r="Q34" i="4" s="1"/>
  <c r="L34" i="4" a="1"/>
  <c r="L34" i="4" s="1"/>
  <c r="U34" i="4" s="1"/>
  <c r="J26" i="4" a="1"/>
  <c r="J26" i="4" s="1"/>
  <c r="S26" i="4" s="1"/>
  <c r="E26" i="4" a="1"/>
  <c r="E26" i="4" s="1"/>
  <c r="K26" i="4" a="1"/>
  <c r="K26" i="4" s="1"/>
  <c r="T26" i="4" s="1"/>
  <c r="F26" i="4" a="1"/>
  <c r="F26" i="4" s="1"/>
  <c r="O26" i="4" s="1"/>
  <c r="L26" i="4" a="1"/>
  <c r="L26" i="4" s="1"/>
  <c r="U26" i="4" s="1"/>
  <c r="G26" i="4" a="1"/>
  <c r="G26" i="4" s="1"/>
  <c r="P26" i="4" s="1"/>
  <c r="M26" i="4" a="1"/>
  <c r="M26" i="4" s="1"/>
  <c r="H26" i="4" a="1"/>
  <c r="H26" i="4" s="1"/>
  <c r="Q26" i="4" s="1"/>
  <c r="I26" i="4" a="1"/>
  <c r="I26" i="4" s="1"/>
  <c r="R26" i="4" s="1"/>
  <c r="F18" i="4" a="1"/>
  <c r="F18" i="4" s="1"/>
  <c r="O18" i="4" s="1"/>
  <c r="K18" i="4" a="1"/>
  <c r="K18" i="4" s="1"/>
  <c r="T18" i="4" s="1"/>
  <c r="G18" i="4" a="1"/>
  <c r="G18" i="4" s="1"/>
  <c r="P18" i="4" s="1"/>
  <c r="L18" i="4" a="1"/>
  <c r="L18" i="4" s="1"/>
  <c r="U18" i="4" s="1"/>
  <c r="H18" i="4" a="1"/>
  <c r="H18" i="4" s="1"/>
  <c r="Q18" i="4" s="1"/>
  <c r="M18" i="4" a="1"/>
  <c r="M18" i="4" s="1"/>
  <c r="E18" i="4" a="1"/>
  <c r="E18" i="4" s="1"/>
  <c r="I18" i="4" a="1"/>
  <c r="I18" i="4" s="1"/>
  <c r="R18" i="4" s="1"/>
  <c r="J18" i="4" a="1"/>
  <c r="J18" i="4" s="1"/>
  <c r="S18" i="4" s="1"/>
  <c r="K210" i="4" a="1"/>
  <c r="K210" i="4" s="1"/>
  <c r="T210" i="4" s="1"/>
  <c r="H194" i="4" a="1"/>
  <c r="H194" i="4" s="1"/>
  <c r="Q194" i="4" s="1"/>
  <c r="E186" i="4" a="1"/>
  <c r="E186" i="4" s="1"/>
  <c r="I209" i="4" a="1"/>
  <c r="I209" i="4" s="1"/>
  <c r="R209" i="4" s="1"/>
  <c r="J209" i="4" a="1"/>
  <c r="J209" i="4" s="1"/>
  <c r="S209" i="4" s="1"/>
  <c r="E209" i="4" a="1"/>
  <c r="E209" i="4" s="1"/>
  <c r="K209" i="4" a="1"/>
  <c r="K209" i="4" s="1"/>
  <c r="T209" i="4" s="1"/>
  <c r="F209" i="4" a="1"/>
  <c r="F209" i="4" s="1"/>
  <c r="O209" i="4" s="1"/>
  <c r="L209" i="4" a="1"/>
  <c r="L209" i="4" s="1"/>
  <c r="U209" i="4" s="1"/>
  <c r="M209" i="4" a="1"/>
  <c r="M209" i="4" s="1"/>
  <c r="K201" i="4" a="1"/>
  <c r="K201" i="4" s="1"/>
  <c r="T201" i="4" s="1"/>
  <c r="G201" i="4" a="1"/>
  <c r="G201" i="4" s="1"/>
  <c r="P201" i="4" s="1"/>
  <c r="L201" i="4" a="1"/>
  <c r="L201" i="4" s="1"/>
  <c r="U201" i="4" s="1"/>
  <c r="H201" i="4" a="1"/>
  <c r="H201" i="4" s="1"/>
  <c r="Q201" i="4" s="1"/>
  <c r="M201" i="4" a="1"/>
  <c r="M201" i="4" s="1"/>
  <c r="I201" i="4" a="1"/>
  <c r="I201" i="4" s="1"/>
  <c r="R201" i="4" s="1"/>
  <c r="F193" i="4" a="1"/>
  <c r="F193" i="4" s="1"/>
  <c r="O193" i="4" s="1"/>
  <c r="M193" i="4" a="1"/>
  <c r="M193" i="4" s="1"/>
  <c r="G193" i="4" a="1"/>
  <c r="G193" i="4" s="1"/>
  <c r="P193" i="4" s="1"/>
  <c r="H193" i="4" a="1"/>
  <c r="H193" i="4" s="1"/>
  <c r="Q193" i="4" s="1"/>
  <c r="I193" i="4" a="1"/>
  <c r="I193" i="4" s="1"/>
  <c r="R193" i="4" s="1"/>
  <c r="J193" i="4" a="1"/>
  <c r="J193" i="4" s="1"/>
  <c r="S193" i="4" s="1"/>
  <c r="H185" i="4" a="1"/>
  <c r="H185" i="4" s="1"/>
  <c r="Q185" i="4" s="1"/>
  <c r="I185" i="4" a="1"/>
  <c r="I185" i="4" s="1"/>
  <c r="R185" i="4" s="1"/>
  <c r="J185" i="4" a="1"/>
  <c r="J185" i="4" s="1"/>
  <c r="S185" i="4" s="1"/>
  <c r="L185" i="4" a="1"/>
  <c r="L185" i="4" s="1"/>
  <c r="U185" i="4" s="1"/>
  <c r="F185" i="4" a="1"/>
  <c r="F185" i="4" s="1"/>
  <c r="O185" i="4" s="1"/>
  <c r="E185" i="4" a="1"/>
  <c r="E185" i="4" s="1"/>
  <c r="G185" i="4" a="1"/>
  <c r="G185" i="4" s="1"/>
  <c r="P185" i="4" s="1"/>
  <c r="K185" i="4" a="1"/>
  <c r="K185" i="4" s="1"/>
  <c r="T185" i="4" s="1"/>
  <c r="M185" i="4" a="1"/>
  <c r="M185" i="4" s="1"/>
  <c r="F177" i="4" a="1"/>
  <c r="F177" i="4" s="1"/>
  <c r="O177" i="4" s="1"/>
  <c r="K177" i="4" a="1"/>
  <c r="K177" i="4" s="1"/>
  <c r="T177" i="4" s="1"/>
  <c r="G177" i="4" a="1"/>
  <c r="G177" i="4" s="1"/>
  <c r="P177" i="4" s="1"/>
  <c r="L177" i="4" a="1"/>
  <c r="L177" i="4" s="1"/>
  <c r="U177" i="4" s="1"/>
  <c r="H177" i="4" a="1"/>
  <c r="H177" i="4" s="1"/>
  <c r="Q177" i="4" s="1"/>
  <c r="M177" i="4" a="1"/>
  <c r="M177" i="4" s="1"/>
  <c r="I177" i="4" a="1"/>
  <c r="I177" i="4" s="1"/>
  <c r="R177" i="4" s="1"/>
  <c r="E177" i="4" a="1"/>
  <c r="E177" i="4" s="1"/>
  <c r="J177" i="4" a="1"/>
  <c r="J177" i="4" s="1"/>
  <c r="S177" i="4" s="1"/>
  <c r="J169" i="4" a="1"/>
  <c r="J169" i="4" s="1"/>
  <c r="S169" i="4" s="1"/>
  <c r="K169" i="4" a="1"/>
  <c r="K169" i="4" s="1"/>
  <c r="T169" i="4" s="1"/>
  <c r="E169" i="4" a="1"/>
  <c r="E169" i="4" s="1"/>
  <c r="L169" i="4" a="1"/>
  <c r="L169" i="4" s="1"/>
  <c r="U169" i="4" s="1"/>
  <c r="F169" i="4" a="1"/>
  <c r="F169" i="4" s="1"/>
  <c r="O169" i="4" s="1"/>
  <c r="M169" i="4" a="1"/>
  <c r="M169" i="4" s="1"/>
  <c r="G169" i="4" a="1"/>
  <c r="G169" i="4" s="1"/>
  <c r="P169" i="4" s="1"/>
  <c r="H169" i="4" a="1"/>
  <c r="H169" i="4" s="1"/>
  <c r="Q169" i="4" s="1"/>
  <c r="I161" i="4" a="1"/>
  <c r="I161" i="4" s="1"/>
  <c r="R161" i="4" s="1"/>
  <c r="J161" i="4" a="1"/>
  <c r="J161" i="4" s="1"/>
  <c r="S161" i="4" s="1"/>
  <c r="K161" i="4" a="1"/>
  <c r="K161" i="4" s="1"/>
  <c r="T161" i="4" s="1"/>
  <c r="E161" i="4" a="1"/>
  <c r="E161" i="4" s="1"/>
  <c r="L161" i="4" a="1"/>
  <c r="L161" i="4" s="1"/>
  <c r="U161" i="4" s="1"/>
  <c r="F161" i="4" a="1"/>
  <c r="F161" i="4" s="1"/>
  <c r="O161" i="4" s="1"/>
  <c r="G161" i="4" a="1"/>
  <c r="G161" i="4" s="1"/>
  <c r="P161" i="4" s="1"/>
  <c r="M161" i="4" a="1"/>
  <c r="M161" i="4" s="1"/>
  <c r="H161" i="4" a="1"/>
  <c r="H161" i="4" s="1"/>
  <c r="Q161" i="4" s="1"/>
  <c r="H153" i="4" a="1"/>
  <c r="H153" i="4" s="1"/>
  <c r="Q153" i="4" s="1"/>
  <c r="M153" i="4" a="1"/>
  <c r="M153" i="4" s="1"/>
  <c r="I153" i="4" a="1"/>
  <c r="I153" i="4" s="1"/>
  <c r="R153" i="4" s="1"/>
  <c r="J153" i="4" a="1"/>
  <c r="J153" i="4" s="1"/>
  <c r="S153" i="4" s="1"/>
  <c r="E153" i="4" a="1"/>
  <c r="E153" i="4" s="1"/>
  <c r="K153" i="4" a="1"/>
  <c r="K153" i="4" s="1"/>
  <c r="T153" i="4" s="1"/>
  <c r="F153" i="4" a="1"/>
  <c r="F153" i="4" s="1"/>
  <c r="O153" i="4" s="1"/>
  <c r="L153" i="4" a="1"/>
  <c r="L153" i="4" s="1"/>
  <c r="U153" i="4" s="1"/>
  <c r="I145" i="4" a="1"/>
  <c r="I145" i="4" s="1"/>
  <c r="R145" i="4" s="1"/>
  <c r="E145" i="4" a="1"/>
  <c r="E145" i="4" s="1"/>
  <c r="L145" i="4" a="1"/>
  <c r="L145" i="4" s="1"/>
  <c r="U145" i="4" s="1"/>
  <c r="H145" i="4" a="1"/>
  <c r="H145" i="4" s="1"/>
  <c r="Q145" i="4" s="1"/>
  <c r="J145" i="4" a="1"/>
  <c r="J145" i="4" s="1"/>
  <c r="S145" i="4" s="1"/>
  <c r="K145" i="4" a="1"/>
  <c r="K145" i="4" s="1"/>
  <c r="T145" i="4" s="1"/>
  <c r="M145" i="4" a="1"/>
  <c r="M145" i="4" s="1"/>
  <c r="F145" i="4" a="1"/>
  <c r="F145" i="4" s="1"/>
  <c r="O145" i="4" s="1"/>
  <c r="E137" i="4" a="1"/>
  <c r="E137" i="4" s="1"/>
  <c r="L137" i="4" a="1"/>
  <c r="L137" i="4" s="1"/>
  <c r="U137" i="4" s="1"/>
  <c r="F137" i="4" a="1"/>
  <c r="F137" i="4" s="1"/>
  <c r="O137" i="4" s="1"/>
  <c r="M137" i="4" a="1"/>
  <c r="M137" i="4" s="1"/>
  <c r="G137" i="4" a="1"/>
  <c r="G137" i="4" s="1"/>
  <c r="P137" i="4" s="1"/>
  <c r="H137" i="4" a="1"/>
  <c r="H137" i="4" s="1"/>
  <c r="Q137" i="4" s="1"/>
  <c r="I137" i="4" a="1"/>
  <c r="I137" i="4" s="1"/>
  <c r="R137" i="4" s="1"/>
  <c r="J137" i="4" a="1"/>
  <c r="J137" i="4" s="1"/>
  <c r="S137" i="4" s="1"/>
  <c r="K137" i="4" a="1"/>
  <c r="K137" i="4" s="1"/>
  <c r="T137" i="4" s="1"/>
  <c r="J129" i="4" a="1"/>
  <c r="J129" i="4" s="1"/>
  <c r="S129" i="4" s="1"/>
  <c r="K129" i="4" a="1"/>
  <c r="K129" i="4" s="1"/>
  <c r="T129" i="4" s="1"/>
  <c r="E129" i="4" a="1"/>
  <c r="E129" i="4" s="1"/>
  <c r="L129" i="4" a="1"/>
  <c r="L129" i="4" s="1"/>
  <c r="U129" i="4" s="1"/>
  <c r="G129" i="4" a="1"/>
  <c r="G129" i="4" s="1"/>
  <c r="P129" i="4" s="1"/>
  <c r="F129" i="4" a="1"/>
  <c r="F129" i="4" s="1"/>
  <c r="O129" i="4" s="1"/>
  <c r="H129" i="4" a="1"/>
  <c r="H129" i="4" s="1"/>
  <c r="Q129" i="4" s="1"/>
  <c r="I129" i="4" a="1"/>
  <c r="I129" i="4" s="1"/>
  <c r="R129" i="4" s="1"/>
  <c r="I121" i="4" a="1"/>
  <c r="I121" i="4" s="1"/>
  <c r="R121" i="4" s="1"/>
  <c r="J121" i="4" a="1"/>
  <c r="J121" i="4" s="1"/>
  <c r="S121" i="4" s="1"/>
  <c r="F121" i="4" a="1"/>
  <c r="F121" i="4" s="1"/>
  <c r="O121" i="4" s="1"/>
  <c r="K121" i="4" a="1"/>
  <c r="K121" i="4" s="1"/>
  <c r="T121" i="4" s="1"/>
  <c r="M121" i="4" a="1"/>
  <c r="M121" i="4" s="1"/>
  <c r="E121" i="4" a="1"/>
  <c r="E121" i="4" s="1"/>
  <c r="G121" i="4" a="1"/>
  <c r="G121" i="4" s="1"/>
  <c r="P121" i="4" s="1"/>
  <c r="H121" i="4" a="1"/>
  <c r="H121" i="4" s="1"/>
  <c r="Q121" i="4" s="1"/>
  <c r="L121" i="4" a="1"/>
  <c r="L121" i="4" s="1"/>
  <c r="U121" i="4" s="1"/>
  <c r="K113" i="4" a="1"/>
  <c r="K113" i="4" s="1"/>
  <c r="T113" i="4" s="1"/>
  <c r="G113" i="4" a="1"/>
  <c r="G113" i="4" s="1"/>
  <c r="P113" i="4" s="1"/>
  <c r="L113" i="4" a="1"/>
  <c r="L113" i="4" s="1"/>
  <c r="U113" i="4" s="1"/>
  <c r="H113" i="4" a="1"/>
  <c r="H113" i="4" s="1"/>
  <c r="Q113" i="4" s="1"/>
  <c r="M113" i="4" a="1"/>
  <c r="M113" i="4" s="1"/>
  <c r="I113" i="4" a="1"/>
  <c r="I113" i="4" s="1"/>
  <c r="R113" i="4" s="1"/>
  <c r="E113" i="4" a="1"/>
  <c r="E113" i="4" s="1"/>
  <c r="F113" i="4" a="1"/>
  <c r="F113" i="4" s="1"/>
  <c r="O113" i="4" s="1"/>
  <c r="J113" i="4" a="1"/>
  <c r="J113" i="4" s="1"/>
  <c r="S113" i="4" s="1"/>
  <c r="K105" i="4" a="1"/>
  <c r="K105" i="4" s="1"/>
  <c r="T105" i="4" s="1"/>
  <c r="E105" i="4" a="1"/>
  <c r="E105" i="4" s="1"/>
  <c r="F105" i="4" a="1"/>
  <c r="F105" i="4" s="1"/>
  <c r="O105" i="4" s="1"/>
  <c r="L105" i="4" a="1"/>
  <c r="L105" i="4" s="1"/>
  <c r="U105" i="4" s="1"/>
  <c r="G105" i="4" a="1"/>
  <c r="G105" i="4" s="1"/>
  <c r="P105" i="4" s="1"/>
  <c r="M105" i="4" a="1"/>
  <c r="M105" i="4" s="1"/>
  <c r="H105" i="4" a="1"/>
  <c r="H105" i="4" s="1"/>
  <c r="Q105" i="4" s="1"/>
  <c r="I105" i="4" a="1"/>
  <c r="I105" i="4" s="1"/>
  <c r="R105" i="4" s="1"/>
  <c r="J105" i="4" a="1"/>
  <c r="J105" i="4" s="1"/>
  <c r="S105" i="4" s="1"/>
  <c r="K97" i="4" a="1"/>
  <c r="K97" i="4" s="1"/>
  <c r="T97" i="4" s="1"/>
  <c r="E97" i="4" a="1"/>
  <c r="E97" i="4" s="1"/>
  <c r="F97" i="4" a="1"/>
  <c r="F97" i="4" s="1"/>
  <c r="O97" i="4" s="1"/>
  <c r="L97" i="4" a="1"/>
  <c r="L97" i="4" s="1"/>
  <c r="U97" i="4" s="1"/>
  <c r="G97" i="4" a="1"/>
  <c r="G97" i="4" s="1"/>
  <c r="P97" i="4" s="1"/>
  <c r="I97" i="4" a="1"/>
  <c r="I97" i="4" s="1"/>
  <c r="R97" i="4" s="1"/>
  <c r="J97" i="4" a="1"/>
  <c r="J97" i="4" s="1"/>
  <c r="S97" i="4" s="1"/>
  <c r="H97" i="4" a="1"/>
  <c r="H97" i="4" s="1"/>
  <c r="Q97" i="4" s="1"/>
  <c r="M97" i="4" a="1"/>
  <c r="M97" i="4" s="1"/>
  <c r="E89" i="4" a="1"/>
  <c r="E89" i="4" s="1"/>
  <c r="M89" i="4" a="1"/>
  <c r="M89" i="4" s="1"/>
  <c r="F89" i="4" a="1"/>
  <c r="F89" i="4" s="1"/>
  <c r="O89" i="4" s="1"/>
  <c r="G89" i="4" a="1"/>
  <c r="G89" i="4" s="1"/>
  <c r="P89" i="4" s="1"/>
  <c r="H89" i="4" a="1"/>
  <c r="H89" i="4" s="1"/>
  <c r="Q89" i="4" s="1"/>
  <c r="J89" i="4" a="1"/>
  <c r="J89" i="4" s="1"/>
  <c r="S89" i="4" s="1"/>
  <c r="K89" i="4" a="1"/>
  <c r="K89" i="4" s="1"/>
  <c r="T89" i="4" s="1"/>
  <c r="I89" i="4" a="1"/>
  <c r="I89" i="4" s="1"/>
  <c r="R89" i="4" s="1"/>
  <c r="L89" i="4" a="1"/>
  <c r="L89" i="4" s="1"/>
  <c r="U89" i="4" s="1"/>
  <c r="E81" i="4" a="1"/>
  <c r="E81" i="4" s="1"/>
  <c r="M81" i="4" a="1"/>
  <c r="M81" i="4" s="1"/>
  <c r="F81" i="4" a="1"/>
  <c r="F81" i="4" s="1"/>
  <c r="O81" i="4" s="1"/>
  <c r="G81" i="4" a="1"/>
  <c r="G81" i="4" s="1"/>
  <c r="P81" i="4" s="1"/>
  <c r="H81" i="4" a="1"/>
  <c r="H81" i="4" s="1"/>
  <c r="Q81" i="4" s="1"/>
  <c r="J81" i="4" a="1"/>
  <c r="J81" i="4" s="1"/>
  <c r="S81" i="4" s="1"/>
  <c r="K81" i="4" a="1"/>
  <c r="K81" i="4" s="1"/>
  <c r="T81" i="4" s="1"/>
  <c r="I81" i="4" a="1"/>
  <c r="I81" i="4" s="1"/>
  <c r="R81" i="4" s="1"/>
  <c r="L81" i="4" a="1"/>
  <c r="L81" i="4" s="1"/>
  <c r="U81" i="4" s="1"/>
  <c r="E73" i="4" a="1"/>
  <c r="E73" i="4" s="1"/>
  <c r="M73" i="4" a="1"/>
  <c r="M73" i="4" s="1"/>
  <c r="F73" i="4" a="1"/>
  <c r="F73" i="4" s="1"/>
  <c r="O73" i="4" s="1"/>
  <c r="G73" i="4" a="1"/>
  <c r="G73" i="4" s="1"/>
  <c r="P73" i="4" s="1"/>
  <c r="H73" i="4" a="1"/>
  <c r="H73" i="4" s="1"/>
  <c r="Q73" i="4" s="1"/>
  <c r="I73" i="4" a="1"/>
  <c r="I73" i="4" s="1"/>
  <c r="R73" i="4" s="1"/>
  <c r="J73" i="4" a="1"/>
  <c r="J73" i="4" s="1"/>
  <c r="S73" i="4" s="1"/>
  <c r="K73" i="4" a="1"/>
  <c r="K73" i="4" s="1"/>
  <c r="T73" i="4" s="1"/>
  <c r="L73" i="4" a="1"/>
  <c r="L73" i="4" s="1"/>
  <c r="U73" i="4" s="1"/>
  <c r="E65" i="4" a="1"/>
  <c r="E65" i="4" s="1"/>
  <c r="L65" i="4" a="1"/>
  <c r="L65" i="4" s="1"/>
  <c r="U65" i="4" s="1"/>
  <c r="F65" i="4" a="1"/>
  <c r="F65" i="4" s="1"/>
  <c r="O65" i="4" s="1"/>
  <c r="M65" i="4" a="1"/>
  <c r="M65" i="4" s="1"/>
  <c r="G65" i="4" a="1"/>
  <c r="G65" i="4" s="1"/>
  <c r="P65" i="4" s="1"/>
  <c r="H65" i="4" a="1"/>
  <c r="H65" i="4" s="1"/>
  <c r="Q65" i="4" s="1"/>
  <c r="J65" i="4" a="1"/>
  <c r="J65" i="4" s="1"/>
  <c r="S65" i="4" s="1"/>
  <c r="K65" i="4" a="1"/>
  <c r="K65" i="4" s="1"/>
  <c r="T65" i="4" s="1"/>
  <c r="I65" i="4" a="1"/>
  <c r="I65" i="4" s="1"/>
  <c r="R65" i="4" s="1"/>
  <c r="E57" i="4" a="1"/>
  <c r="E57" i="4" s="1"/>
  <c r="K57" i="4" a="1"/>
  <c r="K57" i="4" s="1"/>
  <c r="T57" i="4" s="1"/>
  <c r="F57" i="4" a="1"/>
  <c r="F57" i="4" s="1"/>
  <c r="O57" i="4" s="1"/>
  <c r="G57" i="4" a="1"/>
  <c r="G57" i="4" s="1"/>
  <c r="P57" i="4" s="1"/>
  <c r="L57" i="4" a="1"/>
  <c r="L57" i="4" s="1"/>
  <c r="U57" i="4" s="1"/>
  <c r="H57" i="4" a="1"/>
  <c r="H57" i="4" s="1"/>
  <c r="Q57" i="4" s="1"/>
  <c r="M57" i="4" a="1"/>
  <c r="M57" i="4" s="1"/>
  <c r="I57" i="4" a="1"/>
  <c r="I57" i="4" s="1"/>
  <c r="R57" i="4" s="1"/>
  <c r="J57" i="4" a="1"/>
  <c r="J57" i="4" s="1"/>
  <c r="S57" i="4" s="1"/>
  <c r="E49" i="4" a="1"/>
  <c r="E49" i="4" s="1"/>
  <c r="K49" i="4" a="1"/>
  <c r="K49" i="4" s="1"/>
  <c r="T49" i="4" s="1"/>
  <c r="F49" i="4" a="1"/>
  <c r="F49" i="4" s="1"/>
  <c r="O49" i="4" s="1"/>
  <c r="G49" i="4" a="1"/>
  <c r="G49" i="4" s="1"/>
  <c r="P49" i="4" s="1"/>
  <c r="L49" i="4" a="1"/>
  <c r="L49" i="4" s="1"/>
  <c r="U49" i="4" s="1"/>
  <c r="H49" i="4" a="1"/>
  <c r="H49" i="4" s="1"/>
  <c r="Q49" i="4" s="1"/>
  <c r="M49" i="4" a="1"/>
  <c r="M49" i="4" s="1"/>
  <c r="J49" i="4" a="1"/>
  <c r="J49" i="4" s="1"/>
  <c r="S49" i="4" s="1"/>
  <c r="I49" i="4" a="1"/>
  <c r="I49" i="4" s="1"/>
  <c r="R49" i="4" s="1"/>
  <c r="G41" i="4" a="1"/>
  <c r="G41" i="4" s="1"/>
  <c r="P41" i="4" s="1"/>
  <c r="L41" i="4" a="1"/>
  <c r="L41" i="4" s="1"/>
  <c r="U41" i="4" s="1"/>
  <c r="H41" i="4" a="1"/>
  <c r="H41" i="4" s="1"/>
  <c r="Q41" i="4" s="1"/>
  <c r="M41" i="4" a="1"/>
  <c r="M41" i="4" s="1"/>
  <c r="I41" i="4" a="1"/>
  <c r="I41" i="4" s="1"/>
  <c r="R41" i="4" s="1"/>
  <c r="J41" i="4" a="1"/>
  <c r="J41" i="4" s="1"/>
  <c r="S41" i="4" s="1"/>
  <c r="K41" i="4" a="1"/>
  <c r="K41" i="4" s="1"/>
  <c r="T41" i="4" s="1"/>
  <c r="E41" i="4" a="1"/>
  <c r="E41" i="4" s="1"/>
  <c r="F41" i="4" a="1"/>
  <c r="F41" i="4" s="1"/>
  <c r="O41" i="4" s="1"/>
  <c r="G33" i="4" a="1"/>
  <c r="G33" i="4" s="1"/>
  <c r="P33" i="4" s="1"/>
  <c r="M33" i="4" a="1"/>
  <c r="M33" i="4" s="1"/>
  <c r="H33" i="4" a="1"/>
  <c r="H33" i="4" s="1"/>
  <c r="Q33" i="4" s="1"/>
  <c r="I33" i="4" a="1"/>
  <c r="I33" i="4" s="1"/>
  <c r="R33" i="4" s="1"/>
  <c r="F33" i="4" a="1"/>
  <c r="F33" i="4" s="1"/>
  <c r="O33" i="4" s="1"/>
  <c r="J33" i="4" a="1"/>
  <c r="J33" i="4" s="1"/>
  <c r="S33" i="4" s="1"/>
  <c r="K33" i="4" a="1"/>
  <c r="K33" i="4" s="1"/>
  <c r="T33" i="4" s="1"/>
  <c r="L33" i="4" a="1"/>
  <c r="L33" i="4" s="1"/>
  <c r="U33" i="4" s="1"/>
  <c r="E33" i="4" a="1"/>
  <c r="E33" i="4" s="1"/>
  <c r="H25" i="4" a="1"/>
  <c r="H25" i="4" s="1"/>
  <c r="Q25" i="4" s="1"/>
  <c r="I25" i="4" a="1"/>
  <c r="I25" i="4" s="1"/>
  <c r="R25" i="4" s="1"/>
  <c r="J25" i="4" a="1"/>
  <c r="J25" i="4" s="1"/>
  <c r="S25" i="4" s="1"/>
  <c r="E25" i="4" a="1"/>
  <c r="E25" i="4" s="1"/>
  <c r="K25" i="4" a="1"/>
  <c r="K25" i="4" s="1"/>
  <c r="T25" i="4" s="1"/>
  <c r="G25" i="4" a="1"/>
  <c r="G25" i="4" s="1"/>
  <c r="P25" i="4" s="1"/>
  <c r="L25" i="4" a="1"/>
  <c r="L25" i="4" s="1"/>
  <c r="U25" i="4" s="1"/>
  <c r="M25" i="4" a="1"/>
  <c r="M25" i="4" s="1"/>
  <c r="F25" i="4" a="1"/>
  <c r="F25" i="4" s="1"/>
  <c r="O25" i="4" s="1"/>
  <c r="E17" i="4" a="1"/>
  <c r="E17" i="4" s="1"/>
  <c r="J17" i="4" a="1"/>
  <c r="J17" i="4" s="1"/>
  <c r="S17" i="4" s="1"/>
  <c r="K17" i="4" a="1"/>
  <c r="K17" i="4" s="1"/>
  <c r="T17" i="4" s="1"/>
  <c r="F17" i="4" a="1"/>
  <c r="F17" i="4" s="1"/>
  <c r="O17" i="4" s="1"/>
  <c r="G17" i="4" a="1"/>
  <c r="G17" i="4" s="1"/>
  <c r="P17" i="4" s="1"/>
  <c r="L17" i="4" a="1"/>
  <c r="L17" i="4" s="1"/>
  <c r="U17" i="4" s="1"/>
  <c r="H17" i="4" a="1"/>
  <c r="H17" i="4" s="1"/>
  <c r="Q17" i="4" s="1"/>
  <c r="I17" i="4" a="1"/>
  <c r="I17" i="4" s="1"/>
  <c r="R17" i="4" s="1"/>
  <c r="M17" i="4" a="1"/>
  <c r="M17" i="4" s="1"/>
  <c r="M212" i="4" a="1"/>
  <c r="M212" i="4" s="1"/>
  <c r="G207" i="4" a="1"/>
  <c r="G207" i="4" s="1"/>
  <c r="P207" i="4" s="1"/>
  <c r="K204" i="4" a="1"/>
  <c r="K204" i="4" s="1"/>
  <c r="T204" i="4" s="1"/>
  <c r="L193" i="4" a="1"/>
  <c r="L193" i="4" s="1"/>
  <c r="U193" i="4" s="1"/>
  <c r="J190" i="4" a="1"/>
  <c r="J190" i="4" s="1"/>
  <c r="S190" i="4" s="1"/>
  <c r="I169" i="4" a="1"/>
  <c r="I169" i="4" s="1"/>
  <c r="R169" i="4" s="1"/>
  <c r="G145" i="4" a="1"/>
  <c r="G145" i="4" s="1"/>
  <c r="P145" i="4" s="1"/>
  <c r="E208" i="4" a="1"/>
  <c r="E208" i="4" s="1"/>
  <c r="F208" i="4" a="1"/>
  <c r="F208" i="4" s="1"/>
  <c r="O208" i="4" s="1"/>
  <c r="L208" i="4" a="1"/>
  <c r="L208" i="4" s="1"/>
  <c r="U208" i="4" s="1"/>
  <c r="G208" i="4" a="1"/>
  <c r="G208" i="4" s="1"/>
  <c r="P208" i="4" s="1"/>
  <c r="M208" i="4" a="1"/>
  <c r="M208" i="4" s="1"/>
  <c r="H208" i="4" a="1"/>
  <c r="H208" i="4" s="1"/>
  <c r="Q208" i="4" s="1"/>
  <c r="I208" i="4" a="1"/>
  <c r="I208" i="4" s="1"/>
  <c r="R208" i="4" s="1"/>
  <c r="F200" i="4" a="1"/>
  <c r="F200" i="4" s="1"/>
  <c r="O200" i="4" s="1"/>
  <c r="K200" i="4" a="1"/>
  <c r="K200" i="4" s="1"/>
  <c r="T200" i="4" s="1"/>
  <c r="G200" i="4" a="1"/>
  <c r="G200" i="4" s="1"/>
  <c r="P200" i="4" s="1"/>
  <c r="L200" i="4" a="1"/>
  <c r="L200" i="4" s="1"/>
  <c r="U200" i="4" s="1"/>
  <c r="H200" i="4" a="1"/>
  <c r="H200" i="4" s="1"/>
  <c r="Q200" i="4" s="1"/>
  <c r="M200" i="4" a="1"/>
  <c r="M200" i="4" s="1"/>
  <c r="I200" i="4" a="1"/>
  <c r="I200" i="4" s="1"/>
  <c r="R200" i="4" s="1"/>
  <c r="H192" i="4" a="1"/>
  <c r="H192" i="4" s="1"/>
  <c r="Q192" i="4" s="1"/>
  <c r="I192" i="4" a="1"/>
  <c r="I192" i="4" s="1"/>
  <c r="R192" i="4" s="1"/>
  <c r="J192" i="4" a="1"/>
  <c r="J192" i="4" s="1"/>
  <c r="S192" i="4" s="1"/>
  <c r="E192" i="4" a="1"/>
  <c r="E192" i="4" s="1"/>
  <c r="K192" i="4" a="1"/>
  <c r="K192" i="4" s="1"/>
  <c r="T192" i="4" s="1"/>
  <c r="F192" i="4" a="1"/>
  <c r="F192" i="4" s="1"/>
  <c r="O192" i="4" s="1"/>
  <c r="L192" i="4" a="1"/>
  <c r="L192" i="4" s="1"/>
  <c r="U192" i="4" s="1"/>
  <c r="M192" i="4" a="1"/>
  <c r="M192" i="4" s="1"/>
  <c r="K184" i="4" a="1"/>
  <c r="K184" i="4" s="1"/>
  <c r="T184" i="4" s="1"/>
  <c r="F184" i="4" a="1"/>
  <c r="F184" i="4" s="1"/>
  <c r="O184" i="4" s="1"/>
  <c r="L184" i="4" a="1"/>
  <c r="L184" i="4" s="1"/>
  <c r="U184" i="4" s="1"/>
  <c r="M184" i="4" a="1"/>
  <c r="M184" i="4" s="1"/>
  <c r="G184" i="4" a="1"/>
  <c r="G184" i="4" s="1"/>
  <c r="P184" i="4" s="1"/>
  <c r="H184" i="4" a="1"/>
  <c r="H184" i="4" s="1"/>
  <c r="Q184" i="4" s="1"/>
  <c r="J184" i="4" a="1"/>
  <c r="J184" i="4" s="1"/>
  <c r="S184" i="4" s="1"/>
  <c r="H176" i="4" a="1"/>
  <c r="H176" i="4" s="1"/>
  <c r="Q176" i="4" s="1"/>
  <c r="I176" i="4" a="1"/>
  <c r="I176" i="4" s="1"/>
  <c r="R176" i="4" s="1"/>
  <c r="J176" i="4" a="1"/>
  <c r="J176" i="4" s="1"/>
  <c r="S176" i="4" s="1"/>
  <c r="E176" i="4" a="1"/>
  <c r="E176" i="4" s="1"/>
  <c r="K176" i="4" a="1"/>
  <c r="K176" i="4" s="1"/>
  <c r="T176" i="4" s="1"/>
  <c r="F176" i="4" a="1"/>
  <c r="F176" i="4" s="1"/>
  <c r="O176" i="4" s="1"/>
  <c r="L176" i="4" a="1"/>
  <c r="L176" i="4" s="1"/>
  <c r="U176" i="4" s="1"/>
  <c r="M176" i="4" a="1"/>
  <c r="M176" i="4" s="1"/>
  <c r="G176" i="4" a="1"/>
  <c r="G176" i="4" s="1"/>
  <c r="P176" i="4" s="1"/>
  <c r="F168" i="4" a="1"/>
  <c r="F168" i="4" s="1"/>
  <c r="O168" i="4" s="1"/>
  <c r="M168" i="4" a="1"/>
  <c r="M168" i="4" s="1"/>
  <c r="G168" i="4" a="1"/>
  <c r="G168" i="4" s="1"/>
  <c r="P168" i="4" s="1"/>
  <c r="H168" i="4" a="1"/>
  <c r="H168" i="4" s="1"/>
  <c r="Q168" i="4" s="1"/>
  <c r="I168" i="4" a="1"/>
  <c r="I168" i="4" s="1"/>
  <c r="R168" i="4" s="1"/>
  <c r="J168" i="4" a="1"/>
  <c r="J168" i="4" s="1"/>
  <c r="S168" i="4" s="1"/>
  <c r="K168" i="4" a="1"/>
  <c r="K168" i="4" s="1"/>
  <c r="T168" i="4" s="1"/>
  <c r="E168" i="4" a="1"/>
  <c r="E168" i="4" s="1"/>
  <c r="F160" i="4" a="1"/>
  <c r="F160" i="4" s="1"/>
  <c r="O160" i="4" s="1"/>
  <c r="G160" i="4" a="1"/>
  <c r="G160" i="4" s="1"/>
  <c r="P160" i="4" s="1"/>
  <c r="L160" i="4" a="1"/>
  <c r="L160" i="4" s="1"/>
  <c r="U160" i="4" s="1"/>
  <c r="M160" i="4" a="1"/>
  <c r="M160" i="4" s="1"/>
  <c r="H160" i="4" a="1"/>
  <c r="H160" i="4" s="1"/>
  <c r="Q160" i="4" s="1"/>
  <c r="I160" i="4" a="1"/>
  <c r="I160" i="4" s="1"/>
  <c r="R160" i="4" s="1"/>
  <c r="J160" i="4" a="1"/>
  <c r="J160" i="4" s="1"/>
  <c r="S160" i="4" s="1"/>
  <c r="E160" i="4" a="1"/>
  <c r="E160" i="4" s="1"/>
  <c r="K160" i="4" a="1"/>
  <c r="K160" i="4" s="1"/>
  <c r="T160" i="4" s="1"/>
  <c r="J152" i="4" a="1"/>
  <c r="J152" i="4" s="1"/>
  <c r="S152" i="4" s="1"/>
  <c r="E152" i="4" a="1"/>
  <c r="E152" i="4" s="1"/>
  <c r="F152" i="4" a="1"/>
  <c r="F152" i="4" s="1"/>
  <c r="O152" i="4" s="1"/>
  <c r="K152" i="4" a="1"/>
  <c r="K152" i="4" s="1"/>
  <c r="T152" i="4" s="1"/>
  <c r="G152" i="4" a="1"/>
  <c r="G152" i="4" s="1"/>
  <c r="P152" i="4" s="1"/>
  <c r="L152" i="4" a="1"/>
  <c r="L152" i="4" s="1"/>
  <c r="U152" i="4" s="1"/>
  <c r="M152" i="4" a="1"/>
  <c r="M152" i="4" s="1"/>
  <c r="H152" i="4" a="1"/>
  <c r="H152" i="4" s="1"/>
  <c r="Q152" i="4" s="1"/>
  <c r="I152" i="4" a="1"/>
  <c r="I152" i="4" s="1"/>
  <c r="R152" i="4" s="1"/>
  <c r="E144" i="4" a="1"/>
  <c r="E144" i="4" s="1"/>
  <c r="K144" i="4" a="1"/>
  <c r="K144" i="4" s="1"/>
  <c r="T144" i="4" s="1"/>
  <c r="F144" i="4" a="1"/>
  <c r="F144" i="4" s="1"/>
  <c r="O144" i="4" s="1"/>
  <c r="L144" i="4" a="1"/>
  <c r="L144" i="4" s="1"/>
  <c r="U144" i="4" s="1"/>
  <c r="M144" i="4" a="1"/>
  <c r="M144" i="4" s="1"/>
  <c r="G144" i="4" a="1"/>
  <c r="G144" i="4" s="1"/>
  <c r="P144" i="4" s="1"/>
  <c r="I144" i="4" a="1"/>
  <c r="I144" i="4" s="1"/>
  <c r="R144" i="4" s="1"/>
  <c r="H144" i="4" a="1"/>
  <c r="H144" i="4" s="1"/>
  <c r="Q144" i="4" s="1"/>
  <c r="J144" i="4" a="1"/>
  <c r="J144" i="4" s="1"/>
  <c r="S144" i="4" s="1"/>
  <c r="G136" i="4" a="1"/>
  <c r="G136" i="4" s="1"/>
  <c r="P136" i="4" s="1"/>
  <c r="H136" i="4" a="1"/>
  <c r="H136" i="4" s="1"/>
  <c r="Q136" i="4" s="1"/>
  <c r="I136" i="4" a="1"/>
  <c r="I136" i="4" s="1"/>
  <c r="R136" i="4" s="1"/>
  <c r="J136" i="4" a="1"/>
  <c r="J136" i="4" s="1"/>
  <c r="S136" i="4" s="1"/>
  <c r="E136" i="4" a="1"/>
  <c r="E136" i="4" s="1"/>
  <c r="F136" i="4" a="1"/>
  <c r="F136" i="4" s="1"/>
  <c r="O136" i="4" s="1"/>
  <c r="K136" i="4" a="1"/>
  <c r="K136" i="4" s="1"/>
  <c r="T136" i="4" s="1"/>
  <c r="L136" i="4" a="1"/>
  <c r="L136" i="4" s="1"/>
  <c r="U136" i="4" s="1"/>
  <c r="M136" i="4" a="1"/>
  <c r="M136" i="4" s="1"/>
  <c r="E128" i="4" a="1"/>
  <c r="E128" i="4" s="1"/>
  <c r="F128" i="4" a="1"/>
  <c r="F128" i="4" s="1"/>
  <c r="O128" i="4" s="1"/>
  <c r="L128" i="4" a="1"/>
  <c r="L128" i="4" s="1"/>
  <c r="U128" i="4" s="1"/>
  <c r="G128" i="4" a="1"/>
  <c r="G128" i="4" s="1"/>
  <c r="P128" i="4" s="1"/>
  <c r="M128" i="4" a="1"/>
  <c r="M128" i="4" s="1"/>
  <c r="H128" i="4" a="1"/>
  <c r="H128" i="4" s="1"/>
  <c r="Q128" i="4" s="1"/>
  <c r="J128" i="4" a="1"/>
  <c r="J128" i="4" s="1"/>
  <c r="S128" i="4" s="1"/>
  <c r="I128" i="4" a="1"/>
  <c r="I128" i="4" s="1"/>
  <c r="R128" i="4" s="1"/>
  <c r="K128" i="4" a="1"/>
  <c r="K128" i="4" s="1"/>
  <c r="T128" i="4" s="1"/>
  <c r="K120" i="4" a="1"/>
  <c r="K120" i="4" s="1"/>
  <c r="T120" i="4" s="1"/>
  <c r="F120" i="4" a="1"/>
  <c r="F120" i="4" s="1"/>
  <c r="O120" i="4" s="1"/>
  <c r="L120" i="4" a="1"/>
  <c r="L120" i="4" s="1"/>
  <c r="U120" i="4" s="1"/>
  <c r="G120" i="4" a="1"/>
  <c r="G120" i="4" s="1"/>
  <c r="P120" i="4" s="1"/>
  <c r="M120" i="4" a="1"/>
  <c r="M120" i="4" s="1"/>
  <c r="H120" i="4" a="1"/>
  <c r="H120" i="4" s="1"/>
  <c r="Q120" i="4" s="1"/>
  <c r="I120" i="4" a="1"/>
  <c r="I120" i="4" s="1"/>
  <c r="R120" i="4" s="1"/>
  <c r="J120" i="4" a="1"/>
  <c r="J120" i="4" s="1"/>
  <c r="S120" i="4" s="1"/>
  <c r="E120" i="4" a="1"/>
  <c r="E120" i="4" s="1"/>
  <c r="K112" i="4" a="1"/>
  <c r="K112" i="4" s="1"/>
  <c r="T112" i="4" s="1"/>
  <c r="G112" i="4" a="1"/>
  <c r="G112" i="4" s="1"/>
  <c r="P112" i="4" s="1"/>
  <c r="L112" i="4" a="1"/>
  <c r="L112" i="4" s="1"/>
  <c r="U112" i="4" s="1"/>
  <c r="H112" i="4" a="1"/>
  <c r="H112" i="4" s="1"/>
  <c r="Q112" i="4" s="1"/>
  <c r="M112" i="4" a="1"/>
  <c r="M112" i="4" s="1"/>
  <c r="I112" i="4" a="1"/>
  <c r="I112" i="4" s="1"/>
  <c r="R112" i="4" s="1"/>
  <c r="E112" i="4" a="1"/>
  <c r="E112" i="4" s="1"/>
  <c r="F112" i="4" a="1"/>
  <c r="F112" i="4" s="1"/>
  <c r="O112" i="4" s="1"/>
  <c r="J112" i="4" a="1"/>
  <c r="J112" i="4" s="1"/>
  <c r="S112" i="4" s="1"/>
  <c r="G104" i="4" a="1"/>
  <c r="G104" i="4" s="1"/>
  <c r="P104" i="4" s="1"/>
  <c r="M104" i="4" a="1"/>
  <c r="M104" i="4" s="1"/>
  <c r="H104" i="4" a="1"/>
  <c r="H104" i="4" s="1"/>
  <c r="Q104" i="4" s="1"/>
  <c r="I104" i="4" a="1"/>
  <c r="I104" i="4" s="1"/>
  <c r="R104" i="4" s="1"/>
  <c r="J104" i="4" a="1"/>
  <c r="J104" i="4" s="1"/>
  <c r="S104" i="4" s="1"/>
  <c r="K104" i="4" a="1"/>
  <c r="K104" i="4" s="1"/>
  <c r="T104" i="4" s="1"/>
  <c r="E104" i="4" a="1"/>
  <c r="E104" i="4" s="1"/>
  <c r="F104" i="4" a="1"/>
  <c r="F104" i="4" s="1"/>
  <c r="O104" i="4" s="1"/>
  <c r="L104" i="4" a="1"/>
  <c r="L104" i="4" s="1"/>
  <c r="U104" i="4" s="1"/>
  <c r="H96" i="4" a="1"/>
  <c r="H96" i="4" s="1"/>
  <c r="Q96" i="4" s="1"/>
  <c r="I96" i="4" a="1"/>
  <c r="I96" i="4" s="1"/>
  <c r="R96" i="4" s="1"/>
  <c r="J96" i="4" a="1"/>
  <c r="J96" i="4" s="1"/>
  <c r="S96" i="4" s="1"/>
  <c r="K96" i="4" a="1"/>
  <c r="K96" i="4" s="1"/>
  <c r="T96" i="4" s="1"/>
  <c r="L96" i="4" a="1"/>
  <c r="L96" i="4" s="1"/>
  <c r="U96" i="4" s="1"/>
  <c r="F96" i="4" a="1"/>
  <c r="F96" i="4" s="1"/>
  <c r="O96" i="4" s="1"/>
  <c r="E96" i="4" a="1"/>
  <c r="E96" i="4" s="1"/>
  <c r="G96" i="4" a="1"/>
  <c r="G96" i="4" s="1"/>
  <c r="P96" i="4" s="1"/>
  <c r="M96" i="4" a="1"/>
  <c r="M96" i="4" s="1"/>
  <c r="F88" i="4" a="1"/>
  <c r="F88" i="4" s="1"/>
  <c r="O88" i="4" s="1"/>
  <c r="G88" i="4" a="1"/>
  <c r="G88" i="4" s="1"/>
  <c r="P88" i="4" s="1"/>
  <c r="H88" i="4" a="1"/>
  <c r="H88" i="4" s="1"/>
  <c r="Q88" i="4" s="1"/>
  <c r="I88" i="4" a="1"/>
  <c r="I88" i="4" s="1"/>
  <c r="R88" i="4" s="1"/>
  <c r="K88" i="4" a="1"/>
  <c r="K88" i="4" s="1"/>
  <c r="T88" i="4" s="1"/>
  <c r="L88" i="4" a="1"/>
  <c r="L88" i="4" s="1"/>
  <c r="U88" i="4" s="1"/>
  <c r="E88" i="4" a="1"/>
  <c r="E88" i="4" s="1"/>
  <c r="J88" i="4" a="1"/>
  <c r="J88" i="4" s="1"/>
  <c r="S88" i="4" s="1"/>
  <c r="M88" i="4" a="1"/>
  <c r="M88" i="4" s="1"/>
  <c r="F80" i="4" a="1"/>
  <c r="F80" i="4" s="1"/>
  <c r="O80" i="4" s="1"/>
  <c r="G80" i="4" a="1"/>
  <c r="G80" i="4" s="1"/>
  <c r="P80" i="4" s="1"/>
  <c r="H80" i="4" a="1"/>
  <c r="H80" i="4" s="1"/>
  <c r="Q80" i="4" s="1"/>
  <c r="I80" i="4" a="1"/>
  <c r="I80" i="4" s="1"/>
  <c r="R80" i="4" s="1"/>
  <c r="K80" i="4" a="1"/>
  <c r="K80" i="4" s="1"/>
  <c r="T80" i="4" s="1"/>
  <c r="L80" i="4" a="1"/>
  <c r="L80" i="4" s="1"/>
  <c r="U80" i="4" s="1"/>
  <c r="J80" i="4" a="1"/>
  <c r="J80" i="4" s="1"/>
  <c r="S80" i="4" s="1"/>
  <c r="M80" i="4" a="1"/>
  <c r="M80" i="4" s="1"/>
  <c r="E80" i="4" a="1"/>
  <c r="E80" i="4" s="1"/>
  <c r="F72" i="4" a="1"/>
  <c r="F72" i="4" s="1"/>
  <c r="O72" i="4" s="1"/>
  <c r="G72" i="4" a="1"/>
  <c r="G72" i="4" s="1"/>
  <c r="P72" i="4" s="1"/>
  <c r="H72" i="4" a="1"/>
  <c r="H72" i="4" s="1"/>
  <c r="Q72" i="4" s="1"/>
  <c r="I72" i="4" a="1"/>
  <c r="I72" i="4" s="1"/>
  <c r="R72" i="4" s="1"/>
  <c r="J72" i="4" a="1"/>
  <c r="J72" i="4" s="1"/>
  <c r="S72" i="4" s="1"/>
  <c r="K72" i="4" a="1"/>
  <c r="K72" i="4" s="1"/>
  <c r="T72" i="4" s="1"/>
  <c r="L72" i="4" a="1"/>
  <c r="L72" i="4" s="1"/>
  <c r="U72" i="4" s="1"/>
  <c r="E72" i="4" a="1"/>
  <c r="E72" i="4" s="1"/>
  <c r="M72" i="4" a="1"/>
  <c r="M72" i="4" s="1"/>
  <c r="H64" i="4" a="1"/>
  <c r="H64" i="4" s="1"/>
  <c r="Q64" i="4" s="1"/>
  <c r="I64" i="4" a="1"/>
  <c r="I64" i="4" s="1"/>
  <c r="R64" i="4" s="1"/>
  <c r="J64" i="4" a="1"/>
  <c r="J64" i="4" s="1"/>
  <c r="S64" i="4" s="1"/>
  <c r="F64" i="4" a="1"/>
  <c r="F64" i="4" s="1"/>
  <c r="O64" i="4" s="1"/>
  <c r="G64" i="4" a="1"/>
  <c r="G64" i="4" s="1"/>
  <c r="P64" i="4" s="1"/>
  <c r="K64" i="4" a="1"/>
  <c r="K64" i="4" s="1"/>
  <c r="T64" i="4" s="1"/>
  <c r="L64" i="4" a="1"/>
  <c r="L64" i="4" s="1"/>
  <c r="U64" i="4" s="1"/>
  <c r="M64" i="4" a="1"/>
  <c r="M64" i="4" s="1"/>
  <c r="E64" i="4" a="1"/>
  <c r="E64" i="4" s="1"/>
  <c r="E56" i="4" a="1"/>
  <c r="E56" i="4" s="1"/>
  <c r="J56" i="4" a="1"/>
  <c r="J56" i="4" s="1"/>
  <c r="S56" i="4" s="1"/>
  <c r="F56" i="4" a="1"/>
  <c r="F56" i="4" s="1"/>
  <c r="O56" i="4" s="1"/>
  <c r="K56" i="4" a="1"/>
  <c r="K56" i="4" s="1"/>
  <c r="T56" i="4" s="1"/>
  <c r="G56" i="4" a="1"/>
  <c r="G56" i="4" s="1"/>
  <c r="P56" i="4" s="1"/>
  <c r="L56" i="4" a="1"/>
  <c r="L56" i="4" s="1"/>
  <c r="U56" i="4" s="1"/>
  <c r="H56" i="4" a="1"/>
  <c r="H56" i="4" s="1"/>
  <c r="Q56" i="4" s="1"/>
  <c r="I56" i="4" a="1"/>
  <c r="I56" i="4" s="1"/>
  <c r="R56" i="4" s="1"/>
  <c r="M56" i="4" a="1"/>
  <c r="M56" i="4" s="1"/>
  <c r="I48" i="4" a="1"/>
  <c r="I48" i="4" s="1"/>
  <c r="R48" i="4" s="1"/>
  <c r="E48" i="4" a="1"/>
  <c r="E48" i="4" s="1"/>
  <c r="J48" i="4" a="1"/>
  <c r="J48" i="4" s="1"/>
  <c r="S48" i="4" s="1"/>
  <c r="F48" i="4" a="1"/>
  <c r="F48" i="4" s="1"/>
  <c r="O48" i="4" s="1"/>
  <c r="K48" i="4" a="1"/>
  <c r="K48" i="4" s="1"/>
  <c r="T48" i="4" s="1"/>
  <c r="G48" i="4" a="1"/>
  <c r="G48" i="4" s="1"/>
  <c r="P48" i="4" s="1"/>
  <c r="H48" i="4" a="1"/>
  <c r="H48" i="4" s="1"/>
  <c r="Q48" i="4" s="1"/>
  <c r="L48" i="4" a="1"/>
  <c r="L48" i="4" s="1"/>
  <c r="U48" i="4" s="1"/>
  <c r="M48" i="4" a="1"/>
  <c r="M48" i="4" s="1"/>
  <c r="E40" i="4" a="1"/>
  <c r="E40" i="4" s="1"/>
  <c r="J40" i="4" a="1"/>
  <c r="J40" i="4" s="1"/>
  <c r="S40" i="4" s="1"/>
  <c r="F40" i="4" a="1"/>
  <c r="F40" i="4" s="1"/>
  <c r="O40" i="4" s="1"/>
  <c r="K40" i="4" a="1"/>
  <c r="K40" i="4" s="1"/>
  <c r="T40" i="4" s="1"/>
  <c r="L40" i="4" a="1"/>
  <c r="L40" i="4" s="1"/>
  <c r="U40" i="4" s="1"/>
  <c r="G40" i="4" a="1"/>
  <c r="G40" i="4" s="1"/>
  <c r="P40" i="4" s="1"/>
  <c r="M40" i="4" a="1"/>
  <c r="M40" i="4" s="1"/>
  <c r="H40" i="4" a="1"/>
  <c r="H40" i="4" s="1"/>
  <c r="Q40" i="4" s="1"/>
  <c r="I40" i="4" a="1"/>
  <c r="I40" i="4" s="1"/>
  <c r="R40" i="4" s="1"/>
  <c r="E32" i="4" a="1"/>
  <c r="E32" i="4" s="1"/>
  <c r="K32" i="4" a="1"/>
  <c r="K32" i="4" s="1"/>
  <c r="T32" i="4" s="1"/>
  <c r="F32" i="4" a="1"/>
  <c r="F32" i="4" s="1"/>
  <c r="O32" i="4" s="1"/>
  <c r="L32" i="4" a="1"/>
  <c r="L32" i="4" s="1"/>
  <c r="U32" i="4" s="1"/>
  <c r="G32" i="4" a="1"/>
  <c r="G32" i="4" s="1"/>
  <c r="P32" i="4" s="1"/>
  <c r="M32" i="4" a="1"/>
  <c r="M32" i="4" s="1"/>
  <c r="H32" i="4" a="1"/>
  <c r="H32" i="4" s="1"/>
  <c r="Q32" i="4" s="1"/>
  <c r="I32" i="4" a="1"/>
  <c r="I32" i="4" s="1"/>
  <c r="R32" i="4" s="1"/>
  <c r="J32" i="4" a="1"/>
  <c r="J32" i="4" s="1"/>
  <c r="S32" i="4" s="1"/>
  <c r="F24" i="4" a="1"/>
  <c r="F24" i="4" s="1"/>
  <c r="O24" i="4" s="1"/>
  <c r="L24" i="4" a="1"/>
  <c r="L24" i="4" s="1"/>
  <c r="U24" i="4" s="1"/>
  <c r="G24" i="4" a="1"/>
  <c r="G24" i="4" s="1"/>
  <c r="P24" i="4" s="1"/>
  <c r="H24" i="4" a="1"/>
  <c r="H24" i="4" s="1"/>
  <c r="Q24" i="4" s="1"/>
  <c r="M24" i="4" a="1"/>
  <c r="M24" i="4" s="1"/>
  <c r="I24" i="4" a="1"/>
  <c r="I24" i="4" s="1"/>
  <c r="R24" i="4" s="1"/>
  <c r="E24" i="4" a="1"/>
  <c r="E24" i="4" s="1"/>
  <c r="J24" i="4" a="1"/>
  <c r="J24" i="4" s="1"/>
  <c r="S24" i="4" s="1"/>
  <c r="K24" i="4" a="1"/>
  <c r="K24" i="4" s="1"/>
  <c r="T24" i="4" s="1"/>
  <c r="K16" i="4" a="1"/>
  <c r="K16" i="4" s="1"/>
  <c r="T16" i="4" s="1"/>
  <c r="L16" i="4" a="1"/>
  <c r="L16" i="4" s="1"/>
  <c r="U16" i="4" s="1"/>
  <c r="F16" i="4" a="1"/>
  <c r="F16" i="4" s="1"/>
  <c r="O16" i="4" s="1"/>
  <c r="G16" i="4" a="1"/>
  <c r="G16" i="4" s="1"/>
  <c r="P16" i="4" s="1"/>
  <c r="M16" i="4" a="1"/>
  <c r="M16" i="4" s="1"/>
  <c r="V16" i="4" s="1"/>
  <c r="H16" i="4" a="1"/>
  <c r="H16" i="4" s="1"/>
  <c r="Q16" i="4" s="1"/>
  <c r="L212" i="4" a="1"/>
  <c r="L212" i="4" s="1"/>
  <c r="U212" i="4" s="1"/>
  <c r="E210" i="4" a="1"/>
  <c r="E210" i="4" s="1"/>
  <c r="J204" i="4" a="1"/>
  <c r="J204" i="4" s="1"/>
  <c r="S204" i="4" s="1"/>
  <c r="J202" i="4" a="1"/>
  <c r="J202" i="4" s="1"/>
  <c r="S202" i="4" s="1"/>
  <c r="K193" i="4" a="1"/>
  <c r="K193" i="4" s="1"/>
  <c r="T193" i="4" s="1"/>
  <c r="E184" i="4" a="1"/>
  <c r="E184" i="4" s="1"/>
  <c r="L168" i="4" a="1"/>
  <c r="L168" i="4" s="1"/>
  <c r="U168" i="4" s="1"/>
  <c r="H207" i="4" a="1"/>
  <c r="H207" i="4" s="1"/>
  <c r="Q207" i="4" s="1"/>
  <c r="I207" i="4" a="1"/>
  <c r="I207" i="4" s="1"/>
  <c r="R207" i="4" s="1"/>
  <c r="J207" i="4" a="1"/>
  <c r="J207" i="4" s="1"/>
  <c r="S207" i="4" s="1"/>
  <c r="K207" i="4" a="1"/>
  <c r="K207" i="4" s="1"/>
  <c r="T207" i="4" s="1"/>
  <c r="E207" i="4" a="1"/>
  <c r="E207" i="4" s="1"/>
  <c r="L207" i="4" a="1"/>
  <c r="L207" i="4" s="1"/>
  <c r="U207" i="4" s="1"/>
  <c r="F199" i="4" a="1"/>
  <c r="F199" i="4" s="1"/>
  <c r="O199" i="4" s="1"/>
  <c r="K199" i="4" a="1"/>
  <c r="K199" i="4" s="1"/>
  <c r="T199" i="4" s="1"/>
  <c r="G199" i="4" a="1"/>
  <c r="G199" i="4" s="1"/>
  <c r="P199" i="4" s="1"/>
  <c r="L199" i="4" a="1"/>
  <c r="L199" i="4" s="1"/>
  <c r="U199" i="4" s="1"/>
  <c r="H199" i="4" a="1"/>
  <c r="H199" i="4" s="1"/>
  <c r="Q199" i="4" s="1"/>
  <c r="M199" i="4" a="1"/>
  <c r="M199" i="4" s="1"/>
  <c r="I199" i="4" a="1"/>
  <c r="I199" i="4" s="1"/>
  <c r="R199" i="4" s="1"/>
  <c r="E191" i="4" a="1"/>
  <c r="E191" i="4" s="1"/>
  <c r="J191" i="4" a="1"/>
  <c r="J191" i="4" s="1"/>
  <c r="S191" i="4" s="1"/>
  <c r="H191" i="4" a="1"/>
  <c r="H191" i="4" s="1"/>
  <c r="Q191" i="4" s="1"/>
  <c r="K191" i="4" a="1"/>
  <c r="K191" i="4" s="1"/>
  <c r="T191" i="4" s="1"/>
  <c r="L191" i="4" a="1"/>
  <c r="L191" i="4" s="1"/>
  <c r="U191" i="4" s="1"/>
  <c r="F191" i="4" a="1"/>
  <c r="F191" i="4" s="1"/>
  <c r="O191" i="4" s="1"/>
  <c r="M191" i="4" a="1"/>
  <c r="M191" i="4" s="1"/>
  <c r="G191" i="4" a="1"/>
  <c r="G191" i="4" s="1"/>
  <c r="P191" i="4" s="1"/>
  <c r="H183" i="4" a="1"/>
  <c r="H183" i="4" s="1"/>
  <c r="Q183" i="4" s="1"/>
  <c r="I183" i="4" a="1"/>
  <c r="I183" i="4" s="1"/>
  <c r="R183" i="4" s="1"/>
  <c r="J183" i="4" a="1"/>
  <c r="J183" i="4" s="1"/>
  <c r="S183" i="4" s="1"/>
  <c r="E183" i="4" a="1"/>
  <c r="E183" i="4" s="1"/>
  <c r="K183" i="4" a="1"/>
  <c r="K183" i="4" s="1"/>
  <c r="T183" i="4" s="1"/>
  <c r="F183" i="4" a="1"/>
  <c r="F183" i="4" s="1"/>
  <c r="O183" i="4" s="1"/>
  <c r="L183" i="4" a="1"/>
  <c r="L183" i="4" s="1"/>
  <c r="U183" i="4" s="1"/>
  <c r="G183" i="4" a="1"/>
  <c r="G183" i="4" s="1"/>
  <c r="P183" i="4" s="1"/>
  <c r="M183" i="4" a="1"/>
  <c r="M183" i="4" s="1"/>
  <c r="K175" i="4" a="1"/>
  <c r="K175" i="4" s="1"/>
  <c r="T175" i="4" s="1"/>
  <c r="E175" i="4" a="1"/>
  <c r="E175" i="4" s="1"/>
  <c r="L175" i="4" a="1"/>
  <c r="L175" i="4" s="1"/>
  <c r="U175" i="4" s="1"/>
  <c r="F175" i="4" a="1"/>
  <c r="F175" i="4" s="1"/>
  <c r="O175" i="4" s="1"/>
  <c r="G175" i="4" a="1"/>
  <c r="G175" i="4" s="1"/>
  <c r="P175" i="4" s="1"/>
  <c r="M175" i="4" a="1"/>
  <c r="M175" i="4" s="1"/>
  <c r="H175" i="4" a="1"/>
  <c r="H175" i="4" s="1"/>
  <c r="Q175" i="4" s="1"/>
  <c r="I175" i="4" a="1"/>
  <c r="I175" i="4" s="1"/>
  <c r="R175" i="4" s="1"/>
  <c r="J175" i="4" a="1"/>
  <c r="J175" i="4" s="1"/>
  <c r="S175" i="4" s="1"/>
  <c r="J167" i="4" a="1"/>
  <c r="J167" i="4" s="1"/>
  <c r="S167" i="4" s="1"/>
  <c r="K167" i="4" a="1"/>
  <c r="K167" i="4" s="1"/>
  <c r="T167" i="4" s="1"/>
  <c r="E167" i="4" a="1"/>
  <c r="E167" i="4" s="1"/>
  <c r="L167" i="4" a="1"/>
  <c r="L167" i="4" s="1"/>
  <c r="U167" i="4" s="1"/>
  <c r="F167" i="4" a="1"/>
  <c r="F167" i="4" s="1"/>
  <c r="O167" i="4" s="1"/>
  <c r="G167" i="4" a="1"/>
  <c r="G167" i="4" s="1"/>
  <c r="P167" i="4" s="1"/>
  <c r="M167" i="4" a="1"/>
  <c r="M167" i="4" s="1"/>
  <c r="H167" i="4" a="1"/>
  <c r="H167" i="4" s="1"/>
  <c r="Q167" i="4" s="1"/>
  <c r="I167" i="4" a="1"/>
  <c r="I167" i="4" s="1"/>
  <c r="R167" i="4" s="1"/>
  <c r="I159" i="4" a="1"/>
  <c r="I159" i="4" s="1"/>
  <c r="R159" i="4" s="1"/>
  <c r="J159" i="4" a="1"/>
  <c r="J159" i="4" s="1"/>
  <c r="S159" i="4" s="1"/>
  <c r="E159" i="4" a="1"/>
  <c r="E159" i="4" s="1"/>
  <c r="K159" i="4" a="1"/>
  <c r="K159" i="4" s="1"/>
  <c r="T159" i="4" s="1"/>
  <c r="F159" i="4" a="1"/>
  <c r="F159" i="4" s="1"/>
  <c r="O159" i="4" s="1"/>
  <c r="G159" i="4" a="1"/>
  <c r="G159" i="4" s="1"/>
  <c r="P159" i="4" s="1"/>
  <c r="L159" i="4" a="1"/>
  <c r="L159" i="4" s="1"/>
  <c r="U159" i="4" s="1"/>
  <c r="H159" i="4" a="1"/>
  <c r="H159" i="4" s="1"/>
  <c r="Q159" i="4" s="1"/>
  <c r="M159" i="4" a="1"/>
  <c r="M159" i="4" s="1"/>
  <c r="G151" i="4" a="1"/>
  <c r="G151" i="4" s="1"/>
  <c r="P151" i="4" s="1"/>
  <c r="M151" i="4" a="1"/>
  <c r="M151" i="4" s="1"/>
  <c r="H151" i="4" a="1"/>
  <c r="H151" i="4" s="1"/>
  <c r="Q151" i="4" s="1"/>
  <c r="I151" i="4" a="1"/>
  <c r="I151" i="4" s="1"/>
  <c r="R151" i="4" s="1"/>
  <c r="J151" i="4" a="1"/>
  <c r="J151" i="4" s="1"/>
  <c r="S151" i="4" s="1"/>
  <c r="E151" i="4" a="1"/>
  <c r="E151" i="4" s="1"/>
  <c r="K151" i="4" a="1"/>
  <c r="K151" i="4" s="1"/>
  <c r="T151" i="4" s="1"/>
  <c r="F151" i="4" a="1"/>
  <c r="F151" i="4" s="1"/>
  <c r="O151" i="4" s="1"/>
  <c r="L151" i="4" a="1"/>
  <c r="L151" i="4" s="1"/>
  <c r="U151" i="4" s="1"/>
  <c r="G143" i="4" a="1"/>
  <c r="G143" i="4" s="1"/>
  <c r="P143" i="4" s="1"/>
  <c r="H143" i="4" a="1"/>
  <c r="H143" i="4" s="1"/>
  <c r="Q143" i="4" s="1"/>
  <c r="I143" i="4" a="1"/>
  <c r="I143" i="4" s="1"/>
  <c r="R143" i="4" s="1"/>
  <c r="J143" i="4" a="1"/>
  <c r="J143" i="4" s="1"/>
  <c r="S143" i="4" s="1"/>
  <c r="E143" i="4" a="1"/>
  <c r="E143" i="4" s="1"/>
  <c r="L143" i="4" a="1"/>
  <c r="L143" i="4" s="1"/>
  <c r="U143" i="4" s="1"/>
  <c r="K143" i="4" a="1"/>
  <c r="K143" i="4" s="1"/>
  <c r="T143" i="4" s="1"/>
  <c r="M143" i="4" a="1"/>
  <c r="M143" i="4" s="1"/>
  <c r="F143" i="4" a="1"/>
  <c r="F143" i="4" s="1"/>
  <c r="O143" i="4" s="1"/>
  <c r="J135" i="4" a="1"/>
  <c r="J135" i="4" s="1"/>
  <c r="S135" i="4" s="1"/>
  <c r="K135" i="4" a="1"/>
  <c r="K135" i="4" s="1"/>
  <c r="T135" i="4" s="1"/>
  <c r="E135" i="4" a="1"/>
  <c r="E135" i="4" s="1"/>
  <c r="L135" i="4" a="1"/>
  <c r="L135" i="4" s="1"/>
  <c r="U135" i="4" s="1"/>
  <c r="G135" i="4" a="1"/>
  <c r="G135" i="4" s="1"/>
  <c r="P135" i="4" s="1"/>
  <c r="M135" i="4" a="1"/>
  <c r="M135" i="4" s="1"/>
  <c r="F135" i="4" a="1"/>
  <c r="F135" i="4" s="1"/>
  <c r="O135" i="4" s="1"/>
  <c r="H135" i="4" a="1"/>
  <c r="H135" i="4" s="1"/>
  <c r="Q135" i="4" s="1"/>
  <c r="I135" i="4" a="1"/>
  <c r="I135" i="4" s="1"/>
  <c r="R135" i="4" s="1"/>
  <c r="H127" i="4" a="1"/>
  <c r="H127" i="4" s="1"/>
  <c r="Q127" i="4" s="1"/>
  <c r="I127" i="4" a="1"/>
  <c r="I127" i="4" s="1"/>
  <c r="R127" i="4" s="1"/>
  <c r="J127" i="4" a="1"/>
  <c r="J127" i="4" s="1"/>
  <c r="S127" i="4" s="1"/>
  <c r="E127" i="4" a="1"/>
  <c r="E127" i="4" s="1"/>
  <c r="M127" i="4" a="1"/>
  <c r="M127" i="4" s="1"/>
  <c r="F127" i="4" a="1"/>
  <c r="F127" i="4" s="1"/>
  <c r="O127" i="4" s="1"/>
  <c r="G127" i="4" a="1"/>
  <c r="G127" i="4" s="1"/>
  <c r="P127" i="4" s="1"/>
  <c r="K127" i="4" a="1"/>
  <c r="K127" i="4" s="1"/>
  <c r="T127" i="4" s="1"/>
  <c r="H119" i="4" a="1"/>
  <c r="H119" i="4" s="1"/>
  <c r="Q119" i="4" s="1"/>
  <c r="I119" i="4" a="1"/>
  <c r="I119" i="4" s="1"/>
  <c r="R119" i="4" s="1"/>
  <c r="J119" i="4" a="1"/>
  <c r="J119" i="4" s="1"/>
  <c r="S119" i="4" s="1"/>
  <c r="F119" i="4" a="1"/>
  <c r="F119" i="4" s="1"/>
  <c r="O119" i="4" s="1"/>
  <c r="L119" i="4" a="1"/>
  <c r="L119" i="4" s="1"/>
  <c r="U119" i="4" s="1"/>
  <c r="E119" i="4" a="1"/>
  <c r="E119" i="4" s="1"/>
  <c r="G119" i="4" a="1"/>
  <c r="G119" i="4" s="1"/>
  <c r="P119" i="4" s="1"/>
  <c r="K119" i="4" a="1"/>
  <c r="K119" i="4" s="1"/>
  <c r="T119" i="4" s="1"/>
  <c r="M119" i="4" a="1"/>
  <c r="M119" i="4" s="1"/>
  <c r="K111" i="4" a="1"/>
  <c r="K111" i="4" s="1"/>
  <c r="T111" i="4" s="1"/>
  <c r="G111" i="4" a="1"/>
  <c r="G111" i="4" s="1"/>
  <c r="P111" i="4" s="1"/>
  <c r="L111" i="4" a="1"/>
  <c r="L111" i="4" s="1"/>
  <c r="U111" i="4" s="1"/>
  <c r="H111" i="4" a="1"/>
  <c r="H111" i="4" s="1"/>
  <c r="Q111" i="4" s="1"/>
  <c r="M111" i="4" a="1"/>
  <c r="M111" i="4" s="1"/>
  <c r="I111" i="4" a="1"/>
  <c r="I111" i="4" s="1"/>
  <c r="R111" i="4" s="1"/>
  <c r="E111" i="4" a="1"/>
  <c r="E111" i="4" s="1"/>
  <c r="F111" i="4" a="1"/>
  <c r="F111" i="4" s="1"/>
  <c r="O111" i="4" s="1"/>
  <c r="J111" i="4" a="1"/>
  <c r="J111" i="4" s="1"/>
  <c r="S111" i="4" s="1"/>
  <c r="F103" i="4" a="1"/>
  <c r="F103" i="4" s="1"/>
  <c r="O103" i="4" s="1"/>
  <c r="J103" i="4" a="1"/>
  <c r="J103" i="4" s="1"/>
  <c r="S103" i="4" s="1"/>
  <c r="G103" i="4" a="1"/>
  <c r="G103" i="4" s="1"/>
  <c r="P103" i="4" s="1"/>
  <c r="K103" i="4" a="1"/>
  <c r="K103" i="4" s="1"/>
  <c r="T103" i="4" s="1"/>
  <c r="E103" i="4" a="1"/>
  <c r="E103" i="4" s="1"/>
  <c r="H103" i="4" a="1"/>
  <c r="H103" i="4" s="1"/>
  <c r="Q103" i="4" s="1"/>
  <c r="I103" i="4" a="1"/>
  <c r="I103" i="4" s="1"/>
  <c r="R103" i="4" s="1"/>
  <c r="L103" i="4" a="1"/>
  <c r="L103" i="4" s="1"/>
  <c r="U103" i="4" s="1"/>
  <c r="M103" i="4" a="1"/>
  <c r="M103" i="4" s="1"/>
  <c r="L95" i="4" a="1"/>
  <c r="L95" i="4" s="1"/>
  <c r="U95" i="4" s="1"/>
  <c r="F95" i="4" a="1"/>
  <c r="F95" i="4" s="1"/>
  <c r="O95" i="4" s="1"/>
  <c r="M95" i="4" a="1"/>
  <c r="M95" i="4" s="1"/>
  <c r="G95" i="4" a="1"/>
  <c r="G95" i="4" s="1"/>
  <c r="P95" i="4" s="1"/>
  <c r="I95" i="4" a="1"/>
  <c r="I95" i="4" s="1"/>
  <c r="R95" i="4" s="1"/>
  <c r="J95" i="4" a="1"/>
  <c r="J95" i="4" s="1"/>
  <c r="S95" i="4" s="1"/>
  <c r="E95" i="4" a="1"/>
  <c r="E95" i="4" s="1"/>
  <c r="H95" i="4" a="1"/>
  <c r="H95" i="4" s="1"/>
  <c r="Q95" i="4" s="1"/>
  <c r="K95" i="4" a="1"/>
  <c r="K95" i="4" s="1"/>
  <c r="T95" i="4" s="1"/>
  <c r="G87" i="4" a="1"/>
  <c r="G87" i="4" s="1"/>
  <c r="P87" i="4" s="1"/>
  <c r="H87" i="4" a="1"/>
  <c r="H87" i="4" s="1"/>
  <c r="Q87" i="4" s="1"/>
  <c r="I87" i="4" a="1"/>
  <c r="I87" i="4" s="1"/>
  <c r="R87" i="4" s="1"/>
  <c r="J87" i="4" a="1"/>
  <c r="J87" i="4" s="1"/>
  <c r="S87" i="4" s="1"/>
  <c r="L87" i="4" a="1"/>
  <c r="L87" i="4" s="1"/>
  <c r="U87" i="4" s="1"/>
  <c r="E87" i="4" a="1"/>
  <c r="E87" i="4" s="1"/>
  <c r="M87" i="4" a="1"/>
  <c r="M87" i="4" s="1"/>
  <c r="K87" i="4" a="1"/>
  <c r="K87" i="4" s="1"/>
  <c r="T87" i="4" s="1"/>
  <c r="F87" i="4" a="1"/>
  <c r="F87" i="4" s="1"/>
  <c r="O87" i="4" s="1"/>
  <c r="G79" i="4" a="1"/>
  <c r="G79" i="4" s="1"/>
  <c r="P79" i="4" s="1"/>
  <c r="H79" i="4" a="1"/>
  <c r="H79" i="4" s="1"/>
  <c r="Q79" i="4" s="1"/>
  <c r="I79" i="4" a="1"/>
  <c r="I79" i="4" s="1"/>
  <c r="R79" i="4" s="1"/>
  <c r="J79" i="4" a="1"/>
  <c r="J79" i="4" s="1"/>
  <c r="S79" i="4" s="1"/>
  <c r="L79" i="4" a="1"/>
  <c r="L79" i="4" s="1"/>
  <c r="U79" i="4" s="1"/>
  <c r="E79" i="4" a="1"/>
  <c r="E79" i="4" s="1"/>
  <c r="M79" i="4" a="1"/>
  <c r="M79" i="4" s="1"/>
  <c r="F79" i="4" a="1"/>
  <c r="F79" i="4" s="1"/>
  <c r="O79" i="4" s="1"/>
  <c r="K79" i="4" a="1"/>
  <c r="K79" i="4" s="1"/>
  <c r="T79" i="4" s="1"/>
  <c r="G71" i="4" a="1"/>
  <c r="G71" i="4" s="1"/>
  <c r="P71" i="4" s="1"/>
  <c r="H71" i="4" a="1"/>
  <c r="H71" i="4" s="1"/>
  <c r="Q71" i="4" s="1"/>
  <c r="I71" i="4" a="1"/>
  <c r="I71" i="4" s="1"/>
  <c r="R71" i="4" s="1"/>
  <c r="J71" i="4" a="1"/>
  <c r="J71" i="4" s="1"/>
  <c r="S71" i="4" s="1"/>
  <c r="K71" i="4" a="1"/>
  <c r="K71" i="4" s="1"/>
  <c r="T71" i="4" s="1"/>
  <c r="L71" i="4" a="1"/>
  <c r="L71" i="4" s="1"/>
  <c r="U71" i="4" s="1"/>
  <c r="E71" i="4" a="1"/>
  <c r="E71" i="4" s="1"/>
  <c r="M71" i="4" a="1"/>
  <c r="M71" i="4" s="1"/>
  <c r="F71" i="4" a="1"/>
  <c r="F71" i="4" s="1"/>
  <c r="O71" i="4" s="1"/>
  <c r="J63" i="4" a="1"/>
  <c r="J63" i="4" s="1"/>
  <c r="S63" i="4" s="1"/>
  <c r="E63" i="4" a="1"/>
  <c r="E63" i="4" s="1"/>
  <c r="K63" i="4" a="1"/>
  <c r="K63" i="4" s="1"/>
  <c r="T63" i="4" s="1"/>
  <c r="L63" i="4" a="1"/>
  <c r="L63" i="4" s="1"/>
  <c r="U63" i="4" s="1"/>
  <c r="F63" i="4" a="1"/>
  <c r="F63" i="4" s="1"/>
  <c r="O63" i="4" s="1"/>
  <c r="M63" i="4" a="1"/>
  <c r="M63" i="4" s="1"/>
  <c r="G63" i="4" a="1"/>
  <c r="G63" i="4" s="1"/>
  <c r="P63" i="4" s="1"/>
  <c r="H63" i="4" a="1"/>
  <c r="H63" i="4" s="1"/>
  <c r="Q63" i="4" s="1"/>
  <c r="I63" i="4" a="1"/>
  <c r="I63" i="4" s="1"/>
  <c r="R63" i="4" s="1"/>
  <c r="E55" i="4" a="1"/>
  <c r="E55" i="4" s="1"/>
  <c r="J55" i="4" a="1"/>
  <c r="J55" i="4" s="1"/>
  <c r="S55" i="4" s="1"/>
  <c r="F55" i="4" a="1"/>
  <c r="F55" i="4" s="1"/>
  <c r="O55" i="4" s="1"/>
  <c r="K55" i="4" a="1"/>
  <c r="K55" i="4" s="1"/>
  <c r="T55" i="4" s="1"/>
  <c r="G55" i="4" a="1"/>
  <c r="G55" i="4" s="1"/>
  <c r="P55" i="4" s="1"/>
  <c r="L55" i="4" a="1"/>
  <c r="L55" i="4" s="1"/>
  <c r="U55" i="4" s="1"/>
  <c r="M55" i="4" a="1"/>
  <c r="M55" i="4" s="1"/>
  <c r="H55" i="4" a="1"/>
  <c r="H55" i="4" s="1"/>
  <c r="Q55" i="4" s="1"/>
  <c r="I55" i="4" a="1"/>
  <c r="I55" i="4" s="1"/>
  <c r="R55" i="4" s="1"/>
  <c r="G47" i="4" a="1"/>
  <c r="G47" i="4" s="1"/>
  <c r="P47" i="4" s="1"/>
  <c r="L47" i="4" a="1"/>
  <c r="L47" i="4" s="1"/>
  <c r="U47" i="4" s="1"/>
  <c r="M47" i="4" a="1"/>
  <c r="M47" i="4" s="1"/>
  <c r="H47" i="4" a="1"/>
  <c r="H47" i="4" s="1"/>
  <c r="Q47" i="4" s="1"/>
  <c r="I47" i="4" a="1"/>
  <c r="I47" i="4" s="1"/>
  <c r="R47" i="4" s="1"/>
  <c r="K47" i="4" a="1"/>
  <c r="K47" i="4" s="1"/>
  <c r="T47" i="4" s="1"/>
  <c r="E47" i="4" a="1"/>
  <c r="E47" i="4" s="1"/>
  <c r="F47" i="4" a="1"/>
  <c r="F47" i="4" s="1"/>
  <c r="O47" i="4" s="1"/>
  <c r="J47" i="4" a="1"/>
  <c r="J47" i="4" s="1"/>
  <c r="S47" i="4" s="1"/>
  <c r="H39" i="4" a="1"/>
  <c r="H39" i="4" s="1"/>
  <c r="Q39" i="4" s="1"/>
  <c r="I39" i="4" a="1"/>
  <c r="I39" i="4" s="1"/>
  <c r="R39" i="4" s="1"/>
  <c r="J39" i="4" a="1"/>
  <c r="J39" i="4" s="1"/>
  <c r="S39" i="4" s="1"/>
  <c r="E39" i="4" a="1"/>
  <c r="E39" i="4" s="1"/>
  <c r="K39" i="4" a="1"/>
  <c r="K39" i="4" s="1"/>
  <c r="T39" i="4" s="1"/>
  <c r="L39" i="4" a="1"/>
  <c r="L39" i="4" s="1"/>
  <c r="U39" i="4" s="1"/>
  <c r="M39" i="4" a="1"/>
  <c r="M39" i="4" s="1"/>
  <c r="F39" i="4" a="1"/>
  <c r="F39" i="4" s="1"/>
  <c r="O39" i="4" s="1"/>
  <c r="G39" i="4" a="1"/>
  <c r="G39" i="4" s="1"/>
  <c r="P39" i="4" s="1"/>
  <c r="I31" i="4" a="1"/>
  <c r="I31" i="4" s="1"/>
  <c r="R31" i="4" s="1"/>
  <c r="J31" i="4" a="1"/>
  <c r="J31" i="4" s="1"/>
  <c r="S31" i="4" s="1"/>
  <c r="E31" i="4" a="1"/>
  <c r="E31" i="4" s="1"/>
  <c r="K31" i="4" a="1"/>
  <c r="K31" i="4" s="1"/>
  <c r="T31" i="4" s="1"/>
  <c r="L31" i="4" a="1"/>
  <c r="L31" i="4" s="1"/>
  <c r="U31" i="4" s="1"/>
  <c r="M31" i="4" a="1"/>
  <c r="M31" i="4" s="1"/>
  <c r="F31" i="4" a="1"/>
  <c r="F31" i="4" s="1"/>
  <c r="O31" i="4" s="1"/>
  <c r="G31" i="4" a="1"/>
  <c r="G31" i="4" s="1"/>
  <c r="P31" i="4" s="1"/>
  <c r="H31" i="4" a="1"/>
  <c r="H31" i="4" s="1"/>
  <c r="Q31" i="4" s="1"/>
  <c r="J23" i="4" a="1"/>
  <c r="J23" i="4" s="1"/>
  <c r="S23" i="4" s="1"/>
  <c r="E23" i="4" a="1"/>
  <c r="E23" i="4" s="1"/>
  <c r="F23" i="4" a="1"/>
  <c r="F23" i="4" s="1"/>
  <c r="O23" i="4" s="1"/>
  <c r="K23" i="4" a="1"/>
  <c r="K23" i="4" s="1"/>
  <c r="T23" i="4" s="1"/>
  <c r="G23" i="4" a="1"/>
  <c r="G23" i="4" s="1"/>
  <c r="P23" i="4" s="1"/>
  <c r="L23" i="4" a="1"/>
  <c r="L23" i="4" s="1"/>
  <c r="U23" i="4" s="1"/>
  <c r="M23" i="4" a="1"/>
  <c r="M23" i="4" s="1"/>
  <c r="H23" i="4" a="1"/>
  <c r="H23" i="4" s="1"/>
  <c r="Q23" i="4" s="1"/>
  <c r="I23" i="4" a="1"/>
  <c r="I23" i="4" s="1"/>
  <c r="R23" i="4" s="1"/>
  <c r="G212" i="4" a="1"/>
  <c r="G212" i="4" s="1"/>
  <c r="P212" i="4" s="1"/>
  <c r="H209" i="4" a="1"/>
  <c r="H209" i="4" s="1"/>
  <c r="Q209" i="4" s="1"/>
  <c r="F202" i="4" a="1"/>
  <c r="F202" i="4" s="1"/>
  <c r="O202" i="4" s="1"/>
  <c r="E193" i="4" a="1"/>
  <c r="E193" i="4" s="1"/>
  <c r="K181" i="4" a="1"/>
  <c r="K181" i="4" s="1"/>
  <c r="T181" i="4" s="1"/>
  <c r="M129" i="4" a="1"/>
  <c r="M129" i="4" s="1"/>
  <c r="J206" i="4" a="1"/>
  <c r="J206" i="4" s="1"/>
  <c r="S206" i="4" s="1"/>
  <c r="E206" i="4" a="1"/>
  <c r="E206" i="4" s="1"/>
  <c r="K206" i="4" a="1"/>
  <c r="K206" i="4" s="1"/>
  <c r="T206" i="4" s="1"/>
  <c r="L206" i="4" a="1"/>
  <c r="L206" i="4" s="1"/>
  <c r="U206" i="4" s="1"/>
  <c r="F206" i="4" a="1"/>
  <c r="F206" i="4" s="1"/>
  <c r="O206" i="4" s="1"/>
  <c r="M206" i="4" a="1"/>
  <c r="M206" i="4" s="1"/>
  <c r="G206" i="4" a="1"/>
  <c r="G206" i="4" s="1"/>
  <c r="P206" i="4" s="1"/>
  <c r="H206" i="4" a="1"/>
  <c r="H206" i="4" s="1"/>
  <c r="Q206" i="4" s="1"/>
  <c r="F198" i="4" a="1"/>
  <c r="F198" i="4" s="1"/>
  <c r="O198" i="4" s="1"/>
  <c r="K198" i="4" a="1"/>
  <c r="K198" i="4" s="1"/>
  <c r="T198" i="4" s="1"/>
  <c r="G198" i="4" a="1"/>
  <c r="G198" i="4" s="1"/>
  <c r="P198" i="4" s="1"/>
  <c r="L198" i="4" a="1"/>
  <c r="L198" i="4" s="1"/>
  <c r="U198" i="4" s="1"/>
  <c r="H198" i="4" a="1"/>
  <c r="H198" i="4" s="1"/>
  <c r="Q198" i="4" s="1"/>
  <c r="M198" i="4" a="1"/>
  <c r="M198" i="4" s="1"/>
  <c r="I198" i="4" a="1"/>
  <c r="I198" i="4" s="1"/>
  <c r="R198" i="4" s="1"/>
  <c r="H190" i="4" a="1"/>
  <c r="H190" i="4" s="1"/>
  <c r="Q190" i="4" s="1"/>
  <c r="E190" i="4" a="1"/>
  <c r="E190" i="4" s="1"/>
  <c r="K190" i="4" a="1"/>
  <c r="K190" i="4" s="1"/>
  <c r="T190" i="4" s="1"/>
  <c r="L190" i="4" a="1"/>
  <c r="L190" i="4" s="1"/>
  <c r="U190" i="4" s="1"/>
  <c r="M190" i="4" a="1"/>
  <c r="M190" i="4" s="1"/>
  <c r="F190" i="4" a="1"/>
  <c r="F190" i="4" s="1"/>
  <c r="O190" i="4" s="1"/>
  <c r="G190" i="4" a="1"/>
  <c r="G190" i="4" s="1"/>
  <c r="P190" i="4" s="1"/>
  <c r="J182" i="4" a="1"/>
  <c r="J182" i="4" s="1"/>
  <c r="S182" i="4" s="1"/>
  <c r="K182" i="4" a="1"/>
  <c r="K182" i="4" s="1"/>
  <c r="T182" i="4" s="1"/>
  <c r="E182" i="4" a="1"/>
  <c r="E182" i="4" s="1"/>
  <c r="L182" i="4" a="1"/>
  <c r="L182" i="4" s="1"/>
  <c r="U182" i="4" s="1"/>
  <c r="M182" i="4" a="1"/>
  <c r="M182" i="4" s="1"/>
  <c r="F182" i="4" a="1"/>
  <c r="F182" i="4" s="1"/>
  <c r="O182" i="4" s="1"/>
  <c r="G182" i="4" a="1"/>
  <c r="G182" i="4" s="1"/>
  <c r="P182" i="4" s="1"/>
  <c r="H182" i="4" a="1"/>
  <c r="H182" i="4" s="1"/>
  <c r="Q182" i="4" s="1"/>
  <c r="I182" i="4" a="1"/>
  <c r="I182" i="4" s="1"/>
  <c r="R182" i="4" s="1"/>
  <c r="H174" i="4" a="1"/>
  <c r="H174" i="4" s="1"/>
  <c r="Q174" i="4" s="1"/>
  <c r="I174" i="4" a="1"/>
  <c r="I174" i="4" s="1"/>
  <c r="R174" i="4" s="1"/>
  <c r="J174" i="4" a="1"/>
  <c r="J174" i="4" s="1"/>
  <c r="S174" i="4" s="1"/>
  <c r="K174" i="4" a="1"/>
  <c r="K174" i="4" s="1"/>
  <c r="T174" i="4" s="1"/>
  <c r="E174" i="4" a="1"/>
  <c r="E174" i="4" s="1"/>
  <c r="L174" i="4" a="1"/>
  <c r="L174" i="4" s="1"/>
  <c r="U174" i="4" s="1"/>
  <c r="F174" i="4" a="1"/>
  <c r="F174" i="4" s="1"/>
  <c r="O174" i="4" s="1"/>
  <c r="G166" i="4" a="1"/>
  <c r="G166" i="4" s="1"/>
  <c r="P166" i="4" s="1"/>
  <c r="L166" i="4" a="1"/>
  <c r="L166" i="4" s="1"/>
  <c r="U166" i="4" s="1"/>
  <c r="H166" i="4" a="1"/>
  <c r="H166" i="4" s="1"/>
  <c r="Q166" i="4" s="1"/>
  <c r="M166" i="4" a="1"/>
  <c r="M166" i="4" s="1"/>
  <c r="I166" i="4" a="1"/>
  <c r="I166" i="4" s="1"/>
  <c r="R166" i="4" s="1"/>
  <c r="J166" i="4" a="1"/>
  <c r="J166" i="4" s="1"/>
  <c r="S166" i="4" s="1"/>
  <c r="E166" i="4" a="1"/>
  <c r="E166" i="4" s="1"/>
  <c r="K166" i="4" a="1"/>
  <c r="K166" i="4" s="1"/>
  <c r="T166" i="4" s="1"/>
  <c r="F166" i="4" a="1"/>
  <c r="F166" i="4" s="1"/>
  <c r="O166" i="4" s="1"/>
  <c r="F158" i="4" a="1"/>
  <c r="F158" i="4" s="1"/>
  <c r="O158" i="4" s="1"/>
  <c r="L158" i="4" a="1"/>
  <c r="L158" i="4" s="1"/>
  <c r="U158" i="4" s="1"/>
  <c r="G158" i="4" a="1"/>
  <c r="G158" i="4" s="1"/>
  <c r="P158" i="4" s="1"/>
  <c r="M158" i="4" a="1"/>
  <c r="M158" i="4" s="1"/>
  <c r="H158" i="4" a="1"/>
  <c r="H158" i="4" s="1"/>
  <c r="Q158" i="4" s="1"/>
  <c r="I158" i="4" a="1"/>
  <c r="I158" i="4" s="1"/>
  <c r="R158" i="4" s="1"/>
  <c r="J158" i="4" a="1"/>
  <c r="J158" i="4" s="1"/>
  <c r="S158" i="4" s="1"/>
  <c r="E150" i="4" a="1"/>
  <c r="E150" i="4" s="1"/>
  <c r="I150" i="4" a="1"/>
  <c r="I150" i="4" s="1"/>
  <c r="R150" i="4" s="1"/>
  <c r="J150" i="4" a="1"/>
  <c r="J150" i="4" s="1"/>
  <c r="S150" i="4" s="1"/>
  <c r="K150" i="4" a="1"/>
  <c r="K150" i="4" s="1"/>
  <c r="T150" i="4" s="1"/>
  <c r="L150" i="4" a="1"/>
  <c r="L150" i="4" s="1"/>
  <c r="U150" i="4" s="1"/>
  <c r="F150" i="4" a="1"/>
  <c r="F150" i="4" s="1"/>
  <c r="O150" i="4" s="1"/>
  <c r="M150" i="4" a="1"/>
  <c r="M150" i="4" s="1"/>
  <c r="G150" i="4" a="1"/>
  <c r="G150" i="4" s="1"/>
  <c r="P150" i="4" s="1"/>
  <c r="H150" i="4" a="1"/>
  <c r="H150" i="4" s="1"/>
  <c r="Q150" i="4" s="1"/>
  <c r="K142" i="4" a="1"/>
  <c r="K142" i="4" s="1"/>
  <c r="T142" i="4" s="1"/>
  <c r="L142" i="4" a="1"/>
  <c r="L142" i="4" s="1"/>
  <c r="U142" i="4" s="1"/>
  <c r="E142" i="4" a="1"/>
  <c r="E142" i="4" s="1"/>
  <c r="F142" i="4" a="1"/>
  <c r="F142" i="4" s="1"/>
  <c r="O142" i="4" s="1"/>
  <c r="M142" i="4" a="1"/>
  <c r="M142" i="4" s="1"/>
  <c r="H142" i="4" a="1"/>
  <c r="H142" i="4" s="1"/>
  <c r="Q142" i="4" s="1"/>
  <c r="G142" i="4" a="1"/>
  <c r="G142" i="4" s="1"/>
  <c r="P142" i="4" s="1"/>
  <c r="I142" i="4" a="1"/>
  <c r="I142" i="4" s="1"/>
  <c r="R142" i="4" s="1"/>
  <c r="J142" i="4" a="1"/>
  <c r="J142" i="4" s="1"/>
  <c r="S142" i="4" s="1"/>
  <c r="E134" i="4" a="1"/>
  <c r="E134" i="4" s="1"/>
  <c r="L134" i="4" a="1"/>
  <c r="L134" i="4" s="1"/>
  <c r="U134" i="4" s="1"/>
  <c r="F134" i="4" a="1"/>
  <c r="F134" i="4" s="1"/>
  <c r="O134" i="4" s="1"/>
  <c r="G134" i="4" a="1"/>
  <c r="G134" i="4" s="1"/>
  <c r="P134" i="4" s="1"/>
  <c r="M134" i="4" a="1"/>
  <c r="M134" i="4" s="1"/>
  <c r="H134" i="4" a="1"/>
  <c r="H134" i="4" s="1"/>
  <c r="Q134" i="4" s="1"/>
  <c r="J134" i="4" a="1"/>
  <c r="J134" i="4" s="1"/>
  <c r="S134" i="4" s="1"/>
  <c r="I134" i="4" a="1"/>
  <c r="I134" i="4" s="1"/>
  <c r="R134" i="4" s="1"/>
  <c r="K134" i="4" a="1"/>
  <c r="K134" i="4" s="1"/>
  <c r="T134" i="4" s="1"/>
  <c r="J126" i="4" a="1"/>
  <c r="J126" i="4" s="1"/>
  <c r="S126" i="4" s="1"/>
  <c r="K126" i="4" a="1"/>
  <c r="K126" i="4" s="1"/>
  <c r="T126" i="4" s="1"/>
  <c r="E126" i="4" a="1"/>
  <c r="E126" i="4" s="1"/>
  <c r="L126" i="4" a="1"/>
  <c r="L126" i="4" s="1"/>
  <c r="U126" i="4" s="1"/>
  <c r="G126" i="4" a="1"/>
  <c r="G126" i="4" s="1"/>
  <c r="P126" i="4" s="1"/>
  <c r="F126" i="4" a="1"/>
  <c r="F126" i="4" s="1"/>
  <c r="O126" i="4" s="1"/>
  <c r="H126" i="4" a="1"/>
  <c r="H126" i="4" s="1"/>
  <c r="Q126" i="4" s="1"/>
  <c r="I126" i="4" a="1"/>
  <c r="I126" i="4" s="1"/>
  <c r="R126" i="4" s="1"/>
  <c r="M126" i="4" a="1"/>
  <c r="M126" i="4" s="1"/>
  <c r="F118" i="4" a="1"/>
  <c r="F118" i="4" s="1"/>
  <c r="O118" i="4" s="1"/>
  <c r="L118" i="4" a="1"/>
  <c r="L118" i="4" s="1"/>
  <c r="U118" i="4" s="1"/>
  <c r="G118" i="4" a="1"/>
  <c r="G118" i="4" s="1"/>
  <c r="P118" i="4" s="1"/>
  <c r="M118" i="4" a="1"/>
  <c r="M118" i="4" s="1"/>
  <c r="H118" i="4" a="1"/>
  <c r="H118" i="4" s="1"/>
  <c r="Q118" i="4" s="1"/>
  <c r="I118" i="4" a="1"/>
  <c r="I118" i="4" s="1"/>
  <c r="R118" i="4" s="1"/>
  <c r="J118" i="4" a="1"/>
  <c r="J118" i="4" s="1"/>
  <c r="S118" i="4" s="1"/>
  <c r="K118" i="4" a="1"/>
  <c r="K118" i="4" s="1"/>
  <c r="T118" i="4" s="1"/>
  <c r="E118" i="4" a="1"/>
  <c r="E118" i="4" s="1"/>
  <c r="F110" i="4" a="1"/>
  <c r="F110" i="4" s="1"/>
  <c r="O110" i="4" s="1"/>
  <c r="K110" i="4" a="1"/>
  <c r="K110" i="4" s="1"/>
  <c r="T110" i="4" s="1"/>
  <c r="G110" i="4" a="1"/>
  <c r="G110" i="4" s="1"/>
  <c r="P110" i="4" s="1"/>
  <c r="L110" i="4" a="1"/>
  <c r="L110" i="4" s="1"/>
  <c r="U110" i="4" s="1"/>
  <c r="H110" i="4" a="1"/>
  <c r="H110" i="4" s="1"/>
  <c r="Q110" i="4" s="1"/>
  <c r="M110" i="4" a="1"/>
  <c r="M110" i="4" s="1"/>
  <c r="I110" i="4" a="1"/>
  <c r="I110" i="4" s="1"/>
  <c r="R110" i="4" s="1"/>
  <c r="E110" i="4" a="1"/>
  <c r="E110" i="4" s="1"/>
  <c r="J110" i="4" a="1"/>
  <c r="J110" i="4" s="1"/>
  <c r="S110" i="4" s="1"/>
  <c r="G102" i="4" a="1"/>
  <c r="G102" i="4" s="1"/>
  <c r="P102" i="4" s="1"/>
  <c r="K102" i="4" a="1"/>
  <c r="K102" i="4" s="1"/>
  <c r="T102" i="4" s="1"/>
  <c r="H102" i="4" a="1"/>
  <c r="H102" i="4" s="1"/>
  <c r="Q102" i="4" s="1"/>
  <c r="L102" i="4" a="1"/>
  <c r="L102" i="4" s="1"/>
  <c r="U102" i="4" s="1"/>
  <c r="F102" i="4" a="1"/>
  <c r="F102" i="4" s="1"/>
  <c r="O102" i="4" s="1"/>
  <c r="J102" i="4" a="1"/>
  <c r="J102" i="4" s="1"/>
  <c r="S102" i="4" s="1"/>
  <c r="E102" i="4" a="1"/>
  <c r="E102" i="4" s="1"/>
  <c r="I102" i="4" a="1"/>
  <c r="I102" i="4" s="1"/>
  <c r="R102" i="4" s="1"/>
  <c r="M102" i="4" a="1"/>
  <c r="M102" i="4" s="1"/>
  <c r="H94" i="4" a="1"/>
  <c r="H94" i="4" s="1"/>
  <c r="Q94" i="4" s="1"/>
  <c r="I94" i="4" a="1"/>
  <c r="I94" i="4" s="1"/>
  <c r="R94" i="4" s="1"/>
  <c r="J94" i="4" a="1"/>
  <c r="J94" i="4" s="1"/>
  <c r="S94" i="4" s="1"/>
  <c r="K94" i="4" a="1"/>
  <c r="K94" i="4" s="1"/>
  <c r="T94" i="4" s="1"/>
  <c r="E94" i="4" a="1"/>
  <c r="E94" i="4" s="1"/>
  <c r="M94" i="4" a="1"/>
  <c r="M94" i="4" s="1"/>
  <c r="F94" i="4" a="1"/>
  <c r="F94" i="4" s="1"/>
  <c r="O94" i="4" s="1"/>
  <c r="L94" i="4" a="1"/>
  <c r="L94" i="4" s="1"/>
  <c r="U94" i="4" s="1"/>
  <c r="G94" i="4" a="1"/>
  <c r="G94" i="4" s="1"/>
  <c r="P94" i="4" s="1"/>
  <c r="H86" i="4" a="1"/>
  <c r="H86" i="4" s="1"/>
  <c r="Q86" i="4" s="1"/>
  <c r="I86" i="4" a="1"/>
  <c r="I86" i="4" s="1"/>
  <c r="R86" i="4" s="1"/>
  <c r="J86" i="4" a="1"/>
  <c r="J86" i="4" s="1"/>
  <c r="S86" i="4" s="1"/>
  <c r="K86" i="4" a="1"/>
  <c r="K86" i="4" s="1"/>
  <c r="T86" i="4" s="1"/>
  <c r="E86" i="4" a="1"/>
  <c r="E86" i="4" s="1"/>
  <c r="M86" i="4" a="1"/>
  <c r="M86" i="4" s="1"/>
  <c r="F86" i="4" a="1"/>
  <c r="F86" i="4" s="1"/>
  <c r="O86" i="4" s="1"/>
  <c r="G86" i="4" a="1"/>
  <c r="G86" i="4" s="1"/>
  <c r="P86" i="4" s="1"/>
  <c r="L86" i="4" a="1"/>
  <c r="L86" i="4" s="1"/>
  <c r="U86" i="4" s="1"/>
  <c r="H78" i="4" a="1"/>
  <c r="H78" i="4" s="1"/>
  <c r="Q78" i="4" s="1"/>
  <c r="I78" i="4" a="1"/>
  <c r="I78" i="4" s="1"/>
  <c r="R78" i="4" s="1"/>
  <c r="J78" i="4" a="1"/>
  <c r="J78" i="4" s="1"/>
  <c r="S78" i="4" s="1"/>
  <c r="K78" i="4" a="1"/>
  <c r="K78" i="4" s="1"/>
  <c r="T78" i="4" s="1"/>
  <c r="E78" i="4" a="1"/>
  <c r="E78" i="4" s="1"/>
  <c r="M78" i="4" a="1"/>
  <c r="M78" i="4" s="1"/>
  <c r="F78" i="4" a="1"/>
  <c r="F78" i="4" s="1"/>
  <c r="O78" i="4" s="1"/>
  <c r="G78" i="4" a="1"/>
  <c r="G78" i="4" s="1"/>
  <c r="P78" i="4" s="1"/>
  <c r="L78" i="4" a="1"/>
  <c r="L78" i="4" s="1"/>
  <c r="U78" i="4" s="1"/>
  <c r="H70" i="4" a="1"/>
  <c r="H70" i="4" s="1"/>
  <c r="Q70" i="4" s="1"/>
  <c r="I70" i="4" a="1"/>
  <c r="I70" i="4" s="1"/>
  <c r="R70" i="4" s="1"/>
  <c r="J70" i="4" a="1"/>
  <c r="J70" i="4" s="1"/>
  <c r="S70" i="4" s="1"/>
  <c r="K70" i="4" a="1"/>
  <c r="K70" i="4" s="1"/>
  <c r="T70" i="4" s="1"/>
  <c r="L70" i="4" a="1"/>
  <c r="L70" i="4" s="1"/>
  <c r="U70" i="4" s="1"/>
  <c r="E70" i="4" a="1"/>
  <c r="E70" i="4" s="1"/>
  <c r="M70" i="4" a="1"/>
  <c r="M70" i="4" s="1"/>
  <c r="F70" i="4" a="1"/>
  <c r="F70" i="4" s="1"/>
  <c r="O70" i="4" s="1"/>
  <c r="G70" i="4" a="1"/>
  <c r="G70" i="4" s="1"/>
  <c r="P70" i="4" s="1"/>
  <c r="M62" i="4" a="1"/>
  <c r="M62" i="4" s="1"/>
  <c r="G62" i="4" a="1"/>
  <c r="G62" i="4" s="1"/>
  <c r="P62" i="4" s="1"/>
  <c r="H62" i="4" a="1"/>
  <c r="H62" i="4" s="1"/>
  <c r="Q62" i="4" s="1"/>
  <c r="I62" i="4" a="1"/>
  <c r="I62" i="4" s="1"/>
  <c r="R62" i="4" s="1"/>
  <c r="J62" i="4" a="1"/>
  <c r="J62" i="4" s="1"/>
  <c r="S62" i="4" s="1"/>
  <c r="F62" i="4" a="1"/>
  <c r="F62" i="4" s="1"/>
  <c r="O62" i="4" s="1"/>
  <c r="K62" i="4" a="1"/>
  <c r="K62" i="4" s="1"/>
  <c r="T62" i="4" s="1"/>
  <c r="L62" i="4" a="1"/>
  <c r="L62" i="4" s="1"/>
  <c r="U62" i="4" s="1"/>
  <c r="E62" i="4" a="1"/>
  <c r="E62" i="4" s="1"/>
  <c r="I54" i="4" a="1"/>
  <c r="I54" i="4" s="1"/>
  <c r="R54" i="4" s="1"/>
  <c r="J54" i="4" a="1"/>
  <c r="J54" i="4" s="1"/>
  <c r="S54" i="4" s="1"/>
  <c r="E54" i="4" a="1"/>
  <c r="E54" i="4" s="1"/>
  <c r="F54" i="4" a="1"/>
  <c r="F54" i="4" s="1"/>
  <c r="O54" i="4" s="1"/>
  <c r="K54" i="4" a="1"/>
  <c r="K54" i="4" s="1"/>
  <c r="T54" i="4" s="1"/>
  <c r="G54" i="4" a="1"/>
  <c r="G54" i="4" s="1"/>
  <c r="P54" i="4" s="1"/>
  <c r="H54" i="4" a="1"/>
  <c r="H54" i="4" s="1"/>
  <c r="Q54" i="4" s="1"/>
  <c r="L54" i="4" a="1"/>
  <c r="L54" i="4" s="1"/>
  <c r="U54" i="4" s="1"/>
  <c r="M54" i="4" a="1"/>
  <c r="M54" i="4" s="1"/>
  <c r="E46" i="4" a="1"/>
  <c r="E46" i="4" s="1"/>
  <c r="F46" i="4" a="1"/>
  <c r="F46" i="4" s="1"/>
  <c r="O46" i="4" s="1"/>
  <c r="K46" i="4" a="1"/>
  <c r="K46" i="4" s="1"/>
  <c r="T46" i="4" s="1"/>
  <c r="L46" i="4" a="1"/>
  <c r="L46" i="4" s="1"/>
  <c r="U46" i="4" s="1"/>
  <c r="G46" i="4" a="1"/>
  <c r="G46" i="4" s="1"/>
  <c r="P46" i="4" s="1"/>
  <c r="M46" i="4" a="1"/>
  <c r="M46" i="4" s="1"/>
  <c r="H46" i="4" a="1"/>
  <c r="H46" i="4" s="1"/>
  <c r="Q46" i="4" s="1"/>
  <c r="I46" i="4" a="1"/>
  <c r="I46" i="4" s="1"/>
  <c r="R46" i="4" s="1"/>
  <c r="J46" i="4" a="1"/>
  <c r="J46" i="4" s="1"/>
  <c r="S46" i="4" s="1"/>
  <c r="E38" i="4" a="1"/>
  <c r="E38" i="4" s="1"/>
  <c r="F38" i="4" a="1"/>
  <c r="F38" i="4" s="1"/>
  <c r="O38" i="4" s="1"/>
  <c r="L38" i="4" a="1"/>
  <c r="L38" i="4" s="1"/>
  <c r="U38" i="4" s="1"/>
  <c r="G38" i="4" a="1"/>
  <c r="G38" i="4" s="1"/>
  <c r="P38" i="4" s="1"/>
  <c r="M38" i="4" a="1"/>
  <c r="M38" i="4" s="1"/>
  <c r="H38" i="4" a="1"/>
  <c r="H38" i="4" s="1"/>
  <c r="Q38" i="4" s="1"/>
  <c r="I38" i="4" a="1"/>
  <c r="I38" i="4" s="1"/>
  <c r="R38" i="4" s="1"/>
  <c r="J38" i="4" a="1"/>
  <c r="J38" i="4" s="1"/>
  <c r="S38" i="4" s="1"/>
  <c r="K38" i="4" a="1"/>
  <c r="K38" i="4" s="1"/>
  <c r="T38" i="4" s="1"/>
  <c r="G30" i="4" a="1"/>
  <c r="G30" i="4" s="1"/>
  <c r="P30" i="4" s="1"/>
  <c r="L30" i="4" a="1"/>
  <c r="L30" i="4" s="1"/>
  <c r="U30" i="4" s="1"/>
  <c r="H30" i="4" a="1"/>
  <c r="H30" i="4" s="1"/>
  <c r="Q30" i="4" s="1"/>
  <c r="M30" i="4" a="1"/>
  <c r="M30" i="4" s="1"/>
  <c r="I30" i="4" a="1"/>
  <c r="I30" i="4" s="1"/>
  <c r="R30" i="4" s="1"/>
  <c r="J30" i="4" a="1"/>
  <c r="J30" i="4" s="1"/>
  <c r="S30" i="4" s="1"/>
  <c r="E30" i="4" a="1"/>
  <c r="E30" i="4" s="1"/>
  <c r="F30" i="4" a="1"/>
  <c r="F30" i="4" s="1"/>
  <c r="O30" i="4" s="1"/>
  <c r="K30" i="4" a="1"/>
  <c r="K30" i="4" s="1"/>
  <c r="T30" i="4" s="1"/>
  <c r="H22" i="4" a="1"/>
  <c r="H22" i="4" s="1"/>
  <c r="Q22" i="4" s="1"/>
  <c r="M22" i="4" a="1"/>
  <c r="M22" i="4" s="1"/>
  <c r="I22" i="4" a="1"/>
  <c r="I22" i="4" s="1"/>
  <c r="R22" i="4" s="1"/>
  <c r="J22" i="4" a="1"/>
  <c r="J22" i="4" s="1"/>
  <c r="S22" i="4" s="1"/>
  <c r="E22" i="4" a="1"/>
  <c r="E22" i="4" s="1"/>
  <c r="F22" i="4" a="1"/>
  <c r="F22" i="4" s="1"/>
  <c r="O22" i="4" s="1"/>
  <c r="G22" i="4" a="1"/>
  <c r="G22" i="4" s="1"/>
  <c r="P22" i="4" s="1"/>
  <c r="K22" i="4" a="1"/>
  <c r="K22" i="4" s="1"/>
  <c r="T22" i="4" s="1"/>
  <c r="L22" i="4" a="1"/>
  <c r="L22" i="4" s="1"/>
  <c r="U22" i="4" s="1"/>
  <c r="G209" i="4" a="1"/>
  <c r="G209" i="4" s="1"/>
  <c r="P209" i="4" s="1"/>
  <c r="I206" i="4" a="1"/>
  <c r="I206" i="4" s="1"/>
  <c r="R206" i="4" s="1"/>
  <c r="E200" i="4" a="1"/>
  <c r="E200" i="4" s="1"/>
  <c r="E198" i="4" a="1"/>
  <c r="E198" i="4" s="1"/>
  <c r="L127" i="4" a="1"/>
  <c r="L127" i="4" s="1"/>
  <c r="U127" i="4" s="1"/>
  <c r="E213" i="4" a="1"/>
  <c r="E213" i="4" s="1"/>
  <c r="K213" i="4" a="1"/>
  <c r="K213" i="4" s="1"/>
  <c r="T213" i="4" s="1"/>
  <c r="F213" i="4" a="1"/>
  <c r="F213" i="4" s="1"/>
  <c r="O213" i="4" s="1"/>
  <c r="L213" i="4" a="1"/>
  <c r="L213" i="4" s="1"/>
  <c r="U213" i="4" s="1"/>
  <c r="M213" i="4" a="1"/>
  <c r="M213" i="4" s="1"/>
  <c r="G213" i="4" a="1"/>
  <c r="G213" i="4" s="1"/>
  <c r="P213" i="4" s="1"/>
  <c r="H213" i="4" a="1"/>
  <c r="H213" i="4" s="1"/>
  <c r="Q213" i="4" s="1"/>
  <c r="I213" i="4" a="1"/>
  <c r="I213" i="4" s="1"/>
  <c r="R213" i="4" s="1"/>
  <c r="G205" i="4" a="1"/>
  <c r="G205" i="4" s="1"/>
  <c r="P205" i="4" s="1"/>
  <c r="M205" i="4" a="1"/>
  <c r="M205" i="4" s="1"/>
  <c r="H205" i="4" a="1"/>
  <c r="H205" i="4" s="1"/>
  <c r="Q205" i="4" s="1"/>
  <c r="I205" i="4" a="1"/>
  <c r="I205" i="4" s="1"/>
  <c r="R205" i="4" s="1"/>
  <c r="J205" i="4" a="1"/>
  <c r="J205" i="4" s="1"/>
  <c r="S205" i="4" s="1"/>
  <c r="E205" i="4" a="1"/>
  <c r="E205" i="4" s="1"/>
  <c r="F197" i="4" a="1"/>
  <c r="F197" i="4" s="1"/>
  <c r="O197" i="4" s="1"/>
  <c r="K197" i="4" a="1"/>
  <c r="K197" i="4" s="1"/>
  <c r="T197" i="4" s="1"/>
  <c r="G197" i="4" a="1"/>
  <c r="G197" i="4" s="1"/>
  <c r="P197" i="4" s="1"/>
  <c r="L197" i="4" a="1"/>
  <c r="L197" i="4" s="1"/>
  <c r="U197" i="4" s="1"/>
  <c r="H197" i="4" a="1"/>
  <c r="H197" i="4" s="1"/>
  <c r="Q197" i="4" s="1"/>
  <c r="M197" i="4" a="1"/>
  <c r="M197" i="4" s="1"/>
  <c r="J189" i="4" a="1"/>
  <c r="J189" i="4" s="1"/>
  <c r="S189" i="4" s="1"/>
  <c r="E189" i="4" a="1"/>
  <c r="E189" i="4" s="1"/>
  <c r="H189" i="4" a="1"/>
  <c r="H189" i="4" s="1"/>
  <c r="Q189" i="4" s="1"/>
  <c r="K189" i="4" a="1"/>
  <c r="K189" i="4" s="1"/>
  <c r="T189" i="4" s="1"/>
  <c r="L189" i="4" a="1"/>
  <c r="L189" i="4" s="1"/>
  <c r="U189" i="4" s="1"/>
  <c r="M189" i="4" a="1"/>
  <c r="M189" i="4" s="1"/>
  <c r="F189" i="4" a="1"/>
  <c r="F189" i="4" s="1"/>
  <c r="O189" i="4" s="1"/>
  <c r="G189" i="4" a="1"/>
  <c r="G189" i="4" s="1"/>
  <c r="P189" i="4" s="1"/>
  <c r="M181" i="4" a="1"/>
  <c r="M181" i="4" s="1"/>
  <c r="F181" i="4" a="1"/>
  <c r="F181" i="4" s="1"/>
  <c r="O181" i="4" s="1"/>
  <c r="G181" i="4" a="1"/>
  <c r="G181" i="4" s="1"/>
  <c r="P181" i="4" s="1"/>
  <c r="H181" i="4" a="1"/>
  <c r="H181" i="4" s="1"/>
  <c r="Q181" i="4" s="1"/>
  <c r="I181" i="4" a="1"/>
  <c r="I181" i="4" s="1"/>
  <c r="R181" i="4" s="1"/>
  <c r="J181" i="4" a="1"/>
  <c r="J181" i="4" s="1"/>
  <c r="S181" i="4" s="1"/>
  <c r="L181" i="4" a="1"/>
  <c r="L181" i="4" s="1"/>
  <c r="U181" i="4" s="1"/>
  <c r="K173" i="4" a="1"/>
  <c r="K173" i="4" s="1"/>
  <c r="T173" i="4" s="1"/>
  <c r="E173" i="4" a="1"/>
  <c r="E173" i="4" s="1"/>
  <c r="L173" i="4" a="1"/>
  <c r="L173" i="4" s="1"/>
  <c r="U173" i="4" s="1"/>
  <c r="F173" i="4" a="1"/>
  <c r="F173" i="4" s="1"/>
  <c r="O173" i="4" s="1"/>
  <c r="G173" i="4" a="1"/>
  <c r="G173" i="4" s="1"/>
  <c r="P173" i="4" s="1"/>
  <c r="M173" i="4" a="1"/>
  <c r="M173" i="4" s="1"/>
  <c r="H173" i="4" a="1"/>
  <c r="H173" i="4" s="1"/>
  <c r="Q173" i="4" s="1"/>
  <c r="I173" i="4" a="1"/>
  <c r="I173" i="4" s="1"/>
  <c r="R173" i="4" s="1"/>
  <c r="J173" i="4" a="1"/>
  <c r="J173" i="4" s="1"/>
  <c r="S173" i="4" s="1"/>
  <c r="I165" i="4" a="1"/>
  <c r="I165" i="4" s="1"/>
  <c r="R165" i="4" s="1"/>
  <c r="J165" i="4" a="1"/>
  <c r="J165" i="4" s="1"/>
  <c r="S165" i="4" s="1"/>
  <c r="K165" i="4" a="1"/>
  <c r="K165" i="4" s="1"/>
  <c r="T165" i="4" s="1"/>
  <c r="E165" i="4" a="1"/>
  <c r="E165" i="4" s="1"/>
  <c r="L165" i="4" a="1"/>
  <c r="L165" i="4" s="1"/>
  <c r="U165" i="4" s="1"/>
  <c r="F165" i="4" a="1"/>
  <c r="F165" i="4" s="1"/>
  <c r="O165" i="4" s="1"/>
  <c r="M165" i="4" a="1"/>
  <c r="M165" i="4" s="1"/>
  <c r="G165" i="4" a="1"/>
  <c r="G165" i="4" s="1"/>
  <c r="P165" i="4" s="1"/>
  <c r="H165" i="4" a="1"/>
  <c r="H165" i="4" s="1"/>
  <c r="Q165" i="4" s="1"/>
  <c r="H157" i="4" a="1"/>
  <c r="H157" i="4" s="1"/>
  <c r="Q157" i="4" s="1"/>
  <c r="I157" i="4" a="1"/>
  <c r="I157" i="4" s="1"/>
  <c r="R157" i="4" s="1"/>
  <c r="E157" i="4" a="1"/>
  <c r="E157" i="4" s="1"/>
  <c r="J157" i="4" a="1"/>
  <c r="J157" i="4" s="1"/>
  <c r="S157" i="4" s="1"/>
  <c r="K157" i="4" a="1"/>
  <c r="K157" i="4" s="1"/>
  <c r="T157" i="4" s="1"/>
  <c r="F157" i="4" a="1"/>
  <c r="F157" i="4" s="1"/>
  <c r="O157" i="4" s="1"/>
  <c r="L157" i="4" a="1"/>
  <c r="L157" i="4" s="1"/>
  <c r="U157" i="4" s="1"/>
  <c r="M157" i="4" a="1"/>
  <c r="M157" i="4" s="1"/>
  <c r="G157" i="4" a="1"/>
  <c r="G157" i="4" s="1"/>
  <c r="P157" i="4" s="1"/>
  <c r="J149" i="4" a="1"/>
  <c r="J149" i="4" s="1"/>
  <c r="S149" i="4" s="1"/>
  <c r="K149" i="4" a="1"/>
  <c r="K149" i="4" s="1"/>
  <c r="T149" i="4" s="1"/>
  <c r="E149" i="4" a="1"/>
  <c r="E149" i="4" s="1"/>
  <c r="L149" i="4" a="1"/>
  <c r="L149" i="4" s="1"/>
  <c r="U149" i="4" s="1"/>
  <c r="G149" i="4" a="1"/>
  <c r="G149" i="4" s="1"/>
  <c r="P149" i="4" s="1"/>
  <c r="I149" i="4" a="1"/>
  <c r="I149" i="4" s="1"/>
  <c r="R149" i="4" s="1"/>
  <c r="M149" i="4" a="1"/>
  <c r="M149" i="4" s="1"/>
  <c r="F149" i="4" a="1"/>
  <c r="F149" i="4" s="1"/>
  <c r="O149" i="4" s="1"/>
  <c r="H149" i="4" a="1"/>
  <c r="H149" i="4" s="1"/>
  <c r="Q149" i="4" s="1"/>
  <c r="G141" i="4" a="1"/>
  <c r="G141" i="4" s="1"/>
  <c r="P141" i="4" s="1"/>
  <c r="M141" i="4" a="1"/>
  <c r="M141" i="4" s="1"/>
  <c r="H141" i="4" a="1"/>
  <c r="H141" i="4" s="1"/>
  <c r="Q141" i="4" s="1"/>
  <c r="I141" i="4" a="1"/>
  <c r="I141" i="4" s="1"/>
  <c r="R141" i="4" s="1"/>
  <c r="J141" i="4" a="1"/>
  <c r="J141" i="4" s="1"/>
  <c r="S141" i="4" s="1"/>
  <c r="K141" i="4" a="1"/>
  <c r="K141" i="4" s="1"/>
  <c r="T141" i="4" s="1"/>
  <c r="L141" i="4" a="1"/>
  <c r="L141" i="4" s="1"/>
  <c r="U141" i="4" s="1"/>
  <c r="E141" i="4" a="1"/>
  <c r="E141" i="4" s="1"/>
  <c r="F141" i="4" a="1"/>
  <c r="F141" i="4" s="1"/>
  <c r="O141" i="4" s="1"/>
  <c r="G133" i="4" a="1"/>
  <c r="G133" i="4" s="1"/>
  <c r="P133" i="4" s="1"/>
  <c r="H133" i="4" a="1"/>
  <c r="H133" i="4" s="1"/>
  <c r="Q133" i="4" s="1"/>
  <c r="I133" i="4" a="1"/>
  <c r="I133" i="4" s="1"/>
  <c r="R133" i="4" s="1"/>
  <c r="J133" i="4" a="1"/>
  <c r="J133" i="4" s="1"/>
  <c r="S133" i="4" s="1"/>
  <c r="E133" i="4" a="1"/>
  <c r="E133" i="4" s="1"/>
  <c r="L133" i="4" a="1"/>
  <c r="L133" i="4" s="1"/>
  <c r="U133" i="4" s="1"/>
  <c r="M133" i="4" a="1"/>
  <c r="M133" i="4" s="1"/>
  <c r="F133" i="4" a="1"/>
  <c r="F133" i="4" s="1"/>
  <c r="O133" i="4" s="1"/>
  <c r="K133" i="4" a="1"/>
  <c r="K133" i="4" s="1"/>
  <c r="T133" i="4" s="1"/>
  <c r="L125" i="4" a="1"/>
  <c r="L125" i="4" s="1"/>
  <c r="U125" i="4" s="1"/>
  <c r="F125" i="4" a="1"/>
  <c r="F125" i="4" s="1"/>
  <c r="O125" i="4" s="1"/>
  <c r="M125" i="4" a="1"/>
  <c r="M125" i="4" s="1"/>
  <c r="G125" i="4" a="1"/>
  <c r="G125" i="4" s="1"/>
  <c r="P125" i="4" s="1"/>
  <c r="I125" i="4" a="1"/>
  <c r="I125" i="4" s="1"/>
  <c r="R125" i="4" s="1"/>
  <c r="E125" i="4" a="1"/>
  <c r="E125" i="4" s="1"/>
  <c r="H125" i="4" a="1"/>
  <c r="H125" i="4" s="1"/>
  <c r="Q125" i="4" s="1"/>
  <c r="J125" i="4" a="1"/>
  <c r="J125" i="4" s="1"/>
  <c r="S125" i="4" s="1"/>
  <c r="K125" i="4" a="1"/>
  <c r="K125" i="4" s="1"/>
  <c r="T125" i="4" s="1"/>
  <c r="I117" i="4" a="1"/>
  <c r="I117" i="4" s="1"/>
  <c r="R117" i="4" s="1"/>
  <c r="J117" i="4" a="1"/>
  <c r="J117" i="4" s="1"/>
  <c r="S117" i="4" s="1"/>
  <c r="E117" i="4" a="1"/>
  <c r="E117" i="4" s="1"/>
  <c r="K117" i="4" a="1"/>
  <c r="K117" i="4" s="1"/>
  <c r="T117" i="4" s="1"/>
  <c r="L117" i="4" a="1"/>
  <c r="L117" i="4" s="1"/>
  <c r="U117" i="4" s="1"/>
  <c r="F117" i="4" a="1"/>
  <c r="F117" i="4" s="1"/>
  <c r="O117" i="4" s="1"/>
  <c r="G117" i="4" a="1"/>
  <c r="G117" i="4" s="1"/>
  <c r="P117" i="4" s="1"/>
  <c r="M117" i="4" a="1"/>
  <c r="M117" i="4" s="1"/>
  <c r="H117" i="4" a="1"/>
  <c r="H117" i="4" s="1"/>
  <c r="Q117" i="4" s="1"/>
  <c r="F109" i="4" a="1"/>
  <c r="F109" i="4" s="1"/>
  <c r="O109" i="4" s="1"/>
  <c r="K109" i="4" a="1"/>
  <c r="K109" i="4" s="1"/>
  <c r="T109" i="4" s="1"/>
  <c r="G109" i="4" a="1"/>
  <c r="G109" i="4" s="1"/>
  <c r="P109" i="4" s="1"/>
  <c r="L109" i="4" a="1"/>
  <c r="L109" i="4" s="1"/>
  <c r="U109" i="4" s="1"/>
  <c r="H109" i="4" a="1"/>
  <c r="H109" i="4" s="1"/>
  <c r="Q109" i="4" s="1"/>
  <c r="M109" i="4" a="1"/>
  <c r="M109" i="4" s="1"/>
  <c r="I109" i="4" a="1"/>
  <c r="I109" i="4" s="1"/>
  <c r="R109" i="4" s="1"/>
  <c r="E109" i="4" a="1"/>
  <c r="E109" i="4" s="1"/>
  <c r="J109" i="4" a="1"/>
  <c r="J109" i="4" s="1"/>
  <c r="S109" i="4" s="1"/>
  <c r="H101" i="4" a="1"/>
  <c r="H101" i="4" s="1"/>
  <c r="Q101" i="4" s="1"/>
  <c r="L101" i="4" a="1"/>
  <c r="L101" i="4" s="1"/>
  <c r="U101" i="4" s="1"/>
  <c r="E101" i="4" a="1"/>
  <c r="E101" i="4" s="1"/>
  <c r="I101" i="4" a="1"/>
  <c r="I101" i="4" s="1"/>
  <c r="R101" i="4" s="1"/>
  <c r="M101" i="4" a="1"/>
  <c r="M101" i="4" s="1"/>
  <c r="G101" i="4" a="1"/>
  <c r="G101" i="4" s="1"/>
  <c r="P101" i="4" s="1"/>
  <c r="K101" i="4" a="1"/>
  <c r="K101" i="4" s="1"/>
  <c r="T101" i="4" s="1"/>
  <c r="J101" i="4" a="1"/>
  <c r="J101" i="4" s="1"/>
  <c r="S101" i="4" s="1"/>
  <c r="F101" i="4" a="1"/>
  <c r="F101" i="4" s="1"/>
  <c r="O101" i="4" s="1"/>
  <c r="I93" i="4" a="1"/>
  <c r="I93" i="4" s="1"/>
  <c r="R93" i="4" s="1"/>
  <c r="J93" i="4" a="1"/>
  <c r="J93" i="4" s="1"/>
  <c r="S93" i="4" s="1"/>
  <c r="K93" i="4" a="1"/>
  <c r="K93" i="4" s="1"/>
  <c r="T93" i="4" s="1"/>
  <c r="L93" i="4" a="1"/>
  <c r="L93" i="4" s="1"/>
  <c r="U93" i="4" s="1"/>
  <c r="F93" i="4" a="1"/>
  <c r="F93" i="4" s="1"/>
  <c r="O93" i="4" s="1"/>
  <c r="G93" i="4" a="1"/>
  <c r="G93" i="4" s="1"/>
  <c r="P93" i="4" s="1"/>
  <c r="E93" i="4" a="1"/>
  <c r="E93" i="4" s="1"/>
  <c r="H93" i="4" a="1"/>
  <c r="H93" i="4" s="1"/>
  <c r="Q93" i="4" s="1"/>
  <c r="M93" i="4" a="1"/>
  <c r="M93" i="4" s="1"/>
  <c r="I85" i="4" a="1"/>
  <c r="I85" i="4" s="1"/>
  <c r="R85" i="4" s="1"/>
  <c r="J85" i="4" a="1"/>
  <c r="J85" i="4" s="1"/>
  <c r="S85" i="4" s="1"/>
  <c r="K85" i="4" a="1"/>
  <c r="K85" i="4" s="1"/>
  <c r="T85" i="4" s="1"/>
  <c r="L85" i="4" a="1"/>
  <c r="L85" i="4" s="1"/>
  <c r="U85" i="4" s="1"/>
  <c r="F85" i="4" a="1"/>
  <c r="F85" i="4" s="1"/>
  <c r="O85" i="4" s="1"/>
  <c r="G85" i="4" a="1"/>
  <c r="G85" i="4" s="1"/>
  <c r="P85" i="4" s="1"/>
  <c r="E85" i="4" a="1"/>
  <c r="E85" i="4" s="1"/>
  <c r="H85" i="4" a="1"/>
  <c r="H85" i="4" s="1"/>
  <c r="Q85" i="4" s="1"/>
  <c r="M85" i="4" a="1"/>
  <c r="M85" i="4" s="1"/>
  <c r="I77" i="4" a="1"/>
  <c r="I77" i="4" s="1"/>
  <c r="R77" i="4" s="1"/>
  <c r="J77" i="4" a="1"/>
  <c r="J77" i="4" s="1"/>
  <c r="S77" i="4" s="1"/>
  <c r="K77" i="4" a="1"/>
  <c r="K77" i="4" s="1"/>
  <c r="T77" i="4" s="1"/>
  <c r="L77" i="4" a="1"/>
  <c r="L77" i="4" s="1"/>
  <c r="U77" i="4" s="1"/>
  <c r="F77" i="4" a="1"/>
  <c r="F77" i="4" s="1"/>
  <c r="O77" i="4" s="1"/>
  <c r="G77" i="4" a="1"/>
  <c r="G77" i="4" s="1"/>
  <c r="P77" i="4" s="1"/>
  <c r="E77" i="4" a="1"/>
  <c r="E77" i="4" s="1"/>
  <c r="H77" i="4" a="1"/>
  <c r="H77" i="4" s="1"/>
  <c r="Q77" i="4" s="1"/>
  <c r="M77" i="4" a="1"/>
  <c r="M77" i="4" s="1"/>
  <c r="H69" i="4" a="1"/>
  <c r="H69" i="4" s="1"/>
  <c r="Q69" i="4" s="1"/>
  <c r="I69" i="4" a="1"/>
  <c r="I69" i="4" s="1"/>
  <c r="R69" i="4" s="1"/>
  <c r="J69" i="4" a="1"/>
  <c r="J69" i="4" s="1"/>
  <c r="S69" i="4" s="1"/>
  <c r="F69" i="4" a="1"/>
  <c r="F69" i="4" s="1"/>
  <c r="O69" i="4" s="1"/>
  <c r="G69" i="4" a="1"/>
  <c r="G69" i="4" s="1"/>
  <c r="P69" i="4" s="1"/>
  <c r="K69" i="4" a="1"/>
  <c r="K69" i="4" s="1"/>
  <c r="T69" i="4" s="1"/>
  <c r="L69" i="4" a="1"/>
  <c r="L69" i="4" s="1"/>
  <c r="U69" i="4" s="1"/>
  <c r="M69" i="4" a="1"/>
  <c r="M69" i="4" s="1"/>
  <c r="E69" i="4" a="1"/>
  <c r="E69" i="4" s="1"/>
  <c r="I61" i="4" a="1"/>
  <c r="I61" i="4" s="1"/>
  <c r="R61" i="4" s="1"/>
  <c r="J61" i="4" a="1"/>
  <c r="J61" i="4" s="1"/>
  <c r="S61" i="4" s="1"/>
  <c r="K61" i="4" a="1"/>
  <c r="K61" i="4" s="1"/>
  <c r="T61" i="4" s="1"/>
  <c r="E61" i="4" a="1"/>
  <c r="E61" i="4" s="1"/>
  <c r="F61" i="4" a="1"/>
  <c r="F61" i="4" s="1"/>
  <c r="O61" i="4" s="1"/>
  <c r="L61" i="4" a="1"/>
  <c r="L61" i="4" s="1"/>
  <c r="U61" i="4" s="1"/>
  <c r="G61" i="4" a="1"/>
  <c r="G61" i="4" s="1"/>
  <c r="P61" i="4" s="1"/>
  <c r="H61" i="4" a="1"/>
  <c r="H61" i="4" s="1"/>
  <c r="Q61" i="4" s="1"/>
  <c r="M61" i="4" a="1"/>
  <c r="M61" i="4" s="1"/>
  <c r="M53" i="4" a="1"/>
  <c r="M53" i="4" s="1"/>
  <c r="H53" i="4" a="1"/>
  <c r="H53" i="4" s="1"/>
  <c r="Q53" i="4" s="1"/>
  <c r="I53" i="4" a="1"/>
  <c r="I53" i="4" s="1"/>
  <c r="R53" i="4" s="1"/>
  <c r="E53" i="4" a="1"/>
  <c r="E53" i="4" s="1"/>
  <c r="J53" i="4" a="1"/>
  <c r="J53" i="4" s="1"/>
  <c r="S53" i="4" s="1"/>
  <c r="F53" i="4" a="1"/>
  <c r="F53" i="4" s="1"/>
  <c r="O53" i="4" s="1"/>
  <c r="G53" i="4" a="1"/>
  <c r="G53" i="4" s="1"/>
  <c r="P53" i="4" s="1"/>
  <c r="K53" i="4" a="1"/>
  <c r="K53" i="4" s="1"/>
  <c r="T53" i="4" s="1"/>
  <c r="L53" i="4" a="1"/>
  <c r="L53" i="4" s="1"/>
  <c r="U53" i="4" s="1"/>
  <c r="H45" i="4" a="1"/>
  <c r="H45" i="4" s="1"/>
  <c r="Q45" i="4" s="1"/>
  <c r="I45" i="4" a="1"/>
  <c r="I45" i="4" s="1"/>
  <c r="R45" i="4" s="1"/>
  <c r="J45" i="4" a="1"/>
  <c r="J45" i="4" s="1"/>
  <c r="S45" i="4" s="1"/>
  <c r="E45" i="4" a="1"/>
  <c r="E45" i="4" s="1"/>
  <c r="K45" i="4" a="1"/>
  <c r="K45" i="4" s="1"/>
  <c r="T45" i="4" s="1"/>
  <c r="L45" i="4" a="1"/>
  <c r="L45" i="4" s="1"/>
  <c r="U45" i="4" s="1"/>
  <c r="F45" i="4" a="1"/>
  <c r="F45" i="4" s="1"/>
  <c r="O45" i="4" s="1"/>
  <c r="G45" i="4" a="1"/>
  <c r="G45" i="4" s="1"/>
  <c r="P45" i="4" s="1"/>
  <c r="M45" i="4" a="1"/>
  <c r="M45" i="4" s="1"/>
  <c r="J37" i="4" a="1"/>
  <c r="J37" i="4" s="1"/>
  <c r="S37" i="4" s="1"/>
  <c r="K37" i="4" a="1"/>
  <c r="K37" i="4" s="1"/>
  <c r="T37" i="4" s="1"/>
  <c r="E37" i="4" a="1"/>
  <c r="E37" i="4" s="1"/>
  <c r="F37" i="4" a="1"/>
  <c r="F37" i="4" s="1"/>
  <c r="O37" i="4" s="1"/>
  <c r="L37" i="4" a="1"/>
  <c r="L37" i="4" s="1"/>
  <c r="U37" i="4" s="1"/>
  <c r="G37" i="4" a="1"/>
  <c r="G37" i="4" s="1"/>
  <c r="P37" i="4" s="1"/>
  <c r="H37" i="4" a="1"/>
  <c r="H37" i="4" s="1"/>
  <c r="Q37" i="4" s="1"/>
  <c r="I37" i="4" a="1"/>
  <c r="I37" i="4" s="1"/>
  <c r="R37" i="4" s="1"/>
  <c r="M37" i="4" a="1"/>
  <c r="M37" i="4" s="1"/>
  <c r="E29" i="4" a="1"/>
  <c r="E29" i="4" s="1"/>
  <c r="J29" i="4" a="1"/>
  <c r="J29" i="4" s="1"/>
  <c r="S29" i="4" s="1"/>
  <c r="K29" i="4" a="1"/>
  <c r="K29" i="4" s="1"/>
  <c r="T29" i="4" s="1"/>
  <c r="F29" i="4" a="1"/>
  <c r="F29" i="4" s="1"/>
  <c r="O29" i="4" s="1"/>
  <c r="G29" i="4" a="1"/>
  <c r="G29" i="4" s="1"/>
  <c r="P29" i="4" s="1"/>
  <c r="L29" i="4" a="1"/>
  <c r="L29" i="4" s="1"/>
  <c r="U29" i="4" s="1"/>
  <c r="H29" i="4" a="1"/>
  <c r="H29" i="4" s="1"/>
  <c r="Q29" i="4" s="1"/>
  <c r="I29" i="4" a="1"/>
  <c r="I29" i="4" s="1"/>
  <c r="R29" i="4" s="1"/>
  <c r="M29" i="4" a="1"/>
  <c r="M29" i="4" s="1"/>
  <c r="F21" i="4" a="1"/>
  <c r="F21" i="4" s="1"/>
  <c r="O21" i="4" s="1"/>
  <c r="G21" i="4" a="1"/>
  <c r="G21" i="4" s="1"/>
  <c r="P21" i="4" s="1"/>
  <c r="L21" i="4" a="1"/>
  <c r="L21" i="4" s="1"/>
  <c r="U21" i="4" s="1"/>
  <c r="M21" i="4" a="1"/>
  <c r="M21" i="4" s="1"/>
  <c r="H21" i="4" a="1"/>
  <c r="H21" i="4" s="1"/>
  <c r="Q21" i="4" s="1"/>
  <c r="E21" i="4" a="1"/>
  <c r="E21" i="4" s="1"/>
  <c r="I21" i="4" a="1"/>
  <c r="I21" i="4" s="1"/>
  <c r="R21" i="4" s="1"/>
  <c r="J21" i="4" a="1"/>
  <c r="J21" i="4" s="1"/>
  <c r="S21" i="4" s="1"/>
  <c r="K21" i="4" a="1"/>
  <c r="K21" i="4" s="1"/>
  <c r="T21" i="4" s="1"/>
  <c r="E16" i="4" a="1"/>
  <c r="E16" i="4" s="1"/>
  <c r="K208" i="4" a="1"/>
  <c r="K208" i="4" s="1"/>
  <c r="T208" i="4" s="1"/>
  <c r="L205" i="4" a="1"/>
  <c r="L205" i="4" s="1"/>
  <c r="U205" i="4" s="1"/>
  <c r="J199" i="4" a="1"/>
  <c r="J199" i="4" s="1"/>
  <c r="S199" i="4" s="1"/>
  <c r="J197" i="4" a="1"/>
  <c r="J197" i="4" s="1"/>
  <c r="S197" i="4" s="1"/>
  <c r="M178" i="4" a="1"/>
  <c r="M178" i="4" s="1"/>
  <c r="K158" i="4" a="1"/>
  <c r="K158" i="4" s="1"/>
  <c r="T158" i="4" s="1"/>
  <c r="H212" i="4" a="1"/>
  <c r="H212" i="4" s="1"/>
  <c r="Q212" i="4" s="1"/>
  <c r="I212" i="4" a="1"/>
  <c r="I212" i="4" s="1"/>
  <c r="R212" i="4" s="1"/>
  <c r="J212" i="4" a="1"/>
  <c r="J212" i="4" s="1"/>
  <c r="S212" i="4" s="1"/>
  <c r="K212" i="4" a="1"/>
  <c r="K212" i="4" s="1"/>
  <c r="T212" i="4" s="1"/>
  <c r="E212" i="4" a="1"/>
  <c r="E212" i="4" s="1"/>
  <c r="G204" i="4" a="1"/>
  <c r="G204" i="4" s="1"/>
  <c r="P204" i="4" s="1"/>
  <c r="L204" i="4" a="1"/>
  <c r="L204" i="4" s="1"/>
  <c r="U204" i="4" s="1"/>
  <c r="H204" i="4" a="1"/>
  <c r="H204" i="4" s="1"/>
  <c r="Q204" i="4" s="1"/>
  <c r="M204" i="4" a="1"/>
  <c r="M204" i="4" s="1"/>
  <c r="I204" i="4" a="1"/>
  <c r="I204" i="4" s="1"/>
  <c r="R204" i="4" s="1"/>
  <c r="E204" i="4" a="1"/>
  <c r="E204" i="4" s="1"/>
  <c r="J196" i="4" a="1"/>
  <c r="J196" i="4" s="1"/>
  <c r="S196" i="4" s="1"/>
  <c r="K196" i="4" a="1"/>
  <c r="K196" i="4" s="1"/>
  <c r="T196" i="4" s="1"/>
  <c r="E196" i="4" a="1"/>
  <c r="E196" i="4" s="1"/>
  <c r="F196" i="4" a="1"/>
  <c r="F196" i="4" s="1"/>
  <c r="O196" i="4" s="1"/>
  <c r="L196" i="4" a="1"/>
  <c r="L196" i="4" s="1"/>
  <c r="U196" i="4" s="1"/>
  <c r="G196" i="4" a="1"/>
  <c r="G196" i="4" s="1"/>
  <c r="P196" i="4" s="1"/>
  <c r="H196" i="4" a="1"/>
  <c r="H196" i="4" s="1"/>
  <c r="Q196" i="4" s="1"/>
  <c r="M196" i="4" a="1"/>
  <c r="M196" i="4" s="1"/>
  <c r="F188" i="4" a="1"/>
  <c r="F188" i="4" s="1"/>
  <c r="O188" i="4" s="1"/>
  <c r="L188" i="4" a="1"/>
  <c r="L188" i="4" s="1"/>
  <c r="U188" i="4" s="1"/>
  <c r="G188" i="4" a="1"/>
  <c r="G188" i="4" s="1"/>
  <c r="P188" i="4" s="1"/>
  <c r="M188" i="4" a="1"/>
  <c r="M188" i="4" s="1"/>
  <c r="H188" i="4" a="1"/>
  <c r="H188" i="4" s="1"/>
  <c r="Q188" i="4" s="1"/>
  <c r="I188" i="4" a="1"/>
  <c r="I188" i="4" s="1"/>
  <c r="R188" i="4" s="1"/>
  <c r="J188" i="4" a="1"/>
  <c r="J188" i="4" s="1"/>
  <c r="S188" i="4" s="1"/>
  <c r="K188" i="4" a="1"/>
  <c r="K188" i="4" s="1"/>
  <c r="T188" i="4" s="1"/>
  <c r="H180" i="4" a="1"/>
  <c r="H180" i="4" s="1"/>
  <c r="Q180" i="4" s="1"/>
  <c r="I180" i="4" a="1"/>
  <c r="I180" i="4" s="1"/>
  <c r="R180" i="4" s="1"/>
  <c r="J180" i="4" a="1"/>
  <c r="J180" i="4" s="1"/>
  <c r="S180" i="4" s="1"/>
  <c r="K180" i="4" a="1"/>
  <c r="K180" i="4" s="1"/>
  <c r="T180" i="4" s="1"/>
  <c r="E180" i="4" a="1"/>
  <c r="E180" i="4" s="1"/>
  <c r="L180" i="4" a="1"/>
  <c r="L180" i="4" s="1"/>
  <c r="U180" i="4" s="1"/>
  <c r="M180" i="4" a="1"/>
  <c r="M180" i="4" s="1"/>
  <c r="F180" i="4" a="1"/>
  <c r="F180" i="4" s="1"/>
  <c r="O180" i="4" s="1"/>
  <c r="G180" i="4" a="1"/>
  <c r="G180" i="4" s="1"/>
  <c r="P180" i="4" s="1"/>
  <c r="H172" i="4" a="1"/>
  <c r="H172" i="4" s="1"/>
  <c r="Q172" i="4" s="1"/>
  <c r="I172" i="4" a="1"/>
  <c r="I172" i="4" s="1"/>
  <c r="R172" i="4" s="1"/>
  <c r="J172" i="4" a="1"/>
  <c r="J172" i="4" s="1"/>
  <c r="S172" i="4" s="1"/>
  <c r="E172" i="4" a="1"/>
  <c r="E172" i="4" s="1"/>
  <c r="K172" i="4" a="1"/>
  <c r="K172" i="4" s="1"/>
  <c r="T172" i="4" s="1"/>
  <c r="F172" i="4" a="1"/>
  <c r="F172" i="4" s="1"/>
  <c r="O172" i="4" s="1"/>
  <c r="L172" i="4" a="1"/>
  <c r="L172" i="4" s="1"/>
  <c r="U172" i="4" s="1"/>
  <c r="G172" i="4" a="1"/>
  <c r="G172" i="4" s="1"/>
  <c r="P172" i="4" s="1"/>
  <c r="M172" i="4" a="1"/>
  <c r="M172" i="4" s="1"/>
  <c r="F164" i="4" a="1"/>
  <c r="F164" i="4" s="1"/>
  <c r="O164" i="4" s="1"/>
  <c r="K164" i="4" a="1"/>
  <c r="K164" i="4" s="1"/>
  <c r="T164" i="4" s="1"/>
  <c r="L164" i="4" a="1"/>
  <c r="L164" i="4" s="1"/>
  <c r="U164" i="4" s="1"/>
  <c r="G164" i="4" a="1"/>
  <c r="G164" i="4" s="1"/>
  <c r="P164" i="4" s="1"/>
  <c r="M164" i="4" a="1"/>
  <c r="M164" i="4" s="1"/>
  <c r="H164" i="4" a="1"/>
  <c r="H164" i="4" s="1"/>
  <c r="Q164" i="4" s="1"/>
  <c r="I164" i="4" a="1"/>
  <c r="I164" i="4" s="1"/>
  <c r="R164" i="4" s="1"/>
  <c r="J164" i="4" a="1"/>
  <c r="J164" i="4" s="1"/>
  <c r="S164" i="4" s="1"/>
  <c r="F156" i="4" a="1"/>
  <c r="F156" i="4" s="1"/>
  <c r="O156" i="4" s="1"/>
  <c r="L156" i="4" a="1"/>
  <c r="L156" i="4" s="1"/>
  <c r="U156" i="4" s="1"/>
  <c r="M156" i="4" a="1"/>
  <c r="M156" i="4" s="1"/>
  <c r="G156" i="4" a="1"/>
  <c r="G156" i="4" s="1"/>
  <c r="P156" i="4" s="1"/>
  <c r="H156" i="4" a="1"/>
  <c r="H156" i="4" s="1"/>
  <c r="Q156" i="4" s="1"/>
  <c r="I156" i="4" a="1"/>
  <c r="I156" i="4" s="1"/>
  <c r="R156" i="4" s="1"/>
  <c r="J156" i="4" a="1"/>
  <c r="J156" i="4" s="1"/>
  <c r="S156" i="4" s="1"/>
  <c r="E156" i="4" a="1"/>
  <c r="E156" i="4" s="1"/>
  <c r="K156" i="4" a="1"/>
  <c r="K156" i="4" s="1"/>
  <c r="T156" i="4" s="1"/>
  <c r="F148" i="4" a="1"/>
  <c r="F148" i="4" s="1"/>
  <c r="O148" i="4" s="1"/>
  <c r="M148" i="4" a="1"/>
  <c r="M148" i="4" s="1"/>
  <c r="G148" i="4" a="1"/>
  <c r="G148" i="4" s="1"/>
  <c r="P148" i="4" s="1"/>
  <c r="H148" i="4" a="1"/>
  <c r="H148" i="4" s="1"/>
  <c r="Q148" i="4" s="1"/>
  <c r="K148" i="4" a="1"/>
  <c r="K148" i="4" s="1"/>
  <c r="T148" i="4" s="1"/>
  <c r="I148" i="4" a="1"/>
  <c r="I148" i="4" s="1"/>
  <c r="R148" i="4" s="1"/>
  <c r="J148" i="4" a="1"/>
  <c r="J148" i="4" s="1"/>
  <c r="S148" i="4" s="1"/>
  <c r="L148" i="4" a="1"/>
  <c r="L148" i="4" s="1"/>
  <c r="U148" i="4" s="1"/>
  <c r="E148" i="4" a="1"/>
  <c r="E148" i="4" s="1"/>
  <c r="J140" i="4" a="1"/>
  <c r="J140" i="4" s="1"/>
  <c r="S140" i="4" s="1"/>
  <c r="E140" i="4" a="1"/>
  <c r="E140" i="4" s="1"/>
  <c r="K140" i="4" a="1"/>
  <c r="K140" i="4" s="1"/>
  <c r="T140" i="4" s="1"/>
  <c r="F140" i="4" a="1"/>
  <c r="F140" i="4" s="1"/>
  <c r="O140" i="4" s="1"/>
  <c r="L140" i="4" a="1"/>
  <c r="L140" i="4" s="1"/>
  <c r="U140" i="4" s="1"/>
  <c r="G140" i="4" a="1"/>
  <c r="G140" i="4" s="1"/>
  <c r="P140" i="4" s="1"/>
  <c r="H140" i="4" a="1"/>
  <c r="H140" i="4" s="1"/>
  <c r="Q140" i="4" s="1"/>
  <c r="I140" i="4" a="1"/>
  <c r="I140" i="4" s="1"/>
  <c r="R140" i="4" s="1"/>
  <c r="M140" i="4" a="1"/>
  <c r="M140" i="4" s="1"/>
  <c r="I132" i="4" a="1"/>
  <c r="I132" i="4" s="1"/>
  <c r="R132" i="4" s="1"/>
  <c r="J132" i="4" a="1"/>
  <c r="J132" i="4" s="1"/>
  <c r="S132" i="4" s="1"/>
  <c r="E132" i="4" a="1"/>
  <c r="E132" i="4" s="1"/>
  <c r="K132" i="4" a="1"/>
  <c r="K132" i="4" s="1"/>
  <c r="T132" i="4" s="1"/>
  <c r="F132" i="4" a="1"/>
  <c r="F132" i="4" s="1"/>
  <c r="O132" i="4" s="1"/>
  <c r="L132" i="4" a="1"/>
  <c r="L132" i="4" s="1"/>
  <c r="U132" i="4" s="1"/>
  <c r="G132" i="4" a="1"/>
  <c r="G132" i="4" s="1"/>
  <c r="P132" i="4" s="1"/>
  <c r="H132" i="4" a="1"/>
  <c r="H132" i="4" s="1"/>
  <c r="Q132" i="4" s="1"/>
  <c r="M132" i="4" a="1"/>
  <c r="M132" i="4" s="1"/>
  <c r="G124" i="4" a="1"/>
  <c r="G124" i="4" s="1"/>
  <c r="P124" i="4" s="1"/>
  <c r="H124" i="4" a="1"/>
  <c r="H124" i="4" s="1"/>
  <c r="Q124" i="4" s="1"/>
  <c r="I124" i="4" a="1"/>
  <c r="I124" i="4" s="1"/>
  <c r="R124" i="4" s="1"/>
  <c r="J124" i="4" a="1"/>
  <c r="J124" i="4" s="1"/>
  <c r="S124" i="4" s="1"/>
  <c r="L124" i="4" a="1"/>
  <c r="L124" i="4" s="1"/>
  <c r="U124" i="4" s="1"/>
  <c r="F124" i="4" a="1"/>
  <c r="F124" i="4" s="1"/>
  <c r="O124" i="4" s="1"/>
  <c r="K124" i="4" a="1"/>
  <c r="K124" i="4" s="1"/>
  <c r="T124" i="4" s="1"/>
  <c r="M124" i="4" a="1"/>
  <c r="M124" i="4" s="1"/>
  <c r="E124" i="4" a="1"/>
  <c r="E124" i="4" s="1"/>
  <c r="G116" i="4" a="1"/>
  <c r="G116" i="4" s="1"/>
  <c r="P116" i="4" s="1"/>
  <c r="M116" i="4" a="1"/>
  <c r="M116" i="4" s="1"/>
  <c r="H116" i="4" a="1"/>
  <c r="H116" i="4" s="1"/>
  <c r="Q116" i="4" s="1"/>
  <c r="I116" i="4" a="1"/>
  <c r="I116" i="4" s="1"/>
  <c r="R116" i="4" s="1"/>
  <c r="E116" i="4" a="1"/>
  <c r="E116" i="4" s="1"/>
  <c r="J116" i="4" a="1"/>
  <c r="J116" i="4" s="1"/>
  <c r="S116" i="4" s="1"/>
  <c r="F116" i="4" a="1"/>
  <c r="F116" i="4" s="1"/>
  <c r="O116" i="4" s="1"/>
  <c r="K116" i="4" a="1"/>
  <c r="K116" i="4" s="1"/>
  <c r="T116" i="4" s="1"/>
  <c r="L116" i="4" a="1"/>
  <c r="L116" i="4" s="1"/>
  <c r="U116" i="4" s="1"/>
  <c r="F108" i="4" a="1"/>
  <c r="F108" i="4" s="1"/>
  <c r="O108" i="4" s="1"/>
  <c r="K108" i="4" a="1"/>
  <c r="K108" i="4" s="1"/>
  <c r="T108" i="4" s="1"/>
  <c r="G108" i="4" a="1"/>
  <c r="G108" i="4" s="1"/>
  <c r="P108" i="4" s="1"/>
  <c r="L108" i="4" a="1"/>
  <c r="L108" i="4" s="1"/>
  <c r="U108" i="4" s="1"/>
  <c r="H108" i="4" a="1"/>
  <c r="H108" i="4" s="1"/>
  <c r="Q108" i="4" s="1"/>
  <c r="M108" i="4" a="1"/>
  <c r="M108" i="4" s="1"/>
  <c r="I108" i="4" a="1"/>
  <c r="I108" i="4" s="1"/>
  <c r="R108" i="4" s="1"/>
  <c r="E108" i="4" a="1"/>
  <c r="E108" i="4" s="1"/>
  <c r="J108" i="4" a="1"/>
  <c r="J108" i="4" s="1"/>
  <c r="S108" i="4" s="1"/>
  <c r="E100" i="4" a="1"/>
  <c r="E100" i="4" s="1"/>
  <c r="I100" i="4" a="1"/>
  <c r="I100" i="4" s="1"/>
  <c r="R100" i="4" s="1"/>
  <c r="M100" i="4" a="1"/>
  <c r="M100" i="4" s="1"/>
  <c r="F100" i="4" a="1"/>
  <c r="F100" i="4" s="1"/>
  <c r="O100" i="4" s="1"/>
  <c r="J100" i="4" a="1"/>
  <c r="J100" i="4" s="1"/>
  <c r="S100" i="4" s="1"/>
  <c r="H100" i="4" a="1"/>
  <c r="H100" i="4" s="1"/>
  <c r="Q100" i="4" s="1"/>
  <c r="L100" i="4" a="1"/>
  <c r="L100" i="4" s="1"/>
  <c r="U100" i="4" s="1"/>
  <c r="G100" i="4" a="1"/>
  <c r="G100" i="4" s="1"/>
  <c r="P100" i="4" s="1"/>
  <c r="K100" i="4" a="1"/>
  <c r="K100" i="4" s="1"/>
  <c r="T100" i="4" s="1"/>
  <c r="J92" i="4" a="1"/>
  <c r="J92" i="4" s="1"/>
  <c r="S92" i="4" s="1"/>
  <c r="K92" i="4" a="1"/>
  <c r="K92" i="4" s="1"/>
  <c r="T92" i="4" s="1"/>
  <c r="L92" i="4" a="1"/>
  <c r="L92" i="4" s="1"/>
  <c r="U92" i="4" s="1"/>
  <c r="E92" i="4" a="1"/>
  <c r="E92" i="4" s="1"/>
  <c r="M92" i="4" a="1"/>
  <c r="M92" i="4" s="1"/>
  <c r="G92" i="4" a="1"/>
  <c r="G92" i="4" s="1"/>
  <c r="P92" i="4" s="1"/>
  <c r="H92" i="4" a="1"/>
  <c r="H92" i="4" s="1"/>
  <c r="Q92" i="4" s="1"/>
  <c r="F92" i="4" a="1"/>
  <c r="F92" i="4" s="1"/>
  <c r="O92" i="4" s="1"/>
  <c r="I92" i="4" a="1"/>
  <c r="I92" i="4" s="1"/>
  <c r="R92" i="4" s="1"/>
  <c r="J84" i="4" a="1"/>
  <c r="J84" i="4" s="1"/>
  <c r="S84" i="4" s="1"/>
  <c r="K84" i="4" a="1"/>
  <c r="K84" i="4" s="1"/>
  <c r="T84" i="4" s="1"/>
  <c r="L84" i="4" a="1"/>
  <c r="L84" i="4" s="1"/>
  <c r="U84" i="4" s="1"/>
  <c r="E84" i="4" a="1"/>
  <c r="E84" i="4" s="1"/>
  <c r="M84" i="4" a="1"/>
  <c r="M84" i="4" s="1"/>
  <c r="G84" i="4" a="1"/>
  <c r="G84" i="4" s="1"/>
  <c r="P84" i="4" s="1"/>
  <c r="H84" i="4" a="1"/>
  <c r="H84" i="4" s="1"/>
  <c r="Q84" i="4" s="1"/>
  <c r="F84" i="4" a="1"/>
  <c r="F84" i="4" s="1"/>
  <c r="O84" i="4" s="1"/>
  <c r="I84" i="4" a="1"/>
  <c r="I84" i="4" s="1"/>
  <c r="R84" i="4" s="1"/>
  <c r="J76" i="4" a="1"/>
  <c r="J76" i="4" s="1"/>
  <c r="S76" i="4" s="1"/>
  <c r="K76" i="4" a="1"/>
  <c r="K76" i="4" s="1"/>
  <c r="T76" i="4" s="1"/>
  <c r="L76" i="4" a="1"/>
  <c r="L76" i="4" s="1"/>
  <c r="U76" i="4" s="1"/>
  <c r="E76" i="4" a="1"/>
  <c r="E76" i="4" s="1"/>
  <c r="M76" i="4" a="1"/>
  <c r="M76" i="4" s="1"/>
  <c r="F76" i="4" a="1"/>
  <c r="F76" i="4" s="1"/>
  <c r="O76" i="4" s="1"/>
  <c r="G76" i="4" a="1"/>
  <c r="G76" i="4" s="1"/>
  <c r="P76" i="4" s="1"/>
  <c r="H76" i="4" a="1"/>
  <c r="H76" i="4" s="1"/>
  <c r="Q76" i="4" s="1"/>
  <c r="I76" i="4" a="1"/>
  <c r="I76" i="4" s="1"/>
  <c r="R76" i="4" s="1"/>
  <c r="I68" i="4" a="1"/>
  <c r="I68" i="4" s="1"/>
  <c r="R68" i="4" s="1"/>
  <c r="J68" i="4" a="1"/>
  <c r="J68" i="4" s="1"/>
  <c r="S68" i="4" s="1"/>
  <c r="K68" i="4" a="1"/>
  <c r="K68" i="4" s="1"/>
  <c r="T68" i="4" s="1"/>
  <c r="L68" i="4" a="1"/>
  <c r="L68" i="4" s="1"/>
  <c r="U68" i="4" s="1"/>
  <c r="E68" i="4" a="1"/>
  <c r="E68" i="4" s="1"/>
  <c r="F68" i="4" a="1"/>
  <c r="F68" i="4" s="1"/>
  <c r="O68" i="4" s="1"/>
  <c r="G68" i="4" a="1"/>
  <c r="G68" i="4" s="1"/>
  <c r="P68" i="4" s="1"/>
  <c r="H68" i="4" a="1"/>
  <c r="H68" i="4" s="1"/>
  <c r="Q68" i="4" s="1"/>
  <c r="M68" i="4" a="1"/>
  <c r="M68" i="4" s="1"/>
  <c r="E60" i="4" a="1"/>
  <c r="E60" i="4" s="1"/>
  <c r="L60" i="4" a="1"/>
  <c r="L60" i="4" s="1"/>
  <c r="U60" i="4" s="1"/>
  <c r="F60" i="4" a="1"/>
  <c r="F60" i="4" s="1"/>
  <c r="O60" i="4" s="1"/>
  <c r="G60" i="4" a="1"/>
  <c r="G60" i="4" s="1"/>
  <c r="P60" i="4" s="1"/>
  <c r="M60" i="4" a="1"/>
  <c r="M60" i="4" s="1"/>
  <c r="H60" i="4" a="1"/>
  <c r="H60" i="4" s="1"/>
  <c r="Q60" i="4" s="1"/>
  <c r="I60" i="4" a="1"/>
  <c r="I60" i="4" s="1"/>
  <c r="R60" i="4" s="1"/>
  <c r="J60" i="4" a="1"/>
  <c r="J60" i="4" s="1"/>
  <c r="S60" i="4" s="1"/>
  <c r="K60" i="4" a="1"/>
  <c r="K60" i="4" s="1"/>
  <c r="T60" i="4" s="1"/>
  <c r="K52" i="4" a="1"/>
  <c r="K52" i="4" s="1"/>
  <c r="T52" i="4" s="1"/>
  <c r="F52" i="4" a="1"/>
  <c r="F52" i="4" s="1"/>
  <c r="O52" i="4" s="1"/>
  <c r="L52" i="4" a="1"/>
  <c r="L52" i="4" s="1"/>
  <c r="U52" i="4" s="1"/>
  <c r="M52" i="4" a="1"/>
  <c r="M52" i="4" s="1"/>
  <c r="G52" i="4" a="1"/>
  <c r="G52" i="4" s="1"/>
  <c r="P52" i="4" s="1"/>
  <c r="H52" i="4" a="1"/>
  <c r="H52" i="4" s="1"/>
  <c r="Q52" i="4" s="1"/>
  <c r="J52" i="4" a="1"/>
  <c r="J52" i="4" s="1"/>
  <c r="S52" i="4" s="1"/>
  <c r="E52" i="4" a="1"/>
  <c r="E52" i="4" s="1"/>
  <c r="I52" i="4" a="1"/>
  <c r="I52" i="4" s="1"/>
  <c r="R52" i="4" s="1"/>
  <c r="F44" i="4" a="1"/>
  <c r="F44" i="4" s="1"/>
  <c r="O44" i="4" s="1"/>
  <c r="G44" i="4" a="1"/>
  <c r="G44" i="4" s="1"/>
  <c r="P44" i="4" s="1"/>
  <c r="M44" i="4" a="1"/>
  <c r="M44" i="4" s="1"/>
  <c r="H44" i="4" a="1"/>
  <c r="H44" i="4" s="1"/>
  <c r="Q44" i="4" s="1"/>
  <c r="I44" i="4" a="1"/>
  <c r="I44" i="4" s="1"/>
  <c r="R44" i="4" s="1"/>
  <c r="J44" i="4" a="1"/>
  <c r="J44" i="4" s="1"/>
  <c r="S44" i="4" s="1"/>
  <c r="K44" i="4" a="1"/>
  <c r="K44" i="4" s="1"/>
  <c r="T44" i="4" s="1"/>
  <c r="L44" i="4" a="1"/>
  <c r="L44" i="4" s="1"/>
  <c r="U44" i="4" s="1"/>
  <c r="E44" i="4" a="1"/>
  <c r="E44" i="4" s="1"/>
  <c r="G36" i="4" a="1"/>
  <c r="G36" i="4" s="1"/>
  <c r="P36" i="4" s="1"/>
  <c r="H36" i="4" a="1"/>
  <c r="H36" i="4" s="1"/>
  <c r="Q36" i="4" s="1"/>
  <c r="M36" i="4" a="1"/>
  <c r="M36" i="4" s="1"/>
  <c r="I36" i="4" a="1"/>
  <c r="I36" i="4" s="1"/>
  <c r="R36" i="4" s="1"/>
  <c r="J36" i="4" a="1"/>
  <c r="J36" i="4" s="1"/>
  <c r="S36" i="4" s="1"/>
  <c r="K36" i="4" a="1"/>
  <c r="K36" i="4" s="1"/>
  <c r="T36" i="4" s="1"/>
  <c r="L36" i="4" a="1"/>
  <c r="L36" i="4" s="1"/>
  <c r="U36" i="4" s="1"/>
  <c r="E36" i="4" a="1"/>
  <c r="E36" i="4" s="1"/>
  <c r="F36" i="4" a="1"/>
  <c r="F36" i="4" s="1"/>
  <c r="O36" i="4" s="1"/>
  <c r="I28" i="4" a="1"/>
  <c r="I28" i="4" s="1"/>
  <c r="R28" i="4" s="1"/>
  <c r="E28" i="4" a="1"/>
  <c r="E28" i="4" s="1"/>
  <c r="J28" i="4" a="1"/>
  <c r="J28" i="4" s="1"/>
  <c r="S28" i="4" s="1"/>
  <c r="F28" i="4" a="1"/>
  <c r="F28" i="4" s="1"/>
  <c r="O28" i="4" s="1"/>
  <c r="K28" i="4" a="1"/>
  <c r="K28" i="4" s="1"/>
  <c r="T28" i="4" s="1"/>
  <c r="H28" i="4" a="1"/>
  <c r="H28" i="4" s="1"/>
  <c r="Q28" i="4" s="1"/>
  <c r="L28" i="4" a="1"/>
  <c r="L28" i="4" s="1"/>
  <c r="U28" i="4" s="1"/>
  <c r="M28" i="4" a="1"/>
  <c r="M28" i="4" s="1"/>
  <c r="G28" i="4" a="1"/>
  <c r="G28" i="4" s="1"/>
  <c r="P28" i="4" s="1"/>
  <c r="I20" i="4" a="1"/>
  <c r="I20" i="4" s="1"/>
  <c r="R20" i="4" s="1"/>
  <c r="E20" i="4" a="1"/>
  <c r="E20" i="4" s="1"/>
  <c r="J20" i="4" a="1"/>
  <c r="J20" i="4" s="1"/>
  <c r="S20" i="4" s="1"/>
  <c r="K20" i="4" a="1"/>
  <c r="K20" i="4" s="1"/>
  <c r="T20" i="4" s="1"/>
  <c r="F20" i="4" a="1"/>
  <c r="F20" i="4" s="1"/>
  <c r="O20" i="4" s="1"/>
  <c r="L20" i="4" a="1"/>
  <c r="L20" i="4" s="1"/>
  <c r="U20" i="4" s="1"/>
  <c r="M20" i="4" a="1"/>
  <c r="M20" i="4" s="1"/>
  <c r="H20" i="4" a="1"/>
  <c r="H20" i="4" s="1"/>
  <c r="Q20" i="4" s="1"/>
  <c r="G20" i="4" a="1"/>
  <c r="G20" i="4" s="1"/>
  <c r="P20" i="4" s="1"/>
  <c r="J208" i="4" a="1"/>
  <c r="J208" i="4" s="1"/>
  <c r="S208" i="4" s="1"/>
  <c r="K205" i="4" a="1"/>
  <c r="K205" i="4" s="1"/>
  <c r="T205" i="4" s="1"/>
  <c r="J201" i="4" a="1"/>
  <c r="J201" i="4" s="1"/>
  <c r="S201" i="4" s="1"/>
  <c r="I197" i="4" a="1"/>
  <c r="I197" i="4" s="1"/>
  <c r="R197" i="4" s="1"/>
  <c r="G192" i="4" a="1"/>
  <c r="G192" i="4" s="1"/>
  <c r="P192" i="4" s="1"/>
  <c r="H178" i="4" a="1"/>
  <c r="H178" i="4" s="1"/>
  <c r="Q178" i="4" s="1"/>
  <c r="E158" i="4" a="1"/>
  <c r="E158" i="4" s="1"/>
  <c r="AH1015" i="4" a="1"/>
  <c r="AH1015" i="4" s="1"/>
  <c r="AH893" i="4" a="1"/>
  <c r="AH893" i="4" s="1"/>
  <c r="AH928" i="4" a="1"/>
  <c r="AH928" i="4" s="1"/>
  <c r="AH950" i="4" a="1"/>
  <c r="AH950" i="4" s="1"/>
  <c r="AH1025" i="4" a="1"/>
  <c r="AH1025" i="4" s="1"/>
  <c r="CO106" i="3"/>
  <c r="CQ106" i="3" s="1"/>
  <c r="AH968" i="4" a="1"/>
  <c r="AH968" i="4" s="1"/>
  <c r="AH942" i="4" a="1"/>
  <c r="AH942" i="4" s="1"/>
  <c r="AH962" i="4" a="1"/>
  <c r="AH962" i="4" s="1"/>
  <c r="AH866" i="4" a="1"/>
  <c r="AH866" i="4" s="1"/>
  <c r="AH915" i="4" a="1"/>
  <c r="AH915" i="4" s="1"/>
  <c r="AH907" i="4" a="1"/>
  <c r="AH907" i="4" s="1"/>
  <c r="AH1027" i="4" a="1"/>
  <c r="AH1027" i="4" s="1"/>
  <c r="AH885" i="4" a="1"/>
  <c r="AH885" i="4" s="1"/>
  <c r="AH931" i="4" a="1"/>
  <c r="AH931" i="4" s="1"/>
  <c r="AH976" i="4" a="1"/>
  <c r="AH976" i="4" s="1"/>
  <c r="AH988" i="4" a="1"/>
  <c r="AH988" i="4" s="1"/>
  <c r="AH897" i="4" a="1"/>
  <c r="AH897" i="4" s="1"/>
  <c r="AH849" i="4" a="1"/>
  <c r="AH849" i="4" s="1"/>
  <c r="AH984" i="4" a="1"/>
  <c r="AH984" i="4" s="1"/>
  <c r="AH867" i="4" a="1"/>
  <c r="AH867" i="4" s="1"/>
  <c r="AH909" i="4" a="1"/>
  <c r="AH909" i="4" s="1"/>
  <c r="AH864" i="4" a="1"/>
  <c r="AH864" i="4" s="1"/>
  <c r="AH876" i="4" a="1"/>
  <c r="AH876" i="4" s="1"/>
  <c r="AH940" i="4" a="1"/>
  <c r="AH940" i="4" s="1"/>
  <c r="AH851" i="4" a="1"/>
  <c r="AH851" i="4" s="1"/>
  <c r="AH969" i="4" a="1"/>
  <c r="AH969" i="4" s="1"/>
  <c r="AH1024" i="4" a="1"/>
  <c r="AH1024" i="4" s="1"/>
  <c r="AH844" i="4" a="1"/>
  <c r="AH844" i="4" s="1"/>
  <c r="AH930" i="4" a="1"/>
  <c r="AH930" i="4" s="1"/>
  <c r="AH901" i="4" a="1"/>
  <c r="AH901" i="4" s="1"/>
  <c r="AH966" i="4" a="1"/>
  <c r="AH966" i="4" s="1"/>
  <c r="AH853" i="4" a="1"/>
  <c r="AH853" i="4" s="1"/>
  <c r="AH886" i="4" a="1"/>
  <c r="AH886" i="4" s="1"/>
  <c r="AH1026" i="4" a="1"/>
  <c r="AH1026" i="4" s="1"/>
  <c r="AH855" i="4" a="1"/>
  <c r="AH855" i="4" s="1"/>
  <c r="AH945" i="4" a="1"/>
  <c r="AH945" i="4" s="1"/>
  <c r="CO173" i="3"/>
  <c r="CQ173" i="3" s="1"/>
  <c r="AH1021" i="4" a="1"/>
  <c r="AH1021" i="4" s="1"/>
  <c r="AH1014" i="4" a="1"/>
  <c r="AH1014" i="4" s="1"/>
  <c r="AH937" i="4" a="1"/>
  <c r="AH937" i="4" s="1"/>
  <c r="AH951" i="4" a="1"/>
  <c r="AH951" i="4" s="1"/>
  <c r="AH845" i="4" a="1"/>
  <c r="AH845" i="4" s="1"/>
  <c r="CO66" i="3"/>
  <c r="CQ66" i="3" s="1"/>
  <c r="AH847" i="4" a="1"/>
  <c r="AH847" i="4" s="1"/>
  <c r="AH888" i="4" a="1"/>
  <c r="AH888" i="4" s="1"/>
  <c r="AH894" i="4" a="1"/>
  <c r="AH894" i="4" s="1"/>
  <c r="AH860" i="4" a="1"/>
  <c r="AH860" i="4" s="1"/>
  <c r="AH935" i="4" a="1"/>
  <c r="AH935" i="4" s="1"/>
  <c r="AH925" i="4" a="1"/>
  <c r="AH925" i="4" s="1"/>
  <c r="AH846" i="4" a="1"/>
  <c r="AH846" i="4" s="1"/>
  <c r="AH1003" i="4" a="1"/>
  <c r="AH1003" i="4" s="1"/>
  <c r="AH978" i="4" a="1"/>
  <c r="AH978" i="4" s="1"/>
  <c r="AH880" i="4" a="1"/>
  <c r="AH880" i="4" s="1"/>
  <c r="AH1009" i="4" a="1"/>
  <c r="AH1009" i="4" s="1"/>
  <c r="AH995" i="4" a="1"/>
  <c r="AH995" i="4" s="1"/>
  <c r="AH902" i="4" a="1"/>
  <c r="AH902" i="4" s="1"/>
  <c r="AH1012" i="4" a="1"/>
  <c r="AH1012" i="4" s="1"/>
  <c r="AH943" i="4" a="1"/>
  <c r="AH943" i="4" s="1"/>
  <c r="AH1017" i="4" a="1"/>
  <c r="AH1017" i="4" s="1"/>
  <c r="AH842" i="4" a="1"/>
  <c r="AH842" i="4" s="1"/>
  <c r="AH841" i="4" a="1"/>
  <c r="AH841" i="4" s="1"/>
  <c r="AH887" i="4" a="1"/>
  <c r="AH887" i="4" s="1"/>
  <c r="AH987" i="4" a="1"/>
  <c r="AH987" i="4" s="1"/>
  <c r="AH872" i="4" a="1"/>
  <c r="AH872" i="4" s="1"/>
  <c r="AH865" i="4" a="1"/>
  <c r="AH865" i="4" s="1"/>
  <c r="AH1006" i="4" a="1"/>
  <c r="AH1006" i="4" s="1"/>
  <c r="AH1019" i="4" a="1"/>
  <c r="AH1019" i="4" s="1"/>
  <c r="AH859" i="4" a="1"/>
  <c r="AH859" i="4" s="1"/>
  <c r="CO168" i="3"/>
  <c r="AH883" i="4" a="1"/>
  <c r="AH883" i="4" s="1"/>
  <c r="CO187" i="3"/>
  <c r="CQ187" i="3" s="1"/>
  <c r="AH964" i="4" a="1"/>
  <c r="AH964" i="4" s="1"/>
  <c r="AH999" i="4" a="1"/>
  <c r="AH999" i="4" s="1"/>
  <c r="AH971" i="4" a="1"/>
  <c r="AH971" i="4" s="1"/>
  <c r="AH905" i="4" a="1"/>
  <c r="AH905" i="4" s="1"/>
  <c r="AH949" i="4" a="1"/>
  <c r="AH949" i="4" s="1"/>
  <c r="F89" i="5" l="1"/>
  <c r="G89" i="5" s="1"/>
  <c r="F62" i="5"/>
  <c r="G62" i="5" s="1"/>
  <c r="F158" i="5"/>
  <c r="G158" i="5" s="1"/>
  <c r="F127" i="5"/>
  <c r="G127" i="5" s="1"/>
  <c r="F159" i="5"/>
  <c r="G159" i="5" s="1"/>
  <c r="F65" i="5"/>
  <c r="G65" i="5" s="1"/>
  <c r="F107" i="5"/>
  <c r="G107" i="5" s="1"/>
  <c r="F164" i="5"/>
  <c r="G164" i="5" s="1"/>
  <c r="F21" i="5"/>
  <c r="G21" i="5" s="1"/>
  <c r="F116" i="5"/>
  <c r="G116" i="5" s="1"/>
  <c r="F180" i="5"/>
  <c r="G180" i="5" s="1"/>
  <c r="F147" i="5"/>
  <c r="G147" i="5" s="1"/>
  <c r="F83" i="5"/>
  <c r="G83" i="5" s="1"/>
  <c r="F128" i="5"/>
  <c r="G128" i="5" s="1"/>
  <c r="J689" i="4" a="1"/>
  <c r="J689" i="4" s="1"/>
  <c r="F60" i="5"/>
  <c r="G60" i="5" s="1"/>
  <c r="F45" i="5"/>
  <c r="G45" i="5" s="1"/>
  <c r="F141" i="5"/>
  <c r="G141" i="5" s="1"/>
  <c r="F151" i="5"/>
  <c r="G151" i="5" s="1"/>
  <c r="F172" i="5"/>
  <c r="G172" i="5" s="1"/>
  <c r="F125" i="5"/>
  <c r="G125" i="5" s="1"/>
  <c r="F189" i="5"/>
  <c r="G189" i="5" s="1"/>
  <c r="F46" i="5"/>
  <c r="G46" i="5" s="1"/>
  <c r="F66" i="5"/>
  <c r="G66" i="5" s="1"/>
  <c r="F98" i="5"/>
  <c r="G98" i="5" s="1"/>
  <c r="F130" i="5"/>
  <c r="G130" i="5" s="1"/>
  <c r="F162" i="5"/>
  <c r="G162" i="5" s="1"/>
  <c r="I776" i="4" a="1"/>
  <c r="I776" i="4" s="1"/>
  <c r="F261" i="4" a="1"/>
  <c r="F261" i="4" s="1"/>
  <c r="F85" i="5"/>
  <c r="G85" i="5" s="1"/>
  <c r="F144" i="5"/>
  <c r="G144" i="5" s="1"/>
  <c r="F26" i="5"/>
  <c r="G26" i="5" s="1"/>
  <c r="F154" i="5"/>
  <c r="G154" i="5" s="1"/>
  <c r="E302" i="4" a="1"/>
  <c r="E302" i="4" s="1"/>
  <c r="F163" i="5"/>
  <c r="G163" i="5" s="1"/>
  <c r="F43" i="5"/>
  <c r="G43" i="5" s="1"/>
  <c r="F50" i="5"/>
  <c r="G50" i="5" s="1"/>
  <c r="F28" i="5"/>
  <c r="G28" i="5" s="1"/>
  <c r="F124" i="5"/>
  <c r="G124" i="5" s="1"/>
  <c r="F156" i="5"/>
  <c r="G156" i="5" s="1"/>
  <c r="F137" i="5"/>
  <c r="G137" i="5" s="1"/>
  <c r="F173" i="5"/>
  <c r="G173" i="5" s="1"/>
  <c r="F205" i="5"/>
  <c r="G205" i="5" s="1"/>
  <c r="F177" i="5"/>
  <c r="G177" i="5" s="1"/>
  <c r="F208" i="5"/>
  <c r="G208" i="5" s="1"/>
  <c r="F73" i="5"/>
  <c r="G73" i="5" s="1"/>
  <c r="F211" i="5"/>
  <c r="G211" i="5" s="1"/>
  <c r="F76" i="5"/>
  <c r="G76" i="5" s="1"/>
  <c r="F103" i="5"/>
  <c r="G103" i="5" s="1"/>
  <c r="F105" i="5"/>
  <c r="G105" i="5" s="1"/>
  <c r="F24" i="5"/>
  <c r="G24" i="5" s="1"/>
  <c r="F120" i="5"/>
  <c r="G120" i="5" s="1"/>
  <c r="F289" i="4" a="1"/>
  <c r="F289" i="4" s="1"/>
  <c r="F269" i="4" a="1"/>
  <c r="F269" i="4" s="1"/>
  <c r="F200" i="5"/>
  <c r="G200" i="5" s="1"/>
  <c r="E695" i="4" a="1"/>
  <c r="E695" i="4" s="1"/>
  <c r="G695" i="4" s="1"/>
  <c r="I626" i="4" a="1"/>
  <c r="I626" i="4" s="1"/>
  <c r="F291" i="4" a="1"/>
  <c r="F291" i="4" s="1"/>
  <c r="E631" i="4" a="1"/>
  <c r="E631" i="4" s="1"/>
  <c r="J820" i="4" a="1"/>
  <c r="J820" i="4" s="1"/>
  <c r="I650" i="4" a="1"/>
  <c r="I650" i="4" s="1"/>
  <c r="F19" i="5"/>
  <c r="G19" i="5" s="1"/>
  <c r="F199" i="5"/>
  <c r="G199" i="5" s="1"/>
  <c r="F39" i="5"/>
  <c r="G39" i="5" s="1"/>
  <c r="F88" i="5"/>
  <c r="G88" i="5" s="1"/>
  <c r="F197" i="5"/>
  <c r="G197" i="5" s="1"/>
  <c r="F54" i="5"/>
  <c r="G54" i="5" s="1"/>
  <c r="F150" i="5"/>
  <c r="G150" i="5" s="1"/>
  <c r="F182" i="5"/>
  <c r="G182" i="5" s="1"/>
  <c r="F145" i="5"/>
  <c r="G145" i="5" s="1"/>
  <c r="F56" i="5"/>
  <c r="G56" i="5" s="1"/>
  <c r="F118" i="5"/>
  <c r="G118" i="5" s="1"/>
  <c r="F55" i="5"/>
  <c r="G55" i="5" s="1"/>
  <c r="F119" i="5"/>
  <c r="G119" i="5" s="1"/>
  <c r="F25" i="5"/>
  <c r="G25" i="5" s="1"/>
  <c r="F36" i="5"/>
  <c r="G36" i="5" s="1"/>
  <c r="F181" i="5"/>
  <c r="G181" i="5" s="1"/>
  <c r="F213" i="5"/>
  <c r="G213" i="5" s="1"/>
  <c r="F57" i="5"/>
  <c r="G57" i="5" s="1"/>
  <c r="F115" i="5"/>
  <c r="G115" i="5" s="1"/>
  <c r="F108" i="5"/>
  <c r="G108" i="5" s="1"/>
  <c r="F61" i="5"/>
  <c r="G61" i="5" s="1"/>
  <c r="F135" i="5"/>
  <c r="G135" i="5" s="1"/>
  <c r="F204" i="5"/>
  <c r="G204" i="5" s="1"/>
  <c r="F142" i="5"/>
  <c r="G142" i="5" s="1"/>
  <c r="F195" i="5"/>
  <c r="G195" i="5" s="1"/>
  <c r="F96" i="5"/>
  <c r="G96" i="5" s="1"/>
  <c r="F171" i="5"/>
  <c r="G171" i="5" s="1"/>
  <c r="F84" i="5"/>
  <c r="G84" i="5" s="1"/>
  <c r="F37" i="5"/>
  <c r="G37" i="5" s="1"/>
  <c r="F165" i="5"/>
  <c r="G165" i="5" s="1"/>
  <c r="F111" i="5"/>
  <c r="G111" i="5" s="1"/>
  <c r="F121" i="5"/>
  <c r="G121" i="5" s="1"/>
  <c r="F203" i="5"/>
  <c r="G203" i="5" s="1"/>
  <c r="F138" i="5"/>
  <c r="G138" i="5" s="1"/>
  <c r="F97" i="5"/>
  <c r="G97" i="5" s="1"/>
  <c r="F168" i="5"/>
  <c r="G168" i="5" s="1"/>
  <c r="F67" i="5"/>
  <c r="G67" i="5" s="1"/>
  <c r="F87" i="5"/>
  <c r="G87" i="5" s="1"/>
  <c r="F123" i="5"/>
  <c r="G123" i="5" s="1"/>
  <c r="F104" i="5"/>
  <c r="G104" i="5" s="1"/>
  <c r="F30" i="5"/>
  <c r="G30" i="5" s="1"/>
  <c r="F94" i="5"/>
  <c r="G94" i="5" s="1"/>
  <c r="F114" i="5"/>
  <c r="G114" i="5" s="1"/>
  <c r="F210" i="5"/>
  <c r="G210" i="5" s="1"/>
  <c r="F31" i="5"/>
  <c r="G31" i="5" s="1"/>
  <c r="F193" i="5"/>
  <c r="G193" i="5" s="1"/>
  <c r="F185" i="5"/>
  <c r="G185" i="5" s="1"/>
  <c r="F53" i="5"/>
  <c r="G53" i="5" s="1"/>
  <c r="F149" i="5"/>
  <c r="G149" i="5" s="1"/>
  <c r="F102" i="5"/>
  <c r="G102" i="5" s="1"/>
  <c r="F63" i="5"/>
  <c r="G63" i="5" s="1"/>
  <c r="F95" i="5"/>
  <c r="G95" i="5" s="1"/>
  <c r="F187" i="5"/>
  <c r="G187" i="5" s="1"/>
  <c r="F48" i="5"/>
  <c r="G48" i="5" s="1"/>
  <c r="F112" i="5"/>
  <c r="G112" i="5" s="1"/>
  <c r="F16" i="5"/>
  <c r="G16" i="5" s="1"/>
  <c r="F131" i="5"/>
  <c r="G131" i="5" s="1"/>
  <c r="F58" i="5"/>
  <c r="G58" i="5" s="1"/>
  <c r="F59" i="5"/>
  <c r="G59" i="5" s="1"/>
  <c r="F44" i="5"/>
  <c r="G44" i="5" s="1"/>
  <c r="F140" i="5"/>
  <c r="G140" i="5" s="1"/>
  <c r="F29" i="5"/>
  <c r="G29" i="5" s="1"/>
  <c r="F93" i="5"/>
  <c r="G93" i="5" s="1"/>
  <c r="F166" i="5"/>
  <c r="G166" i="5" s="1"/>
  <c r="F139" i="5"/>
  <c r="G139" i="5" s="1"/>
  <c r="F167" i="5"/>
  <c r="G167" i="5" s="1"/>
  <c r="F99" i="5"/>
  <c r="G99" i="5" s="1"/>
  <c r="F198" i="5"/>
  <c r="G198" i="5" s="1"/>
  <c r="F75" i="5"/>
  <c r="G75" i="5" s="1"/>
  <c r="F157" i="5"/>
  <c r="G157" i="5" s="1"/>
  <c r="F113" i="5"/>
  <c r="G113" i="5" s="1"/>
  <c r="F78" i="5"/>
  <c r="G78" i="5" s="1"/>
  <c r="F155" i="5"/>
  <c r="G155" i="5" s="1"/>
  <c r="F34" i="5"/>
  <c r="G34" i="5" s="1"/>
  <c r="F194" i="5"/>
  <c r="G194" i="5" s="1"/>
  <c r="F192" i="5"/>
  <c r="G192" i="5" s="1"/>
  <c r="F110" i="5"/>
  <c r="G110" i="5" s="1"/>
  <c r="F41" i="5"/>
  <c r="G41" i="5" s="1"/>
  <c r="F79" i="5"/>
  <c r="G79" i="5" s="1"/>
  <c r="F207" i="5"/>
  <c r="G207" i="5" s="1"/>
  <c r="F32" i="5"/>
  <c r="G32" i="5" s="1"/>
  <c r="F169" i="5"/>
  <c r="G169" i="5" s="1"/>
  <c r="F52" i="5"/>
  <c r="G52" i="5" s="1"/>
  <c r="F69" i="5"/>
  <c r="G69" i="5" s="1"/>
  <c r="F133" i="5"/>
  <c r="G133" i="5" s="1"/>
  <c r="F161" i="5"/>
  <c r="G161" i="5" s="1"/>
  <c r="F47" i="5"/>
  <c r="G47" i="5" s="1"/>
  <c r="F143" i="5"/>
  <c r="G143" i="5" s="1"/>
  <c r="F175" i="5"/>
  <c r="G175" i="5" s="1"/>
  <c r="F64" i="5"/>
  <c r="G64" i="5" s="1"/>
  <c r="F160" i="5"/>
  <c r="G160" i="5" s="1"/>
  <c r="F201" i="5"/>
  <c r="G201" i="5" s="1"/>
  <c r="F20" i="5"/>
  <c r="G20" i="5" s="1"/>
  <c r="F148" i="5"/>
  <c r="G148" i="5" s="1"/>
  <c r="F212" i="5"/>
  <c r="G212" i="5" s="1"/>
  <c r="F101" i="5"/>
  <c r="G101" i="5" s="1"/>
  <c r="F206" i="5"/>
  <c r="G206" i="5" s="1"/>
  <c r="F17" i="5"/>
  <c r="G17" i="5" s="1"/>
  <c r="F42" i="5"/>
  <c r="G42" i="5" s="1"/>
  <c r="F74" i="5"/>
  <c r="G74" i="5" s="1"/>
  <c r="F106" i="5"/>
  <c r="G106" i="5" s="1"/>
  <c r="F170" i="5"/>
  <c r="G170" i="5" s="1"/>
  <c r="F202" i="5"/>
  <c r="G202" i="5" s="1"/>
  <c r="F179" i="5"/>
  <c r="G179" i="5" s="1"/>
  <c r="F22" i="5"/>
  <c r="G22" i="5" s="1"/>
  <c r="F86" i="5"/>
  <c r="G86" i="5" s="1"/>
  <c r="F183" i="5"/>
  <c r="G183" i="5" s="1"/>
  <c r="F72" i="5"/>
  <c r="G72" i="5" s="1"/>
  <c r="F81" i="5"/>
  <c r="G81" i="5" s="1"/>
  <c r="F92" i="5"/>
  <c r="G92" i="5" s="1"/>
  <c r="F77" i="5"/>
  <c r="G77" i="5" s="1"/>
  <c r="F109" i="5"/>
  <c r="G109" i="5" s="1"/>
  <c r="F23" i="5"/>
  <c r="G23" i="5" s="1"/>
  <c r="F153" i="5"/>
  <c r="G153" i="5" s="1"/>
  <c r="F40" i="5"/>
  <c r="G40" i="5" s="1"/>
  <c r="F136" i="5"/>
  <c r="G136" i="5" s="1"/>
  <c r="F188" i="5"/>
  <c r="G188" i="5" s="1"/>
  <c r="F174" i="5"/>
  <c r="G174" i="5" s="1"/>
  <c r="F33" i="5"/>
  <c r="G33" i="5" s="1"/>
  <c r="F126" i="5"/>
  <c r="G126" i="5" s="1"/>
  <c r="F27" i="5"/>
  <c r="G27" i="5" s="1"/>
  <c r="F18" i="5"/>
  <c r="G18" i="5" s="1"/>
  <c r="F82" i="5"/>
  <c r="G82" i="5" s="1"/>
  <c r="F146" i="5"/>
  <c r="G146" i="5" s="1"/>
  <c r="F178" i="5"/>
  <c r="G178" i="5" s="1"/>
  <c r="F191" i="5"/>
  <c r="G191" i="5" s="1"/>
  <c r="F80" i="5"/>
  <c r="G80" i="5" s="1"/>
  <c r="F176" i="5"/>
  <c r="G176" i="5" s="1"/>
  <c r="F129" i="5"/>
  <c r="G129" i="5" s="1"/>
  <c r="F68" i="5"/>
  <c r="G68" i="5" s="1"/>
  <c r="F100" i="5"/>
  <c r="G100" i="5" s="1"/>
  <c r="F132" i="5"/>
  <c r="G132" i="5" s="1"/>
  <c r="F196" i="5"/>
  <c r="G196" i="5" s="1"/>
  <c r="F190" i="5"/>
  <c r="G190" i="5" s="1"/>
  <c r="F117" i="5"/>
  <c r="G117" i="5" s="1"/>
  <c r="F38" i="5"/>
  <c r="G38" i="5" s="1"/>
  <c r="F70" i="5"/>
  <c r="G70" i="5" s="1"/>
  <c r="F134" i="5"/>
  <c r="G134" i="5" s="1"/>
  <c r="F71" i="5"/>
  <c r="G71" i="5" s="1"/>
  <c r="F51" i="5"/>
  <c r="G51" i="5" s="1"/>
  <c r="F152" i="5"/>
  <c r="G152" i="5" s="1"/>
  <c r="F184" i="5"/>
  <c r="G184" i="5" s="1"/>
  <c r="F209" i="5"/>
  <c r="G209" i="5" s="1"/>
  <c r="F91" i="5"/>
  <c r="G91" i="5" s="1"/>
  <c r="F90" i="5"/>
  <c r="G90" i="5" s="1"/>
  <c r="F122" i="5"/>
  <c r="G122" i="5" s="1"/>
  <c r="F186" i="5"/>
  <c r="G186" i="5" s="1"/>
  <c r="E225" i="4" a="1"/>
  <c r="E225" i="4" s="1"/>
  <c r="I666" i="4" a="1"/>
  <c r="I666" i="4" s="1"/>
  <c r="F302" i="4" a="1"/>
  <c r="F302" i="4" s="1"/>
  <c r="E734" i="4" a="1"/>
  <c r="E734" i="4" s="1"/>
  <c r="E693" i="4" a="1"/>
  <c r="E693" i="4" s="1"/>
  <c r="F348" i="4" a="1"/>
  <c r="F348" i="4" s="1"/>
  <c r="E291" i="4" a="1"/>
  <c r="E291" i="4" s="1"/>
  <c r="G291" i="4" s="1"/>
  <c r="I291" i="4" s="1"/>
  <c r="K291" i="4" s="1"/>
  <c r="F403" i="4" a="1"/>
  <c r="F403" i="4" s="1"/>
  <c r="E665" i="4" a="1"/>
  <c r="E665" i="4" s="1"/>
  <c r="J666" i="4" a="1"/>
  <c r="J666" i="4" s="1"/>
  <c r="I789" i="4" a="1"/>
  <c r="I789" i="4" s="1"/>
  <c r="J734" i="4" a="1"/>
  <c r="J734" i="4" s="1"/>
  <c r="E285" i="4" a="1"/>
  <c r="E285" i="4" s="1"/>
  <c r="E351" i="4" a="1"/>
  <c r="E351" i="4" s="1"/>
  <c r="E689" i="4" a="1"/>
  <c r="E689" i="4" s="1"/>
  <c r="E313" i="4" a="1"/>
  <c r="E313" i="4" s="1"/>
  <c r="J810" i="4" a="1"/>
  <c r="J810" i="4" s="1"/>
  <c r="I695" i="4" a="1"/>
  <c r="I695" i="4" s="1"/>
  <c r="I651" i="4" a="1"/>
  <c r="I651" i="4" s="1"/>
  <c r="E293" i="4" a="1"/>
  <c r="E293" i="4" s="1"/>
  <c r="I631" i="4" a="1"/>
  <c r="I631" i="4" s="1"/>
  <c r="J665" i="4" a="1"/>
  <c r="J665" i="4" s="1"/>
  <c r="F228" i="4" a="1"/>
  <c r="F228" i="4" s="1"/>
  <c r="F365" i="4" a="1"/>
  <c r="F365" i="4" s="1"/>
  <c r="E738" i="4" a="1"/>
  <c r="E738" i="4" s="1"/>
  <c r="E645" i="4" a="1"/>
  <c r="E645" i="4" s="1"/>
  <c r="I660" i="4" a="1"/>
  <c r="I660" i="4" s="1"/>
  <c r="F367" i="4" a="1"/>
  <c r="F367" i="4" s="1"/>
  <c r="E406" i="4" a="1"/>
  <c r="E406" i="4" s="1"/>
  <c r="E651" i="4" a="1"/>
  <c r="E651" i="4" s="1"/>
  <c r="J732" i="4" a="1"/>
  <c r="J732" i="4" s="1"/>
  <c r="J755" i="4" a="1"/>
  <c r="J755" i="4" s="1"/>
  <c r="F356" i="4" a="1"/>
  <c r="F356" i="4" s="1"/>
  <c r="F230" i="4" a="1"/>
  <c r="F230" i="4" s="1"/>
  <c r="F400" i="4" a="1"/>
  <c r="F400" i="4" s="1"/>
  <c r="E755" i="4" a="1"/>
  <c r="E755" i="4" s="1"/>
  <c r="J804" i="4" a="1"/>
  <c r="J804" i="4" s="1"/>
  <c r="J625" i="4" a="1"/>
  <c r="J625" i="4" s="1"/>
  <c r="I634" i="4" a="1"/>
  <c r="I634" i="4" s="1"/>
  <c r="F385" i="4" a="1"/>
  <c r="F385" i="4" s="1"/>
  <c r="E372" i="4" a="1"/>
  <c r="E372" i="4" s="1"/>
  <c r="F246" i="4" a="1"/>
  <c r="F246" i="4" s="1"/>
  <c r="E400" i="4" a="1"/>
  <c r="E400" i="4" s="1"/>
  <c r="E787" i="4" a="1"/>
  <c r="E787" i="4" s="1"/>
  <c r="J747" i="4" a="1"/>
  <c r="J747" i="4" s="1"/>
  <c r="I715" i="4" a="1"/>
  <c r="I715" i="4" s="1"/>
  <c r="J697" i="4" a="1"/>
  <c r="J697" i="4" s="1"/>
  <c r="J634" i="4" a="1"/>
  <c r="J634" i="4" s="1"/>
  <c r="F330" i="4" a="1"/>
  <c r="F330" i="4" s="1"/>
  <c r="E246" i="4" a="1"/>
  <c r="E246" i="4" s="1"/>
  <c r="F328" i="4" a="1"/>
  <c r="F328" i="4" s="1"/>
  <c r="E660" i="4" a="1"/>
  <c r="E660" i="4" s="1"/>
  <c r="I807" i="4" a="1"/>
  <c r="I807" i="4" s="1"/>
  <c r="I704" i="4" a="1"/>
  <c r="I704" i="4" s="1"/>
  <c r="I769" i="4" a="1"/>
  <c r="I769" i="4" s="1"/>
  <c r="J706" i="4" a="1"/>
  <c r="J706" i="4" s="1"/>
  <c r="F386" i="4" a="1"/>
  <c r="F386" i="4" s="1"/>
  <c r="E262" i="4" a="1"/>
  <c r="E262" i="4" s="1"/>
  <c r="F416" i="4" a="1"/>
  <c r="F416" i="4" s="1"/>
  <c r="E795" i="4" a="1"/>
  <c r="E795" i="4" s="1"/>
  <c r="E820" i="4" a="1"/>
  <c r="E820" i="4" s="1"/>
  <c r="E632" i="4" a="1"/>
  <c r="E632" i="4" s="1"/>
  <c r="J760" i="4" a="1"/>
  <c r="J760" i="4" s="1"/>
  <c r="J704" i="4" a="1"/>
  <c r="J704" i="4" s="1"/>
  <c r="J754" i="4" a="1"/>
  <c r="J754" i="4" s="1"/>
  <c r="E641" i="4" a="1"/>
  <c r="E641" i="4" s="1"/>
  <c r="F313" i="4" a="1"/>
  <c r="F313" i="4" s="1"/>
  <c r="F285" i="4" a="1"/>
  <c r="F285" i="4" s="1"/>
  <c r="E334" i="4" a="1"/>
  <c r="E334" i="4" s="1"/>
  <c r="E416" i="4" a="1"/>
  <c r="E416" i="4" s="1"/>
  <c r="E747" i="4" a="1"/>
  <c r="E747" i="4" s="1"/>
  <c r="E403" i="4" a="1"/>
  <c r="E403" i="4" s="1"/>
  <c r="I738" i="4" a="1"/>
  <c r="I738" i="4" s="1"/>
  <c r="J645" i="4" a="1"/>
  <c r="J645" i="4" s="1"/>
  <c r="J650" i="4" a="1"/>
  <c r="J650" i="4" s="1"/>
  <c r="J790" i="4" a="1"/>
  <c r="J790" i="4" s="1"/>
  <c r="E385" i="4" a="1"/>
  <c r="E385" i="4" s="1"/>
  <c r="F372" i="4" a="1"/>
  <c r="F372" i="4" s="1"/>
  <c r="E365" i="4" a="1"/>
  <c r="E365" i="4" s="1"/>
  <c r="F391" i="4" a="1"/>
  <c r="F391" i="4" s="1"/>
  <c r="E625" i="4" a="1"/>
  <c r="E625" i="4" s="1"/>
  <c r="E732" i="4" a="1"/>
  <c r="E732" i="4" s="1"/>
  <c r="I663" i="4" a="1"/>
  <c r="I663" i="4" s="1"/>
  <c r="J795" i="4" a="1"/>
  <c r="J795" i="4" s="1"/>
  <c r="F366" i="4" a="1"/>
  <c r="F366" i="4" s="1"/>
  <c r="E821" i="4" a="1"/>
  <c r="E821" i="4" s="1"/>
  <c r="J724" i="4" a="1"/>
  <c r="J724" i="4" s="1"/>
  <c r="E683" i="4" a="1"/>
  <c r="E683" i="4" s="1"/>
  <c r="I724" i="4" a="1"/>
  <c r="I724" i="4" s="1"/>
  <c r="E388" i="4" a="1"/>
  <c r="E388" i="4" s="1"/>
  <c r="E381" i="4" a="1"/>
  <c r="E381" i="4" s="1"/>
  <c r="E691" i="4" a="1"/>
  <c r="E691" i="4" s="1"/>
  <c r="E230" i="4" a="1"/>
  <c r="E230" i="4" s="1"/>
  <c r="F247" i="4" a="1"/>
  <c r="F247" i="4" s="1"/>
  <c r="E715" i="4" a="1"/>
  <c r="E715" i="4" s="1"/>
  <c r="J680" i="4" a="1"/>
  <c r="J680" i="4" s="1"/>
  <c r="I680" i="4" a="1"/>
  <c r="I680" i="4" s="1"/>
  <c r="E226" i="4" a="1"/>
  <c r="E226" i="4" s="1"/>
  <c r="F229" i="4" a="1"/>
  <c r="F229" i="4" s="1"/>
  <c r="E271" i="4" a="1"/>
  <c r="E271" i="4" s="1"/>
  <c r="F225" i="4" a="1"/>
  <c r="F225" i="4" s="1"/>
  <c r="J780" i="4" a="1"/>
  <c r="J780" i="4" s="1"/>
  <c r="E708" i="4" a="1"/>
  <c r="E708" i="4" s="1"/>
  <c r="F708" i="4" s="1"/>
  <c r="F234" i="4" a="1"/>
  <c r="F234" i="4" s="1"/>
  <c r="E229" i="4" a="1"/>
  <c r="E229" i="4" s="1"/>
  <c r="F279" i="4" a="1"/>
  <c r="F279" i="4" s="1"/>
  <c r="F272" i="4" a="1"/>
  <c r="F272" i="4" s="1"/>
  <c r="I780" i="4" a="1"/>
  <c r="I780" i="4" s="1"/>
  <c r="E387" i="4" a="1"/>
  <c r="E387" i="4" s="1"/>
  <c r="E785" i="4" a="1"/>
  <c r="E785" i="4" s="1"/>
  <c r="I675" i="4" a="1"/>
  <c r="I675" i="4" s="1"/>
  <c r="I802" i="4" a="1"/>
  <c r="I802" i="4" s="1"/>
  <c r="E278" i="4" a="1"/>
  <c r="E278" i="4" s="1"/>
  <c r="F271" i="4" a="1"/>
  <c r="F271" i="4" s="1"/>
  <c r="E250" i="4" a="1"/>
  <c r="E250" i="4" s="1"/>
  <c r="E332" i="4" a="1"/>
  <c r="E332" i="4" s="1"/>
  <c r="E287" i="4" a="1"/>
  <c r="E287" i="4" s="1"/>
  <c r="E639" i="4" a="1"/>
  <c r="E639" i="4" s="1"/>
  <c r="I821" i="4" a="1"/>
  <c r="I821" i="4" s="1"/>
  <c r="N33" i="4"/>
  <c r="W33" i="4"/>
  <c r="Y33" i="4" s="1"/>
  <c r="N209" i="4"/>
  <c r="W209" i="4"/>
  <c r="Y209" i="4" s="1"/>
  <c r="N194" i="4"/>
  <c r="W194" i="4"/>
  <c r="Y194" i="4" s="1"/>
  <c r="N35" i="4"/>
  <c r="W35" i="4"/>
  <c r="Y35" i="4" s="1"/>
  <c r="N163" i="4"/>
  <c r="W163" i="4"/>
  <c r="Y163" i="4" s="1"/>
  <c r="N20" i="4"/>
  <c r="W20" i="4"/>
  <c r="Y20" i="4" s="1"/>
  <c r="N36" i="4"/>
  <c r="W36" i="4"/>
  <c r="Y36" i="4" s="1"/>
  <c r="N172" i="4"/>
  <c r="W172" i="4"/>
  <c r="Y172" i="4" s="1"/>
  <c r="N189" i="4"/>
  <c r="W189" i="4"/>
  <c r="Y189" i="4" s="1"/>
  <c r="N200" i="4"/>
  <c r="W200" i="4"/>
  <c r="Y200" i="4" s="1"/>
  <c r="N62" i="4"/>
  <c r="W62" i="4"/>
  <c r="Y62" i="4" s="1"/>
  <c r="N70" i="4"/>
  <c r="W70" i="4"/>
  <c r="Y70" i="4" s="1"/>
  <c r="N142" i="4"/>
  <c r="W142" i="4"/>
  <c r="Y142" i="4" s="1"/>
  <c r="N207" i="4"/>
  <c r="W207" i="4"/>
  <c r="Y207" i="4" s="1"/>
  <c r="N168" i="4"/>
  <c r="W168" i="4"/>
  <c r="Y168" i="4" s="1"/>
  <c r="N82" i="4"/>
  <c r="W82" i="4"/>
  <c r="Y82" i="4" s="1"/>
  <c r="N75" i="4"/>
  <c r="W75" i="4"/>
  <c r="Y75" i="4" s="1"/>
  <c r="N131" i="4"/>
  <c r="W131" i="4"/>
  <c r="Y131" i="4" s="1"/>
  <c r="N187" i="4"/>
  <c r="W187" i="4"/>
  <c r="Y187" i="4" s="1"/>
  <c r="N181" i="4"/>
  <c r="W181" i="4"/>
  <c r="Y181" i="4" s="1"/>
  <c r="N76" i="4"/>
  <c r="W76" i="4"/>
  <c r="Y76" i="4" s="1"/>
  <c r="N61" i="4"/>
  <c r="W61" i="4"/>
  <c r="Y61" i="4" s="1"/>
  <c r="N85" i="4"/>
  <c r="W85" i="4"/>
  <c r="Y85" i="4" s="1"/>
  <c r="N190" i="4"/>
  <c r="W190" i="4"/>
  <c r="Y190" i="4" s="1"/>
  <c r="N127" i="4"/>
  <c r="W127" i="4"/>
  <c r="Y127" i="4" s="1"/>
  <c r="N72" i="4"/>
  <c r="W72" i="4"/>
  <c r="Y72" i="4" s="1"/>
  <c r="N152" i="4"/>
  <c r="W152" i="4"/>
  <c r="Y152" i="4" s="1"/>
  <c r="N176" i="4"/>
  <c r="W176" i="4"/>
  <c r="Y176" i="4" s="1"/>
  <c r="N17" i="4"/>
  <c r="W17" i="4"/>
  <c r="Y17" i="4" s="1"/>
  <c r="N49" i="4"/>
  <c r="W49" i="4"/>
  <c r="Y49" i="4" s="1"/>
  <c r="N81" i="4"/>
  <c r="W81" i="4"/>
  <c r="Y81" i="4" s="1"/>
  <c r="N161" i="4"/>
  <c r="W161" i="4"/>
  <c r="Y161" i="4" s="1"/>
  <c r="N185" i="4"/>
  <c r="W185" i="4"/>
  <c r="Y185" i="4" s="1"/>
  <c r="N106" i="4"/>
  <c r="W106" i="4"/>
  <c r="Y106" i="4" s="1"/>
  <c r="N155" i="4"/>
  <c r="W155" i="4"/>
  <c r="Y155" i="4" s="1"/>
  <c r="N201" i="4"/>
  <c r="W201" i="4"/>
  <c r="Y201" i="4" s="1"/>
  <c r="N124" i="4"/>
  <c r="W124" i="4"/>
  <c r="Y124" i="4" s="1"/>
  <c r="N196" i="4"/>
  <c r="W196" i="4"/>
  <c r="Y196" i="4" s="1"/>
  <c r="N21" i="4"/>
  <c r="W21" i="4"/>
  <c r="Y21" i="4" s="1"/>
  <c r="N157" i="4"/>
  <c r="W157" i="4"/>
  <c r="Y157" i="4" s="1"/>
  <c r="N30" i="4"/>
  <c r="W30" i="4"/>
  <c r="Y30" i="4" s="1"/>
  <c r="N46" i="4"/>
  <c r="W46" i="4"/>
  <c r="Y46" i="4" s="1"/>
  <c r="N151" i="4"/>
  <c r="W151" i="4"/>
  <c r="Y151" i="4" s="1"/>
  <c r="N159" i="4"/>
  <c r="W159" i="4"/>
  <c r="Y159" i="4" s="1"/>
  <c r="N56" i="4"/>
  <c r="W56" i="4"/>
  <c r="Y56" i="4" s="1"/>
  <c r="N104" i="4"/>
  <c r="W104" i="4"/>
  <c r="Y104" i="4" s="1"/>
  <c r="N177" i="4"/>
  <c r="W177" i="4"/>
  <c r="Y177" i="4" s="1"/>
  <c r="N186" i="4"/>
  <c r="W186" i="4"/>
  <c r="Y186" i="4" s="1"/>
  <c r="N42" i="4"/>
  <c r="W42" i="4"/>
  <c r="Y42" i="4" s="1"/>
  <c r="N170" i="4"/>
  <c r="W170" i="4"/>
  <c r="Y170" i="4" s="1"/>
  <c r="N202" i="4"/>
  <c r="W202" i="4"/>
  <c r="Y202" i="4" s="1"/>
  <c r="N43" i="4"/>
  <c r="W43" i="4"/>
  <c r="Y43" i="4" s="1"/>
  <c r="N67" i="4"/>
  <c r="W67" i="4"/>
  <c r="Y67" i="4" s="1"/>
  <c r="N179" i="4"/>
  <c r="W179" i="4"/>
  <c r="Y179" i="4" s="1"/>
  <c r="N164" i="4"/>
  <c r="W164" i="4"/>
  <c r="Y164" i="4" s="1"/>
  <c r="N68" i="4"/>
  <c r="W68" i="4"/>
  <c r="Y68" i="4" s="1"/>
  <c r="N140" i="4"/>
  <c r="W140" i="4"/>
  <c r="Y140" i="4" s="1"/>
  <c r="N156" i="4"/>
  <c r="W156" i="4"/>
  <c r="Y156" i="4" s="1"/>
  <c r="N109" i="4"/>
  <c r="W109" i="4"/>
  <c r="Y109" i="4" s="1"/>
  <c r="N141" i="4"/>
  <c r="W141" i="4"/>
  <c r="Y141" i="4" s="1"/>
  <c r="N118" i="4"/>
  <c r="W118" i="4"/>
  <c r="Y118" i="4" s="1"/>
  <c r="N31" i="4"/>
  <c r="W31" i="4"/>
  <c r="Y31" i="4" s="1"/>
  <c r="N87" i="4"/>
  <c r="W87" i="4"/>
  <c r="Y87" i="4" s="1"/>
  <c r="N119" i="4"/>
  <c r="W119" i="4"/>
  <c r="Y119" i="4" s="1"/>
  <c r="N191" i="4"/>
  <c r="W191" i="4"/>
  <c r="Y191" i="4" s="1"/>
  <c r="N64" i="4"/>
  <c r="W64" i="4"/>
  <c r="Y64" i="4" s="1"/>
  <c r="N105" i="4"/>
  <c r="W105" i="4"/>
  <c r="Y105" i="4" s="1"/>
  <c r="N137" i="4"/>
  <c r="W137" i="4"/>
  <c r="Y137" i="4" s="1"/>
  <c r="N153" i="4"/>
  <c r="W153" i="4"/>
  <c r="Y153" i="4" s="1"/>
  <c r="N58" i="4"/>
  <c r="W58" i="4"/>
  <c r="Y58" i="4" s="1"/>
  <c r="N74" i="4"/>
  <c r="W74" i="4"/>
  <c r="Y74" i="4" s="1"/>
  <c r="N98" i="4"/>
  <c r="W98" i="4"/>
  <c r="Y98" i="4" s="1"/>
  <c r="N138" i="4"/>
  <c r="W138" i="4"/>
  <c r="Y138" i="4" s="1"/>
  <c r="N27" i="4"/>
  <c r="W27" i="4"/>
  <c r="Y27" i="4" s="1"/>
  <c r="N147" i="4"/>
  <c r="W147" i="4"/>
  <c r="Y147" i="4" s="1"/>
  <c r="N188" i="4"/>
  <c r="W188" i="4"/>
  <c r="Y188" i="4" s="1"/>
  <c r="N29" i="4"/>
  <c r="W29" i="4"/>
  <c r="Y29" i="4" s="1"/>
  <c r="N53" i="4"/>
  <c r="W53" i="4"/>
  <c r="Y53" i="4" s="1"/>
  <c r="N77" i="4"/>
  <c r="W77" i="4"/>
  <c r="Y77" i="4" s="1"/>
  <c r="N94" i="4"/>
  <c r="W94" i="4"/>
  <c r="Y94" i="4" s="1"/>
  <c r="N206" i="4"/>
  <c r="W206" i="4"/>
  <c r="Y206" i="4" s="1"/>
  <c r="N63" i="4"/>
  <c r="W63" i="4"/>
  <c r="Y63" i="4" s="1"/>
  <c r="N183" i="4"/>
  <c r="W183" i="4"/>
  <c r="Y183" i="4" s="1"/>
  <c r="N48" i="4"/>
  <c r="W48" i="4"/>
  <c r="Y48" i="4" s="1"/>
  <c r="N136" i="4"/>
  <c r="W136" i="4"/>
  <c r="Y136" i="4" s="1"/>
  <c r="N160" i="4"/>
  <c r="W160" i="4"/>
  <c r="Y160" i="4" s="1"/>
  <c r="N192" i="4"/>
  <c r="W192" i="4"/>
  <c r="Y192" i="4" s="1"/>
  <c r="N73" i="4"/>
  <c r="W73" i="4"/>
  <c r="Y73" i="4" s="1"/>
  <c r="N129" i="4"/>
  <c r="W129" i="4"/>
  <c r="Y129" i="4" s="1"/>
  <c r="N130" i="4"/>
  <c r="W130" i="4"/>
  <c r="Y130" i="4" s="1"/>
  <c r="N99" i="4"/>
  <c r="W99" i="4"/>
  <c r="Y99" i="4" s="1"/>
  <c r="N195" i="4"/>
  <c r="W195" i="4"/>
  <c r="Y195" i="4" s="1"/>
  <c r="E234" i="4" a="1"/>
  <c r="E234" i="4" s="1"/>
  <c r="N132" i="4"/>
  <c r="W132" i="4"/>
  <c r="Y132" i="4" s="1"/>
  <c r="N148" i="4"/>
  <c r="W148" i="4"/>
  <c r="Y148" i="4" s="1"/>
  <c r="N204" i="4"/>
  <c r="W204" i="4"/>
  <c r="Y204" i="4" s="1"/>
  <c r="N69" i="4"/>
  <c r="W69" i="4"/>
  <c r="Y69" i="4" s="1"/>
  <c r="N117" i="4"/>
  <c r="W117" i="4"/>
  <c r="Y117" i="4" s="1"/>
  <c r="N149" i="4"/>
  <c r="W149" i="4"/>
  <c r="Y149" i="4" s="1"/>
  <c r="N38" i="4"/>
  <c r="W38" i="4"/>
  <c r="Y38" i="4" s="1"/>
  <c r="N134" i="4"/>
  <c r="W134" i="4"/>
  <c r="Y134" i="4" s="1"/>
  <c r="N182" i="4"/>
  <c r="W182" i="4"/>
  <c r="Y182" i="4" s="1"/>
  <c r="N47" i="4"/>
  <c r="W47" i="4"/>
  <c r="Y47" i="4" s="1"/>
  <c r="N111" i="4"/>
  <c r="W111" i="4"/>
  <c r="Y111" i="4" s="1"/>
  <c r="N96" i="4"/>
  <c r="W96" i="4"/>
  <c r="Y96" i="4" s="1"/>
  <c r="N144" i="4"/>
  <c r="W144" i="4"/>
  <c r="Y144" i="4" s="1"/>
  <c r="N121" i="4"/>
  <c r="W121" i="4"/>
  <c r="Y121" i="4" s="1"/>
  <c r="N66" i="4"/>
  <c r="W66" i="4"/>
  <c r="Y66" i="4" s="1"/>
  <c r="F241" i="4" a="1"/>
  <c r="F241" i="4" s="1"/>
  <c r="F250" i="4" a="1"/>
  <c r="F250" i="4" s="1"/>
  <c r="E357" i="4" a="1"/>
  <c r="E357" i="4" s="1"/>
  <c r="F278" i="4" a="1"/>
  <c r="F278" i="4" s="1"/>
  <c r="E279" i="4" a="1"/>
  <c r="E279" i="4" s="1"/>
  <c r="F256" i="4" a="1"/>
  <c r="F256" i="4" s="1"/>
  <c r="E809" i="4" a="1"/>
  <c r="E809" i="4" s="1"/>
  <c r="E771" i="4" a="1"/>
  <c r="E771" i="4" s="1"/>
  <c r="E241" i="4" a="1"/>
  <c r="E241" i="4" s="1"/>
  <c r="E765" i="4" a="1"/>
  <c r="E765" i="4" s="1"/>
  <c r="I760" i="4" a="1"/>
  <c r="I760" i="4" s="1"/>
  <c r="J676" i="4" a="1"/>
  <c r="J676" i="4" s="1"/>
  <c r="J802" i="4" a="1"/>
  <c r="J802" i="4" s="1"/>
  <c r="N158" i="4"/>
  <c r="W158" i="4"/>
  <c r="Y158" i="4" s="1"/>
  <c r="N60" i="4"/>
  <c r="W60" i="4"/>
  <c r="Y60" i="4" s="1"/>
  <c r="N84" i="4"/>
  <c r="W84" i="4"/>
  <c r="Y84" i="4" s="1"/>
  <c r="N16" i="4"/>
  <c r="W16" i="4"/>
  <c r="Y16" i="4" s="1"/>
  <c r="N93" i="4"/>
  <c r="W93" i="4"/>
  <c r="Y93" i="4" s="1"/>
  <c r="N165" i="4"/>
  <c r="W165" i="4"/>
  <c r="Y165" i="4" s="1"/>
  <c r="N78" i="4"/>
  <c r="W78" i="4"/>
  <c r="Y78" i="4" s="1"/>
  <c r="N103" i="4"/>
  <c r="W103" i="4"/>
  <c r="Y103" i="4" s="1"/>
  <c r="N210" i="4"/>
  <c r="W210" i="4"/>
  <c r="Y210" i="4" s="1"/>
  <c r="N57" i="4"/>
  <c r="W57" i="4"/>
  <c r="Y57" i="4" s="1"/>
  <c r="N89" i="4"/>
  <c r="W89" i="4"/>
  <c r="Y89" i="4" s="1"/>
  <c r="N145" i="4"/>
  <c r="W145" i="4"/>
  <c r="Y145" i="4" s="1"/>
  <c r="N169" i="4"/>
  <c r="W169" i="4"/>
  <c r="Y169" i="4" s="1"/>
  <c r="N122" i="4"/>
  <c r="W122" i="4"/>
  <c r="Y122" i="4" s="1"/>
  <c r="N178" i="4"/>
  <c r="W178" i="4"/>
  <c r="Y178" i="4" s="1"/>
  <c r="N171" i="4"/>
  <c r="W171" i="4"/>
  <c r="Y171" i="4" s="1"/>
  <c r="N212" i="4"/>
  <c r="W212" i="4"/>
  <c r="Y212" i="4" s="1"/>
  <c r="N37" i="4"/>
  <c r="W37" i="4"/>
  <c r="Y37" i="4" s="1"/>
  <c r="N101" i="4"/>
  <c r="W101" i="4"/>
  <c r="Y101" i="4" s="1"/>
  <c r="N125" i="4"/>
  <c r="W125" i="4"/>
  <c r="Y125" i="4" s="1"/>
  <c r="N198" i="4"/>
  <c r="W198" i="4"/>
  <c r="Y198" i="4" s="1"/>
  <c r="N102" i="4"/>
  <c r="W102" i="4"/>
  <c r="Y102" i="4" s="1"/>
  <c r="N150" i="4"/>
  <c r="W150" i="4"/>
  <c r="Y150" i="4" s="1"/>
  <c r="N39" i="4"/>
  <c r="W39" i="4"/>
  <c r="Y39" i="4" s="1"/>
  <c r="N95" i="4"/>
  <c r="W95" i="4"/>
  <c r="Y95" i="4" s="1"/>
  <c r="N135" i="4"/>
  <c r="W135" i="4"/>
  <c r="Y135" i="4" s="1"/>
  <c r="N167" i="4"/>
  <c r="W167" i="4"/>
  <c r="Y167" i="4" s="1"/>
  <c r="N32" i="4"/>
  <c r="W32" i="4"/>
  <c r="Y32" i="4" s="1"/>
  <c r="N112" i="4"/>
  <c r="W112" i="4"/>
  <c r="Y112" i="4" s="1"/>
  <c r="N128" i="4"/>
  <c r="W128" i="4"/>
  <c r="Y128" i="4" s="1"/>
  <c r="N52" i="4"/>
  <c r="W52" i="4"/>
  <c r="Y52" i="4" s="1"/>
  <c r="N126" i="4"/>
  <c r="W126" i="4"/>
  <c r="Y126" i="4" s="1"/>
  <c r="N174" i="4"/>
  <c r="W174" i="4"/>
  <c r="Y174" i="4" s="1"/>
  <c r="N79" i="4"/>
  <c r="W79" i="4"/>
  <c r="Y79" i="4" s="1"/>
  <c r="N143" i="4"/>
  <c r="W143" i="4"/>
  <c r="Y143" i="4" s="1"/>
  <c r="N184" i="4"/>
  <c r="W184" i="4"/>
  <c r="Y184" i="4" s="1"/>
  <c r="N120" i="4"/>
  <c r="W120" i="4"/>
  <c r="Y120" i="4" s="1"/>
  <c r="N97" i="4"/>
  <c r="W97" i="4"/>
  <c r="Y97" i="4" s="1"/>
  <c r="N34" i="4"/>
  <c r="W34" i="4"/>
  <c r="Y34" i="4" s="1"/>
  <c r="N91" i="4"/>
  <c r="W91" i="4"/>
  <c r="Y91" i="4" s="1"/>
  <c r="N115" i="4"/>
  <c r="W115" i="4"/>
  <c r="Y115" i="4" s="1"/>
  <c r="N123" i="4"/>
  <c r="W123" i="4"/>
  <c r="Y123" i="4" s="1"/>
  <c r="N199" i="4"/>
  <c r="W199" i="4"/>
  <c r="Y199" i="4" s="1"/>
  <c r="N92" i="4"/>
  <c r="W92" i="4"/>
  <c r="Y92" i="4" s="1"/>
  <c r="N100" i="4"/>
  <c r="W100" i="4"/>
  <c r="Y100" i="4" s="1"/>
  <c r="N45" i="4"/>
  <c r="W45" i="4"/>
  <c r="Y45" i="4" s="1"/>
  <c r="N22" i="4"/>
  <c r="W22" i="4"/>
  <c r="Y22" i="4" s="1"/>
  <c r="N86" i="4"/>
  <c r="W86" i="4"/>
  <c r="Y86" i="4" s="1"/>
  <c r="N110" i="4"/>
  <c r="W110" i="4"/>
  <c r="Y110" i="4" s="1"/>
  <c r="N23" i="4"/>
  <c r="W23" i="4"/>
  <c r="Y23" i="4" s="1"/>
  <c r="N25" i="4"/>
  <c r="W25" i="4"/>
  <c r="Y25" i="4" s="1"/>
  <c r="N65" i="4"/>
  <c r="W65" i="4"/>
  <c r="Y65" i="4" s="1"/>
  <c r="N113" i="4"/>
  <c r="W113" i="4"/>
  <c r="Y113" i="4" s="1"/>
  <c r="N18" i="4"/>
  <c r="W18" i="4"/>
  <c r="Y18" i="4" s="1"/>
  <c r="N146" i="4"/>
  <c r="W146" i="4"/>
  <c r="Y146" i="4" s="1"/>
  <c r="N162" i="4"/>
  <c r="W162" i="4"/>
  <c r="Y162" i="4" s="1"/>
  <c r="N19" i="4"/>
  <c r="W19" i="4"/>
  <c r="Y19" i="4" s="1"/>
  <c r="N59" i="4"/>
  <c r="W59" i="4"/>
  <c r="Y59" i="4" s="1"/>
  <c r="N107" i="4"/>
  <c r="W107" i="4"/>
  <c r="Y107" i="4" s="1"/>
  <c r="N44" i="4"/>
  <c r="W44" i="4"/>
  <c r="Y44" i="4" s="1"/>
  <c r="N180" i="4"/>
  <c r="W180" i="4"/>
  <c r="Y180" i="4" s="1"/>
  <c r="N205" i="4"/>
  <c r="W205" i="4"/>
  <c r="Y205" i="4" s="1"/>
  <c r="N193" i="4"/>
  <c r="W193" i="4"/>
  <c r="Y193" i="4" s="1"/>
  <c r="N55" i="4"/>
  <c r="W55" i="4"/>
  <c r="Y55" i="4" s="1"/>
  <c r="N71" i="4"/>
  <c r="W71" i="4"/>
  <c r="Y71" i="4" s="1"/>
  <c r="N24" i="4"/>
  <c r="W24" i="4"/>
  <c r="Y24" i="4" s="1"/>
  <c r="N40" i="4"/>
  <c r="W40" i="4"/>
  <c r="Y40" i="4" s="1"/>
  <c r="N88" i="4"/>
  <c r="W88" i="4"/>
  <c r="Y88" i="4" s="1"/>
  <c r="N50" i="4"/>
  <c r="W50" i="4"/>
  <c r="Y50" i="4" s="1"/>
  <c r="N114" i="4"/>
  <c r="W114" i="4"/>
  <c r="Y114" i="4" s="1"/>
  <c r="N139" i="4"/>
  <c r="W139" i="4"/>
  <c r="Y139" i="4" s="1"/>
  <c r="N203" i="4"/>
  <c r="W203" i="4"/>
  <c r="Y203" i="4" s="1"/>
  <c r="E353" i="4" a="1"/>
  <c r="E353" i="4" s="1"/>
  <c r="E798" i="4" a="1"/>
  <c r="E798" i="4" s="1"/>
  <c r="E417" i="4" a="1"/>
  <c r="E417" i="4" s="1"/>
  <c r="I792" i="4" a="1"/>
  <c r="I792" i="4" s="1"/>
  <c r="I641" i="4" a="1"/>
  <c r="I641" i="4" s="1"/>
  <c r="J626" i="4" a="1"/>
  <c r="J626" i="4" s="1"/>
  <c r="N28" i="4"/>
  <c r="W28" i="4"/>
  <c r="Y28" i="4" s="1"/>
  <c r="N108" i="4"/>
  <c r="W108" i="4"/>
  <c r="Y108" i="4" s="1"/>
  <c r="N116" i="4"/>
  <c r="W116" i="4"/>
  <c r="Y116" i="4" s="1"/>
  <c r="N133" i="4"/>
  <c r="W133" i="4"/>
  <c r="Y133" i="4" s="1"/>
  <c r="N173" i="4"/>
  <c r="W173" i="4"/>
  <c r="Y173" i="4" s="1"/>
  <c r="N213" i="4"/>
  <c r="W213" i="4"/>
  <c r="Y213" i="4" s="1"/>
  <c r="N54" i="4"/>
  <c r="W54" i="4"/>
  <c r="Y54" i="4" s="1"/>
  <c r="N166" i="4"/>
  <c r="W166" i="4"/>
  <c r="Y166" i="4" s="1"/>
  <c r="N175" i="4"/>
  <c r="W175" i="4"/>
  <c r="Y175" i="4" s="1"/>
  <c r="N80" i="4"/>
  <c r="W80" i="4"/>
  <c r="Y80" i="4" s="1"/>
  <c r="N208" i="4"/>
  <c r="W208" i="4"/>
  <c r="Y208" i="4" s="1"/>
  <c r="N41" i="4"/>
  <c r="W41" i="4"/>
  <c r="Y41" i="4" s="1"/>
  <c r="N26" i="4"/>
  <c r="W26" i="4"/>
  <c r="Y26" i="4" s="1"/>
  <c r="N90" i="4"/>
  <c r="W90" i="4"/>
  <c r="Y90" i="4" s="1"/>
  <c r="N154" i="4"/>
  <c r="W154" i="4"/>
  <c r="Y154" i="4" s="1"/>
  <c r="N51" i="4"/>
  <c r="W51" i="4"/>
  <c r="Y51" i="4" s="1"/>
  <c r="N83" i="4"/>
  <c r="W83" i="4"/>
  <c r="Y83" i="4" s="1"/>
  <c r="N211" i="4"/>
  <c r="W211" i="4"/>
  <c r="Y211" i="4" s="1"/>
  <c r="F353" i="4" a="1"/>
  <c r="F353" i="4" s="1"/>
  <c r="F227" i="4" a="1"/>
  <c r="F227" i="4" s="1"/>
  <c r="F300" i="4" a="1"/>
  <c r="F300" i="4" s="1"/>
  <c r="F221" i="4" a="1"/>
  <c r="F221" i="4" s="1"/>
  <c r="F381" i="4" a="1"/>
  <c r="F381" i="4" s="1"/>
  <c r="F350" i="4" a="1"/>
  <c r="F350" i="4" s="1"/>
  <c r="N197" i="4"/>
  <c r="W197" i="4"/>
  <c r="Y197" i="4" s="1"/>
  <c r="E804" i="4" a="1"/>
  <c r="E804" i="4" s="1"/>
  <c r="E227" i="4" a="1"/>
  <c r="E227" i="4" s="1"/>
  <c r="E752" i="4" a="1"/>
  <c r="E752" i="4" s="1"/>
  <c r="I632" i="4" a="1"/>
  <c r="I632" i="4" s="1"/>
  <c r="E294" i="4" a="1"/>
  <c r="E294" i="4" s="1"/>
  <c r="E269" i="4" a="1"/>
  <c r="E269" i="4" s="1"/>
  <c r="E366" i="4" a="1"/>
  <c r="E366" i="4" s="1"/>
  <c r="E636" i="4" a="1"/>
  <c r="E636" i="4" s="1"/>
  <c r="F332" i="4" a="1"/>
  <c r="F332" i="4" s="1"/>
  <c r="F417" i="4" a="1"/>
  <c r="F417" i="4" s="1"/>
  <c r="F359" i="4" a="1"/>
  <c r="F359" i="4" s="1"/>
  <c r="F287" i="4" a="1"/>
  <c r="F287" i="4" s="1"/>
  <c r="E629" i="4" a="1"/>
  <c r="E629" i="4" s="1"/>
  <c r="F394" i="4" a="1"/>
  <c r="F394" i="4" s="1"/>
  <c r="J691" i="4" a="1"/>
  <c r="J691" i="4" s="1"/>
  <c r="I673" i="4" a="1"/>
  <c r="I673" i="4" s="1"/>
  <c r="I683" i="4" a="1"/>
  <c r="I683" i="4" s="1"/>
  <c r="E348" i="4" a="1"/>
  <c r="E348" i="4" s="1"/>
  <c r="F390" i="4" a="1"/>
  <c r="F390" i="4" s="1"/>
  <c r="E367" i="4" a="1"/>
  <c r="E367" i="4" s="1"/>
  <c r="F232" i="4" a="1"/>
  <c r="F232" i="4" s="1"/>
  <c r="I785" i="4" a="1"/>
  <c r="I785" i="4" s="1"/>
  <c r="I685" i="4" a="1"/>
  <c r="I685" i="4" s="1"/>
  <c r="I794" i="4" a="1"/>
  <c r="I794" i="4" s="1"/>
  <c r="I799" i="4" a="1"/>
  <c r="I799" i="4" s="1"/>
  <c r="F398" i="4" a="1"/>
  <c r="F398" i="4" s="1"/>
  <c r="E761" i="4" a="1"/>
  <c r="E761" i="4" s="1"/>
  <c r="E682" i="4" a="1"/>
  <c r="E682" i="4" s="1"/>
  <c r="E362" i="4" a="1"/>
  <c r="E362" i="4" s="1"/>
  <c r="E685" i="4" a="1"/>
  <c r="E685" i="4" s="1"/>
  <c r="I636" i="4" a="1"/>
  <c r="I636" i="4" s="1"/>
  <c r="J809" i="4" a="1"/>
  <c r="J809" i="4" s="1"/>
  <c r="J693" i="4" a="1"/>
  <c r="J693" i="4" s="1"/>
  <c r="F222" i="4" a="1"/>
  <c r="F222" i="4" s="1"/>
  <c r="E311" i="4" a="1"/>
  <c r="E311" i="4" s="1"/>
  <c r="F259" i="4" a="1"/>
  <c r="F259" i="4" s="1"/>
  <c r="E228" i="4" a="1"/>
  <c r="E228" i="4" s="1"/>
  <c r="E261" i="4" a="1"/>
  <c r="E261" i="4" s="1"/>
  <c r="G261" i="4" s="1"/>
  <c r="I261" i="4" s="1"/>
  <c r="K261" i="4" s="1"/>
  <c r="E341" i="4" a="1"/>
  <c r="E341" i="4" s="1"/>
  <c r="F262" i="4" a="1"/>
  <c r="F262" i="4" s="1"/>
  <c r="E398" i="4" a="1"/>
  <c r="E398" i="4" s="1"/>
  <c r="E391" i="4" a="1"/>
  <c r="E391" i="4" s="1"/>
  <c r="E256" i="4" a="1"/>
  <c r="E256" i="4" s="1"/>
  <c r="E769" i="4" a="1"/>
  <c r="E769" i="4" s="1"/>
  <c r="E763" i="4" a="1"/>
  <c r="E763" i="4" s="1"/>
  <c r="E706" i="4" a="1"/>
  <c r="E706" i="4" s="1"/>
  <c r="E405" i="4" a="1"/>
  <c r="E405" i="4" s="1"/>
  <c r="E717" i="4" a="1"/>
  <c r="E717" i="4" s="1"/>
  <c r="J807" i="4" a="1"/>
  <c r="J807" i="4" s="1"/>
  <c r="J642" i="4" a="1"/>
  <c r="J642" i="4" s="1"/>
  <c r="I787" i="4" a="1"/>
  <c r="I787" i="4" s="1"/>
  <c r="J717" i="4" a="1"/>
  <c r="J717" i="4" s="1"/>
  <c r="I697" i="4" a="1"/>
  <c r="I697" i="4" s="1"/>
  <c r="J765" i="4" a="1"/>
  <c r="J765" i="4" s="1"/>
  <c r="J709" i="4" a="1"/>
  <c r="J709" i="4" s="1"/>
  <c r="I709" i="4" a="1"/>
  <c r="I709" i="4" s="1"/>
  <c r="D433" i="4"/>
  <c r="D635" i="4" s="1"/>
  <c r="I635" i="4" s="1" a="1"/>
  <c r="I635" i="4" s="1"/>
  <c r="E231" i="4" a="1"/>
  <c r="E231" i="4" s="1"/>
  <c r="I655" i="4" a="1"/>
  <c r="I655" i="4" s="1"/>
  <c r="I733" i="4" a="1"/>
  <c r="I733" i="4" s="1"/>
  <c r="J733" i="4" a="1"/>
  <c r="J733" i="4" s="1"/>
  <c r="D544" i="4"/>
  <c r="D746" i="4" s="1"/>
  <c r="E746" i="4" s="1" a="1"/>
  <c r="E746" i="4" s="1"/>
  <c r="E342" i="4" a="1"/>
  <c r="E342" i="4" s="1"/>
  <c r="I702" i="4" a="1"/>
  <c r="I702" i="4" s="1"/>
  <c r="E702" i="4" a="1"/>
  <c r="E702" i="4" s="1"/>
  <c r="F270" i="4" a="1"/>
  <c r="F270" i="4" s="1"/>
  <c r="F305" i="4" a="1"/>
  <c r="F305" i="4" s="1"/>
  <c r="E270" i="4" a="1"/>
  <c r="E270" i="4" s="1"/>
  <c r="E364" i="4" a="1"/>
  <c r="E364" i="4" s="1"/>
  <c r="J652" i="4" a="1"/>
  <c r="J652" i="4" s="1"/>
  <c r="J669" i="4" a="1"/>
  <c r="J669" i="4" s="1"/>
  <c r="J656" i="4" a="1"/>
  <c r="J656" i="4" s="1"/>
  <c r="E359" i="4" a="1"/>
  <c r="E359" i="4" s="1"/>
  <c r="F304" i="4" a="1"/>
  <c r="F304" i="4" s="1"/>
  <c r="E272" i="4" a="1"/>
  <c r="E272" i="4" s="1"/>
  <c r="E714" i="4" a="1"/>
  <c r="E714" i="4" s="1"/>
  <c r="J752" i="4" a="1"/>
  <c r="J752" i="4" s="1"/>
  <c r="I676" i="4" a="1"/>
  <c r="I676" i="4" s="1"/>
  <c r="F276" i="4" a="1"/>
  <c r="F276" i="4" s="1"/>
  <c r="E304" i="4" a="1"/>
  <c r="E304" i="4" s="1"/>
  <c r="F320" i="4" a="1"/>
  <c r="F320" i="4" s="1"/>
  <c r="E779" i="4" a="1"/>
  <c r="E779" i="4" s="1"/>
  <c r="J711" i="4" a="1"/>
  <c r="J711" i="4" s="1"/>
  <c r="I714" i="4" a="1"/>
  <c r="I714" i="4" s="1"/>
  <c r="I698" i="4" a="1"/>
  <c r="I698" i="4" s="1"/>
  <c r="J736" i="4" a="1"/>
  <c r="J736" i="4" s="1"/>
  <c r="I779" i="4" a="1"/>
  <c r="I779" i="4" s="1"/>
  <c r="F361" i="4" a="1"/>
  <c r="F361" i="4" s="1"/>
  <c r="E307" i="4" a="1"/>
  <c r="E307" i="4" s="1"/>
  <c r="E276" i="4" a="1"/>
  <c r="E276" i="4" s="1"/>
  <c r="E222" i="4" a="1"/>
  <c r="E222" i="4" s="1"/>
  <c r="F310" i="4" a="1"/>
  <c r="F310" i="4" s="1"/>
  <c r="F375" i="4" a="1"/>
  <c r="F375" i="4" s="1"/>
  <c r="E320" i="4" a="1"/>
  <c r="E320" i="4" s="1"/>
  <c r="E673" i="4" a="1"/>
  <c r="E673" i="4" s="1"/>
  <c r="E642" i="4" a="1"/>
  <c r="E642" i="4" s="1"/>
  <c r="E794" i="4" a="1"/>
  <c r="E794" i="4" s="1"/>
  <c r="E720" i="4" a="1"/>
  <c r="E720" i="4" s="1"/>
  <c r="I711" i="4" a="1"/>
  <c r="I711" i="4" s="1"/>
  <c r="J763" i="4" a="1"/>
  <c r="J763" i="4" s="1"/>
  <c r="J745" i="4" a="1"/>
  <c r="J745" i="4" s="1"/>
  <c r="J698" i="4" a="1"/>
  <c r="J698" i="4" s="1"/>
  <c r="J682" i="4" a="1"/>
  <c r="J682" i="4" s="1"/>
  <c r="E361" i="4" a="1"/>
  <c r="E361" i="4" s="1"/>
  <c r="E301" i="4" a="1"/>
  <c r="E301" i="4" s="1"/>
  <c r="F255" i="4" a="1"/>
  <c r="F255" i="4" s="1"/>
  <c r="E375" i="4" a="1"/>
  <c r="E375" i="4" s="1"/>
  <c r="F376" i="4" a="1"/>
  <c r="F376" i="4" s="1"/>
  <c r="E792" i="4" a="1"/>
  <c r="E792" i="4" s="1"/>
  <c r="E754" i="4" a="1"/>
  <c r="E754" i="4" s="1"/>
  <c r="E791" i="4" a="1"/>
  <c r="E791" i="4" s="1"/>
  <c r="E736" i="4" a="1"/>
  <c r="E736" i="4" s="1"/>
  <c r="J708" i="4" a="1"/>
  <c r="J708" i="4" s="1"/>
  <c r="J723" i="4" a="1"/>
  <c r="J723" i="4" s="1"/>
  <c r="J629" i="4" a="1"/>
  <c r="J629" i="4" s="1"/>
  <c r="I745" i="4" a="1"/>
  <c r="I745" i="4" s="1"/>
  <c r="J761" i="4" a="1"/>
  <c r="J761" i="4" s="1"/>
  <c r="E386" i="4" a="1"/>
  <c r="E386" i="4" s="1"/>
  <c r="E316" i="4" a="1"/>
  <c r="E316" i="4" s="1"/>
  <c r="F341" i="4" a="1"/>
  <c r="F341" i="4" s="1"/>
  <c r="F238" i="4" a="1"/>
  <c r="F238" i="4" s="1"/>
  <c r="E255" i="4" a="1"/>
  <c r="E255" i="4" s="1"/>
  <c r="F383" i="4" a="1"/>
  <c r="F383" i="4" s="1"/>
  <c r="E376" i="4" a="1"/>
  <c r="E376" i="4" s="1"/>
  <c r="E789" i="4" a="1"/>
  <c r="E789" i="4" s="1"/>
  <c r="E810" i="4" a="1"/>
  <c r="E810" i="4" s="1"/>
  <c r="E343" i="4" a="1"/>
  <c r="E343" i="4" s="1"/>
  <c r="E776" i="4" a="1"/>
  <c r="E776" i="4" s="1"/>
  <c r="I720" i="4" a="1"/>
  <c r="I720" i="4" s="1"/>
  <c r="I798" i="4" a="1"/>
  <c r="I798" i="4" s="1"/>
  <c r="J791" i="4" a="1"/>
  <c r="J791" i="4" s="1"/>
  <c r="J770" i="4" a="1"/>
  <c r="J770" i="4" s="1"/>
  <c r="J741" i="4" a="1"/>
  <c r="J741" i="4" s="1"/>
  <c r="E741" i="4" a="1"/>
  <c r="E741" i="4" s="1"/>
  <c r="D611" i="4"/>
  <c r="D813" i="4" s="1"/>
  <c r="J813" i="4" s="1" a="1"/>
  <c r="J813" i="4" s="1"/>
  <c r="F409" i="4" a="1"/>
  <c r="F409" i="4" s="1"/>
  <c r="D609" i="4"/>
  <c r="D811" i="4" s="1"/>
  <c r="E811" i="4" s="1" a="1"/>
  <c r="E811" i="4" s="1"/>
  <c r="F407" i="4" a="1"/>
  <c r="F407" i="4" s="1"/>
  <c r="E793" i="4" a="1"/>
  <c r="E793" i="4" s="1"/>
  <c r="J793" i="4" a="1"/>
  <c r="J793" i="4" s="1"/>
  <c r="I793" i="4" a="1"/>
  <c r="I793" i="4" s="1"/>
  <c r="D462" i="4"/>
  <c r="D664" i="4" s="1"/>
  <c r="E260" i="4" a="1"/>
  <c r="E260" i="4" s="1"/>
  <c r="J649" i="4" a="1"/>
  <c r="J649" i="4" s="1"/>
  <c r="I649" i="4" a="1"/>
  <c r="I649" i="4" s="1"/>
  <c r="I652" i="4" a="1"/>
  <c r="I652" i="4" s="1"/>
  <c r="J646" i="4" a="1"/>
  <c r="J646" i="4" s="1"/>
  <c r="D466" i="4"/>
  <c r="D668" i="4" s="1"/>
  <c r="E264" i="4" a="1"/>
  <c r="E264" i="4" s="1"/>
  <c r="F264" i="4" a="1"/>
  <c r="F264" i="4" s="1"/>
  <c r="D538" i="4"/>
  <c r="D740" i="4" s="1"/>
  <c r="J740" i="4" s="1" a="1"/>
  <c r="J740" i="4" s="1"/>
  <c r="E336" i="4" a="1"/>
  <c r="E336" i="4" s="1"/>
  <c r="F336" i="4" a="1"/>
  <c r="F336" i="4" s="1"/>
  <c r="D479" i="4"/>
  <c r="D681" i="4" s="1"/>
  <c r="F277" i="4" a="1"/>
  <c r="F277" i="4" s="1"/>
  <c r="D576" i="4"/>
  <c r="D778" i="4" s="1"/>
  <c r="I778" i="4" s="1" a="1"/>
  <c r="I778" i="4" s="1"/>
  <c r="E374" i="4" a="1"/>
  <c r="E374" i="4" s="1"/>
  <c r="E767" i="4" a="1"/>
  <c r="E767" i="4" s="1"/>
  <c r="I767" i="4" a="1"/>
  <c r="I767" i="4" s="1"/>
  <c r="J767" i="4" a="1"/>
  <c r="J767" i="4" s="1"/>
  <c r="J749" i="4" a="1"/>
  <c r="J749" i="4" s="1"/>
  <c r="E749" i="4" a="1"/>
  <c r="E749" i="4" s="1"/>
  <c r="E670" i="4" a="1"/>
  <c r="E670" i="4" s="1"/>
  <c r="J670" i="4" a="1"/>
  <c r="J670" i="4" s="1"/>
  <c r="I670" i="4" a="1"/>
  <c r="I670" i="4" s="1"/>
  <c r="E742" i="4" a="1"/>
  <c r="E742" i="4" s="1"/>
  <c r="I742" i="4" a="1"/>
  <c r="I742" i="4" s="1"/>
  <c r="J742" i="4" a="1"/>
  <c r="J742" i="4" s="1"/>
  <c r="I647" i="4" a="1"/>
  <c r="I647" i="4" s="1"/>
  <c r="E647" i="4" a="1"/>
  <c r="E647" i="4" s="1"/>
  <c r="E805" i="4" a="1"/>
  <c r="E805" i="4" s="1"/>
  <c r="J805" i="4" a="1"/>
  <c r="J805" i="4" s="1"/>
  <c r="D484" i="4"/>
  <c r="D686" i="4" s="1"/>
  <c r="J686" i="4" s="1" a="1"/>
  <c r="J686" i="4" s="1"/>
  <c r="E282" i="4" a="1"/>
  <c r="E282" i="4" s="1"/>
  <c r="J818" i="4" a="1"/>
  <c r="J818" i="4" s="1"/>
  <c r="I818" i="4" a="1"/>
  <c r="I818" i="4" s="1"/>
  <c r="D459" i="4"/>
  <c r="D661" i="4" s="1"/>
  <c r="E257" i="4" a="1"/>
  <c r="E257" i="4" s="1"/>
  <c r="F257" i="4" a="1"/>
  <c r="F257" i="4" s="1"/>
  <c r="E774" i="4" a="1"/>
  <c r="E774" i="4" s="1"/>
  <c r="J774" i="4" a="1"/>
  <c r="J774" i="4" s="1"/>
  <c r="E667" i="4" a="1"/>
  <c r="E667" i="4" s="1"/>
  <c r="J667" i="4" a="1"/>
  <c r="J667" i="4" s="1"/>
  <c r="I667" i="4" a="1"/>
  <c r="I667" i="4" s="1"/>
  <c r="F282" i="4" a="1"/>
  <c r="F282" i="4" s="1"/>
  <c r="E355" i="4" a="1"/>
  <c r="E355" i="4" s="1"/>
  <c r="E317" i="4" a="1"/>
  <c r="E317" i="4" s="1"/>
  <c r="E401" i="4" a="1"/>
  <c r="E401" i="4" s="1"/>
  <c r="F344" i="4" a="1"/>
  <c r="F344" i="4" s="1"/>
  <c r="E716" i="4" a="1"/>
  <c r="E716" i="4" s="1"/>
  <c r="E727" i="4" a="1"/>
  <c r="E727" i="4" s="1"/>
  <c r="E672" i="4" a="1"/>
  <c r="E672" i="4" s="1"/>
  <c r="I749" i="4" a="1"/>
  <c r="I749" i="4" s="1"/>
  <c r="I762" i="4" a="1"/>
  <c r="I762" i="4" s="1"/>
  <c r="J637" i="4" a="1"/>
  <c r="J637" i="4" s="1"/>
  <c r="J757" i="4" a="1"/>
  <c r="J757" i="4" s="1"/>
  <c r="I659" i="4" a="1"/>
  <c r="I659" i="4" s="1"/>
  <c r="F251" i="4" a="1"/>
  <c r="F251" i="4" s="1"/>
  <c r="F363" i="4" a="1"/>
  <c r="F363" i="4" s="1"/>
  <c r="F237" i="4" a="1"/>
  <c r="F237" i="4" s="1"/>
  <c r="F333" i="4" a="1"/>
  <c r="F333" i="4" s="1"/>
  <c r="E390" i="4" a="1"/>
  <c r="E390" i="4" s="1"/>
  <c r="E344" i="4" a="1"/>
  <c r="E344" i="4" s="1"/>
  <c r="F288" i="4" a="1"/>
  <c r="F288" i="4" s="1"/>
  <c r="E735" i="4" a="1"/>
  <c r="E735" i="4" s="1"/>
  <c r="E733" i="4" a="1"/>
  <c r="E733" i="4" s="1"/>
  <c r="E656" i="4" a="1"/>
  <c r="E656" i="4" s="1"/>
  <c r="I748" i="4" a="1"/>
  <c r="I748" i="4" s="1"/>
  <c r="I774" i="4" a="1"/>
  <c r="I774" i="4" s="1"/>
  <c r="I751" i="4" a="1"/>
  <c r="I751" i="4" s="1"/>
  <c r="E251" i="4" a="1"/>
  <c r="E251" i="4" s="1"/>
  <c r="G251" i="4" s="1"/>
  <c r="I251" i="4" s="1"/>
  <c r="K251" i="4" s="1"/>
  <c r="E363" i="4" a="1"/>
  <c r="E363" i="4" s="1"/>
  <c r="F388" i="4" a="1"/>
  <c r="F388" i="4" s="1"/>
  <c r="E237" i="4" a="1"/>
  <c r="E237" i="4" s="1"/>
  <c r="E288" i="4" a="1"/>
  <c r="E288" i="4" s="1"/>
  <c r="E407" i="4" a="1"/>
  <c r="E407" i="4" s="1"/>
  <c r="E753" i="4" a="1"/>
  <c r="E753" i="4" s="1"/>
  <c r="F410" i="4" a="1"/>
  <c r="F410" i="4" s="1"/>
  <c r="E743" i="4" a="1"/>
  <c r="E743" i="4" s="1"/>
  <c r="E395" i="4" a="1"/>
  <c r="E395" i="4" s="1"/>
  <c r="I723" i="4" a="1"/>
  <c r="I723" i="4" s="1"/>
  <c r="J799" i="4" a="1"/>
  <c r="J799" i="4" s="1"/>
  <c r="I640" i="4" a="1"/>
  <c r="I640" i="4" s="1"/>
  <c r="J640" i="4" a="1"/>
  <c r="J640" i="4" s="1"/>
  <c r="D476" i="4"/>
  <c r="D678" i="4" s="1"/>
  <c r="E274" i="4" a="1"/>
  <c r="E274" i="4" s="1"/>
  <c r="E658" i="4" a="1"/>
  <c r="E658" i="4" s="1"/>
  <c r="I658" i="4" a="1"/>
  <c r="I658" i="4" s="1"/>
  <c r="D604" i="4"/>
  <c r="D806" i="4" s="1"/>
  <c r="E402" i="4" a="1"/>
  <c r="E402" i="4" s="1"/>
  <c r="E721" i="4" a="1"/>
  <c r="E721" i="4" s="1"/>
  <c r="J721" i="4" a="1"/>
  <c r="J721" i="4" s="1"/>
  <c r="F317" i="4" a="1"/>
  <c r="F317" i="4" s="1"/>
  <c r="E249" i="4" a="1"/>
  <c r="E249" i="4" s="1"/>
  <c r="F326" i="4" a="1"/>
  <c r="F326" i="4" s="1"/>
  <c r="E751" i="4" a="1"/>
  <c r="E751" i="4" s="1"/>
  <c r="E692" i="4" a="1"/>
  <c r="E692" i="4" s="1"/>
  <c r="I692" i="4" a="1"/>
  <c r="I692" i="4" s="1"/>
  <c r="D562" i="4"/>
  <c r="D764" i="4" s="1"/>
  <c r="F360" i="4" a="1"/>
  <c r="F360" i="4" s="1"/>
  <c r="E360" i="4" a="1"/>
  <c r="E360" i="4" s="1"/>
  <c r="D613" i="4"/>
  <c r="D815" i="4" s="1"/>
  <c r="E411" i="4" a="1"/>
  <c r="E411" i="4" s="1"/>
  <c r="I633" i="4" a="1"/>
  <c r="I633" i="4" s="1"/>
  <c r="J633" i="4" a="1"/>
  <c r="J633" i="4" s="1"/>
  <c r="E705" i="4" a="1"/>
  <c r="E705" i="4" s="1"/>
  <c r="J705" i="4" a="1"/>
  <c r="J705" i="4" s="1"/>
  <c r="D575" i="4"/>
  <c r="D777" i="4" s="1"/>
  <c r="F373" i="4" a="1"/>
  <c r="F373" i="4" s="1"/>
  <c r="J712" i="4" a="1"/>
  <c r="J712" i="4" s="1"/>
  <c r="I712" i="4" a="1"/>
  <c r="I712" i="4" s="1"/>
  <c r="D492" i="4"/>
  <c r="D694" i="4" s="1"/>
  <c r="E290" i="4" a="1"/>
  <c r="E290" i="4" s="1"/>
  <c r="J766" i="4" a="1"/>
  <c r="J766" i="4" s="1"/>
  <c r="I766" i="4" a="1"/>
  <c r="I766" i="4" s="1"/>
  <c r="E766" i="4" a="1"/>
  <c r="E766" i="4" s="1"/>
  <c r="D529" i="4"/>
  <c r="D731" i="4" s="1"/>
  <c r="E327" i="4" a="1"/>
  <c r="E327" i="4" s="1"/>
  <c r="G327" i="4" s="1"/>
  <c r="I327" i="4" s="1"/>
  <c r="K327" i="4" s="1"/>
  <c r="D606" i="4"/>
  <c r="D808" i="4" s="1"/>
  <c r="F404" i="4" a="1"/>
  <c r="F404" i="4" s="1"/>
  <c r="D446" i="4"/>
  <c r="D648" i="4" s="1"/>
  <c r="E244" i="4" a="1"/>
  <c r="E244" i="4" s="1"/>
  <c r="J638" i="4" a="1"/>
  <c r="J638" i="4" s="1"/>
  <c r="E638" i="4" a="1"/>
  <c r="E638" i="4" s="1"/>
  <c r="D520" i="4"/>
  <c r="D722" i="4" s="1"/>
  <c r="E318" i="4" a="1"/>
  <c r="E318" i="4" s="1"/>
  <c r="D582" i="4"/>
  <c r="D784" i="4" s="1"/>
  <c r="F380" i="4" a="1"/>
  <c r="F380" i="4" s="1"/>
  <c r="D425" i="4"/>
  <c r="D627" i="4" s="1"/>
  <c r="E223" i="4" a="1"/>
  <c r="E223" i="4" s="1"/>
  <c r="F223" i="4" a="1"/>
  <c r="F223" i="4" s="1"/>
  <c r="D524" i="4"/>
  <c r="D726" i="4" s="1"/>
  <c r="F322" i="4" a="1"/>
  <c r="F322" i="4" s="1"/>
  <c r="D501" i="4"/>
  <c r="D703" i="4" s="1"/>
  <c r="F299" i="4" a="1"/>
  <c r="F299" i="4" s="1"/>
  <c r="D573" i="4"/>
  <c r="D775" i="4" s="1"/>
  <c r="E371" i="4" a="1"/>
  <c r="E371" i="4" s="1"/>
  <c r="F281" i="4" a="1"/>
  <c r="F281" i="4" s="1"/>
  <c r="F338" i="4" a="1"/>
  <c r="F338" i="4" s="1"/>
  <c r="F267" i="4" a="1"/>
  <c r="F267" i="4" s="1"/>
  <c r="F308" i="4" a="1"/>
  <c r="F308" i="4" s="1"/>
  <c r="E326" i="4" a="1"/>
  <c r="E326" i="4" s="1"/>
  <c r="F319" i="4" a="1"/>
  <c r="F319" i="4" s="1"/>
  <c r="E654" i="4" a="1"/>
  <c r="E654" i="4" s="1"/>
  <c r="J692" i="4" a="1"/>
  <c r="J692" i="4" s="1"/>
  <c r="J718" i="4" a="1"/>
  <c r="J718" i="4" s="1"/>
  <c r="E281" i="4" a="1"/>
  <c r="E281" i="4" s="1"/>
  <c r="E338" i="4" a="1"/>
  <c r="E338" i="4" s="1"/>
  <c r="E267" i="4" a="1"/>
  <c r="E267" i="4" s="1"/>
  <c r="F395" i="4" a="1"/>
  <c r="F395" i="4" s="1"/>
  <c r="E308" i="4" a="1"/>
  <c r="E308" i="4" s="1"/>
  <c r="F405" i="4" a="1"/>
  <c r="F405" i="4" s="1"/>
  <c r="E319" i="4" a="1"/>
  <c r="E319" i="4" s="1"/>
  <c r="E739" i="4" a="1"/>
  <c r="E739" i="4" s="1"/>
  <c r="E306" i="4" a="1"/>
  <c r="E306" i="4" s="1"/>
  <c r="J654" i="4" a="1"/>
  <c r="J654" i="4" s="1"/>
  <c r="I805" i="4" a="1"/>
  <c r="I805" i="4" s="1"/>
  <c r="J701" i="4" a="1"/>
  <c r="J701" i="4" s="1"/>
  <c r="J657" i="4" a="1"/>
  <c r="J657" i="4" s="1"/>
  <c r="I730" i="4" a="1"/>
  <c r="I730" i="4" s="1"/>
  <c r="F406" i="4" a="1"/>
  <c r="F406" i="4" s="1"/>
  <c r="F362" i="4" a="1"/>
  <c r="F362" i="4" s="1"/>
  <c r="F316" i="4" a="1"/>
  <c r="F316" i="4" s="1"/>
  <c r="E277" i="4" a="1"/>
  <c r="E277" i="4" s="1"/>
  <c r="F342" i="4" a="1"/>
  <c r="F342" i="4" s="1"/>
  <c r="F231" i="4" a="1"/>
  <c r="F231" i="4" s="1"/>
  <c r="F301" i="4" a="1"/>
  <c r="F301" i="4" s="1"/>
  <c r="F399" i="4" a="1"/>
  <c r="F399" i="4" s="1"/>
  <c r="E757" i="4" a="1"/>
  <c r="E757" i="4" s="1"/>
  <c r="J771" i="4" a="1"/>
  <c r="J771" i="4" s="1"/>
  <c r="J730" i="4" a="1"/>
  <c r="J730" i="4" s="1"/>
  <c r="E394" i="4" a="1"/>
  <c r="E394" i="4" s="1"/>
  <c r="F387" i="4" a="1"/>
  <c r="F387" i="4" s="1"/>
  <c r="E356" i="4" a="1"/>
  <c r="E356" i="4" s="1"/>
  <c r="F351" i="4" a="1"/>
  <c r="F351" i="4" s="1"/>
  <c r="F357" i="4" a="1"/>
  <c r="F357" i="4" s="1"/>
  <c r="F294" i="4" a="1"/>
  <c r="F294" i="4" s="1"/>
  <c r="E350" i="4" a="1"/>
  <c r="E350" i="4" s="1"/>
  <c r="F311" i="4" a="1"/>
  <c r="F311" i="4" s="1"/>
  <c r="E383" i="4" a="1"/>
  <c r="E383" i="4" s="1"/>
  <c r="E328" i="4" a="1"/>
  <c r="E328" i="4" s="1"/>
  <c r="E232" i="4" a="1"/>
  <c r="E232" i="4" s="1"/>
  <c r="E790" i="4" a="1"/>
  <c r="E790" i="4" s="1"/>
  <c r="E675" i="4" a="1"/>
  <c r="E675" i="4" s="1"/>
  <c r="E663" i="4" a="1"/>
  <c r="E663" i="4" s="1"/>
  <c r="E259" i="4" a="1"/>
  <c r="E259" i="4" s="1"/>
  <c r="E289" i="4" a="1"/>
  <c r="E289" i="4" s="1"/>
  <c r="E330" i="4" a="1"/>
  <c r="E330" i="4" s="1"/>
  <c r="F307" i="4" a="1"/>
  <c r="F307" i="4" s="1"/>
  <c r="F334" i="4" a="1"/>
  <c r="F334" i="4" s="1"/>
  <c r="E300" i="4" a="1"/>
  <c r="E300" i="4" s="1"/>
  <c r="G300" i="4" s="1"/>
  <c r="I300" i="4" s="1"/>
  <c r="K300" i="4" s="1"/>
  <c r="E221" i="4" a="1"/>
  <c r="E221" i="4" s="1"/>
  <c r="F293" i="4" a="1"/>
  <c r="F293" i="4" s="1"/>
  <c r="E238" i="4" a="1"/>
  <c r="E238" i="4" s="1"/>
  <c r="E310" i="4" a="1"/>
  <c r="E310" i="4" s="1"/>
  <c r="E247" i="4" a="1"/>
  <c r="E247" i="4" s="1"/>
  <c r="F343" i="4" a="1"/>
  <c r="F343" i="4" s="1"/>
  <c r="E770" i="4" a="1"/>
  <c r="E770" i="4" s="1"/>
  <c r="E657" i="4" a="1"/>
  <c r="E657" i="4" s="1"/>
  <c r="I725" i="4" a="1"/>
  <c r="I725" i="4" s="1"/>
  <c r="E369" i="4" a="1"/>
  <c r="E369" i="4" s="1"/>
  <c r="E268" i="4" a="1"/>
  <c r="E268" i="4" s="1"/>
  <c r="F224" i="4" a="1"/>
  <c r="F224" i="4" s="1"/>
  <c r="E295" i="4" a="1"/>
  <c r="E295" i="4" s="1"/>
  <c r="F286" i="4" a="1"/>
  <c r="F286" i="4" s="1"/>
  <c r="F303" i="4" a="1"/>
  <c r="F303" i="4" s="1"/>
  <c r="F245" i="4" a="1"/>
  <c r="F245" i="4" s="1"/>
  <c r="E280" i="4" a="1"/>
  <c r="E280" i="4" s="1"/>
  <c r="E819" i="4" a="1"/>
  <c r="E819" i="4" s="1"/>
  <c r="I674" i="4" a="1"/>
  <c r="I674" i="4" s="1"/>
  <c r="I735" i="4" a="1"/>
  <c r="I735" i="4" s="1"/>
  <c r="J729" i="4" a="1"/>
  <c r="J729" i="4" s="1"/>
  <c r="I624" i="4" a="1"/>
  <c r="I624" i="4" s="1"/>
  <c r="E329" i="4" a="1"/>
  <c r="E329" i="4" s="1"/>
  <c r="E298" i="4" a="1"/>
  <c r="E298" i="4" s="1"/>
  <c r="E354" i="4" a="1"/>
  <c r="E354" i="4" s="1"/>
  <c r="F402" i="4" a="1"/>
  <c r="F402" i="4" s="1"/>
  <c r="E331" i="4" a="1"/>
  <c r="E331" i="4" s="1"/>
  <c r="E379" i="4" a="1"/>
  <c r="E379" i="4" s="1"/>
  <c r="F236" i="4" a="1"/>
  <c r="F236" i="4" s="1"/>
  <c r="E284" i="4" a="1"/>
  <c r="E284" i="4" s="1"/>
  <c r="F340" i="4" a="1"/>
  <c r="F340" i="4" s="1"/>
  <c r="F389" i="4" a="1"/>
  <c r="F389" i="4" s="1"/>
  <c r="F392" i="4" a="1"/>
  <c r="F392" i="4" s="1"/>
  <c r="F240" i="4" a="1"/>
  <c r="F240" i="4" s="1"/>
  <c r="F368" i="4" a="1"/>
  <c r="F368" i="4" s="1"/>
  <c r="E220" i="4" a="1"/>
  <c r="E220" i="4" s="1"/>
  <c r="E233" i="4" a="1"/>
  <c r="E233" i="4" s="1"/>
  <c r="E762" i="4" a="1"/>
  <c r="E762" i="4" s="1"/>
  <c r="E671" i="4" a="1"/>
  <c r="E671" i="4" s="1"/>
  <c r="E413" i="4" a="1"/>
  <c r="E413" i="4" s="1"/>
  <c r="E669" i="4" a="1"/>
  <c r="E669" i="4" s="1"/>
  <c r="E797" i="4" a="1"/>
  <c r="E797" i="4" s="1"/>
  <c r="E768" i="4" a="1"/>
  <c r="E768" i="4" s="1"/>
  <c r="J684" i="4" a="1"/>
  <c r="J684" i="4" s="1"/>
  <c r="I756" i="4" a="1"/>
  <c r="I756" i="4" s="1"/>
  <c r="J783" i="4" a="1"/>
  <c r="J783" i="4" s="1"/>
  <c r="I688" i="4" a="1"/>
  <c r="I688" i="4" s="1"/>
  <c r="I796" i="4" a="1"/>
  <c r="I796" i="4" s="1"/>
  <c r="J702" i="4" a="1"/>
  <c r="J702" i="4" s="1"/>
  <c r="J812" i="4" a="1"/>
  <c r="J812" i="4" s="1"/>
  <c r="I671" i="4" a="1"/>
  <c r="I671" i="4" s="1"/>
  <c r="J817" i="4" a="1"/>
  <c r="J817" i="4" s="1"/>
  <c r="I758" i="4" a="1"/>
  <c r="I758" i="4" s="1"/>
  <c r="J759" i="4" a="1"/>
  <c r="J759" i="4" s="1"/>
  <c r="I772" i="4" a="1"/>
  <c r="I772" i="4" s="1"/>
  <c r="J797" i="4" a="1"/>
  <c r="J797" i="4" s="1"/>
  <c r="J624" i="4" a="1"/>
  <c r="J624" i="4" s="1"/>
  <c r="J728" i="4" a="1"/>
  <c r="J728" i="4" s="1"/>
  <c r="E305" i="4" a="1"/>
  <c r="E305" i="4" s="1"/>
  <c r="E699" i="4" a="1"/>
  <c r="E699" i="4" s="1"/>
  <c r="E637" i="4" a="1"/>
  <c r="E637" i="4" s="1"/>
  <c r="F413" i="4" a="1"/>
  <c r="F413" i="4" s="1"/>
  <c r="F239" i="4" a="1"/>
  <c r="F239" i="4" s="1"/>
  <c r="F295" i="4" a="1"/>
  <c r="F295" i="4" s="1"/>
  <c r="J653" i="4" a="1"/>
  <c r="J653" i="4" s="1"/>
  <c r="J773" i="4" a="1"/>
  <c r="J773" i="4" s="1"/>
  <c r="F242" i="4" a="1"/>
  <c r="F242" i="4" s="1"/>
  <c r="F346" i="4" a="1"/>
  <c r="F346" i="4" s="1"/>
  <c r="F323" i="4" a="1"/>
  <c r="F323" i="4" s="1"/>
  <c r="E748" i="4" a="1"/>
  <c r="E748" i="4" s="1"/>
  <c r="E410" i="4" a="1"/>
  <c r="E410" i="4" s="1"/>
  <c r="J744" i="4" a="1"/>
  <c r="J744" i="4" s="1"/>
  <c r="J674" i="4" a="1"/>
  <c r="J674" i="4" s="1"/>
  <c r="E323" i="4" a="1"/>
  <c r="E323" i="4" s="1"/>
  <c r="E756" i="4" a="1"/>
  <c r="E756" i="4" s="1"/>
  <c r="J672" i="4" a="1"/>
  <c r="J672" i="4" s="1"/>
  <c r="J814" i="4" a="1"/>
  <c r="J814" i="4" s="1"/>
  <c r="E252" i="4" a="1"/>
  <c r="E252" i="4" s="1"/>
  <c r="F298" i="4" a="1"/>
  <c r="F298" i="4" s="1"/>
  <c r="F354" i="4" a="1"/>
  <c r="F354" i="4" s="1"/>
  <c r="F331" i="4" a="1"/>
  <c r="F331" i="4" s="1"/>
  <c r="F379" i="4" a="1"/>
  <c r="F379" i="4" s="1"/>
  <c r="F284" i="4" a="1"/>
  <c r="F284" i="4" s="1"/>
  <c r="E333" i="4" a="1"/>
  <c r="E333" i="4" s="1"/>
  <c r="F280" i="4" a="1"/>
  <c r="F280" i="4" s="1"/>
  <c r="E352" i="4" a="1"/>
  <c r="E352" i="4" s="1"/>
  <c r="E718" i="4" a="1"/>
  <c r="E718" i="4" s="1"/>
  <c r="E725" i="4" a="1"/>
  <c r="E725" i="4" s="1"/>
  <c r="I783" i="4" a="1"/>
  <c r="I783" i="4" s="1"/>
  <c r="J688" i="4" a="1"/>
  <c r="J688" i="4" s="1"/>
  <c r="J796" i="4" a="1"/>
  <c r="J796" i="4" s="1"/>
  <c r="E345" i="4" a="1"/>
  <c r="E345" i="4" s="1"/>
  <c r="F337" i="4" a="1"/>
  <c r="F337" i="4" s="1"/>
  <c r="F393" i="4" a="1"/>
  <c r="F393" i="4" s="1"/>
  <c r="F258" i="4" a="1"/>
  <c r="F258" i="4" s="1"/>
  <c r="F306" i="4" a="1"/>
  <c r="F306" i="4" s="1"/>
  <c r="F283" i="4" a="1"/>
  <c r="F283" i="4" s="1"/>
  <c r="F339" i="4" a="1"/>
  <c r="F339" i="4" s="1"/>
  <c r="E236" i="4" a="1"/>
  <c r="E236" i="4" s="1"/>
  <c r="F292" i="4" a="1"/>
  <c r="F292" i="4" s="1"/>
  <c r="E340" i="4" a="1"/>
  <c r="E340" i="4" s="1"/>
  <c r="E389" i="4" a="1"/>
  <c r="E389" i="4" s="1"/>
  <c r="F358" i="4" a="1"/>
  <c r="F358" i="4" s="1"/>
  <c r="F263" i="4" a="1"/>
  <c r="F263" i="4" s="1"/>
  <c r="E392" i="4" a="1"/>
  <c r="E392" i="4" s="1"/>
  <c r="E240" i="4" a="1"/>
  <c r="E240" i="4" s="1"/>
  <c r="E368" i="4" a="1"/>
  <c r="E368" i="4" s="1"/>
  <c r="E816" i="4" a="1"/>
  <c r="E816" i="4" s="1"/>
  <c r="E801" i="4" a="1"/>
  <c r="E801" i="4" s="1"/>
  <c r="E788" i="4" a="1"/>
  <c r="E788" i="4" s="1"/>
  <c r="E662" i="4" a="1"/>
  <c r="E662" i="4" s="1"/>
  <c r="E677" i="4" a="1"/>
  <c r="E677" i="4" s="1"/>
  <c r="I696" i="4" a="1"/>
  <c r="I696" i="4" s="1"/>
  <c r="I768" i="4" a="1"/>
  <c r="I768" i="4" s="1"/>
  <c r="J687" i="4" a="1"/>
  <c r="J687" i="4" s="1"/>
  <c r="I700" i="4" a="1"/>
  <c r="I700" i="4" s="1"/>
  <c r="I713" i="4" a="1"/>
  <c r="I713" i="4" s="1"/>
  <c r="J630" i="4" a="1"/>
  <c r="J630" i="4" s="1"/>
  <c r="I716" i="4" a="1"/>
  <c r="I716" i="4" s="1"/>
  <c r="I741" i="4" a="1"/>
  <c r="I741" i="4" s="1"/>
  <c r="J639" i="4" a="1"/>
  <c r="J639" i="4" s="1"/>
  <c r="J801" i="4" a="1"/>
  <c r="J801" i="4" s="1"/>
  <c r="J647" i="4" a="1"/>
  <c r="J647" i="4" s="1"/>
  <c r="J803" i="4" a="1"/>
  <c r="J803" i="4" s="1"/>
  <c r="F415" i="4" a="1"/>
  <c r="F415" i="4" s="1"/>
  <c r="I662" i="4" a="1"/>
  <c r="I662" i="4" s="1"/>
  <c r="E239" i="4" a="1"/>
  <c r="E239" i="4" s="1"/>
  <c r="F325" i="4" a="1"/>
  <c r="F325" i="4" s="1"/>
  <c r="E224" i="4" a="1"/>
  <c r="E224" i="4" s="1"/>
  <c r="E643" i="4" a="1"/>
  <c r="E643" i="4" s="1"/>
  <c r="E640" i="4" a="1"/>
  <c r="E640" i="4" s="1"/>
  <c r="F273" i="4" a="1"/>
  <c r="F273" i="4" s="1"/>
  <c r="F329" i="4" a="1"/>
  <c r="F329" i="4" s="1"/>
  <c r="E337" i="4" a="1"/>
  <c r="E337" i="4" s="1"/>
  <c r="E258" i="4" a="1"/>
  <c r="E258" i="4" s="1"/>
  <c r="F314" i="4" a="1"/>
  <c r="F314" i="4" s="1"/>
  <c r="F370" i="4" a="1"/>
  <c r="F370" i="4" s="1"/>
  <c r="E283" i="4" a="1"/>
  <c r="E283" i="4" s="1"/>
  <c r="E339" i="4" a="1"/>
  <c r="E339" i="4" s="1"/>
  <c r="E292" i="4" a="1"/>
  <c r="E292" i="4" s="1"/>
  <c r="F349" i="4" a="1"/>
  <c r="F349" i="4" s="1"/>
  <c r="E397" i="4" a="1"/>
  <c r="E397" i="4" s="1"/>
  <c r="E358" i="4" a="1"/>
  <c r="E358" i="4" s="1"/>
  <c r="E414" i="4" a="1"/>
  <c r="E414" i="4" s="1"/>
  <c r="E263" i="4" a="1"/>
  <c r="E263" i="4" s="1"/>
  <c r="F248" i="4" a="1"/>
  <c r="F248" i="4" s="1"/>
  <c r="F296" i="4" a="1"/>
  <c r="F296" i="4" s="1"/>
  <c r="F384" i="4" a="1"/>
  <c r="F384" i="4" s="1"/>
  <c r="E412" i="4" a="1"/>
  <c r="E412" i="4" s="1"/>
  <c r="E750" i="4" a="1"/>
  <c r="E750" i="4" s="1"/>
  <c r="E713" i="4" a="1"/>
  <c r="E713" i="4" s="1"/>
  <c r="E409" i="4" a="1"/>
  <c r="E409" i="4" s="1"/>
  <c r="J696" i="4" a="1"/>
  <c r="J696" i="4" s="1"/>
  <c r="I687" i="4" a="1"/>
  <c r="I687" i="4" s="1"/>
  <c r="J700" i="4" a="1"/>
  <c r="J700" i="4" s="1"/>
  <c r="I630" i="4" a="1"/>
  <c r="I630" i="4" s="1"/>
  <c r="I803" i="4" a="1"/>
  <c r="I803" i="4" s="1"/>
  <c r="I653" i="4" a="1"/>
  <c r="I653" i="4" s="1"/>
  <c r="I773" i="4" a="1"/>
  <c r="I773" i="4" s="1"/>
  <c r="I699" i="4" a="1"/>
  <c r="I699" i="4" s="1"/>
  <c r="F369" i="4" a="1"/>
  <c r="F369" i="4" s="1"/>
  <c r="I750" i="4" a="1"/>
  <c r="I750" i="4" s="1"/>
  <c r="I707" i="4" a="1"/>
  <c r="I707" i="4" s="1"/>
  <c r="F265" i="4" a="1"/>
  <c r="F265" i="4" s="1"/>
  <c r="E814" i="4" a="1"/>
  <c r="E814" i="4" s="1"/>
  <c r="E644" i="4" a="1"/>
  <c r="E644" i="4" s="1"/>
  <c r="I816" i="4" a="1"/>
  <c r="I816" i="4" s="1"/>
  <c r="I729" i="4" a="1"/>
  <c r="I729" i="4" s="1"/>
  <c r="E265" i="4" a="1"/>
  <c r="E265" i="4" s="1"/>
  <c r="E242" i="4" a="1"/>
  <c r="E242" i="4" s="1"/>
  <c r="E324" i="4" a="1"/>
  <c r="E324" i="4" s="1"/>
  <c r="F352" i="4" a="1"/>
  <c r="F352" i="4" s="1"/>
  <c r="E690" i="4" a="1"/>
  <c r="E690" i="4" s="1"/>
  <c r="J743" i="4" a="1"/>
  <c r="J743" i="4" s="1"/>
  <c r="E286" i="4" a="1"/>
  <c r="E286" i="4" s="1"/>
  <c r="E303" i="4" a="1"/>
  <c r="E303" i="4" s="1"/>
  <c r="E646" i="4" a="1"/>
  <c r="E646" i="4" s="1"/>
  <c r="I684" i="4" a="1"/>
  <c r="I684" i="4" s="1"/>
  <c r="I812" i="4" a="1"/>
  <c r="I812" i="4" s="1"/>
  <c r="I817" i="4" a="1"/>
  <c r="I817" i="4" s="1"/>
  <c r="J758" i="4" a="1"/>
  <c r="J758" i="4" s="1"/>
  <c r="J772" i="4" a="1"/>
  <c r="J772" i="4" s="1"/>
  <c r="I728" i="4" a="1"/>
  <c r="I728" i="4" s="1"/>
  <c r="F233" i="4" a="1"/>
  <c r="F233" i="4" s="1"/>
  <c r="F345" i="4" a="1"/>
  <c r="F345" i="4" s="1"/>
  <c r="E266" i="4" a="1"/>
  <c r="E266" i="4" s="1"/>
  <c r="E314" i="4" a="1"/>
  <c r="E314" i="4" s="1"/>
  <c r="E370" i="4" a="1"/>
  <c r="E370" i="4" s="1"/>
  <c r="F235" i="4" a="1"/>
  <c r="F235" i="4" s="1"/>
  <c r="F347" i="4" a="1"/>
  <c r="F347" i="4" s="1"/>
  <c r="E245" i="4" a="1"/>
  <c r="E245" i="4" s="1"/>
  <c r="E349" i="4" a="1"/>
  <c r="E349" i="4" s="1"/>
  <c r="F397" i="4" a="1"/>
  <c r="F397" i="4" s="1"/>
  <c r="F254" i="4" a="1"/>
  <c r="F254" i="4" s="1"/>
  <c r="F220" i="4" a="1"/>
  <c r="F220" i="4" s="1"/>
  <c r="E248" i="4" a="1"/>
  <c r="E248" i="4" s="1"/>
  <c r="E296" i="4" a="1"/>
  <c r="E296" i="4" s="1"/>
  <c r="E384" i="4" a="1"/>
  <c r="E384" i="4" s="1"/>
  <c r="E273" i="4" a="1"/>
  <c r="E273" i="4" s="1"/>
  <c r="E707" i="4" a="1"/>
  <c r="E707" i="4" s="1"/>
  <c r="E701" i="4" a="1"/>
  <c r="E701" i="4" s="1"/>
  <c r="J628" i="4" a="1"/>
  <c r="J628" i="4" s="1"/>
  <c r="I737" i="4" a="1"/>
  <c r="I737" i="4" s="1"/>
  <c r="I643" i="4" a="1"/>
  <c r="I643" i="4" s="1"/>
  <c r="J727" i="4" a="1"/>
  <c r="J727" i="4" s="1"/>
  <c r="I644" i="4" a="1"/>
  <c r="I644" i="4" s="1"/>
  <c r="I753" i="4" a="1"/>
  <c r="I753" i="4" s="1"/>
  <c r="J710" i="4" a="1"/>
  <c r="J710" i="4" s="1"/>
  <c r="J782" i="4" a="1"/>
  <c r="J782" i="4" s="1"/>
  <c r="J819" i="4" a="1"/>
  <c r="J819" i="4" s="1"/>
  <c r="I690" i="4" a="1"/>
  <c r="I690" i="4" s="1"/>
  <c r="J739" i="4" a="1"/>
  <c r="J739" i="4" s="1"/>
  <c r="J788" i="4" a="1"/>
  <c r="J788" i="4" s="1"/>
  <c r="F321" i="4" a="1"/>
  <c r="F321" i="4" s="1"/>
  <c r="F324" i="4" a="1"/>
  <c r="F324" i="4" s="1"/>
  <c r="J677" i="4" a="1"/>
  <c r="J677" i="4" s="1"/>
  <c r="E321" i="4" a="1"/>
  <c r="E321" i="4" s="1"/>
  <c r="E346" i="4" a="1"/>
  <c r="E346" i="4" s="1"/>
  <c r="E759" i="4" a="1"/>
  <c r="E759" i="4" s="1"/>
  <c r="E415" i="4" a="1"/>
  <c r="E415" i="4" s="1"/>
  <c r="I744" i="4" a="1"/>
  <c r="I744" i="4" s="1"/>
  <c r="E628" i="4" a="1"/>
  <c r="E628" i="4" s="1"/>
  <c r="F297" i="4" a="1"/>
  <c r="F297" i="4" s="1"/>
  <c r="F266" i="4" a="1"/>
  <c r="F266" i="4" s="1"/>
  <c r="F378" i="4" a="1"/>
  <c r="F378" i="4" s="1"/>
  <c r="E235" i="4" a="1"/>
  <c r="E235" i="4" s="1"/>
  <c r="E347" i="4" a="1"/>
  <c r="E347" i="4" s="1"/>
  <c r="F252" i="4" a="1"/>
  <c r="F252" i="4" s="1"/>
  <c r="F253" i="4" a="1"/>
  <c r="F253" i="4" s="1"/>
  <c r="F309" i="4" a="1"/>
  <c r="F309" i="4" s="1"/>
  <c r="E254" i="4" a="1"/>
  <c r="E254" i="4" s="1"/>
  <c r="F335" i="4" a="1"/>
  <c r="F335" i="4" s="1"/>
  <c r="F414" i="4" a="1"/>
  <c r="F414" i="4" s="1"/>
  <c r="F312" i="4" a="1"/>
  <c r="F312" i="4" s="1"/>
  <c r="F408" i="4" a="1"/>
  <c r="F408" i="4" s="1"/>
  <c r="E393" i="4" a="1"/>
  <c r="E393" i="4" s="1"/>
  <c r="E709" i="4" a="1"/>
  <c r="E709" i="4" s="1"/>
  <c r="E710" i="4" a="1"/>
  <c r="E710" i="4" s="1"/>
  <c r="J737" i="4" a="1"/>
  <c r="J737" i="4" s="1"/>
  <c r="I782" i="4" a="1"/>
  <c r="I782" i="4" s="1"/>
  <c r="F268" i="4" a="1"/>
  <c r="F268" i="4" s="1"/>
  <c r="E325" i="4" a="1"/>
  <c r="E325" i="4" s="1"/>
  <c r="F412" i="4" a="1"/>
  <c r="F412" i="4" s="1"/>
  <c r="E399" i="4" a="1"/>
  <c r="E399" i="4" s="1"/>
  <c r="F249" i="4" a="1"/>
  <c r="F249" i="4" s="1"/>
  <c r="E297" i="4" a="1"/>
  <c r="E297" i="4" s="1"/>
  <c r="F226" i="4" a="1"/>
  <c r="F226" i="4" s="1"/>
  <c r="F274" i="4" a="1"/>
  <c r="F274" i="4" s="1"/>
  <c r="E243" i="4" a="1"/>
  <c r="E243" i="4" s="1"/>
  <c r="F355" i="4" a="1"/>
  <c r="F355" i="4" s="1"/>
  <c r="F260" i="4" a="1"/>
  <c r="F260" i="4" s="1"/>
  <c r="F364" i="4" a="1"/>
  <c r="F364" i="4" s="1"/>
  <c r="E253" i="4" a="1"/>
  <c r="E253" i="4" s="1"/>
  <c r="E309" i="4" a="1"/>
  <c r="E309" i="4" s="1"/>
  <c r="F374" i="4" a="1"/>
  <c r="F374" i="4" s="1"/>
  <c r="E335" i="4" a="1"/>
  <c r="E335" i="4" s="1"/>
  <c r="F243" i="4" a="1"/>
  <c r="F243" i="4" s="1"/>
  <c r="F401" i="4" a="1"/>
  <c r="F401" i="4" s="1"/>
  <c r="E312" i="4" a="1"/>
  <c r="E312" i="4" s="1"/>
  <c r="E408" i="4" a="1"/>
  <c r="E408" i="4" s="1"/>
  <c r="E655" i="4" a="1"/>
  <c r="E655" i="4" s="1"/>
  <c r="E378" i="4" a="1"/>
  <c r="E378" i="4" s="1"/>
  <c r="G315" i="4"/>
  <c r="I315" i="4" s="1"/>
  <c r="K315" i="4" s="1"/>
  <c r="G377" i="4"/>
  <c r="I377" i="4" s="1"/>
  <c r="K377" i="4" s="1"/>
  <c r="G396" i="4"/>
  <c r="I396" i="4" s="1"/>
  <c r="K396" i="4" s="1"/>
  <c r="G382" i="4"/>
  <c r="I382" i="4" s="1"/>
  <c r="K382" i="4" s="1"/>
  <c r="G275" i="4"/>
  <c r="I275" i="4" s="1"/>
  <c r="K275" i="4" s="1"/>
  <c r="B10" i="5"/>
  <c r="B10" i="13" s="1"/>
  <c r="B9" i="5"/>
  <c r="B9" i="13" s="1"/>
  <c r="V196" i="4"/>
  <c r="V78" i="4"/>
  <c r="V47" i="4"/>
  <c r="V191" i="4"/>
  <c r="V48" i="4"/>
  <c r="V52" i="4"/>
  <c r="V142" i="4"/>
  <c r="V68" i="4"/>
  <c r="V108" i="4"/>
  <c r="V97" i="4"/>
  <c r="V75" i="4"/>
  <c r="V205" i="4"/>
  <c r="V126" i="4"/>
  <c r="V166" i="4"/>
  <c r="V127" i="4"/>
  <c r="V72" i="4"/>
  <c r="V149" i="4"/>
  <c r="V38" i="4"/>
  <c r="V144" i="4"/>
  <c r="V41" i="4"/>
  <c r="V35" i="4"/>
  <c r="V96" i="4"/>
  <c r="V51" i="4"/>
  <c r="V123" i="4"/>
  <c r="V21" i="4"/>
  <c r="V198" i="4"/>
  <c r="V64" i="4"/>
  <c r="V212" i="4"/>
  <c r="V57" i="4"/>
  <c r="V65" i="4"/>
  <c r="V177" i="4"/>
  <c r="V26" i="4"/>
  <c r="V66" i="4"/>
  <c r="V162" i="4"/>
  <c r="V202" i="4"/>
  <c r="V147" i="4"/>
  <c r="V179" i="4"/>
  <c r="V174" i="4"/>
  <c r="V84" i="4"/>
  <c r="V141" i="4"/>
  <c r="V157" i="4"/>
  <c r="V46" i="4"/>
  <c r="V102" i="4"/>
  <c r="V176" i="4"/>
  <c r="V200" i="4"/>
  <c r="V161" i="4"/>
  <c r="V146" i="4"/>
  <c r="V43" i="4"/>
  <c r="V195" i="4"/>
  <c r="V187" i="4"/>
  <c r="V24" i="4"/>
  <c r="V80" i="4"/>
  <c r="V155" i="4"/>
  <c r="V85" i="4"/>
  <c r="V70" i="4"/>
  <c r="V183" i="4"/>
  <c r="V193" i="4"/>
  <c r="V50" i="4"/>
  <c r="V138" i="4"/>
  <c r="V76" i="4"/>
  <c r="V148" i="4"/>
  <c r="V119" i="4"/>
  <c r="V59" i="4"/>
  <c r="V112" i="4"/>
  <c r="V210" i="4"/>
  <c r="V67" i="4"/>
  <c r="V45" i="4"/>
  <c r="V77" i="4"/>
  <c r="V125" i="4"/>
  <c r="V197" i="4"/>
  <c r="V87" i="4"/>
  <c r="V40" i="4"/>
  <c r="V201" i="4"/>
  <c r="V94" i="4"/>
  <c r="V158" i="4"/>
  <c r="V182" i="4"/>
  <c r="V95" i="4"/>
  <c r="V25" i="4"/>
  <c r="V19" i="4"/>
  <c r="V131" i="4"/>
  <c r="V36" i="4"/>
  <c r="V188" i="4"/>
  <c r="V181" i="4"/>
  <c r="V213" i="4"/>
  <c r="V30" i="4"/>
  <c r="V175" i="4"/>
  <c r="V199" i="4"/>
  <c r="V208" i="4"/>
  <c r="V145" i="4"/>
  <c r="V91" i="4"/>
  <c r="V171" i="4"/>
  <c r="V211" i="4"/>
  <c r="V88" i="4"/>
  <c r="V168" i="4"/>
  <c r="V101" i="4"/>
  <c r="V110" i="4"/>
  <c r="V89" i="4"/>
  <c r="V113" i="4"/>
  <c r="V22" i="4"/>
  <c r="V190" i="4"/>
  <c r="V120" i="4"/>
  <c r="V185" i="4"/>
  <c r="V114" i="4"/>
  <c r="V203" i="4"/>
  <c r="V132" i="4"/>
  <c r="V105" i="4"/>
  <c r="V42" i="4"/>
  <c r="V82" i="4"/>
  <c r="V130" i="4"/>
  <c r="V99" i="4"/>
  <c r="V116" i="4"/>
  <c r="V117" i="4"/>
  <c r="V206" i="4"/>
  <c r="V31" i="4"/>
  <c r="V63" i="4"/>
  <c r="V136" i="4"/>
  <c r="V192" i="4"/>
  <c r="V81" i="4"/>
  <c r="V137" i="4"/>
  <c r="V139" i="4"/>
  <c r="V134" i="4"/>
  <c r="V44" i="4"/>
  <c r="V164" i="4"/>
  <c r="V23" i="4"/>
  <c r="V55" i="4"/>
  <c r="V34" i="4"/>
  <c r="V74" i="4"/>
  <c r="V207" i="4"/>
  <c r="V28" i="4"/>
  <c r="V124" i="4"/>
  <c r="V54" i="4"/>
  <c r="V143" i="4"/>
  <c r="V73" i="4"/>
  <c r="V186" i="4"/>
  <c r="V100" i="4"/>
  <c r="V178" i="4"/>
  <c r="V37" i="4"/>
  <c r="V109" i="4"/>
  <c r="V173" i="4"/>
  <c r="V150" i="4"/>
  <c r="V79" i="4"/>
  <c r="V17" i="4"/>
  <c r="V154" i="4"/>
  <c r="V60" i="4"/>
  <c r="V92" i="4"/>
  <c r="V180" i="4"/>
  <c r="V69" i="4"/>
  <c r="V86" i="4"/>
  <c r="V129" i="4"/>
  <c r="V103" i="4"/>
  <c r="V151" i="4"/>
  <c r="V32" i="4"/>
  <c r="V56" i="4"/>
  <c r="V33" i="4"/>
  <c r="V121" i="4"/>
  <c r="V153" i="4"/>
  <c r="V98" i="4"/>
  <c r="V27" i="4"/>
  <c r="V163" i="4"/>
  <c r="V20" i="4"/>
  <c r="V172" i="4"/>
  <c r="V204" i="4"/>
  <c r="V53" i="4"/>
  <c r="V133" i="4"/>
  <c r="V165" i="4"/>
  <c r="V71" i="4"/>
  <c r="V111" i="4"/>
  <c r="V167" i="4"/>
  <c r="V104" i="4"/>
  <c r="V128" i="4"/>
  <c r="V49" i="4"/>
  <c r="V169" i="4"/>
  <c r="V209" i="4"/>
  <c r="V122" i="4"/>
  <c r="V194" i="4"/>
  <c r="V140" i="4"/>
  <c r="V156" i="4"/>
  <c r="V29" i="4"/>
  <c r="V61" i="4"/>
  <c r="V93" i="4"/>
  <c r="V189" i="4"/>
  <c r="V62" i="4"/>
  <c r="V118" i="4"/>
  <c r="V39" i="4"/>
  <c r="V135" i="4"/>
  <c r="V159" i="4"/>
  <c r="V152" i="4"/>
  <c r="V160" i="4"/>
  <c r="V184" i="4"/>
  <c r="V18" i="4"/>
  <c r="V58" i="4"/>
  <c r="V90" i="4"/>
  <c r="V106" i="4"/>
  <c r="V170" i="4"/>
  <c r="V83" i="4"/>
  <c r="V107" i="4"/>
  <c r="V115" i="4"/>
  <c r="B7" i="5"/>
  <c r="B7" i="13" s="1"/>
  <c r="AH889" i="4" a="1"/>
  <c r="AH889" i="4" s="1"/>
  <c r="AH1010" i="4" a="1"/>
  <c r="AH1010" i="4" s="1"/>
  <c r="AH996" i="4" a="1"/>
  <c r="AH996" i="4" s="1"/>
  <c r="AH837" i="4" a="1"/>
  <c r="AH837" i="4" s="1"/>
  <c r="CQ168" i="3"/>
  <c r="G758" i="4"/>
  <c r="F758" i="4"/>
  <c r="G649" i="4"/>
  <c r="F649" i="4"/>
  <c r="G666" i="4"/>
  <c r="F666" i="4"/>
  <c r="G724" i="4"/>
  <c r="F724" i="4"/>
  <c r="G807" i="4"/>
  <c r="F807" i="4"/>
  <c r="G680" i="4"/>
  <c r="F680" i="4"/>
  <c r="G744" i="4"/>
  <c r="F744" i="4"/>
  <c r="G800" i="4"/>
  <c r="F800" i="4"/>
  <c r="G803" i="4"/>
  <c r="F803" i="4"/>
  <c r="G626" i="4"/>
  <c r="F626" i="4"/>
  <c r="G674" i="4"/>
  <c r="F674" i="4"/>
  <c r="G652" i="4"/>
  <c r="F652" i="4"/>
  <c r="G812" i="4"/>
  <c r="F812" i="4"/>
  <c r="G712" i="4"/>
  <c r="F712" i="4"/>
  <c r="G782" i="4"/>
  <c r="F782" i="4"/>
  <c r="G729" i="4"/>
  <c r="F729" i="4"/>
  <c r="G634" i="4"/>
  <c r="F634" i="4"/>
  <c r="G786" i="4"/>
  <c r="F786" i="4"/>
  <c r="G723" i="4"/>
  <c r="F723" i="4"/>
  <c r="G679" i="4"/>
  <c r="F679" i="4"/>
  <c r="G772" i="4"/>
  <c r="F772" i="4"/>
  <c r="G760" i="4"/>
  <c r="F760" i="4"/>
  <c r="G796" i="4"/>
  <c r="F796" i="4"/>
  <c r="F737" i="4"/>
  <c r="G737" i="4"/>
  <c r="G698" i="4"/>
  <c r="F698" i="4"/>
  <c r="F695" i="4"/>
  <c r="G687" i="4"/>
  <c r="F687" i="4"/>
  <c r="G624" i="4"/>
  <c r="F624" i="4"/>
  <c r="G745" i="4"/>
  <c r="F745" i="4"/>
  <c r="G650" i="4"/>
  <c r="F650" i="4"/>
  <c r="G659" i="4"/>
  <c r="F659" i="4"/>
  <c r="G684" i="4"/>
  <c r="F684" i="4"/>
  <c r="G653" i="4"/>
  <c r="F653" i="4"/>
  <c r="G688" i="4"/>
  <c r="F688" i="4"/>
  <c r="G818" i="4"/>
  <c r="F818" i="4"/>
  <c r="G696" i="4"/>
  <c r="F696" i="4"/>
  <c r="G817" i="4"/>
  <c r="F817" i="4"/>
  <c r="G802" i="4"/>
  <c r="F802" i="4"/>
  <c r="G780" i="4"/>
  <c r="F780" i="4"/>
  <c r="G631" i="4"/>
  <c r="F631" i="4"/>
  <c r="F711" i="4"/>
  <c r="G711" i="4"/>
  <c r="F773" i="4"/>
  <c r="G773" i="4"/>
  <c r="G704" i="4"/>
  <c r="F704" i="4"/>
  <c r="G728" i="4"/>
  <c r="F728" i="4"/>
  <c r="F633" i="4"/>
  <c r="G633" i="4"/>
  <c r="G697" i="4"/>
  <c r="F697" i="4"/>
  <c r="G630" i="4"/>
  <c r="F630" i="4"/>
  <c r="G799" i="4"/>
  <c r="F799" i="4"/>
  <c r="G676" i="4"/>
  <c r="F676" i="4"/>
  <c r="G730" i="4"/>
  <c r="F730" i="4"/>
  <c r="G700" i="4"/>
  <c r="F700" i="4"/>
  <c r="G719" i="4"/>
  <c r="F719" i="4"/>
  <c r="G783" i="4"/>
  <c r="F783" i="4"/>
  <c r="G781" i="4"/>
  <c r="F781" i="4"/>
  <c r="AH934" i="4" a="1"/>
  <c r="AH934" i="4" s="1"/>
  <c r="AH1020" i="4" a="1"/>
  <c r="AH1020" i="4" s="1"/>
  <c r="AH862" i="4" a="1"/>
  <c r="AH862" i="4" s="1"/>
  <c r="AH869" i="4" a="1"/>
  <c r="AH869" i="4" s="1"/>
  <c r="AH891" i="4" a="1"/>
  <c r="AH891" i="4" s="1"/>
  <c r="AH868" i="4" a="1"/>
  <c r="AH868" i="4" s="1"/>
  <c r="AH927" i="4" a="1"/>
  <c r="AH927" i="4" s="1"/>
  <c r="AH870" i="4" a="1"/>
  <c r="AH870" i="4" s="1"/>
  <c r="AH954" i="4" a="1"/>
  <c r="AH954" i="4" s="1"/>
  <c r="AH979" i="4" a="1"/>
  <c r="AH979" i="4" s="1"/>
  <c r="AH854" i="4" a="1"/>
  <c r="AH854" i="4" s="1"/>
  <c r="AH990" i="4" a="1"/>
  <c r="AH990" i="4" s="1"/>
  <c r="AH960" i="4" a="1"/>
  <c r="AH960" i="4" s="1"/>
  <c r="AH906" i="4" a="1"/>
  <c r="AH906" i="4" s="1"/>
  <c r="AH850" i="4" a="1"/>
  <c r="AH850" i="4" s="1"/>
  <c r="AH913" i="4" a="1"/>
  <c r="AH913" i="4" s="1"/>
  <c r="AH926" i="4" a="1"/>
  <c r="AH926" i="4" s="1"/>
  <c r="AH1018" i="4" a="1"/>
  <c r="AH1018" i="4" s="1"/>
  <c r="AH916" i="4" a="1"/>
  <c r="AH916" i="4" s="1"/>
  <c r="AH900" i="4" a="1"/>
  <c r="AH900" i="4" s="1"/>
  <c r="AH1029" i="4" a="1"/>
  <c r="AH1029" i="4" s="1"/>
  <c r="AH924" i="4" a="1"/>
  <c r="AH924" i="4" s="1"/>
  <c r="AH1001" i="4" a="1"/>
  <c r="AH1001" i="4" s="1"/>
  <c r="AH922" i="4" a="1"/>
  <c r="AH922" i="4" s="1"/>
  <c r="AH993" i="4" a="1"/>
  <c r="AH993" i="4" s="1"/>
  <c r="AH1002" i="4" a="1"/>
  <c r="AH1002" i="4" s="1"/>
  <c r="AH1023" i="4" a="1"/>
  <c r="AH1023" i="4" s="1"/>
  <c r="AH861" i="4" a="1"/>
  <c r="AH861" i="4" s="1"/>
  <c r="AH884" i="4" a="1"/>
  <c r="AH884" i="4" s="1"/>
  <c r="AH994" i="4" a="1"/>
  <c r="AH994" i="4" s="1"/>
  <c r="AH858" i="4" a="1"/>
  <c r="AH858" i="4" s="1"/>
  <c r="AH965" i="4" a="1"/>
  <c r="AH965" i="4" s="1"/>
  <c r="AH980" i="4" a="1"/>
  <c r="AH980" i="4" s="1"/>
  <c r="AH1016" i="4" a="1"/>
  <c r="AH1016" i="4" s="1"/>
  <c r="AH910" i="4" a="1"/>
  <c r="AH910" i="4" s="1"/>
  <c r="AH948" i="4" a="1"/>
  <c r="AH948" i="4" s="1"/>
  <c r="AH947" i="4" a="1"/>
  <c r="AH947" i="4" s="1"/>
  <c r="AH834" i="4" a="1"/>
  <c r="AH834" i="4" s="1"/>
  <c r="AH961" i="4" a="1"/>
  <c r="AH961" i="4" s="1"/>
  <c r="AH899" i="4" a="1"/>
  <c r="AH899" i="4" s="1"/>
  <c r="AH856" i="4" a="1"/>
  <c r="AH856" i="4" s="1"/>
  <c r="AH974" i="4" a="1"/>
  <c r="AH974" i="4" s="1"/>
  <c r="AH1007" i="4" a="1"/>
  <c r="AH1007" i="4" s="1"/>
  <c r="AH992" i="4" a="1"/>
  <c r="AH992" i="4" s="1"/>
  <c r="AH1028" i="4" a="1"/>
  <c r="AH1028" i="4" s="1"/>
  <c r="AH1030" i="4" a="1"/>
  <c r="AH1030" i="4" s="1"/>
  <c r="AH973" i="4" a="1"/>
  <c r="AH973" i="4" s="1"/>
  <c r="AH956" i="4" a="1"/>
  <c r="AH956" i="4" s="1"/>
  <c r="AH983" i="4" a="1"/>
  <c r="AH983" i="4" s="1"/>
  <c r="AH975" i="4" a="1"/>
  <c r="AH975" i="4" s="1"/>
  <c r="AH877" i="4" a="1"/>
  <c r="AH877" i="4" s="1"/>
  <c r="AH881" i="4" a="1"/>
  <c r="AH881" i="4" s="1"/>
  <c r="AH914" i="4" a="1"/>
  <c r="AH914" i="4" s="1"/>
  <c r="AH835" i="4" a="1"/>
  <c r="AH835" i="4" s="1"/>
  <c r="AH959" i="4" a="1"/>
  <c r="AH959" i="4" s="1"/>
  <c r="AH923" i="4" a="1"/>
  <c r="AH923" i="4" s="1"/>
  <c r="AH1008" i="4" a="1"/>
  <c r="AH1008" i="4" s="1"/>
  <c r="AH986" i="4" a="1"/>
  <c r="AH986" i="4" s="1"/>
  <c r="AH933" i="4" a="1"/>
  <c r="AH933" i="4" s="1"/>
  <c r="AH955" i="4" a="1"/>
  <c r="AH955" i="4" s="1"/>
  <c r="AH982" i="4" a="1"/>
  <c r="AH982" i="4" s="1"/>
  <c r="AH875" i="4" a="1"/>
  <c r="AH875" i="4" s="1"/>
  <c r="AH958" i="4" a="1"/>
  <c r="AH958" i="4" s="1"/>
  <c r="AH908" i="4" a="1"/>
  <c r="AH908" i="4" s="1"/>
  <c r="AH991" i="4" a="1"/>
  <c r="AH991" i="4" s="1"/>
  <c r="AH874" i="4" a="1"/>
  <c r="AH874" i="4" s="1"/>
  <c r="AH857" i="4" a="1"/>
  <c r="AH857" i="4" s="1"/>
  <c r="AH1005" i="4" a="1"/>
  <c r="AH1005" i="4" s="1"/>
  <c r="AH936" i="4" a="1"/>
  <c r="AH936" i="4" s="1"/>
  <c r="AH892" i="4" a="1"/>
  <c r="AH892" i="4" s="1"/>
  <c r="AH1000" i="4" a="1"/>
  <c r="AH1000" i="4" s="1"/>
  <c r="AH879" i="4" a="1"/>
  <c r="AH879" i="4" s="1"/>
  <c r="AH921" i="4" a="1"/>
  <c r="AH921" i="4" s="1"/>
  <c r="AH911" i="4" a="1"/>
  <c r="AH911" i="4" s="1"/>
  <c r="AH898" i="4" a="1"/>
  <c r="AH898" i="4" s="1"/>
  <c r="AH939" i="4" a="1"/>
  <c r="AH939" i="4" s="1"/>
  <c r="AH863" i="4" a="1"/>
  <c r="AH863" i="4" s="1"/>
  <c r="AH840" i="4" a="1"/>
  <c r="AH840" i="4" s="1"/>
  <c r="AH843" i="4" a="1"/>
  <c r="AH843" i="4" s="1"/>
  <c r="AH989" i="4" a="1"/>
  <c r="AH989" i="4" s="1"/>
  <c r="AH1013" i="4" a="1"/>
  <c r="AH1013" i="4" s="1"/>
  <c r="AH963" i="4" a="1"/>
  <c r="AH963" i="4" s="1"/>
  <c r="AH998" i="4" a="1"/>
  <c r="AH998" i="4" s="1"/>
  <c r="AH1022" i="4" a="1"/>
  <c r="AH1022" i="4" s="1"/>
  <c r="AH941" i="4" a="1"/>
  <c r="AH941" i="4" s="1"/>
  <c r="AH946" i="4" a="1"/>
  <c r="AH946" i="4" s="1"/>
  <c r="AH882" i="4" a="1"/>
  <c r="AH882" i="4" s="1"/>
  <c r="AH920" i="4" a="1"/>
  <c r="AH920" i="4" s="1"/>
  <c r="AH997" i="4" a="1"/>
  <c r="AH997" i="4" s="1"/>
  <c r="AH912" i="4" a="1"/>
  <c r="AH912" i="4" s="1"/>
  <c r="AH957" i="4" a="1"/>
  <c r="AH957" i="4" s="1"/>
  <c r="AH890" i="4" a="1"/>
  <c r="AH890" i="4" s="1"/>
  <c r="AH838" i="4" a="1"/>
  <c r="AH838" i="4" s="1"/>
  <c r="AH918" i="4" a="1"/>
  <c r="AH918" i="4" s="1"/>
  <c r="AH1004" i="4" a="1"/>
  <c r="AH1004" i="4" s="1"/>
  <c r="AH836" i="4" a="1"/>
  <c r="AH836" i="4" s="1"/>
  <c r="AH970" i="4" a="1"/>
  <c r="AH970" i="4" s="1"/>
  <c r="AH895" i="4" a="1"/>
  <c r="AH895" i="4" s="1"/>
  <c r="AH1011" i="4" a="1"/>
  <c r="AH1011" i="4" s="1"/>
  <c r="AH972" i="4" a="1"/>
  <c r="AH972" i="4" s="1"/>
  <c r="AH878" i="4" a="1"/>
  <c r="AH878" i="4" s="1"/>
  <c r="AH839" i="4" a="1"/>
  <c r="AH839" i="4" s="1"/>
  <c r="AH985" i="4" a="1"/>
  <c r="AH985" i="4" s="1"/>
  <c r="AH944" i="4" a="1"/>
  <c r="AH944" i="4" s="1"/>
  <c r="AH953" i="4" a="1"/>
  <c r="AH953" i="4" s="1"/>
  <c r="AH903" i="4" a="1"/>
  <c r="AH903" i="4" s="1"/>
  <c r="AH871" i="4" a="1"/>
  <c r="AH871" i="4" s="1"/>
  <c r="AH917" i="4" a="1"/>
  <c r="AH917" i="4" s="1"/>
  <c r="AH904" i="4" a="1"/>
  <c r="AH904" i="4" s="1"/>
  <c r="AH873" i="4" a="1"/>
  <c r="AH873" i="4" s="1"/>
  <c r="AH852" i="4" a="1"/>
  <c r="AH852" i="4" s="1"/>
  <c r="AH981" i="4" a="1"/>
  <c r="AH981" i="4" s="1"/>
  <c r="AH848" i="4" a="1"/>
  <c r="AH848" i="4" s="1"/>
  <c r="AH977" i="4" a="1"/>
  <c r="AH977" i="4" s="1"/>
  <c r="AH896" i="4" a="1"/>
  <c r="AH896" i="4" s="1"/>
  <c r="AH919" i="4" a="1"/>
  <c r="AH919" i="4" s="1"/>
  <c r="AH952" i="4" a="1"/>
  <c r="AH952" i="4" s="1"/>
  <c r="AH967" i="4" a="1"/>
  <c r="AH967" i="4" s="1"/>
  <c r="AH932" i="4" a="1"/>
  <c r="AH932" i="4" s="1"/>
  <c r="AH938" i="4" a="1"/>
  <c r="AH938" i="4" s="1"/>
  <c r="AH1031" i="4" a="1"/>
  <c r="AH1031" i="4" s="1"/>
  <c r="AH929" i="4" a="1"/>
  <c r="AH929" i="4" s="1"/>
  <c r="E187" i="3"/>
  <c r="E168" i="3"/>
  <c r="E66" i="3"/>
  <c r="E173" i="3"/>
  <c r="E106" i="3"/>
  <c r="AF106" i="3"/>
  <c r="AF173" i="3"/>
  <c r="AF66" i="3"/>
  <c r="AF168" i="3"/>
  <c r="AF187" i="3"/>
  <c r="CE106" i="3"/>
  <c r="CE173" i="3"/>
  <c r="CE66" i="3"/>
  <c r="CE168" i="3"/>
  <c r="CE187" i="3"/>
  <c r="CH106" i="3"/>
  <c r="CH173" i="3"/>
  <c r="CH66" i="3"/>
  <c r="CH168" i="3"/>
  <c r="CH187" i="3"/>
  <c r="BX106" i="3"/>
  <c r="BX173" i="3"/>
  <c r="BX66" i="3"/>
  <c r="BX168" i="3"/>
  <c r="BX187" i="3"/>
  <c r="CB106" i="3"/>
  <c r="CB173" i="3"/>
  <c r="CB66" i="3"/>
  <c r="CB168" i="3"/>
  <c r="CB187" i="3"/>
  <c r="BU106" i="3"/>
  <c r="BU173" i="3"/>
  <c r="BU66" i="3"/>
  <c r="BU168" i="3"/>
  <c r="BU187" i="3"/>
  <c r="BS106" i="3"/>
  <c r="BR106" i="3" s="1"/>
  <c r="BS173" i="3"/>
  <c r="BR173" i="3" s="1"/>
  <c r="BS66" i="3"/>
  <c r="BR66" i="3" s="1"/>
  <c r="BS168" i="3"/>
  <c r="BR168" i="3" s="1"/>
  <c r="BS187" i="3"/>
  <c r="BR187" i="3" s="1"/>
  <c r="BP106" i="3"/>
  <c r="BP173" i="3"/>
  <c r="BP66" i="3"/>
  <c r="BP168" i="3"/>
  <c r="BP187" i="3"/>
  <c r="BC106" i="3"/>
  <c r="BC173" i="3"/>
  <c r="BC66" i="3"/>
  <c r="BC168" i="3"/>
  <c r="BC187" i="3"/>
  <c r="AP106" i="3"/>
  <c r="AP173" i="3"/>
  <c r="AP66" i="3"/>
  <c r="AP168" i="3"/>
  <c r="AO168" i="3" s="1"/>
  <c r="AP187" i="3"/>
  <c r="AL106" i="3"/>
  <c r="AL173" i="3"/>
  <c r="AL66" i="3"/>
  <c r="AL168" i="3"/>
  <c r="AL187" i="3"/>
  <c r="V168" i="3"/>
  <c r="K106" i="3"/>
  <c r="K173" i="3"/>
  <c r="K66" i="3"/>
  <c r="K168" i="3"/>
  <c r="K187" i="3"/>
  <c r="G269" i="4" l="1"/>
  <c r="I269" i="4" s="1"/>
  <c r="K269" i="4" s="1"/>
  <c r="H802" i="4"/>
  <c r="G289" i="4"/>
  <c r="I289" i="4" s="1"/>
  <c r="K289" i="4" s="1"/>
  <c r="G691" i="4"/>
  <c r="F691" i="4"/>
  <c r="F787" i="4"/>
  <c r="G787" i="4"/>
  <c r="G403" i="4"/>
  <c r="I403" i="4" s="1"/>
  <c r="K403" i="4" s="1"/>
  <c r="F709" i="4"/>
  <c r="F641" i="4"/>
  <c r="G693" i="4"/>
  <c r="F693" i="4"/>
  <c r="G789" i="4"/>
  <c r="F735" i="4"/>
  <c r="F801" i="4"/>
  <c r="F651" i="4"/>
  <c r="F814" i="4"/>
  <c r="G641" i="4"/>
  <c r="F690" i="4"/>
  <c r="G654" i="4"/>
  <c r="G651" i="4"/>
  <c r="F734" i="4"/>
  <c r="G734" i="4"/>
  <c r="G302" i="4"/>
  <c r="I302" i="4" s="1"/>
  <c r="K302" i="4" s="1"/>
  <c r="G708" i="4"/>
  <c r="H708" i="4" s="1"/>
  <c r="F665" i="4"/>
  <c r="F715" i="4"/>
  <c r="G228" i="4"/>
  <c r="I228" i="4" s="1"/>
  <c r="K228" i="4" s="1"/>
  <c r="G747" i="4"/>
  <c r="G715" i="4"/>
  <c r="G665" i="4"/>
  <c r="G755" i="4"/>
  <c r="G416" i="4"/>
  <c r="I416" i="4" s="1"/>
  <c r="K416" i="4" s="1"/>
  <c r="F755" i="4"/>
  <c r="H755" i="4" s="1"/>
  <c r="AO965" i="4" s="1"/>
  <c r="G765" i="4"/>
  <c r="G820" i="4"/>
  <c r="G400" i="4"/>
  <c r="I400" i="4" s="1"/>
  <c r="K400" i="4" s="1"/>
  <c r="G365" i="4"/>
  <c r="I365" i="4" s="1"/>
  <c r="K365" i="4" s="1"/>
  <c r="G246" i="4"/>
  <c r="I246" i="4" s="1"/>
  <c r="K246" i="4" s="1"/>
  <c r="G689" i="4"/>
  <c r="F820" i="4"/>
  <c r="F689" i="4"/>
  <c r="F747" i="4"/>
  <c r="G645" i="4"/>
  <c r="F738" i="4"/>
  <c r="G660" i="4"/>
  <c r="F821" i="4"/>
  <c r="G328" i="4"/>
  <c r="I328" i="4" s="1"/>
  <c r="K328" i="4" s="1"/>
  <c r="G795" i="4"/>
  <c r="F632" i="4"/>
  <c r="G632" i="4"/>
  <c r="G732" i="4"/>
  <c r="F660" i="4"/>
  <c r="G738" i="4"/>
  <c r="G367" i="4"/>
  <c r="I367" i="4" s="1"/>
  <c r="K367" i="4" s="1"/>
  <c r="F645" i="4"/>
  <c r="G313" i="4"/>
  <c r="I313" i="4" s="1"/>
  <c r="K313" i="4" s="1"/>
  <c r="F795" i="4"/>
  <c r="G821" i="4"/>
  <c r="G230" i="4"/>
  <c r="I230" i="4" s="1"/>
  <c r="K230" i="4" s="1"/>
  <c r="G766" i="4"/>
  <c r="X116" i="4"/>
  <c r="Z116" i="4" s="1"/>
  <c r="X24" i="4"/>
  <c r="Z24" i="4" s="1"/>
  <c r="X184" i="4"/>
  <c r="Z184" i="4" s="1"/>
  <c r="X165" i="4"/>
  <c r="Z165" i="4" s="1"/>
  <c r="X130" i="4"/>
  <c r="Z130" i="4" s="1"/>
  <c r="X53" i="4"/>
  <c r="Z53" i="4" s="1"/>
  <c r="X98" i="4"/>
  <c r="Z98" i="4" s="1"/>
  <c r="X64" i="4"/>
  <c r="Z64" i="4" s="1"/>
  <c r="X179" i="4"/>
  <c r="Z179" i="4" s="1"/>
  <c r="X201" i="4"/>
  <c r="Z201" i="4" s="1"/>
  <c r="X49" i="4"/>
  <c r="Z49" i="4" s="1"/>
  <c r="X70" i="4"/>
  <c r="Z70" i="4" s="1"/>
  <c r="X66" i="4"/>
  <c r="Z66" i="4" s="1"/>
  <c r="G785" i="4"/>
  <c r="X26" i="4"/>
  <c r="Z26" i="4" s="1"/>
  <c r="X114" i="4"/>
  <c r="Z114" i="4" s="1"/>
  <c r="X45" i="4"/>
  <c r="Z45" i="4" s="1"/>
  <c r="X32" i="4"/>
  <c r="Z32" i="4" s="1"/>
  <c r="X102" i="4"/>
  <c r="Z102" i="4" s="1"/>
  <c r="X171" i="4"/>
  <c r="Z171" i="4" s="1"/>
  <c r="X73" i="4"/>
  <c r="Z73" i="4" s="1"/>
  <c r="X63" i="4"/>
  <c r="Z63" i="4" s="1"/>
  <c r="X119" i="4"/>
  <c r="Z119" i="4" s="1"/>
  <c r="X104" i="4"/>
  <c r="Z104" i="4" s="1"/>
  <c r="X106" i="4"/>
  <c r="Z106" i="4" s="1"/>
  <c r="X176" i="4"/>
  <c r="Z176" i="4" s="1"/>
  <c r="G372" i="4"/>
  <c r="I372" i="4" s="1"/>
  <c r="K372" i="4" s="1"/>
  <c r="G330" i="4"/>
  <c r="I330" i="4" s="1"/>
  <c r="K330" i="4" s="1"/>
  <c r="G247" i="4"/>
  <c r="I247" i="4" s="1"/>
  <c r="K247" i="4" s="1"/>
  <c r="F625" i="4"/>
  <c r="G625" i="4"/>
  <c r="F732" i="4"/>
  <c r="F785" i="4"/>
  <c r="X47" i="4"/>
  <c r="Z47" i="4" s="1"/>
  <c r="X69" i="4"/>
  <c r="Z69" i="4" s="1"/>
  <c r="G809" i="4"/>
  <c r="F707" i="4"/>
  <c r="X44" i="4"/>
  <c r="Z44" i="4" s="1"/>
  <c r="X39" i="4"/>
  <c r="Z39" i="4" s="1"/>
  <c r="G385" i="4"/>
  <c r="I385" i="4" s="1"/>
  <c r="K385" i="4" s="1"/>
  <c r="X175" i="4"/>
  <c r="Z175" i="4" s="1"/>
  <c r="X203" i="4"/>
  <c r="Z203" i="4" s="1"/>
  <c r="X18" i="4"/>
  <c r="Z18" i="4" s="1"/>
  <c r="X86" i="4"/>
  <c r="Z86" i="4" s="1"/>
  <c r="X128" i="4"/>
  <c r="Z128" i="4" s="1"/>
  <c r="X141" i="4"/>
  <c r="Z141" i="4" s="1"/>
  <c r="X186" i="4"/>
  <c r="Z186" i="4" s="1"/>
  <c r="X190" i="4"/>
  <c r="Z190" i="4" s="1"/>
  <c r="X131" i="4"/>
  <c r="Z131" i="4" s="1"/>
  <c r="X20" i="4"/>
  <c r="Z20" i="4" s="1"/>
  <c r="F646" i="4"/>
  <c r="G347" i="4"/>
  <c r="I347" i="4" s="1"/>
  <c r="K347" i="4" s="1"/>
  <c r="X182" i="4"/>
  <c r="Z182" i="4" s="1"/>
  <c r="G229" i="4"/>
  <c r="I229" i="4" s="1"/>
  <c r="K229" i="4" s="1"/>
  <c r="F752" i="4"/>
  <c r="G792" i="4"/>
  <c r="G298" i="4"/>
  <c r="I298" i="4" s="1"/>
  <c r="K298" i="4" s="1"/>
  <c r="X166" i="4"/>
  <c r="Z166" i="4" s="1"/>
  <c r="X108" i="4"/>
  <c r="Z108" i="4" s="1"/>
  <c r="X113" i="4"/>
  <c r="Z113" i="4" s="1"/>
  <c r="X22" i="4"/>
  <c r="Z22" i="4" s="1"/>
  <c r="X150" i="4"/>
  <c r="Z150" i="4" s="1"/>
  <c r="X89" i="4"/>
  <c r="Z89" i="4" s="1"/>
  <c r="X183" i="4"/>
  <c r="Z183" i="4" s="1"/>
  <c r="X74" i="4"/>
  <c r="Z74" i="4" s="1"/>
  <c r="X177" i="4"/>
  <c r="Z177" i="4" s="1"/>
  <c r="X30" i="4"/>
  <c r="Z30" i="4" s="1"/>
  <c r="X62" i="4"/>
  <c r="Z62" i="4" s="1"/>
  <c r="X163" i="4"/>
  <c r="Z163" i="4" s="1"/>
  <c r="F766" i="4"/>
  <c r="F789" i="4"/>
  <c r="G285" i="4"/>
  <c r="I285" i="4" s="1"/>
  <c r="K285" i="4" s="1"/>
  <c r="X134" i="4"/>
  <c r="Z134" i="4" s="1"/>
  <c r="X148" i="4"/>
  <c r="Z148" i="4" s="1"/>
  <c r="X123" i="4"/>
  <c r="Z123" i="4" s="1"/>
  <c r="X46" i="4"/>
  <c r="Z46" i="4" s="1"/>
  <c r="X204" i="4"/>
  <c r="Z204" i="4" s="1"/>
  <c r="X90" i="4"/>
  <c r="Z90" i="4" s="1"/>
  <c r="X139" i="4"/>
  <c r="Z139" i="4" s="1"/>
  <c r="X143" i="4"/>
  <c r="Z143" i="4" s="1"/>
  <c r="X93" i="4"/>
  <c r="Z93" i="4" s="1"/>
  <c r="X109" i="4"/>
  <c r="Z109" i="4" s="1"/>
  <c r="X67" i="4"/>
  <c r="Z67" i="4" s="1"/>
  <c r="X85" i="4"/>
  <c r="Z85" i="4" s="1"/>
  <c r="F639" i="4"/>
  <c r="F675" i="4"/>
  <c r="G798" i="4"/>
  <c r="G314" i="4"/>
  <c r="I314" i="4" s="1"/>
  <c r="K314" i="4" s="1"/>
  <c r="G675" i="4"/>
  <c r="X65" i="4"/>
  <c r="Z65" i="4" s="1"/>
  <c r="X91" i="4"/>
  <c r="Z91" i="4" s="1"/>
  <c r="X43" i="4"/>
  <c r="Z43" i="4" s="1"/>
  <c r="X82" i="4"/>
  <c r="Z82" i="4" s="1"/>
  <c r="G357" i="4"/>
  <c r="I357" i="4" s="1"/>
  <c r="K357" i="4" s="1"/>
  <c r="X38" i="4"/>
  <c r="Z38" i="4" s="1"/>
  <c r="G771" i="4"/>
  <c r="G673" i="4"/>
  <c r="G234" i="4"/>
  <c r="I234" i="4" s="1"/>
  <c r="K234" i="4" s="1"/>
  <c r="G299" i="4"/>
  <c r="I299" i="4" s="1"/>
  <c r="K299" i="4" s="1"/>
  <c r="F683" i="4"/>
  <c r="G752" i="4"/>
  <c r="F673" i="4"/>
  <c r="G278" i="4"/>
  <c r="I278" i="4" s="1"/>
  <c r="K278" i="4" s="1"/>
  <c r="G225" i="4"/>
  <c r="I225" i="4" s="1"/>
  <c r="K225" i="4" s="1"/>
  <c r="G683" i="4"/>
  <c r="G384" i="4"/>
  <c r="I384" i="4" s="1"/>
  <c r="K384" i="4" s="1"/>
  <c r="G389" i="4"/>
  <c r="I389" i="4" s="1"/>
  <c r="K389" i="4" s="1"/>
  <c r="G360" i="4"/>
  <c r="I360" i="4" s="1"/>
  <c r="K360" i="4" s="1"/>
  <c r="X205" i="4"/>
  <c r="Z205" i="4" s="1"/>
  <c r="X122" i="4"/>
  <c r="Z122" i="4" s="1"/>
  <c r="X103" i="4"/>
  <c r="Z103" i="4" s="1"/>
  <c r="X60" i="4"/>
  <c r="Z60" i="4" s="1"/>
  <c r="X160" i="4"/>
  <c r="Z160" i="4" s="1"/>
  <c r="X94" i="4"/>
  <c r="Z94" i="4" s="1"/>
  <c r="X27" i="4"/>
  <c r="Z27" i="4" s="1"/>
  <c r="X31" i="4"/>
  <c r="Z31" i="4" s="1"/>
  <c r="X68" i="4"/>
  <c r="Z68" i="4" s="1"/>
  <c r="X170" i="4"/>
  <c r="Z170" i="4" s="1"/>
  <c r="X159" i="4"/>
  <c r="Z159" i="4" s="1"/>
  <c r="X207" i="4"/>
  <c r="Z207" i="4" s="1"/>
  <c r="X144" i="4"/>
  <c r="Z144" i="4" s="1"/>
  <c r="X154" i="4"/>
  <c r="Z154" i="4" s="1"/>
  <c r="X37" i="4"/>
  <c r="Z37" i="4" s="1"/>
  <c r="X48" i="4"/>
  <c r="Z48" i="4" s="1"/>
  <c r="X55" i="4"/>
  <c r="Z55" i="4" s="1"/>
  <c r="X57" i="4"/>
  <c r="Z57" i="4" s="1"/>
  <c r="X132" i="4"/>
  <c r="Z132" i="4" s="1"/>
  <c r="X211" i="4"/>
  <c r="Z211" i="4" s="1"/>
  <c r="X41" i="4"/>
  <c r="Z41" i="4" s="1"/>
  <c r="X213" i="4"/>
  <c r="Z213" i="4" s="1"/>
  <c r="X50" i="4"/>
  <c r="Z50" i="4" s="1"/>
  <c r="X193" i="4"/>
  <c r="Z193" i="4" s="1"/>
  <c r="X19" i="4"/>
  <c r="Z19" i="4" s="1"/>
  <c r="X25" i="4"/>
  <c r="Z25" i="4" s="1"/>
  <c r="X100" i="4"/>
  <c r="Z100" i="4" s="1"/>
  <c r="X34" i="4"/>
  <c r="Z34" i="4" s="1"/>
  <c r="X174" i="4"/>
  <c r="Z174" i="4" s="1"/>
  <c r="X167" i="4"/>
  <c r="Z167" i="4" s="1"/>
  <c r="X198" i="4"/>
  <c r="Z198" i="4" s="1"/>
  <c r="X178" i="4"/>
  <c r="Z178" i="4" s="1"/>
  <c r="X210" i="4"/>
  <c r="Z210" i="4" s="1"/>
  <c r="X84" i="4"/>
  <c r="Z84" i="4" s="1"/>
  <c r="X192" i="4"/>
  <c r="Z192" i="4" s="1"/>
  <c r="X206" i="4"/>
  <c r="Z206" i="4" s="1"/>
  <c r="X147" i="4"/>
  <c r="Z147" i="4" s="1"/>
  <c r="X153" i="4"/>
  <c r="Z153" i="4" s="1"/>
  <c r="X87" i="4"/>
  <c r="Z87" i="4" s="1"/>
  <c r="X140" i="4"/>
  <c r="Z140" i="4" s="1"/>
  <c r="X202" i="4"/>
  <c r="Z202" i="4" s="1"/>
  <c r="X56" i="4"/>
  <c r="Z56" i="4" s="1"/>
  <c r="X21" i="4"/>
  <c r="Z21" i="4" s="1"/>
  <c r="X185" i="4"/>
  <c r="Z185" i="4" s="1"/>
  <c r="X152" i="4"/>
  <c r="Z152" i="4" s="1"/>
  <c r="X76" i="4"/>
  <c r="Z76" i="4" s="1"/>
  <c r="X168" i="4"/>
  <c r="Z168" i="4" s="1"/>
  <c r="X189" i="4"/>
  <c r="Z189" i="4" s="1"/>
  <c r="X194" i="4"/>
  <c r="Z194" i="4" s="1"/>
  <c r="X71" i="4"/>
  <c r="Z71" i="4" s="1"/>
  <c r="X115" i="4"/>
  <c r="Z115" i="4" s="1"/>
  <c r="X112" i="4"/>
  <c r="Z112" i="4" s="1"/>
  <c r="X212" i="4"/>
  <c r="Z212" i="4" s="1"/>
  <c r="X129" i="4"/>
  <c r="Z129" i="4" s="1"/>
  <c r="X29" i="4"/>
  <c r="Z29" i="4" s="1"/>
  <c r="X191" i="4"/>
  <c r="Z191" i="4" s="1"/>
  <c r="X155" i="4"/>
  <c r="Z155" i="4" s="1"/>
  <c r="X54" i="4"/>
  <c r="Z54" i="4" s="1"/>
  <c r="X58" i="4"/>
  <c r="Z58" i="4" s="1"/>
  <c r="X156" i="4"/>
  <c r="Z156" i="4" s="1"/>
  <c r="X61" i="4"/>
  <c r="Z61" i="4" s="1"/>
  <c r="X35" i="4"/>
  <c r="Z35" i="4" s="1"/>
  <c r="X96" i="4"/>
  <c r="Z96" i="4" s="1"/>
  <c r="X208" i="4"/>
  <c r="Z208" i="4" s="1"/>
  <c r="X88" i="4"/>
  <c r="Z88" i="4" s="1"/>
  <c r="X162" i="4"/>
  <c r="Z162" i="4" s="1"/>
  <c r="X92" i="4"/>
  <c r="Z92" i="4" s="1"/>
  <c r="X126" i="4"/>
  <c r="Z126" i="4" s="1"/>
  <c r="X135" i="4"/>
  <c r="Z135" i="4" s="1"/>
  <c r="X137" i="4"/>
  <c r="Z137" i="4" s="1"/>
  <c r="X161" i="4"/>
  <c r="Z161" i="4" s="1"/>
  <c r="X111" i="4"/>
  <c r="Z111" i="4" s="1"/>
  <c r="X117" i="4"/>
  <c r="Z117" i="4" s="1"/>
  <c r="X145" i="4"/>
  <c r="Z145" i="4" s="1"/>
  <c r="X107" i="4"/>
  <c r="Z107" i="4" s="1"/>
  <c r="X17" i="4"/>
  <c r="Z17" i="4" s="1"/>
  <c r="X75" i="4"/>
  <c r="Z75" i="4" s="1"/>
  <c r="X121" i="4"/>
  <c r="Z121" i="4" s="1"/>
  <c r="X28" i="4"/>
  <c r="Z28" i="4" s="1"/>
  <c r="X59" i="4"/>
  <c r="Z59" i="4" s="1"/>
  <c r="X79" i="4"/>
  <c r="Z79" i="4" s="1"/>
  <c r="X16" i="4"/>
  <c r="Z16" i="4" s="1"/>
  <c r="X188" i="4"/>
  <c r="Z188" i="4" s="1"/>
  <c r="X157" i="4"/>
  <c r="Z157" i="4" s="1"/>
  <c r="X200" i="4"/>
  <c r="Z200" i="4" s="1"/>
  <c r="X149" i="4"/>
  <c r="Z149" i="4" s="1"/>
  <c r="X83" i="4"/>
  <c r="Z83" i="4" s="1"/>
  <c r="X173" i="4"/>
  <c r="Z173" i="4" s="1"/>
  <c r="X23" i="4"/>
  <c r="Z23" i="4" s="1"/>
  <c r="X97" i="4"/>
  <c r="Z97" i="4" s="1"/>
  <c r="X125" i="4"/>
  <c r="Z125" i="4" s="1"/>
  <c r="X195" i="4"/>
  <c r="Z195" i="4" s="1"/>
  <c r="X196" i="4"/>
  <c r="Z196" i="4" s="1"/>
  <c r="X72" i="4"/>
  <c r="Z72" i="4" s="1"/>
  <c r="X181" i="4"/>
  <c r="Z181" i="4" s="1"/>
  <c r="X172" i="4"/>
  <c r="Z172" i="4" s="1"/>
  <c r="X209" i="4"/>
  <c r="Z209" i="4" s="1"/>
  <c r="X197" i="4"/>
  <c r="Z197" i="4" s="1"/>
  <c r="X51" i="4"/>
  <c r="Z51" i="4" s="1"/>
  <c r="X80" i="4"/>
  <c r="Z80" i="4" s="1"/>
  <c r="X133" i="4"/>
  <c r="Z133" i="4" s="1"/>
  <c r="X40" i="4"/>
  <c r="Z40" i="4" s="1"/>
  <c r="X180" i="4"/>
  <c r="Z180" i="4" s="1"/>
  <c r="X146" i="4"/>
  <c r="Z146" i="4" s="1"/>
  <c r="X110" i="4"/>
  <c r="Z110" i="4" s="1"/>
  <c r="X199" i="4"/>
  <c r="Z199" i="4" s="1"/>
  <c r="X120" i="4"/>
  <c r="Z120" i="4" s="1"/>
  <c r="X52" i="4"/>
  <c r="Z52" i="4" s="1"/>
  <c r="X95" i="4"/>
  <c r="Z95" i="4" s="1"/>
  <c r="X101" i="4"/>
  <c r="Z101" i="4" s="1"/>
  <c r="X169" i="4"/>
  <c r="Z169" i="4" s="1"/>
  <c r="X78" i="4"/>
  <c r="Z78" i="4" s="1"/>
  <c r="X158" i="4"/>
  <c r="Z158" i="4" s="1"/>
  <c r="X99" i="4"/>
  <c r="Z99" i="4" s="1"/>
  <c r="X136" i="4"/>
  <c r="Z136" i="4" s="1"/>
  <c r="X77" i="4"/>
  <c r="Z77" i="4" s="1"/>
  <c r="X138" i="4"/>
  <c r="Z138" i="4" s="1"/>
  <c r="X105" i="4"/>
  <c r="Z105" i="4" s="1"/>
  <c r="X118" i="4"/>
  <c r="Z118" i="4" s="1"/>
  <c r="X164" i="4"/>
  <c r="Z164" i="4" s="1"/>
  <c r="X42" i="4"/>
  <c r="Z42" i="4" s="1"/>
  <c r="X151" i="4"/>
  <c r="Z151" i="4" s="1"/>
  <c r="X124" i="4"/>
  <c r="Z124" i="4" s="1"/>
  <c r="X81" i="4"/>
  <c r="Z81" i="4" s="1"/>
  <c r="X127" i="4"/>
  <c r="Z127" i="4" s="1"/>
  <c r="X187" i="4"/>
  <c r="Z187" i="4" s="1"/>
  <c r="X142" i="4"/>
  <c r="Z142" i="4" s="1"/>
  <c r="X36" i="4"/>
  <c r="Z36" i="4" s="1"/>
  <c r="X33" i="4"/>
  <c r="Z33" i="4" s="1"/>
  <c r="F685" i="4"/>
  <c r="G685" i="4"/>
  <c r="G670" i="4"/>
  <c r="G294" i="4"/>
  <c r="I294" i="4" s="1"/>
  <c r="K294" i="4" s="1"/>
  <c r="G353" i="4"/>
  <c r="I353" i="4" s="1"/>
  <c r="K353" i="4" s="1"/>
  <c r="G408" i="4"/>
  <c r="I408" i="4" s="1"/>
  <c r="K408" i="4" s="1"/>
  <c r="G639" i="4"/>
  <c r="G779" i="4"/>
  <c r="G250" i="4"/>
  <c r="I250" i="4" s="1"/>
  <c r="K250" i="4" s="1"/>
  <c r="G227" i="4"/>
  <c r="I227" i="4" s="1"/>
  <c r="K227" i="4" s="1"/>
  <c r="G629" i="4"/>
  <c r="G271" i="4"/>
  <c r="I271" i="4" s="1"/>
  <c r="K271" i="4" s="1"/>
  <c r="G279" i="4"/>
  <c r="I279" i="4" s="1"/>
  <c r="K279" i="4" s="1"/>
  <c r="F809" i="4"/>
  <c r="F629" i="4"/>
  <c r="G390" i="4"/>
  <c r="I390" i="4" s="1"/>
  <c r="K390" i="4" s="1"/>
  <c r="G256" i="4"/>
  <c r="I256" i="4" s="1"/>
  <c r="K256" i="4" s="1"/>
  <c r="G636" i="4"/>
  <c r="G391" i="4"/>
  <c r="I391" i="4" s="1"/>
  <c r="K391" i="4" s="1"/>
  <c r="F763" i="4"/>
  <c r="G381" i="4"/>
  <c r="I381" i="4" s="1"/>
  <c r="K381" i="4" s="1"/>
  <c r="G223" i="4"/>
  <c r="I223" i="4" s="1"/>
  <c r="K223" i="4" s="1"/>
  <c r="G241" i="4"/>
  <c r="I241" i="4" s="1"/>
  <c r="K241" i="4" s="1"/>
  <c r="H799" i="4"/>
  <c r="AO1009" i="4" s="1"/>
  <c r="F798" i="4"/>
  <c r="G386" i="4"/>
  <c r="I386" i="4" s="1"/>
  <c r="K386" i="4" s="1"/>
  <c r="G222" i="4"/>
  <c r="I222" i="4" s="1"/>
  <c r="K222" i="4" s="1"/>
  <c r="F636" i="4"/>
  <c r="G793" i="4"/>
  <c r="G244" i="4"/>
  <c r="I244" i="4" s="1"/>
  <c r="K244" i="4" s="1"/>
  <c r="G255" i="4"/>
  <c r="I255" i="4" s="1"/>
  <c r="K255" i="4" s="1"/>
  <c r="F706" i="4"/>
  <c r="F720" i="4"/>
  <c r="G310" i="4"/>
  <c r="I310" i="4" s="1"/>
  <c r="K310" i="4" s="1"/>
  <c r="F776" i="4"/>
  <c r="G706" i="4"/>
  <c r="F804" i="4"/>
  <c r="G417" i="4"/>
  <c r="I417" i="4" s="1"/>
  <c r="K417" i="4" s="1"/>
  <c r="G348" i="4"/>
  <c r="I348" i="4" s="1"/>
  <c r="K348" i="4" s="1"/>
  <c r="G366" i="4"/>
  <c r="I366" i="4" s="1"/>
  <c r="K366" i="4" s="1"/>
  <c r="G293" i="4"/>
  <c r="I293" i="4" s="1"/>
  <c r="K293" i="4" s="1"/>
  <c r="G274" i="4"/>
  <c r="I274" i="4" s="1"/>
  <c r="K274" i="4" s="1"/>
  <c r="G776" i="4"/>
  <c r="F771" i="4"/>
  <c r="G769" i="4"/>
  <c r="F765" i="4"/>
  <c r="F779" i="4"/>
  <c r="G804" i="4"/>
  <c r="F792" i="4"/>
  <c r="G380" i="4"/>
  <c r="I380" i="4" s="1"/>
  <c r="K380" i="4" s="1"/>
  <c r="G236" i="4"/>
  <c r="I236" i="4" s="1"/>
  <c r="K236" i="4" s="1"/>
  <c r="G375" i="4"/>
  <c r="I375" i="4" s="1"/>
  <c r="K375" i="4" s="1"/>
  <c r="I746" i="4" a="1"/>
  <c r="I746" i="4" s="1"/>
  <c r="F682" i="4"/>
  <c r="G398" i="4"/>
  <c r="I398" i="4" s="1"/>
  <c r="K398" i="4" s="1"/>
  <c r="G272" i="4"/>
  <c r="I272" i="4" s="1"/>
  <c r="K272" i="4" s="1"/>
  <c r="G770" i="4"/>
  <c r="G394" i="4"/>
  <c r="I394" i="4" s="1"/>
  <c r="K394" i="4" s="1"/>
  <c r="G342" i="4"/>
  <c r="I342" i="4" s="1"/>
  <c r="K342" i="4" s="1"/>
  <c r="G288" i="4"/>
  <c r="I288" i="4" s="1"/>
  <c r="K288" i="4" s="1"/>
  <c r="F657" i="4"/>
  <c r="G754" i="4"/>
  <c r="G790" i="4"/>
  <c r="G682" i="4"/>
  <c r="F805" i="4"/>
  <c r="G341" i="4"/>
  <c r="I341" i="4" s="1"/>
  <c r="K341" i="4" s="1"/>
  <c r="G232" i="4"/>
  <c r="I232" i="4" s="1"/>
  <c r="K232" i="4" s="1"/>
  <c r="G761" i="4"/>
  <c r="F647" i="4"/>
  <c r="F717" i="4"/>
  <c r="G320" i="4"/>
  <c r="I320" i="4" s="1"/>
  <c r="K320" i="4" s="1"/>
  <c r="F761" i="4"/>
  <c r="G647" i="4"/>
  <c r="G763" i="4"/>
  <c r="G717" i="4"/>
  <c r="G374" i="4"/>
  <c r="I374" i="4" s="1"/>
  <c r="K374" i="4" s="1"/>
  <c r="G376" i="4"/>
  <c r="I376" i="4" s="1"/>
  <c r="K376" i="4" s="1"/>
  <c r="G304" i="4"/>
  <c r="I304" i="4" s="1"/>
  <c r="K304" i="4" s="1"/>
  <c r="G287" i="4"/>
  <c r="I287" i="4" s="1"/>
  <c r="K287" i="4" s="1"/>
  <c r="G303" i="4"/>
  <c r="I303" i="4" s="1"/>
  <c r="K303" i="4" s="1"/>
  <c r="G224" i="4"/>
  <c r="I224" i="4" s="1"/>
  <c r="K224" i="4" s="1"/>
  <c r="F743" i="4"/>
  <c r="G332" i="4"/>
  <c r="I332" i="4" s="1"/>
  <c r="K332" i="4" s="1"/>
  <c r="G411" i="4"/>
  <c r="I411" i="4" s="1"/>
  <c r="K411" i="4" s="1"/>
  <c r="G262" i="4"/>
  <c r="I262" i="4" s="1"/>
  <c r="K262" i="4" s="1"/>
  <c r="G259" i="4"/>
  <c r="I259" i="4" s="1"/>
  <c r="K259" i="4" s="1"/>
  <c r="F769" i="4"/>
  <c r="F794" i="4"/>
  <c r="F793" i="4"/>
  <c r="G264" i="4"/>
  <c r="I264" i="4" s="1"/>
  <c r="K264" i="4" s="1"/>
  <c r="H745" i="4"/>
  <c r="AO955" i="4" s="1"/>
  <c r="H666" i="4"/>
  <c r="H674" i="4"/>
  <c r="AO884" i="4" s="1"/>
  <c r="H649" i="4"/>
  <c r="H634" i="4"/>
  <c r="G725" i="4"/>
  <c r="G743" i="4"/>
  <c r="F725" i="4"/>
  <c r="G410" i="4"/>
  <c r="I410" i="4" s="1"/>
  <c r="K410" i="4" s="1"/>
  <c r="G351" i="4"/>
  <c r="I351" i="4" s="1"/>
  <c r="K351" i="4" s="1"/>
  <c r="F810" i="4"/>
  <c r="G810" i="4"/>
  <c r="F656" i="4"/>
  <c r="G656" i="4"/>
  <c r="G387" i="4"/>
  <c r="I387" i="4" s="1"/>
  <c r="K387" i="4" s="1"/>
  <c r="G276" i="4"/>
  <c r="I276" i="4" s="1"/>
  <c r="K276" i="4" s="1"/>
  <c r="G402" i="4"/>
  <c r="I402" i="4" s="1"/>
  <c r="K402" i="4" s="1"/>
  <c r="G338" i="4"/>
  <c r="I338" i="4" s="1"/>
  <c r="K338" i="4" s="1"/>
  <c r="F714" i="4"/>
  <c r="F702" i="4"/>
  <c r="F672" i="4"/>
  <c r="G805" i="4"/>
  <c r="G281" i="4"/>
  <c r="I281" i="4" s="1"/>
  <c r="K281" i="4" s="1"/>
  <c r="G407" i="4"/>
  <c r="I407" i="4" s="1"/>
  <c r="K407" i="4" s="1"/>
  <c r="I813" i="4" a="1"/>
  <c r="I813" i="4" s="1"/>
  <c r="G714" i="4"/>
  <c r="G702" i="4"/>
  <c r="G720" i="4"/>
  <c r="G672" i="4"/>
  <c r="F727" i="4"/>
  <c r="G316" i="4"/>
  <c r="I316" i="4" s="1"/>
  <c r="K316" i="4" s="1"/>
  <c r="G290" i="4"/>
  <c r="I290" i="4" s="1"/>
  <c r="K290" i="4" s="1"/>
  <c r="I811" i="4" a="1"/>
  <c r="I811" i="4" s="1"/>
  <c r="J746" i="4" a="1"/>
  <c r="J746" i="4" s="1"/>
  <c r="F677" i="4"/>
  <c r="G794" i="4"/>
  <c r="F768" i="4"/>
  <c r="G709" i="4"/>
  <c r="G727" i="4"/>
  <c r="F791" i="4"/>
  <c r="G238" i="4"/>
  <c r="I238" i="4" s="1"/>
  <c r="K238" i="4" s="1"/>
  <c r="E813" i="4" a="1"/>
  <c r="E813" i="4" s="1"/>
  <c r="G768" i="4"/>
  <c r="F658" i="4"/>
  <c r="F662" i="4"/>
  <c r="G707" i="4"/>
  <c r="G791" i="4"/>
  <c r="G242" i="4"/>
  <c r="I242" i="4" s="1"/>
  <c r="K242" i="4" s="1"/>
  <c r="G270" i="4"/>
  <c r="I270" i="4" s="1"/>
  <c r="K270" i="4" s="1"/>
  <c r="F736" i="4"/>
  <c r="F797" i="4"/>
  <c r="F749" i="4"/>
  <c r="F642" i="4"/>
  <c r="G741" i="4"/>
  <c r="G662" i="4"/>
  <c r="F716" i="4"/>
  <c r="G296" i="4"/>
  <c r="I296" i="4" s="1"/>
  <c r="K296" i="4" s="1"/>
  <c r="G362" i="4"/>
  <c r="I362" i="4" s="1"/>
  <c r="K362" i="4" s="1"/>
  <c r="G318" i="4"/>
  <c r="I318" i="4" s="1"/>
  <c r="K318" i="4" s="1"/>
  <c r="G736" i="4"/>
  <c r="G767" i="4"/>
  <c r="F628" i="4"/>
  <c r="G749" i="4"/>
  <c r="G642" i="4"/>
  <c r="F741" i="4"/>
  <c r="F733" i="4"/>
  <c r="G716" i="4"/>
  <c r="G308" i="4"/>
  <c r="I308" i="4" s="1"/>
  <c r="K308" i="4" s="1"/>
  <c r="G361" i="4"/>
  <c r="I361" i="4" s="1"/>
  <c r="K361" i="4" s="1"/>
  <c r="G283" i="4"/>
  <c r="I283" i="4" s="1"/>
  <c r="K283" i="4" s="1"/>
  <c r="G355" i="4"/>
  <c r="I355" i="4" s="1"/>
  <c r="K355" i="4" s="1"/>
  <c r="J635" i="4" a="1"/>
  <c r="J635" i="4" s="1"/>
  <c r="E635" i="4" a="1"/>
  <c r="E635" i="4" s="1"/>
  <c r="F774" i="4"/>
  <c r="F637" i="4"/>
  <c r="G628" i="4"/>
  <c r="F669" i="4"/>
  <c r="F643" i="4"/>
  <c r="G733" i="4"/>
  <c r="G721" i="4"/>
  <c r="F811" i="4"/>
  <c r="F667" i="4"/>
  <c r="G359" i="4"/>
  <c r="I359" i="4" s="1"/>
  <c r="K359" i="4" s="1"/>
  <c r="G343" i="4"/>
  <c r="I343" i="4" s="1"/>
  <c r="K343" i="4" s="1"/>
  <c r="G356" i="4"/>
  <c r="I356" i="4" s="1"/>
  <c r="K356" i="4" s="1"/>
  <c r="G248" i="4"/>
  <c r="I248" i="4" s="1"/>
  <c r="K248" i="4" s="1"/>
  <c r="J811" i="4" a="1"/>
  <c r="J811" i="4" s="1"/>
  <c r="G701" i="4"/>
  <c r="F754" i="4"/>
  <c r="G774" i="4"/>
  <c r="G638" i="4"/>
  <c r="F718" i="4"/>
  <c r="G669" i="4"/>
  <c r="F770" i="4"/>
  <c r="F721" i="4"/>
  <c r="G811" i="4"/>
  <c r="G667" i="4"/>
  <c r="G354" i="4"/>
  <c r="I354" i="4" s="1"/>
  <c r="K354" i="4" s="1"/>
  <c r="F757" i="4"/>
  <c r="G757" i="4"/>
  <c r="I648" i="4" a="1"/>
  <c r="I648" i="4" s="1"/>
  <c r="E648" i="4" a="1"/>
  <c r="E648" i="4" s="1"/>
  <c r="J648" i="4" a="1"/>
  <c r="J648" i="4" s="1"/>
  <c r="G392" i="4"/>
  <c r="I392" i="4" s="1"/>
  <c r="K392" i="4" s="1"/>
  <c r="I777" i="4" a="1"/>
  <c r="I777" i="4" s="1"/>
  <c r="J777" i="4" a="1"/>
  <c r="J777" i="4" s="1"/>
  <c r="E777" i="4" a="1"/>
  <c r="E777" i="4" s="1"/>
  <c r="G751" i="4"/>
  <c r="F751" i="4"/>
  <c r="G237" i="4"/>
  <c r="I237" i="4" s="1"/>
  <c r="K237" i="4" s="1"/>
  <c r="G713" i="4"/>
  <c r="G339" i="4"/>
  <c r="I339" i="4" s="1"/>
  <c r="K339" i="4" s="1"/>
  <c r="G301" i="4"/>
  <c r="I301" i="4" s="1"/>
  <c r="K301" i="4" s="1"/>
  <c r="G257" i="4"/>
  <c r="I257" i="4" s="1"/>
  <c r="K257" i="4" s="1"/>
  <c r="I664" i="4" a="1"/>
  <c r="I664" i="4" s="1"/>
  <c r="J664" i="4" a="1"/>
  <c r="J664" i="4" s="1"/>
  <c r="F742" i="4"/>
  <c r="G317" i="4"/>
  <c r="I317" i="4" s="1"/>
  <c r="K317" i="4" s="1"/>
  <c r="E664" i="4" a="1"/>
  <c r="E664" i="4" s="1"/>
  <c r="G239" i="4"/>
  <c r="I239" i="4" s="1"/>
  <c r="K239" i="4" s="1"/>
  <c r="G240" i="4"/>
  <c r="I240" i="4" s="1"/>
  <c r="K240" i="4" s="1"/>
  <c r="G268" i="4"/>
  <c r="I268" i="4" s="1"/>
  <c r="K268" i="4" s="1"/>
  <c r="G334" i="4"/>
  <c r="I334" i="4" s="1"/>
  <c r="K334" i="4" s="1"/>
  <c r="G231" i="4"/>
  <c r="I231" i="4" s="1"/>
  <c r="K231" i="4" s="1"/>
  <c r="G739" i="4"/>
  <c r="F739" i="4"/>
  <c r="F705" i="4"/>
  <c r="G705" i="4"/>
  <c r="G742" i="4"/>
  <c r="G344" i="4"/>
  <c r="I344" i="4" s="1"/>
  <c r="K344" i="4" s="1"/>
  <c r="G383" i="4"/>
  <c r="I383" i="4" s="1"/>
  <c r="K383" i="4" s="1"/>
  <c r="G277" i="4"/>
  <c r="I277" i="4" s="1"/>
  <c r="K277" i="4" s="1"/>
  <c r="I627" i="4" a="1"/>
  <c r="I627" i="4" s="1"/>
  <c r="E627" i="4" a="1"/>
  <c r="E627" i="4" s="1"/>
  <c r="J627" i="4" a="1"/>
  <c r="J627" i="4" s="1"/>
  <c r="I731" i="4" a="1"/>
  <c r="I731" i="4" s="1"/>
  <c r="J731" i="4" a="1"/>
  <c r="J731" i="4" s="1"/>
  <c r="E731" i="4" a="1"/>
  <c r="E731" i="4" s="1"/>
  <c r="G282" i="4"/>
  <c r="I282" i="4" s="1"/>
  <c r="K282" i="4" s="1"/>
  <c r="G321" i="4"/>
  <c r="I321" i="4" s="1"/>
  <c r="K321" i="4" s="1"/>
  <c r="G340" i="4"/>
  <c r="I340" i="4" s="1"/>
  <c r="K340" i="4" s="1"/>
  <c r="G221" i="4"/>
  <c r="I221" i="4" s="1"/>
  <c r="K221" i="4" s="1"/>
  <c r="G363" i="4"/>
  <c r="I363" i="4" s="1"/>
  <c r="K363" i="4" s="1"/>
  <c r="G311" i="4"/>
  <c r="I311" i="4" s="1"/>
  <c r="K311" i="4" s="1"/>
  <c r="G253" i="4"/>
  <c r="I253" i="4" s="1"/>
  <c r="K253" i="4" s="1"/>
  <c r="G378" i="4"/>
  <c r="I378" i="4" s="1"/>
  <c r="K378" i="4" s="1"/>
  <c r="G710" i="4"/>
  <c r="F710" i="4"/>
  <c r="G349" i="4"/>
  <c r="I349" i="4" s="1"/>
  <c r="K349" i="4" s="1"/>
  <c r="G404" i="4"/>
  <c r="I404" i="4" s="1"/>
  <c r="K404" i="4" s="1"/>
  <c r="G373" i="4"/>
  <c r="I373" i="4" s="1"/>
  <c r="K373" i="4" s="1"/>
  <c r="G243" i="4"/>
  <c r="I243" i="4" s="1"/>
  <c r="K243" i="4" s="1"/>
  <c r="G655" i="4"/>
  <c r="F655" i="4"/>
  <c r="G323" i="4"/>
  <c r="I323" i="4" s="1"/>
  <c r="K323" i="4" s="1"/>
  <c r="G819" i="4"/>
  <c r="F819" i="4"/>
  <c r="G663" i="4"/>
  <c r="F663" i="4"/>
  <c r="G406" i="4"/>
  <c r="I406" i="4" s="1"/>
  <c r="K406" i="4" s="1"/>
  <c r="I722" i="4" a="1"/>
  <c r="I722" i="4" s="1"/>
  <c r="J722" i="4" a="1"/>
  <c r="J722" i="4" s="1"/>
  <c r="E722" i="4" a="1"/>
  <c r="E722" i="4" s="1"/>
  <c r="J806" i="4" a="1"/>
  <c r="J806" i="4" s="1"/>
  <c r="I806" i="4" a="1"/>
  <c r="I806" i="4" s="1"/>
  <c r="E806" i="4" a="1"/>
  <c r="E806" i="4" s="1"/>
  <c r="G753" i="4"/>
  <c r="G735" i="4"/>
  <c r="E668" i="4" a="1"/>
  <c r="E668" i="4" s="1"/>
  <c r="J668" i="4" a="1"/>
  <c r="J668" i="4" s="1"/>
  <c r="I668" i="4" a="1"/>
  <c r="I668" i="4" s="1"/>
  <c r="F753" i="4"/>
  <c r="G371" i="4"/>
  <c r="I371" i="4" s="1"/>
  <c r="K371" i="4" s="1"/>
  <c r="G801" i="4"/>
  <c r="G388" i="4"/>
  <c r="I388" i="4" s="1"/>
  <c r="K388" i="4" s="1"/>
  <c r="G397" i="4"/>
  <c r="I397" i="4" s="1"/>
  <c r="K397" i="4" s="1"/>
  <c r="G267" i="4"/>
  <c r="I267" i="4" s="1"/>
  <c r="K267" i="4" s="1"/>
  <c r="G322" i="4"/>
  <c r="I322" i="4" s="1"/>
  <c r="K322" i="4" s="1"/>
  <c r="G814" i="4"/>
  <c r="G692" i="4"/>
  <c r="F692" i="4"/>
  <c r="J678" i="4" a="1"/>
  <c r="J678" i="4" s="1"/>
  <c r="E678" i="4" a="1"/>
  <c r="E678" i="4" s="1"/>
  <c r="I678" i="4" a="1"/>
  <c r="I678" i="4" s="1"/>
  <c r="G746" i="4"/>
  <c r="J778" i="4" a="1"/>
  <c r="J778" i="4" s="1"/>
  <c r="E778" i="4" a="1"/>
  <c r="E778" i="4" s="1"/>
  <c r="F654" i="4"/>
  <c r="J726" i="4" a="1"/>
  <c r="J726" i="4" s="1"/>
  <c r="I726" i="4" a="1"/>
  <c r="I726" i="4" s="1"/>
  <c r="E726" i="4" a="1"/>
  <c r="E726" i="4" s="1"/>
  <c r="G260" i="4"/>
  <c r="I260" i="4" s="1"/>
  <c r="K260" i="4" s="1"/>
  <c r="G690" i="4"/>
  <c r="G325" i="4"/>
  <c r="I325" i="4" s="1"/>
  <c r="K325" i="4" s="1"/>
  <c r="I808" i="4" a="1"/>
  <c r="I808" i="4" s="1"/>
  <c r="J808" i="4" a="1"/>
  <c r="J808" i="4" s="1"/>
  <c r="E808" i="4" a="1"/>
  <c r="E808" i="4" s="1"/>
  <c r="E681" i="4" a="1"/>
  <c r="E681" i="4" s="1"/>
  <c r="I681" i="4" a="1"/>
  <c r="I681" i="4" s="1"/>
  <c r="J681" i="4" a="1"/>
  <c r="J681" i="4" s="1"/>
  <c r="F746" i="4"/>
  <c r="G326" i="4"/>
  <c r="I326" i="4" s="1"/>
  <c r="K326" i="4" s="1"/>
  <c r="I661" i="4" a="1"/>
  <c r="I661" i="4" s="1"/>
  <c r="E661" i="4" a="1"/>
  <c r="E661" i="4" s="1"/>
  <c r="J661" i="4" a="1"/>
  <c r="J661" i="4" s="1"/>
  <c r="G307" i="4"/>
  <c r="I307" i="4" s="1"/>
  <c r="K307" i="4" s="1"/>
  <c r="G319" i="4"/>
  <c r="I319" i="4" s="1"/>
  <c r="K319" i="4" s="1"/>
  <c r="G336" i="4"/>
  <c r="I336" i="4" s="1"/>
  <c r="K336" i="4" s="1"/>
  <c r="F750" i="4"/>
  <c r="G233" i="4"/>
  <c r="I233" i="4" s="1"/>
  <c r="K233" i="4" s="1"/>
  <c r="G414" i="4"/>
  <c r="I414" i="4" s="1"/>
  <c r="K414" i="4" s="1"/>
  <c r="G350" i="4"/>
  <c r="I350" i="4" s="1"/>
  <c r="K350" i="4" s="1"/>
  <c r="G748" i="4"/>
  <c r="G370" i="4"/>
  <c r="I370" i="4" s="1"/>
  <c r="K370" i="4" s="1"/>
  <c r="I740" i="4" a="1"/>
  <c r="I740" i="4" s="1"/>
  <c r="E740" i="4" a="1"/>
  <c r="E740" i="4" s="1"/>
  <c r="E784" i="4" a="1"/>
  <c r="E784" i="4" s="1"/>
  <c r="I784" i="4" a="1"/>
  <c r="I784" i="4" s="1"/>
  <c r="J784" i="4" a="1"/>
  <c r="J784" i="4" s="1"/>
  <c r="F701" i="4"/>
  <c r="F638" i="4"/>
  <c r="G677" i="4"/>
  <c r="F790" i="4"/>
  <c r="H760" i="4"/>
  <c r="AO970" i="4" s="1"/>
  <c r="F670" i="4"/>
  <c r="G405" i="4"/>
  <c r="I405" i="4" s="1"/>
  <c r="K405" i="4" s="1"/>
  <c r="G226" i="4"/>
  <c r="I226" i="4" s="1"/>
  <c r="K226" i="4" s="1"/>
  <c r="G297" i="4"/>
  <c r="I297" i="4" s="1"/>
  <c r="K297" i="4" s="1"/>
  <c r="I815" i="4" a="1"/>
  <c r="I815" i="4" s="1"/>
  <c r="E815" i="4" a="1"/>
  <c r="E815" i="4" s="1"/>
  <c r="J815" i="4" a="1"/>
  <c r="J815" i="4" s="1"/>
  <c r="I686" i="4" a="1"/>
  <c r="I686" i="4" s="1"/>
  <c r="E686" i="4" a="1"/>
  <c r="E686" i="4" s="1"/>
  <c r="G415" i="4"/>
  <c r="I415" i="4" s="1"/>
  <c r="K415" i="4" s="1"/>
  <c r="G280" i="4"/>
  <c r="I280" i="4" s="1"/>
  <c r="K280" i="4" s="1"/>
  <c r="E775" i="4" a="1"/>
  <c r="E775" i="4" s="1"/>
  <c r="J775" i="4" a="1"/>
  <c r="J775" i="4" s="1"/>
  <c r="I775" i="4" a="1"/>
  <c r="I775" i="4" s="1"/>
  <c r="I694" i="4" a="1"/>
  <c r="I694" i="4" s="1"/>
  <c r="J694" i="4" a="1"/>
  <c r="J694" i="4" s="1"/>
  <c r="E694" i="4" a="1"/>
  <c r="E694" i="4" s="1"/>
  <c r="G395" i="4"/>
  <c r="I395" i="4" s="1"/>
  <c r="K395" i="4" s="1"/>
  <c r="G393" i="4"/>
  <c r="I393" i="4" s="1"/>
  <c r="K393" i="4" s="1"/>
  <c r="E764" i="4" a="1"/>
  <c r="E764" i="4" s="1"/>
  <c r="I764" i="4" a="1"/>
  <c r="I764" i="4" s="1"/>
  <c r="J764" i="4" a="1"/>
  <c r="J764" i="4" s="1"/>
  <c r="F767" i="4"/>
  <c r="G718" i="4"/>
  <c r="G658" i="4"/>
  <c r="H812" i="4"/>
  <c r="AO1022" i="4" s="1"/>
  <c r="G657" i="4"/>
  <c r="G346" i="4"/>
  <c r="I346" i="4" s="1"/>
  <c r="K346" i="4" s="1"/>
  <c r="I703" i="4" a="1"/>
  <c r="I703" i="4" s="1"/>
  <c r="J703" i="4" a="1"/>
  <c r="J703" i="4" s="1"/>
  <c r="E703" i="4" a="1"/>
  <c r="E703" i="4" s="1"/>
  <c r="G273" i="4"/>
  <c r="I273" i="4" s="1"/>
  <c r="K273" i="4" s="1"/>
  <c r="G368" i="4"/>
  <c r="I368" i="4" s="1"/>
  <c r="K368" i="4" s="1"/>
  <c r="G646" i="4"/>
  <c r="G797" i="4"/>
  <c r="G637" i="4"/>
  <c r="G284" i="4"/>
  <c r="I284" i="4" s="1"/>
  <c r="K284" i="4" s="1"/>
  <c r="G220" i="4"/>
  <c r="I220" i="4" s="1"/>
  <c r="K220" i="4" s="1"/>
  <c r="G266" i="4"/>
  <c r="I266" i="4" s="1"/>
  <c r="K266" i="4" s="1"/>
  <c r="G286" i="4"/>
  <c r="I286" i="4" s="1"/>
  <c r="K286" i="4" s="1"/>
  <c r="G263" i="4"/>
  <c r="I263" i="4" s="1"/>
  <c r="K263" i="4" s="1"/>
  <c r="G258" i="4"/>
  <c r="I258" i="4" s="1"/>
  <c r="K258" i="4" s="1"/>
  <c r="G265" i="4"/>
  <c r="I265" i="4" s="1"/>
  <c r="K265" i="4" s="1"/>
  <c r="G245" i="4"/>
  <c r="I245" i="4" s="1"/>
  <c r="K245" i="4" s="1"/>
  <c r="G369" i="4"/>
  <c r="I369" i="4" s="1"/>
  <c r="K369" i="4" s="1"/>
  <c r="G235" i="4"/>
  <c r="I235" i="4" s="1"/>
  <c r="K235" i="4" s="1"/>
  <c r="F788" i="4"/>
  <c r="F756" i="4"/>
  <c r="F699" i="4"/>
  <c r="G379" i="4"/>
  <c r="I379" i="4" s="1"/>
  <c r="K379" i="4" s="1"/>
  <c r="G333" i="4"/>
  <c r="I333" i="4" s="1"/>
  <c r="K333" i="4" s="1"/>
  <c r="G295" i="4"/>
  <c r="I295" i="4" s="1"/>
  <c r="K295" i="4" s="1"/>
  <c r="G305" i="4"/>
  <c r="I305" i="4" s="1"/>
  <c r="K305" i="4" s="1"/>
  <c r="G364" i="4"/>
  <c r="I364" i="4" s="1"/>
  <c r="K364" i="4" s="1"/>
  <c r="G249" i="4"/>
  <c r="I249" i="4" s="1"/>
  <c r="K249" i="4" s="1"/>
  <c r="G309" i="4"/>
  <c r="I309" i="4" s="1"/>
  <c r="K309" i="4" s="1"/>
  <c r="G409" i="4"/>
  <c r="I409" i="4" s="1"/>
  <c r="K409" i="4" s="1"/>
  <c r="G358" i="4"/>
  <c r="I358" i="4" s="1"/>
  <c r="K358" i="4" s="1"/>
  <c r="G292" i="4"/>
  <c r="I292" i="4" s="1"/>
  <c r="K292" i="4" s="1"/>
  <c r="G337" i="4"/>
  <c r="I337" i="4" s="1"/>
  <c r="K337" i="4" s="1"/>
  <c r="G345" i="4"/>
  <c r="I345" i="4" s="1"/>
  <c r="K345" i="4" s="1"/>
  <c r="G252" i="4"/>
  <c r="I252" i="4" s="1"/>
  <c r="K252" i="4" s="1"/>
  <c r="G324" i="4"/>
  <c r="I324" i="4" s="1"/>
  <c r="K324" i="4" s="1"/>
  <c r="G312" i="4"/>
  <c r="I312" i="4" s="1"/>
  <c r="K312" i="4" s="1"/>
  <c r="G254" i="4"/>
  <c r="I254" i="4" s="1"/>
  <c r="K254" i="4" s="1"/>
  <c r="F640" i="4"/>
  <c r="G643" i="4"/>
  <c r="G640" i="4"/>
  <c r="G401" i="4"/>
  <c r="I401" i="4" s="1"/>
  <c r="K401" i="4" s="1"/>
  <c r="G750" i="4"/>
  <c r="B8" i="5"/>
  <c r="B8" i="13" s="1"/>
  <c r="G788" i="4"/>
  <c r="G756" i="4"/>
  <c r="G699" i="4"/>
  <c r="H700" i="4"/>
  <c r="F644" i="4"/>
  <c r="H817" i="4"/>
  <c r="H696" i="4"/>
  <c r="AO906" i="4" s="1"/>
  <c r="H688" i="4"/>
  <c r="AO898" i="4" s="1"/>
  <c r="H687" i="4"/>
  <c r="AO897" i="4" s="1"/>
  <c r="F816" i="4"/>
  <c r="F748" i="4"/>
  <c r="H786" i="4"/>
  <c r="H729" i="4"/>
  <c r="AO939" i="4" s="1"/>
  <c r="H712" i="4"/>
  <c r="AO922" i="4" s="1"/>
  <c r="F671" i="4"/>
  <c r="F762" i="4"/>
  <c r="H680" i="4"/>
  <c r="F713" i="4"/>
  <c r="G331" i="4"/>
  <c r="I331" i="4" s="1"/>
  <c r="K331" i="4" s="1"/>
  <c r="G329" i="4"/>
  <c r="I329" i="4" s="1"/>
  <c r="K329" i="4" s="1"/>
  <c r="G399" i="4"/>
  <c r="I399" i="4" s="1"/>
  <c r="K399" i="4" s="1"/>
  <c r="G306" i="4"/>
  <c r="I306" i="4" s="1"/>
  <c r="K306" i="4" s="1"/>
  <c r="G412" i="4"/>
  <c r="I412" i="4" s="1"/>
  <c r="K412" i="4" s="1"/>
  <c r="G413" i="4"/>
  <c r="I413" i="4" s="1"/>
  <c r="K413" i="4" s="1"/>
  <c r="G352" i="4"/>
  <c r="I352" i="4" s="1"/>
  <c r="K352" i="4" s="1"/>
  <c r="G335" i="4"/>
  <c r="I335" i="4" s="1"/>
  <c r="K335" i="4" s="1"/>
  <c r="F759" i="4"/>
  <c r="G759" i="4"/>
  <c r="G644" i="4"/>
  <c r="G816" i="4"/>
  <c r="G671" i="4"/>
  <c r="G762" i="4"/>
  <c r="H781" i="4"/>
  <c r="AO991" i="4" s="1"/>
  <c r="H676" i="4"/>
  <c r="H697" i="4"/>
  <c r="AO907" i="4" s="1"/>
  <c r="H659" i="4"/>
  <c r="H796" i="4"/>
  <c r="AO1006" i="4" s="1"/>
  <c r="H744" i="4"/>
  <c r="AO954" i="4" s="1"/>
  <c r="H783" i="4"/>
  <c r="AO993" i="4" s="1"/>
  <c r="H630" i="4"/>
  <c r="AO840" i="4" s="1"/>
  <c r="H631" i="4"/>
  <c r="AO841" i="4" s="1"/>
  <c r="H818" i="4"/>
  <c r="AO1028" i="4" s="1"/>
  <c r="H772" i="4"/>
  <c r="H723" i="4"/>
  <c r="H626" i="4"/>
  <c r="AO836" i="4" s="1"/>
  <c r="H724" i="4"/>
  <c r="AO934" i="4" s="1"/>
  <c r="H758" i="4"/>
  <c r="H719" i="4"/>
  <c r="AO929" i="4" s="1"/>
  <c r="H728" i="4"/>
  <c r="H780" i="4"/>
  <c r="AO990" i="4" s="1"/>
  <c r="H684" i="4"/>
  <c r="H650" i="4"/>
  <c r="H624" i="4"/>
  <c r="AO834" i="4" s="1"/>
  <c r="H782" i="4"/>
  <c r="H652" i="4"/>
  <c r="H803" i="4"/>
  <c r="H800" i="4"/>
  <c r="H787" i="4"/>
  <c r="H773" i="4"/>
  <c r="H737" i="4"/>
  <c r="AO947" i="4" s="1"/>
  <c r="H633" i="4"/>
  <c r="H711" i="4"/>
  <c r="H730" i="4"/>
  <c r="H704" i="4"/>
  <c r="H653" i="4"/>
  <c r="H695" i="4"/>
  <c r="AO905" i="4" s="1"/>
  <c r="H698" i="4"/>
  <c r="AO908" i="4" s="1"/>
  <c r="H679" i="4"/>
  <c r="H807" i="4"/>
  <c r="AO1017" i="4" s="1"/>
  <c r="T14" i="4"/>
  <c r="U14" i="4"/>
  <c r="V14" i="4"/>
  <c r="P14" i="4"/>
  <c r="N14" i="4"/>
  <c r="S14" i="4"/>
  <c r="R14" i="4"/>
  <c r="Q14" i="4"/>
  <c r="O14" i="4"/>
  <c r="P873" i="4" a="1"/>
  <c r="P873" i="4" s="1"/>
  <c r="P916" i="4" a="1"/>
  <c r="P916" i="4" s="1"/>
  <c r="P935" i="4" a="1"/>
  <c r="P935" i="4" s="1"/>
  <c r="P845" i="4" a="1"/>
  <c r="P845" i="4" s="1"/>
  <c r="P1001" i="4" a="1"/>
  <c r="P1001" i="4" s="1"/>
  <c r="P855" i="4" a="1"/>
  <c r="P855" i="4" s="1"/>
  <c r="P901" i="4" a="1"/>
  <c r="P901" i="4" s="1"/>
  <c r="P997" i="4" a="1"/>
  <c r="P997" i="4" s="1"/>
  <c r="P867" i="4" a="1"/>
  <c r="P867" i="4" s="1"/>
  <c r="P1000" i="4" a="1"/>
  <c r="P1000" i="4" s="1"/>
  <c r="P1025" i="4" a="1"/>
  <c r="P1025" i="4" s="1"/>
  <c r="P893" i="4" a="1"/>
  <c r="P893" i="4" s="1"/>
  <c r="S850" i="4" a="1"/>
  <c r="S850" i="4" s="1"/>
  <c r="S904" i="4" a="1"/>
  <c r="S904" i="4" s="1"/>
  <c r="P844" i="4" a="1"/>
  <c r="P844" i="4" s="1"/>
  <c r="S916" i="4" a="1"/>
  <c r="S916" i="4" s="1"/>
  <c r="S855" i="4" a="1"/>
  <c r="S855" i="4" s="1"/>
  <c r="S1000" i="4" a="1"/>
  <c r="S1000" i="4" s="1"/>
  <c r="P865" i="4" a="1"/>
  <c r="P865" i="4" s="1"/>
  <c r="P1028" i="4" a="1"/>
  <c r="P1028" i="4" s="1"/>
  <c r="P863" i="4" a="1"/>
  <c r="P863" i="4" s="1"/>
  <c r="P989" i="4" a="1"/>
  <c r="P989" i="4" s="1"/>
  <c r="P885" i="4" a="1"/>
  <c r="P885" i="4" s="1"/>
  <c r="AO106" i="3"/>
  <c r="P929" i="4" s="1" a="1"/>
  <c r="P929" i="4" s="1"/>
  <c r="S949" i="4" a="1"/>
  <c r="S949" i="4" s="1"/>
  <c r="S1019" i="4" a="1"/>
  <c r="S1019" i="4" s="1"/>
  <c r="S911" i="4" a="1"/>
  <c r="S911" i="4" s="1"/>
  <c r="S951" i="4" a="1"/>
  <c r="S951" i="4" s="1"/>
  <c r="S840" i="4" a="1"/>
  <c r="S840" i="4" s="1"/>
  <c r="S956" i="4" a="1"/>
  <c r="S956" i="4" s="1"/>
  <c r="S851" i="4" a="1"/>
  <c r="S851" i="4" s="1"/>
  <c r="S915" i="4" a="1"/>
  <c r="S915" i="4" s="1"/>
  <c r="S1022" i="4" a="1"/>
  <c r="S1022" i="4" s="1"/>
  <c r="S961" i="4" a="1"/>
  <c r="S961" i="4" s="1"/>
  <c r="S1015" i="4" a="1"/>
  <c r="S1015" i="4" s="1"/>
  <c r="P869" i="4" a="1"/>
  <c r="P869" i="4" s="1"/>
  <c r="P978" i="4" a="1"/>
  <c r="P978" i="4" s="1"/>
  <c r="P970" i="4" a="1"/>
  <c r="P970" i="4" s="1"/>
  <c r="P982" i="4" a="1"/>
  <c r="P982" i="4" s="1"/>
  <c r="P985" i="4" a="1"/>
  <c r="P985" i="4" s="1"/>
  <c r="S1017" i="4" a="1"/>
  <c r="S1017" i="4" s="1"/>
  <c r="S860" i="4" a="1"/>
  <c r="S860" i="4" s="1"/>
  <c r="S1026" i="4" a="1"/>
  <c r="S1026" i="4" s="1"/>
  <c r="S849" i="4" a="1"/>
  <c r="S849" i="4" s="1"/>
  <c r="S866" i="4" a="1"/>
  <c r="S866" i="4" s="1"/>
  <c r="S878" i="4" a="1"/>
  <c r="S878" i="4" s="1"/>
  <c r="S944" i="4" a="1"/>
  <c r="S944" i="4" s="1"/>
  <c r="S1005" i="4" a="1"/>
  <c r="S1005" i="4" s="1"/>
  <c r="S873" i="4" a="1"/>
  <c r="S873" i="4" s="1"/>
  <c r="S935" i="4" a="1"/>
  <c r="S935" i="4" s="1"/>
  <c r="S1001" i="4" a="1"/>
  <c r="S1001" i="4" s="1"/>
  <c r="S997" i="4" a="1"/>
  <c r="S997" i="4" s="1"/>
  <c r="S981" i="4" a="1"/>
  <c r="S981" i="4" s="1"/>
  <c r="S1025" i="4" a="1"/>
  <c r="S1025" i="4" s="1"/>
  <c r="P965" i="4" a="1"/>
  <c r="P965" i="4" s="1"/>
  <c r="P879" i="4" a="1"/>
  <c r="P879" i="4" s="1"/>
  <c r="P921" i="4" a="1"/>
  <c r="P921" i="4" s="1"/>
  <c r="P898" i="4" a="1"/>
  <c r="P898" i="4" s="1"/>
  <c r="P937" i="4" a="1"/>
  <c r="P937" i="4" s="1"/>
  <c r="P910" i="4" a="1"/>
  <c r="P910" i="4" s="1"/>
  <c r="P983" i="4" a="1"/>
  <c r="P983" i="4" s="1"/>
  <c r="P1013" i="4" a="1"/>
  <c r="P1013" i="4" s="1"/>
  <c r="P998" i="4" a="1"/>
  <c r="P998" i="4" s="1"/>
  <c r="P946" i="4" a="1"/>
  <c r="P946" i="4" s="1"/>
  <c r="S992" i="4" a="1"/>
  <c r="S992" i="4" s="1"/>
  <c r="S1030" i="4" a="1"/>
  <c r="S1030" i="4" s="1"/>
  <c r="S1016" i="4" a="1"/>
  <c r="S1016" i="4" s="1"/>
  <c r="S984" i="4" a="1"/>
  <c r="S984" i="4" s="1"/>
  <c r="P971" i="4" a="1"/>
  <c r="P971" i="4" s="1"/>
  <c r="P914" i="4" a="1"/>
  <c r="P914" i="4" s="1"/>
  <c r="P1012" i="4" a="1"/>
  <c r="P1012" i="4" s="1"/>
  <c r="P894" i="4" a="1"/>
  <c r="P894" i="4" s="1"/>
  <c r="P1014" i="4" a="1"/>
  <c r="P1014" i="4" s="1"/>
  <c r="P1008" i="4" a="1"/>
  <c r="P1008" i="4" s="1"/>
  <c r="P933" i="4" a="1"/>
  <c r="P933" i="4" s="1"/>
  <c r="P1011" i="4" a="1"/>
  <c r="P1011" i="4" s="1"/>
  <c r="P972" i="4" a="1"/>
  <c r="P972" i="4" s="1"/>
  <c r="P875" i="4" a="1"/>
  <c r="P875" i="4" s="1"/>
  <c r="S877" i="4" a="1"/>
  <c r="S877" i="4" s="1"/>
  <c r="S918" i="4" a="1"/>
  <c r="S918" i="4" s="1"/>
  <c r="S891" i="4" a="1"/>
  <c r="S891" i="4" s="1"/>
  <c r="S1004" i="4" a="1"/>
  <c r="S1004" i="4" s="1"/>
  <c r="S959" i="4" a="1"/>
  <c r="S959" i="4" s="1"/>
  <c r="S930" i="4" a="1"/>
  <c r="S930" i="4" s="1"/>
  <c r="S940" i="4" a="1"/>
  <c r="S940" i="4" s="1"/>
  <c r="S931" i="4" a="1"/>
  <c r="S931" i="4" s="1"/>
  <c r="S950" i="4" a="1"/>
  <c r="S950" i="4" s="1"/>
  <c r="S913" i="4" a="1"/>
  <c r="S913" i="4" s="1"/>
  <c r="S845" i="4" a="1"/>
  <c r="S845" i="4" s="1"/>
  <c r="S901" i="4" a="1"/>
  <c r="S901" i="4" s="1"/>
  <c r="S867" i="4" a="1"/>
  <c r="S867" i="4" s="1"/>
  <c r="S893" i="4" a="1"/>
  <c r="S893" i="4" s="1"/>
  <c r="P905" i="4" a="1"/>
  <c r="P905" i="4" s="1"/>
  <c r="P934" i="4" a="1"/>
  <c r="P934" i="4" s="1"/>
  <c r="P1018" i="4" a="1"/>
  <c r="P1018" i="4" s="1"/>
  <c r="P943" i="4" a="1"/>
  <c r="P943" i="4" s="1"/>
  <c r="P1029" i="4" a="1"/>
  <c r="P1029" i="4" s="1"/>
  <c r="P852" i="4" a="1"/>
  <c r="P852" i="4" s="1"/>
  <c r="P924" i="4" a="1"/>
  <c r="P924" i="4" s="1"/>
  <c r="P892" i="4" a="1"/>
  <c r="P892" i="4" s="1"/>
  <c r="P993" i="4" a="1"/>
  <c r="P993" i="4" s="1"/>
  <c r="P897" i="4" a="1"/>
  <c r="P897" i="4" s="1"/>
  <c r="P1023" i="4" a="1"/>
  <c r="P1023" i="4" s="1"/>
  <c r="P991" i="4" a="1"/>
  <c r="P991" i="4" s="1"/>
  <c r="P968" i="4" a="1"/>
  <c r="P968" i="4" s="1"/>
  <c r="P957" i="4" a="1"/>
  <c r="P957" i="4" s="1"/>
  <c r="P999" i="4" a="1"/>
  <c r="P999" i="4" s="1"/>
  <c r="P927" i="4" a="1"/>
  <c r="P927" i="4" s="1"/>
  <c r="P872" i="4" a="1"/>
  <c r="P872" i="4" s="1"/>
  <c r="P902" i="4" a="1"/>
  <c r="P902" i="4" s="1"/>
  <c r="P1003" i="4" a="1"/>
  <c r="P1003" i="4" s="1"/>
  <c r="P888" i="4" a="1"/>
  <c r="P888" i="4" s="1"/>
  <c r="P1021" i="4" a="1"/>
  <c r="P1021" i="4" s="1"/>
  <c r="P945" i="4" a="1"/>
  <c r="P945" i="4" s="1"/>
  <c r="P886" i="4" a="1"/>
  <c r="P886" i="4" s="1"/>
  <c r="P967" i="4" a="1"/>
  <c r="P967" i="4" s="1"/>
  <c r="P854" i="4" a="1"/>
  <c r="P854" i="4" s="1"/>
  <c r="P1007" i="4" a="1"/>
  <c r="P1007" i="4" s="1"/>
  <c r="P960" i="4" a="1"/>
  <c r="P960" i="4" s="1"/>
  <c r="S868" i="4" a="1"/>
  <c r="S868" i="4" s="1"/>
  <c r="BB168" i="3"/>
  <c r="S991" i="4" s="1" a="1"/>
  <c r="S991" i="4" s="1"/>
  <c r="S1006" i="4" a="1"/>
  <c r="S1006" i="4" s="1"/>
  <c r="S899" i="4" a="1"/>
  <c r="S899" i="4" s="1"/>
  <c r="S880" i="4" a="1"/>
  <c r="S880" i="4" s="1"/>
  <c r="S856" i="4" a="1"/>
  <c r="S856" i="4" s="1"/>
  <c r="S870" i="4" a="1"/>
  <c r="S870" i="4" s="1"/>
  <c r="S874" i="4" a="1"/>
  <c r="S874" i="4" s="1"/>
  <c r="S952" i="4" a="1"/>
  <c r="S952" i="4" s="1"/>
  <c r="S871" i="4" a="1"/>
  <c r="S871" i="4" s="1"/>
  <c r="S979" i="4" a="1"/>
  <c r="S979" i="4" s="1"/>
  <c r="S857" i="4" a="1"/>
  <c r="S857" i="4" s="1"/>
  <c r="S990" i="4" a="1"/>
  <c r="S990" i="4" s="1"/>
  <c r="S962" i="4" a="1"/>
  <c r="S962" i="4" s="1"/>
  <c r="S1031" i="4" a="1"/>
  <c r="S1031" i="4" s="1"/>
  <c r="S917" i="4" a="1"/>
  <c r="S917" i="4" s="1"/>
  <c r="P850" i="4" a="1"/>
  <c r="P850" i="4" s="1"/>
  <c r="P904" i="4" a="1"/>
  <c r="P904" i="4" s="1"/>
  <c r="P926" i="4" a="1"/>
  <c r="P926" i="4" s="1"/>
  <c r="P987" i="4" a="1"/>
  <c r="P987" i="4" s="1"/>
  <c r="P900" i="4" a="1"/>
  <c r="P900" i="4" s="1"/>
  <c r="P936" i="4" a="1"/>
  <c r="P936" i="4" s="1"/>
  <c r="P847" i="4" a="1"/>
  <c r="P847" i="4" s="1"/>
  <c r="P1020" i="4" a="1"/>
  <c r="P1020" i="4" s="1"/>
  <c r="P922" i="4" a="1"/>
  <c r="P922" i="4" s="1"/>
  <c r="P862" i="4" a="1"/>
  <c r="P862" i="4" s="1"/>
  <c r="P1024" i="4" a="1"/>
  <c r="P1024" i="4" s="1"/>
  <c r="P864" i="4" a="1"/>
  <c r="P864" i="4" s="1"/>
  <c r="P1002" i="4" a="1"/>
  <c r="P1002" i="4" s="1"/>
  <c r="P912" i="4" a="1"/>
  <c r="P912" i="4" s="1"/>
  <c r="P884" i="4" a="1"/>
  <c r="P884" i="4" s="1"/>
  <c r="P848" i="4" a="1"/>
  <c r="P848" i="4" s="1"/>
  <c r="P994" i="4" a="1"/>
  <c r="P994" i="4" s="1"/>
  <c r="S905" i="4" a="1"/>
  <c r="S905" i="4" s="1"/>
  <c r="S934" i="4" a="1"/>
  <c r="S934" i="4" s="1"/>
  <c r="S1018" i="4" a="1"/>
  <c r="S1018" i="4" s="1"/>
  <c r="S943" i="4" a="1"/>
  <c r="S943" i="4" s="1"/>
  <c r="S1029" i="4" a="1"/>
  <c r="S1029" i="4" s="1"/>
  <c r="S852" i="4" a="1"/>
  <c r="S852" i="4" s="1"/>
  <c r="S924" i="4" a="1"/>
  <c r="S924" i="4" s="1"/>
  <c r="S892" i="4" a="1"/>
  <c r="S892" i="4" s="1"/>
  <c r="S993" i="4" a="1"/>
  <c r="S993" i="4" s="1"/>
  <c r="S844" i="4" a="1"/>
  <c r="S844" i="4" s="1"/>
  <c r="S897" i="4" a="1"/>
  <c r="S897" i="4" s="1"/>
  <c r="S1023" i="4" a="1"/>
  <c r="S1023" i="4" s="1"/>
  <c r="S968" i="4" a="1"/>
  <c r="S968" i="4" s="1"/>
  <c r="S957" i="4" a="1"/>
  <c r="S957" i="4" s="1"/>
  <c r="P858" i="4" a="1"/>
  <c r="P858" i="4" s="1"/>
  <c r="P964" i="4" a="1"/>
  <c r="P964" i="4" s="1"/>
  <c r="P859" i="4" a="1"/>
  <c r="P859" i="4" s="1"/>
  <c r="P887" i="4" a="1"/>
  <c r="P887" i="4" s="1"/>
  <c r="P980" i="4" a="1"/>
  <c r="P980" i="4" s="1"/>
  <c r="P846" i="4" a="1"/>
  <c r="P846" i="4" s="1"/>
  <c r="P973" i="4" a="1"/>
  <c r="P973" i="4" s="1"/>
  <c r="P939" i="4" a="1"/>
  <c r="P939" i="4" s="1"/>
  <c r="P843" i="4" a="1"/>
  <c r="P843" i="4" s="1"/>
  <c r="P948" i="4" a="1"/>
  <c r="P948" i="4" s="1"/>
  <c r="P909" i="4" a="1"/>
  <c r="P909" i="4" s="1"/>
  <c r="P988" i="4" a="1"/>
  <c r="P988" i="4" s="1"/>
  <c r="P1027" i="4" a="1"/>
  <c r="P1027" i="4" s="1"/>
  <c r="P947" i="4" a="1"/>
  <c r="P947" i="4" s="1"/>
  <c r="P941" i="4" a="1"/>
  <c r="P941" i="4" s="1"/>
  <c r="P928" i="4" a="1"/>
  <c r="P928" i="4" s="1"/>
  <c r="S965" i="4" a="1"/>
  <c r="S965" i="4" s="1"/>
  <c r="S879" i="4" a="1"/>
  <c r="S879" i="4" s="1"/>
  <c r="S865" i="4" a="1"/>
  <c r="S865" i="4" s="1"/>
  <c r="S921" i="4" a="1"/>
  <c r="S921" i="4" s="1"/>
  <c r="S1028" i="4" a="1"/>
  <c r="S1028" i="4" s="1"/>
  <c r="S898" i="4" a="1"/>
  <c r="S898" i="4" s="1"/>
  <c r="S937" i="4" a="1"/>
  <c r="S937" i="4" s="1"/>
  <c r="S863" i="4" a="1"/>
  <c r="S863" i="4" s="1"/>
  <c r="S910" i="4" a="1"/>
  <c r="S910" i="4" s="1"/>
  <c r="S989" i="4" a="1"/>
  <c r="S989" i="4" s="1"/>
  <c r="S983" i="4" a="1"/>
  <c r="S983" i="4" s="1"/>
  <c r="S1013" i="4" a="1"/>
  <c r="S1013" i="4" s="1"/>
  <c r="S885" i="4" a="1"/>
  <c r="S885" i="4" s="1"/>
  <c r="S998" i="4" a="1"/>
  <c r="S998" i="4" s="1"/>
  <c r="BB106" i="3"/>
  <c r="S929" i="4" s="1" a="1"/>
  <c r="S929" i="4" s="1"/>
  <c r="S946" i="4" a="1"/>
  <c r="S946" i="4" s="1"/>
  <c r="M944" i="4" a="1"/>
  <c r="M944" i="4" s="1"/>
  <c r="P975" i="4" a="1"/>
  <c r="P975" i="4" s="1"/>
  <c r="AO187" i="3"/>
  <c r="P1010" i="4" s="1" a="1"/>
  <c r="P1010" i="4" s="1"/>
  <c r="P881" i="4" a="1"/>
  <c r="P881" i="4" s="1"/>
  <c r="P841" i="4" a="1"/>
  <c r="P841" i="4" s="1"/>
  <c r="P995" i="4" a="1"/>
  <c r="P995" i="4" s="1"/>
  <c r="P925" i="4" a="1"/>
  <c r="P925" i="4" s="1"/>
  <c r="AO66" i="3"/>
  <c r="P889" i="4" s="1" a="1"/>
  <c r="P889" i="4" s="1"/>
  <c r="AO173" i="3"/>
  <c r="P996" i="4" s="1" a="1"/>
  <c r="P996" i="4" s="1"/>
  <c r="P923" i="4" a="1"/>
  <c r="P923" i="4" s="1"/>
  <c r="P853" i="4" a="1"/>
  <c r="P853" i="4" s="1"/>
  <c r="P986" i="4" a="1"/>
  <c r="P986" i="4" s="1"/>
  <c r="P895" i="4" a="1"/>
  <c r="P895" i="4" s="1"/>
  <c r="P955" i="4" a="1"/>
  <c r="P955" i="4" s="1"/>
  <c r="P907" i="4" a="1"/>
  <c r="P907" i="4" s="1"/>
  <c r="P942" i="4" a="1"/>
  <c r="P942" i="4" s="1"/>
  <c r="P839" i="4" a="1"/>
  <c r="P839" i="4" s="1"/>
  <c r="P958" i="4" a="1"/>
  <c r="P958" i="4" s="1"/>
  <c r="S971" i="4" a="1"/>
  <c r="S971" i="4" s="1"/>
  <c r="S869" i="4" a="1"/>
  <c r="S869" i="4" s="1"/>
  <c r="S914" i="4" a="1"/>
  <c r="S914" i="4" s="1"/>
  <c r="S1012" i="4" a="1"/>
  <c r="S1012" i="4" s="1"/>
  <c r="S978" i="4" a="1"/>
  <c r="S978" i="4" s="1"/>
  <c r="S894" i="4" a="1"/>
  <c r="S894" i="4" s="1"/>
  <c r="S1014" i="4" a="1"/>
  <c r="S1014" i="4" s="1"/>
  <c r="S970" i="4" a="1"/>
  <c r="S970" i="4" s="1"/>
  <c r="S1008" i="4" a="1"/>
  <c r="S1008" i="4" s="1"/>
  <c r="S977" i="4" a="1"/>
  <c r="S977" i="4" s="1"/>
  <c r="S933" i="4" a="1"/>
  <c r="S933" i="4" s="1"/>
  <c r="S1011" i="4" a="1"/>
  <c r="S1011" i="4" s="1"/>
  <c r="S982" i="4" a="1"/>
  <c r="S982" i="4" s="1"/>
  <c r="S972" i="4" a="1"/>
  <c r="S972" i="4" s="1"/>
  <c r="S875" i="4" a="1"/>
  <c r="S875" i="4" s="1"/>
  <c r="S985" i="4" a="1"/>
  <c r="S985" i="4" s="1"/>
  <c r="P882" i="4" a="1"/>
  <c r="P882" i="4" s="1"/>
  <c r="P896" i="4" a="1"/>
  <c r="P896" i="4" s="1"/>
  <c r="P953" i="4" a="1"/>
  <c r="P953" i="4" s="1"/>
  <c r="P842" i="4" a="1"/>
  <c r="P842" i="4" s="1"/>
  <c r="P1009" i="4" a="1"/>
  <c r="P1009" i="4" s="1"/>
  <c r="P919" i="4" a="1"/>
  <c r="P919" i="4" s="1"/>
  <c r="P903" i="4" a="1"/>
  <c r="P903" i="4" s="1"/>
  <c r="P954" i="4" a="1"/>
  <c r="P954" i="4" s="1"/>
  <c r="P974" i="4" a="1"/>
  <c r="P974" i="4" s="1"/>
  <c r="P966" i="4" a="1"/>
  <c r="P966" i="4" s="1"/>
  <c r="P969" i="4" a="1"/>
  <c r="P969" i="4" s="1"/>
  <c r="P976" i="4" a="1"/>
  <c r="P976" i="4" s="1"/>
  <c r="P938" i="4" a="1"/>
  <c r="P938" i="4" s="1"/>
  <c r="P908" i="4" a="1"/>
  <c r="P908" i="4" s="1"/>
  <c r="P906" i="4" a="1"/>
  <c r="P906" i="4" s="1"/>
  <c r="P920" i="4" a="1"/>
  <c r="P920" i="4" s="1"/>
  <c r="S999" i="4" a="1"/>
  <c r="S999" i="4" s="1"/>
  <c r="S927" i="4" a="1"/>
  <c r="S927" i="4" s="1"/>
  <c r="S872" i="4" a="1"/>
  <c r="S872" i="4" s="1"/>
  <c r="S902" i="4" a="1"/>
  <c r="S902" i="4" s="1"/>
  <c r="S1003" i="4" a="1"/>
  <c r="S1003" i="4" s="1"/>
  <c r="S888" i="4" a="1"/>
  <c r="S888" i="4" s="1"/>
  <c r="S1021" i="4" a="1"/>
  <c r="S1021" i="4" s="1"/>
  <c r="S945" i="4" a="1"/>
  <c r="S945" i="4" s="1"/>
  <c r="S886" i="4" a="1"/>
  <c r="S886" i="4" s="1"/>
  <c r="S967" i="4" a="1"/>
  <c r="S967" i="4" s="1"/>
  <c r="S876" i="4" a="1"/>
  <c r="S876" i="4" s="1"/>
  <c r="S854" i="4" a="1"/>
  <c r="S854" i="4" s="1"/>
  <c r="S1007" i="4" a="1"/>
  <c r="S1007" i="4" s="1"/>
  <c r="S960" i="4" a="1"/>
  <c r="S960" i="4" s="1"/>
  <c r="S926" i="4" a="1"/>
  <c r="S926" i="4" s="1"/>
  <c r="S987" i="4" a="1"/>
  <c r="S987" i="4" s="1"/>
  <c r="S900" i="4" a="1"/>
  <c r="S900" i="4" s="1"/>
  <c r="S936" i="4" a="1"/>
  <c r="S936" i="4" s="1"/>
  <c r="S847" i="4" a="1"/>
  <c r="S847" i="4" s="1"/>
  <c r="S1020" i="4" a="1"/>
  <c r="S1020" i="4" s="1"/>
  <c r="S922" i="4" a="1"/>
  <c r="S922" i="4" s="1"/>
  <c r="S862" i="4" a="1"/>
  <c r="S862" i="4" s="1"/>
  <c r="S1024" i="4" a="1"/>
  <c r="S1024" i="4" s="1"/>
  <c r="S864" i="4" a="1"/>
  <c r="S864" i="4" s="1"/>
  <c r="S1002" i="4" a="1"/>
  <c r="S1002" i="4" s="1"/>
  <c r="S912" i="4" a="1"/>
  <c r="S912" i="4" s="1"/>
  <c r="S884" i="4" a="1"/>
  <c r="S884" i="4" s="1"/>
  <c r="S848" i="4" a="1"/>
  <c r="S848" i="4" s="1"/>
  <c r="S994" i="4" a="1"/>
  <c r="S994" i="4" s="1"/>
  <c r="P949" i="4" a="1"/>
  <c r="P949" i="4" s="1"/>
  <c r="P883" i="4" a="1"/>
  <c r="P883" i="4" s="1"/>
  <c r="P1019" i="4" a="1"/>
  <c r="P1019" i="4" s="1"/>
  <c r="P992" i="4" a="1"/>
  <c r="P992" i="4" s="1"/>
  <c r="P911" i="4" a="1"/>
  <c r="P911" i="4" s="1"/>
  <c r="P1030" i="4" a="1"/>
  <c r="P1030" i="4" s="1"/>
  <c r="P951" i="4" a="1"/>
  <c r="P951" i="4" s="1"/>
  <c r="P1016" i="4" a="1"/>
  <c r="P1016" i="4" s="1"/>
  <c r="P840" i="4" a="1"/>
  <c r="P840" i="4" s="1"/>
  <c r="P956" i="4" a="1"/>
  <c r="P956" i="4" s="1"/>
  <c r="P851" i="4" a="1"/>
  <c r="P851" i="4" s="1"/>
  <c r="P984" i="4" a="1"/>
  <c r="P984" i="4" s="1"/>
  <c r="P963" i="4" a="1"/>
  <c r="P963" i="4" s="1"/>
  <c r="P915" i="4" a="1"/>
  <c r="P915" i="4" s="1"/>
  <c r="P1022" i="4" a="1"/>
  <c r="P1022" i="4" s="1"/>
  <c r="P961" i="4" a="1"/>
  <c r="P961" i="4" s="1"/>
  <c r="P1015" i="4" a="1"/>
  <c r="P1015" i="4" s="1"/>
  <c r="S858" i="4" a="1"/>
  <c r="S858" i="4" s="1"/>
  <c r="S964" i="4" a="1"/>
  <c r="S964" i="4" s="1"/>
  <c r="S859" i="4" a="1"/>
  <c r="S859" i="4" s="1"/>
  <c r="S887" i="4" a="1"/>
  <c r="S887" i="4" s="1"/>
  <c r="S980" i="4" a="1"/>
  <c r="S980" i="4" s="1"/>
  <c r="S846" i="4" a="1"/>
  <c r="S846" i="4" s="1"/>
  <c r="S973" i="4" a="1"/>
  <c r="S973" i="4" s="1"/>
  <c r="S939" i="4" a="1"/>
  <c r="S939" i="4" s="1"/>
  <c r="S843" i="4" a="1"/>
  <c r="S843" i="4" s="1"/>
  <c r="S948" i="4" a="1"/>
  <c r="S948" i="4" s="1"/>
  <c r="S909" i="4" a="1"/>
  <c r="S909" i="4" s="1"/>
  <c r="S988" i="4" a="1"/>
  <c r="S988" i="4" s="1"/>
  <c r="S1027" i="4" a="1"/>
  <c r="S1027" i="4" s="1"/>
  <c r="S947" i="4" a="1"/>
  <c r="S947" i="4" s="1"/>
  <c r="S941" i="4" a="1"/>
  <c r="S941" i="4" s="1"/>
  <c r="S928" i="4" a="1"/>
  <c r="S928" i="4" s="1"/>
  <c r="P877" i="4" a="1"/>
  <c r="P877" i="4" s="1"/>
  <c r="P918" i="4" a="1"/>
  <c r="P918" i="4" s="1"/>
  <c r="P1017" i="4" a="1"/>
  <c r="P1017" i="4" s="1"/>
  <c r="P891" i="4" a="1"/>
  <c r="P891" i="4" s="1"/>
  <c r="P1004" i="4" a="1"/>
  <c r="P1004" i="4" s="1"/>
  <c r="P959" i="4" a="1"/>
  <c r="P959" i="4" s="1"/>
  <c r="P1026" i="4" a="1"/>
  <c r="P1026" i="4" s="1"/>
  <c r="P930" i="4" a="1"/>
  <c r="P930" i="4" s="1"/>
  <c r="P940" i="4" a="1"/>
  <c r="P940" i="4" s="1"/>
  <c r="P849" i="4" a="1"/>
  <c r="P849" i="4" s="1"/>
  <c r="P931" i="4" a="1"/>
  <c r="P931" i="4" s="1"/>
  <c r="P866" i="4" a="1"/>
  <c r="P866" i="4" s="1"/>
  <c r="P878" i="4" a="1"/>
  <c r="P878" i="4" s="1"/>
  <c r="P950" i="4" a="1"/>
  <c r="P950" i="4" s="1"/>
  <c r="P944" i="4" a="1"/>
  <c r="P944" i="4" s="1"/>
  <c r="S975" i="4" a="1"/>
  <c r="S975" i="4" s="1"/>
  <c r="BB187" i="3"/>
  <c r="S1010" i="4" s="1" a="1"/>
  <c r="S1010" i="4" s="1"/>
  <c r="S881" i="4" a="1"/>
  <c r="S881" i="4" s="1"/>
  <c r="S841" i="4" a="1"/>
  <c r="S841" i="4" s="1"/>
  <c r="S995" i="4" a="1"/>
  <c r="S995" i="4" s="1"/>
  <c r="S925" i="4" a="1"/>
  <c r="S925" i="4" s="1"/>
  <c r="BB66" i="3"/>
  <c r="S889" i="4" s="1" a="1"/>
  <c r="S889" i="4" s="1"/>
  <c r="BB173" i="3"/>
  <c r="S996" i="4" s="1" a="1"/>
  <c r="S996" i="4" s="1"/>
  <c r="S923" i="4" a="1"/>
  <c r="S923" i="4" s="1"/>
  <c r="S853" i="4" a="1"/>
  <c r="S853" i="4" s="1"/>
  <c r="S986" i="4" a="1"/>
  <c r="S986" i="4" s="1"/>
  <c r="S895" i="4" a="1"/>
  <c r="S895" i="4" s="1"/>
  <c r="S955" i="4" a="1"/>
  <c r="S955" i="4" s="1"/>
  <c r="S907" i="4" a="1"/>
  <c r="S907" i="4" s="1"/>
  <c r="S942" i="4" a="1"/>
  <c r="S942" i="4" s="1"/>
  <c r="S839" i="4" a="1"/>
  <c r="S839" i="4" s="1"/>
  <c r="S958" i="4" a="1"/>
  <c r="S958" i="4" s="1"/>
  <c r="P977" i="4" a="1"/>
  <c r="P977" i="4" s="1"/>
  <c r="D944" i="4" a="1"/>
  <c r="D944" i="4" s="1"/>
  <c r="P932" i="4" a="1"/>
  <c r="P932" i="4" s="1"/>
  <c r="J906" i="4" a="1"/>
  <c r="J906" i="4" s="1"/>
  <c r="J909" i="4" a="1"/>
  <c r="J909" i="4" s="1"/>
  <c r="J960" i="4" a="1"/>
  <c r="J960" i="4" s="1"/>
  <c r="Y1005" i="4" a="1"/>
  <c r="Y1005" i="4" s="1"/>
  <c r="Y904" i="4" a="1"/>
  <c r="Y904" i="4" s="1"/>
  <c r="Y934" i="4" a="1"/>
  <c r="Y934" i="4" s="1"/>
  <c r="Y873" i="4" a="1"/>
  <c r="Y873" i="4" s="1"/>
  <c r="Y987" i="4" a="1"/>
  <c r="Y987" i="4" s="1"/>
  <c r="Y943" i="4" a="1"/>
  <c r="Y943" i="4" s="1"/>
  <c r="Y936" i="4" a="1"/>
  <c r="Y936" i="4" s="1"/>
  <c r="Y852" i="4" a="1"/>
  <c r="Y852" i="4" s="1"/>
  <c r="Y845" i="4" a="1"/>
  <c r="Y845" i="4" s="1"/>
  <c r="Y1020" i="4" a="1"/>
  <c r="Y1020" i="4" s="1"/>
  <c r="Y892" i="4" a="1"/>
  <c r="Y892" i="4" s="1"/>
  <c r="Y855" i="4" a="1"/>
  <c r="Y855" i="4" s="1"/>
  <c r="Y862" i="4" a="1"/>
  <c r="Y862" i="4" s="1"/>
  <c r="Y844" i="4" a="1"/>
  <c r="Y844" i="4" s="1"/>
  <c r="Y997" i="4" a="1"/>
  <c r="Y997" i="4" s="1"/>
  <c r="Y864" i="4" a="1"/>
  <c r="Y864" i="4" s="1"/>
  <c r="Y897" i="4" a="1"/>
  <c r="Y897" i="4" s="1"/>
  <c r="Y981" i="4" a="1"/>
  <c r="Y981" i="4" s="1"/>
  <c r="Y912" i="4" a="1"/>
  <c r="Y912" i="4" s="1"/>
  <c r="Y1000" i="4" a="1"/>
  <c r="Y1000" i="4" s="1"/>
  <c r="Y848" i="4" a="1"/>
  <c r="Y848" i="4" s="1"/>
  <c r="Y957" i="4" a="1"/>
  <c r="Y957" i="4" s="1"/>
  <c r="Y893" i="4" a="1"/>
  <c r="Y893" i="4" s="1"/>
  <c r="AB1005" i="4" a="1"/>
  <c r="AB1005" i="4" s="1"/>
  <c r="AB904" i="4" a="1"/>
  <c r="AB904" i="4" s="1"/>
  <c r="AB934" i="4" a="1"/>
  <c r="AB934" i="4" s="1"/>
  <c r="AB873" i="4" a="1"/>
  <c r="AB873" i="4" s="1"/>
  <c r="AB987" i="4" a="1"/>
  <c r="AB987" i="4" s="1"/>
  <c r="AB943" i="4" a="1"/>
  <c r="AB943" i="4" s="1"/>
  <c r="AB936" i="4" a="1"/>
  <c r="AB936" i="4" s="1"/>
  <c r="AB852" i="4" a="1"/>
  <c r="AB852" i="4" s="1"/>
  <c r="AB845" i="4" a="1"/>
  <c r="AB845" i="4" s="1"/>
  <c r="AB1020" i="4" a="1"/>
  <c r="AB1020" i="4" s="1"/>
  <c r="AB892" i="4" a="1"/>
  <c r="AB892" i="4" s="1"/>
  <c r="AB855" i="4" a="1"/>
  <c r="AB855" i="4" s="1"/>
  <c r="AB862" i="4" a="1"/>
  <c r="AB862" i="4" s="1"/>
  <c r="AB844" i="4" a="1"/>
  <c r="AB844" i="4" s="1"/>
  <c r="AB997" i="4" a="1"/>
  <c r="AB997" i="4" s="1"/>
  <c r="AB897" i="4" a="1"/>
  <c r="AB897" i="4" s="1"/>
  <c r="AB981" i="4" a="1"/>
  <c r="AB981" i="4" s="1"/>
  <c r="AB912" i="4" a="1"/>
  <c r="AB912" i="4" s="1"/>
  <c r="AB1000" i="4" a="1"/>
  <c r="AB1000" i="4" s="1"/>
  <c r="AB848" i="4" a="1"/>
  <c r="AB848" i="4" s="1"/>
  <c r="AB957" i="4" a="1"/>
  <c r="AB957" i="4" s="1"/>
  <c r="AB893" i="4" a="1"/>
  <c r="AB893" i="4" s="1"/>
  <c r="M1005" i="4" a="1"/>
  <c r="M1005" i="4" s="1"/>
  <c r="M904" i="4" a="1"/>
  <c r="M904" i="4" s="1"/>
  <c r="M934" i="4" a="1"/>
  <c r="M934" i="4" s="1"/>
  <c r="M873" i="4" a="1"/>
  <c r="M873" i="4" s="1"/>
  <c r="M987" i="4" a="1"/>
  <c r="M987" i="4" s="1"/>
  <c r="M943" i="4" a="1"/>
  <c r="M943" i="4" s="1"/>
  <c r="M936" i="4" a="1"/>
  <c r="M936" i="4" s="1"/>
  <c r="M852" i="4" a="1"/>
  <c r="M852" i="4" s="1"/>
  <c r="M845" i="4" a="1"/>
  <c r="M845" i="4" s="1"/>
  <c r="M1020" i="4" a="1"/>
  <c r="M1020" i="4" s="1"/>
  <c r="M892" i="4" a="1"/>
  <c r="M892" i="4" s="1"/>
  <c r="M855" i="4" a="1"/>
  <c r="M855" i="4" s="1"/>
  <c r="M862" i="4" a="1"/>
  <c r="M862" i="4" s="1"/>
  <c r="M844" i="4" a="1"/>
  <c r="M844" i="4" s="1"/>
  <c r="M997" i="4" a="1"/>
  <c r="M997" i="4" s="1"/>
  <c r="M864" i="4" a="1"/>
  <c r="M864" i="4" s="1"/>
  <c r="M897" i="4" a="1"/>
  <c r="M897" i="4" s="1"/>
  <c r="M981" i="4" a="1"/>
  <c r="M981" i="4" s="1"/>
  <c r="Y949" i="4" a="1"/>
  <c r="Y949" i="4" s="1"/>
  <c r="Y964" i="4" a="1"/>
  <c r="Y964" i="4" s="1"/>
  <c r="Y879" i="4" a="1"/>
  <c r="Y879" i="4" s="1"/>
  <c r="Y1019" i="4" a="1"/>
  <c r="Y1019" i="4" s="1"/>
  <c r="Y887" i="4" a="1"/>
  <c r="Y887" i="4" s="1"/>
  <c r="Y921" i="4" a="1"/>
  <c r="Y921" i="4" s="1"/>
  <c r="Y911" i="4" a="1"/>
  <c r="Y911" i="4" s="1"/>
  <c r="Y846" i="4" a="1"/>
  <c r="Y846" i="4" s="1"/>
  <c r="Y898" i="4" a="1"/>
  <c r="Y898" i="4" s="1"/>
  <c r="Y951" i="4" a="1"/>
  <c r="Y951" i="4" s="1"/>
  <c r="Y939" i="4" a="1"/>
  <c r="Y939" i="4" s="1"/>
  <c r="Y863" i="4" a="1"/>
  <c r="Y863" i="4" s="1"/>
  <c r="Y840" i="4" a="1"/>
  <c r="Y840" i="4" s="1"/>
  <c r="Y843" i="4" a="1"/>
  <c r="Y843" i="4" s="1"/>
  <c r="BW187" i="3"/>
  <c r="Y1010" i="4" s="1" a="1"/>
  <c r="Y1010" i="4" s="1"/>
  <c r="Y869" i="4" a="1"/>
  <c r="Y869" i="4" s="1"/>
  <c r="Y918" i="4" a="1"/>
  <c r="Y918" i="4" s="1"/>
  <c r="Y841" i="4" a="1"/>
  <c r="Y841" i="4" s="1"/>
  <c r="Y1012" i="4" a="1"/>
  <c r="Y1012" i="4" s="1"/>
  <c r="Y891" i="4" a="1"/>
  <c r="Y891" i="4" s="1"/>
  <c r="Y925" i="4" a="1"/>
  <c r="Y925" i="4" s="1"/>
  <c r="Y894" i="4" a="1"/>
  <c r="Y894" i="4" s="1"/>
  <c r="Y1004" i="4" a="1"/>
  <c r="Y1004" i="4" s="1"/>
  <c r="BW173" i="3"/>
  <c r="Y996" i="4" s="1" a="1"/>
  <c r="Y996" i="4" s="1"/>
  <c r="Y970" i="4" a="1"/>
  <c r="Y970" i="4" s="1"/>
  <c r="Y1026" i="4" a="1"/>
  <c r="Y1026" i="4" s="1"/>
  <c r="Y853" i="4" a="1"/>
  <c r="Y853" i="4" s="1"/>
  <c r="Y977" i="4" a="1"/>
  <c r="Y977" i="4" s="1"/>
  <c r="Y940" i="4" a="1"/>
  <c r="Y940" i="4" s="1"/>
  <c r="Y895" i="4" a="1"/>
  <c r="Y895" i="4" s="1"/>
  <c r="Y1011" i="4" a="1"/>
  <c r="Y1011" i="4" s="1"/>
  <c r="Y931" i="4" a="1"/>
  <c r="Y931" i="4" s="1"/>
  <c r="Y907" i="4" a="1"/>
  <c r="Y907" i="4" s="1"/>
  <c r="Y972" i="4" a="1"/>
  <c r="Y972" i="4" s="1"/>
  <c r="Y878" i="4" a="1"/>
  <c r="Y878" i="4" s="1"/>
  <c r="Y839" i="4" a="1"/>
  <c r="Y839" i="4" s="1"/>
  <c r="Y985" i="4" a="1"/>
  <c r="Y985" i="4" s="1"/>
  <c r="Y944" i="4" a="1"/>
  <c r="Y944" i="4" s="1"/>
  <c r="Y868" i="4" a="1"/>
  <c r="Y868" i="4" s="1"/>
  <c r="Y896" i="4" a="1"/>
  <c r="Y896" i="4" s="1"/>
  <c r="Y927" i="4" a="1"/>
  <c r="Y927" i="4" s="1"/>
  <c r="Y1006" i="4" a="1"/>
  <c r="Y1006" i="4" s="1"/>
  <c r="Y842" i="4" a="1"/>
  <c r="Y842" i="4" s="1"/>
  <c r="Y902" i="4" a="1"/>
  <c r="Y902" i="4" s="1"/>
  <c r="Y880" i="4" a="1"/>
  <c r="Y880" i="4" s="1"/>
  <c r="Y919" i="4" a="1"/>
  <c r="Y919" i="4" s="1"/>
  <c r="Y888" i="4" a="1"/>
  <c r="Y888" i="4" s="1"/>
  <c r="Y870" i="4" a="1"/>
  <c r="Y870" i="4" s="1"/>
  <c r="Y954" i="4" a="1"/>
  <c r="Y954" i="4" s="1"/>
  <c r="Y945" i="4" a="1"/>
  <c r="Y945" i="4" s="1"/>
  <c r="Y952" i="4" a="1"/>
  <c r="Y952" i="4" s="1"/>
  <c r="Y966" i="4" a="1"/>
  <c r="Y966" i="4" s="1"/>
  <c r="Y967" i="4" a="1"/>
  <c r="Y967" i="4" s="1"/>
  <c r="Y979" i="4" a="1"/>
  <c r="Y979" i="4" s="1"/>
  <c r="Y932" i="4" a="1"/>
  <c r="Y932" i="4" s="1"/>
  <c r="Y854" i="4" a="1"/>
  <c r="Y854" i="4" s="1"/>
  <c r="Y990" i="4" a="1"/>
  <c r="Y990" i="4" s="1"/>
  <c r="Y938" i="4" a="1"/>
  <c r="Y938" i="4" s="1"/>
  <c r="Y960" i="4" a="1"/>
  <c r="Y960" i="4" s="1"/>
  <c r="Y1031" i="4" a="1"/>
  <c r="Y1031" i="4" s="1"/>
  <c r="Y906" i="4" a="1"/>
  <c r="Y906" i="4" s="1"/>
  <c r="AB868" i="4" a="1"/>
  <c r="AB868" i="4" s="1"/>
  <c r="AB896" i="4" a="1"/>
  <c r="AB896" i="4" s="1"/>
  <c r="AB927" i="4" a="1"/>
  <c r="AB927" i="4" s="1"/>
  <c r="AB1006" i="4" a="1"/>
  <c r="AB1006" i="4" s="1"/>
  <c r="AB842" i="4" a="1"/>
  <c r="AB842" i="4" s="1"/>
  <c r="AB902" i="4" a="1"/>
  <c r="AB902" i="4" s="1"/>
  <c r="AB880" i="4" a="1"/>
  <c r="AB880" i="4" s="1"/>
  <c r="AB919" i="4" a="1"/>
  <c r="AB919" i="4" s="1"/>
  <c r="AB888" i="4" a="1"/>
  <c r="AB888" i="4" s="1"/>
  <c r="AB870" i="4" a="1"/>
  <c r="AB870" i="4" s="1"/>
  <c r="AB954" i="4" a="1"/>
  <c r="AB954" i="4" s="1"/>
  <c r="AB945" i="4" a="1"/>
  <c r="AB945" i="4" s="1"/>
  <c r="AB952" i="4" a="1"/>
  <c r="AB952" i="4" s="1"/>
  <c r="AB966" i="4" a="1"/>
  <c r="AB966" i="4" s="1"/>
  <c r="AB967" i="4" a="1"/>
  <c r="AB967" i="4" s="1"/>
  <c r="AB979" i="4" a="1"/>
  <c r="AB979" i="4" s="1"/>
  <c r="AB932" i="4" a="1"/>
  <c r="AB932" i="4" s="1"/>
  <c r="AB854" i="4" a="1"/>
  <c r="AB854" i="4" s="1"/>
  <c r="AB990" i="4" a="1"/>
  <c r="AB990" i="4" s="1"/>
  <c r="AB938" i="4" a="1"/>
  <c r="AB938" i="4" s="1"/>
  <c r="AB960" i="4" a="1"/>
  <c r="AB960" i="4" s="1"/>
  <c r="AB1031" i="4" a="1"/>
  <c r="AB1031" i="4" s="1"/>
  <c r="J842" i="4" a="1"/>
  <c r="J842" i="4" s="1"/>
  <c r="Y858" i="4" a="1"/>
  <c r="Y858" i="4" s="1"/>
  <c r="Y965" i="4" a="1"/>
  <c r="Y965" i="4" s="1"/>
  <c r="Y883" i="4" a="1"/>
  <c r="Y883" i="4" s="1"/>
  <c r="Y859" i="4" a="1"/>
  <c r="Y859" i="4" s="1"/>
  <c r="Y865" i="4" a="1"/>
  <c r="Y865" i="4" s="1"/>
  <c r="Y992" i="4" a="1"/>
  <c r="Y992" i="4" s="1"/>
  <c r="Y980" i="4" a="1"/>
  <c r="Y980" i="4" s="1"/>
  <c r="Y1028" i="4" a="1"/>
  <c r="Y1028" i="4" s="1"/>
  <c r="Y1030" i="4" a="1"/>
  <c r="Y1030" i="4" s="1"/>
  <c r="Y973" i="4" a="1"/>
  <c r="Y973" i="4" s="1"/>
  <c r="Y937" i="4" a="1"/>
  <c r="Y937" i="4" s="1"/>
  <c r="Y1016" i="4" a="1"/>
  <c r="Y1016" i="4" s="1"/>
  <c r="J952" i="4" a="1"/>
  <c r="J952" i="4" s="1"/>
  <c r="Y882" i="4" a="1"/>
  <c r="Y882" i="4" s="1"/>
  <c r="Y999" i="4" a="1"/>
  <c r="Y999" i="4" s="1"/>
  <c r="BW168" i="3"/>
  <c r="Y991" i="4" s="1" a="1"/>
  <c r="Y991" i="4" s="1"/>
  <c r="Y953" i="4" a="1"/>
  <c r="Y953" i="4" s="1"/>
  <c r="Y872" i="4" a="1"/>
  <c r="Y872" i="4" s="1"/>
  <c r="Y899" i="4" a="1"/>
  <c r="Y899" i="4" s="1"/>
  <c r="Y1009" i="4" a="1"/>
  <c r="Y1009" i="4" s="1"/>
  <c r="Y1003" i="4" a="1"/>
  <c r="Y1003" i="4" s="1"/>
  <c r="Y856" i="4" a="1"/>
  <c r="Y856" i="4" s="1"/>
  <c r="Y903" i="4" a="1"/>
  <c r="Y903" i="4" s="1"/>
  <c r="Y1021" i="4" a="1"/>
  <c r="Y1021" i="4" s="1"/>
  <c r="Y874" i="4" a="1"/>
  <c r="Y874" i="4" s="1"/>
  <c r="Y974" i="4" a="1"/>
  <c r="Y974" i="4" s="1"/>
  <c r="Y886" i="4" a="1"/>
  <c r="Y886" i="4" s="1"/>
  <c r="Y871" i="4" a="1"/>
  <c r="Y871" i="4" s="1"/>
  <c r="Y969" i="4" a="1"/>
  <c r="Y969" i="4" s="1"/>
  <c r="Y876" i="4" a="1"/>
  <c r="Y876" i="4" s="1"/>
  <c r="Y857" i="4" a="1"/>
  <c r="Y857" i="4" s="1"/>
  <c r="Y976" i="4" a="1"/>
  <c r="Y976" i="4" s="1"/>
  <c r="Y1007" i="4" a="1"/>
  <c r="Y1007" i="4" s="1"/>
  <c r="Y962" i="4" a="1"/>
  <c r="Y962" i="4" s="1"/>
  <c r="Y908" i="4" a="1"/>
  <c r="Y908" i="4" s="1"/>
  <c r="Y917" i="4" a="1"/>
  <c r="Y917" i="4" s="1"/>
  <c r="Y920" i="4" a="1"/>
  <c r="Y920" i="4" s="1"/>
  <c r="AB882" i="4" a="1"/>
  <c r="AB882" i="4" s="1"/>
  <c r="AB999" i="4" a="1"/>
  <c r="AB999" i="4" s="1"/>
  <c r="CD168" i="3"/>
  <c r="AB991" i="4" s="1" a="1"/>
  <c r="AB991" i="4" s="1"/>
  <c r="AB953" i="4" a="1"/>
  <c r="AB953" i="4" s="1"/>
  <c r="AB872" i="4" a="1"/>
  <c r="AB872" i="4" s="1"/>
  <c r="AB899" i="4" a="1"/>
  <c r="AB899" i="4" s="1"/>
  <c r="AB1009" i="4" a="1"/>
  <c r="AB1009" i="4" s="1"/>
  <c r="AB1003" i="4" a="1"/>
  <c r="AB1003" i="4" s="1"/>
  <c r="AB856" i="4" a="1"/>
  <c r="AB856" i="4" s="1"/>
  <c r="AB903" i="4" a="1"/>
  <c r="AB903" i="4" s="1"/>
  <c r="AB1021" i="4" a="1"/>
  <c r="AB1021" i="4" s="1"/>
  <c r="AB874" i="4" a="1"/>
  <c r="AB874" i="4" s="1"/>
  <c r="AB974" i="4" a="1"/>
  <c r="AB974" i="4" s="1"/>
  <c r="AB886" i="4" a="1"/>
  <c r="AB886" i="4" s="1"/>
  <c r="M912" i="4" a="1"/>
  <c r="M912" i="4" s="1"/>
  <c r="M1000" i="4" a="1"/>
  <c r="M1000" i="4" s="1"/>
  <c r="M848" i="4" a="1"/>
  <c r="M848" i="4" s="1"/>
  <c r="M957" i="4" a="1"/>
  <c r="M957" i="4" s="1"/>
  <c r="M893" i="4" a="1"/>
  <c r="M893" i="4" s="1"/>
  <c r="D906" i="4" a="1"/>
  <c r="D906" i="4" s="1"/>
  <c r="D1031" i="4" a="1"/>
  <c r="D1031" i="4" s="1"/>
  <c r="D960" i="4" a="1"/>
  <c r="D960" i="4" s="1"/>
  <c r="D938" i="4" a="1"/>
  <c r="D938" i="4" s="1"/>
  <c r="D990" i="4" a="1"/>
  <c r="D990" i="4" s="1"/>
  <c r="D854" i="4" a="1"/>
  <c r="D854" i="4" s="1"/>
  <c r="D932" i="4" a="1"/>
  <c r="D932" i="4" s="1"/>
  <c r="D979" i="4" a="1"/>
  <c r="D979" i="4" s="1"/>
  <c r="D967" i="4" a="1"/>
  <c r="D967" i="4" s="1"/>
  <c r="D966" i="4" a="1"/>
  <c r="D966" i="4" s="1"/>
  <c r="D952" i="4" a="1"/>
  <c r="D952" i="4" s="1"/>
  <c r="D945" i="4" a="1"/>
  <c r="D945" i="4" s="1"/>
  <c r="D954" i="4" a="1"/>
  <c r="D954" i="4" s="1"/>
  <c r="D870" i="4" a="1"/>
  <c r="D870" i="4" s="1"/>
  <c r="D888" i="4" a="1"/>
  <c r="D888" i="4" s="1"/>
  <c r="D919" i="4" a="1"/>
  <c r="D919" i="4" s="1"/>
  <c r="D880" i="4" a="1"/>
  <c r="D880" i="4" s="1"/>
  <c r="D902" i="4" a="1"/>
  <c r="D902" i="4" s="1"/>
  <c r="D842" i="4" a="1"/>
  <c r="D842" i="4" s="1"/>
  <c r="D1006" i="4" a="1"/>
  <c r="D1006" i="4" s="1"/>
  <c r="D927" i="4" a="1"/>
  <c r="D927" i="4" s="1"/>
  <c r="D896" i="4" a="1"/>
  <c r="D896" i="4" s="1"/>
  <c r="D868" i="4" a="1"/>
  <c r="D868" i="4" s="1"/>
  <c r="Y989" i="4" a="1"/>
  <c r="Y989" i="4" s="1"/>
  <c r="Y851" i="4" a="1"/>
  <c r="Y851" i="4" s="1"/>
  <c r="Y909" i="4" a="1"/>
  <c r="Y909" i="4" s="1"/>
  <c r="Y1013" i="4" a="1"/>
  <c r="Y1013" i="4" s="1"/>
  <c r="Y963" i="4" a="1"/>
  <c r="Y963" i="4" s="1"/>
  <c r="Y1027" i="4" a="1"/>
  <c r="Y1027" i="4" s="1"/>
  <c r="Y998" i="4" a="1"/>
  <c r="Y998" i="4" s="1"/>
  <c r="Y1022" i="4" a="1"/>
  <c r="Y1022" i="4" s="1"/>
  <c r="Y941" i="4" a="1"/>
  <c r="Y941" i="4" s="1"/>
  <c r="Y946" i="4" a="1"/>
  <c r="Y946" i="4" s="1"/>
  <c r="Y1015" i="4" a="1"/>
  <c r="Y1015" i="4" s="1"/>
  <c r="AB949" i="4" a="1"/>
  <c r="AB949" i="4" s="1"/>
  <c r="AB964" i="4" a="1"/>
  <c r="AB964" i="4" s="1"/>
  <c r="AB879" i="4" a="1"/>
  <c r="AB879" i="4" s="1"/>
  <c r="AB1019" i="4" a="1"/>
  <c r="AB1019" i="4" s="1"/>
  <c r="AB887" i="4" a="1"/>
  <c r="AB887" i="4" s="1"/>
  <c r="AB921" i="4" a="1"/>
  <c r="AB921" i="4" s="1"/>
  <c r="AB911" i="4" a="1"/>
  <c r="AB911" i="4" s="1"/>
  <c r="AB846" i="4" a="1"/>
  <c r="AB846" i="4" s="1"/>
  <c r="AB898" i="4" a="1"/>
  <c r="AB898" i="4" s="1"/>
  <c r="AB951" i="4" a="1"/>
  <c r="AB951" i="4" s="1"/>
  <c r="AB939" i="4" a="1"/>
  <c r="AB939" i="4" s="1"/>
  <c r="AB863" i="4" a="1"/>
  <c r="AB863" i="4" s="1"/>
  <c r="AB840" i="4" a="1"/>
  <c r="AB840" i="4" s="1"/>
  <c r="AB843" i="4" a="1"/>
  <c r="AB843" i="4" s="1"/>
  <c r="AB989" i="4" a="1"/>
  <c r="AB989" i="4" s="1"/>
  <c r="AB851" i="4" a="1"/>
  <c r="AB851" i="4" s="1"/>
  <c r="AB909" i="4" a="1"/>
  <c r="AB909" i="4" s="1"/>
  <c r="AB1013" i="4" a="1"/>
  <c r="AB1013" i="4" s="1"/>
  <c r="AB963" i="4" a="1"/>
  <c r="AB963" i="4" s="1"/>
  <c r="AB1027" i="4" a="1"/>
  <c r="AB1027" i="4" s="1"/>
  <c r="AB998" i="4" a="1"/>
  <c r="AB998" i="4" s="1"/>
  <c r="AB1022" i="4" a="1"/>
  <c r="AB1022" i="4" s="1"/>
  <c r="AB941" i="4" a="1"/>
  <c r="AB941" i="4" s="1"/>
  <c r="AB946" i="4" a="1"/>
  <c r="AB946" i="4" s="1"/>
  <c r="AB1015" i="4" a="1"/>
  <c r="AB1015" i="4" s="1"/>
  <c r="M949" i="4" a="1"/>
  <c r="M949" i="4" s="1"/>
  <c r="M964" i="4" a="1"/>
  <c r="M964" i="4" s="1"/>
  <c r="M879" i="4" a="1"/>
  <c r="M879" i="4" s="1"/>
  <c r="M1019" i="4" a="1"/>
  <c r="M1019" i="4" s="1"/>
  <c r="M887" i="4" a="1"/>
  <c r="M887" i="4" s="1"/>
  <c r="M921" i="4" a="1"/>
  <c r="M921" i="4" s="1"/>
  <c r="M911" i="4" a="1"/>
  <c r="M911" i="4" s="1"/>
  <c r="M846" i="4" a="1"/>
  <c r="M846" i="4" s="1"/>
  <c r="M898" i="4" a="1"/>
  <c r="M898" i="4" s="1"/>
  <c r="M951" i="4" a="1"/>
  <c r="M951" i="4" s="1"/>
  <c r="M939" i="4" a="1"/>
  <c r="M939" i="4" s="1"/>
  <c r="M863" i="4" a="1"/>
  <c r="M863" i="4" s="1"/>
  <c r="M840" i="4" a="1"/>
  <c r="M840" i="4" s="1"/>
  <c r="M843" i="4" a="1"/>
  <c r="M843" i="4" s="1"/>
  <c r="M989" i="4" a="1"/>
  <c r="M989" i="4" s="1"/>
  <c r="M851" i="4" a="1"/>
  <c r="M851" i="4" s="1"/>
  <c r="M909" i="4" a="1"/>
  <c r="M909" i="4" s="1"/>
  <c r="M1013" i="4" a="1"/>
  <c r="M1013" i="4" s="1"/>
  <c r="M963" i="4" a="1"/>
  <c r="M963" i="4" s="1"/>
  <c r="M1027" i="4" a="1"/>
  <c r="M1027" i="4" s="1"/>
  <c r="M998" i="4" a="1"/>
  <c r="M998" i="4" s="1"/>
  <c r="M1022" i="4" a="1"/>
  <c r="M1022" i="4" s="1"/>
  <c r="M941" i="4" a="1"/>
  <c r="M941" i="4" s="1"/>
  <c r="M946" i="4" a="1"/>
  <c r="M946" i="4" s="1"/>
  <c r="M1015" i="4" a="1"/>
  <c r="M1015" i="4" s="1"/>
  <c r="D985" i="4" a="1"/>
  <c r="D985" i="4" s="1"/>
  <c r="D839" i="4" a="1"/>
  <c r="D839" i="4" s="1"/>
  <c r="D878" i="4" a="1"/>
  <c r="D878" i="4" s="1"/>
  <c r="D972" i="4" a="1"/>
  <c r="D972" i="4" s="1"/>
  <c r="D907" i="4" a="1"/>
  <c r="D907" i="4" s="1"/>
  <c r="D931" i="4" a="1"/>
  <c r="D931" i="4" s="1"/>
  <c r="D1011" i="4" a="1"/>
  <c r="D1011" i="4" s="1"/>
  <c r="D895" i="4" a="1"/>
  <c r="D895" i="4" s="1"/>
  <c r="D940" i="4" a="1"/>
  <c r="D940" i="4" s="1"/>
  <c r="D977" i="4" a="1"/>
  <c r="D977" i="4" s="1"/>
  <c r="D853" i="4" a="1"/>
  <c r="D853" i="4" s="1"/>
  <c r="D1026" i="4" a="1"/>
  <c r="D1026" i="4" s="1"/>
  <c r="D970" i="4" a="1"/>
  <c r="D970" i="4" s="1"/>
  <c r="D173" i="3"/>
  <c r="D996" i="4" s="1" a="1"/>
  <c r="D996" i="4" s="1"/>
  <c r="D1004" i="4" a="1"/>
  <c r="D1004" i="4" s="1"/>
  <c r="D894" i="4" a="1"/>
  <c r="D894" i="4" s="1"/>
  <c r="D925" i="4" a="1"/>
  <c r="D925" i="4" s="1"/>
  <c r="D891" i="4" a="1"/>
  <c r="D891" i="4" s="1"/>
  <c r="D1012" i="4" a="1"/>
  <c r="D1012" i="4" s="1"/>
  <c r="D841" i="4" a="1"/>
  <c r="D841" i="4" s="1"/>
  <c r="D918" i="4" a="1"/>
  <c r="D918" i="4" s="1"/>
  <c r="D869" i="4" a="1"/>
  <c r="D869" i="4" s="1"/>
  <c r="D187" i="3"/>
  <c r="D1010" i="4" s="1" a="1"/>
  <c r="D1010" i="4" s="1"/>
  <c r="CD187" i="3"/>
  <c r="AB1010" i="4" s="1" a="1"/>
  <c r="AB1010" i="4" s="1"/>
  <c r="AB869" i="4" a="1"/>
  <c r="AB869" i="4" s="1"/>
  <c r="AB918" i="4" a="1"/>
  <c r="AB918" i="4" s="1"/>
  <c r="AB841" i="4" a="1"/>
  <c r="AB841" i="4" s="1"/>
  <c r="AB1012" i="4" a="1"/>
  <c r="AB1012" i="4" s="1"/>
  <c r="AB891" i="4" a="1"/>
  <c r="AB891" i="4" s="1"/>
  <c r="AB925" i="4" a="1"/>
  <c r="AB925" i="4" s="1"/>
  <c r="AB894" i="4" a="1"/>
  <c r="AB894" i="4" s="1"/>
  <c r="AB1004" i="4" a="1"/>
  <c r="AB1004" i="4" s="1"/>
  <c r="CD173" i="3"/>
  <c r="AB996" i="4" s="1" a="1"/>
  <c r="AB996" i="4" s="1"/>
  <c r="AB970" i="4" a="1"/>
  <c r="AB970" i="4" s="1"/>
  <c r="AB1026" i="4" a="1"/>
  <c r="AB1026" i="4" s="1"/>
  <c r="AB853" i="4" a="1"/>
  <c r="AB853" i="4" s="1"/>
  <c r="AB977" i="4" a="1"/>
  <c r="AB977" i="4" s="1"/>
  <c r="AB940" i="4" a="1"/>
  <c r="AB940" i="4" s="1"/>
  <c r="AB895" i="4" a="1"/>
  <c r="AB895" i="4" s="1"/>
  <c r="AB1011" i="4" a="1"/>
  <c r="AB1011" i="4" s="1"/>
  <c r="AB931" i="4" a="1"/>
  <c r="AB931" i="4" s="1"/>
  <c r="AB907" i="4" a="1"/>
  <c r="AB907" i="4" s="1"/>
  <c r="AB972" i="4" a="1"/>
  <c r="AB972" i="4" s="1"/>
  <c r="AB878" i="4" a="1"/>
  <c r="AB878" i="4" s="1"/>
  <c r="AB839" i="4" a="1"/>
  <c r="AB839" i="4" s="1"/>
  <c r="AB985" i="4" a="1"/>
  <c r="AB985" i="4" s="1"/>
  <c r="AB944" i="4" a="1"/>
  <c r="AB944" i="4" s="1"/>
  <c r="AE187" i="3"/>
  <c r="M1010" i="4" s="1" a="1"/>
  <c r="M1010" i="4" s="1"/>
  <c r="M869" i="4" a="1"/>
  <c r="M869" i="4" s="1"/>
  <c r="M918" i="4" a="1"/>
  <c r="M918" i="4" s="1"/>
  <c r="M841" i="4" a="1"/>
  <c r="M841" i="4" s="1"/>
  <c r="M1012" i="4" a="1"/>
  <c r="M1012" i="4" s="1"/>
  <c r="M891" i="4" a="1"/>
  <c r="M891" i="4" s="1"/>
  <c r="M925" i="4" a="1"/>
  <c r="M925" i="4" s="1"/>
  <c r="M894" i="4" a="1"/>
  <c r="M894" i="4" s="1"/>
  <c r="M1004" i="4" a="1"/>
  <c r="M1004" i="4" s="1"/>
  <c r="AE173" i="3"/>
  <c r="M996" i="4" s="1" a="1"/>
  <c r="M996" i="4" s="1"/>
  <c r="M970" i="4" a="1"/>
  <c r="M970" i="4" s="1"/>
  <c r="M1026" i="4" a="1"/>
  <c r="M1026" i="4" s="1"/>
  <c r="M853" i="4" a="1"/>
  <c r="M853" i="4" s="1"/>
  <c r="M977" i="4" a="1"/>
  <c r="M977" i="4" s="1"/>
  <c r="M940" i="4" a="1"/>
  <c r="M940" i="4" s="1"/>
  <c r="M895" i="4" a="1"/>
  <c r="M895" i="4" s="1"/>
  <c r="M1011" i="4" a="1"/>
  <c r="M1011" i="4" s="1"/>
  <c r="M931" i="4" a="1"/>
  <c r="M931" i="4" s="1"/>
  <c r="M907" i="4" a="1"/>
  <c r="M907" i="4" s="1"/>
  <c r="M972" i="4" a="1"/>
  <c r="M972" i="4" s="1"/>
  <c r="M878" i="4" a="1"/>
  <c r="M878" i="4" s="1"/>
  <c r="M839" i="4" a="1"/>
  <c r="M839" i="4" s="1"/>
  <c r="M985" i="4" a="1"/>
  <c r="M985" i="4" s="1"/>
  <c r="D1015" i="4" a="1"/>
  <c r="D1015" i="4" s="1"/>
  <c r="D946" i="4" a="1"/>
  <c r="D946" i="4" s="1"/>
  <c r="D941" i="4" a="1"/>
  <c r="D941" i="4" s="1"/>
  <c r="D1022" i="4" a="1"/>
  <c r="D1022" i="4" s="1"/>
  <c r="D998" i="4" a="1"/>
  <c r="D998" i="4" s="1"/>
  <c r="D1027" i="4" a="1"/>
  <c r="D1027" i="4" s="1"/>
  <c r="D963" i="4" a="1"/>
  <c r="D963" i="4" s="1"/>
  <c r="D1013" i="4" a="1"/>
  <c r="D1013" i="4" s="1"/>
  <c r="D909" i="4" a="1"/>
  <c r="D909" i="4" s="1"/>
  <c r="D851" i="4" a="1"/>
  <c r="D851" i="4" s="1"/>
  <c r="D989" i="4" a="1"/>
  <c r="D989" i="4" s="1"/>
  <c r="D843" i="4" a="1"/>
  <c r="D843" i="4" s="1"/>
  <c r="D840" i="4" a="1"/>
  <c r="D840" i="4" s="1"/>
  <c r="D863" i="4" a="1"/>
  <c r="D863" i="4" s="1"/>
  <c r="D939" i="4" a="1"/>
  <c r="D939" i="4" s="1"/>
  <c r="D951" i="4" a="1"/>
  <c r="D951" i="4" s="1"/>
  <c r="D898" i="4" a="1"/>
  <c r="D898" i="4" s="1"/>
  <c r="D846" i="4" a="1"/>
  <c r="D846" i="4" s="1"/>
  <c r="D911" i="4" a="1"/>
  <c r="D911" i="4" s="1"/>
  <c r="D921" i="4" a="1"/>
  <c r="D921" i="4" s="1"/>
  <c r="D887" i="4" a="1"/>
  <c r="D887" i="4" s="1"/>
  <c r="D1019" i="4" a="1"/>
  <c r="D1019" i="4" s="1"/>
  <c r="D879" i="4" a="1"/>
  <c r="D879" i="4" s="1"/>
  <c r="D964" i="4" a="1"/>
  <c r="D964" i="4" s="1"/>
  <c r="D949" i="4" a="1"/>
  <c r="D949" i="4" s="1"/>
  <c r="AB906" i="4" a="1"/>
  <c r="AB906" i="4" s="1"/>
  <c r="M868" i="4" a="1"/>
  <c r="M868" i="4" s="1"/>
  <c r="M896" i="4" a="1"/>
  <c r="M896" i="4" s="1"/>
  <c r="M927" i="4" a="1"/>
  <c r="M927" i="4" s="1"/>
  <c r="M1006" i="4" a="1"/>
  <c r="M1006" i="4" s="1"/>
  <c r="M842" i="4" a="1"/>
  <c r="M842" i="4" s="1"/>
  <c r="M902" i="4" a="1"/>
  <c r="M902" i="4" s="1"/>
  <c r="M880" i="4" a="1"/>
  <c r="M880" i="4" s="1"/>
  <c r="M919" i="4" a="1"/>
  <c r="M919" i="4" s="1"/>
  <c r="M888" i="4" a="1"/>
  <c r="M888" i="4" s="1"/>
  <c r="M870" i="4" a="1"/>
  <c r="M870" i="4" s="1"/>
  <c r="M954" i="4" a="1"/>
  <c r="M954" i="4" s="1"/>
  <c r="M945" i="4" a="1"/>
  <c r="M945" i="4" s="1"/>
  <c r="M952" i="4" a="1"/>
  <c r="M952" i="4" s="1"/>
  <c r="M966" i="4" a="1"/>
  <c r="M966" i="4" s="1"/>
  <c r="M967" i="4" a="1"/>
  <c r="M967" i="4" s="1"/>
  <c r="M979" i="4" a="1"/>
  <c r="M979" i="4" s="1"/>
  <c r="M932" i="4" a="1"/>
  <c r="M932" i="4" s="1"/>
  <c r="M854" i="4" a="1"/>
  <c r="M854" i="4" s="1"/>
  <c r="M990" i="4" a="1"/>
  <c r="M990" i="4" s="1"/>
  <c r="M938" i="4" a="1"/>
  <c r="M938" i="4" s="1"/>
  <c r="M960" i="4" a="1"/>
  <c r="M960" i="4" s="1"/>
  <c r="M1031" i="4" a="1"/>
  <c r="M1031" i="4" s="1"/>
  <c r="M906" i="4" a="1"/>
  <c r="M906" i="4" s="1"/>
  <c r="D893" i="4" a="1"/>
  <c r="D893" i="4" s="1"/>
  <c r="D957" i="4" a="1"/>
  <c r="D957" i="4" s="1"/>
  <c r="D848" i="4" a="1"/>
  <c r="D848" i="4" s="1"/>
  <c r="D1000" i="4" a="1"/>
  <c r="D1000" i="4" s="1"/>
  <c r="D912" i="4" a="1"/>
  <c r="D912" i="4" s="1"/>
  <c r="D981" i="4" a="1"/>
  <c r="D981" i="4" s="1"/>
  <c r="D897" i="4" a="1"/>
  <c r="D897" i="4" s="1"/>
  <c r="D864" i="4" a="1"/>
  <c r="D864" i="4" s="1"/>
  <c r="D997" i="4" a="1"/>
  <c r="D997" i="4" s="1"/>
  <c r="D844" i="4" a="1"/>
  <c r="D844" i="4" s="1"/>
  <c r="D862" i="4" a="1"/>
  <c r="D862" i="4" s="1"/>
  <c r="D855" i="4" a="1"/>
  <c r="D855" i="4" s="1"/>
  <c r="D892" i="4" a="1"/>
  <c r="D892" i="4" s="1"/>
  <c r="D1020" i="4" a="1"/>
  <c r="D1020" i="4" s="1"/>
  <c r="D845" i="4" a="1"/>
  <c r="D845" i="4" s="1"/>
  <c r="D852" i="4" a="1"/>
  <c r="D852" i="4" s="1"/>
  <c r="D936" i="4" a="1"/>
  <c r="D936" i="4" s="1"/>
  <c r="D943" i="4" a="1"/>
  <c r="D943" i="4" s="1"/>
  <c r="D987" i="4" a="1"/>
  <c r="D987" i="4" s="1"/>
  <c r="D873" i="4" a="1"/>
  <c r="D873" i="4" s="1"/>
  <c r="D934" i="4" a="1"/>
  <c r="D934" i="4" s="1"/>
  <c r="D904" i="4" a="1"/>
  <c r="D904" i="4" s="1"/>
  <c r="D1005" i="4" a="1"/>
  <c r="D1005" i="4" s="1"/>
  <c r="Y850" i="4" a="1"/>
  <c r="Y850" i="4" s="1"/>
  <c r="Y905" i="4" a="1"/>
  <c r="Y905" i="4" s="1"/>
  <c r="Y913" i="4" a="1"/>
  <c r="Y913" i="4" s="1"/>
  <c r="Y926" i="4" a="1"/>
  <c r="Y926" i="4" s="1"/>
  <c r="Y1018" i="4" a="1"/>
  <c r="Y1018" i="4" s="1"/>
  <c r="Y916" i="4" a="1"/>
  <c r="Y916" i="4" s="1"/>
  <c r="Y900" i="4" a="1"/>
  <c r="Y900" i="4" s="1"/>
  <c r="Y1029" i="4" a="1"/>
  <c r="Y1029" i="4" s="1"/>
  <c r="Y935" i="4" a="1"/>
  <c r="Y935" i="4" s="1"/>
  <c r="Y847" i="4" a="1"/>
  <c r="Y847" i="4" s="1"/>
  <c r="Y924" i="4" a="1"/>
  <c r="Y924" i="4" s="1"/>
  <c r="Y1001" i="4" a="1"/>
  <c r="Y1001" i="4" s="1"/>
  <c r="Y922" i="4" a="1"/>
  <c r="Y922" i="4" s="1"/>
  <c r="Y993" i="4" a="1"/>
  <c r="Y993" i="4" s="1"/>
  <c r="Y901" i="4" a="1"/>
  <c r="Y901" i="4" s="1"/>
  <c r="Y1024" i="4" a="1"/>
  <c r="Y1024" i="4" s="1"/>
  <c r="Y867" i="4" a="1"/>
  <c r="Y867" i="4" s="1"/>
  <c r="Y1002" i="4" a="1"/>
  <c r="Y1002" i="4" s="1"/>
  <c r="Y1023" i="4" a="1"/>
  <c r="Y1023" i="4" s="1"/>
  <c r="Y861" i="4" a="1"/>
  <c r="Y861" i="4" s="1"/>
  <c r="Y884" i="4" a="1"/>
  <c r="Y884" i="4" s="1"/>
  <c r="Y968" i="4" a="1"/>
  <c r="Y968" i="4" s="1"/>
  <c r="Y1025" i="4" a="1"/>
  <c r="Y1025" i="4" s="1"/>
  <c r="Y994" i="4" a="1"/>
  <c r="Y994" i="4" s="1"/>
  <c r="AB850" i="4" a="1"/>
  <c r="AB850" i="4" s="1"/>
  <c r="AB905" i="4" a="1"/>
  <c r="AB905" i="4" s="1"/>
  <c r="AB913" i="4" a="1"/>
  <c r="AB913" i="4" s="1"/>
  <c r="AB926" i="4" a="1"/>
  <c r="AB926" i="4" s="1"/>
  <c r="AB1018" i="4" a="1"/>
  <c r="AB1018" i="4" s="1"/>
  <c r="AB916" i="4" a="1"/>
  <c r="AB916" i="4" s="1"/>
  <c r="AB900" i="4" a="1"/>
  <c r="AB900" i="4" s="1"/>
  <c r="AB1029" i="4" a="1"/>
  <c r="AB1029" i="4" s="1"/>
  <c r="AB935" i="4" a="1"/>
  <c r="AB935" i="4" s="1"/>
  <c r="AB847" i="4" a="1"/>
  <c r="AB847" i="4" s="1"/>
  <c r="AB924" i="4" a="1"/>
  <c r="AB924" i="4" s="1"/>
  <c r="AB1001" i="4" a="1"/>
  <c r="AB1001" i="4" s="1"/>
  <c r="AB922" i="4" a="1"/>
  <c r="AB922" i="4" s="1"/>
  <c r="AB993" i="4" a="1"/>
  <c r="AB993" i="4" s="1"/>
  <c r="AB901" i="4" a="1"/>
  <c r="AB901" i="4" s="1"/>
  <c r="AB1024" i="4" a="1"/>
  <c r="AB1024" i="4" s="1"/>
  <c r="AB867" i="4" a="1"/>
  <c r="AB867" i="4" s="1"/>
  <c r="AB1002" i="4" a="1"/>
  <c r="AB1002" i="4" s="1"/>
  <c r="AB1023" i="4" a="1"/>
  <c r="AB1023" i="4" s="1"/>
  <c r="AB861" i="4" a="1"/>
  <c r="AB861" i="4" s="1"/>
  <c r="AB884" i="4" a="1"/>
  <c r="AB884" i="4" s="1"/>
  <c r="AB968" i="4" a="1"/>
  <c r="AB968" i="4" s="1"/>
  <c r="AB1025" i="4" a="1"/>
  <c r="AB1025" i="4" s="1"/>
  <c r="AB994" i="4" a="1"/>
  <c r="AB994" i="4" s="1"/>
  <c r="M850" i="4" a="1"/>
  <c r="M850" i="4" s="1"/>
  <c r="M905" i="4" a="1"/>
  <c r="M905" i="4" s="1"/>
  <c r="M913" i="4" a="1"/>
  <c r="M913" i="4" s="1"/>
  <c r="M926" i="4" a="1"/>
  <c r="M926" i="4" s="1"/>
  <c r="M1018" i="4" a="1"/>
  <c r="M1018" i="4" s="1"/>
  <c r="M916" i="4" a="1"/>
  <c r="M916" i="4" s="1"/>
  <c r="M900" i="4" a="1"/>
  <c r="M900" i="4" s="1"/>
  <c r="M1029" i="4" a="1"/>
  <c r="M1029" i="4" s="1"/>
  <c r="M935" i="4" a="1"/>
  <c r="M935" i="4" s="1"/>
  <c r="M847" i="4" a="1"/>
  <c r="M847" i="4" s="1"/>
  <c r="M924" i="4" a="1"/>
  <c r="M924" i="4" s="1"/>
  <c r="M1001" i="4" a="1"/>
  <c r="M1001" i="4" s="1"/>
  <c r="M922" i="4" a="1"/>
  <c r="M922" i="4" s="1"/>
  <c r="M993" i="4" a="1"/>
  <c r="M993" i="4" s="1"/>
  <c r="M901" i="4" a="1"/>
  <c r="M901" i="4" s="1"/>
  <c r="M1024" i="4" a="1"/>
  <c r="M1024" i="4" s="1"/>
  <c r="M867" i="4" a="1"/>
  <c r="M867" i="4" s="1"/>
  <c r="M1002" i="4" a="1"/>
  <c r="M1002" i="4" s="1"/>
  <c r="M1023" i="4" a="1"/>
  <c r="M1023" i="4" s="1"/>
  <c r="M861" i="4" a="1"/>
  <c r="M861" i="4" s="1"/>
  <c r="M884" i="4" a="1"/>
  <c r="M884" i="4" s="1"/>
  <c r="M968" i="4" a="1"/>
  <c r="M968" i="4" s="1"/>
  <c r="M1025" i="4" a="1"/>
  <c r="M1025" i="4" s="1"/>
  <c r="M994" i="4" a="1"/>
  <c r="M994" i="4" s="1"/>
  <c r="D920" i="4" a="1"/>
  <c r="D920" i="4" s="1"/>
  <c r="D917" i="4" a="1"/>
  <c r="D917" i="4" s="1"/>
  <c r="D908" i="4" a="1"/>
  <c r="D908" i="4" s="1"/>
  <c r="D962" i="4" a="1"/>
  <c r="D962" i="4" s="1"/>
  <c r="D1007" i="4" a="1"/>
  <c r="D1007" i="4" s="1"/>
  <c r="D976" i="4" a="1"/>
  <c r="D976" i="4" s="1"/>
  <c r="D857" i="4" a="1"/>
  <c r="D857" i="4" s="1"/>
  <c r="D876" i="4" a="1"/>
  <c r="D876" i="4" s="1"/>
  <c r="D969" i="4" a="1"/>
  <c r="D969" i="4" s="1"/>
  <c r="D871" i="4" a="1"/>
  <c r="D871" i="4" s="1"/>
  <c r="D886" i="4" a="1"/>
  <c r="D886" i="4" s="1"/>
  <c r="D974" i="4" a="1"/>
  <c r="D974" i="4" s="1"/>
  <c r="D874" i="4" a="1"/>
  <c r="D874" i="4" s="1"/>
  <c r="D1021" i="4" a="1"/>
  <c r="D1021" i="4" s="1"/>
  <c r="D903" i="4" a="1"/>
  <c r="D903" i="4" s="1"/>
  <c r="D856" i="4" a="1"/>
  <c r="D856" i="4" s="1"/>
  <c r="D1003" i="4" a="1"/>
  <c r="D1003" i="4" s="1"/>
  <c r="D1009" i="4" a="1"/>
  <c r="D1009" i="4" s="1"/>
  <c r="D899" i="4" a="1"/>
  <c r="D899" i="4" s="1"/>
  <c r="D872" i="4" a="1"/>
  <c r="D872" i="4" s="1"/>
  <c r="D953" i="4" a="1"/>
  <c r="D953" i="4" s="1"/>
  <c r="D168" i="3"/>
  <c r="D991" i="4" s="1" a="1"/>
  <c r="D991" i="4" s="1"/>
  <c r="D999" i="4" a="1"/>
  <c r="D999" i="4" s="1"/>
  <c r="D882" i="4" a="1"/>
  <c r="D882" i="4" s="1"/>
  <c r="J944" i="4" a="1"/>
  <c r="J944" i="4" s="1"/>
  <c r="Y910" i="4" a="1"/>
  <c r="Y910" i="4" s="1"/>
  <c r="Y956" i="4" a="1"/>
  <c r="Y956" i="4" s="1"/>
  <c r="Y948" i="4" a="1"/>
  <c r="Y948" i="4" s="1"/>
  <c r="Y983" i="4" a="1"/>
  <c r="Y983" i="4" s="1"/>
  <c r="Y984" i="4" a="1"/>
  <c r="Y984" i="4" s="1"/>
  <c r="Y988" i="4" a="1"/>
  <c r="Y988" i="4" s="1"/>
  <c r="Y885" i="4" a="1"/>
  <c r="Y885" i="4" s="1"/>
  <c r="Y915" i="4" a="1"/>
  <c r="Y915" i="4" s="1"/>
  <c r="Y947" i="4" a="1"/>
  <c r="Y947" i="4" s="1"/>
  <c r="BW106" i="3"/>
  <c r="Y929" i="4" s="1" a="1"/>
  <c r="Y929" i="4" s="1"/>
  <c r="Y961" i="4" a="1"/>
  <c r="Y961" i="4" s="1"/>
  <c r="Y928" i="4" a="1"/>
  <c r="Y928" i="4" s="1"/>
  <c r="AB858" i="4" a="1"/>
  <c r="AB858" i="4" s="1"/>
  <c r="AB965" i="4" a="1"/>
  <c r="AB965" i="4" s="1"/>
  <c r="AB883" i="4" a="1"/>
  <c r="AB883" i="4" s="1"/>
  <c r="AB859" i="4" a="1"/>
  <c r="AB859" i="4" s="1"/>
  <c r="AB865" i="4" a="1"/>
  <c r="AB865" i="4" s="1"/>
  <c r="AB992" i="4" a="1"/>
  <c r="AB992" i="4" s="1"/>
  <c r="AB980" i="4" a="1"/>
  <c r="AB980" i="4" s="1"/>
  <c r="AB1028" i="4" a="1"/>
  <c r="AB1028" i="4" s="1"/>
  <c r="AB1030" i="4" a="1"/>
  <c r="AB1030" i="4" s="1"/>
  <c r="AB973" i="4" a="1"/>
  <c r="AB973" i="4" s="1"/>
  <c r="AB937" i="4" a="1"/>
  <c r="AB937" i="4" s="1"/>
  <c r="AB1016" i="4" a="1"/>
  <c r="AB1016" i="4" s="1"/>
  <c r="AB910" i="4" a="1"/>
  <c r="AB910" i="4" s="1"/>
  <c r="AB956" i="4" a="1"/>
  <c r="AB956" i="4" s="1"/>
  <c r="AB948" i="4" a="1"/>
  <c r="AB948" i="4" s="1"/>
  <c r="AB983" i="4" a="1"/>
  <c r="AB983" i="4" s="1"/>
  <c r="AB984" i="4" a="1"/>
  <c r="AB984" i="4" s="1"/>
  <c r="AB988" i="4" a="1"/>
  <c r="AB988" i="4" s="1"/>
  <c r="AB885" i="4" a="1"/>
  <c r="AB885" i="4" s="1"/>
  <c r="AB915" i="4" a="1"/>
  <c r="AB915" i="4" s="1"/>
  <c r="AB947" i="4" a="1"/>
  <c r="AB947" i="4" s="1"/>
  <c r="CD106" i="3"/>
  <c r="AB929" i="4" s="1" a="1"/>
  <c r="AB929" i="4" s="1"/>
  <c r="AB961" i="4" a="1"/>
  <c r="AB961" i="4" s="1"/>
  <c r="AB928" i="4" a="1"/>
  <c r="AB928" i="4" s="1"/>
  <c r="M858" i="4" a="1"/>
  <c r="M858" i="4" s="1"/>
  <c r="M965" i="4" a="1"/>
  <c r="M965" i="4" s="1"/>
  <c r="M883" i="4" a="1"/>
  <c r="M883" i="4" s="1"/>
  <c r="M859" i="4" a="1"/>
  <c r="M859" i="4" s="1"/>
  <c r="M865" i="4" a="1"/>
  <c r="M865" i="4" s="1"/>
  <c r="M992" i="4" a="1"/>
  <c r="M992" i="4" s="1"/>
  <c r="M980" i="4" a="1"/>
  <c r="M980" i="4" s="1"/>
  <c r="M1028" i="4" a="1"/>
  <c r="M1028" i="4" s="1"/>
  <c r="M1030" i="4" a="1"/>
  <c r="M1030" i="4" s="1"/>
  <c r="M973" i="4" a="1"/>
  <c r="M973" i="4" s="1"/>
  <c r="M937" i="4" a="1"/>
  <c r="M937" i="4" s="1"/>
  <c r="M1016" i="4" a="1"/>
  <c r="M1016" i="4" s="1"/>
  <c r="M910" i="4" a="1"/>
  <c r="M910" i="4" s="1"/>
  <c r="M956" i="4" a="1"/>
  <c r="M956" i="4" s="1"/>
  <c r="M948" i="4" a="1"/>
  <c r="M948" i="4" s="1"/>
  <c r="M983" i="4" a="1"/>
  <c r="M983" i="4" s="1"/>
  <c r="M984" i="4" a="1"/>
  <c r="M984" i="4" s="1"/>
  <c r="M988" i="4" a="1"/>
  <c r="M988" i="4" s="1"/>
  <c r="M885" i="4" a="1"/>
  <c r="M885" i="4" s="1"/>
  <c r="M915" i="4" a="1"/>
  <c r="M915" i="4" s="1"/>
  <c r="M947" i="4" a="1"/>
  <c r="M947" i="4" s="1"/>
  <c r="AE106" i="3"/>
  <c r="M929" i="4" s="1" a="1"/>
  <c r="M929" i="4" s="1"/>
  <c r="M961" i="4" a="1"/>
  <c r="M961" i="4" s="1"/>
  <c r="M928" i="4" a="1"/>
  <c r="M928" i="4" s="1"/>
  <c r="D958" i="4" a="1"/>
  <c r="D958" i="4" s="1"/>
  <c r="D950" i="4" a="1"/>
  <c r="D950" i="4" s="1"/>
  <c r="D875" i="4" a="1"/>
  <c r="D875" i="4" s="1"/>
  <c r="D942" i="4" a="1"/>
  <c r="D942" i="4" s="1"/>
  <c r="D866" i="4" a="1"/>
  <c r="D866" i="4" s="1"/>
  <c r="D982" i="4" a="1"/>
  <c r="D982" i="4" s="1"/>
  <c r="D955" i="4" a="1"/>
  <c r="D955" i="4" s="1"/>
  <c r="D849" i="4" a="1"/>
  <c r="D849" i="4" s="1"/>
  <c r="D933" i="4" a="1"/>
  <c r="D933" i="4" s="1"/>
  <c r="D986" i="4" a="1"/>
  <c r="D986" i="4" s="1"/>
  <c r="D930" i="4" a="1"/>
  <c r="D930" i="4" s="1"/>
  <c r="D1008" i="4" a="1"/>
  <c r="D1008" i="4" s="1"/>
  <c r="D923" i="4" a="1"/>
  <c r="D923" i="4" s="1"/>
  <c r="D959" i="4" a="1"/>
  <c r="D959" i="4" s="1"/>
  <c r="D1014" i="4" a="1"/>
  <c r="D1014" i="4" s="1"/>
  <c r="D66" i="3"/>
  <c r="D860" i="4" a="1"/>
  <c r="D860" i="4" s="1"/>
  <c r="D978" i="4" a="1"/>
  <c r="D978" i="4" s="1"/>
  <c r="D995" i="4" a="1"/>
  <c r="D995" i="4" s="1"/>
  <c r="D1017" i="4" a="1"/>
  <c r="D1017" i="4" s="1"/>
  <c r="D914" i="4" a="1"/>
  <c r="D914" i="4" s="1"/>
  <c r="D881" i="4" a="1"/>
  <c r="D881" i="4" s="1"/>
  <c r="D877" i="4" a="1"/>
  <c r="D877" i="4" s="1"/>
  <c r="D971" i="4" a="1"/>
  <c r="D971" i="4" s="1"/>
  <c r="D975" i="4" a="1"/>
  <c r="D975" i="4" s="1"/>
  <c r="Y975" i="4" a="1"/>
  <c r="Y975" i="4" s="1"/>
  <c r="Y971" i="4" a="1"/>
  <c r="Y971" i="4" s="1"/>
  <c r="Y877" i="4" a="1"/>
  <c r="Y877" i="4" s="1"/>
  <c r="Y881" i="4" a="1"/>
  <c r="Y881" i="4" s="1"/>
  <c r="Y914" i="4" a="1"/>
  <c r="Y914" i="4" s="1"/>
  <c r="Y1017" i="4" a="1"/>
  <c r="Y1017" i="4" s="1"/>
  <c r="Y995" i="4" a="1"/>
  <c r="Y995" i="4" s="1"/>
  <c r="Y978" i="4" a="1"/>
  <c r="Y978" i="4" s="1"/>
  <c r="Y860" i="4" a="1"/>
  <c r="Y860" i="4" s="1"/>
  <c r="BW66" i="3"/>
  <c r="Y889" i="4" s="1" a="1"/>
  <c r="Y889" i="4" s="1"/>
  <c r="Y1014" i="4" a="1"/>
  <c r="Y1014" i="4" s="1"/>
  <c r="Y959" i="4" a="1"/>
  <c r="Y959" i="4" s="1"/>
  <c r="Y923" i="4" a="1"/>
  <c r="Y923" i="4" s="1"/>
  <c r="Y1008" i="4" a="1"/>
  <c r="Y1008" i="4" s="1"/>
  <c r="Y930" i="4" a="1"/>
  <c r="Y930" i="4" s="1"/>
  <c r="Y986" i="4" a="1"/>
  <c r="Y986" i="4" s="1"/>
  <c r="Y933" i="4" a="1"/>
  <c r="Y933" i="4" s="1"/>
  <c r="Y849" i="4" a="1"/>
  <c r="Y849" i="4" s="1"/>
  <c r="Y955" i="4" a="1"/>
  <c r="Y955" i="4" s="1"/>
  <c r="Y982" i="4" a="1"/>
  <c r="Y982" i="4" s="1"/>
  <c r="Y866" i="4" a="1"/>
  <c r="Y866" i="4" s="1"/>
  <c r="Y942" i="4" a="1"/>
  <c r="Y942" i="4" s="1"/>
  <c r="Y875" i="4" a="1"/>
  <c r="Y875" i="4" s="1"/>
  <c r="Y950" i="4" a="1"/>
  <c r="Y950" i="4" s="1"/>
  <c r="Y958" i="4" a="1"/>
  <c r="Y958" i="4" s="1"/>
  <c r="AB975" i="4" a="1"/>
  <c r="AB975" i="4" s="1"/>
  <c r="AB971" i="4" a="1"/>
  <c r="AB971" i="4" s="1"/>
  <c r="AB877" i="4" a="1"/>
  <c r="AB877" i="4" s="1"/>
  <c r="AB881" i="4" a="1"/>
  <c r="AB881" i="4" s="1"/>
  <c r="AB914" i="4" a="1"/>
  <c r="AB914" i="4" s="1"/>
  <c r="AB1017" i="4" a="1"/>
  <c r="AB1017" i="4" s="1"/>
  <c r="AB995" i="4" a="1"/>
  <c r="AB995" i="4" s="1"/>
  <c r="AB978" i="4" a="1"/>
  <c r="AB978" i="4" s="1"/>
  <c r="AB860" i="4" a="1"/>
  <c r="AB860" i="4" s="1"/>
  <c r="CD66" i="3"/>
  <c r="AB889" i="4" s="1" a="1"/>
  <c r="AB889" i="4" s="1"/>
  <c r="AB1014" i="4" a="1"/>
  <c r="AB1014" i="4" s="1"/>
  <c r="AB959" i="4" a="1"/>
  <c r="AB959" i="4" s="1"/>
  <c r="AB923" i="4" a="1"/>
  <c r="AB923" i="4" s="1"/>
  <c r="AB1008" i="4" a="1"/>
  <c r="AB1008" i="4" s="1"/>
  <c r="AB930" i="4" a="1"/>
  <c r="AB930" i="4" s="1"/>
  <c r="AB986" i="4" a="1"/>
  <c r="AB986" i="4" s="1"/>
  <c r="AB933" i="4" a="1"/>
  <c r="AB933" i="4" s="1"/>
  <c r="AB849" i="4" a="1"/>
  <c r="AB849" i="4" s="1"/>
  <c r="AB955" i="4" a="1"/>
  <c r="AB955" i="4" s="1"/>
  <c r="AB982" i="4" a="1"/>
  <c r="AB982" i="4" s="1"/>
  <c r="AB866" i="4" a="1"/>
  <c r="AB866" i="4" s="1"/>
  <c r="AB942" i="4" a="1"/>
  <c r="AB942" i="4" s="1"/>
  <c r="AB875" i="4" a="1"/>
  <c r="AB875" i="4" s="1"/>
  <c r="AB950" i="4" a="1"/>
  <c r="AB950" i="4" s="1"/>
  <c r="AB958" i="4" a="1"/>
  <c r="AB958" i="4" s="1"/>
  <c r="M975" i="4" a="1"/>
  <c r="M975" i="4" s="1"/>
  <c r="M971" i="4" a="1"/>
  <c r="M971" i="4" s="1"/>
  <c r="M877" i="4" a="1"/>
  <c r="M877" i="4" s="1"/>
  <c r="M881" i="4" a="1"/>
  <c r="M881" i="4" s="1"/>
  <c r="M914" i="4" a="1"/>
  <c r="M914" i="4" s="1"/>
  <c r="M1017" i="4" a="1"/>
  <c r="M1017" i="4" s="1"/>
  <c r="M995" i="4" a="1"/>
  <c r="M995" i="4" s="1"/>
  <c r="M978" i="4" a="1"/>
  <c r="M978" i="4" s="1"/>
  <c r="M860" i="4" a="1"/>
  <c r="M860" i="4" s="1"/>
  <c r="AE66" i="3"/>
  <c r="M889" i="4" s="1" a="1"/>
  <c r="M889" i="4" s="1"/>
  <c r="M1014" i="4" a="1"/>
  <c r="M1014" i="4" s="1"/>
  <c r="M959" i="4" a="1"/>
  <c r="M959" i="4" s="1"/>
  <c r="M923" i="4" a="1"/>
  <c r="M923" i="4" s="1"/>
  <c r="M1008" i="4" a="1"/>
  <c r="M1008" i="4" s="1"/>
  <c r="M930" i="4" a="1"/>
  <c r="M930" i="4" s="1"/>
  <c r="M986" i="4" a="1"/>
  <c r="M986" i="4" s="1"/>
  <c r="M933" i="4" a="1"/>
  <c r="M933" i="4" s="1"/>
  <c r="M849" i="4" a="1"/>
  <c r="M849" i="4" s="1"/>
  <c r="M955" i="4" a="1"/>
  <c r="M955" i="4" s="1"/>
  <c r="M982" i="4" a="1"/>
  <c r="M982" i="4" s="1"/>
  <c r="M866" i="4" a="1"/>
  <c r="M866" i="4" s="1"/>
  <c r="M942" i="4" a="1"/>
  <c r="M942" i="4" s="1"/>
  <c r="M875" i="4" a="1"/>
  <c r="M875" i="4" s="1"/>
  <c r="M950" i="4" a="1"/>
  <c r="M950" i="4" s="1"/>
  <c r="M958" i="4" a="1"/>
  <c r="M958" i="4" s="1"/>
  <c r="D928" i="4" a="1"/>
  <c r="D928" i="4" s="1"/>
  <c r="D961" i="4" a="1"/>
  <c r="D961" i="4" s="1"/>
  <c r="D106" i="3"/>
  <c r="D929" i="4" s="1" a="1"/>
  <c r="D929" i="4" s="1"/>
  <c r="D947" i="4" a="1"/>
  <c r="D947" i="4" s="1"/>
  <c r="D915" i="4" a="1"/>
  <c r="D915" i="4" s="1"/>
  <c r="D885" i="4" a="1"/>
  <c r="D885" i="4" s="1"/>
  <c r="D988" i="4" a="1"/>
  <c r="D988" i="4" s="1"/>
  <c r="D984" i="4" a="1"/>
  <c r="D984" i="4" s="1"/>
  <c r="D983" i="4" a="1"/>
  <c r="D983" i="4" s="1"/>
  <c r="D948" i="4" a="1"/>
  <c r="D948" i="4" s="1"/>
  <c r="D956" i="4" a="1"/>
  <c r="D956" i="4" s="1"/>
  <c r="D910" i="4" a="1"/>
  <c r="D910" i="4" s="1"/>
  <c r="D1016" i="4" a="1"/>
  <c r="D1016" i="4" s="1"/>
  <c r="D937" i="4" a="1"/>
  <c r="D937" i="4" s="1"/>
  <c r="D973" i="4" a="1"/>
  <c r="D973" i="4" s="1"/>
  <c r="D1030" i="4" a="1"/>
  <c r="D1030" i="4" s="1"/>
  <c r="D1028" i="4" a="1"/>
  <c r="D1028" i="4" s="1"/>
  <c r="D980" i="4" a="1"/>
  <c r="D980" i="4" s="1"/>
  <c r="D992" i="4" a="1"/>
  <c r="D992" i="4" s="1"/>
  <c r="D865" i="4" a="1"/>
  <c r="D865" i="4" s="1"/>
  <c r="D859" i="4" a="1"/>
  <c r="D859" i="4" s="1"/>
  <c r="D883" i="4" a="1"/>
  <c r="D883" i="4" s="1"/>
  <c r="D965" i="4" a="1"/>
  <c r="D965" i="4" s="1"/>
  <c r="D858" i="4" a="1"/>
  <c r="D858" i="4" s="1"/>
  <c r="AB871" i="4" a="1"/>
  <c r="AB871" i="4" s="1"/>
  <c r="AB969" i="4" a="1"/>
  <c r="AB969" i="4" s="1"/>
  <c r="AB876" i="4" a="1"/>
  <c r="AB876" i="4" s="1"/>
  <c r="AB857" i="4" a="1"/>
  <c r="AB857" i="4" s="1"/>
  <c r="AB976" i="4" a="1"/>
  <c r="AB976" i="4" s="1"/>
  <c r="AB1007" i="4" a="1"/>
  <c r="AB1007" i="4" s="1"/>
  <c r="AB962" i="4" a="1"/>
  <c r="AB962" i="4" s="1"/>
  <c r="AB908" i="4" a="1"/>
  <c r="AB908" i="4" s="1"/>
  <c r="AB917" i="4" a="1"/>
  <c r="AB917" i="4" s="1"/>
  <c r="AB920" i="4" a="1"/>
  <c r="AB920" i="4" s="1"/>
  <c r="M882" i="4" a="1"/>
  <c r="M882" i="4" s="1"/>
  <c r="M999" i="4" a="1"/>
  <c r="M999" i="4" s="1"/>
  <c r="AE168" i="3"/>
  <c r="M991" i="4" s="1" a="1"/>
  <c r="M991" i="4" s="1"/>
  <c r="M953" i="4" a="1"/>
  <c r="M953" i="4" s="1"/>
  <c r="M872" i="4" a="1"/>
  <c r="M872" i="4" s="1"/>
  <c r="M899" i="4" a="1"/>
  <c r="M899" i="4" s="1"/>
  <c r="M1009" i="4" a="1"/>
  <c r="M1009" i="4" s="1"/>
  <c r="M1003" i="4" a="1"/>
  <c r="M1003" i="4" s="1"/>
  <c r="M856" i="4" a="1"/>
  <c r="M856" i="4" s="1"/>
  <c r="M903" i="4" a="1"/>
  <c r="M903" i="4" s="1"/>
  <c r="M1021" i="4" a="1"/>
  <c r="M1021" i="4" s="1"/>
  <c r="M874" i="4" a="1"/>
  <c r="M874" i="4" s="1"/>
  <c r="M974" i="4" a="1"/>
  <c r="M974" i="4" s="1"/>
  <c r="M886" i="4" a="1"/>
  <c r="M886" i="4" s="1"/>
  <c r="M871" i="4" a="1"/>
  <c r="M871" i="4" s="1"/>
  <c r="M969" i="4" a="1"/>
  <c r="M969" i="4" s="1"/>
  <c r="M876" i="4" a="1"/>
  <c r="M876" i="4" s="1"/>
  <c r="M857" i="4" a="1"/>
  <c r="M857" i="4" s="1"/>
  <c r="M976" i="4" a="1"/>
  <c r="M976" i="4" s="1"/>
  <c r="M1007" i="4" a="1"/>
  <c r="M1007" i="4" s="1"/>
  <c r="M962" i="4" a="1"/>
  <c r="M962" i="4" s="1"/>
  <c r="M908" i="4" a="1"/>
  <c r="M908" i="4" s="1"/>
  <c r="M917" i="4" a="1"/>
  <c r="M917" i="4" s="1"/>
  <c r="M920" i="4" a="1"/>
  <c r="M920" i="4" s="1"/>
  <c r="D994" i="4" a="1"/>
  <c r="D994" i="4" s="1"/>
  <c r="D1025" i="4" a="1"/>
  <c r="D1025" i="4" s="1"/>
  <c r="D968" i="4" a="1"/>
  <c r="D968" i="4" s="1"/>
  <c r="D884" i="4" a="1"/>
  <c r="D884" i="4" s="1"/>
  <c r="D861" i="4" a="1"/>
  <c r="D861" i="4" s="1"/>
  <c r="D1023" i="4" a="1"/>
  <c r="D1023" i="4" s="1"/>
  <c r="D1002" i="4" a="1"/>
  <c r="D1002" i="4" s="1"/>
  <c r="D867" i="4" a="1"/>
  <c r="D867" i="4" s="1"/>
  <c r="D1024" i="4" a="1"/>
  <c r="D1024" i="4" s="1"/>
  <c r="D901" i="4" a="1"/>
  <c r="D901" i="4" s="1"/>
  <c r="D993" i="4" a="1"/>
  <c r="D993" i="4" s="1"/>
  <c r="D922" i="4" a="1"/>
  <c r="D922" i="4" s="1"/>
  <c r="D1001" i="4" a="1"/>
  <c r="D1001" i="4" s="1"/>
  <c r="D924" i="4" a="1"/>
  <c r="D924" i="4" s="1"/>
  <c r="D847" i="4" a="1"/>
  <c r="D847" i="4" s="1"/>
  <c r="D935" i="4" a="1"/>
  <c r="D935" i="4" s="1"/>
  <c r="D1029" i="4" a="1"/>
  <c r="D1029" i="4" s="1"/>
  <c r="D900" i="4" a="1"/>
  <c r="D900" i="4" s="1"/>
  <c r="D916" i="4" a="1"/>
  <c r="D916" i="4" s="1"/>
  <c r="D1018" i="4" a="1"/>
  <c r="D1018" i="4" s="1"/>
  <c r="D926" i="4" a="1"/>
  <c r="D926" i="4" s="1"/>
  <c r="D913" i="4" a="1"/>
  <c r="D913" i="4" s="1"/>
  <c r="D905" i="4" a="1"/>
  <c r="D905" i="4" s="1"/>
  <c r="D850" i="4" a="1"/>
  <c r="D850" i="4" s="1"/>
  <c r="V887" i="4" a="1"/>
  <c r="V887" i="4" s="1"/>
  <c r="V951" i="4" a="1"/>
  <c r="V951" i="4" s="1"/>
  <c r="V909" i="4" a="1"/>
  <c r="V909" i="4" s="1"/>
  <c r="V946" i="4" a="1"/>
  <c r="V946" i="4" s="1"/>
  <c r="V964" i="4" a="1"/>
  <c r="V964" i="4" s="1"/>
  <c r="V863" i="4" a="1"/>
  <c r="V863" i="4" s="1"/>
  <c r="V998" i="4" a="1"/>
  <c r="V998" i="4" s="1"/>
  <c r="V891" i="4" a="1"/>
  <c r="V891" i="4" s="1"/>
  <c r="V853" i="4" a="1"/>
  <c r="V853" i="4" s="1"/>
  <c r="V878" i="4" a="1"/>
  <c r="V878" i="4" s="1"/>
  <c r="V949" i="4" a="1"/>
  <c r="V949" i="4" s="1"/>
  <c r="V898" i="4" a="1"/>
  <c r="V898" i="4" s="1"/>
  <c r="V1013" i="4" a="1"/>
  <c r="V1013" i="4" s="1"/>
  <c r="V841" i="4" a="1"/>
  <c r="V841" i="4" s="1"/>
  <c r="V970" i="4" a="1"/>
  <c r="V970" i="4" s="1"/>
  <c r="V931" i="4" a="1"/>
  <c r="V931" i="4" s="1"/>
  <c r="S932" i="4" a="1"/>
  <c r="S932" i="4" s="1"/>
  <c r="V896" i="4" a="1"/>
  <c r="V896" i="4" s="1"/>
  <c r="V888" i="4" a="1"/>
  <c r="V888" i="4" s="1"/>
  <c r="V967" i="4" a="1"/>
  <c r="V967" i="4" s="1"/>
  <c r="V938" i="4" a="1"/>
  <c r="V938" i="4" s="1"/>
  <c r="V879" i="4" a="1"/>
  <c r="V879" i="4" s="1"/>
  <c r="V939" i="4" a="1"/>
  <c r="V939" i="4" s="1"/>
  <c r="V1027" i="4" a="1"/>
  <c r="V1027" i="4" s="1"/>
  <c r="V838" i="4" a="1"/>
  <c r="V838" i="4" s="1"/>
  <c r="V1004" i="4" a="1"/>
  <c r="V1004" i="4" s="1"/>
  <c r="V1011" i="4" a="1"/>
  <c r="V1011" i="4" s="1"/>
  <c r="V944" i="4" a="1"/>
  <c r="V944" i="4" s="1"/>
  <c r="P870" i="4" a="1"/>
  <c r="P870" i="4" s="1"/>
  <c r="P979" i="4" a="1"/>
  <c r="P979" i="4" s="1"/>
  <c r="S896" i="4" a="1"/>
  <c r="S896" i="4" s="1"/>
  <c r="S919" i="4" a="1"/>
  <c r="S919" i="4" s="1"/>
  <c r="S938" i="4" a="1"/>
  <c r="S938" i="4" s="1"/>
  <c r="V996" i="4" a="1"/>
  <c r="V996" i="4" s="1"/>
  <c r="V902" i="4" a="1"/>
  <c r="V902" i="4" s="1"/>
  <c r="V870" i="4" a="1"/>
  <c r="V870" i="4" s="1"/>
  <c r="V979" i="4" a="1"/>
  <c r="V979" i="4" s="1"/>
  <c r="V960" i="4" a="1"/>
  <c r="V960" i="4" s="1"/>
  <c r="V850" i="4" a="1"/>
  <c r="V850" i="4" s="1"/>
  <c r="V1029" i="4" a="1"/>
  <c r="V1029" i="4" s="1"/>
  <c r="V901" i="4" a="1"/>
  <c r="V901" i="4" s="1"/>
  <c r="V884" i="4" a="1"/>
  <c r="V884" i="4" s="1"/>
  <c r="S963" i="4" a="1"/>
  <c r="S963" i="4" s="1"/>
  <c r="V1019" i="4" a="1"/>
  <c r="V1019" i="4" s="1"/>
  <c r="V840" i="4" a="1"/>
  <c r="V840" i="4" s="1"/>
  <c r="V1022" i="4" a="1"/>
  <c r="V1022" i="4" s="1"/>
  <c r="V890" i="4" a="1"/>
  <c r="V890" i="4" s="1"/>
  <c r="V925" i="4" a="1"/>
  <c r="V925" i="4" s="1"/>
  <c r="V940" i="4" a="1"/>
  <c r="V940" i="4" s="1"/>
  <c r="V985" i="4" a="1"/>
  <c r="V985" i="4" s="1"/>
  <c r="P880" i="4" a="1"/>
  <c r="P880" i="4" s="1"/>
  <c r="V842" i="4" a="1"/>
  <c r="V842" i="4" s="1"/>
  <c r="V966" i="4" a="1"/>
  <c r="V966" i="4" s="1"/>
  <c r="V1031" i="4" a="1"/>
  <c r="V1031" i="4" s="1"/>
  <c r="P861" i="4" a="1"/>
  <c r="P861" i="4" s="1"/>
  <c r="V905" i="4" a="1"/>
  <c r="V905" i="4" s="1"/>
  <c r="V900" i="4" a="1"/>
  <c r="V900" i="4" s="1"/>
  <c r="V993" i="4" a="1"/>
  <c r="V993" i="4" s="1"/>
  <c r="V1023" i="4" a="1"/>
  <c r="V1023" i="4" s="1"/>
  <c r="V846" i="4" a="1"/>
  <c r="V846" i="4" s="1"/>
  <c r="V843" i="4" a="1"/>
  <c r="V843" i="4" s="1"/>
  <c r="V963" i="4" a="1"/>
  <c r="V963" i="4" s="1"/>
  <c r="V918" i="4" a="1"/>
  <c r="V918" i="4" s="1"/>
  <c r="V1026" i="4" a="1"/>
  <c r="V1026" i="4" s="1"/>
  <c r="V907" i="4" a="1"/>
  <c r="V907" i="4" s="1"/>
  <c r="S966" i="4" a="1"/>
  <c r="S966" i="4" s="1"/>
  <c r="V1006" i="4" a="1"/>
  <c r="V1006" i="4" s="1"/>
  <c r="V954" i="4" a="1"/>
  <c r="V954" i="4" s="1"/>
  <c r="V990" i="4" a="1"/>
  <c r="V990" i="4" s="1"/>
  <c r="V1018" i="4" a="1"/>
  <c r="V1018" i="4" s="1"/>
  <c r="V924" i="4" a="1"/>
  <c r="V924" i="4" s="1"/>
  <c r="V1010" i="4" a="1"/>
  <c r="V1010" i="4" s="1"/>
  <c r="V1025" i="4" a="1"/>
  <c r="V1025" i="4" s="1"/>
  <c r="V921" i="4" a="1"/>
  <c r="V921" i="4" s="1"/>
  <c r="V989" i="4" a="1"/>
  <c r="V989" i="4" s="1"/>
  <c r="V941" i="4" a="1"/>
  <c r="V941" i="4" s="1"/>
  <c r="V1012" i="4" a="1"/>
  <c r="V1012" i="4" s="1"/>
  <c r="V836" i="4" a="1"/>
  <c r="V836" i="4" s="1"/>
  <c r="V895" i="4" a="1"/>
  <c r="V895" i="4" s="1"/>
  <c r="V839" i="4" a="1"/>
  <c r="V839" i="4" s="1"/>
  <c r="P1031" i="4" a="1"/>
  <c r="P1031" i="4" s="1"/>
  <c r="S842" i="4" a="1"/>
  <c r="S842" i="4" s="1"/>
  <c r="S906" i="4" a="1"/>
  <c r="S906" i="4" s="1"/>
  <c r="V927" i="4" a="1"/>
  <c r="V927" i="4" s="1"/>
  <c r="V919" i="4" a="1"/>
  <c r="V919" i="4" s="1"/>
  <c r="V952" i="4" a="1"/>
  <c r="V952" i="4" s="1"/>
  <c r="V854" i="4" a="1"/>
  <c r="V854" i="4" s="1"/>
  <c r="V929" i="4" a="1"/>
  <c r="V929" i="4" s="1"/>
  <c r="P913" i="4" a="1"/>
  <c r="P913" i="4" s="1"/>
  <c r="V926" i="4" a="1"/>
  <c r="V926" i="4" s="1"/>
  <c r="V935" i="4" a="1"/>
  <c r="V935" i="4" s="1"/>
  <c r="V1001" i="4" a="1"/>
  <c r="V1001" i="4" s="1"/>
  <c r="V1024" i="4" a="1"/>
  <c r="V1024" i="4" s="1"/>
  <c r="V1002" i="4" a="1"/>
  <c r="V1002" i="4" s="1"/>
  <c r="V968" i="4" a="1"/>
  <c r="V968" i="4" s="1"/>
  <c r="V911" i="4" a="1"/>
  <c r="V911" i="4" s="1"/>
  <c r="V851" i="4" a="1"/>
  <c r="V851" i="4" s="1"/>
  <c r="V1015" i="4" a="1"/>
  <c r="V1015" i="4" s="1"/>
  <c r="V869" i="4" a="1"/>
  <c r="V869" i="4" s="1"/>
  <c r="V894" i="4" a="1"/>
  <c r="V894" i="4" s="1"/>
  <c r="V977" i="4" a="1"/>
  <c r="V977" i="4" s="1"/>
  <c r="V972" i="4" a="1"/>
  <c r="V972" i="4" s="1"/>
  <c r="S954" i="4" a="1"/>
  <c r="S954" i="4" s="1"/>
  <c r="V868" i="4" a="1"/>
  <c r="V868" i="4" s="1"/>
  <c r="V880" i="4" a="1"/>
  <c r="V880" i="4" s="1"/>
  <c r="V945" i="4" a="1"/>
  <c r="V945" i="4" s="1"/>
  <c r="V932" i="4" a="1"/>
  <c r="V932" i="4" s="1"/>
  <c r="V906" i="4" a="1"/>
  <c r="V906" i="4" s="1"/>
  <c r="V913" i="4" a="1"/>
  <c r="V913" i="4" s="1"/>
  <c r="V916" i="4" a="1"/>
  <c r="V916" i="4" s="1"/>
  <c r="V847" i="4" a="1"/>
  <c r="V847" i="4" s="1"/>
  <c r="V922" i="4" a="1"/>
  <c r="V922" i="4" s="1"/>
  <c r="V867" i="4" a="1"/>
  <c r="V867" i="4" s="1"/>
  <c r="V861" i="4" a="1"/>
  <c r="V861" i="4" s="1"/>
  <c r="V994" i="4" a="1"/>
  <c r="V994" i="4" s="1"/>
  <c r="S883" i="4" a="1"/>
  <c r="S883" i="4" s="1"/>
  <c r="V858" i="4" a="1"/>
  <c r="V858" i="4" s="1"/>
  <c r="V965" i="4" a="1"/>
  <c r="V965" i="4" s="1"/>
  <c r="V883" i="4" a="1"/>
  <c r="V883" i="4" s="1"/>
  <c r="V859" i="4" a="1"/>
  <c r="V859" i="4" s="1"/>
  <c r="V865" i="4" a="1"/>
  <c r="V865" i="4" s="1"/>
  <c r="V992" i="4" a="1"/>
  <c r="V992" i="4" s="1"/>
  <c r="V980" i="4" a="1"/>
  <c r="V980" i="4" s="1"/>
  <c r="V1028" i="4" a="1"/>
  <c r="V1028" i="4" s="1"/>
  <c r="V1030" i="4" a="1"/>
  <c r="V1030" i="4" s="1"/>
  <c r="V973" i="4" a="1"/>
  <c r="V973" i="4" s="1"/>
  <c r="V937" i="4" a="1"/>
  <c r="V937" i="4" s="1"/>
  <c r="V1016" i="4" a="1"/>
  <c r="V1016" i="4" s="1"/>
  <c r="V910" i="4" a="1"/>
  <c r="V910" i="4" s="1"/>
  <c r="V956" i="4" a="1"/>
  <c r="V956" i="4" s="1"/>
  <c r="V948" i="4" a="1"/>
  <c r="V948" i="4" s="1"/>
  <c r="V983" i="4" a="1"/>
  <c r="V983" i="4" s="1"/>
  <c r="V984" i="4" a="1"/>
  <c r="V984" i="4" s="1"/>
  <c r="V988" i="4" a="1"/>
  <c r="V988" i="4" s="1"/>
  <c r="V885" i="4" a="1"/>
  <c r="V885" i="4" s="1"/>
  <c r="V915" i="4" a="1"/>
  <c r="V915" i="4" s="1"/>
  <c r="V947" i="4" a="1"/>
  <c r="V947" i="4" s="1"/>
  <c r="V834" i="4" a="1"/>
  <c r="V834" i="4" s="1"/>
  <c r="V961" i="4" a="1"/>
  <c r="V961" i="4" s="1"/>
  <c r="V928" i="4" a="1"/>
  <c r="V928" i="4" s="1"/>
  <c r="V975" i="4" a="1"/>
  <c r="V975" i="4" s="1"/>
  <c r="V971" i="4" a="1"/>
  <c r="V971" i="4" s="1"/>
  <c r="V877" i="4" a="1"/>
  <c r="V877" i="4" s="1"/>
  <c r="V881" i="4" a="1"/>
  <c r="V881" i="4" s="1"/>
  <c r="V914" i="4" a="1"/>
  <c r="V914" i="4" s="1"/>
  <c r="V1017" i="4" a="1"/>
  <c r="V1017" i="4" s="1"/>
  <c r="V995" i="4" a="1"/>
  <c r="V995" i="4" s="1"/>
  <c r="V978" i="4" a="1"/>
  <c r="V978" i="4" s="1"/>
  <c r="V860" i="4" a="1"/>
  <c r="V860" i="4" s="1"/>
  <c r="V835" i="4" a="1"/>
  <c r="V835" i="4" s="1"/>
  <c r="V1014" i="4" a="1"/>
  <c r="V1014" i="4" s="1"/>
  <c r="V959" i="4" a="1"/>
  <c r="V959" i="4" s="1"/>
  <c r="V923" i="4" a="1"/>
  <c r="V923" i="4" s="1"/>
  <c r="V1008" i="4" a="1"/>
  <c r="V1008" i="4" s="1"/>
  <c r="V930" i="4" a="1"/>
  <c r="V930" i="4" s="1"/>
  <c r="V986" i="4" a="1"/>
  <c r="V986" i="4" s="1"/>
  <c r="V933" i="4" a="1"/>
  <c r="V933" i="4" s="1"/>
  <c r="V849" i="4" a="1"/>
  <c r="V849" i="4" s="1"/>
  <c r="V955" i="4" a="1"/>
  <c r="V955" i="4" s="1"/>
  <c r="V982" i="4" a="1"/>
  <c r="V982" i="4" s="1"/>
  <c r="V866" i="4" a="1"/>
  <c r="V866" i="4" s="1"/>
  <c r="V942" i="4" a="1"/>
  <c r="V942" i="4" s="1"/>
  <c r="V875" i="4" a="1"/>
  <c r="V875" i="4" s="1"/>
  <c r="V950" i="4" a="1"/>
  <c r="V950" i="4" s="1"/>
  <c r="V958" i="4" a="1"/>
  <c r="V958" i="4" s="1"/>
  <c r="P899" i="4" a="1"/>
  <c r="P899" i="4" s="1"/>
  <c r="P856" i="4" a="1"/>
  <c r="P856" i="4" s="1"/>
  <c r="P874" i="4" a="1"/>
  <c r="P874" i="4" s="1"/>
  <c r="P871" i="4" a="1"/>
  <c r="P871" i="4" s="1"/>
  <c r="P876" i="4" a="1"/>
  <c r="P876" i="4" s="1"/>
  <c r="P962" i="4" a="1"/>
  <c r="P962" i="4" s="1"/>
  <c r="P917" i="4" a="1"/>
  <c r="P917" i="4" s="1"/>
  <c r="S882" i="4" a="1"/>
  <c r="S882" i="4" s="1"/>
  <c r="S953" i="4" a="1"/>
  <c r="S953" i="4" s="1"/>
  <c r="S1009" i="4" a="1"/>
  <c r="S1009" i="4" s="1"/>
  <c r="S903" i="4" a="1"/>
  <c r="S903" i="4" s="1"/>
  <c r="S974" i="4" a="1"/>
  <c r="S974" i="4" s="1"/>
  <c r="S969" i="4" a="1"/>
  <c r="S969" i="4" s="1"/>
  <c r="S976" i="4" a="1"/>
  <c r="S976" i="4" s="1"/>
  <c r="S908" i="4" a="1"/>
  <c r="S908" i="4" s="1"/>
  <c r="S920" i="4" a="1"/>
  <c r="S920" i="4" s="1"/>
  <c r="V882" i="4" a="1"/>
  <c r="V882" i="4" s="1"/>
  <c r="V999" i="4" a="1"/>
  <c r="V999" i="4" s="1"/>
  <c r="V837" i="4" a="1"/>
  <c r="V837" i="4" s="1"/>
  <c r="V953" i="4" a="1"/>
  <c r="V953" i="4" s="1"/>
  <c r="V872" i="4" a="1"/>
  <c r="V872" i="4" s="1"/>
  <c r="V899" i="4" a="1"/>
  <c r="V899" i="4" s="1"/>
  <c r="V1009" i="4" a="1"/>
  <c r="V1009" i="4" s="1"/>
  <c r="V1003" i="4" a="1"/>
  <c r="V1003" i="4" s="1"/>
  <c r="V856" i="4" a="1"/>
  <c r="V856" i="4" s="1"/>
  <c r="V903" i="4" a="1"/>
  <c r="V903" i="4" s="1"/>
  <c r="V1021" i="4" a="1"/>
  <c r="V1021" i="4" s="1"/>
  <c r="V874" i="4" a="1"/>
  <c r="V874" i="4" s="1"/>
  <c r="V974" i="4" a="1"/>
  <c r="V974" i="4" s="1"/>
  <c r="V886" i="4" a="1"/>
  <c r="V886" i="4" s="1"/>
  <c r="V871" i="4" a="1"/>
  <c r="V871" i="4" s="1"/>
  <c r="V969" i="4" a="1"/>
  <c r="V969" i="4" s="1"/>
  <c r="V876" i="4" a="1"/>
  <c r="V876" i="4" s="1"/>
  <c r="V857" i="4" a="1"/>
  <c r="V857" i="4" s="1"/>
  <c r="V976" i="4" a="1"/>
  <c r="V976" i="4" s="1"/>
  <c r="V1007" i="4" a="1"/>
  <c r="V1007" i="4" s="1"/>
  <c r="V962" i="4" a="1"/>
  <c r="V962" i="4" s="1"/>
  <c r="V908" i="4" a="1"/>
  <c r="V908" i="4" s="1"/>
  <c r="V917" i="4" a="1"/>
  <c r="V917" i="4" s="1"/>
  <c r="V920" i="4" a="1"/>
  <c r="V920" i="4" s="1"/>
  <c r="P1005" i="4" a="1"/>
  <c r="P1005" i="4" s="1"/>
  <c r="P981" i="4" a="1"/>
  <c r="P981" i="4" s="1"/>
  <c r="V1005" i="4" a="1"/>
  <c r="V1005" i="4" s="1"/>
  <c r="V904" i="4" a="1"/>
  <c r="V904" i="4" s="1"/>
  <c r="V934" i="4" a="1"/>
  <c r="V934" i="4" s="1"/>
  <c r="V873" i="4" a="1"/>
  <c r="V873" i="4" s="1"/>
  <c r="V987" i="4" a="1"/>
  <c r="V987" i="4" s="1"/>
  <c r="V943" i="4" a="1"/>
  <c r="V943" i="4" s="1"/>
  <c r="V889" i="4" a="1"/>
  <c r="V889" i="4" s="1"/>
  <c r="V936" i="4" a="1"/>
  <c r="V936" i="4" s="1"/>
  <c r="V852" i="4" a="1"/>
  <c r="V852" i="4" s="1"/>
  <c r="V845" i="4" a="1"/>
  <c r="V845" i="4" s="1"/>
  <c r="V1020" i="4" a="1"/>
  <c r="V1020" i="4" s="1"/>
  <c r="V892" i="4" a="1"/>
  <c r="V892" i="4" s="1"/>
  <c r="V855" i="4" a="1"/>
  <c r="V855" i="4" s="1"/>
  <c r="V862" i="4" a="1"/>
  <c r="V862" i="4" s="1"/>
  <c r="V844" i="4" a="1"/>
  <c r="V844" i="4" s="1"/>
  <c r="V997" i="4" a="1"/>
  <c r="V997" i="4" s="1"/>
  <c r="V864" i="4" a="1"/>
  <c r="V864" i="4" s="1"/>
  <c r="V897" i="4" a="1"/>
  <c r="V897" i="4" s="1"/>
  <c r="V981" i="4" a="1"/>
  <c r="V981" i="4" s="1"/>
  <c r="V912" i="4" a="1"/>
  <c r="V912" i="4" s="1"/>
  <c r="V991" i="4" a="1"/>
  <c r="V991" i="4" s="1"/>
  <c r="V1000" i="4" a="1"/>
  <c r="V1000" i="4" s="1"/>
  <c r="V848" i="4" a="1"/>
  <c r="V848" i="4" s="1"/>
  <c r="V957" i="4" a="1"/>
  <c r="V957" i="4" s="1"/>
  <c r="V893" i="4" a="1"/>
  <c r="V893" i="4" s="1"/>
  <c r="P837" i="4" a="1"/>
  <c r="P837" i="4" s="1"/>
  <c r="AE944" i="4" a="1"/>
  <c r="AE944" i="4" s="1"/>
  <c r="C126" i="5" s="1" a="1"/>
  <c r="C126" i="5" s="1"/>
  <c r="E532" i="4" a="1"/>
  <c r="E532" i="4" s="1"/>
  <c r="H291" i="4"/>
  <c r="H283" i="4"/>
  <c r="H327" i="4"/>
  <c r="H315" i="4"/>
  <c r="H300" i="4"/>
  <c r="H289" i="4"/>
  <c r="H261" i="4"/>
  <c r="H275" i="4"/>
  <c r="H382" i="4"/>
  <c r="H269" i="4"/>
  <c r="H251" i="4"/>
  <c r="H396" i="4"/>
  <c r="H377" i="4"/>
  <c r="P857" i="4" a="1"/>
  <c r="P857" i="4" s="1"/>
  <c r="P952" i="4" a="1"/>
  <c r="P952" i="4" s="1"/>
  <c r="P868" i="4" a="1"/>
  <c r="P868" i="4" s="1"/>
  <c r="P1006" i="4" a="1"/>
  <c r="P1006" i="4" s="1"/>
  <c r="P990" i="4" a="1"/>
  <c r="P990" i="4" s="1"/>
  <c r="V187" i="3"/>
  <c r="V173" i="3"/>
  <c r="V66" i="3"/>
  <c r="Z187" i="3"/>
  <c r="Z173" i="3"/>
  <c r="V106" i="3"/>
  <c r="Z168" i="3"/>
  <c r="U168" i="3" s="1"/>
  <c r="Z66" i="3"/>
  <c r="Z106" i="3"/>
  <c r="O187" i="3"/>
  <c r="O66" i="3"/>
  <c r="O173" i="3"/>
  <c r="R187" i="3"/>
  <c r="R106" i="3"/>
  <c r="O168" i="3"/>
  <c r="R66" i="3"/>
  <c r="R173" i="3"/>
  <c r="O106" i="3"/>
  <c r="R168" i="3"/>
  <c r="H691" i="4" l="1"/>
  <c r="AO901" i="4" s="1"/>
  <c r="H654" i="4"/>
  <c r="H746" i="4"/>
  <c r="AO956" i="4" s="1"/>
  <c r="H789" i="4"/>
  <c r="AO999" i="4" s="1"/>
  <c r="H651" i="4"/>
  <c r="AO861" i="4" s="1"/>
  <c r="H734" i="4"/>
  <c r="AO944" i="4" s="1"/>
  <c r="H641" i="4"/>
  <c r="AO851" i="4" s="1"/>
  <c r="H693" i="4"/>
  <c r="AO903" i="4" s="1"/>
  <c r="H790" i="4"/>
  <c r="AO1000" i="4" s="1"/>
  <c r="H735" i="4"/>
  <c r="AO945" i="4" s="1"/>
  <c r="H403" i="4"/>
  <c r="H302" i="4"/>
  <c r="H801" i="4"/>
  <c r="AO1011" i="4" s="1"/>
  <c r="H690" i="4"/>
  <c r="AO900" i="4" s="1"/>
  <c r="H709" i="4"/>
  <c r="AO919" i="4" s="1"/>
  <c r="H814" i="4"/>
  <c r="AO1024" i="4" s="1"/>
  <c r="H645" i="4"/>
  <c r="AO855" i="4" s="1"/>
  <c r="H715" i="4"/>
  <c r="AO925" i="4" s="1"/>
  <c r="H747" i="4"/>
  <c r="AO957" i="4" s="1"/>
  <c r="H228" i="4"/>
  <c r="H665" i="4"/>
  <c r="AO875" i="4" s="1"/>
  <c r="H357" i="4"/>
  <c r="H229" i="4"/>
  <c r="H416" i="4"/>
  <c r="F532" i="4"/>
  <c r="H408" i="4"/>
  <c r="H349" i="4"/>
  <c r="H625" i="4"/>
  <c r="AO835" i="4" s="1"/>
  <c r="H793" i="4"/>
  <c r="AO1003" i="4" s="1"/>
  <c r="H675" i="4"/>
  <c r="AO885" i="4" s="1"/>
  <c r="H738" i="4"/>
  <c r="AO948" i="4" s="1"/>
  <c r="H820" i="4"/>
  <c r="AO1030" i="4" s="1"/>
  <c r="H230" i="4"/>
  <c r="H294" i="4"/>
  <c r="H308" i="4"/>
  <c r="H360" i="4"/>
  <c r="H765" i="4"/>
  <c r="AO975" i="4" s="1"/>
  <c r="H660" i="4"/>
  <c r="AO870" i="4" s="1"/>
  <c r="H400" i="4"/>
  <c r="H795" i="4"/>
  <c r="AO1005" i="4" s="1"/>
  <c r="H707" i="4"/>
  <c r="AO917" i="4" s="1"/>
  <c r="H689" i="4"/>
  <c r="AO899" i="4" s="1"/>
  <c r="H365" i="4"/>
  <c r="H328" i="4"/>
  <c r="H246" i="4"/>
  <c r="H285" i="4"/>
  <c r="H255" i="4"/>
  <c r="H646" i="4"/>
  <c r="AO856" i="4" s="1"/>
  <c r="H805" i="4"/>
  <c r="AO1015" i="4" s="1"/>
  <c r="H792" i="4"/>
  <c r="AO1002" i="4" s="1"/>
  <c r="H804" i="4"/>
  <c r="AO1014" i="4" s="1"/>
  <c r="H636" i="4"/>
  <c r="AO846" i="4" s="1"/>
  <c r="H821" i="4"/>
  <c r="AO1031" i="4" s="1"/>
  <c r="H225" i="4"/>
  <c r="H333" i="4"/>
  <c r="H785" i="4"/>
  <c r="AO995" i="4" s="1"/>
  <c r="H244" i="4"/>
  <c r="H776" i="4"/>
  <c r="AO986" i="4" s="1"/>
  <c r="H632" i="4"/>
  <c r="AO842" i="4" s="1"/>
  <c r="H233" i="4"/>
  <c r="H236" i="4"/>
  <c r="H353" i="4"/>
  <c r="H673" i="4"/>
  <c r="AO883" i="4" s="1"/>
  <c r="H265" i="4"/>
  <c r="H732" i="4"/>
  <c r="AO942" i="4" s="1"/>
  <c r="H372" i="4"/>
  <c r="H367" i="4"/>
  <c r="H279" i="4"/>
  <c r="H752" i="4"/>
  <c r="AO962" i="4" s="1"/>
  <c r="H346" i="4"/>
  <c r="H798" i="4"/>
  <c r="AO1008" i="4" s="1"/>
  <c r="H313" i="4"/>
  <c r="H395" i="4"/>
  <c r="H683" i="4"/>
  <c r="AO893" i="4" s="1"/>
  <c r="H766" i="4"/>
  <c r="AO976" i="4" s="1"/>
  <c r="H639" i="4"/>
  <c r="AO849" i="4" s="1"/>
  <c r="H247" i="4"/>
  <c r="H389" i="4"/>
  <c r="H385" i="4"/>
  <c r="AL976" i="4"/>
  <c r="AL969" i="4"/>
  <c r="AL997" i="4"/>
  <c r="AL853" i="4"/>
  <c r="AL958" i="4"/>
  <c r="AL907" i="4"/>
  <c r="AL882" i="4"/>
  <c r="AL934" i="4"/>
  <c r="AL845" i="4"/>
  <c r="AL1006" i="4"/>
  <c r="AL975" i="4"/>
  <c r="AL836" i="4"/>
  <c r="AL1023" i="4"/>
  <c r="AL945" i="4"/>
  <c r="AL846" i="4"/>
  <c r="AL875" i="4"/>
  <c r="AL860" i="4"/>
  <c r="AL931" i="4"/>
  <c r="AL966" i="4"/>
  <c r="AL973" i="4"/>
  <c r="AL980" i="4"/>
  <c r="AL1026" i="4"/>
  <c r="AL960" i="4"/>
  <c r="AL878" i="4"/>
  <c r="AL959" i="4"/>
  <c r="AL924" i="4"/>
  <c r="AL1009" i="4"/>
  <c r="AL863" i="4"/>
  <c r="AL892" i="4"/>
  <c r="AL844" i="4"/>
  <c r="AL933" i="4"/>
  <c r="AL982" i="4"/>
  <c r="AL922" i="4"/>
  <c r="AL888" i="4"/>
  <c r="AL939" i="4"/>
  <c r="AL1016" i="4"/>
  <c r="AL1004" i="4"/>
  <c r="AL843" i="4"/>
  <c r="AL1028" i="4"/>
  <c r="AL857" i="4"/>
  <c r="AL919" i="4"/>
  <c r="AL842" i="4"/>
  <c r="AL1020" i="4"/>
  <c r="AL920" i="4"/>
  <c r="AL850" i="4"/>
  <c r="AL974" i="4"/>
  <c r="AL932" i="4"/>
  <c r="AL873" i="4"/>
  <c r="AL874" i="4"/>
  <c r="AL946" i="4"/>
  <c r="AL940" i="4"/>
  <c r="AL926" i="4"/>
  <c r="AL999" i="4"/>
  <c r="AL972" i="4"/>
  <c r="AL885" i="4"/>
  <c r="AL852" i="4"/>
  <c r="AL962" i="4"/>
  <c r="AL893" i="4"/>
  <c r="AL915" i="4"/>
  <c r="AL995" i="4"/>
  <c r="AL879" i="4"/>
  <c r="AL889" i="4"/>
  <c r="AL1017" i="4"/>
  <c r="AL870" i="4"/>
  <c r="AL954" i="4"/>
  <c r="AL1001" i="4"/>
  <c r="AL936" i="4"/>
  <c r="AL965" i="4"/>
  <c r="AL895" i="4"/>
  <c r="AL911" i="4"/>
  <c r="AL909" i="4"/>
  <c r="AL891" i="4"/>
  <c r="AL986" i="4"/>
  <c r="AL992" i="4"/>
  <c r="AL901" i="4"/>
  <c r="AL847" i="4"/>
  <c r="AL1019" i="4"/>
  <c r="AL948" i="4"/>
  <c r="AL968" i="4"/>
  <c r="AL967" i="4"/>
  <c r="AL925" i="4"/>
  <c r="AL868" i="4"/>
  <c r="AL910" i="4"/>
  <c r="AL983" i="4"/>
  <c r="AL912" i="4"/>
  <c r="AL848" i="4"/>
  <c r="AL950" i="4"/>
  <c r="AL1002" i="4"/>
  <c r="AL890" i="4"/>
  <c r="AL894" i="4"/>
  <c r="AL988" i="4"/>
  <c r="AL835" i="4"/>
  <c r="AL928" i="4"/>
  <c r="AL880" i="4"/>
  <c r="AL963" i="4"/>
  <c r="AL906" i="4"/>
  <c r="AL964" i="4"/>
  <c r="AL978" i="4"/>
  <c r="AL1027" i="4"/>
  <c r="AL935" i="4"/>
  <c r="AL861" i="4"/>
  <c r="AL862" i="4"/>
  <c r="AL898" i="4"/>
  <c r="AL872" i="4"/>
  <c r="AL897" i="4"/>
  <c r="AL913" i="4"/>
  <c r="AL981" i="4"/>
  <c r="AL947" i="4"/>
  <c r="AL840" i="4"/>
  <c r="AL856" i="4"/>
  <c r="AL952" i="4"/>
  <c r="AL927" i="4"/>
  <c r="AL876" i="4"/>
  <c r="AL900" i="4"/>
  <c r="AL1029" i="4"/>
  <c r="AL865" i="4"/>
  <c r="AL884" i="4"/>
  <c r="AL871" i="4"/>
  <c r="AL951" i="4"/>
  <c r="AL1024" i="4"/>
  <c r="AL929" i="4"/>
  <c r="AL1000" i="4"/>
  <c r="AL858" i="4"/>
  <c r="AL899" i="4"/>
  <c r="AL937" i="4"/>
  <c r="AL1008" i="4"/>
  <c r="AL877" i="4"/>
  <c r="AL903" i="4"/>
  <c r="AL918" i="4"/>
  <c r="AL883" i="4"/>
  <c r="AL896" i="4"/>
  <c r="AL864" i="4"/>
  <c r="AL970" i="4"/>
  <c r="AL904" i="4"/>
  <c r="AL993" i="4"/>
  <c r="AL1013" i="4"/>
  <c r="AL942" i="4"/>
  <c r="AL1031" i="4"/>
  <c r="AL1007" i="4"/>
  <c r="AL867" i="4"/>
  <c r="AL985" i="4"/>
  <c r="AL941" i="4"/>
  <c r="AL1025" i="4"/>
  <c r="AL855" i="4"/>
  <c r="AL1014" i="4"/>
  <c r="AL955" i="4"/>
  <c r="AL991" i="4"/>
  <c r="AL938" i="4"/>
  <c r="AL914" i="4"/>
  <c r="AL994" i="4"/>
  <c r="AL1030" i="4"/>
  <c r="AL859" i="4"/>
  <c r="AL886" i="4"/>
  <c r="AL1022" i="4"/>
  <c r="AL837" i="4"/>
  <c r="AL1021" i="4"/>
  <c r="AL866" i="4"/>
  <c r="AL854" i="4"/>
  <c r="AL1012" i="4"/>
  <c r="AL851" i="4"/>
  <c r="AL881" i="4"/>
  <c r="AL930" i="4"/>
  <c r="AL849" i="4"/>
  <c r="AL957" i="4"/>
  <c r="AL979" i="4"/>
  <c r="AL944" i="4"/>
  <c r="AL943" i="4"/>
  <c r="AL1003" i="4"/>
  <c r="AL996" i="4"/>
  <c r="AL949" i="4"/>
  <c r="AL908" i="4"/>
  <c r="AL998" i="4"/>
  <c r="AL841" i="4"/>
  <c r="AL990" i="4"/>
  <c r="AL1011" i="4"/>
  <c r="AL987" i="4"/>
  <c r="AL953" i="4"/>
  <c r="AL916" i="4"/>
  <c r="AL839" i="4"/>
  <c r="AL977" i="4"/>
  <c r="AL1018" i="4"/>
  <c r="AL887" i="4"/>
  <c r="AL989" i="4"/>
  <c r="AL902" i="4"/>
  <c r="AL921" i="4"/>
  <c r="AL838" i="4"/>
  <c r="AL923" i="4"/>
  <c r="AL971" i="4"/>
  <c r="AL1005" i="4"/>
  <c r="AL917" i="4"/>
  <c r="AL956" i="4"/>
  <c r="H273" i="4"/>
  <c r="H809" i="4"/>
  <c r="AO1019" i="4" s="1"/>
  <c r="H298" i="4"/>
  <c r="H314" i="4"/>
  <c r="H410" i="4"/>
  <c r="H326" i="4"/>
  <c r="H299" i="4"/>
  <c r="H392" i="4"/>
  <c r="H330" i="4"/>
  <c r="H347" i="4"/>
  <c r="G678" i="4"/>
  <c r="H685" i="4"/>
  <c r="AO895" i="4" s="1"/>
  <c r="H303" i="4"/>
  <c r="H352" i="4"/>
  <c r="H366" i="4"/>
  <c r="H797" i="4"/>
  <c r="AO1007" i="4" s="1"/>
  <c r="H238" i="4"/>
  <c r="H266" i="4"/>
  <c r="H670" i="4"/>
  <c r="AO880" i="4" s="1"/>
  <c r="H252" i="4"/>
  <c r="H234" i="4"/>
  <c r="H380" i="4"/>
  <c r="H227" i="4"/>
  <c r="H629" i="4"/>
  <c r="AO839" i="4" s="1"/>
  <c r="H293" i="4"/>
  <c r="H381" i="4"/>
  <c r="H258" i="4"/>
  <c r="H771" i="4"/>
  <c r="AO981" i="4" s="1"/>
  <c r="H335" i="4"/>
  <c r="H361" i="4"/>
  <c r="H384" i="4"/>
  <c r="H278" i="4"/>
  <c r="H417" i="4"/>
  <c r="H250" i="4"/>
  <c r="H264" i="4"/>
  <c r="H341" i="4"/>
  <c r="H769" i="4"/>
  <c r="AO979" i="4" s="1"/>
  <c r="H682" i="4"/>
  <c r="AO892" i="4" s="1"/>
  <c r="H276" i="4"/>
  <c r="H224" i="4"/>
  <c r="H398" i="4"/>
  <c r="H243" i="4"/>
  <c r="H256" i="4"/>
  <c r="H402" i="4"/>
  <c r="H391" i="4"/>
  <c r="H390" i="4"/>
  <c r="H271" i="4"/>
  <c r="H268" i="4"/>
  <c r="H779" i="4"/>
  <c r="AO989" i="4" s="1"/>
  <c r="H320" i="4"/>
  <c r="H310" i="4"/>
  <c r="H706" i="4"/>
  <c r="AO916" i="4" s="1"/>
  <c r="H657" i="4"/>
  <c r="AO867" i="4" s="1"/>
  <c r="H647" i="4"/>
  <c r="AO857" i="4" s="1"/>
  <c r="H222" i="4"/>
  <c r="H338" i="4"/>
  <c r="H324" i="4"/>
  <c r="H287" i="4"/>
  <c r="H386" i="4"/>
  <c r="H770" i="4"/>
  <c r="AO980" i="4" s="1"/>
  <c r="H763" i="4"/>
  <c r="AO973" i="4" s="1"/>
  <c r="H375" i="4"/>
  <c r="H351" i="4"/>
  <c r="H754" i="4"/>
  <c r="AO964" i="4" s="1"/>
  <c r="H356" i="4"/>
  <c r="H241" i="4"/>
  <c r="H394" i="4"/>
  <c r="H717" i="4"/>
  <c r="AO927" i="4" s="1"/>
  <c r="H348" i="4"/>
  <c r="H374" i="4"/>
  <c r="H259" i="4"/>
  <c r="H373" i="4"/>
  <c r="H223" i="4"/>
  <c r="H720" i="4"/>
  <c r="AO930" i="4" s="1"/>
  <c r="H761" i="4"/>
  <c r="AO971" i="4" s="1"/>
  <c r="H376" i="4"/>
  <c r="H274" i="4"/>
  <c r="H304" i="4"/>
  <c r="H235" i="4"/>
  <c r="H253" i="4"/>
  <c r="H672" i="4"/>
  <c r="AO882" i="4" s="1"/>
  <c r="H404" i="4"/>
  <c r="H262" i="4"/>
  <c r="H368" i="4"/>
  <c r="H296" i="4"/>
  <c r="H743" i="4"/>
  <c r="AO953" i="4" s="1"/>
  <c r="H280" i="4"/>
  <c r="H288" i="4"/>
  <c r="H316" i="4"/>
  <c r="H295" i="4"/>
  <c r="H794" i="4"/>
  <c r="AO1004" i="4" s="1"/>
  <c r="H332" i="4"/>
  <c r="H342" i="4"/>
  <c r="H411" i="4"/>
  <c r="H355" i="4"/>
  <c r="H282" i="4"/>
  <c r="H311" i="4"/>
  <c r="H270" i="4"/>
  <c r="H232" i="4"/>
  <c r="H249" i="4"/>
  <c r="H242" i="4"/>
  <c r="H354" i="4"/>
  <c r="H344" i="4"/>
  <c r="H220" i="4"/>
  <c r="H345" i="4"/>
  <c r="H272" i="4"/>
  <c r="H284" i="4"/>
  <c r="H339" i="4"/>
  <c r="H305" i="4"/>
  <c r="H371" i="4"/>
  <c r="H655" i="4"/>
  <c r="AO865" i="4" s="1"/>
  <c r="H662" i="4"/>
  <c r="AO872" i="4" s="1"/>
  <c r="H637" i="4"/>
  <c r="AO847" i="4" s="1"/>
  <c r="H733" i="4"/>
  <c r="AO943" i="4" s="1"/>
  <c r="H714" i="4"/>
  <c r="AO924" i="4" s="1"/>
  <c r="H725" i="4"/>
  <c r="AO935" i="4" s="1"/>
  <c r="H663" i="4"/>
  <c r="AO873" i="4" s="1"/>
  <c r="H702" i="4"/>
  <c r="AO912" i="4" s="1"/>
  <c r="H750" i="4"/>
  <c r="AO960" i="4" s="1"/>
  <c r="H767" i="4"/>
  <c r="AO977" i="4" s="1"/>
  <c r="H768" i="4"/>
  <c r="AO978" i="4" s="1"/>
  <c r="H811" i="4"/>
  <c r="AO1021" i="4" s="1"/>
  <c r="H701" i="4"/>
  <c r="AO911" i="4" s="1"/>
  <c r="H759" i="4"/>
  <c r="AO969" i="4" s="1"/>
  <c r="H757" i="4"/>
  <c r="AO967" i="4" s="1"/>
  <c r="H774" i="4"/>
  <c r="AO984" i="4" s="1"/>
  <c r="H692" i="4"/>
  <c r="AO902" i="4" s="1"/>
  <c r="H721" i="4"/>
  <c r="AO931" i="4" s="1"/>
  <c r="H751" i="4"/>
  <c r="AO961" i="4" s="1"/>
  <c r="H716" i="4"/>
  <c r="AO926" i="4" s="1"/>
  <c r="H810" i="4"/>
  <c r="AO1020" i="4" s="1"/>
  <c r="H788" i="4"/>
  <c r="AO998" i="4" s="1"/>
  <c r="H643" i="4"/>
  <c r="AO853" i="4" s="1"/>
  <c r="H642" i="4"/>
  <c r="AO852" i="4" s="1"/>
  <c r="H656" i="4"/>
  <c r="AO866" i="4" s="1"/>
  <c r="H742" i="4"/>
  <c r="AO952" i="4" s="1"/>
  <c r="H669" i="4"/>
  <c r="AO879" i="4" s="1"/>
  <c r="H749" i="4"/>
  <c r="AO959" i="4" s="1"/>
  <c r="H718" i="4"/>
  <c r="AO928" i="4" s="1"/>
  <c r="H791" i="4"/>
  <c r="AO1001" i="4" s="1"/>
  <c r="H736" i="4"/>
  <c r="AO946" i="4" s="1"/>
  <c r="H640" i="4"/>
  <c r="AO850" i="4" s="1"/>
  <c r="H638" i="4"/>
  <c r="AO848" i="4" s="1"/>
  <c r="H819" i="4"/>
  <c r="AO1029" i="4" s="1"/>
  <c r="H748" i="4"/>
  <c r="AO958" i="4" s="1"/>
  <c r="H710" i="4"/>
  <c r="AO920" i="4" s="1"/>
  <c r="H628" i="4"/>
  <c r="AO838" i="4" s="1"/>
  <c r="H741" i="4"/>
  <c r="AO951" i="4" s="1"/>
  <c r="H405" i="4"/>
  <c r="H658" i="4"/>
  <c r="AO868" i="4" s="1"/>
  <c r="H378" i="4"/>
  <c r="H343" i="4"/>
  <c r="H370" i="4"/>
  <c r="H318" i="4"/>
  <c r="G635" i="4"/>
  <c r="F635" i="4"/>
  <c r="H325" i="4"/>
  <c r="H359" i="4"/>
  <c r="H412" i="4"/>
  <c r="H415" i="4"/>
  <c r="H677" i="4"/>
  <c r="AO887" i="4" s="1"/>
  <c r="H705" i="4"/>
  <c r="AO915" i="4" s="1"/>
  <c r="H413" i="4"/>
  <c r="F813" i="4"/>
  <c r="H281" i="4"/>
  <c r="H237" i="4"/>
  <c r="H248" i="4"/>
  <c r="H407" i="4"/>
  <c r="H369" i="4"/>
  <c r="H221" i="4"/>
  <c r="H727" i="4"/>
  <c r="AO937" i="4" s="1"/>
  <c r="H290" i="4"/>
  <c r="H379" i="4"/>
  <c r="H307" i="4"/>
  <c r="H240" i="4"/>
  <c r="H667" i="4"/>
  <c r="AO877" i="4" s="1"/>
  <c r="H387" i="4"/>
  <c r="H362" i="4"/>
  <c r="H301" i="4"/>
  <c r="H401" i="4"/>
  <c r="H699" i="4"/>
  <c r="AO909" i="4" s="1"/>
  <c r="H753" i="4"/>
  <c r="AO963" i="4" s="1"/>
  <c r="H254" i="4"/>
  <c r="H406" i="4"/>
  <c r="H239" i="4"/>
  <c r="H321" i="4"/>
  <c r="H756" i="4"/>
  <c r="AO966" i="4" s="1"/>
  <c r="G813" i="4"/>
  <c r="F784" i="4"/>
  <c r="G784" i="4"/>
  <c r="F627" i="4"/>
  <c r="G627" i="4"/>
  <c r="F664" i="4"/>
  <c r="G664" i="4"/>
  <c r="G740" i="4"/>
  <c r="F740" i="4"/>
  <c r="G681" i="4"/>
  <c r="F681" i="4"/>
  <c r="G726" i="4"/>
  <c r="F726" i="4"/>
  <c r="G668" i="4"/>
  <c r="F668" i="4"/>
  <c r="F648" i="4"/>
  <c r="G648" i="4"/>
  <c r="H397" i="4"/>
  <c r="H319" i="4"/>
  <c r="H713" i="4"/>
  <c r="AO923" i="4" s="1"/>
  <c r="G808" i="4"/>
  <c r="F808" i="4"/>
  <c r="F678" i="4"/>
  <c r="H350" i="4"/>
  <c r="H322" i="4"/>
  <c r="H317" i="4"/>
  <c r="H363" i="4"/>
  <c r="G775" i="4"/>
  <c r="F775" i="4"/>
  <c r="H257" i="4"/>
  <c r="H245" i="4"/>
  <c r="H226" i="4"/>
  <c r="H334" i="4"/>
  <c r="H340" i="4"/>
  <c r="H393" i="4"/>
  <c r="H267" i="4"/>
  <c r="H414" i="4"/>
  <c r="H364" i="4"/>
  <c r="H312" i="4"/>
  <c r="H277" i="4"/>
  <c r="H644" i="4"/>
  <c r="AO854" i="4" s="1"/>
  <c r="F703" i="4"/>
  <c r="G703" i="4"/>
  <c r="G686" i="4"/>
  <c r="F686" i="4"/>
  <c r="F661" i="4"/>
  <c r="G661" i="4"/>
  <c r="F722" i="4"/>
  <c r="G722" i="4"/>
  <c r="H260" i="4"/>
  <c r="H309" i="4"/>
  <c r="H323" i="4"/>
  <c r="G764" i="4"/>
  <c r="F764" i="4"/>
  <c r="F777" i="4"/>
  <c r="G777" i="4"/>
  <c r="H399" i="4"/>
  <c r="H409" i="4"/>
  <c r="F778" i="4"/>
  <c r="G806" i="4"/>
  <c r="F806" i="4"/>
  <c r="G731" i="4"/>
  <c r="F731" i="4"/>
  <c r="H388" i="4"/>
  <c r="H297" i="4"/>
  <c r="H336" i="4"/>
  <c r="H231" i="4"/>
  <c r="G778" i="4"/>
  <c r="G815" i="4"/>
  <c r="F815" i="4"/>
  <c r="H263" i="4"/>
  <c r="H383" i="4"/>
  <c r="G694" i="4"/>
  <c r="F694" i="4"/>
  <c r="H739" i="4"/>
  <c r="AO949" i="4" s="1"/>
  <c r="H337" i="4"/>
  <c r="H286" i="4"/>
  <c r="H762" i="4"/>
  <c r="AO972" i="4" s="1"/>
  <c r="H671" i="4"/>
  <c r="AO881" i="4" s="1"/>
  <c r="H329" i="4"/>
  <c r="H292" i="4"/>
  <c r="H358" i="4"/>
  <c r="H816" i="4"/>
  <c r="AO1026" i="4" s="1"/>
  <c r="H306" i="4"/>
  <c r="H331" i="4"/>
  <c r="D889" i="4" a="1"/>
  <c r="D889" i="4" s="1"/>
  <c r="AL905" i="4"/>
  <c r="AL1015" i="4"/>
  <c r="AL984" i="4"/>
  <c r="AL869" i="4"/>
  <c r="AL1010" i="4"/>
  <c r="Z14" i="4"/>
  <c r="AL834" i="4"/>
  <c r="AL961" i="4"/>
  <c r="AO938" i="4"/>
  <c r="AO996" i="4"/>
  <c r="AO940" i="4"/>
  <c r="AO890" i="4"/>
  <c r="AO864" i="4"/>
  <c r="AB837" i="4" a="1"/>
  <c r="AB837" i="4" s="1"/>
  <c r="P836" i="4" a="1"/>
  <c r="P836" i="4" s="1"/>
  <c r="Y837" i="4" a="1"/>
  <c r="Y837" i="4" s="1"/>
  <c r="P835" i="4" a="1"/>
  <c r="P835" i="4" s="1"/>
  <c r="M835" i="4" a="1"/>
  <c r="M835" i="4" s="1"/>
  <c r="M838" i="4" a="1"/>
  <c r="M838" i="4" s="1"/>
  <c r="AB838" i="4" a="1"/>
  <c r="AB838" i="4" s="1"/>
  <c r="S837" i="4" a="1"/>
  <c r="S837" i="4" s="1"/>
  <c r="D837" i="4" a="1"/>
  <c r="D837" i="4" s="1"/>
  <c r="D835" i="4" a="1"/>
  <c r="D835" i="4" s="1"/>
  <c r="S836" i="4" a="1"/>
  <c r="S836" i="4" s="1"/>
  <c r="D836" i="4" a="1"/>
  <c r="D836" i="4" s="1"/>
  <c r="S835" i="4" a="1"/>
  <c r="S835" i="4" s="1"/>
  <c r="AB835" i="4" a="1"/>
  <c r="AB835" i="4" s="1"/>
  <c r="D838" i="4" a="1"/>
  <c r="D838" i="4" s="1"/>
  <c r="Y838" i="4" a="1"/>
  <c r="Y838" i="4" s="1"/>
  <c r="P838" i="4" a="1"/>
  <c r="P838" i="4" s="1"/>
  <c r="Y835" i="4" a="1"/>
  <c r="Y835" i="4" s="1"/>
  <c r="M836" i="4" a="1"/>
  <c r="M836" i="4" s="1"/>
  <c r="AB836" i="4" a="1"/>
  <c r="AB836" i="4" s="1"/>
  <c r="S838" i="4" a="1"/>
  <c r="S838" i="4" s="1"/>
  <c r="AB834" i="4" a="1"/>
  <c r="AB834" i="4" s="1"/>
  <c r="Y836" i="4" a="1"/>
  <c r="Y836" i="4" s="1"/>
  <c r="Y834" i="4" a="1"/>
  <c r="Y834" i="4" s="1"/>
  <c r="S834" i="4" a="1"/>
  <c r="S834" i="4" s="1"/>
  <c r="M837" i="4" a="1"/>
  <c r="M837" i="4" s="1"/>
  <c r="D834" i="4" a="1"/>
  <c r="D834" i="4" s="1"/>
  <c r="P834" i="4" a="1"/>
  <c r="P834" i="4" s="1"/>
  <c r="D890" i="4" a="1"/>
  <c r="D890" i="4" s="1"/>
  <c r="M890" i="4" a="1"/>
  <c r="M890" i="4" s="1"/>
  <c r="AB890" i="4" a="1"/>
  <c r="AB890" i="4" s="1"/>
  <c r="Y890" i="4" a="1"/>
  <c r="Y890" i="4" s="1"/>
  <c r="S890" i="4" a="1"/>
  <c r="S890" i="4" s="1"/>
  <c r="P890" i="4" a="1"/>
  <c r="P890" i="4" s="1"/>
  <c r="S861" i="4" a="1"/>
  <c r="S861" i="4" s="1"/>
  <c r="P860" i="4" a="1"/>
  <c r="P860" i="4" s="1"/>
  <c r="G956" i="4" a="1"/>
  <c r="G956" i="4" s="1"/>
  <c r="J839" i="4" a="1"/>
  <c r="J839" i="4" s="1"/>
  <c r="M834" i="4" a="1"/>
  <c r="M834" i="4" s="1"/>
  <c r="AB864" i="4" a="1"/>
  <c r="AB864" i="4" s="1"/>
  <c r="J932" i="4" a="1"/>
  <c r="J932" i="4" s="1"/>
  <c r="G858" i="4" a="1"/>
  <c r="G858" i="4" s="1"/>
  <c r="G976" i="4" a="1"/>
  <c r="G976" i="4" s="1"/>
  <c r="G1021" i="4" a="1"/>
  <c r="G1021" i="4" s="1"/>
  <c r="G883" i="4" a="1"/>
  <c r="G883" i="4" s="1"/>
  <c r="J931" i="4" a="1"/>
  <c r="J931" i="4" s="1"/>
  <c r="G980" i="4" a="1"/>
  <c r="G980" i="4" s="1"/>
  <c r="G888" i="4" a="1"/>
  <c r="G888" i="4" s="1"/>
  <c r="G885" i="4" a="1"/>
  <c r="G885" i="4" s="1"/>
  <c r="J1007" i="4" a="1"/>
  <c r="J1007" i="4" s="1"/>
  <c r="J930" i="4" a="1"/>
  <c r="J930" i="4" s="1"/>
  <c r="J988" i="4" a="1"/>
  <c r="J988" i="4" s="1"/>
  <c r="J914" i="4" a="1"/>
  <c r="J914" i="4" s="1"/>
  <c r="G966" i="4" a="1"/>
  <c r="G966" i="4" s="1"/>
  <c r="G964" i="4" a="1"/>
  <c r="G964" i="4" s="1"/>
  <c r="J857" i="4" a="1"/>
  <c r="J857" i="4" s="1"/>
  <c r="G1022" i="4" a="1"/>
  <c r="G1022" i="4" s="1"/>
  <c r="G999" i="4" a="1"/>
  <c r="G999" i="4" s="1"/>
  <c r="G970" i="4" a="1"/>
  <c r="G970" i="4" s="1"/>
  <c r="G1004" i="4" a="1"/>
  <c r="G1004" i="4" s="1"/>
  <c r="G925" i="4" a="1"/>
  <c r="G925" i="4" s="1"/>
  <c r="G1012" i="4" a="1"/>
  <c r="G1012" i="4" s="1"/>
  <c r="G918" i="4" a="1"/>
  <c r="G918" i="4" s="1"/>
  <c r="N187" i="3"/>
  <c r="G1010" i="4" s="1" a="1"/>
  <c r="G1010" i="4" s="1"/>
  <c r="J1011" i="4" a="1"/>
  <c r="J1011" i="4" s="1"/>
  <c r="G859" i="4" a="1"/>
  <c r="G859" i="4" s="1"/>
  <c r="J962" i="4" a="1"/>
  <c r="J962" i="4" s="1"/>
  <c r="J876" i="4" a="1"/>
  <c r="J876" i="4" s="1"/>
  <c r="J915" i="4" a="1"/>
  <c r="J915" i="4" s="1"/>
  <c r="G961" i="4" a="1"/>
  <c r="G961" i="4" s="1"/>
  <c r="G959" i="4" a="1"/>
  <c r="G959" i="4" s="1"/>
  <c r="N66" i="3"/>
  <c r="G889" i="4" s="1" a="1"/>
  <c r="G889" i="4" s="1"/>
  <c r="G978" i="4" a="1"/>
  <c r="G978" i="4" s="1"/>
  <c r="G1017" i="4" a="1"/>
  <c r="G1017" i="4" s="1"/>
  <c r="G881" i="4" a="1"/>
  <c r="G881" i="4" s="1"/>
  <c r="G971" i="4" a="1"/>
  <c r="G971" i="4" s="1"/>
  <c r="J995" i="4" a="1"/>
  <c r="J995" i="4" s="1"/>
  <c r="G917" i="4" a="1"/>
  <c r="G917" i="4" s="1"/>
  <c r="G908" i="4" a="1"/>
  <c r="G908" i="4" s="1"/>
  <c r="G886" i="4" a="1"/>
  <c r="G886" i="4" s="1"/>
  <c r="G973" i="4" a="1"/>
  <c r="G973" i="4" s="1"/>
  <c r="G1028" i="4" a="1"/>
  <c r="G1028" i="4" s="1"/>
  <c r="G965" i="4" a="1"/>
  <c r="G965" i="4" s="1"/>
  <c r="G892" i="4" a="1"/>
  <c r="G892" i="4" s="1"/>
  <c r="G845" i="4" a="1"/>
  <c r="G845" i="4" s="1"/>
  <c r="G936" i="4" a="1"/>
  <c r="G936" i="4" s="1"/>
  <c r="G943" i="4" a="1"/>
  <c r="G943" i="4" s="1"/>
  <c r="G873" i="4" a="1"/>
  <c r="G873" i="4" s="1"/>
  <c r="G904" i="4" a="1"/>
  <c r="G904" i="4" s="1"/>
  <c r="J920" i="4" a="1"/>
  <c r="J920" i="4" s="1"/>
  <c r="J941" i="4" a="1"/>
  <c r="J941" i="4" s="1"/>
  <c r="G910" i="4" a="1"/>
  <c r="G910" i="4" s="1"/>
  <c r="G990" i="4" a="1"/>
  <c r="G990" i="4" s="1"/>
  <c r="J968" i="4" a="1"/>
  <c r="J968" i="4" s="1"/>
  <c r="G952" i="4" a="1"/>
  <c r="G952" i="4" s="1"/>
  <c r="G887" i="4" a="1"/>
  <c r="G887" i="4" s="1"/>
  <c r="J917" i="4" a="1"/>
  <c r="J917" i="4" s="1"/>
  <c r="J866" i="4" a="1"/>
  <c r="J866" i="4" s="1"/>
  <c r="G946" i="4" a="1"/>
  <c r="G946" i="4" s="1"/>
  <c r="G1027" i="4" a="1"/>
  <c r="G1027" i="4" s="1"/>
  <c r="G851" i="4" a="1"/>
  <c r="G851" i="4" s="1"/>
  <c r="G843" i="4" a="1"/>
  <c r="G843" i="4" s="1"/>
  <c r="G863" i="4" a="1"/>
  <c r="G863" i="4" s="1"/>
  <c r="G903" i="4" a="1"/>
  <c r="G903" i="4" s="1"/>
  <c r="G1003" i="4" a="1"/>
  <c r="G1003" i="4" s="1"/>
  <c r="G899" i="4" a="1"/>
  <c r="G899" i="4" s="1"/>
  <c r="G953" i="4" a="1"/>
  <c r="G953" i="4" s="1"/>
  <c r="J848" i="4" a="1"/>
  <c r="J848" i="4" s="1"/>
  <c r="J959" i="4" a="1"/>
  <c r="J959" i="4" s="1"/>
  <c r="J978" i="4" a="1"/>
  <c r="J978" i="4" s="1"/>
  <c r="J928" i="4" a="1"/>
  <c r="J928" i="4" s="1"/>
  <c r="J982" i="4" a="1"/>
  <c r="J982" i="4" s="1"/>
  <c r="J986" i="4" a="1"/>
  <c r="J986" i="4" s="1"/>
  <c r="G847" i="4" a="1"/>
  <c r="G847" i="4" s="1"/>
  <c r="G926" i="4" a="1"/>
  <c r="G926" i="4" s="1"/>
  <c r="J885" i="4" a="1"/>
  <c r="J885" i="4" s="1"/>
  <c r="G1001" i="4" a="1"/>
  <c r="G1001" i="4" s="1"/>
  <c r="G1029" i="4" a="1"/>
  <c r="G1029" i="4" s="1"/>
  <c r="G916" i="4" a="1"/>
  <c r="G916" i="4" s="1"/>
  <c r="G905" i="4" a="1"/>
  <c r="G905" i="4" s="1"/>
  <c r="J961" i="4" a="1"/>
  <c r="J961" i="4" s="1"/>
  <c r="G1013" i="4" a="1"/>
  <c r="G1013" i="4" s="1"/>
  <c r="G985" i="4" a="1"/>
  <c r="G985" i="4" s="1"/>
  <c r="G912" i="4" a="1"/>
  <c r="G912" i="4" s="1"/>
  <c r="G906" i="4" a="1"/>
  <c r="G906" i="4" s="1"/>
  <c r="G920" i="4" a="1"/>
  <c r="G920" i="4" s="1"/>
  <c r="G962" i="4" a="1"/>
  <c r="G962" i="4" s="1"/>
  <c r="G876" i="4" a="1"/>
  <c r="G876" i="4" s="1"/>
  <c r="G974" i="4" a="1"/>
  <c r="G974" i="4" s="1"/>
  <c r="G1030" i="4" a="1"/>
  <c r="G1030" i="4" s="1"/>
  <c r="G865" i="4" a="1"/>
  <c r="G865" i="4" s="1"/>
  <c r="G848" i="4" a="1"/>
  <c r="G848" i="4" s="1"/>
  <c r="G928" i="4" a="1"/>
  <c r="G928" i="4" s="1"/>
  <c r="N106" i="3"/>
  <c r="G929" i="4" s="1" a="1"/>
  <c r="G929" i="4" s="1"/>
  <c r="G915" i="4" a="1"/>
  <c r="G915" i="4" s="1"/>
  <c r="G988" i="4" a="1"/>
  <c r="G988" i="4" s="1"/>
  <c r="G983" i="4" a="1"/>
  <c r="G983" i="4" s="1"/>
  <c r="G937" i="4" a="1"/>
  <c r="G937" i="4" s="1"/>
  <c r="G919" i="4" a="1"/>
  <c r="G919" i="4" s="1"/>
  <c r="G902" i="4" a="1"/>
  <c r="G902" i="4" s="1"/>
  <c r="G1006" i="4" a="1"/>
  <c r="G1006" i="4" s="1"/>
  <c r="G896" i="4" a="1"/>
  <c r="G896" i="4" s="1"/>
  <c r="G958" i="4" a="1"/>
  <c r="G958" i="4" s="1"/>
  <c r="G875" i="4" a="1"/>
  <c r="G875" i="4" s="1"/>
  <c r="G866" i="4" a="1"/>
  <c r="G866" i="4" s="1"/>
  <c r="G955" i="4" a="1"/>
  <c r="G955" i="4" s="1"/>
  <c r="G933" i="4" a="1"/>
  <c r="G933" i="4" s="1"/>
  <c r="G930" i="4" a="1"/>
  <c r="G930" i="4" s="1"/>
  <c r="G923" i="4" a="1"/>
  <c r="G923" i="4" s="1"/>
  <c r="G1014" i="4" a="1"/>
  <c r="G1014" i="4" s="1"/>
  <c r="G860" i="4" a="1"/>
  <c r="G860" i="4" s="1"/>
  <c r="G995" i="4" a="1"/>
  <c r="G995" i="4" s="1"/>
  <c r="G914" i="4" a="1"/>
  <c r="G914" i="4" s="1"/>
  <c r="G877" i="4" a="1"/>
  <c r="G877" i="4" s="1"/>
  <c r="G975" i="4" a="1"/>
  <c r="G975" i="4" s="1"/>
  <c r="J957" i="4" a="1"/>
  <c r="J957" i="4" s="1"/>
  <c r="J923" i="4" a="1"/>
  <c r="J923" i="4" s="1"/>
  <c r="J860" i="4" a="1"/>
  <c r="J860" i="4" s="1"/>
  <c r="J970" i="4" a="1"/>
  <c r="J970" i="4" s="1"/>
  <c r="J918" i="4" a="1"/>
  <c r="J918" i="4" s="1"/>
  <c r="G1011" i="4" a="1"/>
  <c r="G1011" i="4" s="1"/>
  <c r="G992" i="4" a="1"/>
  <c r="G992" i="4" s="1"/>
  <c r="G997" i="4" a="1"/>
  <c r="G997" i="4" s="1"/>
  <c r="G1031" i="4" a="1"/>
  <c r="G1031" i="4" s="1"/>
  <c r="G938" i="4" a="1"/>
  <c r="G938" i="4" s="1"/>
  <c r="G979" i="4" a="1"/>
  <c r="G979" i="4" s="1"/>
  <c r="G945" i="4" a="1"/>
  <c r="G945" i="4" s="1"/>
  <c r="G870" i="4" a="1"/>
  <c r="G870" i="4" s="1"/>
  <c r="G951" i="4" a="1"/>
  <c r="G951" i="4" s="1"/>
  <c r="G846" i="4" a="1"/>
  <c r="G846" i="4" s="1"/>
  <c r="G921" i="4" a="1"/>
  <c r="G921" i="4" s="1"/>
  <c r="G1019" i="4" a="1"/>
  <c r="G1019" i="4" s="1"/>
  <c r="G994" i="4" a="1"/>
  <c r="G994" i="4" s="1"/>
  <c r="G968" i="4" a="1"/>
  <c r="G968" i="4" s="1"/>
  <c r="G861" i="4" a="1"/>
  <c r="G861" i="4" s="1"/>
  <c r="G1002" i="4" a="1"/>
  <c r="G1002" i="4" s="1"/>
  <c r="G901" i="4" a="1"/>
  <c r="G901" i="4" s="1"/>
  <c r="G922" i="4" a="1"/>
  <c r="G922" i="4" s="1"/>
  <c r="G924" i="4" a="1"/>
  <c r="G924" i="4" s="1"/>
  <c r="G935" i="4" a="1"/>
  <c r="G935" i="4" s="1"/>
  <c r="G900" i="4" a="1"/>
  <c r="G900" i="4" s="1"/>
  <c r="G1018" i="4" a="1"/>
  <c r="G1018" i="4" s="1"/>
  <c r="G913" i="4" a="1"/>
  <c r="G913" i="4" s="1"/>
  <c r="G850" i="4" a="1"/>
  <c r="G850" i="4" s="1"/>
  <c r="J908" i="4" a="1"/>
  <c r="J908" i="4" s="1"/>
  <c r="J947" i="4" a="1"/>
  <c r="J947" i="4" s="1"/>
  <c r="J984" i="4" a="1"/>
  <c r="J984" i="4" s="1"/>
  <c r="J933" i="4" a="1"/>
  <c r="J933" i="4" s="1"/>
  <c r="J881" i="4" a="1"/>
  <c r="J881" i="4" s="1"/>
  <c r="J907" i="4" a="1"/>
  <c r="J907" i="4" s="1"/>
  <c r="U173" i="3"/>
  <c r="J996" i="4" s="1" a="1"/>
  <c r="J996" i="4" s="1"/>
  <c r="J869" i="4" a="1"/>
  <c r="J869" i="4" s="1"/>
  <c r="J1004" i="4" a="1"/>
  <c r="J1004" i="4" s="1"/>
  <c r="U187" i="3"/>
  <c r="J1010" i="4" s="1" a="1"/>
  <c r="J1010" i="4" s="1"/>
  <c r="G897" i="4" a="1"/>
  <c r="G897" i="4" s="1"/>
  <c r="J877" i="4" a="1"/>
  <c r="J877" i="4" s="1"/>
  <c r="J895" i="4" a="1"/>
  <c r="J895" i="4" s="1"/>
  <c r="J894" i="4" a="1"/>
  <c r="J894" i="4" s="1"/>
  <c r="G878" i="4" a="1"/>
  <c r="G878" i="4" s="1"/>
  <c r="G857" i="4" a="1"/>
  <c r="G857" i="4" s="1"/>
  <c r="G862" i="4" a="1"/>
  <c r="G862" i="4" s="1"/>
  <c r="G947" i="4" a="1"/>
  <c r="G947" i="4" s="1"/>
  <c r="G984" i="4" a="1"/>
  <c r="G984" i="4" s="1"/>
  <c r="G948" i="4" a="1"/>
  <c r="G948" i="4" s="1"/>
  <c r="G1016" i="4" a="1"/>
  <c r="G1016" i="4" s="1"/>
  <c r="G880" i="4" a="1"/>
  <c r="G880" i="4" s="1"/>
  <c r="G842" i="4" a="1"/>
  <c r="G842" i="4" s="1"/>
  <c r="G927" i="4" a="1"/>
  <c r="G927" i="4" s="1"/>
  <c r="G868" i="4" a="1"/>
  <c r="G868" i="4" s="1"/>
  <c r="G950" i="4" a="1"/>
  <c r="G950" i="4" s="1"/>
  <c r="G942" i="4" a="1"/>
  <c r="G942" i="4" s="1"/>
  <c r="G982" i="4" a="1"/>
  <c r="G982" i="4" s="1"/>
  <c r="G849" i="4" a="1"/>
  <c r="G849" i="4" s="1"/>
  <c r="G986" i="4" a="1"/>
  <c r="G986" i="4" s="1"/>
  <c r="G1008" i="4" a="1"/>
  <c r="G1008" i="4" s="1"/>
  <c r="J1000" i="4" a="1"/>
  <c r="J1000" i="4" s="1"/>
  <c r="J972" i="4" a="1"/>
  <c r="J972" i="4" s="1"/>
  <c r="J1014" i="4" a="1"/>
  <c r="J1014" i="4" s="1"/>
  <c r="J940" i="4" a="1"/>
  <c r="J940" i="4" s="1"/>
  <c r="J925" i="4" a="1"/>
  <c r="J925" i="4" s="1"/>
  <c r="G907" i="4" a="1"/>
  <c r="G907" i="4" s="1"/>
  <c r="G874" i="4" a="1"/>
  <c r="G874" i="4" s="1"/>
  <c r="G960" i="4" a="1"/>
  <c r="G960" i="4" s="1"/>
  <c r="G967" i="4" a="1"/>
  <c r="G967" i="4" s="1"/>
  <c r="G898" i="4" a="1"/>
  <c r="G898" i="4" s="1"/>
  <c r="G949" i="4" a="1"/>
  <c r="G949" i="4" s="1"/>
  <c r="G884" i="4" a="1"/>
  <c r="G884" i="4" s="1"/>
  <c r="G867" i="4" a="1"/>
  <c r="G867" i="4" s="1"/>
  <c r="G993" i="4" a="1"/>
  <c r="G993" i="4" s="1"/>
  <c r="J969" i="4" a="1"/>
  <c r="J969" i="4" s="1"/>
  <c r="J955" i="4" a="1"/>
  <c r="J955" i="4" s="1"/>
  <c r="J971" i="4" a="1"/>
  <c r="J971" i="4" s="1"/>
  <c r="J977" i="4" a="1"/>
  <c r="J977" i="4" s="1"/>
  <c r="J891" i="4" a="1"/>
  <c r="J891" i="4" s="1"/>
  <c r="G853" i="4" a="1"/>
  <c r="G853" i="4" s="1"/>
  <c r="G969" i="4" a="1"/>
  <c r="G969" i="4" s="1"/>
  <c r="G957" i="4" a="1"/>
  <c r="G957" i="4" s="1"/>
  <c r="J983" i="4" a="1"/>
  <c r="J983" i="4" s="1"/>
  <c r="G954" i="4" a="1"/>
  <c r="G954" i="4" s="1"/>
  <c r="G911" i="4" a="1"/>
  <c r="G911" i="4" s="1"/>
  <c r="G879" i="4" a="1"/>
  <c r="G879" i="4" s="1"/>
  <c r="G1025" i="4" a="1"/>
  <c r="G1025" i="4" s="1"/>
  <c r="G1023" i="4" a="1"/>
  <c r="G1023" i="4" s="1"/>
  <c r="G1024" i="4" a="1"/>
  <c r="G1024" i="4" s="1"/>
  <c r="G1015" i="4" a="1"/>
  <c r="G1015" i="4" s="1"/>
  <c r="G941" i="4" a="1"/>
  <c r="G941" i="4" s="1"/>
  <c r="G998" i="4" a="1"/>
  <c r="G998" i="4" s="1"/>
  <c r="G963" i="4" a="1"/>
  <c r="G963" i="4" s="1"/>
  <c r="G909" i="4" a="1"/>
  <c r="G909" i="4" s="1"/>
  <c r="G989" i="4" a="1"/>
  <c r="G989" i="4" s="1"/>
  <c r="G840" i="4" a="1"/>
  <c r="G840" i="4" s="1"/>
  <c r="G939" i="4" a="1"/>
  <c r="G939" i="4" s="1"/>
  <c r="G856" i="4" a="1"/>
  <c r="G856" i="4" s="1"/>
  <c r="G1009" i="4" a="1"/>
  <c r="G1009" i="4" s="1"/>
  <c r="G872" i="4" a="1"/>
  <c r="G872" i="4" s="1"/>
  <c r="N168" i="3"/>
  <c r="G991" i="4" s="1" a="1"/>
  <c r="G991" i="4" s="1"/>
  <c r="G882" i="4" a="1"/>
  <c r="G882" i="4" s="1"/>
  <c r="G839" i="4" a="1"/>
  <c r="G839" i="4" s="1"/>
  <c r="G972" i="4" a="1"/>
  <c r="G972" i="4" s="1"/>
  <c r="G931" i="4" a="1"/>
  <c r="G931" i="4" s="1"/>
  <c r="G895" i="4" a="1"/>
  <c r="G895" i="4" s="1"/>
  <c r="G977" i="4" a="1"/>
  <c r="G977" i="4" s="1"/>
  <c r="G1026" i="4" a="1"/>
  <c r="G1026" i="4" s="1"/>
  <c r="N173" i="3"/>
  <c r="G996" i="4" s="1" a="1"/>
  <c r="G996" i="4" s="1"/>
  <c r="G894" i="4" a="1"/>
  <c r="G894" i="4" s="1"/>
  <c r="G891" i="4" a="1"/>
  <c r="G891" i="4" s="1"/>
  <c r="G841" i="4" a="1"/>
  <c r="G841" i="4" s="1"/>
  <c r="G869" i="4" a="1"/>
  <c r="G869" i="4" s="1"/>
  <c r="J893" i="4" a="1"/>
  <c r="J893" i="4" s="1"/>
  <c r="J985" i="4" a="1"/>
  <c r="J985" i="4" s="1"/>
  <c r="U66" i="3"/>
  <c r="J889" i="4" s="1" a="1"/>
  <c r="J889" i="4" s="1"/>
  <c r="J1017" i="4" a="1"/>
  <c r="J1017" i="4" s="1"/>
  <c r="J853" i="4" a="1"/>
  <c r="J853" i="4" s="1"/>
  <c r="J1012" i="4" a="1"/>
  <c r="J1012" i="4" s="1"/>
  <c r="G940" i="4" a="1"/>
  <c r="G940" i="4" s="1"/>
  <c r="G1007" i="4" a="1"/>
  <c r="G1007" i="4" s="1"/>
  <c r="G1000" i="4" a="1"/>
  <c r="G1000" i="4" s="1"/>
  <c r="G932" i="4" a="1"/>
  <c r="G932" i="4" s="1"/>
  <c r="G871" i="4" a="1"/>
  <c r="G871" i="4" s="1"/>
  <c r="G893" i="4" a="1"/>
  <c r="G893" i="4" s="1"/>
  <c r="G981" i="4" a="1"/>
  <c r="G981" i="4" s="1"/>
  <c r="G864" i="4" a="1"/>
  <c r="G864" i="4" s="1"/>
  <c r="G844" i="4" a="1"/>
  <c r="G844" i="4" s="1"/>
  <c r="G855" i="4" a="1"/>
  <c r="G855" i="4" s="1"/>
  <c r="G1020" i="4" a="1"/>
  <c r="G1020" i="4" s="1"/>
  <c r="G852" i="4" a="1"/>
  <c r="G852" i="4" s="1"/>
  <c r="G987" i="4" a="1"/>
  <c r="G987" i="4" s="1"/>
  <c r="G934" i="4" a="1"/>
  <c r="G934" i="4" s="1"/>
  <c r="G1005" i="4" a="1"/>
  <c r="G1005" i="4" s="1"/>
  <c r="U106" i="3"/>
  <c r="J929" i="4" s="1" a="1"/>
  <c r="J929" i="4" s="1"/>
  <c r="J849" i="4" a="1"/>
  <c r="J849" i="4" s="1"/>
  <c r="J1008" i="4" a="1"/>
  <c r="J1008" i="4" s="1"/>
  <c r="J975" i="4" a="1"/>
  <c r="J975" i="4" s="1"/>
  <c r="J1026" i="4" a="1"/>
  <c r="J1026" i="4" s="1"/>
  <c r="J841" i="4" a="1"/>
  <c r="J841" i="4" s="1"/>
  <c r="J942" i="4" a="1"/>
  <c r="J942" i="4" s="1"/>
  <c r="J912" i="4" a="1"/>
  <c r="J912" i="4" s="1"/>
  <c r="J951" i="4" a="1"/>
  <c r="J951" i="4" s="1"/>
  <c r="J892" i="4" a="1"/>
  <c r="J892" i="4" s="1"/>
  <c r="J963" i="4" a="1"/>
  <c r="J963" i="4" s="1"/>
  <c r="J1002" i="4" a="1"/>
  <c r="J1002" i="4" s="1"/>
  <c r="J993" i="4" a="1"/>
  <c r="J993" i="4" s="1"/>
  <c r="J916" i="4" a="1"/>
  <c r="J916" i="4" s="1"/>
  <c r="J937" i="4" a="1"/>
  <c r="J937" i="4" s="1"/>
  <c r="J883" i="4" a="1"/>
  <c r="J883" i="4" s="1"/>
  <c r="J903" i="4" a="1"/>
  <c r="J903" i="4" s="1"/>
  <c r="J999" i="4" a="1"/>
  <c r="J999" i="4" s="1"/>
  <c r="J981" i="4" a="1"/>
  <c r="J981" i="4" s="1"/>
  <c r="J934" i="4" a="1"/>
  <c r="J934" i="4" s="1"/>
  <c r="J1006" i="4" a="1"/>
  <c r="J1006" i="4" s="1"/>
  <c r="J1013" i="4" a="1"/>
  <c r="J1013" i="4" s="1"/>
  <c r="J898" i="4" a="1"/>
  <c r="J898" i="4" s="1"/>
  <c r="J949" i="4" a="1"/>
  <c r="J949" i="4" s="1"/>
  <c r="J901" i="4" a="1"/>
  <c r="J901" i="4" s="1"/>
  <c r="J859" i="4" a="1"/>
  <c r="J859" i="4" s="1"/>
  <c r="J837" i="4" a="1"/>
  <c r="J837" i="4" s="1"/>
  <c r="G854" i="4" a="1"/>
  <c r="G854" i="4" s="1"/>
  <c r="J922" i="4" a="1"/>
  <c r="J922" i="4" s="1"/>
  <c r="J1018" i="4" a="1"/>
  <c r="J1018" i="4" s="1"/>
  <c r="J973" i="4" a="1"/>
  <c r="J973" i="4" s="1"/>
  <c r="J856" i="4" a="1"/>
  <c r="J856" i="4" s="1"/>
  <c r="J882" i="4" a="1"/>
  <c r="J882" i="4" s="1"/>
  <c r="J897" i="4" a="1"/>
  <c r="J897" i="4" s="1"/>
  <c r="J904" i="4" a="1"/>
  <c r="J904" i="4" s="1"/>
  <c r="J945" i="4" a="1"/>
  <c r="J945" i="4" s="1"/>
  <c r="J919" i="4" a="1"/>
  <c r="J919" i="4" s="1"/>
  <c r="J1015" i="4" a="1"/>
  <c r="J1015" i="4" s="1"/>
  <c r="J851" i="4" a="1"/>
  <c r="J851" i="4" s="1"/>
  <c r="J846" i="4" a="1"/>
  <c r="J846" i="4" s="1"/>
  <c r="J845" i="4" a="1"/>
  <c r="J845" i="4" s="1"/>
  <c r="J976" i="4" a="1"/>
  <c r="J976" i="4" s="1"/>
  <c r="J1021" i="4" a="1"/>
  <c r="J1021" i="4" s="1"/>
  <c r="J884" i="4" a="1"/>
  <c r="J884" i="4" s="1"/>
  <c r="J867" i="4" a="1"/>
  <c r="J867" i="4" s="1"/>
  <c r="J1001" i="4" a="1"/>
  <c r="J1001" i="4" s="1"/>
  <c r="J926" i="4" a="1"/>
  <c r="J926" i="4" s="1"/>
  <c r="J1030" i="4" a="1"/>
  <c r="J1030" i="4" s="1"/>
  <c r="J858" i="4" a="1"/>
  <c r="J858" i="4" s="1"/>
  <c r="J1003" i="4" a="1"/>
  <c r="J1003" i="4" s="1"/>
  <c r="J864" i="4" a="1"/>
  <c r="J864" i="4" s="1"/>
  <c r="J852" i="4" a="1"/>
  <c r="J852" i="4" s="1"/>
  <c r="J1005" i="4" a="1"/>
  <c r="J1005" i="4" s="1"/>
  <c r="J938" i="4" a="1"/>
  <c r="J938" i="4" s="1"/>
  <c r="J979" i="4" a="1"/>
  <c r="J979" i="4" s="1"/>
  <c r="J927" i="4" a="1"/>
  <c r="J927" i="4" s="1"/>
  <c r="J946" i="4" a="1"/>
  <c r="J946" i="4" s="1"/>
  <c r="J989" i="4" a="1"/>
  <c r="J989" i="4" s="1"/>
  <c r="J911" i="4" a="1"/>
  <c r="J911" i="4" s="1"/>
  <c r="J1016" i="4" a="1"/>
  <c r="J1016" i="4" s="1"/>
  <c r="J888" i="4" a="1"/>
  <c r="J888" i="4" s="1"/>
  <c r="J924" i="4" a="1"/>
  <c r="J924" i="4" s="1"/>
  <c r="J913" i="4" a="1"/>
  <c r="J913" i="4" s="1"/>
  <c r="J948" i="4" a="1"/>
  <c r="J948" i="4" s="1"/>
  <c r="J1028" i="4" a="1"/>
  <c r="J1028" i="4" s="1"/>
  <c r="J871" i="4" a="1"/>
  <c r="J871" i="4" s="1"/>
  <c r="J1009" i="4" a="1"/>
  <c r="J1009" i="4" s="1"/>
  <c r="J997" i="4" a="1"/>
  <c r="J997" i="4" s="1"/>
  <c r="J936" i="4" a="1"/>
  <c r="J936" i="4" s="1"/>
  <c r="J954" i="4" a="1"/>
  <c r="J954" i="4" s="1"/>
  <c r="J880" i="4" a="1"/>
  <c r="J880" i="4" s="1"/>
  <c r="J843" i="4" a="1"/>
  <c r="J843" i="4" s="1"/>
  <c r="J921" i="4" a="1"/>
  <c r="J921" i="4" s="1"/>
  <c r="J900" i="4" a="1"/>
  <c r="J900" i="4" s="1"/>
  <c r="J873" i="4" a="1"/>
  <c r="J873" i="4" s="1"/>
  <c r="J964" i="4" a="1"/>
  <c r="J964" i="4" s="1"/>
  <c r="J994" i="4" a="1"/>
  <c r="J994" i="4" s="1"/>
  <c r="J861" i="4" a="1"/>
  <c r="J861" i="4" s="1"/>
  <c r="J847" i="4" a="1"/>
  <c r="J847" i="4" s="1"/>
  <c r="J905" i="4" a="1"/>
  <c r="J905" i="4" s="1"/>
  <c r="J956" i="4" a="1"/>
  <c r="J956" i="4" s="1"/>
  <c r="J980" i="4" a="1"/>
  <c r="J980" i="4" s="1"/>
  <c r="J958" i="4" a="1"/>
  <c r="J958" i="4" s="1"/>
  <c r="J886" i="4" a="1"/>
  <c r="J886" i="4" s="1"/>
  <c r="J844" i="4" a="1"/>
  <c r="J844" i="4" s="1"/>
  <c r="J967" i="4" a="1"/>
  <c r="J967" i="4" s="1"/>
  <c r="J896" i="4" a="1"/>
  <c r="J896" i="4" s="1"/>
  <c r="J1022" i="4" a="1"/>
  <c r="J1022" i="4" s="1"/>
  <c r="J840" i="4" a="1"/>
  <c r="J840" i="4" s="1"/>
  <c r="J887" i="4" a="1"/>
  <c r="J887" i="4" s="1"/>
  <c r="J899" i="4" a="1"/>
  <c r="J899" i="4" s="1"/>
  <c r="J935" i="4" a="1"/>
  <c r="J935" i="4" s="1"/>
  <c r="J850" i="4" a="1"/>
  <c r="J850" i="4" s="1"/>
  <c r="J910" i="4" a="1"/>
  <c r="J910" i="4" s="1"/>
  <c r="J992" i="4" a="1"/>
  <c r="J992" i="4" s="1"/>
  <c r="J950" i="4" a="1"/>
  <c r="J950" i="4" s="1"/>
  <c r="J974" i="4" a="1"/>
  <c r="J974" i="4" s="1"/>
  <c r="J872" i="4" a="1"/>
  <c r="J872" i="4" s="1"/>
  <c r="J862" i="4" a="1"/>
  <c r="J862" i="4" s="1"/>
  <c r="J943" i="4" a="1"/>
  <c r="J943" i="4" s="1"/>
  <c r="J870" i="4" a="1"/>
  <c r="J870" i="4" s="1"/>
  <c r="J902" i="4" a="1"/>
  <c r="J902" i="4" s="1"/>
  <c r="J998" i="4" a="1"/>
  <c r="J998" i="4" s="1"/>
  <c r="J863" i="4" a="1"/>
  <c r="J863" i="4" s="1"/>
  <c r="J1019" i="4" a="1"/>
  <c r="J1019" i="4" s="1"/>
  <c r="J1020" i="4" a="1"/>
  <c r="J1020" i="4" s="1"/>
  <c r="J1025" i="4" a="1"/>
  <c r="J1025" i="4" s="1"/>
  <c r="J1023" i="4" a="1"/>
  <c r="J1023" i="4" s="1"/>
  <c r="J1024" i="4" a="1"/>
  <c r="J1024" i="4" s="1"/>
  <c r="J1029" i="4" a="1"/>
  <c r="J1029" i="4" s="1"/>
  <c r="J865" i="4" a="1"/>
  <c r="J865" i="4" s="1"/>
  <c r="J875" i="4" a="1"/>
  <c r="J875" i="4" s="1"/>
  <c r="J874" i="4" a="1"/>
  <c r="J874" i="4" s="1"/>
  <c r="J953" i="4" a="1"/>
  <c r="J953" i="4" s="1"/>
  <c r="J991" i="4" a="1"/>
  <c r="J991" i="4" s="1"/>
  <c r="J855" i="4" a="1"/>
  <c r="J855" i="4" s="1"/>
  <c r="J987" i="4" a="1"/>
  <c r="J987" i="4" s="1"/>
  <c r="J1031" i="4" a="1"/>
  <c r="J1031" i="4" s="1"/>
  <c r="J854" i="4" a="1"/>
  <c r="J854" i="4" s="1"/>
  <c r="J868" i="4" a="1"/>
  <c r="J868" i="4" s="1"/>
  <c r="J1027" i="4" a="1"/>
  <c r="J1027" i="4" s="1"/>
  <c r="J939" i="4" a="1"/>
  <c r="J939" i="4" s="1"/>
  <c r="J879" i="4" a="1"/>
  <c r="J879" i="4" s="1"/>
  <c r="J966" i="4" a="1"/>
  <c r="J966" i="4" s="1"/>
  <c r="J990" i="4" a="1"/>
  <c r="J990" i="4" s="1"/>
  <c r="J965" i="4" a="1"/>
  <c r="J965" i="4" s="1"/>
  <c r="AO914" i="4"/>
  <c r="AO1013" i="4"/>
  <c r="AO894" i="4"/>
  <c r="AO886" i="4"/>
  <c r="AO982" i="4"/>
  <c r="AO983" i="4"/>
  <c r="AO918" i="4"/>
  <c r="AO863" i="4"/>
  <c r="AO862" i="4"/>
  <c r="AO860" i="4"/>
  <c r="AO876" i="4"/>
  <c r="AO933" i="4"/>
  <c r="AO1012" i="4"/>
  <c r="AO843" i="4"/>
  <c r="AO910" i="4"/>
  <c r="AO844" i="4"/>
  <c r="AO869" i="4"/>
  <c r="AO997" i="4"/>
  <c r="AO968" i="4"/>
  <c r="AO1010" i="4"/>
  <c r="AO921" i="4"/>
  <c r="AO859" i="4"/>
  <c r="AO992" i="4"/>
  <c r="AO1027" i="4"/>
  <c r="AO889" i="4"/>
  <c r="E439" i="4" a="1"/>
  <c r="E439" i="4" s="1"/>
  <c r="AE851" i="4" a="1"/>
  <c r="AE851" i="4" s="1"/>
  <c r="C33" i="5" s="1" a="1"/>
  <c r="C33" i="5" s="1"/>
  <c r="AE1019" i="4" a="1"/>
  <c r="AE1019" i="4" s="1"/>
  <c r="C201" i="5" s="1" a="1"/>
  <c r="C201" i="5" s="1"/>
  <c r="E607" i="4" a="1"/>
  <c r="E607" i="4" s="1"/>
  <c r="E618" i="4" a="1"/>
  <c r="E618" i="4" s="1"/>
  <c r="AE1030" i="4" a="1"/>
  <c r="AE1030" i="4" s="1"/>
  <c r="C212" i="5" s="1" a="1"/>
  <c r="C212" i="5" s="1"/>
  <c r="E587" i="4" a="1"/>
  <c r="E587" i="4" s="1"/>
  <c r="AE999" i="4" a="1"/>
  <c r="AE999" i="4" s="1"/>
  <c r="C181" i="5" s="1" a="1"/>
  <c r="C181" i="5" s="1"/>
  <c r="AE909" i="4" a="1"/>
  <c r="AE909" i="4" s="1"/>
  <c r="C91" i="5" s="1" a="1"/>
  <c r="C91" i="5" s="1"/>
  <c r="E497" i="4" a="1"/>
  <c r="E497" i="4" s="1"/>
  <c r="E610" i="4" a="1"/>
  <c r="E610" i="4" s="1"/>
  <c r="AE1022" i="4" a="1"/>
  <c r="AE1022" i="4" s="1"/>
  <c r="C204" i="5" s="1" a="1"/>
  <c r="C204" i="5" s="1"/>
  <c r="AE887" i="4" a="1"/>
  <c r="AE887" i="4" s="1"/>
  <c r="C69" i="5" s="1" a="1"/>
  <c r="C69" i="5" s="1"/>
  <c r="E475" i="4" a="1"/>
  <c r="E475" i="4" s="1"/>
  <c r="E577" i="4" a="1"/>
  <c r="E577" i="4" s="1"/>
  <c r="AE989" i="4" a="1"/>
  <c r="AE989" i="4" s="1"/>
  <c r="C171" i="5" s="1" a="1"/>
  <c r="C171" i="5" s="1"/>
  <c r="AE917" i="4" a="1"/>
  <c r="AE917" i="4" s="1"/>
  <c r="C99" i="5" s="1" a="1"/>
  <c r="C99" i="5" s="1"/>
  <c r="E505" i="4" a="1"/>
  <c r="E505" i="4" s="1"/>
  <c r="AE872" i="4" a="1"/>
  <c r="AE872" i="4" s="1"/>
  <c r="C54" i="5" s="1" a="1"/>
  <c r="C54" i="5" s="1"/>
  <c r="E460" i="4" a="1"/>
  <c r="E460" i="4" s="1"/>
  <c r="E549" i="4" a="1"/>
  <c r="E549" i="4" s="1"/>
  <c r="AE961" i="4" a="1"/>
  <c r="AE961" i="4" s="1"/>
  <c r="C143" i="5" s="1" a="1"/>
  <c r="C143" i="5" s="1"/>
  <c r="AE854" i="4" a="1"/>
  <c r="AE854" i="4" s="1"/>
  <c r="C36" i="5" s="1" a="1"/>
  <c r="C36" i="5" s="1"/>
  <c r="E442" i="4" a="1"/>
  <c r="E442" i="4" s="1"/>
  <c r="AE952" i="4" a="1"/>
  <c r="AE952" i="4" s="1"/>
  <c r="C134" i="5" s="1" a="1"/>
  <c r="C134" i="5" s="1"/>
  <c r="E540" i="4" a="1"/>
  <c r="E540" i="4" s="1"/>
  <c r="E616" i="4" a="1"/>
  <c r="E616" i="4" s="1"/>
  <c r="AE1028" i="4" a="1"/>
  <c r="AE1028" i="4" s="1"/>
  <c r="C210" i="5" s="1" a="1"/>
  <c r="C210" i="5" s="1"/>
  <c r="AE896" i="4" a="1"/>
  <c r="AE896" i="4" s="1"/>
  <c r="C78" i="5" s="1" a="1"/>
  <c r="C78" i="5" s="1"/>
  <c r="E484" i="4" a="1"/>
  <c r="E484" i="4" s="1"/>
  <c r="E547" i="4" a="1"/>
  <c r="E547" i="4" s="1"/>
  <c r="AE959" i="4" a="1"/>
  <c r="AE959" i="4" s="1"/>
  <c r="C141" i="5" s="1" a="1"/>
  <c r="C141" i="5" s="1"/>
  <c r="E423" i="4" a="1"/>
  <c r="E423" i="4" s="1"/>
  <c r="AE835" i="4" a="1"/>
  <c r="AE835" i="4" s="1"/>
  <c r="C17" i="5" s="1" a="1"/>
  <c r="C17" i="5" s="1"/>
  <c r="E568" i="4" a="1"/>
  <c r="E568" i="4" s="1"/>
  <c r="AE980" i="4" a="1"/>
  <c r="AE980" i="4" s="1"/>
  <c r="C162" i="5" s="1" a="1"/>
  <c r="C162" i="5" s="1"/>
  <c r="E566" i="4" a="1"/>
  <c r="E566" i="4" s="1"/>
  <c r="AE978" i="4" a="1"/>
  <c r="AE978" i="4" s="1"/>
  <c r="C160" i="5" s="1" a="1"/>
  <c r="C160" i="5" s="1"/>
  <c r="E605" i="4" a="1"/>
  <c r="E605" i="4" s="1"/>
  <c r="AE1017" i="4" a="1"/>
  <c r="AE1017" i="4" s="1"/>
  <c r="C199" i="5" s="1" a="1"/>
  <c r="C199" i="5" s="1"/>
  <c r="E469" i="4" a="1"/>
  <c r="E469" i="4" s="1"/>
  <c r="AE881" i="4" a="1"/>
  <c r="AE881" i="4" s="1"/>
  <c r="C63" i="5" s="1" a="1"/>
  <c r="C63" i="5" s="1"/>
  <c r="E559" i="4" a="1"/>
  <c r="E559" i="4" s="1"/>
  <c r="AE971" i="4" a="1"/>
  <c r="AE971" i="4" s="1"/>
  <c r="C153" i="5" s="1" a="1"/>
  <c r="C153" i="5" s="1"/>
  <c r="E591" i="4" a="1"/>
  <c r="E591" i="4" s="1"/>
  <c r="AE1003" i="4" a="1"/>
  <c r="AE1003" i="4" s="1"/>
  <c r="C185" i="5" s="1" a="1"/>
  <c r="C185" i="5" s="1"/>
  <c r="E508" i="4" a="1"/>
  <c r="E508" i="4" s="1"/>
  <c r="AE920" i="4" a="1"/>
  <c r="AE920" i="4" s="1"/>
  <c r="C102" i="5" s="1" a="1"/>
  <c r="C102" i="5" s="1"/>
  <c r="E526" i="4" a="1"/>
  <c r="E526" i="4" s="1"/>
  <c r="AE938" i="4" a="1"/>
  <c r="AE938" i="4" s="1"/>
  <c r="C120" i="5" s="1" a="1"/>
  <c r="C120" i="5" s="1"/>
  <c r="AE871" i="4" a="1"/>
  <c r="AE871" i="4" s="1"/>
  <c r="C53" i="5" s="1" a="1"/>
  <c r="C53" i="5" s="1"/>
  <c r="E459" i="4" a="1"/>
  <c r="E459" i="4" s="1"/>
  <c r="E586" i="4" a="1"/>
  <c r="E586" i="4" s="1"/>
  <c r="AE998" i="4" a="1"/>
  <c r="AE998" i="4" s="1"/>
  <c r="C180" i="5" s="1" a="1"/>
  <c r="C180" i="5" s="1"/>
  <c r="E541" i="4" a="1"/>
  <c r="E541" i="4" s="1"/>
  <c r="AE953" i="4" a="1"/>
  <c r="AE953" i="4" s="1"/>
  <c r="C135" i="5" s="1" a="1"/>
  <c r="C135" i="5" s="1"/>
  <c r="AE840" i="4" a="1"/>
  <c r="AE840" i="4" s="1"/>
  <c r="C22" i="5" s="1" a="1"/>
  <c r="C22" i="5" s="1"/>
  <c r="E428" i="4" a="1"/>
  <c r="E428" i="4" s="1"/>
  <c r="AE908" i="4" a="1"/>
  <c r="AE908" i="4" s="1"/>
  <c r="C90" i="5" s="1" a="1"/>
  <c r="C90" i="5" s="1"/>
  <c r="E496" i="4" a="1"/>
  <c r="E496" i="4" s="1"/>
  <c r="AE879" i="4" a="1"/>
  <c r="AE879" i="4" s="1"/>
  <c r="C61" i="5" s="1" a="1"/>
  <c r="C61" i="5" s="1"/>
  <c r="E467" i="4" a="1"/>
  <c r="E467" i="4" s="1"/>
  <c r="AE906" i="4" a="1"/>
  <c r="AE906" i="4" s="1"/>
  <c r="C88" i="5" s="1" a="1"/>
  <c r="C88" i="5" s="1"/>
  <c r="E494" i="4" a="1"/>
  <c r="E494" i="4" s="1"/>
  <c r="E572" i="4" a="1"/>
  <c r="E572" i="4" s="1"/>
  <c r="AE984" i="4" a="1"/>
  <c r="AE984" i="4" s="1"/>
  <c r="C166" i="5" s="1" a="1"/>
  <c r="C166" i="5" s="1"/>
  <c r="E533" i="4" a="1"/>
  <c r="E533" i="4" s="1"/>
  <c r="AE945" i="4" a="1"/>
  <c r="AE945" i="4" s="1"/>
  <c r="C127" i="5" s="1" a="1"/>
  <c r="C127" i="5" s="1"/>
  <c r="AE880" i="4" a="1"/>
  <c r="AE880" i="4" s="1"/>
  <c r="C62" i="5" s="1" a="1"/>
  <c r="C62" i="5" s="1"/>
  <c r="E468" i="4" a="1"/>
  <c r="E468" i="4" s="1"/>
  <c r="AE965" i="4" a="1"/>
  <c r="AE965" i="4" s="1"/>
  <c r="C147" i="5" s="1" a="1"/>
  <c r="C147" i="5" s="1"/>
  <c r="E553" i="4" a="1"/>
  <c r="E553" i="4" s="1"/>
  <c r="E582" i="4" a="1"/>
  <c r="E582" i="4" s="1"/>
  <c r="AE994" i="4" a="1"/>
  <c r="AE994" i="4" s="1"/>
  <c r="C176" i="5" s="1" a="1"/>
  <c r="C176" i="5" s="1"/>
  <c r="E556" i="4" a="1"/>
  <c r="E556" i="4" s="1"/>
  <c r="AE968" i="4" a="1"/>
  <c r="AE968" i="4" s="1"/>
  <c r="C150" i="5" s="1" a="1"/>
  <c r="C150" i="5" s="1"/>
  <c r="AE861" i="4" a="1"/>
  <c r="AE861" i="4" s="1"/>
  <c r="C43" i="5" s="1" a="1"/>
  <c r="C43" i="5" s="1"/>
  <c r="E449" i="4" a="1"/>
  <c r="E449" i="4" s="1"/>
  <c r="E590" i="4" a="1"/>
  <c r="E590" i="4" s="1"/>
  <c r="AE1002" i="4" a="1"/>
  <c r="AE1002" i="4" s="1"/>
  <c r="C184" i="5" s="1" a="1"/>
  <c r="C184" i="5" s="1"/>
  <c r="E598" i="4" a="1"/>
  <c r="E598" i="4" s="1"/>
  <c r="AE1010" i="4" a="1"/>
  <c r="AE1010" i="4" s="1"/>
  <c r="C192" i="5" s="1" a="1"/>
  <c r="C192" i="5" s="1"/>
  <c r="AE901" i="4" a="1"/>
  <c r="AE901" i="4" s="1"/>
  <c r="C83" i="5" s="1" a="1"/>
  <c r="C83" i="5" s="1"/>
  <c r="E489" i="4" a="1"/>
  <c r="E489" i="4" s="1"/>
  <c r="E589" i="4" a="1"/>
  <c r="E589" i="4" s="1"/>
  <c r="AE1001" i="4" a="1"/>
  <c r="AE1001" i="4" s="1"/>
  <c r="C183" i="5" s="1" a="1"/>
  <c r="C183" i="5" s="1"/>
  <c r="E516" i="4" a="1"/>
  <c r="E516" i="4" s="1"/>
  <c r="AE928" i="4" a="1"/>
  <c r="AE928" i="4" s="1"/>
  <c r="C110" i="5" s="1" a="1"/>
  <c r="C110" i="5" s="1"/>
  <c r="E435" i="4" a="1"/>
  <c r="E435" i="4" s="1"/>
  <c r="AE847" i="4" a="1"/>
  <c r="AE847" i="4" s="1"/>
  <c r="C29" i="5" s="1" a="1"/>
  <c r="C29" i="5" s="1"/>
  <c r="AE1029" i="4" a="1"/>
  <c r="AE1029" i="4" s="1"/>
  <c r="C211" i="5" s="1" a="1"/>
  <c r="C211" i="5" s="1"/>
  <c r="E617" i="4" a="1"/>
  <c r="E617" i="4" s="1"/>
  <c r="AE916" i="4" a="1"/>
  <c r="AE916" i="4" s="1"/>
  <c r="C98" i="5" s="1" a="1"/>
  <c r="C98" i="5" s="1"/>
  <c r="E504" i="4" a="1"/>
  <c r="E504" i="4" s="1"/>
  <c r="E514" i="4" a="1"/>
  <c r="E514" i="4" s="1"/>
  <c r="AE926" i="4" a="1"/>
  <c r="AE926" i="4" s="1"/>
  <c r="C108" i="5" s="1" a="1"/>
  <c r="C108" i="5" s="1"/>
  <c r="E493" i="4" a="1"/>
  <c r="E493" i="4" s="1"/>
  <c r="AE905" i="4" a="1"/>
  <c r="AE905" i="4" s="1"/>
  <c r="C87" i="5" s="1" a="1"/>
  <c r="C87" i="5" s="1"/>
  <c r="E499" i="4" a="1"/>
  <c r="E499" i="4" s="1"/>
  <c r="AE911" i="4" a="1"/>
  <c r="AE911" i="4" s="1"/>
  <c r="C93" i="5" s="1" a="1"/>
  <c r="C93" i="5" s="1"/>
  <c r="E550" i="4" a="1"/>
  <c r="E550" i="4" s="1"/>
  <c r="AE962" i="4" a="1"/>
  <c r="AE962" i="4" s="1"/>
  <c r="C144" i="5" s="1" a="1"/>
  <c r="C144" i="5" s="1"/>
  <c r="E601" i="4" a="1"/>
  <c r="E601" i="4" s="1"/>
  <c r="AE1013" i="4" a="1"/>
  <c r="AE1013" i="4" s="1"/>
  <c r="C195" i="5" s="1" a="1"/>
  <c r="C195" i="5" s="1"/>
  <c r="E539" i="4" a="1"/>
  <c r="E539" i="4" s="1"/>
  <c r="AE951" i="4" a="1"/>
  <c r="AE951" i="4" s="1"/>
  <c r="C133" i="5" s="1" a="1"/>
  <c r="C133" i="5" s="1"/>
  <c r="E595" i="4" a="1"/>
  <c r="E595" i="4" s="1"/>
  <c r="AE1007" i="4" a="1"/>
  <c r="AE1007" i="4" s="1"/>
  <c r="C189" i="5" s="1" a="1"/>
  <c r="C189" i="5" s="1"/>
  <c r="E619" i="4" a="1"/>
  <c r="E619" i="4" s="1"/>
  <c r="AE1031" i="4" a="1"/>
  <c r="AE1031" i="4" s="1"/>
  <c r="C213" i="5" s="1" a="1"/>
  <c r="C213" i="5" s="1"/>
  <c r="AE932" i="4" a="1"/>
  <c r="AE932" i="4" s="1"/>
  <c r="C114" i="5" s="1" a="1"/>
  <c r="C114" i="5" s="1"/>
  <c r="E520" i="4" a="1"/>
  <c r="E520" i="4" s="1"/>
  <c r="E604" i="4" a="1"/>
  <c r="E604" i="4" s="1"/>
  <c r="AE1016" i="4" a="1"/>
  <c r="AE1016" i="4" s="1"/>
  <c r="C198" i="5" s="1" a="1"/>
  <c r="C198" i="5" s="1"/>
  <c r="E490" i="4" a="1"/>
  <c r="E490" i="4" s="1"/>
  <c r="AE902" i="4" a="1"/>
  <c r="AE902" i="4" s="1"/>
  <c r="C84" i="5" s="1" a="1"/>
  <c r="C84" i="5" s="1"/>
  <c r="AE868" i="4" a="1"/>
  <c r="AE868" i="4" s="1"/>
  <c r="C50" i="5" s="1" a="1"/>
  <c r="C50" i="5" s="1"/>
  <c r="E456" i="4" a="1"/>
  <c r="E456" i="4" s="1"/>
  <c r="E573" i="4" a="1"/>
  <c r="E573" i="4" s="1"/>
  <c r="AE985" i="4" a="1"/>
  <c r="AE985" i="4" s="1"/>
  <c r="C167" i="5" s="1" a="1"/>
  <c r="C167" i="5" s="1"/>
  <c r="E466" i="4" a="1"/>
  <c r="E466" i="4" s="1"/>
  <c r="AE878" i="4" a="1"/>
  <c r="AE878" i="4" s="1"/>
  <c r="C60" i="5" s="1" a="1"/>
  <c r="C60" i="5" s="1"/>
  <c r="E495" i="4" a="1"/>
  <c r="E495" i="4" s="1"/>
  <c r="AE907" i="4" a="1"/>
  <c r="AE907" i="4" s="1"/>
  <c r="C89" i="5" s="1" a="1"/>
  <c r="C89" i="5" s="1"/>
  <c r="E599" i="4" a="1"/>
  <c r="E599" i="4" s="1"/>
  <c r="AE1011" i="4" a="1"/>
  <c r="AE1011" i="4" s="1"/>
  <c r="C193" i="5" s="1" a="1"/>
  <c r="C193" i="5" s="1"/>
  <c r="E528" i="4" a="1"/>
  <c r="E528" i="4" s="1"/>
  <c r="AE940" i="4" a="1"/>
  <c r="AE940" i="4" s="1"/>
  <c r="C122" i="5" s="1" a="1"/>
  <c r="C122" i="5" s="1"/>
  <c r="AE853" i="4" a="1"/>
  <c r="AE853" i="4" s="1"/>
  <c r="C35" i="5" s="1" a="1"/>
  <c r="C35" i="5" s="1"/>
  <c r="E441" i="4" a="1"/>
  <c r="E441" i="4" s="1"/>
  <c r="E614" i="4" a="1"/>
  <c r="E614" i="4" s="1"/>
  <c r="AE1026" i="4" a="1"/>
  <c r="AE1026" i="4" s="1"/>
  <c r="C208" i="5" s="1" a="1"/>
  <c r="C208" i="5" s="1"/>
  <c r="AE836" i="4" a="1"/>
  <c r="AE836" i="4" s="1"/>
  <c r="C18" i="5" s="1" a="1"/>
  <c r="C18" i="5" s="1"/>
  <c r="E424" i="4" a="1"/>
  <c r="E424" i="4" s="1"/>
  <c r="E422" i="4" a="1"/>
  <c r="E422" i="4" s="1"/>
  <c r="AE834" i="4" a="1"/>
  <c r="AE834" i="4" s="1"/>
  <c r="C16" i="5" s="1" a="1"/>
  <c r="C16" i="5" s="1"/>
  <c r="E482" i="4" a="1"/>
  <c r="E482" i="4" s="1"/>
  <c r="AE894" i="4" a="1"/>
  <c r="AE894" i="4" s="1"/>
  <c r="C76" i="5" s="1" a="1"/>
  <c r="C76" i="5" s="1"/>
  <c r="E479" i="4" a="1"/>
  <c r="E479" i="4" s="1"/>
  <c r="AE891" i="4" a="1"/>
  <c r="AE891" i="4" s="1"/>
  <c r="C73" i="5" s="1" a="1"/>
  <c r="C73" i="5" s="1"/>
  <c r="E429" i="4" a="1"/>
  <c r="E429" i="4" s="1"/>
  <c r="AE841" i="4" a="1"/>
  <c r="AE841" i="4" s="1"/>
  <c r="C23" i="5" s="1" a="1"/>
  <c r="C23" i="5" s="1"/>
  <c r="AE869" i="4" a="1"/>
  <c r="AE869" i="4" s="1"/>
  <c r="C51" i="5" s="1" a="1"/>
  <c r="C51" i="5" s="1"/>
  <c r="E457" i="4" a="1"/>
  <c r="E457" i="4" s="1"/>
  <c r="AE890" i="4" a="1"/>
  <c r="AE890" i="4" s="1"/>
  <c r="C72" i="5" s="1" a="1"/>
  <c r="C72" i="5" s="1"/>
  <c r="E478" i="4" a="1"/>
  <c r="E478" i="4" s="1"/>
  <c r="E453" i="4" a="1"/>
  <c r="E453" i="4" s="1"/>
  <c r="AE865" i="4" a="1"/>
  <c r="AE865" i="4" s="1"/>
  <c r="C47" i="5" s="1" a="1"/>
  <c r="C47" i="5" s="1"/>
  <c r="AE846" i="4" a="1"/>
  <c r="AE846" i="4" s="1"/>
  <c r="C28" i="5" s="1" a="1"/>
  <c r="C28" i="5" s="1"/>
  <c r="E434" i="4" a="1"/>
  <c r="E434" i="4" s="1"/>
  <c r="AE874" i="4" a="1"/>
  <c r="AE874" i="4" s="1"/>
  <c r="C56" i="5" s="1" a="1"/>
  <c r="C56" i="5" s="1"/>
  <c r="E462" i="4" a="1"/>
  <c r="E462" i="4" s="1"/>
  <c r="AE882" i="4" a="1"/>
  <c r="AE882" i="4" s="1"/>
  <c r="C64" i="5" s="1" a="1"/>
  <c r="C64" i="5" s="1"/>
  <c r="E470" i="4" a="1"/>
  <c r="E470" i="4" s="1"/>
  <c r="E551" i="4" a="1"/>
  <c r="E551" i="4" s="1"/>
  <c r="AE963" i="4" a="1"/>
  <c r="AE963" i="4" s="1"/>
  <c r="C145" i="5" s="1" a="1"/>
  <c r="C145" i="5" s="1"/>
  <c r="AE903" i="4" a="1"/>
  <c r="AE903" i="4" s="1"/>
  <c r="C85" i="5" s="1" a="1"/>
  <c r="C85" i="5" s="1"/>
  <c r="E491" i="4" a="1"/>
  <c r="E491" i="4" s="1"/>
  <c r="E557" i="4" a="1"/>
  <c r="E557" i="4" s="1"/>
  <c r="AE969" i="4" a="1"/>
  <c r="AE969" i="4" s="1"/>
  <c r="C151" i="5" s="1" a="1"/>
  <c r="C151" i="5" s="1"/>
  <c r="E603" i="4" a="1"/>
  <c r="E603" i="4" s="1"/>
  <c r="AE1015" i="4" a="1"/>
  <c r="AE1015" i="4" s="1"/>
  <c r="C197" i="5" s="1" a="1"/>
  <c r="C197" i="5" s="1"/>
  <c r="AE856" i="4" a="1"/>
  <c r="AE856" i="4" s="1"/>
  <c r="C38" i="5" s="1" a="1"/>
  <c r="C38" i="5" s="1"/>
  <c r="E444" i="4" a="1"/>
  <c r="E444" i="4" s="1"/>
  <c r="E445" i="4" a="1"/>
  <c r="E445" i="4" s="1"/>
  <c r="AE857" i="4" a="1"/>
  <c r="AE857" i="4" s="1"/>
  <c r="C39" i="5" s="1" a="1"/>
  <c r="C39" i="5" s="1"/>
  <c r="E562" i="4" a="1"/>
  <c r="E562" i="4" s="1"/>
  <c r="AE974" i="4" a="1"/>
  <c r="AE974" i="4" s="1"/>
  <c r="C156" i="5" s="1" a="1"/>
  <c r="C156" i="5" s="1"/>
  <c r="E535" i="4" a="1"/>
  <c r="E535" i="4" s="1"/>
  <c r="AE947" i="4" a="1"/>
  <c r="AE947" i="4" s="1"/>
  <c r="C129" i="5" s="1" a="1"/>
  <c r="C129" i="5" s="1"/>
  <c r="E567" i="4" a="1"/>
  <c r="E567" i="4" s="1"/>
  <c r="AE979" i="4" a="1"/>
  <c r="AE979" i="4" s="1"/>
  <c r="C161" i="5" s="1" a="1"/>
  <c r="C161" i="5" s="1"/>
  <c r="E542" i="4" a="1"/>
  <c r="E542" i="4" s="1"/>
  <c r="AE954" i="4" a="1"/>
  <c r="AE954" i="4" s="1"/>
  <c r="C136" i="5" s="1" a="1"/>
  <c r="C136" i="5" s="1"/>
  <c r="E580" i="4" a="1"/>
  <c r="E580" i="4" s="1"/>
  <c r="AE992" i="4" a="1"/>
  <c r="AE992" i="4" s="1"/>
  <c r="C174" i="5" s="1" a="1"/>
  <c r="C174" i="5" s="1"/>
  <c r="E584" i="4" a="1"/>
  <c r="E584" i="4" s="1"/>
  <c r="AE996" i="4" a="1"/>
  <c r="AE996" i="4" s="1"/>
  <c r="C178" i="5" s="1" a="1"/>
  <c r="C178" i="5" s="1"/>
  <c r="AE957" i="4" a="1"/>
  <c r="AE957" i="4" s="1"/>
  <c r="C139" i="5" s="1" a="1"/>
  <c r="C139" i="5" s="1"/>
  <c r="E545" i="4" a="1"/>
  <c r="E545" i="4" s="1"/>
  <c r="E588" i="4" a="1"/>
  <c r="E588" i="4" s="1"/>
  <c r="AE1000" i="4" a="1"/>
  <c r="AE1000" i="4" s="1"/>
  <c r="C182" i="5" s="1" a="1"/>
  <c r="C182" i="5" s="1"/>
  <c r="AE912" i="4" a="1"/>
  <c r="AE912" i="4" s="1"/>
  <c r="C94" i="5" s="1" a="1"/>
  <c r="C94" i="5" s="1"/>
  <c r="E500" i="4" a="1"/>
  <c r="E500" i="4" s="1"/>
  <c r="E485" i="4" a="1"/>
  <c r="E485" i="4" s="1"/>
  <c r="AE897" i="4" a="1"/>
  <c r="AE897" i="4" s="1"/>
  <c r="C79" i="5" s="1" a="1"/>
  <c r="C79" i="5" s="1"/>
  <c r="AE997" i="4" a="1"/>
  <c r="AE997" i="4" s="1"/>
  <c r="C179" i="5" s="1" a="1"/>
  <c r="C179" i="5" s="1"/>
  <c r="E585" i="4" a="1"/>
  <c r="E585" i="4" s="1"/>
  <c r="E450" i="4" a="1"/>
  <c r="E450" i="4" s="1"/>
  <c r="AE862" i="4" a="1"/>
  <c r="AE862" i="4" s="1"/>
  <c r="C44" i="5" s="1" a="1"/>
  <c r="C44" i="5" s="1"/>
  <c r="AE855" i="4" a="1"/>
  <c r="AE855" i="4" s="1"/>
  <c r="C37" i="5" s="1" a="1"/>
  <c r="C37" i="5" s="1"/>
  <c r="E443" i="4" a="1"/>
  <c r="E443" i="4" s="1"/>
  <c r="E608" i="4" a="1"/>
  <c r="E608" i="4" s="1"/>
  <c r="AE1020" i="4" a="1"/>
  <c r="AE1020" i="4" s="1"/>
  <c r="C202" i="5" s="1" a="1"/>
  <c r="C202" i="5" s="1"/>
  <c r="E503" i="4" a="1"/>
  <c r="E503" i="4" s="1"/>
  <c r="AE915" i="4" a="1"/>
  <c r="AE915" i="4" s="1"/>
  <c r="C97" i="5" s="1" a="1"/>
  <c r="C97" i="5" s="1"/>
  <c r="AE852" i="4" a="1"/>
  <c r="AE852" i="4" s="1"/>
  <c r="C34" i="5" s="1" a="1"/>
  <c r="C34" i="5" s="1"/>
  <c r="E440" i="4" a="1"/>
  <c r="E440" i="4" s="1"/>
  <c r="E477" i="4" a="1"/>
  <c r="E477" i="4" s="1"/>
  <c r="AE889" i="4" a="1"/>
  <c r="AE889" i="4" s="1"/>
  <c r="C71" i="5" s="1" a="1"/>
  <c r="C71" i="5" s="1"/>
  <c r="E575" i="4" a="1"/>
  <c r="E575" i="4" s="1"/>
  <c r="AE987" i="4" a="1"/>
  <c r="AE987" i="4" s="1"/>
  <c r="C169" i="5" s="1" a="1"/>
  <c r="C169" i="5" s="1"/>
  <c r="E522" i="4" a="1"/>
  <c r="E522" i="4" s="1"/>
  <c r="AE934" i="4" a="1"/>
  <c r="AE934" i="4" s="1"/>
  <c r="C116" i="5" s="1" a="1"/>
  <c r="C116" i="5" s="1"/>
  <c r="E593" i="4" a="1"/>
  <c r="E593" i="4" s="1"/>
  <c r="AE1005" i="4" a="1"/>
  <c r="AE1005" i="4" s="1"/>
  <c r="C187" i="5" s="1" a="1"/>
  <c r="C187" i="5" s="1"/>
  <c r="E548" i="4" a="1"/>
  <c r="E548" i="4" s="1"/>
  <c r="AE960" i="4" a="1"/>
  <c r="AE960" i="4" s="1"/>
  <c r="C142" i="5" s="1" a="1"/>
  <c r="C142" i="5" s="1"/>
  <c r="E458" i="4" a="1"/>
  <c r="E458" i="4" s="1"/>
  <c r="AE870" i="4" a="1"/>
  <c r="AE870" i="4" s="1"/>
  <c r="C52" i="5" s="1" a="1"/>
  <c r="C52" i="5" s="1"/>
  <c r="AE842" i="4" a="1"/>
  <c r="AE842" i="4" s="1"/>
  <c r="C24" i="5" s="1" a="1"/>
  <c r="C24" i="5" s="1"/>
  <c r="E430" i="4" a="1"/>
  <c r="E430" i="4" s="1"/>
  <c r="E525" i="4" a="1"/>
  <c r="E525" i="4" s="1"/>
  <c r="AE937" i="4" a="1"/>
  <c r="AE937" i="4" s="1"/>
  <c r="C119" i="5" s="1" a="1"/>
  <c r="C119" i="5" s="1"/>
  <c r="E570" i="4" a="1"/>
  <c r="E570" i="4" s="1"/>
  <c r="AE982" i="4" a="1"/>
  <c r="AE982" i="4" s="1"/>
  <c r="C164" i="5" s="1" a="1"/>
  <c r="C164" i="5" s="1"/>
  <c r="E511" i="4" a="1"/>
  <c r="E511" i="4" s="1"/>
  <c r="AE923" i="4" a="1"/>
  <c r="AE923" i="4" s="1"/>
  <c r="C105" i="5" s="1" a="1"/>
  <c r="C105" i="5" s="1"/>
  <c r="E602" i="4" a="1"/>
  <c r="E602" i="4" s="1"/>
  <c r="AE1014" i="4" a="1"/>
  <c r="AE1014" i="4" s="1"/>
  <c r="C196" i="5" s="1" a="1"/>
  <c r="C196" i="5" s="1"/>
  <c r="AE988" i="4" a="1"/>
  <c r="AE988" i="4" s="1"/>
  <c r="C170" i="5" s="1" a="1"/>
  <c r="C170" i="5" s="1"/>
  <c r="E576" i="4" a="1"/>
  <c r="E576" i="4" s="1"/>
  <c r="AE860" i="4" a="1"/>
  <c r="AE860" i="4" s="1"/>
  <c r="C42" i="5" s="1" a="1"/>
  <c r="C42" i="5" s="1"/>
  <c r="E448" i="4" a="1"/>
  <c r="E448" i="4" s="1"/>
  <c r="E583" i="4" a="1"/>
  <c r="E583" i="4" s="1"/>
  <c r="AE995" i="4" a="1"/>
  <c r="AE995" i="4" s="1"/>
  <c r="C177" i="5" s="1" a="1"/>
  <c r="C177" i="5" s="1"/>
  <c r="E502" i="4" a="1"/>
  <c r="E502" i="4" s="1"/>
  <c r="AE914" i="4" a="1"/>
  <c r="AE914" i="4" s="1"/>
  <c r="C96" i="5" s="1" a="1"/>
  <c r="C96" i="5" s="1"/>
  <c r="AE877" i="4" a="1"/>
  <c r="AE877" i="4" s="1"/>
  <c r="C59" i="5" s="1" a="1"/>
  <c r="C59" i="5" s="1"/>
  <c r="E465" i="4" a="1"/>
  <c r="E465" i="4" s="1"/>
  <c r="E563" i="4" a="1"/>
  <c r="E563" i="4" s="1"/>
  <c r="AE975" i="4" a="1"/>
  <c r="AE975" i="4" s="1"/>
  <c r="C157" i="5" s="1" a="1"/>
  <c r="C157" i="5" s="1"/>
  <c r="E474" i="4" a="1"/>
  <c r="E474" i="4" s="1"/>
  <c r="AE886" i="4" a="1"/>
  <c r="AE886" i="4" s="1"/>
  <c r="C68" i="5" s="1" a="1"/>
  <c r="C68" i="5" s="1"/>
  <c r="E487" i="4" a="1"/>
  <c r="E487" i="4" s="1"/>
  <c r="AE899" i="4" a="1"/>
  <c r="AE899" i="4" s="1"/>
  <c r="C81" i="5" s="1" a="1"/>
  <c r="C81" i="5" s="1"/>
  <c r="E509" i="4" a="1"/>
  <c r="E509" i="4" s="1"/>
  <c r="AE921" i="4" a="1"/>
  <c r="AE921" i="4" s="1"/>
  <c r="C103" i="5" s="1" a="1"/>
  <c r="C103" i="5" s="1"/>
  <c r="AE973" i="4" a="1"/>
  <c r="AE973" i="4" s="1"/>
  <c r="C155" i="5" s="1" a="1"/>
  <c r="C155" i="5" s="1"/>
  <c r="E561" i="4" a="1"/>
  <c r="E561" i="4" s="1"/>
  <c r="E613" i="4" a="1"/>
  <c r="E613" i="4" s="1"/>
  <c r="AE1025" i="4" a="1"/>
  <c r="AE1025" i="4" s="1"/>
  <c r="C207" i="5" s="1" a="1"/>
  <c r="C207" i="5" s="1"/>
  <c r="E472" i="4" a="1"/>
  <c r="E472" i="4" s="1"/>
  <c r="AE884" i="4" a="1"/>
  <c r="AE884" i="4" s="1"/>
  <c r="C66" i="5" s="1" a="1"/>
  <c r="C66" i="5" s="1"/>
  <c r="E611" i="4" a="1"/>
  <c r="E611" i="4" s="1"/>
  <c r="AE1023" i="4" a="1"/>
  <c r="AE1023" i="4" s="1"/>
  <c r="C205" i="5" s="1" a="1"/>
  <c r="C205" i="5" s="1"/>
  <c r="E455" i="4" a="1"/>
  <c r="E455" i="4" s="1"/>
  <c r="AE867" i="4" a="1"/>
  <c r="AE867" i="4" s="1"/>
  <c r="C49" i="5" s="1" a="1"/>
  <c r="C49" i="5" s="1"/>
  <c r="E612" i="4" a="1"/>
  <c r="E612" i="4" s="1"/>
  <c r="AE1024" i="4" a="1"/>
  <c r="AE1024" i="4" s="1"/>
  <c r="C206" i="5" s="1" a="1"/>
  <c r="C206" i="5" s="1"/>
  <c r="E581" i="4" a="1"/>
  <c r="E581" i="4" s="1"/>
  <c r="AE993" i="4" a="1"/>
  <c r="AE993" i="4" s="1"/>
  <c r="C175" i="5" s="1" a="1"/>
  <c r="C175" i="5" s="1"/>
  <c r="AE922" i="4" a="1"/>
  <c r="AE922" i="4" s="1"/>
  <c r="C104" i="5" s="1" a="1"/>
  <c r="C104" i="5" s="1"/>
  <c r="E510" i="4" a="1"/>
  <c r="E510" i="4" s="1"/>
  <c r="AE924" i="4" a="1"/>
  <c r="AE924" i="4" s="1"/>
  <c r="C106" i="5" s="1" a="1"/>
  <c r="C106" i="5" s="1"/>
  <c r="E512" i="4" a="1"/>
  <c r="E512" i="4" s="1"/>
  <c r="E571" i="4" a="1"/>
  <c r="E571" i="4" s="1"/>
  <c r="AE983" i="4" a="1"/>
  <c r="AE983" i="4" s="1"/>
  <c r="C165" i="5" s="1" a="1"/>
  <c r="C165" i="5" s="1"/>
  <c r="E523" i="4" a="1"/>
  <c r="E523" i="4" s="1"/>
  <c r="AE935" i="4" a="1"/>
  <c r="AE935" i="4" s="1"/>
  <c r="C117" i="5" s="1" a="1"/>
  <c r="C117" i="5" s="1"/>
  <c r="E488" i="4" a="1"/>
  <c r="E488" i="4" s="1"/>
  <c r="AE900" i="4" a="1"/>
  <c r="AE900" i="4" s="1"/>
  <c r="C82" i="5" s="1" a="1"/>
  <c r="C82" i="5" s="1"/>
  <c r="E606" i="4" a="1"/>
  <c r="E606" i="4" s="1"/>
  <c r="AE1018" i="4" a="1"/>
  <c r="AE1018" i="4" s="1"/>
  <c r="C200" i="5" s="1" a="1"/>
  <c r="C200" i="5" s="1"/>
  <c r="E501" i="4" a="1"/>
  <c r="E501" i="4" s="1"/>
  <c r="AE913" i="4" a="1"/>
  <c r="AE913" i="4" s="1"/>
  <c r="C95" i="5" s="1" a="1"/>
  <c r="C95" i="5" s="1"/>
  <c r="AE850" i="4" a="1"/>
  <c r="AE850" i="4" s="1"/>
  <c r="C32" i="5" s="1" a="1"/>
  <c r="C32" i="5" s="1"/>
  <c r="E438" i="4" a="1"/>
  <c r="E438" i="4" s="1"/>
  <c r="AE863" i="4" a="1"/>
  <c r="AE863" i="4" s="1"/>
  <c r="C45" i="5" s="1" a="1"/>
  <c r="C45" i="5" s="1"/>
  <c r="E451" i="4" a="1"/>
  <c r="E451" i="4" s="1"/>
  <c r="E555" i="4" a="1"/>
  <c r="E555" i="4" s="1"/>
  <c r="AE967" i="4" a="1"/>
  <c r="AE967" i="4" s="1"/>
  <c r="C149" i="5" s="1" a="1"/>
  <c r="C149" i="5" s="1"/>
  <c r="AE941" i="4" a="1"/>
  <c r="AE941" i="4" s="1"/>
  <c r="C123" i="5" s="1" a="1"/>
  <c r="C123" i="5" s="1"/>
  <c r="E529" i="4" a="1"/>
  <c r="E529" i="4" s="1"/>
  <c r="E564" i="4" a="1"/>
  <c r="E564" i="4" s="1"/>
  <c r="AE976" i="4" a="1"/>
  <c r="AE976" i="4" s="1"/>
  <c r="C158" i="5" s="1" a="1"/>
  <c r="C158" i="5" s="1"/>
  <c r="E527" i="4" a="1"/>
  <c r="E527" i="4" s="1"/>
  <c r="AE939" i="4" a="1"/>
  <c r="AE939" i="4" s="1"/>
  <c r="C121" i="5" s="1" a="1"/>
  <c r="C121" i="5" s="1"/>
  <c r="E552" i="4" a="1"/>
  <c r="E552" i="4" s="1"/>
  <c r="AE964" i="4" a="1"/>
  <c r="AE964" i="4" s="1"/>
  <c r="C146" i="5" s="1" a="1"/>
  <c r="C146" i="5" s="1"/>
  <c r="AE885" i="4" a="1"/>
  <c r="AE885" i="4" s="1"/>
  <c r="C67" i="5" s="1" a="1"/>
  <c r="C67" i="5" s="1"/>
  <c r="E473" i="4" a="1"/>
  <c r="E473" i="4" s="1"/>
  <c r="E554" i="4" a="1"/>
  <c r="E554" i="4" s="1"/>
  <c r="AE966" i="4" a="1"/>
  <c r="AE966" i="4" s="1"/>
  <c r="C148" i="5" s="1" a="1"/>
  <c r="C148" i="5" s="1"/>
  <c r="AE888" i="4" a="1"/>
  <c r="AE888" i="4" s="1"/>
  <c r="C70" i="5" s="1" a="1"/>
  <c r="C70" i="5" s="1"/>
  <c r="E476" i="4" a="1"/>
  <c r="E476" i="4" s="1"/>
  <c r="E447" i="4" a="1"/>
  <c r="E447" i="4" s="1"/>
  <c r="AE859" i="4" a="1"/>
  <c r="AE859" i="4" s="1"/>
  <c r="C41" i="5" s="1" a="1"/>
  <c r="C41" i="5" s="1"/>
  <c r="E471" i="4" a="1"/>
  <c r="E471" i="4" s="1"/>
  <c r="AE883" i="4" a="1"/>
  <c r="AE883" i="4" s="1"/>
  <c r="C65" i="5" s="1" a="1"/>
  <c r="C65" i="5" s="1"/>
  <c r="AE970" i="4" a="1"/>
  <c r="AE970" i="4" s="1"/>
  <c r="C152" i="5" s="1" a="1"/>
  <c r="C152" i="5" s="1"/>
  <c r="E558" i="4" a="1"/>
  <c r="E558" i="4" s="1"/>
  <c r="AE1004" i="4" a="1"/>
  <c r="AE1004" i="4" s="1"/>
  <c r="C186" i="5" s="1" a="1"/>
  <c r="C186" i="5" s="1"/>
  <c r="E592" i="4" a="1"/>
  <c r="E592" i="4" s="1"/>
  <c r="E544" i="4" a="1"/>
  <c r="E544" i="4" s="1"/>
  <c r="AE956" i="4" a="1"/>
  <c r="AE956" i="4" s="1"/>
  <c r="C138" i="5" s="1" a="1"/>
  <c r="C138" i="5" s="1"/>
  <c r="AE925" i="4" a="1"/>
  <c r="AE925" i="4" s="1"/>
  <c r="C107" i="5" s="1" a="1"/>
  <c r="C107" i="5" s="1"/>
  <c r="E513" i="4" a="1"/>
  <c r="E513" i="4" s="1"/>
  <c r="E600" i="4" a="1"/>
  <c r="E600" i="4" s="1"/>
  <c r="AE1012" i="4" a="1"/>
  <c r="AE1012" i="4" s="1"/>
  <c r="C194" i="5" s="1" a="1"/>
  <c r="C194" i="5" s="1"/>
  <c r="AE918" i="4" a="1"/>
  <c r="AE918" i="4" s="1"/>
  <c r="C100" i="5" s="1" a="1"/>
  <c r="C100" i="5" s="1"/>
  <c r="E506" i="4" a="1"/>
  <c r="E506" i="4" s="1"/>
  <c r="AE838" i="4" a="1"/>
  <c r="AE838" i="4" s="1"/>
  <c r="C20" i="5" s="1" a="1"/>
  <c r="C20" i="5" s="1"/>
  <c r="E426" i="4" a="1"/>
  <c r="E426" i="4" s="1"/>
  <c r="AE858" i="4" a="1"/>
  <c r="AE858" i="4" s="1"/>
  <c r="C40" i="5" s="1" a="1"/>
  <c r="C40" i="5" s="1"/>
  <c r="E446" i="4" a="1"/>
  <c r="E446" i="4" s="1"/>
  <c r="AE948" i="4" a="1"/>
  <c r="AE948" i="4" s="1"/>
  <c r="C130" i="5" s="1" a="1"/>
  <c r="C130" i="5" s="1"/>
  <c r="E536" i="4" a="1"/>
  <c r="E536" i="4" s="1"/>
  <c r="E431" i="4" a="1"/>
  <c r="E431" i="4" s="1"/>
  <c r="AE843" i="4" a="1"/>
  <c r="AE843" i="4" s="1"/>
  <c r="C25" i="5" s="1" a="1"/>
  <c r="C25" i="5" s="1"/>
  <c r="E594" i="4" a="1"/>
  <c r="E594" i="4" s="1"/>
  <c r="AE1006" i="4" a="1"/>
  <c r="AE1006" i="4" s="1"/>
  <c r="C188" i="5" s="1" a="1"/>
  <c r="C188" i="5" s="1"/>
  <c r="E609" i="4" a="1"/>
  <c r="E609" i="4" s="1"/>
  <c r="AE1021" i="4" a="1"/>
  <c r="AE1021" i="4" s="1"/>
  <c r="C203" i="5" s="1" a="1"/>
  <c r="C203" i="5" s="1"/>
  <c r="AE837" i="4" a="1"/>
  <c r="AE837" i="4" s="1"/>
  <c r="C19" i="5" s="1" a="1"/>
  <c r="C19" i="5" s="1"/>
  <c r="E425" i="4" a="1"/>
  <c r="E425" i="4" s="1"/>
  <c r="F425" i="4" s="1"/>
  <c r="E615" i="4" a="1"/>
  <c r="E615" i="4" s="1"/>
  <c r="AE1027" i="4" a="1"/>
  <c r="AE1027" i="4" s="1"/>
  <c r="C209" i="5" s="1" a="1"/>
  <c r="C209" i="5" s="1"/>
  <c r="E534" i="4" a="1"/>
  <c r="E534" i="4" s="1"/>
  <c r="AE946" i="4" a="1"/>
  <c r="AE946" i="4" s="1"/>
  <c r="C128" i="5" s="1" a="1"/>
  <c r="C128" i="5" s="1"/>
  <c r="AE898" i="4" a="1"/>
  <c r="AE898" i="4" s="1"/>
  <c r="C80" i="5" s="1" a="1"/>
  <c r="C80" i="5" s="1"/>
  <c r="E486" i="4" a="1"/>
  <c r="E486" i="4" s="1"/>
  <c r="AE876" i="4" a="1"/>
  <c r="AE876" i="4" s="1"/>
  <c r="C58" i="5" s="1" a="1"/>
  <c r="C58" i="5" s="1"/>
  <c r="E464" i="4" a="1"/>
  <c r="E464" i="4" s="1"/>
  <c r="AE949" i="4" a="1"/>
  <c r="AE949" i="4" s="1"/>
  <c r="C131" i="5" s="1" a="1"/>
  <c r="C131" i="5" s="1"/>
  <c r="E537" i="4" a="1"/>
  <c r="E537" i="4" s="1"/>
  <c r="E597" i="4" a="1"/>
  <c r="E597" i="4" s="1"/>
  <c r="AE1009" i="4" a="1"/>
  <c r="AE1009" i="4" s="1"/>
  <c r="C191" i="5" s="1" a="1"/>
  <c r="C191" i="5" s="1"/>
  <c r="E517" i="4" a="1"/>
  <c r="E517" i="4" s="1"/>
  <c r="AE929" i="4" a="1"/>
  <c r="AE929" i="4" s="1"/>
  <c r="C111" i="5" s="1" a="1"/>
  <c r="C111" i="5" s="1"/>
  <c r="E578" i="4" a="1"/>
  <c r="E578" i="4" s="1"/>
  <c r="AE990" i="4" a="1"/>
  <c r="AE990" i="4" s="1"/>
  <c r="C172" i="5" s="1" a="1"/>
  <c r="C172" i="5" s="1"/>
  <c r="E498" i="4" a="1"/>
  <c r="E498" i="4" s="1"/>
  <c r="AE910" i="4" a="1"/>
  <c r="AE910" i="4" s="1"/>
  <c r="C92" i="5" s="1" a="1"/>
  <c r="C92" i="5" s="1"/>
  <c r="E507" i="4" a="1"/>
  <c r="E507" i="4" s="1"/>
  <c r="AE919" i="4" a="1"/>
  <c r="AE919" i="4" s="1"/>
  <c r="C101" i="5" s="1" a="1"/>
  <c r="C101" i="5" s="1"/>
  <c r="E515" i="4" a="1"/>
  <c r="E515" i="4" s="1"/>
  <c r="AE927" i="4" a="1"/>
  <c r="AE927" i="4" s="1"/>
  <c r="C109" i="5" s="1" a="1"/>
  <c r="C109" i="5" s="1"/>
  <c r="E480" i="4" a="1"/>
  <c r="E480" i="4" s="1"/>
  <c r="AE892" i="4" a="1"/>
  <c r="AE892" i="4" s="1"/>
  <c r="C74" i="5" s="1" a="1"/>
  <c r="C74" i="5" s="1"/>
  <c r="AE845" i="4" a="1"/>
  <c r="AE845" i="4" s="1"/>
  <c r="C27" i="5" s="1" a="1"/>
  <c r="C27" i="5" s="1"/>
  <c r="E433" i="4" a="1"/>
  <c r="E433" i="4" s="1"/>
  <c r="AE936" i="4" a="1"/>
  <c r="AE936" i="4" s="1"/>
  <c r="C118" i="5" s="1" a="1"/>
  <c r="C118" i="5" s="1"/>
  <c r="E524" i="4" a="1"/>
  <c r="E524" i="4" s="1"/>
  <c r="E531" i="4" a="1"/>
  <c r="E531" i="4" s="1"/>
  <c r="AE943" i="4" a="1"/>
  <c r="AE943" i="4" s="1"/>
  <c r="C125" i="5" s="1" a="1"/>
  <c r="C125" i="5" s="1"/>
  <c r="E461" i="4" a="1"/>
  <c r="E461" i="4" s="1"/>
  <c r="AE873" i="4" a="1"/>
  <c r="AE873" i="4" s="1"/>
  <c r="C55" i="5" s="1" a="1"/>
  <c r="C55" i="5" s="1"/>
  <c r="E492" i="4" a="1"/>
  <c r="E492" i="4" s="1"/>
  <c r="AE904" i="4" a="1"/>
  <c r="AE904" i="4" s="1"/>
  <c r="C86" i="5" s="1" a="1"/>
  <c r="C86" i="5" s="1"/>
  <c r="G944" i="4" a="1"/>
  <c r="G944" i="4" s="1"/>
  <c r="F536" i="4" l="1"/>
  <c r="F430" i="4"/>
  <c r="AN842" i="4" s="1"/>
  <c r="F444" i="4"/>
  <c r="AN856" i="4" s="1"/>
  <c r="F460" i="4"/>
  <c r="AN872" i="4" s="1"/>
  <c r="F534" i="4"/>
  <c r="AN946" i="4" s="1"/>
  <c r="F554" i="4"/>
  <c r="AN966" i="4" s="1"/>
  <c r="F455" i="4"/>
  <c r="AN867" i="4" s="1"/>
  <c r="F477" i="4"/>
  <c r="AN889" i="4" s="1"/>
  <c r="F479" i="4"/>
  <c r="F601" i="4"/>
  <c r="AN1013" i="4" s="1"/>
  <c r="F533" i="4"/>
  <c r="F547" i="4"/>
  <c r="AN959" i="4" s="1"/>
  <c r="F433" i="4"/>
  <c r="AN845" i="4" s="1"/>
  <c r="F446" i="4"/>
  <c r="AN858" i="4" s="1"/>
  <c r="F576" i="4"/>
  <c r="AN988" i="4" s="1"/>
  <c r="F434" i="4"/>
  <c r="AN846" i="4" s="1"/>
  <c r="F449" i="4"/>
  <c r="AN861" i="4" s="1"/>
  <c r="F484" i="4"/>
  <c r="F615" i="4"/>
  <c r="AN1027" i="4" s="1"/>
  <c r="F611" i="4"/>
  <c r="AN1023" i="4" s="1"/>
  <c r="F458" i="4"/>
  <c r="AN870" i="4" s="1"/>
  <c r="F485" i="4"/>
  <c r="AN897" i="4" s="1"/>
  <c r="F550" i="4"/>
  <c r="AN962" i="4" s="1"/>
  <c r="F586" i="4"/>
  <c r="AN998" i="4" s="1"/>
  <c r="F520" i="4"/>
  <c r="AN932" i="4" s="1"/>
  <c r="F552" i="4"/>
  <c r="AN964" i="4" s="1"/>
  <c r="F472" i="4"/>
  <c r="AN884" i="4" s="1"/>
  <c r="F567" i="4"/>
  <c r="AN979" i="4" s="1"/>
  <c r="F491" i="4"/>
  <c r="AN903" i="4" s="1"/>
  <c r="F492" i="4"/>
  <c r="AN904" i="4" s="1"/>
  <c r="F515" i="4"/>
  <c r="AN927" i="4" s="1"/>
  <c r="F609" i="4"/>
  <c r="AN1021" i="4" s="1"/>
  <c r="F471" i="4"/>
  <c r="AN883" i="4" s="1"/>
  <c r="F527" i="4"/>
  <c r="AN939" i="4" s="1"/>
  <c r="F501" i="4"/>
  <c r="F613" i="4"/>
  <c r="AN1025" i="4" s="1"/>
  <c r="F511" i="4"/>
  <c r="AN923" i="4" s="1"/>
  <c r="F593" i="4"/>
  <c r="F608" i="4"/>
  <c r="AN1020" i="4" s="1"/>
  <c r="F588" i="4"/>
  <c r="AN1000" i="4" s="1"/>
  <c r="F535" i="4"/>
  <c r="AN947" i="4" s="1"/>
  <c r="F466" i="4"/>
  <c r="AN878" i="4" s="1"/>
  <c r="F619" i="4"/>
  <c r="AN1031" i="4" s="1"/>
  <c r="F493" i="4"/>
  <c r="AN905" i="4" s="1"/>
  <c r="F589" i="4"/>
  <c r="AN1001" i="4" s="1"/>
  <c r="F582" i="4"/>
  <c r="AN994" i="4" s="1"/>
  <c r="F526" i="4"/>
  <c r="F566" i="4"/>
  <c r="AN978" i="4" s="1"/>
  <c r="F439" i="4"/>
  <c r="F585" i="4"/>
  <c r="AN997" i="4" s="1"/>
  <c r="F462" i="4"/>
  <c r="AN874" i="4" s="1"/>
  <c r="F617" i="4"/>
  <c r="AN1029" i="4" s="1"/>
  <c r="F578" i="4"/>
  <c r="AN990" i="4" s="1"/>
  <c r="F544" i="4"/>
  <c r="AN956" i="4" s="1"/>
  <c r="F555" i="4"/>
  <c r="AN967" i="4" s="1"/>
  <c r="F523" i="4"/>
  <c r="AN935" i="4" s="1"/>
  <c r="F487" i="4"/>
  <c r="AN899" i="4" s="1"/>
  <c r="F580" i="4"/>
  <c r="AN992" i="4" s="1"/>
  <c r="F528" i="4"/>
  <c r="F490" i="4"/>
  <c r="AN902" i="4" s="1"/>
  <c r="F590" i="4"/>
  <c r="AN1002" i="4" s="1"/>
  <c r="F541" i="4"/>
  <c r="AN953" i="4" s="1"/>
  <c r="F559" i="4"/>
  <c r="F587" i="4"/>
  <c r="AN999" i="4" s="1"/>
  <c r="F592" i="4"/>
  <c r="AN1004" i="4" s="1"/>
  <c r="F473" i="4"/>
  <c r="AN885" i="4" s="1"/>
  <c r="F451" i="4"/>
  <c r="AN863" i="4" s="1"/>
  <c r="F440" i="4"/>
  <c r="AN852" i="4" s="1"/>
  <c r="F505" i="4"/>
  <c r="AN917" i="4" s="1"/>
  <c r="F517" i="4"/>
  <c r="AN929" i="4" s="1"/>
  <c r="F571" i="4"/>
  <c r="AN983" i="4" s="1"/>
  <c r="F474" i="4"/>
  <c r="AN886" i="4" s="1"/>
  <c r="F542" i="4"/>
  <c r="AN954" i="4" s="1"/>
  <c r="F603" i="4"/>
  <c r="AN1015" i="4" s="1"/>
  <c r="F482" i="4"/>
  <c r="AN894" i="4" s="1"/>
  <c r="F599" i="4"/>
  <c r="AN1011" i="4" s="1"/>
  <c r="F604" i="4"/>
  <c r="AN1016" i="4" s="1"/>
  <c r="F435" i="4"/>
  <c r="AN847" i="4" s="1"/>
  <c r="F572" i="4"/>
  <c r="AN984" i="4" s="1"/>
  <c r="F469" i="4"/>
  <c r="AN881" i="4" s="1"/>
  <c r="F618" i="4"/>
  <c r="AN1030" i="4" s="1"/>
  <c r="F426" i="4"/>
  <c r="AN838" i="4" s="1"/>
  <c r="F558" i="4"/>
  <c r="AN970" i="4" s="1"/>
  <c r="F438" i="4"/>
  <c r="AN850" i="4" s="1"/>
  <c r="F512" i="4"/>
  <c r="AN924" i="4" s="1"/>
  <c r="F500" i="4"/>
  <c r="AN912" i="4" s="1"/>
  <c r="F494" i="4"/>
  <c r="AN906" i="4" s="1"/>
  <c r="F459" i="4"/>
  <c r="AN871" i="4" s="1"/>
  <c r="F607" i="4"/>
  <c r="AN1019" i="4" s="1"/>
  <c r="F480" i="4"/>
  <c r="AN892" i="4" s="1"/>
  <c r="F597" i="4"/>
  <c r="AN1009" i="4" s="1"/>
  <c r="F563" i="4"/>
  <c r="AN975" i="4" s="1"/>
  <c r="F602" i="4"/>
  <c r="AN1014" i="4" s="1"/>
  <c r="F548" i="4"/>
  <c r="AN960" i="4" s="1"/>
  <c r="F503" i="4"/>
  <c r="AN915" i="4" s="1"/>
  <c r="F557" i="4"/>
  <c r="AN969" i="4" s="1"/>
  <c r="F453" i="4"/>
  <c r="AN865" i="4" s="1"/>
  <c r="F422" i="4"/>
  <c r="AN834" i="4" s="1"/>
  <c r="F495" i="4"/>
  <c r="AN907" i="4" s="1"/>
  <c r="F499" i="4"/>
  <c r="AN911" i="4" s="1"/>
  <c r="F516" i="4"/>
  <c r="AN928" i="4" s="1"/>
  <c r="F556" i="4"/>
  <c r="AN968" i="4" s="1"/>
  <c r="F605" i="4"/>
  <c r="AN1017" i="4" s="1"/>
  <c r="F616" i="4"/>
  <c r="AN1028" i="4" s="1"/>
  <c r="F577" i="4"/>
  <c r="AN989" i="4" s="1"/>
  <c r="F537" i="4"/>
  <c r="AN949" i="4" s="1"/>
  <c r="F510" i="4"/>
  <c r="AN922" i="4" s="1"/>
  <c r="F465" i="4"/>
  <c r="F424" i="4"/>
  <c r="AN836" i="4" s="1"/>
  <c r="F467" i="4"/>
  <c r="AN879" i="4" s="1"/>
  <c r="F475" i="4"/>
  <c r="AN887" i="4" s="1"/>
  <c r="F464" i="4"/>
  <c r="AN876" i="4" s="1"/>
  <c r="F545" i="4"/>
  <c r="AN957" i="4" s="1"/>
  <c r="F457" i="4"/>
  <c r="AN869" i="4" s="1"/>
  <c r="F489" i="4"/>
  <c r="AN901" i="4" s="1"/>
  <c r="F553" i="4"/>
  <c r="AN965" i="4" s="1"/>
  <c r="F442" i="4"/>
  <c r="AN854" i="4" s="1"/>
  <c r="F461" i="4"/>
  <c r="AN873" i="4" s="1"/>
  <c r="F600" i="4"/>
  <c r="AN1012" i="4" s="1"/>
  <c r="F564" i="4"/>
  <c r="AN976" i="4" s="1"/>
  <c r="F581" i="4"/>
  <c r="AN993" i="4" s="1"/>
  <c r="F502" i="4"/>
  <c r="AN914" i="4" s="1"/>
  <c r="F522" i="4"/>
  <c r="AN934" i="4" s="1"/>
  <c r="F551" i="4"/>
  <c r="AN963" i="4" s="1"/>
  <c r="F614" i="4"/>
  <c r="AN1026" i="4" s="1"/>
  <c r="F595" i="4"/>
  <c r="AN1007" i="4" s="1"/>
  <c r="F568" i="4"/>
  <c r="F610" i="4"/>
  <c r="AN1022" i="4" s="1"/>
  <c r="F529" i="4"/>
  <c r="AN941" i="4" s="1"/>
  <c r="F428" i="4"/>
  <c r="AN840" i="4" s="1"/>
  <c r="F497" i="4"/>
  <c r="AN909" i="4" s="1"/>
  <c r="F524" i="4"/>
  <c r="AN936" i="4" s="1"/>
  <c r="F448" i="4"/>
  <c r="AN860" i="4" s="1"/>
  <c r="F506" i="4"/>
  <c r="AN918" i="4" s="1"/>
  <c r="F478" i="4"/>
  <c r="F540" i="4"/>
  <c r="F561" i="4"/>
  <c r="AN973" i="4" s="1"/>
  <c r="F443" i="4"/>
  <c r="AN855" i="4" s="1"/>
  <c r="F496" i="4"/>
  <c r="AN908" i="4" s="1"/>
  <c r="F507" i="4"/>
  <c r="AN919" i="4" s="1"/>
  <c r="F594" i="4"/>
  <c r="AN1006" i="4" s="1"/>
  <c r="F447" i="4"/>
  <c r="AN859" i="4" s="1"/>
  <c r="F606" i="4"/>
  <c r="AN1018" i="4" s="1"/>
  <c r="F570" i="4"/>
  <c r="AN982" i="4" s="1"/>
  <c r="F562" i="4"/>
  <c r="AN974" i="4" s="1"/>
  <c r="F573" i="4"/>
  <c r="F514" i="4"/>
  <c r="F508" i="4"/>
  <c r="F486" i="4"/>
  <c r="AN898" i="4" s="1"/>
  <c r="F513" i="4"/>
  <c r="AN925" i="4" s="1"/>
  <c r="F476" i="4"/>
  <c r="AN888" i="4" s="1"/>
  <c r="F470" i="4"/>
  <c r="F441" i="4"/>
  <c r="AN853" i="4" s="1"/>
  <c r="F456" i="4"/>
  <c r="AN868" i="4" s="1"/>
  <c r="F504" i="4"/>
  <c r="AN916" i="4" s="1"/>
  <c r="F468" i="4"/>
  <c r="AN880" i="4" s="1"/>
  <c r="F531" i="4"/>
  <c r="AN943" i="4" s="1"/>
  <c r="F498" i="4"/>
  <c r="AN910" i="4" s="1"/>
  <c r="F431" i="4"/>
  <c r="AN843" i="4" s="1"/>
  <c r="F488" i="4"/>
  <c r="F612" i="4"/>
  <c r="AN1024" i="4" s="1"/>
  <c r="F509" i="4"/>
  <c r="AN921" i="4" s="1"/>
  <c r="F583" i="4"/>
  <c r="AN995" i="4" s="1"/>
  <c r="F525" i="4"/>
  <c r="AN937" i="4" s="1"/>
  <c r="F575" i="4"/>
  <c r="AN987" i="4" s="1"/>
  <c r="F450" i="4"/>
  <c r="AN862" i="4" s="1"/>
  <c r="F584" i="4"/>
  <c r="AN996" i="4" s="1"/>
  <c r="F445" i="4"/>
  <c r="AN857" i="4" s="1"/>
  <c r="F429" i="4"/>
  <c r="AN841" i="4" s="1"/>
  <c r="F539" i="4"/>
  <c r="AN951" i="4" s="1"/>
  <c r="F598" i="4"/>
  <c r="AN1010" i="4" s="1"/>
  <c r="F591" i="4"/>
  <c r="AN1003" i="4" s="1"/>
  <c r="F423" i="4"/>
  <c r="AN835" i="4" s="1"/>
  <c r="F549" i="4"/>
  <c r="AN961" i="4" s="1"/>
  <c r="H731" i="4"/>
  <c r="AO941" i="4" s="1"/>
  <c r="H681" i="4"/>
  <c r="AO891" i="4" s="1"/>
  <c r="H678" i="4"/>
  <c r="AO888" i="4" s="1"/>
  <c r="H686" i="4"/>
  <c r="AO896" i="4" s="1"/>
  <c r="H775" i="4"/>
  <c r="AO985" i="4" s="1"/>
  <c r="H813" i="4"/>
  <c r="AO1023" i="4" s="1"/>
  <c r="H764" i="4"/>
  <c r="AO974" i="4" s="1"/>
  <c r="H726" i="4"/>
  <c r="AO936" i="4" s="1"/>
  <c r="H740" i="4"/>
  <c r="AO950" i="4" s="1"/>
  <c r="H815" i="4"/>
  <c r="AO1025" i="4" s="1"/>
  <c r="H806" i="4"/>
  <c r="AO1016" i="4" s="1"/>
  <c r="H808" i="4"/>
  <c r="AO1018" i="4" s="1"/>
  <c r="H661" i="4"/>
  <c r="AO871" i="4" s="1"/>
  <c r="H664" i="4"/>
  <c r="AO874" i="4" s="1"/>
  <c r="H778" i="4"/>
  <c r="AO988" i="4" s="1"/>
  <c r="H694" i="4"/>
  <c r="AO904" i="4" s="1"/>
  <c r="H668" i="4"/>
  <c r="AO878" i="4" s="1"/>
  <c r="H635" i="4"/>
  <c r="AO845" i="4" s="1"/>
  <c r="H627" i="4"/>
  <c r="AO837" i="4" s="1"/>
  <c r="H722" i="4"/>
  <c r="AO932" i="4" s="1"/>
  <c r="H703" i="4"/>
  <c r="AO913" i="4" s="1"/>
  <c r="H648" i="4"/>
  <c r="AO858" i="4" s="1"/>
  <c r="H777" i="4"/>
  <c r="AO987" i="4" s="1"/>
  <c r="H784" i="4"/>
  <c r="AO994" i="4" s="1"/>
  <c r="AN837" i="4"/>
  <c r="B6" i="5"/>
  <c r="B6" i="13" s="1"/>
  <c r="K218" i="4"/>
  <c r="J838" i="4" a="1"/>
  <c r="J838" i="4" s="1"/>
  <c r="G835" i="4" a="1"/>
  <c r="G835" i="4" s="1"/>
  <c r="G836" i="4" a="1"/>
  <c r="G836" i="4" s="1"/>
  <c r="G838" i="4" a="1"/>
  <c r="G838" i="4" s="1"/>
  <c r="J836" i="4" a="1"/>
  <c r="J836" i="4" s="1"/>
  <c r="J835" i="4" a="1"/>
  <c r="J835" i="4" s="1"/>
  <c r="J834" i="4" a="1"/>
  <c r="J834" i="4" s="1"/>
  <c r="G837" i="4" a="1"/>
  <c r="G837" i="4" s="1"/>
  <c r="J890" i="4" a="1"/>
  <c r="J890" i="4" s="1"/>
  <c r="G890" i="4" a="1"/>
  <c r="G890" i="4" s="1"/>
  <c r="J878" i="4" a="1"/>
  <c r="J878" i="4" s="1"/>
  <c r="G834" i="4" a="1"/>
  <c r="G834" i="4" s="1"/>
  <c r="AN948" i="4"/>
  <c r="AN851" i="4"/>
  <c r="E437" i="4" a="1"/>
  <c r="E437" i="4" s="1"/>
  <c r="AE849" i="4" a="1"/>
  <c r="AE849" i="4" s="1"/>
  <c r="C31" i="5" s="1" a="1"/>
  <c r="C31" i="5" s="1"/>
  <c r="E546" i="4" a="1"/>
  <c r="E546" i="4" s="1"/>
  <c r="AE958" i="4" a="1"/>
  <c r="AE958" i="4" s="1"/>
  <c r="C140" i="5" s="1" a="1"/>
  <c r="C140" i="5" s="1"/>
  <c r="E579" i="4" a="1"/>
  <c r="E579" i="4" s="1"/>
  <c r="AE991" i="4" a="1"/>
  <c r="AE991" i="4" s="1"/>
  <c r="C173" i="5" s="1" a="1"/>
  <c r="C173" i="5" s="1"/>
  <c r="AE895" i="4" a="1"/>
  <c r="AE895" i="4" s="1"/>
  <c r="C77" i="5" s="1" a="1"/>
  <c r="C77" i="5" s="1"/>
  <c r="E483" i="4" a="1"/>
  <c r="E483" i="4" s="1"/>
  <c r="AE933" i="4" a="1"/>
  <c r="AE933" i="4" s="1"/>
  <c r="C115" i="5" s="1" a="1"/>
  <c r="C115" i="5" s="1"/>
  <c r="E521" i="4" a="1"/>
  <c r="E521" i="4" s="1"/>
  <c r="E530" i="4" a="1"/>
  <c r="E530" i="4" s="1"/>
  <c r="AE942" i="4" a="1"/>
  <c r="AE942" i="4" s="1"/>
  <c r="C124" i="5" s="1" a="1"/>
  <c r="C124" i="5" s="1"/>
  <c r="E543" i="4" a="1"/>
  <c r="E543" i="4" s="1"/>
  <c r="AE955" i="4" a="1"/>
  <c r="AE955" i="4" s="1"/>
  <c r="C137" i="5" s="1" a="1"/>
  <c r="C137" i="5" s="1"/>
  <c r="AE844" i="4" a="1"/>
  <c r="AE844" i="4" s="1"/>
  <c r="C26" i="5" s="1" a="1"/>
  <c r="C26" i="5" s="1"/>
  <c r="E432" i="4" a="1"/>
  <c r="E432" i="4" s="1"/>
  <c r="AE848" i="4" a="1"/>
  <c r="AE848" i="4" s="1"/>
  <c r="C30" i="5" s="1" a="1"/>
  <c r="C30" i="5" s="1"/>
  <c r="E436" i="4" a="1"/>
  <c r="E436" i="4" s="1"/>
  <c r="E519" i="4" a="1"/>
  <c r="E519" i="4" s="1"/>
  <c r="AE931" i="4" a="1"/>
  <c r="AE931" i="4" s="1"/>
  <c r="C113" i="5" s="1" a="1"/>
  <c r="C113" i="5" s="1"/>
  <c r="E596" i="4" a="1"/>
  <c r="E596" i="4" s="1"/>
  <c r="AE1008" i="4" a="1"/>
  <c r="AE1008" i="4" s="1"/>
  <c r="C190" i="5" s="1" a="1"/>
  <c r="C190" i="5" s="1"/>
  <c r="E538" i="4" a="1"/>
  <c r="E538" i="4" s="1"/>
  <c r="AE950" i="4" a="1"/>
  <c r="AE950" i="4" s="1"/>
  <c r="C132" i="5" s="1" a="1"/>
  <c r="C132" i="5" s="1"/>
  <c r="AE866" i="4" a="1"/>
  <c r="AE866" i="4" s="1"/>
  <c r="C48" i="5" s="1" a="1"/>
  <c r="C48" i="5" s="1"/>
  <c r="E454" i="4" a="1"/>
  <c r="E454" i="4" s="1"/>
  <c r="AE864" i="4" a="1"/>
  <c r="AE864" i="4" s="1"/>
  <c r="C46" i="5" s="1" a="1"/>
  <c r="C46" i="5" s="1"/>
  <c r="E452" i="4" a="1"/>
  <c r="E452" i="4" s="1"/>
  <c r="E481" i="4" a="1"/>
  <c r="E481" i="4" s="1"/>
  <c r="AE893" i="4" a="1"/>
  <c r="AE893" i="4" s="1"/>
  <c r="C75" i="5" s="1" a="1"/>
  <c r="C75" i="5" s="1"/>
  <c r="E560" i="4" a="1"/>
  <c r="E560" i="4" s="1"/>
  <c r="AE972" i="4" a="1"/>
  <c r="AE972" i="4" s="1"/>
  <c r="C154" i="5" s="1" a="1"/>
  <c r="C154" i="5" s="1"/>
  <c r="E574" i="4" a="1"/>
  <c r="E574" i="4" s="1"/>
  <c r="AE986" i="4" a="1"/>
  <c r="AE986" i="4" s="1"/>
  <c r="C168" i="5" s="1" a="1"/>
  <c r="C168" i="5" s="1"/>
  <c r="E518" i="4" a="1"/>
  <c r="E518" i="4" s="1"/>
  <c r="AE930" i="4" a="1"/>
  <c r="AE930" i="4" s="1"/>
  <c r="C112" i="5" s="1" a="1"/>
  <c r="C112" i="5" s="1"/>
  <c r="E463" i="4" a="1"/>
  <c r="E463" i="4" s="1"/>
  <c r="AE875" i="4" a="1"/>
  <c r="AE875" i="4" s="1"/>
  <c r="C57" i="5" s="1" a="1"/>
  <c r="C57" i="5" s="1"/>
  <c r="AE981" i="4" a="1"/>
  <c r="AE981" i="4" s="1"/>
  <c r="C163" i="5" s="1" a="1"/>
  <c r="C163" i="5" s="1"/>
  <c r="E569" i="4" a="1"/>
  <c r="E569" i="4" s="1"/>
  <c r="E565" i="4" a="1"/>
  <c r="E565" i="4" s="1"/>
  <c r="AE977" i="4" a="1"/>
  <c r="AE977" i="4" s="1"/>
  <c r="C159" i="5" s="1" a="1"/>
  <c r="C159" i="5" s="1"/>
  <c r="E427" i="4" a="1"/>
  <c r="E427" i="4" s="1"/>
  <c r="AE839" i="4" a="1"/>
  <c r="AE839" i="4" s="1"/>
  <c r="C21" i="5" s="1" a="1"/>
  <c r="C21" i="5" s="1"/>
  <c r="F481" i="4" l="1"/>
  <c r="AN893" i="4" s="1"/>
  <c r="F543" i="4"/>
  <c r="AN955" i="4" s="1"/>
  <c r="F436" i="4"/>
  <c r="AN848" i="4" s="1"/>
  <c r="F565" i="4"/>
  <c r="AN977" i="4" s="1"/>
  <c r="F579" i="4"/>
  <c r="AN991" i="4" s="1"/>
  <c r="F569" i="4"/>
  <c r="AN981" i="4" s="1"/>
  <c r="F452" i="4"/>
  <c r="AN864" i="4" s="1"/>
  <c r="F432" i="4"/>
  <c r="AN844" i="4" s="1"/>
  <c r="F546" i="4"/>
  <c r="AN958" i="4" s="1"/>
  <c r="F454" i="4"/>
  <c r="AN866" i="4" s="1"/>
  <c r="F463" i="4"/>
  <c r="F437" i="4"/>
  <c r="AN849" i="4" s="1"/>
  <c r="F518" i="4"/>
  <c r="AN930" i="4" s="1"/>
  <c r="F538" i="4"/>
  <c r="AN950" i="4" s="1"/>
  <c r="F530" i="4"/>
  <c r="AN942" i="4" s="1"/>
  <c r="F521" i="4"/>
  <c r="F574" i="4"/>
  <c r="AN986" i="4" s="1"/>
  <c r="F596" i="4"/>
  <c r="AN1008" i="4" s="1"/>
  <c r="F483" i="4"/>
  <c r="AN895" i="4" s="1"/>
  <c r="F427" i="4"/>
  <c r="AN839" i="4" s="1"/>
  <c r="F560" i="4"/>
  <c r="AN972" i="4" s="1"/>
  <c r="F519" i="4"/>
  <c r="AN931" i="4" s="1"/>
  <c r="AN877" i="4"/>
  <c r="AN971" i="4"/>
  <c r="AN980" i="4"/>
  <c r="AN952" i="4"/>
  <c r="AN920" i="4"/>
  <c r="AN1005" i="4"/>
  <c r="AN926" i="4"/>
  <c r="AN890" i="4"/>
  <c r="AN940" i="4"/>
  <c r="AN882" i="4"/>
  <c r="AN913" i="4"/>
  <c r="AN900" i="4"/>
  <c r="AN938" i="4"/>
  <c r="AN891" i="4"/>
  <c r="AN944" i="4"/>
  <c r="AM868" i="4"/>
  <c r="AR868" i="4" s="1"/>
  <c r="AM835" i="4"/>
  <c r="AR835" i="4" s="1"/>
  <c r="AM949" i="4"/>
  <c r="AR949" i="4" s="1"/>
  <c r="AM858" i="4"/>
  <c r="AR858" i="4" s="1"/>
  <c r="AM885" i="4"/>
  <c r="AR885" i="4" s="1"/>
  <c r="AM1020" i="4"/>
  <c r="AR1020" i="4" s="1"/>
  <c r="AM968" i="4"/>
  <c r="AR968" i="4" s="1"/>
  <c r="AM867" i="4"/>
  <c r="AR867" i="4" s="1"/>
  <c r="AM837" i="4"/>
  <c r="AR837" i="4" s="1"/>
  <c r="AM891" i="4"/>
  <c r="AM944" i="4"/>
  <c r="B13" i="5" l="1"/>
  <c r="B14" i="5"/>
  <c r="AM1028" i="4"/>
  <c r="AR1028" i="4" s="1"/>
  <c r="AM945" i="4"/>
  <c r="AM988" i="4"/>
  <c r="AR988" i="4" s="1"/>
  <c r="AM997" i="4"/>
  <c r="AR997" i="4" s="1"/>
  <c r="AM923" i="4"/>
  <c r="AR923" i="4" s="1"/>
  <c r="AM942" i="4"/>
  <c r="AR942" i="4" s="1"/>
  <c r="AM964" i="4"/>
  <c r="AR964" i="4" s="1"/>
  <c r="AM976" i="4"/>
  <c r="AR976" i="4" s="1"/>
  <c r="AM886" i="4"/>
  <c r="AR886" i="4" s="1"/>
  <c r="AM866" i="4"/>
  <c r="AP866" i="4" s="1"/>
  <c r="T48" i="5" s="1" a="1"/>
  <c r="T48" i="5" s="1"/>
  <c r="AM1029" i="4"/>
  <c r="AR1029" i="4" s="1"/>
  <c r="AM926" i="4"/>
  <c r="AR926" i="4" s="1"/>
  <c r="AM955" i="4"/>
  <c r="AP955" i="4" s="1"/>
  <c r="T137" i="5" s="1" a="1"/>
  <c r="T137" i="5" s="1"/>
  <c r="AR944" i="4"/>
  <c r="AM1019" i="4"/>
  <c r="AR1019" i="4" s="1"/>
  <c r="AM855" i="4"/>
  <c r="AR855" i="4" s="1"/>
  <c r="AM881" i="4"/>
  <c r="AR881" i="4" s="1"/>
  <c r="AM1022" i="4"/>
  <c r="AR1022" i="4" s="1"/>
  <c r="AM1021" i="4"/>
  <c r="AR1021" i="4" s="1"/>
  <c r="AM1031" i="4"/>
  <c r="AR1031" i="4" s="1"/>
  <c r="AM1030" i="4"/>
  <c r="AR1030" i="4" s="1"/>
  <c r="AM850" i="4"/>
  <c r="AR850" i="4" s="1"/>
  <c r="AM1012" i="4"/>
  <c r="AR1012" i="4" s="1"/>
  <c r="AM975" i="4"/>
  <c r="AR975" i="4" s="1"/>
  <c r="AM991" i="4"/>
  <c r="AP991" i="4" s="1"/>
  <c r="T173" i="5" s="1" a="1"/>
  <c r="T173" i="5" s="1"/>
  <c r="AM1005" i="4"/>
  <c r="AR1005" i="4" s="1"/>
  <c r="AM862" i="4"/>
  <c r="AR862" i="4" s="1"/>
  <c r="AM871" i="4"/>
  <c r="AR871" i="4" s="1"/>
  <c r="AM916" i="4"/>
  <c r="AR916" i="4" s="1"/>
  <c r="AM845" i="4"/>
  <c r="AR845" i="4" s="1"/>
  <c r="AM941" i="4"/>
  <c r="AR941" i="4" s="1"/>
  <c r="AM903" i="4"/>
  <c r="AR903" i="4" s="1"/>
  <c r="AM865" i="4"/>
  <c r="AR865" i="4" s="1"/>
  <c r="AM1000" i="4"/>
  <c r="AR1000" i="4" s="1"/>
  <c r="AM954" i="4"/>
  <c r="AR954" i="4" s="1"/>
  <c r="AM961" i="4"/>
  <c r="AR961" i="4" s="1"/>
  <c r="AM1011" i="4"/>
  <c r="AR1011" i="4" s="1"/>
  <c r="AM879" i="4"/>
  <c r="AR879" i="4" s="1"/>
  <c r="AM979" i="4"/>
  <c r="AR979" i="4" s="1"/>
  <c r="AM899" i="4"/>
  <c r="AR899" i="4" s="1"/>
  <c r="AM940" i="4"/>
  <c r="AR940" i="4" s="1"/>
  <c r="AM873" i="4"/>
  <c r="AR873" i="4" s="1"/>
  <c r="AM983" i="4"/>
  <c r="AR983" i="4" s="1"/>
  <c r="AM836" i="4"/>
  <c r="AR836" i="4" s="1"/>
  <c r="AM857" i="4"/>
  <c r="AR857" i="4" s="1"/>
  <c r="AM999" i="4"/>
  <c r="AR999" i="4" s="1"/>
  <c r="AM1006" i="4"/>
  <c r="AR1006" i="4" s="1"/>
  <c r="AR891" i="4"/>
  <c r="AM843" i="4"/>
  <c r="AR843" i="4" s="1"/>
  <c r="AM882" i="4"/>
  <c r="AR882" i="4" s="1"/>
  <c r="AM921" i="4"/>
  <c r="AR921" i="4" s="1"/>
  <c r="AM974" i="4"/>
  <c r="AR974" i="4" s="1"/>
  <c r="AM1013" i="4"/>
  <c r="AR1013" i="4" s="1"/>
  <c r="AM1018" i="4"/>
  <c r="AR1018" i="4" s="1"/>
  <c r="AM927" i="4"/>
  <c r="AR927" i="4" s="1"/>
  <c r="AM960" i="4"/>
  <c r="AR960" i="4" s="1"/>
  <c r="AM849" i="4"/>
  <c r="AR849" i="4" s="1"/>
  <c r="AM863" i="4"/>
  <c r="AR863" i="4" s="1"/>
  <c r="AM897" i="4"/>
  <c r="AR897" i="4" s="1"/>
  <c r="AM937" i="4"/>
  <c r="AR937" i="4" s="1"/>
  <c r="AM888" i="4"/>
  <c r="AR888" i="4" s="1"/>
  <c r="AM892" i="4"/>
  <c r="AR892" i="4" s="1"/>
  <c r="AM898" i="4"/>
  <c r="AR898" i="4" s="1"/>
  <c r="AM1001" i="4"/>
  <c r="AR1001" i="4" s="1"/>
  <c r="AM1024" i="4"/>
  <c r="AR1024" i="4" s="1"/>
  <c r="AM907" i="4"/>
  <c r="AR907" i="4" s="1"/>
  <c r="AM914" i="4"/>
  <c r="AR914" i="4" s="1"/>
  <c r="AM842" i="4"/>
  <c r="AR842" i="4" s="1"/>
  <c r="AM984" i="4"/>
  <c r="AR984" i="4" s="1"/>
  <c r="AM1017" i="4"/>
  <c r="AR1017" i="4" s="1"/>
  <c r="AM932" i="4"/>
  <c r="AR932" i="4" s="1"/>
  <c r="AM929" i="4"/>
  <c r="AR929" i="4" s="1"/>
  <c r="AM946" i="4"/>
  <c r="AR946" i="4" s="1"/>
  <c r="AM901" i="4"/>
  <c r="AR901" i="4" s="1"/>
  <c r="AM851" i="4"/>
  <c r="AR851" i="4" s="1"/>
  <c r="AM956" i="4"/>
  <c r="AR956" i="4" s="1"/>
  <c r="AM1010" i="4"/>
  <c r="AR1010" i="4" s="1"/>
  <c r="AM912" i="4"/>
  <c r="AR912" i="4" s="1"/>
  <c r="AM962" i="4"/>
  <c r="AR962" i="4" s="1"/>
  <c r="AM950" i="4"/>
  <c r="AP950" i="4" s="1"/>
  <c r="T132" i="5" s="1" a="1"/>
  <c r="T132" i="5" s="1"/>
  <c r="AM887" i="4"/>
  <c r="AR887" i="4" s="1"/>
  <c r="AM959" i="4"/>
  <c r="AR959" i="4" s="1"/>
  <c r="AM847" i="4"/>
  <c r="AR847" i="4" s="1"/>
  <c r="AM894" i="4"/>
  <c r="AR894" i="4" s="1"/>
  <c r="AM889" i="4"/>
  <c r="AR889" i="4" s="1"/>
  <c r="AM919" i="4"/>
  <c r="AR919" i="4" s="1"/>
  <c r="AM910" i="4"/>
  <c r="AR910" i="4" s="1"/>
  <c r="AM911" i="4"/>
  <c r="AR911" i="4" s="1"/>
  <c r="AM993" i="4"/>
  <c r="AR993" i="4" s="1"/>
  <c r="AM872" i="4"/>
  <c r="AR872" i="4" s="1"/>
  <c r="AM952" i="4"/>
  <c r="AR952" i="4" s="1"/>
  <c r="AM839" i="4"/>
  <c r="AR839" i="4" s="1"/>
  <c r="AM943" i="4"/>
  <c r="AR943" i="4" s="1"/>
  <c r="AM852" i="4"/>
  <c r="AR852" i="4" s="1"/>
  <c r="AM934" i="4"/>
  <c r="AR934" i="4" s="1"/>
  <c r="AM998" i="4"/>
  <c r="AR998" i="4" s="1"/>
  <c r="AM846" i="4"/>
  <c r="AR846" i="4" s="1"/>
  <c r="AM953" i="4"/>
  <c r="AR953" i="4" s="1"/>
  <c r="AM922" i="4"/>
  <c r="AR922" i="4" s="1"/>
  <c r="AM994" i="4"/>
  <c r="AR994" i="4" s="1"/>
  <c r="AM848" i="4"/>
  <c r="AP848" i="4" s="1"/>
  <c r="T30" i="5" s="1" a="1"/>
  <c r="T30" i="5" s="1"/>
  <c r="AM909" i="4"/>
  <c r="AR909" i="4" s="1"/>
  <c r="AM1014" i="4"/>
  <c r="AR1014" i="4" s="1"/>
  <c r="AM895" i="4"/>
  <c r="AP895" i="4" s="1"/>
  <c r="T77" i="5" s="1" a="1"/>
  <c r="T77" i="5" s="1"/>
  <c r="AM1004" i="4"/>
  <c r="AR1004" i="4" s="1"/>
  <c r="AM869" i="4"/>
  <c r="AR869" i="4" s="1"/>
  <c r="AM990" i="4"/>
  <c r="AR990" i="4" s="1"/>
  <c r="AM854" i="4"/>
  <c r="AR854" i="4" s="1"/>
  <c r="AM905" i="4"/>
  <c r="AR905" i="4" s="1"/>
  <c r="AM1025" i="4"/>
  <c r="AR1025" i="4" s="1"/>
  <c r="AM967" i="4"/>
  <c r="AR967" i="4" s="1"/>
  <c r="AM924" i="4"/>
  <c r="AR924" i="4" s="1"/>
  <c r="AM884" i="4"/>
  <c r="AR884" i="4" s="1"/>
  <c r="AM1023" i="4"/>
  <c r="AR1023" i="4" s="1"/>
  <c r="AM902" i="4"/>
  <c r="AR902" i="4" s="1"/>
  <c r="AM981" i="4"/>
  <c r="AR981" i="4" s="1"/>
  <c r="AM958" i="4"/>
  <c r="AP958" i="4" s="1"/>
  <c r="T140" i="5" s="1" a="1"/>
  <c r="T140" i="5" s="1"/>
  <c r="AM1026" i="4"/>
  <c r="AR1026" i="4" s="1"/>
  <c r="AM948" i="4"/>
  <c r="AR948" i="4" s="1"/>
  <c r="AM1003" i="4"/>
  <c r="AR1003" i="4" s="1"/>
  <c r="AM925" i="4"/>
  <c r="AR925" i="4" s="1"/>
  <c r="AM970" i="4"/>
  <c r="AR970" i="4" s="1"/>
  <c r="AM878" i="4"/>
  <c r="AR878" i="4" s="1"/>
  <c r="AM936" i="4"/>
  <c r="AR936" i="4" s="1"/>
  <c r="AM982" i="4"/>
  <c r="AR982" i="4" s="1"/>
  <c r="AM978" i="4"/>
  <c r="AR978" i="4" s="1"/>
  <c r="AM957" i="4"/>
  <c r="AR957" i="4" s="1"/>
  <c r="AM1016" i="4"/>
  <c r="AR1016" i="4" s="1"/>
  <c r="AM908" i="4"/>
  <c r="AR908" i="4" s="1"/>
  <c r="AM965" i="4"/>
  <c r="AR965" i="4" s="1"/>
  <c r="AM904" i="4"/>
  <c r="AR904" i="4" s="1"/>
  <c r="AM1002" i="4"/>
  <c r="AR1002" i="4" s="1"/>
  <c r="AM1007" i="4"/>
  <c r="AR1007" i="4" s="1"/>
  <c r="AM989" i="4"/>
  <c r="AR989" i="4" s="1"/>
  <c r="AM930" i="4"/>
  <c r="AR930" i="4" s="1"/>
  <c r="AM977" i="4"/>
  <c r="AP977" i="4" s="1"/>
  <c r="T159" i="5" s="1" a="1"/>
  <c r="T159" i="5" s="1"/>
  <c r="AM856" i="4"/>
  <c r="AR856" i="4" s="1"/>
  <c r="AM992" i="4"/>
  <c r="AR992" i="4" s="1"/>
  <c r="AM1015" i="4"/>
  <c r="AR1015" i="4" s="1"/>
  <c r="AM995" i="4"/>
  <c r="AR995" i="4" s="1"/>
  <c r="AM1009" i="4"/>
  <c r="AR1009" i="4" s="1"/>
  <c r="AM972" i="4"/>
  <c r="AR972" i="4" s="1"/>
  <c r="AM893" i="4"/>
  <c r="AP893" i="4" s="1"/>
  <c r="T75" i="5" s="1" a="1"/>
  <c r="T75" i="5" s="1"/>
  <c r="AM951" i="4"/>
  <c r="AR951" i="4" s="1"/>
  <c r="AM1027" i="4"/>
  <c r="AR1027" i="4" s="1"/>
  <c r="AM853" i="4"/>
  <c r="AR853" i="4" s="1"/>
  <c r="AM969" i="4"/>
  <c r="AR969" i="4" s="1"/>
  <c r="AM918" i="4"/>
  <c r="AR918" i="4" s="1"/>
  <c r="AM875" i="4"/>
  <c r="AM986" i="4"/>
  <c r="AR986" i="4" s="1"/>
  <c r="AM834" i="4"/>
  <c r="AR834" i="4" s="1"/>
  <c r="AM966" i="4"/>
  <c r="AR966" i="4" s="1"/>
  <c r="AM860" i="4"/>
  <c r="AR860" i="4" s="1"/>
  <c r="AM883" i="4"/>
  <c r="AR883" i="4" s="1"/>
  <c r="AM880" i="4"/>
  <c r="AR880" i="4" s="1"/>
  <c r="AM876" i="4"/>
  <c r="AR876" i="4" s="1"/>
  <c r="AM931" i="4"/>
  <c r="AR931" i="4" s="1"/>
  <c r="AM1008" i="4"/>
  <c r="AR1008" i="4" s="1"/>
  <c r="AM987" i="4"/>
  <c r="AR987" i="4" s="1"/>
  <c r="AM973" i="4"/>
  <c r="AR973" i="4" s="1"/>
  <c r="AM939" i="4"/>
  <c r="AR939" i="4" s="1"/>
  <c r="AM874" i="4"/>
  <c r="AR874" i="4" s="1"/>
  <c r="AM935" i="4"/>
  <c r="AR935" i="4" s="1"/>
  <c r="AM861" i="4"/>
  <c r="AR861" i="4" s="1"/>
  <c r="AM947" i="4"/>
  <c r="AR947" i="4" s="1"/>
  <c r="AM844" i="4"/>
  <c r="AR844" i="4" s="1"/>
  <c r="AM906" i="4"/>
  <c r="AR906" i="4" s="1"/>
  <c r="AM938" i="4"/>
  <c r="AR938" i="4" s="1"/>
  <c r="AM917" i="4"/>
  <c r="AR917" i="4" s="1"/>
  <c r="AM838" i="4"/>
  <c r="AR838" i="4" s="1"/>
  <c r="AM859" i="4"/>
  <c r="AR859" i="4" s="1"/>
  <c r="AN933" i="4"/>
  <c r="AN985" i="4"/>
  <c r="AN896" i="4"/>
  <c r="AN945" i="4"/>
  <c r="AM963" i="4"/>
  <c r="AR963" i="4" s="1"/>
  <c r="AM971" i="4"/>
  <c r="AR971" i="4" s="1"/>
  <c r="AM980" i="4"/>
  <c r="AR980" i="4" s="1"/>
  <c r="AM996" i="4"/>
  <c r="AR996" i="4" s="1"/>
  <c r="AM870" i="4"/>
  <c r="AR870" i="4" s="1"/>
  <c r="AM928" i="4"/>
  <c r="AR928" i="4" s="1"/>
  <c r="AM864" i="4"/>
  <c r="AP864" i="4" s="1"/>
  <c r="T46" i="5" s="1" a="1"/>
  <c r="T46" i="5" s="1"/>
  <c r="AM920" i="4"/>
  <c r="AR920" i="4" s="1"/>
  <c r="AM877" i="4"/>
  <c r="AR877" i="4" s="1"/>
  <c r="AM915" i="4"/>
  <c r="AR915" i="4" s="1"/>
  <c r="AM933" i="4"/>
  <c r="AM985" i="4"/>
  <c r="AM896" i="4"/>
  <c r="AM890" i="4"/>
  <c r="AR890" i="4" s="1"/>
  <c r="AM900" i="4"/>
  <c r="AR900" i="4" s="1"/>
  <c r="AM913" i="4"/>
  <c r="AR913" i="4" s="1"/>
  <c r="AM840" i="4"/>
  <c r="AR840" i="4" s="1"/>
  <c r="AP868" i="4"/>
  <c r="T50" i="5" s="1" a="1"/>
  <c r="T50" i="5" s="1"/>
  <c r="AP949" i="4"/>
  <c r="T131" i="5" s="1" a="1"/>
  <c r="T131" i="5" s="1"/>
  <c r="AP1020" i="4"/>
  <c r="T202" i="5" s="1" a="1"/>
  <c r="T202" i="5" s="1"/>
  <c r="AP835" i="4"/>
  <c r="T17" i="5" s="1" a="1"/>
  <c r="T17" i="5" s="1"/>
  <c r="AP885" i="4"/>
  <c r="T67" i="5" s="1" a="1"/>
  <c r="T67" i="5" s="1"/>
  <c r="AP944" i="4"/>
  <c r="T126" i="5" s="1" a="1"/>
  <c r="T126" i="5" s="1"/>
  <c r="AP891" i="4"/>
  <c r="T73" i="5" s="1" a="1"/>
  <c r="T73" i="5" s="1"/>
  <c r="AP837" i="4"/>
  <c r="T19" i="5" s="1" a="1"/>
  <c r="T19" i="5" s="1"/>
  <c r="AP867" i="4"/>
  <c r="T49" i="5" s="1" a="1"/>
  <c r="T49" i="5" s="1"/>
  <c r="AP968" i="4"/>
  <c r="T150" i="5" s="1" a="1"/>
  <c r="T150" i="5" s="1"/>
  <c r="AP858" i="4"/>
  <c r="T40" i="5" s="1" a="1"/>
  <c r="T40" i="5" s="1"/>
  <c r="F420" i="4"/>
  <c r="AN875" i="4"/>
  <c r="AM841" i="4"/>
  <c r="AR841" i="4" s="1"/>
  <c r="Y48" i="5" l="1"/>
  <c r="Y140" i="5"/>
  <c r="Y73" i="5"/>
  <c r="Y126" i="5"/>
  <c r="Y17" i="5"/>
  <c r="Y159" i="5"/>
  <c r="Y202" i="5"/>
  <c r="Y49" i="5"/>
  <c r="Y30" i="5"/>
  <c r="Y131" i="5"/>
  <c r="Y137" i="5"/>
  <c r="Y150" i="5"/>
  <c r="Y19" i="5"/>
  <c r="Y77" i="5"/>
  <c r="Y132" i="5"/>
  <c r="Y67" i="5"/>
  <c r="Y46" i="5"/>
  <c r="Y50" i="5"/>
  <c r="Y173" i="5"/>
  <c r="Y40" i="5"/>
  <c r="Y75" i="5"/>
  <c r="AP988" i="4"/>
  <c r="T170" i="5" s="1" a="1"/>
  <c r="T170" i="5" s="1"/>
  <c r="AR945" i="4"/>
  <c r="AP1028" i="4"/>
  <c r="T210" i="5" s="1" a="1"/>
  <c r="T210" i="5" s="1"/>
  <c r="AP997" i="4"/>
  <c r="T179" i="5" s="1" a="1"/>
  <c r="T179" i="5" s="1"/>
  <c r="AP942" i="4"/>
  <c r="T124" i="5" s="1" a="1"/>
  <c r="T124" i="5" s="1"/>
  <c r="AP923" i="4"/>
  <c r="T105" i="5" s="1" a="1"/>
  <c r="T105" i="5" s="1"/>
  <c r="AP926" i="4"/>
  <c r="T108" i="5" s="1" a="1"/>
  <c r="T108" i="5" s="1"/>
  <c r="AP976" i="4"/>
  <c r="T158" i="5" s="1" a="1"/>
  <c r="T158" i="5" s="1"/>
  <c r="AR866" i="4"/>
  <c r="AP964" i="4"/>
  <c r="T146" i="5" s="1" a="1"/>
  <c r="T146" i="5" s="1"/>
  <c r="AP886" i="4"/>
  <c r="T68" i="5" s="1" a="1"/>
  <c r="T68" i="5" s="1"/>
  <c r="AP1023" i="4"/>
  <c r="T205" i="5" s="1" a="1"/>
  <c r="T205" i="5" s="1"/>
  <c r="AP855" i="4"/>
  <c r="T37" i="5" s="1" a="1"/>
  <c r="T37" i="5" s="1"/>
  <c r="AP1029" i="4"/>
  <c r="T211" i="5" s="1" a="1"/>
  <c r="T211" i="5" s="1"/>
  <c r="AP914" i="4"/>
  <c r="T96" i="5" s="1" a="1"/>
  <c r="T96" i="5" s="1"/>
  <c r="AP845" i="4"/>
  <c r="T27" i="5" s="1" a="1"/>
  <c r="T27" i="5" s="1"/>
  <c r="AP1018" i="4"/>
  <c r="T200" i="5" s="1" a="1"/>
  <c r="T200" i="5" s="1"/>
  <c r="AP927" i="4"/>
  <c r="T109" i="5" s="1" a="1"/>
  <c r="T109" i="5" s="1"/>
  <c r="AP881" i="4"/>
  <c r="T63" i="5" s="1" a="1"/>
  <c r="T63" i="5" s="1"/>
  <c r="AP941" i="4"/>
  <c r="T123" i="5" s="1" a="1"/>
  <c r="T123" i="5" s="1"/>
  <c r="AP978" i="4"/>
  <c r="T160" i="5" s="1" a="1"/>
  <c r="T160" i="5" s="1"/>
  <c r="AP916" i="4"/>
  <c r="T98" i="5" s="1" a="1"/>
  <c r="T98" i="5" s="1"/>
  <c r="AP1022" i="4"/>
  <c r="T204" i="5" s="1" a="1"/>
  <c r="T204" i="5" s="1"/>
  <c r="AR955" i="4"/>
  <c r="AP952" i="4"/>
  <c r="T134" i="5" s="1" a="1"/>
  <c r="T134" i="5" s="1"/>
  <c r="AP983" i="4"/>
  <c r="T165" i="5" s="1" a="1"/>
  <c r="T165" i="5" s="1"/>
  <c r="AP962" i="4"/>
  <c r="T144" i="5" s="1" a="1"/>
  <c r="T144" i="5" s="1"/>
  <c r="AP872" i="4"/>
  <c r="T54" i="5" s="1" a="1"/>
  <c r="T54" i="5" s="1"/>
  <c r="AP907" i="4"/>
  <c r="T89" i="5" s="1" a="1"/>
  <c r="T89" i="5" s="1"/>
  <c r="AP857" i="4"/>
  <c r="T39" i="5" s="1" a="1"/>
  <c r="T39" i="5" s="1"/>
  <c r="AP836" i="4"/>
  <c r="T18" i="5" s="1" a="1"/>
  <c r="T18" i="5" s="1"/>
  <c r="AP1021" i="4"/>
  <c r="T203" i="5" s="1" a="1"/>
  <c r="T203" i="5" s="1"/>
  <c r="AP1019" i="4"/>
  <c r="T201" i="5" s="1" a="1"/>
  <c r="T201" i="5" s="1"/>
  <c r="AP970" i="4"/>
  <c r="T152" i="5" s="1" a="1"/>
  <c r="T152" i="5" s="1"/>
  <c r="AP984" i="4"/>
  <c r="T166" i="5" s="1" a="1"/>
  <c r="T166" i="5" s="1"/>
  <c r="AP849" i="4"/>
  <c r="T31" i="5" s="1" a="1"/>
  <c r="T31" i="5" s="1"/>
  <c r="AP912" i="4"/>
  <c r="T94" i="5" s="1" a="1"/>
  <c r="T94" i="5" s="1"/>
  <c r="AP902" i="4"/>
  <c r="T84" i="5" s="1" a="1"/>
  <c r="T84" i="5" s="1"/>
  <c r="AP842" i="4"/>
  <c r="T24" i="5" s="1" a="1"/>
  <c r="T24" i="5" s="1"/>
  <c r="AP953" i="4"/>
  <c r="T135" i="5" s="1" a="1"/>
  <c r="T135" i="5" s="1"/>
  <c r="AP1030" i="4"/>
  <c r="T212" i="5" s="1" a="1"/>
  <c r="T212" i="5" s="1"/>
  <c r="AP1005" i="4"/>
  <c r="T187" i="5" s="1" a="1"/>
  <c r="T187" i="5" s="1"/>
  <c r="AP850" i="4"/>
  <c r="T32" i="5" s="1" a="1"/>
  <c r="T32" i="5" s="1"/>
  <c r="AP1012" i="4"/>
  <c r="T194" i="5" s="1" a="1"/>
  <c r="T194" i="5" s="1"/>
  <c r="AP1025" i="4"/>
  <c r="T207" i="5" s="1" a="1"/>
  <c r="T207" i="5" s="1"/>
  <c r="AP1031" i="4"/>
  <c r="T213" i="5" s="1" a="1"/>
  <c r="T213" i="5" s="1"/>
  <c r="AP873" i="4"/>
  <c r="T55" i="5" s="1" a="1"/>
  <c r="T55" i="5" s="1"/>
  <c r="AP986" i="4"/>
  <c r="T168" i="5" s="1" a="1"/>
  <c r="T168" i="5" s="1"/>
  <c r="AP967" i="4"/>
  <c r="T149" i="5" s="1" a="1"/>
  <c r="T149" i="5" s="1"/>
  <c r="AR991" i="4"/>
  <c r="AP1011" i="4"/>
  <c r="T193" i="5" s="1" a="1"/>
  <c r="T193" i="5" s="1"/>
  <c r="AP839" i="4"/>
  <c r="T21" i="5" s="1" a="1"/>
  <c r="T21" i="5" s="1"/>
  <c r="AP1007" i="4"/>
  <c r="T189" i="5" s="1" a="1"/>
  <c r="T189" i="5" s="1"/>
  <c r="AP960" i="4"/>
  <c r="T142" i="5" s="1" a="1"/>
  <c r="T142" i="5" s="1"/>
  <c r="AP853" i="4"/>
  <c r="T35" i="5" s="1" a="1"/>
  <c r="T35" i="5" s="1"/>
  <c r="AP935" i="4"/>
  <c r="T117" i="5" s="1" a="1"/>
  <c r="T117" i="5" s="1"/>
  <c r="AP975" i="4"/>
  <c r="T157" i="5" s="1" a="1"/>
  <c r="T157" i="5" s="1"/>
  <c r="AP899" i="4"/>
  <c r="T81" i="5" s="1" a="1"/>
  <c r="T81" i="5" s="1"/>
  <c r="AP921" i="4"/>
  <c r="T103" i="5" s="1" a="1"/>
  <c r="T103" i="5" s="1"/>
  <c r="AP838" i="4"/>
  <c r="T20" i="5" s="1" a="1"/>
  <c r="T20" i="5" s="1"/>
  <c r="AR848" i="4"/>
  <c r="AP884" i="4"/>
  <c r="T66" i="5" s="1" a="1"/>
  <c r="T66" i="5" s="1"/>
  <c r="AP979" i="4"/>
  <c r="T161" i="5" s="1" a="1"/>
  <c r="T161" i="5" s="1"/>
  <c r="AP939" i="4"/>
  <c r="T121" i="5" s="1" a="1"/>
  <c r="T121" i="5" s="1"/>
  <c r="AP1024" i="4"/>
  <c r="T206" i="5" s="1" a="1"/>
  <c r="T206" i="5" s="1"/>
  <c r="AP1010" i="4"/>
  <c r="T192" i="5" s="1" a="1"/>
  <c r="T192" i="5" s="1"/>
  <c r="AP993" i="4"/>
  <c r="T175" i="5" s="1" a="1"/>
  <c r="T175" i="5" s="1"/>
  <c r="AP856" i="4"/>
  <c r="T38" i="5" s="1" a="1"/>
  <c r="T38" i="5" s="1"/>
  <c r="AP1013" i="4"/>
  <c r="T195" i="5" s="1" a="1"/>
  <c r="T195" i="5" s="1"/>
  <c r="AP871" i="4"/>
  <c r="T53" i="5" s="1" a="1"/>
  <c r="T53" i="5" s="1"/>
  <c r="AP877" i="4"/>
  <c r="T59" i="5" s="1" a="1"/>
  <c r="T59" i="5" s="1"/>
  <c r="AP862" i="4"/>
  <c r="T44" i="5" s="1" a="1"/>
  <c r="T44" i="5" s="1"/>
  <c r="AP919" i="4"/>
  <c r="T101" i="5" s="1" a="1"/>
  <c r="T101" i="5" s="1"/>
  <c r="AP940" i="4"/>
  <c r="T122" i="5" s="1" a="1"/>
  <c r="T122" i="5" s="1"/>
  <c r="AP989" i="4"/>
  <c r="T171" i="5" s="1" a="1"/>
  <c r="T171" i="5" s="1"/>
  <c r="AP851" i="4"/>
  <c r="T33" i="5" s="1" a="1"/>
  <c r="T33" i="5" s="1"/>
  <c r="AP982" i="4"/>
  <c r="T164" i="5" s="1" a="1"/>
  <c r="T164" i="5" s="1"/>
  <c r="AP924" i="4"/>
  <c r="T106" i="5" s="1" a="1"/>
  <c r="T106" i="5" s="1"/>
  <c r="AP943" i="4"/>
  <c r="T125" i="5" s="1" a="1"/>
  <c r="T125" i="5" s="1"/>
  <c r="AP956" i="4"/>
  <c r="T138" i="5" s="1" a="1"/>
  <c r="T138" i="5" s="1"/>
  <c r="AP1000" i="4"/>
  <c r="T182" i="5" s="1" a="1"/>
  <c r="T182" i="5" s="1"/>
  <c r="AR950" i="4"/>
  <c r="AP878" i="4"/>
  <c r="T60" i="5" s="1" a="1"/>
  <c r="T60" i="5" s="1"/>
  <c r="AP898" i="4"/>
  <c r="T80" i="5" s="1" a="1"/>
  <c r="T80" i="5" s="1"/>
  <c r="AP887" i="4"/>
  <c r="T69" i="5" s="1" a="1"/>
  <c r="T69" i="5" s="1"/>
  <c r="AP994" i="4"/>
  <c r="T176" i="5" s="1" a="1"/>
  <c r="T176" i="5" s="1"/>
  <c r="AR958" i="4"/>
  <c r="AP981" i="4"/>
  <c r="T163" i="5" s="1" a="1"/>
  <c r="T163" i="5" s="1"/>
  <c r="AP854" i="4"/>
  <c r="T36" i="5" s="1" a="1"/>
  <c r="T36" i="5" s="1"/>
  <c r="AP876" i="4"/>
  <c r="T58" i="5" s="1" a="1"/>
  <c r="T58" i="5" s="1"/>
  <c r="AP865" i="4"/>
  <c r="T47" i="5" s="1" a="1"/>
  <c r="T47" i="5" s="1"/>
  <c r="AP863" i="4"/>
  <c r="T45" i="5" s="1" a="1"/>
  <c r="T45" i="5" s="1"/>
  <c r="AP999" i="4"/>
  <c r="T181" i="5" s="1" a="1"/>
  <c r="T181" i="5" s="1"/>
  <c r="AP911" i="4"/>
  <c r="T93" i="5" s="1" a="1"/>
  <c r="T93" i="5" s="1"/>
  <c r="AP910" i="4"/>
  <c r="T92" i="5" s="1" a="1"/>
  <c r="T92" i="5" s="1"/>
  <c r="AP1002" i="4"/>
  <c r="T184" i="5" s="1" a="1"/>
  <c r="T184" i="5" s="1"/>
  <c r="AP1003" i="4"/>
  <c r="T185" i="5" s="1" a="1"/>
  <c r="T185" i="5" s="1"/>
  <c r="AP903" i="4"/>
  <c r="T85" i="5" s="1" a="1"/>
  <c r="T85" i="5" s="1"/>
  <c r="AP974" i="4"/>
  <c r="T156" i="5" s="1" a="1"/>
  <c r="T156" i="5" s="1"/>
  <c r="AP859" i="4"/>
  <c r="T41" i="5" s="1" a="1"/>
  <c r="T41" i="5" s="1"/>
  <c r="AP888" i="4"/>
  <c r="T70" i="5" s="1" a="1"/>
  <c r="T70" i="5" s="1"/>
  <c r="AP889" i="4"/>
  <c r="T71" i="5" s="1" a="1"/>
  <c r="T71" i="5" s="1"/>
  <c r="AP1001" i="4"/>
  <c r="T183" i="5" s="1" a="1"/>
  <c r="T183" i="5" s="1"/>
  <c r="AP998" i="4"/>
  <c r="T180" i="5" s="1" a="1"/>
  <c r="T180" i="5" s="1"/>
  <c r="AP905" i="4"/>
  <c r="T87" i="5" s="1" a="1"/>
  <c r="T87" i="5" s="1"/>
  <c r="AR875" i="4"/>
  <c r="AP946" i="4"/>
  <c r="T128" i="5" s="1" a="1"/>
  <c r="T128" i="5" s="1"/>
  <c r="AP973" i="4"/>
  <c r="T155" i="5" s="1" a="1"/>
  <c r="T155" i="5" s="1"/>
  <c r="AP931" i="4"/>
  <c r="T113" i="5" s="1" a="1"/>
  <c r="T113" i="5" s="1"/>
  <c r="AP959" i="4"/>
  <c r="T141" i="5" s="1" a="1"/>
  <c r="T141" i="5" s="1"/>
  <c r="AP1008" i="4"/>
  <c r="T190" i="5" s="1" a="1"/>
  <c r="T190" i="5" s="1"/>
  <c r="AP901" i="4"/>
  <c r="T83" i="5" s="1" a="1"/>
  <c r="T83" i="5" s="1"/>
  <c r="AP951" i="4"/>
  <c r="T133" i="5" s="1" a="1"/>
  <c r="T133" i="5" s="1"/>
  <c r="AP882" i="4"/>
  <c r="T64" i="5" s="1" a="1"/>
  <c r="T64" i="5" s="1"/>
  <c r="AP879" i="4"/>
  <c r="T61" i="5" s="1" a="1"/>
  <c r="T61" i="5" s="1"/>
  <c r="AP938" i="4"/>
  <c r="T120" i="5" s="1" a="1"/>
  <c r="T120" i="5" s="1"/>
  <c r="AP897" i="4"/>
  <c r="T79" i="5" s="1" a="1"/>
  <c r="T79" i="5" s="1"/>
  <c r="AP961" i="4"/>
  <c r="T143" i="5" s="1" a="1"/>
  <c r="T143" i="5" s="1"/>
  <c r="AP922" i="4"/>
  <c r="T104" i="5" s="1" a="1"/>
  <c r="T104" i="5" s="1"/>
  <c r="AP925" i="4"/>
  <c r="T107" i="5" s="1" a="1"/>
  <c r="T107" i="5" s="1"/>
  <c r="AP930" i="4"/>
  <c r="T112" i="5" s="1" a="1"/>
  <c r="T112" i="5" s="1"/>
  <c r="AP1006" i="4"/>
  <c r="T188" i="5" s="1" a="1"/>
  <c r="T188" i="5" s="1"/>
  <c r="AP894" i="4"/>
  <c r="T76" i="5" s="1" a="1"/>
  <c r="T76" i="5" s="1"/>
  <c r="AP969" i="4"/>
  <c r="T151" i="5" s="1" a="1"/>
  <c r="T151" i="5" s="1"/>
  <c r="AP1017" i="4"/>
  <c r="T199" i="5" s="1" a="1"/>
  <c r="T199" i="5" s="1"/>
  <c r="AP846" i="4"/>
  <c r="T28" i="5" s="1" a="1"/>
  <c r="T28" i="5" s="1"/>
  <c r="AP954" i="4"/>
  <c r="T136" i="5" s="1" a="1"/>
  <c r="T136" i="5" s="1"/>
  <c r="AP1027" i="4"/>
  <c r="T209" i="5" s="1" a="1"/>
  <c r="T209" i="5" s="1"/>
  <c r="AR864" i="4"/>
  <c r="AP892" i="4"/>
  <c r="T74" i="5" s="1" a="1"/>
  <c r="T74" i="5" s="1"/>
  <c r="AP843" i="4"/>
  <c r="T25" i="5" s="1" a="1"/>
  <c r="T25" i="5" s="1"/>
  <c r="AP904" i="4"/>
  <c r="T86" i="5" s="1" a="1"/>
  <c r="T86" i="5" s="1"/>
  <c r="AP1009" i="4"/>
  <c r="T191" i="5" s="1" a="1"/>
  <c r="T191" i="5" s="1"/>
  <c r="AP880" i="4"/>
  <c r="T62" i="5" s="1" a="1"/>
  <c r="T62" i="5" s="1"/>
  <c r="AP874" i="4"/>
  <c r="T56" i="5" s="1" a="1"/>
  <c r="T56" i="5" s="1"/>
  <c r="AP948" i="4"/>
  <c r="T130" i="5" s="1" a="1"/>
  <c r="T130" i="5" s="1"/>
  <c r="AP908" i="4"/>
  <c r="T90" i="5" s="1" a="1"/>
  <c r="T90" i="5" s="1"/>
  <c r="AP929" i="4"/>
  <c r="T111" i="5" s="1" a="1"/>
  <c r="T111" i="5" s="1"/>
  <c r="AR893" i="4"/>
  <c r="AP860" i="4"/>
  <c r="T42" i="5" s="1" a="1"/>
  <c r="T42" i="5" s="1"/>
  <c r="AP869" i="4"/>
  <c r="T51" i="5" s="1" a="1"/>
  <c r="T51" i="5" s="1"/>
  <c r="AP937" i="4"/>
  <c r="T119" i="5" s="1" a="1"/>
  <c r="T119" i="5" s="1"/>
  <c r="AP972" i="4"/>
  <c r="T154" i="5" s="1" a="1"/>
  <c r="T154" i="5" s="1"/>
  <c r="AP847" i="4"/>
  <c r="T29" i="5" s="1" a="1"/>
  <c r="T29" i="5" s="1"/>
  <c r="AP932" i="4"/>
  <c r="T114" i="5" s="1" a="1"/>
  <c r="T114" i="5" s="1"/>
  <c r="AP934" i="4"/>
  <c r="T116" i="5" s="1" a="1"/>
  <c r="T116" i="5" s="1"/>
  <c r="AP947" i="4"/>
  <c r="T129" i="5" s="1" a="1"/>
  <c r="T129" i="5" s="1"/>
  <c r="AP987" i="4"/>
  <c r="T169" i="5" s="1" a="1"/>
  <c r="T169" i="5" s="1"/>
  <c r="AP906" i="4"/>
  <c r="T88" i="5" s="1" a="1"/>
  <c r="T88" i="5" s="1"/>
  <c r="AR977" i="4"/>
  <c r="AP936" i="4"/>
  <c r="T118" i="5" s="1" a="1"/>
  <c r="T118" i="5" s="1"/>
  <c r="AP917" i="4"/>
  <c r="T99" i="5" s="1" a="1"/>
  <c r="T99" i="5" s="1"/>
  <c r="AP1004" i="4"/>
  <c r="T186" i="5" s="1" a="1"/>
  <c r="T186" i="5" s="1"/>
  <c r="AP990" i="4"/>
  <c r="T172" i="5" s="1" a="1"/>
  <c r="T172" i="5" s="1"/>
  <c r="AP995" i="4"/>
  <c r="T177" i="5" s="1" a="1"/>
  <c r="T177" i="5" s="1"/>
  <c r="AP965" i="4"/>
  <c r="T147" i="5" s="1" a="1"/>
  <c r="T147" i="5" s="1"/>
  <c r="AP1014" i="4"/>
  <c r="T196" i="5" s="1" a="1"/>
  <c r="T196" i="5" s="1"/>
  <c r="AP992" i="4"/>
  <c r="T174" i="5" s="1" a="1"/>
  <c r="T174" i="5" s="1"/>
  <c r="AR895" i="4"/>
  <c r="AP883" i="4"/>
  <c r="T65" i="5" s="1" a="1"/>
  <c r="T65" i="5" s="1"/>
  <c r="AP1026" i="4"/>
  <c r="T208" i="5" s="1" a="1"/>
  <c r="T208" i="5" s="1"/>
  <c r="AP844" i="4"/>
  <c r="T26" i="5" s="1" a="1"/>
  <c r="T26" i="5" s="1"/>
  <c r="AP909" i="4"/>
  <c r="T91" i="5" s="1" a="1"/>
  <c r="T91" i="5" s="1"/>
  <c r="AP918" i="4"/>
  <c r="T100" i="5" s="1" a="1"/>
  <c r="T100" i="5" s="1"/>
  <c r="AP852" i="4"/>
  <c r="T34" i="5" s="1" a="1"/>
  <c r="T34" i="5" s="1"/>
  <c r="AP966" i="4"/>
  <c r="T148" i="5" s="1" a="1"/>
  <c r="T148" i="5" s="1"/>
  <c r="AP1015" i="4"/>
  <c r="T197" i="5" s="1" a="1"/>
  <c r="T197" i="5" s="1"/>
  <c r="AP834" i="4"/>
  <c r="AP1016" i="4"/>
  <c r="T198" i="5" s="1" a="1"/>
  <c r="T198" i="5" s="1"/>
  <c r="AP861" i="4"/>
  <c r="T43" i="5" s="1" a="1"/>
  <c r="T43" i="5" s="1"/>
  <c r="AP957" i="4"/>
  <c r="T139" i="5" s="1" a="1"/>
  <c r="T139" i="5" s="1"/>
  <c r="AP963" i="4"/>
  <c r="T145" i="5" s="1" a="1"/>
  <c r="T145" i="5" s="1"/>
  <c r="AR896" i="4"/>
  <c r="AP945" i="4"/>
  <c r="T127" i="5" s="1" a="1"/>
  <c r="T127" i="5" s="1"/>
  <c r="AP971" i="4"/>
  <c r="T153" i="5" s="1" a="1"/>
  <c r="T153" i="5" s="1"/>
  <c r="AP870" i="4"/>
  <c r="T52" i="5" s="1" a="1"/>
  <c r="T52" i="5" s="1"/>
  <c r="AP980" i="4"/>
  <c r="T162" i="5" s="1" a="1"/>
  <c r="T162" i="5" s="1"/>
  <c r="AP890" i="4"/>
  <c r="T72" i="5" s="1" a="1"/>
  <c r="T72" i="5" s="1"/>
  <c r="AP996" i="4"/>
  <c r="T178" i="5" s="1" a="1"/>
  <c r="T178" i="5" s="1"/>
  <c r="AP896" i="4"/>
  <c r="T78" i="5" s="1" a="1"/>
  <c r="T78" i="5" s="1"/>
  <c r="AR985" i="4"/>
  <c r="AR933" i="4"/>
  <c r="AP985" i="4"/>
  <c r="T167" i="5" s="1" a="1"/>
  <c r="T167" i="5" s="1"/>
  <c r="AP933" i="4"/>
  <c r="T115" i="5" s="1" a="1"/>
  <c r="T115" i="5" s="1"/>
  <c r="AP920" i="4"/>
  <c r="T102" i="5" s="1" a="1"/>
  <c r="T102" i="5" s="1"/>
  <c r="AP840" i="4"/>
  <c r="T22" i="5" s="1" a="1"/>
  <c r="T22" i="5" s="1"/>
  <c r="AP928" i="4"/>
  <c r="T110" i="5" s="1" a="1"/>
  <c r="T110" i="5" s="1"/>
  <c r="AP915" i="4"/>
  <c r="T97" i="5" s="1" a="1"/>
  <c r="T97" i="5" s="1"/>
  <c r="AP900" i="4"/>
  <c r="T82" i="5" s="1" a="1"/>
  <c r="T82" i="5" s="1"/>
  <c r="AP913" i="4"/>
  <c r="T95" i="5" s="1" a="1"/>
  <c r="T95" i="5" s="1"/>
  <c r="AP875" i="4"/>
  <c r="T57" i="5" s="1" a="1"/>
  <c r="T57" i="5" s="1"/>
  <c r="AP841" i="4"/>
  <c r="T23" i="5" s="1" a="1"/>
  <c r="T23" i="5" s="1"/>
  <c r="T16" i="5" l="1" a="1"/>
  <c r="T16" i="5" s="1"/>
  <c r="Y16" i="5" s="1"/>
  <c r="Y127" i="5"/>
  <c r="Y111" i="5"/>
  <c r="Y58" i="5"/>
  <c r="Y39" i="5"/>
  <c r="Y90" i="5"/>
  <c r="Y133" i="5"/>
  <c r="Y36" i="5"/>
  <c r="Y189" i="5"/>
  <c r="Y89" i="5"/>
  <c r="Y124" i="5"/>
  <c r="Y115" i="5"/>
  <c r="Y169" i="5"/>
  <c r="Y163" i="5"/>
  <c r="Y135" i="5"/>
  <c r="Y167" i="5"/>
  <c r="Y129" i="5"/>
  <c r="Y76" i="5"/>
  <c r="Y156" i="5"/>
  <c r="Y171" i="5"/>
  <c r="Y193" i="5"/>
  <c r="Y144" i="5"/>
  <c r="Y210" i="5"/>
  <c r="Y43" i="5"/>
  <c r="Y174" i="5"/>
  <c r="Y188" i="5"/>
  <c r="Y85" i="5"/>
  <c r="Y66" i="5"/>
  <c r="Y84" i="5"/>
  <c r="Y211" i="5"/>
  <c r="Y198" i="5"/>
  <c r="Y196" i="5"/>
  <c r="Y114" i="5"/>
  <c r="Y191" i="5"/>
  <c r="Y112" i="5"/>
  <c r="Y113" i="5"/>
  <c r="Y185" i="5"/>
  <c r="Y69" i="5"/>
  <c r="Y101" i="5"/>
  <c r="Y149" i="5"/>
  <c r="Y94" i="5"/>
  <c r="Y134" i="5"/>
  <c r="Y37" i="5"/>
  <c r="Y170" i="5"/>
  <c r="Y23" i="5"/>
  <c r="Y78" i="5"/>
  <c r="Y147" i="5"/>
  <c r="Y29" i="5"/>
  <c r="Y86" i="5"/>
  <c r="Y107" i="5"/>
  <c r="Y155" i="5"/>
  <c r="Y184" i="5"/>
  <c r="Y80" i="5"/>
  <c r="Y44" i="5"/>
  <c r="Y20" i="5"/>
  <c r="Y168" i="5"/>
  <c r="Y31" i="5"/>
  <c r="Y205" i="5"/>
  <c r="Y57" i="5"/>
  <c r="Y178" i="5"/>
  <c r="Y197" i="5"/>
  <c r="Y177" i="5"/>
  <c r="Y154" i="5"/>
  <c r="Y25" i="5"/>
  <c r="Y104" i="5"/>
  <c r="Y128" i="5"/>
  <c r="Y92" i="5"/>
  <c r="Y60" i="5"/>
  <c r="Y59" i="5"/>
  <c r="Y103" i="5"/>
  <c r="Y55" i="5"/>
  <c r="Y166" i="5"/>
  <c r="Y204" i="5"/>
  <c r="Y68" i="5"/>
  <c r="Y26" i="5"/>
  <c r="Y64" i="5"/>
  <c r="Y106" i="5"/>
  <c r="Y187" i="5"/>
  <c r="Y105" i="5"/>
  <c r="Y88" i="5"/>
  <c r="Y206" i="5"/>
  <c r="Y145" i="5"/>
  <c r="Y151" i="5"/>
  <c r="Y41" i="5"/>
  <c r="Y121" i="5"/>
  <c r="Y54" i="5"/>
  <c r="Y179" i="5"/>
  <c r="Y116" i="5"/>
  <c r="Y141" i="5"/>
  <c r="Y122" i="5"/>
  <c r="Y165" i="5"/>
  <c r="Y95" i="5"/>
  <c r="Y172" i="5"/>
  <c r="Y213" i="5"/>
  <c r="Y82" i="5"/>
  <c r="Y51" i="5"/>
  <c r="Y157" i="5"/>
  <c r="Y100" i="5"/>
  <c r="Y42" i="5"/>
  <c r="Y120" i="5"/>
  <c r="Y180" i="5"/>
  <c r="Y138" i="5"/>
  <c r="Y38" i="5"/>
  <c r="Y117" i="5"/>
  <c r="Y194" i="5"/>
  <c r="Y203" i="5"/>
  <c r="Y123" i="5"/>
  <c r="Y158" i="5"/>
  <c r="Y22" i="5"/>
  <c r="Y28" i="5"/>
  <c r="Y71" i="5"/>
  <c r="Y192" i="5"/>
  <c r="Y142" i="5"/>
  <c r="Y109" i="5"/>
  <c r="Y102" i="5"/>
  <c r="Y208" i="5"/>
  <c r="Y199" i="5"/>
  <c r="Y70" i="5"/>
  <c r="Y164" i="5"/>
  <c r="Y212" i="5"/>
  <c r="Y200" i="5"/>
  <c r="Y65" i="5"/>
  <c r="Y130" i="5"/>
  <c r="Y83" i="5"/>
  <c r="Y33" i="5"/>
  <c r="Y21" i="5"/>
  <c r="Y27" i="5"/>
  <c r="Y139" i="5"/>
  <c r="Y56" i="5"/>
  <c r="Y190" i="5"/>
  <c r="Y161" i="5"/>
  <c r="Y24" i="5"/>
  <c r="Y96" i="5"/>
  <c r="Y62" i="5"/>
  <c r="Y176" i="5"/>
  <c r="Y72" i="5"/>
  <c r="Y148" i="5"/>
  <c r="Y119" i="5"/>
  <c r="Y74" i="5"/>
  <c r="Y143" i="5"/>
  <c r="Y93" i="5"/>
  <c r="Y53" i="5"/>
  <c r="Y81" i="5"/>
  <c r="Y152" i="5"/>
  <c r="Y98" i="5"/>
  <c r="Y146" i="5"/>
  <c r="Y162" i="5"/>
  <c r="Y34" i="5"/>
  <c r="Y186" i="5"/>
  <c r="Y79" i="5"/>
  <c r="Y87" i="5"/>
  <c r="Y181" i="5"/>
  <c r="Y182" i="5"/>
  <c r="Y195" i="5"/>
  <c r="Y207" i="5"/>
  <c r="Y201" i="5"/>
  <c r="Y160" i="5"/>
  <c r="Y97" i="5"/>
  <c r="Y52" i="5"/>
  <c r="Y99" i="5"/>
  <c r="Y209" i="5"/>
  <c r="Y45" i="5"/>
  <c r="Y110" i="5"/>
  <c r="Y153" i="5"/>
  <c r="Y91" i="5"/>
  <c r="Y118" i="5"/>
  <c r="Y136" i="5"/>
  <c r="Y61" i="5"/>
  <c r="Y183" i="5"/>
  <c r="Y47" i="5"/>
  <c r="Y125" i="5"/>
  <c r="Y175" i="5"/>
  <c r="Y35" i="5"/>
  <c r="Y32" i="5"/>
  <c r="Y18" i="5"/>
  <c r="Y63" i="5"/>
  <c r="Y108" i="5"/>
  <c r="V110" i="5"/>
  <c r="AS928" i="4" s="1"/>
  <c r="AR832" i="4"/>
  <c r="AP832" i="4"/>
  <c r="T12" i="5" l="1"/>
  <c r="D1051" i="4"/>
  <c r="U12" i="5" s="1"/>
  <c r="CJ98" i="6"/>
  <c r="E112" i="6" l="1"/>
  <c r="E197" i="6"/>
  <c r="K165" i="6"/>
  <c r="K119" i="6"/>
  <c r="E137" i="6"/>
  <c r="K233" i="6"/>
  <c r="K70" i="6"/>
  <c r="K104" i="6"/>
  <c r="K134" i="6"/>
  <c r="K71" i="6"/>
  <c r="K21" i="6"/>
  <c r="K177" i="6"/>
  <c r="K162" i="6"/>
  <c r="K107" i="6"/>
  <c r="K117" i="6"/>
  <c r="K126" i="6"/>
  <c r="AF133" i="6"/>
  <c r="K75" i="6"/>
  <c r="E29" i="6"/>
  <c r="K54" i="6"/>
  <c r="K202" i="6"/>
  <c r="K13" i="6"/>
  <c r="K67" i="6"/>
  <c r="K82" i="6"/>
  <c r="K210" i="6"/>
  <c r="K113" i="6"/>
  <c r="K59" i="6"/>
  <c r="K181" i="6"/>
  <c r="E181" i="6"/>
  <c r="CJ84" i="6"/>
  <c r="K151" i="6"/>
  <c r="K52" i="6"/>
  <c r="K159" i="6"/>
  <c r="K27" i="6"/>
  <c r="K223" i="6"/>
  <c r="K58" i="6"/>
  <c r="K81" i="6"/>
  <c r="K142" i="6"/>
  <c r="K114" i="6"/>
  <c r="K110" i="6"/>
  <c r="E165" i="6"/>
  <c r="E182" i="6"/>
  <c r="E163" i="6"/>
  <c r="K16" i="6"/>
  <c r="AF114" i="6"/>
  <c r="E162" i="6"/>
  <c r="AY193" i="6"/>
  <c r="AF212" i="6"/>
  <c r="E106" i="6"/>
  <c r="CJ106" i="6"/>
  <c r="AF43" i="6"/>
  <c r="AY74" i="6"/>
  <c r="AF211" i="6"/>
  <c r="BC58" i="6"/>
  <c r="BB58" i="6" s="1"/>
  <c r="AL44" i="6"/>
  <c r="AL230" i="6"/>
  <c r="E44" i="6"/>
  <c r="K154" i="6"/>
  <c r="E211" i="6"/>
  <c r="CJ30" i="6"/>
  <c r="O60" i="6"/>
  <c r="E52" i="6"/>
  <c r="AL32" i="6"/>
  <c r="BC227" i="6"/>
  <c r="BB227" i="6" s="1"/>
  <c r="AL75" i="6"/>
  <c r="AF141" i="6"/>
  <c r="AF74" i="6"/>
  <c r="BC73" i="6"/>
  <c r="BB73" i="6" s="1"/>
  <c r="AL14" i="6"/>
  <c r="E176" i="6"/>
  <c r="AY176" i="6"/>
  <c r="CJ37" i="6"/>
  <c r="AY28" i="6"/>
  <c r="K194" i="6"/>
  <c r="AY234" i="6"/>
  <c r="O234" i="6"/>
  <c r="AL193" i="6"/>
  <c r="AL111" i="6"/>
  <c r="O111" i="6"/>
  <c r="CJ12" i="6"/>
  <c r="R12" i="6"/>
  <c r="K140" i="6"/>
  <c r="AY199" i="6"/>
  <c r="AY212" i="6"/>
  <c r="O95" i="6"/>
  <c r="AL212" i="6"/>
  <c r="R212" i="6"/>
  <c r="AF144" i="6"/>
  <c r="Z144" i="6"/>
  <c r="V223" i="6"/>
  <c r="AF223" i="6"/>
  <c r="AL223" i="6"/>
  <c r="AF117" i="6"/>
  <c r="AL117" i="6"/>
  <c r="K64" i="6"/>
  <c r="AF139" i="6"/>
  <c r="AF131" i="6"/>
  <c r="BC131" i="6"/>
  <c r="BB131" i="6" s="1"/>
  <c r="AF146" i="6"/>
  <c r="AP146" i="6"/>
  <c r="AF119" i="6"/>
  <c r="O104" i="6"/>
  <c r="AL104" i="6"/>
  <c r="AF104" i="6"/>
  <c r="AF89" i="6"/>
  <c r="AY89" i="6"/>
  <c r="AF115" i="6"/>
  <c r="Z115" i="6"/>
  <c r="AF170" i="6"/>
  <c r="Z170" i="6"/>
  <c r="AF19" i="6"/>
  <c r="O19" i="6"/>
  <c r="BC19" i="6"/>
  <c r="BB19" i="6" s="1"/>
  <c r="AF101" i="6"/>
  <c r="AY24" i="6"/>
  <c r="AF24" i="6"/>
  <c r="AF233" i="6"/>
  <c r="O233" i="6"/>
  <c r="BC233" i="6"/>
  <c r="BB233" i="6" s="1"/>
  <c r="AF186" i="6"/>
  <c r="AY186" i="6"/>
  <c r="AF208" i="6"/>
  <c r="AF36" i="6"/>
  <c r="AY36" i="6"/>
  <c r="AF192" i="6"/>
  <c r="AL192" i="6"/>
  <c r="AY145" i="6"/>
  <c r="AF145" i="6"/>
  <c r="V145" i="6"/>
  <c r="AL145" i="6"/>
  <c r="AF45" i="6"/>
  <c r="K45" i="6"/>
  <c r="AY45" i="6"/>
  <c r="BC45" i="6"/>
  <c r="BB45" i="6" s="1"/>
  <c r="AL45" i="6"/>
  <c r="O45" i="6"/>
  <c r="AF100" i="6"/>
  <c r="BC100" i="6"/>
  <c r="BB100" i="6" s="1"/>
  <c r="K100" i="6"/>
  <c r="AF35" i="6"/>
  <c r="AY35" i="6"/>
  <c r="K35" i="6"/>
  <c r="BC218" i="6"/>
  <c r="BB218" i="6" s="1"/>
  <c r="AF218" i="6"/>
  <c r="K218" i="6"/>
  <c r="AY218" i="6"/>
  <c r="AF107" i="6"/>
  <c r="Z107" i="6"/>
  <c r="AL107" i="6"/>
  <c r="AF79" i="6"/>
  <c r="Z79" i="6"/>
  <c r="AY79" i="6"/>
  <c r="O135" i="6"/>
  <c r="AF135" i="6"/>
  <c r="BC135" i="6"/>
  <c r="BB135" i="6" s="1"/>
  <c r="AL135" i="6"/>
  <c r="K48" i="6"/>
  <c r="AF48" i="6"/>
  <c r="AF185" i="6"/>
  <c r="AY185" i="6"/>
  <c r="V185" i="6"/>
  <c r="BC185" i="6"/>
  <c r="BB185" i="6" s="1"/>
  <c r="AL185" i="6"/>
  <c r="AF203" i="6"/>
  <c r="BC203" i="6"/>
  <c r="BB203" i="6" s="1"/>
  <c r="V203" i="6"/>
  <c r="AL203" i="6"/>
  <c r="AY203" i="6"/>
  <c r="AF207" i="6"/>
  <c r="AL207" i="6"/>
  <c r="BC207" i="6"/>
  <c r="BB207" i="6" s="1"/>
  <c r="AF92" i="6"/>
  <c r="AF210" i="6"/>
  <c r="Z210" i="6"/>
  <c r="BC210" i="6"/>
  <c r="BB210" i="6" s="1"/>
  <c r="AF116" i="6"/>
  <c r="CJ152" i="6"/>
  <c r="AF77" i="6"/>
  <c r="AL77" i="6"/>
  <c r="AF171" i="6"/>
  <c r="AF126" i="6"/>
  <c r="AL126" i="6"/>
  <c r="BC18" i="6"/>
  <c r="BB18" i="6" s="1"/>
  <c r="AF18" i="6"/>
  <c r="AL18" i="6"/>
  <c r="O18" i="6"/>
  <c r="AF86" i="6"/>
  <c r="AY86" i="6"/>
  <c r="AF60" i="6"/>
  <c r="AL88" i="6"/>
  <c r="AF88" i="6"/>
  <c r="BC88" i="6"/>
  <c r="BB88" i="6" s="1"/>
  <c r="O138" i="6"/>
  <c r="AF138" i="6"/>
  <c r="AF200" i="6"/>
  <c r="BC152" i="6"/>
  <c r="BB152" i="6" s="1"/>
  <c r="AF152" i="6"/>
  <c r="R152" i="6"/>
  <c r="K187" i="6"/>
  <c r="AF87" i="6"/>
  <c r="BC87" i="6"/>
  <c r="BB87" i="6" s="1"/>
  <c r="BC23" i="6"/>
  <c r="BB23" i="6" s="1"/>
  <c r="AF23" i="6"/>
  <c r="AY108" i="6"/>
  <c r="AY150" i="6"/>
  <c r="AF226" i="6"/>
  <c r="AL226" i="6"/>
  <c r="AL27" i="6"/>
  <c r="AF27" i="6"/>
  <c r="BC27" i="6"/>
  <c r="BB27" i="6" s="1"/>
  <c r="O27" i="6"/>
  <c r="V65" i="6"/>
  <c r="K65" i="6"/>
  <c r="AF65" i="6"/>
  <c r="BC76" i="6"/>
  <c r="BB76" i="6" s="1"/>
  <c r="AF76" i="6"/>
  <c r="AF15" i="6"/>
  <c r="AL15" i="6"/>
  <c r="AF209" i="6"/>
  <c r="O209" i="6"/>
  <c r="O195" i="6"/>
  <c r="K172" i="6"/>
  <c r="AF172" i="6"/>
  <c r="O225" i="6"/>
  <c r="K225" i="6"/>
  <c r="AF225" i="6"/>
  <c r="AF169" i="6"/>
  <c r="R150" i="6"/>
  <c r="CJ150" i="6"/>
  <c r="AF64" i="6"/>
  <c r="Z64" i="6"/>
  <c r="AY64" i="6"/>
  <c r="BC64" i="6"/>
  <c r="BB64" i="6" s="1"/>
  <c r="O28" i="6"/>
  <c r="BC28" i="6"/>
  <c r="BB28" i="6" s="1"/>
  <c r="AL28" i="6"/>
  <c r="AF28" i="6"/>
  <c r="K189" i="6"/>
  <c r="AY189" i="6"/>
  <c r="AF189" i="6"/>
  <c r="O189" i="6"/>
  <c r="AL189" i="6"/>
  <c r="E189" i="6"/>
  <c r="AF180" i="6"/>
  <c r="AL180" i="6"/>
  <c r="BC180" i="6"/>
  <c r="BB180" i="6" s="1"/>
  <c r="K180" i="6"/>
  <c r="AF213" i="6"/>
  <c r="O213" i="6"/>
  <c r="Z213" i="6"/>
  <c r="AY213" i="6"/>
  <c r="K213" i="6"/>
  <c r="AL213" i="6"/>
  <c r="AF197" i="6"/>
  <c r="V197" i="6"/>
  <c r="AL197" i="6"/>
  <c r="K197" i="6"/>
  <c r="BC197" i="6"/>
  <c r="BB197" i="6" s="1"/>
  <c r="BC40" i="6"/>
  <c r="BB40" i="6" s="1"/>
  <c r="AF173" i="6"/>
  <c r="AY72" i="6"/>
  <c r="AF72" i="6"/>
  <c r="AL143" i="6"/>
  <c r="AF143" i="6"/>
  <c r="BC136" i="6"/>
  <c r="BB136" i="6" s="1"/>
  <c r="AL136" i="6"/>
  <c r="AF136" i="6"/>
  <c r="AF221" i="6"/>
  <c r="AF206" i="6"/>
  <c r="AL206" i="6"/>
  <c r="O206" i="6"/>
  <c r="O205" i="6"/>
  <c r="AF205" i="6"/>
  <c r="AF231" i="6"/>
  <c r="AY231" i="6"/>
  <c r="BC231" i="6"/>
  <c r="BB231" i="6" s="1"/>
  <c r="O231" i="6"/>
  <c r="AF49" i="6"/>
  <c r="O228" i="6"/>
  <c r="AL228" i="6"/>
  <c r="BC228" i="6"/>
  <c r="BB228" i="6" s="1"/>
  <c r="AF228" i="6"/>
  <c r="K228" i="6"/>
  <c r="BC128" i="6"/>
  <c r="BB128" i="6" s="1"/>
  <c r="AF128" i="6"/>
  <c r="O128" i="6"/>
  <c r="AL161" i="6"/>
  <c r="AF161" i="6"/>
  <c r="AF160" i="6"/>
  <c r="K160" i="6"/>
  <c r="AL160" i="6"/>
  <c r="AL38" i="6"/>
  <c r="AF38" i="6"/>
  <c r="AF202" i="6"/>
  <c r="AL202" i="6"/>
  <c r="BC81" i="6"/>
  <c r="BB81" i="6" s="1"/>
  <c r="AF81" i="6"/>
  <c r="O81" i="6"/>
  <c r="V81" i="6"/>
  <c r="AF129" i="6"/>
  <c r="AL129" i="6"/>
  <c r="AF53" i="6"/>
  <c r="V53" i="6"/>
  <c r="AY78" i="6"/>
  <c r="AF80" i="6"/>
  <c r="O80" i="6"/>
  <c r="AF123" i="6"/>
  <c r="AP123" i="6"/>
  <c r="V123" i="6"/>
  <c r="O123" i="6"/>
  <c r="AL123" i="6"/>
  <c r="BC123" i="6"/>
  <c r="BB123" i="6" s="1"/>
  <c r="AY123" i="6"/>
  <c r="AF154" i="6"/>
  <c r="O154" i="6"/>
  <c r="AY154" i="6"/>
  <c r="V29" i="6"/>
  <c r="Z29" i="6"/>
  <c r="AF29" i="6"/>
  <c r="AL29" i="6"/>
  <c r="K56" i="6"/>
  <c r="AF56" i="6"/>
  <c r="AL56" i="6"/>
  <c r="E56" i="6"/>
  <c r="BC150" i="6"/>
  <c r="BB150" i="6" s="1"/>
  <c r="AF150" i="6"/>
  <c r="K150" i="6"/>
  <c r="AF201" i="6"/>
  <c r="AY201" i="6"/>
  <c r="R98" i="6"/>
  <c r="AF98" i="6"/>
  <c r="AY98" i="6"/>
  <c r="O166" i="6"/>
  <c r="K166" i="6"/>
  <c r="AF166" i="6"/>
  <c r="BC91" i="6"/>
  <c r="BB91" i="6" s="1"/>
  <c r="AF91" i="6"/>
  <c r="AP91" i="6"/>
  <c r="O91" i="6"/>
  <c r="K91" i="6"/>
  <c r="AF102" i="6"/>
  <c r="AF187" i="6"/>
  <c r="O187" i="6"/>
  <c r="BC187" i="6"/>
  <c r="BB187" i="6" s="1"/>
  <c r="AF78" i="6"/>
  <c r="AF97" i="6"/>
  <c r="AY97" i="6"/>
  <c r="BC97" i="6"/>
  <c r="BB97" i="6" s="1"/>
  <c r="AF22" i="6"/>
  <c r="AL22" i="6"/>
  <c r="AY22" i="6"/>
  <c r="AF34" i="6"/>
  <c r="AL34" i="6"/>
  <c r="K34" i="6"/>
  <c r="AF184" i="6"/>
  <c r="V177" i="6"/>
  <c r="AF177" i="6"/>
  <c r="AY177" i="6"/>
  <c r="BC44" i="6"/>
  <c r="BB44" i="6" s="1"/>
  <c r="K44" i="6"/>
  <c r="O44" i="6"/>
  <c r="AF44" i="6"/>
  <c r="AP44" i="6"/>
  <c r="AY44" i="6"/>
  <c r="AF25" i="6"/>
  <c r="V25" i="6"/>
  <c r="Z25" i="6"/>
  <c r="K25" i="6"/>
  <c r="AP25" i="6"/>
  <c r="BC25" i="6"/>
  <c r="BB25" i="6" s="1"/>
  <c r="AY25" i="6"/>
  <c r="AL25" i="6"/>
  <c r="O25" i="6"/>
  <c r="E25" i="6"/>
  <c r="AF50" i="6"/>
  <c r="AL50" i="6"/>
  <c r="Z50" i="6"/>
  <c r="AP50" i="6"/>
  <c r="AY50" i="6"/>
  <c r="K50" i="6"/>
  <c r="V93" i="6"/>
  <c r="E93" i="6"/>
  <c r="AP93" i="6"/>
  <c r="BC93" i="6"/>
  <c r="BB93" i="6" s="1"/>
  <c r="K93" i="6"/>
  <c r="AF93" i="6"/>
  <c r="O93" i="6"/>
  <c r="AY93" i="6"/>
  <c r="Z93" i="6"/>
  <c r="AL96" i="6"/>
  <c r="AF16" i="6"/>
  <c r="AY16" i="6"/>
  <c r="E16" i="6"/>
  <c r="AL16" i="6"/>
  <c r="BC16" i="6"/>
  <c r="BB16" i="6" s="1"/>
  <c r="BC162" i="6"/>
  <c r="BB162" i="6" s="1"/>
  <c r="AF162" i="6"/>
  <c r="O162" i="6"/>
  <c r="AL162" i="6"/>
  <c r="V162" i="6"/>
  <c r="Z162" i="6"/>
  <c r="AP73" i="6"/>
  <c r="O73" i="6"/>
  <c r="V73" i="6"/>
  <c r="AF73" i="6"/>
  <c r="AY73" i="6"/>
  <c r="E73" i="6"/>
  <c r="AL73" i="6"/>
  <c r="AL127" i="6"/>
  <c r="O75" i="6"/>
  <c r="AY75" i="6"/>
  <c r="AF75" i="6"/>
  <c r="Z75" i="6"/>
  <c r="AP52" i="6"/>
  <c r="Z52" i="6"/>
  <c r="BC52" i="6"/>
  <c r="BB52" i="6" s="1"/>
  <c r="AL52" i="6"/>
  <c r="V52" i="6"/>
  <c r="AF52" i="6"/>
  <c r="O52" i="6"/>
  <c r="AY52" i="6"/>
  <c r="K229" i="6"/>
  <c r="O176" i="6"/>
  <c r="K176" i="6"/>
  <c r="Z176" i="6"/>
  <c r="AF176" i="6"/>
  <c r="Z108" i="6"/>
  <c r="BC108" i="6"/>
  <c r="BB108" i="6" s="1"/>
  <c r="AL108" i="6"/>
  <c r="O108" i="6"/>
  <c r="AP108" i="6"/>
  <c r="AF108" i="6"/>
  <c r="K108" i="6"/>
  <c r="AF17" i="6"/>
  <c r="AY167" i="6"/>
  <c r="AF167" i="6"/>
  <c r="BC167" i="6"/>
  <c r="BB167" i="6" s="1"/>
  <c r="K168" i="6"/>
  <c r="AY168" i="6"/>
  <c r="AL168" i="6"/>
  <c r="BC168" i="6"/>
  <c r="BB168" i="6" s="1"/>
  <c r="AF168" i="6"/>
  <c r="AL85" i="6"/>
  <c r="V85" i="6"/>
  <c r="AF85" i="6"/>
  <c r="AF63" i="6"/>
  <c r="AF229" i="6"/>
  <c r="E229" i="6"/>
  <c r="AF94" i="6"/>
  <c r="AP94" i="6"/>
  <c r="AY94" i="6"/>
  <c r="K94" i="6"/>
  <c r="AL94" i="6"/>
  <c r="AF47" i="6"/>
  <c r="AL47" i="6"/>
  <c r="K47" i="6"/>
  <c r="AL97" i="6"/>
  <c r="AL179" i="6"/>
  <c r="AF179" i="6"/>
  <c r="O179" i="6"/>
  <c r="AF149" i="6"/>
  <c r="Z105" i="6"/>
  <c r="O105" i="6"/>
  <c r="AF105" i="6"/>
  <c r="AY105" i="6"/>
  <c r="AF153" i="6"/>
  <c r="AL153" i="6"/>
  <c r="O174" i="6"/>
  <c r="AF174" i="6"/>
  <c r="AL174" i="6"/>
  <c r="BC174" i="6"/>
  <c r="BB174" i="6" s="1"/>
  <c r="V174" i="6"/>
  <c r="Z174" i="6"/>
  <c r="AY174" i="6"/>
  <c r="K174" i="6"/>
  <c r="BC96" i="6"/>
  <c r="BB96" i="6" s="1"/>
  <c r="AY96" i="6"/>
  <c r="Z96" i="6"/>
  <c r="O96" i="6"/>
  <c r="V96" i="6"/>
  <c r="AF96" i="6"/>
  <c r="AF46" i="6"/>
  <c r="AP46" i="6"/>
  <c r="K46" i="6"/>
  <c r="O46" i="6"/>
  <c r="BC127" i="6"/>
  <c r="BB127" i="6" s="1"/>
  <c r="AY127" i="6"/>
  <c r="AF127" i="6"/>
  <c r="AP127" i="6"/>
  <c r="AY11" i="6"/>
  <c r="AF11" i="6"/>
  <c r="V74" i="6"/>
  <c r="BC74" i="6"/>
  <c r="BB74" i="6" s="1"/>
  <c r="AL74" i="6"/>
  <c r="Z58" i="6"/>
  <c r="O58" i="6"/>
  <c r="AY58" i="6"/>
  <c r="V58" i="6"/>
  <c r="AP58" i="6"/>
  <c r="AF58" i="6"/>
  <c r="BC148" i="6"/>
  <c r="BB148" i="6" s="1"/>
  <c r="V148" i="6"/>
  <c r="AF148" i="6"/>
  <c r="AL148" i="6"/>
  <c r="K148" i="6"/>
  <c r="AY151" i="6"/>
  <c r="BC151" i="6"/>
  <c r="BB151" i="6" s="1"/>
  <c r="AF151" i="6"/>
  <c r="O151" i="6"/>
  <c r="AL151" i="6"/>
  <c r="Z151" i="6"/>
  <c r="V151" i="6"/>
  <c r="V194" i="6"/>
  <c r="BC194" i="6"/>
  <c r="BB194" i="6" s="1"/>
  <c r="AY194" i="6"/>
  <c r="AF194" i="6"/>
  <c r="E194" i="6"/>
  <c r="AF40" i="6"/>
  <c r="Z40" i="6"/>
  <c r="AF113" i="6"/>
  <c r="AY113" i="6"/>
  <c r="Z113" i="6"/>
  <c r="V113" i="6"/>
  <c r="O113" i="6"/>
  <c r="BC113" i="6"/>
  <c r="BB113" i="6" s="1"/>
  <c r="AF195" i="6"/>
  <c r="V195" i="6"/>
  <c r="AL195" i="6"/>
  <c r="K195" i="6"/>
  <c r="AY187" i="6"/>
  <c r="AF39" i="6"/>
  <c r="K39" i="6"/>
  <c r="AF164" i="6"/>
  <c r="O164" i="6"/>
  <c r="AY164" i="6"/>
  <c r="AL164" i="6"/>
  <c r="O219" i="6"/>
  <c r="AF219" i="6"/>
  <c r="AL219" i="6"/>
  <c r="AY219" i="6"/>
  <c r="AP176" i="6"/>
  <c r="Z216" i="6"/>
  <c r="AF216" i="6"/>
  <c r="K216" i="6"/>
  <c r="AL216" i="6"/>
  <c r="AY216" i="6"/>
  <c r="AP216" i="6"/>
  <c r="BC216" i="6"/>
  <c r="BB216" i="6" s="1"/>
  <c r="AY31" i="6"/>
  <c r="V21" i="6"/>
  <c r="AP21" i="6"/>
  <c r="BC21" i="6"/>
  <c r="BB21" i="6" s="1"/>
  <c r="O21" i="6"/>
  <c r="E21" i="6"/>
  <c r="AF21" i="6"/>
  <c r="AY21" i="6"/>
  <c r="AF90" i="6"/>
  <c r="AL90" i="6"/>
  <c r="AF42" i="6"/>
  <c r="AY42" i="6"/>
  <c r="AF130" i="6"/>
  <c r="AF132" i="6"/>
  <c r="AF159" i="6"/>
  <c r="AL159" i="6"/>
  <c r="AY159" i="6"/>
  <c r="AF158" i="6"/>
  <c r="V158" i="6"/>
  <c r="AY158" i="6"/>
  <c r="V165" i="6"/>
  <c r="BC165" i="6"/>
  <c r="BB165" i="6" s="1"/>
  <c r="AP165" i="6"/>
  <c r="Z165" i="6"/>
  <c r="AF165" i="6"/>
  <c r="AL165" i="6"/>
  <c r="AF83" i="6"/>
  <c r="AF125" i="6"/>
  <c r="BC125" i="6"/>
  <c r="BB125" i="6" s="1"/>
  <c r="AF217" i="6"/>
  <c r="BC217" i="6"/>
  <c r="BB217" i="6" s="1"/>
  <c r="K217" i="6"/>
  <c r="AL217" i="6"/>
  <c r="O217" i="6"/>
  <c r="AF13" i="6"/>
  <c r="AL13" i="6"/>
  <c r="AF110" i="6"/>
  <c r="BC103" i="6"/>
  <c r="BB103" i="6" s="1"/>
  <c r="AF103" i="6"/>
  <c r="AY106" i="6"/>
  <c r="AF33" i="6"/>
  <c r="E71" i="6"/>
  <c r="O222" i="6"/>
  <c r="AY222" i="6"/>
  <c r="BC222" i="6"/>
  <c r="BB222" i="6" s="1"/>
  <c r="AF222" i="6"/>
  <c r="AF175" i="6"/>
  <c r="AP175" i="6"/>
  <c r="AF142" i="6"/>
  <c r="AF55" i="6"/>
  <c r="O55" i="6"/>
  <c r="V55" i="6"/>
  <c r="K55" i="6"/>
  <c r="AY55" i="6"/>
  <c r="AL71" i="6"/>
  <c r="O71" i="6"/>
  <c r="AF71" i="6"/>
  <c r="V71" i="6"/>
  <c r="Z71" i="6"/>
  <c r="AP71" i="6"/>
  <c r="AL69" i="6"/>
  <c r="O69" i="6"/>
  <c r="BC69" i="6"/>
  <c r="BB69" i="6" s="1"/>
  <c r="AF69" i="6"/>
  <c r="V69" i="6"/>
  <c r="E69" i="6"/>
  <c r="AL215" i="6"/>
  <c r="AY215" i="6"/>
  <c r="BC215" i="6"/>
  <c r="BB215" i="6" s="1"/>
  <c r="AF215" i="6"/>
  <c r="AP12" i="6"/>
  <c r="O12" i="6"/>
  <c r="BC12" i="6"/>
  <c r="BB12" i="6" s="1"/>
  <c r="AY12" i="6"/>
  <c r="E12" i="6"/>
  <c r="AL12" i="6"/>
  <c r="AF12" i="6"/>
  <c r="BC199" i="6"/>
  <c r="BB199" i="6" s="1"/>
  <c r="BC55" i="6"/>
  <c r="BB55" i="6" s="1"/>
  <c r="O118" i="6"/>
  <c r="AF118" i="6"/>
  <c r="O31" i="6"/>
  <c r="AF31" i="6"/>
  <c r="AL31" i="6"/>
  <c r="K215" i="6"/>
  <c r="BC214" i="6"/>
  <c r="BB214" i="6" s="1"/>
  <c r="V214" i="6"/>
  <c r="AF214" i="6"/>
  <c r="K214" i="6"/>
  <c r="Z214" i="6"/>
  <c r="O182" i="6"/>
  <c r="AL54" i="6"/>
  <c r="K62" i="6"/>
  <c r="R106" i="6"/>
  <c r="AY57" i="6"/>
  <c r="O57" i="6"/>
  <c r="AL57" i="6"/>
  <c r="BC57" i="6"/>
  <c r="BB57" i="6" s="1"/>
  <c r="AF57" i="6"/>
  <c r="K211" i="6"/>
  <c r="AL211" i="6"/>
  <c r="AF14" i="6"/>
  <c r="O14" i="6"/>
  <c r="K26" i="6"/>
  <c r="AF99" i="6"/>
  <c r="V99" i="6"/>
  <c r="AF183" i="6"/>
  <c r="AP183" i="6"/>
  <c r="BC122" i="6"/>
  <c r="BB122" i="6" s="1"/>
  <c r="AF122" i="6"/>
  <c r="AL122" i="6"/>
  <c r="AY122" i="6"/>
  <c r="O122" i="6"/>
  <c r="CJ157" i="6"/>
  <c r="BC182" i="6"/>
  <c r="BB182" i="6" s="1"/>
  <c r="O191" i="6"/>
  <c r="AF191" i="6"/>
  <c r="AL191" i="6"/>
  <c r="AL114" i="6"/>
  <c r="AF41" i="6"/>
  <c r="K41" i="6"/>
  <c r="R37" i="6"/>
  <c r="CJ212" i="6"/>
  <c r="CJ178" i="6"/>
  <c r="O106" i="6"/>
  <c r="O137" i="6"/>
  <c r="CJ70" i="6"/>
  <c r="K188" i="6"/>
  <c r="AF188" i="6"/>
  <c r="BC188" i="6"/>
  <c r="BB188" i="6" s="1"/>
  <c r="O188" i="6"/>
  <c r="Z188" i="6"/>
  <c r="AL120" i="6"/>
  <c r="AF120" i="6"/>
  <c r="AF124" i="6"/>
  <c r="AF26" i="6"/>
  <c r="O26" i="6"/>
  <c r="AF61" i="6"/>
  <c r="AY61" i="6"/>
  <c r="AF204" i="6"/>
  <c r="BC204" i="6"/>
  <c r="BB204" i="6" s="1"/>
  <c r="AL204" i="6"/>
  <c r="AF157" i="6"/>
  <c r="BC157" i="6"/>
  <c r="BB157" i="6" s="1"/>
  <c r="O157" i="6"/>
  <c r="R157" i="6"/>
  <c r="K66" i="6"/>
  <c r="Z20" i="6"/>
  <c r="Z62" i="6"/>
  <c r="K157" i="6"/>
  <c r="AY224" i="6"/>
  <c r="O224" i="6"/>
  <c r="AF224" i="6"/>
  <c r="BC196" i="6"/>
  <c r="BB196" i="6" s="1"/>
  <c r="V196" i="6"/>
  <c r="Z196" i="6"/>
  <c r="AF196" i="6"/>
  <c r="AF147" i="6"/>
  <c r="AL147" i="6"/>
  <c r="R95" i="6"/>
  <c r="CJ95" i="6"/>
  <c r="Z106" i="6"/>
  <c r="V106" i="6"/>
  <c r="AP106" i="6"/>
  <c r="K106" i="6"/>
  <c r="AF106" i="6"/>
  <c r="AY59" i="6"/>
  <c r="O59" i="6"/>
  <c r="BC59" i="6"/>
  <c r="BB59" i="6" s="1"/>
  <c r="AF59" i="6"/>
  <c r="E59" i="6"/>
  <c r="AL59" i="6"/>
  <c r="Z59" i="6"/>
  <c r="AP59" i="6"/>
  <c r="AF121" i="6"/>
  <c r="O121" i="6"/>
  <c r="AF178" i="6"/>
  <c r="V178" i="6"/>
  <c r="AY178" i="6"/>
  <c r="K43" i="6"/>
  <c r="BC43" i="6"/>
  <c r="BB43" i="6" s="1"/>
  <c r="O43" i="6"/>
  <c r="AY43" i="6"/>
  <c r="AP43" i="6"/>
  <c r="BC112" i="6"/>
  <c r="BB112" i="6" s="1"/>
  <c r="V112" i="6"/>
  <c r="AP112" i="6"/>
  <c r="AF112" i="6"/>
  <c r="AL112" i="6"/>
  <c r="O112" i="6"/>
  <c r="K112" i="6"/>
  <c r="AY112" i="6"/>
  <c r="Z37" i="6"/>
  <c r="O37" i="6"/>
  <c r="AF37" i="6"/>
  <c r="AL37" i="6"/>
  <c r="K37" i="6"/>
  <c r="V51" i="6"/>
  <c r="AF51" i="6"/>
  <c r="AL51" i="6"/>
  <c r="K51" i="6"/>
  <c r="O51" i="6"/>
  <c r="AP51" i="6"/>
  <c r="O134" i="6"/>
  <c r="AF134" i="6"/>
  <c r="AL134" i="6"/>
  <c r="AY134" i="6"/>
  <c r="BC66" i="6"/>
  <c r="BB66" i="6" s="1"/>
  <c r="AF66" i="6"/>
  <c r="AY66" i="6"/>
  <c r="BC114" i="6"/>
  <c r="BB114" i="6" s="1"/>
  <c r="V59" i="6"/>
  <c r="E224" i="6"/>
  <c r="AY155" i="6"/>
  <c r="V156" i="6"/>
  <c r="AF156" i="6"/>
  <c r="O156" i="6"/>
  <c r="Z156" i="6"/>
  <c r="AP156" i="6"/>
  <c r="AL156" i="6"/>
  <c r="BC156" i="6"/>
  <c r="BB156" i="6" s="1"/>
  <c r="R178" i="6"/>
  <c r="E70" i="6"/>
  <c r="AL43" i="6"/>
  <c r="AL106" i="6"/>
  <c r="AF32" i="6"/>
  <c r="AY32" i="6"/>
  <c r="K32" i="6"/>
  <c r="BC230" i="6"/>
  <c r="BB230" i="6" s="1"/>
  <c r="V230" i="6"/>
  <c r="AY230" i="6"/>
  <c r="AF230" i="6"/>
  <c r="AF182" i="6"/>
  <c r="V182" i="6"/>
  <c r="AY62" i="6"/>
  <c r="BC62" i="6"/>
  <c r="BB62" i="6" s="1"/>
  <c r="O62" i="6"/>
  <c r="V199" i="6"/>
  <c r="O68" i="6"/>
  <c r="AF68" i="6"/>
  <c r="AL68" i="6"/>
  <c r="O220" i="6"/>
  <c r="AF220" i="6"/>
  <c r="K220" i="6"/>
  <c r="AY220" i="6"/>
  <c r="AF84" i="6"/>
  <c r="AL182" i="6"/>
  <c r="AL163" i="6"/>
  <c r="BC111" i="6"/>
  <c r="BB111" i="6" s="1"/>
  <c r="AY111" i="6"/>
  <c r="AF111" i="6"/>
  <c r="AP111" i="6"/>
  <c r="Z82" i="6"/>
  <c r="BC82" i="6"/>
  <c r="BB82" i="6" s="1"/>
  <c r="AF82" i="6"/>
  <c r="V163" i="6"/>
  <c r="V234" i="6"/>
  <c r="AL234" i="6"/>
  <c r="Z234" i="6"/>
  <c r="AF234" i="6"/>
  <c r="BC234" i="6"/>
  <c r="BB234" i="6" s="1"/>
  <c r="BC212" i="6"/>
  <c r="BB212" i="6" s="1"/>
  <c r="E212" i="6"/>
  <c r="O212" i="6"/>
  <c r="K212" i="6"/>
  <c r="AP212" i="6"/>
  <c r="AY82" i="6"/>
  <c r="K111" i="6"/>
  <c r="AF227" i="6"/>
  <c r="K227" i="6"/>
  <c r="AF30" i="6"/>
  <c r="O30" i="6"/>
  <c r="O232" i="6"/>
  <c r="V141" i="6"/>
  <c r="Z141" i="6"/>
  <c r="K141" i="6"/>
  <c r="AY141" i="6"/>
  <c r="BC141" i="6"/>
  <c r="BB141" i="6" s="1"/>
  <c r="O141" i="6"/>
  <c r="AL141" i="6"/>
  <c r="AF62" i="6"/>
  <c r="AF199" i="6"/>
  <c r="O199" i="6"/>
  <c r="AL199" i="6"/>
  <c r="K199" i="6"/>
  <c r="V137" i="6"/>
  <c r="AF137" i="6"/>
  <c r="K137" i="6"/>
  <c r="AY137" i="6"/>
  <c r="BC137" i="6"/>
  <c r="BB137" i="6" s="1"/>
  <c r="E111" i="6"/>
  <c r="O198" i="6"/>
  <c r="AF198" i="6"/>
  <c r="O181" i="6"/>
  <c r="AF181" i="6"/>
  <c r="AP181" i="6"/>
  <c r="AY181" i="6"/>
  <c r="AL181" i="6"/>
  <c r="V181" i="6"/>
  <c r="K20" i="6"/>
  <c r="AF20" i="6"/>
  <c r="AP20" i="6"/>
  <c r="V109" i="6"/>
  <c r="AF163" i="6"/>
  <c r="Z163" i="6"/>
  <c r="BC163" i="6"/>
  <c r="BB163" i="6" s="1"/>
  <c r="O163" i="6"/>
  <c r="AY163" i="6"/>
  <c r="AF54" i="6"/>
  <c r="V54" i="6"/>
  <c r="O54" i="6"/>
  <c r="AY54" i="6"/>
  <c r="BC54" i="6"/>
  <c r="BB54" i="6" s="1"/>
  <c r="AF190" i="6"/>
  <c r="O190" i="6"/>
  <c r="BC190" i="6"/>
  <c r="BB190" i="6" s="1"/>
  <c r="AY190" i="6"/>
  <c r="AL190" i="6"/>
  <c r="Z155" i="6"/>
  <c r="AF155" i="6"/>
  <c r="AL155" i="6"/>
  <c r="K155" i="6"/>
  <c r="V155" i="6"/>
  <c r="AL232" i="6"/>
  <c r="AF232" i="6"/>
  <c r="V232" i="6"/>
  <c r="K232" i="6"/>
  <c r="AY232" i="6"/>
  <c r="Z181" i="6"/>
  <c r="V67" i="6"/>
  <c r="AF67" i="6"/>
  <c r="AY67" i="6"/>
  <c r="Z67" i="6"/>
  <c r="R84" i="6"/>
  <c r="R30" i="6"/>
  <c r="V140" i="6"/>
  <c r="AP109" i="6"/>
  <c r="AF109" i="6"/>
  <c r="O109" i="6"/>
  <c r="E109" i="6"/>
  <c r="AY70" i="6"/>
  <c r="O70" i="6"/>
  <c r="BC140" i="6"/>
  <c r="BB140" i="6" s="1"/>
  <c r="O140" i="6"/>
  <c r="AF140" i="6"/>
  <c r="AL140" i="6"/>
  <c r="AY140" i="6"/>
  <c r="Z140" i="6"/>
  <c r="AF193" i="6"/>
  <c r="K193" i="6"/>
  <c r="AF70" i="6"/>
  <c r="BC109" i="6"/>
  <c r="BB109" i="6" s="1"/>
  <c r="R70" i="6"/>
  <c r="K109" i="6"/>
  <c r="AL109" i="6"/>
  <c r="AF95" i="6"/>
  <c r="BC95" i="6"/>
  <c r="BB95" i="6" s="1"/>
  <c r="K95" i="6"/>
  <c r="V95" i="6"/>
  <c r="AE211" i="6" l="1"/>
  <c r="U106" i="6"/>
  <c r="AE193" i="6"/>
  <c r="AE114" i="6"/>
  <c r="AE230" i="6"/>
  <c r="AE111" i="6"/>
  <c r="E147" i="6"/>
  <c r="E193" i="6"/>
  <c r="D193" i="6" s="1"/>
  <c r="E134" i="6"/>
  <c r="D134" i="6" s="1"/>
  <c r="E30" i="6"/>
  <c r="E58" i="6"/>
  <c r="D58" i="6" s="1"/>
  <c r="AE37" i="6"/>
  <c r="E227" i="6"/>
  <c r="D227" i="6" s="1"/>
  <c r="AO212" i="6"/>
  <c r="AO108" i="6"/>
  <c r="E216" i="6"/>
  <c r="D216" i="6" s="1"/>
  <c r="AO176" i="6"/>
  <c r="AE28" i="6"/>
  <c r="U59" i="6"/>
  <c r="AE168" i="6"/>
  <c r="D16" i="6"/>
  <c r="AE57" i="6"/>
  <c r="AE212" i="6"/>
  <c r="AE75" i="6"/>
  <c r="AE74" i="6"/>
  <c r="AE43" i="6"/>
  <c r="U29" i="6"/>
  <c r="U25" i="6"/>
  <c r="U113" i="6"/>
  <c r="N12" i="6"/>
  <c r="N37" i="6"/>
  <c r="D194" i="6"/>
  <c r="D229" i="6"/>
  <c r="K178" i="6"/>
  <c r="BC61" i="6"/>
  <c r="BB61" i="6" s="1"/>
  <c r="AP213" i="6"/>
  <c r="AO213" i="6" s="1"/>
  <c r="Z226" i="6"/>
  <c r="K200" i="6"/>
  <c r="AY210" i="6"/>
  <c r="O48" i="6"/>
  <c r="AY135" i="6"/>
  <c r="O107" i="6"/>
  <c r="AL89" i="6"/>
  <c r="AE89" i="6" s="1"/>
  <c r="BC181" i="6"/>
  <c r="BB181" i="6" s="1"/>
  <c r="BC41" i="6"/>
  <c r="BB41" i="6" s="1"/>
  <c r="V82" i="6"/>
  <c r="U82" i="6" s="1"/>
  <c r="K182" i="6"/>
  <c r="D182" i="6" s="1"/>
  <c r="AY227" i="6"/>
  <c r="BC110" i="6"/>
  <c r="BB110" i="6" s="1"/>
  <c r="V132" i="6"/>
  <c r="AY90" i="6"/>
  <c r="AL40" i="6"/>
  <c r="AE40" i="6" s="1"/>
  <c r="Z74" i="6"/>
  <c r="U74" i="6" s="1"/>
  <c r="AO127" i="6"/>
  <c r="AL149" i="6"/>
  <c r="AE149" i="6" s="1"/>
  <c r="AP179" i="6"/>
  <c r="Z229" i="6"/>
  <c r="AP22" i="6"/>
  <c r="AO22" i="6" s="1"/>
  <c r="Z91" i="6"/>
  <c r="BC201" i="6"/>
  <c r="BB201" i="6" s="1"/>
  <c r="AP154" i="6"/>
  <c r="AO154" i="6" s="1"/>
  <c r="E228" i="6"/>
  <c r="D228" i="6" s="1"/>
  <c r="O49" i="6"/>
  <c r="BC143" i="6"/>
  <c r="BB143" i="6" s="1"/>
  <c r="AY173" i="6"/>
  <c r="O64" i="6"/>
  <c r="V226" i="6"/>
  <c r="K23" i="6"/>
  <c r="K87" i="6"/>
  <c r="K77" i="6"/>
  <c r="BC89" i="6"/>
  <c r="BB89" i="6" s="1"/>
  <c r="O74" i="6"/>
  <c r="AL65" i="6"/>
  <c r="AE65" i="6" s="1"/>
  <c r="AY182" i="6"/>
  <c r="AL196" i="6"/>
  <c r="AE196" i="6" s="1"/>
  <c r="D71" i="6"/>
  <c r="E159" i="6"/>
  <c r="D159" i="6" s="1"/>
  <c r="BC132" i="6"/>
  <c r="BB132" i="6" s="1"/>
  <c r="AY130" i="6"/>
  <c r="AP90" i="6"/>
  <c r="AO21" i="6"/>
  <c r="AL128" i="6"/>
  <c r="AE128" i="6" s="1"/>
  <c r="E136" i="6"/>
  <c r="AY226" i="6"/>
  <c r="BC226" i="6"/>
  <c r="BB226" i="6" s="1"/>
  <c r="Z18" i="6"/>
  <c r="Z35" i="6"/>
  <c r="BC186" i="6"/>
  <c r="BB186" i="6" s="1"/>
  <c r="K19" i="6"/>
  <c r="AY146" i="6"/>
  <c r="AO146" i="6" s="1"/>
  <c r="E141" i="6"/>
  <c r="D141" i="6" s="1"/>
  <c r="Z227" i="6"/>
  <c r="AL224" i="6"/>
  <c r="AE224" i="6" s="1"/>
  <c r="AY214" i="6"/>
  <c r="BC232" i="6"/>
  <c r="BB232" i="6" s="1"/>
  <c r="O227" i="6"/>
  <c r="E155" i="6"/>
  <c r="D155" i="6" s="1"/>
  <c r="AO111" i="6"/>
  <c r="AY37" i="6"/>
  <c r="V215" i="6"/>
  <c r="K222" i="6"/>
  <c r="AL110" i="6"/>
  <c r="AE110" i="6" s="1"/>
  <c r="V13" i="6"/>
  <c r="O83" i="6"/>
  <c r="BC158" i="6"/>
  <c r="BB158" i="6" s="1"/>
  <c r="AL132" i="6"/>
  <c r="AE132" i="6" s="1"/>
  <c r="Z132" i="6"/>
  <c r="AP42" i="6"/>
  <c r="AO42" i="6" s="1"/>
  <c r="O216" i="6"/>
  <c r="BC229" i="6"/>
  <c r="BB229" i="6" s="1"/>
  <c r="AE160" i="6"/>
  <c r="BC205" i="6"/>
  <c r="BB205" i="6" s="1"/>
  <c r="V225" i="6"/>
  <c r="K226" i="6"/>
  <c r="K230" i="6"/>
  <c r="D176" i="6"/>
  <c r="K231" i="6"/>
  <c r="K205" i="6"/>
  <c r="V107" i="6"/>
  <c r="U107" i="6" s="1"/>
  <c r="Z54" i="6"/>
  <c r="U54" i="6" s="1"/>
  <c r="V212" i="6"/>
  <c r="AP191" i="6"/>
  <c r="AL222" i="6"/>
  <c r="AE222" i="6" s="1"/>
  <c r="O103" i="6"/>
  <c r="AO58" i="6"/>
  <c r="AE127" i="6"/>
  <c r="K105" i="6"/>
  <c r="V50" i="6"/>
  <c r="U50" i="6" s="1"/>
  <c r="AE25" i="6"/>
  <c r="O72" i="6"/>
  <c r="AY116" i="6"/>
  <c r="BC79" i="6"/>
  <c r="BB79" i="6" s="1"/>
  <c r="AE18" i="6"/>
  <c r="AP190" i="6"/>
  <c r="AO190" i="6" s="1"/>
  <c r="AL26" i="6"/>
  <c r="AE26" i="6" s="1"/>
  <c r="AY124" i="6"/>
  <c r="E120" i="6"/>
  <c r="AL41" i="6"/>
  <c r="AE41" i="6" s="1"/>
  <c r="AY183" i="6"/>
  <c r="AO183" i="6" s="1"/>
  <c r="O183" i="6"/>
  <c r="Z99" i="6"/>
  <c r="U99" i="6" s="1"/>
  <c r="AY211" i="6"/>
  <c r="Z57" i="6"/>
  <c r="V216" i="6"/>
  <c r="U216" i="6" s="1"/>
  <c r="U96" i="6"/>
  <c r="E149" i="6"/>
  <c r="AP229" i="6"/>
  <c r="BC85" i="6"/>
  <c r="BB85" i="6" s="1"/>
  <c r="K102" i="6"/>
  <c r="AO123" i="6"/>
  <c r="AY228" i="6"/>
  <c r="AL205" i="6"/>
  <c r="AE205" i="6" s="1"/>
  <c r="AE15" i="6"/>
  <c r="O126" i="6"/>
  <c r="AY119" i="6"/>
  <c r="K146" i="6"/>
  <c r="AY131" i="6"/>
  <c r="AE223" i="6"/>
  <c r="V61" i="6"/>
  <c r="V26" i="6"/>
  <c r="AP124" i="6"/>
  <c r="K120" i="6"/>
  <c r="E191" i="6"/>
  <c r="K122" i="6"/>
  <c r="K183" i="6"/>
  <c r="Z211" i="6"/>
  <c r="AY118" i="6"/>
  <c r="Z222" i="6"/>
  <c r="E113" i="6"/>
  <c r="D113" i="6" s="1"/>
  <c r="O148" i="6"/>
  <c r="U58" i="6"/>
  <c r="V127" i="6"/>
  <c r="O94" i="6"/>
  <c r="AL229" i="6"/>
  <c r="AE229" i="6" s="1"/>
  <c r="O184" i="6"/>
  <c r="BC78" i="6"/>
  <c r="BB78" i="6" s="1"/>
  <c r="AP187" i="6"/>
  <c r="AO187" i="6" s="1"/>
  <c r="Z56" i="6"/>
  <c r="O129" i="6"/>
  <c r="BC221" i="6"/>
  <c r="BB221" i="6" s="1"/>
  <c r="K186" i="6"/>
  <c r="E233" i="6"/>
  <c r="D233" i="6" s="1"/>
  <c r="E220" i="6"/>
  <c r="D220" i="6" s="1"/>
  <c r="BC173" i="6"/>
  <c r="BB173" i="6" s="1"/>
  <c r="AL116" i="6"/>
  <c r="AE116" i="6" s="1"/>
  <c r="AE192" i="6"/>
  <c r="AY223" i="6"/>
  <c r="AL66" i="6"/>
  <c r="AE66" i="6" s="1"/>
  <c r="Z220" i="6"/>
  <c r="U156" i="6"/>
  <c r="K191" i="6"/>
  <c r="AL11" i="6"/>
  <c r="AE11" i="6" s="1"/>
  <c r="K149" i="6"/>
  <c r="AY17" i="6"/>
  <c r="O16" i="6"/>
  <c r="AY129" i="6"/>
  <c r="AL225" i="6"/>
  <c r="AE225" i="6" s="1"/>
  <c r="O210" i="6"/>
  <c r="O92" i="6"/>
  <c r="V207" i="6"/>
  <c r="AP185" i="6"/>
  <c r="AO185" i="6" s="1"/>
  <c r="BC48" i="6"/>
  <c r="BB48" i="6" s="1"/>
  <c r="AE135" i="6"/>
  <c r="K79" i="6"/>
  <c r="O145" i="6"/>
  <c r="E192" i="6"/>
  <c r="V208" i="6"/>
  <c r="BC115" i="6"/>
  <c r="BB115" i="6" s="1"/>
  <c r="K89" i="6"/>
  <c r="BC119" i="6"/>
  <c r="BB119" i="6" s="1"/>
  <c r="BC193" i="6"/>
  <c r="BB193" i="6" s="1"/>
  <c r="D111" i="6"/>
  <c r="Z86" i="6"/>
  <c r="O208" i="6"/>
  <c r="K171" i="6"/>
  <c r="AY92" i="6"/>
  <c r="E208" i="6"/>
  <c r="O101" i="6"/>
  <c r="BC106" i="6"/>
  <c r="BB106" i="6" s="1"/>
  <c r="E225" i="6"/>
  <c r="D225" i="6" s="1"/>
  <c r="Z38" i="6"/>
  <c r="V231" i="6"/>
  <c r="E209" i="6"/>
  <c r="AY48" i="6"/>
  <c r="Z89" i="6"/>
  <c r="AY139" i="6"/>
  <c r="AL227" i="6"/>
  <c r="AE227" i="6" s="1"/>
  <c r="Z230" i="6"/>
  <c r="U230" i="6" s="1"/>
  <c r="AY83" i="6"/>
  <c r="AP96" i="6"/>
  <c r="AO96" i="6" s="1"/>
  <c r="K42" i="6"/>
  <c r="AL42" i="6"/>
  <c r="AE42" i="6" s="1"/>
  <c r="AL21" i="6"/>
  <c r="AE21" i="6" s="1"/>
  <c r="Z47" i="6"/>
  <c r="E17" i="6"/>
  <c r="U162" i="6"/>
  <c r="O34" i="6"/>
  <c r="BC22" i="6"/>
  <c r="BB22" i="6" s="1"/>
  <c r="Z98" i="6"/>
  <c r="O150" i="6"/>
  <c r="N150" i="6" s="1"/>
  <c r="O56" i="6"/>
  <c r="AY29" i="6"/>
  <c r="AL80" i="6"/>
  <c r="AE80" i="6" s="1"/>
  <c r="AY160" i="6"/>
  <c r="AY161" i="6"/>
  <c r="V128" i="6"/>
  <c r="AY49" i="6"/>
  <c r="Z231" i="6"/>
  <c r="K206" i="6"/>
  <c r="V221" i="6"/>
  <c r="O173" i="6"/>
  <c r="Z225" i="6"/>
  <c r="O200" i="6"/>
  <c r="AY77" i="6"/>
  <c r="BC92" i="6"/>
  <c r="BB92" i="6" s="1"/>
  <c r="Z203" i="6"/>
  <c r="U203" i="6" s="1"/>
  <c r="V35" i="6"/>
  <c r="Z45" i="6"/>
  <c r="BC36" i="6"/>
  <c r="BB36" i="6" s="1"/>
  <c r="AL208" i="6"/>
  <c r="AE208" i="6" s="1"/>
  <c r="V24" i="6"/>
  <c r="BC101" i="6"/>
  <c r="BB101" i="6" s="1"/>
  <c r="V170" i="6"/>
  <c r="U170" i="6" s="1"/>
  <c r="O223" i="6"/>
  <c r="BC223" i="6"/>
  <c r="BB223" i="6" s="1"/>
  <c r="K234" i="6"/>
  <c r="V209" i="6"/>
  <c r="AP180" i="6"/>
  <c r="AO106" i="6"/>
  <c r="E222" i="6"/>
  <c r="E217" i="6"/>
  <c r="D217" i="6" s="1"/>
  <c r="AE216" i="6"/>
  <c r="BC39" i="6"/>
  <c r="BB39" i="6" s="1"/>
  <c r="AP74" i="6"/>
  <c r="AO74" i="6" s="1"/>
  <c r="O85" i="6"/>
  <c r="Z73" i="6"/>
  <c r="U73" i="6" s="1"/>
  <c r="AE50" i="6"/>
  <c r="V44" i="6"/>
  <c r="V22" i="6"/>
  <c r="AY202" i="6"/>
  <c r="V38" i="6"/>
  <c r="V228" i="6"/>
  <c r="AY205" i="6"/>
  <c r="K221" i="6"/>
  <c r="AE136" i="6"/>
  <c r="BC213" i="6"/>
  <c r="BB213" i="6" s="1"/>
  <c r="AY225" i="6"/>
  <c r="E172" i="6"/>
  <c r="D172" i="6" s="1"/>
  <c r="AY76" i="6"/>
  <c r="BC65" i="6"/>
  <c r="BB65" i="6" s="1"/>
  <c r="AE126" i="6"/>
  <c r="E210" i="6"/>
  <c r="D210" i="6" s="1"/>
  <c r="O185" i="6"/>
  <c r="E48" i="6"/>
  <c r="D48" i="6" s="1"/>
  <c r="AL101" i="6"/>
  <c r="AE101" i="6" s="1"/>
  <c r="V100" i="6"/>
  <c r="O192" i="6"/>
  <c r="E36" i="6"/>
  <c r="AY233" i="6"/>
  <c r="K139" i="6"/>
  <c r="AY117" i="6"/>
  <c r="Z223" i="6"/>
  <c r="U223" i="6" s="1"/>
  <c r="O161" i="6"/>
  <c r="AY39" i="6"/>
  <c r="V40" i="6"/>
  <c r="U40" i="6" s="1"/>
  <c r="AP11" i="6"/>
  <c r="AO11" i="6" s="1"/>
  <c r="U163" i="6"/>
  <c r="AL221" i="6"/>
  <c r="AE221" i="6" s="1"/>
  <c r="Z221" i="6"/>
  <c r="E180" i="6"/>
  <c r="D180" i="6" s="1"/>
  <c r="AL169" i="6"/>
  <c r="AE169" i="6" s="1"/>
  <c r="AY209" i="6"/>
  <c r="BC15" i="6"/>
  <c r="BB15" i="6" s="1"/>
  <c r="E23" i="6"/>
  <c r="O87" i="6"/>
  <c r="Z126" i="6"/>
  <c r="V210" i="6"/>
  <c r="U210" i="6" s="1"/>
  <c r="AE207" i="6"/>
  <c r="E185" i="6"/>
  <c r="Z218" i="6"/>
  <c r="Z233" i="6"/>
  <c r="V119" i="6"/>
  <c r="O146" i="6"/>
  <c r="BC139" i="6"/>
  <c r="BB139" i="6" s="1"/>
  <c r="AY109" i="6"/>
  <c r="AO109" i="6" s="1"/>
  <c r="V130" i="6"/>
  <c r="AE106" i="6"/>
  <c r="AP155" i="6"/>
  <c r="AO155" i="6" s="1"/>
  <c r="AE163" i="6"/>
  <c r="AY20" i="6"/>
  <c r="AO20" i="6" s="1"/>
  <c r="AP114" i="6"/>
  <c r="D44" i="6"/>
  <c r="AL62" i="6"/>
  <c r="AE62" i="6" s="1"/>
  <c r="Z21" i="6"/>
  <c r="U21" i="6" s="1"/>
  <c r="V179" i="6"/>
  <c r="AL167" i="6"/>
  <c r="AE167" i="6" s="1"/>
  <c r="BC184" i="6"/>
  <c r="BB184" i="6" s="1"/>
  <c r="AE22" i="6"/>
  <c r="AL102" i="6"/>
  <c r="AE102" i="6" s="1"/>
  <c r="O47" i="6"/>
  <c r="BC14" i="6"/>
  <c r="BB14" i="6" s="1"/>
  <c r="E198" i="6"/>
  <c r="V222" i="6"/>
  <c r="BC86" i="6"/>
  <c r="BB86" i="6" s="1"/>
  <c r="V218" i="6"/>
  <c r="K208" i="6"/>
  <c r="AL24" i="6"/>
  <c r="AE24" i="6" s="1"/>
  <c r="AL119" i="6"/>
  <c r="AE119" i="6" s="1"/>
  <c r="V146" i="6"/>
  <c r="AL82" i="6"/>
  <c r="AE82" i="6" s="1"/>
  <c r="E230" i="6"/>
  <c r="Z112" i="6"/>
  <c r="U112" i="6" s="1"/>
  <c r="Z224" i="6"/>
  <c r="BC154" i="6"/>
  <c r="BB154" i="6" s="1"/>
  <c r="BC80" i="6"/>
  <c r="BB80" i="6" s="1"/>
  <c r="BC202" i="6"/>
  <c r="BB202" i="6" s="1"/>
  <c r="K84" i="6"/>
  <c r="AP230" i="6"/>
  <c r="AO230" i="6" s="1"/>
  <c r="V217" i="6"/>
  <c r="AO216" i="6"/>
  <c r="V164" i="6"/>
  <c r="AY229" i="6"/>
  <c r="E231" i="6"/>
  <c r="E221" i="6"/>
  <c r="Z209" i="6"/>
  <c r="O20" i="6"/>
  <c r="AP141" i="6"/>
  <c r="AO141" i="6" s="1"/>
  <c r="N212" i="6"/>
  <c r="AP234" i="6"/>
  <c r="AO234" i="6" s="1"/>
  <c r="V111" i="6"/>
  <c r="K68" i="6"/>
  <c r="BC178" i="6"/>
  <c r="BB178" i="6" s="1"/>
  <c r="BC224" i="6"/>
  <c r="BB224" i="6" s="1"/>
  <c r="K124" i="6"/>
  <c r="AE120" i="6"/>
  <c r="AY14" i="6"/>
  <c r="K31" i="6"/>
  <c r="AL118" i="6"/>
  <c r="AE118" i="6" s="1"/>
  <c r="AO12" i="6"/>
  <c r="O215" i="6"/>
  <c r="U71" i="6"/>
  <c r="AL55" i="6"/>
  <c r="AE55" i="6" s="1"/>
  <c r="AY142" i="6"/>
  <c r="AL142" i="6"/>
  <c r="AE142" i="6" s="1"/>
  <c r="K175" i="6"/>
  <c r="BC164" i="6"/>
  <c r="BB164" i="6" s="1"/>
  <c r="E174" i="6"/>
  <c r="D174" i="6" s="1"/>
  <c r="K96" i="6"/>
  <c r="V153" i="6"/>
  <c r="AP47" i="6"/>
  <c r="E94" i="6"/>
  <c r="D94" i="6" s="1"/>
  <c r="O229" i="6"/>
  <c r="BC63" i="6"/>
  <c r="BB63" i="6" s="1"/>
  <c r="Z85" i="6"/>
  <c r="U85" i="6" s="1"/>
  <c r="V108" i="6"/>
  <c r="U108" i="6" s="1"/>
  <c r="BC176" i="6"/>
  <c r="BB176" i="6" s="1"/>
  <c r="U52" i="6"/>
  <c r="AO44" i="6"/>
  <c r="AY184" i="6"/>
  <c r="V97" i="6"/>
  <c r="Z78" i="6"/>
  <c r="V102" i="6"/>
  <c r="AP166" i="6"/>
  <c r="K29" i="6"/>
  <c r="D29" i="6" s="1"/>
  <c r="AL154" i="6"/>
  <c r="AE154" i="6" s="1"/>
  <c r="K80" i="6"/>
  <c r="BC53" i="6"/>
  <c r="BB53" i="6" s="1"/>
  <c r="AY128" i="6"/>
  <c r="AL231" i="6"/>
  <c r="AE231" i="6" s="1"/>
  <c r="AP135" i="6"/>
  <c r="AL35" i="6"/>
  <c r="AE35" i="6" s="1"/>
  <c r="Z100" i="6"/>
  <c r="E186" i="6"/>
  <c r="V233" i="6"/>
  <c r="K24" i="6"/>
  <c r="O170" i="6"/>
  <c r="E223" i="6"/>
  <c r="D223" i="6" s="1"/>
  <c r="K156" i="6"/>
  <c r="V219" i="6"/>
  <c r="V211" i="6"/>
  <c r="AL214" i="6"/>
  <c r="AE214" i="6" s="1"/>
  <c r="U234" i="6"/>
  <c r="AP182" i="6"/>
  <c r="V125" i="6"/>
  <c r="E219" i="6"/>
  <c r="BC155" i="6"/>
  <c r="BB155" i="6" s="1"/>
  <c r="E57" i="6"/>
  <c r="AP55" i="6"/>
  <c r="AO55" i="6" s="1"/>
  <c r="O175" i="6"/>
  <c r="Z159" i="6"/>
  <c r="D189" i="6"/>
  <c r="O67" i="6"/>
  <c r="AE122" i="6"/>
  <c r="AY99" i="6"/>
  <c r="AL95" i="6"/>
  <c r="AE95" i="6" s="1"/>
  <c r="AE140" i="6"/>
  <c r="E232" i="6"/>
  <c r="D232" i="6" s="1"/>
  <c r="U141" i="6"/>
  <c r="D112" i="6"/>
  <c r="AO59" i="6"/>
  <c r="BC147" i="6"/>
  <c r="BB147" i="6" s="1"/>
  <c r="AP41" i="6"/>
  <c r="O211" i="6"/>
  <c r="V70" i="6"/>
  <c r="K190" i="6"/>
  <c r="AO181" i="6"/>
  <c r="BC220" i="6"/>
  <c r="BB220" i="6" s="1"/>
  <c r="V224" i="6"/>
  <c r="E74" i="6"/>
  <c r="V11" i="6"/>
  <c r="AE179" i="6"/>
  <c r="BC47" i="6"/>
  <c r="BB47" i="6" s="1"/>
  <c r="AO73" i="6"/>
  <c r="D25" i="6"/>
  <c r="AE56" i="6"/>
  <c r="AL220" i="6"/>
  <c r="AE220" i="6" s="1"/>
  <c r="O155" i="6"/>
  <c r="AP163" i="6"/>
  <c r="AO163" i="6" s="1"/>
  <c r="Z199" i="6"/>
  <c r="U199" i="6" s="1"/>
  <c r="BC30" i="6"/>
  <c r="BB30" i="6" s="1"/>
  <c r="AE32" i="6"/>
  <c r="K61" i="6"/>
  <c r="AY41" i="6"/>
  <c r="AE14" i="6"/>
  <c r="BC211" i="6"/>
  <c r="BB211" i="6" s="1"/>
  <c r="AE12" i="6"/>
  <c r="E103" i="6"/>
  <c r="BC219" i="6"/>
  <c r="BB219" i="6" s="1"/>
  <c r="O39" i="6"/>
  <c r="AP40" i="6"/>
  <c r="BC46" i="6"/>
  <c r="BB46" i="6" s="1"/>
  <c r="V149" i="6"/>
  <c r="AE47" i="6"/>
  <c r="AL63" i="6"/>
  <c r="AE63" i="6" s="1"/>
  <c r="AY102" i="6"/>
  <c r="V98" i="6"/>
  <c r="AE123" i="6"/>
  <c r="K38" i="6"/>
  <c r="AP128" i="6"/>
  <c r="Z228" i="6"/>
  <c r="V213" i="6"/>
  <c r="U213" i="6" s="1"/>
  <c r="AP138" i="6"/>
  <c r="O207" i="6"/>
  <c r="AL70" i="6"/>
  <c r="AE70" i="6" s="1"/>
  <c r="D109" i="6"/>
  <c r="AE54" i="6"/>
  <c r="BC20" i="6"/>
  <c r="BB20" i="6" s="1"/>
  <c r="AL20" i="6"/>
  <c r="AE20" i="6" s="1"/>
  <c r="AE181" i="6"/>
  <c r="Z198" i="6"/>
  <c r="AP82" i="6"/>
  <c r="AO82" i="6" s="1"/>
  <c r="AO43" i="6"/>
  <c r="K224" i="6"/>
  <c r="D224" i="6" s="1"/>
  <c r="E157" i="6"/>
  <c r="D157" i="6" s="1"/>
  <c r="AE204" i="6"/>
  <c r="AL61" i="6"/>
  <c r="AE61" i="6" s="1"/>
  <c r="AL188" i="6"/>
  <c r="AE188" i="6" s="1"/>
  <c r="AP188" i="6"/>
  <c r="AE219" i="6"/>
  <c r="E151" i="6"/>
  <c r="D151" i="6" s="1"/>
  <c r="V94" i="6"/>
  <c r="K152" i="6"/>
  <c r="E54" i="6"/>
  <c r="D54" i="6" s="1"/>
  <c r="BC198" i="6"/>
  <c r="BB198" i="6" s="1"/>
  <c r="AP57" i="6"/>
  <c r="AO57" i="6" s="1"/>
  <c r="AE148" i="6"/>
  <c r="O153" i="6"/>
  <c r="E205" i="6"/>
  <c r="BC209" i="6"/>
  <c r="BB209" i="6" s="1"/>
  <c r="Z60" i="6"/>
  <c r="V86" i="6"/>
  <c r="AY18" i="6"/>
  <c r="E126" i="6"/>
  <c r="D126" i="6" s="1"/>
  <c r="V190" i="6"/>
  <c r="AP54" i="6"/>
  <c r="AO54" i="6" s="1"/>
  <c r="O82" i="6"/>
  <c r="AL84" i="6"/>
  <c r="AE84" i="6" s="1"/>
  <c r="V121" i="6"/>
  <c r="N95" i="6"/>
  <c r="AP14" i="6"/>
  <c r="AY69" i="6"/>
  <c r="Z217" i="6"/>
  <c r="AP219" i="6"/>
  <c r="AO219" i="6" s="1"/>
  <c r="AE195" i="6"/>
  <c r="AP151" i="6"/>
  <c r="AO151" i="6" s="1"/>
  <c r="AL58" i="6"/>
  <c r="AE58" i="6" s="1"/>
  <c r="E96" i="6"/>
  <c r="Z149" i="6"/>
  <c r="K179" i="6"/>
  <c r="Z168" i="6"/>
  <c r="E108" i="6"/>
  <c r="D108" i="6" s="1"/>
  <c r="BC75" i="6"/>
  <c r="BB75" i="6" s="1"/>
  <c r="Z16" i="6"/>
  <c r="O50" i="6"/>
  <c r="E177" i="6"/>
  <c r="D177" i="6" s="1"/>
  <c r="AP97" i="6"/>
  <c r="AO97" i="6" s="1"/>
  <c r="AL91" i="6"/>
  <c r="AE91" i="6" s="1"/>
  <c r="AL166" i="6"/>
  <c r="AE166" i="6" s="1"/>
  <c r="BC56" i="6"/>
  <c r="BB56" i="6" s="1"/>
  <c r="O202" i="6"/>
  <c r="AP160" i="6"/>
  <c r="K136" i="6"/>
  <c r="O143" i="6"/>
  <c r="AE213" i="6"/>
  <c r="AY180" i="6"/>
  <c r="AP189" i="6"/>
  <c r="AO189" i="6" s="1"/>
  <c r="AY169" i="6"/>
  <c r="K209" i="6"/>
  <c r="V27" i="6"/>
  <c r="E226" i="6"/>
  <c r="AY88" i="6"/>
  <c r="V18" i="6"/>
  <c r="V126" i="6"/>
  <c r="AY171" i="6"/>
  <c r="V92" i="6"/>
  <c r="O203" i="6"/>
  <c r="AE185" i="6"/>
  <c r="AL48" i="6"/>
  <c r="AE48" i="6" s="1"/>
  <c r="E218" i="6"/>
  <c r="D218" i="6" s="1"/>
  <c r="AL36" i="6"/>
  <c r="AE36" i="6" s="1"/>
  <c r="BC208" i="6"/>
  <c r="BB208" i="6" s="1"/>
  <c r="AL19" i="6"/>
  <c r="AE19" i="6" s="1"/>
  <c r="AP139" i="6"/>
  <c r="AL144" i="6"/>
  <c r="AE144" i="6" s="1"/>
  <c r="E190" i="6"/>
  <c r="V220" i="6"/>
  <c r="AY148" i="6"/>
  <c r="Z208" i="6"/>
  <c r="K72" i="6"/>
  <c r="D70" i="6"/>
  <c r="AE215" i="6"/>
  <c r="V88" i="6"/>
  <c r="BC133" i="6"/>
  <c r="BB133" i="6" s="1"/>
  <c r="BC126" i="6"/>
  <c r="BB126" i="6" s="1"/>
  <c r="BC107" i="6"/>
  <c r="BB107" i="6" s="1"/>
  <c r="E183" i="6"/>
  <c r="E215" i="6"/>
  <c r="D215" i="6" s="1"/>
  <c r="V28" i="6"/>
  <c r="O76" i="6"/>
  <c r="AY152" i="6"/>
  <c r="O167" i="6"/>
  <c r="Z219" i="6"/>
  <c r="Z195" i="6"/>
  <c r="U195" i="6" s="1"/>
  <c r="O226" i="6"/>
  <c r="AP95" i="6"/>
  <c r="E140" i="6"/>
  <c r="D140" i="6" s="1"/>
  <c r="AE109" i="6"/>
  <c r="AY198" i="6"/>
  <c r="AE141" i="6"/>
  <c r="Z212" i="6"/>
  <c r="E234" i="6"/>
  <c r="O230" i="6"/>
  <c r="V114" i="6"/>
  <c r="E178" i="6"/>
  <c r="AL124" i="6"/>
  <c r="AE124" i="6" s="1"/>
  <c r="V188" i="6"/>
  <c r="U188" i="6" s="1"/>
  <c r="AE191" i="6"/>
  <c r="V57" i="6"/>
  <c r="V31" i="6"/>
  <c r="E142" i="6"/>
  <c r="D142" i="6" s="1"/>
  <c r="V83" i="6"/>
  <c r="AY165" i="6"/>
  <c r="AO165" i="6" s="1"/>
  <c r="Z194" i="6"/>
  <c r="U194" i="6" s="1"/>
  <c r="Z148" i="6"/>
  <c r="U148" i="6" s="1"/>
  <c r="K127" i="6"/>
  <c r="AL46" i="6"/>
  <c r="AE46" i="6" s="1"/>
  <c r="AP174" i="6"/>
  <c r="AO174" i="6" s="1"/>
  <c r="Z153" i="6"/>
  <c r="E168" i="6"/>
  <c r="D168" i="6" s="1"/>
  <c r="K73" i="6"/>
  <c r="D73" i="6" s="1"/>
  <c r="AL93" i="6"/>
  <c r="AE93" i="6" s="1"/>
  <c r="Z44" i="6"/>
  <c r="K49" i="6"/>
  <c r="AL150" i="6"/>
  <c r="AE150" i="6" s="1"/>
  <c r="O29" i="6"/>
  <c r="V154" i="6"/>
  <c r="K123" i="6"/>
  <c r="Z109" i="6"/>
  <c r="U109" i="6" s="1"/>
  <c r="Z232" i="6"/>
  <c r="U232" i="6" s="1"/>
  <c r="AE190" i="6"/>
  <c r="AL198" i="6"/>
  <c r="AE198" i="6" s="1"/>
  <c r="V227" i="6"/>
  <c r="O32" i="6"/>
  <c r="V43" i="6"/>
  <c r="AL178" i="6"/>
  <c r="AE178" i="6" s="1"/>
  <c r="K121" i="6"/>
  <c r="AE59" i="6"/>
  <c r="N157" i="6"/>
  <c r="AY188" i="6"/>
  <c r="O214" i="6"/>
  <c r="BC191" i="6"/>
  <c r="BB191" i="6" s="1"/>
  <c r="AL99" i="6"/>
  <c r="AE99" i="6" s="1"/>
  <c r="E214" i="6"/>
  <c r="D214" i="6" s="1"/>
  <c r="BC31" i="6"/>
  <c r="BB31" i="6" s="1"/>
  <c r="K12" i="6"/>
  <c r="D12" i="6" s="1"/>
  <c r="Z215" i="6"/>
  <c r="Z69" i="6"/>
  <c r="U69" i="6" s="1"/>
  <c r="Z175" i="6"/>
  <c r="AL33" i="6"/>
  <c r="AE33" i="6" s="1"/>
  <c r="BC13" i="6"/>
  <c r="BB13" i="6" s="1"/>
  <c r="AY217" i="6"/>
  <c r="AE217" i="6"/>
  <c r="O165" i="6"/>
  <c r="BC90" i="6"/>
  <c r="BB90" i="6" s="1"/>
  <c r="K219" i="6"/>
  <c r="E40" i="6"/>
  <c r="AP148" i="6"/>
  <c r="BC149" i="6"/>
  <c r="BB149" i="6" s="1"/>
  <c r="BC179" i="6"/>
  <c r="BB179" i="6" s="1"/>
  <c r="Z94" i="6"/>
  <c r="V229" i="6"/>
  <c r="AY85" i="6"/>
  <c r="O168" i="6"/>
  <c r="BC17" i="6"/>
  <c r="BB17" i="6" s="1"/>
  <c r="AY46" i="6"/>
  <c r="AO46" i="6" s="1"/>
  <c r="AE44" i="6"/>
  <c r="O177" i="6"/>
  <c r="O97" i="6"/>
  <c r="K53" i="6"/>
  <c r="AL53" i="6"/>
  <c r="AE53" i="6" s="1"/>
  <c r="AP129" i="6"/>
  <c r="AL81" i="6"/>
  <c r="AE81" i="6" s="1"/>
  <c r="AE202" i="6"/>
  <c r="AY221" i="6"/>
  <c r="O221" i="6"/>
  <c r="O136" i="6"/>
  <c r="O197" i="6"/>
  <c r="E213" i="6"/>
  <c r="D213" i="6" s="1"/>
  <c r="AE189" i="6"/>
  <c r="Z28" i="6"/>
  <c r="AL64" i="6"/>
  <c r="AE64" i="6" s="1"/>
  <c r="BC225" i="6"/>
  <c r="BB225" i="6" s="1"/>
  <c r="AY172" i="6"/>
  <c r="AL209" i="6"/>
  <c r="AE209" i="6" s="1"/>
  <c r="AL76" i="6"/>
  <c r="AE76" i="6" s="1"/>
  <c r="E65" i="6"/>
  <c r="D65" i="6" s="1"/>
  <c r="AE27" i="6"/>
  <c r="BC138" i="6"/>
  <c r="BB138" i="6" s="1"/>
  <c r="AP88" i="6"/>
  <c r="AL133" i="6"/>
  <c r="AE133" i="6" s="1"/>
  <c r="K133" i="6"/>
  <c r="AP18" i="6"/>
  <c r="AL210" i="6"/>
  <c r="AE210" i="6" s="1"/>
  <c r="AL218" i="6"/>
  <c r="AE218" i="6" s="1"/>
  <c r="O218" i="6"/>
  <c r="Z145" i="6"/>
  <c r="U145" i="6" s="1"/>
  <c r="V192" i="6"/>
  <c r="V36" i="6"/>
  <c r="AY208" i="6"/>
  <c r="AL233" i="6"/>
  <c r="AE233" i="6" s="1"/>
  <c r="AP115" i="6"/>
  <c r="AP131" i="6"/>
  <c r="AL137" i="6"/>
  <c r="AE137" i="6" s="1"/>
  <c r="BC120" i="6"/>
  <c r="BB120" i="6" s="1"/>
  <c r="E95" i="6"/>
  <c r="D95" i="6" s="1"/>
  <c r="Z190" i="6"/>
  <c r="V20" i="6"/>
  <c r="U20" i="6" s="1"/>
  <c r="Z68" i="6"/>
  <c r="Z32" i="6"/>
  <c r="R156" i="6"/>
  <c r="N156" i="6" s="1"/>
  <c r="CJ156" i="6"/>
  <c r="BC37" i="6"/>
  <c r="BB37" i="6" s="1"/>
  <c r="AE112" i="6"/>
  <c r="Z121" i="6"/>
  <c r="CJ147" i="6"/>
  <c r="R147" i="6"/>
  <c r="AP157" i="6"/>
  <c r="AY157" i="6"/>
  <c r="CJ26" i="6"/>
  <c r="R26" i="6"/>
  <c r="N26" i="6" s="1"/>
  <c r="E26" i="6"/>
  <c r="D26" i="6" s="1"/>
  <c r="Z124" i="6"/>
  <c r="AY120" i="6"/>
  <c r="R188" i="6"/>
  <c r="N188" i="6" s="1"/>
  <c r="CJ188" i="6"/>
  <c r="N106" i="6"/>
  <c r="CJ41" i="6"/>
  <c r="R41" i="6"/>
  <c r="Z191" i="6"/>
  <c r="CJ110" i="6"/>
  <c r="R110" i="6"/>
  <c r="O13" i="6"/>
  <c r="AP83" i="6"/>
  <c r="K132" i="6"/>
  <c r="R132" i="6"/>
  <c r="CJ132" i="6"/>
  <c r="E130" i="6"/>
  <c r="Z42" i="6"/>
  <c r="AE90" i="6"/>
  <c r="D21" i="6"/>
  <c r="Z11" i="6"/>
  <c r="CJ105" i="6"/>
  <c r="R105" i="6"/>
  <c r="N105" i="6" s="1"/>
  <c r="AY149" i="6"/>
  <c r="E179" i="6"/>
  <c r="E85" i="6"/>
  <c r="BC177" i="6"/>
  <c r="BB177" i="6" s="1"/>
  <c r="AP78" i="6"/>
  <c r="AO78" i="6" s="1"/>
  <c r="CJ91" i="6"/>
  <c r="R91" i="6"/>
  <c r="N91" i="6" s="1"/>
  <c r="K201" i="6"/>
  <c r="AP150" i="6"/>
  <c r="AO150" i="6" s="1"/>
  <c r="AP80" i="6"/>
  <c r="AE129" i="6"/>
  <c r="CJ129" i="6"/>
  <c r="R129" i="6"/>
  <c r="R202" i="6"/>
  <c r="CJ202" i="6"/>
  <c r="E143" i="6"/>
  <c r="O172" i="6"/>
  <c r="R15" i="6"/>
  <c r="CJ15" i="6"/>
  <c r="AP62" i="6"/>
  <c r="AO62" i="6" s="1"/>
  <c r="AP32" i="6"/>
  <c r="AO32" i="6" s="1"/>
  <c r="AY114" i="6"/>
  <c r="E37" i="6"/>
  <c r="D37" i="6" s="1"/>
  <c r="AO112" i="6"/>
  <c r="O178" i="6"/>
  <c r="N178" i="6" s="1"/>
  <c r="AL121" i="6"/>
  <c r="AE121" i="6" s="1"/>
  <c r="AP147" i="6"/>
  <c r="U196" i="6"/>
  <c r="AP224" i="6"/>
  <c r="AO224" i="6" s="1"/>
  <c r="Z157" i="6"/>
  <c r="AP26" i="6"/>
  <c r="R124" i="6"/>
  <c r="CJ124" i="6"/>
  <c r="O120" i="6"/>
  <c r="Z122" i="6"/>
  <c r="BC183" i="6"/>
  <c r="BB183" i="6" s="1"/>
  <c r="K99" i="6"/>
  <c r="D211" i="6"/>
  <c r="E31" i="6"/>
  <c r="V12" i="6"/>
  <c r="Z142" i="6"/>
  <c r="D181" i="6"/>
  <c r="AY13" i="6"/>
  <c r="AP13" i="6"/>
  <c r="R83" i="6"/>
  <c r="CJ83" i="6"/>
  <c r="AE165" i="6"/>
  <c r="R159" i="6"/>
  <c r="CJ159" i="6"/>
  <c r="AL130" i="6"/>
  <c r="AE130" i="6" s="1"/>
  <c r="E42" i="6"/>
  <c r="CJ148" i="6"/>
  <c r="R148" i="6"/>
  <c r="E46" i="6"/>
  <c r="D46" i="6" s="1"/>
  <c r="AE174" i="6"/>
  <c r="AY153" i="6"/>
  <c r="E153" i="6"/>
  <c r="V47" i="6"/>
  <c r="Z63" i="6"/>
  <c r="AP85" i="6"/>
  <c r="R168" i="6"/>
  <c r="CJ168" i="6"/>
  <c r="Z167" i="6"/>
  <c r="V176" i="6"/>
  <c r="U176" i="6" s="1"/>
  <c r="AE52" i="6"/>
  <c r="D162" i="6"/>
  <c r="AE162" i="6"/>
  <c r="CJ93" i="6"/>
  <c r="R93" i="6"/>
  <c r="N93" i="6" s="1"/>
  <c r="BC50" i="6"/>
  <c r="BB50" i="6" s="1"/>
  <c r="CJ44" i="6"/>
  <c r="R44" i="6"/>
  <c r="N44" i="6" s="1"/>
  <c r="AP177" i="6"/>
  <c r="AO177" i="6" s="1"/>
  <c r="AL184" i="6"/>
  <c r="AE184" i="6" s="1"/>
  <c r="Z97" i="6"/>
  <c r="E78" i="6"/>
  <c r="R102" i="6"/>
  <c r="CJ102" i="6"/>
  <c r="Z166" i="6"/>
  <c r="CJ56" i="6"/>
  <c r="R56" i="6"/>
  <c r="CJ154" i="6"/>
  <c r="R154" i="6"/>
  <c r="N154" i="6" s="1"/>
  <c r="K129" i="6"/>
  <c r="AP28" i="6"/>
  <c r="AO28" i="6" s="1"/>
  <c r="E27" i="6"/>
  <c r="D27" i="6" s="1"/>
  <c r="AP199" i="6"/>
  <c r="AO199" i="6" s="1"/>
  <c r="CJ114" i="6"/>
  <c r="R114" i="6"/>
  <c r="E105" i="6"/>
  <c r="V168" i="6"/>
  <c r="AY162" i="6"/>
  <c r="Z177" i="6"/>
  <c r="U177" i="6" s="1"/>
  <c r="K78" i="6"/>
  <c r="E160" i="6"/>
  <c r="D160" i="6" s="1"/>
  <c r="CJ49" i="6"/>
  <c r="R49" i="6"/>
  <c r="CJ205" i="6"/>
  <c r="R205" i="6"/>
  <c r="N205" i="6" s="1"/>
  <c r="R143" i="6"/>
  <c r="CJ143" i="6"/>
  <c r="V72" i="6"/>
  <c r="BC72" i="6"/>
  <c r="BB72" i="6" s="1"/>
  <c r="K173" i="6"/>
  <c r="CJ23" i="6"/>
  <c r="R23" i="6"/>
  <c r="E35" i="6"/>
  <c r="D35" i="6" s="1"/>
  <c r="O42" i="6"/>
  <c r="AP63" i="6"/>
  <c r="AP34" i="6"/>
  <c r="V78" i="6"/>
  <c r="O102" i="6"/>
  <c r="CJ166" i="6"/>
  <c r="R166" i="6"/>
  <c r="N166" i="6" s="1"/>
  <c r="AP98" i="6"/>
  <c r="AO98" i="6" s="1"/>
  <c r="CJ81" i="6"/>
  <c r="R81" i="6"/>
  <c r="N81" i="6" s="1"/>
  <c r="E202" i="6"/>
  <c r="D202" i="6" s="1"/>
  <c r="Z15" i="6"/>
  <c r="R207" i="6"/>
  <c r="CJ207" i="6"/>
  <c r="CJ120" i="6"/>
  <c r="R120" i="6"/>
  <c r="E199" i="6"/>
  <c r="D199" i="6" s="1"/>
  <c r="CJ33" i="6"/>
  <c r="R33" i="6"/>
  <c r="E118" i="6"/>
  <c r="BC142" i="6"/>
  <c r="BB142" i="6" s="1"/>
  <c r="B1" i="6"/>
  <c r="B4" i="6"/>
  <c r="Z13" i="6"/>
  <c r="AL125" i="6"/>
  <c r="AE125" i="6" s="1"/>
  <c r="O130" i="6"/>
  <c r="E195" i="6"/>
  <c r="D195" i="6" s="1"/>
  <c r="AP113" i="6"/>
  <c r="AO113" i="6" s="1"/>
  <c r="AP194" i="6"/>
  <c r="AO194" i="6" s="1"/>
  <c r="E127" i="6"/>
  <c r="Z46" i="6"/>
  <c r="AP153" i="6"/>
  <c r="AY63" i="6"/>
  <c r="Z161" i="6"/>
  <c r="AE206" i="6"/>
  <c r="R136" i="6"/>
  <c r="CJ136" i="6"/>
  <c r="AP172" i="6"/>
  <c r="AP76" i="6"/>
  <c r="AP65" i="6"/>
  <c r="AP27" i="6"/>
  <c r="V32" i="6"/>
  <c r="AP198" i="6"/>
  <c r="Z137" i="6"/>
  <c r="U137" i="6" s="1"/>
  <c r="N30" i="6"/>
  <c r="CJ234" i="6"/>
  <c r="R234" i="6"/>
  <c r="N234" i="6" s="1"/>
  <c r="E43" i="6"/>
  <c r="D43" i="6" s="1"/>
  <c r="AP122" i="6"/>
  <c r="AO122" i="6" s="1"/>
  <c r="CJ55" i="6"/>
  <c r="R55" i="6"/>
  <c r="N55" i="6" s="1"/>
  <c r="AE13" i="6"/>
  <c r="E125" i="6"/>
  <c r="R165" i="6"/>
  <c r="CJ165" i="6"/>
  <c r="CJ59" i="6"/>
  <c r="R59" i="6"/>
  <c r="N59" i="6" s="1"/>
  <c r="K204" i="6"/>
  <c r="Z26" i="6"/>
  <c r="R175" i="6"/>
  <c r="CJ175" i="6"/>
  <c r="D137" i="6"/>
  <c r="AP30" i="6"/>
  <c r="R111" i="6"/>
  <c r="N111" i="6" s="1"/>
  <c r="CJ111" i="6"/>
  <c r="E62" i="6"/>
  <c r="D62" i="6" s="1"/>
  <c r="CJ230" i="6"/>
  <c r="R230" i="6"/>
  <c r="Z125" i="6"/>
  <c r="Z83" i="6"/>
  <c r="AY132" i="6"/>
  <c r="E132" i="6"/>
  <c r="AY30" i="6"/>
  <c r="AE234" i="6"/>
  <c r="R220" i="6"/>
  <c r="N220" i="6" s="1"/>
  <c r="CJ220" i="6"/>
  <c r="AE68" i="6"/>
  <c r="R182" i="6"/>
  <c r="N182" i="6" s="1"/>
  <c r="CJ182" i="6"/>
  <c r="E66" i="6"/>
  <c r="D66" i="6" s="1"/>
  <c r="BC51" i="6"/>
  <c r="BB51" i="6" s="1"/>
  <c r="D106" i="6"/>
  <c r="AE147" i="6"/>
  <c r="O61" i="6"/>
  <c r="BC124" i="6"/>
  <c r="BB124" i="6" s="1"/>
  <c r="Z14" i="6"/>
  <c r="R211" i="6"/>
  <c r="CJ211" i="6"/>
  <c r="K118" i="6"/>
  <c r="AP215" i="6"/>
  <c r="AO215" i="6" s="1"/>
  <c r="R215" i="6"/>
  <c r="CJ215" i="6"/>
  <c r="BC71" i="6"/>
  <c r="BB71" i="6" s="1"/>
  <c r="AY175" i="6"/>
  <c r="AO175" i="6" s="1"/>
  <c r="CJ222" i="6"/>
  <c r="R222" i="6"/>
  <c r="N222" i="6" s="1"/>
  <c r="V33" i="6"/>
  <c r="V103" i="6"/>
  <c r="AY110" i="6"/>
  <c r="CJ125" i="6"/>
  <c r="R125" i="6"/>
  <c r="E83" i="6"/>
  <c r="D165" i="6"/>
  <c r="AL158" i="6"/>
  <c r="AE158" i="6" s="1"/>
  <c r="O158" i="6"/>
  <c r="Z130" i="6"/>
  <c r="K130" i="6"/>
  <c r="BC42" i="6"/>
  <c r="BB42" i="6" s="1"/>
  <c r="CJ153" i="6"/>
  <c r="R153" i="6"/>
  <c r="BC94" i="6"/>
  <c r="BB94" i="6" s="1"/>
  <c r="CJ63" i="6"/>
  <c r="R63" i="6"/>
  <c r="BC29" i="6"/>
  <c r="BB29" i="6" s="1"/>
  <c r="CJ169" i="6"/>
  <c r="R169" i="6"/>
  <c r="R138" i="6"/>
  <c r="N138" i="6" s="1"/>
  <c r="CJ138" i="6"/>
  <c r="O193" i="6"/>
  <c r="R232" i="6"/>
  <c r="N232" i="6" s="1"/>
  <c r="CJ232" i="6"/>
  <c r="AL30" i="6"/>
  <c r="AE30" i="6" s="1"/>
  <c r="V198" i="6"/>
  <c r="E82" i="6"/>
  <c r="D82" i="6" s="1"/>
  <c r="V68" i="6"/>
  <c r="R32" i="6"/>
  <c r="CJ32" i="6"/>
  <c r="E156" i="6"/>
  <c r="CJ43" i="6"/>
  <c r="R43" i="6"/>
  <c r="N43" i="6" s="1"/>
  <c r="V157" i="6"/>
  <c r="V204" i="6"/>
  <c r="E124" i="6"/>
  <c r="Z103" i="6"/>
  <c r="AL83" i="6"/>
  <c r="AE83" i="6" s="1"/>
  <c r="Z193" i="6"/>
  <c r="O196" i="6"/>
  <c r="AL157" i="6"/>
  <c r="AE157" i="6" s="1"/>
  <c r="AP222" i="6"/>
  <c r="AO222" i="6" s="1"/>
  <c r="AP193" i="6"/>
  <c r="AO193" i="6" s="1"/>
  <c r="CJ109" i="6"/>
  <c r="R109" i="6"/>
  <c r="N109" i="6" s="1"/>
  <c r="BC67" i="6"/>
  <c r="BB67" i="6" s="1"/>
  <c r="U155" i="6"/>
  <c r="K30" i="6"/>
  <c r="D212" i="6"/>
  <c r="R82" i="6"/>
  <c r="CJ82" i="6"/>
  <c r="V84" i="6"/>
  <c r="AP196" i="6"/>
  <c r="Z120" i="6"/>
  <c r="O41" i="6"/>
  <c r="V191" i="6"/>
  <c r="E122" i="6"/>
  <c r="R99" i="6"/>
  <c r="CJ99" i="6"/>
  <c r="BC99" i="6"/>
  <c r="BB99" i="6" s="1"/>
  <c r="K57" i="6"/>
  <c r="Z31" i="6"/>
  <c r="CJ69" i="6"/>
  <c r="R69" i="6"/>
  <c r="N69" i="6" s="1"/>
  <c r="V142" i="6"/>
  <c r="E13" i="6"/>
  <c r="D13" i="6" s="1"/>
  <c r="CJ179" i="6"/>
  <c r="R179" i="6"/>
  <c r="N179" i="6" s="1"/>
  <c r="AP168" i="6"/>
  <c r="AO168" i="6" s="1"/>
  <c r="V17" i="6"/>
  <c r="CJ17" i="6"/>
  <c r="R17" i="6"/>
  <c r="CJ16" i="6"/>
  <c r="R16" i="6"/>
  <c r="AO50" i="6"/>
  <c r="AO25" i="6"/>
  <c r="AP184" i="6"/>
  <c r="CJ34" i="6"/>
  <c r="R34" i="6"/>
  <c r="CJ201" i="6"/>
  <c r="R201" i="6"/>
  <c r="V193" i="6"/>
  <c r="AP70" i="6"/>
  <c r="AO70" i="6" s="1"/>
  <c r="R181" i="6"/>
  <c r="N181" i="6" s="1"/>
  <c r="CJ181" i="6"/>
  <c r="E67" i="6"/>
  <c r="D67" i="6" s="1"/>
  <c r="AL67" i="6"/>
  <c r="AE67" i="6" s="1"/>
  <c r="AE232" i="6"/>
  <c r="R155" i="6"/>
  <c r="CJ155" i="6"/>
  <c r="K198" i="6"/>
  <c r="AE199" i="6"/>
  <c r="CJ227" i="6"/>
  <c r="R227" i="6"/>
  <c r="E84" i="6"/>
  <c r="AY84" i="6"/>
  <c r="AP220" i="6"/>
  <c r="AO220" i="6" s="1"/>
  <c r="AY68" i="6"/>
  <c r="AY156" i="6"/>
  <c r="AO156" i="6" s="1"/>
  <c r="O114" i="6"/>
  <c r="AP66" i="6"/>
  <c r="AO66" i="6" s="1"/>
  <c r="E51" i="6"/>
  <c r="D51" i="6" s="1"/>
  <c r="BC121" i="6"/>
  <c r="BB121" i="6" s="1"/>
  <c r="Z147" i="6"/>
  <c r="O147" i="6"/>
  <c r="O204" i="6"/>
  <c r="E61" i="6"/>
  <c r="E41" i="6"/>
  <c r="D41" i="6" s="1"/>
  <c r="Z61" i="6"/>
  <c r="U214" i="6"/>
  <c r="R31" i="6"/>
  <c r="N31" i="6" s="1"/>
  <c r="CJ31" i="6"/>
  <c r="V118" i="6"/>
  <c r="AE69" i="6"/>
  <c r="AE71" i="6"/>
  <c r="E175" i="6"/>
  <c r="Z33" i="6"/>
  <c r="O33" i="6"/>
  <c r="CJ103" i="6"/>
  <c r="R103" i="6"/>
  <c r="CJ217" i="6"/>
  <c r="R217" i="6"/>
  <c r="N217" i="6" s="1"/>
  <c r="AY125" i="6"/>
  <c r="K158" i="6"/>
  <c r="BC159" i="6"/>
  <c r="BB159" i="6" s="1"/>
  <c r="BC130" i="6"/>
  <c r="BB130" i="6" s="1"/>
  <c r="E164" i="6"/>
  <c r="E97" i="6"/>
  <c r="AL113" i="6"/>
  <c r="AE113" i="6" s="1"/>
  <c r="K40" i="6"/>
  <c r="O194" i="6"/>
  <c r="AE151" i="6"/>
  <c r="E148" i="6"/>
  <c r="D148" i="6" s="1"/>
  <c r="CJ74" i="6"/>
  <c r="R74" i="6"/>
  <c r="AY121" i="6"/>
  <c r="CJ14" i="6"/>
  <c r="R14" i="6"/>
  <c r="N14" i="6" s="1"/>
  <c r="CJ57" i="6"/>
  <c r="R57" i="6"/>
  <c r="N57" i="6" s="1"/>
  <c r="R71" i="6"/>
  <c r="N71" i="6" s="1"/>
  <c r="CJ71" i="6"/>
  <c r="K163" i="6"/>
  <c r="D163" i="6" s="1"/>
  <c r="R198" i="6"/>
  <c r="N198" i="6" s="1"/>
  <c r="CJ198" i="6"/>
  <c r="CJ199" i="6"/>
  <c r="R199" i="6"/>
  <c r="N199" i="6" s="1"/>
  <c r="V30" i="6"/>
  <c r="BC84" i="6"/>
  <c r="BB84" i="6" s="1"/>
  <c r="E114" i="6"/>
  <c r="D114" i="6" s="1"/>
  <c r="AE51" i="6"/>
  <c r="BC26" i="6"/>
  <c r="BB26" i="6" s="1"/>
  <c r="V124" i="6"/>
  <c r="O124" i="6"/>
  <c r="AP120" i="6"/>
  <c r="R118" i="6"/>
  <c r="N118" i="6" s="1"/>
  <c r="CJ118" i="6"/>
  <c r="AY71" i="6"/>
  <c r="AO71" i="6" s="1"/>
  <c r="O142" i="6"/>
  <c r="AY33" i="6"/>
  <c r="Z95" i="6"/>
  <c r="U95" i="6" s="1"/>
  <c r="AP67" i="6"/>
  <c r="AO67" i="6" s="1"/>
  <c r="U67" i="6"/>
  <c r="AP232" i="6"/>
  <c r="AO232" i="6" s="1"/>
  <c r="CJ163" i="6"/>
  <c r="R163" i="6"/>
  <c r="N163" i="6" s="1"/>
  <c r="R20" i="6"/>
  <c r="CJ20" i="6"/>
  <c r="Z30" i="6"/>
  <c r="AP227" i="6"/>
  <c r="Z84" i="6"/>
  <c r="BC68" i="6"/>
  <c r="BB68" i="6" s="1"/>
  <c r="Z182" i="6"/>
  <c r="U182" i="6" s="1"/>
  <c r="E32" i="6"/>
  <c r="D32" i="6" s="1"/>
  <c r="AE156" i="6"/>
  <c r="V66" i="6"/>
  <c r="CJ51" i="6"/>
  <c r="R51" i="6"/>
  <c r="N51" i="6" s="1"/>
  <c r="Z51" i="6"/>
  <c r="U51" i="6" s="1"/>
  <c r="V37" i="6"/>
  <c r="U37" i="6" s="1"/>
  <c r="Z43" i="6"/>
  <c r="CJ121" i="6"/>
  <c r="R121" i="6"/>
  <c r="N121" i="6" s="1"/>
  <c r="D59" i="6"/>
  <c r="V147" i="6"/>
  <c r="V134" i="6"/>
  <c r="AY196" i="6"/>
  <c r="R204" i="6"/>
  <c r="CJ204" i="6"/>
  <c r="AY191" i="6"/>
  <c r="V183" i="6"/>
  <c r="AP99" i="6"/>
  <c r="V14" i="6"/>
  <c r="AP211" i="6"/>
  <c r="AP31" i="6"/>
  <c r="AO31" i="6" s="1"/>
  <c r="BC118" i="6"/>
  <c r="BB118" i="6" s="1"/>
  <c r="AP69" i="6"/>
  <c r="Z55" i="6"/>
  <c r="U55" i="6" s="1"/>
  <c r="AP142" i="6"/>
  <c r="BC175" i="6"/>
  <c r="BB175" i="6" s="1"/>
  <c r="BC33" i="6"/>
  <c r="BB33" i="6" s="1"/>
  <c r="K33" i="6"/>
  <c r="AL103" i="6"/>
  <c r="AE103" i="6" s="1"/>
  <c r="AY103" i="6"/>
  <c r="K83" i="6"/>
  <c r="O110" i="6"/>
  <c r="AP217" i="6"/>
  <c r="O125" i="6"/>
  <c r="BC83" i="6"/>
  <c r="BB83" i="6" s="1"/>
  <c r="AP158" i="6"/>
  <c r="AO158" i="6" s="1"/>
  <c r="AE159" i="6"/>
  <c r="V42" i="6"/>
  <c r="K90" i="6"/>
  <c r="CJ21" i="6"/>
  <c r="R21" i="6"/>
  <c r="N21" i="6" s="1"/>
  <c r="AY47" i="6"/>
  <c r="K164" i="6"/>
  <c r="E39" i="6"/>
  <c r="D39" i="6" s="1"/>
  <c r="E128" i="6"/>
  <c r="AP221" i="6"/>
  <c r="CJ197" i="6"/>
  <c r="R197" i="6"/>
  <c r="O180" i="6"/>
  <c r="BC189" i="6"/>
  <c r="BB189" i="6" s="1"/>
  <c r="K28" i="6"/>
  <c r="V23" i="6"/>
  <c r="R87" i="6"/>
  <c r="CJ87" i="6"/>
  <c r="U181" i="6"/>
  <c r="CJ141" i="6"/>
  <c r="R141" i="6"/>
  <c r="N141" i="6" s="1"/>
  <c r="CJ112" i="6"/>
  <c r="R112" i="6"/>
  <c r="N112" i="6" s="1"/>
  <c r="E196" i="6"/>
  <c r="AP61" i="6"/>
  <c r="AO61" i="6" s="1"/>
  <c r="E204" i="6"/>
  <c r="R191" i="6"/>
  <c r="N191" i="6" s="1"/>
  <c r="CJ191" i="6"/>
  <c r="AP103" i="6"/>
  <c r="AP110" i="6"/>
  <c r="U165" i="6"/>
  <c r="R158" i="6"/>
  <c r="CJ158" i="6"/>
  <c r="AP159" i="6"/>
  <c r="AO159" i="6" s="1"/>
  <c r="O132" i="6"/>
  <c r="CJ90" i="6"/>
  <c r="R90" i="6"/>
  <c r="R219" i="6"/>
  <c r="N219" i="6" s="1"/>
  <c r="CJ219" i="6"/>
  <c r="CJ164" i="6"/>
  <c r="R164" i="6"/>
  <c r="N164" i="6" s="1"/>
  <c r="CJ195" i="6"/>
  <c r="R195" i="6"/>
  <c r="N195" i="6" s="1"/>
  <c r="K74" i="6"/>
  <c r="CJ11" i="6"/>
  <c r="R11" i="6"/>
  <c r="R127" i="6"/>
  <c r="CJ127" i="6"/>
  <c r="BC105" i="6"/>
  <c r="BB105" i="6" s="1"/>
  <c r="K85" i="6"/>
  <c r="K167" i="6"/>
  <c r="AE16" i="6"/>
  <c r="U93" i="6"/>
  <c r="Z34" i="6"/>
  <c r="AE34" i="6"/>
  <c r="E22" i="6"/>
  <c r="AE97" i="6"/>
  <c r="O78" i="6"/>
  <c r="AL187" i="6"/>
  <c r="AE187" i="6" s="1"/>
  <c r="E98" i="6"/>
  <c r="O201" i="6"/>
  <c r="Z150" i="6"/>
  <c r="D56" i="6"/>
  <c r="Z123" i="6"/>
  <c r="U123" i="6" s="1"/>
  <c r="Z81" i="6"/>
  <c r="U81" i="6" s="1"/>
  <c r="AE38" i="6"/>
  <c r="CJ160" i="6"/>
  <c r="R160" i="6"/>
  <c r="AP161" i="6"/>
  <c r="CJ128" i="6"/>
  <c r="R128" i="6"/>
  <c r="N128" i="6" s="1"/>
  <c r="E49" i="6"/>
  <c r="V205" i="6"/>
  <c r="CJ206" i="6"/>
  <c r="R206" i="6"/>
  <c r="N206" i="6" s="1"/>
  <c r="R221" i="6"/>
  <c r="CJ221" i="6"/>
  <c r="E173" i="6"/>
  <c r="AP173" i="6"/>
  <c r="V64" i="6"/>
  <c r="U64" i="6" s="1"/>
  <c r="AP133" i="6"/>
  <c r="E60" i="6"/>
  <c r="E18" i="6"/>
  <c r="CJ66" i="6"/>
  <c r="R66" i="6"/>
  <c r="AP134" i="6"/>
  <c r="AO134" i="6" s="1"/>
  <c r="E121" i="6"/>
  <c r="AP84" i="6"/>
  <c r="AP68" i="6"/>
  <c r="R62" i="6"/>
  <c r="N62" i="6" s="1"/>
  <c r="CJ62" i="6"/>
  <c r="BC32" i="6"/>
  <c r="BB32" i="6" s="1"/>
  <c r="Z114" i="6"/>
  <c r="Z66" i="6"/>
  <c r="CJ134" i="6"/>
  <c r="R134" i="6"/>
  <c r="N134" i="6" s="1"/>
  <c r="AE134" i="6"/>
  <c r="AP178" i="6"/>
  <c r="AO178" i="6" s="1"/>
  <c r="K147" i="6"/>
  <c r="K196" i="6"/>
  <c r="AY204" i="6"/>
  <c r="Z204" i="6"/>
  <c r="V120" i="6"/>
  <c r="Z41" i="6"/>
  <c r="CJ122" i="6"/>
  <c r="R122" i="6"/>
  <c r="N122" i="6" s="1"/>
  <c r="AL183" i="6"/>
  <c r="AE183" i="6" s="1"/>
  <c r="E99" i="6"/>
  <c r="E14" i="6"/>
  <c r="AP214" i="6"/>
  <c r="K69" i="6"/>
  <c r="D69" i="6" s="1"/>
  <c r="E55" i="6"/>
  <c r="D55" i="6" s="1"/>
  <c r="V175" i="6"/>
  <c r="E33" i="6"/>
  <c r="E110" i="6"/>
  <c r="D110" i="6" s="1"/>
  <c r="K125" i="6"/>
  <c r="AP125" i="6"/>
  <c r="O159" i="6"/>
  <c r="CJ130" i="6"/>
  <c r="R130" i="6"/>
  <c r="V90" i="6"/>
  <c r="Z164" i="6"/>
  <c r="Z39" i="6"/>
  <c r="AL39" i="6"/>
  <c r="AE39" i="6" s="1"/>
  <c r="AP39" i="6"/>
  <c r="AP195" i="6"/>
  <c r="AY40" i="6"/>
  <c r="CJ151" i="6"/>
  <c r="R151" i="6"/>
  <c r="N151" i="6" s="1"/>
  <c r="K11" i="6"/>
  <c r="CJ96" i="6"/>
  <c r="R96" i="6"/>
  <c r="N96" i="6" s="1"/>
  <c r="CJ22" i="6"/>
  <c r="R22" i="6"/>
  <c r="R85" i="6"/>
  <c r="CJ85" i="6"/>
  <c r="Z17" i="6"/>
  <c r="CJ108" i="6"/>
  <c r="R108" i="6"/>
  <c r="N108" i="6" s="1"/>
  <c r="CJ75" i="6"/>
  <c r="R75" i="6"/>
  <c r="N75" i="6" s="1"/>
  <c r="CJ177" i="6"/>
  <c r="R177" i="6"/>
  <c r="K97" i="6"/>
  <c r="Z187" i="6"/>
  <c r="AP102" i="6"/>
  <c r="E80" i="6"/>
  <c r="CJ72" i="6"/>
  <c r="R72" i="6"/>
  <c r="E15" i="6"/>
  <c r="R226" i="6"/>
  <c r="CJ226" i="6"/>
  <c r="CJ193" i="6"/>
  <c r="R193" i="6"/>
  <c r="Z70" i="6"/>
  <c r="U140" i="6"/>
  <c r="R67" i="6"/>
  <c r="CJ67" i="6"/>
  <c r="O84" i="6"/>
  <c r="N84" i="6" s="1"/>
  <c r="CJ68" i="6"/>
  <c r="R68" i="6"/>
  <c r="N68" i="6" s="1"/>
  <c r="AY51" i="6"/>
  <c r="AO51" i="6" s="1"/>
  <c r="AP37" i="6"/>
  <c r="AY26" i="6"/>
  <c r="CJ183" i="6"/>
  <c r="R183" i="6"/>
  <c r="O99" i="6"/>
  <c r="R214" i="6"/>
  <c r="CJ214" i="6"/>
  <c r="AP118" i="6"/>
  <c r="Z12" i="6"/>
  <c r="CJ140" i="6"/>
  <c r="R140" i="6"/>
  <c r="N140" i="6" s="1"/>
  <c r="AP140" i="6"/>
  <c r="AO140" i="6" s="1"/>
  <c r="BC70" i="6"/>
  <c r="BB70" i="6" s="1"/>
  <c r="R137" i="6"/>
  <c r="N137" i="6" s="1"/>
  <c r="CJ137" i="6"/>
  <c r="AY95" i="6"/>
  <c r="N70" i="6"/>
  <c r="AE155" i="6"/>
  <c r="R190" i="6"/>
  <c r="N190" i="6" s="1"/>
  <c r="CJ190" i="6"/>
  <c r="R54" i="6"/>
  <c r="N54" i="6" s="1"/>
  <c r="CJ54" i="6"/>
  <c r="E20" i="6"/>
  <c r="D20" i="6" s="1"/>
  <c r="AP137" i="6"/>
  <c r="AO137" i="6" s="1"/>
  <c r="Z111" i="6"/>
  <c r="E68" i="6"/>
  <c r="V62" i="6"/>
  <c r="U62" i="6" s="1"/>
  <c r="AE182" i="6"/>
  <c r="O66" i="6"/>
  <c r="Z134" i="6"/>
  <c r="BC134" i="6"/>
  <c r="BB134" i="6" s="1"/>
  <c r="Z178" i="6"/>
  <c r="U178" i="6" s="1"/>
  <c r="AP121" i="6"/>
  <c r="AY147" i="6"/>
  <c r="R196" i="6"/>
  <c r="CJ196" i="6"/>
  <c r="CJ224" i="6"/>
  <c r="R224" i="6"/>
  <c r="N224" i="6" s="1"/>
  <c r="AP204" i="6"/>
  <c r="E188" i="6"/>
  <c r="D188" i="6" s="1"/>
  <c r="V41" i="6"/>
  <c r="V122" i="6"/>
  <c r="Z183" i="6"/>
  <c r="AE31" i="6"/>
  <c r="Z118" i="6"/>
  <c r="CJ142" i="6"/>
  <c r="R142" i="6"/>
  <c r="AL175" i="6"/>
  <c r="AE175" i="6" s="1"/>
  <c r="AP33" i="6"/>
  <c r="K103" i="6"/>
  <c r="Z110" i="6"/>
  <c r="V110" i="6"/>
  <c r="E158" i="6"/>
  <c r="V159" i="6"/>
  <c r="AP130" i="6"/>
  <c r="O90" i="6"/>
  <c r="CJ216" i="6"/>
  <c r="R216" i="6"/>
  <c r="AE164" i="6"/>
  <c r="V39" i="6"/>
  <c r="BC195" i="6"/>
  <c r="BB195" i="6" s="1"/>
  <c r="O40" i="6"/>
  <c r="CJ194" i="6"/>
  <c r="R194" i="6"/>
  <c r="R58" i="6"/>
  <c r="N58" i="6" s="1"/>
  <c r="CJ58" i="6"/>
  <c r="BC11" i="6"/>
  <c r="BB11" i="6" s="1"/>
  <c r="CJ46" i="6"/>
  <c r="R46" i="6"/>
  <c r="N46" i="6" s="1"/>
  <c r="AE96" i="6"/>
  <c r="U174" i="6"/>
  <c r="V105" i="6"/>
  <c r="U105" i="6" s="1"/>
  <c r="R47" i="6"/>
  <c r="CJ47" i="6"/>
  <c r="E63" i="6"/>
  <c r="E167" i="6"/>
  <c r="E38" i="6"/>
  <c r="CJ38" i="6"/>
  <c r="R38" i="6"/>
  <c r="AP228" i="6"/>
  <c r="AP49" i="6"/>
  <c r="AP136" i="6"/>
  <c r="Z169" i="6"/>
  <c r="CJ61" i="6"/>
  <c r="R61" i="6"/>
  <c r="R13" i="6"/>
  <c r="CJ13" i="6"/>
  <c r="Z158" i="6"/>
  <c r="U158" i="6" s="1"/>
  <c r="AP132" i="6"/>
  <c r="CJ42" i="6"/>
  <c r="R42" i="6"/>
  <c r="Z90" i="6"/>
  <c r="E90" i="6"/>
  <c r="AP164" i="6"/>
  <c r="AO164" i="6" s="1"/>
  <c r="CJ39" i="6"/>
  <c r="R39" i="6"/>
  <c r="AY195" i="6"/>
  <c r="R113" i="6"/>
  <c r="N113" i="6" s="1"/>
  <c r="CJ113" i="6"/>
  <c r="CJ40" i="6"/>
  <c r="R40" i="6"/>
  <c r="AL194" i="6"/>
  <c r="AE194" i="6" s="1"/>
  <c r="U151" i="6"/>
  <c r="V46" i="6"/>
  <c r="K153" i="6"/>
  <c r="AP105" i="6"/>
  <c r="AO105" i="6" s="1"/>
  <c r="AP149" i="6"/>
  <c r="R94" i="6"/>
  <c r="CJ94" i="6"/>
  <c r="K63" i="6"/>
  <c r="R176" i="6"/>
  <c r="N176" i="6" s="1"/>
  <c r="CJ176" i="6"/>
  <c r="E75" i="6"/>
  <c r="D75" i="6" s="1"/>
  <c r="R162" i="6"/>
  <c r="N162" i="6" s="1"/>
  <c r="CJ162" i="6"/>
  <c r="AL177" i="6"/>
  <c r="AE177" i="6" s="1"/>
  <c r="K184" i="6"/>
  <c r="K22" i="6"/>
  <c r="V187" i="6"/>
  <c r="Z102" i="6"/>
  <c r="O98" i="6"/>
  <c r="N98" i="6" s="1"/>
  <c r="V150" i="6"/>
  <c r="CJ80" i="6"/>
  <c r="R80" i="6"/>
  <c r="N80" i="6" s="1"/>
  <c r="R228" i="6"/>
  <c r="N228" i="6" s="1"/>
  <c r="CJ228" i="6"/>
  <c r="Z205" i="6"/>
  <c r="Z206" i="6"/>
  <c r="Z136" i="6"/>
  <c r="AE197" i="6"/>
  <c r="R213" i="6"/>
  <c r="N213" i="6" s="1"/>
  <c r="CJ213" i="6"/>
  <c r="AP152" i="6"/>
  <c r="BC200" i="6"/>
  <c r="BB200" i="6" s="1"/>
  <c r="E88" i="6"/>
  <c r="E11" i="6"/>
  <c r="Z127" i="6"/>
  <c r="BC153" i="6"/>
  <c r="BB153" i="6" s="1"/>
  <c r="O149" i="6"/>
  <c r="AY179" i="6"/>
  <c r="E47" i="6"/>
  <c r="D47" i="6" s="1"/>
  <c r="AE94" i="6"/>
  <c r="O63" i="6"/>
  <c r="R167" i="6"/>
  <c r="CJ167" i="6"/>
  <c r="AL17" i="6"/>
  <c r="AE17" i="6" s="1"/>
  <c r="O17" i="6"/>
  <c r="AE108" i="6"/>
  <c r="AO52" i="6"/>
  <c r="AE73" i="6"/>
  <c r="D93" i="6"/>
  <c r="V184" i="6"/>
  <c r="BC34" i="6"/>
  <c r="BB34" i="6" s="1"/>
  <c r="Z22" i="6"/>
  <c r="R97" i="6"/>
  <c r="CJ97" i="6"/>
  <c r="E102" i="6"/>
  <c r="BC166" i="6"/>
  <c r="BB166" i="6" s="1"/>
  <c r="BC98" i="6"/>
  <c r="BB98" i="6" s="1"/>
  <c r="AL201" i="6"/>
  <c r="AE201" i="6" s="1"/>
  <c r="E150" i="6"/>
  <c r="D150" i="6" s="1"/>
  <c r="AP56" i="6"/>
  <c r="E154" i="6"/>
  <c r="D154" i="6" s="1"/>
  <c r="AP53" i="6"/>
  <c r="Z53" i="6"/>
  <c r="U53" i="6" s="1"/>
  <c r="BC129" i="6"/>
  <c r="BB129" i="6" s="1"/>
  <c r="AY81" i="6"/>
  <c r="BC160" i="6"/>
  <c r="BB160" i="6" s="1"/>
  <c r="R161" i="6"/>
  <c r="CJ161" i="6"/>
  <c r="AE228" i="6"/>
  <c r="BC206" i="6"/>
  <c r="BB206" i="6" s="1"/>
  <c r="V143" i="6"/>
  <c r="Z173" i="6"/>
  <c r="D197" i="6"/>
  <c r="AE180" i="6"/>
  <c r="CJ64" i="6"/>
  <c r="R64" i="6"/>
  <c r="R172" i="6"/>
  <c r="CJ172" i="6"/>
  <c r="AY15" i="6"/>
  <c r="R65" i="6"/>
  <c r="CJ65" i="6"/>
  <c r="Z27" i="6"/>
  <c r="E152" i="6"/>
  <c r="V200" i="6"/>
  <c r="E138" i="6"/>
  <c r="Z138" i="6"/>
  <c r="R133" i="6"/>
  <c r="CJ133" i="6"/>
  <c r="BC60" i="6"/>
  <c r="BB60" i="6" s="1"/>
  <c r="AL171" i="6"/>
  <c r="AE171" i="6" s="1"/>
  <c r="AP77" i="6"/>
  <c r="Z92" i="6"/>
  <c r="AY207" i="6"/>
  <c r="AE203" i="6"/>
  <c r="V48" i="6"/>
  <c r="K135" i="6"/>
  <c r="O35" i="6"/>
  <c r="AY100" i="6"/>
  <c r="E45" i="6"/>
  <c r="D45" i="6" s="1"/>
  <c r="AE45" i="6"/>
  <c r="AP36" i="6"/>
  <c r="AO36" i="6" s="1"/>
  <c r="AL186" i="6"/>
  <c r="AE186" i="6" s="1"/>
  <c r="Z24" i="6"/>
  <c r="V115" i="6"/>
  <c r="U115" i="6" s="1"/>
  <c r="AP104" i="6"/>
  <c r="R119" i="6"/>
  <c r="CJ119" i="6"/>
  <c r="AL146" i="6"/>
  <c r="AE146" i="6" s="1"/>
  <c r="V131" i="6"/>
  <c r="O117" i="6"/>
  <c r="R144" i="6"/>
  <c r="CJ144" i="6"/>
  <c r="CJ233" i="6"/>
  <c r="R233" i="6"/>
  <c r="N233" i="6" s="1"/>
  <c r="Z101" i="6"/>
  <c r="AP170" i="6"/>
  <c r="R115" i="6"/>
  <c r="CJ115" i="6"/>
  <c r="R131" i="6"/>
  <c r="CJ131" i="6"/>
  <c r="AP117" i="6"/>
  <c r="R117" i="6"/>
  <c r="CJ117" i="6"/>
  <c r="AP144" i="6"/>
  <c r="Z143" i="6"/>
  <c r="CJ173" i="6"/>
  <c r="R173" i="6"/>
  <c r="Z197" i="6"/>
  <c r="U197" i="6" s="1"/>
  <c r="Z189" i="6"/>
  <c r="AP64" i="6"/>
  <c r="AO64" i="6" s="1"/>
  <c r="V172" i="6"/>
  <c r="AP15" i="6"/>
  <c r="E76" i="6"/>
  <c r="Z65" i="6"/>
  <c r="U65" i="6" s="1"/>
  <c r="AE226" i="6"/>
  <c r="AY23" i="6"/>
  <c r="AL200" i="6"/>
  <c r="AE200" i="6" s="1"/>
  <c r="AL60" i="6"/>
  <c r="AE60" i="6" s="1"/>
  <c r="AL86" i="6"/>
  <c r="AE86" i="6" s="1"/>
  <c r="E116" i="6"/>
  <c r="E203" i="6"/>
  <c r="Z185" i="6"/>
  <c r="U185" i="6" s="1"/>
  <c r="AL79" i="6"/>
  <c r="AE79" i="6" s="1"/>
  <c r="E100" i="6"/>
  <c r="D100" i="6" s="1"/>
  <c r="AE145" i="6"/>
  <c r="AY192" i="6"/>
  <c r="O186" i="6"/>
  <c r="K101" i="6"/>
  <c r="K170" i="6"/>
  <c r="BC170" i="6"/>
  <c r="BB170" i="6" s="1"/>
  <c r="R89" i="6"/>
  <c r="CJ89" i="6"/>
  <c r="AE104" i="6"/>
  <c r="AL139" i="6"/>
  <c r="AE139" i="6" s="1"/>
  <c r="V117" i="6"/>
  <c r="CJ187" i="6"/>
  <c r="R187" i="6"/>
  <c r="N187" i="6" s="1"/>
  <c r="BC102" i="6"/>
  <c r="BB102" i="6" s="1"/>
  <c r="AY91" i="6"/>
  <c r="AO91" i="6" s="1"/>
  <c r="K98" i="6"/>
  <c r="AP201" i="6"/>
  <c r="AO201" i="6" s="1"/>
  <c r="V56" i="6"/>
  <c r="AP29" i="6"/>
  <c r="E123" i="6"/>
  <c r="AY80" i="6"/>
  <c r="AP81" i="6"/>
  <c r="V202" i="6"/>
  <c r="BC38" i="6"/>
  <c r="BB38" i="6" s="1"/>
  <c r="V160" i="6"/>
  <c r="E161" i="6"/>
  <c r="V161" i="6"/>
  <c r="K128" i="6"/>
  <c r="BC49" i="6"/>
  <c r="BB49" i="6" s="1"/>
  <c r="E206" i="6"/>
  <c r="V136" i="6"/>
  <c r="AP72" i="6"/>
  <c r="AO72" i="6" s="1"/>
  <c r="V173" i="6"/>
  <c r="R189" i="6"/>
  <c r="N189" i="6" s="1"/>
  <c r="CJ189" i="6"/>
  <c r="K169" i="6"/>
  <c r="AL172" i="6"/>
  <c r="AE172" i="6" s="1"/>
  <c r="K15" i="6"/>
  <c r="CJ76" i="6"/>
  <c r="R76" i="6"/>
  <c r="AL152" i="6"/>
  <c r="AE152" i="6" s="1"/>
  <c r="O152" i="6"/>
  <c r="N152" i="6" s="1"/>
  <c r="R200" i="6"/>
  <c r="CJ200" i="6"/>
  <c r="O88" i="6"/>
  <c r="CJ60" i="6"/>
  <c r="R60" i="6"/>
  <c r="N60" i="6" s="1"/>
  <c r="AP86" i="6"/>
  <c r="AO86" i="6" s="1"/>
  <c r="K18" i="6"/>
  <c r="V171" i="6"/>
  <c r="O116" i="6"/>
  <c r="AP92" i="6"/>
  <c r="Z207" i="6"/>
  <c r="R203" i="6"/>
  <c r="CJ203" i="6"/>
  <c r="K185" i="6"/>
  <c r="E135" i="6"/>
  <c r="CJ107" i="6"/>
  <c r="R107" i="6"/>
  <c r="R35" i="6"/>
  <c r="CJ35" i="6"/>
  <c r="CJ100" i="6"/>
  <c r="R100" i="6"/>
  <c r="E145" i="6"/>
  <c r="AP186" i="6"/>
  <c r="AO186" i="6" s="1"/>
  <c r="AP233" i="6"/>
  <c r="AP24" i="6"/>
  <c r="AO24" i="6" s="1"/>
  <c r="AY101" i="6"/>
  <c r="Z19" i="6"/>
  <c r="AP89" i="6"/>
  <c r="AO89" i="6" s="1"/>
  <c r="CJ104" i="6"/>
  <c r="R104" i="6"/>
  <c r="N104" i="6" s="1"/>
  <c r="Z131" i="6"/>
  <c r="R139" i="6"/>
  <c r="CJ139" i="6"/>
  <c r="AE117" i="6"/>
  <c r="V144" i="6"/>
  <c r="U144" i="6" s="1"/>
  <c r="E77" i="6"/>
  <c r="BC116" i="6"/>
  <c r="BB116" i="6" s="1"/>
  <c r="K207" i="6"/>
  <c r="AP48" i="6"/>
  <c r="AP35" i="6"/>
  <c r="AO35" i="6" s="1"/>
  <c r="AL100" i="6"/>
  <c r="AE100" i="6" s="1"/>
  <c r="BC24" i="6"/>
  <c r="BB24" i="6" s="1"/>
  <c r="E101" i="6"/>
  <c r="V104" i="6"/>
  <c r="E146" i="6"/>
  <c r="O131" i="6"/>
  <c r="Z139" i="6"/>
  <c r="Z117" i="6"/>
  <c r="K88" i="6"/>
  <c r="Z133" i="6"/>
  <c r="AP60" i="6"/>
  <c r="CJ86" i="6"/>
  <c r="R86" i="6"/>
  <c r="O171" i="6"/>
  <c r="BC77" i="6"/>
  <c r="BB77" i="6" s="1"/>
  <c r="CJ116" i="6"/>
  <c r="R116" i="6"/>
  <c r="AL92" i="6"/>
  <c r="AE92" i="6" s="1"/>
  <c r="AP207" i="6"/>
  <c r="V135" i="6"/>
  <c r="E79" i="6"/>
  <c r="AP145" i="6"/>
  <c r="AO145" i="6" s="1"/>
  <c r="BC192" i="6"/>
  <c r="BB192" i="6" s="1"/>
  <c r="V186" i="6"/>
  <c r="CJ24" i="6"/>
  <c r="R24" i="6"/>
  <c r="CJ101" i="6"/>
  <c r="R101" i="6"/>
  <c r="AL115" i="6"/>
  <c r="AE115" i="6" s="1"/>
  <c r="AY115" i="6"/>
  <c r="Z104" i="6"/>
  <c r="BC146" i="6"/>
  <c r="BB146" i="6" s="1"/>
  <c r="E117" i="6"/>
  <c r="D117" i="6" s="1"/>
  <c r="K144" i="6"/>
  <c r="AP38" i="6"/>
  <c r="AE161" i="6"/>
  <c r="Z128" i="6"/>
  <c r="AL49" i="6"/>
  <c r="AE49" i="6" s="1"/>
  <c r="AE143" i="6"/>
  <c r="Z180" i="6"/>
  <c r="AP225" i="6"/>
  <c r="AP209" i="6"/>
  <c r="V15" i="6"/>
  <c r="AY65" i="6"/>
  <c r="AP23" i="6"/>
  <c r="E200" i="6"/>
  <c r="O86" i="6"/>
  <c r="AP126" i="6"/>
  <c r="Z77" i="6"/>
  <c r="Z135" i="6"/>
  <c r="AP79" i="6"/>
  <c r="AO79" i="6" s="1"/>
  <c r="AP107" i="6"/>
  <c r="V45" i="6"/>
  <c r="R145" i="6"/>
  <c r="CJ145" i="6"/>
  <c r="R192" i="6"/>
  <c r="CJ192" i="6"/>
  <c r="R186" i="6"/>
  <c r="CJ186" i="6"/>
  <c r="AP101" i="6"/>
  <c r="R19" i="6"/>
  <c r="N19" i="6" s="1"/>
  <c r="CJ19" i="6"/>
  <c r="E119" i="6"/>
  <c r="D119" i="6" s="1"/>
  <c r="R146" i="6"/>
  <c r="CJ146" i="6"/>
  <c r="BC117" i="6"/>
  <c r="BB117" i="6" s="1"/>
  <c r="AY144" i="6"/>
  <c r="AY53" i="6"/>
  <c r="V129" i="6"/>
  <c r="E81" i="6"/>
  <c r="D81" i="6" s="1"/>
  <c r="AP202" i="6"/>
  <c r="Z49" i="6"/>
  <c r="AP231" i="6"/>
  <c r="AO231" i="6" s="1"/>
  <c r="AP206" i="6"/>
  <c r="K143" i="6"/>
  <c r="AL72" i="6"/>
  <c r="AE72" i="6" s="1"/>
  <c r="E72" i="6"/>
  <c r="V180" i="6"/>
  <c r="E28" i="6"/>
  <c r="E64" i="6"/>
  <c r="D64" i="6" s="1"/>
  <c r="O169" i="6"/>
  <c r="E169" i="6"/>
  <c r="BC169" i="6"/>
  <c r="BB169" i="6" s="1"/>
  <c r="CJ225" i="6"/>
  <c r="R225" i="6"/>
  <c r="N225" i="6" s="1"/>
  <c r="K76" i="6"/>
  <c r="O65" i="6"/>
  <c r="R27" i="6"/>
  <c r="N27" i="6" s="1"/>
  <c r="CJ27" i="6"/>
  <c r="D52" i="6"/>
  <c r="AL23" i="6"/>
  <c r="AE23" i="6" s="1"/>
  <c r="AL87" i="6"/>
  <c r="AE87" i="6" s="1"/>
  <c r="Z152" i="6"/>
  <c r="V138" i="6"/>
  <c r="R88" i="6"/>
  <c r="CJ88" i="6"/>
  <c r="V60" i="6"/>
  <c r="R126" i="6"/>
  <c r="CJ126" i="6"/>
  <c r="Z171" i="6"/>
  <c r="O77" i="6"/>
  <c r="V116" i="6"/>
  <c r="E207" i="6"/>
  <c r="CJ135" i="6"/>
  <c r="R135" i="6"/>
  <c r="N135" i="6" s="1"/>
  <c r="E107" i="6"/>
  <c r="D107" i="6" s="1"/>
  <c r="AP45" i="6"/>
  <c r="AO45" i="6" s="1"/>
  <c r="K145" i="6"/>
  <c r="V19" i="6"/>
  <c r="V89" i="6"/>
  <c r="BC104" i="6"/>
  <c r="BB104" i="6" s="1"/>
  <c r="V76" i="6"/>
  <c r="AY27" i="6"/>
  <c r="Z23" i="6"/>
  <c r="Z87" i="6"/>
  <c r="V152" i="6"/>
  <c r="Z200" i="6"/>
  <c r="K138" i="6"/>
  <c r="AE88" i="6"/>
  <c r="AY60" i="6"/>
  <c r="E86" i="6"/>
  <c r="E171" i="6"/>
  <c r="CJ77" i="6"/>
  <c r="R77" i="6"/>
  <c r="AP116" i="6"/>
  <c r="E92" i="6"/>
  <c r="CJ185" i="6"/>
  <c r="R185" i="6"/>
  <c r="V79" i="6"/>
  <c r="U79" i="6" s="1"/>
  <c r="AY107" i="6"/>
  <c r="AE107" i="6"/>
  <c r="AP218" i="6"/>
  <c r="AO218" i="6" s="1"/>
  <c r="O100" i="6"/>
  <c r="K192" i="6"/>
  <c r="Z36" i="6"/>
  <c r="AP208" i="6"/>
  <c r="O24" i="6"/>
  <c r="AY19" i="6"/>
  <c r="E170" i="6"/>
  <c r="AY170" i="6"/>
  <c r="K115" i="6"/>
  <c r="O89" i="6"/>
  <c r="Z119" i="6"/>
  <c r="E131" i="6"/>
  <c r="V139" i="6"/>
  <c r="R223" i="6"/>
  <c r="CJ223" i="6"/>
  <c r="O144" i="6"/>
  <c r="R52" i="6"/>
  <c r="N52" i="6" s="1"/>
  <c r="CJ52" i="6"/>
  <c r="V75" i="6"/>
  <c r="U75" i="6" s="1"/>
  <c r="R73" i="6"/>
  <c r="N73" i="6" s="1"/>
  <c r="CJ73" i="6"/>
  <c r="V16" i="6"/>
  <c r="E50" i="6"/>
  <c r="D50" i="6" s="1"/>
  <c r="CJ25" i="6"/>
  <c r="R25" i="6"/>
  <c r="N25" i="6" s="1"/>
  <c r="R184" i="6"/>
  <c r="CJ184" i="6"/>
  <c r="V34" i="6"/>
  <c r="O22" i="6"/>
  <c r="AL78" i="6"/>
  <c r="AE78" i="6" s="1"/>
  <c r="R78" i="6"/>
  <c r="CJ78" i="6"/>
  <c r="V91" i="6"/>
  <c r="AY166" i="6"/>
  <c r="E166" i="6"/>
  <c r="D166" i="6" s="1"/>
  <c r="AL98" i="6"/>
  <c r="AE98" i="6" s="1"/>
  <c r="V201" i="6"/>
  <c r="R29" i="6"/>
  <c r="CJ29" i="6"/>
  <c r="Z154" i="6"/>
  <c r="CJ123" i="6"/>
  <c r="R123" i="6"/>
  <c r="N123" i="6" s="1"/>
  <c r="V80" i="6"/>
  <c r="Z80" i="6"/>
  <c r="E53" i="6"/>
  <c r="O53" i="6"/>
  <c r="Z129" i="6"/>
  <c r="Z202" i="6"/>
  <c r="AY38" i="6"/>
  <c r="O38" i="6"/>
  <c r="Z160" i="6"/>
  <c r="BC161" i="6"/>
  <c r="BB161" i="6" s="1"/>
  <c r="V49" i="6"/>
  <c r="R231" i="6"/>
  <c r="N231" i="6" s="1"/>
  <c r="CJ231" i="6"/>
  <c r="AP205" i="6"/>
  <c r="V206" i="6"/>
  <c r="AP143" i="6"/>
  <c r="Z72" i="6"/>
  <c r="AP197" i="6"/>
  <c r="CJ180" i="6"/>
  <c r="R180" i="6"/>
  <c r="R28" i="6"/>
  <c r="N28" i="6" s="1"/>
  <c r="CJ28" i="6"/>
  <c r="V169" i="6"/>
  <c r="BC172" i="6"/>
  <c r="BB172" i="6" s="1"/>
  <c r="Z76" i="6"/>
  <c r="O23" i="6"/>
  <c r="AP87" i="6"/>
  <c r="AP200" i="6"/>
  <c r="AY200" i="6"/>
  <c r="O133" i="6"/>
  <c r="V133" i="6"/>
  <c r="K86" i="6"/>
  <c r="AY126" i="6"/>
  <c r="BC171" i="6"/>
  <c r="BB171" i="6" s="1"/>
  <c r="AE77" i="6"/>
  <c r="K116" i="6"/>
  <c r="K92" i="6"/>
  <c r="K203" i="6"/>
  <c r="R48" i="6"/>
  <c r="CJ48" i="6"/>
  <c r="O79" i="6"/>
  <c r="R45" i="6"/>
  <c r="N45" i="6" s="1"/>
  <c r="CJ45" i="6"/>
  <c r="AP192" i="6"/>
  <c r="K36" i="6"/>
  <c r="R208" i="6"/>
  <c r="CJ208" i="6"/>
  <c r="Z186" i="6"/>
  <c r="V101" i="6"/>
  <c r="CJ170" i="6"/>
  <c r="R170" i="6"/>
  <c r="E115" i="6"/>
  <c r="O119" i="6"/>
  <c r="O139" i="6"/>
  <c r="CJ171" i="6"/>
  <c r="R171" i="6"/>
  <c r="AP210" i="6"/>
  <c r="CJ218" i="6"/>
  <c r="R218" i="6"/>
  <c r="Z192" i="6"/>
  <c r="CJ36" i="6"/>
  <c r="R36" i="6"/>
  <c r="E19" i="6"/>
  <c r="K131" i="6"/>
  <c r="BC144" i="6"/>
  <c r="BB144" i="6" s="1"/>
  <c r="O11" i="6"/>
  <c r="O127" i="6"/>
  <c r="R174" i="6"/>
  <c r="N174" i="6" s="1"/>
  <c r="CJ174" i="6"/>
  <c r="AE153" i="6"/>
  <c r="AL105" i="6"/>
  <c r="AE105" i="6" s="1"/>
  <c r="CJ149" i="6"/>
  <c r="R149" i="6"/>
  <c r="Z179" i="6"/>
  <c r="AO94" i="6"/>
  <c r="R229" i="6"/>
  <c r="CJ229" i="6"/>
  <c r="V63" i="6"/>
  <c r="AE85" i="6"/>
  <c r="V167" i="6"/>
  <c r="AP167" i="6"/>
  <c r="AO167" i="6" s="1"/>
  <c r="K17" i="6"/>
  <c r="AP17" i="6"/>
  <c r="AL176" i="6"/>
  <c r="AE176" i="6" s="1"/>
  <c r="AP75" i="6"/>
  <c r="AO75" i="6" s="1"/>
  <c r="AP162" i="6"/>
  <c r="AP16" i="6"/>
  <c r="AO16" i="6" s="1"/>
  <c r="AO93" i="6"/>
  <c r="CJ50" i="6"/>
  <c r="R50" i="6"/>
  <c r="E184" i="6"/>
  <c r="Z184" i="6"/>
  <c r="AY34" i="6"/>
  <c r="E34" i="6"/>
  <c r="D34" i="6" s="1"/>
  <c r="E187" i="6"/>
  <c r="D187" i="6" s="1"/>
  <c r="E91" i="6"/>
  <c r="D91" i="6" s="1"/>
  <c r="V166" i="6"/>
  <c r="E201" i="6"/>
  <c r="Z201" i="6"/>
  <c r="AY56" i="6"/>
  <c r="AE29" i="6"/>
  <c r="R53" i="6"/>
  <c r="CJ53" i="6"/>
  <c r="E129" i="6"/>
  <c r="O160" i="6"/>
  <c r="K161" i="6"/>
  <c r="AY206" i="6"/>
  <c r="AY136" i="6"/>
  <c r="AY143" i="6"/>
  <c r="AL173" i="6"/>
  <c r="AE173" i="6" s="1"/>
  <c r="AY197" i="6"/>
  <c r="V189" i="6"/>
  <c r="AP169" i="6"/>
  <c r="Z172" i="6"/>
  <c r="CJ209" i="6"/>
  <c r="R209" i="6"/>
  <c r="N209" i="6" s="1"/>
  <c r="O15" i="6"/>
  <c r="AP226" i="6"/>
  <c r="E87" i="6"/>
  <c r="AY87" i="6"/>
  <c r="V87" i="6"/>
  <c r="AY138" i="6"/>
  <c r="AL138" i="6"/>
  <c r="AE138" i="6" s="1"/>
  <c r="Z88" i="6"/>
  <c r="AY133" i="6"/>
  <c r="E133" i="6"/>
  <c r="K60" i="6"/>
  <c r="CJ18" i="6"/>
  <c r="R18" i="6"/>
  <c r="N18" i="6" s="1"/>
  <c r="AP171" i="6"/>
  <c r="V77" i="6"/>
  <c r="Z116" i="6"/>
  <c r="CJ210" i="6"/>
  <c r="R210" i="6"/>
  <c r="R92" i="6"/>
  <c r="CJ92" i="6"/>
  <c r="AP203" i="6"/>
  <c r="AO203" i="6" s="1"/>
  <c r="Z48" i="6"/>
  <c r="CJ79" i="6"/>
  <c r="R79" i="6"/>
  <c r="BC35" i="6"/>
  <c r="BB35" i="6" s="1"/>
  <c r="AP100" i="6"/>
  <c r="BC145" i="6"/>
  <c r="BB145" i="6" s="1"/>
  <c r="O36" i="6"/>
  <c r="E24" i="6"/>
  <c r="AP19" i="6"/>
  <c r="AL170" i="6"/>
  <c r="AE170" i="6" s="1"/>
  <c r="O115" i="6"/>
  <c r="E89" i="6"/>
  <c r="E104" i="6"/>
  <c r="D104" i="6" s="1"/>
  <c r="AY104" i="6"/>
  <c r="AP119" i="6"/>
  <c r="Z146" i="6"/>
  <c r="AL131" i="6"/>
  <c r="AE131" i="6" s="1"/>
  <c r="E139" i="6"/>
  <c r="AP223" i="6"/>
  <c r="E144" i="6"/>
  <c r="AO135" i="6" l="1"/>
  <c r="AO90" i="6"/>
  <c r="N16" i="6"/>
  <c r="U127" i="6"/>
  <c r="U208" i="6"/>
  <c r="D147" i="6"/>
  <c r="U26" i="6"/>
  <c r="AO208" i="6"/>
  <c r="N29" i="6"/>
  <c r="N215" i="6"/>
  <c r="U132" i="6"/>
  <c r="N64" i="6"/>
  <c r="D30" i="6"/>
  <c r="N94" i="6"/>
  <c r="U150" i="6"/>
  <c r="U209" i="6"/>
  <c r="U24" i="6"/>
  <c r="U18" i="6"/>
  <c r="U57" i="6"/>
  <c r="U125" i="6"/>
  <c r="N38" i="6"/>
  <c r="N126" i="6"/>
  <c r="N22" i="6"/>
  <c r="N143" i="6"/>
  <c r="AO221" i="6"/>
  <c r="N210" i="6"/>
  <c r="N127" i="6"/>
  <c r="AO210" i="6"/>
  <c r="U211" i="6"/>
  <c r="D146" i="6"/>
  <c r="U212" i="6"/>
  <c r="N50" i="6"/>
  <c r="N92" i="6"/>
  <c r="U166" i="6"/>
  <c r="AO115" i="6"/>
  <c r="U228" i="6"/>
  <c r="U218" i="6"/>
  <c r="AO223" i="6"/>
  <c r="U83" i="6"/>
  <c r="U154" i="6"/>
  <c r="U34" i="6"/>
  <c r="AO153" i="6"/>
  <c r="N136" i="6"/>
  <c r="N214" i="6"/>
  <c r="U89" i="6"/>
  <c r="AO15" i="6"/>
  <c r="U92" i="6"/>
  <c r="N63" i="6"/>
  <c r="U41" i="6"/>
  <c r="N56" i="6"/>
  <c r="U226" i="6"/>
  <c r="N97" i="6"/>
  <c r="AO202" i="6"/>
  <c r="N184" i="6"/>
  <c r="N170" i="6"/>
  <c r="N83" i="6"/>
  <c r="N133" i="6"/>
  <c r="AO228" i="6"/>
  <c r="N183" i="6"/>
  <c r="N221" i="6"/>
  <c r="U229" i="6"/>
  <c r="U101" i="6"/>
  <c r="AO209" i="6"/>
  <c r="N90" i="6"/>
  <c r="U111" i="6"/>
  <c r="U70" i="6"/>
  <c r="D78" i="6"/>
  <c r="N230" i="6"/>
  <c r="AO14" i="6"/>
  <c r="U222" i="6"/>
  <c r="AO118" i="6"/>
  <c r="AO142" i="6"/>
  <c r="N226" i="6"/>
  <c r="D89" i="6"/>
  <c r="AO225" i="6"/>
  <c r="AO130" i="6"/>
  <c r="U97" i="6"/>
  <c r="AO114" i="6"/>
  <c r="U31" i="6"/>
  <c r="AO116" i="6"/>
  <c r="AO179" i="6"/>
  <c r="U206" i="6"/>
  <c r="N115" i="6"/>
  <c r="N23" i="6"/>
  <c r="U91" i="6"/>
  <c r="AO47" i="6"/>
  <c r="AO99" i="6"/>
  <c r="U13" i="6"/>
  <c r="U12" i="6"/>
  <c r="U43" i="6"/>
  <c r="U28" i="6"/>
  <c r="U220" i="6"/>
  <c r="D231" i="6"/>
  <c r="D230" i="6"/>
  <c r="D23" i="6"/>
  <c r="D87" i="6"/>
  <c r="D105" i="6"/>
  <c r="D49" i="6"/>
  <c r="D28" i="6"/>
  <c r="D61" i="6"/>
  <c r="D136" i="6"/>
  <c r="D129" i="6"/>
  <c r="D102" i="6"/>
  <c r="D178" i="6"/>
  <c r="AO129" i="6"/>
  <c r="AO92" i="6"/>
  <c r="AO100" i="6"/>
  <c r="AO148" i="6"/>
  <c r="AO171" i="6"/>
  <c r="AO49" i="6"/>
  <c r="AO144" i="6"/>
  <c r="AO88" i="6"/>
  <c r="AO17" i="6"/>
  <c r="AO197" i="6"/>
  <c r="AO69" i="6"/>
  <c r="AO214" i="6"/>
  <c r="AO211" i="6"/>
  <c r="AO227" i="6"/>
  <c r="AO13" i="6"/>
  <c r="AO124" i="6"/>
  <c r="AO182" i="6"/>
  <c r="AO166" i="6"/>
  <c r="U121" i="6"/>
  <c r="U100" i="6"/>
  <c r="U171" i="6"/>
  <c r="U224" i="6"/>
  <c r="U15" i="6"/>
  <c r="U16" i="6"/>
  <c r="U168" i="6"/>
  <c r="U128" i="6"/>
  <c r="U11" i="6"/>
  <c r="U227" i="6"/>
  <c r="U60" i="6"/>
  <c r="U66" i="6"/>
  <c r="U124" i="6"/>
  <c r="U78" i="6"/>
  <c r="U35" i="6"/>
  <c r="U231" i="6"/>
  <c r="U146" i="6"/>
  <c r="U164" i="6"/>
  <c r="U94" i="6"/>
  <c r="U217" i="6"/>
  <c r="U102" i="6"/>
  <c r="U88" i="6"/>
  <c r="U192" i="6"/>
  <c r="U114" i="6"/>
  <c r="N201" i="6"/>
  <c r="N131" i="6"/>
  <c r="N175" i="6"/>
  <c r="N49" i="6"/>
  <c r="N110" i="6"/>
  <c r="N119" i="6"/>
  <c r="N17" i="6"/>
  <c r="N197" i="6"/>
  <c r="N82" i="6"/>
  <c r="N48" i="6"/>
  <c r="N229" i="6"/>
  <c r="N185" i="6"/>
  <c r="N72" i="6"/>
  <c r="N216" i="6"/>
  <c r="N47" i="6"/>
  <c r="N145" i="6"/>
  <c r="N67" i="6"/>
  <c r="D77" i="6"/>
  <c r="D68" i="6"/>
  <c r="D80" i="6"/>
  <c r="D198" i="6"/>
  <c r="D206" i="6"/>
  <c r="D209" i="6"/>
  <c r="D122" i="6"/>
  <c r="D120" i="6"/>
  <c r="D219" i="6"/>
  <c r="D86" i="6"/>
  <c r="D152" i="6"/>
  <c r="D90" i="6"/>
  <c r="D183" i="6"/>
  <c r="D192" i="6"/>
  <c r="D185" i="6"/>
  <c r="D208" i="6"/>
  <c r="U45" i="6"/>
  <c r="D226" i="6"/>
  <c r="U219" i="6"/>
  <c r="N169" i="6"/>
  <c r="U175" i="6"/>
  <c r="D234" i="6"/>
  <c r="U225" i="6"/>
  <c r="D36" i="6"/>
  <c r="AO173" i="6"/>
  <c r="U14" i="6"/>
  <c r="D84" i="6"/>
  <c r="U44" i="6"/>
  <c r="D221" i="6"/>
  <c r="N173" i="6"/>
  <c r="U180" i="6"/>
  <c r="U129" i="6"/>
  <c r="N101" i="6"/>
  <c r="N116" i="6"/>
  <c r="AO29" i="6"/>
  <c r="D63" i="6"/>
  <c r="AO37" i="6"/>
  <c r="U23" i="6"/>
  <c r="N147" i="6"/>
  <c r="N227" i="6"/>
  <c r="D124" i="6"/>
  <c r="N32" i="6"/>
  <c r="U86" i="6"/>
  <c r="U233" i="6"/>
  <c r="U221" i="6"/>
  <c r="D191" i="6"/>
  <c r="D149" i="6"/>
  <c r="N103" i="6"/>
  <c r="AO65" i="6"/>
  <c r="D96" i="6"/>
  <c r="N146" i="6"/>
  <c r="D139" i="6"/>
  <c r="N36" i="6"/>
  <c r="AO85" i="6"/>
  <c r="AO81" i="6"/>
  <c r="N200" i="6"/>
  <c r="U207" i="6"/>
  <c r="U119" i="6"/>
  <c r="AO117" i="6"/>
  <c r="U215" i="6"/>
  <c r="AO48" i="6"/>
  <c r="U56" i="6"/>
  <c r="U46" i="6"/>
  <c r="AO68" i="6"/>
  <c r="D204" i="6"/>
  <c r="N153" i="6"/>
  <c r="D179" i="6"/>
  <c r="AO131" i="6"/>
  <c r="AO18" i="6"/>
  <c r="AO188" i="6"/>
  <c r="N211" i="6"/>
  <c r="D186" i="6"/>
  <c r="U61" i="6"/>
  <c r="U68" i="6"/>
  <c r="AO76" i="6"/>
  <c r="N202" i="6"/>
  <c r="AO101" i="6"/>
  <c r="N85" i="6"/>
  <c r="N129" i="6"/>
  <c r="N11" i="6"/>
  <c r="N208" i="6"/>
  <c r="AO77" i="6"/>
  <c r="D127" i="6"/>
  <c r="D123" i="6"/>
  <c r="AO161" i="6"/>
  <c r="AO119" i="6"/>
  <c r="AO226" i="6"/>
  <c r="N139" i="6"/>
  <c r="U49" i="6"/>
  <c r="N192" i="6"/>
  <c r="D200" i="6"/>
  <c r="D11" i="6"/>
  <c r="AO136" i="6"/>
  <c r="AO84" i="6"/>
  <c r="AO191" i="6"/>
  <c r="N74" i="6"/>
  <c r="U72" i="6"/>
  <c r="AO41" i="6"/>
  <c r="U126" i="6"/>
  <c r="N107" i="6"/>
  <c r="U200" i="6"/>
  <c r="U22" i="6"/>
  <c r="AO95" i="6"/>
  <c r="U149" i="6"/>
  <c r="N148" i="6"/>
  <c r="D79" i="6"/>
  <c r="AO217" i="6"/>
  <c r="U136" i="6"/>
  <c r="U159" i="6"/>
  <c r="U47" i="6"/>
  <c r="AO229" i="6"/>
  <c r="D17" i="6"/>
  <c r="D19" i="6"/>
  <c r="D170" i="6"/>
  <c r="N65" i="6"/>
  <c r="D88" i="6"/>
  <c r="D196" i="6"/>
  <c r="D42" i="6"/>
  <c r="AO160" i="6"/>
  <c r="D205" i="6"/>
  <c r="N87" i="6"/>
  <c r="N161" i="6"/>
  <c r="D222" i="6"/>
  <c r="N218" i="6"/>
  <c r="AO23" i="6"/>
  <c r="D74" i="6"/>
  <c r="AO172" i="6"/>
  <c r="N207" i="6"/>
  <c r="N167" i="6"/>
  <c r="N194" i="6"/>
  <c r="AO143" i="6"/>
  <c r="U201" i="6"/>
  <c r="D72" i="6"/>
  <c r="U27" i="6"/>
  <c r="U122" i="6"/>
  <c r="AO125" i="6"/>
  <c r="D40" i="6"/>
  <c r="D103" i="6"/>
  <c r="D121" i="6"/>
  <c r="AO103" i="6"/>
  <c r="N114" i="6"/>
  <c r="U17" i="6"/>
  <c r="U204" i="6"/>
  <c r="U198" i="6"/>
  <c r="D190" i="6"/>
  <c r="AO205" i="6"/>
  <c r="U36" i="6"/>
  <c r="U161" i="6"/>
  <c r="N117" i="6"/>
  <c r="AO56" i="6"/>
  <c r="D38" i="6"/>
  <c r="AO33" i="6"/>
  <c r="AO102" i="6"/>
  <c r="AO40" i="6"/>
  <c r="D99" i="6"/>
  <c r="N155" i="6"/>
  <c r="N34" i="6"/>
  <c r="N196" i="6"/>
  <c r="U157" i="6"/>
  <c r="U130" i="6"/>
  <c r="N165" i="6"/>
  <c r="D130" i="6"/>
  <c r="U190" i="6"/>
  <c r="U98" i="6"/>
  <c r="D173" i="6"/>
  <c r="AO132" i="6"/>
  <c r="U118" i="6"/>
  <c r="AO162" i="6"/>
  <c r="AO53" i="6"/>
  <c r="U84" i="6"/>
  <c r="D144" i="6"/>
  <c r="U104" i="6"/>
  <c r="AO195" i="6"/>
  <c r="D57" i="6"/>
  <c r="N158" i="6"/>
  <c r="D24" i="6"/>
  <c r="AO138" i="6"/>
  <c r="U76" i="6"/>
  <c r="AO233" i="6"/>
  <c r="N186" i="6"/>
  <c r="AO204" i="6"/>
  <c r="N66" i="6"/>
  <c r="D33" i="6"/>
  <c r="D128" i="6"/>
  <c r="U134" i="6"/>
  <c r="D175" i="6"/>
  <c r="D156" i="6"/>
  <c r="N130" i="6"/>
  <c r="D31" i="6"/>
  <c r="AO139" i="6"/>
  <c r="U63" i="6"/>
  <c r="AO107" i="6"/>
  <c r="U116" i="6"/>
  <c r="N76" i="6"/>
  <c r="AO152" i="6"/>
  <c r="N159" i="6"/>
  <c r="AO128" i="6"/>
  <c r="U38" i="6"/>
  <c r="AO87" i="6"/>
  <c r="N223" i="6"/>
  <c r="U152" i="6"/>
  <c r="AO110" i="6"/>
  <c r="D133" i="6"/>
  <c r="N160" i="6"/>
  <c r="U179" i="6"/>
  <c r="U139" i="6"/>
  <c r="AO19" i="6"/>
  <c r="N171" i="6"/>
  <c r="D135" i="6"/>
  <c r="U131" i="6"/>
  <c r="N20" i="6"/>
  <c r="U30" i="6"/>
  <c r="AO198" i="6"/>
  <c r="AO180" i="6"/>
  <c r="AO169" i="6"/>
  <c r="D53" i="6"/>
  <c r="AO206" i="6"/>
  <c r="U187" i="6"/>
  <c r="N39" i="6"/>
  <c r="AO39" i="6"/>
  <c r="AO184" i="6"/>
  <c r="U87" i="6"/>
  <c r="U80" i="6"/>
  <c r="N89" i="6"/>
  <c r="D171" i="6"/>
  <c r="U138" i="6"/>
  <c r="D169" i="6"/>
  <c r="U135" i="6"/>
  <c r="D101" i="6"/>
  <c r="N203" i="6"/>
  <c r="U202" i="6"/>
  <c r="U117" i="6"/>
  <c r="N177" i="6"/>
  <c r="N125" i="6"/>
  <c r="U147" i="6"/>
  <c r="AO120" i="6"/>
  <c r="N193" i="6"/>
  <c r="D83" i="6"/>
  <c r="N168" i="6"/>
  <c r="AO83" i="6"/>
  <c r="U153" i="6"/>
  <c r="N100" i="6"/>
  <c r="N61" i="6"/>
  <c r="N78" i="6"/>
  <c r="N144" i="6"/>
  <c r="D203" i="6"/>
  <c r="U193" i="6"/>
  <c r="U167" i="6"/>
  <c r="D115" i="6"/>
  <c r="D76" i="6"/>
  <c r="U184" i="6"/>
  <c r="U90" i="6"/>
  <c r="D60" i="6"/>
  <c r="N180" i="6"/>
  <c r="U183" i="6"/>
  <c r="D164" i="6"/>
  <c r="AE6" i="6"/>
  <c r="AE3" i="6"/>
  <c r="AE2" i="6"/>
  <c r="AE4" i="6"/>
  <c r="AE5" i="6"/>
  <c r="AE1" i="6"/>
  <c r="N172" i="6"/>
  <c r="D85" i="6"/>
  <c r="N204" i="6"/>
  <c r="AO200" i="6"/>
  <c r="D22" i="6"/>
  <c r="D167" i="6"/>
  <c r="AO38" i="6"/>
  <c r="D184" i="6"/>
  <c r="AO170" i="6"/>
  <c r="U77" i="6"/>
  <c r="N24" i="6"/>
  <c r="U19" i="6"/>
  <c r="AO126" i="6"/>
  <c r="U186" i="6"/>
  <c r="N88" i="6"/>
  <c r="N35" i="6"/>
  <c r="D158" i="6"/>
  <c r="U120" i="6"/>
  <c r="AO133" i="6"/>
  <c r="U205" i="6"/>
  <c r="N33" i="6"/>
  <c r="U191" i="6"/>
  <c r="U103" i="6"/>
  <c r="D118" i="6"/>
  <c r="AO147" i="6"/>
  <c r="N13" i="6"/>
  <c r="N77" i="6"/>
  <c r="AO157" i="6"/>
  <c r="U189" i="6"/>
  <c r="AO207" i="6"/>
  <c r="U143" i="6"/>
  <c r="N124" i="6"/>
  <c r="D92" i="6"/>
  <c r="D161" i="6"/>
  <c r="U172" i="6"/>
  <c r="AO104" i="6"/>
  <c r="N40" i="6"/>
  <c r="U110" i="6"/>
  <c r="N41" i="6"/>
  <c r="U33" i="6"/>
  <c r="U32" i="6"/>
  <c r="N102" i="6"/>
  <c r="D143" i="6"/>
  <c r="AO192" i="6"/>
  <c r="D125" i="6"/>
  <c r="N42" i="6"/>
  <c r="U169" i="6"/>
  <c r="D131" i="6"/>
  <c r="N86" i="6"/>
  <c r="U160" i="6"/>
  <c r="N149" i="6"/>
  <c r="D98" i="6"/>
  <c r="U42" i="6"/>
  <c r="N142" i="6"/>
  <c r="D153" i="6"/>
  <c r="N120" i="6"/>
  <c r="AO63" i="6"/>
  <c r="BB4" i="6"/>
  <c r="BB3" i="6"/>
  <c r="BB2" i="6"/>
  <c r="BB5" i="6"/>
  <c r="BB1" i="6"/>
  <c r="BB6" i="6"/>
  <c r="AO80" i="6"/>
  <c r="AO26" i="6"/>
  <c r="AO60" i="6"/>
  <c r="AO30" i="6"/>
  <c r="D18" i="6"/>
  <c r="D97" i="6"/>
  <c r="D132" i="6"/>
  <c r="N53" i="6"/>
  <c r="D201" i="6"/>
  <c r="N79" i="6"/>
  <c r="D207" i="6"/>
  <c r="D116" i="6"/>
  <c r="N15" i="6"/>
  <c r="U133" i="6"/>
  <c r="D145" i="6"/>
  <c r="U173" i="6"/>
  <c r="U48" i="6"/>
  <c r="D138" i="6"/>
  <c r="AO149" i="6"/>
  <c r="U39" i="6"/>
  <c r="AO121" i="6"/>
  <c r="N99" i="6"/>
  <c r="D15" i="6"/>
  <c r="N132" i="6"/>
  <c r="U142" i="6"/>
  <c r="AO196" i="6"/>
  <c r="AO27" i="6"/>
  <c r="AO34" i="6"/>
  <c r="U5" i="6" l="1"/>
  <c r="AO6" i="6"/>
  <c r="U6" i="6"/>
  <c r="N3" i="6"/>
  <c r="AO1" i="6"/>
  <c r="U2" i="6"/>
  <c r="AO5" i="6"/>
  <c r="U4" i="6"/>
  <c r="AO3" i="6"/>
  <c r="U3" i="6"/>
  <c r="AO4" i="6"/>
  <c r="AO2" i="6"/>
  <c r="N5" i="6"/>
  <c r="N4" i="6"/>
  <c r="N2" i="6"/>
  <c r="U1" i="6"/>
  <c r="N1" i="6"/>
  <c r="N6" i="6"/>
  <c r="K14" i="6"/>
  <c r="D14" i="6" s="1"/>
  <c r="D4" i="6" l="1"/>
  <c r="D3" i="6"/>
  <c r="D6" i="6"/>
  <c r="D2" i="6"/>
  <c r="D5" i="6"/>
  <c r="D1" i="6"/>
  <c r="K2" i="13"/>
  <c r="C12" i="13" s="1"/>
  <c r="V142" i="5"/>
  <c r="AS960" i="4" s="1"/>
  <c r="V166" i="5"/>
  <c r="AS984" i="4" s="1"/>
  <c r="V150" i="5"/>
  <c r="AS968" i="4" s="1"/>
  <c r="V203" i="5"/>
  <c r="AS1021" i="4" s="1"/>
  <c r="V135" i="5"/>
  <c r="AS953" i="4" s="1"/>
  <c r="V167" i="5"/>
  <c r="AS985" i="4" s="1"/>
  <c r="V106" i="5"/>
  <c r="AS924" i="4" s="1"/>
  <c r="V48" i="5"/>
  <c r="AS866" i="4" s="1"/>
  <c r="V50" i="5"/>
  <c r="AS868" i="4" s="1"/>
  <c r="V130" i="5"/>
  <c r="AS948" i="4" s="1"/>
  <c r="V59" i="5"/>
  <c r="AS877" i="4" s="1"/>
  <c r="V171" i="5"/>
  <c r="AS989" i="4" s="1"/>
  <c r="V182" i="5"/>
  <c r="AS1000" i="4" s="1"/>
  <c r="V58" i="5"/>
  <c r="AS876" i="4" s="1"/>
  <c r="V89" i="5"/>
  <c r="AS907" i="4" s="1"/>
  <c r="V169" i="5"/>
  <c r="AS987" i="4" s="1"/>
  <c r="V22" i="5"/>
  <c r="AS840" i="4" s="1"/>
  <c r="V129" i="5"/>
  <c r="AS947" i="4" s="1"/>
  <c r="V95" i="5"/>
  <c r="AS913" i="4" s="1"/>
  <c r="V31" i="5"/>
  <c r="AS849" i="4" s="1"/>
  <c r="V101" i="5"/>
  <c r="AS919" i="4" s="1"/>
  <c r="V51" i="5"/>
  <c r="AS869" i="4" s="1"/>
  <c r="V125" i="5"/>
  <c r="AS943" i="4" s="1"/>
  <c r="V78" i="5"/>
  <c r="AS896" i="4" s="1"/>
  <c r="V27" i="5"/>
  <c r="AS845" i="4" s="1"/>
  <c r="V131" i="5"/>
  <c r="AS949" i="4" s="1"/>
  <c r="V111" i="5"/>
  <c r="AS929" i="4" s="1"/>
  <c r="V55" i="5"/>
  <c r="AS873" i="4" s="1"/>
  <c r="V189" i="5"/>
  <c r="AS1007" i="4" s="1"/>
  <c r="V105" i="5"/>
  <c r="AS923" i="4" s="1"/>
  <c r="V44" i="5"/>
  <c r="AS862" i="4" s="1"/>
  <c r="V191" i="5"/>
  <c r="AS1009" i="4" s="1"/>
  <c r="V170" i="5"/>
  <c r="AS988" i="4" s="1"/>
  <c r="V61" i="5"/>
  <c r="AS879" i="4" s="1"/>
  <c r="V211" i="5"/>
  <c r="AS1029" i="4" s="1"/>
  <c r="V64" i="5"/>
  <c r="AS882" i="4" s="1"/>
  <c r="V153" i="5"/>
  <c r="AS971" i="4" s="1"/>
  <c r="V156" i="5"/>
  <c r="AS974" i="4" s="1"/>
  <c r="V96" i="5"/>
  <c r="AS914" i="4" s="1"/>
  <c r="V123" i="5"/>
  <c r="AS941" i="4" s="1"/>
  <c r="V115" i="5"/>
  <c r="AS933" i="4" s="1"/>
  <c r="V164" i="5"/>
  <c r="AS982" i="4" s="1"/>
  <c r="V90" i="5"/>
  <c r="AS908" i="4" s="1"/>
  <c r="V180" i="5"/>
  <c r="AS998" i="4" s="1"/>
  <c r="V24" i="5"/>
  <c r="AS842" i="4" s="1"/>
  <c r="V45" i="5"/>
  <c r="AS863" i="4" s="1"/>
  <c r="V122" i="5"/>
  <c r="AS940" i="4" s="1"/>
  <c r="V154" i="5"/>
  <c r="AS972" i="4" s="1"/>
  <c r="V174" i="5"/>
  <c r="AS992" i="4" s="1"/>
  <c r="V99" i="5"/>
  <c r="AS917" i="4" s="1"/>
  <c r="V204" i="5"/>
  <c r="AS1022" i="4" s="1"/>
  <c r="V57" i="5"/>
  <c r="AS875" i="4" s="1"/>
  <c r="V113" i="5"/>
  <c r="AS931" i="4" s="1"/>
  <c r="V134" i="5"/>
  <c r="AS952" i="4" s="1"/>
  <c r="V83" i="5"/>
  <c r="AS901" i="4" s="1"/>
  <c r="V175" i="5"/>
  <c r="AS993" i="4" s="1"/>
  <c r="V39" i="5"/>
  <c r="AS857" i="4" s="1"/>
  <c r="V184" i="5"/>
  <c r="AS1002" i="4" s="1"/>
  <c r="V32" i="5"/>
  <c r="AS850" i="4" s="1"/>
  <c r="V84" i="5"/>
  <c r="AS902" i="4" s="1"/>
  <c r="V136" i="5"/>
  <c r="AS954" i="4" s="1"/>
  <c r="V209" i="5"/>
  <c r="AS1027" i="4" s="1"/>
  <c r="V29" i="5"/>
  <c r="AS847" i="4" s="1"/>
  <c r="V187" i="5"/>
  <c r="AS1005" i="4" s="1"/>
  <c r="V146" i="5"/>
  <c r="AS964" i="4" s="1"/>
  <c r="V38" i="5"/>
  <c r="AS856" i="4" s="1"/>
  <c r="V30" i="5"/>
  <c r="AS848" i="4" s="1"/>
  <c r="V94" i="5"/>
  <c r="AS912" i="4" s="1"/>
  <c r="V199" i="5"/>
  <c r="AS1017" i="4" s="1"/>
  <c r="V103" i="5"/>
  <c r="AS921" i="4" s="1"/>
  <c r="V207" i="5"/>
  <c r="AS1025" i="4" s="1"/>
  <c r="V118" i="5"/>
  <c r="AS936" i="4" s="1"/>
  <c r="V145" i="5"/>
  <c r="AS963" i="4" s="1"/>
  <c r="V40" i="5"/>
  <c r="AS858" i="4" s="1"/>
  <c r="V85" i="5"/>
  <c r="AS903" i="4" s="1"/>
  <c r="V176" i="5"/>
  <c r="AS994" i="4" s="1"/>
  <c r="V212" i="5"/>
  <c r="AS1030" i="4" s="1"/>
  <c r="V181" i="5"/>
  <c r="AS999" i="4" s="1"/>
  <c r="V161" i="5"/>
  <c r="AS979" i="4" s="1"/>
  <c r="V92" i="5"/>
  <c r="AS910" i="4" s="1"/>
  <c r="V25" i="5"/>
  <c r="AS843" i="4" s="1"/>
  <c r="V152" i="5"/>
  <c r="AS970" i="4" s="1"/>
  <c r="V75" i="5"/>
  <c r="AS893" i="4" s="1"/>
  <c r="V190" i="5"/>
  <c r="AS1008" i="4" s="1"/>
  <c r="V73" i="5"/>
  <c r="AS891" i="4" s="1"/>
  <c r="V194" i="5"/>
  <c r="AS1012" i="4" s="1"/>
  <c r="V108" i="5"/>
  <c r="AS926" i="4" s="1"/>
  <c r="V137" i="5"/>
  <c r="AS955" i="4" s="1"/>
  <c r="V151" i="5"/>
  <c r="AS969" i="4" s="1"/>
  <c r="V60" i="5"/>
  <c r="AS878" i="4" s="1"/>
  <c r="V97" i="5"/>
  <c r="AS915" i="4" s="1"/>
  <c r="V197" i="5"/>
  <c r="AS1015" i="4" s="1"/>
  <c r="V121" i="5"/>
  <c r="AS939" i="4" s="1"/>
  <c r="V155" i="5"/>
  <c r="AS973" i="4" s="1"/>
  <c r="V36" i="5"/>
  <c r="AS854" i="4" s="1"/>
  <c r="V149" i="5"/>
  <c r="AS967" i="4" s="1"/>
  <c r="V183" i="5"/>
  <c r="AS1001" i="4" s="1"/>
  <c r="V143" i="5"/>
  <c r="AS961" i="4" s="1"/>
  <c r="V141" i="5"/>
  <c r="AS959" i="4" s="1"/>
  <c r="V28" i="5"/>
  <c r="AS846" i="4" s="1"/>
  <c r="V128" i="5"/>
  <c r="AS946" i="4" s="1"/>
  <c r="V76" i="5"/>
  <c r="AS894" i="4" s="1"/>
  <c r="V52" i="5"/>
  <c r="AS870" i="4" s="1"/>
  <c r="V66" i="5"/>
  <c r="AS884" i="4" s="1"/>
  <c r="V178" i="5"/>
  <c r="AS996" i="4" s="1"/>
  <c r="V67" i="5"/>
  <c r="AS885" i="4" s="1"/>
  <c r="V200" i="5"/>
  <c r="AS1018" i="4" s="1"/>
  <c r="V54" i="5"/>
  <c r="AS872" i="4" s="1"/>
  <c r="V80" i="5"/>
  <c r="AS898" i="4" s="1"/>
  <c r="V140" i="5"/>
  <c r="AS958" i="4" s="1"/>
  <c r="V210" i="5"/>
  <c r="AS1028" i="4" s="1"/>
  <c r="V47" i="5"/>
  <c r="AS865" i="4" s="1"/>
  <c r="V195" i="5"/>
  <c r="AS1013" i="4" s="1"/>
  <c r="V157" i="5"/>
  <c r="AS975" i="4" s="1"/>
  <c r="V107" i="5"/>
  <c r="AS925" i="4" s="1"/>
  <c r="V112" i="5"/>
  <c r="AS930" i="4" s="1"/>
  <c r="V198" i="5"/>
  <c r="AS1016" i="4" s="1"/>
  <c r="V165" i="5"/>
  <c r="AS983" i="4" s="1"/>
  <c r="V124" i="5"/>
  <c r="AS942" i="4" s="1"/>
  <c r="V20" i="5"/>
  <c r="AS838" i="4" s="1"/>
  <c r="V49" i="5"/>
  <c r="AS867" i="4" s="1"/>
  <c r="V147" i="5"/>
  <c r="AS965" i="4" s="1"/>
  <c r="V88" i="5"/>
  <c r="AS906" i="4" s="1"/>
  <c r="V34" i="5"/>
  <c r="AS852" i="4" s="1"/>
  <c r="V206" i="5"/>
  <c r="AS1024" i="4" s="1"/>
  <c r="V117" i="5"/>
  <c r="AS935" i="4" s="1"/>
  <c r="V172" i="5"/>
  <c r="AS990" i="4" s="1"/>
  <c r="V56" i="5"/>
  <c r="AS874" i="4" s="1"/>
  <c r="V63" i="5"/>
  <c r="AS881" i="4" s="1"/>
  <c r="V74" i="5"/>
  <c r="AS892" i="4" s="1"/>
  <c r="V193" i="5"/>
  <c r="AS1011" i="4" s="1"/>
  <c r="V104" i="5"/>
  <c r="AS922" i="4" s="1"/>
  <c r="V100" i="5"/>
  <c r="AS918" i="4" s="1"/>
  <c r="V148" i="5"/>
  <c r="AS966" i="4" s="1"/>
  <c r="V79" i="5"/>
  <c r="AS897" i="4" s="1"/>
  <c r="V202" i="5"/>
  <c r="AS1020" i="4" s="1"/>
  <c r="V68" i="5"/>
  <c r="AS886" i="4" s="1"/>
  <c r="V185" i="5"/>
  <c r="AS1003" i="4" s="1"/>
  <c r="V16" i="5"/>
  <c r="AS834" i="4" s="1"/>
  <c r="V116" i="5"/>
  <c r="AS934" i="4" s="1"/>
  <c r="V102" i="5"/>
  <c r="AS920" i="4" s="1"/>
  <c r="V162" i="5"/>
  <c r="AS980" i="4" s="1"/>
  <c r="V173" i="5"/>
  <c r="AS991" i="4" s="1"/>
  <c r="V37" i="5"/>
  <c r="AS855" i="4" s="1"/>
  <c r="V98" i="5"/>
  <c r="AS916" i="4" s="1"/>
  <c r="V26" i="5"/>
  <c r="AS844" i="4" s="1"/>
  <c r="V19" i="5"/>
  <c r="AS837" i="4" s="1"/>
  <c r="V201" i="5"/>
  <c r="AS1019" i="4" s="1"/>
  <c r="V21" i="5"/>
  <c r="AS839" i="4" s="1"/>
  <c r="V160" i="5"/>
  <c r="AS978" i="4" s="1"/>
  <c r="V46" i="5"/>
  <c r="AS864" i="4" s="1"/>
  <c r="V109" i="5"/>
  <c r="AS927" i="4" s="1"/>
  <c r="V192" i="5"/>
  <c r="AS1010" i="4" s="1"/>
  <c r="V53" i="5"/>
  <c r="AS871" i="4" s="1"/>
  <c r="V138" i="5"/>
  <c r="AS956" i="4" s="1"/>
  <c r="V86" i="5"/>
  <c r="AS904" i="4" s="1"/>
  <c r="V91" i="5"/>
  <c r="AS909" i="4" s="1"/>
  <c r="V127" i="5"/>
  <c r="AS945" i="4" s="1"/>
  <c r="V205" i="5"/>
  <c r="AS1023" i="4" s="1"/>
  <c r="V43" i="5"/>
  <c r="AS861" i="4" s="1"/>
  <c r="V168" i="5"/>
  <c r="AS986" i="4" s="1"/>
  <c r="V33" i="5"/>
  <c r="AS851" i="4" s="1"/>
  <c r="V82" i="5"/>
  <c r="AS900" i="4" s="1"/>
  <c r="V159" i="5"/>
  <c r="AS977" i="4" s="1"/>
  <c r="V120" i="5"/>
  <c r="AS938" i="4" s="1"/>
  <c r="V18" i="5"/>
  <c r="AS836" i="4" s="1"/>
  <c r="V17" i="5"/>
  <c r="AS835" i="4" s="1"/>
  <c r="V177" i="5"/>
  <c r="AS995" i="4" s="1"/>
  <c r="V163" i="5"/>
  <c r="AS981" i="4" s="1"/>
  <c r="V41" i="5"/>
  <c r="AS859" i="4" s="1"/>
  <c r="V179" i="5"/>
  <c r="AS997" i="4" s="1"/>
  <c r="V144" i="5"/>
  <c r="AS962" i="4" s="1"/>
  <c r="V65" i="5"/>
  <c r="AS883" i="4" s="1"/>
  <c r="V35" i="5"/>
  <c r="AS853" i="4" s="1"/>
  <c r="V133" i="5"/>
  <c r="AS951" i="4" s="1"/>
  <c r="V196" i="5"/>
  <c r="AS1014" i="4" s="1"/>
  <c r="V93" i="5"/>
  <c r="AS911" i="4" s="1"/>
  <c r="V188" i="5"/>
  <c r="AS1006" i="4" s="1"/>
  <c r="V158" i="5"/>
  <c r="AS976" i="4" s="1"/>
  <c r="V72" i="5"/>
  <c r="AS890" i="4" s="1"/>
  <c r="V213" i="5"/>
  <c r="AS1031" i="4" s="1"/>
  <c r="V87" i="5"/>
  <c r="AS905" i="4" s="1"/>
  <c r="V62" i="5"/>
  <c r="AS880" i="4" s="1"/>
  <c r="V132" i="5"/>
  <c r="AS950" i="4" s="1"/>
  <c r="V70" i="5"/>
  <c r="AS888" i="4" s="1"/>
  <c r="V71" i="5"/>
  <c r="AS889" i="4" s="1"/>
  <c r="V114" i="5"/>
  <c r="AS932" i="4" s="1"/>
  <c r="V139" i="5"/>
  <c r="AS957" i="4" s="1"/>
  <c r="V23" i="5"/>
  <c r="AS841" i="4" s="1"/>
  <c r="V208" i="5"/>
  <c r="AS1026" i="4" s="1"/>
  <c r="V42" i="5"/>
  <c r="AS860" i="4" s="1"/>
  <c r="V126" i="5"/>
  <c r="AS944" i="4" s="1"/>
  <c r="V119" i="5"/>
  <c r="AS937" i="4" s="1"/>
  <c r="V81" i="5"/>
  <c r="AS899" i="4" s="1"/>
  <c r="V77" i="5"/>
  <c r="AS895" i="4" s="1"/>
  <c r="V69" i="5"/>
  <c r="AS887" i="4" s="1"/>
  <c r="V186" i="5"/>
  <c r="AS1004" i="4" s="1"/>
  <c r="D826" i="4" l="1" a="1"/>
  <c r="D826" i="4" s="1"/>
  <c r="D15" i="13" s="1"/>
  <c r="D825" i="4" a="1"/>
  <c r="D825" i="4" s="1"/>
  <c r="AD834" i="4"/>
  <c r="AD846" i="4"/>
  <c r="AD858" i="4"/>
  <c r="AD870" i="4"/>
  <c r="AD882" i="4"/>
  <c r="AD894" i="4"/>
  <c r="AD906" i="4"/>
  <c r="AD918" i="4"/>
  <c r="AD930" i="4"/>
  <c r="AD942" i="4"/>
  <c r="AD954" i="4"/>
  <c r="AD966" i="4"/>
  <c r="AD978" i="4"/>
  <c r="AD990" i="4"/>
  <c r="AD1002" i="4"/>
  <c r="AD1014" i="4"/>
  <c r="AD1026" i="4"/>
  <c r="AD835" i="4"/>
  <c r="AD847" i="4"/>
  <c r="AD859" i="4"/>
  <c r="AD871" i="4"/>
  <c r="AD883" i="4"/>
  <c r="AD895" i="4"/>
  <c r="AD907" i="4"/>
  <c r="AD919" i="4"/>
  <c r="AD931" i="4"/>
  <c r="AD943" i="4"/>
  <c r="AD955" i="4"/>
  <c r="AD967" i="4"/>
  <c r="AD979" i="4"/>
  <c r="AD991" i="4"/>
  <c r="AD1003" i="4"/>
  <c r="AD1015" i="4"/>
  <c r="AD1027" i="4"/>
  <c r="AD836" i="4"/>
  <c r="AD848" i="4"/>
  <c r="AD860" i="4"/>
  <c r="AD872" i="4"/>
  <c r="AD884" i="4"/>
  <c r="AD896" i="4"/>
  <c r="AD908" i="4"/>
  <c r="AD920" i="4"/>
  <c r="AD932" i="4"/>
  <c r="AD944" i="4"/>
  <c r="AD956" i="4"/>
  <c r="AD968" i="4"/>
  <c r="AD980" i="4"/>
  <c r="AD992" i="4"/>
  <c r="AD1004" i="4"/>
  <c r="AD1016" i="4"/>
  <c r="AD1028" i="4"/>
  <c r="AD837" i="4"/>
  <c r="AD849" i="4"/>
  <c r="AD861" i="4"/>
  <c r="AD873" i="4"/>
  <c r="AD885" i="4"/>
  <c r="AD897" i="4"/>
  <c r="AD909" i="4"/>
  <c r="AD921" i="4"/>
  <c r="AD933" i="4"/>
  <c r="AD945" i="4"/>
  <c r="AD957" i="4"/>
  <c r="AD969" i="4"/>
  <c r="AD981" i="4"/>
  <c r="AD993" i="4"/>
  <c r="AD1005" i="4"/>
  <c r="AD1017" i="4"/>
  <c r="AD1029" i="4"/>
  <c r="AD838" i="4"/>
  <c r="AD850" i="4"/>
  <c r="AD862" i="4"/>
  <c r="AD874" i="4"/>
  <c r="AD886" i="4"/>
  <c r="AD898" i="4"/>
  <c r="AD910" i="4"/>
  <c r="AD922" i="4"/>
  <c r="AD934" i="4"/>
  <c r="AD946" i="4"/>
  <c r="AD958" i="4"/>
  <c r="AD970" i="4"/>
  <c r="AD982" i="4"/>
  <c r="AD994" i="4"/>
  <c r="AD1006" i="4"/>
  <c r="AD1018" i="4"/>
  <c r="AD1030" i="4"/>
  <c r="AD839" i="4"/>
  <c r="AD856" i="4"/>
  <c r="AD878" i="4"/>
  <c r="AD900" i="4"/>
  <c r="AD917" i="4"/>
  <c r="AD939" i="4"/>
  <c r="AD961" i="4"/>
  <c r="AD983" i="4"/>
  <c r="AD1000" i="4"/>
  <c r="AD1022" i="4"/>
  <c r="AD840" i="4"/>
  <c r="AD857" i="4"/>
  <c r="AD879" i="4"/>
  <c r="AD901" i="4"/>
  <c r="AD923" i="4"/>
  <c r="AD940" i="4"/>
  <c r="AD962" i="4"/>
  <c r="AD984" i="4"/>
  <c r="AD1001" i="4"/>
  <c r="AD1023" i="4"/>
  <c r="AD841" i="4"/>
  <c r="AD863" i="4"/>
  <c r="AD880" i="4"/>
  <c r="AD902" i="4"/>
  <c r="AD924" i="4"/>
  <c r="AD941" i="4"/>
  <c r="AD963" i="4"/>
  <c r="AD985" i="4"/>
  <c r="AD1007" i="4"/>
  <c r="AD1024" i="4"/>
  <c r="AD842" i="4"/>
  <c r="AD864" i="4"/>
  <c r="AD881" i="4"/>
  <c r="AD903" i="4"/>
  <c r="AD925" i="4"/>
  <c r="AD947" i="4"/>
  <c r="AD964" i="4"/>
  <c r="AD986" i="4"/>
  <c r="AD1008" i="4"/>
  <c r="AD1025" i="4"/>
  <c r="AD843" i="4"/>
  <c r="AD865" i="4"/>
  <c r="AD887" i="4"/>
  <c r="AD904" i="4"/>
  <c r="AD926" i="4"/>
  <c r="AD948" i="4"/>
  <c r="AD965" i="4"/>
  <c r="AD987" i="4"/>
  <c r="AD1009" i="4"/>
  <c r="AD1031" i="4"/>
  <c r="AD844" i="4"/>
  <c r="AD866" i="4"/>
  <c r="AD888" i="4"/>
  <c r="AD905" i="4"/>
  <c r="AD927" i="4"/>
  <c r="AD949" i="4"/>
  <c r="AD971" i="4"/>
  <c r="AD988" i="4"/>
  <c r="AD1010" i="4"/>
  <c r="AD845" i="4"/>
  <c r="AD867" i="4"/>
  <c r="AD889" i="4"/>
  <c r="AD911" i="4"/>
  <c r="AD928" i="4"/>
  <c r="AD950" i="4"/>
  <c r="AD972" i="4"/>
  <c r="AD989" i="4"/>
  <c r="AD1011" i="4"/>
  <c r="AD851" i="4"/>
  <c r="AD868" i="4"/>
  <c r="AD890" i="4"/>
  <c r="AD912" i="4"/>
  <c r="AD929" i="4"/>
  <c r="AD951" i="4"/>
  <c r="AD973" i="4"/>
  <c r="AD995" i="4"/>
  <c r="AD1012" i="4"/>
  <c r="AD852" i="4"/>
  <c r="AD869" i="4"/>
  <c r="AD891" i="4"/>
  <c r="AD913" i="4"/>
  <c r="AD935" i="4"/>
  <c r="AD952" i="4"/>
  <c r="AD974" i="4"/>
  <c r="AD996" i="4"/>
  <c r="AD1013" i="4"/>
  <c r="AD853" i="4"/>
  <c r="AD875" i="4"/>
  <c r="AD892" i="4"/>
  <c r="AD914" i="4"/>
  <c r="AD936" i="4"/>
  <c r="AD953" i="4"/>
  <c r="AD975" i="4"/>
  <c r="AD997" i="4"/>
  <c r="AD1019" i="4"/>
  <c r="AD854" i="4"/>
  <c r="AD876" i="4"/>
  <c r="AD893" i="4"/>
  <c r="AD915" i="4"/>
  <c r="AD937" i="4"/>
  <c r="AD959" i="4"/>
  <c r="AD976" i="4"/>
  <c r="AD998" i="4"/>
  <c r="AD1020" i="4"/>
  <c r="AD855" i="4"/>
  <c r="AD877" i="4"/>
  <c r="AD899" i="4"/>
  <c r="AD916" i="4"/>
  <c r="AD938" i="4"/>
  <c r="AD960" i="4"/>
  <c r="AD977" i="4"/>
  <c r="AD999" i="4"/>
  <c r="AD1021" i="4"/>
  <c r="AA834" i="4"/>
  <c r="AA846" i="4"/>
  <c r="AA858" i="4"/>
  <c r="AA870" i="4"/>
  <c r="AA882" i="4"/>
  <c r="AA894" i="4"/>
  <c r="AA906" i="4"/>
  <c r="AA918" i="4"/>
  <c r="AA930" i="4"/>
  <c r="AA942" i="4"/>
  <c r="AA954" i="4"/>
  <c r="AA966" i="4"/>
  <c r="AA978" i="4"/>
  <c r="AA990" i="4"/>
  <c r="AA1002" i="4"/>
  <c r="AA1014" i="4"/>
  <c r="AA1026" i="4"/>
  <c r="AA835" i="4"/>
  <c r="AA847" i="4"/>
  <c r="AA859" i="4"/>
  <c r="AA871" i="4"/>
  <c r="AA883" i="4"/>
  <c r="AA895" i="4"/>
  <c r="AA907" i="4"/>
  <c r="AA919" i="4"/>
  <c r="AA931" i="4"/>
  <c r="AA943" i="4"/>
  <c r="AA955" i="4"/>
  <c r="AA967" i="4"/>
  <c r="AA979" i="4"/>
  <c r="AA991" i="4"/>
  <c r="AA1003" i="4"/>
  <c r="AA1015" i="4"/>
  <c r="AA1027" i="4"/>
  <c r="AA836" i="4"/>
  <c r="AA848" i="4"/>
  <c r="AA860" i="4"/>
  <c r="AA872" i="4"/>
  <c r="AA884" i="4"/>
  <c r="AA896" i="4"/>
  <c r="AA908" i="4"/>
  <c r="AA920" i="4"/>
  <c r="AA932" i="4"/>
  <c r="AA944" i="4"/>
  <c r="AA956" i="4"/>
  <c r="AA968" i="4"/>
  <c r="AA980" i="4"/>
  <c r="AA992" i="4"/>
  <c r="AA1004" i="4"/>
  <c r="AA1016" i="4"/>
  <c r="AA1028" i="4"/>
  <c r="AA837" i="4"/>
  <c r="AA849" i="4"/>
  <c r="AA861" i="4"/>
  <c r="AA873" i="4"/>
  <c r="AA885" i="4"/>
  <c r="AA897" i="4"/>
  <c r="AA909" i="4"/>
  <c r="AA921" i="4"/>
  <c r="AA933" i="4"/>
  <c r="AA945" i="4"/>
  <c r="AA957" i="4"/>
  <c r="AA969" i="4"/>
  <c r="AA981" i="4"/>
  <c r="AA993" i="4"/>
  <c r="AA1005" i="4"/>
  <c r="AA1017" i="4"/>
  <c r="AA1029" i="4"/>
  <c r="AA838" i="4"/>
  <c r="AA850" i="4"/>
  <c r="AA862" i="4"/>
  <c r="AA874" i="4"/>
  <c r="AA886" i="4"/>
  <c r="AA898" i="4"/>
  <c r="AA910" i="4"/>
  <c r="AA922" i="4"/>
  <c r="AA934" i="4"/>
  <c r="AA946" i="4"/>
  <c r="AA958" i="4"/>
  <c r="AA970" i="4"/>
  <c r="AA982" i="4"/>
  <c r="AA994" i="4"/>
  <c r="AA1006" i="4"/>
  <c r="AA1018" i="4"/>
  <c r="AA1030" i="4"/>
  <c r="AA839" i="4"/>
  <c r="AA856" i="4"/>
  <c r="AA878" i="4"/>
  <c r="AA900" i="4"/>
  <c r="AA917" i="4"/>
  <c r="AA939" i="4"/>
  <c r="AA961" i="4"/>
  <c r="AA983" i="4"/>
  <c r="AA1000" i="4"/>
  <c r="AA1022" i="4"/>
  <c r="AA840" i="4"/>
  <c r="AA857" i="4"/>
  <c r="AA879" i="4"/>
  <c r="AA901" i="4"/>
  <c r="AA923" i="4"/>
  <c r="AA940" i="4"/>
  <c r="AA962" i="4"/>
  <c r="AA984" i="4"/>
  <c r="AA1001" i="4"/>
  <c r="AA1023" i="4"/>
  <c r="AA841" i="4"/>
  <c r="AA863" i="4"/>
  <c r="AA880" i="4"/>
  <c r="AA902" i="4"/>
  <c r="AA924" i="4"/>
  <c r="AA941" i="4"/>
  <c r="AA963" i="4"/>
  <c r="AA985" i="4"/>
  <c r="AA1007" i="4"/>
  <c r="AA1024" i="4"/>
  <c r="AA842" i="4"/>
  <c r="AA864" i="4"/>
  <c r="AA881" i="4"/>
  <c r="AA903" i="4"/>
  <c r="AA925" i="4"/>
  <c r="AA947" i="4"/>
  <c r="AA964" i="4"/>
  <c r="AA986" i="4"/>
  <c r="AA1008" i="4"/>
  <c r="AA1025" i="4"/>
  <c r="AA843" i="4"/>
  <c r="AA865" i="4"/>
  <c r="AA887" i="4"/>
  <c r="AA904" i="4"/>
  <c r="AA926" i="4"/>
  <c r="AA948" i="4"/>
  <c r="AA965" i="4"/>
  <c r="AA987" i="4"/>
  <c r="AA1009" i="4"/>
  <c r="AA1031" i="4"/>
  <c r="AA844" i="4"/>
  <c r="AA866" i="4"/>
  <c r="AA888" i="4"/>
  <c r="AA905" i="4"/>
  <c r="AA927" i="4"/>
  <c r="AA949" i="4"/>
  <c r="AA971" i="4"/>
  <c r="AA988" i="4"/>
  <c r="AA1010" i="4"/>
  <c r="AA845" i="4"/>
  <c r="AA867" i="4"/>
  <c r="AA889" i="4"/>
  <c r="AA911" i="4"/>
  <c r="AA928" i="4"/>
  <c r="AA950" i="4"/>
  <c r="AA972" i="4"/>
  <c r="AA989" i="4"/>
  <c r="AA1011" i="4"/>
  <c r="AA851" i="4"/>
  <c r="AA868" i="4"/>
  <c r="AA890" i="4"/>
  <c r="AA912" i="4"/>
  <c r="AA929" i="4"/>
  <c r="AA951" i="4"/>
  <c r="AA973" i="4"/>
  <c r="AA995" i="4"/>
  <c r="AA1012" i="4"/>
  <c r="AA852" i="4"/>
  <c r="AA869" i="4"/>
  <c r="AA891" i="4"/>
  <c r="AA913" i="4"/>
  <c r="AA935" i="4"/>
  <c r="AA952" i="4"/>
  <c r="AA974" i="4"/>
  <c r="AA996" i="4"/>
  <c r="AA1013" i="4"/>
  <c r="AA853" i="4"/>
  <c r="AA875" i="4"/>
  <c r="AA892" i="4"/>
  <c r="AA914" i="4"/>
  <c r="AA936" i="4"/>
  <c r="AA953" i="4"/>
  <c r="AA975" i="4"/>
  <c r="AA997" i="4"/>
  <c r="AA1019" i="4"/>
  <c r="AA854" i="4"/>
  <c r="AA876" i="4"/>
  <c r="AA893" i="4"/>
  <c r="AA915" i="4"/>
  <c r="AA937" i="4"/>
  <c r="AA959" i="4"/>
  <c r="AA976" i="4"/>
  <c r="AA998" i="4"/>
  <c r="AA1020" i="4"/>
  <c r="AA855" i="4"/>
  <c r="AA877" i="4"/>
  <c r="AA899" i="4"/>
  <c r="AA916" i="4"/>
  <c r="AA938" i="4"/>
  <c r="AA960" i="4"/>
  <c r="AA977" i="4"/>
  <c r="AA999" i="4"/>
  <c r="AA1021" i="4"/>
  <c r="X834" i="4"/>
  <c r="X846" i="4"/>
  <c r="X858" i="4"/>
  <c r="X870" i="4"/>
  <c r="X882" i="4"/>
  <c r="X894" i="4"/>
  <c r="X906" i="4"/>
  <c r="X918" i="4"/>
  <c r="X930" i="4"/>
  <c r="X942" i="4"/>
  <c r="X954" i="4"/>
  <c r="X966" i="4"/>
  <c r="X978" i="4"/>
  <c r="X990" i="4"/>
  <c r="X1002" i="4"/>
  <c r="X1014" i="4"/>
  <c r="X1026" i="4"/>
  <c r="X979" i="4"/>
  <c r="X1003" i="4"/>
  <c r="X1027" i="4"/>
  <c r="X1028" i="4"/>
  <c r="X1029" i="4"/>
  <c r="X841" i="4"/>
  <c r="X913" i="4"/>
  <c r="X937" i="4"/>
  <c r="X997" i="4"/>
  <c r="X854" i="4"/>
  <c r="X926" i="4"/>
  <c r="X950" i="4"/>
  <c r="X1010" i="4"/>
  <c r="X843" i="4"/>
  <c r="X927" i="4"/>
  <c r="X951" i="4"/>
  <c r="X975" i="4"/>
  <c r="X844" i="4"/>
  <c r="X916" i="4"/>
  <c r="X940" i="4"/>
  <c r="X976" i="4"/>
  <c r="X845" i="4"/>
  <c r="X917" i="4"/>
  <c r="X941" i="4"/>
  <c r="X965" i="4"/>
  <c r="X977" i="4"/>
  <c r="X835" i="4"/>
  <c r="X847" i="4"/>
  <c r="X859" i="4"/>
  <c r="X871" i="4"/>
  <c r="X883" i="4"/>
  <c r="X895" i="4"/>
  <c r="X907" i="4"/>
  <c r="X919" i="4"/>
  <c r="X931" i="4"/>
  <c r="X943" i="4"/>
  <c r="X955" i="4"/>
  <c r="X967" i="4"/>
  <c r="X991" i="4"/>
  <c r="X1015" i="4"/>
  <c r="X865" i="4"/>
  <c r="X961" i="4"/>
  <c r="X866" i="4"/>
  <c r="X962" i="4"/>
  <c r="X879" i="4"/>
  <c r="X1011" i="4"/>
  <c r="X904" i="4"/>
  <c r="X1024" i="4"/>
  <c r="X881" i="4"/>
  <c r="X1013" i="4"/>
  <c r="X836" i="4"/>
  <c r="X848" i="4"/>
  <c r="X860" i="4"/>
  <c r="X872" i="4"/>
  <c r="X884" i="4"/>
  <c r="X896" i="4"/>
  <c r="X908" i="4"/>
  <c r="X920" i="4"/>
  <c r="X932" i="4"/>
  <c r="X944" i="4"/>
  <c r="X956" i="4"/>
  <c r="X968" i="4"/>
  <c r="X980" i="4"/>
  <c r="X992" i="4"/>
  <c r="X1004" i="4"/>
  <c r="X1016" i="4"/>
  <c r="X853" i="4"/>
  <c r="X985" i="4"/>
  <c r="X890" i="4"/>
  <c r="X986" i="4"/>
  <c r="X891" i="4"/>
  <c r="X987" i="4"/>
  <c r="X880" i="4"/>
  <c r="X1012" i="4"/>
  <c r="X905" i="4"/>
  <c r="X837" i="4"/>
  <c r="X849" i="4"/>
  <c r="X861" i="4"/>
  <c r="X873" i="4"/>
  <c r="X885" i="4"/>
  <c r="X897" i="4"/>
  <c r="X909" i="4"/>
  <c r="X921" i="4"/>
  <c r="X933" i="4"/>
  <c r="X945" i="4"/>
  <c r="X957" i="4"/>
  <c r="X969" i="4"/>
  <c r="X981" i="4"/>
  <c r="X993" i="4"/>
  <c r="X1005" i="4"/>
  <c r="X1017" i="4"/>
  <c r="X877" i="4"/>
  <c r="X973" i="4"/>
  <c r="X878" i="4"/>
  <c r="X974" i="4"/>
  <c r="X867" i="4"/>
  <c r="X999" i="4"/>
  <c r="X892" i="4"/>
  <c r="X1000" i="4"/>
  <c r="X893" i="4"/>
  <c r="X1025" i="4"/>
  <c r="X838" i="4"/>
  <c r="X850" i="4"/>
  <c r="X862" i="4"/>
  <c r="X874" i="4"/>
  <c r="X886" i="4"/>
  <c r="X898" i="4"/>
  <c r="X910" i="4"/>
  <c r="X922" i="4"/>
  <c r="X934" i="4"/>
  <c r="X946" i="4"/>
  <c r="X958" i="4"/>
  <c r="X970" i="4"/>
  <c r="X982" i="4"/>
  <c r="X994" i="4"/>
  <c r="X1006" i="4"/>
  <c r="X1018" i="4"/>
  <c r="X1030" i="4"/>
  <c r="X852" i="4"/>
  <c r="X912" i="4"/>
  <c r="X948" i="4"/>
  <c r="X984" i="4"/>
  <c r="X1020" i="4"/>
  <c r="X901" i="4"/>
  <c r="X1021" i="4"/>
  <c r="X902" i="4"/>
  <c r="X1022" i="4"/>
  <c r="X903" i="4"/>
  <c r="X856" i="4"/>
  <c r="X964" i="4"/>
  <c r="X869" i="4"/>
  <c r="X1001" i="4"/>
  <c r="X839" i="4"/>
  <c r="X851" i="4"/>
  <c r="X863" i="4"/>
  <c r="X875" i="4"/>
  <c r="X887" i="4"/>
  <c r="X899" i="4"/>
  <c r="X911" i="4"/>
  <c r="X923" i="4"/>
  <c r="X935" i="4"/>
  <c r="X947" i="4"/>
  <c r="X959" i="4"/>
  <c r="X971" i="4"/>
  <c r="X983" i="4"/>
  <c r="X995" i="4"/>
  <c r="X1007" i="4"/>
  <c r="X1019" i="4"/>
  <c r="X1031" i="4"/>
  <c r="X840" i="4"/>
  <c r="X864" i="4"/>
  <c r="X876" i="4"/>
  <c r="X888" i="4"/>
  <c r="X900" i="4"/>
  <c r="X924" i="4"/>
  <c r="X936" i="4"/>
  <c r="X960" i="4"/>
  <c r="X972" i="4"/>
  <c r="X996" i="4"/>
  <c r="X1008" i="4"/>
  <c r="X889" i="4"/>
  <c r="X925" i="4"/>
  <c r="X949" i="4"/>
  <c r="X1009" i="4"/>
  <c r="X842" i="4"/>
  <c r="X914" i="4"/>
  <c r="X938" i="4"/>
  <c r="X998" i="4"/>
  <c r="X855" i="4"/>
  <c r="X915" i="4"/>
  <c r="X939" i="4"/>
  <c r="X963" i="4"/>
  <c r="X1023" i="4"/>
  <c r="X868" i="4"/>
  <c r="X928" i="4"/>
  <c r="X952" i="4"/>
  <c r="X988" i="4"/>
  <c r="X857" i="4"/>
  <c r="X929" i="4"/>
  <c r="X953" i="4"/>
  <c r="X989" i="4"/>
  <c r="U834" i="4"/>
  <c r="U846" i="4"/>
  <c r="U858" i="4"/>
  <c r="U870" i="4"/>
  <c r="U882" i="4"/>
  <c r="U894" i="4"/>
  <c r="U906" i="4"/>
  <c r="U918" i="4"/>
  <c r="U930" i="4"/>
  <c r="U942" i="4"/>
  <c r="U954" i="4"/>
  <c r="U966" i="4"/>
  <c r="U978" i="4"/>
  <c r="U990" i="4"/>
  <c r="U1002" i="4"/>
  <c r="U1014" i="4"/>
  <c r="U1026" i="4"/>
  <c r="U835" i="4"/>
  <c r="U847" i="4"/>
  <c r="U859" i="4"/>
  <c r="U871" i="4"/>
  <c r="U883" i="4"/>
  <c r="U895" i="4"/>
  <c r="U907" i="4"/>
  <c r="U919" i="4"/>
  <c r="U931" i="4"/>
  <c r="U943" i="4"/>
  <c r="U955" i="4"/>
  <c r="U967" i="4"/>
  <c r="U979" i="4"/>
  <c r="U991" i="4"/>
  <c r="U1003" i="4"/>
  <c r="U1015" i="4"/>
  <c r="U1027" i="4"/>
  <c r="U836" i="4"/>
  <c r="U848" i="4"/>
  <c r="U860" i="4"/>
  <c r="U872" i="4"/>
  <c r="U884" i="4"/>
  <c r="U896" i="4"/>
  <c r="U908" i="4"/>
  <c r="U920" i="4"/>
  <c r="U932" i="4"/>
  <c r="U944" i="4"/>
  <c r="U956" i="4"/>
  <c r="U968" i="4"/>
  <c r="U980" i="4"/>
  <c r="U992" i="4"/>
  <c r="U1004" i="4"/>
  <c r="U1016" i="4"/>
  <c r="U1028" i="4"/>
  <c r="U837" i="4"/>
  <c r="U849" i="4"/>
  <c r="U861" i="4"/>
  <c r="U873" i="4"/>
  <c r="U885" i="4"/>
  <c r="U897" i="4"/>
  <c r="U909" i="4"/>
  <c r="U921" i="4"/>
  <c r="U933" i="4"/>
  <c r="U945" i="4"/>
  <c r="U957" i="4"/>
  <c r="U969" i="4"/>
  <c r="U981" i="4"/>
  <c r="U993" i="4"/>
  <c r="U1005" i="4"/>
  <c r="U1017" i="4"/>
  <c r="U1029" i="4"/>
  <c r="U838" i="4"/>
  <c r="U850" i="4"/>
  <c r="U862" i="4"/>
  <c r="U874" i="4"/>
  <c r="U886" i="4"/>
  <c r="U898" i="4"/>
  <c r="U910" i="4"/>
  <c r="U922" i="4"/>
  <c r="U934" i="4"/>
  <c r="U946" i="4"/>
  <c r="U958" i="4"/>
  <c r="U970" i="4"/>
  <c r="U982" i="4"/>
  <c r="U994" i="4"/>
  <c r="U1006" i="4"/>
  <c r="U1018" i="4"/>
  <c r="U1030" i="4"/>
  <c r="U839" i="4"/>
  <c r="U851" i="4"/>
  <c r="U863" i="4"/>
  <c r="U875" i="4"/>
  <c r="U887" i="4"/>
  <c r="U899" i="4"/>
  <c r="U911" i="4"/>
  <c r="U923" i="4"/>
  <c r="U935" i="4"/>
  <c r="U947" i="4"/>
  <c r="U959" i="4"/>
  <c r="U971" i="4"/>
  <c r="U983" i="4"/>
  <c r="U995" i="4"/>
  <c r="U1007" i="4"/>
  <c r="U1019" i="4"/>
  <c r="U1031" i="4"/>
  <c r="U840" i="4"/>
  <c r="U852" i="4"/>
  <c r="U864" i="4"/>
  <c r="U876" i="4"/>
  <c r="U888" i="4"/>
  <c r="U900" i="4"/>
  <c r="U912" i="4"/>
  <c r="U924" i="4"/>
  <c r="U936" i="4"/>
  <c r="U948" i="4"/>
  <c r="U960" i="4"/>
  <c r="U972" i="4"/>
  <c r="U984" i="4"/>
  <c r="U996" i="4"/>
  <c r="U1008" i="4"/>
  <c r="U1020" i="4"/>
  <c r="U841" i="4"/>
  <c r="U853" i="4"/>
  <c r="U865" i="4"/>
  <c r="U877" i="4"/>
  <c r="U889" i="4"/>
  <c r="U901" i="4"/>
  <c r="U913" i="4"/>
  <c r="U925" i="4"/>
  <c r="U937" i="4"/>
  <c r="U949" i="4"/>
  <c r="U961" i="4"/>
  <c r="U973" i="4"/>
  <c r="U985" i="4"/>
  <c r="U997" i="4"/>
  <c r="U1009" i="4"/>
  <c r="U1021" i="4"/>
  <c r="U842" i="4"/>
  <c r="U854" i="4"/>
  <c r="U866" i="4"/>
  <c r="U878" i="4"/>
  <c r="U890" i="4"/>
  <c r="U902" i="4"/>
  <c r="U914" i="4"/>
  <c r="U843" i="4"/>
  <c r="U891" i="4"/>
  <c r="U929" i="4"/>
  <c r="U965" i="4"/>
  <c r="U1001" i="4"/>
  <c r="U893" i="4"/>
  <c r="U1011" i="4"/>
  <c r="U903" i="4"/>
  <c r="U1012" i="4"/>
  <c r="U904" i="4"/>
  <c r="U1013" i="4"/>
  <c r="U905" i="4"/>
  <c r="U1022" i="4"/>
  <c r="U915" i="4"/>
  <c r="U1023" i="4"/>
  <c r="U916" i="4"/>
  <c r="U1024" i="4"/>
  <c r="U917" i="4"/>
  <c r="U879" i="4"/>
  <c r="U880" i="4"/>
  <c r="U881" i="4"/>
  <c r="U1000" i="4"/>
  <c r="U844" i="4"/>
  <c r="U892" i="4"/>
  <c r="U938" i="4"/>
  <c r="U974" i="4"/>
  <c r="U1010" i="4"/>
  <c r="U845" i="4"/>
  <c r="U939" i="4"/>
  <c r="U975" i="4"/>
  <c r="U855" i="4"/>
  <c r="U940" i="4"/>
  <c r="U976" i="4"/>
  <c r="U856" i="4"/>
  <c r="U941" i="4"/>
  <c r="U977" i="4"/>
  <c r="U857" i="4"/>
  <c r="U950" i="4"/>
  <c r="U986" i="4"/>
  <c r="U867" i="4"/>
  <c r="U951" i="4"/>
  <c r="U987" i="4"/>
  <c r="U868" i="4"/>
  <c r="U952" i="4"/>
  <c r="U988" i="4"/>
  <c r="U869" i="4"/>
  <c r="U953" i="4"/>
  <c r="U989" i="4"/>
  <c r="U1025" i="4"/>
  <c r="U926" i="4"/>
  <c r="U962" i="4"/>
  <c r="U998" i="4"/>
  <c r="U927" i="4"/>
  <c r="U963" i="4"/>
  <c r="U999" i="4"/>
  <c r="U928" i="4"/>
  <c r="U964" i="4"/>
  <c r="R834" i="4"/>
  <c r="R846" i="4"/>
  <c r="R858" i="4"/>
  <c r="R870" i="4"/>
  <c r="R882" i="4"/>
  <c r="R894" i="4"/>
  <c r="R906" i="4"/>
  <c r="R918" i="4"/>
  <c r="R930" i="4"/>
  <c r="R942" i="4"/>
  <c r="R954" i="4"/>
  <c r="R966" i="4"/>
  <c r="R978" i="4"/>
  <c r="R990" i="4"/>
  <c r="R1002" i="4"/>
  <c r="R1014" i="4"/>
  <c r="R1026" i="4"/>
  <c r="R848" i="4"/>
  <c r="R872" i="4"/>
  <c r="R896" i="4"/>
  <c r="R920" i="4"/>
  <c r="R944" i="4"/>
  <c r="R968" i="4"/>
  <c r="R992" i="4"/>
  <c r="R1016" i="4"/>
  <c r="R849" i="4"/>
  <c r="R873" i="4"/>
  <c r="R897" i="4"/>
  <c r="R921" i="4"/>
  <c r="R957" i="4"/>
  <c r="R981" i="4"/>
  <c r="R1005" i="4"/>
  <c r="R1017" i="4"/>
  <c r="R1029" i="4"/>
  <c r="R850" i="4"/>
  <c r="R886" i="4"/>
  <c r="R898" i="4"/>
  <c r="R922" i="4"/>
  <c r="R958" i="4"/>
  <c r="R982" i="4"/>
  <c r="R1006" i="4"/>
  <c r="R1030" i="4"/>
  <c r="R851" i="4"/>
  <c r="R887" i="4"/>
  <c r="R911" i="4"/>
  <c r="R935" i="4"/>
  <c r="R959" i="4"/>
  <c r="R983" i="4"/>
  <c r="R1019" i="4"/>
  <c r="R840" i="4"/>
  <c r="R876" i="4"/>
  <c r="R900" i="4"/>
  <c r="R924" i="4"/>
  <c r="R948" i="4"/>
  <c r="R972" i="4"/>
  <c r="R996" i="4"/>
  <c r="R1020" i="4"/>
  <c r="R853" i="4"/>
  <c r="R889" i="4"/>
  <c r="R925" i="4"/>
  <c r="R949" i="4"/>
  <c r="R973" i="4"/>
  <c r="R997" i="4"/>
  <c r="R1021" i="4"/>
  <c r="R854" i="4"/>
  <c r="R890" i="4"/>
  <c r="R914" i="4"/>
  <c r="R938" i="4"/>
  <c r="R962" i="4"/>
  <c r="R986" i="4"/>
  <c r="R1010" i="4"/>
  <c r="R855" i="4"/>
  <c r="R879" i="4"/>
  <c r="R903" i="4"/>
  <c r="R927" i="4"/>
  <c r="R951" i="4"/>
  <c r="R975" i="4"/>
  <c r="R835" i="4"/>
  <c r="R847" i="4"/>
  <c r="R859" i="4"/>
  <c r="R871" i="4"/>
  <c r="R883" i="4"/>
  <c r="R895" i="4"/>
  <c r="R907" i="4"/>
  <c r="R919" i="4"/>
  <c r="R931" i="4"/>
  <c r="R943" i="4"/>
  <c r="R955" i="4"/>
  <c r="R967" i="4"/>
  <c r="R979" i="4"/>
  <c r="R991" i="4"/>
  <c r="R1003" i="4"/>
  <c r="R1015" i="4"/>
  <c r="R1027" i="4"/>
  <c r="R836" i="4"/>
  <c r="R860" i="4"/>
  <c r="R884" i="4"/>
  <c r="R908" i="4"/>
  <c r="R932" i="4"/>
  <c r="R956" i="4"/>
  <c r="R980" i="4"/>
  <c r="R1004" i="4"/>
  <c r="R1028" i="4"/>
  <c r="R837" i="4"/>
  <c r="R861" i="4"/>
  <c r="R885" i="4"/>
  <c r="R909" i="4"/>
  <c r="R933" i="4"/>
  <c r="R945" i="4"/>
  <c r="R969" i="4"/>
  <c r="R993" i="4"/>
  <c r="R838" i="4"/>
  <c r="R862" i="4"/>
  <c r="R874" i="4"/>
  <c r="R910" i="4"/>
  <c r="R934" i="4"/>
  <c r="R946" i="4"/>
  <c r="R970" i="4"/>
  <c r="R994" i="4"/>
  <c r="R1018" i="4"/>
  <c r="R839" i="4"/>
  <c r="R863" i="4"/>
  <c r="R875" i="4"/>
  <c r="R899" i="4"/>
  <c r="R923" i="4"/>
  <c r="R947" i="4"/>
  <c r="R971" i="4"/>
  <c r="R995" i="4"/>
  <c r="R1007" i="4"/>
  <c r="R1031" i="4"/>
  <c r="R852" i="4"/>
  <c r="R864" i="4"/>
  <c r="R888" i="4"/>
  <c r="R912" i="4"/>
  <c r="R936" i="4"/>
  <c r="R960" i="4"/>
  <c r="R984" i="4"/>
  <c r="R1008" i="4"/>
  <c r="R841" i="4"/>
  <c r="R865" i="4"/>
  <c r="R877" i="4"/>
  <c r="R901" i="4"/>
  <c r="R913" i="4"/>
  <c r="R937" i="4"/>
  <c r="R961" i="4"/>
  <c r="R985" i="4"/>
  <c r="R1009" i="4"/>
  <c r="R842" i="4"/>
  <c r="R866" i="4"/>
  <c r="R878" i="4"/>
  <c r="R902" i="4"/>
  <c r="R926" i="4"/>
  <c r="R950" i="4"/>
  <c r="R974" i="4"/>
  <c r="R998" i="4"/>
  <c r="R1022" i="4"/>
  <c r="R843" i="4"/>
  <c r="R867" i="4"/>
  <c r="R891" i="4"/>
  <c r="R915" i="4"/>
  <c r="R939" i="4"/>
  <c r="R963" i="4"/>
  <c r="R844" i="4"/>
  <c r="R916" i="4"/>
  <c r="R987" i="4"/>
  <c r="R845" i="4"/>
  <c r="R917" i="4"/>
  <c r="R988" i="4"/>
  <c r="R856" i="4"/>
  <c r="R928" i="4"/>
  <c r="R989" i="4"/>
  <c r="R857" i="4"/>
  <c r="R929" i="4"/>
  <c r="R999" i="4"/>
  <c r="R868" i="4"/>
  <c r="R940" i="4"/>
  <c r="R1000" i="4"/>
  <c r="R869" i="4"/>
  <c r="R941" i="4"/>
  <c r="R1001" i="4"/>
  <c r="R880" i="4"/>
  <c r="R952" i="4"/>
  <c r="R1011" i="4"/>
  <c r="R881" i="4"/>
  <c r="R953" i="4"/>
  <c r="R1012" i="4"/>
  <c r="R892" i="4"/>
  <c r="R964" i="4"/>
  <c r="R1013" i="4"/>
  <c r="R893" i="4"/>
  <c r="R965" i="4"/>
  <c r="R1023" i="4"/>
  <c r="R904" i="4"/>
  <c r="R976" i="4"/>
  <c r="R1024" i="4"/>
  <c r="R905" i="4"/>
  <c r="R977" i="4"/>
  <c r="R1025" i="4"/>
  <c r="O834" i="4"/>
  <c r="O846" i="4"/>
  <c r="O858" i="4"/>
  <c r="O870" i="4"/>
  <c r="O882" i="4"/>
  <c r="O894" i="4"/>
  <c r="O906" i="4"/>
  <c r="O918" i="4"/>
  <c r="O930" i="4"/>
  <c r="O942" i="4"/>
  <c r="O954" i="4"/>
  <c r="O966" i="4"/>
  <c r="O978" i="4"/>
  <c r="O990" i="4"/>
  <c r="O1002" i="4"/>
  <c r="O1014" i="4"/>
  <c r="O1026" i="4"/>
  <c r="O945" i="4"/>
  <c r="O1017" i="4"/>
  <c r="O862" i="4"/>
  <c r="O910" i="4"/>
  <c r="O970" i="4"/>
  <c r="O1006" i="4"/>
  <c r="O863" i="4"/>
  <c r="O923" i="4"/>
  <c r="O971" i="4"/>
  <c r="O1019" i="4"/>
  <c r="O864" i="4"/>
  <c r="O936" i="4"/>
  <c r="O972" i="4"/>
  <c r="O865" i="4"/>
  <c r="O913" i="4"/>
  <c r="O973" i="4"/>
  <c r="O854" i="4"/>
  <c r="O914" i="4"/>
  <c r="O974" i="4"/>
  <c r="O1010" i="4"/>
  <c r="O867" i="4"/>
  <c r="O951" i="4"/>
  <c r="O1011" i="4"/>
  <c r="O868" i="4"/>
  <c r="O916" i="4"/>
  <c r="O976" i="4"/>
  <c r="O857" i="4"/>
  <c r="O917" i="4"/>
  <c r="O977" i="4"/>
  <c r="O1013" i="4"/>
  <c r="O835" i="4"/>
  <c r="O847" i="4"/>
  <c r="O859" i="4"/>
  <c r="O871" i="4"/>
  <c r="O883" i="4"/>
  <c r="O895" i="4"/>
  <c r="O907" i="4"/>
  <c r="O919" i="4"/>
  <c r="O931" i="4"/>
  <c r="O943" i="4"/>
  <c r="O955" i="4"/>
  <c r="O967" i="4"/>
  <c r="O979" i="4"/>
  <c r="O991" i="4"/>
  <c r="O1003" i="4"/>
  <c r="O1015" i="4"/>
  <c r="O1027" i="4"/>
  <c r="O837" i="4"/>
  <c r="O873" i="4"/>
  <c r="O897" i="4"/>
  <c r="O921" i="4"/>
  <c r="O957" i="4"/>
  <c r="O981" i="4"/>
  <c r="O1005" i="4"/>
  <c r="O1029" i="4"/>
  <c r="O838" i="4"/>
  <c r="O886" i="4"/>
  <c r="O922" i="4"/>
  <c r="O946" i="4"/>
  <c r="O982" i="4"/>
  <c r="O1018" i="4"/>
  <c r="O851" i="4"/>
  <c r="O887" i="4"/>
  <c r="O911" i="4"/>
  <c r="O947" i="4"/>
  <c r="O983" i="4"/>
  <c r="O1007" i="4"/>
  <c r="O840" i="4"/>
  <c r="O888" i="4"/>
  <c r="O912" i="4"/>
  <c r="O948" i="4"/>
  <c r="O996" i="4"/>
  <c r="O1020" i="4"/>
  <c r="O853" i="4"/>
  <c r="O889" i="4"/>
  <c r="O925" i="4"/>
  <c r="O949" i="4"/>
  <c r="O985" i="4"/>
  <c r="O1009" i="4"/>
  <c r="O866" i="4"/>
  <c r="O890" i="4"/>
  <c r="O926" i="4"/>
  <c r="O962" i="4"/>
  <c r="O998" i="4"/>
  <c r="O843" i="4"/>
  <c r="O891" i="4"/>
  <c r="O915" i="4"/>
  <c r="O939" i="4"/>
  <c r="O975" i="4"/>
  <c r="O999" i="4"/>
  <c r="O856" i="4"/>
  <c r="O892" i="4"/>
  <c r="O928" i="4"/>
  <c r="O952" i="4"/>
  <c r="O1000" i="4"/>
  <c r="O1012" i="4"/>
  <c r="O869" i="4"/>
  <c r="O893" i="4"/>
  <c r="O929" i="4"/>
  <c r="O953" i="4"/>
  <c r="O989" i="4"/>
  <c r="O1025" i="4"/>
  <c r="O836" i="4"/>
  <c r="O848" i="4"/>
  <c r="O860" i="4"/>
  <c r="O872" i="4"/>
  <c r="O884" i="4"/>
  <c r="O896" i="4"/>
  <c r="O908" i="4"/>
  <c r="O920" i="4"/>
  <c r="O932" i="4"/>
  <c r="O944" i="4"/>
  <c r="O956" i="4"/>
  <c r="O968" i="4"/>
  <c r="O980" i="4"/>
  <c r="O992" i="4"/>
  <c r="O1004" i="4"/>
  <c r="O1016" i="4"/>
  <c r="O1028" i="4"/>
  <c r="O849" i="4"/>
  <c r="O861" i="4"/>
  <c r="O885" i="4"/>
  <c r="O909" i="4"/>
  <c r="O933" i="4"/>
  <c r="O969" i="4"/>
  <c r="O993" i="4"/>
  <c r="O850" i="4"/>
  <c r="O874" i="4"/>
  <c r="O898" i="4"/>
  <c r="O934" i="4"/>
  <c r="O958" i="4"/>
  <c r="O994" i="4"/>
  <c r="O1030" i="4"/>
  <c r="O839" i="4"/>
  <c r="O875" i="4"/>
  <c r="O899" i="4"/>
  <c r="O935" i="4"/>
  <c r="O959" i="4"/>
  <c r="O995" i="4"/>
  <c r="O1031" i="4"/>
  <c r="O852" i="4"/>
  <c r="O876" i="4"/>
  <c r="O900" i="4"/>
  <c r="O924" i="4"/>
  <c r="O960" i="4"/>
  <c r="O984" i="4"/>
  <c r="O1008" i="4"/>
  <c r="O841" i="4"/>
  <c r="O877" i="4"/>
  <c r="O901" i="4"/>
  <c r="O937" i="4"/>
  <c r="O961" i="4"/>
  <c r="O997" i="4"/>
  <c r="O1021" i="4"/>
  <c r="O842" i="4"/>
  <c r="O878" i="4"/>
  <c r="O902" i="4"/>
  <c r="O938" i="4"/>
  <c r="O950" i="4"/>
  <c r="O986" i="4"/>
  <c r="O1022" i="4"/>
  <c r="O855" i="4"/>
  <c r="O879" i="4"/>
  <c r="O903" i="4"/>
  <c r="O927" i="4"/>
  <c r="O963" i="4"/>
  <c r="O987" i="4"/>
  <c r="O1023" i="4"/>
  <c r="O844" i="4"/>
  <c r="O880" i="4"/>
  <c r="O904" i="4"/>
  <c r="O940" i="4"/>
  <c r="O964" i="4"/>
  <c r="O988" i="4"/>
  <c r="O1024" i="4"/>
  <c r="O845" i="4"/>
  <c r="O881" i="4"/>
  <c r="O905" i="4"/>
  <c r="O941" i="4"/>
  <c r="O965" i="4"/>
  <c r="O1001" i="4"/>
  <c r="L834" i="4"/>
  <c r="L846" i="4"/>
  <c r="L858" i="4"/>
  <c r="L870" i="4"/>
  <c r="L882" i="4"/>
  <c r="L894" i="4"/>
  <c r="L906" i="4"/>
  <c r="L918" i="4"/>
  <c r="L930" i="4"/>
  <c r="L942" i="4"/>
  <c r="L954" i="4"/>
  <c r="L966" i="4"/>
  <c r="L978" i="4"/>
  <c r="L990" i="4"/>
  <c r="L1002" i="4"/>
  <c r="L1014" i="4"/>
  <c r="L1026" i="4"/>
  <c r="L861" i="4"/>
  <c r="L945" i="4"/>
  <c r="L993" i="4"/>
  <c r="L850" i="4"/>
  <c r="L910" i="4"/>
  <c r="L946" i="4"/>
  <c r="L994" i="4"/>
  <c r="L1020" i="4"/>
  <c r="L877" i="4"/>
  <c r="L973" i="4"/>
  <c r="L866" i="4"/>
  <c r="L950" i="4"/>
  <c r="L1022" i="4"/>
  <c r="L879" i="4"/>
  <c r="L951" i="4"/>
  <c r="L999" i="4"/>
  <c r="L868" i="4"/>
  <c r="L952" i="4"/>
  <c r="L1012" i="4"/>
  <c r="L869" i="4"/>
  <c r="L977" i="4"/>
  <c r="L835" i="4"/>
  <c r="L847" i="4"/>
  <c r="L859" i="4"/>
  <c r="L871" i="4"/>
  <c r="L883" i="4"/>
  <c r="L895" i="4"/>
  <c r="L907" i="4"/>
  <c r="L919" i="4"/>
  <c r="L931" i="4"/>
  <c r="L943" i="4"/>
  <c r="L955" i="4"/>
  <c r="L967" i="4"/>
  <c r="L979" i="4"/>
  <c r="L991" i="4"/>
  <c r="L1003" i="4"/>
  <c r="L1015" i="4"/>
  <c r="L1027" i="4"/>
  <c r="L849" i="4"/>
  <c r="L873" i="4"/>
  <c r="L897" i="4"/>
  <c r="L921" i="4"/>
  <c r="L957" i="4"/>
  <c r="L981" i="4"/>
  <c r="L1017" i="4"/>
  <c r="L838" i="4"/>
  <c r="L874" i="4"/>
  <c r="L886" i="4"/>
  <c r="L922" i="4"/>
  <c r="L958" i="4"/>
  <c r="L982" i="4"/>
  <c r="L1018" i="4"/>
  <c r="L1008" i="4"/>
  <c r="L865" i="4"/>
  <c r="L901" i="4"/>
  <c r="L937" i="4"/>
  <c r="L961" i="4"/>
  <c r="L1009" i="4"/>
  <c r="L842" i="4"/>
  <c r="L890" i="4"/>
  <c r="L914" i="4"/>
  <c r="L962" i="4"/>
  <c r="L986" i="4"/>
  <c r="L1010" i="4"/>
  <c r="L855" i="4"/>
  <c r="L891" i="4"/>
  <c r="L915" i="4"/>
  <c r="L939" i="4"/>
  <c r="L987" i="4"/>
  <c r="L1011" i="4"/>
  <c r="L844" i="4"/>
  <c r="L892" i="4"/>
  <c r="L904" i="4"/>
  <c r="L928" i="4"/>
  <c r="L976" i="4"/>
  <c r="L1000" i="4"/>
  <c r="L845" i="4"/>
  <c r="L893" i="4"/>
  <c r="L917" i="4"/>
  <c r="L941" i="4"/>
  <c r="L989" i="4"/>
  <c r="L1013" i="4"/>
  <c r="L836" i="4"/>
  <c r="L848" i="4"/>
  <c r="L860" i="4"/>
  <c r="L872" i="4"/>
  <c r="L884" i="4"/>
  <c r="L896" i="4"/>
  <c r="L908" i="4"/>
  <c r="L920" i="4"/>
  <c r="L932" i="4"/>
  <c r="L944" i="4"/>
  <c r="L956" i="4"/>
  <c r="L968" i="4"/>
  <c r="L980" i="4"/>
  <c r="L992" i="4"/>
  <c r="L1004" i="4"/>
  <c r="L1016" i="4"/>
  <c r="L1028" i="4"/>
  <c r="L837" i="4"/>
  <c r="L885" i="4"/>
  <c r="L909" i="4"/>
  <c r="L933" i="4"/>
  <c r="L969" i="4"/>
  <c r="L1005" i="4"/>
  <c r="L1029" i="4"/>
  <c r="L862" i="4"/>
  <c r="L898" i="4"/>
  <c r="L934" i="4"/>
  <c r="L970" i="4"/>
  <c r="L1006" i="4"/>
  <c r="L1030" i="4"/>
  <c r="L841" i="4"/>
  <c r="L889" i="4"/>
  <c r="L913" i="4"/>
  <c r="L949" i="4"/>
  <c r="L997" i="4"/>
  <c r="L1021" i="4"/>
  <c r="L878" i="4"/>
  <c r="L902" i="4"/>
  <c r="L926" i="4"/>
  <c r="L974" i="4"/>
  <c r="L843" i="4"/>
  <c r="L903" i="4"/>
  <c r="L927" i="4"/>
  <c r="L975" i="4"/>
  <c r="L856" i="4"/>
  <c r="L916" i="4"/>
  <c r="L940" i="4"/>
  <c r="L988" i="4"/>
  <c r="L857" i="4"/>
  <c r="L905" i="4"/>
  <c r="L929" i="4"/>
  <c r="L953" i="4"/>
  <c r="L1001" i="4"/>
  <c r="L839" i="4"/>
  <c r="L851" i="4"/>
  <c r="L863" i="4"/>
  <c r="L875" i="4"/>
  <c r="L887" i="4"/>
  <c r="L899" i="4"/>
  <c r="L911" i="4"/>
  <c r="L923" i="4"/>
  <c r="L935" i="4"/>
  <c r="L947" i="4"/>
  <c r="L959" i="4"/>
  <c r="L971" i="4"/>
  <c r="L983" i="4"/>
  <c r="L995" i="4"/>
  <c r="L1007" i="4"/>
  <c r="L1019" i="4"/>
  <c r="L1031" i="4"/>
  <c r="L840" i="4"/>
  <c r="L852" i="4"/>
  <c r="L864" i="4"/>
  <c r="L876" i="4"/>
  <c r="L888" i="4"/>
  <c r="L900" i="4"/>
  <c r="L912" i="4"/>
  <c r="L924" i="4"/>
  <c r="L936" i="4"/>
  <c r="L948" i="4"/>
  <c r="L960" i="4"/>
  <c r="L972" i="4"/>
  <c r="L984" i="4"/>
  <c r="L996" i="4"/>
  <c r="L853" i="4"/>
  <c r="L925" i="4"/>
  <c r="L985" i="4"/>
  <c r="L854" i="4"/>
  <c r="L938" i="4"/>
  <c r="L998" i="4"/>
  <c r="L867" i="4"/>
  <c r="L963" i="4"/>
  <c r="L1023" i="4"/>
  <c r="L880" i="4"/>
  <c r="L964" i="4"/>
  <c r="L1024" i="4"/>
  <c r="L881" i="4"/>
  <c r="L965" i="4"/>
  <c r="L1025" i="4"/>
  <c r="I834" i="4"/>
  <c r="I846" i="4"/>
  <c r="I858" i="4"/>
  <c r="I870" i="4"/>
  <c r="I882" i="4"/>
  <c r="I894" i="4"/>
  <c r="I906" i="4"/>
  <c r="I918" i="4"/>
  <c r="I930" i="4"/>
  <c r="I942" i="4"/>
  <c r="I954" i="4"/>
  <c r="I966" i="4"/>
  <c r="I978" i="4"/>
  <c r="I990" i="4"/>
  <c r="I1002" i="4"/>
  <c r="I1014" i="4"/>
  <c r="I1026" i="4"/>
  <c r="I835" i="4"/>
  <c r="I847" i="4"/>
  <c r="I859" i="4"/>
  <c r="I871" i="4"/>
  <c r="I883" i="4"/>
  <c r="I895" i="4"/>
  <c r="I907" i="4"/>
  <c r="I919" i="4"/>
  <c r="I931" i="4"/>
  <c r="I943" i="4"/>
  <c r="I955" i="4"/>
  <c r="I967" i="4"/>
  <c r="I979" i="4"/>
  <c r="I991" i="4"/>
  <c r="I1003" i="4"/>
  <c r="I1015" i="4"/>
  <c r="I1027" i="4"/>
  <c r="I836" i="4"/>
  <c r="I848" i="4"/>
  <c r="I860" i="4"/>
  <c r="I872" i="4"/>
  <c r="I884" i="4"/>
  <c r="I896" i="4"/>
  <c r="I908" i="4"/>
  <c r="I920" i="4"/>
  <c r="I932" i="4"/>
  <c r="I944" i="4"/>
  <c r="I956" i="4"/>
  <c r="I968" i="4"/>
  <c r="I980" i="4"/>
  <c r="I992" i="4"/>
  <c r="I1004" i="4"/>
  <c r="I1016" i="4"/>
  <c r="I1028" i="4"/>
  <c r="I837" i="4"/>
  <c r="I849" i="4"/>
  <c r="I861" i="4"/>
  <c r="I873" i="4"/>
  <c r="I885" i="4"/>
  <c r="I897" i="4"/>
  <c r="I909" i="4"/>
  <c r="I921" i="4"/>
  <c r="I933" i="4"/>
  <c r="I945" i="4"/>
  <c r="I957" i="4"/>
  <c r="I969" i="4"/>
  <c r="I981" i="4"/>
  <c r="I993" i="4"/>
  <c r="I1005" i="4"/>
  <c r="I1017" i="4"/>
  <c r="I1029" i="4"/>
  <c r="I838" i="4"/>
  <c r="I850" i="4"/>
  <c r="I862" i="4"/>
  <c r="I874" i="4"/>
  <c r="I886" i="4"/>
  <c r="I898" i="4"/>
  <c r="I910" i="4"/>
  <c r="I922" i="4"/>
  <c r="I934" i="4"/>
  <c r="I946" i="4"/>
  <c r="I958" i="4"/>
  <c r="I839" i="4"/>
  <c r="I851" i="4"/>
  <c r="I863" i="4"/>
  <c r="I875" i="4"/>
  <c r="I887" i="4"/>
  <c r="I899" i="4"/>
  <c r="I911" i="4"/>
  <c r="I923" i="4"/>
  <c r="I935" i="4"/>
  <c r="I947" i="4"/>
  <c r="I959" i="4"/>
  <c r="I971" i="4"/>
  <c r="I983" i="4"/>
  <c r="I995" i="4"/>
  <c r="I1007" i="4"/>
  <c r="I1019" i="4"/>
  <c r="I1031" i="4"/>
  <c r="I840" i="4"/>
  <c r="I852" i="4"/>
  <c r="I864" i="4"/>
  <c r="I876" i="4"/>
  <c r="I888" i="4"/>
  <c r="I900" i="4"/>
  <c r="I912" i="4"/>
  <c r="I924" i="4"/>
  <c r="I936" i="4"/>
  <c r="I948" i="4"/>
  <c r="I960" i="4"/>
  <c r="I972" i="4"/>
  <c r="I984" i="4"/>
  <c r="I996" i="4"/>
  <c r="I1008" i="4"/>
  <c r="I1020" i="4"/>
  <c r="I841" i="4"/>
  <c r="I853" i="4"/>
  <c r="I865" i="4"/>
  <c r="I877" i="4"/>
  <c r="I889" i="4"/>
  <c r="I901" i="4"/>
  <c r="I913" i="4"/>
  <c r="I925" i="4"/>
  <c r="I937" i="4"/>
  <c r="I949" i="4"/>
  <c r="I961" i="4"/>
  <c r="I973" i="4"/>
  <c r="I985" i="4"/>
  <c r="I997" i="4"/>
  <c r="I1009" i="4"/>
  <c r="I1021" i="4"/>
  <c r="I842" i="4"/>
  <c r="I854" i="4"/>
  <c r="I866" i="4"/>
  <c r="I878" i="4"/>
  <c r="I890" i="4"/>
  <c r="I902" i="4"/>
  <c r="I914" i="4"/>
  <c r="I926" i="4"/>
  <c r="I938" i="4"/>
  <c r="I950" i="4"/>
  <c r="I962" i="4"/>
  <c r="I974" i="4"/>
  <c r="I986" i="4"/>
  <c r="I998" i="4"/>
  <c r="I1010" i="4"/>
  <c r="I1022" i="4"/>
  <c r="I843" i="4"/>
  <c r="I855" i="4"/>
  <c r="I867" i="4"/>
  <c r="I879" i="4"/>
  <c r="I891" i="4"/>
  <c r="I903" i="4"/>
  <c r="I915" i="4"/>
  <c r="I927" i="4"/>
  <c r="I939" i="4"/>
  <c r="I951" i="4"/>
  <c r="I963" i="4"/>
  <c r="I975" i="4"/>
  <c r="I987" i="4"/>
  <c r="I999" i="4"/>
  <c r="I1011" i="4"/>
  <c r="I1023" i="4"/>
  <c r="I844" i="4"/>
  <c r="I856" i="4"/>
  <c r="I868" i="4"/>
  <c r="I880" i="4"/>
  <c r="I845" i="4"/>
  <c r="I940" i="4"/>
  <c r="I994" i="4"/>
  <c r="I857" i="4"/>
  <c r="I941" i="4"/>
  <c r="I1000" i="4"/>
  <c r="I869" i="4"/>
  <c r="I952" i="4"/>
  <c r="I1001" i="4"/>
  <c r="I881" i="4"/>
  <c r="I953" i="4"/>
  <c r="I1006" i="4"/>
  <c r="I892" i="4"/>
  <c r="I964" i="4"/>
  <c r="I1012" i="4"/>
  <c r="I893" i="4"/>
  <c r="I965" i="4"/>
  <c r="I1013" i="4"/>
  <c r="I904" i="4"/>
  <c r="I970" i="4"/>
  <c r="I1018" i="4"/>
  <c r="I905" i="4"/>
  <c r="I976" i="4"/>
  <c r="I1024" i="4"/>
  <c r="I916" i="4"/>
  <c r="I977" i="4"/>
  <c r="I1025" i="4"/>
  <c r="I917" i="4"/>
  <c r="I982" i="4"/>
  <c r="I1030" i="4"/>
  <c r="I928" i="4"/>
  <c r="I988" i="4"/>
  <c r="I929" i="4"/>
  <c r="I989" i="4"/>
  <c r="F834" i="4"/>
  <c r="F846" i="4"/>
  <c r="F858" i="4"/>
  <c r="F870" i="4"/>
  <c r="F882" i="4"/>
  <c r="F894" i="4"/>
  <c r="F906" i="4"/>
  <c r="F918" i="4"/>
  <c r="F930" i="4"/>
  <c r="F942" i="4"/>
  <c r="F954" i="4"/>
  <c r="F966" i="4"/>
  <c r="F978" i="4"/>
  <c r="F990" i="4"/>
  <c r="F1002" i="4"/>
  <c r="F1014" i="4"/>
  <c r="F1026" i="4"/>
  <c r="F835" i="4"/>
  <c r="F847" i="4"/>
  <c r="F859" i="4"/>
  <c r="F871" i="4"/>
  <c r="F883" i="4"/>
  <c r="F895" i="4"/>
  <c r="F907" i="4"/>
  <c r="F919" i="4"/>
  <c r="F931" i="4"/>
  <c r="F943" i="4"/>
  <c r="F955" i="4"/>
  <c r="F967" i="4"/>
  <c r="F979" i="4"/>
  <c r="F991" i="4"/>
  <c r="F1003" i="4"/>
  <c r="F1015" i="4"/>
  <c r="F1027" i="4"/>
  <c r="F836" i="4"/>
  <c r="F848" i="4"/>
  <c r="F860" i="4"/>
  <c r="F872" i="4"/>
  <c r="F884" i="4"/>
  <c r="F896" i="4"/>
  <c r="F908" i="4"/>
  <c r="F920" i="4"/>
  <c r="F932" i="4"/>
  <c r="F944" i="4"/>
  <c r="F956" i="4"/>
  <c r="F968" i="4"/>
  <c r="F980" i="4"/>
  <c r="F992" i="4"/>
  <c r="F1004" i="4"/>
  <c r="F1016" i="4"/>
  <c r="F1028" i="4"/>
  <c r="F837" i="4"/>
  <c r="F849" i="4"/>
  <c r="F861" i="4"/>
  <c r="F873" i="4"/>
  <c r="F885" i="4"/>
  <c r="F897" i="4"/>
  <c r="F909" i="4"/>
  <c r="F921" i="4"/>
  <c r="F933" i="4"/>
  <c r="F945" i="4"/>
  <c r="F957" i="4"/>
  <c r="F969" i="4"/>
  <c r="F981" i="4"/>
  <c r="F993" i="4"/>
  <c r="F1005" i="4"/>
  <c r="F1017" i="4"/>
  <c r="F1029" i="4"/>
  <c r="F838" i="4"/>
  <c r="F850" i="4"/>
  <c r="F862" i="4"/>
  <c r="F874" i="4"/>
  <c r="F886" i="4"/>
  <c r="F898" i="4"/>
  <c r="F910" i="4"/>
  <c r="F922" i="4"/>
  <c r="F934" i="4"/>
  <c r="F946" i="4"/>
  <c r="F958" i="4"/>
  <c r="F970" i="4"/>
  <c r="F982" i="4"/>
  <c r="F839" i="4"/>
  <c r="F851" i="4"/>
  <c r="F863" i="4"/>
  <c r="F875" i="4"/>
  <c r="F887" i="4"/>
  <c r="F899" i="4"/>
  <c r="F911" i="4"/>
  <c r="F923" i="4"/>
  <c r="F935" i="4"/>
  <c r="F947" i="4"/>
  <c r="F959" i="4"/>
  <c r="F971" i="4"/>
  <c r="F983" i="4"/>
  <c r="F995" i="4"/>
  <c r="F1007" i="4"/>
  <c r="F1019" i="4"/>
  <c r="F1031" i="4"/>
  <c r="F840" i="4"/>
  <c r="F852" i="4"/>
  <c r="F864" i="4"/>
  <c r="F876" i="4"/>
  <c r="F888" i="4"/>
  <c r="F900" i="4"/>
  <c r="F912" i="4"/>
  <c r="F924" i="4"/>
  <c r="F936" i="4"/>
  <c r="F948" i="4"/>
  <c r="F960" i="4"/>
  <c r="F972" i="4"/>
  <c r="F984" i="4"/>
  <c r="F996" i="4"/>
  <c r="F1008" i="4"/>
  <c r="F1020" i="4"/>
  <c r="F841" i="4"/>
  <c r="F853" i="4"/>
  <c r="F865" i="4"/>
  <c r="F877" i="4"/>
  <c r="F889" i="4"/>
  <c r="F901" i="4"/>
  <c r="F913" i="4"/>
  <c r="F925" i="4"/>
  <c r="F937" i="4"/>
  <c r="F949" i="4"/>
  <c r="F961" i="4"/>
  <c r="F973" i="4"/>
  <c r="F985" i="4"/>
  <c r="F997" i="4"/>
  <c r="F1009" i="4"/>
  <c r="F1021" i="4"/>
  <c r="F842" i="4"/>
  <c r="F854" i="4"/>
  <c r="F866" i="4"/>
  <c r="F878" i="4"/>
  <c r="F890" i="4"/>
  <c r="F902" i="4"/>
  <c r="F914" i="4"/>
  <c r="F926" i="4"/>
  <c r="F938" i="4"/>
  <c r="F950" i="4"/>
  <c r="F962" i="4"/>
  <c r="F974" i="4"/>
  <c r="F986" i="4"/>
  <c r="F998" i="4"/>
  <c r="F1010" i="4"/>
  <c r="F1022" i="4"/>
  <c r="F843" i="4"/>
  <c r="F855" i="4"/>
  <c r="F867" i="4"/>
  <c r="F879" i="4"/>
  <c r="F891" i="4"/>
  <c r="F903" i="4"/>
  <c r="F915" i="4"/>
  <c r="F927" i="4"/>
  <c r="F939" i="4"/>
  <c r="F951" i="4"/>
  <c r="F963" i="4"/>
  <c r="F975" i="4"/>
  <c r="F987" i="4"/>
  <c r="F999" i="4"/>
  <c r="F1011" i="4"/>
  <c r="F1023" i="4"/>
  <c r="F844" i="4"/>
  <c r="F856" i="4"/>
  <c r="F868" i="4"/>
  <c r="F880" i="4"/>
  <c r="F845" i="4"/>
  <c r="F940" i="4"/>
  <c r="F1001" i="4"/>
  <c r="F857" i="4"/>
  <c r="F941" i="4"/>
  <c r="F1006" i="4"/>
  <c r="F869" i="4"/>
  <c r="F952" i="4"/>
  <c r="F1012" i="4"/>
  <c r="F881" i="4"/>
  <c r="F953" i="4"/>
  <c r="F1013" i="4"/>
  <c r="F892" i="4"/>
  <c r="F964" i="4"/>
  <c r="F1018" i="4"/>
  <c r="F893" i="4"/>
  <c r="F965" i="4"/>
  <c r="F1024" i="4"/>
  <c r="F904" i="4"/>
  <c r="F976" i="4"/>
  <c r="F1025" i="4"/>
  <c r="F905" i="4"/>
  <c r="F977" i="4"/>
  <c r="F1030" i="4"/>
  <c r="F916" i="4"/>
  <c r="F988" i="4"/>
  <c r="F917" i="4"/>
  <c r="F989" i="4"/>
  <c r="F928" i="4"/>
  <c r="F994" i="4"/>
  <c r="F929" i="4"/>
  <c r="F1000" i="4"/>
  <c r="C10" i="5"/>
  <c r="C10" i="13" s="1"/>
  <c r="Y825" i="4" a="1"/>
  <c r="Y825" i="4" s="1"/>
  <c r="S825" i="4" a="1"/>
  <c r="S825" i="4" s="1"/>
  <c r="V825" i="4" a="1"/>
  <c r="V825" i="4" s="1"/>
  <c r="G825" i="4" a="1"/>
  <c r="G825" i="4" s="1"/>
  <c r="M826" i="4" a="1"/>
  <c r="M826" i="4" s="1"/>
  <c r="M15" i="13" s="1"/>
  <c r="J826" i="4" a="1"/>
  <c r="J826" i="4" s="1"/>
  <c r="J15" i="13" s="1"/>
  <c r="AB825" i="4" a="1"/>
  <c r="AB825" i="4" s="1"/>
  <c r="Y828" i="4" a="1"/>
  <c r="Y828" i="4" s="1"/>
  <c r="Y17" i="13" s="1"/>
  <c r="M828" i="4" a="1"/>
  <c r="M828" i="4" s="1"/>
  <c r="M17" i="13" s="1"/>
  <c r="V827" i="4" a="1"/>
  <c r="V827" i="4" s="1"/>
  <c r="V16" i="13" s="1"/>
  <c r="S827" i="4" a="1"/>
  <c r="S827" i="4" s="1"/>
  <c r="S16" i="13" s="1"/>
  <c r="S828" i="4" a="1"/>
  <c r="S828" i="4" s="1"/>
  <c r="S17" i="13" s="1"/>
  <c r="D828" i="4" a="1"/>
  <c r="D828" i="4" s="1"/>
  <c r="D17" i="13" s="1"/>
  <c r="AB828" i="4" a="1"/>
  <c r="AB828" i="4" s="1"/>
  <c r="AB17" i="13" s="1"/>
  <c r="Y826" i="4" a="1"/>
  <c r="Y826" i="4" s="1"/>
  <c r="Y15" i="13" s="1"/>
  <c r="M824" i="4" a="1"/>
  <c r="M824" i="4" s="1"/>
  <c r="M13" i="13" s="1"/>
  <c r="J825" i="4" a="1"/>
  <c r="J825" i="4" s="1"/>
  <c r="P827" i="4" a="1"/>
  <c r="P827" i="4" s="1"/>
  <c r="P16" i="13" s="1"/>
  <c r="J824" i="4" a="1"/>
  <c r="J824" i="4" s="1"/>
  <c r="J13" i="13" s="1"/>
  <c r="S824" i="4" a="1"/>
  <c r="S824" i="4" s="1"/>
  <c r="S13" i="13" s="1"/>
  <c r="M825" i="4" a="1"/>
  <c r="M825" i="4" s="1"/>
  <c r="V828" i="4" a="1"/>
  <c r="V828" i="4" s="1"/>
  <c r="V17" i="13" s="1"/>
  <c r="D827" i="4" a="1"/>
  <c r="D827" i="4" s="1"/>
  <c r="D16" i="13" s="1"/>
  <c r="J828" i="4" a="1"/>
  <c r="J828" i="4" s="1"/>
  <c r="J17" i="13" s="1"/>
  <c r="S826" i="4" a="1"/>
  <c r="S826" i="4" s="1"/>
  <c r="S15" i="13" s="1"/>
  <c r="G828" i="4" a="1"/>
  <c r="G828" i="4" s="1"/>
  <c r="G17" i="13" s="1"/>
  <c r="P825" i="4" a="1"/>
  <c r="P825" i="4" s="1"/>
  <c r="AB824" i="4" a="1"/>
  <c r="AB824" i="4" s="1"/>
  <c r="AB13" i="13" s="1"/>
  <c r="AB826" i="4" a="1"/>
  <c r="AB826" i="4" s="1"/>
  <c r="AB15" i="13" s="1"/>
  <c r="AB827" i="4" a="1"/>
  <c r="AB827" i="4" s="1"/>
  <c r="AB16" i="13" s="1"/>
  <c r="P824" i="4" a="1"/>
  <c r="P824" i="4" s="1"/>
  <c r="P13" i="13" s="1"/>
  <c r="V824" i="4" a="1"/>
  <c r="V824" i="4" s="1"/>
  <c r="V13" i="13" s="1"/>
  <c r="AS832" i="4"/>
  <c r="D824" i="4" a="1"/>
  <c r="D824" i="4" s="1"/>
  <c r="D13" i="13" s="1"/>
  <c r="M827" i="4" a="1"/>
  <c r="M827" i="4" s="1"/>
  <c r="M16" i="13" s="1"/>
  <c r="G827" i="4" a="1"/>
  <c r="G827" i="4" s="1"/>
  <c r="G16" i="13" s="1"/>
  <c r="Y824" i="4" a="1"/>
  <c r="Y824" i="4" s="1"/>
  <c r="Y13" i="13" s="1"/>
  <c r="G826" i="4" a="1"/>
  <c r="G826" i="4" s="1"/>
  <c r="G15" i="13" s="1"/>
  <c r="J827" i="4" a="1"/>
  <c r="J827" i="4" s="1"/>
  <c r="J16" i="13" s="1"/>
  <c r="V826" i="4" a="1"/>
  <c r="V826" i="4" s="1"/>
  <c r="V15" i="13" s="1"/>
  <c r="P826" i="4" a="1"/>
  <c r="P826" i="4" s="1"/>
  <c r="P15" i="13" s="1"/>
  <c r="P828" i="4" a="1"/>
  <c r="P828" i="4" s="1"/>
  <c r="P17" i="13" s="1"/>
  <c r="Y827" i="4" a="1"/>
  <c r="Y827" i="4" s="1"/>
  <c r="Y16" i="13" s="1"/>
  <c r="G824" i="4" a="1"/>
  <c r="G824" i="4" s="1"/>
  <c r="G13" i="13" s="1"/>
  <c r="V12" i="5"/>
  <c r="K834" i="4" l="1"/>
  <c r="K842" i="4"/>
  <c r="K845" i="4"/>
  <c r="K858" i="4"/>
  <c r="K861" i="4"/>
  <c r="K874" i="4"/>
  <c r="K877" i="4"/>
  <c r="K890" i="4"/>
  <c r="K893" i="4"/>
  <c r="K906" i="4"/>
  <c r="K909" i="4"/>
  <c r="K922" i="4"/>
  <c r="K840" i="4"/>
  <c r="K848" i="4"/>
  <c r="K859" i="4"/>
  <c r="K867" i="4"/>
  <c r="K878" i="4"/>
  <c r="K886" i="4"/>
  <c r="K913" i="4"/>
  <c r="K921" i="4"/>
  <c r="K924" i="4"/>
  <c r="K837" i="4"/>
  <c r="K849" i="4"/>
  <c r="K844" i="4"/>
  <c r="K863" i="4"/>
  <c r="K882" i="4"/>
  <c r="K889" i="4"/>
  <c r="K896" i="4"/>
  <c r="K851" i="4"/>
  <c r="K870" i="4"/>
  <c r="K930" i="4"/>
  <c r="K942" i="4"/>
  <c r="K945" i="4"/>
  <c r="K949" i="4"/>
  <c r="K953" i="4"/>
  <c r="K957" i="4"/>
  <c r="K839" i="4"/>
  <c r="K891" i="4"/>
  <c r="K895" i="4"/>
  <c r="K852" i="4"/>
  <c r="K857" i="4"/>
  <c r="K864" i="4"/>
  <c r="K866" i="4"/>
  <c r="K868" i="4"/>
  <c r="K915" i="4"/>
  <c r="K917" i="4"/>
  <c r="K926" i="4"/>
  <c r="K933" i="4"/>
  <c r="K956" i="4"/>
  <c r="K860" i="4"/>
  <c r="K869" i="4"/>
  <c r="K873" i="4"/>
  <c r="K875" i="4"/>
  <c r="K898" i="4"/>
  <c r="K900" i="4"/>
  <c r="K908" i="4"/>
  <c r="K910" i="4"/>
  <c r="K912" i="4"/>
  <c r="K940" i="4"/>
  <c r="K955" i="4"/>
  <c r="K871" i="4"/>
  <c r="K925" i="4"/>
  <c r="K932" i="4"/>
  <c r="K937" i="4"/>
  <c r="K958" i="4"/>
  <c r="K962" i="4"/>
  <c r="K966" i="4"/>
  <c r="K970" i="4"/>
  <c r="K974" i="4"/>
  <c r="K978" i="4"/>
  <c r="K838" i="4"/>
  <c r="K883" i="4"/>
  <c r="K914" i="4"/>
  <c r="K948" i="4"/>
  <c r="K846" i="4"/>
  <c r="K850" i="4"/>
  <c r="K880" i="4"/>
  <c r="K901" i="4"/>
  <c r="K919" i="4"/>
  <c r="K944" i="4"/>
  <c r="K946" i="4"/>
  <c r="K963" i="4"/>
  <c r="K979" i="4"/>
  <c r="K987" i="4"/>
  <c r="K995" i="4"/>
  <c r="K1003" i="4"/>
  <c r="K1011" i="4"/>
  <c r="K1019" i="4"/>
  <c r="K1027" i="4"/>
  <c r="K855" i="4"/>
  <c r="K881" i="4"/>
  <c r="K887" i="4"/>
  <c r="K902" i="4"/>
  <c r="K905" i="4"/>
  <c r="K920" i="4"/>
  <c r="K934" i="4"/>
  <c r="K960" i="4"/>
  <c r="K969" i="4"/>
  <c r="K976" i="4"/>
  <c r="K986" i="4"/>
  <c r="K994" i="4"/>
  <c r="K1002" i="4"/>
  <c r="K1010" i="4"/>
  <c r="K1018" i="4"/>
  <c r="K1026" i="4"/>
  <c r="K888" i="4"/>
  <c r="K894" i="4"/>
  <c r="K918" i="4"/>
  <c r="K947" i="4"/>
  <c r="K836" i="4"/>
  <c r="K862" i="4"/>
  <c r="K872" i="4"/>
  <c r="K931" i="4"/>
  <c r="K935" i="4"/>
  <c r="K984" i="4"/>
  <c r="K996" i="4"/>
  <c r="K1008" i="4"/>
  <c r="K1020" i="4"/>
  <c r="K853" i="4"/>
  <c r="K865" i="4"/>
  <c r="K897" i="4"/>
  <c r="K939" i="4"/>
  <c r="K989" i="4"/>
  <c r="K1001" i="4"/>
  <c r="K1013" i="4"/>
  <c r="K1025" i="4"/>
  <c r="K876" i="4"/>
  <c r="K892" i="4"/>
  <c r="K943" i="4"/>
  <c r="K961" i="4"/>
  <c r="K977" i="4"/>
  <c r="K982" i="4"/>
  <c r="K999" i="4"/>
  <c r="K1006" i="4"/>
  <c r="K1023" i="4"/>
  <c r="K1030" i="4"/>
  <c r="K841" i="4"/>
  <c r="K847" i="4"/>
  <c r="K907" i="4"/>
  <c r="K911" i="4"/>
  <c r="K928" i="4"/>
  <c r="K950" i="4"/>
  <c r="K964" i="4"/>
  <c r="K972" i="4"/>
  <c r="K854" i="4"/>
  <c r="K903" i="4"/>
  <c r="K916" i="4"/>
  <c r="K835" i="4"/>
  <c r="K929" i="4"/>
  <c r="K959" i="4"/>
  <c r="K967" i="4"/>
  <c r="K975" i="4"/>
  <c r="K985" i="4"/>
  <c r="K997" i="4"/>
  <c r="K1009" i="4"/>
  <c r="K1021" i="4"/>
  <c r="J14" i="13"/>
  <c r="K879" i="4"/>
  <c r="K1015" i="4"/>
  <c r="K938" i="4"/>
  <c r="K951" i="4"/>
  <c r="K965" i="4"/>
  <c r="K983" i="4"/>
  <c r="K1028" i="4"/>
  <c r="K991" i="4"/>
  <c r="K1016" i="4"/>
  <c r="K1024" i="4"/>
  <c r="K1004" i="4"/>
  <c r="K1012" i="4"/>
  <c r="K992" i="4"/>
  <c r="K1000" i="4"/>
  <c r="K904" i="4"/>
  <c r="K927" i="4"/>
  <c r="K941" i="4"/>
  <c r="K980" i="4"/>
  <c r="K988" i="4"/>
  <c r="K1029" i="4"/>
  <c r="K885" i="4"/>
  <c r="K1005" i="4"/>
  <c r="K936" i="4"/>
  <c r="K1014" i="4"/>
  <c r="K954" i="4"/>
  <c r="K1022" i="4"/>
  <c r="K1031" i="4"/>
  <c r="K923" i="4"/>
  <c r="K973" i="4"/>
  <c r="K990" i="4"/>
  <c r="K843" i="4"/>
  <c r="K856" i="4"/>
  <c r="K899" i="4"/>
  <c r="K968" i="4"/>
  <c r="K998" i="4"/>
  <c r="K1007" i="4"/>
  <c r="K884" i="4"/>
  <c r="K952" i="4"/>
  <c r="K971" i="4"/>
  <c r="K1017" i="4"/>
  <c r="K993" i="4"/>
  <c r="K981" i="4"/>
  <c r="Q838" i="4"/>
  <c r="Q842" i="4"/>
  <c r="Q846" i="4"/>
  <c r="Q850" i="4"/>
  <c r="Q854" i="4"/>
  <c r="Q858" i="4"/>
  <c r="Q862" i="4"/>
  <c r="Q866" i="4"/>
  <c r="Q870" i="4"/>
  <c r="Q874" i="4"/>
  <c r="Q878" i="4"/>
  <c r="Q882" i="4"/>
  <c r="Q886" i="4"/>
  <c r="Q890" i="4"/>
  <c r="Q894" i="4"/>
  <c r="Q898" i="4"/>
  <c r="Q902" i="4"/>
  <c r="Q906" i="4"/>
  <c r="Q910" i="4"/>
  <c r="Q914" i="4"/>
  <c r="Q918" i="4"/>
  <c r="Q922" i="4"/>
  <c r="Q834" i="4"/>
  <c r="Q836" i="4"/>
  <c r="Q852" i="4"/>
  <c r="Q868" i="4"/>
  <c r="Q884" i="4"/>
  <c r="Q900" i="4"/>
  <c r="Q916" i="4"/>
  <c r="Q835" i="4"/>
  <c r="Q881" i="4"/>
  <c r="Q889" i="4"/>
  <c r="Q908" i="4"/>
  <c r="Q931" i="4"/>
  <c r="Q934" i="4"/>
  <c r="Q938" i="4"/>
  <c r="Q942" i="4"/>
  <c r="Q847" i="4"/>
  <c r="Q887" i="4"/>
  <c r="Q837" i="4"/>
  <c r="Q849" i="4"/>
  <c r="Q856" i="4"/>
  <c r="Q875" i="4"/>
  <c r="Q901" i="4"/>
  <c r="Q920" i="4"/>
  <c r="Q925" i="4"/>
  <c r="Q933" i="4"/>
  <c r="Q936" i="4"/>
  <c r="Q853" i="4"/>
  <c r="Q865" i="4"/>
  <c r="Q844" i="4"/>
  <c r="Q861" i="4"/>
  <c r="Q872" i="4"/>
  <c r="Q876" i="4"/>
  <c r="Q839" i="4"/>
  <c r="Q893" i="4"/>
  <c r="Q897" i="4"/>
  <c r="Q899" i="4"/>
  <c r="Q944" i="4"/>
  <c r="Q947" i="4"/>
  <c r="Q845" i="4"/>
  <c r="Q879" i="4"/>
  <c r="Q928" i="4"/>
  <c r="Q930" i="4"/>
  <c r="Q935" i="4"/>
  <c r="Q946" i="4"/>
  <c r="Q949" i="4"/>
  <c r="Q959" i="4"/>
  <c r="Q963" i="4"/>
  <c r="Q967" i="4"/>
  <c r="Q971" i="4"/>
  <c r="Q975" i="4"/>
  <c r="Q979" i="4"/>
  <c r="Q983" i="4"/>
  <c r="Q987" i="4"/>
  <c r="Q991" i="4"/>
  <c r="Q995" i="4"/>
  <c r="Q999" i="4"/>
  <c r="Q1003" i="4"/>
  <c r="Q1007" i="4"/>
  <c r="Q1011" i="4"/>
  <c r="Q1015" i="4"/>
  <c r="Q1019" i="4"/>
  <c r="Q1023" i="4"/>
  <c r="Q1027" i="4"/>
  <c r="Q1031" i="4"/>
  <c r="Q848" i="4"/>
  <c r="Q860" i="4"/>
  <c r="Q896" i="4"/>
  <c r="Q904" i="4"/>
  <c r="Q923" i="4"/>
  <c r="Q943" i="4"/>
  <c r="Q952" i="4"/>
  <c r="Q895" i="4"/>
  <c r="Q911" i="4"/>
  <c r="Q926" i="4"/>
  <c r="Q968" i="4"/>
  <c r="Q985" i="4"/>
  <c r="Q993" i="4"/>
  <c r="Q1001" i="4"/>
  <c r="Q1009" i="4"/>
  <c r="Q1017" i="4"/>
  <c r="Q1025" i="4"/>
  <c r="Q857" i="4"/>
  <c r="Q864" i="4"/>
  <c r="Q892" i="4"/>
  <c r="Q961" i="4"/>
  <c r="Q970" i="4"/>
  <c r="Q977" i="4"/>
  <c r="Q982" i="4"/>
  <c r="Q990" i="4"/>
  <c r="Q998" i="4"/>
  <c r="Q1006" i="4"/>
  <c r="Q1014" i="4"/>
  <c r="Q1022" i="4"/>
  <c r="Q1030" i="4"/>
  <c r="Q907" i="4"/>
  <c r="Q927" i="4"/>
  <c r="Q840" i="4"/>
  <c r="Q869" i="4"/>
  <c r="Q932" i="4"/>
  <c r="Q945" i="4"/>
  <c r="Q855" i="4"/>
  <c r="Q905" i="4"/>
  <c r="Q915" i="4"/>
  <c r="Q960" i="4"/>
  <c r="Q976" i="4"/>
  <c r="Q981" i="4"/>
  <c r="Q989" i="4"/>
  <c r="Q997" i="4"/>
  <c r="Q1005" i="4"/>
  <c r="Q1013" i="4"/>
  <c r="Q1021" i="4"/>
  <c r="Q1029" i="4"/>
  <c r="Q880" i="4"/>
  <c r="Q955" i="4"/>
  <c r="Q859" i="4"/>
  <c r="Q919" i="4"/>
  <c r="Q958" i="4"/>
  <c r="Q966" i="4"/>
  <c r="Q974" i="4"/>
  <c r="Q984" i="4"/>
  <c r="Q996" i="4"/>
  <c r="Q1008" i="4"/>
  <c r="Q1020" i="4"/>
  <c r="Q939" i="4"/>
  <c r="Q969" i="4"/>
  <c r="Q994" i="4"/>
  <c r="Q1018" i="4"/>
  <c r="Q871" i="4"/>
  <c r="Q924" i="4"/>
  <c r="Q841" i="4"/>
  <c r="Q877" i="4"/>
  <c r="Q888" i="4"/>
  <c r="Q903" i="4"/>
  <c r="Q912" i="4"/>
  <c r="Q940" i="4"/>
  <c r="Q956" i="4"/>
  <c r="Q980" i="4"/>
  <c r="Q992" i="4"/>
  <c r="Q1004" i="4"/>
  <c r="Q1016" i="4"/>
  <c r="Q1028" i="4"/>
  <c r="Q843" i="4"/>
  <c r="Q917" i="4"/>
  <c r="Q950" i="4"/>
  <c r="Q973" i="4"/>
  <c r="Q986" i="4"/>
  <c r="Q1024" i="4"/>
  <c r="Q909" i="4"/>
  <c r="Q891" i="4"/>
  <c r="Q951" i="4"/>
  <c r="Q965" i="4"/>
  <c r="Q883" i="4"/>
  <c r="Q1012" i="4"/>
  <c r="Q962" i="4"/>
  <c r="Q1000" i="4"/>
  <c r="P14" i="13"/>
  <c r="Q1026" i="4"/>
  <c r="Q851" i="4"/>
  <c r="Q863" i="4"/>
  <c r="Q929" i="4"/>
  <c r="Q948" i="4"/>
  <c r="Q1002" i="4"/>
  <c r="Q867" i="4"/>
  <c r="Q937" i="4"/>
  <c r="Q1010" i="4"/>
  <c r="Q954" i="4"/>
  <c r="Q964" i="4"/>
  <c r="Q978" i="4"/>
  <c r="Q873" i="4"/>
  <c r="Q913" i="4"/>
  <c r="Q921" i="4"/>
  <c r="Q941" i="4"/>
  <c r="Q957" i="4"/>
  <c r="Q988" i="4"/>
  <c r="Q953" i="4"/>
  <c r="Q972" i="4"/>
  <c r="Q885" i="4"/>
  <c r="W843" i="4"/>
  <c r="W846" i="4"/>
  <c r="W859" i="4"/>
  <c r="W862" i="4"/>
  <c r="W875" i="4"/>
  <c r="W878" i="4"/>
  <c r="W891" i="4"/>
  <c r="W894" i="4"/>
  <c r="W907" i="4"/>
  <c r="W910" i="4"/>
  <c r="W923" i="4"/>
  <c r="W927" i="4"/>
  <c r="W931" i="4"/>
  <c r="W838" i="4"/>
  <c r="W857" i="4"/>
  <c r="W865" i="4"/>
  <c r="W876" i="4"/>
  <c r="W884" i="4"/>
  <c r="W895" i="4"/>
  <c r="W903" i="4"/>
  <c r="W925" i="4"/>
  <c r="W852" i="4"/>
  <c r="W840" i="4"/>
  <c r="W854" i="4"/>
  <c r="W866" i="4"/>
  <c r="W873" i="4"/>
  <c r="W885" i="4"/>
  <c r="W892" i="4"/>
  <c r="W904" i="4"/>
  <c r="W835" i="4"/>
  <c r="W842" i="4"/>
  <c r="W847" i="4"/>
  <c r="W861" i="4"/>
  <c r="W880" i="4"/>
  <c r="W899" i="4"/>
  <c r="W906" i="4"/>
  <c r="W913" i="4"/>
  <c r="W928" i="4"/>
  <c r="W943" i="4"/>
  <c r="W834" i="4"/>
  <c r="W844" i="4"/>
  <c r="W851" i="4"/>
  <c r="W858" i="4"/>
  <c r="W863" i="4"/>
  <c r="W841" i="4"/>
  <c r="W849" i="4"/>
  <c r="W836" i="4"/>
  <c r="W870" i="4"/>
  <c r="W874" i="4"/>
  <c r="W901" i="4"/>
  <c r="W929" i="4"/>
  <c r="W939" i="4"/>
  <c r="W957" i="4"/>
  <c r="W961" i="4"/>
  <c r="W965" i="4"/>
  <c r="W969" i="4"/>
  <c r="W973" i="4"/>
  <c r="W977" i="4"/>
  <c r="W981" i="4"/>
  <c r="W985" i="4"/>
  <c r="W989" i="4"/>
  <c r="W993" i="4"/>
  <c r="W997" i="4"/>
  <c r="W1001" i="4"/>
  <c r="W1005" i="4"/>
  <c r="W1009" i="4"/>
  <c r="W1013" i="4"/>
  <c r="W1017" i="4"/>
  <c r="W1021" i="4"/>
  <c r="W1025" i="4"/>
  <c r="W1029" i="4"/>
  <c r="W837" i="4"/>
  <c r="W864" i="4"/>
  <c r="W881" i="4"/>
  <c r="W917" i="4"/>
  <c r="W919" i="4"/>
  <c r="W938" i="4"/>
  <c r="W956" i="4"/>
  <c r="W850" i="4"/>
  <c r="W855" i="4"/>
  <c r="W877" i="4"/>
  <c r="W883" i="4"/>
  <c r="W921" i="4"/>
  <c r="W946" i="4"/>
  <c r="W860" i="4"/>
  <c r="W916" i="4"/>
  <c r="W935" i="4"/>
  <c r="W937" i="4"/>
  <c r="W959" i="4"/>
  <c r="W966" i="4"/>
  <c r="W975" i="4"/>
  <c r="W980" i="4"/>
  <c r="W988" i="4"/>
  <c r="W996" i="4"/>
  <c r="W1004" i="4"/>
  <c r="W1012" i="4"/>
  <c r="W1020" i="4"/>
  <c r="W1028" i="4"/>
  <c r="W867" i="4"/>
  <c r="W889" i="4"/>
  <c r="W898" i="4"/>
  <c r="W911" i="4"/>
  <c r="W871" i="4"/>
  <c r="W893" i="4"/>
  <c r="W912" i="4"/>
  <c r="W922" i="4"/>
  <c r="W940" i="4"/>
  <c r="W954" i="4"/>
  <c r="W972" i="4"/>
  <c r="W934" i="4"/>
  <c r="W887" i="4"/>
  <c r="W890" i="4"/>
  <c r="W902" i="4"/>
  <c r="W936" i="4"/>
  <c r="W958" i="4"/>
  <c r="W967" i="4"/>
  <c r="W974" i="4"/>
  <c r="W984" i="4"/>
  <c r="W992" i="4"/>
  <c r="W1000" i="4"/>
  <c r="W1008" i="4"/>
  <c r="W1016" i="4"/>
  <c r="W1024" i="4"/>
  <c r="W845" i="4"/>
  <c r="W896" i="4"/>
  <c r="W914" i="4"/>
  <c r="W949" i="4"/>
  <c r="W963" i="4"/>
  <c r="W971" i="4"/>
  <c r="W986" i="4"/>
  <c r="W998" i="4"/>
  <c r="W1010" i="4"/>
  <c r="W1022" i="4"/>
  <c r="W839" i="4"/>
  <c r="W886" i="4"/>
  <c r="W942" i="4"/>
  <c r="W952" i="4"/>
  <c r="W979" i="4"/>
  <c r="W991" i="4"/>
  <c r="W1003" i="4"/>
  <c r="W1015" i="4"/>
  <c r="W1027" i="4"/>
  <c r="W853" i="4"/>
  <c r="W897" i="4"/>
  <c r="W915" i="4"/>
  <c r="W955" i="4"/>
  <c r="V14" i="13"/>
  <c r="W848" i="4"/>
  <c r="W872" i="4"/>
  <c r="W882" i="4"/>
  <c r="W950" i="4"/>
  <c r="W987" i="4"/>
  <c r="W999" i="4"/>
  <c r="W1011" i="4"/>
  <c r="W1023" i="4"/>
  <c r="W964" i="4"/>
  <c r="W968" i="4"/>
  <c r="W982" i="4"/>
  <c r="W990" i="4"/>
  <c r="W1031" i="4"/>
  <c r="W856" i="4"/>
  <c r="W868" i="4"/>
  <c r="W900" i="4"/>
  <c r="W932" i="4"/>
  <c r="W944" i="4"/>
  <c r="W978" i="4"/>
  <c r="W1019" i="4"/>
  <c r="W879" i="4"/>
  <c r="W909" i="4"/>
  <c r="W1007" i="4"/>
  <c r="W869" i="4"/>
  <c r="W918" i="4"/>
  <c r="W933" i="4"/>
  <c r="W945" i="4"/>
  <c r="W960" i="4"/>
  <c r="W995" i="4"/>
  <c r="W920" i="4"/>
  <c r="W926" i="4"/>
  <c r="W970" i="4"/>
  <c r="W983" i="4"/>
  <c r="W951" i="4"/>
  <c r="W962" i="4"/>
  <c r="W905" i="4"/>
  <c r="W953" i="4"/>
  <c r="W1030" i="4"/>
  <c r="W976" i="4"/>
  <c r="W1018" i="4"/>
  <c r="W908" i="4"/>
  <c r="W930" i="4"/>
  <c r="W948" i="4"/>
  <c r="W1006" i="4"/>
  <c r="W1014" i="4"/>
  <c r="W888" i="4"/>
  <c r="W924" i="4"/>
  <c r="W994" i="4"/>
  <c r="W1002" i="4"/>
  <c r="W947" i="4"/>
  <c r="W941" i="4"/>
  <c r="W1026" i="4"/>
  <c r="T849" i="4"/>
  <c r="T865" i="4"/>
  <c r="T881" i="4"/>
  <c r="T897" i="4"/>
  <c r="T913" i="4"/>
  <c r="T846" i="4"/>
  <c r="T854" i="4"/>
  <c r="T873" i="4"/>
  <c r="T892" i="4"/>
  <c r="T900" i="4"/>
  <c r="T911" i="4"/>
  <c r="T919" i="4"/>
  <c r="T928" i="4"/>
  <c r="T840" i="4"/>
  <c r="T835" i="4"/>
  <c r="T842" i="4"/>
  <c r="T847" i="4"/>
  <c r="T861" i="4"/>
  <c r="T880" i="4"/>
  <c r="T899" i="4"/>
  <c r="T834" i="4"/>
  <c r="T868" i="4"/>
  <c r="T887" i="4"/>
  <c r="T894" i="4"/>
  <c r="T946" i="4"/>
  <c r="T950" i="4"/>
  <c r="T954" i="4"/>
  <c r="T839" i="4"/>
  <c r="T836" i="4"/>
  <c r="T870" i="4"/>
  <c r="T874" i="4"/>
  <c r="T878" i="4"/>
  <c r="T844" i="4"/>
  <c r="T872" i="4"/>
  <c r="T876" i="4"/>
  <c r="T907" i="4"/>
  <c r="T909" i="4"/>
  <c r="T924" i="4"/>
  <c r="T936" i="4"/>
  <c r="T850" i="4"/>
  <c r="T855" i="4"/>
  <c r="T862" i="4"/>
  <c r="T877" i="4"/>
  <c r="T883" i="4"/>
  <c r="T885" i="4"/>
  <c r="T921" i="4"/>
  <c r="T845" i="4"/>
  <c r="T853" i="4"/>
  <c r="T875" i="4"/>
  <c r="T879" i="4"/>
  <c r="T902" i="4"/>
  <c r="T906" i="4"/>
  <c r="T908" i="4"/>
  <c r="T930" i="4"/>
  <c r="T935" i="4"/>
  <c r="T949" i="4"/>
  <c r="T959" i="4"/>
  <c r="T963" i="4"/>
  <c r="T967" i="4"/>
  <c r="T971" i="4"/>
  <c r="T975" i="4"/>
  <c r="T867" i="4"/>
  <c r="T889" i="4"/>
  <c r="T898" i="4"/>
  <c r="T886" i="4"/>
  <c r="T895" i="4"/>
  <c r="T926" i="4"/>
  <c r="T933" i="4"/>
  <c r="T968" i="4"/>
  <c r="T985" i="4"/>
  <c r="T993" i="4"/>
  <c r="T1001" i="4"/>
  <c r="T1009" i="4"/>
  <c r="T1017" i="4"/>
  <c r="T1025" i="4"/>
  <c r="T843" i="4"/>
  <c r="T851" i="4"/>
  <c r="T890" i="4"/>
  <c r="T917" i="4"/>
  <c r="T929" i="4"/>
  <c r="T938" i="4"/>
  <c r="T956" i="4"/>
  <c r="T958" i="4"/>
  <c r="T965" i="4"/>
  <c r="T974" i="4"/>
  <c r="T984" i="4"/>
  <c r="T992" i="4"/>
  <c r="T1000" i="4"/>
  <c r="T1008" i="4"/>
  <c r="T1016" i="4"/>
  <c r="T1024" i="4"/>
  <c r="T848" i="4"/>
  <c r="T905" i="4"/>
  <c r="T915" i="4"/>
  <c r="T920" i="4"/>
  <c r="T925" i="4"/>
  <c r="T884" i="4"/>
  <c r="T910" i="4"/>
  <c r="T927" i="4"/>
  <c r="T934" i="4"/>
  <c r="T852" i="4"/>
  <c r="T858" i="4"/>
  <c r="T864" i="4"/>
  <c r="T891" i="4"/>
  <c r="T901" i="4"/>
  <c r="T923" i="4"/>
  <c r="T942" i="4"/>
  <c r="T952" i="4"/>
  <c r="T979" i="4"/>
  <c r="T991" i="4"/>
  <c r="T1003" i="4"/>
  <c r="T1015" i="4"/>
  <c r="T1027" i="4"/>
  <c r="T931" i="4"/>
  <c r="T955" i="4"/>
  <c r="T859" i="4"/>
  <c r="T966" i="4"/>
  <c r="T989" i="4"/>
  <c r="T996" i="4"/>
  <c r="T1013" i="4"/>
  <c r="T1020" i="4"/>
  <c r="T932" i="4"/>
  <c r="T939" i="4"/>
  <c r="T943" i="4"/>
  <c r="T961" i="4"/>
  <c r="T969" i="4"/>
  <c r="T977" i="4"/>
  <c r="T982" i="4"/>
  <c r="T994" i="4"/>
  <c r="T1006" i="4"/>
  <c r="T1018" i="4"/>
  <c r="T1030" i="4"/>
  <c r="T860" i="4"/>
  <c r="T866" i="4"/>
  <c r="T871" i="4"/>
  <c r="T882" i="4"/>
  <c r="T841" i="4"/>
  <c r="T893" i="4"/>
  <c r="T916" i="4"/>
  <c r="T947" i="4"/>
  <c r="T953" i="4"/>
  <c r="T964" i="4"/>
  <c r="T972" i="4"/>
  <c r="T856" i="4"/>
  <c r="T944" i="4"/>
  <c r="T978" i="4"/>
  <c r="T998" i="4"/>
  <c r="T1011" i="4"/>
  <c r="T1019" i="4"/>
  <c r="S14" i="13"/>
  <c r="T973" i="4"/>
  <c r="T986" i="4"/>
  <c r="T999" i="4"/>
  <c r="T1007" i="4"/>
  <c r="T857" i="4"/>
  <c r="T869" i="4"/>
  <c r="T918" i="4"/>
  <c r="T945" i="4"/>
  <c r="T960" i="4"/>
  <c r="T987" i="4"/>
  <c r="T995" i="4"/>
  <c r="T1028" i="4"/>
  <c r="T970" i="4"/>
  <c r="T983" i="4"/>
  <c r="T903" i="4"/>
  <c r="T912" i="4"/>
  <c r="T940" i="4"/>
  <c r="T951" i="4"/>
  <c r="T1004" i="4"/>
  <c r="T1012" i="4"/>
  <c r="T1021" i="4"/>
  <c r="T837" i="4"/>
  <c r="T941" i="4"/>
  <c r="T957" i="4"/>
  <c r="T988" i="4"/>
  <c r="T976" i="4"/>
  <c r="T838" i="4"/>
  <c r="T863" i="4"/>
  <c r="T896" i="4"/>
  <c r="T914" i="4"/>
  <c r="T922" i="4"/>
  <c r="T948" i="4"/>
  <c r="T1014" i="4"/>
  <c r="T888" i="4"/>
  <c r="T981" i="4"/>
  <c r="T1002" i="4"/>
  <c r="T1022" i="4"/>
  <c r="T937" i="4"/>
  <c r="T990" i="4"/>
  <c r="T1010" i="4"/>
  <c r="T1023" i="4"/>
  <c r="T1031" i="4"/>
  <c r="T904" i="4"/>
  <c r="T962" i="4"/>
  <c r="T980" i="4"/>
  <c r="T1029" i="4"/>
  <c r="T997" i="4"/>
  <c r="T1005" i="4"/>
  <c r="T1026" i="4"/>
  <c r="N839" i="4"/>
  <c r="N855" i="4"/>
  <c r="N871" i="4"/>
  <c r="N887" i="4"/>
  <c r="N903" i="4"/>
  <c r="N919" i="4"/>
  <c r="N926" i="4"/>
  <c r="N930" i="4"/>
  <c r="N934" i="4"/>
  <c r="N843" i="4"/>
  <c r="N851" i="4"/>
  <c r="N862" i="4"/>
  <c r="N870" i="4"/>
  <c r="N897" i="4"/>
  <c r="N905" i="4"/>
  <c r="N916" i="4"/>
  <c r="N835" i="4"/>
  <c r="N842" i="4"/>
  <c r="N837" i="4"/>
  <c r="N849" i="4"/>
  <c r="N856" i="4"/>
  <c r="N868" i="4"/>
  <c r="N875" i="4"/>
  <c r="N894" i="4"/>
  <c r="N901" i="4"/>
  <c r="N844" i="4"/>
  <c r="N863" i="4"/>
  <c r="N877" i="4"/>
  <c r="N882" i="4"/>
  <c r="N889" i="4"/>
  <c r="N896" i="4"/>
  <c r="N908" i="4"/>
  <c r="N915" i="4"/>
  <c r="N939" i="4"/>
  <c r="N841" i="4"/>
  <c r="N846" i="4"/>
  <c r="N848" i="4"/>
  <c r="N860" i="4"/>
  <c r="N854" i="4"/>
  <c r="N893" i="4"/>
  <c r="N859" i="4"/>
  <c r="N891" i="4"/>
  <c r="N895" i="4"/>
  <c r="N911" i="4"/>
  <c r="N913" i="4"/>
  <c r="N931" i="4"/>
  <c r="N941" i="4"/>
  <c r="N950" i="4"/>
  <c r="N953" i="4"/>
  <c r="N960" i="4"/>
  <c r="N964" i="4"/>
  <c r="N968" i="4"/>
  <c r="N972" i="4"/>
  <c r="N976" i="4"/>
  <c r="N980" i="4"/>
  <c r="N984" i="4"/>
  <c r="N988" i="4"/>
  <c r="N992" i="4"/>
  <c r="N996" i="4"/>
  <c r="N1000" i="4"/>
  <c r="N1004" i="4"/>
  <c r="N1008" i="4"/>
  <c r="N1012" i="4"/>
  <c r="N1016" i="4"/>
  <c r="N1020" i="4"/>
  <c r="N1024" i="4"/>
  <c r="N1028" i="4"/>
  <c r="N853" i="4"/>
  <c r="N902" i="4"/>
  <c r="N904" i="4"/>
  <c r="N906" i="4"/>
  <c r="N923" i="4"/>
  <c r="N943" i="4"/>
  <c r="N952" i="4"/>
  <c r="N840" i="4"/>
  <c r="N867" i="4"/>
  <c r="N869" i="4"/>
  <c r="N873" i="4"/>
  <c r="N898" i="4"/>
  <c r="N900" i="4"/>
  <c r="N910" i="4"/>
  <c r="N912" i="4"/>
  <c r="N940" i="4"/>
  <c r="N955" i="4"/>
  <c r="N857" i="4"/>
  <c r="N864" i="4"/>
  <c r="N886" i="4"/>
  <c r="N892" i="4"/>
  <c r="N933" i="4"/>
  <c r="N961" i="4"/>
  <c r="N970" i="4"/>
  <c r="N977" i="4"/>
  <c r="N982" i="4"/>
  <c r="N990" i="4"/>
  <c r="N998" i="4"/>
  <c r="N1006" i="4"/>
  <c r="N1014" i="4"/>
  <c r="N1022" i="4"/>
  <c r="N1030" i="4"/>
  <c r="N838" i="4"/>
  <c r="N883" i="4"/>
  <c r="N909" i="4"/>
  <c r="N914" i="4"/>
  <c r="N924" i="4"/>
  <c r="N948" i="4"/>
  <c r="M14" i="13"/>
  <c r="N847" i="4"/>
  <c r="N884" i="4"/>
  <c r="N899" i="4"/>
  <c r="N936" i="4"/>
  <c r="N967" i="4"/>
  <c r="N981" i="4"/>
  <c r="N989" i="4"/>
  <c r="N997" i="4"/>
  <c r="N1005" i="4"/>
  <c r="N1013" i="4"/>
  <c r="N1021" i="4"/>
  <c r="N1029" i="4"/>
  <c r="N836" i="4"/>
  <c r="N872" i="4"/>
  <c r="N878" i="4"/>
  <c r="N881" i="4"/>
  <c r="N920" i="4"/>
  <c r="N925" i="4"/>
  <c r="N932" i="4"/>
  <c r="N945" i="4"/>
  <c r="N962" i="4"/>
  <c r="N969" i="4"/>
  <c r="N978" i="4"/>
  <c r="N986" i="4"/>
  <c r="N994" i="4"/>
  <c r="N1002" i="4"/>
  <c r="N1010" i="4"/>
  <c r="N1018" i="4"/>
  <c r="N1026" i="4"/>
  <c r="N927" i="4"/>
  <c r="N958" i="4"/>
  <c r="N966" i="4"/>
  <c r="N974" i="4"/>
  <c r="N935" i="4"/>
  <c r="N946" i="4"/>
  <c r="N834" i="4"/>
  <c r="N865" i="4"/>
  <c r="N1001" i="4"/>
  <c r="N1025" i="4"/>
  <c r="N866" i="4"/>
  <c r="N876" i="4"/>
  <c r="N987" i="4"/>
  <c r="N999" i="4"/>
  <c r="N1011" i="4"/>
  <c r="N1023" i="4"/>
  <c r="N888" i="4"/>
  <c r="N907" i="4"/>
  <c r="N1007" i="4"/>
  <c r="N1027" i="4"/>
  <c r="N858" i="4"/>
  <c r="N991" i="4"/>
  <c r="N879" i="4"/>
  <c r="N918" i="4"/>
  <c r="N995" i="4"/>
  <c r="N1015" i="4"/>
  <c r="N890" i="4"/>
  <c r="N938" i="4"/>
  <c r="N951" i="4"/>
  <c r="N956" i="4"/>
  <c r="N965" i="4"/>
  <c r="N983" i="4"/>
  <c r="N1003" i="4"/>
  <c r="N845" i="4"/>
  <c r="N880" i="4"/>
  <c r="N861" i="4"/>
  <c r="N975" i="4"/>
  <c r="N921" i="4"/>
  <c r="N947" i="4"/>
  <c r="N957" i="4"/>
  <c r="N929" i="4"/>
  <c r="N971" i="4"/>
  <c r="N1017" i="4"/>
  <c r="N874" i="4"/>
  <c r="N885" i="4"/>
  <c r="N985" i="4"/>
  <c r="N937" i="4"/>
  <c r="N954" i="4"/>
  <c r="N959" i="4"/>
  <c r="N963" i="4"/>
  <c r="N1031" i="4"/>
  <c r="N917" i="4"/>
  <c r="N944" i="4"/>
  <c r="N949" i="4"/>
  <c r="N973" i="4"/>
  <c r="N1019" i="4"/>
  <c r="N979" i="4"/>
  <c r="N850" i="4"/>
  <c r="N928" i="4"/>
  <c r="N1009" i="4"/>
  <c r="N922" i="4"/>
  <c r="N852" i="4"/>
  <c r="N942" i="4"/>
  <c r="N993" i="4"/>
  <c r="H837" i="4"/>
  <c r="H841" i="4"/>
  <c r="H845" i="4"/>
  <c r="H849" i="4"/>
  <c r="H853" i="4"/>
  <c r="H857" i="4"/>
  <c r="H861" i="4"/>
  <c r="H865" i="4"/>
  <c r="H869" i="4"/>
  <c r="H873" i="4"/>
  <c r="H877" i="4"/>
  <c r="H881" i="4"/>
  <c r="H885" i="4"/>
  <c r="H889" i="4"/>
  <c r="H893" i="4"/>
  <c r="H897" i="4"/>
  <c r="H901" i="4"/>
  <c r="H905" i="4"/>
  <c r="H909" i="4"/>
  <c r="H913" i="4"/>
  <c r="H917" i="4"/>
  <c r="H921" i="4"/>
  <c r="H848" i="4"/>
  <c r="H864" i="4"/>
  <c r="H880" i="4"/>
  <c r="H896" i="4"/>
  <c r="H912" i="4"/>
  <c r="H856" i="4"/>
  <c r="H875" i="4"/>
  <c r="H883" i="4"/>
  <c r="H894" i="4"/>
  <c r="H902" i="4"/>
  <c r="H927" i="4"/>
  <c r="H937" i="4"/>
  <c r="H941" i="4"/>
  <c r="H945" i="4"/>
  <c r="H844" i="4"/>
  <c r="H851" i="4"/>
  <c r="H870" i="4"/>
  <c r="H839" i="4"/>
  <c r="H858" i="4"/>
  <c r="H872" i="4"/>
  <c r="H884" i="4"/>
  <c r="H891" i="4"/>
  <c r="H903" i="4"/>
  <c r="H910" i="4"/>
  <c r="H922" i="4"/>
  <c r="H836" i="4"/>
  <c r="H855" i="4"/>
  <c r="H852" i="4"/>
  <c r="H859" i="4"/>
  <c r="H866" i="4"/>
  <c r="H868" i="4"/>
  <c r="H847" i="4"/>
  <c r="H938" i="4"/>
  <c r="H840" i="4"/>
  <c r="H867" i="4"/>
  <c r="H871" i="4"/>
  <c r="H925" i="4"/>
  <c r="H932" i="4"/>
  <c r="H958" i="4"/>
  <c r="H962" i="4"/>
  <c r="H966" i="4"/>
  <c r="H970" i="4"/>
  <c r="H974" i="4"/>
  <c r="H978" i="4"/>
  <c r="H982" i="4"/>
  <c r="H986" i="4"/>
  <c r="H990" i="4"/>
  <c r="H994" i="4"/>
  <c r="H998" i="4"/>
  <c r="H1002" i="4"/>
  <c r="H1006" i="4"/>
  <c r="H1010" i="4"/>
  <c r="H1014" i="4"/>
  <c r="H1018" i="4"/>
  <c r="H1022" i="4"/>
  <c r="H1026" i="4"/>
  <c r="H1030" i="4"/>
  <c r="H834" i="4"/>
  <c r="H835" i="4"/>
  <c r="H843" i="4"/>
  <c r="H888" i="4"/>
  <c r="H892" i="4"/>
  <c r="H914" i="4"/>
  <c r="H948" i="4"/>
  <c r="H846" i="4"/>
  <c r="H850" i="4"/>
  <c r="H919" i="4"/>
  <c r="H924" i="4"/>
  <c r="H944" i="4"/>
  <c r="H946" i="4"/>
  <c r="H963" i="4"/>
  <c r="H979" i="4"/>
  <c r="H987" i="4"/>
  <c r="H995" i="4"/>
  <c r="H1003" i="4"/>
  <c r="H1011" i="4"/>
  <c r="H1019" i="4"/>
  <c r="H1027" i="4"/>
  <c r="H842" i="4"/>
  <c r="H904" i="4"/>
  <c r="H929" i="4"/>
  <c r="H931" i="4"/>
  <c r="H942" i="4"/>
  <c r="H950" i="4"/>
  <c r="H952" i="4"/>
  <c r="H954" i="4"/>
  <c r="H965" i="4"/>
  <c r="H972" i="4"/>
  <c r="H862" i="4"/>
  <c r="H915" i="4"/>
  <c r="H923" i="4"/>
  <c r="H943" i="4"/>
  <c r="H949" i="4"/>
  <c r="H878" i="4"/>
  <c r="H918" i="4"/>
  <c r="H947" i="4"/>
  <c r="H951" i="4"/>
  <c r="H971" i="4"/>
  <c r="H983" i="4"/>
  <c r="H991" i="4"/>
  <c r="H999" i="4"/>
  <c r="H1007" i="4"/>
  <c r="H1015" i="4"/>
  <c r="H1023" i="4"/>
  <c r="H1031" i="4"/>
  <c r="H886" i="4"/>
  <c r="H939" i="4"/>
  <c r="H989" i="4"/>
  <c r="H1001" i="4"/>
  <c r="H1013" i="4"/>
  <c r="H1025" i="4"/>
  <c r="H876" i="4"/>
  <c r="H906" i="4"/>
  <c r="H961" i="4"/>
  <c r="H969" i="4"/>
  <c r="H977" i="4"/>
  <c r="H907" i="4"/>
  <c r="H911" i="4"/>
  <c r="H928" i="4"/>
  <c r="H964" i="4"/>
  <c r="H854" i="4"/>
  <c r="H860" i="4"/>
  <c r="H882" i="4"/>
  <c r="H887" i="4"/>
  <c r="H916" i="4"/>
  <c r="H920" i="4"/>
  <c r="H936" i="4"/>
  <c r="H953" i="4"/>
  <c r="H956" i="4"/>
  <c r="H980" i="4"/>
  <c r="H992" i="4"/>
  <c r="H1004" i="4"/>
  <c r="H1016" i="4"/>
  <c r="H1028" i="4"/>
  <c r="H898" i="4"/>
  <c r="H908" i="4"/>
  <c r="H900" i="4"/>
  <c r="H940" i="4"/>
  <c r="H975" i="4"/>
  <c r="H890" i="4"/>
  <c r="H955" i="4"/>
  <c r="H960" i="4"/>
  <c r="H1024" i="4"/>
  <c r="H933" i="4"/>
  <c r="H1012" i="4"/>
  <c r="H926" i="4"/>
  <c r="H1000" i="4"/>
  <c r="H1020" i="4"/>
  <c r="H957" i="4"/>
  <c r="H988" i="4"/>
  <c r="H1008" i="4"/>
  <c r="H1021" i="4"/>
  <c r="H1029" i="4"/>
  <c r="G14" i="13"/>
  <c r="H934" i="4"/>
  <c r="H996" i="4"/>
  <c r="H1009" i="4"/>
  <c r="H1017" i="4"/>
  <c r="H863" i="4"/>
  <c r="H874" i="4"/>
  <c r="H895" i="4"/>
  <c r="H976" i="4"/>
  <c r="H993" i="4"/>
  <c r="H838" i="4"/>
  <c r="H973" i="4"/>
  <c r="H899" i="4"/>
  <c r="H968" i="4"/>
  <c r="H879" i="4"/>
  <c r="H967" i="4"/>
  <c r="H984" i="4"/>
  <c r="H997" i="4"/>
  <c r="H1005" i="4"/>
  <c r="H935" i="4"/>
  <c r="H985" i="4"/>
  <c r="H981" i="4"/>
  <c r="H930" i="4"/>
  <c r="H959" i="4"/>
  <c r="E835" i="4"/>
  <c r="E851" i="4"/>
  <c r="E867" i="4"/>
  <c r="E883" i="4"/>
  <c r="E899" i="4"/>
  <c r="E915" i="4"/>
  <c r="E925" i="4"/>
  <c r="E929" i="4"/>
  <c r="E933" i="4"/>
  <c r="E837" i="4"/>
  <c r="E864" i="4"/>
  <c r="E872" i="4"/>
  <c r="E891" i="4"/>
  <c r="E910" i="4"/>
  <c r="E918" i="4"/>
  <c r="E930" i="4"/>
  <c r="E839" i="4"/>
  <c r="E858" i="4"/>
  <c r="E877" i="4"/>
  <c r="E884" i="4"/>
  <c r="E903" i="4"/>
  <c r="E846" i="4"/>
  <c r="E853" i="4"/>
  <c r="E860" i="4"/>
  <c r="E865" i="4"/>
  <c r="E879" i="4"/>
  <c r="E898" i="4"/>
  <c r="E917" i="4"/>
  <c r="E927" i="4"/>
  <c r="E935" i="4"/>
  <c r="E843" i="4"/>
  <c r="E850" i="4"/>
  <c r="E862" i="4"/>
  <c r="E847" i="4"/>
  <c r="E857" i="4"/>
  <c r="E885" i="4"/>
  <c r="E887" i="4"/>
  <c r="E889" i="4"/>
  <c r="E919" i="4"/>
  <c r="E928" i="4"/>
  <c r="E946" i="4"/>
  <c r="E959" i="4"/>
  <c r="E963" i="4"/>
  <c r="E967" i="4"/>
  <c r="E971" i="4"/>
  <c r="E975" i="4"/>
  <c r="E979" i="4"/>
  <c r="E983" i="4"/>
  <c r="E987" i="4"/>
  <c r="E991" i="4"/>
  <c r="E995" i="4"/>
  <c r="E999" i="4"/>
  <c r="E1003" i="4"/>
  <c r="E1007" i="4"/>
  <c r="E1011" i="4"/>
  <c r="E1015" i="4"/>
  <c r="E1019" i="4"/>
  <c r="E1023" i="4"/>
  <c r="E1027" i="4"/>
  <c r="E1031" i="4"/>
  <c r="E848" i="4"/>
  <c r="E888" i="4"/>
  <c r="E892" i="4"/>
  <c r="E896" i="4"/>
  <c r="E914" i="4"/>
  <c r="E937" i="4"/>
  <c r="E948" i="4"/>
  <c r="E838" i="4"/>
  <c r="E886" i="4"/>
  <c r="E890" i="4"/>
  <c r="E894" i="4"/>
  <c r="E916" i="4"/>
  <c r="E945" i="4"/>
  <c r="E951" i="4"/>
  <c r="E842" i="4"/>
  <c r="E880" i="4"/>
  <c r="E901" i="4"/>
  <c r="E904" i="4"/>
  <c r="E909" i="4"/>
  <c r="E931" i="4"/>
  <c r="E942" i="4"/>
  <c r="E950" i="4"/>
  <c r="E952" i="4"/>
  <c r="E954" i="4"/>
  <c r="E965" i="4"/>
  <c r="E972" i="4"/>
  <c r="D14" i="13"/>
  <c r="E854" i="4"/>
  <c r="E874" i="4"/>
  <c r="E907" i="4"/>
  <c r="E940" i="4"/>
  <c r="E956" i="4"/>
  <c r="E984" i="4"/>
  <c r="E992" i="4"/>
  <c r="E1000" i="4"/>
  <c r="E1008" i="4"/>
  <c r="E1016" i="4"/>
  <c r="E1024" i="4"/>
  <c r="E836" i="4"/>
  <c r="E878" i="4"/>
  <c r="E932" i="4"/>
  <c r="E947" i="4"/>
  <c r="E962" i="4"/>
  <c r="E978" i="4"/>
  <c r="E844" i="4"/>
  <c r="E852" i="4"/>
  <c r="E859" i="4"/>
  <c r="E866" i="4"/>
  <c r="E897" i="4"/>
  <c r="E900" i="4"/>
  <c r="E908" i="4"/>
  <c r="E939" i="4"/>
  <c r="E941" i="4"/>
  <c r="E834" i="4"/>
  <c r="B19" i="13" s="1" a="1"/>
  <c r="B19" i="13" s="1"/>
  <c r="E840" i="4"/>
  <c r="E869" i="4"/>
  <c r="E875" i="4"/>
  <c r="E923" i="4"/>
  <c r="E943" i="4"/>
  <c r="E949" i="4"/>
  <c r="E964" i="4"/>
  <c r="E973" i="4"/>
  <c r="E876" i="4"/>
  <c r="E906" i="4"/>
  <c r="E961" i="4"/>
  <c r="E969" i="4"/>
  <c r="E977" i="4"/>
  <c r="E870" i="4"/>
  <c r="E881" i="4"/>
  <c r="E911" i="4"/>
  <c r="E982" i="4"/>
  <c r="E994" i="4"/>
  <c r="E1006" i="4"/>
  <c r="E1018" i="4"/>
  <c r="E1030" i="4"/>
  <c r="E841" i="4"/>
  <c r="E871" i="4"/>
  <c r="E882" i="4"/>
  <c r="E902" i="4"/>
  <c r="E920" i="4"/>
  <c r="E924" i="4"/>
  <c r="E936" i="4"/>
  <c r="E953" i="4"/>
  <c r="E980" i="4"/>
  <c r="E1004" i="4"/>
  <c r="E1028" i="4"/>
  <c r="E985" i="4"/>
  <c r="E997" i="4"/>
  <c r="E1009" i="4"/>
  <c r="E1021" i="4"/>
  <c r="E893" i="4"/>
  <c r="E912" i="4"/>
  <c r="E855" i="4"/>
  <c r="E861" i="4"/>
  <c r="E921" i="4"/>
  <c r="E944" i="4"/>
  <c r="E990" i="4"/>
  <c r="E1002" i="4"/>
  <c r="E1014" i="4"/>
  <c r="E1026" i="4"/>
  <c r="E868" i="4"/>
  <c r="E938" i="4"/>
  <c r="E955" i="4"/>
  <c r="E960" i="4"/>
  <c r="E957" i="4"/>
  <c r="E1012" i="4"/>
  <c r="E845" i="4"/>
  <c r="E926" i="4"/>
  <c r="E970" i="4"/>
  <c r="E974" i="4"/>
  <c r="E1020" i="4"/>
  <c r="E988" i="4"/>
  <c r="E1029" i="4"/>
  <c r="E934" i="4"/>
  <c r="E996" i="4"/>
  <c r="E1017" i="4"/>
  <c r="E849" i="4"/>
  <c r="E873" i="4"/>
  <c r="E913" i="4"/>
  <c r="E966" i="4"/>
  <c r="E1005" i="4"/>
  <c r="E1025" i="4"/>
  <c r="E922" i="4"/>
  <c r="E981" i="4"/>
  <c r="E1001" i="4"/>
  <c r="E989" i="4"/>
  <c r="E1022" i="4"/>
  <c r="E856" i="4"/>
  <c r="E998" i="4"/>
  <c r="E986" i="4"/>
  <c r="E863" i="4"/>
  <c r="E895" i="4"/>
  <c r="E976" i="4"/>
  <c r="E993" i="4"/>
  <c r="E1013" i="4"/>
  <c r="E905" i="4"/>
  <c r="E958" i="4"/>
  <c r="E968" i="4"/>
  <c r="E1010" i="4"/>
  <c r="AC837" i="4"/>
  <c r="AC853" i="4"/>
  <c r="AC869" i="4"/>
  <c r="AC885" i="4"/>
  <c r="AC901" i="4"/>
  <c r="AC917" i="4"/>
  <c r="AC844" i="4"/>
  <c r="AC852" i="4"/>
  <c r="AC879" i="4"/>
  <c r="AC887" i="4"/>
  <c r="AC898" i="4"/>
  <c r="AC906" i="4"/>
  <c r="AC932" i="4"/>
  <c r="AC838" i="4"/>
  <c r="AC850" i="4"/>
  <c r="AC845" i="4"/>
  <c r="AC859" i="4"/>
  <c r="AC864" i="4"/>
  <c r="AC871" i="4"/>
  <c r="AC878" i="4"/>
  <c r="AC890" i="4"/>
  <c r="AC897" i="4"/>
  <c r="AC840" i="4"/>
  <c r="AC904" i="4"/>
  <c r="AC911" i="4"/>
  <c r="AC923" i="4"/>
  <c r="AC931" i="4"/>
  <c r="AC937" i="4"/>
  <c r="AC947" i="4"/>
  <c r="AC951" i="4"/>
  <c r="AC955" i="4"/>
  <c r="AC856" i="4"/>
  <c r="AC863" i="4"/>
  <c r="AC884" i="4"/>
  <c r="AC886" i="4"/>
  <c r="AC888" i="4"/>
  <c r="AC841" i="4"/>
  <c r="AC849" i="4"/>
  <c r="AC854" i="4"/>
  <c r="AC880" i="4"/>
  <c r="AC882" i="4"/>
  <c r="AC903" i="4"/>
  <c r="AC920" i="4"/>
  <c r="AC922" i="4"/>
  <c r="AC934" i="4"/>
  <c r="AC942" i="4"/>
  <c r="AC948" i="4"/>
  <c r="AC834" i="4"/>
  <c r="AC842" i="4"/>
  <c r="AC889" i="4"/>
  <c r="AC893" i="4"/>
  <c r="AC915" i="4"/>
  <c r="AC944" i="4"/>
  <c r="AC950" i="4"/>
  <c r="AC857" i="4"/>
  <c r="AC919" i="4"/>
  <c r="AC926" i="4"/>
  <c r="AC933" i="4"/>
  <c r="AC941" i="4"/>
  <c r="AC953" i="4"/>
  <c r="AC960" i="4"/>
  <c r="AC964" i="4"/>
  <c r="AC968" i="4"/>
  <c r="AC972" i="4"/>
  <c r="AC976" i="4"/>
  <c r="AC873" i="4"/>
  <c r="AC928" i="4"/>
  <c r="AC939" i="4"/>
  <c r="AC983" i="4"/>
  <c r="AC991" i="4"/>
  <c r="AC999" i="4"/>
  <c r="AC1007" i="4"/>
  <c r="AC1015" i="4"/>
  <c r="AC1023" i="4"/>
  <c r="AC1031" i="4"/>
  <c r="AC860" i="4"/>
  <c r="AC870" i="4"/>
  <c r="AC876" i="4"/>
  <c r="AC921" i="4"/>
  <c r="AC935" i="4"/>
  <c r="AC957" i="4"/>
  <c r="AC973" i="4"/>
  <c r="AC980" i="4"/>
  <c r="AC988" i="4"/>
  <c r="AC996" i="4"/>
  <c r="AC1004" i="4"/>
  <c r="AC1012" i="4"/>
  <c r="AC1020" i="4"/>
  <c r="AC1028" i="4"/>
  <c r="AC839" i="4"/>
  <c r="AC868" i="4"/>
  <c r="AC874" i="4"/>
  <c r="AC909" i="4"/>
  <c r="AC924" i="4"/>
  <c r="AC963" i="4"/>
  <c r="AC970" i="4"/>
  <c r="AC982" i="4"/>
  <c r="AC990" i="4"/>
  <c r="AC998" i="4"/>
  <c r="AC1006" i="4"/>
  <c r="AC1014" i="4"/>
  <c r="AC1022" i="4"/>
  <c r="AC1030" i="4"/>
  <c r="AC855" i="4"/>
  <c r="AC862" i="4"/>
  <c r="AC875" i="4"/>
  <c r="AC881" i="4"/>
  <c r="AC912" i="4"/>
  <c r="AC929" i="4"/>
  <c r="AC843" i="4"/>
  <c r="AC847" i="4"/>
  <c r="AC851" i="4"/>
  <c r="AC858" i="4"/>
  <c r="AC865" i="4"/>
  <c r="AC896" i="4"/>
  <c r="AC899" i="4"/>
  <c r="AC907" i="4"/>
  <c r="AC938" i="4"/>
  <c r="AC940" i="4"/>
  <c r="AC952" i="4"/>
  <c r="AC954" i="4"/>
  <c r="AC956" i="4"/>
  <c r="AC979" i="4"/>
  <c r="AC987" i="4"/>
  <c r="AC995" i="4"/>
  <c r="AC1003" i="4"/>
  <c r="AC1011" i="4"/>
  <c r="AC1019" i="4"/>
  <c r="AC1027" i="4"/>
  <c r="AB14" i="13"/>
  <c r="AC910" i="4"/>
  <c r="AC918" i="4"/>
  <c r="AC945" i="4"/>
  <c r="AC981" i="4"/>
  <c r="AC993" i="4"/>
  <c r="AC1005" i="4"/>
  <c r="AC1017" i="4"/>
  <c r="AC1029" i="4"/>
  <c r="AC891" i="4"/>
  <c r="AC914" i="4"/>
  <c r="AC927" i="4"/>
  <c r="AC846" i="4"/>
  <c r="AC949" i="4"/>
  <c r="AC971" i="4"/>
  <c r="AC984" i="4"/>
  <c r="AC986" i="4"/>
  <c r="AC1008" i="4"/>
  <c r="AC1010" i="4"/>
  <c r="AC892" i="4"/>
  <c r="AC902" i="4"/>
  <c r="AC946" i="4"/>
  <c r="AC958" i="4"/>
  <c r="AC966" i="4"/>
  <c r="AC974" i="4"/>
  <c r="AC866" i="4"/>
  <c r="AC936" i="4"/>
  <c r="AC961" i="4"/>
  <c r="AC969" i="4"/>
  <c r="AC977" i="4"/>
  <c r="AC908" i="4"/>
  <c r="AC930" i="4"/>
  <c r="AC994" i="4"/>
  <c r="AC925" i="4"/>
  <c r="AC1002" i="4"/>
  <c r="AC900" i="4"/>
  <c r="AC978" i="4"/>
  <c r="AC1016" i="4"/>
  <c r="AC835" i="4"/>
  <c r="AC848" i="4"/>
  <c r="AC872" i="4"/>
  <c r="AC965" i="4"/>
  <c r="AC1024" i="4"/>
  <c r="AC861" i="4"/>
  <c r="AC883" i="4"/>
  <c r="AC894" i="4"/>
  <c r="AC975" i="4"/>
  <c r="AC992" i="4"/>
  <c r="AC1021" i="4"/>
  <c r="AC913" i="4"/>
  <c r="AC967" i="4"/>
  <c r="AC1001" i="4"/>
  <c r="AC1009" i="4"/>
  <c r="AC962" i="4"/>
  <c r="AC989" i="4"/>
  <c r="AC997" i="4"/>
  <c r="AC877" i="4"/>
  <c r="AC916" i="4"/>
  <c r="AC943" i="4"/>
  <c r="AC985" i="4"/>
  <c r="AC1018" i="4"/>
  <c r="AC867" i="4"/>
  <c r="AC959" i="4"/>
  <c r="AC1026" i="4"/>
  <c r="AC836" i="4"/>
  <c r="AC1000" i="4"/>
  <c r="AC1025" i="4"/>
  <c r="AC1013" i="4"/>
  <c r="AC895" i="4"/>
  <c r="AC905" i="4"/>
  <c r="Z835" i="4"/>
  <c r="Z839" i="4"/>
  <c r="Z843" i="4"/>
  <c r="Z847" i="4"/>
  <c r="Z851" i="4"/>
  <c r="Z855" i="4"/>
  <c r="Z859" i="4"/>
  <c r="Z863" i="4"/>
  <c r="Z867" i="4"/>
  <c r="Z871" i="4"/>
  <c r="Z875" i="4"/>
  <c r="Z879" i="4"/>
  <c r="Z883" i="4"/>
  <c r="Z887" i="4"/>
  <c r="Z891" i="4"/>
  <c r="Z895" i="4"/>
  <c r="Z899" i="4"/>
  <c r="Z903" i="4"/>
  <c r="Z907" i="4"/>
  <c r="Z911" i="4"/>
  <c r="Z915" i="4"/>
  <c r="Z919" i="4"/>
  <c r="Z840" i="4"/>
  <c r="Z856" i="4"/>
  <c r="Z872" i="4"/>
  <c r="Z888" i="4"/>
  <c r="Z904" i="4"/>
  <c r="Z920" i="4"/>
  <c r="Z841" i="4"/>
  <c r="Z849" i="4"/>
  <c r="Z860" i="4"/>
  <c r="Z868" i="4"/>
  <c r="Z914" i="4"/>
  <c r="Z922" i="4"/>
  <c r="Z935" i="4"/>
  <c r="Z939" i="4"/>
  <c r="Z943" i="4"/>
  <c r="Z845" i="4"/>
  <c r="Z852" i="4"/>
  <c r="Z854" i="4"/>
  <c r="Z866" i="4"/>
  <c r="Z873" i="4"/>
  <c r="Z885" i="4"/>
  <c r="Z892" i="4"/>
  <c r="Z918" i="4"/>
  <c r="Z940" i="4"/>
  <c r="Z837" i="4"/>
  <c r="Z880" i="4"/>
  <c r="Z882" i="4"/>
  <c r="Z861" i="4"/>
  <c r="Z878" i="4"/>
  <c r="Z905" i="4"/>
  <c r="Z951" i="4"/>
  <c r="Z954" i="4"/>
  <c r="Z857" i="4"/>
  <c r="Z926" i="4"/>
  <c r="Z933" i="4"/>
  <c r="Z941" i="4"/>
  <c r="Z953" i="4"/>
  <c r="Z960" i="4"/>
  <c r="Z964" i="4"/>
  <c r="Z968" i="4"/>
  <c r="Z972" i="4"/>
  <c r="Z976" i="4"/>
  <c r="Z980" i="4"/>
  <c r="Z984" i="4"/>
  <c r="Z988" i="4"/>
  <c r="Z992" i="4"/>
  <c r="Z996" i="4"/>
  <c r="Z1000" i="4"/>
  <c r="Z1004" i="4"/>
  <c r="Z1008" i="4"/>
  <c r="Z1012" i="4"/>
  <c r="Z1016" i="4"/>
  <c r="Z1020" i="4"/>
  <c r="Z1024" i="4"/>
  <c r="Z1028" i="4"/>
  <c r="Z862" i="4"/>
  <c r="Z864" i="4"/>
  <c r="Z881" i="4"/>
  <c r="Z917" i="4"/>
  <c r="Z928" i="4"/>
  <c r="Z938" i="4"/>
  <c r="Z956" i="4"/>
  <c r="Z834" i="4"/>
  <c r="Z853" i="4"/>
  <c r="Z870" i="4"/>
  <c r="Z876" i="4"/>
  <c r="Z906" i="4"/>
  <c r="Z921" i="4"/>
  <c r="Z955" i="4"/>
  <c r="Z957" i="4"/>
  <c r="Z973" i="4"/>
  <c r="Z916" i="4"/>
  <c r="Z937" i="4"/>
  <c r="Z959" i="4"/>
  <c r="Z966" i="4"/>
  <c r="Z975" i="4"/>
  <c r="Z858" i="4"/>
  <c r="Z865" i="4"/>
  <c r="Z896" i="4"/>
  <c r="Z942" i="4"/>
  <c r="Z944" i="4"/>
  <c r="Z948" i="4"/>
  <c r="Z950" i="4"/>
  <c r="Z952" i="4"/>
  <c r="Z979" i="4"/>
  <c r="Z987" i="4"/>
  <c r="Z995" i="4"/>
  <c r="Z1003" i="4"/>
  <c r="Z1011" i="4"/>
  <c r="Z1019" i="4"/>
  <c r="Z1027" i="4"/>
  <c r="Z884" i="4"/>
  <c r="Z890" i="4"/>
  <c r="Z902" i="4"/>
  <c r="Z910" i="4"/>
  <c r="Z927" i="4"/>
  <c r="Z936" i="4"/>
  <c r="Z893" i="4"/>
  <c r="Z912" i="4"/>
  <c r="Z929" i="4"/>
  <c r="Z965" i="4"/>
  <c r="Z838" i="4"/>
  <c r="Z869" i="4"/>
  <c r="Z846" i="4"/>
  <c r="Z901" i="4"/>
  <c r="Z923" i="4"/>
  <c r="Z949" i="4"/>
  <c r="Z963" i="4"/>
  <c r="Z971" i="4"/>
  <c r="Z986" i="4"/>
  <c r="Z998" i="4"/>
  <c r="Z1010" i="4"/>
  <c r="Z1022" i="4"/>
  <c r="Z886" i="4"/>
  <c r="Z931" i="4"/>
  <c r="Z946" i="4"/>
  <c r="Z958" i="4"/>
  <c r="Z974" i="4"/>
  <c r="Z991" i="4"/>
  <c r="Z1015" i="4"/>
  <c r="Z897" i="4"/>
  <c r="Z989" i="4"/>
  <c r="Z1001" i="4"/>
  <c r="Z1013" i="4"/>
  <c r="Z1025" i="4"/>
  <c r="Y14" i="13"/>
  <c r="Z848" i="4"/>
  <c r="Z877" i="4"/>
  <c r="Z898" i="4"/>
  <c r="Z924" i="4"/>
  <c r="Z932" i="4"/>
  <c r="Z982" i="4"/>
  <c r="Z994" i="4"/>
  <c r="Z1006" i="4"/>
  <c r="Z1018" i="4"/>
  <c r="Z1030" i="4"/>
  <c r="Z889" i="4"/>
  <c r="Z925" i="4"/>
  <c r="Z1002" i="4"/>
  <c r="Z1023" i="4"/>
  <c r="Z909" i="4"/>
  <c r="Z1007" i="4"/>
  <c r="Z844" i="4"/>
  <c r="Z969" i="4"/>
  <c r="Z990" i="4"/>
  <c r="Z1031" i="4"/>
  <c r="Z900" i="4"/>
  <c r="Z978" i="4"/>
  <c r="Z999" i="4"/>
  <c r="Z894" i="4"/>
  <c r="Z945" i="4"/>
  <c r="Z961" i="4"/>
  <c r="Z836" i="4"/>
  <c r="Z970" i="4"/>
  <c r="Z983" i="4"/>
  <c r="Z913" i="4"/>
  <c r="Z947" i="4"/>
  <c r="Z1009" i="4"/>
  <c r="Z1029" i="4"/>
  <c r="Z962" i="4"/>
  <c r="Z997" i="4"/>
  <c r="Z874" i="4"/>
  <c r="Z985" i="4"/>
  <c r="Z1005" i="4"/>
  <c r="Z842" i="4"/>
  <c r="Z977" i="4"/>
  <c r="Z993" i="4"/>
  <c r="Z1026" i="4"/>
  <c r="Z908" i="4"/>
  <c r="Z930" i="4"/>
  <c r="Z981" i="4"/>
  <c r="Z1014" i="4"/>
  <c r="Z934" i="4"/>
  <c r="Z1021" i="4"/>
  <c r="Z850" i="4"/>
  <c r="Z967" i="4"/>
  <c r="Z1017" i="4"/>
  <c r="Q12" i="13" l="1"/>
  <c r="H12" i="13"/>
  <c r="U12" i="13"/>
  <c r="I12" i="13"/>
  <c r="J12" i="13"/>
  <c r="S12" i="13"/>
  <c r="K12" i="13"/>
  <c r="P12" i="13"/>
  <c r="E12" i="13"/>
  <c r="N12" i="13"/>
  <c r="AB12" i="13"/>
  <c r="AA12" i="13"/>
  <c r="AC12" i="13"/>
  <c r="R12" i="13"/>
  <c r="T12" i="13"/>
  <c r="F12" i="13"/>
  <c r="AD12" i="13"/>
  <c r="D12" i="13"/>
  <c r="L12" i="13"/>
  <c r="V12" i="13"/>
  <c r="O12" i="13"/>
  <c r="G12" i="13"/>
  <c r="M12" i="13"/>
  <c r="Y12" i="13"/>
  <c r="Z12" i="13"/>
  <c r="X12" i="13"/>
  <c r="W12" i="13"/>
</calcChain>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855">
    <s v="ThisWorkbookDataModel"/>
    <s v="[FVA23_Status].[RP_Name].&amp;[A2Dominion Housing Group Limited]"/>
    <s v="[FVA23_Status].[Group].&amp;[1]"/>
    <s v="[FVA23_Status].[RP_Name].&amp;[Abri Group Limited]"/>
    <s v="[FVA23_Status].[RP_Name].&amp;[Accent Group Limited]"/>
    <s v="[FVA23_Status].[RP_Name].&amp;[Acis Group Limited]"/>
    <s v="[FVA23_Status].[RP_Name].&amp;[Advance Housing and Support Limited]"/>
    <s v="[FVA23_Status].[RP_Name].&amp;[Anchor Hanover Group]"/>
    <s v="[FVA23_Status].[RP_Name].&amp;[Arawak Walton Housing Association Limited]"/>
    <s v="[FVA23_Status].[RP_Name].&amp;[Arches Housing Limited]"/>
    <s v="[FVA23_Status].[RP_Name].&amp;[Aspire Housing Limited]"/>
    <s v="[FVA23_Status].[RP_Name].&amp;[Aster Group Limited]"/>
    <s v="[FVA23_Status].[RP_Name].&amp;[B3 Living Limited]"/>
    <s v="[FVA23_Status].[RP_Name].&amp;[Believe Housing Limited]"/>
    <s v="[FVA23_Status].[RP_Name].&amp;[Bernicia Group]"/>
    <s v="[FVA23_Status].[RP_Name].&amp;[Beyond Housing Limited]"/>
    <s v="[FVA23_Status].[RP_Name].&amp;[Black Country Housing Group Limited]"/>
    <s v="[FVA23_Status].[RP_Name].&amp;[Bolton at Home Limited]"/>
    <s v="[FVA23_Status].[RP_Name].&amp;[Bournemouth Churches Housing Association Limited]"/>
    <s v="[FVA23_Status].[RP_Name].&amp;[Bournville Village Trust]"/>
    <s v="[FVA23_Status].[RP_Name].&amp;[bpha Limited]"/>
    <s v="[FVA23_Status].[RP_Name].&amp;[Brighter Places]"/>
    <s v="[FVA23_Status].[RP_Name].&amp;[Broadacres Housing Association Limited]"/>
    <s v="[FVA23_Status].[RP_Name].&amp;[Broadland Housing Association Limited]"/>
    <s v="[FVA23_Status].[RP_Name].&amp;[Bromford Housing Group Limited]"/>
    <s v="[FVA23_Status].[RP_Name].&amp;[Bromsgrove District Housing Trust Limited]"/>
    <s v="[FVA23_Status].[RP_Name].&amp;[Brunelcare]"/>
    <s v="[FVA23_Status].[RP_Name].&amp;[Calico Homes Limited]"/>
    <s v="[FVA23_Status].[RP_Name].&amp;[Castles &amp; Coasts Housing Association Limited]"/>
    <s v="[FVA23_Status].[RP_Name].&amp;[Chelmer Housing Partnership Limited]"/>
    <s v="[FVA23_Status].[RP_Name].&amp;[Cheshire Peaks &amp; Plains Housing Trust Limited]"/>
    <s v="[FVA23_Status].[RP_Name].&amp;[Christian Action (Enfield) Housing Association Limited]"/>
    <s v="[FVA23_Status].[RP_Name].&amp;[Citizen Housing Group Limited]"/>
    <s v="[FVA23_Status].[RP_Name].&amp;[Clarion Housing Group Limited]"/>
    <s v="[FVA23_Status].[RP_Name].&amp;[Coastline Housing Limited]"/>
    <s v="[FVA23_Status].[RP_Name].&amp;[Cobalt Housing Limited]"/>
    <s v="[FVA23_Status].[RP_Name].&amp;[Community Gateway Association Limited]"/>
    <s v="[FVA23_Status].[RP_Name].&amp;[Connect Housing Association Limited]"/>
    <s v="[FVA23_Status].[RP_Name].&amp;[Connexus Homes Limited]"/>
    <s v="[FVA23_Status].[RP_Name].&amp;[Cornerstone Housing Limited]"/>
    <s v="[FVA23_Status].[RP_Name].&amp;[Cottsway Housing Association Limited]"/>
    <s v="[FVA23_Status].[RP_Name].&amp;[Cross Keys Homes Limited]"/>
    <s v="[FVA23_Status].[RP_Name].&amp;[Croydon Churches Housing Association Limited]"/>
    <s v="[FVA23_Status].[RP_Name].&amp;[Curo Group (Albion) Limited]"/>
    <s v="[FVA23_Status].[RP_Name].&amp;[Durham Aged Mineworkers' Homes Association]"/>
    <s v="[FVA23_Status].[RP_Name].&amp;[East End Homes Limited]"/>
    <s v="[FVA23_Status].[RP_Name].&amp;[East Midlands Housing Group Limited]"/>
    <s v="[FVA23_Status].[RP_Name].&amp;[Eastlight Community Homes Limited]"/>
    <s v="[FVA23_Status].[RP_Name].&amp;[Eden Housing Association Limited]"/>
    <s v="[FVA23_Status].[RP_Name].&amp;[Empowering People Inspiring Communities Limited]"/>
    <s v="[FVA23_Status].[RP_Name].&amp;[English Rural Housing Association Limited]"/>
    <s v="[FVA23_Status].[RP_Name].&amp;[Estuary Housing Association Limited]"/>
    <s v="[FVA23_Status].[RP_Name].&amp;[Fairhive Homes Limited]"/>
    <s v="[FVA23_Status].[RP_Name].&amp;[First Choice Homes Oldham Limited]"/>
    <s v="[FVA23_Status].[RP_Name].&amp;[First Garden Cities Homes Limited]"/>
    <s v="[FVA23_Status].[RP_Name].&amp;[Flagship Housing Group Limited]"/>
    <s v="[FVA23_Status].[RP_Name].&amp;[ForHousing Limited]"/>
    <s v="[FVA23_Status].[RP_Name].&amp;[Framework Housing Association]"/>
    <s v="[FVA23_Status].[RP_Name].&amp;[Freebridge Community Housing Limited]"/>
    <s v="[FVA23_Status].[RP_Name].&amp;[Futures Housing Group Limited]"/>
    <s v="[FVA23_Status].[RP_Name].&amp;[Gateway Housing Association Limited]"/>
    <s v="[FVA23_Status].[RP_Name].&amp;[Gentoo Group Limited]"/>
    <s v="[FVA23_Status].[RP_Name].&amp;[Gloucester City Homes Limited]"/>
    <s v="[FVA23_Status].[RP_Name].&amp;[Golden Lane Housing Limited]"/>
    <s v="[FVA23_Status].[RP_Name].&amp;[Golding Homes Limited]"/>
    <s v="[FVA23_Status].[RP_Name].&amp;[Grand Union Housing Group Limited]"/>
    <s v="[FVA23_Status].[RP_Name].&amp;[Great Places Housing Group Limited]"/>
    <s v="[FVA23_Status].[RP_Name].&amp;[Greatwell Homes Limited]"/>
    <s v="[FVA23_Status].[RP_Name].&amp;[GreenSquareAccord Limited]"/>
    <s v="[FVA23_Status].[RP_Name].&amp;[Habinteg Housing Association Limited]"/>
    <s v="[FVA23_Status].[RP_Name].&amp;[Halton Housing]"/>
    <s v="[FVA23_Status].[RP_Name].&amp;[Hastoe Housing Association Limited]"/>
    <s v="[FVA23_Status].[RP_Name].&amp;[Hexagon Housing Association Limited]"/>
    <s v="[FVA23_Status].[RP_Name].&amp;[Hightown Housing Association Limited]"/>
    <s v="[FVA23_Status].[RP_Name].&amp;[Home Group Limited]"/>
    <s v="[FVA23_Status].[RP_Name].&amp;[Honeycomb Group Limited]"/>
    <s v="[FVA23_Status].[RP_Name].&amp;[Housing 21]"/>
    <s v="[FVA23_Status].[RP_Name].&amp;[Housing Solutions]"/>
    <s v="[FVA23_Status].[RP_Name].&amp;[Hundred Houses Society Limited]"/>
    <s v="[FVA23_Status].[RP_Name].&amp;[Hyde Housing Association Limited]"/>
    <s v="[FVA23_Status].[RP_Name].&amp;[Inclusion Housing Community Interest Company]"/>
    <s v="[FVA23_Status].[RP_Name].&amp;[Incommunities Limited]"/>
    <s v="[FVA23_Status].[RP_Name].&amp;[Inquilab Housing Association Limited]"/>
    <s v="[FVA23_Status].[RP_Name].&amp;[Irwell Valley Housing Association Limited]"/>
    <s v="[FVA23_Status].[RP_Name].&amp;[Islington and Shoreditch Housing Association Limited]"/>
    <s v="[FVA23_Status].[RP_Name].&amp;[Jigsaw Homes Group Limited]"/>
    <s v="[FVA23_Status].[RP_Name].&amp;['Johnnie' Johnson Housing Trust Limited]"/>
    <s v="[FVA23_Status].[RP_Name].&amp;[Joseph Rowntree Housing Trust]"/>
    <s v="[FVA23_Status].[RP_Name].&amp;[Karbon Homes Limited]"/>
    <s v="[FVA23_Status].[RP_Name].&amp;[Leeds Federated Housing Association Limited]"/>
    <s v="[FVA23_Status].[RP_Name].&amp;[Lincolnshire Housing Partnership Limited]"/>
    <s v="[FVA23_Status].[RP_Name].&amp;[LiveWest Homes Limited]"/>
    <s v="[FVA23_Status].[RP_Name].&amp;[Livin Housing Limited]"/>
    <s v="[FVA23_Status].[RP_Name].&amp;[Livv Housing Group]"/>
    <s v="[FVA23_Status].[RP_Name].&amp;[Local Space]"/>
    <s v="[FVA23_Status].[RP_Name].&amp;[London &amp; Quadrant Housing Trust]"/>
    <s v="[FVA23_Status].[RP_Name].&amp;[Longhurst Group Limited]"/>
    <s v="[FVA23_Status].[RP_Name].&amp;[Look Ahead Care and Support Limited]"/>
    <s v="[FVA23_Status].[RP_Name].&amp;[Magenta Living]"/>
    <s v="[FVA23_Status].[RP_Name].&amp;[Magna Housing Limited]"/>
    <s v="[FVA23_Status].[RP_Name].&amp;[Manningham Housing Association Limited]"/>
    <s v="[FVA23_Status].[RP_Name].&amp;[Midland Heart Limited]"/>
    <s v="[FVA23_Status].[RP_Name].&amp;[Moat Homes Limited]"/>
    <s v="[FVA23_Status].[RP_Name].&amp;[Mosscare St. Vincent's Housing Group Limited]"/>
    <s v="[FVA23_Status].[RP_Name].&amp;[Mount Green Housing Association Limited]"/>
    <s v="[FVA23_Status].[RP_Name].&amp;[Muir Group Housing Association Limited]"/>
    <s v="[FVA23_Status].[RP_Name].&amp;[Nehemiah United Churches Housing Association Limited]"/>
    <s v="[FVA23_Status].[RP_Name].&amp;[Newlon Housing Trust]"/>
    <s v="[FVA23_Status].[RP_Name].&amp;[North Devon Homes]"/>
    <s v="[FVA23_Status].[RP_Name].&amp;[North London Muslim Housing Association Limited]"/>
    <s v="[FVA23_Status].[RP_Name].&amp;[North Star Housing Group]"/>
    <s v="[FVA23_Status].[RP_Name].&amp;[Notting Hill Genesis]"/>
    <s v="[FVA23_Status].[RP_Name].&amp;[Nottingham Community Housing Association Limited]"/>
    <s v="[FVA23_Status].[RP_Name].&amp;[NSAH (Alliance Homes) Limited]"/>
    <s v="[FVA23_Status].[RP_Name].&amp;[Ocean Housing Group Limited]"/>
    <s v="[FVA23_Status].[RP_Name].&amp;[Octavia Housing]"/>
    <s v="[FVA23_Status].[RP_Name].&amp;[One Manchester Limited]"/>
    <s v="[FVA23_Status].[RP_Name].&amp;[One Vision Housing Limited]"/>
    <s v="[FVA23_Status].[RP_Name].&amp;[Ongo Homes Limited]"/>
    <s v="[FVA23_Status].[RP_Name].&amp;[Onward Group Limited]"/>
    <s v="[FVA23_Status].[RP_Name].&amp;[Orbit Group Limited]"/>
    <s v="[FVA23_Status].[RP_Name].&amp;[Origin Housing Limited]"/>
    <s v="[FVA23_Status].[RP_Name].&amp;[Orwell Housing Association Limited]"/>
    <s v="[FVA23_Status].[RP_Name].&amp;[Paradigm Housing Group Limited]"/>
    <s v="[FVA23_Status].[RP_Name].&amp;[Paragon Asra Housing Limited]"/>
    <s v="[FVA23_Status].[RP_Name].&amp;[Peabody Trust]"/>
    <s v="[FVA23_Status].[RP_Name].&amp;[Phoenix Community Housing Association (Bellingham and Downham) Limited]"/>
    <s v="[FVA23_Status].[RP_Name].&amp;[Pickering and Ferens Homes]"/>
    <s v="[FVA23_Status].[RP_Name].&amp;[Places for People Group Limited]"/>
    <s v="[FVA23_Status].[RP_Name].&amp;[Platform Housing Group Limited]"/>
    <s v="[FVA23_Status].[RP_Name].&amp;[Plus Dane Housing Limited]"/>
    <s v="[FVA23_Status].[RP_Name].&amp;[Plymouth Community Homes Limited]"/>
    <s v="[FVA23_Status].[RP_Name].&amp;[Poplar Housing And Regeneration Community Association Limited]"/>
    <s v="[FVA23_Status].[RP_Name].&amp;[Prima Housing Group Limited]"/>
    <s v="[FVA23_Status].[RP_Name].&amp;[Progress Housing Group Limited]"/>
    <s v="[FVA23_Status].[RP_Name].&amp;[Railway Housing Association and Benefit Fund]"/>
    <s v="[FVA23_Status].[RP_Name].&amp;[Raven Housing Trust Limited]"/>
    <s v="[FVA23_Status].[RP_Name].&amp;[Red Kite Community Housing Limited]"/>
    <s v="[FVA23_Status].[RP_Name].&amp;[Regenda Limited]"/>
    <s v="[FVA23_Status].[RP_Name].&amp;[Richmond Housing Partnership Limited]"/>
    <s v="[FVA23_Status].[RP_Name].&amp;[Rochdale Boroughwide Housing Limited]"/>
    <s v="[FVA23_Status].[RP_Name].&amp;[Rooftop Housing Group Limited]"/>
    <s v="[FVA23_Status].[RP_Name].&amp;[Saffron Housing Trust Limited]"/>
    <s v="[FVA23_Status].[RP_Name].&amp;[Salix Homes Limited]"/>
    <s v="[FVA23_Status].[RP_Name].&amp;[Salvation Army Housing Association]"/>
    <s v="[FVA23_Status].[RP_Name].&amp;[Sanctuary Housing Association]"/>
    <s v="[FVA23_Status].[RP_Name].&amp;[Saxon Weald]"/>
    <s v="[FVA23_Status].[RP_Name].&amp;[Selwood Housing Society Limited]"/>
    <s v="[FVA23_Status].[RP_Name].&amp;[Settle Group]"/>
    <s v="[FVA23_Status].[RP_Name].&amp;[Shepherds Bush Housing Association Limited]"/>
    <s v="[FVA23_Status].[RP_Name].&amp;[Silva Homes Limited]"/>
    <s v="[FVA23_Status].[RP_Name].&amp;[Soha Housing Limited]"/>
    <s v="[FVA23_Status].[RP_Name].&amp;[South Lakes Housing]"/>
    <s v="[FVA23_Status].[RP_Name].&amp;[South Liverpool Homes Limited]"/>
    <s v="[FVA23_Status].[RP_Name].&amp;[South Yorkshire Housing Association Limited]"/>
    <s v="[FVA23_Status].[RP_Name].&amp;[Southern Housing]"/>
    <s v="[FVA23_Status].[RP_Name].&amp;[Southway Housing Trust (Manchester) Limited]"/>
    <s v="[FVA23_Status].[RP_Name].&amp;[Sovereign Housing Association Limited]"/>
    <s v="[FVA23_Status].[RP_Name].&amp;[Sovereign Network Homes]"/>
    <s v="[FVA23_Status].[RP_Name].&amp;[St Mungo Community Housing Association]"/>
    <s v="[FVA23_Status].[RP_Name].&amp;[Stonewater Limited]"/>
    <s v="[FVA23_Status].[RP_Name].&amp;[Sustain (UK) Ltd]"/>
    <s v="[FVA23_Status].[RP_Name].&amp;[Teign Housing]"/>
    <s v="[FVA23_Status].[RP_Name].&amp;[Thames Valley Housing Association Limited]"/>
    <s v="[FVA23_Status].[RP_Name].&amp;[The Abbeyfield Society]"/>
    <s v="[FVA23_Status].[RP_Name].&amp;[The Cambridge Housing Society Limited]"/>
    <s v="[FVA23_Status].[RP_Name].&amp;[The Community Housing Group Limited]"/>
    <s v="[FVA23_Status].[RP_Name].&amp;[The Guinness Partnership Limited]"/>
    <s v="[FVA23_Status].[RP_Name].&amp;[The Havebury Housing Partnership]"/>
    <s v="[FVA23_Status].[RP_Name].&amp;[The Housing Plus Group Limited]"/>
    <s v="[FVA23_Status].[RP_Name].&amp;[The Industrial Dwellings Society (1885) Limited]"/>
    <s v="[FVA23_Status].[RP_Name].&amp;[The Pioneer Housing and Community Group Limited]"/>
    <s v="[FVA23_Status].[RP_Name].&amp;[The Riverside Group Limited]"/>
    <s v="[FVA23_Status].[RP_Name].&amp;[The Wrekin Housing Group Limited]"/>
    <s v="[FVA23_Status].[RP_Name].&amp;[Thirteen Housing Group Limited]"/>
    <s v="[FVA23_Status].[RP_Name].&amp;[Thrive Homes Limited]"/>
    <s v="[FVA23_Status].[RP_Name].&amp;[Together Housing Group Limited]"/>
    <s v="[FVA23_Status].[RP_Name].&amp;[Torus62 Limited]"/>
    <s v="[FVA23_Status].[RP_Name].&amp;[Tower Hamlets Community Housing]"/>
    <s v="[FVA23_Status].[RP_Name].&amp;[Trent &amp; Dove Housing Limited]"/>
    <s v="[FVA23_Status].[RP_Name].&amp;[Trident Housing Association Limited]"/>
    <s v="[FVA23_Status].[RP_Name].&amp;[Tuntum Housing Association Limited]"/>
    <s v="[FVA23_Status].[RP_Name].&amp;[Two Rivers Housing]"/>
    <s v="[FVA23_Status].[RP_Name].&amp;[Unity Housing Association Limited]"/>
    <s v="[FVA23_Status].[RP_Name].&amp;[Vivid Housing Limited]"/>
    <s v="[FVA23_Status].[RP_Name].&amp;[Wakefield And District Housing Limited]"/>
    <s v="[FVA23_Status].[RP_Name].&amp;[Walsall Housing Group Limited]"/>
    <s v="[FVA23_Status].[RP_Name].&amp;[Wandle Housing Association Limited]"/>
    <s v="[FVA23_Status].[RP_Name].&amp;[Warrington Housing Association Limited]"/>
    <s v="[FVA23_Status].[RP_Name].&amp;[Watford Community Housing Trust]"/>
    <s v="[FVA23_Status].[RP_Name].&amp;[Watmos Community Homes]"/>
    <s v="[FVA23_Status].[RP_Name].&amp;[Weaver Vale Housing Trust Limited]"/>
    <s v="[FVA23_Status].[RP_Name].&amp;[West Kent Housing Association]"/>
    <s v="[FVA23_Status].[RP_Name].&amp;[Westward Housing Group Limited]"/>
    <s v="[FVA23_Status].[RP_Name].&amp;[Willow Tree Housing Partnership Limited]"/>
    <s v="[FVA23_Status].[RP_Name].&amp;[Worthing Homes Limited]"/>
    <s v="[FVA23_Status].[RP_Name].&amp;[Wythenshawe Community Housing Group Limited]"/>
    <s v="[FVA23_Status].[RP_Name].&amp;[YMCA St Paul's Group]"/>
    <s v="[FVA23_Status].[RP_Name].&amp;[Yorkshire Housing Limited]"/>
    <s v="[FVA23_Status].[RP_Name].&amp;[Your Housing Group Limited]"/>
    <s v="[Qry_FVA23_Status].[RP_Name].&amp;[Bespoke Supportive Tenancies Ltd]"/>
    <s v="[Qry_FVA23_Status].[RP_Code].&amp;[4718]"/>
    <s v="[Qry_FVA23_Status].[Group].&amp;[1]"/>
    <s v="[Qry_FVA23_Status].[RP_Name].&amp;[Hilldale Housing Association Limited]"/>
    <s v="[Qry_FVA23_Status].[RP_Code].&amp;[4760]"/>
    <s v="[Qry_FVA23_Status].[RP_Name].&amp;[Legal &amp; General Affordable Homes Limited]"/>
    <s v="[Qry_FVA23_Status].[RP_Code].&amp;[5062]"/>
    <s v="[Qry_FVA23_Status].[RP_Name].&amp;[Look Ahead Care and Support Limited]"/>
    <s v="[Qry_FVA23_Status].[RP_Code].&amp;[LH0013]"/>
    <s v="[Qry_FVA23_Status].[RP_Name].&amp;[Framework Housing Association]"/>
    <s v="[Qry_FVA23_Status].[RP_Code].&amp;[LH4184]"/>
    <s v="[Qry_FVA23_Status].[RP_Name].&amp;[The Abbeyfield Society]"/>
    <s v="[Qry_FVA23_Status].[RP_Code].&amp;[H1046]"/>
    <s v="[Qry_FVA23_Status].[RP_Name].&amp;[St Mungo Community Housing Association]"/>
    <s v="[Qry_FVA23_Status].[RP_Code].&amp;[LH0279]"/>
    <s v="[Qry_FVA23_Status].[RP_Name].&amp;[Tower Hamlets Community Housing]"/>
    <s v="[Qry_FVA23_Status].[RP_Code].&amp;[L4260]"/>
    <s v="[Qry_FVA23_Status].[RP_Name].&amp;[Advance Housing and Support Limited]"/>
    <s v="[Qry_FVA23_Status].[RP_Code].&amp;[LH0280]"/>
    <s v="[Qry_FVA23_Status].[RP_Name].&amp;[YMCA St Paul's Group]"/>
    <s v="[Qry_FVA23_Status].[RP_Code].&amp;[LH4078]"/>
    <s v="[Qry_FVA23_Status].[RP_Name].&amp;[Bournemouth Churches Housing Association Limited]"/>
    <s v="[Qry_FVA23_Status].[RP_Code].&amp;[LH0155]"/>
    <s v="[Qry_FVA23_Status].[RP_Name].&amp;[Joseph Rowntree Housing Trust]"/>
    <s v="[Qry_FVA23_Status].[RP_Code].&amp;[5079]"/>
    <s v="[Qry_FVA23_Status].[RP_Name].&amp;[The Industrial Dwellings Society (1885) Limited]"/>
    <s v="[Qry_FVA23_Status].[RP_Code].&amp;[L0266]"/>
    <s v="[Qry_FVA23_Status].[RP_Name].&amp;[Sustain (UK) Ltd]"/>
    <s v="[Qry_FVA23_Status].[RP_Code].&amp;[4687]"/>
    <s v="[Qry_FVA23_Status].[RP_Name].&amp;[Islington and Shoreditch Housing Association Limited]"/>
    <s v="[Qry_FVA23_Status].[RP_Code].&amp;[L0457]"/>
    <s v="[Qry_FVA23_Status].[RP_Name].&amp;[Brunelcare]"/>
    <s v="[Qry_FVA23_Status].[RP_Code].&amp;[LH0269]"/>
    <s v="[Qry_FVA23_Status].[RP_Name].&amp;[Local Space]"/>
    <s v="[Qry_FVA23_Status].[RP_Code].&amp;[LH4454]"/>
    <s v="[Qry_FVA23_Status].[RP_Name].&amp;[Croydon Churches Housing Association Limited]"/>
    <s v="[Qry_FVA23_Status].[RP_Code].&amp;[LH0495]"/>
    <s v="[Qry_FVA23_Status].[RP_Name].&amp;[Christian Action (Enfield) Housing Association Limited]"/>
    <s v="[Qry_FVA23_Status].[RP_Code].&amp;[LH0676]"/>
    <s v="[Qry_FVA23_Status].[RP_Name].&amp;[Black Country Housing Group Limited]"/>
    <s v="[Qry_FVA23_Status].[RP_Code].&amp;[L1668]"/>
    <s v="[Qry_FVA23_Status].[RP_Name].&amp;[Inquilab Housing Association Limited]"/>
    <s v="[Qry_FVA23_Status].[RP_Code].&amp;[LH3728]"/>
    <s v="[Qry_FVA23_Status].[RP_Name].&amp;[East End Homes Limited]"/>
    <s v="[Qry_FVA23_Status].[RP_Code].&amp;[L4434]"/>
    <s v="[Qry_FVA23_Status].[RP_Name].&amp;[Mount Green Housing Association Limited]"/>
    <s v="[Qry_FVA23_Status].[RP_Code].&amp;[L0042]"/>
    <s v="[Qry_FVA23_Status].[RP_Name].&amp;[North London Muslim Housing Association Limited]"/>
    <s v="[Qry_FVA23_Status].[RP_Code].&amp;[LH3859]"/>
    <s v="[Qry_FVA23_Status].[RP_Name].&amp;[Pickering and Ferens Homes]"/>
    <s v="[Qry_FVA23_Status].[RP_Code].&amp;[A4020]"/>
    <s v="[Qry_FVA23_Status].[RP_Name].&amp;[Warrington Housing Association Limited]"/>
    <s v="[Qry_FVA23_Status].[RP_Code].&amp;[L0518]"/>
    <s v="[Qry_FVA23_Status].[RP_Name].&amp;[Willow Tree Housing Partnership Limited]"/>
    <s v="[Qry_FVA23_Status].[RP_Code].&amp;[L2424]"/>
    <s v="[Qry_FVA23_Status].[RP_Name].&amp;[Nehemiah United Churches Housing Association Limited]"/>
    <s v="[Qry_FVA23_Status].[RP_Code].&amp;[L3833]"/>
    <s v="[Qry_FVA23_Status].[RP_Name].&amp;[First Garden Cities Homes Limited]"/>
    <s v="[Qry_FVA23_Status].[RP_Code].&amp;[5090]"/>
    <s v="[Qry_FVA23_Status].[RP_Name].&amp;[Hundred Houses Society Limited]"/>
    <s v="[Qry_FVA23_Status].[RP_Code].&amp;[L0718]"/>
    <s v="[Qry_FVA23_Status].[RP_Name].&amp;[Arawak Walton Housing Association Limited]"/>
    <s v="[Qry_FVA23_Status].[RP_Code].&amp;[L3713]"/>
    <s v="[Qry_FVA23_Status].[RP_Name].&amp;[Tuntum Housing Association Limited]"/>
    <s v="[Qry_FVA23_Status].[RP_Code].&amp;[L3808]"/>
    <s v="[Qry_FVA23_Status].[RP_Name].&amp;[Cornerstone Housing Limited]"/>
    <s v="[Qry_FVA23_Status].[RP_Code].&amp;[L0147]"/>
    <s v="[Qry_FVA23_Status].[RP_Name].&amp;[Unity Housing Association Limited]"/>
    <s v="[Qry_FVA23_Status].[RP_Code].&amp;[LH3737]"/>
    <s v="[Qry_FVA23_Status].[RP_Name].&amp;[Railway Housing Association and Benefit Fund]"/>
    <s v="[Qry_FVA23_Status].[RP_Code].&amp;[A1855]"/>
    <s v="[Qry_FVA23_Status].[RP_Name].&amp;[Eden Housing Association Limited]"/>
    <s v="[Qry_FVA23_Status].[RP_Code].&amp;[L4140]"/>
    <s v="[Qry_FVA23_Status].[RP_Name].&amp;[Manningham Housing Association Limited]"/>
    <s v="[Qry_FVA23_Status].[RP_Code].&amp;[L3736]"/>
    <s v="[Qry_FVA23_Status].[RP_Name].&amp;[Arches Housing Limited]"/>
    <s v="[Qry_FVA23_Status].[RP_Code].&amp;[LH0884]"/>
    <s v="[Qry_FVA23_Status].[RP_Name].&amp;[English Rural Housing Association Limited]"/>
    <s v="[Qry_FVA23_Status].[RP_Code].&amp;[L4004]"/>
    <s v="[Qry_FVA23_Status].[RP_Name].&amp;[The Pioneer Housing and Community Group Limited]"/>
    <s v="[Qry_FVA23_Status].[RP_Code].&amp;[L4118]"/>
    <s v="[Qry_FVA23_Status].[RP_Name].&amp;[Durham Aged Mineworkers' Homes Association]"/>
    <s v="[Qry_FVA23_Status].[RP_Code].&amp;[5125]"/>
    <s v="[Qry_FVA23_Status].[RP_Name].&amp;[Empowering People Inspiring Communities Limited]"/>
    <s v="[Qry_FVA23_Status].[RP_Code].&amp;[L4167]"/>
    <s v="[Qry_FVA23_Status].[RP_Name].&amp;[Anchor Hanover Group]"/>
    <s v="[Qry_FVA23_Status].[RP_Code].&amp;[LH4095]"/>
    <s v="[Qry_FVA23_Status].[RP_Name].&amp;[Notting Hill Genesis]"/>
    <s v="[Qry_FVA23_Status].[RP_Code].&amp;[4880]"/>
    <s v="[Qry_FVA23_Status].[RP_Name].&amp;[London &amp; Quadrant Housing Trust]"/>
    <s v="[Qry_FVA23_Status].[RP_Code].&amp;[L4517]"/>
    <s v="[Qry_FVA23_Status].[RP_Name].&amp;[The Riverside Group Limited]"/>
    <s v="[Qry_FVA23_Status].[RP_Code].&amp;[L4552]"/>
    <s v="[Qry_FVA23_Status].[RP_Name].&amp;[Peabody Trust]"/>
    <s v="[Qry_FVA23_Status].[RP_Code].&amp;[4878]"/>
    <s v="[Qry_FVA23_Status].[RP_Name].&amp;[Home Group Limited]"/>
    <s v="[Qry_FVA23_Status].[RP_Code].&amp;[L3076]"/>
    <s v="[Qry_FVA23_Status].[RP_Name].&amp;[Southern Housing]"/>
    <s v="[Qry_FVA23_Status].[RP_Code].&amp;[5171]"/>
    <s v="[Qry_FVA23_Status].[RP_Name].&amp;[Hyde Housing Association Limited]"/>
    <s v="[Qry_FVA23_Status].[RP_Code].&amp;[LH0032]"/>
    <s v="[Qry_FVA23_Status].[RP_Name].&amp;[Clarion Housing Group Limited]"/>
    <s v="[Qry_FVA23_Status].[RP_Code].&amp;[LH4087]"/>
    <s v="[Qry_FVA23_Status].[RP_Name].&amp;[Thames Valley Housing Association Limited]"/>
    <s v="[Qry_FVA23_Status].[RP_Code].&amp;[L0514]"/>
    <s v="[Qry_FVA23_Status].[RP_Name].&amp;[The Guinness Partnership Limited]"/>
    <s v="[Qry_FVA23_Status].[RP_Code].&amp;[4729]"/>
    <s v="[Qry_FVA23_Status].[RP_Name].&amp;[Together Housing Group Limited]"/>
    <s v="[Qry_FVA23_Status].[RP_Code].&amp;[L4464]"/>
    <s v="[Qry_FVA23_Status].[RP_Name].&amp;[Aster Group Limited]"/>
    <s v="[Qry_FVA23_Status].[RP_Code].&amp;[L4393]"/>
    <s v="[Qry_FVA23_Status].[RP_Name].&amp;[Sanctuary Housing Association]"/>
    <s v="[Qry_FVA23_Status].[RP_Code].&amp;[L0247]"/>
    <s v="[Qry_FVA23_Status].[RP_Name].&amp;[Sovereign Housing Association Limited]"/>
    <s v="[Qry_FVA23_Status].[RP_Code].&amp;[4837]"/>
    <s v="[Qry_FVA23_Status].[RP_Name].&amp;[Orbit Group Limited]"/>
    <s v="[Qry_FVA23_Status].[RP_Code].&amp;[L4123]"/>
    <s v="[Qry_FVA23_Status].[RP_Name].&amp;[Abri Group Limited]"/>
    <s v="[Qry_FVA23_Status].[RP_Code].&amp;[L4172]"/>
    <s v="[Qry_FVA23_Status].[RP_Name].&amp;[Flagship Housing Group Limited]"/>
    <s v="[Qry_FVA23_Status].[RP_Code].&amp;[4651]"/>
    <s v="[Qry_FVA23_Status].[RP_Name].&amp;[LiveWest Homes Limited]"/>
    <s v="[Qry_FVA23_Status].[RP_Code].&amp;[4873]"/>
    <s v="[Qry_FVA23_Status].[RP_Name].&amp;[Wakefield And District Housing Limited]"/>
    <s v="[Qry_FVA23_Status].[RP_Code].&amp;[L4441]"/>
    <s v="[Qry_FVA23_Status].[RP_Name].&amp;[Midland Heart Limited]"/>
    <s v="[Qry_FVA23_Status].[RP_Code].&amp;[L4466]"/>
    <s v="[Qry_FVA23_Status].[RP_Name].&amp;[Torus62 Limited]"/>
    <s v="[Qry_FVA23_Status].[RP_Code].&amp;[5065]"/>
    <s v="[Qry_FVA23_Status].[RP_Name].&amp;[Thirteen Housing Group Limited]"/>
    <s v="[Qry_FVA23_Status].[RP_Code].&amp;[L4522]"/>
    <s v="[Qry_FVA23_Status].[RP_Name].&amp;[Stonewater Limited]"/>
    <s v="[Qry_FVA23_Status].[RP_Code].&amp;[L1556]"/>
    <s v="[Qry_FVA23_Status].[RP_Name].&amp;[Jigsaw Homes Group Limited]"/>
    <s v="[Qry_FVA23_Status].[RP_Code].&amp;[LH4345]"/>
    <s v="[Qry_FVA23_Status].[RP_Name].&amp;[Bromford Housing Group Limited]"/>
    <s v="[Qry_FVA23_Status].[RP_Code].&amp;[L4449]"/>
    <s v="[Qry_FVA23_Status].[RP_Name].&amp;[Vivid Housing Limited]"/>
    <s v="[Qry_FVA23_Status].[RP_Code].&amp;[4850]"/>
    <s v="[Qry_FVA23_Status].[RP_Name].&amp;[Karbon Homes Limited]"/>
    <s v="[Qry_FVA23_Status].[RP_Code].&amp;[4846]"/>
    <s v="[Qry_FVA23_Status].[RP_Name].&amp;[Platform Housing Group Limited]"/>
    <s v="[Qry_FVA23_Status].[RP_Code].&amp;[4789]"/>
    <s v="[Qry_FVA23_Status].[RP_Name].&amp;[Places for People Group Limited]"/>
    <s v="[Qry_FVA23_Status].[RP_Code].&amp;[L4236]"/>
    <s v="[Qry_FVA23_Status].[RP_Name].&amp;[Housing 21]"/>
    <s v="[Qry_FVA23_Status].[RP_Code].&amp;[L0055]"/>
    <s v="[Qry_FVA23_Status].[RP_Name].&amp;[Progress Housing Group Limited]"/>
    <s v="[Qry_FVA23_Status].[RP_Code].&amp;[LH4189]"/>
    <s v="[Qry_FVA23_Status].[RP_Name].&amp;[Nottingham Community Housing Association Limited]"/>
    <s v="[Qry_FVA23_Status].[RP_Code].&amp;[4817]"/>
    <s v="[Qry_FVA23_Status].[RP_Name].&amp;[Sovereign Network Homes]"/>
    <s v="[Qry_FVA23_Status].[RP_Code].&amp;[4825]"/>
    <s v="[Qry_FVA23_Status].[RP_Name].&amp;[Curo Group (Albion) Limited]"/>
    <s v="[Qry_FVA23_Status].[RP_Code].&amp;[LH4336]"/>
    <s v="[Qry_FVA23_Status].[RP_Name].&amp;[Rochdale Boroughwide Housing Limited]"/>
    <s v="[Qry_FVA23_Status].[RP_Code].&amp;[4607]"/>
    <s v="[Qry_FVA23_Status].[RP_Name].&amp;[Plus Dane Housing Limited]"/>
    <s v="[Qry_FVA23_Status].[RP_Code].&amp;[L4556]"/>
    <s v="[Qry_FVA23_Status].[RP_Name].&amp;[One Manchester Limited]"/>
    <s v="[Qry_FVA23_Status].[RP_Code].&amp;[4808]"/>
    <s v="[Qry_FVA23_Status].[RP_Name].&amp;[Magenta Living]"/>
    <s v="[Qry_FVA23_Status].[RP_Code].&amp;[L4435]"/>
    <s v="[Qry_FVA23_Status].[RP_Name].&amp;[Connexus Homes Limited]"/>
    <s v="[Qry_FVA23_Status].[RP_Code].&amp;[LH4353]"/>
    <s v="[Qry_FVA23_Status].[RP_Name].&amp;[Bolton at Home Limited]"/>
    <s v="[Qry_FVA23_Status].[RP_Code].&amp;[4568]"/>
    <s v="[Qry_FVA23_Status].[RP_Name].&amp;[Chelmer Housing Partnership Limited]"/>
    <s v="[Qry_FVA23_Status].[RP_Code].&amp;[L4331]"/>
    <s v="[Qry_FVA23_Status].[RP_Name].&amp;[Wythenshawe Community Housing Group Limited]"/>
    <s v="[Qry_FVA23_Status].[RP_Code].&amp;[L4219]"/>
    <s v="[Qry_FVA23_Status].[RP_Name].&amp;[Yorkshire Housing Limited]"/>
    <s v="[Qry_FVA23_Status].[RP_Code].&amp;[L4521]"/>
    <s v="[Qry_FVA23_Status].[RP_Name].&amp;[The Wrekin Housing Group Limited]"/>
    <s v="[Qry_FVA23_Status].[RP_Code].&amp;[LH4220]"/>
    <s v="[Qry_FVA23_Status].[RP_Name].&amp;[Regenda Limited]"/>
    <s v="[Qry_FVA23_Status].[RP_Code].&amp;[4653]"/>
    <s v="[Qry_FVA23_Status].[RP_Name].&amp;[Believe Housing Limited]"/>
    <s v="[Qry_FVA23_Status].[RP_Code].&amp;[5071]"/>
    <s v="[Qry_FVA23_Status].[RP_Name].&amp;[Beyond Housing Limited]"/>
    <s v="[Qry_FVA23_Status].[RP_Code].&amp;[LH4401]"/>
    <s v="[Qry_FVA23_Status].[RP_Name].&amp;[Plymouth Community Homes Limited]"/>
    <s v="[Qry_FVA23_Status].[RP_Code].&amp;[L4543]"/>
    <s v="[Qry_FVA23_Status].[RP_Name].&amp;[Paradigm Housing Group Limited]"/>
    <s v="[Qry_FVA23_Status].[RP_Code].&amp;[L4215]"/>
    <s v="[Qry_FVA23_Status].[RP_Name].&amp;[Futures Housing Group Limited]"/>
    <s v="[Qry_FVA23_Status].[RP_Code].&amp;[L4502]"/>
    <s v="[Qry_FVA23_Status].[RP_Name].&amp;[First Choice Homes Oldham Limited]"/>
    <s v="[Qry_FVA23_Status].[RP_Code].&amp;[4582]"/>
    <s v="[Qry_FVA23_Status].[RP_Name].&amp;[Eastlight Community Homes Limited]"/>
    <s v="[Qry_FVA23_Status].[RP_Code].&amp;[L4499]"/>
    <s v="[Qry_FVA23_Status].[RP_Name].&amp;[Bernicia Group]"/>
    <s v="[Qry_FVA23_Status].[RP_Code].&amp;[4868]"/>
    <s v="[Qry_FVA23_Status].[RP_Name].&amp;[Grand Union Housing Group Limited]"/>
    <s v="[Qry_FVA23_Status].[RP_Code].&amp;[5060]"/>
    <s v="[Qry_FVA23_Status].[RP_Name].&amp;[The Housing Plus Group Limited]"/>
    <s v="[Qry_FVA23_Status].[RP_Code].&amp;[L4491]"/>
    <s v="[Qry_FVA23_Status].[RP_Name].&amp;[bpha Limited]"/>
    <s v="[Qry_FVA23_Status].[RP_Code].&amp;[LH3887]"/>
    <s v="[Qry_FVA23_Status].[RP_Name].&amp;[Livv Housing Group]"/>
    <s v="[Qry_FVA23_Status].[RP_Code].&amp;[LH4343]"/>
    <s v="[Qry_FVA23_Status].[RP_Name].&amp;[ForHousing Limited]"/>
    <s v="[Qry_FVA23_Status].[RP_Code].&amp;[L4528]"/>
    <s v="[Qry_FVA23_Status].[RP_Name].&amp;[One Vision Housing Limited]"/>
    <s v="[Qry_FVA23_Status].[RP_Code].&amp;[4804]"/>
    <s v="[Qry_FVA23_Status].[RP_Name].&amp;[Accent Group Limited]"/>
    <s v="[Qry_FVA23_Status].[RP_Code].&amp;[L4511]"/>
    <s v="[Qry_FVA23_Status].[RP_Name].&amp;[Lincolnshire Housing Partnership Limited]"/>
    <s v="[Qry_FVA23_Status].[RP_Code].&amp;[4877]"/>
    <s v="[Qry_FVA23_Status].[RP_Name].&amp;[Moat Homes Limited]"/>
    <s v="[Qry_FVA23_Status].[RP_Code].&amp;[L0386]"/>
    <s v="[Qry_FVA23_Status].[RP_Name].&amp;[Ongo Homes Limited]"/>
    <s v="[Qry_FVA23_Status].[RP_Code].&amp;[L4486]"/>
    <s v="[Qry_FVA23_Status].[RP_Name].&amp;[Cross Keys Homes Limited]"/>
    <s v="[Qry_FVA23_Status].[RP_Code].&amp;[LH4428]"/>
    <s v="[Qry_FVA23_Status].[RP_Name].&amp;[East Midlands Housing Group Limited]"/>
    <s v="[Qry_FVA23_Status].[RP_Code].&amp;[L4530]"/>
    <s v="[Qry_FVA23_Status].[RP_Name].&amp;[Sage Rented Limited]"/>
    <s v="[Qry_FVA23_Status].[RP_Code].&amp;[5083]"/>
    <s v="[Qry_FVA23_Status].[RP_Name].&amp;[Inclusion Housing Community Interest Company]"/>
    <s v="[Qry_FVA23_Status].[RP_Code].&amp;[4662]"/>
    <s v="[Qry_FVA23_Status].[RP_Name].&amp;[Trident Housing Association Limited]"/>
    <s v="[Qry_FVA23_Status].[RP_Code].&amp;[L0979]"/>
    <s v="[Qry_FVA23_Status].[RP_Name].&amp;[Shepherds Bush Housing Association Limited]"/>
    <s v="[Qry_FVA23_Status].[RP_Code].&amp;[LH0050]"/>
    <s v="[Qry_FVA23_Status].[RP_Name].&amp;[Watmos Community Homes]"/>
    <s v="[Qry_FVA23_Status].[RP_Code].&amp;[L4383]"/>
    <s v="[Qry_FVA23_Status].[RP_Name].&amp;[Orwell Housing Association Limited]"/>
    <s v="[Qry_FVA23_Status].[RP_Code].&amp;[L0028]"/>
    <s v="[Qry_FVA23_Status].[RP_Name].&amp;[Golden Lane Housing Limited]"/>
    <s v="[Qry_FVA23_Status].[RP_Code].&amp;[4803]"/>
    <s v="[Qry_FVA23_Status].[RP_Name].&amp;[Salvation Army Housing Association]"/>
    <s v="[Qry_FVA23_Status].[RP_Code].&amp;[LH2429]"/>
    <s v="[Qry_FVA23_Status].[RP_Name].&amp;[Habinteg Housing Association Limited]"/>
    <s v="[Qry_FVA23_Status].[RP_Code].&amp;[LH0459]"/>
    <s v="[Qry_FVA23_Status].[RP_Name].&amp;[Gateway Housing Association Limited]"/>
    <s v="[Qry_FVA23_Status].[RP_Code].&amp;[L0517]"/>
    <s v="[Qry_FVA23_Status].[RP_Name].&amp;[Hexagon Housing Association Limited]"/>
    <s v="[Qry_FVA23_Status].[RP_Code].&amp;[L1538]"/>
    <s v="[Qry_FVA23_Status].[RP_Name].&amp;[The Cambridge Housing Society Limited]"/>
    <s v="[Qry_FVA23_Status].[RP_Code].&amp;[L0992]"/>
    <s v="[Qry_FVA23_Status].[RP_Name].&amp;[Honeycomb Group Limited]"/>
    <s v="[Qry_FVA23_Status].[RP_Code].&amp;[LH2162]"/>
    <s v="[Qry_FVA23_Status].[RP_Name].&amp;[Estuary Housing Association Limited]"/>
    <s v="[Qry_FVA23_Status].[RP_Code].&amp;[L3535]"/>
    <s v="[Qry_FVA23_Status].[RP_Name].&amp;[Prima Housing Group Limited]"/>
    <s v="[Qry_FVA23_Status].[RP_Code].&amp;[L1001]"/>
    <s v="[Qry_FVA23_Status].[RP_Name].&amp;['Johnnie' Johnson Housing Trust Limited]"/>
    <s v="[Qry_FVA23_Status].[RP_Code].&amp;[L1231]"/>
    <s v="[Qry_FVA23_Status].[RP_Name].&amp;[Thrive Homes Limited]"/>
    <s v="[Qry_FVA23_Status].[RP_Code].&amp;[L4520]"/>
    <s v="[Qry_FVA23_Status].[RP_Name].&amp;[South Lakes Housing]"/>
    <s v="[Qry_FVA23_Status].[RP_Code].&amp;[4686]"/>
    <s v="[Qry_FVA23_Status].[RP_Name].&amp;[Connect Housing Association Limited]"/>
    <s v="[Qry_FVA23_Status].[RP_Code].&amp;[L2285]"/>
    <s v="[Qry_FVA23_Status].[RP_Name].&amp;[Gloucester City Homes Limited]"/>
    <s v="[Qry_FVA23_Status].[RP_Code].&amp;[4584]"/>
    <s v="[Qry_FVA23_Status].[RP_Name].&amp;[Bromsgrove District Housing Trust Limited]"/>
    <s v="[Qry_FVA23_Status].[RP_Code].&amp;[LH4415]"/>
    <s v="[Qry_FVA23_Status].[RP_Name].&amp;[Brighter Places]"/>
    <s v="[Qry_FVA23_Status].[RP_Code].&amp;[L3758]"/>
    <s v="[Qry_FVA23_Status].[RP_Name].&amp;[Bournville Village Trust]"/>
    <s v="[Qry_FVA23_Status].[RP_Code].&amp;[L0702]"/>
    <s v="[Qry_FVA23_Status].[RP_Name].&amp;[B3 Living Limited]"/>
    <s v="[Qry_FVA23_Status].[RP_Code].&amp;[L4455]"/>
    <s v="[Qry_FVA23_Status].[RP_Name].&amp;[Teign Housing]"/>
    <s v="[Qry_FVA23_Status].[RP_Code].&amp;[LH4403]"/>
    <s v="[Qry_FVA23_Status].[RP_Name].&amp;[North Star Housing Group]"/>
    <s v="[Qry_FVA23_Status].[RP_Code].&amp;[LH0084]"/>
    <s v="[Qry_FVA23_Status].[RP_Name].&amp;[North Devon Homes]"/>
    <s v="[Qry_FVA23_Status].[RP_Code].&amp;[LH4249]"/>
    <s v="[Qry_FVA23_Status].[RP_Name].&amp;[Leeds Federated Housing Association Limited]"/>
    <s v="[Qry_FVA23_Status].[RP_Code].&amp;[LH0989]"/>
    <s v="[Qry_FVA23_Status].[RP_Name].&amp;[South Liverpool Homes Limited]"/>
    <s v="[Qry_FVA23_Status].[RP_Code].&amp;[L4230]"/>
    <s v="[Qry_FVA23_Status].[RP_Name].&amp;[Worthing Homes Limited]"/>
    <s v="[Qry_FVA23_Status].[RP_Code].&amp;[LH4208]"/>
    <s v="[Qry_FVA23_Status].[RP_Name].&amp;[Two Rivers Housing]"/>
    <s v="[Qry_FVA23_Status].[RP_Code].&amp;[L4385]"/>
    <s v="[Qry_FVA23_Status].[RP_Name].&amp;[Ocean Housing Group Limited]"/>
    <s v="[Qry_FVA23_Status].[RP_Code].&amp;[L4422]"/>
    <s v="[Qry_FVA23_Status].[RP_Name].&amp;[A2Dominion Housing Group Limited]"/>
    <s v="[Qry_FVA23_Status].[RP_Code].&amp;[L4240]"/>
    <s v="[Qry_FVA23_Status].[RP_Name].&amp;[Your Housing Group Limited]"/>
    <s v="[Qry_FVA23_Status].[RP_Code].&amp;[L4203]"/>
    <s v="[Qry_FVA23_Status].[RP_Name].&amp;[Paragon Asra Housing Limited]"/>
    <s v="[Qry_FVA23_Status].[RP_Code].&amp;[4849]"/>
    <s v="[Qry_FVA23_Status].[RP_Name].&amp;[Onward Group Limited]"/>
    <s v="[Qry_FVA23_Status].[RP_Code].&amp;[4649]"/>
    <s v="[Qry_FVA23_Status].[RP_Name].&amp;[Incommunities Limited]"/>
    <s v="[Qry_FVA23_Status].[RP_Code].&amp;[L4476]"/>
    <s v="[Qry_FVA23_Status].[RP_Name].&amp;[GreenSquareAccord Limited]"/>
    <s v="[Qry_FVA23_Status].[RP_Code].&amp;[LH3902]"/>
    <s v="[Qry_FVA23_Status].[RP_Name].&amp;[Longhurst Group Limited]"/>
    <s v="[Qry_FVA23_Status].[RP_Code].&amp;[L4277]"/>
    <s v="[Qry_FVA23_Status].[RP_Name].&amp;[Citizen Housing Group Limited]"/>
    <s v="[Qry_FVA23_Status].[RP_Code].&amp;[5075]"/>
    <s v="[Qry_FVA23_Status].[RP_Name].&amp;[Walsall Housing Group Limited]"/>
    <s v="[Qry_FVA23_Status].[RP_Code].&amp;[L4389]"/>
    <s v="[Qry_FVA23_Status].[RP_Name].&amp;[Gentoo Group Limited]"/>
    <s v="[Qry_FVA23_Status].[RP_Code].&amp;[L4313]"/>
    <s v="[Qry_FVA23_Status].[RP_Name].&amp;[Great Places Housing Group Limited]"/>
    <s v="[Qry_FVA23_Status].[RP_Code].&amp;[L4465]"/>
    <s v="[Qry_FVA23_Status].[RP_Name].&amp;[Heylo Housing Registered Provider Limited]"/>
    <s v="[Qry_FVA23_Status].[RP_Code].&amp;[4668]"/>
    <s v="[Qry_FVA23_Status].[RP_Name].&amp;[Sage Housing Limited]"/>
    <s v="[Qry_FVA23_Status].[RP_Code].&amp;[4636]"/>
    <s v="[Qry_FVA23_Status].[RP_Name].&amp;[Newlon Housing Trust]"/>
    <s v="[Qry_FVA23_Status].[RP_Code].&amp;[L0006]"/>
    <s v="[Qry_FVA23_Status].[RP_Name].&amp;[Octavia Housing]"/>
    <s v="[Qry_FVA23_Status].[RP_Code].&amp;[L0717]"/>
    <s v="[Qry_FVA23_Status].[RP_Name].&amp;[Origin Housing Limited]"/>
    <s v="[Qry_FVA23_Status].[RP_Code].&amp;[L0871]"/>
    <s v="[Qry_FVA23_Status].[RP_Name].&amp;[Hightown Housing Association Limited]"/>
    <s v="[Qry_FVA23_Status].[RP_Code].&amp;[L2179]"/>
    <s v="[Qry_FVA23_Status].[RP_Name].&amp;[Poplar Housing And Regeneration Community Association Limited]"/>
    <s v="[Qry_FVA23_Status].[RP_Code].&amp;[L4170]"/>
    <s v="[Qry_FVA23_Status].[RP_Name].&amp;[Wandle Housing Association Limited]"/>
    <s v="[Qry_FVA23_Status].[RP_Code].&amp;[L0277]"/>
    <s v="[Qry_FVA23_Status].[RP_Name].&amp;[West Kent Housing Association]"/>
    <s v="[Qry_FVA23_Status].[RP_Code].&amp;[LH3827]"/>
    <s v="[Qry_FVA23_Status].[RP_Name].&amp;[Settle Group]"/>
    <s v="[Qry_FVA23_Status].[RP_Code].&amp;[L4370]"/>
    <s v="[Qry_FVA23_Status].[RP_Name].&amp;[South Yorkshire Housing Association Limited]"/>
    <s v="[Qry_FVA23_Status].[RP_Code].&amp;[L0078]"/>
    <s v="[Qry_FVA23_Status].[RP_Name].&amp;[Fairhive Homes Limited]"/>
    <s v="[Qry_FVA23_Status].[RP_Code].&amp;[L4473]"/>
    <s v="[Qry_FVA23_Status].[RP_Name].&amp;[Red Kite Community Housing Limited]"/>
    <s v="[Qry_FVA23_Status].[RP_Code].&amp;[4682]"/>
    <s v="[Qry_FVA23_Status].[RP_Name].&amp;[Phoenix Community Housing Association (Bellingham and Downham) Limited]"/>
    <s v="[Qry_FVA23_Status].[RP_Code].&amp;[L4505]"/>
    <s v="[Qry_FVA23_Status].[RP_Name].&amp;[Saxon Weald]"/>
    <s v="[Qry_FVA23_Status].[RP_Code].&amp;[L4299]"/>
    <s v="[Qry_FVA23_Status].[RP_Name].&amp;[Raven Housing Trust Limited]"/>
    <s v="[Qry_FVA23_Status].[RP_Code].&amp;[L4334]"/>
    <s v="[Qry_FVA23_Status].[RP_Name].&amp;[Richmond Housing Partnership Limited]"/>
    <s v="[Qry_FVA23_Status].[RP_Code].&amp;[L4279]"/>
    <s v="[Qry_FVA23_Status].[RP_Name].&amp;[Golding Homes Limited]"/>
    <s v="[Qry_FVA23_Status].[RP_Code].&amp;[LH4402]"/>
    <s v="[Qry_FVA23_Status].[RP_Name].&amp;[NSAH (Alliance Homes) Limited]"/>
    <s v="[Qry_FVA23_Status].[RP_Code].&amp;[L4459]"/>
    <s v="[Qry_FVA23_Status].[RP_Name].&amp;[Coastline Housing Limited]"/>
    <s v="[Qry_FVA23_Status].[RP_Code].&amp;[LH4165]"/>
    <s v="[Qry_FVA23_Status].[RP_Name].&amp;[Rooftop Housing Group Limited]"/>
    <s v="[Qry_FVA23_Status].[RP_Code].&amp;[L4404]"/>
    <s v="[Qry_FVA23_Status].[RP_Name].&amp;[Silva Homes Limited]"/>
    <s v="[Qry_FVA23_Status].[RP_Code].&amp;[L4513]"/>
    <s v="[Qry_FVA23_Status].[RP_Name].&amp;[Broadacres Housing Association Limited]"/>
    <s v="[Qry_FVA23_Status].[RP_Code].&amp;[LH4014]"/>
    <s v="[Qry_FVA23_Status].[RP_Name].&amp;[Muir Group Housing Association Limited]"/>
    <s v="[Qry_FVA23_Status].[RP_Code].&amp;[L2194]"/>
    <s v="[Qry_FVA23_Status].[RP_Name].&amp;[Magna Housing Limited]"/>
    <s v="[Qry_FVA23_Status].[RP_Code].&amp;[4844]"/>
    <s v="[Qry_FVA23_Status].[RP_Name].&amp;[Mosscare St. Vincent's Housing Group Limited]"/>
    <s v="[Qry_FVA23_Status].[RP_Code].&amp;[4857]"/>
    <s v="[Qry_FVA23_Status].[RP_Name].&amp;[Cheshire Peaks &amp; Plains Housing Trust Limited]"/>
    <s v="[Qry_FVA23_Status].[RP_Code].&amp;[L4472]"/>
    <s v="[Qry_FVA23_Status].[RP_Name].&amp;[Castles &amp; Coasts Housing Association Limited]"/>
    <s v="[Qry_FVA23_Status].[RP_Code].&amp;[4858]"/>
    <s v="[Qry_FVA23_Status].[RP_Name].&amp;[Weaver Vale Housing Trust Limited]"/>
    <s v="[Qry_FVA23_Status].[RP_Code].&amp;[L4341]"/>
    <s v="[Qry_FVA23_Status].[RP_Name].&amp;[Greatwell Homes Limited]"/>
    <s v="[Qry_FVA23_Status].[RP_Code].&amp;[L4509]"/>
    <s v="[Qry_FVA23_Status].[RP_Name].&amp;[The Havebury Housing Partnership]"/>
    <s v="[Qry_FVA23_Status].[RP_Code].&amp;[LH4339]"/>
    <s v="[Qry_FVA23_Status].[RP_Name].&amp;[Selwood Housing Society Limited]"/>
    <s v="[Qry_FVA23_Status].[RP_Code].&amp;[LH4097]"/>
    <s v="[Qry_FVA23_Status].[RP_Name].&amp;[Watford Community Housing Trust]"/>
    <s v="[Qry_FVA23_Status].[RP_Code].&amp;[L4495]"/>
    <s v="[Qry_FVA23_Status].[RP_Name].&amp;[Housing Solutions]"/>
    <s v="[Qry_FVA23_Status].[RP_Code].&amp;[L4073]"/>
    <s v="[Qry_FVA23_Status].[RP_Name].&amp;[The Community Housing Group Limited]"/>
    <s v="[Qry_FVA23_Status].[RP_Code].&amp;[LH4264]"/>
    <s v="[Qry_FVA23_Status].[RP_Name].&amp;[Westward Housing Group Limited]"/>
    <s v="[Qry_FVA23_Status].[RP_Code].&amp;[4826]"/>
    <s v="[Qry_FVA23_Status].[RP_Name].&amp;[Soha Housing Limited]"/>
    <s v="[Qry_FVA23_Status].[RP_Code].&amp;[L4130]"/>
    <s v="[Qry_FVA23_Status].[RP_Name].&amp;[Livin Housing Limited]"/>
    <s v="[Qry_FVA23_Status].[RP_Code].&amp;[L4538]"/>
    <s v="[Qry_FVA23_Status].[RP_Name].&amp;[Southway Housing Trust (Manchester) Limited]"/>
    <s v="[Qry_FVA23_Status].[RP_Code].&amp;[L4507]"/>
    <s v="[Qry_FVA23_Status].[RP_Name].&amp;[Salix Homes Limited]"/>
    <s v="[Qry_FVA23_Status].[RP_Code].&amp;[4609]"/>
    <s v="[Qry_FVA23_Status].[RP_Name].&amp;[Saffron Housing Trust Limited]"/>
    <s v="[Qry_FVA23_Status].[RP_Code].&amp;[LH4412]"/>
    <s v="[Qry_FVA23_Status].[RP_Name].&amp;[Aspire Housing Limited]"/>
    <s v="[Qry_FVA23_Status].[RP_Code].&amp;[L4238]"/>
    <s v="[Qry_FVA23_Status].[RP_Name].&amp;[Trent &amp; Dove Housing Limited]"/>
    <s v="[Qry_FVA23_Status].[RP_Code].&amp;[L4311]"/>
    <s v="[Qry_FVA23_Status].[RP_Name].&amp;[Halton Housing]"/>
    <s v="[Qry_FVA23_Status].[RP_Code].&amp;[L4456]"/>
    <s v="[Qry_FVA23_Status].[RP_Name].&amp;[Freebridge Community Housing Limited]"/>
    <s v="[Qry_FVA23_Status].[RP_Code].&amp;[L4463]"/>
    <s v="[Qry_FVA23_Status].[RP_Name].&amp;[Irwell Valley Housing Association Limited]"/>
    <s v="[Qry_FVA23_Status].[RP_Code].&amp;[L0061]"/>
    <s v="[Qry_FVA23_Status].[RP_Name].&amp;[Cottsway Housing Association Limited]"/>
    <s v="[Qry_FVA23_Status].[RP_Code].&amp;[L4312]"/>
    <s v="[Qry_FVA23_Status].[RP_Name].&amp;[Broadland Housing Association Limited]"/>
    <s v="[Qry_FVA23_Status].[RP_Code].&amp;[L0026]"/>
    <s v="[Qry_FVA23_Status].[RP_Name].&amp;[Acis Group Limited]"/>
    <s v="[Qry_FVA23_Status].[RP_Code].&amp;[L4229]"/>
    <s v="[Qry_FVA23_Status].[RP_Name].&amp;[Calico Homes Limited]"/>
    <s v="[Qry_FVA23_Status].[RP_Code].&amp;[L4254]"/>
    <s v="[Qry_FVA23_Status].[RP_Name].&amp;[Cobalt Housing Limited]"/>
    <s v="[Qry_FVA23_Status].[RP_Code].&amp;[L4361]"/>
    <s v="[Qry_FVA23_Status].[RP_Name].&amp;[Hastoe Housing Association Limited]"/>
    <s v="[Qry_FVA23_Status].[RP_Code].&amp;[L0018]"/>
    <s v="[Qry_FVA23_Status].[RP_Name].&amp;[Community Gateway Association Limited]"/>
    <s v="[Qry_FVA23_Status].[RP_Code].&amp;[L4457]"/>
    <s v="[Measures].[FYE]"/>
    <s v="[Measures].[Sum_Value]"/>
    <s v="( [Qry_FVA23_Status].[Group].[All].[1], [Qry_FVA23_Status].[RP_Name].[All].Children )"/>
    <s v="[2023_Field_Refs].[Field_Code].&amp;[FVA655]"/>
    <s v="[2023_Field_Refs].[ShortName].&amp;[Units_Own/Man_Tot_Soc_Hous_Units_Own_End_P]"/>
    <s v="0"/>
    <s v="[2023_Field_Refs].[Field_Code].&amp;[FVA202]"/>
    <s v="[2023_Field_Refs].[ShortName].&amp;[Units_Own/Man_Tot_Social_Units_End_P]"/>
    <s v="[2023_Field_Refs].[Field_Code].&amp;[FVA411]"/>
    <s v="[2023_Field_Refs].[ShortName].&amp;[Dev_New_Prop_Total_Prop]"/>
    <s v="[2023_Field_Refs].[Field_Code].&amp;[FVA615]"/>
    <s v="[2023_Field_Refs].[ShortName].&amp;[New_Built_Prop_Acq_Total_Prop]"/>
    <s v="[2023_Field_Refs].[Field_Code].&amp;[FVA418]"/>
    <s v="[2023_Field_Refs].[ShortName].&amp;[Work_Existing_Total_Prop]"/>
    <s v="[2023_Field_Refs].[Field_Code].&amp;[FVA425]"/>
    <s v="[2023_Field_Refs].[ShortName].&amp;[Cap_Int_Total_Prop]"/>
    <s v="[2023_Field_Refs].[Field_Code].&amp;[FVA432]"/>
    <s v="[2023_Field_Refs].[ShortName].&amp;[Schemes_Comp_Total_Prop]"/>
    <s v="[2023_Field_Refs].[Field_Code].&amp;[FVA004]"/>
    <s v="[2023_Field_Refs].[ShortName].&amp;[Tan_FA_Hous_Propts_At_Cst]"/>
    <s v="[2023_Field_Refs].[Field_Code].&amp;[FVA005]"/>
    <s v="[2023_Field_Refs].[ShortName].&amp;[Tan_FA_Hous_Propts_At_Val]"/>
    <s v="[2023_Field_Refs].[Field_Code].&amp;[FVA651]"/>
    <s v="[2023_Field_Refs].[ShortName].&amp;[Units_Own/Man_Tot_Soc_Hous_Units_Own_Units_Acq/Dev]"/>
    <s v="[2023_Field_Refs].[Field_Code].&amp;[FVA681]"/>
    <s v="[2023_Field_Refs].[ShortName].&amp;[Units_Own/Man_Soc_LH_Own_Units_Acq/Dev]"/>
    <s v="[2023_Field_Refs].[Field_Code].&amp;[FVA685]"/>
    <s v="[2023_Field_Refs].[ShortName].&amp;[Units_Own/Man_Soc_LH_Own_End_P]"/>
    <s v="[2023_Field_Refs].[Field_Code].&amp;[FVA604]"/>
    <s v="[2023_Field_Refs].[ShortName].&amp;[Units_Own/Man_Tot_Non_Soc_Units_Units_Acq/Dev]"/>
    <s v="[2023_Field_Refs].[Field_Code].&amp;[FVA699]"/>
    <s v="[2023_Field_Refs].[ShortName].&amp;[Units_Own/Man_Non_Soc_Lhold_Own_Units_Acq/Dev]"/>
    <s v="[2023_Field_Refs].[Field_Code].&amp;[FVA716]"/>
    <s v="[2023_Field_Refs].[ShortName].&amp;[New_Outright_Sale_Dev/Acq]"/>
    <s v="[2023_Field_Refs].[Field_Code].&amp;[FVA608]"/>
    <s v="[2023_Field_Refs].[ShortName].&amp;[Units_Own/Man_Tot_Non_Soc_Units_End_P]"/>
    <s v="[2023_Field_Refs].[Field_Code].&amp;[FVA703]"/>
    <s v="[2023_Field_Refs].[ShortName].&amp;[Units_Own/Man_Non_Soc_LH_Own_End_P]"/>
    <s v="[2023_Field_Refs].[Field_Code].&amp;[FVA022]"/>
    <s v="[2023_Field_Refs].[ShortName].&amp;[Short_Term_debt]"/>
    <s v="[2023_Field_Refs].[Field_Code].&amp;[FVA030]"/>
    <s v="[2023_Field_Refs].[ShortName].&amp;[Long_Term_debt]"/>
    <s v="[2023_Field_Refs].[Field_Code].&amp;[FVA018]"/>
    <s v="[2023_Field_Refs].[ShortName].&amp;[Cash_And_Cash_Equiv]"/>
    <s v="[2023_Field_Refs].[Field_Code].&amp;[FVA031]"/>
    <s v="[2023_Field_Refs].[ShortName].&amp;[Amounts_owed_group]"/>
    <s v="[2023_Field_Refs].[Field_Code].&amp;[FVA032]"/>
    <s v="[2023_Field_Refs].[ShortName].&amp;[Finance_lease_obligations]"/>
    <s v="[2023_Field_Refs].[Field_Code].&amp;[FVA045]"/>
    <s v="[2023_Field_Refs].[ShortName].&amp;[Op_Surplus/Deficit]"/>
    <s v="[2023_Field_Refs].[Field_Code].&amp;[FVA642]"/>
    <s v="[2023_Field_Refs].[ShortName].&amp;[Gn/Lss_Disp_Fix_Asset]"/>
    <s v="[2023_Field_Refs].[Field_Code].&amp;[FVA803]"/>
    <s v="[2023_Field_Refs].[ShortName].&amp;[Gn/Lss_Disp_Fix_Asset_Other]"/>
    <s v="[2023_Field_Refs].[Field_Code].&amp;[FVA341]"/>
    <s v="[2023_Field_Refs].[ShortName].&amp;[Amor_Gov_Grant_Current_Tot]"/>
    <s v="[2023_Field_Refs].[Field_Code].&amp;[FVA345]"/>
    <s v="[2023_Field_Refs].[ShortName].&amp;[Gov_Grant_take_to_inc_Current_Tot]"/>
    <s v="[2023_Field_Refs].[Field_Code].&amp;[FVA049]"/>
    <s v="[2023_Field_Refs].[ShortName].&amp;[Interest_Receivable]"/>
    <s v="[2023_Field_Refs].[Field_Code].&amp;[FVA234]"/>
    <s v="[2023_Field_Refs].[ShortName].&amp;[Capit_Maj_Reps_Exp_£000]"/>
    <s v="[2023_Field_Refs].[Field_Code].&amp;[FVA235]"/>
    <s v="[2023_Field_Refs].[ShortName].&amp;[Tot_Dpn_Chrg_£000]"/>
    <s v="[2023_Field_Refs].[Field_Code].&amp;[FVA639]"/>
    <s v="[2023_Field_Refs].[ShortName].&amp;[Int_Pay_Fin_Cst_Less_Int_Cap]"/>
    <s v="[2023_Field_Refs].[Field_Code].&amp;[FVA050]"/>
    <s v="[2023_Field_Refs].[ShortName].&amp;[Interest_Payable_And_Financing]"/>
    <s v="[2023_Field_Refs].[Field_Code].&amp;[FVA087]"/>
    <s v="[2023_Field_Refs].[ShortName].&amp;[Mgmt_Current_Tot]"/>
    <s v="[2023_Field_Refs].[Field_Code].&amp;[FVA091]"/>
    <s v="[2023_Field_Refs].[ShortName].&amp;[Service_Charge_Costs_Current_Tot]"/>
    <s v="[2023_Field_Refs].[Field_Code].&amp;[FVA095]"/>
    <s v="[2023_Field_Refs].[ShortName].&amp;[Routine_Maint_Current_Tot]"/>
    <s v="[2023_Field_Refs].[Field_Code].&amp;[FVA099]"/>
    <s v="[2023_Field_Refs].[ShortName].&amp;[Planned_Maint_Current_Tot]"/>
    <s v="[2023_Field_Refs].[Field_Code].&amp;[FVA103]"/>
    <s v="[2023_Field_Refs].[ShortName].&amp;[Maj_Repairs_Exp_Current_Tot]"/>
    <s v="[2023_Field_Refs].[Field_Code].&amp;[FVA742]"/>
    <s v="[2023_Field_Refs].[ShortName].&amp;[Lease_Costs_Current_Tot]"/>
    <s v="[2023_Field_Refs].[Field_Code].&amp;[FVA119]"/>
    <s v="[2023_Field_Refs].[ShortName].&amp;[Other_costs_Current_Tot]"/>
    <s v="[2023_Field_Refs].[Field_Code].&amp;[FVA573]"/>
    <s v="[2023_Field_Refs].[ShortName].&amp;[Dev_Serv_Op_Exp]"/>
    <s v="[2023_Field_Refs].[Field_Code].&amp;[FVA577]"/>
    <s v="[2023_Field_Refs].[ShortName].&amp;[Comm_Neigh_Serv_Op_Exp]"/>
    <s v="[2023_Field_Refs].[Field_Code].&amp;[FVA143]"/>
    <s v="[2023_Field_Refs].[ShortName].&amp;[Oth_Soc_Cost_Op_Exp]"/>
    <s v="[2023_Field_Refs].[Field_Code].&amp;[FVA140]"/>
    <s v="[2023_Field_Refs].[ShortName].&amp;[Chrg_Supp_Serv_Op_Exp]"/>
    <s v="[2023_Field_Refs].[Field_Code].&amp;[FVA127]"/>
    <s v="[2023_Field_Refs].[ShortName].&amp;[Op_Surplus/Def_On_Social_Lets_Current_Tot]"/>
    <s v="[2023_Field_Refs].[Field_Code].&amp;[FVA083]"/>
    <s v="[2023_Field_Refs].[ShortName].&amp;[Turnover_From_Social_Lets_Current_Tot]"/>
    <s v="[2023_Field_Refs].[Field_Code].&amp;[FVA041]"/>
    <s v="[2023_Field_Refs].[ShortName].&amp;[Turnover]"/>
    <s v="[2023_Field_Refs].[Field_Code].&amp;[FVA029]"/>
    <s v="[2023_Field_Refs].[ShortName].&amp;[Tot_Assets_Less_Current_Liabilities]"/>
    <s v="[2023_Field_Refs].[Field_Code].&amp;[FVA292]"/>
    <s v="[2023_Field_Refs].[ShortName].&amp;[Shr_Surplus/Deficit_in_JV_or_Assoc]"/>
    <s v="[Qry_FVA23_Status].[RP_Name].&amp;[54 North Homes Limited]"/>
    <s v="[Qry_FVA23_Status].[RP_Code].&amp;[L1019]"/>
    <s v="[Qry_FVA23_Status].[RP_Name].&amp;[A2Dominion Homes Limited]"/>
    <s v="[Qry_FVA23_Status].[RP_Code].&amp;[LH0391]"/>
    <s v="[Qry_FVA23_Status].[RP_Name].&amp;[A2Dominion Housing Options Limited]"/>
    <s v="[Qry_FVA23_Status].[RP_Code].&amp;[SL4293]"/>
    <s v="[Qry_FVA23_Status].[RP_Name].&amp;[A2Dominion South Limited]"/>
    <s v="[Qry_FVA23_Status].[RP_Code].&amp;[LH4149]"/>
    <s v="[Qry_FVA23_Status].[RP_Name].&amp;[Accent Housing Limited]"/>
    <s v="[Qry_FVA23_Status].[RP_Code].&amp;[LH1722]"/>
    <s v="[Qry_FVA23_Status].[RP_Name].&amp;[Arcon Housing Association Limited]"/>
    <s v="[Qry_FVA23_Status].[RP_Code].&amp;[L0249]"/>
    <s v="[Qry_FVA23_Status].[RP_Name].&amp;[Aster 3 Limited]"/>
    <s v="[Qry_FVA23_Status].[RP_Code].&amp;[4872]"/>
    <s v="[Qry_FVA23_Status].[RP_Name].&amp;[Aster Communities]"/>
    <s v="[Qry_FVA23_Status].[RP_Code].&amp;[4691]"/>
    <s v="[Qry_FVA23_Status].[RP_Name].&amp;[Bromford Housing Association Limited]"/>
    <s v="[Qry_FVA23_Status].[RP_Code].&amp;[4819]"/>
    <s v="[Qry_FVA23_Status].[RP_Name].&amp;[Catalyst Housing Limited]"/>
    <s v="[Qry_FVA23_Status].[RP_Code].&amp;[L0699]"/>
    <s v="[Qry_FVA23_Status].[RP_Name].&amp;[Central and Cecil Housing Trust]"/>
    <s v="[Qry_FVA23_Status].[RP_Code].&amp;[H1528]"/>
    <s v="[Qry_FVA23_Status].[RP_Name].&amp;[Clarion Housing Association Limited]"/>
    <s v="[Qry_FVA23_Status].[RP_Code].&amp;[4865]"/>
    <s v="[Qry_FVA23_Status].[RP_Name].&amp;[Curo Places Limited]"/>
    <s v="[Qry_FVA23_Status].[RP_Code].&amp;[LH4209]"/>
    <s v="[Qry_FVA23_Status].[RP_Name].&amp;[EMH Housing and Regeneration Limited]"/>
    <s v="[Qry_FVA23_Status].[RP_Code].&amp;[4775]"/>
    <s v="[Qry_FVA23_Status].[RP_Name].&amp;[Frontis Homes Limited]"/>
    <s v="[Qry_FVA23_Status].[RP_Code].&amp;[L4204]"/>
    <s v="[Qry_FVA23_Status].[RP_Name].&amp;[Futures Homescape Limited]"/>
    <s v="[Qry_FVA23_Status].[RP_Code].&amp;[L4372]"/>
    <s v="[Qry_FVA23_Status].[RP_Name].&amp;[Futures Homeway Limited]"/>
    <s v="[Qry_FVA23_Status].[RP_Code].&amp;[L4498]"/>
    <s v="[Qry_FVA23_Status].[RP_Name].&amp;[Great Places Housing Association]"/>
    <s v="[Qry_FVA23_Status].[RP_Code].&amp;[L1230]"/>
    <s v="[Qry_FVA23_Status].[RP_Name].&amp;[Hillside Housing Trust Limited]"/>
    <s v="[Qry_FVA23_Status].[RP_Code].&amp;[L4447]"/>
    <s v="[Qry_FVA23_Status].[RP_Name].&amp;[Homes Plus Limited]"/>
    <s v="[Qry_FVA23_Status].[RP_Code].&amp;[LH4121]"/>
    <s v="[Qry_FVA23_Status].[RP_Name].&amp;[Hyde Southbank Homes Limited]"/>
    <s v="[Qry_FVA23_Status].[RP_Code].&amp;[L4223]"/>
    <s v="[Qry_FVA23_Status].[RP_Name].&amp;[Jigsaw Homes Midlands]"/>
    <s v="[Qry_FVA23_Status].[RP_Code].&amp;[L4532]"/>
    <s v="[Qry_FVA23_Status].[RP_Name].&amp;[Jigsaw Homes North]"/>
    <s v="[Qry_FVA23_Status].[RP_Code].&amp;[LH0131]"/>
    <s v="[Qry_FVA23_Status].[RP_Name].&amp;[Jigsaw Homes Tameside]"/>
    <s v="[Qry_FVA23_Status].[RP_Code].&amp;[LH4266]"/>
    <s v="[Qry_FVA23_Status].[RP_Name].&amp;[Martlet Homes Limited]"/>
    <s v="[Qry_FVA23_Status].[RP_Code].&amp;[L4303]"/>
    <s v="[Qry_FVA23_Status].[RP_Name].&amp;[Merlin Housing Society Limited]"/>
    <s v="[Qry_FVA23_Status].[RP_Code].&amp;[L4485]"/>
    <s v="[Qry_FVA23_Status].[RP_Name].&amp;[Metropolitan Housing Trust Limited]"/>
    <s v="[Qry_FVA23_Status].[RP_Code].&amp;[L0726]"/>
    <s v="[Qry_FVA23_Status].[RP_Name].&amp;[Notting Hill Home Ownership Limited]"/>
    <s v="[Qry_FVA23_Status].[RP_Code].&amp;[SL3119]"/>
    <s v="[Qry_FVA23_Status].[RP_Name].&amp;[Ocean Housing Limited]"/>
    <s v="[Qry_FVA23_Status].[RP_Code].&amp;[LH4248]"/>
    <s v="[Qry_FVA23_Status].[RP_Name].&amp;[Onward Homes Limited]"/>
    <s v="[Qry_FVA23_Status].[RP_Code].&amp;[LH0250]"/>
    <s v="[Qry_FVA23_Status].[RP_Name].&amp;[Orbit Housing Association Limited]"/>
    <s v="[Qry_FVA23_Status].[RP_Code].&amp;[L4060]"/>
    <s v="[Qry_FVA23_Status].[RP_Name].&amp;[Paradigm Homes Charitable Housing Association Limited]"/>
    <s v="[Qry_FVA23_Status].[RP_Code].&amp;[LH4138]"/>
    <s v="[Qry_FVA23_Status].[RP_Name].&amp;[Places for People Homes Limited]"/>
    <s v="[Qry_FVA23_Status].[RP_Code].&amp;[L0659]"/>
    <s v="[Qry_FVA23_Status].[RP_Name].&amp;[Places for People Living+ Limited]"/>
    <s v="[Qry_FVA23_Status].[RP_Code].&amp;[LH3926]"/>
    <s v="[Qry_FVA23_Status].[RP_Name].&amp;[Platform Housing Limited]"/>
    <s v="[Qry_FVA23_Status].[RP_Code].&amp;[5084]"/>
    <s v="[Qry_FVA23_Status].[RP_Name].&amp;[Progress Housing Association Limited]"/>
    <s v="[Qry_FVA23_Status].[RP_Code].&amp;[LH4032]"/>
    <s v="[Qry_FVA23_Status].[RP_Name].&amp;[Redwing Living Limited]"/>
    <s v="[Qry_FVA23_Status].[RP_Code].&amp;[L0877]"/>
    <s v="[Qry_FVA23_Status].[RP_Name].&amp;[Reside Housing Association Limited]"/>
    <s v="[Qry_FVA23_Status].[RP_Code].&amp;[4745]"/>
    <s v="[Qry_FVA23_Status].[RP_Name].&amp;[Rooftop Housing Association Limited]"/>
    <s v="[Qry_FVA23_Status].[RP_Code].&amp;[LH4050]"/>
    <s v="[Qry_FVA23_Status].[RP_Name].&amp;[Rosebery Housing Association Limited]"/>
    <s v="[Qry_FVA23_Status].[RP_Code].&amp;[LH4026]"/>
    <s v="[Qry_FVA23_Status].[RP_Name].&amp;[Sanctuary Affordable Housing Limited]"/>
    <s v="[Qry_FVA23_Status].[RP_Code].&amp;[4684]"/>
    <s v="[Qry_FVA23_Status].[RP_Name].&amp;[Stonewater (5) Limited]"/>
    <s v="[Qry_FVA23_Status].[RP_Code].&amp;[4717]"/>
    <s v="[Qry_FVA23_Status].[RP_Name].&amp;[Swan Housing Association Limited]"/>
    <s v="[Qry_FVA23_Status].[RP_Code].&amp;[L4145]"/>
    <s v="[Qry_FVA23_Status].[RP_Name].&amp;[Synergy Housing Limited]"/>
    <s v="[Qry_FVA23_Status].[RP_Code].&amp;[4680]"/>
    <s v="[Qry_FVA23_Status].[RP_Name].&amp;[The Swaythling Housing Society Limited]"/>
    <s v="[Qry_FVA23_Status].[RP_Code].&amp;[L0689]"/>
    <s v="[Qry_FVA23_Status].[Entity].&amp;[1]"/>
    <s v="( [Qry_FVA23_Status].[Entity].[All].[1], [Qry_FVA23_Status].[RP_Name].[All].Children )"/>
    <s v="[Qry_FVA23_Status].[RP_Name].&amp;[Together Housing Association Limited]"/>
    <s v="[Qry_FVA23_Status].[RP_Code].&amp;[L4160]"/>
    <s v="[Qry_FVA23_Status].[RP_Name].&amp;[Town and Country Housing]"/>
    <s v="[Qry_FVA23_Status].[RP_Code].&amp;[L4251]"/>
    <s v="[Qry_FVA23_Status].[RP_Name].&amp;[Your Housing Limited]"/>
    <s v="[Qry_FVA23_Status].[RP_Code].&amp;[L1700]"/>
    <s v="[FVA23_Status].[Entity].&amp;[1]"/>
    <s v="[FVA23_Status].[RP_Name].&amp;[Progress Housing Association Limited]"/>
    <s v="[FVA23_Status].[RP_Name].&amp;[Hyde Southbank Homes Limited]"/>
    <s v="[FVA23_Status].[RP_Name].&amp;[Jigsaw Homes Tameside]"/>
    <s v="[FVA23_Status].[RP_Name].&amp;[Town and Country Housing]"/>
    <s v="[FVA23_Status].[RP_Name].&amp;[Clarion Housing Association Limited]"/>
    <s v="[FVA23_Status].[RP_Name].&amp;[Accent Housing Limited]"/>
    <s v="[FVA23_Status].[RP_Name].&amp;[Synergy Housing Limited]"/>
    <s v="[FVA23_Status].[RP_Name].&amp;[Together Housing Association Limited]"/>
    <s v="[FVA23_Status].[RP_Name].&amp;[Metropolitan Housing Trust Limited]"/>
    <s v="[FVA23_Status].[RP_Name].&amp;[54 North Homes Limited]"/>
    <s v="[FVA23_Status].[RP_Name].&amp;[Reside Housing Association Limited]"/>
    <s v="[FVA23_Status].[RP_Name].&amp;[The Swaythling Housing Society Limited]"/>
    <s v="[FVA23_Status].[RP_Name].&amp;[Stonewater (5) Limited]"/>
    <s v="[FVA23_Status].[RP_Name].&amp;[Catalyst Housing Limited]"/>
    <s v="[FVA23_Status].[RP_Name].&amp;[A2Dominion South Limited]"/>
    <s v="[FVA23_Status].[RP_Name].&amp;[Aster Communities]"/>
    <s v="[FVA23_Status].[RP_Name].&amp;[Ocean Housing Limited]"/>
    <s v="[FVA23_Status].[RP_Name].&amp;[Martlet Homes Limited]"/>
    <s v="[FVA23_Status].[RP_Name].&amp;[Futures Homescape Limited]"/>
    <s v="[FVA23_Status].[RP_Name].&amp;[A2Dominion Homes Limited]"/>
    <s v="[FVA23_Status].[RP_Name].&amp;[Arcon Housing Association Limited]"/>
    <s v="[FVA23_Status].[RP_Name].&amp;[Frontis Homes Limited]"/>
    <s v="[FVA23_Status].[RP_Name].&amp;[Platform Housing Limited]"/>
    <s v="[FVA23_Status].[RP_Name].&amp;[A2Dominion Housing Options Limited]"/>
    <s v="[FVA23_Status].[RP_Name].&amp;[Jigsaw Homes North]"/>
    <s v="[FVA23_Status].[RP_Name].&amp;[Futures Homeway Limited]"/>
    <s v="[FVA23_Status].[RP_Name].&amp;[Notting Hill Home Ownership Limited]"/>
    <s v="[FVA23_Status].[RP_Name].&amp;[Sanctuary Affordable Housing Limited]"/>
    <s v="[FVA23_Status].[RP_Name].&amp;[Aster 3 Limited]"/>
    <s v="[FVA23_Status].[RP_Name].&amp;[Hillside Housing Trust Limited]"/>
    <s v="[FVA23_Status].[RP_Name].&amp;[Rooftop Housing Association Limited]"/>
    <s v="[FVA23_Status].[RP_Name].&amp;[Merlin Housing Society Limited]"/>
    <s v="[FVA23_Status].[RP_Name].&amp;[Central and Cecil Housing Trust]"/>
    <s v="[FVA23_Status].[RP_Name].&amp;[Orbit Housing Association Limited]"/>
    <s v="[FVA23_Status].[RP_Name].&amp;[EMH Housing and Regeneration Limited]"/>
    <s v="[FVA23_Status].[RP_Name].&amp;[Jigsaw Homes Midlands]"/>
    <s v="[FVA23_Status].[RP_Name].&amp;[Places for People Homes Limited]"/>
    <s v="[FVA23_Status].[RP_Name].&amp;[Rosebery Housing Association Limited]"/>
    <s v="[FVA23_Status].[RP_Name].&amp;[Homes Plus Limited]"/>
    <s v="[FVA23_Status].[RP_Name].&amp;[Curo Places Limited]"/>
    <s v="[FVA23_Status].[RP_Name].&amp;[Places for People Living+ Limited]"/>
    <s v="[FVA23_Status].[RP_Name].&amp;[Great Places Housing Association]"/>
    <s v="[FVA23_Status].[RP_Name].&amp;[Bromford Housing Association Limited]"/>
    <s v="[FVA23_Status].[RP_Name].&amp;[Your Housing Limited]"/>
    <s v="[FVA23_Status].[RP_Name].&amp;[Onward Homes Limited]"/>
    <s v="[FVA23_Status].[RP_Name].&amp;[Redwing Living Limited]"/>
    <s v="[FVA23_Status].[RP_Name].&amp;[Paradigm Homes Charitable Housing Association Limited]"/>
  </metadataStrings>
  <mdxMetadata count="18982">
    <mdx n="0" f="r">
      <t c="2">
        <n x="2"/>
        <n x="1"/>
      </t>
    </mdx>
    <mdx n="0" f="r">
      <t c="2">
        <n x="2"/>
        <n x="3"/>
      </t>
    </mdx>
    <mdx n="0" f="r">
      <t c="2">
        <n x="2"/>
        <n x="4"/>
      </t>
    </mdx>
    <mdx n="0" f="r">
      <t c="2">
        <n x="2"/>
        <n x="5"/>
      </t>
    </mdx>
    <mdx n="0" f="r">
      <t c="2">
        <n x="2"/>
        <n x="6"/>
      </t>
    </mdx>
    <mdx n="0" f="r">
      <t c="2">
        <n x="2"/>
        <n x="7"/>
      </t>
    </mdx>
    <mdx n="0" f="r">
      <t c="2">
        <n x="2"/>
        <n x="8"/>
      </t>
    </mdx>
    <mdx n="0" f="r">
      <t c="2">
        <n x="2"/>
        <n x="9"/>
      </t>
    </mdx>
    <mdx n="0" f="r">
      <t c="2">
        <n x="2"/>
        <n x="10"/>
      </t>
    </mdx>
    <mdx n="0" f="r">
      <t c="2">
        <n x="2"/>
        <n x="11"/>
      </t>
    </mdx>
    <mdx n="0" f="r">
      <t c="2">
        <n x="2"/>
        <n x="12"/>
      </t>
    </mdx>
    <mdx n="0" f="r">
      <t c="2">
        <n x="2"/>
        <n x="13"/>
      </t>
    </mdx>
    <mdx n="0" f="r">
      <t c="2">
        <n x="2"/>
        <n x="14"/>
      </t>
    </mdx>
    <mdx n="0" f="r">
      <t c="2">
        <n x="2"/>
        <n x="15"/>
      </t>
    </mdx>
    <mdx n="0" f="r">
      <t c="2">
        <n x="2"/>
        <n x="16"/>
      </t>
    </mdx>
    <mdx n="0" f="r">
      <t c="2">
        <n x="2"/>
        <n x="17"/>
      </t>
    </mdx>
    <mdx n="0" f="r">
      <t c="2">
        <n x="2"/>
        <n x="18"/>
      </t>
    </mdx>
    <mdx n="0" f="r">
      <t c="2">
        <n x="2"/>
        <n x="19"/>
      </t>
    </mdx>
    <mdx n="0" f="r">
      <t c="2">
        <n x="2"/>
        <n x="20"/>
      </t>
    </mdx>
    <mdx n="0" f="r">
      <t c="2">
        <n x="2"/>
        <n x="21"/>
      </t>
    </mdx>
    <mdx n="0" f="r">
      <t c="2">
        <n x="2"/>
        <n x="22"/>
      </t>
    </mdx>
    <mdx n="0" f="r">
      <t c="2">
        <n x="2"/>
        <n x="23"/>
      </t>
    </mdx>
    <mdx n="0" f="r">
      <t c="2">
        <n x="2"/>
        <n x="24"/>
      </t>
    </mdx>
    <mdx n="0" f="r">
      <t c="2">
        <n x="2"/>
        <n x="25"/>
      </t>
    </mdx>
    <mdx n="0" f="r">
      <t c="2">
        <n x="2"/>
        <n x="26"/>
      </t>
    </mdx>
    <mdx n="0" f="r">
      <t c="2">
        <n x="2"/>
        <n x="27"/>
      </t>
    </mdx>
    <mdx n="0" f="r">
      <t c="2">
        <n x="2"/>
        <n x="28"/>
      </t>
    </mdx>
    <mdx n="0" f="r">
      <t c="2">
        <n x="2"/>
        <n x="29"/>
      </t>
    </mdx>
    <mdx n="0" f="r">
      <t c="2">
        <n x="2"/>
        <n x="30"/>
      </t>
    </mdx>
    <mdx n="0" f="r">
      <t c="2">
        <n x="2"/>
        <n x="31"/>
      </t>
    </mdx>
    <mdx n="0" f="r">
      <t c="2">
        <n x="2"/>
        <n x="32"/>
      </t>
    </mdx>
    <mdx n="0" f="r">
      <t c="2">
        <n x="2"/>
        <n x="33"/>
      </t>
    </mdx>
    <mdx n="0" f="r">
      <t c="2">
        <n x="2"/>
        <n x="34"/>
      </t>
    </mdx>
    <mdx n="0" f="r">
      <t c="2">
        <n x="2"/>
        <n x="35"/>
      </t>
    </mdx>
    <mdx n="0" f="r">
      <t c="2">
        <n x="2"/>
        <n x="36"/>
      </t>
    </mdx>
    <mdx n="0" f="r">
      <t c="2">
        <n x="2"/>
        <n x="37"/>
      </t>
    </mdx>
    <mdx n="0" f="r">
      <t c="2">
        <n x="2"/>
        <n x="38"/>
      </t>
    </mdx>
    <mdx n="0" f="r">
      <t c="2">
        <n x="2"/>
        <n x="39"/>
      </t>
    </mdx>
    <mdx n="0" f="r">
      <t c="2">
        <n x="2"/>
        <n x="40"/>
      </t>
    </mdx>
    <mdx n="0" f="r">
      <t c="2">
        <n x="2"/>
        <n x="41"/>
      </t>
    </mdx>
    <mdx n="0" f="r">
      <t c="2">
        <n x="2"/>
        <n x="42"/>
      </t>
    </mdx>
    <mdx n="0" f="r">
      <t c="2">
        <n x="2"/>
        <n x="43"/>
      </t>
    </mdx>
    <mdx n="0" f="r">
      <t c="2">
        <n x="2"/>
        <n x="44"/>
      </t>
    </mdx>
    <mdx n="0" f="r">
      <t c="2">
        <n x="2"/>
        <n x="45"/>
      </t>
    </mdx>
    <mdx n="0" f="r">
      <t c="2">
        <n x="2"/>
        <n x="46"/>
      </t>
    </mdx>
    <mdx n="0" f="r">
      <t c="2">
        <n x="2"/>
        <n x="47"/>
      </t>
    </mdx>
    <mdx n="0" f="r">
      <t c="2">
        <n x="2"/>
        <n x="48"/>
      </t>
    </mdx>
    <mdx n="0" f="r">
      <t c="2">
        <n x="2"/>
        <n x="49"/>
      </t>
    </mdx>
    <mdx n="0" f="r">
      <t c="2">
        <n x="2"/>
        <n x="50"/>
      </t>
    </mdx>
    <mdx n="0" f="r">
      <t c="2">
        <n x="2"/>
        <n x="51"/>
      </t>
    </mdx>
    <mdx n="0" f="r">
      <t c="2">
        <n x="2"/>
        <n x="52"/>
      </t>
    </mdx>
    <mdx n="0" f="r">
      <t c="2">
        <n x="2"/>
        <n x="53"/>
      </t>
    </mdx>
    <mdx n="0" f="r">
      <t c="2">
        <n x="2"/>
        <n x="54"/>
      </t>
    </mdx>
    <mdx n="0" f="r">
      <t c="2">
        <n x="2"/>
        <n x="55"/>
      </t>
    </mdx>
    <mdx n="0" f="r">
      <t c="2">
        <n x="2"/>
        <n x="56"/>
      </t>
    </mdx>
    <mdx n="0" f="r">
      <t c="2">
        <n x="2"/>
        <n x="57"/>
      </t>
    </mdx>
    <mdx n="0" f="r">
      <t c="2">
        <n x="2"/>
        <n x="58"/>
      </t>
    </mdx>
    <mdx n="0" f="r">
      <t c="2">
        <n x="2"/>
        <n x="59"/>
      </t>
    </mdx>
    <mdx n="0" f="r">
      <t c="2">
        <n x="2"/>
        <n x="60"/>
      </t>
    </mdx>
    <mdx n="0" f="r">
      <t c="2">
        <n x="2"/>
        <n x="61"/>
      </t>
    </mdx>
    <mdx n="0" f="r">
      <t c="2">
        <n x="2"/>
        <n x="62"/>
      </t>
    </mdx>
    <mdx n="0" f="r">
      <t c="2">
        <n x="2"/>
        <n x="63"/>
      </t>
    </mdx>
    <mdx n="0" f="r">
      <t c="2">
        <n x="2"/>
        <n x="64"/>
      </t>
    </mdx>
    <mdx n="0" f="r">
      <t c="2">
        <n x="2"/>
        <n x="65"/>
      </t>
    </mdx>
    <mdx n="0" f="r">
      <t c="2">
        <n x="2"/>
        <n x="66"/>
      </t>
    </mdx>
    <mdx n="0" f="r">
      <t c="2">
        <n x="2"/>
        <n x="67"/>
      </t>
    </mdx>
    <mdx n="0" f="r">
      <t c="2">
        <n x="2"/>
        <n x="68"/>
      </t>
    </mdx>
    <mdx n="0" f="r">
      <t c="2">
        <n x="2"/>
        <n x="69"/>
      </t>
    </mdx>
    <mdx n="0" f="r">
      <t c="2">
        <n x="2"/>
        <n x="70"/>
      </t>
    </mdx>
    <mdx n="0" f="r">
      <t c="2">
        <n x="2"/>
        <n x="71"/>
      </t>
    </mdx>
    <mdx n="0" f="r">
      <t c="2">
        <n x="2"/>
        <n x="72"/>
      </t>
    </mdx>
    <mdx n="0" f="r">
      <t c="2">
        <n x="2"/>
        <n x="73"/>
      </t>
    </mdx>
    <mdx n="0" f="r">
      <t c="2">
        <n x="2"/>
        <n x="74"/>
      </t>
    </mdx>
    <mdx n="0" f="r">
      <t c="2">
        <n x="2"/>
        <n x="75"/>
      </t>
    </mdx>
    <mdx n="0" f="r">
      <t c="2">
        <n x="2"/>
        <n x="76"/>
      </t>
    </mdx>
    <mdx n="0" f="r">
      <t c="2">
        <n x="2"/>
        <n x="77"/>
      </t>
    </mdx>
    <mdx n="0" f="r">
      <t c="2">
        <n x="2"/>
        <n x="78"/>
      </t>
    </mdx>
    <mdx n="0" f="r">
      <t c="2">
        <n x="2"/>
        <n x="79"/>
      </t>
    </mdx>
    <mdx n="0" f="r">
      <t c="2">
        <n x="2"/>
        <n x="80"/>
      </t>
    </mdx>
    <mdx n="0" f="r">
      <t c="2">
        <n x="2"/>
        <n x="81"/>
      </t>
    </mdx>
    <mdx n="0" f="r">
      <t c="2">
        <n x="2"/>
        <n x="82"/>
      </t>
    </mdx>
    <mdx n="0" f="r">
      <t c="2">
        <n x="2"/>
        <n x="83"/>
      </t>
    </mdx>
    <mdx n="0" f="r">
      <t c="2">
        <n x="2"/>
        <n x="84"/>
      </t>
    </mdx>
    <mdx n="0" f="r">
      <t c="2">
        <n x="2"/>
        <n x="85"/>
      </t>
    </mdx>
    <mdx n="0" f="r">
      <t c="2">
        <n x="2"/>
        <n x="86"/>
      </t>
    </mdx>
    <mdx n="0" f="r">
      <t c="2">
        <n x="2"/>
        <n x="87"/>
      </t>
    </mdx>
    <mdx n="0" f="r">
      <t c="2">
        <n x="2"/>
        <n x="88"/>
      </t>
    </mdx>
    <mdx n="0" f="r">
      <t c="2">
        <n x="2"/>
        <n x="89"/>
      </t>
    </mdx>
    <mdx n="0" f="r">
      <t c="2">
        <n x="2"/>
        <n x="90"/>
      </t>
    </mdx>
    <mdx n="0" f="r">
      <t c="2">
        <n x="2"/>
        <n x="91"/>
      </t>
    </mdx>
    <mdx n="0" f="r">
      <t c="2">
        <n x="2"/>
        <n x="92"/>
      </t>
    </mdx>
    <mdx n="0" f="r">
      <t c="2">
        <n x="2"/>
        <n x="93"/>
      </t>
    </mdx>
    <mdx n="0" f="r">
      <t c="2">
        <n x="2"/>
        <n x="94"/>
      </t>
    </mdx>
    <mdx n="0" f="r">
      <t c="2">
        <n x="2"/>
        <n x="95"/>
      </t>
    </mdx>
    <mdx n="0" f="r">
      <t c="2">
        <n x="2"/>
        <n x="96"/>
      </t>
    </mdx>
    <mdx n="0" f="r">
      <t c="2">
        <n x="2"/>
        <n x="97"/>
      </t>
    </mdx>
    <mdx n="0" f="r">
      <t c="2">
        <n x="2"/>
        <n x="98"/>
      </t>
    </mdx>
    <mdx n="0" f="r">
      <t c="2">
        <n x="2"/>
        <n x="99"/>
      </t>
    </mdx>
    <mdx n="0" f="r">
      <t c="2">
        <n x="2"/>
        <n x="100"/>
      </t>
    </mdx>
    <mdx n="0" f="r">
      <t c="2">
        <n x="2"/>
        <n x="101"/>
      </t>
    </mdx>
    <mdx n="0" f="r">
      <t c="2">
        <n x="2"/>
        <n x="102"/>
      </t>
    </mdx>
    <mdx n="0" f="r">
      <t c="2">
        <n x="2"/>
        <n x="103"/>
      </t>
    </mdx>
    <mdx n="0" f="r">
      <t c="2">
        <n x="2"/>
        <n x="104"/>
      </t>
    </mdx>
    <mdx n="0" f="r">
      <t c="2">
        <n x="2"/>
        <n x="105"/>
      </t>
    </mdx>
    <mdx n="0" f="r">
      <t c="2">
        <n x="2"/>
        <n x="106"/>
      </t>
    </mdx>
    <mdx n="0" f="r">
      <t c="2">
        <n x="2"/>
        <n x="107"/>
      </t>
    </mdx>
    <mdx n="0" f="r">
      <t c="2">
        <n x="2"/>
        <n x="108"/>
      </t>
    </mdx>
    <mdx n="0" f="r">
      <t c="2">
        <n x="2"/>
        <n x="109"/>
      </t>
    </mdx>
    <mdx n="0" f="r">
      <t c="2">
        <n x="2"/>
        <n x="110"/>
      </t>
    </mdx>
    <mdx n="0" f="r">
      <t c="2">
        <n x="2"/>
        <n x="111"/>
      </t>
    </mdx>
    <mdx n="0" f="r">
      <t c="2">
        <n x="2"/>
        <n x="112"/>
      </t>
    </mdx>
    <mdx n="0" f="r">
      <t c="2">
        <n x="2"/>
        <n x="113"/>
      </t>
    </mdx>
    <mdx n="0" f="r">
      <t c="2">
        <n x="2"/>
        <n x="114"/>
      </t>
    </mdx>
    <mdx n="0" f="r">
      <t c="2">
        <n x="2"/>
        <n x="115"/>
      </t>
    </mdx>
    <mdx n="0" f="r">
      <t c="2">
        <n x="2"/>
        <n x="116"/>
      </t>
    </mdx>
    <mdx n="0" f="r">
      <t c="2">
        <n x="2"/>
        <n x="117"/>
      </t>
    </mdx>
    <mdx n="0" f="r">
      <t c="2">
        <n x="2"/>
        <n x="118"/>
      </t>
    </mdx>
    <mdx n="0" f="r">
      <t c="2">
        <n x="2"/>
        <n x="119"/>
      </t>
    </mdx>
    <mdx n="0" f="r">
      <t c="2">
        <n x="2"/>
        <n x="120"/>
      </t>
    </mdx>
    <mdx n="0" f="r">
      <t c="2">
        <n x="2"/>
        <n x="121"/>
      </t>
    </mdx>
    <mdx n="0" f="r">
      <t c="2">
        <n x="2"/>
        <n x="122"/>
      </t>
    </mdx>
    <mdx n="0" f="r">
      <t c="2">
        <n x="2"/>
        <n x="123"/>
      </t>
    </mdx>
    <mdx n="0" f="r">
      <t c="2">
        <n x="2"/>
        <n x="124"/>
      </t>
    </mdx>
    <mdx n="0" f="r">
      <t c="2">
        <n x="2"/>
        <n x="125"/>
      </t>
    </mdx>
    <mdx n="0" f="r">
      <t c="2">
        <n x="2"/>
        <n x="126"/>
      </t>
    </mdx>
    <mdx n="0" f="r">
      <t c="2">
        <n x="2"/>
        <n x="127"/>
      </t>
    </mdx>
    <mdx n="0" f="r">
      <t c="2">
        <n x="2"/>
        <n x="128"/>
      </t>
    </mdx>
    <mdx n="0" f="r">
      <t c="2">
        <n x="2"/>
        <n x="129"/>
      </t>
    </mdx>
    <mdx n="0" f="r">
      <t c="2">
        <n x="2"/>
        <n x="130"/>
      </t>
    </mdx>
    <mdx n="0" f="r">
      <t c="2">
        <n x="2"/>
        <n x="131"/>
      </t>
    </mdx>
    <mdx n="0" f="r">
      <t c="2">
        <n x="2"/>
        <n x="132"/>
      </t>
    </mdx>
    <mdx n="0" f="r">
      <t c="2">
        <n x="2"/>
        <n x="133"/>
      </t>
    </mdx>
    <mdx n="0" f="r">
      <t c="2">
        <n x="2"/>
        <n x="134"/>
      </t>
    </mdx>
    <mdx n="0" f="r">
      <t c="2">
        <n x="2"/>
        <n x="135"/>
      </t>
    </mdx>
    <mdx n="0" f="r">
      <t c="2">
        <n x="2"/>
        <n x="136"/>
      </t>
    </mdx>
    <mdx n="0" f="r">
      <t c="2">
        <n x="2"/>
        <n x="137"/>
      </t>
    </mdx>
    <mdx n="0" f="r">
      <t c="2">
        <n x="2"/>
        <n x="138"/>
      </t>
    </mdx>
    <mdx n="0" f="r">
      <t c="2">
        <n x="2"/>
        <n x="139"/>
      </t>
    </mdx>
    <mdx n="0" f="r">
      <t c="2">
        <n x="2"/>
        <n x="140"/>
      </t>
    </mdx>
    <mdx n="0" f="r">
      <t c="2">
        <n x="2"/>
        <n x="141"/>
      </t>
    </mdx>
    <mdx n="0" f="r">
      <t c="2">
        <n x="2"/>
        <n x="142"/>
      </t>
    </mdx>
    <mdx n="0" f="r">
      <t c="2">
        <n x="2"/>
        <n x="143"/>
      </t>
    </mdx>
    <mdx n="0" f="r">
      <t c="2">
        <n x="2"/>
        <n x="144"/>
      </t>
    </mdx>
    <mdx n="0" f="r">
      <t c="2">
        <n x="2"/>
        <n x="145"/>
      </t>
    </mdx>
    <mdx n="0" f="r">
      <t c="2">
        <n x="2"/>
        <n x="146"/>
      </t>
    </mdx>
    <mdx n="0" f="r">
      <t c="2">
        <n x="2"/>
        <n x="147"/>
      </t>
    </mdx>
    <mdx n="0" f="r">
      <t c="2">
        <n x="2"/>
        <n x="148"/>
      </t>
    </mdx>
    <mdx n="0" f="r">
      <t c="2">
        <n x="2"/>
        <n x="149"/>
      </t>
    </mdx>
    <mdx n="0" f="r">
      <t c="2">
        <n x="2"/>
        <n x="150"/>
      </t>
    </mdx>
    <mdx n="0" f="r">
      <t c="2">
        <n x="2"/>
        <n x="151"/>
      </t>
    </mdx>
    <mdx n="0" f="r">
      <t c="2">
        <n x="2"/>
        <n x="152"/>
      </t>
    </mdx>
    <mdx n="0" f="r">
      <t c="2">
        <n x="2"/>
        <n x="153"/>
      </t>
    </mdx>
    <mdx n="0" f="r">
      <t c="2">
        <n x="2"/>
        <n x="154"/>
      </t>
    </mdx>
    <mdx n="0" f="r">
      <t c="2">
        <n x="2"/>
        <n x="155"/>
      </t>
    </mdx>
    <mdx n="0" f="r">
      <t c="2">
        <n x="2"/>
        <n x="156"/>
      </t>
    </mdx>
    <mdx n="0" f="r">
      <t c="2">
        <n x="2"/>
        <n x="157"/>
      </t>
    </mdx>
    <mdx n="0" f="r">
      <t c="2">
        <n x="2"/>
        <n x="158"/>
      </t>
    </mdx>
    <mdx n="0" f="r">
      <t c="2">
        <n x="2"/>
        <n x="159"/>
      </t>
    </mdx>
    <mdx n="0" f="r">
      <t c="2">
        <n x="2"/>
        <n x="160"/>
      </t>
    </mdx>
    <mdx n="0" f="r">
      <t c="2">
        <n x="2"/>
        <n x="161"/>
      </t>
    </mdx>
    <mdx n="0" f="r">
      <t c="2">
        <n x="2"/>
        <n x="162"/>
      </t>
    </mdx>
    <mdx n="0" f="r">
      <t c="2">
        <n x="2"/>
        <n x="163"/>
      </t>
    </mdx>
    <mdx n="0" f="r">
      <t c="2">
        <n x="2"/>
        <n x="164"/>
      </t>
    </mdx>
    <mdx n="0" f="r">
      <t c="2">
        <n x="2"/>
        <n x="165"/>
      </t>
    </mdx>
    <mdx n="0" f="r">
      <t c="2">
        <n x="2"/>
        <n x="166"/>
      </t>
    </mdx>
    <mdx n="0" f="r">
      <t c="2">
        <n x="2"/>
        <n x="167"/>
      </t>
    </mdx>
    <mdx n="0" f="r">
      <t c="2">
        <n x="2"/>
        <n x="168"/>
      </t>
    </mdx>
    <mdx n="0" f="r">
      <t c="2">
        <n x="2"/>
        <n x="169"/>
      </t>
    </mdx>
    <mdx n="0" f="r">
      <t c="2">
        <n x="2"/>
        <n x="170"/>
      </t>
    </mdx>
    <mdx n="0" f="r">
      <t c="2">
        <n x="2"/>
        <n x="171"/>
      </t>
    </mdx>
    <mdx n="0" f="r">
      <t c="2">
        <n x="2"/>
        <n x="172"/>
      </t>
    </mdx>
    <mdx n="0" f="r">
      <t c="2">
        <n x="2"/>
        <n x="173"/>
      </t>
    </mdx>
    <mdx n="0" f="r">
      <t c="2">
        <n x="2"/>
        <n x="174"/>
      </t>
    </mdx>
    <mdx n="0" f="r">
      <t c="2">
        <n x="2"/>
        <n x="175"/>
      </t>
    </mdx>
    <mdx n="0" f="r">
      <t c="2">
        <n x="2"/>
        <n x="176"/>
      </t>
    </mdx>
    <mdx n="0" f="r">
      <t c="2">
        <n x="2"/>
        <n x="177"/>
      </t>
    </mdx>
    <mdx n="0" f="r">
      <t c="2">
        <n x="2"/>
        <n x="178"/>
      </t>
    </mdx>
    <mdx n="0" f="r">
      <t c="2">
        <n x="2"/>
        <n x="179"/>
      </t>
    </mdx>
    <mdx n="0" f="r">
      <t c="2">
        <n x="2"/>
        <n x="180"/>
      </t>
    </mdx>
    <mdx n="0" f="r">
      <t c="2">
        <n x="2"/>
        <n x="181"/>
      </t>
    </mdx>
    <mdx n="0" f="r">
      <t c="2">
        <n x="2"/>
        <n x="182"/>
      </t>
    </mdx>
    <mdx n="0" f="r">
      <t c="2">
        <n x="2"/>
        <n x="183"/>
      </t>
    </mdx>
    <mdx n="0" f="r">
      <t c="2">
        <n x="2"/>
        <n x="184"/>
      </t>
    </mdx>
    <mdx n="0" f="r">
      <t c="2">
        <n x="2"/>
        <n x="185"/>
      </t>
    </mdx>
    <mdx n="0" f="r">
      <t c="2">
        <n x="2"/>
        <n x="186"/>
      </t>
    </mdx>
    <mdx n="0" f="r">
      <t c="2">
        <n x="2"/>
        <n x="187"/>
      </t>
    </mdx>
    <mdx n="0" f="r">
      <t c="2">
        <n x="2"/>
        <n x="188"/>
      </t>
    </mdx>
    <mdx n="0" f="r">
      <t c="2">
        <n x="2"/>
        <n x="189"/>
      </t>
    </mdx>
    <mdx n="0" f="r">
      <t c="2">
        <n x="2"/>
        <n x="190"/>
      </t>
    </mdx>
    <mdx n="0" f="r">
      <t c="2">
        <n x="2"/>
        <n x="191"/>
      </t>
    </mdx>
    <mdx n="0" f="r">
      <t c="2">
        <n x="2"/>
        <n x="192"/>
      </t>
    </mdx>
    <mdx n="0" f="r">
      <t c="2">
        <n x="2"/>
        <n x="193"/>
      </t>
    </mdx>
    <mdx n="0" f="r">
      <t c="2">
        <n x="2"/>
        <n x="194"/>
      </t>
    </mdx>
    <mdx n="0" f="r">
      <t c="2">
        <n x="2"/>
        <n x="195"/>
      </t>
    </mdx>
    <mdx n="0" f="r">
      <t c="2">
        <n x="2"/>
        <n x="196"/>
      </t>
    </mdx>
    <mdx n="0" f="r">
      <t c="2">
        <n x="2"/>
        <n x="197"/>
      </t>
    </mdx>
    <mdx n="0" f="r">
      <t c="2">
        <n x="2"/>
        <n x="198"/>
      </t>
    </mdx>
    <mdx n="0" f="r">
      <t c="2">
        <n x="2"/>
        <n x="199"/>
      </t>
    </mdx>
    <mdx n="0" f="m">
      <t c="2">
        <n x="207"/>
        <n x="208"/>
      </t>
    </mdx>
    <mdx n="0" f="m">
      <t c="2">
        <n x="209"/>
        <n x="210"/>
      </t>
    </mdx>
    <mdx n="0" f="m">
      <t c="2">
        <n x="211"/>
        <n x="212"/>
      </t>
    </mdx>
    <mdx n="0" f="m">
      <t c="2">
        <n x="213"/>
        <n x="214"/>
      </t>
    </mdx>
    <mdx n="0" f="m">
      <t c="2">
        <n x="215"/>
        <n x="216"/>
      </t>
    </mdx>
    <mdx n="0" f="m">
      <t c="2">
        <n x="217"/>
        <n x="218"/>
      </t>
    </mdx>
    <mdx n="0" f="m">
      <t c="2">
        <n x="219"/>
        <n x="220"/>
      </t>
    </mdx>
    <mdx n="0" f="m">
      <t c="2">
        <n x="221"/>
        <n x="222"/>
      </t>
    </mdx>
    <mdx n="0" f="m">
      <t c="2">
        <n x="223"/>
        <n x="224"/>
      </t>
    </mdx>
    <mdx n="0" f="m">
      <t c="2">
        <n x="225"/>
        <n x="226"/>
      </t>
    </mdx>
    <mdx n="0" f="m">
      <t c="2">
        <n x="227"/>
        <n x="228"/>
      </t>
    </mdx>
    <mdx n="0" f="m">
      <t c="2">
        <n x="229"/>
        <n x="230"/>
      </t>
    </mdx>
    <mdx n="0" f="m">
      <t c="2">
        <n x="231"/>
        <n x="232"/>
      </t>
    </mdx>
    <mdx n="0" f="m">
      <t c="2">
        <n x="233"/>
        <n x="234"/>
      </t>
    </mdx>
    <mdx n="0" f="m">
      <t c="2">
        <n x="235"/>
        <n x="236"/>
      </t>
    </mdx>
    <mdx n="0" f="m">
      <t c="2">
        <n x="237"/>
        <n x="238"/>
      </t>
    </mdx>
    <mdx n="0" f="m">
      <t c="2">
        <n x="239"/>
        <n x="240"/>
      </t>
    </mdx>
    <mdx n="0" f="m">
      <t c="2">
        <n x="241"/>
        <n x="242"/>
      </t>
    </mdx>
    <mdx n="0" f="m">
      <t c="2">
        <n x="243"/>
        <n x="244"/>
      </t>
    </mdx>
    <mdx n="0" f="m">
      <t c="2">
        <n x="245"/>
        <n x="246"/>
      </t>
    </mdx>
    <mdx n="0" f="m">
      <t c="2">
        <n x="247"/>
        <n x="248"/>
      </t>
    </mdx>
    <mdx n="0" f="m">
      <t c="2">
        <n x="249"/>
        <n x="250"/>
      </t>
    </mdx>
    <mdx n="0" f="m">
      <t c="2">
        <n x="251"/>
        <n x="252"/>
      </t>
    </mdx>
    <mdx n="0" f="m">
      <t c="2">
        <n x="253"/>
        <n x="254"/>
      </t>
    </mdx>
    <mdx n="0" f="m">
      <t c="2">
        <n x="255"/>
        <n x="256"/>
      </t>
    </mdx>
    <mdx n="0" f="m">
      <t c="2">
        <n x="257"/>
        <n x="258"/>
      </t>
    </mdx>
    <mdx n="0" f="m">
      <t c="2">
        <n x="259"/>
        <n x="260"/>
      </t>
    </mdx>
    <mdx n="0" f="m">
      <t c="2">
        <n x="261"/>
        <n x="262"/>
      </t>
    </mdx>
    <mdx n="0" f="m">
      <t c="2">
        <n x="263"/>
        <n x="264"/>
      </t>
    </mdx>
    <mdx n="0" f="m">
      <t c="2">
        <n x="265"/>
        <n x="266"/>
      </t>
    </mdx>
    <mdx n="0" f="m">
      <t c="2">
        <n x="267"/>
        <n x="268"/>
      </t>
    </mdx>
    <mdx n="0" f="m">
      <t c="2">
        <n x="269"/>
        <n x="270"/>
      </t>
    </mdx>
    <mdx n="0" f="m">
      <t c="2">
        <n x="271"/>
        <n x="272"/>
      </t>
    </mdx>
    <mdx n="0" f="m">
      <t c="2">
        <n x="273"/>
        <n x="274"/>
      </t>
    </mdx>
    <mdx n="0" f="m">
      <t c="2">
        <n x="275"/>
        <n x="276"/>
      </t>
    </mdx>
    <mdx n="0" f="m">
      <t c="2">
        <n x="277"/>
        <n x="278"/>
      </t>
    </mdx>
    <mdx n="0" f="m">
      <t c="2">
        <n x="279"/>
        <n x="280"/>
      </t>
    </mdx>
    <mdx n="0" f="m">
      <t c="2">
        <n x="281"/>
        <n x="282"/>
      </t>
    </mdx>
    <mdx n="0" f="m">
      <t c="2">
        <n x="283"/>
        <n x="284"/>
      </t>
    </mdx>
    <mdx n="0" f="m">
      <t c="2">
        <n x="285"/>
        <n x="286"/>
      </t>
    </mdx>
    <mdx n="0" f="m">
      <t c="2">
        <n x="287"/>
        <n x="288"/>
      </t>
    </mdx>
    <mdx n="0" f="m">
      <t c="2">
        <n x="289"/>
        <n x="290"/>
      </t>
    </mdx>
    <mdx n="0" f="m">
      <t c="2">
        <n x="291"/>
        <n x="292"/>
      </t>
    </mdx>
    <mdx n="0" f="m">
      <t c="2">
        <n x="293"/>
        <n x="294"/>
      </t>
    </mdx>
    <mdx n="0" f="m">
      <t c="2">
        <n x="295"/>
        <n x="296"/>
      </t>
    </mdx>
    <mdx n="0" f="m">
      <t c="2">
        <n x="297"/>
        <n x="298"/>
      </t>
    </mdx>
    <mdx n="0" f="m">
      <t c="2">
        <n x="299"/>
        <n x="300"/>
      </t>
    </mdx>
    <mdx n="0" f="m">
      <t c="2">
        <n x="301"/>
        <n x="302"/>
      </t>
    </mdx>
    <mdx n="0" f="m">
      <t c="2">
        <n x="303"/>
        <n x="304"/>
      </t>
    </mdx>
    <mdx n="0" f="m">
      <t c="2">
        <n x="305"/>
        <n x="306"/>
      </t>
    </mdx>
    <mdx n="0" f="m">
      <t c="2">
        <n x="307"/>
        <n x="308"/>
      </t>
    </mdx>
    <mdx n="0" f="m">
      <t c="2">
        <n x="309"/>
        <n x="310"/>
      </t>
    </mdx>
    <mdx n="0" f="m">
      <t c="2">
        <n x="311"/>
        <n x="312"/>
      </t>
    </mdx>
    <mdx n="0" f="m">
      <t c="2">
        <n x="313"/>
        <n x="314"/>
      </t>
    </mdx>
    <mdx n="0" f="m">
      <t c="2">
        <n x="315"/>
        <n x="316"/>
      </t>
    </mdx>
    <mdx n="0" f="m">
      <t c="2">
        <n x="317"/>
        <n x="318"/>
      </t>
    </mdx>
    <mdx n="0" f="m">
      <t c="2">
        <n x="319"/>
        <n x="320"/>
      </t>
    </mdx>
    <mdx n="0" f="m">
      <t c="2">
        <n x="321"/>
        <n x="322"/>
      </t>
    </mdx>
    <mdx n="0" f="m">
      <t c="2">
        <n x="323"/>
        <n x="324"/>
      </t>
    </mdx>
    <mdx n="0" f="m">
      <t c="2">
        <n x="325"/>
        <n x="326"/>
      </t>
    </mdx>
    <mdx n="0" f="m">
      <t c="2">
        <n x="327"/>
        <n x="328"/>
      </t>
    </mdx>
    <mdx n="0" f="m">
      <t c="2">
        <n x="329"/>
        <n x="330"/>
      </t>
    </mdx>
    <mdx n="0" f="m">
      <t c="2">
        <n x="331"/>
        <n x="332"/>
      </t>
    </mdx>
    <mdx n="0" f="m">
      <t c="2">
        <n x="333"/>
        <n x="334"/>
      </t>
    </mdx>
    <mdx n="0" f="m">
      <t c="2">
        <n x="335"/>
        <n x="336"/>
      </t>
    </mdx>
    <mdx n="0" f="m">
      <t c="2">
        <n x="337"/>
        <n x="338"/>
      </t>
    </mdx>
    <mdx n="0" f="m">
      <t c="2">
        <n x="339"/>
        <n x="340"/>
      </t>
    </mdx>
    <mdx n="0" f="m">
      <t c="2">
        <n x="341"/>
        <n x="342"/>
      </t>
    </mdx>
    <mdx n="0" f="m">
      <t c="2">
        <n x="343"/>
        <n x="344"/>
      </t>
    </mdx>
    <mdx n="0" f="m">
      <t c="2">
        <n x="345"/>
        <n x="346"/>
      </t>
    </mdx>
    <mdx n="0" f="m">
      <t c="2">
        <n x="347"/>
        <n x="348"/>
      </t>
    </mdx>
    <mdx n="0" f="m">
      <t c="2">
        <n x="349"/>
        <n x="350"/>
      </t>
    </mdx>
    <mdx n="0" f="m">
      <t c="2">
        <n x="351"/>
        <n x="352"/>
      </t>
    </mdx>
    <mdx n="0" f="m">
      <t c="2">
        <n x="353"/>
        <n x="354"/>
      </t>
    </mdx>
    <mdx n="0" f="m">
      <t c="2">
        <n x="355"/>
        <n x="356"/>
      </t>
    </mdx>
    <mdx n="0" f="m">
      <t c="2">
        <n x="357"/>
        <n x="358"/>
      </t>
    </mdx>
    <mdx n="0" f="m">
      <t c="2">
        <n x="359"/>
        <n x="360"/>
      </t>
    </mdx>
    <mdx n="0" f="m">
      <t c="2">
        <n x="361"/>
        <n x="362"/>
      </t>
    </mdx>
    <mdx n="0" f="m">
      <t c="2">
        <n x="363"/>
        <n x="364"/>
      </t>
    </mdx>
    <mdx n="0" f="m">
      <t c="2">
        <n x="365"/>
        <n x="366"/>
      </t>
    </mdx>
    <mdx n="0" f="m">
      <t c="2">
        <n x="367"/>
        <n x="368"/>
      </t>
    </mdx>
    <mdx n="0" f="m">
      <t c="2">
        <n x="369"/>
        <n x="370"/>
      </t>
    </mdx>
    <mdx n="0" f="m">
      <t c="2">
        <n x="371"/>
        <n x="372"/>
      </t>
    </mdx>
    <mdx n="0" f="m">
      <t c="2">
        <n x="373"/>
        <n x="374"/>
      </t>
    </mdx>
    <mdx n="0" f="m">
      <t c="2">
        <n x="375"/>
        <n x="376"/>
      </t>
    </mdx>
    <mdx n="0" f="m">
      <t c="2">
        <n x="377"/>
        <n x="378"/>
      </t>
    </mdx>
    <mdx n="0" f="m">
      <t c="2">
        <n x="379"/>
        <n x="380"/>
      </t>
    </mdx>
    <mdx n="0" f="m">
      <t c="2">
        <n x="381"/>
        <n x="382"/>
      </t>
    </mdx>
    <mdx n="0" f="m">
      <t c="2">
        <n x="383"/>
        <n x="384"/>
      </t>
    </mdx>
    <mdx n="0" f="m">
      <t c="2">
        <n x="385"/>
        <n x="386"/>
      </t>
    </mdx>
    <mdx n="0" f="m">
      <t c="2">
        <n x="387"/>
        <n x="388"/>
      </t>
    </mdx>
    <mdx n="0" f="m">
      <t c="2">
        <n x="389"/>
        <n x="390"/>
      </t>
    </mdx>
    <mdx n="0" f="m">
      <t c="2">
        <n x="391"/>
        <n x="392"/>
      </t>
    </mdx>
    <mdx n="0" f="m">
      <t c="2">
        <n x="393"/>
        <n x="394"/>
      </t>
    </mdx>
    <mdx n="0" f="m">
      <t c="2">
        <n x="395"/>
        <n x="396"/>
      </t>
    </mdx>
    <mdx n="0" f="m">
      <t c="2">
        <n x="397"/>
        <n x="398"/>
      </t>
    </mdx>
    <mdx n="0" f="m">
      <t c="2">
        <n x="399"/>
        <n x="400"/>
      </t>
    </mdx>
    <mdx n="0" f="m">
      <t c="2">
        <n x="401"/>
        <n x="402"/>
      </t>
    </mdx>
    <mdx n="0" f="m">
      <t c="2">
        <n x="403"/>
        <n x="404"/>
      </t>
    </mdx>
    <mdx n="0" f="m">
      <t c="2">
        <n x="405"/>
        <n x="406"/>
      </t>
    </mdx>
    <mdx n="0" f="m">
      <t c="2">
        <n x="407"/>
        <n x="408"/>
      </t>
    </mdx>
    <mdx n="0" f="m">
      <t c="2">
        <n x="409"/>
        <n x="410"/>
      </t>
    </mdx>
    <mdx n="0" f="m">
      <t c="2">
        <n x="411"/>
        <n x="412"/>
      </t>
    </mdx>
    <mdx n="0" f="m">
      <t c="2">
        <n x="413"/>
        <n x="414"/>
      </t>
    </mdx>
    <mdx n="0" f="m">
      <t c="2">
        <n x="415"/>
        <n x="416"/>
      </t>
    </mdx>
    <mdx n="0" f="m">
      <t c="2">
        <n x="419"/>
        <n x="420"/>
      </t>
    </mdx>
    <mdx n="0" f="m">
      <t c="2">
        <n x="421"/>
        <n x="422"/>
      </t>
    </mdx>
    <mdx n="0" f="m">
      <t c="2">
        <n x="423"/>
        <n x="424"/>
      </t>
    </mdx>
    <mdx n="0" f="m">
      <t c="2">
        <n x="425"/>
        <n x="426"/>
      </t>
    </mdx>
    <mdx n="0" f="m">
      <t c="2">
        <n x="427"/>
        <n x="428"/>
      </t>
    </mdx>
    <mdx n="0" f="m">
      <t c="2">
        <n x="429"/>
        <n x="430"/>
      </t>
    </mdx>
    <mdx n="0" f="m">
      <t c="2">
        <n x="431"/>
        <n x="432"/>
      </t>
    </mdx>
    <mdx n="0" f="m">
      <t c="2">
        <n x="433"/>
        <n x="434"/>
      </t>
    </mdx>
    <mdx n="0" f="m">
      <t c="2">
        <n x="435"/>
        <n x="436"/>
      </t>
    </mdx>
    <mdx n="0" f="m">
      <t c="2">
        <n x="437"/>
        <n x="438"/>
      </t>
    </mdx>
    <mdx n="0" f="m">
      <t c="2">
        <n x="439"/>
        <n x="440"/>
      </t>
    </mdx>
    <mdx n="0" f="m">
      <t c="2">
        <n x="441"/>
        <n x="442"/>
      </t>
    </mdx>
    <mdx n="0" f="m">
      <t c="2">
        <n x="443"/>
        <n x="444"/>
      </t>
    </mdx>
    <mdx n="0" f="m">
      <t c="2">
        <n x="445"/>
        <n x="446"/>
      </t>
    </mdx>
    <mdx n="0" f="m">
      <t c="2">
        <n x="447"/>
        <n x="448"/>
      </t>
    </mdx>
    <mdx n="0" f="m">
      <t c="2">
        <n x="449"/>
        <n x="450"/>
      </t>
    </mdx>
    <mdx n="0" f="m">
      <t c="2">
        <n x="451"/>
        <n x="452"/>
      </t>
    </mdx>
    <mdx n="0" f="m">
      <t c="2">
        <n x="453"/>
        <n x="454"/>
      </t>
    </mdx>
    <mdx n="0" f="m">
      <t c="2">
        <n x="455"/>
        <n x="456"/>
      </t>
    </mdx>
    <mdx n="0" f="m">
      <t c="2">
        <n x="457"/>
        <n x="458"/>
      </t>
    </mdx>
    <mdx n="0" f="m">
      <t c="2">
        <n x="459"/>
        <n x="460"/>
      </t>
    </mdx>
    <mdx n="0" f="m">
      <t c="2">
        <n x="461"/>
        <n x="462"/>
      </t>
    </mdx>
    <mdx n="0" f="m">
      <t c="2">
        <n x="463"/>
        <n x="464"/>
      </t>
    </mdx>
    <mdx n="0" f="m">
      <t c="2">
        <n x="465"/>
        <n x="466"/>
      </t>
    </mdx>
    <mdx n="0" f="m">
      <t c="2">
        <n x="467"/>
        <n x="468"/>
      </t>
    </mdx>
    <mdx n="0" f="m">
      <t c="2">
        <n x="469"/>
        <n x="470"/>
      </t>
    </mdx>
    <mdx n="0" f="m">
      <t c="2">
        <n x="471"/>
        <n x="472"/>
      </t>
    </mdx>
    <mdx n="0" f="m">
      <t c="2">
        <n x="473"/>
        <n x="474"/>
      </t>
    </mdx>
    <mdx n="0" f="m">
      <t c="2">
        <n x="475"/>
        <n x="476"/>
      </t>
    </mdx>
    <mdx n="0" f="m">
      <t c="2">
        <n x="477"/>
        <n x="478"/>
      </t>
    </mdx>
    <mdx n="0" f="m">
      <t c="2">
        <n x="479"/>
        <n x="480"/>
      </t>
    </mdx>
    <mdx n="0" f="m">
      <t c="2">
        <n x="481"/>
        <n x="482"/>
      </t>
    </mdx>
    <mdx n="0" f="m">
      <t c="2">
        <n x="483"/>
        <n x="484"/>
      </t>
    </mdx>
    <mdx n="0" f="m">
      <t c="2">
        <n x="485"/>
        <n x="486"/>
      </t>
    </mdx>
    <mdx n="0" f="m">
      <t c="2">
        <n x="487"/>
        <n x="488"/>
      </t>
    </mdx>
    <mdx n="0" f="m">
      <t c="2">
        <n x="489"/>
        <n x="490"/>
      </t>
    </mdx>
    <mdx n="0" f="m">
      <t c="2">
        <n x="491"/>
        <n x="492"/>
      </t>
    </mdx>
    <mdx n="0" f="m">
      <t c="2">
        <n x="493"/>
        <n x="494"/>
      </t>
    </mdx>
    <mdx n="0" f="m">
      <t c="2">
        <n x="495"/>
        <n x="496"/>
      </t>
    </mdx>
    <mdx n="0" f="m">
      <t c="2">
        <n x="497"/>
        <n x="498"/>
      </t>
    </mdx>
    <mdx n="0" f="m">
      <t c="2">
        <n x="499"/>
        <n x="500"/>
      </t>
    </mdx>
    <mdx n="0" f="m">
      <t c="2">
        <n x="501"/>
        <n x="502"/>
      </t>
    </mdx>
    <mdx n="0" f="m">
      <t c="2">
        <n x="507"/>
        <n x="508"/>
      </t>
    </mdx>
    <mdx n="0" f="m">
      <t c="2">
        <n x="509"/>
        <n x="510"/>
      </t>
    </mdx>
    <mdx n="0" f="m">
      <t c="2">
        <n x="511"/>
        <n x="512"/>
      </t>
    </mdx>
    <mdx n="0" f="m">
      <t c="2">
        <n x="513"/>
        <n x="514"/>
      </t>
    </mdx>
    <mdx n="0" f="m">
      <t c="2">
        <n x="515"/>
        <n x="516"/>
      </t>
    </mdx>
    <mdx n="0" f="m">
      <t c="2">
        <n x="517"/>
        <n x="518"/>
      </t>
    </mdx>
    <mdx n="0" f="m">
      <t c="2">
        <n x="519"/>
        <n x="520"/>
      </t>
    </mdx>
    <mdx n="0" f="m">
      <t c="2">
        <n x="521"/>
        <n x="522"/>
      </t>
    </mdx>
    <mdx n="0" f="m">
      <t c="2">
        <n x="523"/>
        <n x="524"/>
      </t>
    </mdx>
    <mdx n="0" f="m">
      <t c="2">
        <n x="525"/>
        <n x="526"/>
      </t>
    </mdx>
    <mdx n="0" f="m">
      <t c="2">
        <n x="527"/>
        <n x="528"/>
      </t>
    </mdx>
    <mdx n="0" f="m">
      <t c="2">
        <n x="529"/>
        <n x="530"/>
      </t>
    </mdx>
    <mdx n="0" f="m">
      <t c="2">
        <n x="531"/>
        <n x="532"/>
      </t>
    </mdx>
    <mdx n="0" f="m">
      <t c="2">
        <n x="533"/>
        <n x="534"/>
      </t>
    </mdx>
    <mdx n="0" f="m">
      <t c="2">
        <n x="535"/>
        <n x="536"/>
      </t>
    </mdx>
    <mdx n="0" f="m">
      <t c="2">
        <n x="537"/>
        <n x="538"/>
      </t>
    </mdx>
    <mdx n="0" f="m">
      <t c="2">
        <n x="539"/>
        <n x="540"/>
      </t>
    </mdx>
    <mdx n="0" f="m">
      <t c="2">
        <n x="541"/>
        <n x="542"/>
      </t>
    </mdx>
    <mdx n="0" f="m">
      <t c="2">
        <n x="543"/>
        <n x="544"/>
      </t>
    </mdx>
    <mdx n="0" f="m">
      <t c="2">
        <n x="545"/>
        <n x="546"/>
      </t>
    </mdx>
    <mdx n="0" f="m">
      <t c="2">
        <n x="547"/>
        <n x="548"/>
      </t>
    </mdx>
    <mdx n="0" f="m">
      <t c="2">
        <n x="549"/>
        <n x="550"/>
      </t>
    </mdx>
    <mdx n="0" f="m">
      <t c="2">
        <n x="551"/>
        <n x="552"/>
      </t>
    </mdx>
    <mdx n="0" f="m">
      <t c="2">
        <n x="553"/>
        <n x="554"/>
      </t>
    </mdx>
    <mdx n="0" f="m">
      <t c="2">
        <n x="555"/>
        <n x="556"/>
      </t>
    </mdx>
    <mdx n="0" f="m">
      <t c="2">
        <n x="557"/>
        <n x="558"/>
      </t>
    </mdx>
    <mdx n="0" f="m">
      <t c="2">
        <n x="559"/>
        <n x="560"/>
      </t>
    </mdx>
    <mdx n="0" f="m">
      <t c="2">
        <n x="561"/>
        <n x="562"/>
      </t>
    </mdx>
    <mdx n="0" f="m">
      <t c="2">
        <n x="563"/>
        <n x="564"/>
      </t>
    </mdx>
    <mdx n="0" f="m">
      <t c="2">
        <n x="565"/>
        <n x="566"/>
      </t>
    </mdx>
    <mdx n="0" f="m">
      <t c="2">
        <n x="567"/>
        <n x="568"/>
      </t>
    </mdx>
    <mdx n="0" f="m">
      <t c="2">
        <n x="569"/>
        <n x="570"/>
      </t>
    </mdx>
    <mdx n="0" f="m">
      <t c="2">
        <n x="571"/>
        <n x="572"/>
      </t>
    </mdx>
    <mdx n="0" f="m">
      <t c="2">
        <n x="573"/>
        <n x="574"/>
      </t>
    </mdx>
    <mdx n="0" f="m">
      <t c="2">
        <n x="575"/>
        <n x="576"/>
      </t>
    </mdx>
    <mdx n="0" f="m">
      <t c="2">
        <n x="577"/>
        <n x="578"/>
      </t>
    </mdx>
    <mdx n="0" f="m">
      <t c="2">
        <n x="579"/>
        <n x="580"/>
      </t>
    </mdx>
    <mdx n="0" f="m">
      <t c="2">
        <n x="581"/>
        <n x="582"/>
      </t>
    </mdx>
    <mdx n="0" f="m">
      <t c="2">
        <n x="583"/>
        <n x="584"/>
      </t>
    </mdx>
    <mdx n="0" f="m">
      <t c="2">
        <n x="585"/>
        <n x="586"/>
      </t>
    </mdx>
    <mdx n="0" f="m">
      <t c="2">
        <n x="587"/>
        <n x="588"/>
      </t>
    </mdx>
    <mdx n="0" f="m">
      <t c="2">
        <n x="589"/>
        <n x="590"/>
      </t>
    </mdx>
    <mdx n="0" f="m">
      <t c="2">
        <n x="591"/>
        <n x="592"/>
      </t>
    </mdx>
    <mdx n="0" f="m">
      <t c="2">
        <n x="593"/>
        <n x="594"/>
      </t>
    </mdx>
    <mdx n="0" f="m">
      <t c="2">
        <n x="595"/>
        <n x="596"/>
      </t>
    </mdx>
    <mdx n="0" f="m">
      <t c="2">
        <n x="597"/>
        <n x="598"/>
      </t>
    </mdx>
    <mdx n="0" f="m">
      <t c="2">
        <n x="599"/>
        <n x="600"/>
      </t>
    </mdx>
    <mdx n="0" f="m">
      <t c="2">
        <n x="601"/>
        <n x="602"/>
      </t>
    </mdx>
    <mdx n="0" f="m">
      <t c="2">
        <n x="603"/>
        <n x="604"/>
      </t>
    </mdx>
    <mdx n="0" f="m">
      <t c="2">
        <n x="605"/>
        <n x="606"/>
      </t>
    </mdx>
    <mdx n="0" f="m">
      <t c="2">
        <n x="607"/>
        <n x="608"/>
      </t>
    </mdx>
    <mdx n="0" f="v">
      <t c="3" fi="19">
        <n x="609"/>
        <n x="2"/>
        <n x="1"/>
      </t>
    </mdx>
    <mdx n="0" f="v">
      <t c="3" fi="19">
        <n x="609"/>
        <n x="2"/>
        <n x="6"/>
      </t>
    </mdx>
    <mdx n="0" f="v">
      <t c="3" fi="19">
        <n x="609"/>
        <n x="2"/>
        <n x="4"/>
      </t>
    </mdx>
    <mdx n="0" f="v">
      <t c="3" fi="19">
        <n x="609"/>
        <n x="2"/>
        <n x="7"/>
      </t>
    </mdx>
    <mdx n="0" f="v">
      <t c="3" fi="19">
        <n x="609"/>
        <n x="2"/>
        <n x="7"/>
      </t>
    </mdx>
    <mdx n="0" f="v">
      <t c="3" fi="19">
        <n x="609"/>
        <n x="2"/>
        <n x="14"/>
      </t>
    </mdx>
    <mdx n="0" f="v">
      <t c="3" fi="19">
        <n x="609"/>
        <n x="2"/>
        <n x="13"/>
      </t>
    </mdx>
    <mdx n="0" f="v">
      <t c="3" fi="19">
        <n x="609"/>
        <n x="2"/>
        <n x="26"/>
      </t>
    </mdx>
    <mdx n="0" f="v">
      <t c="3" fi="19">
        <n x="609"/>
        <n x="2"/>
        <n x="19"/>
      </t>
    </mdx>
    <mdx n="0" f="v">
      <t c="3" fi="19">
        <n x="609"/>
        <n x="2"/>
        <n x="16"/>
      </t>
    </mdx>
    <mdx n="0" f="v">
      <t c="3" fi="19">
        <n x="609"/>
        <n x="2"/>
        <n x="25"/>
      </t>
    </mdx>
    <mdx n="0" f="v">
      <t c="3" fi="19">
        <n x="609"/>
        <n x="2"/>
        <n x="38"/>
      </t>
    </mdx>
    <mdx n="0" f="v">
      <t c="3" fi="19">
        <n x="609"/>
        <n x="2"/>
        <n x="31"/>
      </t>
    </mdx>
    <mdx n="0" f="v">
      <t c="3" fi="19">
        <n x="609"/>
        <n x="2"/>
        <n x="28"/>
      </t>
    </mdx>
    <mdx n="0" f="v">
      <t c="3" fi="19">
        <n x="609"/>
        <n x="2"/>
        <n x="43"/>
      </t>
    </mdx>
    <mdx n="0" f="v">
      <t c="3" fi="19">
        <n x="609"/>
        <n x="2"/>
        <n x="50"/>
      </t>
    </mdx>
    <mdx n="0" f="v">
      <t c="3" fi="19">
        <n x="609"/>
        <n x="2"/>
        <n x="40"/>
      </t>
    </mdx>
    <mdx n="0" f="v">
      <t c="3" fi="19">
        <n x="609"/>
        <n x="2"/>
        <n x="55"/>
      </t>
    </mdx>
    <mdx n="0" f="v">
      <t c="3" fi="19">
        <n x="609"/>
        <n x="2"/>
        <n x="10"/>
      </t>
    </mdx>
    <mdx n="0" f="v">
      <t c="3" fi="19">
        <n x="609"/>
        <n x="2"/>
        <n x="62"/>
      </t>
    </mdx>
    <mdx n="0" f="v">
      <t c="3" fi="19">
        <n x="609"/>
        <n x="2"/>
        <n x="52"/>
      </t>
    </mdx>
    <mdx n="0" f="v">
      <t c="3" fi="19">
        <n x="609"/>
        <n x="2"/>
        <n x="67"/>
      </t>
    </mdx>
    <mdx n="0" f="v">
      <t c="3" fi="19">
        <n x="609"/>
        <n x="2"/>
        <n x="12"/>
      </t>
    </mdx>
    <mdx n="0" f="v">
      <t c="3" fi="19">
        <n x="609"/>
        <n x="2"/>
        <n x="73"/>
      </t>
    </mdx>
    <mdx n="0" f="v">
      <t c="3" fi="19">
        <n x="609"/>
        <n x="2"/>
        <n x="78"/>
      </t>
    </mdx>
    <mdx n="0" f="v">
      <t c="3" fi="19">
        <n x="609"/>
        <n x="2"/>
        <n x="64"/>
      </t>
    </mdx>
    <mdx n="0" f="v">
      <t c="3" fi="19">
        <n x="609"/>
        <n x="2"/>
        <n x="24"/>
      </t>
    </mdx>
    <mdx n="0" f="v">
      <t c="3" fi="19">
        <n x="609"/>
        <n x="2"/>
        <n x="85"/>
      </t>
    </mdx>
    <mdx n="0" f="v">
      <t c="3" fi="19">
        <n x="609"/>
        <n x="2"/>
        <n x="37"/>
      </t>
    </mdx>
    <mdx n="0" f="v">
      <t c="3" fi="19">
        <n x="609"/>
        <n x="2"/>
        <n x="3"/>
      </t>
    </mdx>
    <mdx n="0" f="v">
      <t c="3" fi="19">
        <n x="609"/>
        <n x="2"/>
        <n x="3"/>
      </t>
    </mdx>
    <mdx n="0" f="v">
      <t c="3" fi="19">
        <n x="609"/>
        <n x="2"/>
        <n x="96"/>
      </t>
    </mdx>
    <mdx n="0" f="v">
      <t c="3" fi="19">
        <n x="609"/>
        <n x="2"/>
        <n x="101"/>
      </t>
    </mdx>
    <mdx n="0" f="v">
      <t c="3" fi="19">
        <n x="609"/>
        <n x="2"/>
        <n x="49"/>
      </t>
    </mdx>
    <mdx n="0" f="v">
      <t c="3" fi="19">
        <n x="609"/>
        <n x="2"/>
        <n x="48"/>
      </t>
    </mdx>
    <mdx n="0" f="v">
      <t c="3" fi="19">
        <n x="609"/>
        <n x="2"/>
        <n x="17"/>
      </t>
    </mdx>
    <mdx n="0" f="v">
      <t c="3" fi="19">
        <n x="609"/>
        <n x="2"/>
        <n x="108"/>
      </t>
    </mdx>
    <mdx n="0" f="v">
      <t c="3" fi="19">
        <n x="609"/>
        <n x="2"/>
        <n x="113"/>
      </t>
    </mdx>
    <mdx n="0" f="v">
      <t c="3" fi="19">
        <n x="609"/>
        <n x="2"/>
        <n x="61"/>
      </t>
    </mdx>
    <mdx n="0" f="v">
      <t c="3" fi="19">
        <n x="609"/>
        <n x="2"/>
        <n x="60"/>
      </t>
    </mdx>
    <mdx n="0" f="v">
      <t c="3" fi="19">
        <n x="609"/>
        <n x="2"/>
        <n x="29"/>
      </t>
    </mdx>
    <mdx n="0" f="v">
      <t c="3" fi="19">
        <n x="609"/>
        <n x="2"/>
        <n x="120"/>
      </t>
    </mdx>
    <mdx n="0" f="v">
      <t c="3" fi="19">
        <n x="609"/>
        <n x="2"/>
        <n x="125"/>
      </t>
    </mdx>
    <mdx n="0" f="v">
      <t c="3" fi="19">
        <n x="609"/>
        <n x="2"/>
        <n x="9"/>
      </t>
    </mdx>
    <mdx n="0" f="v">
      <t c="3" fi="19">
        <n x="609"/>
        <n x="2"/>
        <n x="8"/>
      </t>
    </mdx>
    <mdx n="0" f="v">
      <t c="3" fi="19">
        <n x="609"/>
        <n x="2"/>
        <n x="137"/>
      </t>
    </mdx>
    <mdx n="0" f="v">
      <t c="3" fi="19">
        <n x="609"/>
        <n x="2"/>
        <n x="22"/>
      </t>
    </mdx>
    <mdx n="0" f="v">
      <t c="3" fi="19">
        <n x="609"/>
        <n x="2"/>
        <n x="11"/>
      </t>
    </mdx>
    <mdx n="0" f="v">
      <t c="3" fi="19">
        <n x="609"/>
        <n x="2"/>
        <n x="21"/>
      </t>
    </mdx>
    <mdx n="0" f="v">
      <t c="3" fi="19">
        <n x="609"/>
        <n x="2"/>
        <n x="20"/>
      </t>
    </mdx>
    <mdx n="0" f="v">
      <t c="3" fi="19">
        <n x="609"/>
        <n x="2"/>
        <n x="34"/>
      </t>
    </mdx>
    <mdx n="0" f="v">
      <t c="3" fi="19">
        <n x="609"/>
        <n x="2"/>
        <n x="147"/>
      </t>
    </mdx>
    <mdx n="0" f="v">
      <t c="3" fi="19">
        <n x="609"/>
        <n x="2"/>
        <n x="46"/>
      </t>
    </mdx>
    <mdx n="0" f="v">
      <t c="3" fi="19">
        <n x="609"/>
        <n x="2"/>
        <n x="33"/>
      </t>
    </mdx>
    <mdx n="0" f="v">
      <t c="3" fi="19">
        <n x="609"/>
        <n x="2"/>
        <n x="18"/>
      </t>
    </mdx>
    <mdx n="0" f="v">
      <t c="3" fi="19">
        <n x="609"/>
        <n x="2"/>
        <n x="32"/>
      </t>
    </mdx>
    <mdx n="0" f="v">
      <t c="3" fi="19">
        <n x="609"/>
        <n x="2"/>
        <n x="58"/>
      </t>
    </mdx>
    <mdx n="0" f="v">
      <t c="3" fi="19">
        <n x="609"/>
        <n x="2"/>
        <n x="159"/>
      </t>
    </mdx>
    <mdx n="0" f="v">
      <t c="3" fi="19">
        <n x="609"/>
        <n x="2"/>
        <n x="70"/>
      </t>
    </mdx>
    <mdx n="0" f="v">
      <t c="3" fi="19">
        <n x="609"/>
        <n x="2"/>
        <n x="15"/>
      </t>
    </mdx>
    <mdx n="0" f="v">
      <t c="3" fi="19">
        <n x="609"/>
        <n x="2"/>
        <n x="15"/>
      </t>
    </mdx>
    <mdx n="0" f="v">
      <t c="3" fi="19">
        <n x="609"/>
        <n x="2"/>
        <n x="72"/>
      </t>
    </mdx>
    <mdx n="0" f="v">
      <t c="3" fi="19">
        <n x="609"/>
        <n x="2"/>
        <n x="81"/>
      </t>
    </mdx>
    <mdx n="0" f="v">
      <t c="3" fi="19">
        <n x="609"/>
        <n x="2"/>
        <n x="171"/>
      </t>
    </mdx>
    <mdx n="0" f="v">
      <t c="3" fi="19">
        <n x="609"/>
        <n x="2"/>
        <n x="57"/>
      </t>
    </mdx>
    <mdx n="0" f="v">
      <t c="3" fi="19">
        <n x="609"/>
        <n x="2"/>
        <n x="57"/>
      </t>
    </mdx>
    <mdx n="0" f="v">
      <t c="3" fi="19">
        <n x="609"/>
        <n x="2"/>
        <n x="83"/>
      </t>
    </mdx>
    <mdx n="0" f="v">
      <t c="3" fi="19">
        <n x="609"/>
        <n x="2"/>
        <n x="92"/>
      </t>
    </mdx>
    <mdx n="0" f="v">
      <t c="3" fi="19">
        <n x="609"/>
        <n x="2"/>
        <n x="183"/>
      </t>
    </mdx>
    <mdx n="0" f="v">
      <t c="3" fi="19">
        <n x="609"/>
        <n x="2"/>
        <n x="39"/>
      </t>
    </mdx>
    <mdx n="0" f="v">
      <t c="3" fi="19">
        <n x="609"/>
        <n x="2"/>
        <n x="69"/>
      </t>
    </mdx>
    <mdx n="0" f="v">
      <t c="3" fi="19">
        <n x="609"/>
        <n x="2"/>
        <n x="94"/>
      </t>
    </mdx>
    <mdx n="0" f="v">
      <t c="3" fi="19">
        <n x="609"/>
        <n x="2"/>
        <n x="104"/>
      </t>
    </mdx>
    <mdx n="0" f="v">
      <t c="3" fi="19">
        <n x="609"/>
        <n x="2"/>
        <n x="51"/>
      </t>
    </mdx>
    <mdx n="0" f="v">
      <t c="3" fi="19">
        <n x="609"/>
        <n x="2"/>
        <n x="195"/>
      </t>
    </mdx>
    <mdx n="0" f="v">
      <t c="3" fi="19">
        <n x="609"/>
        <n x="2"/>
        <n x="80"/>
      </t>
    </mdx>
    <mdx n="0" f="v">
      <t c="3" fi="19">
        <n x="609"/>
        <n x="2"/>
        <n x="106"/>
      </t>
    </mdx>
    <mdx n="0" f="v">
      <t c="3" fi="19">
        <n x="609"/>
        <n x="2"/>
        <n x="116"/>
      </t>
    </mdx>
    <mdx n="0" f="v">
      <t c="3" fi="19">
        <n x="609"/>
        <n x="2"/>
        <n x="63"/>
      </t>
    </mdx>
    <mdx n="0" f="v">
      <t c="3" fi="19">
        <n x="609"/>
        <n x="2"/>
        <n x="91"/>
      </t>
    </mdx>
    <mdx n="0" f="v">
      <t c="3" fi="19">
        <n x="609"/>
        <n x="2"/>
        <n x="128"/>
      </t>
    </mdx>
    <mdx n="0" f="v">
      <t c="3" fi="19">
        <n x="609"/>
        <n x="2"/>
        <n x="118"/>
      </t>
    </mdx>
    <mdx n="0" f="v">
      <t c="3" fi="19">
        <n x="609"/>
        <n x="2"/>
        <n x="74"/>
      </t>
    </mdx>
    <mdx n="0" f="v">
      <t c="3" fi="19">
        <n x="609"/>
        <n x="2"/>
        <n x="103"/>
      </t>
    </mdx>
    <mdx n="0" f="v">
      <t c="3" fi="19">
        <n x="609"/>
        <n x="2"/>
        <n x="140"/>
      </t>
    </mdx>
    <mdx n="0" f="v">
      <t c="3" fi="19">
        <n x="609"/>
        <n x="2"/>
        <n x="86"/>
      </t>
    </mdx>
    <mdx n="0" f="v">
      <t c="3" fi="19">
        <n x="609"/>
        <n x="2"/>
        <n x="130"/>
      </t>
    </mdx>
    <mdx n="0" f="v">
      <t c="3" fi="19">
        <n x="609"/>
        <n x="2"/>
        <n x="150"/>
      </t>
    </mdx>
    <mdx n="0" f="v">
      <t c="3" fi="19">
        <n x="609"/>
        <n x="2"/>
        <n x="115"/>
      </t>
    </mdx>
    <mdx n="0" f="v">
      <t c="3" fi="19">
        <n x="609"/>
        <n x="2"/>
        <n x="97"/>
      </t>
    </mdx>
    <mdx n="0" f="v">
      <t c="3" fi="19">
        <n x="609"/>
        <n x="2"/>
        <n x="162"/>
      </t>
    </mdx>
    <mdx n="0" f="v">
      <t c="3" fi="19">
        <n x="609"/>
        <n x="2"/>
        <n x="142"/>
      </t>
    </mdx>
    <mdx n="0" f="v">
      <t c="3" fi="19">
        <n x="609"/>
        <n x="2"/>
        <n x="127"/>
      </t>
    </mdx>
    <mdx n="0" f="v">
      <t c="3" fi="19">
        <n x="609"/>
        <n x="2"/>
        <n x="109"/>
      </t>
    </mdx>
    <mdx n="0" f="v">
      <t c="3" fi="19">
        <n x="609"/>
        <n x="2"/>
        <n x="174"/>
      </t>
    </mdx>
    <mdx n="0" f="v">
      <t c="3" fi="19">
        <n x="609"/>
        <n x="2"/>
        <n x="152"/>
      </t>
    </mdx>
    <mdx n="0" f="v">
      <t c="3" fi="19">
        <n x="609"/>
        <n x="2"/>
        <n x="139"/>
      </t>
    </mdx>
    <mdx n="0" f="v">
      <t c="3" fi="19">
        <n x="609"/>
        <n x="2"/>
        <n x="121"/>
      </t>
    </mdx>
    <mdx n="0" f="v">
      <t c="3" fi="19">
        <n x="609"/>
        <n x="2"/>
        <n x="186"/>
      </t>
    </mdx>
    <mdx n="0" f="v">
      <t c="3" fi="19">
        <n x="609"/>
        <n x="2"/>
        <n x="164"/>
      </t>
    </mdx>
    <mdx n="0" f="v">
      <t c="3" fi="19">
        <n x="609"/>
        <n x="2"/>
        <n x="149"/>
      </t>
    </mdx>
    <mdx n="0" f="v">
      <t c="3" fi="19">
        <n x="609"/>
        <n x="2"/>
        <n x="198"/>
      </t>
    </mdx>
    <mdx n="0" f="v">
      <t c="3" fi="19">
        <n x="609"/>
        <n x="2"/>
        <n x="133"/>
      </t>
    </mdx>
    <mdx n="0" f="v">
      <t c="3" fi="19">
        <n x="609"/>
        <n x="2"/>
        <n x="176"/>
      </t>
    </mdx>
    <mdx n="0" f="v">
      <t c="3" fi="19">
        <n x="609"/>
        <n x="2"/>
        <n x="161"/>
      </t>
    </mdx>
    <mdx n="0" f="v">
      <t c="3" fi="19">
        <n x="609"/>
        <n x="2"/>
        <n x="143"/>
      </t>
    </mdx>
    <mdx n="0" f="v">
      <t c="3" fi="19">
        <n x="609"/>
        <n x="2"/>
        <n x="56"/>
      </t>
    </mdx>
    <mdx n="0" f="v">
      <t c="3" fi="19">
        <n x="609"/>
        <n x="2"/>
        <n x="68"/>
      </t>
    </mdx>
    <mdx n="0" f="v">
      <t c="3" fi="19">
        <n x="609"/>
        <n x="2"/>
        <n x="188"/>
      </t>
    </mdx>
    <mdx n="0" f="v">
      <t c="3" fi="19">
        <n x="609"/>
        <n x="2"/>
        <n x="41"/>
      </t>
    </mdx>
    <mdx n="0" f="v">
      <t c="3" fi="19">
        <n x="609"/>
        <n x="2"/>
        <n x="173"/>
      </t>
    </mdx>
    <mdx n="0" f="v">
      <t c="3" fi="19">
        <n x="609"/>
        <n x="2"/>
        <n x="79"/>
      </t>
    </mdx>
    <mdx n="0" f="v">
      <t c="3" fi="19">
        <n x="609"/>
        <n x="2"/>
        <n x="53"/>
      </t>
    </mdx>
    <mdx n="0" f="v">
      <t c="3" fi="19">
        <n x="609"/>
        <n x="2"/>
        <n x="90"/>
      </t>
    </mdx>
    <mdx n="0" f="v">
      <t c="3" fi="19">
        <n x="609"/>
        <n x="2"/>
        <n x="102"/>
      </t>
    </mdx>
    <mdx n="0" f="v">
      <t c="3" fi="19">
        <n x="609"/>
        <n x="2"/>
        <n x="185"/>
      </t>
    </mdx>
    <mdx n="0" f="v">
      <t c="3" fi="19">
        <n x="609"/>
        <n x="2"/>
        <n x="65"/>
      </t>
    </mdx>
    <mdx n="0" f="v">
      <t c="3" fi="19">
        <n x="609"/>
        <n x="2"/>
        <n x="114"/>
      </t>
    </mdx>
    <mdx n="0" f="v">
      <t c="3" fi="19">
        <n x="609"/>
        <n x="2"/>
        <n x="35"/>
      </t>
    </mdx>
    <mdx n="0" f="v">
      <t c="3" fi="19">
        <n x="609"/>
        <n x="2"/>
        <n x="76"/>
      </t>
    </mdx>
    <mdx n="0" f="v">
      <t c="3" fi="19">
        <n x="609"/>
        <n x="2"/>
        <n x="47"/>
      </t>
    </mdx>
    <mdx n="0" f="v">
      <t c="3" fi="19">
        <n x="609"/>
        <n x="2"/>
        <n x="126"/>
      </t>
    </mdx>
    <mdx n="0" f="v">
      <t c="3" fi="19">
        <n x="609"/>
        <n x="2"/>
        <n x="59"/>
      </t>
    </mdx>
    <mdx n="0" f="v">
      <t c="3" fi="19">
        <n x="609"/>
        <n x="2"/>
        <n x="132"/>
      </t>
    </mdx>
    <mdx n="0" f="v">
      <t c="3" fi="19">
        <n x="609"/>
        <n x="2"/>
        <n x="132"/>
      </t>
    </mdx>
    <mdx n="0" f="v">
      <t c="3" fi="19">
        <n x="609"/>
        <n x="2"/>
        <n x="71"/>
      </t>
    </mdx>
    <mdx n="0" f="v">
      <t c="3" fi="19">
        <n x="609"/>
        <n x="2"/>
        <n x="99"/>
      </t>
    </mdx>
    <mdx n="0" f="v">
      <t c="3" fi="19">
        <n x="609"/>
        <n x="2"/>
        <n x="82"/>
      </t>
    </mdx>
    <mdx n="0" f="v">
      <t c="3" fi="19">
        <n x="609"/>
        <n x="2"/>
        <n x="93"/>
      </t>
    </mdx>
    <mdx n="0" f="v">
      <t c="3" fi="19">
        <n x="609"/>
        <n x="2"/>
        <n x="154"/>
      </t>
    </mdx>
    <mdx n="0" f="v">
      <t c="3" fi="19">
        <n x="609"/>
        <n x="2"/>
        <n x="84"/>
      </t>
    </mdx>
    <mdx n="0" f="v">
      <t c="3" fi="19">
        <n x="609"/>
        <n x="2"/>
        <n x="105"/>
      </t>
    </mdx>
    <mdx n="0" f="v">
      <t c="3" fi="19">
        <n x="609"/>
        <n x="2"/>
        <n x="105"/>
      </t>
    </mdx>
    <mdx n="0" f="v">
      <t c="3" fi="19">
        <n x="609"/>
        <n x="2"/>
        <n x="166"/>
      </t>
    </mdx>
    <mdx n="0" f="v">
      <t c="3" fi="19">
        <n x="609"/>
        <n x="2"/>
        <n x="95"/>
      </t>
    </mdx>
    <mdx n="0" f="v">
      <t c="3" fi="19">
        <n x="609"/>
        <n x="2"/>
        <n x="141"/>
      </t>
    </mdx>
    <mdx n="0" f="v">
      <t c="3" fi="19">
        <n x="609"/>
        <n x="2"/>
        <n x="129"/>
      </t>
    </mdx>
    <mdx n="0" f="v">
      <t c="3" fi="19">
        <n x="609"/>
        <n x="2"/>
        <n x="178"/>
      </t>
    </mdx>
    <mdx n="0" f="v">
      <t c="3" fi="19">
        <n x="609"/>
        <n x="2"/>
        <n x="151"/>
      </t>
    </mdx>
    <mdx n="0" f="v">
      <t c="3" fi="19">
        <n x="609"/>
        <n x="2"/>
        <n x="107"/>
      </t>
    </mdx>
    <mdx n="0" f="v">
      <t c="3" fi="19">
        <n x="609"/>
        <n x="2"/>
        <n x="190"/>
      </t>
    </mdx>
    <mdx n="0" f="v">
      <t c="3" fi="19">
        <n x="609"/>
        <n x="2"/>
        <n x="163"/>
      </t>
    </mdx>
    <mdx n="0" f="v">
      <t c="3" fi="19">
        <n x="609"/>
        <n x="2"/>
        <n x="175"/>
      </t>
    </mdx>
    <mdx n="0" f="v">
      <t c="3" fi="19">
        <n x="609"/>
        <n x="2"/>
        <n x="119"/>
      </t>
    </mdx>
    <mdx n="0" f="v">
      <t c="3" fi="19">
        <n x="609"/>
        <n x="2"/>
        <n x="199"/>
      </t>
    </mdx>
    <mdx n="0" f="v">
      <t c="3" fi="19">
        <n x="609"/>
        <n x="2"/>
        <n x="117"/>
      </t>
    </mdx>
    <mdx n="0" f="v">
      <t c="3" fi="19">
        <n x="609"/>
        <n x="2"/>
        <n x="187"/>
      </t>
    </mdx>
    <mdx n="0" f="v">
      <t c="3" fi="19">
        <n x="609"/>
        <n x="2"/>
        <n x="131"/>
      </t>
    </mdx>
    <mdx n="0" f="v">
      <t c="3" fi="19">
        <n x="609"/>
        <n x="2"/>
        <n x="167"/>
      </t>
    </mdx>
    <mdx n="0" f="v">
      <t c="3" fi="19">
        <n x="609"/>
        <n x="2"/>
        <n x="153"/>
      </t>
    </mdx>
    <mdx n="0" f="v">
      <t c="3" fi="19">
        <n x="609"/>
        <n x="2"/>
        <n x="179"/>
      </t>
    </mdx>
    <mdx n="0" f="v">
      <t c="3" fi="19">
        <n x="609"/>
        <n x="2"/>
        <n x="165"/>
      </t>
    </mdx>
    <mdx n="0" f="v">
      <t c="3" fi="19">
        <n x="609"/>
        <n x="2"/>
        <n x="189"/>
      </t>
    </mdx>
    <mdx n="0" f="v">
      <t c="3" fi="19">
        <n x="609"/>
        <n x="2"/>
        <n x="191"/>
      </t>
    </mdx>
    <mdx n="0" f="v">
      <t c="3" fi="19">
        <n x="609"/>
        <n x="2"/>
        <n x="177"/>
      </t>
    </mdx>
    <mdx n="0" f="v">
      <t c="3" fi="19">
        <n x="609"/>
        <n x="2"/>
        <n x="87"/>
      </t>
    </mdx>
    <mdx n="0" f="v">
      <t c="3" fi="19">
        <n x="609"/>
        <n x="2"/>
        <n x="98"/>
      </t>
    </mdx>
    <mdx n="0" f="v">
      <t c="3" fi="19">
        <n x="609"/>
        <n x="2"/>
        <n x="134"/>
      </t>
    </mdx>
    <mdx n="0" f="v">
      <t c="3" fi="19">
        <n x="609"/>
        <n x="2"/>
        <n x="144"/>
      </t>
    </mdx>
    <mdx n="0" f="v">
      <t c="3" fi="19">
        <n x="609"/>
        <n x="2"/>
        <n x="168"/>
      </t>
    </mdx>
    <mdx n="0" f="v">
      <t c="3" fi="19">
        <n x="609"/>
        <n x="2"/>
        <n x="180"/>
      </t>
    </mdx>
    <mdx n="0" f="v">
      <t c="3" fi="19">
        <n x="609"/>
        <n x="2"/>
        <n x="110"/>
      </t>
    </mdx>
    <mdx n="0" f="v">
      <t c="3" fi="19">
        <n x="609"/>
        <n x="2"/>
        <n x="192"/>
      </t>
    </mdx>
    <mdx n="0" f="v">
      <t c="3" fi="19">
        <n x="609"/>
        <n x="2"/>
        <n x="122"/>
      </t>
    </mdx>
    <mdx n="0" f="v">
      <t c="3" fi="19">
        <n x="609"/>
        <n x="2"/>
        <n x="156"/>
      </t>
    </mdx>
    <mdx n="0" f="v">
      <t c="3" fi="19">
        <n x="609"/>
        <n x="2"/>
        <n x="123"/>
      </t>
    </mdx>
    <mdx n="0" f="v">
      <t c="3" fi="19">
        <n x="609"/>
        <n x="2"/>
        <n x="135"/>
      </t>
    </mdx>
    <mdx n="0" f="v">
      <t c="3" fi="19">
        <n x="609"/>
        <n x="2"/>
        <n x="169"/>
      </t>
    </mdx>
    <mdx n="0" f="v">
      <t c="3" fi="19">
        <n x="609"/>
        <n x="2"/>
        <n x="181"/>
      </t>
    </mdx>
    <mdx n="0" f="v">
      <t c="3" fi="19">
        <n x="609"/>
        <n x="2"/>
        <n x="193"/>
      </t>
    </mdx>
    <mdx n="0" f="v">
      <t c="3" fi="19">
        <n x="609"/>
        <n x="2"/>
        <n x="145"/>
      </t>
    </mdx>
    <mdx n="0" f="v">
      <t c="3" fi="19">
        <n x="609"/>
        <n x="2"/>
        <n x="157"/>
      </t>
    </mdx>
    <mdx n="0" f="v">
      <t c="3" fi="19">
        <n x="609"/>
        <n x="2"/>
        <n x="42"/>
      </t>
    </mdx>
    <mdx n="0" f="v">
      <t c="3" fi="19">
        <n x="609"/>
        <n x="2"/>
        <n x="54"/>
      </t>
    </mdx>
    <mdx n="0" f="v">
      <t c="3" fi="19">
        <n x="609"/>
        <n x="2"/>
        <n x="66"/>
      </t>
    </mdx>
    <mdx n="0" f="v">
      <t c="3" fi="19">
        <n x="609"/>
        <n x="2"/>
        <n x="89"/>
      </t>
    </mdx>
    <mdx n="0" f="v">
      <t c="3" fi="19">
        <n x="609"/>
        <n x="2"/>
        <n x="100"/>
      </t>
    </mdx>
    <mdx n="0" f="v">
      <t c="3" fi="19">
        <n x="609"/>
        <n x="2"/>
        <n x="136"/>
      </t>
    </mdx>
    <mdx n="0" f="v">
      <t c="3" fi="19">
        <n x="609"/>
        <n x="2"/>
        <n x="146"/>
      </t>
    </mdx>
    <mdx n="0" f="v">
      <t c="3" fi="19">
        <n x="609"/>
        <n x="2"/>
        <n x="158"/>
      </t>
    </mdx>
    <mdx n="0" f="v">
      <t c="3" fi="19">
        <n x="609"/>
        <n x="2"/>
        <n x="170"/>
      </t>
    </mdx>
    <mdx n="0" f="v">
      <t c="3" fi="19">
        <n x="609"/>
        <n x="2"/>
        <n x="182"/>
      </t>
    </mdx>
    <mdx n="0" f="v">
      <t c="3" fi="19">
        <n x="609"/>
        <n x="2"/>
        <n x="77"/>
      </t>
    </mdx>
    <mdx n="0" f="v">
      <t c="3" fi="19">
        <n x="609"/>
        <n x="2"/>
        <n x="194"/>
      </t>
    </mdx>
    <mdx n="0" f="v">
      <t c="3" fi="19">
        <n x="609"/>
        <n x="2"/>
        <n x="124"/>
      </t>
    </mdx>
    <mdx n="0" f="v">
      <t c="3" fi="19">
        <n x="609"/>
        <n x="2"/>
        <n x="112"/>
      </t>
    </mdx>
    <mdx n="0" f="v">
      <t c="3" fi="19">
        <n x="609"/>
        <n x="2"/>
        <n x="138"/>
      </t>
    </mdx>
    <mdx n="0" f="v">
      <t c="3" fi="19">
        <n x="609"/>
        <n x="2"/>
        <n x="148"/>
      </t>
    </mdx>
    <mdx n="0" f="v">
      <t c="3" fi="19">
        <n x="609"/>
        <n x="2"/>
        <n x="196"/>
      </t>
    </mdx>
    <mdx n="0" f="v">
      <t c="3" fi="19">
        <n x="609"/>
        <n x="2"/>
        <n x="160"/>
      </t>
    </mdx>
    <mdx n="0" f="v">
      <t c="3" fi="19">
        <n x="609"/>
        <n x="2"/>
        <n x="30"/>
      </t>
    </mdx>
    <mdx n="0" f="v">
      <t c="3" fi="19">
        <n x="609"/>
        <n x="2"/>
        <n x="75"/>
      </t>
    </mdx>
    <mdx n="0" f="v">
      <t c="3" fi="19">
        <n x="609"/>
        <n x="2"/>
        <n x="172"/>
      </t>
    </mdx>
    <mdx n="0" f="v">
      <t c="3" fi="19">
        <n x="609"/>
        <n x="2"/>
        <n x="184"/>
      </t>
    </mdx>
    <mdx n="0" f="v">
      <t c="3" fi="19">
        <n x="609"/>
        <n x="2"/>
        <n x="44"/>
      </t>
    </mdx>
    <mdx n="0" f="v">
      <t c="3" fi="19">
        <n x="609"/>
        <n x="2"/>
        <n x="155"/>
      </t>
    </mdx>
    <mdx n="0" f="v">
      <t c="3" fi="19">
        <n x="609"/>
        <n x="2"/>
        <n x="155"/>
      </t>
    </mdx>
    <mdx n="0" f="v">
      <t c="3" fi="19">
        <n x="609"/>
        <n x="2"/>
        <n x="111"/>
      </t>
    </mdx>
    <mdx n="0" f="v">
      <t c="6" si="614">
        <n x="610"/>
        <n x="200"/>
        <n x="201"/>
        <n x="611" s="1"/>
        <n x="623"/>
        <n x="624"/>
      </t>
    </mdx>
    <mdx n="0" f="v">
      <t c="6" si="614">
        <n x="610"/>
        <n x="200"/>
        <n x="201"/>
        <n x="611" s="1"/>
        <n x="649"/>
        <n x="650"/>
      </t>
    </mdx>
    <mdx n="0" f="v">
      <t c="6" si="614">
        <n x="610"/>
        <n x="200"/>
        <n x="201"/>
        <n x="611" s="1"/>
        <n x="677"/>
        <n x="678"/>
      </t>
    </mdx>
    <mdx n="0" f="v">
      <t c="6" si="614">
        <n x="610"/>
        <n x="203"/>
        <n x="204"/>
        <n x="611" s="1"/>
        <n x="621"/>
        <n x="622"/>
      </t>
    </mdx>
    <mdx n="0" f="v">
      <t c="6" si="614">
        <n x="610"/>
        <n x="203"/>
        <n x="204"/>
        <n x="611" s="1"/>
        <n x="623"/>
        <n x="624"/>
      </t>
    </mdx>
    <mdx n="0" f="v">
      <t c="6" si="614">
        <n x="610"/>
        <n x="203"/>
        <n x="204"/>
        <n x="611" s="1"/>
        <n x="629"/>
        <n x="630"/>
      </t>
    </mdx>
    <mdx n="0" f="v">
      <t c="6" si="614">
        <n x="610"/>
        <n x="205"/>
        <n x="206"/>
        <n x="611" s="1"/>
        <n x="627"/>
        <n x="628"/>
      </t>
    </mdx>
    <mdx n="0" f="v">
      <t c="6" si="614">
        <n x="610"/>
        <n x="205"/>
        <n x="206"/>
        <n x="611" s="1"/>
        <n x="635"/>
        <n x="636"/>
      </t>
    </mdx>
    <mdx n="0" f="v">
      <t c="6" si="614">
        <n x="610"/>
        <n x="205"/>
        <n x="206"/>
        <n x="611" s="1"/>
        <n x="661"/>
        <n x="662"/>
      </t>
    </mdx>
    <mdx n="0" f="v">
      <t c="6" si="614">
        <n x="610"/>
        <n x="205"/>
        <n x="206"/>
        <n x="611" s="1"/>
        <n x="681"/>
        <n x="682"/>
      </t>
    </mdx>
    <mdx n="0" f="v">
      <t c="6" si="614">
        <n x="610"/>
        <n x="205"/>
        <n x="206"/>
        <n x="611" s="1"/>
        <n x="701"/>
        <n x="702"/>
      </t>
    </mdx>
    <mdx n="0" f="v">
      <t c="6" si="614">
        <n x="610"/>
        <n x="207"/>
        <n x="208"/>
        <n x="611" s="1"/>
        <n x="615"/>
        <n x="616"/>
      </t>
    </mdx>
    <mdx n="0" f="v">
      <t c="6" si="614">
        <n x="610"/>
        <n x="207"/>
        <n x="208"/>
        <n x="611" s="1"/>
        <n x="621"/>
        <n x="622"/>
      </t>
    </mdx>
    <mdx n="0" f="v">
      <t c="6" si="614">
        <n x="610"/>
        <n x="207"/>
        <n x="208"/>
        <n x="611" s="1"/>
        <n x="627"/>
        <n x="628"/>
      </t>
    </mdx>
    <mdx n="0" f="v">
      <t c="6" si="614">
        <n x="610"/>
        <n x="207"/>
        <n x="208"/>
        <n x="611" s="1"/>
        <n x="645"/>
        <n x="646"/>
      </t>
    </mdx>
    <mdx n="0" f="v">
      <t c="6" si="614">
        <n x="610"/>
        <n x="207"/>
        <n x="208"/>
        <n x="611" s="1"/>
        <n x="647"/>
        <n x="648"/>
      </t>
    </mdx>
    <mdx n="0" f="v">
      <t c="6" si="614">
        <n x="610"/>
        <n x="207"/>
        <n x="208"/>
        <n x="611" s="1"/>
        <n x="649"/>
        <n x="650"/>
      </t>
    </mdx>
    <mdx n="0" f="v">
      <t c="6" si="614">
        <n x="610"/>
        <n x="207"/>
        <n x="208"/>
        <n x="611" s="1"/>
        <n x="657"/>
        <n x="658"/>
      </t>
    </mdx>
    <mdx n="0" f="v">
      <t c="6" si="614">
        <n x="610"/>
        <n x="207"/>
        <n x="208"/>
        <n x="611" s="1"/>
        <n x="659"/>
        <n x="660"/>
      </t>
    </mdx>
    <mdx n="0" f="v">
      <t c="6" si="614">
        <n x="610"/>
        <n x="207"/>
        <n x="208"/>
        <n x="611" s="1"/>
        <n x="661"/>
        <n x="662"/>
      </t>
    </mdx>
    <mdx n="0" f="v">
      <t c="6" si="614">
        <n x="610"/>
        <n x="207"/>
        <n x="208"/>
        <n x="611" s="1"/>
        <n x="663"/>
        <n x="664"/>
      </t>
    </mdx>
    <mdx n="0" f="v">
      <t c="6" si="614">
        <n x="610"/>
        <n x="207"/>
        <n x="208"/>
        <n x="611" s="1"/>
        <n x="675"/>
        <n x="676"/>
      </t>
    </mdx>
    <mdx n="0" f="v">
      <t c="6" si="614">
        <n x="610"/>
        <n x="207"/>
        <n x="208"/>
        <n x="611" s="1"/>
        <n x="677"/>
        <n x="678"/>
      </t>
    </mdx>
    <mdx n="0" f="v">
      <t c="6" si="614">
        <n x="610"/>
        <n x="207"/>
        <n x="208"/>
        <n x="611" s="1"/>
        <n x="681"/>
        <n x="682"/>
      </t>
    </mdx>
    <mdx n="0" f="v">
      <t c="6" si="614">
        <n x="610"/>
        <n x="207"/>
        <n x="208"/>
        <n x="611" s="1"/>
        <n x="685"/>
        <n x="686"/>
      </t>
    </mdx>
    <mdx n="0" f="v">
      <t c="6" si="614">
        <n x="610"/>
        <n x="207"/>
        <n x="208"/>
        <n x="611" s="1"/>
        <n x="689"/>
        <n x="690"/>
      </t>
    </mdx>
    <mdx n="0" f="v">
      <t c="6" si="614">
        <n x="610"/>
        <n x="207"/>
        <n x="208"/>
        <n x="611" s="1"/>
        <n x="697"/>
        <n x="698"/>
      </t>
    </mdx>
    <mdx n="0" f="v">
      <t c="6" si="614">
        <n x="610"/>
        <n x="207"/>
        <n x="208"/>
        <n x="611" s="1"/>
        <n x="701"/>
        <n x="702"/>
      </t>
    </mdx>
    <mdx n="0" f="v">
      <t c="6" si="614">
        <n x="610"/>
        <n x="207"/>
        <n x="208"/>
        <n x="611" s="1"/>
        <n x="705"/>
        <n x="706"/>
      </t>
    </mdx>
    <mdx n="0" f="v">
      <t c="6" si="614">
        <n x="610"/>
        <n x="209"/>
        <n x="210"/>
        <n x="611" s="1"/>
        <n x="612"/>
        <n x="613"/>
      </t>
    </mdx>
    <mdx n="0" f="v">
      <t c="6" si="614">
        <n x="610"/>
        <n x="209"/>
        <n x="210"/>
        <n x="611" s="1"/>
        <n x="615"/>
        <n x="616"/>
      </t>
    </mdx>
    <mdx n="0" f="v">
      <t c="6" si="614">
        <n x="610"/>
        <n x="209"/>
        <n x="210"/>
        <n x="611" s="1"/>
        <n x="617"/>
        <n x="618"/>
      </t>
    </mdx>
    <mdx n="0" f="v">
      <t c="6" si="614">
        <n x="610"/>
        <n x="209"/>
        <n x="210"/>
        <n x="611" s="1"/>
        <n x="625"/>
        <n x="626"/>
      </t>
    </mdx>
    <mdx n="0" f="v">
      <t c="6" si="614">
        <n x="610"/>
        <n x="209"/>
        <n x="210"/>
        <n x="611" s="1"/>
        <n x="627"/>
        <n x="628"/>
      </t>
    </mdx>
    <mdx n="0" f="v">
      <t c="6" si="614">
        <n x="610"/>
        <n x="209"/>
        <n x="210"/>
        <n x="611" s="1"/>
        <n x="635"/>
        <n x="636"/>
      </t>
    </mdx>
    <mdx n="0" f="v">
      <t c="6" si="614">
        <n x="610"/>
        <n x="209"/>
        <n x="210"/>
        <n x="611" s="1"/>
        <n x="645"/>
        <n x="646"/>
      </t>
    </mdx>
    <mdx n="0" f="v">
      <t c="6" si="614">
        <n x="610"/>
        <n x="209"/>
        <n x="210"/>
        <n x="611" s="1"/>
        <n x="651"/>
        <n x="652"/>
      </t>
    </mdx>
    <mdx n="0" f="v">
      <t c="6" si="614">
        <n x="610"/>
        <n x="209"/>
        <n x="210"/>
        <n x="611" s="1"/>
        <n x="657"/>
        <n x="658"/>
      </t>
    </mdx>
    <mdx n="0" f="v">
      <t c="6" si="614">
        <n x="610"/>
        <n x="209"/>
        <n x="210"/>
        <n x="611" s="1"/>
        <n x="667"/>
        <n x="668"/>
      </t>
    </mdx>
    <mdx n="0" f="v">
      <t c="6" si="614">
        <n x="610"/>
        <n x="209"/>
        <n x="210"/>
        <n x="611" s="1"/>
        <n x="675"/>
        <n x="676"/>
      </t>
    </mdx>
    <mdx n="0" f="v">
      <t c="6" si="614">
        <n x="610"/>
        <n x="209"/>
        <n x="210"/>
        <n x="611" s="1"/>
        <n x="699"/>
        <n x="700"/>
      </t>
    </mdx>
    <mdx n="0" f="v">
      <t c="6" si="614">
        <n x="610"/>
        <n x="209"/>
        <n x="210"/>
        <n x="611" s="1"/>
        <n x="705"/>
        <n x="706"/>
      </t>
    </mdx>
    <mdx n="0" f="v">
      <t c="6" si="614">
        <n x="610"/>
        <n x="211"/>
        <n x="212"/>
        <n x="611" s="1"/>
        <n x="617"/>
        <n x="618"/>
      </t>
    </mdx>
    <mdx n="0" f="v">
      <t c="6" si="614">
        <n x="610"/>
        <n x="211"/>
        <n x="212"/>
        <n x="611" s="1"/>
        <n x="643"/>
        <n x="644"/>
      </t>
    </mdx>
    <mdx n="0" f="v">
      <t c="6" si="614">
        <n x="610"/>
        <n x="211"/>
        <n x="212"/>
        <n x="611" s="1"/>
        <n x="657"/>
        <n x="658"/>
      </t>
    </mdx>
    <mdx n="0" f="v">
      <t c="6" si="614">
        <n x="610"/>
        <n x="211"/>
        <n x="212"/>
        <n x="611" s="1"/>
        <n x="659"/>
        <n x="660"/>
      </t>
    </mdx>
    <mdx n="0" f="v">
      <t c="6" si="614">
        <n x="610"/>
        <n x="211"/>
        <n x="212"/>
        <n x="611" s="1"/>
        <n x="663"/>
        <n x="664"/>
      </t>
    </mdx>
    <mdx n="0" f="v">
      <t c="6" si="614">
        <n x="610"/>
        <n x="211"/>
        <n x="212"/>
        <n x="611" s="1"/>
        <n x="665"/>
        <n x="666"/>
      </t>
    </mdx>
    <mdx n="0" f="v">
      <t c="6" si="614">
        <n x="610"/>
        <n x="211"/>
        <n x="212"/>
        <n x="611" s="1"/>
        <n x="671"/>
        <n x="672"/>
      </t>
    </mdx>
    <mdx n="0" f="v">
      <t c="6" si="614">
        <n x="610"/>
        <n x="211"/>
        <n x="212"/>
        <n x="611" s="1"/>
        <n x="675"/>
        <n x="676"/>
      </t>
    </mdx>
    <mdx n="0" f="v">
      <t c="6" si="614">
        <n x="610"/>
        <n x="211"/>
        <n x="212"/>
        <n x="611" s="1"/>
        <n x="677"/>
        <n x="678"/>
      </t>
    </mdx>
    <mdx n="0" f="v">
      <t c="6" si="614">
        <n x="610"/>
        <n x="211"/>
        <n x="212"/>
        <n x="611" s="1"/>
        <n x="679"/>
        <n x="680"/>
      </t>
    </mdx>
    <mdx n="0" f="v">
      <t c="6" si="614">
        <n x="610"/>
        <n x="211"/>
        <n x="212"/>
        <n x="611" s="1"/>
        <n x="681"/>
        <n x="682"/>
      </t>
    </mdx>
    <mdx n="0" f="v">
      <t c="6" si="614">
        <n x="610"/>
        <n x="211"/>
        <n x="212"/>
        <n x="611" s="1"/>
        <n x="683"/>
        <n x="684"/>
      </t>
    </mdx>
    <mdx n="0" f="v">
      <t c="6" si="614">
        <n x="610"/>
        <n x="211"/>
        <n x="212"/>
        <n x="611" s="1"/>
        <n x="685"/>
        <n x="686"/>
      </t>
    </mdx>
    <mdx n="0" f="v">
      <t c="6" si="614">
        <n x="610"/>
        <n x="211"/>
        <n x="212"/>
        <n x="611" s="1"/>
        <n x="687"/>
        <n x="688"/>
      </t>
    </mdx>
    <mdx n="0" f="v">
      <t c="6" si="614">
        <n x="610"/>
        <n x="211"/>
        <n x="212"/>
        <n x="611" s="1"/>
        <n x="689"/>
        <n x="690"/>
      </t>
    </mdx>
    <mdx n="0" f="v">
      <t c="6" si="614">
        <n x="610"/>
        <n x="211"/>
        <n x="212"/>
        <n x="611" s="1"/>
        <n x="691"/>
        <n x="692"/>
      </t>
    </mdx>
    <mdx n="0" f="v">
      <t c="6" si="614">
        <n x="610"/>
        <n x="211"/>
        <n x="212"/>
        <n x="611" s="1"/>
        <n x="697"/>
        <n x="698"/>
      </t>
    </mdx>
    <mdx n="0" f="v">
      <t c="6" si="614">
        <n x="610"/>
        <n x="211"/>
        <n x="212"/>
        <n x="611" s="1"/>
        <n x="699"/>
        <n x="700"/>
      </t>
    </mdx>
    <mdx n="0" f="v">
      <t c="6" si="614">
        <n x="610"/>
        <n x="211"/>
        <n x="212"/>
        <n x="611" s="1"/>
        <n x="703"/>
        <n x="704"/>
      </t>
    </mdx>
    <mdx n="0" f="v">
      <t c="6" si="614">
        <n x="610"/>
        <n x="213"/>
        <n x="214"/>
        <n x="611" s="1"/>
        <n x="612"/>
        <n x="613"/>
      </t>
    </mdx>
    <mdx n="0" f="v">
      <t c="6" si="614">
        <n x="610"/>
        <n x="213"/>
        <n x="214"/>
        <n x="611" s="1"/>
        <n x="615"/>
        <n x="616"/>
      </t>
    </mdx>
    <mdx n="0" f="v">
      <t c="6" si="614">
        <n x="610"/>
        <n x="213"/>
        <n x="214"/>
        <n x="611" s="1"/>
        <n x="619"/>
        <n x="620"/>
      </t>
    </mdx>
    <mdx n="0" f="v">
      <t c="6" si="614">
        <n x="610"/>
        <n x="213"/>
        <n x="214"/>
        <n x="611" s="1"/>
        <n x="625"/>
        <n x="626"/>
      </t>
    </mdx>
    <mdx n="0" f="v">
      <t c="6" si="614">
        <n x="610"/>
        <n x="213"/>
        <n x="214"/>
        <n x="611" s="1"/>
        <n x="629"/>
        <n x="630"/>
      </t>
    </mdx>
    <mdx n="0" f="v">
      <t c="6" si="614">
        <n x="610"/>
        <n x="213"/>
        <n x="214"/>
        <n x="611" s="1"/>
        <n x="631"/>
        <n x="632"/>
      </t>
    </mdx>
    <mdx n="0" f="v">
      <t c="6" si="614">
        <n x="610"/>
        <n x="213"/>
        <n x="214"/>
        <n x="611" s="1"/>
        <n x="635"/>
        <n x="636"/>
      </t>
    </mdx>
    <mdx n="0" f="v">
      <t c="6" si="614">
        <n x="610"/>
        <n x="213"/>
        <n x="214"/>
        <n x="611" s="1"/>
        <n x="639"/>
        <n x="640"/>
      </t>
    </mdx>
    <mdx n="0" f="v">
      <t c="6" si="614">
        <n x="610"/>
        <n x="213"/>
        <n x="214"/>
        <n x="611" s="1"/>
        <n x="647"/>
        <n x="648"/>
      </t>
    </mdx>
    <mdx n="0" f="v">
      <t c="6" si="614">
        <n x="610"/>
        <n x="213"/>
        <n x="214"/>
        <n x="611" s="1"/>
        <n x="649"/>
        <n x="650"/>
      </t>
    </mdx>
    <mdx n="0" f="v">
      <t c="6" si="614">
        <n x="610"/>
        <n x="213"/>
        <n x="214"/>
        <n x="611" s="1"/>
        <n x="651"/>
        <n x="652"/>
      </t>
    </mdx>
    <mdx n="0" f="v">
      <t c="6" si="614">
        <n x="610"/>
        <n x="213"/>
        <n x="214"/>
        <n x="611" s="1"/>
        <n x="653"/>
        <n x="654"/>
      </t>
    </mdx>
    <mdx n="0" f="v">
      <t c="6" si="614">
        <n x="610"/>
        <n x="213"/>
        <n x="214"/>
        <n x="611" s="1"/>
        <n x="655"/>
        <n x="656"/>
      </t>
    </mdx>
    <mdx n="0" f="v">
      <t c="6" si="614">
        <n x="610"/>
        <n x="213"/>
        <n x="214"/>
        <n x="611" s="1"/>
        <n x="657"/>
        <n x="658"/>
      </t>
    </mdx>
    <mdx n="0" f="v">
      <t c="6" si="614">
        <n x="610"/>
        <n x="213"/>
        <n x="214"/>
        <n x="611" s="1"/>
        <n x="661"/>
        <n x="662"/>
      </t>
    </mdx>
    <mdx n="0" f="v">
      <t c="6" si="614">
        <n x="610"/>
        <n x="213"/>
        <n x="214"/>
        <n x="611" s="1"/>
        <n x="667"/>
        <n x="668"/>
      </t>
    </mdx>
    <mdx n="0" f="v">
      <t c="6" si="614">
        <n x="610"/>
        <n x="213"/>
        <n x="214"/>
        <n x="611" s="1"/>
        <n x="669"/>
        <n x="670"/>
      </t>
    </mdx>
    <mdx n="0" f="v">
      <t c="6" si="614">
        <n x="610"/>
        <n x="213"/>
        <n x="214"/>
        <n x="611" s="1"/>
        <n x="679"/>
        <n x="680"/>
      </t>
    </mdx>
    <mdx n="0" f="v">
      <t c="6" si="614">
        <n x="610"/>
        <n x="213"/>
        <n x="214"/>
        <n x="611" s="1"/>
        <n x="683"/>
        <n x="684"/>
      </t>
    </mdx>
    <mdx n="0" f="v">
      <t c="6" si="614">
        <n x="610"/>
        <n x="213"/>
        <n x="214"/>
        <n x="611" s="1"/>
        <n x="691"/>
        <n x="692"/>
      </t>
    </mdx>
    <mdx n="0" f="v">
      <t c="6" si="614">
        <n x="610"/>
        <n x="213"/>
        <n x="214"/>
        <n x="611" s="1"/>
        <n x="695"/>
        <n x="696"/>
      </t>
    </mdx>
    <mdx n="0" f="v">
      <t c="6" si="614">
        <n x="610"/>
        <n x="213"/>
        <n x="214"/>
        <n x="611" s="1"/>
        <n x="699"/>
        <n x="700"/>
      </t>
    </mdx>
    <mdx n="0" f="v">
      <t c="6" si="614">
        <n x="610"/>
        <n x="213"/>
        <n x="214"/>
        <n x="611" s="1"/>
        <n x="705"/>
        <n x="706"/>
      </t>
    </mdx>
    <mdx n="0" f="v">
      <t c="6" si="614">
        <n x="610"/>
        <n x="215"/>
        <n x="216"/>
        <n x="611" s="1"/>
        <n x="612"/>
        <n x="613"/>
      </t>
    </mdx>
    <mdx n="0" f="v">
      <t c="6" si="614">
        <n x="610"/>
        <n x="215"/>
        <n x="216"/>
        <n x="611" s="1"/>
        <n x="615"/>
        <n x="616"/>
      </t>
    </mdx>
    <mdx n="0" f="v">
      <t c="6" si="614">
        <n x="610"/>
        <n x="215"/>
        <n x="216"/>
        <n x="611" s="1"/>
        <n x="621"/>
        <n x="622"/>
      </t>
    </mdx>
    <mdx n="0" f="v">
      <t c="6" si="614">
        <n x="610"/>
        <n x="215"/>
        <n x="216"/>
        <n x="611" s="1"/>
        <n x="623"/>
        <n x="624"/>
      </t>
    </mdx>
    <mdx n="0" f="v">
      <t c="6" si="614">
        <n x="610"/>
        <n x="215"/>
        <n x="216"/>
        <n x="611" s="1"/>
        <n x="635"/>
        <n x="636"/>
      </t>
    </mdx>
    <mdx n="0" f="v">
      <t c="6" si="614">
        <n x="610"/>
        <n x="215"/>
        <n x="216"/>
        <n x="611" s="1"/>
        <n x="643"/>
        <n x="644"/>
      </t>
    </mdx>
    <mdx n="0" f="v">
      <t c="6" si="614">
        <n x="610"/>
        <n x="215"/>
        <n x="216"/>
        <n x="611" s="1"/>
        <n x="645"/>
        <n x="646"/>
      </t>
    </mdx>
    <mdx n="0" f="v">
      <t c="6" si="614">
        <n x="610"/>
        <n x="215"/>
        <n x="216"/>
        <n x="611" s="1"/>
        <n x="651"/>
        <n x="652"/>
      </t>
    </mdx>
    <mdx n="0" f="v">
      <t c="6" si="614">
        <n x="610"/>
        <n x="215"/>
        <n x="216"/>
        <n x="611" s="1"/>
        <n x="653"/>
        <n x="654"/>
      </t>
    </mdx>
    <mdx n="0" f="v">
      <t c="6" si="614">
        <n x="610"/>
        <n x="215"/>
        <n x="216"/>
        <n x="611" s="1"/>
        <n x="657"/>
        <n x="658"/>
      </t>
    </mdx>
    <mdx n="0" f="v">
      <t c="6" si="614">
        <n x="610"/>
        <n x="215"/>
        <n x="216"/>
        <n x="611" s="1"/>
        <n x="659"/>
        <n x="660"/>
      </t>
    </mdx>
    <mdx n="0" f="v">
      <t c="6" si="614">
        <n x="610"/>
        <n x="215"/>
        <n x="216"/>
        <n x="611" s="1"/>
        <n x="671"/>
        <n x="672"/>
      </t>
    </mdx>
    <mdx n="0" f="v">
      <t c="6" si="614">
        <n x="610"/>
        <n x="215"/>
        <n x="216"/>
        <n x="611" s="1"/>
        <n x="675"/>
        <n x="676"/>
      </t>
    </mdx>
    <mdx n="0" f="v">
      <t c="6" si="614">
        <n x="610"/>
        <n x="215"/>
        <n x="216"/>
        <n x="611" s="1"/>
        <n x="677"/>
        <n x="678"/>
      </t>
    </mdx>
    <mdx n="0" f="v">
      <t c="6" si="614">
        <n x="610"/>
        <n x="215"/>
        <n x="216"/>
        <n x="611" s="1"/>
        <n x="679"/>
        <n x="680"/>
      </t>
    </mdx>
    <mdx n="0" f="v">
      <t c="6" si="614">
        <n x="610"/>
        <n x="215"/>
        <n x="216"/>
        <n x="611" s="1"/>
        <n x="683"/>
        <n x="684"/>
      </t>
    </mdx>
    <mdx n="0" f="v">
      <t c="6" si="614">
        <n x="610"/>
        <n x="215"/>
        <n x="216"/>
        <n x="611" s="1"/>
        <n x="685"/>
        <n x="686"/>
      </t>
    </mdx>
    <mdx n="0" f="v">
      <t c="6" si="614">
        <n x="610"/>
        <n x="215"/>
        <n x="216"/>
        <n x="611" s="1"/>
        <n x="689"/>
        <n x="690"/>
      </t>
    </mdx>
    <mdx n="0" f="v">
      <t c="6" si="614">
        <n x="610"/>
        <n x="215"/>
        <n x="216"/>
        <n x="611" s="1"/>
        <n x="693"/>
        <n x="694"/>
      </t>
    </mdx>
    <mdx n="0" f="v">
      <t c="6" si="614">
        <n x="610"/>
        <n x="215"/>
        <n x="216"/>
        <n x="611" s="1"/>
        <n x="701"/>
        <n x="702"/>
      </t>
    </mdx>
    <mdx n="0" f="v">
      <t c="6" si="614">
        <n x="610"/>
        <n x="215"/>
        <n x="216"/>
        <n x="611" s="1"/>
        <n x="703"/>
        <n x="704"/>
      </t>
    </mdx>
    <mdx n="0" f="v">
      <t c="6" si="614">
        <n x="610"/>
        <n x="217"/>
        <n x="218"/>
        <n x="611" s="1"/>
        <n x="612"/>
        <n x="613"/>
      </t>
    </mdx>
    <mdx n="0" f="v">
      <t c="6" si="614">
        <n x="610"/>
        <n x="217"/>
        <n x="218"/>
        <n x="611" s="1"/>
        <n x="615"/>
        <n x="616"/>
      </t>
    </mdx>
    <mdx n="0" f="v">
      <t c="6" si="614">
        <n x="610"/>
        <n x="217"/>
        <n x="218"/>
        <n x="611" s="1"/>
        <n x="617"/>
        <n x="618"/>
      </t>
    </mdx>
    <mdx n="0" f="v">
      <t c="6" si="614">
        <n x="610"/>
        <n x="217"/>
        <n x="218"/>
        <n x="611" s="1"/>
        <n x="621"/>
        <n x="622"/>
      </t>
    </mdx>
    <mdx n="0" f="v">
      <t c="6" si="614">
        <n x="610"/>
        <n x="217"/>
        <n x="218"/>
        <n x="611" s="1"/>
        <n x="625"/>
        <n x="626"/>
      </t>
    </mdx>
    <mdx n="0" f="v">
      <t c="6" si="614">
        <n x="610"/>
        <n x="217"/>
        <n x="218"/>
        <n x="611" s="1"/>
        <n x="629"/>
        <n x="630"/>
      </t>
    </mdx>
    <mdx n="0" f="v">
      <t c="6" si="614">
        <n x="610"/>
        <n x="217"/>
        <n x="218"/>
        <n x="611" s="1"/>
        <n x="641"/>
        <n x="642"/>
      </t>
    </mdx>
    <mdx n="0" f="v">
      <t c="6" si="614">
        <n x="610"/>
        <n x="217"/>
        <n x="218"/>
        <n x="611" s="1"/>
        <n x="643"/>
        <n x="644"/>
      </t>
    </mdx>
    <mdx n="0" f="v">
      <t c="6" si="614">
        <n x="610"/>
        <n x="217"/>
        <n x="218"/>
        <n x="611" s="1"/>
        <n x="645"/>
        <n x="646"/>
      </t>
    </mdx>
    <mdx n="0" f="v">
      <t c="6" si="614">
        <n x="610"/>
        <n x="217"/>
        <n x="218"/>
        <n x="611" s="1"/>
        <n x="651"/>
        <n x="652"/>
      </t>
    </mdx>
    <mdx n="0" f="v">
      <t c="6" si="614">
        <n x="610"/>
        <n x="217"/>
        <n x="218"/>
        <n x="611" s="1"/>
        <n x="655"/>
        <n x="656"/>
      </t>
    </mdx>
    <mdx n="0" f="v">
      <t c="6" si="614">
        <n x="610"/>
        <n x="217"/>
        <n x="218"/>
        <n x="611" s="1"/>
        <n x="657"/>
        <n x="658"/>
      </t>
    </mdx>
    <mdx n="0" f="v">
      <t c="6" si="614">
        <n x="610"/>
        <n x="217"/>
        <n x="218"/>
        <n x="611" s="1"/>
        <n x="661"/>
        <n x="662"/>
      </t>
    </mdx>
    <mdx n="0" f="v">
      <t c="6" si="614">
        <n x="610"/>
        <n x="217"/>
        <n x="218"/>
        <n x="611" s="1"/>
        <n x="663"/>
        <n x="664"/>
      </t>
    </mdx>
    <mdx n="0" f="v">
      <t c="6" si="614">
        <n x="610"/>
        <n x="217"/>
        <n x="218"/>
        <n x="611" s="1"/>
        <n x="667"/>
        <n x="668"/>
      </t>
    </mdx>
    <mdx n="0" f="v">
      <t c="6" si="614">
        <n x="610"/>
        <n x="217"/>
        <n x="218"/>
        <n x="611" s="1"/>
        <n x="669"/>
        <n x="670"/>
      </t>
    </mdx>
    <mdx n="0" f="v">
      <t c="6" si="614">
        <n x="610"/>
        <n x="217"/>
        <n x="218"/>
        <n x="611" s="1"/>
        <n x="673"/>
        <n x="674"/>
      </t>
    </mdx>
    <mdx n="0" f="v">
      <t c="6" si="614">
        <n x="610"/>
        <n x="217"/>
        <n x="218"/>
        <n x="611" s="1"/>
        <n x="683"/>
        <n x="684"/>
      </t>
    </mdx>
    <mdx n="0" f="v">
      <t c="6" si="614">
        <n x="610"/>
        <n x="217"/>
        <n x="218"/>
        <n x="611" s="1"/>
        <n x="687"/>
        <n x="688"/>
      </t>
    </mdx>
    <mdx n="0" f="v">
      <t c="6" si="614">
        <n x="610"/>
        <n x="217"/>
        <n x="218"/>
        <n x="611" s="1"/>
        <n x="693"/>
        <n x="694"/>
      </t>
    </mdx>
    <mdx n="0" f="v">
      <t c="6" si="614">
        <n x="610"/>
        <n x="217"/>
        <n x="218"/>
        <n x="611" s="1"/>
        <n x="695"/>
        <n x="696"/>
      </t>
    </mdx>
    <mdx n="0" f="v">
      <t c="6" si="614">
        <n x="610"/>
        <n x="217"/>
        <n x="218"/>
        <n x="611" s="1"/>
        <n x="701"/>
        <n x="702"/>
      </t>
    </mdx>
    <mdx n="0" f="v">
      <t c="6" si="614">
        <n x="610"/>
        <n x="219"/>
        <n x="220"/>
        <n x="611" s="1"/>
        <n x="612"/>
        <n x="613"/>
      </t>
    </mdx>
    <mdx n="0" f="v">
      <t c="6" si="614">
        <n x="610"/>
        <n x="219"/>
        <n x="220"/>
        <n x="611" s="1"/>
        <n x="615"/>
        <n x="616"/>
      </t>
    </mdx>
    <mdx n="0" f="v">
      <t c="6" si="614">
        <n x="610"/>
        <n x="219"/>
        <n x="220"/>
        <n x="611" s="1"/>
        <n x="619"/>
        <n x="620"/>
      </t>
    </mdx>
    <mdx n="0" f="v">
      <t c="6" si="614">
        <n x="610"/>
        <n x="219"/>
        <n x="220"/>
        <n x="611" s="1"/>
        <n x="623"/>
        <n x="624"/>
      </t>
    </mdx>
    <mdx n="0" f="v">
      <t c="6" si="614">
        <n x="610"/>
        <n x="219"/>
        <n x="220"/>
        <n x="611" s="1"/>
        <n x="627"/>
        <n x="628"/>
      </t>
    </mdx>
    <mdx n="0" f="v">
      <t c="6" si="614">
        <n x="610"/>
        <n x="219"/>
        <n x="220"/>
        <n x="611" s="1"/>
        <n x="631"/>
        <n x="632"/>
      </t>
    </mdx>
    <mdx n="0" f="v">
      <t c="6" si="614">
        <n x="610"/>
        <n x="219"/>
        <n x="220"/>
        <n x="611" s="1"/>
        <n x="635"/>
        <n x="636"/>
      </t>
    </mdx>
    <mdx n="0" f="v">
      <t c="6" si="614">
        <n x="610"/>
        <n x="219"/>
        <n x="220"/>
        <n x="611" s="1"/>
        <n x="657"/>
        <n x="658"/>
      </t>
    </mdx>
    <mdx n="0" f="v">
      <t c="6" si="614">
        <n x="610"/>
        <n x="219"/>
        <n x="220"/>
        <n x="611" s="1"/>
        <n x="659"/>
        <n x="660"/>
      </t>
    </mdx>
    <mdx n="0" f="v">
      <t c="6" si="614">
        <n x="610"/>
        <n x="219"/>
        <n x="220"/>
        <n x="611" s="1"/>
        <n x="661"/>
        <n x="662"/>
      </t>
    </mdx>
    <mdx n="0" f="v">
      <t c="6" si="614">
        <n x="610"/>
        <n x="219"/>
        <n x="220"/>
        <n x="611" s="1"/>
        <n x="669"/>
        <n x="670"/>
      </t>
    </mdx>
    <mdx n="0" f="v">
      <t c="6" si="614">
        <n x="610"/>
        <n x="219"/>
        <n x="220"/>
        <n x="611" s="1"/>
        <n x="675"/>
        <n x="676"/>
      </t>
    </mdx>
    <mdx n="0" f="v">
      <t c="6" si="614">
        <n x="610"/>
        <n x="219"/>
        <n x="220"/>
        <n x="611" s="1"/>
        <n x="677"/>
        <n x="678"/>
      </t>
    </mdx>
    <mdx n="0" f="v">
      <t c="6" si="614">
        <n x="610"/>
        <n x="219"/>
        <n x="220"/>
        <n x="611" s="1"/>
        <n x="695"/>
        <n x="696"/>
      </t>
    </mdx>
    <mdx n="0" f="v">
      <t c="6" si="614">
        <n x="610"/>
        <n x="219"/>
        <n x="220"/>
        <n x="611" s="1"/>
        <n x="699"/>
        <n x="700"/>
      </t>
    </mdx>
    <mdx n="0" f="v">
      <t c="6" si="614">
        <n x="610"/>
        <n x="221"/>
        <n x="222"/>
        <n x="611" s="1"/>
        <n x="619"/>
        <n x="620"/>
      </t>
    </mdx>
    <mdx n="0" f="v">
      <t c="6" si="614">
        <n x="610"/>
        <n x="221"/>
        <n x="222"/>
        <n x="611" s="1"/>
        <n x="621"/>
        <n x="622"/>
      </t>
    </mdx>
    <mdx n="0" f="v">
      <t c="6" si="614">
        <n x="610"/>
        <n x="221"/>
        <n x="222"/>
        <n x="611" s="1"/>
        <n x="625"/>
        <n x="626"/>
      </t>
    </mdx>
    <mdx n="0" f="v">
      <t c="6" si="614">
        <n x="610"/>
        <n x="221"/>
        <n x="222"/>
        <n x="611" s="1"/>
        <n x="627"/>
        <n x="628"/>
      </t>
    </mdx>
    <mdx n="0" f="v">
      <t c="6" si="614">
        <n x="610"/>
        <n x="221"/>
        <n x="222"/>
        <n x="611" s="1"/>
        <n x="635"/>
        <n x="636"/>
      </t>
    </mdx>
    <mdx n="0" f="v">
      <t c="6" si="614">
        <n x="610"/>
        <n x="221"/>
        <n x="222"/>
        <n x="611" s="1"/>
        <n x="645"/>
        <n x="646"/>
      </t>
    </mdx>
    <mdx n="0" f="v">
      <t c="6" si="614">
        <n x="610"/>
        <n x="221"/>
        <n x="222"/>
        <n x="611" s="1"/>
        <n x="657"/>
        <n x="658"/>
      </t>
    </mdx>
    <mdx n="0" f="v">
      <t c="6" si="614">
        <n x="610"/>
        <n x="221"/>
        <n x="222"/>
        <n x="611" s="1"/>
        <n x="661"/>
        <n x="662"/>
      </t>
    </mdx>
    <mdx n="0" f="v">
      <t c="6" si="614">
        <n x="610"/>
        <n x="221"/>
        <n x="222"/>
        <n x="611" s="1"/>
        <n x="665"/>
        <n x="666"/>
      </t>
    </mdx>
    <mdx n="0" f="v">
      <t c="6" si="614">
        <n x="610"/>
        <n x="221"/>
        <n x="222"/>
        <n x="611" s="1"/>
        <n x="667"/>
        <n x="668"/>
      </t>
    </mdx>
    <mdx n="0" f="v">
      <t c="6" si="614">
        <n x="610"/>
        <n x="221"/>
        <n x="222"/>
        <n x="611" s="1"/>
        <n x="669"/>
        <n x="670"/>
      </t>
    </mdx>
    <mdx n="0" f="v">
      <t c="6" si="614">
        <n x="610"/>
        <n x="221"/>
        <n x="222"/>
        <n x="611" s="1"/>
        <n x="679"/>
        <n x="680"/>
      </t>
    </mdx>
    <mdx n="0" f="v">
      <t c="6" si="614">
        <n x="610"/>
        <n x="221"/>
        <n x="222"/>
        <n x="611" s="1"/>
        <n x="687"/>
        <n x="688"/>
      </t>
    </mdx>
    <mdx n="0" f="v">
      <t c="6" si="614">
        <n x="610"/>
        <n x="221"/>
        <n x="222"/>
        <n x="611" s="1"/>
        <n x="689"/>
        <n x="690"/>
      </t>
    </mdx>
    <mdx n="0" f="v">
      <t c="6" si="614">
        <n x="610"/>
        <n x="221"/>
        <n x="222"/>
        <n x="611" s="1"/>
        <n x="699"/>
        <n x="700"/>
      </t>
    </mdx>
    <mdx n="0" f="v">
      <t c="6" si="614">
        <n x="610"/>
        <n x="223"/>
        <n x="224"/>
        <n x="611" s="1"/>
        <n x="619"/>
        <n x="620"/>
      </t>
    </mdx>
    <mdx n="0" f="v">
      <t c="6" si="614">
        <n x="610"/>
        <n x="223"/>
        <n x="224"/>
        <n x="611" s="1"/>
        <n x="625"/>
        <n x="626"/>
      </t>
    </mdx>
    <mdx n="0" f="v">
      <t c="6" si="614">
        <n x="610"/>
        <n x="223"/>
        <n x="224"/>
        <n x="611" s="1"/>
        <n x="627"/>
        <n x="628"/>
      </t>
    </mdx>
    <mdx n="0" f="v">
      <t c="6" si="614">
        <n x="610"/>
        <n x="223"/>
        <n x="224"/>
        <n x="611" s="1"/>
        <n x="631"/>
        <n x="632"/>
      </t>
    </mdx>
    <mdx n="0" f="v">
      <t c="6" si="614">
        <n x="610"/>
        <n x="223"/>
        <n x="224"/>
        <n x="611" s="1"/>
        <n x="633"/>
        <n x="634"/>
      </t>
    </mdx>
    <mdx n="0" f="v">
      <t c="6" si="614">
        <n x="610"/>
        <n x="223"/>
        <n x="224"/>
        <n x="611" s="1"/>
        <n x="635"/>
        <n x="636"/>
      </t>
    </mdx>
    <mdx n="0" f="v">
      <t c="6" si="614">
        <n x="610"/>
        <n x="223"/>
        <n x="224"/>
        <n x="611" s="1"/>
        <n x="643"/>
        <n x="644"/>
      </t>
    </mdx>
    <mdx n="0" f="v">
      <t c="6" si="614">
        <n x="610"/>
        <n x="223"/>
        <n x="224"/>
        <n x="611" s="1"/>
        <n x="647"/>
        <n x="648"/>
      </t>
    </mdx>
    <mdx n="0" f="v">
      <t c="6" si="614">
        <n x="610"/>
        <n x="223"/>
        <n x="224"/>
        <n x="611" s="1"/>
        <n x="655"/>
        <n x="656"/>
      </t>
    </mdx>
    <mdx n="0" f="v">
      <t c="6" si="614">
        <n x="610"/>
        <n x="223"/>
        <n x="224"/>
        <n x="611" s="1"/>
        <n x="657"/>
        <n x="658"/>
      </t>
    </mdx>
    <mdx n="0" f="v">
      <t c="6" si="614">
        <n x="610"/>
        <n x="223"/>
        <n x="224"/>
        <n x="611" s="1"/>
        <n x="659"/>
        <n x="660"/>
      </t>
    </mdx>
    <mdx n="0" f="v">
      <t c="6" si="614">
        <n x="610"/>
        <n x="223"/>
        <n x="224"/>
        <n x="611" s="1"/>
        <n x="665"/>
        <n x="666"/>
      </t>
    </mdx>
    <mdx n="0" f="v">
      <t c="6" si="614">
        <n x="610"/>
        <n x="223"/>
        <n x="224"/>
        <n x="611" s="1"/>
        <n x="667"/>
        <n x="668"/>
      </t>
    </mdx>
    <mdx n="0" f="v">
      <t c="6" si="614">
        <n x="610"/>
        <n x="223"/>
        <n x="224"/>
        <n x="611" s="1"/>
        <n x="671"/>
        <n x="672"/>
      </t>
    </mdx>
    <mdx n="0" f="v">
      <t c="6" si="614">
        <n x="610"/>
        <n x="223"/>
        <n x="224"/>
        <n x="611" s="1"/>
        <n x="675"/>
        <n x="676"/>
      </t>
    </mdx>
    <mdx n="0" f="v">
      <t c="6" si="614">
        <n x="610"/>
        <n x="223"/>
        <n x="224"/>
        <n x="611" s="1"/>
        <n x="677"/>
        <n x="678"/>
      </t>
    </mdx>
    <mdx n="0" f="v">
      <t c="6" si="614">
        <n x="610"/>
        <n x="223"/>
        <n x="224"/>
        <n x="611" s="1"/>
        <n x="679"/>
        <n x="680"/>
      </t>
    </mdx>
    <mdx n="0" f="v">
      <t c="6" si="614">
        <n x="610"/>
        <n x="223"/>
        <n x="224"/>
        <n x="611" s="1"/>
        <n x="699"/>
        <n x="700"/>
      </t>
    </mdx>
    <mdx n="0" f="v">
      <t c="6" si="614">
        <n x="610"/>
        <n x="223"/>
        <n x="224"/>
        <n x="611" s="1"/>
        <n x="701"/>
        <n x="702"/>
      </t>
    </mdx>
    <mdx n="0" f="v">
      <t c="6" si="614">
        <n x="610"/>
        <n x="223"/>
        <n x="224"/>
        <n x="611" s="1"/>
        <n x="703"/>
        <n x="704"/>
      </t>
    </mdx>
    <mdx n="0" f="v">
      <t c="6" si="614">
        <n x="610"/>
        <n x="223"/>
        <n x="224"/>
        <n x="611" s="1"/>
        <n x="707"/>
        <n x="708"/>
      </t>
    </mdx>
    <mdx n="0" f="v">
      <t c="6" si="614">
        <n x="610"/>
        <n x="225"/>
        <n x="226"/>
        <n x="611" s="1"/>
        <n x="612"/>
        <n x="613"/>
      </t>
    </mdx>
    <mdx n="0" f="v">
      <t c="6" si="614">
        <n x="610"/>
        <n x="225"/>
        <n x="226"/>
        <n x="611" s="1"/>
        <n x="617"/>
        <n x="618"/>
      </t>
    </mdx>
    <mdx n="0" f="v">
      <t c="6" si="614">
        <n x="610"/>
        <n x="225"/>
        <n x="226"/>
        <n x="611" s="1"/>
        <n x="623"/>
        <n x="624"/>
      </t>
    </mdx>
    <mdx n="0" f="v">
      <t c="6" si="614">
        <n x="610"/>
        <n x="225"/>
        <n x="226"/>
        <n x="611" s="1"/>
        <n x="627"/>
        <n x="628"/>
      </t>
    </mdx>
    <mdx n="0" f="v">
      <t c="6" si="614">
        <n x="610"/>
        <n x="225"/>
        <n x="226"/>
        <n x="611" s="1"/>
        <n x="635"/>
        <n x="636"/>
      </t>
    </mdx>
    <mdx n="0" f="v">
      <t c="6" si="614">
        <n x="610"/>
        <n x="225"/>
        <n x="226"/>
        <n x="611" s="1"/>
        <n x="637"/>
        <n x="638"/>
      </t>
    </mdx>
    <mdx n="0" f="v">
      <t c="6" si="614">
        <n x="610"/>
        <n x="225"/>
        <n x="226"/>
        <n x="611" s="1"/>
        <n x="645"/>
        <n x="646"/>
      </t>
    </mdx>
    <mdx n="0" f="v">
      <t c="6" si="614">
        <n x="610"/>
        <n x="225"/>
        <n x="226"/>
        <n x="611" s="1"/>
        <n x="657"/>
        <n x="658"/>
      </t>
    </mdx>
    <mdx n="0" f="v">
      <t c="6" si="614">
        <n x="610"/>
        <n x="225"/>
        <n x="226"/>
        <n x="611" s="1"/>
        <n x="663"/>
        <n x="664"/>
      </t>
    </mdx>
    <mdx n="0" f="v">
      <t c="6" si="614">
        <n x="610"/>
        <n x="225"/>
        <n x="226"/>
        <n x="611" s="1"/>
        <n x="665"/>
        <n x="666"/>
      </t>
    </mdx>
    <mdx n="0" f="v">
      <t c="6" si="614">
        <n x="610"/>
        <n x="225"/>
        <n x="226"/>
        <n x="611" s="1"/>
        <n x="673"/>
        <n x="674"/>
      </t>
    </mdx>
    <mdx n="0" f="v">
      <t c="6" si="614">
        <n x="610"/>
        <n x="225"/>
        <n x="226"/>
        <n x="611" s="1"/>
        <n x="675"/>
        <n x="676"/>
      </t>
    </mdx>
    <mdx n="0" f="v">
      <t c="6" si="614">
        <n x="610"/>
        <n x="225"/>
        <n x="226"/>
        <n x="611" s="1"/>
        <n x="679"/>
        <n x="680"/>
      </t>
    </mdx>
    <mdx n="0" f="v">
      <t c="6" si="614">
        <n x="610"/>
        <n x="225"/>
        <n x="226"/>
        <n x="611" s="1"/>
        <n x="681"/>
        <n x="682"/>
      </t>
    </mdx>
    <mdx n="0" f="v">
      <t c="6" si="614">
        <n x="610"/>
        <n x="225"/>
        <n x="226"/>
        <n x="611" s="1"/>
        <n x="683"/>
        <n x="684"/>
      </t>
    </mdx>
    <mdx n="0" f="v">
      <t c="6" si="614">
        <n x="610"/>
        <n x="225"/>
        <n x="226"/>
        <n x="611" s="1"/>
        <n x="685"/>
        <n x="686"/>
      </t>
    </mdx>
    <mdx n="0" f="v">
      <t c="6" si="614">
        <n x="610"/>
        <n x="225"/>
        <n x="226"/>
        <n x="611" s="1"/>
        <n x="691"/>
        <n x="692"/>
      </t>
    </mdx>
    <mdx n="0" f="v">
      <t c="6" si="614">
        <n x="610"/>
        <n x="225"/>
        <n x="226"/>
        <n x="611" s="1"/>
        <n x="693"/>
        <n x="694"/>
      </t>
    </mdx>
    <mdx n="0" f="v">
      <t c="6" si="614">
        <n x="610"/>
        <n x="225"/>
        <n x="226"/>
        <n x="611" s="1"/>
        <n x="701"/>
        <n x="702"/>
      </t>
    </mdx>
    <mdx n="0" f="v">
      <t c="6" si="614">
        <n x="610"/>
        <n x="225"/>
        <n x="226"/>
        <n x="611" s="1"/>
        <n x="705"/>
        <n x="706"/>
      </t>
    </mdx>
    <mdx n="0" f="v">
      <t c="6" si="614">
        <n x="610"/>
        <n x="227"/>
        <n x="228"/>
        <n x="611" s="1"/>
        <n x="612"/>
        <n x="613"/>
      </t>
    </mdx>
    <mdx n="0" f="v">
      <t c="6" si="614">
        <n x="610"/>
        <n x="227"/>
        <n x="228"/>
        <n x="611" s="1"/>
        <n x="635"/>
        <n x="636"/>
      </t>
    </mdx>
    <mdx n="0" f="v">
      <t c="6" si="614">
        <n x="610"/>
        <n x="227"/>
        <n x="228"/>
        <n x="611" s="1"/>
        <n x="647"/>
        <n x="648"/>
      </t>
    </mdx>
    <mdx n="0" f="v">
      <t c="6" si="614">
        <n x="610"/>
        <n x="227"/>
        <n x="228"/>
        <n x="611" s="1"/>
        <n x="657"/>
        <n x="658"/>
      </t>
    </mdx>
    <mdx n="0" f="v">
      <t c="6" si="614">
        <n x="610"/>
        <n x="227"/>
        <n x="228"/>
        <n x="611" s="1"/>
        <n x="659"/>
        <n x="660"/>
      </t>
    </mdx>
    <mdx n="0" f="v">
      <t c="6" si="614">
        <n x="610"/>
        <n x="227"/>
        <n x="228"/>
        <n x="611" s="1"/>
        <n x="663"/>
        <n x="664"/>
      </t>
    </mdx>
    <mdx n="0" f="v">
      <t c="6" si="614">
        <n x="610"/>
        <n x="227"/>
        <n x="228"/>
        <n x="611" s="1"/>
        <n x="665"/>
        <n x="666"/>
      </t>
    </mdx>
    <mdx n="0" f="v">
      <t c="6" si="614">
        <n x="610"/>
        <n x="227"/>
        <n x="228"/>
        <n x="611" s="1"/>
        <n x="669"/>
        <n x="670"/>
      </t>
    </mdx>
    <mdx n="0" f="v">
      <t c="6" si="614">
        <n x="610"/>
        <n x="227"/>
        <n x="228"/>
        <n x="611" s="1"/>
        <n x="671"/>
        <n x="672"/>
      </t>
    </mdx>
    <mdx n="0" f="v">
      <t c="6" si="614">
        <n x="610"/>
        <n x="227"/>
        <n x="228"/>
        <n x="611" s="1"/>
        <n x="675"/>
        <n x="676"/>
      </t>
    </mdx>
    <mdx n="0" f="v">
      <t c="6" si="614">
        <n x="610"/>
        <n x="227"/>
        <n x="228"/>
        <n x="611" s="1"/>
        <n x="683"/>
        <n x="684"/>
      </t>
    </mdx>
    <mdx n="0" f="v">
      <t c="6" si="614">
        <n x="610"/>
        <n x="229"/>
        <n x="230"/>
        <n x="611" s="1"/>
        <n x="612"/>
        <n x="613"/>
      </t>
    </mdx>
    <mdx n="0" f="v">
      <t c="6" si="614">
        <n x="610"/>
        <n x="229"/>
        <n x="230"/>
        <n x="611" s="1"/>
        <n x="615"/>
        <n x="616"/>
      </t>
    </mdx>
    <mdx n="0" f="v">
      <t c="6" si="614">
        <n x="610"/>
        <n x="229"/>
        <n x="230"/>
        <n x="611" s="1"/>
        <n x="617"/>
        <n x="618"/>
      </t>
    </mdx>
    <mdx n="0" f="v">
      <t c="6" si="614">
        <n x="610"/>
        <n x="229"/>
        <n x="230"/>
        <n x="611" s="1"/>
        <n x="621"/>
        <n x="622"/>
      </t>
    </mdx>
    <mdx n="0" f="v">
      <t c="6" si="614">
        <n x="610"/>
        <n x="229"/>
        <n x="230"/>
        <n x="611" s="1"/>
        <n x="627"/>
        <n x="628"/>
      </t>
    </mdx>
    <mdx n="0" f="v">
      <t c="6" si="614">
        <n x="610"/>
        <n x="229"/>
        <n x="230"/>
        <n x="611" s="1"/>
        <n x="629"/>
        <n x="630"/>
      </t>
    </mdx>
    <mdx n="0" f="v">
      <t c="6" si="614">
        <n x="610"/>
        <n x="229"/>
        <n x="230"/>
        <n x="611" s="1"/>
        <n x="633"/>
        <n x="634"/>
      </t>
    </mdx>
    <mdx n="0" f="v">
      <t c="6" si="614">
        <n x="610"/>
        <n x="229"/>
        <n x="230"/>
        <n x="611" s="1"/>
        <n x="635"/>
        <n x="636"/>
      </t>
    </mdx>
    <mdx n="0" f="v">
      <t c="6" si="614">
        <n x="610"/>
        <n x="229"/>
        <n x="230"/>
        <n x="611" s="1"/>
        <n x="637"/>
        <n x="638"/>
      </t>
    </mdx>
    <mdx n="0" f="v">
      <t c="6" si="614">
        <n x="610"/>
        <n x="229"/>
        <n x="230"/>
        <n x="611" s="1"/>
        <n x="639"/>
        <n x="640"/>
      </t>
    </mdx>
    <mdx n="0" f="v">
      <t c="6" si="614">
        <n x="610"/>
        <n x="229"/>
        <n x="230"/>
        <n x="611" s="1"/>
        <n x="645"/>
        <n x="646"/>
      </t>
    </mdx>
    <mdx n="0" f="v">
      <t c="6" si="614">
        <n x="610"/>
        <n x="229"/>
        <n x="230"/>
        <n x="611" s="1"/>
        <n x="647"/>
        <n x="648"/>
      </t>
    </mdx>
    <mdx n="0" f="v">
      <t c="6" si="614">
        <n x="610"/>
        <n x="229"/>
        <n x="230"/>
        <n x="611" s="1"/>
        <n x="649"/>
        <n x="650"/>
      </t>
    </mdx>
    <mdx n="0" f="v">
      <t c="6" si="614">
        <n x="610"/>
        <n x="229"/>
        <n x="230"/>
        <n x="611" s="1"/>
        <n x="659"/>
        <n x="660"/>
      </t>
    </mdx>
    <mdx n="0" f="v">
      <t c="6" si="614">
        <n x="610"/>
        <n x="229"/>
        <n x="230"/>
        <n x="611" s="1"/>
        <n x="661"/>
        <n x="662"/>
      </t>
    </mdx>
    <mdx n="0" f="v">
      <t c="6" si="614">
        <n x="610"/>
        <n x="229"/>
        <n x="230"/>
        <n x="611" s="1"/>
        <n x="671"/>
        <n x="672"/>
      </t>
    </mdx>
    <mdx n="0" f="v">
      <t c="6" si="614">
        <n x="610"/>
        <n x="229"/>
        <n x="230"/>
        <n x="611" s="1"/>
        <n x="687"/>
        <n x="688"/>
      </t>
    </mdx>
    <mdx n="0" f="v">
      <t c="6" si="614">
        <n x="610"/>
        <n x="229"/>
        <n x="230"/>
        <n x="611" s="1"/>
        <n x="689"/>
        <n x="690"/>
      </t>
    </mdx>
    <mdx n="0" f="v">
      <t c="6" si="614">
        <n x="610"/>
        <n x="229"/>
        <n x="230"/>
        <n x="611" s="1"/>
        <n x="693"/>
        <n x="694"/>
      </t>
    </mdx>
    <mdx n="0" f="v">
      <t c="6" si="614">
        <n x="610"/>
        <n x="229"/>
        <n x="230"/>
        <n x="611" s="1"/>
        <n x="697"/>
        <n x="698"/>
      </t>
    </mdx>
    <mdx n="0" f="v">
      <t c="6" si="614">
        <n x="610"/>
        <n x="229"/>
        <n x="230"/>
        <n x="611" s="1"/>
        <n x="705"/>
        <n x="706"/>
      </t>
    </mdx>
    <mdx n="0" f="v">
      <t c="6" si="614">
        <n x="610"/>
        <n x="229"/>
        <n x="230"/>
        <n x="611" s="1"/>
        <n x="707"/>
        <n x="708"/>
      </t>
    </mdx>
    <mdx n="0" f="v">
      <t c="6" si="614">
        <n x="610"/>
        <n x="231"/>
        <n x="232"/>
        <n x="611" s="1"/>
        <n x="615"/>
        <n x="616"/>
      </t>
    </mdx>
    <mdx n="0" f="v">
      <t c="6" si="614">
        <n x="610"/>
        <n x="231"/>
        <n x="232"/>
        <n x="611" s="1"/>
        <n x="617"/>
        <n x="618"/>
      </t>
    </mdx>
    <mdx n="0" f="v">
      <t c="6" si="614">
        <n x="610"/>
        <n x="231"/>
        <n x="232"/>
        <n x="611" s="1"/>
        <n x="621"/>
        <n x="622"/>
      </t>
    </mdx>
    <mdx n="0" f="v">
      <t c="6" si="614">
        <n x="610"/>
        <n x="231"/>
        <n x="232"/>
        <n x="611" s="1"/>
        <n x="623"/>
        <n x="624"/>
      </t>
    </mdx>
    <mdx n="0" f="v">
      <t c="6" si="614">
        <n x="610"/>
        <n x="231"/>
        <n x="232"/>
        <n x="611" s="1"/>
        <n x="627"/>
        <n x="628"/>
      </t>
    </mdx>
    <mdx n="0" f="v">
      <t c="6" si="614">
        <n x="610"/>
        <n x="231"/>
        <n x="232"/>
        <n x="611" s="1"/>
        <n x="629"/>
        <n x="630"/>
      </t>
    </mdx>
    <mdx n="0" f="v">
      <t c="6" si="614">
        <n x="610"/>
        <n x="231"/>
        <n x="232"/>
        <n x="611" s="1"/>
        <n x="633"/>
        <n x="634"/>
      </t>
    </mdx>
    <mdx n="0" f="v">
      <t c="6" si="614">
        <n x="610"/>
        <n x="231"/>
        <n x="232"/>
        <n x="611" s="1"/>
        <n x="635"/>
        <n x="636"/>
      </t>
    </mdx>
    <mdx n="0" f="v">
      <t c="6" si="614">
        <n x="610"/>
        <n x="231"/>
        <n x="232"/>
        <n x="611" s="1"/>
        <n x="637"/>
        <n x="638"/>
      </t>
    </mdx>
    <mdx n="0" f="v">
      <t c="6" si="614">
        <n x="610"/>
        <n x="231"/>
        <n x="232"/>
        <n x="611" s="1"/>
        <n x="639"/>
        <n x="640"/>
      </t>
    </mdx>
    <mdx n="0" f="v">
      <t c="6" si="614">
        <n x="610"/>
        <n x="231"/>
        <n x="232"/>
        <n x="611" s="1"/>
        <n x="647"/>
        <n x="648"/>
      </t>
    </mdx>
    <mdx n="0" f="v">
      <t c="6" si="614">
        <n x="610"/>
        <n x="231"/>
        <n x="232"/>
        <n x="611" s="1"/>
        <n x="653"/>
        <n x="654"/>
      </t>
    </mdx>
    <mdx n="0" f="v">
      <t c="6" si="614">
        <n x="610"/>
        <n x="231"/>
        <n x="232"/>
        <n x="611" s="1"/>
        <n x="657"/>
        <n x="658"/>
      </t>
    </mdx>
    <mdx n="0" f="v">
      <t c="6" si="614">
        <n x="610"/>
        <n x="231"/>
        <n x="232"/>
        <n x="611" s="1"/>
        <n x="665"/>
        <n x="666"/>
      </t>
    </mdx>
    <mdx n="0" f="v">
      <t c="6" si="614">
        <n x="610"/>
        <n x="231"/>
        <n x="232"/>
        <n x="611" s="1"/>
        <n x="669"/>
        <n x="670"/>
      </t>
    </mdx>
    <mdx n="0" f="v">
      <t c="6" si="614">
        <n x="610"/>
        <n x="231"/>
        <n x="232"/>
        <n x="611" s="1"/>
        <n x="673"/>
        <n x="674"/>
      </t>
    </mdx>
    <mdx n="0" f="v">
      <t c="6" si="614">
        <n x="610"/>
        <n x="231"/>
        <n x="232"/>
        <n x="611" s="1"/>
        <n x="675"/>
        <n x="676"/>
      </t>
    </mdx>
    <mdx n="0" f="v">
      <t c="6" si="614">
        <n x="610"/>
        <n x="231"/>
        <n x="232"/>
        <n x="611" s="1"/>
        <n x="679"/>
        <n x="680"/>
      </t>
    </mdx>
    <mdx n="0" f="v">
      <t c="6" si="614">
        <n x="610"/>
        <n x="231"/>
        <n x="232"/>
        <n x="611" s="1"/>
        <n x="685"/>
        <n x="686"/>
      </t>
    </mdx>
    <mdx n="0" f="v">
      <t c="6" si="614">
        <n x="610"/>
        <n x="231"/>
        <n x="232"/>
        <n x="611" s="1"/>
        <n x="691"/>
        <n x="692"/>
      </t>
    </mdx>
    <mdx n="0" f="v">
      <t c="6" si="614">
        <n x="610"/>
        <n x="231"/>
        <n x="232"/>
        <n x="611" s="1"/>
        <n x="693"/>
        <n x="694"/>
      </t>
    </mdx>
    <mdx n="0" f="v">
      <t c="6" si="614">
        <n x="610"/>
        <n x="231"/>
        <n x="232"/>
        <n x="611" s="1"/>
        <n x="695"/>
        <n x="696"/>
      </t>
    </mdx>
    <mdx n="0" f="v">
      <t c="6" si="614">
        <n x="610"/>
        <n x="231"/>
        <n x="232"/>
        <n x="611" s="1"/>
        <n x="701"/>
        <n x="702"/>
      </t>
    </mdx>
    <mdx n="0" f="v">
      <t c="6" si="614">
        <n x="610"/>
        <n x="231"/>
        <n x="232"/>
        <n x="611" s="1"/>
        <n x="703"/>
        <n x="704"/>
      </t>
    </mdx>
    <mdx n="0" f="v">
      <t c="6" si="614">
        <n x="610"/>
        <n x="231"/>
        <n x="232"/>
        <n x="611" s="1"/>
        <n x="705"/>
        <n x="706"/>
      </t>
    </mdx>
    <mdx n="0" f="v">
      <t c="6" si="614">
        <n x="610"/>
        <n x="231"/>
        <n x="232"/>
        <n x="611" s="1"/>
        <n x="707"/>
        <n x="708"/>
      </t>
    </mdx>
    <mdx n="0" f="v">
      <t c="6" si="614">
        <n x="610"/>
        <n x="233"/>
        <n x="234"/>
        <n x="611" s="1"/>
        <n x="612"/>
        <n x="613"/>
      </t>
    </mdx>
    <mdx n="0" f="v">
      <t c="6" si="614">
        <n x="610"/>
        <n x="233"/>
        <n x="234"/>
        <n x="611" s="1"/>
        <n x="623"/>
        <n x="624"/>
      </t>
    </mdx>
    <mdx n="0" f="v">
      <t c="6" si="614">
        <n x="610"/>
        <n x="233"/>
        <n x="234"/>
        <n x="611" s="1"/>
        <n x="627"/>
        <n x="628"/>
      </t>
    </mdx>
    <mdx n="0" f="v">
      <t c="6" si="614">
        <n x="610"/>
        <n x="233"/>
        <n x="234"/>
        <n x="611" s="1"/>
        <n x="629"/>
        <n x="630"/>
      </t>
    </mdx>
    <mdx n="0" f="v">
      <t c="6" si="614">
        <n x="610"/>
        <n x="233"/>
        <n x="234"/>
        <n x="611" s="1"/>
        <n x="631"/>
        <n x="632"/>
      </t>
    </mdx>
    <mdx n="0" f="v">
      <t c="6" si="614">
        <n x="610"/>
        <n x="233"/>
        <n x="234"/>
        <n x="611" s="1"/>
        <n x="633"/>
        <n x="634"/>
      </t>
    </mdx>
    <mdx n="0" f="v">
      <t c="6" si="614">
        <n x="610"/>
        <n x="233"/>
        <n x="234"/>
        <n x="611" s="1"/>
        <n x="637"/>
        <n x="638"/>
      </t>
    </mdx>
    <mdx n="0" f="v">
      <t c="6" si="614">
        <n x="610"/>
        <n x="233"/>
        <n x="234"/>
        <n x="611" s="1"/>
        <n x="645"/>
        <n x="646"/>
      </t>
    </mdx>
    <mdx n="0" f="v">
      <t c="6" si="614">
        <n x="610"/>
        <n x="233"/>
        <n x="234"/>
        <n x="611" s="1"/>
        <n x="647"/>
        <n x="648"/>
      </t>
    </mdx>
    <mdx n="0" f="v">
      <t c="6" si="614">
        <n x="610"/>
        <n x="233"/>
        <n x="234"/>
        <n x="611" s="1"/>
        <n x="651"/>
        <n x="652"/>
      </t>
    </mdx>
    <mdx n="0" f="v">
      <t c="6" si="614">
        <n x="610"/>
        <n x="233"/>
        <n x="234"/>
        <n x="611" s="1"/>
        <n x="657"/>
        <n x="658"/>
      </t>
    </mdx>
    <mdx n="0" f="v">
      <t c="6" si="614">
        <n x="610"/>
        <n x="233"/>
        <n x="234"/>
        <n x="611" s="1"/>
        <n x="661"/>
        <n x="662"/>
      </t>
    </mdx>
    <mdx n="0" f="v">
      <t c="6" si="614">
        <n x="610"/>
        <n x="233"/>
        <n x="234"/>
        <n x="611" s="1"/>
        <n x="663"/>
        <n x="664"/>
      </t>
    </mdx>
    <mdx n="0" f="v">
      <t c="6" si="614">
        <n x="610"/>
        <n x="233"/>
        <n x="234"/>
        <n x="611" s="1"/>
        <n x="667"/>
        <n x="668"/>
      </t>
    </mdx>
    <mdx n="0" f="v">
      <t c="6" si="614">
        <n x="610"/>
        <n x="233"/>
        <n x="234"/>
        <n x="611" s="1"/>
        <n x="669"/>
        <n x="670"/>
      </t>
    </mdx>
    <mdx n="0" f="v">
      <t c="6" si="614">
        <n x="610"/>
        <n x="233"/>
        <n x="234"/>
        <n x="611" s="1"/>
        <n x="675"/>
        <n x="676"/>
      </t>
    </mdx>
    <mdx n="0" f="v">
      <t c="6" si="614">
        <n x="610"/>
        <n x="233"/>
        <n x="234"/>
        <n x="611" s="1"/>
        <n x="681"/>
        <n x="682"/>
      </t>
    </mdx>
    <mdx n="0" f="v">
      <t c="6" si="614">
        <n x="610"/>
        <n x="233"/>
        <n x="234"/>
        <n x="611" s="1"/>
        <n x="683"/>
        <n x="684"/>
      </t>
    </mdx>
    <mdx n="0" f="v">
      <t c="6" si="614">
        <n x="610"/>
        <n x="233"/>
        <n x="234"/>
        <n x="611" s="1"/>
        <n x="685"/>
        <n x="686"/>
      </t>
    </mdx>
    <mdx n="0" f="v">
      <t c="6" si="614">
        <n x="610"/>
        <n x="233"/>
        <n x="234"/>
        <n x="611" s="1"/>
        <n x="693"/>
        <n x="694"/>
      </t>
    </mdx>
    <mdx n="0" f="v">
      <t c="6" si="614">
        <n x="610"/>
        <n x="233"/>
        <n x="234"/>
        <n x="611" s="1"/>
        <n x="695"/>
        <n x="696"/>
      </t>
    </mdx>
    <mdx n="0" f="v">
      <t c="6" si="614">
        <n x="610"/>
        <n x="233"/>
        <n x="234"/>
        <n x="611" s="1"/>
        <n x="703"/>
        <n x="704"/>
      </t>
    </mdx>
    <mdx n="0" f="v">
      <t c="6" si="614">
        <n x="610"/>
        <n x="233"/>
        <n x="234"/>
        <n x="611" s="1"/>
        <n x="705"/>
        <n x="706"/>
      </t>
    </mdx>
    <mdx n="0" f="v">
      <t c="6" si="614">
        <n x="610"/>
        <n x="233"/>
        <n x="234"/>
        <n x="611" s="1"/>
        <n x="707"/>
        <n x="708"/>
      </t>
    </mdx>
    <mdx n="0" f="v">
      <t c="6" si="614">
        <n x="610"/>
        <n x="235"/>
        <n x="236"/>
        <n x="611" s="1"/>
        <n x="612"/>
        <n x="613"/>
      </t>
    </mdx>
    <mdx n="0" f="v">
      <t c="6" si="614">
        <n x="610"/>
        <n x="235"/>
        <n x="236"/>
        <n x="611" s="1"/>
        <n x="617"/>
        <n x="618"/>
      </t>
    </mdx>
    <mdx n="0" f="v">
      <t c="6" si="614">
        <n x="610"/>
        <n x="235"/>
        <n x="236"/>
        <n x="611" s="1"/>
        <n x="629"/>
        <n x="630"/>
      </t>
    </mdx>
    <mdx n="0" f="v">
      <t c="6" si="614">
        <n x="610"/>
        <n x="235"/>
        <n x="236"/>
        <n x="611" s="1"/>
        <n x="635"/>
        <n x="636"/>
      </t>
    </mdx>
    <mdx n="0" f="v">
      <t c="6" si="614">
        <n x="610"/>
        <n x="235"/>
        <n x="236"/>
        <n x="611" s="1"/>
        <n x="639"/>
        <n x="640"/>
      </t>
    </mdx>
    <mdx n="0" f="v">
      <t c="6" si="614">
        <n x="610"/>
        <n x="235"/>
        <n x="236"/>
        <n x="611" s="1"/>
        <n x="641"/>
        <n x="642"/>
      </t>
    </mdx>
    <mdx n="0" f="v">
      <t c="6" si="614">
        <n x="610"/>
        <n x="235"/>
        <n x="236"/>
        <n x="611" s="1"/>
        <n x="643"/>
        <n x="644"/>
      </t>
    </mdx>
    <mdx n="0" f="v">
      <t c="6" si="614">
        <n x="610"/>
        <n x="235"/>
        <n x="236"/>
        <n x="611" s="1"/>
        <n x="647"/>
        <n x="648"/>
      </t>
    </mdx>
    <mdx n="0" f="v">
      <t c="6" si="614">
        <n x="610"/>
        <n x="235"/>
        <n x="236"/>
        <n x="611" s="1"/>
        <n x="653"/>
        <n x="654"/>
      </t>
    </mdx>
    <mdx n="0" f="v">
      <t c="6" si="614">
        <n x="610"/>
        <n x="235"/>
        <n x="236"/>
        <n x="611" s="1"/>
        <n x="659"/>
        <n x="660"/>
      </t>
    </mdx>
    <mdx n="0" f="v">
      <t c="6" si="614">
        <n x="610"/>
        <n x="235"/>
        <n x="236"/>
        <n x="611" s="1"/>
        <n x="663"/>
        <n x="664"/>
      </t>
    </mdx>
    <mdx n="0" f="v">
      <t c="6" si="614">
        <n x="610"/>
        <n x="235"/>
        <n x="236"/>
        <n x="611" s="1"/>
        <n x="665"/>
        <n x="666"/>
      </t>
    </mdx>
    <mdx n="0" f="v">
      <t c="6" si="614">
        <n x="610"/>
        <n x="235"/>
        <n x="236"/>
        <n x="611" s="1"/>
        <n x="667"/>
        <n x="668"/>
      </t>
    </mdx>
    <mdx n="0" f="v">
      <t c="6" si="614">
        <n x="610"/>
        <n x="235"/>
        <n x="236"/>
        <n x="611" s="1"/>
        <n x="669"/>
        <n x="670"/>
      </t>
    </mdx>
    <mdx n="0" f="v">
      <t c="6" si="614">
        <n x="610"/>
        <n x="235"/>
        <n x="236"/>
        <n x="611" s="1"/>
        <n x="675"/>
        <n x="676"/>
      </t>
    </mdx>
    <mdx n="0" f="v">
      <t c="6" si="614">
        <n x="610"/>
        <n x="235"/>
        <n x="236"/>
        <n x="611" s="1"/>
        <n x="677"/>
        <n x="678"/>
      </t>
    </mdx>
    <mdx n="0" f="v">
      <t c="6" si="614">
        <n x="610"/>
        <n x="235"/>
        <n x="236"/>
        <n x="611" s="1"/>
        <n x="691"/>
        <n x="692"/>
      </t>
    </mdx>
    <mdx n="0" f="v">
      <t c="6" si="614">
        <n x="610"/>
        <n x="235"/>
        <n x="236"/>
        <n x="611" s="1"/>
        <n x="699"/>
        <n x="700"/>
      </t>
    </mdx>
    <mdx n="0" f="v">
      <t c="6" si="614">
        <n x="610"/>
        <n x="235"/>
        <n x="236"/>
        <n x="611" s="1"/>
        <n x="707"/>
        <n x="708"/>
      </t>
    </mdx>
    <mdx n="0" f="v">
      <t c="6" si="614">
        <n x="610"/>
        <n x="237"/>
        <n x="238"/>
        <n x="611" s="1"/>
        <n x="612"/>
        <n x="613"/>
      </t>
    </mdx>
    <mdx n="0" f="v">
      <t c="6" si="614">
        <n x="610"/>
        <n x="237"/>
        <n x="238"/>
        <n x="611" s="1"/>
        <n x="621"/>
        <n x="622"/>
      </t>
    </mdx>
    <mdx n="0" f="v">
      <t c="6" si="614">
        <n x="610"/>
        <n x="237"/>
        <n x="238"/>
        <n x="611" s="1"/>
        <n x="625"/>
        <n x="626"/>
      </t>
    </mdx>
    <mdx n="0" f="v">
      <t c="6" si="614">
        <n x="610"/>
        <n x="237"/>
        <n x="238"/>
        <n x="611" s="1"/>
        <n x="627"/>
        <n x="628"/>
      </t>
    </mdx>
    <mdx n="0" f="v">
      <t c="6" si="614">
        <n x="610"/>
        <n x="237"/>
        <n x="238"/>
        <n x="611" s="1"/>
        <n x="629"/>
        <n x="630"/>
      </t>
    </mdx>
    <mdx n="0" f="v">
      <t c="6" si="614">
        <n x="610"/>
        <n x="237"/>
        <n x="238"/>
        <n x="611" s="1"/>
        <n x="635"/>
        <n x="636"/>
      </t>
    </mdx>
    <mdx n="0" f="v">
      <t c="6" si="614">
        <n x="610"/>
        <n x="237"/>
        <n x="238"/>
        <n x="611" s="1"/>
        <n x="637"/>
        <n x="638"/>
      </t>
    </mdx>
    <mdx n="0" f="v">
      <t c="6" si="614">
        <n x="610"/>
        <n x="237"/>
        <n x="238"/>
        <n x="611" s="1"/>
        <n x="653"/>
        <n x="654"/>
      </t>
    </mdx>
    <mdx n="0" f="v">
      <t c="6" si="614">
        <n x="610"/>
        <n x="237"/>
        <n x="238"/>
        <n x="611" s="1"/>
        <n x="657"/>
        <n x="658"/>
      </t>
    </mdx>
    <mdx n="0" f="v">
      <t c="6" si="614">
        <n x="610"/>
        <n x="237"/>
        <n x="238"/>
        <n x="611" s="1"/>
        <n x="659"/>
        <n x="660"/>
      </t>
    </mdx>
    <mdx n="0" f="v">
      <t c="6" si="614">
        <n x="610"/>
        <n x="237"/>
        <n x="238"/>
        <n x="611" s="1"/>
        <n x="661"/>
        <n x="662"/>
      </t>
    </mdx>
    <mdx n="0" f="v">
      <t c="6" si="614">
        <n x="610"/>
        <n x="237"/>
        <n x="238"/>
        <n x="611" s="1"/>
        <n x="663"/>
        <n x="664"/>
      </t>
    </mdx>
    <mdx n="0" f="v">
      <t c="6" si="614">
        <n x="610"/>
        <n x="237"/>
        <n x="238"/>
        <n x="611" s="1"/>
        <n x="669"/>
        <n x="670"/>
      </t>
    </mdx>
    <mdx n="0" f="v">
      <t c="6" si="614">
        <n x="610"/>
        <n x="237"/>
        <n x="238"/>
        <n x="611" s="1"/>
        <n x="677"/>
        <n x="678"/>
      </t>
    </mdx>
    <mdx n="0" f="v">
      <t c="6" si="614">
        <n x="610"/>
        <n x="237"/>
        <n x="238"/>
        <n x="611" s="1"/>
        <n x="687"/>
        <n x="688"/>
      </t>
    </mdx>
    <mdx n="0" f="v">
      <t c="6" si="614">
        <n x="610"/>
        <n x="237"/>
        <n x="238"/>
        <n x="611" s="1"/>
        <n x="701"/>
        <n x="702"/>
      </t>
    </mdx>
    <mdx n="0" f="v">
      <t c="6" si="614">
        <n x="610"/>
        <n x="237"/>
        <n x="238"/>
        <n x="611" s="1"/>
        <n x="707"/>
        <n x="708"/>
      </t>
    </mdx>
    <mdx n="0" f="v">
      <t c="6" si="614">
        <n x="610"/>
        <n x="239"/>
        <n x="240"/>
        <n x="611" s="1"/>
        <n x="615"/>
        <n x="616"/>
      </t>
    </mdx>
    <mdx n="0" f="v">
      <t c="6" si="614">
        <n x="610"/>
        <n x="239"/>
        <n x="240"/>
        <n x="611" s="1"/>
        <n x="619"/>
        <n x="620"/>
      </t>
    </mdx>
    <mdx n="0" f="v">
      <t c="6" si="614">
        <n x="610"/>
        <n x="239"/>
        <n x="240"/>
        <n x="611" s="1"/>
        <n x="623"/>
        <n x="624"/>
      </t>
    </mdx>
    <mdx n="0" f="v">
      <t c="6" si="614">
        <n x="610"/>
        <n x="239"/>
        <n x="240"/>
        <n x="611" s="1"/>
        <n x="629"/>
        <n x="630"/>
      </t>
    </mdx>
    <mdx n="0" f="v">
      <t c="6" si="614">
        <n x="610"/>
        <n x="239"/>
        <n x="240"/>
        <n x="611" s="1"/>
        <n x="633"/>
        <n x="634"/>
      </t>
    </mdx>
    <mdx n="0" f="v">
      <t c="6" si="614">
        <n x="610"/>
        <n x="239"/>
        <n x="240"/>
        <n x="611" s="1"/>
        <n x="635"/>
        <n x="636"/>
      </t>
    </mdx>
    <mdx n="0" f="v">
      <t c="6" si="614">
        <n x="610"/>
        <n x="239"/>
        <n x="240"/>
        <n x="611" s="1"/>
        <n x="647"/>
        <n x="648"/>
      </t>
    </mdx>
    <mdx n="0" f="v">
      <t c="6" si="614">
        <n x="610"/>
        <n x="239"/>
        <n x="240"/>
        <n x="611" s="1"/>
        <n x="649"/>
        <n x="650"/>
      </t>
    </mdx>
    <mdx n="0" f="v">
      <t c="6" si="614">
        <n x="610"/>
        <n x="239"/>
        <n x="240"/>
        <n x="611" s="1"/>
        <n x="655"/>
        <n x="656"/>
      </t>
    </mdx>
    <mdx n="0" f="v">
      <t c="6" si="614">
        <n x="610"/>
        <n x="239"/>
        <n x="240"/>
        <n x="611" s="1"/>
        <n x="657"/>
        <n x="658"/>
      </t>
    </mdx>
    <mdx n="0" f="v">
      <t c="6" si="614">
        <n x="610"/>
        <n x="239"/>
        <n x="240"/>
        <n x="611" s="1"/>
        <n x="659"/>
        <n x="660"/>
      </t>
    </mdx>
    <mdx n="0" f="v">
      <t c="6" si="614">
        <n x="610"/>
        <n x="239"/>
        <n x="240"/>
        <n x="611" s="1"/>
        <n x="661"/>
        <n x="662"/>
      </t>
    </mdx>
    <mdx n="0" f="v">
      <t c="6" si="614">
        <n x="610"/>
        <n x="239"/>
        <n x="240"/>
        <n x="611" s="1"/>
        <n x="663"/>
        <n x="664"/>
      </t>
    </mdx>
    <mdx n="0" f="v">
      <t c="6" si="614">
        <n x="610"/>
        <n x="239"/>
        <n x="240"/>
        <n x="611" s="1"/>
        <n x="665"/>
        <n x="666"/>
      </t>
    </mdx>
    <mdx n="0" f="v">
      <t c="6" si="614">
        <n x="610"/>
        <n x="239"/>
        <n x="240"/>
        <n x="611" s="1"/>
        <n x="669"/>
        <n x="670"/>
      </t>
    </mdx>
    <mdx n="0" f="v">
      <t c="6" si="614">
        <n x="610"/>
        <n x="239"/>
        <n x="240"/>
        <n x="611" s="1"/>
        <n x="673"/>
        <n x="674"/>
      </t>
    </mdx>
    <mdx n="0" f="v">
      <t c="6" si="614">
        <n x="610"/>
        <n x="239"/>
        <n x="240"/>
        <n x="611" s="1"/>
        <n x="679"/>
        <n x="680"/>
      </t>
    </mdx>
    <mdx n="0" f="v">
      <t c="6" si="614">
        <n x="610"/>
        <n x="239"/>
        <n x="240"/>
        <n x="611" s="1"/>
        <n x="689"/>
        <n x="690"/>
      </t>
    </mdx>
    <mdx n="0" f="v">
      <t c="6" si="614">
        <n x="610"/>
        <n x="239"/>
        <n x="240"/>
        <n x="611" s="1"/>
        <n x="691"/>
        <n x="692"/>
      </t>
    </mdx>
    <mdx n="0" f="v">
      <t c="6" si="614">
        <n x="610"/>
        <n x="239"/>
        <n x="240"/>
        <n x="611" s="1"/>
        <n x="693"/>
        <n x="694"/>
      </t>
    </mdx>
    <mdx n="0" f="v">
      <t c="6" si="614">
        <n x="610"/>
        <n x="239"/>
        <n x="240"/>
        <n x="611" s="1"/>
        <n x="705"/>
        <n x="706"/>
      </t>
    </mdx>
    <mdx n="0" f="v">
      <t c="6" si="614">
        <n x="610"/>
        <n x="241"/>
        <n x="242"/>
        <n x="611" s="1"/>
        <n x="612"/>
        <n x="613"/>
      </t>
    </mdx>
    <mdx n="0" f="v">
      <t c="6" si="614">
        <n x="610"/>
        <n x="241"/>
        <n x="242"/>
        <n x="611" s="1"/>
        <n x="627"/>
        <n x="628"/>
      </t>
    </mdx>
    <mdx n="0" f="v">
      <t c="6" si="614">
        <n x="610"/>
        <n x="241"/>
        <n x="242"/>
        <n x="611" s="1"/>
        <n x="635"/>
        <n x="636"/>
      </t>
    </mdx>
    <mdx n="0" f="v">
      <t c="6" si="614">
        <n x="610"/>
        <n x="241"/>
        <n x="242"/>
        <n x="611" s="1"/>
        <n x="641"/>
        <n x="642"/>
      </t>
    </mdx>
    <mdx n="0" f="v">
      <t c="6" si="614">
        <n x="610"/>
        <n x="241"/>
        <n x="242"/>
        <n x="611" s="1"/>
        <n x="645"/>
        <n x="646"/>
      </t>
    </mdx>
    <mdx n="0" f="v">
      <t c="6" si="614">
        <n x="610"/>
        <n x="241"/>
        <n x="242"/>
        <n x="611" s="1"/>
        <n x="655"/>
        <n x="656"/>
      </t>
    </mdx>
    <mdx n="0" f="v">
      <t c="6" si="614">
        <n x="610"/>
        <n x="241"/>
        <n x="242"/>
        <n x="611" s="1"/>
        <n x="657"/>
        <n x="658"/>
      </t>
    </mdx>
    <mdx n="0" f="v">
      <t c="6" si="614">
        <n x="610"/>
        <n x="241"/>
        <n x="242"/>
        <n x="611" s="1"/>
        <n x="659"/>
        <n x="660"/>
      </t>
    </mdx>
    <mdx n="0" f="v">
      <t c="6" si="614">
        <n x="610"/>
        <n x="241"/>
        <n x="242"/>
        <n x="611" s="1"/>
        <n x="669"/>
        <n x="670"/>
      </t>
    </mdx>
    <mdx n="0" f="v">
      <t c="6" si="614">
        <n x="610"/>
        <n x="241"/>
        <n x="242"/>
        <n x="611" s="1"/>
        <n x="683"/>
        <n x="684"/>
      </t>
    </mdx>
    <mdx n="0" f="v">
      <t c="6" si="614">
        <n x="610"/>
        <n x="241"/>
        <n x="242"/>
        <n x="611" s="1"/>
        <n x="689"/>
        <n x="690"/>
      </t>
    </mdx>
    <mdx n="0" f="v">
      <t c="6" si="614">
        <n x="610"/>
        <n x="241"/>
        <n x="242"/>
        <n x="611" s="1"/>
        <n x="691"/>
        <n x="692"/>
      </t>
    </mdx>
    <mdx n="0" f="v">
      <t c="6" si="614">
        <n x="610"/>
        <n x="241"/>
        <n x="242"/>
        <n x="611" s="1"/>
        <n x="699"/>
        <n x="700"/>
      </t>
    </mdx>
    <mdx n="0" f="v">
      <t c="6" si="614">
        <n x="610"/>
        <n x="241"/>
        <n x="242"/>
        <n x="611" s="1"/>
        <n x="707"/>
        <n x="708"/>
      </t>
    </mdx>
    <mdx n="0" f="v">
      <t c="6" si="614">
        <n x="610"/>
        <n x="243"/>
        <n x="244"/>
        <n x="611" s="1"/>
        <n x="612"/>
        <n x="613"/>
      </t>
    </mdx>
    <mdx n="0" f="v">
      <t c="6" si="614">
        <n x="610"/>
        <n x="243"/>
        <n x="244"/>
        <n x="611" s="1"/>
        <n x="621"/>
        <n x="622"/>
      </t>
    </mdx>
    <mdx n="0" f="v">
      <t c="6" si="614">
        <n x="610"/>
        <n x="243"/>
        <n x="244"/>
        <n x="611" s="1"/>
        <n x="631"/>
        <n x="632"/>
      </t>
    </mdx>
    <mdx n="0" f="v">
      <t c="6" si="614">
        <n x="610"/>
        <n x="243"/>
        <n x="244"/>
        <n x="611" s="1"/>
        <n x="635"/>
        <n x="636"/>
      </t>
    </mdx>
    <mdx n="0" f="v">
      <t c="6" si="614">
        <n x="610"/>
        <n x="243"/>
        <n x="244"/>
        <n x="611" s="1"/>
        <n x="641"/>
        <n x="642"/>
      </t>
    </mdx>
    <mdx n="0" f="v">
      <t c="6" si="614">
        <n x="610"/>
        <n x="243"/>
        <n x="244"/>
        <n x="611" s="1"/>
        <n x="647"/>
        <n x="648"/>
      </t>
    </mdx>
    <mdx n="0" f="v">
      <t c="6" si="614">
        <n x="610"/>
        <n x="243"/>
        <n x="244"/>
        <n x="611" s="1"/>
        <n x="651"/>
        <n x="652"/>
      </t>
    </mdx>
    <mdx n="0" f="v">
      <t c="6" si="614">
        <n x="610"/>
        <n x="243"/>
        <n x="244"/>
        <n x="611" s="1"/>
        <n x="657"/>
        <n x="658"/>
      </t>
    </mdx>
    <mdx n="0" f="v">
      <t c="6" si="614">
        <n x="610"/>
        <n x="243"/>
        <n x="244"/>
        <n x="611" s="1"/>
        <n x="659"/>
        <n x="660"/>
      </t>
    </mdx>
    <mdx n="0" f="v">
      <t c="6" si="614">
        <n x="610"/>
        <n x="243"/>
        <n x="244"/>
        <n x="611" s="1"/>
        <n x="667"/>
        <n x="668"/>
      </t>
    </mdx>
    <mdx n="0" f="v">
      <t c="6" si="614">
        <n x="610"/>
        <n x="243"/>
        <n x="244"/>
        <n x="611" s="1"/>
        <n x="671"/>
        <n x="672"/>
      </t>
    </mdx>
    <mdx n="0" f="v">
      <t c="6" si="614">
        <n x="610"/>
        <n x="243"/>
        <n x="244"/>
        <n x="611" s="1"/>
        <n x="673"/>
        <n x="674"/>
      </t>
    </mdx>
    <mdx n="0" f="v">
      <t c="6" si="614">
        <n x="610"/>
        <n x="243"/>
        <n x="244"/>
        <n x="611" s="1"/>
        <n x="679"/>
        <n x="680"/>
      </t>
    </mdx>
    <mdx n="0" f="v">
      <t c="6" si="614">
        <n x="610"/>
        <n x="243"/>
        <n x="244"/>
        <n x="611" s="1"/>
        <n x="683"/>
        <n x="684"/>
      </t>
    </mdx>
    <mdx n="0" f="v">
      <t c="6" si="614">
        <n x="610"/>
        <n x="243"/>
        <n x="244"/>
        <n x="611" s="1"/>
        <n x="691"/>
        <n x="692"/>
      </t>
    </mdx>
    <mdx n="0" f="v">
      <t c="6" si="614">
        <n x="610"/>
        <n x="243"/>
        <n x="244"/>
        <n x="611" s="1"/>
        <n x="703"/>
        <n x="704"/>
      </t>
    </mdx>
    <mdx n="0" f="v">
      <t c="6" si="614">
        <n x="610"/>
        <n x="243"/>
        <n x="244"/>
        <n x="611" s="1"/>
        <n x="705"/>
        <n x="706"/>
      </t>
    </mdx>
    <mdx n="0" f="v">
      <t c="6" si="614">
        <n x="610"/>
        <n x="245"/>
        <n x="246"/>
        <n x="611" s="1"/>
        <n x="621"/>
        <n x="622"/>
      </t>
    </mdx>
    <mdx n="0" f="v">
      <t c="6" si="614">
        <n x="610"/>
        <n x="245"/>
        <n x="246"/>
        <n x="611" s="1"/>
        <n x="623"/>
        <n x="624"/>
      </t>
    </mdx>
    <mdx n="0" f="v">
      <t c="6" si="614">
        <n x="610"/>
        <n x="245"/>
        <n x="246"/>
        <n x="611" s="1"/>
        <n x="625"/>
        <n x="626"/>
      </t>
    </mdx>
    <mdx n="0" f="v">
      <t c="6" si="614">
        <n x="610"/>
        <n x="245"/>
        <n x="246"/>
        <n x="611" s="1"/>
        <n x="629"/>
        <n x="630"/>
      </t>
    </mdx>
    <mdx n="0" f="v">
      <t c="6" si="614">
        <n x="610"/>
        <n x="245"/>
        <n x="246"/>
        <n x="611" s="1"/>
        <n x="633"/>
        <n x="634"/>
      </t>
    </mdx>
    <mdx n="0" f="v">
      <t c="6" si="614">
        <n x="610"/>
        <n x="245"/>
        <n x="246"/>
        <n x="611" s="1"/>
        <n x="637"/>
        <n x="638"/>
      </t>
    </mdx>
    <mdx n="0" f="v">
      <t c="6" si="614">
        <n x="610"/>
        <n x="245"/>
        <n x="246"/>
        <n x="611" s="1"/>
        <n x="641"/>
        <n x="642"/>
      </t>
    </mdx>
    <mdx n="0" f="v">
      <t c="6" si="614">
        <n x="610"/>
        <n x="245"/>
        <n x="246"/>
        <n x="611" s="1"/>
        <n x="645"/>
        <n x="646"/>
      </t>
    </mdx>
    <mdx n="0" f="v">
      <t c="6" si="614">
        <n x="610"/>
        <n x="245"/>
        <n x="246"/>
        <n x="611" s="1"/>
        <n x="649"/>
        <n x="650"/>
      </t>
    </mdx>
    <mdx n="0" f="v">
      <t c="6" si="614">
        <n x="610"/>
        <n x="245"/>
        <n x="246"/>
        <n x="611" s="1"/>
        <n x="655"/>
        <n x="656"/>
      </t>
    </mdx>
    <mdx n="0" f="v">
      <t c="6" si="614">
        <n x="610"/>
        <n x="245"/>
        <n x="246"/>
        <n x="611" s="1"/>
        <n x="657"/>
        <n x="658"/>
      </t>
    </mdx>
    <mdx n="0" f="v">
      <t c="6" si="614">
        <n x="610"/>
        <n x="245"/>
        <n x="246"/>
        <n x="611" s="1"/>
        <n x="661"/>
        <n x="662"/>
      </t>
    </mdx>
    <mdx n="0" f="v">
      <t c="6" si="614">
        <n x="610"/>
        <n x="245"/>
        <n x="246"/>
        <n x="611" s="1"/>
        <n x="663"/>
        <n x="664"/>
      </t>
    </mdx>
    <mdx n="0" f="v">
      <t c="6" si="614">
        <n x="610"/>
        <n x="245"/>
        <n x="246"/>
        <n x="611" s="1"/>
        <n x="669"/>
        <n x="670"/>
      </t>
    </mdx>
    <mdx n="0" f="v">
      <t c="6" si="614">
        <n x="610"/>
        <n x="245"/>
        <n x="246"/>
        <n x="611" s="1"/>
        <n x="671"/>
        <n x="672"/>
      </t>
    </mdx>
    <mdx n="0" f="v">
      <t c="6" si="614">
        <n x="610"/>
        <n x="245"/>
        <n x="246"/>
        <n x="611" s="1"/>
        <n x="673"/>
        <n x="674"/>
      </t>
    </mdx>
    <mdx n="0" f="v">
      <t c="6" si="614">
        <n x="610"/>
        <n x="245"/>
        <n x="246"/>
        <n x="611" s="1"/>
        <n x="675"/>
        <n x="676"/>
      </t>
    </mdx>
    <mdx n="0" f="v">
      <t c="6" si="614">
        <n x="610"/>
        <n x="245"/>
        <n x="246"/>
        <n x="611" s="1"/>
        <n x="677"/>
        <n x="678"/>
      </t>
    </mdx>
    <mdx n="0" f="v">
      <t c="6" si="614">
        <n x="610"/>
        <n x="245"/>
        <n x="246"/>
        <n x="611" s="1"/>
        <n x="679"/>
        <n x="680"/>
      </t>
    </mdx>
    <mdx n="0" f="v">
      <t c="6" si="614">
        <n x="610"/>
        <n x="245"/>
        <n x="246"/>
        <n x="611" s="1"/>
        <n x="681"/>
        <n x="682"/>
      </t>
    </mdx>
    <mdx n="0" f="v">
      <t c="6" si="614">
        <n x="610"/>
        <n x="245"/>
        <n x="246"/>
        <n x="611" s="1"/>
        <n x="683"/>
        <n x="684"/>
      </t>
    </mdx>
    <mdx n="0" f="v">
      <t c="6" si="614">
        <n x="610"/>
        <n x="245"/>
        <n x="246"/>
        <n x="611" s="1"/>
        <n x="693"/>
        <n x="694"/>
      </t>
    </mdx>
    <mdx n="0" f="v">
      <t c="6" si="614">
        <n x="610"/>
        <n x="245"/>
        <n x="246"/>
        <n x="611" s="1"/>
        <n x="699"/>
        <n x="700"/>
      </t>
    </mdx>
    <mdx n="0" f="v">
      <t c="6" si="614">
        <n x="610"/>
        <n x="245"/>
        <n x="246"/>
        <n x="611" s="1"/>
        <n x="703"/>
        <n x="704"/>
      </t>
    </mdx>
    <mdx n="0" f="v">
      <t c="6" si="614">
        <n x="610"/>
        <n x="245"/>
        <n x="246"/>
        <n x="611" s="1"/>
        <n x="707"/>
        <n x="708"/>
      </t>
    </mdx>
    <mdx n="0" f="v">
      <t c="6" si="614">
        <n x="610"/>
        <n x="247"/>
        <n x="248"/>
        <n x="611" s="1"/>
        <n x="612"/>
        <n x="613"/>
      </t>
    </mdx>
    <mdx n="0" f="v">
      <t c="6" si="614">
        <n x="610"/>
        <n x="247"/>
        <n x="248"/>
        <n x="611" s="1"/>
        <n x="615"/>
        <n x="616"/>
      </t>
    </mdx>
    <mdx n="0" f="v">
      <t c="6" si="614">
        <n x="610"/>
        <n x="247"/>
        <n x="248"/>
        <n x="611" s="1"/>
        <n x="617"/>
        <n x="618"/>
      </t>
    </mdx>
    <mdx n="0" f="v">
      <t c="6" si="614">
        <n x="610"/>
        <n x="247"/>
        <n x="248"/>
        <n x="611" s="1"/>
        <n x="619"/>
        <n x="620"/>
      </t>
    </mdx>
    <mdx n="0" f="v">
      <t c="6" si="614">
        <n x="610"/>
        <n x="247"/>
        <n x="248"/>
        <n x="611" s="1"/>
        <n x="621"/>
        <n x="622"/>
      </t>
    </mdx>
    <mdx n="0" f="v">
      <t c="6" si="614">
        <n x="610"/>
        <n x="247"/>
        <n x="248"/>
        <n x="611" s="1"/>
        <n x="623"/>
        <n x="624"/>
      </t>
    </mdx>
    <mdx n="0" f="v">
      <t c="6" si="614">
        <n x="610"/>
        <n x="247"/>
        <n x="248"/>
        <n x="611" s="1"/>
        <n x="637"/>
        <n x="638"/>
      </t>
    </mdx>
    <mdx n="0" f="v">
      <t c="6" si="614">
        <n x="610"/>
        <n x="247"/>
        <n x="248"/>
        <n x="611" s="1"/>
        <n x="641"/>
        <n x="642"/>
      </t>
    </mdx>
    <mdx n="0" f="v">
      <t c="6" si="614">
        <n x="610"/>
        <n x="247"/>
        <n x="248"/>
        <n x="611" s="1"/>
        <n x="657"/>
        <n x="658"/>
      </t>
    </mdx>
    <mdx n="0" f="v">
      <t c="6" si="614">
        <n x="610"/>
        <n x="247"/>
        <n x="248"/>
        <n x="611" s="1"/>
        <n x="659"/>
        <n x="660"/>
      </t>
    </mdx>
    <mdx n="0" f="v">
      <t c="6" si="614">
        <n x="610"/>
        <n x="247"/>
        <n x="248"/>
        <n x="611" s="1"/>
        <n x="665"/>
        <n x="666"/>
      </t>
    </mdx>
    <mdx n="0" f="v">
      <t c="6" si="614">
        <n x="610"/>
        <n x="247"/>
        <n x="248"/>
        <n x="611" s="1"/>
        <n x="669"/>
        <n x="670"/>
      </t>
    </mdx>
    <mdx n="0" f="v">
      <t c="6" si="614">
        <n x="610"/>
        <n x="247"/>
        <n x="248"/>
        <n x="611" s="1"/>
        <n x="671"/>
        <n x="672"/>
      </t>
    </mdx>
    <mdx n="0" f="v">
      <t c="6" si="614">
        <n x="610"/>
        <n x="247"/>
        <n x="248"/>
        <n x="611" s="1"/>
        <n x="683"/>
        <n x="684"/>
      </t>
    </mdx>
    <mdx n="0" f="v">
      <t c="6" si="614">
        <n x="610"/>
        <n x="247"/>
        <n x="248"/>
        <n x="611" s="1"/>
        <n x="687"/>
        <n x="688"/>
      </t>
    </mdx>
    <mdx n="0" f="v">
      <t c="6" si="614">
        <n x="610"/>
        <n x="249"/>
        <n x="250"/>
        <n x="611" s="1"/>
        <n x="617"/>
        <n x="618"/>
      </t>
    </mdx>
    <mdx n="0" f="v">
      <t c="6" si="614">
        <n x="610"/>
        <n x="249"/>
        <n x="250"/>
        <n x="611" s="1"/>
        <n x="619"/>
        <n x="620"/>
      </t>
    </mdx>
    <mdx n="0" f="v">
      <t c="6" si="614">
        <n x="610"/>
        <n x="249"/>
        <n x="250"/>
        <n x="611" s="1"/>
        <n x="623"/>
        <n x="624"/>
      </t>
    </mdx>
    <mdx n="0" f="v">
      <t c="6" si="614">
        <n x="610"/>
        <n x="249"/>
        <n x="250"/>
        <n x="611" s="1"/>
        <n x="627"/>
        <n x="628"/>
      </t>
    </mdx>
    <mdx n="0" f="v">
      <t c="6" si="614">
        <n x="610"/>
        <n x="249"/>
        <n x="250"/>
        <n x="611" s="1"/>
        <n x="631"/>
        <n x="632"/>
      </t>
    </mdx>
    <mdx n="0" f="v">
      <t c="6" si="614">
        <n x="610"/>
        <n x="249"/>
        <n x="250"/>
        <n x="611" s="1"/>
        <n x="635"/>
        <n x="636"/>
      </t>
    </mdx>
    <mdx n="0" f="v">
      <t c="6" si="614">
        <n x="610"/>
        <n x="249"/>
        <n x="250"/>
        <n x="611" s="1"/>
        <n x="639"/>
        <n x="640"/>
      </t>
    </mdx>
    <mdx n="0" f="v">
      <t c="6" si="614">
        <n x="610"/>
        <n x="249"/>
        <n x="250"/>
        <n x="611" s="1"/>
        <n x="641"/>
        <n x="642"/>
      </t>
    </mdx>
    <mdx n="0" f="v">
      <t c="6" si="614">
        <n x="610"/>
        <n x="249"/>
        <n x="250"/>
        <n x="611" s="1"/>
        <n x="643"/>
        <n x="644"/>
      </t>
    </mdx>
    <mdx n="0" f="v">
      <t c="6" si="614">
        <n x="610"/>
        <n x="249"/>
        <n x="250"/>
        <n x="611" s="1"/>
        <n x="651"/>
        <n x="652"/>
      </t>
    </mdx>
    <mdx n="0" f="v">
      <t c="6" si="614">
        <n x="610"/>
        <n x="249"/>
        <n x="250"/>
        <n x="611" s="1"/>
        <n x="655"/>
        <n x="656"/>
      </t>
    </mdx>
    <mdx n="0" f="v">
      <t c="6" si="614">
        <n x="610"/>
        <n x="249"/>
        <n x="250"/>
        <n x="611" s="1"/>
        <n x="657"/>
        <n x="658"/>
      </t>
    </mdx>
    <mdx n="0" f="v">
      <t c="6" si="614">
        <n x="610"/>
        <n x="249"/>
        <n x="250"/>
        <n x="611" s="1"/>
        <n x="661"/>
        <n x="662"/>
      </t>
    </mdx>
    <mdx n="0" f="v">
      <t c="6" si="614">
        <n x="610"/>
        <n x="249"/>
        <n x="250"/>
        <n x="611" s="1"/>
        <n x="665"/>
        <n x="666"/>
      </t>
    </mdx>
    <mdx n="0" f="v">
      <t c="6" si="614">
        <n x="610"/>
        <n x="249"/>
        <n x="250"/>
        <n x="611" s="1"/>
        <n x="667"/>
        <n x="668"/>
      </t>
    </mdx>
    <mdx n="0" f="v">
      <t c="6" si="614">
        <n x="610"/>
        <n x="249"/>
        <n x="250"/>
        <n x="611" s="1"/>
        <n x="669"/>
        <n x="670"/>
      </t>
    </mdx>
    <mdx n="0" f="v">
      <t c="6" si="614">
        <n x="610"/>
        <n x="249"/>
        <n x="250"/>
        <n x="611" s="1"/>
        <n x="671"/>
        <n x="672"/>
      </t>
    </mdx>
    <mdx n="0" f="v">
      <t c="6" si="614">
        <n x="610"/>
        <n x="249"/>
        <n x="250"/>
        <n x="611" s="1"/>
        <n x="673"/>
        <n x="674"/>
      </t>
    </mdx>
    <mdx n="0" f="v">
      <t c="6" si="614">
        <n x="610"/>
        <n x="249"/>
        <n x="250"/>
        <n x="611" s="1"/>
        <n x="675"/>
        <n x="676"/>
      </t>
    </mdx>
    <mdx n="0" f="v">
      <t c="6" si="614">
        <n x="610"/>
        <n x="249"/>
        <n x="250"/>
        <n x="611" s="1"/>
        <n x="677"/>
        <n x="678"/>
      </t>
    </mdx>
    <mdx n="0" f="v">
      <t c="6" si="614">
        <n x="610"/>
        <n x="249"/>
        <n x="250"/>
        <n x="611" s="1"/>
        <n x="679"/>
        <n x="680"/>
      </t>
    </mdx>
    <mdx n="0" f="v">
      <t c="6" si="614">
        <n x="610"/>
        <n x="249"/>
        <n x="250"/>
        <n x="611" s="1"/>
        <n x="681"/>
        <n x="682"/>
      </t>
    </mdx>
    <mdx n="0" f="v">
      <t c="6" si="614">
        <n x="610"/>
        <n x="249"/>
        <n x="250"/>
        <n x="611" s="1"/>
        <n x="683"/>
        <n x="684"/>
      </t>
    </mdx>
    <mdx n="0" f="v">
      <t c="6" si="614">
        <n x="610"/>
        <n x="249"/>
        <n x="250"/>
        <n x="611" s="1"/>
        <n x="685"/>
        <n x="686"/>
      </t>
    </mdx>
    <mdx n="0" f="v">
      <t c="6" si="614">
        <n x="610"/>
        <n x="249"/>
        <n x="250"/>
        <n x="611" s="1"/>
        <n x="687"/>
        <n x="688"/>
      </t>
    </mdx>
    <mdx n="0" f="v">
      <t c="6" si="614">
        <n x="610"/>
        <n x="249"/>
        <n x="250"/>
        <n x="611" s="1"/>
        <n x="691"/>
        <n x="692"/>
      </t>
    </mdx>
    <mdx n="0" f="v">
      <t c="6" si="614">
        <n x="610"/>
        <n x="249"/>
        <n x="250"/>
        <n x="611" s="1"/>
        <n x="693"/>
        <n x="694"/>
      </t>
    </mdx>
    <mdx n="0" f="v">
      <t c="6" si="614">
        <n x="610"/>
        <n x="249"/>
        <n x="250"/>
        <n x="611" s="1"/>
        <n x="697"/>
        <n x="698"/>
      </t>
    </mdx>
    <mdx n="0" f="v">
      <t c="6" si="614">
        <n x="610"/>
        <n x="249"/>
        <n x="250"/>
        <n x="611" s="1"/>
        <n x="703"/>
        <n x="704"/>
      </t>
    </mdx>
    <mdx n="0" f="v">
      <t c="6" si="614">
        <n x="610"/>
        <n x="249"/>
        <n x="250"/>
        <n x="611" s="1"/>
        <n x="705"/>
        <n x="706"/>
      </t>
    </mdx>
    <mdx n="0" f="v">
      <t c="6" si="614">
        <n x="610"/>
        <n x="249"/>
        <n x="250"/>
        <n x="611" s="1"/>
        <n x="707"/>
        <n x="708"/>
      </t>
    </mdx>
    <mdx n="0" f="v">
      <t c="6" si="614">
        <n x="610"/>
        <n x="251"/>
        <n x="252"/>
        <n x="611" s="1"/>
        <n x="612"/>
        <n x="613"/>
      </t>
    </mdx>
    <mdx n="0" f="v">
      <t c="6" si="614">
        <n x="610"/>
        <n x="251"/>
        <n x="252"/>
        <n x="611" s="1"/>
        <n x="621"/>
        <n x="622"/>
      </t>
    </mdx>
    <mdx n="0" f="v">
      <t c="6" si="614">
        <n x="610"/>
        <n x="251"/>
        <n x="252"/>
        <n x="611" s="1"/>
        <n x="623"/>
        <n x="624"/>
      </t>
    </mdx>
    <mdx n="0" f="v">
      <t c="6" si="614">
        <n x="610"/>
        <n x="251"/>
        <n x="252"/>
        <n x="611" s="1"/>
        <n x="627"/>
        <n x="628"/>
      </t>
    </mdx>
    <mdx n="0" f="v">
      <t c="6" si="614">
        <n x="610"/>
        <n x="251"/>
        <n x="252"/>
        <n x="611" s="1"/>
        <n x="631"/>
        <n x="632"/>
      </t>
    </mdx>
    <mdx n="0" f="v">
      <t c="6" si="614">
        <n x="610"/>
        <n x="251"/>
        <n x="252"/>
        <n x="611" s="1"/>
        <n x="633"/>
        <n x="634"/>
      </t>
    </mdx>
    <mdx n="0" f="v">
      <t c="6" si="614">
        <n x="610"/>
        <n x="251"/>
        <n x="252"/>
        <n x="611" s="1"/>
        <n x="639"/>
        <n x="640"/>
      </t>
    </mdx>
    <mdx n="0" f="v">
      <t c="6" si="614">
        <n x="610"/>
        <n x="251"/>
        <n x="252"/>
        <n x="611" s="1"/>
        <n x="643"/>
        <n x="644"/>
      </t>
    </mdx>
    <mdx n="0" f="v">
      <t c="6" si="614">
        <n x="610"/>
        <n x="251"/>
        <n x="252"/>
        <n x="611" s="1"/>
        <n x="651"/>
        <n x="652"/>
      </t>
    </mdx>
    <mdx n="0" f="v">
      <t c="6" si="614">
        <n x="610"/>
        <n x="251"/>
        <n x="252"/>
        <n x="611" s="1"/>
        <n x="659"/>
        <n x="660"/>
      </t>
    </mdx>
    <mdx n="0" f="v">
      <t c="6" si="614">
        <n x="610"/>
        <n x="251"/>
        <n x="252"/>
        <n x="611" s="1"/>
        <n x="661"/>
        <n x="662"/>
      </t>
    </mdx>
    <mdx n="0" f="v">
      <t c="6" si="614">
        <n x="610"/>
        <n x="251"/>
        <n x="252"/>
        <n x="611" s="1"/>
        <n x="663"/>
        <n x="664"/>
      </t>
    </mdx>
    <mdx n="0" f="v">
      <t c="6" si="614">
        <n x="610"/>
        <n x="251"/>
        <n x="252"/>
        <n x="611" s="1"/>
        <n x="665"/>
        <n x="666"/>
      </t>
    </mdx>
    <mdx n="0" f="v">
      <t c="6" si="614">
        <n x="610"/>
        <n x="251"/>
        <n x="252"/>
        <n x="611" s="1"/>
        <n x="669"/>
        <n x="670"/>
      </t>
    </mdx>
    <mdx n="0" f="v">
      <t c="6" si="614">
        <n x="610"/>
        <n x="251"/>
        <n x="252"/>
        <n x="611" s="1"/>
        <n x="675"/>
        <n x="676"/>
      </t>
    </mdx>
    <mdx n="0" f="v">
      <t c="6" si="614">
        <n x="610"/>
        <n x="251"/>
        <n x="252"/>
        <n x="611" s="1"/>
        <n x="677"/>
        <n x="678"/>
      </t>
    </mdx>
    <mdx n="0" f="v">
      <t c="6" si="614">
        <n x="610"/>
        <n x="251"/>
        <n x="252"/>
        <n x="611" s="1"/>
        <n x="685"/>
        <n x="686"/>
      </t>
    </mdx>
    <mdx n="0" f="v">
      <t c="6" si="614">
        <n x="610"/>
        <n x="251"/>
        <n x="252"/>
        <n x="611" s="1"/>
        <n x="689"/>
        <n x="690"/>
      </t>
    </mdx>
    <mdx n="0" f="v">
      <t c="6" si="614">
        <n x="610"/>
        <n x="251"/>
        <n x="252"/>
        <n x="611" s="1"/>
        <n x="695"/>
        <n x="696"/>
      </t>
    </mdx>
    <mdx n="0" f="v">
      <t c="6" si="614">
        <n x="610"/>
        <n x="251"/>
        <n x="252"/>
        <n x="611" s="1"/>
        <n x="697"/>
        <n x="698"/>
      </t>
    </mdx>
    <mdx n="0" f="v">
      <t c="6" si="614">
        <n x="610"/>
        <n x="251"/>
        <n x="252"/>
        <n x="611" s="1"/>
        <n x="699"/>
        <n x="700"/>
      </t>
    </mdx>
    <mdx n="0" f="v">
      <t c="6" si="614">
        <n x="610"/>
        <n x="251"/>
        <n x="252"/>
        <n x="611" s="1"/>
        <n x="707"/>
        <n x="708"/>
      </t>
    </mdx>
    <mdx n="0" f="v">
      <t c="6" si="614">
        <n x="610"/>
        <n x="253"/>
        <n x="254"/>
        <n x="611" s="1"/>
        <n x="615"/>
        <n x="616"/>
      </t>
    </mdx>
    <mdx n="0" f="v">
      <t c="6" si="614">
        <n x="610"/>
        <n x="253"/>
        <n x="254"/>
        <n x="611" s="1"/>
        <n x="617"/>
        <n x="618"/>
      </t>
    </mdx>
    <mdx n="0" f="v">
      <t c="6" si="614">
        <n x="610"/>
        <n x="253"/>
        <n x="254"/>
        <n x="611" s="1"/>
        <n x="625"/>
        <n x="626"/>
      </t>
    </mdx>
    <mdx n="0" f="v">
      <t c="6" si="614">
        <n x="610"/>
        <n x="253"/>
        <n x="254"/>
        <n x="611" s="1"/>
        <n x="629"/>
        <n x="630"/>
      </t>
    </mdx>
    <mdx n="0" f="v">
      <t c="6" si="614">
        <n x="610"/>
        <n x="253"/>
        <n x="254"/>
        <n x="611" s="1"/>
        <n x="631"/>
        <n x="632"/>
      </t>
    </mdx>
    <mdx n="0" f="v">
      <t c="6" si="614">
        <n x="610"/>
        <n x="253"/>
        <n x="254"/>
        <n x="611" s="1"/>
        <n x="635"/>
        <n x="636"/>
      </t>
    </mdx>
    <mdx n="0" f="v">
      <t c="6" si="614">
        <n x="610"/>
        <n x="253"/>
        <n x="254"/>
        <n x="611" s="1"/>
        <n x="637"/>
        <n x="638"/>
      </t>
    </mdx>
    <mdx n="0" f="v">
      <t c="6" si="614">
        <n x="610"/>
        <n x="253"/>
        <n x="254"/>
        <n x="611" s="1"/>
        <n x="639"/>
        <n x="640"/>
      </t>
    </mdx>
    <mdx n="0" f="v">
      <t c="6" si="614">
        <n x="610"/>
        <n x="253"/>
        <n x="254"/>
        <n x="611" s="1"/>
        <n x="643"/>
        <n x="644"/>
      </t>
    </mdx>
    <mdx n="0" f="v">
      <t c="6" si="614">
        <n x="610"/>
        <n x="253"/>
        <n x="254"/>
        <n x="611" s="1"/>
        <n x="645"/>
        <n x="646"/>
      </t>
    </mdx>
    <mdx n="0" f="v">
      <t c="6" si="614">
        <n x="610"/>
        <n x="253"/>
        <n x="254"/>
        <n x="611" s="1"/>
        <n x="647"/>
        <n x="648"/>
      </t>
    </mdx>
    <mdx n="0" f="v">
      <t c="6" si="614">
        <n x="610"/>
        <n x="253"/>
        <n x="254"/>
        <n x="611" s="1"/>
        <n x="649"/>
        <n x="650"/>
      </t>
    </mdx>
    <mdx n="0" f="v">
      <t c="6" si="614">
        <n x="610"/>
        <n x="253"/>
        <n x="254"/>
        <n x="611" s="1"/>
        <n x="651"/>
        <n x="652"/>
      </t>
    </mdx>
    <mdx n="0" f="v">
      <t c="6" si="614">
        <n x="610"/>
        <n x="253"/>
        <n x="254"/>
        <n x="611" s="1"/>
        <n x="661"/>
        <n x="662"/>
      </t>
    </mdx>
    <mdx n="0" f="v">
      <t c="6" si="614">
        <n x="610"/>
        <n x="253"/>
        <n x="254"/>
        <n x="611" s="1"/>
        <n x="663"/>
        <n x="664"/>
      </t>
    </mdx>
    <mdx n="0" f="v">
      <t c="6" si="614">
        <n x="610"/>
        <n x="253"/>
        <n x="254"/>
        <n x="611" s="1"/>
        <n x="669"/>
        <n x="670"/>
      </t>
    </mdx>
    <mdx n="0" f="v">
      <t c="6" si="614">
        <n x="610"/>
        <n x="253"/>
        <n x="254"/>
        <n x="611" s="1"/>
        <n x="671"/>
        <n x="672"/>
      </t>
    </mdx>
    <mdx n="0" f="v">
      <t c="6" si="614">
        <n x="610"/>
        <n x="253"/>
        <n x="254"/>
        <n x="611" s="1"/>
        <n x="681"/>
        <n x="682"/>
      </t>
    </mdx>
    <mdx n="0" f="v">
      <t c="6" si="614">
        <n x="610"/>
        <n x="253"/>
        <n x="254"/>
        <n x="611" s="1"/>
        <n x="685"/>
        <n x="686"/>
      </t>
    </mdx>
    <mdx n="0" f="v">
      <t c="6" si="614">
        <n x="610"/>
        <n x="253"/>
        <n x="254"/>
        <n x="611" s="1"/>
        <n x="689"/>
        <n x="690"/>
      </t>
    </mdx>
    <mdx n="0" f="v">
      <t c="6" si="614">
        <n x="610"/>
        <n x="253"/>
        <n x="254"/>
        <n x="611" s="1"/>
        <n x="691"/>
        <n x="692"/>
      </t>
    </mdx>
    <mdx n="0" f="v">
      <t c="6" si="614">
        <n x="610"/>
        <n x="253"/>
        <n x="254"/>
        <n x="611" s="1"/>
        <n x="699"/>
        <n x="700"/>
      </t>
    </mdx>
    <mdx n="0" f="v">
      <t c="6" si="614">
        <n x="610"/>
        <n x="253"/>
        <n x="254"/>
        <n x="611" s="1"/>
        <n x="701"/>
        <n x="702"/>
      </t>
    </mdx>
    <mdx n="0" f="v">
      <t c="6" si="614">
        <n x="610"/>
        <n x="253"/>
        <n x="254"/>
        <n x="611" s="1"/>
        <n x="703"/>
        <n x="704"/>
      </t>
    </mdx>
    <mdx n="0" f="v">
      <t c="6" si="614">
        <n x="610"/>
        <n x="253"/>
        <n x="254"/>
        <n x="611" s="1"/>
        <n x="705"/>
        <n x="706"/>
      </t>
    </mdx>
    <mdx n="0" f="v">
      <t c="6" si="614">
        <n x="610"/>
        <n x="253"/>
        <n x="254"/>
        <n x="611" s="1"/>
        <n x="707"/>
        <n x="708"/>
      </t>
    </mdx>
    <mdx n="0" f="v">
      <t c="6" si="614">
        <n x="610"/>
        <n x="255"/>
        <n x="256"/>
        <n x="611" s="1"/>
        <n x="617"/>
        <n x="618"/>
      </t>
    </mdx>
    <mdx n="0" f="v">
      <t c="6" si="614">
        <n x="610"/>
        <n x="255"/>
        <n x="256"/>
        <n x="611" s="1"/>
        <n x="621"/>
        <n x="622"/>
      </t>
    </mdx>
    <mdx n="0" f="v">
      <t c="6" si="614">
        <n x="610"/>
        <n x="255"/>
        <n x="256"/>
        <n x="611" s="1"/>
        <n x="623"/>
        <n x="624"/>
      </t>
    </mdx>
    <mdx n="0" f="v">
      <t c="6" si="614">
        <n x="610"/>
        <n x="255"/>
        <n x="256"/>
        <n x="611" s="1"/>
        <n x="627"/>
        <n x="628"/>
      </t>
    </mdx>
    <mdx n="0" f="v">
      <t c="6" si="614">
        <n x="610"/>
        <n x="255"/>
        <n x="256"/>
        <n x="611" s="1"/>
        <n x="629"/>
        <n x="630"/>
      </t>
    </mdx>
    <mdx n="0" f="v">
      <t c="6" si="614">
        <n x="610"/>
        <n x="255"/>
        <n x="256"/>
        <n x="611" s="1"/>
        <n x="631"/>
        <n x="632"/>
      </t>
    </mdx>
    <mdx n="0" f="v">
      <t c="6" si="614">
        <n x="610"/>
        <n x="255"/>
        <n x="256"/>
        <n x="611" s="1"/>
        <n x="633"/>
        <n x="634"/>
      </t>
    </mdx>
    <mdx n="0" f="v">
      <t c="6" si="614">
        <n x="610"/>
        <n x="255"/>
        <n x="256"/>
        <n x="611" s="1"/>
        <n x="635"/>
        <n x="636"/>
      </t>
    </mdx>
    <mdx n="0" f="v">
      <t c="6" si="614">
        <n x="610"/>
        <n x="255"/>
        <n x="256"/>
        <n x="611" s="1"/>
        <n x="639"/>
        <n x="640"/>
      </t>
    </mdx>
    <mdx n="0" f="v">
      <t c="6" si="614">
        <n x="610"/>
        <n x="255"/>
        <n x="256"/>
        <n x="611" s="1"/>
        <n x="645"/>
        <n x="646"/>
      </t>
    </mdx>
    <mdx n="0" f="v">
      <t c="6" si="614">
        <n x="610"/>
        <n x="255"/>
        <n x="256"/>
        <n x="611" s="1"/>
        <n x="647"/>
        <n x="648"/>
      </t>
    </mdx>
    <mdx n="0" f="v">
      <t c="6" si="614">
        <n x="610"/>
        <n x="255"/>
        <n x="256"/>
        <n x="611" s="1"/>
        <n x="651"/>
        <n x="652"/>
      </t>
    </mdx>
    <mdx n="0" f="v">
      <t c="6" si="614">
        <n x="610"/>
        <n x="255"/>
        <n x="256"/>
        <n x="611" s="1"/>
        <n x="653"/>
        <n x="654"/>
      </t>
    </mdx>
    <mdx n="0" f="v">
      <t c="6" si="614">
        <n x="610"/>
        <n x="255"/>
        <n x="256"/>
        <n x="611" s="1"/>
        <n x="657"/>
        <n x="658"/>
      </t>
    </mdx>
    <mdx n="0" f="v">
      <t c="6" si="614">
        <n x="610"/>
        <n x="255"/>
        <n x="256"/>
        <n x="611" s="1"/>
        <n x="659"/>
        <n x="660"/>
      </t>
    </mdx>
    <mdx n="0" f="v">
      <t c="6" si="614">
        <n x="610"/>
        <n x="255"/>
        <n x="256"/>
        <n x="611" s="1"/>
        <n x="661"/>
        <n x="662"/>
      </t>
    </mdx>
    <mdx n="0" f="v">
      <t c="6" si="614">
        <n x="610"/>
        <n x="255"/>
        <n x="256"/>
        <n x="611" s="1"/>
        <n x="663"/>
        <n x="664"/>
      </t>
    </mdx>
    <mdx n="0" f="v">
      <t c="6" si="614">
        <n x="610"/>
        <n x="255"/>
        <n x="256"/>
        <n x="611" s="1"/>
        <n x="669"/>
        <n x="670"/>
      </t>
    </mdx>
    <mdx n="0" f="v">
      <t c="6" si="614">
        <n x="610"/>
        <n x="255"/>
        <n x="256"/>
        <n x="611" s="1"/>
        <n x="675"/>
        <n x="676"/>
      </t>
    </mdx>
    <mdx n="0" f="v">
      <t c="6" si="614">
        <n x="610"/>
        <n x="255"/>
        <n x="256"/>
        <n x="611" s="1"/>
        <n x="677"/>
        <n x="678"/>
      </t>
    </mdx>
    <mdx n="0" f="v">
      <t c="6" si="614">
        <n x="610"/>
        <n x="255"/>
        <n x="256"/>
        <n x="611" s="1"/>
        <n x="685"/>
        <n x="686"/>
      </t>
    </mdx>
    <mdx n="0" f="v">
      <t c="6" si="614">
        <n x="610"/>
        <n x="255"/>
        <n x="256"/>
        <n x="611" s="1"/>
        <n x="687"/>
        <n x="688"/>
      </t>
    </mdx>
    <mdx n="0" f="v">
      <t c="6" si="614">
        <n x="610"/>
        <n x="255"/>
        <n x="256"/>
        <n x="611" s="1"/>
        <n x="689"/>
        <n x="690"/>
      </t>
    </mdx>
    <mdx n="0" f="v">
      <t c="6" si="614">
        <n x="610"/>
        <n x="255"/>
        <n x="256"/>
        <n x="611" s="1"/>
        <n x="697"/>
        <n x="698"/>
      </t>
    </mdx>
    <mdx n="0" f="v">
      <t c="6" si="614">
        <n x="610"/>
        <n x="255"/>
        <n x="256"/>
        <n x="611" s="1"/>
        <n x="699"/>
        <n x="700"/>
      </t>
    </mdx>
    <mdx n="0" f="v">
      <t c="6" si="614">
        <n x="610"/>
        <n x="255"/>
        <n x="256"/>
        <n x="611" s="1"/>
        <n x="701"/>
        <n x="702"/>
      </t>
    </mdx>
    <mdx n="0" f="v">
      <t c="6" si="614">
        <n x="610"/>
        <n x="255"/>
        <n x="256"/>
        <n x="611" s="1"/>
        <n x="707"/>
        <n x="708"/>
      </t>
    </mdx>
    <mdx n="0" f="v">
      <t c="6" si="614">
        <n x="610"/>
        <n x="257"/>
        <n x="258"/>
        <n x="611" s="1"/>
        <n x="615"/>
        <n x="616"/>
      </t>
    </mdx>
    <mdx n="0" f="v">
      <t c="6" si="614">
        <n x="610"/>
        <n x="257"/>
        <n x="258"/>
        <n x="611" s="1"/>
        <n x="617"/>
        <n x="618"/>
      </t>
    </mdx>
    <mdx n="0" f="v">
      <t c="6" si="614">
        <n x="610"/>
        <n x="257"/>
        <n x="258"/>
        <n x="611" s="1"/>
        <n x="619"/>
        <n x="620"/>
      </t>
    </mdx>
    <mdx n="0" f="v">
      <t c="6" si="614">
        <n x="610"/>
        <n x="257"/>
        <n x="258"/>
        <n x="611" s="1"/>
        <n x="625"/>
        <n x="626"/>
      </t>
    </mdx>
    <mdx n="0" f="v">
      <t c="6" si="614">
        <n x="610"/>
        <n x="257"/>
        <n x="258"/>
        <n x="611" s="1"/>
        <n x="627"/>
        <n x="628"/>
      </t>
    </mdx>
    <mdx n="0" f="v">
      <t c="6" si="614">
        <n x="610"/>
        <n x="257"/>
        <n x="258"/>
        <n x="611" s="1"/>
        <n x="629"/>
        <n x="630"/>
      </t>
    </mdx>
    <mdx n="0" f="v">
      <t c="6" si="614">
        <n x="610"/>
        <n x="257"/>
        <n x="258"/>
        <n x="611" s="1"/>
        <n x="631"/>
        <n x="632"/>
      </t>
    </mdx>
    <mdx n="0" f="v">
      <t c="6" si="614">
        <n x="610"/>
        <n x="257"/>
        <n x="258"/>
        <n x="611" s="1"/>
        <n x="635"/>
        <n x="636"/>
      </t>
    </mdx>
    <mdx n="0" f="v">
      <t c="6" si="614">
        <n x="610"/>
        <n x="257"/>
        <n x="258"/>
        <n x="611" s="1"/>
        <n x="641"/>
        <n x="642"/>
      </t>
    </mdx>
    <mdx n="0" f="v">
      <t c="6" si="614">
        <n x="610"/>
        <n x="257"/>
        <n x="258"/>
        <n x="611" s="1"/>
        <n x="647"/>
        <n x="648"/>
      </t>
    </mdx>
    <mdx n="0" f="v">
      <t c="6" si="614">
        <n x="610"/>
        <n x="257"/>
        <n x="258"/>
        <n x="611" s="1"/>
        <n x="649"/>
        <n x="650"/>
      </t>
    </mdx>
    <mdx n="0" f="v">
      <t c="6" si="614">
        <n x="610"/>
        <n x="257"/>
        <n x="258"/>
        <n x="611" s="1"/>
        <n x="655"/>
        <n x="656"/>
      </t>
    </mdx>
    <mdx n="0" f="v">
      <t c="6" si="614">
        <n x="610"/>
        <n x="257"/>
        <n x="258"/>
        <n x="611" s="1"/>
        <n x="657"/>
        <n x="658"/>
      </t>
    </mdx>
    <mdx n="0" f="v">
      <t c="6" si="614">
        <n x="610"/>
        <n x="257"/>
        <n x="258"/>
        <n x="611" s="1"/>
        <n x="663"/>
        <n x="664"/>
      </t>
    </mdx>
    <mdx n="0" f="v">
      <t c="6" si="614">
        <n x="610"/>
        <n x="257"/>
        <n x="258"/>
        <n x="611" s="1"/>
        <n x="669"/>
        <n x="670"/>
      </t>
    </mdx>
    <mdx n="0" f="v">
      <t c="6" si="614">
        <n x="610"/>
        <n x="257"/>
        <n x="258"/>
        <n x="611" s="1"/>
        <n x="671"/>
        <n x="672"/>
      </t>
    </mdx>
    <mdx n="0" f="v">
      <t c="6" si="614">
        <n x="610"/>
        <n x="257"/>
        <n x="258"/>
        <n x="611" s="1"/>
        <n x="673"/>
        <n x="674"/>
      </t>
    </mdx>
    <mdx n="0" f="v">
      <t c="6" si="614">
        <n x="610"/>
        <n x="257"/>
        <n x="258"/>
        <n x="611" s="1"/>
        <n x="675"/>
        <n x="676"/>
      </t>
    </mdx>
    <mdx n="0" f="v">
      <t c="6" si="614">
        <n x="610"/>
        <n x="257"/>
        <n x="258"/>
        <n x="611" s="1"/>
        <n x="677"/>
        <n x="678"/>
      </t>
    </mdx>
    <mdx n="0" f="v">
      <t c="6" si="614">
        <n x="610"/>
        <n x="257"/>
        <n x="258"/>
        <n x="611" s="1"/>
        <n x="683"/>
        <n x="684"/>
      </t>
    </mdx>
    <mdx n="0" f="v">
      <t c="6" si="614">
        <n x="610"/>
        <n x="257"/>
        <n x="258"/>
        <n x="611" s="1"/>
        <n x="687"/>
        <n x="688"/>
      </t>
    </mdx>
    <mdx n="0" f="v">
      <t c="6" si="614">
        <n x="610"/>
        <n x="257"/>
        <n x="258"/>
        <n x="611" s="1"/>
        <n x="697"/>
        <n x="698"/>
      </t>
    </mdx>
    <mdx n="0" f="v">
      <t c="6" si="614">
        <n x="610"/>
        <n x="257"/>
        <n x="258"/>
        <n x="611" s="1"/>
        <n x="707"/>
        <n x="708"/>
      </t>
    </mdx>
    <mdx n="0" f="v">
      <t c="6" si="614">
        <n x="610"/>
        <n x="259"/>
        <n x="260"/>
        <n x="611" s="1"/>
        <n x="612"/>
        <n x="613"/>
      </t>
    </mdx>
    <mdx n="0" f="v">
      <t c="6" si="614">
        <n x="610"/>
        <n x="259"/>
        <n x="260"/>
        <n x="611" s="1"/>
        <n x="619"/>
        <n x="620"/>
      </t>
    </mdx>
    <mdx n="0" f="v">
      <t c="6" si="614">
        <n x="610"/>
        <n x="259"/>
        <n x="260"/>
        <n x="611" s="1"/>
        <n x="623"/>
        <n x="624"/>
      </t>
    </mdx>
    <mdx n="0" f="v">
      <t c="6" si="614">
        <n x="610"/>
        <n x="259"/>
        <n x="260"/>
        <n x="611" s="1"/>
        <n x="625"/>
        <n x="626"/>
      </t>
    </mdx>
    <mdx n="0" f="v">
      <t c="6" si="614">
        <n x="610"/>
        <n x="259"/>
        <n x="260"/>
        <n x="611" s="1"/>
        <n x="627"/>
        <n x="628"/>
      </t>
    </mdx>
    <mdx n="0" f="v">
      <t c="6" si="614">
        <n x="610"/>
        <n x="259"/>
        <n x="260"/>
        <n x="611" s="1"/>
        <n x="629"/>
        <n x="630"/>
      </t>
    </mdx>
    <mdx n="0" f="v">
      <t c="6" si="614">
        <n x="610"/>
        <n x="259"/>
        <n x="260"/>
        <n x="611" s="1"/>
        <n x="633"/>
        <n x="634"/>
      </t>
    </mdx>
    <mdx n="0" f="v">
      <t c="6" si="614">
        <n x="610"/>
        <n x="259"/>
        <n x="260"/>
        <n x="611" s="1"/>
        <n x="635"/>
        <n x="636"/>
      </t>
    </mdx>
    <mdx n="0" f="v">
      <t c="6" si="614">
        <n x="610"/>
        <n x="259"/>
        <n x="260"/>
        <n x="611" s="1"/>
        <n x="637"/>
        <n x="638"/>
      </t>
    </mdx>
    <mdx n="0" f="v">
      <t c="6" si="614">
        <n x="610"/>
        <n x="259"/>
        <n x="260"/>
        <n x="611" s="1"/>
        <n x="641"/>
        <n x="642"/>
      </t>
    </mdx>
    <mdx n="0" f="v">
      <t c="6" si="614">
        <n x="610"/>
        <n x="259"/>
        <n x="260"/>
        <n x="611" s="1"/>
        <n x="643"/>
        <n x="644"/>
      </t>
    </mdx>
    <mdx n="0" f="v">
      <t c="6" si="614">
        <n x="610"/>
        <n x="259"/>
        <n x="260"/>
        <n x="611" s="1"/>
        <n x="647"/>
        <n x="648"/>
      </t>
    </mdx>
    <mdx n="0" f="v">
      <t c="6" si="614">
        <n x="610"/>
        <n x="259"/>
        <n x="260"/>
        <n x="611" s="1"/>
        <n x="655"/>
        <n x="656"/>
      </t>
    </mdx>
    <mdx n="0" f="v">
      <t c="6" si="614">
        <n x="610"/>
        <n x="259"/>
        <n x="260"/>
        <n x="611" s="1"/>
        <n x="657"/>
        <n x="658"/>
      </t>
    </mdx>
    <mdx n="0" f="v">
      <t c="6" si="614">
        <n x="610"/>
        <n x="259"/>
        <n x="260"/>
        <n x="611" s="1"/>
        <n x="659"/>
        <n x="660"/>
      </t>
    </mdx>
    <mdx n="0" f="v">
      <t c="6" si="614">
        <n x="610"/>
        <n x="259"/>
        <n x="260"/>
        <n x="611" s="1"/>
        <n x="661"/>
        <n x="662"/>
      </t>
    </mdx>
    <mdx n="0" f="v">
      <t c="6" si="614">
        <n x="610"/>
        <n x="259"/>
        <n x="260"/>
        <n x="611" s="1"/>
        <n x="663"/>
        <n x="664"/>
      </t>
    </mdx>
    <mdx n="0" f="v">
      <t c="6" si="614">
        <n x="610"/>
        <n x="259"/>
        <n x="260"/>
        <n x="611" s="1"/>
        <n x="665"/>
        <n x="666"/>
      </t>
    </mdx>
    <mdx n="0" f="v">
      <t c="6" si="614">
        <n x="610"/>
        <n x="259"/>
        <n x="260"/>
        <n x="611" s="1"/>
        <n x="667"/>
        <n x="668"/>
      </t>
    </mdx>
    <mdx n="0" f="v">
      <t c="6" si="614">
        <n x="610"/>
        <n x="259"/>
        <n x="260"/>
        <n x="611" s="1"/>
        <n x="673"/>
        <n x="674"/>
      </t>
    </mdx>
    <mdx n="0" f="v">
      <t c="6" si="614">
        <n x="610"/>
        <n x="259"/>
        <n x="260"/>
        <n x="611" s="1"/>
        <n x="675"/>
        <n x="676"/>
      </t>
    </mdx>
    <mdx n="0" f="v">
      <t c="6" si="614">
        <n x="610"/>
        <n x="259"/>
        <n x="260"/>
        <n x="611" s="1"/>
        <n x="677"/>
        <n x="678"/>
      </t>
    </mdx>
    <mdx n="0" f="v">
      <t c="6" si="614">
        <n x="610"/>
        <n x="259"/>
        <n x="260"/>
        <n x="611" s="1"/>
        <n x="691"/>
        <n x="692"/>
      </t>
    </mdx>
    <mdx n="0" f="v">
      <t c="6" si="614">
        <n x="610"/>
        <n x="259"/>
        <n x="260"/>
        <n x="611" s="1"/>
        <n x="695"/>
        <n x="696"/>
      </t>
    </mdx>
    <mdx n="0" f="v">
      <t c="6" si="614">
        <n x="610"/>
        <n x="259"/>
        <n x="260"/>
        <n x="611" s="1"/>
        <n x="697"/>
        <n x="698"/>
      </t>
    </mdx>
    <mdx n="0" f="v">
      <t c="6" si="614">
        <n x="610"/>
        <n x="259"/>
        <n x="260"/>
        <n x="611" s="1"/>
        <n x="701"/>
        <n x="702"/>
      </t>
    </mdx>
    <mdx n="0" f="v">
      <t c="6" si="614">
        <n x="610"/>
        <n x="259"/>
        <n x="260"/>
        <n x="611" s="1"/>
        <n x="703"/>
        <n x="704"/>
      </t>
    </mdx>
    <mdx n="0" f="v">
      <t c="6" si="614">
        <n x="610"/>
        <n x="261"/>
        <n x="262"/>
        <n x="611" s="1"/>
        <n x="612"/>
        <n x="613"/>
      </t>
    </mdx>
    <mdx n="0" f="v">
      <t c="6" si="614">
        <n x="610"/>
        <n x="261"/>
        <n x="262"/>
        <n x="611" s="1"/>
        <n x="619"/>
        <n x="620"/>
      </t>
    </mdx>
    <mdx n="0" f="v">
      <t c="6" si="614">
        <n x="610"/>
        <n x="261"/>
        <n x="262"/>
        <n x="611" s="1"/>
        <n x="621"/>
        <n x="622"/>
      </t>
    </mdx>
    <mdx n="0" f="v">
      <t c="6" si="614">
        <n x="610"/>
        <n x="261"/>
        <n x="262"/>
        <n x="611" s="1"/>
        <n x="625"/>
        <n x="626"/>
      </t>
    </mdx>
    <mdx n="0" f="v">
      <t c="6" si="614">
        <n x="610"/>
        <n x="261"/>
        <n x="262"/>
        <n x="611" s="1"/>
        <n x="627"/>
        <n x="628"/>
      </t>
    </mdx>
    <mdx n="0" f="v">
      <t c="6" si="614">
        <n x="610"/>
        <n x="261"/>
        <n x="262"/>
        <n x="611" s="1"/>
        <n x="631"/>
        <n x="632"/>
      </t>
    </mdx>
    <mdx n="0" f="v">
      <t c="6" si="614">
        <n x="610"/>
        <n x="261"/>
        <n x="262"/>
        <n x="611" s="1"/>
        <n x="637"/>
        <n x="638"/>
      </t>
    </mdx>
    <mdx n="0" f="v">
      <t c="6" si="614">
        <n x="610"/>
        <n x="261"/>
        <n x="262"/>
        <n x="611" s="1"/>
        <n x="643"/>
        <n x="644"/>
      </t>
    </mdx>
    <mdx n="0" f="v">
      <t c="6" si="614">
        <n x="610"/>
        <n x="261"/>
        <n x="262"/>
        <n x="611" s="1"/>
        <n x="649"/>
        <n x="650"/>
      </t>
    </mdx>
    <mdx n="0" f="v">
      <t c="6" si="614">
        <n x="610"/>
        <n x="261"/>
        <n x="262"/>
        <n x="611" s="1"/>
        <n x="653"/>
        <n x="654"/>
      </t>
    </mdx>
    <mdx n="0" f="v">
      <t c="6" si="614">
        <n x="610"/>
        <n x="261"/>
        <n x="262"/>
        <n x="611" s="1"/>
        <n x="657"/>
        <n x="658"/>
      </t>
    </mdx>
    <mdx n="0" f="v">
      <t c="6" si="614">
        <n x="610"/>
        <n x="261"/>
        <n x="262"/>
        <n x="611" s="1"/>
        <n x="661"/>
        <n x="662"/>
      </t>
    </mdx>
    <mdx n="0" f="v">
      <t c="6" si="614">
        <n x="610"/>
        <n x="261"/>
        <n x="262"/>
        <n x="611" s="1"/>
        <n x="663"/>
        <n x="664"/>
      </t>
    </mdx>
    <mdx n="0" f="v">
      <t c="6" si="614">
        <n x="610"/>
        <n x="261"/>
        <n x="262"/>
        <n x="611" s="1"/>
        <n x="675"/>
        <n x="676"/>
      </t>
    </mdx>
    <mdx n="0" f="v">
      <t c="6" si="614">
        <n x="610"/>
        <n x="261"/>
        <n x="262"/>
        <n x="611" s="1"/>
        <n x="677"/>
        <n x="678"/>
      </t>
    </mdx>
    <mdx n="0" f="v">
      <t c="6" si="614">
        <n x="610"/>
        <n x="261"/>
        <n x="262"/>
        <n x="611" s="1"/>
        <n x="681"/>
        <n x="682"/>
      </t>
    </mdx>
    <mdx n="0" f="v">
      <t c="6" si="614">
        <n x="610"/>
        <n x="261"/>
        <n x="262"/>
        <n x="611" s="1"/>
        <n x="691"/>
        <n x="692"/>
      </t>
    </mdx>
    <mdx n="0" f="v">
      <t c="6" si="614">
        <n x="610"/>
        <n x="261"/>
        <n x="262"/>
        <n x="611" s="1"/>
        <n x="695"/>
        <n x="696"/>
      </t>
    </mdx>
    <mdx n="0" f="v">
      <t c="6" si="614">
        <n x="610"/>
        <n x="261"/>
        <n x="262"/>
        <n x="611" s="1"/>
        <n x="701"/>
        <n x="702"/>
      </t>
    </mdx>
    <mdx n="0" f="v">
      <t c="6" si="614">
        <n x="610"/>
        <n x="261"/>
        <n x="262"/>
        <n x="611" s="1"/>
        <n x="703"/>
        <n x="704"/>
      </t>
    </mdx>
    <mdx n="0" f="v">
      <t c="6" si="614">
        <n x="610"/>
        <n x="261"/>
        <n x="262"/>
        <n x="611" s="1"/>
        <n x="705"/>
        <n x="706"/>
      </t>
    </mdx>
    <mdx n="0" f="v">
      <t c="6" si="614">
        <n x="610"/>
        <n x="263"/>
        <n x="264"/>
        <n x="611" s="1"/>
        <n x="612"/>
        <n x="613"/>
      </t>
    </mdx>
    <mdx n="0" f="v">
      <t c="6" si="614">
        <n x="610"/>
        <n x="263"/>
        <n x="264"/>
        <n x="611" s="1"/>
        <n x="615"/>
        <n x="616"/>
      </t>
    </mdx>
    <mdx n="0" f="v">
      <t c="6" si="614">
        <n x="610"/>
        <n x="263"/>
        <n x="264"/>
        <n x="611" s="1"/>
        <n x="617"/>
        <n x="618"/>
      </t>
    </mdx>
    <mdx n="0" f="v">
      <t c="6" si="614">
        <n x="610"/>
        <n x="263"/>
        <n x="264"/>
        <n x="611" s="1"/>
        <n x="623"/>
        <n x="624"/>
      </t>
    </mdx>
    <mdx n="0" f="v">
      <t c="6" si="614">
        <n x="610"/>
        <n x="263"/>
        <n x="264"/>
        <n x="611" s="1"/>
        <n x="625"/>
        <n x="626"/>
      </t>
    </mdx>
    <mdx n="0" f="v">
      <t c="6" si="614">
        <n x="610"/>
        <n x="263"/>
        <n x="264"/>
        <n x="611" s="1"/>
        <n x="629"/>
        <n x="630"/>
      </t>
    </mdx>
    <mdx n="0" f="v">
      <t c="6" si="614">
        <n x="610"/>
        <n x="263"/>
        <n x="264"/>
        <n x="611" s="1"/>
        <n x="633"/>
        <n x="634"/>
      </t>
    </mdx>
    <mdx n="0" f="v">
      <t c="6" si="614">
        <n x="610"/>
        <n x="263"/>
        <n x="264"/>
        <n x="611" s="1"/>
        <n x="635"/>
        <n x="636"/>
      </t>
    </mdx>
    <mdx n="0" f="v">
      <t c="6" si="614">
        <n x="610"/>
        <n x="263"/>
        <n x="264"/>
        <n x="611" s="1"/>
        <n x="637"/>
        <n x="638"/>
      </t>
    </mdx>
    <mdx n="0" f="v">
      <t c="6" si="614">
        <n x="610"/>
        <n x="263"/>
        <n x="264"/>
        <n x="611" s="1"/>
        <n x="639"/>
        <n x="640"/>
      </t>
    </mdx>
    <mdx n="0" f="v">
      <t c="6" si="614">
        <n x="610"/>
        <n x="263"/>
        <n x="264"/>
        <n x="611" s="1"/>
        <n x="649"/>
        <n x="650"/>
      </t>
    </mdx>
    <mdx n="0" f="v">
      <t c="6" si="614">
        <n x="610"/>
        <n x="263"/>
        <n x="264"/>
        <n x="611" s="1"/>
        <n x="661"/>
        <n x="662"/>
      </t>
    </mdx>
    <mdx n="0" f="v">
      <t c="6" si="614">
        <n x="610"/>
        <n x="263"/>
        <n x="264"/>
        <n x="611" s="1"/>
        <n x="663"/>
        <n x="664"/>
      </t>
    </mdx>
    <mdx n="0" f="v">
      <t c="6" si="614">
        <n x="610"/>
        <n x="263"/>
        <n x="264"/>
        <n x="611" s="1"/>
        <n x="665"/>
        <n x="666"/>
      </t>
    </mdx>
    <mdx n="0" f="v">
      <t c="6" si="614">
        <n x="610"/>
        <n x="263"/>
        <n x="264"/>
        <n x="611" s="1"/>
        <n x="689"/>
        <n x="690"/>
      </t>
    </mdx>
    <mdx n="0" f="v">
      <t c="6" si="614">
        <n x="610"/>
        <n x="263"/>
        <n x="264"/>
        <n x="611" s="1"/>
        <n x="691"/>
        <n x="692"/>
      </t>
    </mdx>
    <mdx n="0" f="v">
      <t c="6" si="614">
        <n x="610"/>
        <n x="263"/>
        <n x="264"/>
        <n x="611" s="1"/>
        <n x="693"/>
        <n x="694"/>
      </t>
    </mdx>
    <mdx n="0" f="v">
      <t c="6" si="614">
        <n x="610"/>
        <n x="263"/>
        <n x="264"/>
        <n x="611" s="1"/>
        <n x="699"/>
        <n x="700"/>
      </t>
    </mdx>
    <mdx n="0" f="v">
      <t c="6" si="614">
        <n x="610"/>
        <n x="263"/>
        <n x="264"/>
        <n x="611" s="1"/>
        <n x="703"/>
        <n x="704"/>
      </t>
    </mdx>
    <mdx n="0" f="v">
      <t c="6" si="614">
        <n x="610"/>
        <n x="265"/>
        <n x="266"/>
        <n x="611" s="1"/>
        <n x="619"/>
        <n x="620"/>
      </t>
    </mdx>
    <mdx n="0" f="v">
      <t c="6" si="614">
        <n x="610"/>
        <n x="265"/>
        <n x="266"/>
        <n x="611" s="1"/>
        <n x="625"/>
        <n x="626"/>
      </t>
    </mdx>
    <mdx n="0" f="v">
      <t c="6" si="614">
        <n x="610"/>
        <n x="265"/>
        <n x="266"/>
        <n x="611" s="1"/>
        <n x="631"/>
        <n x="632"/>
      </t>
    </mdx>
    <mdx n="0" f="v">
      <t c="6" si="614">
        <n x="610"/>
        <n x="265"/>
        <n x="266"/>
        <n x="611" s="1"/>
        <n x="635"/>
        <n x="636"/>
      </t>
    </mdx>
    <mdx n="0" f="v">
      <t c="6" si="614">
        <n x="610"/>
        <n x="265"/>
        <n x="266"/>
        <n x="611" s="1"/>
        <n x="641"/>
        <n x="642"/>
      </t>
    </mdx>
    <mdx n="0" f="v">
      <t c="6" si="614">
        <n x="610"/>
        <n x="265"/>
        <n x="266"/>
        <n x="611" s="1"/>
        <n x="643"/>
        <n x="644"/>
      </t>
    </mdx>
    <mdx n="0" f="v">
      <t c="6" si="614">
        <n x="610"/>
        <n x="265"/>
        <n x="266"/>
        <n x="611" s="1"/>
        <n x="645"/>
        <n x="646"/>
      </t>
    </mdx>
    <mdx n="0" f="v">
      <t c="6" si="614">
        <n x="610"/>
        <n x="265"/>
        <n x="266"/>
        <n x="611" s="1"/>
        <n x="649"/>
        <n x="650"/>
      </t>
    </mdx>
    <mdx n="0" f="v">
      <t c="6" si="614">
        <n x="610"/>
        <n x="265"/>
        <n x="266"/>
        <n x="611" s="1"/>
        <n x="653"/>
        <n x="654"/>
      </t>
    </mdx>
    <mdx n="0" f="v">
      <t c="6" si="614">
        <n x="610"/>
        <n x="265"/>
        <n x="266"/>
        <n x="611" s="1"/>
        <n x="655"/>
        <n x="656"/>
      </t>
    </mdx>
    <mdx n="0" f="v">
      <t c="6" si="614">
        <n x="610"/>
        <n x="265"/>
        <n x="266"/>
        <n x="611" s="1"/>
        <n x="657"/>
        <n x="658"/>
      </t>
    </mdx>
    <mdx n="0" f="v">
      <t c="6" si="614">
        <n x="610"/>
        <n x="265"/>
        <n x="266"/>
        <n x="611" s="1"/>
        <n x="659"/>
        <n x="660"/>
      </t>
    </mdx>
    <mdx n="0" f="v">
      <t c="6" si="614">
        <n x="610"/>
        <n x="265"/>
        <n x="266"/>
        <n x="611" s="1"/>
        <n x="661"/>
        <n x="662"/>
      </t>
    </mdx>
    <mdx n="0" f="v">
      <t c="6" si="614">
        <n x="610"/>
        <n x="265"/>
        <n x="266"/>
        <n x="611" s="1"/>
        <n x="665"/>
        <n x="666"/>
      </t>
    </mdx>
    <mdx n="0" f="v">
      <t c="6" si="614">
        <n x="610"/>
        <n x="265"/>
        <n x="266"/>
        <n x="611" s="1"/>
        <n x="669"/>
        <n x="670"/>
      </t>
    </mdx>
    <mdx n="0" f="v">
      <t c="6" si="614">
        <n x="610"/>
        <n x="265"/>
        <n x="266"/>
        <n x="611" s="1"/>
        <n x="679"/>
        <n x="680"/>
      </t>
    </mdx>
    <mdx n="0" f="v">
      <t c="6" si="614">
        <n x="610"/>
        <n x="265"/>
        <n x="266"/>
        <n x="611" s="1"/>
        <n x="683"/>
        <n x="684"/>
      </t>
    </mdx>
    <mdx n="0" f="v">
      <t c="6" si="614">
        <n x="610"/>
        <n x="265"/>
        <n x="266"/>
        <n x="611" s="1"/>
        <n x="687"/>
        <n x="688"/>
      </t>
    </mdx>
    <mdx n="0" f="v">
      <t c="6" si="614">
        <n x="610"/>
        <n x="265"/>
        <n x="266"/>
        <n x="611" s="1"/>
        <n x="691"/>
        <n x="692"/>
      </t>
    </mdx>
    <mdx n="0" f="v">
      <t c="6" si="614">
        <n x="610"/>
        <n x="265"/>
        <n x="266"/>
        <n x="611" s="1"/>
        <n x="693"/>
        <n x="694"/>
      </t>
    </mdx>
    <mdx n="0" f="v">
      <t c="6" si="614">
        <n x="610"/>
        <n x="265"/>
        <n x="266"/>
        <n x="611" s="1"/>
        <n x="695"/>
        <n x="696"/>
      </t>
    </mdx>
    <mdx n="0" f="v">
      <t c="6" si="614">
        <n x="610"/>
        <n x="265"/>
        <n x="266"/>
        <n x="611" s="1"/>
        <n x="697"/>
        <n x="698"/>
      </t>
    </mdx>
    <mdx n="0" f="v">
      <t c="6" si="614">
        <n x="610"/>
        <n x="265"/>
        <n x="266"/>
        <n x="611" s="1"/>
        <n x="701"/>
        <n x="702"/>
      </t>
    </mdx>
    <mdx n="0" f="v">
      <t c="6" si="614">
        <n x="610"/>
        <n x="265"/>
        <n x="266"/>
        <n x="611" s="1"/>
        <n x="703"/>
        <n x="704"/>
      </t>
    </mdx>
    <mdx n="0" f="v">
      <t c="6" si="614">
        <n x="610"/>
        <n x="265"/>
        <n x="266"/>
        <n x="611" s="1"/>
        <n x="705"/>
        <n x="706"/>
      </t>
    </mdx>
    <mdx n="0" f="v">
      <t c="6" si="614">
        <n x="610"/>
        <n x="267"/>
        <n x="268"/>
        <n x="611" s="1"/>
        <n x="612"/>
        <n x="613"/>
      </t>
    </mdx>
    <mdx n="0" f="v">
      <t c="6" si="614">
        <n x="610"/>
        <n x="267"/>
        <n x="268"/>
        <n x="611" s="1"/>
        <n x="615"/>
        <n x="616"/>
      </t>
    </mdx>
    <mdx n="0" f="v">
      <t c="6" si="614">
        <n x="610"/>
        <n x="267"/>
        <n x="268"/>
        <n x="611" s="1"/>
        <n x="617"/>
        <n x="618"/>
      </t>
    </mdx>
    <mdx n="0" f="v">
      <t c="6" si="614">
        <n x="610"/>
        <n x="267"/>
        <n x="268"/>
        <n x="611" s="1"/>
        <n x="621"/>
        <n x="622"/>
      </t>
    </mdx>
    <mdx n="0" f="v">
      <t c="6" si="614">
        <n x="610"/>
        <n x="267"/>
        <n x="268"/>
        <n x="611" s="1"/>
        <n x="623"/>
        <n x="624"/>
      </t>
    </mdx>
    <mdx n="0" f="v">
      <t c="6" si="614">
        <n x="610"/>
        <n x="267"/>
        <n x="268"/>
        <n x="611" s="1"/>
        <n x="627"/>
        <n x="628"/>
      </t>
    </mdx>
    <mdx n="0" f="v">
      <t c="6" si="614">
        <n x="610"/>
        <n x="267"/>
        <n x="268"/>
        <n x="611" s="1"/>
        <n x="635"/>
        <n x="636"/>
      </t>
    </mdx>
    <mdx n="0" f="v">
      <t c="6" si="614">
        <n x="610"/>
        <n x="267"/>
        <n x="268"/>
        <n x="611" s="1"/>
        <n x="647"/>
        <n x="648"/>
      </t>
    </mdx>
    <mdx n="0" f="v">
      <t c="6" si="614">
        <n x="610"/>
        <n x="267"/>
        <n x="268"/>
        <n x="611" s="1"/>
        <n x="663"/>
        <n x="664"/>
      </t>
    </mdx>
    <mdx n="0" f="v">
      <t c="6" si="614">
        <n x="610"/>
        <n x="267"/>
        <n x="268"/>
        <n x="611" s="1"/>
        <n x="675"/>
        <n x="676"/>
      </t>
    </mdx>
    <mdx n="0" f="v">
      <t c="6" si="614">
        <n x="610"/>
        <n x="267"/>
        <n x="268"/>
        <n x="611" s="1"/>
        <n x="677"/>
        <n x="678"/>
      </t>
    </mdx>
    <mdx n="0" f="v">
      <t c="6" si="614">
        <n x="610"/>
        <n x="267"/>
        <n x="268"/>
        <n x="611" s="1"/>
        <n x="687"/>
        <n x="688"/>
      </t>
    </mdx>
    <mdx n="0" f="v">
      <t c="6" si="614">
        <n x="610"/>
        <n x="267"/>
        <n x="268"/>
        <n x="611" s="1"/>
        <n x="691"/>
        <n x="692"/>
      </t>
    </mdx>
    <mdx n="0" f="v">
      <t c="6" si="614">
        <n x="610"/>
        <n x="267"/>
        <n x="268"/>
        <n x="611" s="1"/>
        <n x="693"/>
        <n x="694"/>
      </t>
    </mdx>
    <mdx n="0" f="v">
      <t c="6" si="614">
        <n x="610"/>
        <n x="267"/>
        <n x="268"/>
        <n x="611" s="1"/>
        <n x="697"/>
        <n x="698"/>
      </t>
    </mdx>
    <mdx n="0" f="v">
      <t c="6" si="614">
        <n x="610"/>
        <n x="267"/>
        <n x="268"/>
        <n x="611" s="1"/>
        <n x="699"/>
        <n x="700"/>
      </t>
    </mdx>
    <mdx n="0" f="v">
      <t c="6" si="614">
        <n x="610"/>
        <n x="267"/>
        <n x="268"/>
        <n x="611" s="1"/>
        <n x="705"/>
        <n x="706"/>
      </t>
    </mdx>
    <mdx n="0" f="v">
      <t c="6" si="614">
        <n x="610"/>
        <n x="269"/>
        <n x="270"/>
        <n x="611" s="1"/>
        <n x="623"/>
        <n x="624"/>
      </t>
    </mdx>
    <mdx n="0" f="v">
      <t c="6" si="614">
        <n x="610"/>
        <n x="269"/>
        <n x="270"/>
        <n x="611" s="1"/>
        <n x="627"/>
        <n x="628"/>
      </t>
    </mdx>
    <mdx n="0" f="v">
      <t c="6" si="614">
        <n x="610"/>
        <n x="269"/>
        <n x="270"/>
        <n x="611" s="1"/>
        <n x="629"/>
        <n x="630"/>
      </t>
    </mdx>
    <mdx n="0" f="v">
      <t c="6" si="614">
        <n x="610"/>
        <n x="269"/>
        <n x="270"/>
        <n x="611" s="1"/>
        <n x="631"/>
        <n x="632"/>
      </t>
    </mdx>
    <mdx n="0" f="v">
      <t c="6" si="614">
        <n x="610"/>
        <n x="269"/>
        <n x="270"/>
        <n x="611" s="1"/>
        <n x="633"/>
        <n x="634"/>
      </t>
    </mdx>
    <mdx n="0" f="v">
      <t c="6" si="614">
        <n x="610"/>
        <n x="269"/>
        <n x="270"/>
        <n x="611" s="1"/>
        <n x="635"/>
        <n x="636"/>
      </t>
    </mdx>
    <mdx n="0" f="v">
      <t c="6" si="614">
        <n x="610"/>
        <n x="269"/>
        <n x="270"/>
        <n x="611" s="1"/>
        <n x="637"/>
        <n x="638"/>
      </t>
    </mdx>
    <mdx n="0" f="v">
      <t c="6" si="614">
        <n x="610"/>
        <n x="269"/>
        <n x="270"/>
        <n x="611" s="1"/>
        <n x="639"/>
        <n x="640"/>
      </t>
    </mdx>
    <mdx n="0" f="v">
      <t c="6" si="614">
        <n x="610"/>
        <n x="269"/>
        <n x="270"/>
        <n x="611" s="1"/>
        <n x="643"/>
        <n x="644"/>
      </t>
    </mdx>
    <mdx n="0" f="v">
      <t c="6" si="614">
        <n x="610"/>
        <n x="269"/>
        <n x="270"/>
        <n x="611" s="1"/>
        <n x="645"/>
        <n x="646"/>
      </t>
    </mdx>
    <mdx n="0" f="v">
      <t c="6" si="614">
        <n x="610"/>
        <n x="269"/>
        <n x="270"/>
        <n x="611" s="1"/>
        <n x="647"/>
        <n x="648"/>
      </t>
    </mdx>
    <mdx n="0" f="v">
      <t c="6" si="614">
        <n x="610"/>
        <n x="269"/>
        <n x="270"/>
        <n x="611" s="1"/>
        <n x="649"/>
        <n x="650"/>
      </t>
    </mdx>
    <mdx n="0" f="v">
      <t c="6" si="614">
        <n x="610"/>
        <n x="269"/>
        <n x="270"/>
        <n x="611" s="1"/>
        <n x="657"/>
        <n x="658"/>
      </t>
    </mdx>
    <mdx n="0" f="v">
      <t c="6" si="614">
        <n x="610"/>
        <n x="269"/>
        <n x="270"/>
        <n x="611" s="1"/>
        <n x="659"/>
        <n x="660"/>
      </t>
    </mdx>
    <mdx n="0" f="v">
      <t c="6" si="614">
        <n x="610"/>
        <n x="269"/>
        <n x="270"/>
        <n x="611" s="1"/>
        <n x="663"/>
        <n x="664"/>
      </t>
    </mdx>
    <mdx n="0" f="v">
      <t c="6" si="614">
        <n x="610"/>
        <n x="269"/>
        <n x="270"/>
        <n x="611" s="1"/>
        <n x="671"/>
        <n x="672"/>
      </t>
    </mdx>
    <mdx n="0" f="v">
      <t c="6" si="614">
        <n x="610"/>
        <n x="269"/>
        <n x="270"/>
        <n x="611" s="1"/>
        <n x="675"/>
        <n x="676"/>
      </t>
    </mdx>
    <mdx n="0" f="v">
      <t c="6" si="614">
        <n x="610"/>
        <n x="269"/>
        <n x="270"/>
        <n x="611" s="1"/>
        <n x="679"/>
        <n x="680"/>
      </t>
    </mdx>
    <mdx n="0" f="v">
      <t c="6" si="614">
        <n x="610"/>
        <n x="269"/>
        <n x="270"/>
        <n x="611" s="1"/>
        <n x="681"/>
        <n x="682"/>
      </t>
    </mdx>
    <mdx n="0" f="v">
      <t c="6" si="614">
        <n x="610"/>
        <n x="269"/>
        <n x="270"/>
        <n x="611" s="1"/>
        <n x="683"/>
        <n x="684"/>
      </t>
    </mdx>
    <mdx n="0" f="v">
      <t c="6" si="614">
        <n x="610"/>
        <n x="269"/>
        <n x="270"/>
        <n x="611" s="1"/>
        <n x="689"/>
        <n x="690"/>
      </t>
    </mdx>
    <mdx n="0" f="v">
      <t c="6" si="614">
        <n x="610"/>
        <n x="269"/>
        <n x="270"/>
        <n x="611" s="1"/>
        <n x="691"/>
        <n x="692"/>
      </t>
    </mdx>
    <mdx n="0" f="v">
      <t c="6" si="614">
        <n x="610"/>
        <n x="269"/>
        <n x="270"/>
        <n x="611" s="1"/>
        <n x="705"/>
        <n x="706"/>
      </t>
    </mdx>
    <mdx n="0" f="v">
      <t c="6" si="614">
        <n x="610"/>
        <n x="269"/>
        <n x="270"/>
        <n x="611" s="1"/>
        <n x="707"/>
        <n x="708"/>
      </t>
    </mdx>
    <mdx n="0" f="v">
      <t c="6" si="614">
        <n x="610"/>
        <n x="271"/>
        <n x="272"/>
        <n x="611" s="1"/>
        <n x="612"/>
        <n x="613"/>
      </t>
    </mdx>
    <mdx n="0" f="v">
      <t c="6" si="614">
        <n x="610"/>
        <n x="271"/>
        <n x="272"/>
        <n x="611" s="1"/>
        <n x="617"/>
        <n x="618"/>
      </t>
    </mdx>
    <mdx n="0" f="v">
      <t c="6" si="614">
        <n x="610"/>
        <n x="271"/>
        <n x="272"/>
        <n x="611" s="1"/>
        <n x="619"/>
        <n x="620"/>
      </t>
    </mdx>
    <mdx n="0" f="v">
      <t c="6" si="614">
        <n x="610"/>
        <n x="271"/>
        <n x="272"/>
        <n x="611" s="1"/>
        <n x="625"/>
        <n x="626"/>
      </t>
    </mdx>
    <mdx n="0" f="v">
      <t c="6" si="614">
        <n x="610"/>
        <n x="271"/>
        <n x="272"/>
        <n x="611" s="1"/>
        <n x="629"/>
        <n x="630"/>
      </t>
    </mdx>
    <mdx n="0" f="v">
      <t c="6" si="614">
        <n x="610"/>
        <n x="271"/>
        <n x="272"/>
        <n x="611" s="1"/>
        <n x="631"/>
        <n x="632"/>
      </t>
    </mdx>
    <mdx n="0" f="v">
      <t c="6" si="614">
        <n x="610"/>
        <n x="271"/>
        <n x="272"/>
        <n x="611" s="1"/>
        <n x="635"/>
        <n x="636"/>
      </t>
    </mdx>
    <mdx n="0" f="v">
      <t c="6" si="614">
        <n x="610"/>
        <n x="271"/>
        <n x="272"/>
        <n x="611" s="1"/>
        <n x="649"/>
        <n x="650"/>
      </t>
    </mdx>
    <mdx n="0" f="v">
      <t c="6" si="614">
        <n x="610"/>
        <n x="271"/>
        <n x="272"/>
        <n x="611" s="1"/>
        <n x="651"/>
        <n x="652"/>
      </t>
    </mdx>
    <mdx n="0" f="v">
      <t c="6" si="614">
        <n x="610"/>
        <n x="271"/>
        <n x="272"/>
        <n x="611" s="1"/>
        <n x="653"/>
        <n x="654"/>
      </t>
    </mdx>
    <mdx n="0" f="v">
      <t c="6" si="614">
        <n x="610"/>
        <n x="271"/>
        <n x="272"/>
        <n x="611" s="1"/>
        <n x="657"/>
        <n x="658"/>
      </t>
    </mdx>
    <mdx n="0" f="v">
      <t c="6" si="614">
        <n x="610"/>
        <n x="271"/>
        <n x="272"/>
        <n x="611" s="1"/>
        <n x="659"/>
        <n x="660"/>
      </t>
    </mdx>
    <mdx n="0" f="v">
      <t c="6" si="614">
        <n x="610"/>
        <n x="271"/>
        <n x="272"/>
        <n x="611" s="1"/>
        <n x="667"/>
        <n x="668"/>
      </t>
    </mdx>
    <mdx n="0" f="v">
      <t c="6" si="614">
        <n x="610"/>
        <n x="271"/>
        <n x="272"/>
        <n x="611" s="1"/>
        <n x="669"/>
        <n x="670"/>
      </t>
    </mdx>
    <mdx n="0" f="v">
      <t c="6" si="614">
        <n x="610"/>
        <n x="271"/>
        <n x="272"/>
        <n x="611" s="1"/>
        <n x="675"/>
        <n x="676"/>
      </t>
    </mdx>
    <mdx n="0" f="v">
      <t c="6" si="614">
        <n x="610"/>
        <n x="271"/>
        <n x="272"/>
        <n x="611" s="1"/>
        <n x="681"/>
        <n x="682"/>
      </t>
    </mdx>
    <mdx n="0" f="v">
      <t c="6" si="614">
        <n x="610"/>
        <n x="271"/>
        <n x="272"/>
        <n x="611" s="1"/>
        <n x="685"/>
        <n x="686"/>
      </t>
    </mdx>
    <mdx n="0" f="v">
      <t c="6" si="614">
        <n x="610"/>
        <n x="271"/>
        <n x="272"/>
        <n x="611" s="1"/>
        <n x="699"/>
        <n x="700"/>
      </t>
    </mdx>
    <mdx n="0" f="v">
      <t c="6" si="614">
        <n x="610"/>
        <n x="273"/>
        <n x="274"/>
        <n x="611" s="1"/>
        <n x="615"/>
        <n x="616"/>
      </t>
    </mdx>
    <mdx n="0" f="v">
      <t c="6" si="614">
        <n x="610"/>
        <n x="273"/>
        <n x="274"/>
        <n x="611" s="1"/>
        <n x="617"/>
        <n x="618"/>
      </t>
    </mdx>
    <mdx n="0" f="v">
      <t c="6" si="614">
        <n x="610"/>
        <n x="273"/>
        <n x="274"/>
        <n x="611" s="1"/>
        <n x="619"/>
        <n x="620"/>
      </t>
    </mdx>
    <mdx n="0" f="v">
      <t c="6" si="614">
        <n x="610"/>
        <n x="273"/>
        <n x="274"/>
        <n x="611" s="1"/>
        <n x="625"/>
        <n x="626"/>
      </t>
    </mdx>
    <mdx n="0" f="v">
      <t c="6" si="614">
        <n x="610"/>
        <n x="273"/>
        <n x="274"/>
        <n x="611" s="1"/>
        <n x="629"/>
        <n x="630"/>
      </t>
    </mdx>
    <mdx n="0" f="v">
      <t c="6" si="614">
        <n x="610"/>
        <n x="273"/>
        <n x="274"/>
        <n x="611" s="1"/>
        <n x="635"/>
        <n x="636"/>
      </t>
    </mdx>
    <mdx n="0" f="v">
      <t c="6" si="614">
        <n x="610"/>
        <n x="273"/>
        <n x="274"/>
        <n x="611" s="1"/>
        <n x="645"/>
        <n x="646"/>
      </t>
    </mdx>
    <mdx n="0" f="v">
      <t c="6" si="614">
        <n x="610"/>
        <n x="273"/>
        <n x="274"/>
        <n x="611" s="1"/>
        <n x="657"/>
        <n x="658"/>
      </t>
    </mdx>
    <mdx n="0" f="v">
      <t c="6" si="614">
        <n x="610"/>
        <n x="273"/>
        <n x="274"/>
        <n x="611" s="1"/>
        <n x="659"/>
        <n x="660"/>
      </t>
    </mdx>
    <mdx n="0" f="v">
      <t c="6" si="614">
        <n x="610"/>
        <n x="273"/>
        <n x="274"/>
        <n x="611" s="1"/>
        <n x="665"/>
        <n x="666"/>
      </t>
    </mdx>
    <mdx n="0" f="v">
      <t c="6" si="614">
        <n x="610"/>
        <n x="273"/>
        <n x="274"/>
        <n x="611" s="1"/>
        <n x="669"/>
        <n x="670"/>
      </t>
    </mdx>
    <mdx n="0" f="v">
      <t c="6" si="614">
        <n x="610"/>
        <n x="273"/>
        <n x="274"/>
        <n x="611" s="1"/>
        <n x="677"/>
        <n x="678"/>
      </t>
    </mdx>
    <mdx n="0" f="v">
      <t c="6" si="614">
        <n x="610"/>
        <n x="273"/>
        <n x="274"/>
        <n x="611" s="1"/>
        <n x="683"/>
        <n x="684"/>
      </t>
    </mdx>
    <mdx n="0" f="v">
      <t c="6" si="614">
        <n x="610"/>
        <n x="273"/>
        <n x="274"/>
        <n x="611" s="1"/>
        <n x="691"/>
        <n x="692"/>
      </t>
    </mdx>
    <mdx n="0" f="v">
      <t c="6" si="614">
        <n x="610"/>
        <n x="273"/>
        <n x="274"/>
        <n x="611" s="1"/>
        <n x="695"/>
        <n x="696"/>
      </t>
    </mdx>
    <mdx n="0" f="v">
      <t c="6" si="614">
        <n x="610"/>
        <n x="273"/>
        <n x="274"/>
        <n x="611" s="1"/>
        <n x="703"/>
        <n x="704"/>
      </t>
    </mdx>
    <mdx n="0" f="v">
      <t c="6" si="614">
        <n x="610"/>
        <n x="273"/>
        <n x="274"/>
        <n x="611" s="1"/>
        <n x="705"/>
        <n x="706"/>
      </t>
    </mdx>
    <mdx n="0" f="v">
      <t c="6" si="614">
        <n x="610"/>
        <n x="275"/>
        <n x="276"/>
        <n x="611" s="1"/>
        <n x="612"/>
        <n x="613"/>
      </t>
    </mdx>
    <mdx n="0" f="v">
      <t c="6" si="614">
        <n x="610"/>
        <n x="275"/>
        <n x="276"/>
        <n x="611" s="1"/>
        <n x="633"/>
        <n x="634"/>
      </t>
    </mdx>
    <mdx n="0" f="v">
      <t c="6" si="614">
        <n x="610"/>
        <n x="275"/>
        <n x="276"/>
        <n x="611" s="1"/>
        <n x="635"/>
        <n x="636"/>
      </t>
    </mdx>
    <mdx n="0" f="v">
      <t c="6" si="614">
        <n x="610"/>
        <n x="275"/>
        <n x="276"/>
        <n x="611" s="1"/>
        <n x="637"/>
        <n x="638"/>
      </t>
    </mdx>
    <mdx n="0" f="v">
      <t c="6" si="614">
        <n x="610"/>
        <n x="275"/>
        <n x="276"/>
        <n x="611" s="1"/>
        <n x="647"/>
        <n x="648"/>
      </t>
    </mdx>
    <mdx n="0" f="v">
      <t c="6" si="614">
        <n x="610"/>
        <n x="275"/>
        <n x="276"/>
        <n x="611" s="1"/>
        <n x="649"/>
        <n x="650"/>
      </t>
    </mdx>
    <mdx n="0" f="v">
      <t c="6" si="614">
        <n x="610"/>
        <n x="275"/>
        <n x="276"/>
        <n x="611" s="1"/>
        <n x="651"/>
        <n x="652"/>
      </t>
    </mdx>
    <mdx n="0" f="v">
      <t c="6" si="614">
        <n x="610"/>
        <n x="275"/>
        <n x="276"/>
        <n x="611" s="1"/>
        <n x="653"/>
        <n x="654"/>
      </t>
    </mdx>
    <mdx n="0" f="v">
      <t c="6" si="614">
        <n x="610"/>
        <n x="275"/>
        <n x="276"/>
        <n x="611" s="1"/>
        <n x="657"/>
        <n x="658"/>
      </t>
    </mdx>
    <mdx n="0" f="v">
      <t c="6" si="614">
        <n x="610"/>
        <n x="275"/>
        <n x="276"/>
        <n x="611" s="1"/>
        <n x="659"/>
        <n x="660"/>
      </t>
    </mdx>
    <mdx n="0" f="v">
      <t c="6" si="614">
        <n x="610"/>
        <n x="275"/>
        <n x="276"/>
        <n x="611" s="1"/>
        <n x="661"/>
        <n x="662"/>
      </t>
    </mdx>
    <mdx n="0" f="v">
      <t c="6" si="614">
        <n x="610"/>
        <n x="275"/>
        <n x="276"/>
        <n x="611" s="1"/>
        <n x="669"/>
        <n x="670"/>
      </t>
    </mdx>
    <mdx n="0" f="v">
      <t c="6" si="614">
        <n x="610"/>
        <n x="275"/>
        <n x="276"/>
        <n x="611" s="1"/>
        <n x="689"/>
        <n x="690"/>
      </t>
    </mdx>
    <mdx n="0" f="v">
      <t c="6" si="614">
        <n x="610"/>
        <n x="275"/>
        <n x="276"/>
        <n x="611" s="1"/>
        <n x="695"/>
        <n x="696"/>
      </t>
    </mdx>
    <mdx n="0" f="v">
      <t c="6" si="614">
        <n x="610"/>
        <n x="275"/>
        <n x="276"/>
        <n x="611" s="1"/>
        <n x="697"/>
        <n x="698"/>
      </t>
    </mdx>
    <mdx n="0" f="v">
      <t c="6" si="614">
        <n x="610"/>
        <n x="275"/>
        <n x="276"/>
        <n x="611" s="1"/>
        <n x="699"/>
        <n x="700"/>
      </t>
    </mdx>
    <mdx n="0" f="v">
      <t c="6" si="614">
        <n x="610"/>
        <n x="275"/>
        <n x="276"/>
        <n x="611" s="1"/>
        <n x="703"/>
        <n x="704"/>
      </t>
    </mdx>
    <mdx n="0" f="v">
      <t c="6" si="614">
        <n x="610"/>
        <n x="277"/>
        <n x="278"/>
        <n x="611" s="1"/>
        <n x="612"/>
        <n x="613"/>
      </t>
    </mdx>
    <mdx n="0" f="v">
      <t c="6" si="614">
        <n x="610"/>
        <n x="277"/>
        <n x="278"/>
        <n x="611" s="1"/>
        <n x="621"/>
        <n x="622"/>
      </t>
    </mdx>
    <mdx n="0" f="v">
      <t c="6" si="614">
        <n x="610"/>
        <n x="277"/>
        <n x="278"/>
        <n x="611" s="1"/>
        <n x="623"/>
        <n x="624"/>
      </t>
    </mdx>
    <mdx n="0" f="v">
      <t c="6" si="614">
        <n x="610"/>
        <n x="277"/>
        <n x="278"/>
        <n x="611" s="1"/>
        <n x="625"/>
        <n x="626"/>
      </t>
    </mdx>
    <mdx n="0" f="v">
      <t c="6" si="614">
        <n x="610"/>
        <n x="277"/>
        <n x="278"/>
        <n x="611" s="1"/>
        <n x="627"/>
        <n x="628"/>
      </t>
    </mdx>
    <mdx n="0" f="v">
      <t c="6" si="614">
        <n x="610"/>
        <n x="277"/>
        <n x="278"/>
        <n x="611" s="1"/>
        <n x="631"/>
        <n x="632"/>
      </t>
    </mdx>
    <mdx n="0" f="v">
      <t c="6" si="614">
        <n x="610"/>
        <n x="277"/>
        <n x="278"/>
        <n x="611" s="1"/>
        <n x="641"/>
        <n x="642"/>
      </t>
    </mdx>
    <mdx n="0" f="v">
      <t c="6" si="614">
        <n x="610"/>
        <n x="277"/>
        <n x="278"/>
        <n x="611" s="1"/>
        <n x="643"/>
        <n x="644"/>
      </t>
    </mdx>
    <mdx n="0" f="v">
      <t c="6" si="614">
        <n x="610"/>
        <n x="277"/>
        <n x="278"/>
        <n x="611" s="1"/>
        <n x="647"/>
        <n x="648"/>
      </t>
    </mdx>
    <mdx n="0" f="v">
      <t c="6" si="614">
        <n x="610"/>
        <n x="277"/>
        <n x="278"/>
        <n x="611" s="1"/>
        <n x="649"/>
        <n x="650"/>
      </t>
    </mdx>
    <mdx n="0" f="v">
      <t c="6" si="614">
        <n x="610"/>
        <n x="277"/>
        <n x="278"/>
        <n x="611" s="1"/>
        <n x="651"/>
        <n x="652"/>
      </t>
    </mdx>
    <mdx n="0" f="v">
      <t c="6" si="614">
        <n x="610"/>
        <n x="277"/>
        <n x="278"/>
        <n x="611" s="1"/>
        <n x="657"/>
        <n x="658"/>
      </t>
    </mdx>
    <mdx n="0" f="v">
      <t c="6" si="614">
        <n x="610"/>
        <n x="277"/>
        <n x="278"/>
        <n x="611" s="1"/>
        <n x="663"/>
        <n x="664"/>
      </t>
    </mdx>
    <mdx n="0" f="v">
      <t c="6" si="614">
        <n x="610"/>
        <n x="277"/>
        <n x="278"/>
        <n x="611" s="1"/>
        <n x="667"/>
        <n x="668"/>
      </t>
    </mdx>
    <mdx n="0" f="v">
      <t c="6" si="614">
        <n x="610"/>
        <n x="277"/>
        <n x="278"/>
        <n x="611" s="1"/>
        <n x="671"/>
        <n x="672"/>
      </t>
    </mdx>
    <mdx n="0" f="v">
      <t c="6" si="614">
        <n x="610"/>
        <n x="277"/>
        <n x="278"/>
        <n x="611" s="1"/>
        <n x="675"/>
        <n x="676"/>
      </t>
    </mdx>
    <mdx n="0" f="v">
      <t c="6" si="614">
        <n x="610"/>
        <n x="277"/>
        <n x="278"/>
        <n x="611" s="1"/>
        <n x="679"/>
        <n x="680"/>
      </t>
    </mdx>
    <mdx n="0" f="v">
      <t c="6" si="614">
        <n x="610"/>
        <n x="277"/>
        <n x="278"/>
        <n x="611" s="1"/>
        <n x="681"/>
        <n x="682"/>
      </t>
    </mdx>
    <mdx n="0" f="v">
      <t c="6" si="614">
        <n x="610"/>
        <n x="277"/>
        <n x="278"/>
        <n x="611" s="1"/>
        <n x="689"/>
        <n x="690"/>
      </t>
    </mdx>
    <mdx n="0" f="v">
      <t c="6" si="614">
        <n x="610"/>
        <n x="277"/>
        <n x="278"/>
        <n x="611" s="1"/>
        <n x="691"/>
        <n x="692"/>
      </t>
    </mdx>
    <mdx n="0" f="v">
      <t c="6" si="614">
        <n x="610"/>
        <n x="277"/>
        <n x="278"/>
        <n x="611" s="1"/>
        <n x="695"/>
        <n x="696"/>
      </t>
    </mdx>
    <mdx n="0" f="v">
      <t c="6" si="614">
        <n x="610"/>
        <n x="277"/>
        <n x="278"/>
        <n x="611" s="1"/>
        <n x="701"/>
        <n x="702"/>
      </t>
    </mdx>
    <mdx n="0" f="v">
      <t c="6" si="614">
        <n x="610"/>
        <n x="277"/>
        <n x="278"/>
        <n x="611" s="1"/>
        <n x="703"/>
        <n x="704"/>
      </t>
    </mdx>
    <mdx n="0" f="v">
      <t c="6" si="614">
        <n x="610"/>
        <n x="277"/>
        <n x="278"/>
        <n x="611" s="1"/>
        <n x="705"/>
        <n x="706"/>
      </t>
    </mdx>
    <mdx n="0" f="v">
      <t c="6" si="614">
        <n x="610"/>
        <n x="279"/>
        <n x="280"/>
        <n x="611" s="1"/>
        <n x="612"/>
        <n x="613"/>
      </t>
    </mdx>
    <mdx n="0" f="v">
      <t c="6" si="614">
        <n x="610"/>
        <n x="279"/>
        <n x="280"/>
        <n x="611" s="1"/>
        <n x="617"/>
        <n x="618"/>
      </t>
    </mdx>
    <mdx n="0" f="v">
      <t c="6" si="614">
        <n x="610"/>
        <n x="279"/>
        <n x="280"/>
        <n x="611" s="1"/>
        <n x="619"/>
        <n x="620"/>
      </t>
    </mdx>
    <mdx n="0" f="v">
      <t c="6" si="614">
        <n x="610"/>
        <n x="279"/>
        <n x="280"/>
        <n x="611" s="1"/>
        <n x="623"/>
        <n x="624"/>
      </t>
    </mdx>
    <mdx n="0" f="v">
      <t c="6" si="614">
        <n x="610"/>
        <n x="279"/>
        <n x="280"/>
        <n x="611" s="1"/>
        <n x="625"/>
        <n x="626"/>
      </t>
    </mdx>
    <mdx n="0" f="v">
      <t c="6" si="614">
        <n x="610"/>
        <n x="279"/>
        <n x="280"/>
        <n x="611" s="1"/>
        <n x="627"/>
        <n x="628"/>
      </t>
    </mdx>
    <mdx n="0" f="v">
      <t c="6" si="614">
        <n x="610"/>
        <n x="279"/>
        <n x="280"/>
        <n x="611" s="1"/>
        <n x="629"/>
        <n x="630"/>
      </t>
    </mdx>
    <mdx n="0" f="v">
      <t c="6" si="614">
        <n x="610"/>
        <n x="279"/>
        <n x="280"/>
        <n x="611" s="1"/>
        <n x="633"/>
        <n x="634"/>
      </t>
    </mdx>
    <mdx n="0" f="v">
      <t c="6" si="614">
        <n x="610"/>
        <n x="279"/>
        <n x="280"/>
        <n x="611" s="1"/>
        <n x="635"/>
        <n x="636"/>
      </t>
    </mdx>
    <mdx n="0" f="v">
      <t c="6" si="614">
        <n x="610"/>
        <n x="279"/>
        <n x="280"/>
        <n x="611" s="1"/>
        <n x="641"/>
        <n x="642"/>
      </t>
    </mdx>
    <mdx n="0" f="v">
      <t c="6" si="614">
        <n x="610"/>
        <n x="279"/>
        <n x="280"/>
        <n x="611" s="1"/>
        <n x="643"/>
        <n x="644"/>
      </t>
    </mdx>
    <mdx n="0" f="v">
      <t c="6" si="614">
        <n x="610"/>
        <n x="279"/>
        <n x="280"/>
        <n x="611" s="1"/>
        <n x="645"/>
        <n x="646"/>
      </t>
    </mdx>
    <mdx n="0" f="v">
      <t c="6" si="614">
        <n x="610"/>
        <n x="279"/>
        <n x="280"/>
        <n x="611" s="1"/>
        <n x="647"/>
        <n x="648"/>
      </t>
    </mdx>
    <mdx n="0" f="v">
      <t c="6" si="614">
        <n x="610"/>
        <n x="279"/>
        <n x="280"/>
        <n x="611" s="1"/>
        <n x="653"/>
        <n x="654"/>
      </t>
    </mdx>
    <mdx n="0" f="v">
      <t c="6" si="614">
        <n x="610"/>
        <n x="279"/>
        <n x="280"/>
        <n x="611" s="1"/>
        <n x="657"/>
        <n x="658"/>
      </t>
    </mdx>
    <mdx n="0" f="v">
      <t c="6" si="614">
        <n x="610"/>
        <n x="279"/>
        <n x="280"/>
        <n x="611" s="1"/>
        <n x="661"/>
        <n x="662"/>
      </t>
    </mdx>
    <mdx n="0" f="v">
      <t c="6" si="614">
        <n x="610"/>
        <n x="279"/>
        <n x="280"/>
        <n x="611" s="1"/>
        <n x="665"/>
        <n x="666"/>
      </t>
    </mdx>
    <mdx n="0" f="v">
      <t c="6" si="614">
        <n x="610"/>
        <n x="279"/>
        <n x="280"/>
        <n x="611" s="1"/>
        <n x="667"/>
        <n x="668"/>
      </t>
    </mdx>
    <mdx n="0" f="v">
      <t c="6" si="614">
        <n x="610"/>
        <n x="279"/>
        <n x="280"/>
        <n x="611" s="1"/>
        <n x="669"/>
        <n x="670"/>
      </t>
    </mdx>
    <mdx n="0" f="v">
      <t c="6" si="614">
        <n x="610"/>
        <n x="279"/>
        <n x="280"/>
        <n x="611" s="1"/>
        <n x="675"/>
        <n x="676"/>
      </t>
    </mdx>
    <mdx n="0" f="v">
      <t c="6" si="614">
        <n x="610"/>
        <n x="279"/>
        <n x="280"/>
        <n x="611" s="1"/>
        <n x="681"/>
        <n x="682"/>
      </t>
    </mdx>
    <mdx n="0" f="v">
      <t c="6" si="614">
        <n x="610"/>
        <n x="279"/>
        <n x="280"/>
        <n x="611" s="1"/>
        <n x="685"/>
        <n x="686"/>
      </t>
    </mdx>
    <mdx n="0" f="v">
      <t c="6" si="614">
        <n x="610"/>
        <n x="279"/>
        <n x="280"/>
        <n x="611" s="1"/>
        <n x="697"/>
        <n x="698"/>
      </t>
    </mdx>
    <mdx n="0" f="v">
      <t c="6" si="614">
        <n x="610"/>
        <n x="279"/>
        <n x="280"/>
        <n x="611" s="1"/>
        <n x="701"/>
        <n x="702"/>
      </t>
    </mdx>
    <mdx n="0" f="v">
      <t c="6" si="614">
        <n x="610"/>
        <n x="279"/>
        <n x="280"/>
        <n x="611" s="1"/>
        <n x="705"/>
        <n x="706"/>
      </t>
    </mdx>
    <mdx n="0" f="v">
      <t c="6" si="614">
        <n x="610"/>
        <n x="281"/>
        <n x="282"/>
        <n x="611" s="1"/>
        <n x="612"/>
        <n x="613"/>
      </t>
    </mdx>
    <mdx n="0" f="v">
      <t c="6" si="614">
        <n x="610"/>
        <n x="281"/>
        <n x="282"/>
        <n x="611" s="1"/>
        <n x="615"/>
        <n x="616"/>
      </t>
    </mdx>
    <mdx n="0" f="v">
      <t c="6" si="614">
        <n x="610"/>
        <n x="281"/>
        <n x="282"/>
        <n x="611" s="1"/>
        <n x="619"/>
        <n x="620"/>
      </t>
    </mdx>
    <mdx n="0" f="v">
      <t c="6" si="614">
        <n x="610"/>
        <n x="281"/>
        <n x="282"/>
        <n x="611" s="1"/>
        <n x="627"/>
        <n x="628"/>
      </t>
    </mdx>
    <mdx n="0" f="v">
      <t c="6" si="614">
        <n x="610"/>
        <n x="281"/>
        <n x="282"/>
        <n x="611" s="1"/>
        <n x="629"/>
        <n x="630"/>
      </t>
    </mdx>
    <mdx n="0" f="v">
      <t c="6" si="614">
        <n x="610"/>
        <n x="281"/>
        <n x="282"/>
        <n x="611" s="1"/>
        <n x="631"/>
        <n x="632"/>
      </t>
    </mdx>
    <mdx n="0" f="v">
      <t c="6" si="614">
        <n x="610"/>
        <n x="281"/>
        <n x="282"/>
        <n x="611" s="1"/>
        <n x="633"/>
        <n x="634"/>
      </t>
    </mdx>
    <mdx n="0" f="v">
      <t c="6" si="614">
        <n x="610"/>
        <n x="281"/>
        <n x="282"/>
        <n x="611" s="1"/>
        <n x="635"/>
        <n x="636"/>
      </t>
    </mdx>
    <mdx n="0" f="v">
      <t c="6" si="614">
        <n x="610"/>
        <n x="281"/>
        <n x="282"/>
        <n x="611" s="1"/>
        <n x="637"/>
        <n x="638"/>
      </t>
    </mdx>
    <mdx n="0" f="v">
      <t c="6" si="614">
        <n x="610"/>
        <n x="281"/>
        <n x="282"/>
        <n x="611" s="1"/>
        <n x="641"/>
        <n x="642"/>
      </t>
    </mdx>
    <mdx n="0" f="v">
      <t c="6" si="614">
        <n x="610"/>
        <n x="281"/>
        <n x="282"/>
        <n x="611" s="1"/>
        <n x="643"/>
        <n x="644"/>
      </t>
    </mdx>
    <mdx n="0" f="v">
      <t c="6" si="614">
        <n x="610"/>
        <n x="281"/>
        <n x="282"/>
        <n x="611" s="1"/>
        <n x="649"/>
        <n x="650"/>
      </t>
    </mdx>
    <mdx n="0" f="v">
      <t c="6" si="614">
        <n x="610"/>
        <n x="281"/>
        <n x="282"/>
        <n x="611" s="1"/>
        <n x="651"/>
        <n x="652"/>
      </t>
    </mdx>
    <mdx n="0" f="v">
      <t c="6" si="614">
        <n x="610"/>
        <n x="281"/>
        <n x="282"/>
        <n x="611" s="1"/>
        <n x="653"/>
        <n x="654"/>
      </t>
    </mdx>
    <mdx n="0" f="v">
      <t c="6" si="614">
        <n x="610"/>
        <n x="281"/>
        <n x="282"/>
        <n x="611" s="1"/>
        <n x="655"/>
        <n x="656"/>
      </t>
    </mdx>
    <mdx n="0" f="v">
      <t c="6" si="614">
        <n x="610"/>
        <n x="281"/>
        <n x="282"/>
        <n x="611" s="1"/>
        <n x="657"/>
        <n x="658"/>
      </t>
    </mdx>
    <mdx n="0" f="v">
      <t c="6" si="614">
        <n x="610"/>
        <n x="281"/>
        <n x="282"/>
        <n x="611" s="1"/>
        <n x="659"/>
        <n x="660"/>
      </t>
    </mdx>
    <mdx n="0" f="v">
      <t c="6" si="614">
        <n x="610"/>
        <n x="281"/>
        <n x="282"/>
        <n x="611" s="1"/>
        <n x="661"/>
        <n x="662"/>
      </t>
    </mdx>
    <mdx n="0" f="v">
      <t c="6" si="614">
        <n x="610"/>
        <n x="281"/>
        <n x="282"/>
        <n x="611" s="1"/>
        <n x="663"/>
        <n x="664"/>
      </t>
    </mdx>
    <mdx n="0" f="v">
      <t c="6" si="614">
        <n x="610"/>
        <n x="281"/>
        <n x="282"/>
        <n x="611" s="1"/>
        <n x="669"/>
        <n x="670"/>
      </t>
    </mdx>
    <mdx n="0" f="v">
      <t c="6" si="614">
        <n x="610"/>
        <n x="281"/>
        <n x="282"/>
        <n x="611" s="1"/>
        <n x="671"/>
        <n x="672"/>
      </t>
    </mdx>
    <mdx n="0" f="v">
      <t c="6" si="614">
        <n x="610"/>
        <n x="281"/>
        <n x="282"/>
        <n x="611" s="1"/>
        <n x="675"/>
        <n x="676"/>
      </t>
    </mdx>
    <mdx n="0" f="v">
      <t c="6" si="614">
        <n x="610"/>
        <n x="281"/>
        <n x="282"/>
        <n x="611" s="1"/>
        <n x="677"/>
        <n x="678"/>
      </t>
    </mdx>
    <mdx n="0" f="v">
      <t c="6" si="614">
        <n x="610"/>
        <n x="281"/>
        <n x="282"/>
        <n x="611" s="1"/>
        <n x="681"/>
        <n x="682"/>
      </t>
    </mdx>
    <mdx n="0" f="v">
      <t c="6" si="614">
        <n x="610"/>
        <n x="281"/>
        <n x="282"/>
        <n x="611" s="1"/>
        <n x="683"/>
        <n x="684"/>
      </t>
    </mdx>
    <mdx n="0" f="v">
      <t c="6" si="614">
        <n x="610"/>
        <n x="281"/>
        <n x="282"/>
        <n x="611" s="1"/>
        <n x="685"/>
        <n x="686"/>
      </t>
    </mdx>
    <mdx n="0" f="v">
      <t c="6" si="614">
        <n x="610"/>
        <n x="281"/>
        <n x="282"/>
        <n x="611" s="1"/>
        <n x="687"/>
        <n x="688"/>
      </t>
    </mdx>
    <mdx n="0" f="v">
      <t c="6" si="614">
        <n x="610"/>
        <n x="281"/>
        <n x="282"/>
        <n x="611" s="1"/>
        <n x="697"/>
        <n x="698"/>
      </t>
    </mdx>
    <mdx n="0" f="v">
      <t c="6" si="614">
        <n x="610"/>
        <n x="281"/>
        <n x="282"/>
        <n x="611" s="1"/>
        <n x="701"/>
        <n x="702"/>
      </t>
    </mdx>
    <mdx n="0" f="v">
      <t c="6" si="614">
        <n x="610"/>
        <n x="281"/>
        <n x="282"/>
        <n x="611" s="1"/>
        <n x="703"/>
        <n x="704"/>
      </t>
    </mdx>
    <mdx n="0" f="v">
      <t c="6" si="614">
        <n x="610"/>
        <n x="281"/>
        <n x="282"/>
        <n x="611" s="1"/>
        <n x="705"/>
        <n x="706"/>
      </t>
    </mdx>
    <mdx n="0" f="v">
      <t c="6" si="614">
        <n x="610"/>
        <n x="283"/>
        <n x="284"/>
        <n x="611" s="1"/>
        <n x="612"/>
        <n x="613"/>
      </t>
    </mdx>
    <mdx n="0" f="v">
      <t c="6" si="614">
        <n x="610"/>
        <n x="283"/>
        <n x="284"/>
        <n x="611" s="1"/>
        <n x="621"/>
        <n x="622"/>
      </t>
    </mdx>
    <mdx n="0" f="v">
      <t c="6" si="614">
        <n x="610"/>
        <n x="283"/>
        <n x="284"/>
        <n x="611" s="1"/>
        <n x="629"/>
        <n x="630"/>
      </t>
    </mdx>
    <mdx n="0" f="v">
      <t c="6" si="614">
        <n x="610"/>
        <n x="283"/>
        <n x="284"/>
        <n x="611" s="1"/>
        <n x="643"/>
        <n x="644"/>
      </t>
    </mdx>
    <mdx n="0" f="v">
      <t c="6" si="614">
        <n x="610"/>
        <n x="283"/>
        <n x="284"/>
        <n x="611" s="1"/>
        <n x="645"/>
        <n x="646"/>
      </t>
    </mdx>
    <mdx n="0" f="v">
      <t c="6" si="614">
        <n x="610"/>
        <n x="283"/>
        <n x="284"/>
        <n x="611" s="1"/>
        <n x="653"/>
        <n x="654"/>
      </t>
    </mdx>
    <mdx n="0" f="v">
      <t c="6" si="614">
        <n x="610"/>
        <n x="283"/>
        <n x="284"/>
        <n x="611" s="1"/>
        <n x="655"/>
        <n x="656"/>
      </t>
    </mdx>
    <mdx n="0" f="v">
      <t c="6" si="614">
        <n x="610"/>
        <n x="283"/>
        <n x="284"/>
        <n x="611" s="1"/>
        <n x="657"/>
        <n x="658"/>
      </t>
    </mdx>
    <mdx n="0" f="v">
      <t c="6" si="614">
        <n x="610"/>
        <n x="283"/>
        <n x="284"/>
        <n x="611" s="1"/>
        <n x="659"/>
        <n x="660"/>
      </t>
    </mdx>
    <mdx n="0" f="v">
      <t c="6" si="614">
        <n x="610"/>
        <n x="283"/>
        <n x="284"/>
        <n x="611" s="1"/>
        <n x="661"/>
        <n x="662"/>
      </t>
    </mdx>
    <mdx n="0" f="v">
      <t c="6" si="614">
        <n x="610"/>
        <n x="283"/>
        <n x="284"/>
        <n x="611" s="1"/>
        <n x="667"/>
        <n x="668"/>
      </t>
    </mdx>
    <mdx n="0" f="v">
      <t c="6" si="614">
        <n x="610"/>
        <n x="283"/>
        <n x="284"/>
        <n x="611" s="1"/>
        <n x="669"/>
        <n x="670"/>
      </t>
    </mdx>
    <mdx n="0" f="v">
      <t c="6" si="614">
        <n x="610"/>
        <n x="283"/>
        <n x="284"/>
        <n x="611" s="1"/>
        <n x="673"/>
        <n x="674"/>
      </t>
    </mdx>
    <mdx n="0" f="v">
      <t c="6" si="614">
        <n x="610"/>
        <n x="283"/>
        <n x="284"/>
        <n x="611" s="1"/>
        <n x="677"/>
        <n x="678"/>
      </t>
    </mdx>
    <mdx n="0" f="v">
      <t c="6" si="614">
        <n x="610"/>
        <n x="283"/>
        <n x="284"/>
        <n x="611" s="1"/>
        <n x="683"/>
        <n x="684"/>
      </t>
    </mdx>
    <mdx n="0" f="v">
      <t c="6" si="614">
        <n x="610"/>
        <n x="283"/>
        <n x="284"/>
        <n x="611" s="1"/>
        <n x="689"/>
        <n x="690"/>
      </t>
    </mdx>
    <mdx n="0" f="v">
      <t c="6" si="614">
        <n x="610"/>
        <n x="283"/>
        <n x="284"/>
        <n x="611" s="1"/>
        <n x="691"/>
        <n x="692"/>
      </t>
    </mdx>
    <mdx n="0" f="v">
      <t c="6" si="614">
        <n x="610"/>
        <n x="283"/>
        <n x="284"/>
        <n x="611" s="1"/>
        <n x="699"/>
        <n x="700"/>
      </t>
    </mdx>
    <mdx n="0" f="v">
      <t c="6" si="614">
        <n x="610"/>
        <n x="283"/>
        <n x="284"/>
        <n x="611" s="1"/>
        <n x="701"/>
        <n x="702"/>
      </t>
    </mdx>
    <mdx n="0" f="v">
      <t c="6" si="614">
        <n x="610"/>
        <n x="283"/>
        <n x="284"/>
        <n x="611" s="1"/>
        <n x="705"/>
        <n x="706"/>
      </t>
    </mdx>
    <mdx n="0" f="v">
      <t c="6" si="614">
        <n x="610"/>
        <n x="283"/>
        <n x="284"/>
        <n x="611" s="1"/>
        <n x="707"/>
        <n x="708"/>
      </t>
    </mdx>
    <mdx n="0" f="v">
      <t c="6" si="614">
        <n x="610"/>
        <n x="285"/>
        <n x="286"/>
        <n x="611" s="1"/>
        <n x="615"/>
        <n x="616"/>
      </t>
    </mdx>
    <mdx n="0" f="v">
      <t c="6" si="614">
        <n x="610"/>
        <n x="285"/>
        <n x="286"/>
        <n x="611" s="1"/>
        <n x="619"/>
        <n x="620"/>
      </t>
    </mdx>
    <mdx n="0" f="v">
      <t c="6" si="614">
        <n x="610"/>
        <n x="285"/>
        <n x="286"/>
        <n x="611" s="1"/>
        <n x="621"/>
        <n x="622"/>
      </t>
    </mdx>
    <mdx n="0" f="v">
      <t c="6" si="614">
        <n x="610"/>
        <n x="285"/>
        <n x="286"/>
        <n x="611" s="1"/>
        <n x="623"/>
        <n x="624"/>
      </t>
    </mdx>
    <mdx n="0" f="v">
      <t c="6" si="614">
        <n x="610"/>
        <n x="285"/>
        <n x="286"/>
        <n x="611" s="1"/>
        <n x="625"/>
        <n x="626"/>
      </t>
    </mdx>
    <mdx n="0" f="v">
      <t c="6" si="614">
        <n x="610"/>
        <n x="285"/>
        <n x="286"/>
        <n x="611" s="1"/>
        <n x="627"/>
        <n x="628"/>
      </t>
    </mdx>
    <mdx n="0" f="v">
      <t c="6" si="614">
        <n x="610"/>
        <n x="285"/>
        <n x="286"/>
        <n x="611" s="1"/>
        <n x="635"/>
        <n x="636"/>
      </t>
    </mdx>
    <mdx n="0" f="v">
      <t c="6" si="614">
        <n x="610"/>
        <n x="285"/>
        <n x="286"/>
        <n x="611" s="1"/>
        <n x="639"/>
        <n x="640"/>
      </t>
    </mdx>
    <mdx n="0" f="v">
      <t c="6" si="614">
        <n x="610"/>
        <n x="285"/>
        <n x="286"/>
        <n x="611" s="1"/>
        <n x="641"/>
        <n x="642"/>
      </t>
    </mdx>
    <mdx n="0" f="v">
      <t c="6" si="614">
        <n x="610"/>
        <n x="285"/>
        <n x="286"/>
        <n x="611" s="1"/>
        <n x="643"/>
        <n x="644"/>
      </t>
    </mdx>
    <mdx n="0" f="v">
      <t c="6" si="614">
        <n x="610"/>
        <n x="285"/>
        <n x="286"/>
        <n x="611" s="1"/>
        <n x="645"/>
        <n x="646"/>
      </t>
    </mdx>
    <mdx n="0" f="v">
      <t c="6" si="614">
        <n x="610"/>
        <n x="285"/>
        <n x="286"/>
        <n x="611" s="1"/>
        <n x="649"/>
        <n x="650"/>
      </t>
    </mdx>
    <mdx n="0" f="v">
      <t c="6" si="614">
        <n x="610"/>
        <n x="285"/>
        <n x="286"/>
        <n x="611" s="1"/>
        <n x="651"/>
        <n x="652"/>
      </t>
    </mdx>
    <mdx n="0" f="v">
      <t c="6" si="614">
        <n x="610"/>
        <n x="285"/>
        <n x="286"/>
        <n x="611" s="1"/>
        <n x="655"/>
        <n x="656"/>
      </t>
    </mdx>
    <mdx n="0" f="v">
      <t c="6" si="614">
        <n x="610"/>
        <n x="285"/>
        <n x="286"/>
        <n x="611" s="1"/>
        <n x="657"/>
        <n x="658"/>
      </t>
    </mdx>
    <mdx n="0" f="v">
      <t c="6" si="614">
        <n x="610"/>
        <n x="285"/>
        <n x="286"/>
        <n x="611" s="1"/>
        <n x="659"/>
        <n x="660"/>
      </t>
    </mdx>
    <mdx n="0" f="v">
      <t c="6" si="614">
        <n x="610"/>
        <n x="285"/>
        <n x="286"/>
        <n x="611" s="1"/>
        <n x="661"/>
        <n x="662"/>
      </t>
    </mdx>
    <mdx n="0" f="v">
      <t c="6" si="614">
        <n x="610"/>
        <n x="285"/>
        <n x="286"/>
        <n x="611" s="1"/>
        <n x="667"/>
        <n x="668"/>
      </t>
    </mdx>
    <mdx n="0" f="v">
      <t c="6" si="614">
        <n x="610"/>
        <n x="285"/>
        <n x="286"/>
        <n x="611" s="1"/>
        <n x="669"/>
        <n x="670"/>
      </t>
    </mdx>
    <mdx n="0" f="v">
      <t c="6" si="614">
        <n x="610"/>
        <n x="285"/>
        <n x="286"/>
        <n x="611" s="1"/>
        <n x="671"/>
        <n x="672"/>
      </t>
    </mdx>
    <mdx n="0" f="v">
      <t c="6" si="614">
        <n x="610"/>
        <n x="285"/>
        <n x="286"/>
        <n x="611" s="1"/>
        <n x="673"/>
        <n x="674"/>
      </t>
    </mdx>
    <mdx n="0" f="v">
      <t c="6" si="614">
        <n x="610"/>
        <n x="285"/>
        <n x="286"/>
        <n x="611" s="1"/>
        <n x="681"/>
        <n x="682"/>
      </t>
    </mdx>
    <mdx n="0" f="v">
      <t c="6" si="614">
        <n x="610"/>
        <n x="285"/>
        <n x="286"/>
        <n x="611" s="1"/>
        <n x="683"/>
        <n x="684"/>
      </t>
    </mdx>
    <mdx n="0" f="v">
      <t c="6" si="614">
        <n x="610"/>
        <n x="285"/>
        <n x="286"/>
        <n x="611" s="1"/>
        <n x="689"/>
        <n x="690"/>
      </t>
    </mdx>
    <mdx n="0" f="v">
      <t c="6" si="614">
        <n x="610"/>
        <n x="285"/>
        <n x="286"/>
        <n x="611" s="1"/>
        <n x="691"/>
        <n x="692"/>
      </t>
    </mdx>
    <mdx n="0" f="v">
      <t c="6" si="614">
        <n x="610"/>
        <n x="285"/>
        <n x="286"/>
        <n x="611" s="1"/>
        <n x="695"/>
        <n x="696"/>
      </t>
    </mdx>
    <mdx n="0" f="v">
      <t c="6" si="614">
        <n x="610"/>
        <n x="285"/>
        <n x="286"/>
        <n x="611" s="1"/>
        <n x="697"/>
        <n x="698"/>
      </t>
    </mdx>
    <mdx n="0" f="v">
      <t c="6" si="614">
        <n x="610"/>
        <n x="285"/>
        <n x="286"/>
        <n x="611" s="1"/>
        <n x="701"/>
        <n x="702"/>
      </t>
    </mdx>
    <mdx n="0" f="v">
      <t c="6" si="614">
        <n x="610"/>
        <n x="285"/>
        <n x="286"/>
        <n x="611" s="1"/>
        <n x="707"/>
        <n x="708"/>
      </t>
    </mdx>
    <mdx n="0" f="v">
      <t c="6" si="614">
        <n x="610"/>
        <n x="287"/>
        <n x="288"/>
        <n x="611" s="1"/>
        <n x="612"/>
        <n x="613"/>
      </t>
    </mdx>
    <mdx n="0" f="v">
      <t c="6" si="614">
        <n x="610"/>
        <n x="287"/>
        <n x="288"/>
        <n x="611" s="1"/>
        <n x="615"/>
        <n x="616"/>
      </t>
    </mdx>
    <mdx n="0" f="v">
      <t c="6" si="614">
        <n x="610"/>
        <n x="287"/>
        <n x="288"/>
        <n x="611" s="1"/>
        <n x="617"/>
        <n x="618"/>
      </t>
    </mdx>
    <mdx n="0" f="v">
      <t c="6" si="614">
        <n x="610"/>
        <n x="287"/>
        <n x="288"/>
        <n x="611" s="1"/>
        <n x="631"/>
        <n x="632"/>
      </t>
    </mdx>
    <mdx n="0" f="v">
      <t c="6" si="614">
        <n x="610"/>
        <n x="287"/>
        <n x="288"/>
        <n x="611" s="1"/>
        <n x="645"/>
        <n x="646"/>
      </t>
    </mdx>
    <mdx n="0" f="v">
      <t c="6" si="614">
        <n x="610"/>
        <n x="287"/>
        <n x="288"/>
        <n x="611" s="1"/>
        <n x="657"/>
        <n x="658"/>
      </t>
    </mdx>
    <mdx n="0" f="v">
      <t c="6" si="614">
        <n x="610"/>
        <n x="287"/>
        <n x="288"/>
        <n x="611" s="1"/>
        <n x="659"/>
        <n x="660"/>
      </t>
    </mdx>
    <mdx n="0" f="v">
      <t c="6" si="614">
        <n x="610"/>
        <n x="287"/>
        <n x="288"/>
        <n x="611" s="1"/>
        <n x="665"/>
        <n x="666"/>
      </t>
    </mdx>
    <mdx n="0" f="v">
      <t c="6" si="614">
        <n x="610"/>
        <n x="287"/>
        <n x="288"/>
        <n x="611" s="1"/>
        <n x="667"/>
        <n x="668"/>
      </t>
    </mdx>
    <mdx n="0" f="v">
      <t c="6" si="614">
        <n x="610"/>
        <n x="287"/>
        <n x="288"/>
        <n x="611" s="1"/>
        <n x="669"/>
        <n x="670"/>
      </t>
    </mdx>
    <mdx n="0" f="v">
      <t c="6" si="614">
        <n x="610"/>
        <n x="287"/>
        <n x="288"/>
        <n x="611" s="1"/>
        <n x="673"/>
        <n x="674"/>
      </t>
    </mdx>
    <mdx n="0" f="v">
      <t c="6" si="614">
        <n x="610"/>
        <n x="287"/>
        <n x="288"/>
        <n x="611" s="1"/>
        <n x="683"/>
        <n x="684"/>
      </t>
    </mdx>
    <mdx n="0" f="v">
      <t c="6" si="614">
        <n x="610"/>
        <n x="287"/>
        <n x="288"/>
        <n x="611" s="1"/>
        <n x="685"/>
        <n x="686"/>
      </t>
    </mdx>
    <mdx n="0" f="v">
      <t c="6" si="614">
        <n x="610"/>
        <n x="287"/>
        <n x="288"/>
        <n x="611" s="1"/>
        <n x="695"/>
        <n x="696"/>
      </t>
    </mdx>
    <mdx n="0" f="v">
      <t c="6" si="614">
        <n x="610"/>
        <n x="287"/>
        <n x="288"/>
        <n x="611" s="1"/>
        <n x="703"/>
        <n x="704"/>
      </t>
    </mdx>
    <mdx n="0" f="v">
      <t c="6" si="614">
        <n x="610"/>
        <n x="287"/>
        <n x="288"/>
        <n x="611" s="1"/>
        <n x="705"/>
        <n x="706"/>
      </t>
    </mdx>
    <mdx n="0" f="v">
      <t c="6" si="614">
        <n x="610"/>
        <n x="289"/>
        <n x="290"/>
        <n x="611" s="1"/>
        <n x="612"/>
        <n x="613"/>
      </t>
    </mdx>
    <mdx n="0" f="v">
      <t c="6" si="614">
        <n x="610"/>
        <n x="289"/>
        <n x="290"/>
        <n x="611" s="1"/>
        <n x="617"/>
        <n x="618"/>
      </t>
    </mdx>
    <mdx n="0" f="v">
      <t c="6" si="614">
        <n x="610"/>
        <n x="289"/>
        <n x="290"/>
        <n x="611" s="1"/>
        <n x="619"/>
        <n x="620"/>
      </t>
    </mdx>
    <mdx n="0" f="v">
      <t c="6" si="614">
        <n x="610"/>
        <n x="289"/>
        <n x="290"/>
        <n x="611" s="1"/>
        <n x="621"/>
        <n x="622"/>
      </t>
    </mdx>
    <mdx n="0" f="v">
      <t c="6" si="614">
        <n x="610"/>
        <n x="289"/>
        <n x="290"/>
        <n x="611" s="1"/>
        <n x="625"/>
        <n x="626"/>
      </t>
    </mdx>
    <mdx n="0" f="v">
      <t c="6" si="614">
        <n x="610"/>
        <n x="289"/>
        <n x="290"/>
        <n x="611" s="1"/>
        <n x="627"/>
        <n x="628"/>
      </t>
    </mdx>
    <mdx n="0" f="v">
      <t c="6" si="614">
        <n x="610"/>
        <n x="289"/>
        <n x="290"/>
        <n x="611" s="1"/>
        <n x="629"/>
        <n x="630"/>
      </t>
    </mdx>
    <mdx n="0" f="v">
      <t c="6" si="614">
        <n x="610"/>
        <n x="289"/>
        <n x="290"/>
        <n x="611" s="1"/>
        <n x="631"/>
        <n x="632"/>
      </t>
    </mdx>
    <mdx n="0" f="v">
      <t c="6" si="614">
        <n x="610"/>
        <n x="289"/>
        <n x="290"/>
        <n x="611" s="1"/>
        <n x="633"/>
        <n x="634"/>
      </t>
    </mdx>
    <mdx n="0" f="v">
      <t c="6" si="614">
        <n x="610"/>
        <n x="289"/>
        <n x="290"/>
        <n x="611" s="1"/>
        <n x="637"/>
        <n x="638"/>
      </t>
    </mdx>
    <mdx n="0" f="v">
      <t c="6" si="614">
        <n x="610"/>
        <n x="289"/>
        <n x="290"/>
        <n x="611" s="1"/>
        <n x="639"/>
        <n x="640"/>
      </t>
    </mdx>
    <mdx n="0" f="v">
      <t c="6" si="614">
        <n x="610"/>
        <n x="289"/>
        <n x="290"/>
        <n x="611" s="1"/>
        <n x="641"/>
        <n x="642"/>
      </t>
    </mdx>
    <mdx n="0" f="v">
      <t c="6" si="614">
        <n x="610"/>
        <n x="289"/>
        <n x="290"/>
        <n x="611" s="1"/>
        <n x="643"/>
        <n x="644"/>
      </t>
    </mdx>
    <mdx n="0" f="v">
      <t c="6" si="614">
        <n x="610"/>
        <n x="289"/>
        <n x="290"/>
        <n x="611" s="1"/>
        <n x="651"/>
        <n x="652"/>
      </t>
    </mdx>
    <mdx n="0" f="v">
      <t c="6" si="614">
        <n x="610"/>
        <n x="289"/>
        <n x="290"/>
        <n x="611" s="1"/>
        <n x="653"/>
        <n x="654"/>
      </t>
    </mdx>
    <mdx n="0" f="v">
      <t c="6" si="614">
        <n x="610"/>
        <n x="289"/>
        <n x="290"/>
        <n x="611" s="1"/>
        <n x="659"/>
        <n x="660"/>
      </t>
    </mdx>
    <mdx n="0" f="v">
      <t c="6" si="614">
        <n x="610"/>
        <n x="289"/>
        <n x="290"/>
        <n x="611" s="1"/>
        <n x="665"/>
        <n x="666"/>
      </t>
    </mdx>
    <mdx n="0" f="v">
      <t c="6" si="614">
        <n x="610"/>
        <n x="289"/>
        <n x="290"/>
        <n x="611" s="1"/>
        <n x="667"/>
        <n x="668"/>
      </t>
    </mdx>
    <mdx n="0" f="v">
      <t c="6" si="614">
        <n x="610"/>
        <n x="289"/>
        <n x="290"/>
        <n x="611" s="1"/>
        <n x="669"/>
        <n x="670"/>
      </t>
    </mdx>
    <mdx n="0" f="v">
      <t c="6" si="614">
        <n x="610"/>
        <n x="289"/>
        <n x="290"/>
        <n x="611" s="1"/>
        <n x="673"/>
        <n x="674"/>
      </t>
    </mdx>
    <mdx n="0" f="v">
      <t c="6" si="614">
        <n x="610"/>
        <n x="289"/>
        <n x="290"/>
        <n x="611" s="1"/>
        <n x="679"/>
        <n x="680"/>
      </t>
    </mdx>
    <mdx n="0" f="v">
      <t c="6" si="614">
        <n x="610"/>
        <n x="289"/>
        <n x="290"/>
        <n x="611" s="1"/>
        <n x="681"/>
        <n x="682"/>
      </t>
    </mdx>
    <mdx n="0" f="v">
      <t c="6" si="614">
        <n x="610"/>
        <n x="289"/>
        <n x="290"/>
        <n x="611" s="1"/>
        <n x="685"/>
        <n x="686"/>
      </t>
    </mdx>
    <mdx n="0" f="v">
      <t c="6" si="614">
        <n x="610"/>
        <n x="289"/>
        <n x="290"/>
        <n x="611" s="1"/>
        <n x="687"/>
        <n x="688"/>
      </t>
    </mdx>
    <mdx n="0" f="v">
      <t c="6" si="614">
        <n x="610"/>
        <n x="289"/>
        <n x="290"/>
        <n x="611" s="1"/>
        <n x="693"/>
        <n x="694"/>
      </t>
    </mdx>
    <mdx n="0" f="v">
      <t c="6" si="614">
        <n x="610"/>
        <n x="289"/>
        <n x="290"/>
        <n x="611" s="1"/>
        <n x="695"/>
        <n x="696"/>
      </t>
    </mdx>
    <mdx n="0" f="v">
      <t c="6" si="614">
        <n x="610"/>
        <n x="289"/>
        <n x="290"/>
        <n x="611" s="1"/>
        <n x="699"/>
        <n x="700"/>
      </t>
    </mdx>
    <mdx n="0" f="v">
      <t c="6" si="614">
        <n x="610"/>
        <n x="289"/>
        <n x="290"/>
        <n x="611" s="1"/>
        <n x="701"/>
        <n x="702"/>
      </t>
    </mdx>
    <mdx n="0" f="v">
      <t c="6" si="614">
        <n x="610"/>
        <n x="289"/>
        <n x="290"/>
        <n x="611" s="1"/>
        <n x="705"/>
        <n x="706"/>
      </t>
    </mdx>
    <mdx n="0" f="v">
      <t c="6" si="614">
        <n x="610"/>
        <n x="289"/>
        <n x="290"/>
        <n x="611" s="1"/>
        <n x="707"/>
        <n x="708"/>
      </t>
    </mdx>
    <mdx n="0" f="v">
      <t c="6" si="614">
        <n x="610"/>
        <n x="291"/>
        <n x="292"/>
        <n x="611" s="1"/>
        <n x="612"/>
        <n x="613"/>
      </t>
    </mdx>
    <mdx n="0" f="v">
      <t c="6" si="614">
        <n x="610"/>
        <n x="291"/>
        <n x="292"/>
        <n x="611" s="1"/>
        <n x="619"/>
        <n x="620"/>
      </t>
    </mdx>
    <mdx n="0" f="v">
      <t c="6" si="614">
        <n x="610"/>
        <n x="291"/>
        <n x="292"/>
        <n x="611" s="1"/>
        <n x="621"/>
        <n x="622"/>
      </t>
    </mdx>
    <mdx n="0" f="v">
      <t c="6" si="614">
        <n x="610"/>
        <n x="291"/>
        <n x="292"/>
        <n x="611" s="1"/>
        <n x="623"/>
        <n x="624"/>
      </t>
    </mdx>
    <mdx n="0" f="v">
      <t c="6" si="614">
        <n x="610"/>
        <n x="291"/>
        <n x="292"/>
        <n x="611" s="1"/>
        <n x="625"/>
        <n x="626"/>
      </t>
    </mdx>
    <mdx n="0" f="v">
      <t c="6" si="614">
        <n x="610"/>
        <n x="291"/>
        <n x="292"/>
        <n x="611" s="1"/>
        <n x="627"/>
        <n x="628"/>
      </t>
    </mdx>
    <mdx n="0" f="v">
      <t c="6" si="614">
        <n x="610"/>
        <n x="291"/>
        <n x="292"/>
        <n x="611" s="1"/>
        <n x="629"/>
        <n x="630"/>
      </t>
    </mdx>
    <mdx n="0" f="v">
      <t c="6" si="614">
        <n x="610"/>
        <n x="291"/>
        <n x="292"/>
        <n x="611" s="1"/>
        <n x="635"/>
        <n x="636"/>
      </t>
    </mdx>
    <mdx n="0" f="v">
      <t c="6" si="614">
        <n x="610"/>
        <n x="291"/>
        <n x="292"/>
        <n x="611" s="1"/>
        <n x="643"/>
        <n x="644"/>
      </t>
    </mdx>
    <mdx n="0" f="v">
      <t c="6" si="614">
        <n x="610"/>
        <n x="291"/>
        <n x="292"/>
        <n x="611" s="1"/>
        <n x="647"/>
        <n x="648"/>
      </t>
    </mdx>
    <mdx n="0" f="v">
      <t c="6" si="614">
        <n x="610"/>
        <n x="291"/>
        <n x="292"/>
        <n x="611" s="1"/>
        <n x="657"/>
        <n x="658"/>
      </t>
    </mdx>
    <mdx n="0" f="v">
      <t c="6" si="614">
        <n x="610"/>
        <n x="291"/>
        <n x="292"/>
        <n x="611" s="1"/>
        <n x="661"/>
        <n x="662"/>
      </t>
    </mdx>
    <mdx n="0" f="v">
      <t c="6" si="614">
        <n x="610"/>
        <n x="291"/>
        <n x="292"/>
        <n x="611" s="1"/>
        <n x="663"/>
        <n x="664"/>
      </t>
    </mdx>
    <mdx n="0" f="v">
      <t c="6" si="614">
        <n x="610"/>
        <n x="291"/>
        <n x="292"/>
        <n x="611" s="1"/>
        <n x="667"/>
        <n x="668"/>
      </t>
    </mdx>
    <mdx n="0" f="v">
      <t c="6" si="614">
        <n x="610"/>
        <n x="291"/>
        <n x="292"/>
        <n x="611" s="1"/>
        <n x="671"/>
        <n x="672"/>
      </t>
    </mdx>
    <mdx n="0" f="v">
      <t c="6" si="614">
        <n x="610"/>
        <n x="291"/>
        <n x="292"/>
        <n x="611" s="1"/>
        <n x="673"/>
        <n x="674"/>
      </t>
    </mdx>
    <mdx n="0" f="v">
      <t c="6" si="614">
        <n x="610"/>
        <n x="291"/>
        <n x="292"/>
        <n x="611" s="1"/>
        <n x="677"/>
        <n x="678"/>
      </t>
    </mdx>
    <mdx n="0" f="v">
      <t c="6" si="614">
        <n x="610"/>
        <n x="291"/>
        <n x="292"/>
        <n x="611" s="1"/>
        <n x="679"/>
        <n x="680"/>
      </t>
    </mdx>
    <mdx n="0" f="v">
      <t c="6" si="614">
        <n x="610"/>
        <n x="291"/>
        <n x="292"/>
        <n x="611" s="1"/>
        <n x="683"/>
        <n x="684"/>
      </t>
    </mdx>
    <mdx n="0" f="v">
      <t c="6" si="614">
        <n x="610"/>
        <n x="291"/>
        <n x="292"/>
        <n x="611" s="1"/>
        <n x="685"/>
        <n x="686"/>
      </t>
    </mdx>
    <mdx n="0" f="v">
      <t c="6" si="614">
        <n x="610"/>
        <n x="291"/>
        <n x="292"/>
        <n x="611" s="1"/>
        <n x="687"/>
        <n x="688"/>
      </t>
    </mdx>
    <mdx n="0" f="v">
      <t c="6" si="614">
        <n x="610"/>
        <n x="291"/>
        <n x="292"/>
        <n x="611" s="1"/>
        <n x="689"/>
        <n x="690"/>
      </t>
    </mdx>
    <mdx n="0" f="v">
      <t c="6" si="614">
        <n x="610"/>
        <n x="291"/>
        <n x="292"/>
        <n x="611" s="1"/>
        <n x="691"/>
        <n x="692"/>
      </t>
    </mdx>
    <mdx n="0" f="v">
      <t c="6" si="614">
        <n x="610"/>
        <n x="291"/>
        <n x="292"/>
        <n x="611" s="1"/>
        <n x="693"/>
        <n x="694"/>
      </t>
    </mdx>
    <mdx n="0" f="v">
      <t c="6" si="614">
        <n x="610"/>
        <n x="291"/>
        <n x="292"/>
        <n x="611" s="1"/>
        <n x="695"/>
        <n x="696"/>
      </t>
    </mdx>
    <mdx n="0" f="v">
      <t c="6" si="614">
        <n x="610"/>
        <n x="291"/>
        <n x="292"/>
        <n x="611" s="1"/>
        <n x="697"/>
        <n x="698"/>
      </t>
    </mdx>
    <mdx n="0" f="v">
      <t c="6" si="614">
        <n x="610"/>
        <n x="291"/>
        <n x="292"/>
        <n x="611" s="1"/>
        <n x="699"/>
        <n x="700"/>
      </t>
    </mdx>
    <mdx n="0" f="v">
      <t c="6" si="614">
        <n x="610"/>
        <n x="291"/>
        <n x="292"/>
        <n x="611" s="1"/>
        <n x="703"/>
        <n x="704"/>
      </t>
    </mdx>
    <mdx n="0" f="v">
      <t c="6" si="614">
        <n x="610"/>
        <n x="293"/>
        <n x="294"/>
        <n x="611" s="1"/>
        <n x="612"/>
        <n x="613"/>
      </t>
    </mdx>
    <mdx n="0" f="v">
      <t c="6" si="614">
        <n x="610"/>
        <n x="293"/>
        <n x="294"/>
        <n x="611" s="1"/>
        <n x="619"/>
        <n x="620"/>
      </t>
    </mdx>
    <mdx n="0" f="v">
      <t c="6" si="614">
        <n x="610"/>
        <n x="293"/>
        <n x="294"/>
        <n x="611" s="1"/>
        <n x="621"/>
        <n x="622"/>
      </t>
    </mdx>
    <mdx n="0" f="v">
      <t c="6" si="614">
        <n x="610"/>
        <n x="293"/>
        <n x="294"/>
        <n x="611" s="1"/>
        <n x="623"/>
        <n x="624"/>
      </t>
    </mdx>
    <mdx n="0" f="v">
      <t c="6" si="614">
        <n x="610"/>
        <n x="293"/>
        <n x="294"/>
        <n x="611" s="1"/>
        <n x="631"/>
        <n x="632"/>
      </t>
    </mdx>
    <mdx n="0" f="v">
      <t c="6" si="614">
        <n x="610"/>
        <n x="293"/>
        <n x="294"/>
        <n x="611" s="1"/>
        <n x="633"/>
        <n x="634"/>
      </t>
    </mdx>
    <mdx n="0" f="v">
      <t c="6" si="614">
        <n x="610"/>
        <n x="293"/>
        <n x="294"/>
        <n x="611" s="1"/>
        <n x="635"/>
        <n x="636"/>
      </t>
    </mdx>
    <mdx n="0" f="v">
      <t c="6" si="614">
        <n x="610"/>
        <n x="293"/>
        <n x="294"/>
        <n x="611" s="1"/>
        <n x="637"/>
        <n x="638"/>
      </t>
    </mdx>
    <mdx n="0" f="v">
      <t c="6" si="614">
        <n x="610"/>
        <n x="293"/>
        <n x="294"/>
        <n x="611" s="1"/>
        <n x="639"/>
        <n x="640"/>
      </t>
    </mdx>
    <mdx n="0" f="v">
      <t c="6" si="614">
        <n x="610"/>
        <n x="293"/>
        <n x="294"/>
        <n x="611" s="1"/>
        <n x="641"/>
        <n x="642"/>
      </t>
    </mdx>
    <mdx n="0" f="v">
      <t c="6" si="614">
        <n x="610"/>
        <n x="293"/>
        <n x="294"/>
        <n x="611" s="1"/>
        <n x="645"/>
        <n x="646"/>
      </t>
    </mdx>
    <mdx n="0" f="v">
      <t c="6" si="614">
        <n x="610"/>
        <n x="293"/>
        <n x="294"/>
        <n x="611" s="1"/>
        <n x="647"/>
        <n x="648"/>
      </t>
    </mdx>
    <mdx n="0" f="v">
      <t c="6" si="614">
        <n x="610"/>
        <n x="293"/>
        <n x="294"/>
        <n x="611" s="1"/>
        <n x="649"/>
        <n x="650"/>
      </t>
    </mdx>
    <mdx n="0" f="v">
      <t c="6" si="614">
        <n x="610"/>
        <n x="293"/>
        <n x="294"/>
        <n x="611" s="1"/>
        <n x="651"/>
        <n x="652"/>
      </t>
    </mdx>
    <mdx n="0" f="v">
      <t c="6" si="614">
        <n x="610"/>
        <n x="293"/>
        <n x="294"/>
        <n x="611" s="1"/>
        <n x="657"/>
        <n x="658"/>
      </t>
    </mdx>
    <mdx n="0" f="v">
      <t c="6" si="614">
        <n x="610"/>
        <n x="293"/>
        <n x="294"/>
        <n x="611" s="1"/>
        <n x="659"/>
        <n x="660"/>
      </t>
    </mdx>
    <mdx n="0" f="v">
      <t c="6" si="614">
        <n x="610"/>
        <n x="293"/>
        <n x="294"/>
        <n x="611" s="1"/>
        <n x="663"/>
        <n x="664"/>
      </t>
    </mdx>
    <mdx n="0" f="v">
      <t c="6" si="614">
        <n x="610"/>
        <n x="293"/>
        <n x="294"/>
        <n x="611" s="1"/>
        <n x="667"/>
        <n x="668"/>
      </t>
    </mdx>
    <mdx n="0" f="v">
      <t c="6" si="614">
        <n x="610"/>
        <n x="293"/>
        <n x="294"/>
        <n x="611" s="1"/>
        <n x="669"/>
        <n x="670"/>
      </t>
    </mdx>
    <mdx n="0" f="v">
      <t c="6" si="614">
        <n x="610"/>
        <n x="293"/>
        <n x="294"/>
        <n x="611" s="1"/>
        <n x="671"/>
        <n x="672"/>
      </t>
    </mdx>
    <mdx n="0" f="v">
      <t c="6" si="614">
        <n x="610"/>
        <n x="293"/>
        <n x="294"/>
        <n x="611" s="1"/>
        <n x="677"/>
        <n x="678"/>
      </t>
    </mdx>
    <mdx n="0" f="v">
      <t c="6" si="614">
        <n x="610"/>
        <n x="293"/>
        <n x="294"/>
        <n x="611" s="1"/>
        <n x="679"/>
        <n x="680"/>
      </t>
    </mdx>
    <mdx n="0" f="v">
      <t c="6" si="614">
        <n x="610"/>
        <n x="293"/>
        <n x="294"/>
        <n x="611" s="1"/>
        <n x="681"/>
        <n x="682"/>
      </t>
    </mdx>
    <mdx n="0" f="v">
      <t c="6" si="614">
        <n x="610"/>
        <n x="293"/>
        <n x="294"/>
        <n x="611" s="1"/>
        <n x="683"/>
        <n x="684"/>
      </t>
    </mdx>
    <mdx n="0" f="v">
      <t c="6" si="614">
        <n x="610"/>
        <n x="293"/>
        <n x="294"/>
        <n x="611" s="1"/>
        <n x="687"/>
        <n x="688"/>
      </t>
    </mdx>
    <mdx n="0" f="v">
      <t c="6" si="614">
        <n x="610"/>
        <n x="293"/>
        <n x="294"/>
        <n x="611" s="1"/>
        <n x="689"/>
        <n x="690"/>
      </t>
    </mdx>
    <mdx n="0" f="v">
      <t c="6" si="614">
        <n x="610"/>
        <n x="293"/>
        <n x="294"/>
        <n x="611" s="1"/>
        <n x="707"/>
        <n x="708"/>
      </t>
    </mdx>
    <mdx n="0" f="v">
      <t c="6" si="614">
        <n x="610"/>
        <n x="295"/>
        <n x="296"/>
        <n x="611" s="1"/>
        <n x="612"/>
        <n x="613"/>
      </t>
    </mdx>
    <mdx n="0" f="v">
      <t c="6" si="614">
        <n x="610"/>
        <n x="295"/>
        <n x="296"/>
        <n x="611" s="1"/>
        <n x="615"/>
        <n x="616"/>
      </t>
    </mdx>
    <mdx n="0" f="v">
      <t c="6" si="614">
        <n x="610"/>
        <n x="295"/>
        <n x="296"/>
        <n x="611" s="1"/>
        <n x="617"/>
        <n x="618"/>
      </t>
    </mdx>
    <mdx n="0" f="v">
      <t c="6" si="614">
        <n x="610"/>
        <n x="295"/>
        <n x="296"/>
        <n x="611" s="1"/>
        <n x="621"/>
        <n x="622"/>
      </t>
    </mdx>
    <mdx n="0" f="v">
      <t c="6" si="614">
        <n x="610"/>
        <n x="295"/>
        <n x="296"/>
        <n x="611" s="1"/>
        <n x="625"/>
        <n x="626"/>
      </t>
    </mdx>
    <mdx n="0" f="v">
      <t c="6" si="614">
        <n x="610"/>
        <n x="295"/>
        <n x="296"/>
        <n x="611" s="1"/>
        <n x="627"/>
        <n x="628"/>
      </t>
    </mdx>
    <mdx n="0" f="v">
      <t c="6" si="614">
        <n x="610"/>
        <n x="295"/>
        <n x="296"/>
        <n x="611" s="1"/>
        <n x="629"/>
        <n x="630"/>
      </t>
    </mdx>
    <mdx n="0" f="v">
      <t c="6" si="614">
        <n x="610"/>
        <n x="295"/>
        <n x="296"/>
        <n x="611" s="1"/>
        <n x="631"/>
        <n x="632"/>
      </t>
    </mdx>
    <mdx n="0" f="v">
      <t c="6" si="614">
        <n x="610"/>
        <n x="295"/>
        <n x="296"/>
        <n x="611" s="1"/>
        <n x="635"/>
        <n x="636"/>
      </t>
    </mdx>
    <mdx n="0" f="v">
      <t c="6" si="614">
        <n x="610"/>
        <n x="295"/>
        <n x="296"/>
        <n x="611" s="1"/>
        <n x="637"/>
        <n x="638"/>
      </t>
    </mdx>
    <mdx n="0" f="v">
      <t c="6" si="614">
        <n x="610"/>
        <n x="295"/>
        <n x="296"/>
        <n x="611" s="1"/>
        <n x="639"/>
        <n x="640"/>
      </t>
    </mdx>
    <mdx n="0" f="v">
      <t c="6" si="614">
        <n x="610"/>
        <n x="295"/>
        <n x="296"/>
        <n x="611" s="1"/>
        <n x="647"/>
        <n x="648"/>
      </t>
    </mdx>
    <mdx n="0" f="v">
      <t c="6" si="614">
        <n x="610"/>
        <n x="295"/>
        <n x="296"/>
        <n x="611" s="1"/>
        <n x="649"/>
        <n x="650"/>
      </t>
    </mdx>
    <mdx n="0" f="v">
      <t c="6" si="614">
        <n x="610"/>
        <n x="295"/>
        <n x="296"/>
        <n x="611" s="1"/>
        <n x="653"/>
        <n x="654"/>
      </t>
    </mdx>
    <mdx n="0" f="v">
      <t c="6" si="614">
        <n x="610"/>
        <n x="295"/>
        <n x="296"/>
        <n x="611" s="1"/>
        <n x="655"/>
        <n x="656"/>
      </t>
    </mdx>
    <mdx n="0" f="v">
      <t c="6" si="614">
        <n x="610"/>
        <n x="295"/>
        <n x="296"/>
        <n x="611" s="1"/>
        <n x="657"/>
        <n x="658"/>
      </t>
    </mdx>
    <mdx n="0" f="v">
      <t c="6" si="614">
        <n x="610"/>
        <n x="295"/>
        <n x="296"/>
        <n x="611" s="1"/>
        <n x="659"/>
        <n x="660"/>
      </t>
    </mdx>
    <mdx n="0" f="v">
      <t c="6" si="614">
        <n x="610"/>
        <n x="295"/>
        <n x="296"/>
        <n x="611" s="1"/>
        <n x="661"/>
        <n x="662"/>
      </t>
    </mdx>
    <mdx n="0" f="v">
      <t c="6" si="614">
        <n x="610"/>
        <n x="295"/>
        <n x="296"/>
        <n x="611" s="1"/>
        <n x="665"/>
        <n x="666"/>
      </t>
    </mdx>
    <mdx n="0" f="v">
      <t c="6" si="614">
        <n x="610"/>
        <n x="295"/>
        <n x="296"/>
        <n x="611" s="1"/>
        <n x="667"/>
        <n x="668"/>
      </t>
    </mdx>
    <mdx n="0" f="v">
      <t c="6" si="614">
        <n x="610"/>
        <n x="295"/>
        <n x="296"/>
        <n x="611" s="1"/>
        <n x="669"/>
        <n x="670"/>
      </t>
    </mdx>
    <mdx n="0" f="v">
      <t c="6" si="614">
        <n x="610"/>
        <n x="295"/>
        <n x="296"/>
        <n x="611" s="1"/>
        <n x="671"/>
        <n x="672"/>
      </t>
    </mdx>
    <mdx n="0" f="v">
      <t c="6" si="614">
        <n x="610"/>
        <n x="295"/>
        <n x="296"/>
        <n x="611" s="1"/>
        <n x="679"/>
        <n x="680"/>
      </t>
    </mdx>
    <mdx n="0" f="v">
      <t c="6" si="614">
        <n x="610"/>
        <n x="295"/>
        <n x="296"/>
        <n x="611" s="1"/>
        <n x="685"/>
        <n x="686"/>
      </t>
    </mdx>
    <mdx n="0" f="v">
      <t c="6" si="614">
        <n x="610"/>
        <n x="295"/>
        <n x="296"/>
        <n x="611" s="1"/>
        <n x="687"/>
        <n x="688"/>
      </t>
    </mdx>
    <mdx n="0" f="v">
      <t c="6" si="614">
        <n x="610"/>
        <n x="295"/>
        <n x="296"/>
        <n x="611" s="1"/>
        <n x="691"/>
        <n x="692"/>
      </t>
    </mdx>
    <mdx n="0" f="v">
      <t c="6" si="614">
        <n x="610"/>
        <n x="295"/>
        <n x="296"/>
        <n x="611" s="1"/>
        <n x="695"/>
        <n x="696"/>
      </t>
    </mdx>
    <mdx n="0" f="v">
      <t c="6" si="614">
        <n x="610"/>
        <n x="297"/>
        <n x="298"/>
        <n x="611" s="1"/>
        <n x="612"/>
        <n x="613"/>
      </t>
    </mdx>
    <mdx n="0" f="v">
      <t c="6" si="614">
        <n x="610"/>
        <n x="297"/>
        <n x="298"/>
        <n x="611" s="1"/>
        <n x="617"/>
        <n x="618"/>
      </t>
    </mdx>
    <mdx n="0" f="v">
      <t c="6" si="614">
        <n x="610"/>
        <n x="297"/>
        <n x="298"/>
        <n x="611" s="1"/>
        <n x="621"/>
        <n x="622"/>
      </t>
    </mdx>
    <mdx n="0" f="v">
      <t c="6" si="614">
        <n x="610"/>
        <n x="297"/>
        <n x="298"/>
        <n x="611" s="1"/>
        <n x="625"/>
        <n x="626"/>
      </t>
    </mdx>
    <mdx n="0" f="v">
      <t c="6" si="614">
        <n x="610"/>
        <n x="297"/>
        <n x="298"/>
        <n x="611" s="1"/>
        <n x="627"/>
        <n x="628"/>
      </t>
    </mdx>
    <mdx n="0" f="v">
      <t c="6" si="614">
        <n x="610"/>
        <n x="297"/>
        <n x="298"/>
        <n x="611" s="1"/>
        <n x="631"/>
        <n x="632"/>
      </t>
    </mdx>
    <mdx n="0" f="v">
      <t c="6" si="614">
        <n x="610"/>
        <n x="297"/>
        <n x="298"/>
        <n x="611" s="1"/>
        <n x="635"/>
        <n x="636"/>
      </t>
    </mdx>
    <mdx n="0" f="v">
      <t c="6" si="614">
        <n x="610"/>
        <n x="297"/>
        <n x="298"/>
        <n x="611" s="1"/>
        <n x="641"/>
        <n x="642"/>
      </t>
    </mdx>
    <mdx n="0" f="v">
      <t c="6" si="614">
        <n x="610"/>
        <n x="297"/>
        <n x="298"/>
        <n x="611" s="1"/>
        <n x="645"/>
        <n x="646"/>
      </t>
    </mdx>
    <mdx n="0" f="v">
      <t c="6" si="614">
        <n x="610"/>
        <n x="297"/>
        <n x="298"/>
        <n x="611" s="1"/>
        <n x="647"/>
        <n x="648"/>
      </t>
    </mdx>
    <mdx n="0" f="v">
      <t c="6" si="614">
        <n x="610"/>
        <n x="297"/>
        <n x="298"/>
        <n x="611" s="1"/>
        <n x="657"/>
        <n x="658"/>
      </t>
    </mdx>
    <mdx n="0" f="v">
      <t c="6" si="614">
        <n x="610"/>
        <n x="297"/>
        <n x="298"/>
        <n x="611" s="1"/>
        <n x="659"/>
        <n x="660"/>
      </t>
    </mdx>
    <mdx n="0" f="v">
      <t c="6" si="614">
        <n x="610"/>
        <n x="297"/>
        <n x="298"/>
        <n x="611" s="1"/>
        <n x="661"/>
        <n x="662"/>
      </t>
    </mdx>
    <mdx n="0" f="v">
      <t c="6" si="614">
        <n x="610"/>
        <n x="297"/>
        <n x="298"/>
        <n x="611" s="1"/>
        <n x="663"/>
        <n x="664"/>
      </t>
    </mdx>
    <mdx n="0" f="v">
      <t c="6" si="614">
        <n x="610"/>
        <n x="297"/>
        <n x="298"/>
        <n x="611" s="1"/>
        <n x="667"/>
        <n x="668"/>
      </t>
    </mdx>
    <mdx n="0" f="v">
      <t c="6" si="614">
        <n x="610"/>
        <n x="297"/>
        <n x="298"/>
        <n x="611" s="1"/>
        <n x="669"/>
        <n x="670"/>
      </t>
    </mdx>
    <mdx n="0" f="v">
      <t c="6" si="614">
        <n x="610"/>
        <n x="297"/>
        <n x="298"/>
        <n x="611" s="1"/>
        <n x="681"/>
        <n x="682"/>
      </t>
    </mdx>
    <mdx n="0" f="v">
      <t c="6" si="614">
        <n x="610"/>
        <n x="297"/>
        <n x="298"/>
        <n x="611" s="1"/>
        <n x="683"/>
        <n x="684"/>
      </t>
    </mdx>
    <mdx n="0" f="v">
      <t c="6" si="614">
        <n x="610"/>
        <n x="297"/>
        <n x="298"/>
        <n x="611" s="1"/>
        <n x="695"/>
        <n x="696"/>
      </t>
    </mdx>
    <mdx n="0" f="v">
      <t c="6" si="614">
        <n x="610"/>
        <n x="297"/>
        <n x="298"/>
        <n x="611" s="1"/>
        <n x="697"/>
        <n x="698"/>
      </t>
    </mdx>
    <mdx n="0" f="v">
      <t c="6" si="614">
        <n x="610"/>
        <n x="297"/>
        <n x="298"/>
        <n x="611" s="1"/>
        <n x="699"/>
        <n x="700"/>
      </t>
    </mdx>
    <mdx n="0" f="v">
      <t c="6" si="614">
        <n x="610"/>
        <n x="297"/>
        <n x="298"/>
        <n x="611" s="1"/>
        <n x="701"/>
        <n x="702"/>
      </t>
    </mdx>
    <mdx n="0" f="v">
      <t c="6" si="614">
        <n x="610"/>
        <n x="297"/>
        <n x="298"/>
        <n x="611" s="1"/>
        <n x="703"/>
        <n x="704"/>
      </t>
    </mdx>
    <mdx n="0" f="v">
      <t c="6" si="614">
        <n x="610"/>
        <n x="297"/>
        <n x="298"/>
        <n x="611" s="1"/>
        <n x="705"/>
        <n x="706"/>
      </t>
    </mdx>
    <mdx n="0" f="v">
      <t c="6" si="614">
        <n x="610"/>
        <n x="297"/>
        <n x="298"/>
        <n x="611" s="1"/>
        <n x="707"/>
        <n x="708"/>
      </t>
    </mdx>
    <mdx n="0" f="v">
      <t c="6" si="614">
        <n x="610"/>
        <n x="299"/>
        <n x="300"/>
        <n x="611" s="1"/>
        <n x="612"/>
        <n x="613"/>
      </t>
    </mdx>
    <mdx n="0" f="v">
      <t c="6" si="614">
        <n x="610"/>
        <n x="299"/>
        <n x="300"/>
        <n x="611" s="1"/>
        <n x="615"/>
        <n x="616"/>
      </t>
    </mdx>
    <mdx n="0" f="v">
      <t c="6" si="614">
        <n x="610"/>
        <n x="299"/>
        <n x="300"/>
        <n x="611" s="1"/>
        <n x="619"/>
        <n x="620"/>
      </t>
    </mdx>
    <mdx n="0" f="v">
      <t c="6" si="614">
        <n x="610"/>
        <n x="299"/>
        <n x="300"/>
        <n x="611" s="1"/>
        <n x="623"/>
        <n x="624"/>
      </t>
    </mdx>
    <mdx n="0" f="v">
      <t c="6" si="614">
        <n x="610"/>
        <n x="299"/>
        <n x="300"/>
        <n x="611" s="1"/>
        <n x="625"/>
        <n x="626"/>
      </t>
    </mdx>
    <mdx n="0" f="v">
      <t c="6" si="614">
        <n x="610"/>
        <n x="299"/>
        <n x="300"/>
        <n x="611" s="1"/>
        <n x="627"/>
        <n x="628"/>
      </t>
    </mdx>
    <mdx n="0" f="v">
      <t c="6" si="614">
        <n x="610"/>
        <n x="299"/>
        <n x="300"/>
        <n x="611" s="1"/>
        <n x="629"/>
        <n x="630"/>
      </t>
    </mdx>
    <mdx n="0" f="v">
      <t c="6" si="614">
        <n x="610"/>
        <n x="299"/>
        <n x="300"/>
        <n x="611" s="1"/>
        <n x="633"/>
        <n x="634"/>
      </t>
    </mdx>
    <mdx n="0" f="v">
      <t c="6" si="614">
        <n x="610"/>
        <n x="299"/>
        <n x="300"/>
        <n x="611" s="1"/>
        <n x="635"/>
        <n x="636"/>
      </t>
    </mdx>
    <mdx n="0" f="v">
      <t c="6" si="614">
        <n x="610"/>
        <n x="299"/>
        <n x="300"/>
        <n x="611" s="1"/>
        <n x="637"/>
        <n x="638"/>
      </t>
    </mdx>
    <mdx n="0" f="v">
      <t c="6" si="614">
        <n x="610"/>
        <n x="299"/>
        <n x="300"/>
        <n x="611" s="1"/>
        <n x="639"/>
        <n x="640"/>
      </t>
    </mdx>
    <mdx n="0" f="v">
      <t c="6" si="614">
        <n x="610"/>
        <n x="299"/>
        <n x="300"/>
        <n x="611" s="1"/>
        <n x="641"/>
        <n x="642"/>
      </t>
    </mdx>
    <mdx n="0" f="v">
      <t c="6" si="614">
        <n x="610"/>
        <n x="299"/>
        <n x="300"/>
        <n x="611" s="1"/>
        <n x="645"/>
        <n x="646"/>
      </t>
    </mdx>
    <mdx n="0" f="v">
      <t c="6" si="614">
        <n x="610"/>
        <n x="299"/>
        <n x="300"/>
        <n x="611" s="1"/>
        <n x="647"/>
        <n x="648"/>
      </t>
    </mdx>
    <mdx n="0" f="v">
      <t c="6" si="614">
        <n x="610"/>
        <n x="299"/>
        <n x="300"/>
        <n x="611" s="1"/>
        <n x="651"/>
        <n x="652"/>
      </t>
    </mdx>
    <mdx n="0" f="v">
      <t c="6" si="614">
        <n x="610"/>
        <n x="299"/>
        <n x="300"/>
        <n x="611" s="1"/>
        <n x="657"/>
        <n x="658"/>
      </t>
    </mdx>
    <mdx n="0" f="v">
      <t c="6" si="614">
        <n x="610"/>
        <n x="299"/>
        <n x="300"/>
        <n x="611" s="1"/>
        <n x="659"/>
        <n x="660"/>
      </t>
    </mdx>
    <mdx n="0" f="v">
      <t c="6" si="614">
        <n x="610"/>
        <n x="299"/>
        <n x="300"/>
        <n x="611" s="1"/>
        <n x="661"/>
        <n x="662"/>
      </t>
    </mdx>
    <mdx n="0" f="v">
      <t c="6" si="614">
        <n x="610"/>
        <n x="299"/>
        <n x="300"/>
        <n x="611" s="1"/>
        <n x="665"/>
        <n x="666"/>
      </t>
    </mdx>
    <mdx n="0" f="v">
      <t c="6" si="614">
        <n x="610"/>
        <n x="299"/>
        <n x="300"/>
        <n x="611" s="1"/>
        <n x="669"/>
        <n x="670"/>
      </t>
    </mdx>
    <mdx n="0" f="v">
      <t c="6" si="614">
        <n x="610"/>
        <n x="299"/>
        <n x="300"/>
        <n x="611" s="1"/>
        <n x="673"/>
        <n x="674"/>
      </t>
    </mdx>
    <mdx n="0" f="v">
      <t c="6" si="614">
        <n x="610"/>
        <n x="299"/>
        <n x="300"/>
        <n x="611" s="1"/>
        <n x="675"/>
        <n x="676"/>
      </t>
    </mdx>
    <mdx n="0" f="v">
      <t c="6" si="614">
        <n x="610"/>
        <n x="299"/>
        <n x="300"/>
        <n x="611" s="1"/>
        <n x="677"/>
        <n x="678"/>
      </t>
    </mdx>
    <mdx n="0" f="v">
      <t c="6" si="614">
        <n x="610"/>
        <n x="299"/>
        <n x="300"/>
        <n x="611" s="1"/>
        <n x="679"/>
        <n x="680"/>
      </t>
    </mdx>
    <mdx n="0" f="v">
      <t c="6" si="614">
        <n x="610"/>
        <n x="299"/>
        <n x="300"/>
        <n x="611" s="1"/>
        <n x="683"/>
        <n x="684"/>
      </t>
    </mdx>
    <mdx n="0" f="v">
      <t c="6" si="614">
        <n x="610"/>
        <n x="299"/>
        <n x="300"/>
        <n x="611" s="1"/>
        <n x="685"/>
        <n x="686"/>
      </t>
    </mdx>
    <mdx n="0" f="v">
      <t c="6" si="614">
        <n x="610"/>
        <n x="299"/>
        <n x="300"/>
        <n x="611" s="1"/>
        <n x="687"/>
        <n x="688"/>
      </t>
    </mdx>
    <mdx n="0" f="v">
      <t c="6" si="614">
        <n x="610"/>
        <n x="299"/>
        <n x="300"/>
        <n x="611" s="1"/>
        <n x="689"/>
        <n x="690"/>
      </t>
    </mdx>
    <mdx n="0" f="v">
      <t c="6" si="614">
        <n x="610"/>
        <n x="299"/>
        <n x="300"/>
        <n x="611" s="1"/>
        <n x="695"/>
        <n x="696"/>
      </t>
    </mdx>
    <mdx n="0" f="v">
      <t c="6" si="614">
        <n x="610"/>
        <n x="299"/>
        <n x="300"/>
        <n x="611" s="1"/>
        <n x="699"/>
        <n x="700"/>
      </t>
    </mdx>
    <mdx n="0" f="v">
      <t c="6" si="614">
        <n x="610"/>
        <n x="299"/>
        <n x="300"/>
        <n x="611" s="1"/>
        <n x="701"/>
        <n x="702"/>
      </t>
    </mdx>
    <mdx n="0" f="v">
      <t c="6" si="614">
        <n x="610"/>
        <n x="301"/>
        <n x="302"/>
        <n x="611" s="1"/>
        <n x="612"/>
        <n x="613"/>
      </t>
    </mdx>
    <mdx n="0" f="v">
      <t c="6" si="614">
        <n x="610"/>
        <n x="301"/>
        <n x="302"/>
        <n x="611" s="1"/>
        <n x="615"/>
        <n x="616"/>
      </t>
    </mdx>
    <mdx n="0" f="v">
      <t c="6" si="614">
        <n x="610"/>
        <n x="301"/>
        <n x="302"/>
        <n x="611" s="1"/>
        <n x="617"/>
        <n x="618"/>
      </t>
    </mdx>
    <mdx n="0" f="v">
      <t c="6" si="614">
        <n x="610"/>
        <n x="301"/>
        <n x="302"/>
        <n x="611" s="1"/>
        <n x="619"/>
        <n x="620"/>
      </t>
    </mdx>
    <mdx n="0" f="v">
      <t c="6" si="614">
        <n x="610"/>
        <n x="301"/>
        <n x="302"/>
        <n x="611" s="1"/>
        <n x="621"/>
        <n x="622"/>
      </t>
    </mdx>
    <mdx n="0" f="v">
      <t c="6" si="614">
        <n x="610"/>
        <n x="301"/>
        <n x="302"/>
        <n x="611" s="1"/>
        <n x="623"/>
        <n x="624"/>
      </t>
    </mdx>
    <mdx n="0" f="v">
      <t c="6" si="614">
        <n x="610"/>
        <n x="301"/>
        <n x="302"/>
        <n x="611" s="1"/>
        <n x="627"/>
        <n x="628"/>
      </t>
    </mdx>
    <mdx n="0" f="v">
      <t c="6" si="614">
        <n x="610"/>
        <n x="301"/>
        <n x="302"/>
        <n x="611" s="1"/>
        <n x="629"/>
        <n x="630"/>
      </t>
    </mdx>
    <mdx n="0" f="v">
      <t c="6" si="614">
        <n x="610"/>
        <n x="301"/>
        <n x="302"/>
        <n x="611" s="1"/>
        <n x="631"/>
        <n x="632"/>
      </t>
    </mdx>
    <mdx n="0" f="v">
      <t c="6" si="614">
        <n x="610"/>
        <n x="301"/>
        <n x="302"/>
        <n x="611" s="1"/>
        <n x="635"/>
        <n x="636"/>
      </t>
    </mdx>
    <mdx n="0" f="v">
      <t c="6" si="614">
        <n x="610"/>
        <n x="301"/>
        <n x="302"/>
        <n x="611" s="1"/>
        <n x="637"/>
        <n x="638"/>
      </t>
    </mdx>
    <mdx n="0" f="v">
      <t c="6" si="614">
        <n x="610"/>
        <n x="301"/>
        <n x="302"/>
        <n x="611" s="1"/>
        <n x="639"/>
        <n x="640"/>
      </t>
    </mdx>
    <mdx n="0" f="v">
      <t c="6" si="614">
        <n x="610"/>
        <n x="301"/>
        <n x="302"/>
        <n x="611" s="1"/>
        <n x="645"/>
        <n x="646"/>
      </t>
    </mdx>
    <mdx n="0" f="v">
      <t c="6" si="614">
        <n x="610"/>
        <n x="301"/>
        <n x="302"/>
        <n x="611" s="1"/>
        <n x="651"/>
        <n x="652"/>
      </t>
    </mdx>
    <mdx n="0" f="v">
      <t c="6" si="614">
        <n x="610"/>
        <n x="301"/>
        <n x="302"/>
        <n x="611" s="1"/>
        <n x="653"/>
        <n x="654"/>
      </t>
    </mdx>
    <mdx n="0" f="v">
      <t c="6" si="614">
        <n x="610"/>
        <n x="301"/>
        <n x="302"/>
        <n x="611" s="1"/>
        <n x="659"/>
        <n x="660"/>
      </t>
    </mdx>
    <mdx n="0" f="v">
      <t c="6" si="614">
        <n x="610"/>
        <n x="301"/>
        <n x="302"/>
        <n x="611" s="1"/>
        <n x="661"/>
        <n x="662"/>
      </t>
    </mdx>
    <mdx n="0" f="v">
      <t c="6" si="614">
        <n x="610"/>
        <n x="301"/>
        <n x="302"/>
        <n x="611" s="1"/>
        <n x="665"/>
        <n x="666"/>
      </t>
    </mdx>
    <mdx n="0" f="v">
      <t c="6" si="614">
        <n x="610"/>
        <n x="301"/>
        <n x="302"/>
        <n x="611" s="1"/>
        <n x="671"/>
        <n x="672"/>
      </t>
    </mdx>
    <mdx n="0" f="v">
      <t c="6" si="614">
        <n x="610"/>
        <n x="301"/>
        <n x="302"/>
        <n x="611" s="1"/>
        <n x="675"/>
        <n x="676"/>
      </t>
    </mdx>
    <mdx n="0" f="v">
      <t c="6" si="614">
        <n x="610"/>
        <n x="301"/>
        <n x="302"/>
        <n x="611" s="1"/>
        <n x="677"/>
        <n x="678"/>
      </t>
    </mdx>
    <mdx n="0" f="v">
      <t c="6" si="614">
        <n x="610"/>
        <n x="301"/>
        <n x="302"/>
        <n x="611" s="1"/>
        <n x="679"/>
        <n x="680"/>
      </t>
    </mdx>
    <mdx n="0" f="v">
      <t c="6" si="614">
        <n x="610"/>
        <n x="301"/>
        <n x="302"/>
        <n x="611" s="1"/>
        <n x="683"/>
        <n x="684"/>
      </t>
    </mdx>
    <mdx n="0" f="v">
      <t c="6" si="614">
        <n x="610"/>
        <n x="301"/>
        <n x="302"/>
        <n x="611" s="1"/>
        <n x="685"/>
        <n x="686"/>
      </t>
    </mdx>
    <mdx n="0" f="v">
      <t c="6" si="614">
        <n x="610"/>
        <n x="301"/>
        <n x="302"/>
        <n x="611" s="1"/>
        <n x="691"/>
        <n x="692"/>
      </t>
    </mdx>
    <mdx n="0" f="v">
      <t c="6" si="614">
        <n x="610"/>
        <n x="301"/>
        <n x="302"/>
        <n x="611" s="1"/>
        <n x="697"/>
        <n x="698"/>
      </t>
    </mdx>
    <mdx n="0" f="v">
      <t c="6" si="614">
        <n x="610"/>
        <n x="301"/>
        <n x="302"/>
        <n x="611" s="1"/>
        <n x="703"/>
        <n x="704"/>
      </t>
    </mdx>
    <mdx n="0" f="v">
      <t c="6" si="614">
        <n x="610"/>
        <n x="301"/>
        <n x="302"/>
        <n x="611" s="1"/>
        <n x="707"/>
        <n x="708"/>
      </t>
    </mdx>
    <mdx n="0" f="v">
      <t c="6" si="614">
        <n x="610"/>
        <n x="303"/>
        <n x="304"/>
        <n x="611" s="1"/>
        <n x="612"/>
        <n x="613"/>
      </t>
    </mdx>
    <mdx n="0" f="v">
      <t c="6" si="614">
        <n x="610"/>
        <n x="303"/>
        <n x="304"/>
        <n x="611" s="1"/>
        <n x="617"/>
        <n x="618"/>
      </t>
    </mdx>
    <mdx n="0" f="v">
      <t c="6" si="614">
        <n x="610"/>
        <n x="303"/>
        <n x="304"/>
        <n x="611" s="1"/>
        <n x="619"/>
        <n x="620"/>
      </t>
    </mdx>
    <mdx n="0" f="v">
      <t c="6" si="614">
        <n x="610"/>
        <n x="303"/>
        <n x="304"/>
        <n x="611" s="1"/>
        <n x="621"/>
        <n x="622"/>
      </t>
    </mdx>
    <mdx n="0" f="v">
      <t c="6" si="614">
        <n x="610"/>
        <n x="303"/>
        <n x="304"/>
        <n x="611" s="1"/>
        <n x="623"/>
        <n x="624"/>
      </t>
    </mdx>
    <mdx n="0" f="v">
      <t c="6" si="614">
        <n x="610"/>
        <n x="303"/>
        <n x="304"/>
        <n x="611" s="1"/>
        <n x="625"/>
        <n x="626"/>
      </t>
    </mdx>
    <mdx n="0" f="v">
      <t c="6" si="614">
        <n x="610"/>
        <n x="303"/>
        <n x="304"/>
        <n x="611" s="1"/>
        <n x="627"/>
        <n x="628"/>
      </t>
    </mdx>
    <mdx n="0" f="v">
      <t c="6" si="614">
        <n x="610"/>
        <n x="303"/>
        <n x="304"/>
        <n x="611" s="1"/>
        <n x="629"/>
        <n x="630"/>
      </t>
    </mdx>
    <mdx n="0" f="v">
      <t c="6" si="614">
        <n x="610"/>
        <n x="303"/>
        <n x="304"/>
        <n x="611" s="1"/>
        <n x="633"/>
        <n x="634"/>
      </t>
    </mdx>
    <mdx n="0" f="v">
      <t c="6" si="614">
        <n x="610"/>
        <n x="303"/>
        <n x="304"/>
        <n x="611" s="1"/>
        <n x="635"/>
        <n x="636"/>
      </t>
    </mdx>
    <mdx n="0" f="v">
      <t c="6" si="614">
        <n x="610"/>
        <n x="303"/>
        <n x="304"/>
        <n x="611" s="1"/>
        <n x="639"/>
        <n x="640"/>
      </t>
    </mdx>
    <mdx n="0" f="v">
      <t c="6" si="614">
        <n x="610"/>
        <n x="303"/>
        <n x="304"/>
        <n x="611" s="1"/>
        <n x="641"/>
        <n x="642"/>
      </t>
    </mdx>
    <mdx n="0" f="v">
      <t c="6" si="614">
        <n x="610"/>
        <n x="303"/>
        <n x="304"/>
        <n x="611" s="1"/>
        <n x="647"/>
        <n x="648"/>
      </t>
    </mdx>
    <mdx n="0" f="v">
      <t c="6" si="614">
        <n x="610"/>
        <n x="303"/>
        <n x="304"/>
        <n x="611" s="1"/>
        <n x="649"/>
        <n x="650"/>
      </t>
    </mdx>
    <mdx n="0" f="v">
      <t c="6" si="614">
        <n x="610"/>
        <n x="303"/>
        <n x="304"/>
        <n x="611" s="1"/>
        <n x="651"/>
        <n x="652"/>
      </t>
    </mdx>
    <mdx n="0" f="v">
      <t c="6" si="614">
        <n x="610"/>
        <n x="303"/>
        <n x="304"/>
        <n x="611" s="1"/>
        <n x="653"/>
        <n x="654"/>
      </t>
    </mdx>
    <mdx n="0" f="v">
      <t c="6" si="614">
        <n x="610"/>
        <n x="303"/>
        <n x="304"/>
        <n x="611" s="1"/>
        <n x="655"/>
        <n x="656"/>
      </t>
    </mdx>
    <mdx n="0" f="v">
      <t c="6" si="614">
        <n x="610"/>
        <n x="303"/>
        <n x="304"/>
        <n x="611" s="1"/>
        <n x="657"/>
        <n x="658"/>
      </t>
    </mdx>
    <mdx n="0" f="v">
      <t c="6" si="614">
        <n x="610"/>
        <n x="303"/>
        <n x="304"/>
        <n x="611" s="1"/>
        <n x="659"/>
        <n x="660"/>
      </t>
    </mdx>
    <mdx n="0" f="v">
      <t c="6" si="614">
        <n x="610"/>
        <n x="303"/>
        <n x="304"/>
        <n x="611" s="1"/>
        <n x="661"/>
        <n x="662"/>
      </t>
    </mdx>
    <mdx n="0" f="v">
      <t c="6" si="614">
        <n x="610"/>
        <n x="303"/>
        <n x="304"/>
        <n x="611" s="1"/>
        <n x="667"/>
        <n x="668"/>
      </t>
    </mdx>
    <mdx n="0" f="v">
      <t c="6" si="614">
        <n x="610"/>
        <n x="303"/>
        <n x="304"/>
        <n x="611" s="1"/>
        <n x="669"/>
        <n x="670"/>
      </t>
    </mdx>
    <mdx n="0" f="v">
      <t c="6" si="614">
        <n x="610"/>
        <n x="303"/>
        <n x="304"/>
        <n x="611" s="1"/>
        <n x="673"/>
        <n x="674"/>
      </t>
    </mdx>
    <mdx n="0" f="v">
      <t c="6" si="614">
        <n x="610"/>
        <n x="303"/>
        <n x="304"/>
        <n x="611" s="1"/>
        <n x="675"/>
        <n x="676"/>
      </t>
    </mdx>
    <mdx n="0" f="v">
      <t c="6" si="614">
        <n x="610"/>
        <n x="303"/>
        <n x="304"/>
        <n x="611" s="1"/>
        <n x="683"/>
        <n x="684"/>
      </t>
    </mdx>
    <mdx n="0" f="v">
      <t c="6" si="614">
        <n x="610"/>
        <n x="303"/>
        <n x="304"/>
        <n x="611" s="1"/>
        <n x="685"/>
        <n x="686"/>
      </t>
    </mdx>
    <mdx n="0" f="v">
      <t c="6" si="614">
        <n x="610"/>
        <n x="303"/>
        <n x="304"/>
        <n x="611" s="1"/>
        <n x="689"/>
        <n x="690"/>
      </t>
    </mdx>
    <mdx n="0" f="v">
      <t c="6" si="614">
        <n x="610"/>
        <n x="303"/>
        <n x="304"/>
        <n x="611" s="1"/>
        <n x="693"/>
        <n x="694"/>
      </t>
    </mdx>
    <mdx n="0" f="v">
      <t c="6" si="614">
        <n x="610"/>
        <n x="303"/>
        <n x="304"/>
        <n x="611" s="1"/>
        <n x="695"/>
        <n x="696"/>
      </t>
    </mdx>
    <mdx n="0" f="v">
      <t c="6" si="614">
        <n x="610"/>
        <n x="303"/>
        <n x="304"/>
        <n x="611" s="1"/>
        <n x="697"/>
        <n x="698"/>
      </t>
    </mdx>
    <mdx n="0" f="v">
      <t c="6" si="614">
        <n x="610"/>
        <n x="303"/>
        <n x="304"/>
        <n x="611" s="1"/>
        <n x="699"/>
        <n x="700"/>
      </t>
    </mdx>
    <mdx n="0" f="v">
      <t c="6" si="614">
        <n x="610"/>
        <n x="303"/>
        <n x="304"/>
        <n x="611" s="1"/>
        <n x="701"/>
        <n x="702"/>
      </t>
    </mdx>
    <mdx n="0" f="v">
      <t c="6" si="614">
        <n x="610"/>
        <n x="303"/>
        <n x="304"/>
        <n x="611" s="1"/>
        <n x="703"/>
        <n x="704"/>
      </t>
    </mdx>
    <mdx n="0" f="v">
      <t c="6" si="614">
        <n x="610"/>
        <n x="303"/>
        <n x="304"/>
        <n x="611" s="1"/>
        <n x="705"/>
        <n x="706"/>
      </t>
    </mdx>
    <mdx n="0" f="v">
      <t c="6" si="614">
        <n x="610"/>
        <n x="305"/>
        <n x="306"/>
        <n x="611" s="1"/>
        <n x="612"/>
        <n x="613"/>
      </t>
    </mdx>
    <mdx n="0" f="v">
      <t c="6" si="614">
        <n x="610"/>
        <n x="305"/>
        <n x="306"/>
        <n x="611" s="1"/>
        <n x="615"/>
        <n x="616"/>
      </t>
    </mdx>
    <mdx n="0" f="v">
      <t c="6" si="614">
        <n x="610"/>
        <n x="305"/>
        <n x="306"/>
        <n x="611" s="1"/>
        <n x="617"/>
        <n x="618"/>
      </t>
    </mdx>
    <mdx n="0" f="v">
      <t c="6" si="614">
        <n x="610"/>
        <n x="305"/>
        <n x="306"/>
        <n x="611" s="1"/>
        <n x="619"/>
        <n x="620"/>
      </t>
    </mdx>
    <mdx n="0" f="v">
      <t c="6" si="614">
        <n x="610"/>
        <n x="305"/>
        <n x="306"/>
        <n x="611" s="1"/>
        <n x="621"/>
        <n x="622"/>
      </t>
    </mdx>
    <mdx n="0" f="v">
      <t c="6" si="614">
        <n x="610"/>
        <n x="305"/>
        <n x="306"/>
        <n x="611" s="1"/>
        <n x="625"/>
        <n x="626"/>
      </t>
    </mdx>
    <mdx n="0" f="v">
      <t c="6" si="614">
        <n x="610"/>
        <n x="305"/>
        <n x="306"/>
        <n x="611" s="1"/>
        <n x="627"/>
        <n x="628"/>
      </t>
    </mdx>
    <mdx n="0" f="v">
      <t c="6" si="614">
        <n x="610"/>
        <n x="305"/>
        <n x="306"/>
        <n x="611" s="1"/>
        <n x="629"/>
        <n x="630"/>
      </t>
    </mdx>
    <mdx n="0" f="v">
      <t c="6" si="614">
        <n x="610"/>
        <n x="305"/>
        <n x="306"/>
        <n x="611" s="1"/>
        <n x="631"/>
        <n x="632"/>
      </t>
    </mdx>
    <mdx n="0" f="v">
      <t c="6" si="614">
        <n x="610"/>
        <n x="305"/>
        <n x="306"/>
        <n x="611" s="1"/>
        <n x="633"/>
        <n x="634"/>
      </t>
    </mdx>
    <mdx n="0" f="v">
      <t c="6" si="614">
        <n x="610"/>
        <n x="305"/>
        <n x="306"/>
        <n x="611" s="1"/>
        <n x="639"/>
        <n x="640"/>
      </t>
    </mdx>
    <mdx n="0" f="v">
      <t c="6" si="614">
        <n x="610"/>
        <n x="305"/>
        <n x="306"/>
        <n x="611" s="1"/>
        <n x="641"/>
        <n x="642"/>
      </t>
    </mdx>
    <mdx n="0" f="v">
      <t c="6" si="614">
        <n x="610"/>
        <n x="305"/>
        <n x="306"/>
        <n x="611" s="1"/>
        <n x="643"/>
        <n x="644"/>
      </t>
    </mdx>
    <mdx n="0" f="v">
      <t c="6" si="614">
        <n x="610"/>
        <n x="305"/>
        <n x="306"/>
        <n x="611" s="1"/>
        <n x="645"/>
        <n x="646"/>
      </t>
    </mdx>
    <mdx n="0" f="v">
      <t c="6" si="614">
        <n x="610"/>
        <n x="305"/>
        <n x="306"/>
        <n x="611" s="1"/>
        <n x="651"/>
        <n x="652"/>
      </t>
    </mdx>
    <mdx n="0" f="v">
      <t c="6" si="614">
        <n x="610"/>
        <n x="305"/>
        <n x="306"/>
        <n x="611" s="1"/>
        <n x="657"/>
        <n x="658"/>
      </t>
    </mdx>
    <mdx n="0" f="v">
      <t c="6" si="614">
        <n x="610"/>
        <n x="305"/>
        <n x="306"/>
        <n x="611" s="1"/>
        <n x="659"/>
        <n x="660"/>
      </t>
    </mdx>
    <mdx n="0" f="v">
      <t c="6" si="614">
        <n x="610"/>
        <n x="305"/>
        <n x="306"/>
        <n x="611" s="1"/>
        <n x="661"/>
        <n x="662"/>
      </t>
    </mdx>
    <mdx n="0" f="v">
      <t c="6" si="614">
        <n x="610"/>
        <n x="305"/>
        <n x="306"/>
        <n x="611" s="1"/>
        <n x="663"/>
        <n x="664"/>
      </t>
    </mdx>
    <mdx n="0" f="v">
      <t c="6" si="614">
        <n x="610"/>
        <n x="305"/>
        <n x="306"/>
        <n x="611" s="1"/>
        <n x="665"/>
        <n x="666"/>
      </t>
    </mdx>
    <mdx n="0" f="v">
      <t c="6" si="614">
        <n x="610"/>
        <n x="305"/>
        <n x="306"/>
        <n x="611" s="1"/>
        <n x="669"/>
        <n x="670"/>
      </t>
    </mdx>
    <mdx n="0" f="v">
      <t c="6" si="614">
        <n x="610"/>
        <n x="305"/>
        <n x="306"/>
        <n x="611" s="1"/>
        <n x="671"/>
        <n x="672"/>
      </t>
    </mdx>
    <mdx n="0" f="v">
      <t c="6" si="614">
        <n x="610"/>
        <n x="305"/>
        <n x="306"/>
        <n x="611" s="1"/>
        <n x="673"/>
        <n x="674"/>
      </t>
    </mdx>
    <mdx n="0" f="v">
      <t c="6" si="614">
        <n x="610"/>
        <n x="305"/>
        <n x="306"/>
        <n x="611" s="1"/>
        <n x="687"/>
        <n x="688"/>
      </t>
    </mdx>
    <mdx n="0" f="v">
      <t c="6" si="614">
        <n x="610"/>
        <n x="305"/>
        <n x="306"/>
        <n x="611" s="1"/>
        <n x="689"/>
        <n x="690"/>
      </t>
    </mdx>
    <mdx n="0" f="v">
      <t c="6" si="614">
        <n x="610"/>
        <n x="305"/>
        <n x="306"/>
        <n x="611" s="1"/>
        <n x="691"/>
        <n x="692"/>
      </t>
    </mdx>
    <mdx n="0" f="v">
      <t c="6" si="614">
        <n x="610"/>
        <n x="305"/>
        <n x="306"/>
        <n x="611" s="1"/>
        <n x="695"/>
        <n x="696"/>
      </t>
    </mdx>
    <mdx n="0" f="v">
      <t c="6" si="614">
        <n x="610"/>
        <n x="305"/>
        <n x="306"/>
        <n x="611" s="1"/>
        <n x="699"/>
        <n x="700"/>
      </t>
    </mdx>
    <mdx n="0" f="v">
      <t c="6" si="614">
        <n x="610"/>
        <n x="307"/>
        <n x="308"/>
        <n x="611" s="1"/>
        <n x="615"/>
        <n x="616"/>
      </t>
    </mdx>
    <mdx n="0" f="v">
      <t c="6" si="614">
        <n x="610"/>
        <n x="307"/>
        <n x="308"/>
        <n x="611" s="1"/>
        <n x="623"/>
        <n x="624"/>
      </t>
    </mdx>
    <mdx n="0" f="v">
      <t c="6" si="614">
        <n x="610"/>
        <n x="307"/>
        <n x="308"/>
        <n x="611" s="1"/>
        <n x="627"/>
        <n x="628"/>
      </t>
    </mdx>
    <mdx n="0" f="v">
      <t c="6" si="614">
        <n x="610"/>
        <n x="307"/>
        <n x="308"/>
        <n x="611" s="1"/>
        <n x="635"/>
        <n x="636"/>
      </t>
    </mdx>
    <mdx n="0" f="v">
      <t c="6" si="614">
        <n x="610"/>
        <n x="307"/>
        <n x="308"/>
        <n x="611" s="1"/>
        <n x="645"/>
        <n x="646"/>
      </t>
    </mdx>
    <mdx n="0" f="v">
      <t c="6" si="614">
        <n x="610"/>
        <n x="307"/>
        <n x="308"/>
        <n x="611" s="1"/>
        <n x="647"/>
        <n x="648"/>
      </t>
    </mdx>
    <mdx n="0" f="v">
      <t c="6" si="614">
        <n x="610"/>
        <n x="307"/>
        <n x="308"/>
        <n x="611" s="1"/>
        <n x="651"/>
        <n x="652"/>
      </t>
    </mdx>
    <mdx n="0" f="v">
      <t c="6" si="614">
        <n x="610"/>
        <n x="307"/>
        <n x="308"/>
        <n x="611" s="1"/>
        <n x="657"/>
        <n x="658"/>
      </t>
    </mdx>
    <mdx n="0" f="v">
      <t c="6" si="614">
        <n x="610"/>
        <n x="307"/>
        <n x="308"/>
        <n x="611" s="1"/>
        <n x="659"/>
        <n x="660"/>
      </t>
    </mdx>
    <mdx n="0" f="v">
      <t c="6" si="614">
        <n x="610"/>
        <n x="307"/>
        <n x="308"/>
        <n x="611" s="1"/>
        <n x="663"/>
        <n x="664"/>
      </t>
    </mdx>
    <mdx n="0" f="v">
      <t c="6" si="614">
        <n x="610"/>
        <n x="307"/>
        <n x="308"/>
        <n x="611" s="1"/>
        <n x="665"/>
        <n x="666"/>
      </t>
    </mdx>
    <mdx n="0" f="v">
      <t c="6" si="614">
        <n x="610"/>
        <n x="307"/>
        <n x="308"/>
        <n x="611" s="1"/>
        <n x="667"/>
        <n x="668"/>
      </t>
    </mdx>
    <mdx n="0" f="v">
      <t c="6" si="614">
        <n x="610"/>
        <n x="307"/>
        <n x="308"/>
        <n x="611" s="1"/>
        <n x="669"/>
        <n x="670"/>
      </t>
    </mdx>
    <mdx n="0" f="v">
      <t c="6" si="614">
        <n x="610"/>
        <n x="307"/>
        <n x="308"/>
        <n x="611" s="1"/>
        <n x="671"/>
        <n x="672"/>
      </t>
    </mdx>
    <mdx n="0" f="v">
      <t c="6" si="614">
        <n x="610"/>
        <n x="307"/>
        <n x="308"/>
        <n x="611" s="1"/>
        <n x="673"/>
        <n x="674"/>
      </t>
    </mdx>
    <mdx n="0" f="v">
      <t c="6" si="614">
        <n x="610"/>
        <n x="307"/>
        <n x="308"/>
        <n x="611" s="1"/>
        <n x="675"/>
        <n x="676"/>
      </t>
    </mdx>
    <mdx n="0" f="v">
      <t c="6" si="614">
        <n x="610"/>
        <n x="307"/>
        <n x="308"/>
        <n x="611" s="1"/>
        <n x="677"/>
        <n x="678"/>
      </t>
    </mdx>
    <mdx n="0" f="v">
      <t c="6" si="614">
        <n x="610"/>
        <n x="307"/>
        <n x="308"/>
        <n x="611" s="1"/>
        <n x="679"/>
        <n x="680"/>
      </t>
    </mdx>
    <mdx n="0" f="v">
      <t c="6" si="614">
        <n x="610"/>
        <n x="307"/>
        <n x="308"/>
        <n x="611" s="1"/>
        <n x="681"/>
        <n x="682"/>
      </t>
    </mdx>
    <mdx n="0" f="v">
      <t c="6" si="614">
        <n x="610"/>
        <n x="307"/>
        <n x="308"/>
        <n x="611" s="1"/>
        <n x="689"/>
        <n x="690"/>
      </t>
    </mdx>
    <mdx n="0" f="v">
      <t c="6" si="614">
        <n x="610"/>
        <n x="307"/>
        <n x="308"/>
        <n x="611" s="1"/>
        <n x="697"/>
        <n x="698"/>
      </t>
    </mdx>
    <mdx n="0" f="v">
      <t c="6" si="614">
        <n x="610"/>
        <n x="307"/>
        <n x="308"/>
        <n x="611" s="1"/>
        <n x="701"/>
        <n x="702"/>
      </t>
    </mdx>
    <mdx n="0" f="v">
      <t c="6" si="614">
        <n x="610"/>
        <n x="309"/>
        <n x="310"/>
        <n x="611" s="1"/>
        <n x="612"/>
        <n x="613"/>
      </t>
    </mdx>
    <mdx n="0" f="v">
      <t c="6" si="614">
        <n x="610"/>
        <n x="309"/>
        <n x="310"/>
        <n x="611" s="1"/>
        <n x="617"/>
        <n x="618"/>
      </t>
    </mdx>
    <mdx n="0" f="v">
      <t c="6" si="614">
        <n x="610"/>
        <n x="309"/>
        <n x="310"/>
        <n x="611" s="1"/>
        <n x="623"/>
        <n x="624"/>
      </t>
    </mdx>
    <mdx n="0" f="v">
      <t c="6" si="614">
        <n x="610"/>
        <n x="309"/>
        <n x="310"/>
        <n x="611" s="1"/>
        <n x="625"/>
        <n x="626"/>
      </t>
    </mdx>
    <mdx n="0" f="v">
      <t c="6" si="614">
        <n x="610"/>
        <n x="309"/>
        <n x="310"/>
        <n x="611" s="1"/>
        <n x="627"/>
        <n x="628"/>
      </t>
    </mdx>
    <mdx n="0" f="v">
      <t c="6" si="614">
        <n x="610"/>
        <n x="309"/>
        <n x="310"/>
        <n x="611" s="1"/>
        <n x="629"/>
        <n x="630"/>
      </t>
    </mdx>
    <mdx n="0" f="v">
      <t c="6" si="614">
        <n x="610"/>
        <n x="309"/>
        <n x="310"/>
        <n x="611" s="1"/>
        <n x="635"/>
        <n x="636"/>
      </t>
    </mdx>
    <mdx n="0" f="v">
      <t c="6" si="614">
        <n x="610"/>
        <n x="309"/>
        <n x="310"/>
        <n x="611" s="1"/>
        <n x="637"/>
        <n x="638"/>
      </t>
    </mdx>
    <mdx n="0" f="v">
      <t c="6" si="614">
        <n x="610"/>
        <n x="309"/>
        <n x="310"/>
        <n x="611" s="1"/>
        <n x="645"/>
        <n x="646"/>
      </t>
    </mdx>
    <mdx n="0" f="v">
      <t c="6" si="614">
        <n x="610"/>
        <n x="309"/>
        <n x="310"/>
        <n x="611" s="1"/>
        <n x="647"/>
        <n x="648"/>
      </t>
    </mdx>
    <mdx n="0" f="v">
      <t c="6" si="614">
        <n x="610"/>
        <n x="309"/>
        <n x="310"/>
        <n x="611" s="1"/>
        <n x="649"/>
        <n x="650"/>
      </t>
    </mdx>
    <mdx n="0" f="v">
      <t c="6" si="614">
        <n x="610"/>
        <n x="309"/>
        <n x="310"/>
        <n x="611" s="1"/>
        <n x="651"/>
        <n x="652"/>
      </t>
    </mdx>
    <mdx n="0" f="v">
      <t c="6" si="614">
        <n x="610"/>
        <n x="309"/>
        <n x="310"/>
        <n x="611" s="1"/>
        <n x="655"/>
        <n x="656"/>
      </t>
    </mdx>
    <mdx n="0" f="v">
      <t c="6" si="614">
        <n x="610"/>
        <n x="309"/>
        <n x="310"/>
        <n x="611" s="1"/>
        <n x="657"/>
        <n x="658"/>
      </t>
    </mdx>
    <mdx n="0" f="v">
      <t c="6" si="614">
        <n x="610"/>
        <n x="309"/>
        <n x="310"/>
        <n x="611" s="1"/>
        <n x="659"/>
        <n x="660"/>
      </t>
    </mdx>
    <mdx n="0" f="v">
      <t c="6" si="614">
        <n x="610"/>
        <n x="309"/>
        <n x="310"/>
        <n x="611" s="1"/>
        <n x="661"/>
        <n x="662"/>
      </t>
    </mdx>
    <mdx n="0" f="v">
      <t c="6" si="614">
        <n x="610"/>
        <n x="309"/>
        <n x="310"/>
        <n x="611" s="1"/>
        <n x="665"/>
        <n x="666"/>
      </t>
    </mdx>
    <mdx n="0" f="v">
      <t c="6" si="614">
        <n x="610"/>
        <n x="309"/>
        <n x="310"/>
        <n x="611" s="1"/>
        <n x="669"/>
        <n x="670"/>
      </t>
    </mdx>
    <mdx n="0" f="v">
      <t c="6" si="614">
        <n x="610"/>
        <n x="309"/>
        <n x="310"/>
        <n x="611" s="1"/>
        <n x="671"/>
        <n x="672"/>
      </t>
    </mdx>
    <mdx n="0" f="v">
      <t c="6" si="614">
        <n x="610"/>
        <n x="309"/>
        <n x="310"/>
        <n x="611" s="1"/>
        <n x="673"/>
        <n x="674"/>
      </t>
    </mdx>
    <mdx n="0" f="v">
      <t c="6" si="614">
        <n x="610"/>
        <n x="309"/>
        <n x="310"/>
        <n x="611" s="1"/>
        <n x="677"/>
        <n x="678"/>
      </t>
    </mdx>
    <mdx n="0" f="v">
      <t c="6" si="614">
        <n x="610"/>
        <n x="309"/>
        <n x="310"/>
        <n x="611" s="1"/>
        <n x="679"/>
        <n x="680"/>
      </t>
    </mdx>
    <mdx n="0" f="v">
      <t c="6" si="614">
        <n x="610"/>
        <n x="309"/>
        <n x="310"/>
        <n x="611" s="1"/>
        <n x="681"/>
        <n x="682"/>
      </t>
    </mdx>
    <mdx n="0" f="v">
      <t c="6" si="614">
        <n x="610"/>
        <n x="309"/>
        <n x="310"/>
        <n x="611" s="1"/>
        <n x="683"/>
        <n x="684"/>
      </t>
    </mdx>
    <mdx n="0" f="v">
      <t c="6" si="614">
        <n x="610"/>
        <n x="309"/>
        <n x="310"/>
        <n x="611" s="1"/>
        <n x="685"/>
        <n x="686"/>
      </t>
    </mdx>
    <mdx n="0" f="v">
      <t c="6" si="614">
        <n x="610"/>
        <n x="309"/>
        <n x="310"/>
        <n x="611" s="1"/>
        <n x="689"/>
        <n x="690"/>
      </t>
    </mdx>
    <mdx n="0" f="v">
      <t c="6" si="614">
        <n x="610"/>
        <n x="309"/>
        <n x="310"/>
        <n x="611" s="1"/>
        <n x="697"/>
        <n x="698"/>
      </t>
    </mdx>
    <mdx n="0" f="v">
      <t c="6" si="614">
        <n x="610"/>
        <n x="309"/>
        <n x="310"/>
        <n x="611" s="1"/>
        <n x="703"/>
        <n x="704"/>
      </t>
    </mdx>
    <mdx n="0" f="v">
      <t c="6" si="614">
        <n x="610"/>
        <n x="311"/>
        <n x="312"/>
        <n x="611" s="1"/>
        <n x="612"/>
        <n x="613"/>
      </t>
    </mdx>
    <mdx n="0" f="v">
      <t c="6" si="614">
        <n x="610"/>
        <n x="311"/>
        <n x="312"/>
        <n x="611" s="1"/>
        <n x="615"/>
        <n x="616"/>
      </t>
    </mdx>
    <mdx n="0" f="v">
      <t c="6" si="614">
        <n x="610"/>
        <n x="311"/>
        <n x="312"/>
        <n x="611" s="1"/>
        <n x="617"/>
        <n x="618"/>
      </t>
    </mdx>
    <mdx n="0" f="v">
      <t c="6" si="614">
        <n x="610"/>
        <n x="311"/>
        <n x="312"/>
        <n x="611" s="1"/>
        <n x="621"/>
        <n x="622"/>
      </t>
    </mdx>
    <mdx n="0" f="v">
      <t c="6" si="614">
        <n x="610"/>
        <n x="311"/>
        <n x="312"/>
        <n x="611" s="1"/>
        <n x="623"/>
        <n x="624"/>
      </t>
    </mdx>
    <mdx n="0" f="v">
      <t c="6" si="614">
        <n x="610"/>
        <n x="311"/>
        <n x="312"/>
        <n x="611" s="1"/>
        <n x="625"/>
        <n x="626"/>
      </t>
    </mdx>
    <mdx n="0" f="v">
      <t c="6" si="614">
        <n x="610"/>
        <n x="311"/>
        <n x="312"/>
        <n x="611" s="1"/>
        <n x="627"/>
        <n x="628"/>
      </t>
    </mdx>
    <mdx n="0" f="v">
      <t c="6" si="614">
        <n x="610"/>
        <n x="311"/>
        <n x="312"/>
        <n x="611" s="1"/>
        <n x="629"/>
        <n x="630"/>
      </t>
    </mdx>
    <mdx n="0" f="v">
      <t c="6" si="614">
        <n x="610"/>
        <n x="311"/>
        <n x="312"/>
        <n x="611" s="1"/>
        <n x="631"/>
        <n x="632"/>
      </t>
    </mdx>
    <mdx n="0" f="v">
      <t c="6" si="614">
        <n x="610"/>
        <n x="311"/>
        <n x="312"/>
        <n x="611" s="1"/>
        <n x="635"/>
        <n x="636"/>
      </t>
    </mdx>
    <mdx n="0" f="v">
      <t c="6" si="614">
        <n x="610"/>
        <n x="311"/>
        <n x="312"/>
        <n x="611" s="1"/>
        <n x="637"/>
        <n x="638"/>
      </t>
    </mdx>
    <mdx n="0" f="v">
      <t c="6" si="614">
        <n x="610"/>
        <n x="311"/>
        <n x="312"/>
        <n x="611" s="1"/>
        <n x="639"/>
        <n x="640"/>
      </t>
    </mdx>
    <mdx n="0" f="v">
      <t c="6" si="614">
        <n x="610"/>
        <n x="311"/>
        <n x="312"/>
        <n x="611" s="1"/>
        <n x="643"/>
        <n x="644"/>
      </t>
    </mdx>
    <mdx n="0" f="v">
      <t c="6" si="614">
        <n x="610"/>
        <n x="311"/>
        <n x="312"/>
        <n x="611" s="1"/>
        <n x="657"/>
        <n x="658"/>
      </t>
    </mdx>
    <mdx n="0" f="v">
      <t c="6" si="614">
        <n x="610"/>
        <n x="311"/>
        <n x="312"/>
        <n x="611" s="1"/>
        <n x="659"/>
        <n x="660"/>
      </t>
    </mdx>
    <mdx n="0" f="v">
      <t c="6" si="614">
        <n x="610"/>
        <n x="311"/>
        <n x="312"/>
        <n x="611" s="1"/>
        <n x="663"/>
        <n x="664"/>
      </t>
    </mdx>
    <mdx n="0" f="v">
      <t c="6" si="614">
        <n x="610"/>
        <n x="311"/>
        <n x="312"/>
        <n x="611" s="1"/>
        <n x="665"/>
        <n x="666"/>
      </t>
    </mdx>
    <mdx n="0" f="v">
      <t c="6" si="614">
        <n x="610"/>
        <n x="311"/>
        <n x="312"/>
        <n x="611" s="1"/>
        <n x="667"/>
        <n x="668"/>
      </t>
    </mdx>
    <mdx n="0" f="v">
      <t c="6" si="614">
        <n x="610"/>
        <n x="311"/>
        <n x="312"/>
        <n x="611" s="1"/>
        <n x="669"/>
        <n x="670"/>
      </t>
    </mdx>
    <mdx n="0" f="v">
      <t c="6" si="614">
        <n x="610"/>
        <n x="311"/>
        <n x="312"/>
        <n x="611" s="1"/>
        <n x="671"/>
        <n x="672"/>
      </t>
    </mdx>
    <mdx n="0" f="v">
      <t c="6" si="614">
        <n x="610"/>
        <n x="311"/>
        <n x="312"/>
        <n x="611" s="1"/>
        <n x="675"/>
        <n x="676"/>
      </t>
    </mdx>
    <mdx n="0" f="v">
      <t c="6" si="614">
        <n x="610"/>
        <n x="311"/>
        <n x="312"/>
        <n x="611" s="1"/>
        <n x="677"/>
        <n x="678"/>
      </t>
    </mdx>
    <mdx n="0" f="v">
      <t c="6" si="614">
        <n x="610"/>
        <n x="311"/>
        <n x="312"/>
        <n x="611" s="1"/>
        <n x="685"/>
        <n x="686"/>
      </t>
    </mdx>
    <mdx n="0" f="v">
      <t c="6" si="614">
        <n x="610"/>
        <n x="311"/>
        <n x="312"/>
        <n x="611" s="1"/>
        <n x="689"/>
        <n x="690"/>
      </t>
    </mdx>
    <mdx n="0" f="v">
      <t c="6" si="614">
        <n x="610"/>
        <n x="311"/>
        <n x="312"/>
        <n x="611" s="1"/>
        <n x="695"/>
        <n x="696"/>
      </t>
    </mdx>
    <mdx n="0" f="v">
      <t c="6" si="614">
        <n x="610"/>
        <n x="311"/>
        <n x="312"/>
        <n x="611" s="1"/>
        <n x="699"/>
        <n x="700"/>
      </t>
    </mdx>
    <mdx n="0" f="v">
      <t c="6" si="614">
        <n x="610"/>
        <n x="311"/>
        <n x="312"/>
        <n x="611" s="1"/>
        <n x="701"/>
        <n x="702"/>
      </t>
    </mdx>
    <mdx n="0" f="v">
      <t c="6" si="614">
        <n x="610"/>
        <n x="311"/>
        <n x="312"/>
        <n x="611" s="1"/>
        <n x="703"/>
        <n x="704"/>
      </t>
    </mdx>
    <mdx n="0" f="v">
      <t c="6" si="614">
        <n x="610"/>
        <n x="311"/>
        <n x="312"/>
        <n x="611" s="1"/>
        <n x="707"/>
        <n x="708"/>
      </t>
    </mdx>
    <mdx n="0" f="v">
      <t c="6" si="614">
        <n x="610"/>
        <n x="313"/>
        <n x="314"/>
        <n x="611" s="1"/>
        <n x="612"/>
        <n x="613"/>
      </t>
    </mdx>
    <mdx n="0" f="v">
      <t c="6" si="614">
        <n x="610"/>
        <n x="313"/>
        <n x="314"/>
        <n x="611" s="1"/>
        <n x="619"/>
        <n x="620"/>
      </t>
    </mdx>
    <mdx n="0" f="v">
      <t c="6" si="614">
        <n x="610"/>
        <n x="313"/>
        <n x="314"/>
        <n x="611" s="1"/>
        <n x="621"/>
        <n x="622"/>
      </t>
    </mdx>
    <mdx n="0" f="v">
      <t c="6" si="614">
        <n x="610"/>
        <n x="313"/>
        <n x="314"/>
        <n x="611" s="1"/>
        <n x="623"/>
        <n x="624"/>
      </t>
    </mdx>
    <mdx n="0" f="v">
      <t c="6" si="614">
        <n x="610"/>
        <n x="313"/>
        <n x="314"/>
        <n x="611" s="1"/>
        <n x="627"/>
        <n x="628"/>
      </t>
    </mdx>
    <mdx n="0" f="v">
      <t c="6" si="614">
        <n x="610"/>
        <n x="313"/>
        <n x="314"/>
        <n x="611" s="1"/>
        <n x="631"/>
        <n x="632"/>
      </t>
    </mdx>
    <mdx n="0" f="v">
      <t c="6" si="614">
        <n x="610"/>
        <n x="313"/>
        <n x="314"/>
        <n x="611" s="1"/>
        <n x="633"/>
        <n x="634"/>
      </t>
    </mdx>
    <mdx n="0" f="v">
      <t c="6" si="614">
        <n x="610"/>
        <n x="313"/>
        <n x="314"/>
        <n x="611" s="1"/>
        <n x="635"/>
        <n x="636"/>
      </t>
    </mdx>
    <mdx n="0" f="v">
      <t c="6" si="614">
        <n x="610"/>
        <n x="313"/>
        <n x="314"/>
        <n x="611" s="1"/>
        <n x="637"/>
        <n x="638"/>
      </t>
    </mdx>
    <mdx n="0" f="v">
      <t c="6" si="614">
        <n x="610"/>
        <n x="313"/>
        <n x="314"/>
        <n x="611" s="1"/>
        <n x="639"/>
        <n x="640"/>
      </t>
    </mdx>
    <mdx n="0" f="v">
      <t c="6" si="614">
        <n x="610"/>
        <n x="313"/>
        <n x="314"/>
        <n x="611" s="1"/>
        <n x="645"/>
        <n x="646"/>
      </t>
    </mdx>
    <mdx n="0" f="v">
      <t c="6" si="614">
        <n x="610"/>
        <n x="313"/>
        <n x="314"/>
        <n x="611" s="1"/>
        <n x="647"/>
        <n x="648"/>
      </t>
    </mdx>
    <mdx n="0" f="v">
      <t c="6" si="614">
        <n x="610"/>
        <n x="313"/>
        <n x="314"/>
        <n x="611" s="1"/>
        <n x="649"/>
        <n x="650"/>
      </t>
    </mdx>
    <mdx n="0" f="v">
      <t c="6" si="614">
        <n x="610"/>
        <n x="313"/>
        <n x="314"/>
        <n x="611" s="1"/>
        <n x="653"/>
        <n x="654"/>
      </t>
    </mdx>
    <mdx n="0" f="v">
      <t c="6" si="614">
        <n x="610"/>
        <n x="313"/>
        <n x="314"/>
        <n x="611" s="1"/>
        <n x="655"/>
        <n x="656"/>
      </t>
    </mdx>
    <mdx n="0" f="v">
      <t c="6" si="614">
        <n x="610"/>
        <n x="313"/>
        <n x="314"/>
        <n x="611" s="1"/>
        <n x="657"/>
        <n x="658"/>
      </t>
    </mdx>
    <mdx n="0" f="v">
      <t c="6" si="614">
        <n x="610"/>
        <n x="313"/>
        <n x="314"/>
        <n x="611" s="1"/>
        <n x="659"/>
        <n x="660"/>
      </t>
    </mdx>
    <mdx n="0" f="v">
      <t c="6" si="614">
        <n x="610"/>
        <n x="313"/>
        <n x="314"/>
        <n x="611" s="1"/>
        <n x="663"/>
        <n x="664"/>
      </t>
    </mdx>
    <mdx n="0" f="v">
      <t c="6" si="614">
        <n x="610"/>
        <n x="313"/>
        <n x="314"/>
        <n x="611" s="1"/>
        <n x="665"/>
        <n x="666"/>
      </t>
    </mdx>
    <mdx n="0" f="v">
      <t c="6" si="614">
        <n x="610"/>
        <n x="313"/>
        <n x="314"/>
        <n x="611" s="1"/>
        <n x="669"/>
        <n x="670"/>
      </t>
    </mdx>
    <mdx n="0" f="v">
      <t c="6" si="614">
        <n x="610"/>
        <n x="313"/>
        <n x="314"/>
        <n x="611" s="1"/>
        <n x="671"/>
        <n x="672"/>
      </t>
    </mdx>
    <mdx n="0" f="v">
      <t c="6" si="614">
        <n x="610"/>
        <n x="313"/>
        <n x="314"/>
        <n x="611" s="1"/>
        <n x="673"/>
        <n x="674"/>
      </t>
    </mdx>
    <mdx n="0" f="v">
      <t c="6" si="614">
        <n x="610"/>
        <n x="313"/>
        <n x="314"/>
        <n x="611" s="1"/>
        <n x="677"/>
        <n x="678"/>
      </t>
    </mdx>
    <mdx n="0" f="v">
      <t c="6" si="614">
        <n x="610"/>
        <n x="313"/>
        <n x="314"/>
        <n x="611" s="1"/>
        <n x="681"/>
        <n x="682"/>
      </t>
    </mdx>
    <mdx n="0" f="v">
      <t c="6" si="614">
        <n x="610"/>
        <n x="313"/>
        <n x="314"/>
        <n x="611" s="1"/>
        <n x="683"/>
        <n x="684"/>
      </t>
    </mdx>
    <mdx n="0" f="v">
      <t c="6" si="614">
        <n x="610"/>
        <n x="313"/>
        <n x="314"/>
        <n x="611" s="1"/>
        <n x="685"/>
        <n x="686"/>
      </t>
    </mdx>
    <mdx n="0" f="v">
      <t c="6" si="614">
        <n x="610"/>
        <n x="313"/>
        <n x="314"/>
        <n x="611" s="1"/>
        <n x="687"/>
        <n x="688"/>
      </t>
    </mdx>
    <mdx n="0" f="v">
      <t c="6" si="614">
        <n x="610"/>
        <n x="313"/>
        <n x="314"/>
        <n x="611" s="1"/>
        <n x="689"/>
        <n x="690"/>
      </t>
    </mdx>
    <mdx n="0" f="v">
      <t c="6" si="614">
        <n x="610"/>
        <n x="313"/>
        <n x="314"/>
        <n x="611" s="1"/>
        <n x="691"/>
        <n x="692"/>
      </t>
    </mdx>
    <mdx n="0" f="v">
      <t c="6" si="614">
        <n x="610"/>
        <n x="313"/>
        <n x="314"/>
        <n x="611" s="1"/>
        <n x="693"/>
        <n x="694"/>
      </t>
    </mdx>
    <mdx n="0" f="v">
      <t c="6" si="614">
        <n x="610"/>
        <n x="313"/>
        <n x="314"/>
        <n x="611" s="1"/>
        <n x="701"/>
        <n x="702"/>
      </t>
    </mdx>
    <mdx n="0" f="v">
      <t c="6" si="614">
        <n x="610"/>
        <n x="313"/>
        <n x="314"/>
        <n x="611" s="1"/>
        <n x="703"/>
        <n x="704"/>
      </t>
    </mdx>
    <mdx n="0" f="v">
      <t c="6" si="614">
        <n x="610"/>
        <n x="313"/>
        <n x="314"/>
        <n x="611" s="1"/>
        <n x="707"/>
        <n x="708"/>
      </t>
    </mdx>
    <mdx n="0" f="v">
      <t c="6" si="614">
        <n x="610"/>
        <n x="315"/>
        <n x="316"/>
        <n x="611" s="1"/>
        <n x="612"/>
        <n x="613"/>
      </t>
    </mdx>
    <mdx n="0" f="v">
      <t c="6" si="614">
        <n x="610"/>
        <n x="315"/>
        <n x="316"/>
        <n x="611" s="1"/>
        <n x="615"/>
        <n x="616"/>
      </t>
    </mdx>
    <mdx n="0" f="v">
      <t c="6" si="614">
        <n x="610"/>
        <n x="315"/>
        <n x="316"/>
        <n x="611" s="1"/>
        <n x="621"/>
        <n x="622"/>
      </t>
    </mdx>
    <mdx n="0" f="v">
      <t c="6" si="614">
        <n x="610"/>
        <n x="315"/>
        <n x="316"/>
        <n x="611" s="1"/>
        <n x="627"/>
        <n x="628"/>
      </t>
    </mdx>
    <mdx n="0" f="v">
      <t c="6" si="614">
        <n x="610"/>
        <n x="315"/>
        <n x="316"/>
        <n x="611" s="1"/>
        <n x="629"/>
        <n x="630"/>
      </t>
    </mdx>
    <mdx n="0" f="v">
      <t c="6" si="614">
        <n x="610"/>
        <n x="315"/>
        <n x="316"/>
        <n x="611" s="1"/>
        <n x="635"/>
        <n x="636"/>
      </t>
    </mdx>
    <mdx n="0" f="v">
      <t c="6" si="614">
        <n x="610"/>
        <n x="315"/>
        <n x="316"/>
        <n x="611" s="1"/>
        <n x="637"/>
        <n x="638"/>
      </t>
    </mdx>
    <mdx n="0" f="v">
      <t c="6" si="614">
        <n x="610"/>
        <n x="315"/>
        <n x="316"/>
        <n x="611" s="1"/>
        <n x="639"/>
        <n x="640"/>
      </t>
    </mdx>
    <mdx n="0" f="v">
      <t c="6" si="614">
        <n x="610"/>
        <n x="315"/>
        <n x="316"/>
        <n x="611" s="1"/>
        <n x="643"/>
        <n x="644"/>
      </t>
    </mdx>
    <mdx n="0" f="v">
      <t c="6" si="614">
        <n x="610"/>
        <n x="315"/>
        <n x="316"/>
        <n x="611" s="1"/>
        <n x="645"/>
        <n x="646"/>
      </t>
    </mdx>
    <mdx n="0" f="v">
      <t c="6" si="614">
        <n x="610"/>
        <n x="315"/>
        <n x="316"/>
        <n x="611" s="1"/>
        <n x="647"/>
        <n x="648"/>
      </t>
    </mdx>
    <mdx n="0" f="v">
      <t c="6" si="614">
        <n x="610"/>
        <n x="315"/>
        <n x="316"/>
        <n x="611" s="1"/>
        <n x="655"/>
        <n x="656"/>
      </t>
    </mdx>
    <mdx n="0" f="v">
      <t c="6" si="614">
        <n x="610"/>
        <n x="315"/>
        <n x="316"/>
        <n x="611" s="1"/>
        <n x="657"/>
        <n x="658"/>
      </t>
    </mdx>
    <mdx n="0" f="v">
      <t c="6" si="614">
        <n x="610"/>
        <n x="315"/>
        <n x="316"/>
        <n x="611" s="1"/>
        <n x="659"/>
        <n x="660"/>
      </t>
    </mdx>
    <mdx n="0" f="v">
      <t c="6" si="614">
        <n x="610"/>
        <n x="315"/>
        <n x="316"/>
        <n x="611" s="1"/>
        <n x="661"/>
        <n x="662"/>
      </t>
    </mdx>
    <mdx n="0" f="v">
      <t c="6" si="614">
        <n x="610"/>
        <n x="315"/>
        <n x="316"/>
        <n x="611" s="1"/>
        <n x="663"/>
        <n x="664"/>
      </t>
    </mdx>
    <mdx n="0" f="v">
      <t c="6" si="614">
        <n x="610"/>
        <n x="315"/>
        <n x="316"/>
        <n x="611" s="1"/>
        <n x="667"/>
        <n x="668"/>
      </t>
    </mdx>
    <mdx n="0" f="v">
      <t c="6" si="614">
        <n x="610"/>
        <n x="315"/>
        <n x="316"/>
        <n x="611" s="1"/>
        <n x="669"/>
        <n x="670"/>
      </t>
    </mdx>
    <mdx n="0" f="v">
      <t c="6" si="614">
        <n x="610"/>
        <n x="315"/>
        <n x="316"/>
        <n x="611" s="1"/>
        <n x="671"/>
        <n x="672"/>
      </t>
    </mdx>
    <mdx n="0" f="v">
      <t c="6" si="614">
        <n x="610"/>
        <n x="315"/>
        <n x="316"/>
        <n x="611" s="1"/>
        <n x="673"/>
        <n x="674"/>
      </t>
    </mdx>
    <mdx n="0" f="v">
      <t c="6" si="614">
        <n x="610"/>
        <n x="315"/>
        <n x="316"/>
        <n x="611" s="1"/>
        <n x="675"/>
        <n x="676"/>
      </t>
    </mdx>
    <mdx n="0" f="v">
      <t c="6" si="614">
        <n x="610"/>
        <n x="315"/>
        <n x="316"/>
        <n x="611" s="1"/>
        <n x="677"/>
        <n x="678"/>
      </t>
    </mdx>
    <mdx n="0" f="v">
      <t c="6" si="614">
        <n x="610"/>
        <n x="315"/>
        <n x="316"/>
        <n x="611" s="1"/>
        <n x="679"/>
        <n x="680"/>
      </t>
    </mdx>
    <mdx n="0" f="v">
      <t c="6" si="614">
        <n x="610"/>
        <n x="315"/>
        <n x="316"/>
        <n x="611" s="1"/>
        <n x="683"/>
        <n x="684"/>
      </t>
    </mdx>
    <mdx n="0" f="v">
      <t c="6" si="614">
        <n x="610"/>
        <n x="315"/>
        <n x="316"/>
        <n x="611" s="1"/>
        <n x="685"/>
        <n x="686"/>
      </t>
    </mdx>
    <mdx n="0" f="v">
      <t c="6" si="614">
        <n x="610"/>
        <n x="315"/>
        <n x="316"/>
        <n x="611" s="1"/>
        <n x="689"/>
        <n x="690"/>
      </t>
    </mdx>
    <mdx n="0" f="v">
      <t c="6" si="614">
        <n x="610"/>
        <n x="315"/>
        <n x="316"/>
        <n x="611" s="1"/>
        <n x="693"/>
        <n x="694"/>
      </t>
    </mdx>
    <mdx n="0" f="v">
      <t c="6" si="614">
        <n x="610"/>
        <n x="315"/>
        <n x="316"/>
        <n x="611" s="1"/>
        <n x="695"/>
        <n x="696"/>
      </t>
    </mdx>
    <mdx n="0" f="v">
      <t c="6" si="614">
        <n x="610"/>
        <n x="315"/>
        <n x="316"/>
        <n x="611" s="1"/>
        <n x="697"/>
        <n x="698"/>
      </t>
    </mdx>
    <mdx n="0" f="v">
      <t c="6" si="614">
        <n x="610"/>
        <n x="315"/>
        <n x="316"/>
        <n x="611" s="1"/>
        <n x="699"/>
        <n x="700"/>
      </t>
    </mdx>
    <mdx n="0" f="v">
      <t c="6" si="614">
        <n x="610"/>
        <n x="315"/>
        <n x="316"/>
        <n x="611" s="1"/>
        <n x="701"/>
        <n x="702"/>
      </t>
    </mdx>
    <mdx n="0" f="v">
      <t c="6" si="614">
        <n x="610"/>
        <n x="317"/>
        <n x="318"/>
        <n x="611" s="1"/>
        <n x="612"/>
        <n x="613"/>
      </t>
    </mdx>
    <mdx n="0" f="v">
      <t c="6" si="614">
        <n x="610"/>
        <n x="317"/>
        <n x="318"/>
        <n x="611" s="1"/>
        <n x="617"/>
        <n x="618"/>
      </t>
    </mdx>
    <mdx n="0" f="v">
      <t c="6" si="614">
        <n x="610"/>
        <n x="317"/>
        <n x="318"/>
        <n x="611" s="1"/>
        <n x="619"/>
        <n x="620"/>
      </t>
    </mdx>
    <mdx n="0" f="v">
      <t c="6" si="614">
        <n x="610"/>
        <n x="317"/>
        <n x="318"/>
        <n x="611" s="1"/>
        <n x="621"/>
        <n x="622"/>
      </t>
    </mdx>
    <mdx n="0" f="v">
      <t c="6" si="614">
        <n x="610"/>
        <n x="317"/>
        <n x="318"/>
        <n x="611" s="1"/>
        <n x="627"/>
        <n x="628"/>
      </t>
    </mdx>
    <mdx n="0" f="v">
      <t c="6" si="614">
        <n x="610"/>
        <n x="317"/>
        <n x="318"/>
        <n x="611" s="1"/>
        <n x="631"/>
        <n x="632"/>
      </t>
    </mdx>
    <mdx n="0" f="v">
      <t c="6" si="614">
        <n x="610"/>
        <n x="317"/>
        <n x="318"/>
        <n x="611" s="1"/>
        <n x="633"/>
        <n x="634"/>
      </t>
    </mdx>
    <mdx n="0" f="v">
      <t c="6" si="614">
        <n x="610"/>
        <n x="317"/>
        <n x="318"/>
        <n x="611" s="1"/>
        <n x="635"/>
        <n x="636"/>
      </t>
    </mdx>
    <mdx n="0" f="v">
      <t c="6" si="614">
        <n x="610"/>
        <n x="317"/>
        <n x="318"/>
        <n x="611" s="1"/>
        <n x="637"/>
        <n x="638"/>
      </t>
    </mdx>
    <mdx n="0" f="v">
      <t c="6" si="614">
        <n x="610"/>
        <n x="317"/>
        <n x="318"/>
        <n x="611" s="1"/>
        <n x="647"/>
        <n x="648"/>
      </t>
    </mdx>
    <mdx n="0" f="v">
      <t c="6" si="614">
        <n x="610"/>
        <n x="317"/>
        <n x="318"/>
        <n x="611" s="1"/>
        <n x="657"/>
        <n x="658"/>
      </t>
    </mdx>
    <mdx n="0" f="v">
      <t c="6" si="614">
        <n x="610"/>
        <n x="317"/>
        <n x="318"/>
        <n x="611" s="1"/>
        <n x="659"/>
        <n x="660"/>
      </t>
    </mdx>
    <mdx n="0" f="v">
      <t c="6" si="614">
        <n x="610"/>
        <n x="317"/>
        <n x="318"/>
        <n x="611" s="1"/>
        <n x="663"/>
        <n x="664"/>
      </t>
    </mdx>
    <mdx n="0" f="v">
      <t c="6" si="614">
        <n x="610"/>
        <n x="317"/>
        <n x="318"/>
        <n x="611" s="1"/>
        <n x="669"/>
        <n x="670"/>
      </t>
    </mdx>
    <mdx n="0" f="v">
      <t c="6" si="614">
        <n x="610"/>
        <n x="317"/>
        <n x="318"/>
        <n x="611" s="1"/>
        <n x="673"/>
        <n x="674"/>
      </t>
    </mdx>
    <mdx n="0" f="v">
      <t c="6" si="614">
        <n x="610"/>
        <n x="317"/>
        <n x="318"/>
        <n x="611" s="1"/>
        <n x="675"/>
        <n x="676"/>
      </t>
    </mdx>
    <mdx n="0" f="v">
      <t c="6" si="614">
        <n x="610"/>
        <n x="317"/>
        <n x="318"/>
        <n x="611" s="1"/>
        <n x="677"/>
        <n x="678"/>
      </t>
    </mdx>
    <mdx n="0" f="v">
      <t c="6" si="614">
        <n x="610"/>
        <n x="317"/>
        <n x="318"/>
        <n x="611" s="1"/>
        <n x="679"/>
        <n x="680"/>
      </t>
    </mdx>
    <mdx n="0" f="v">
      <t c="6" si="614">
        <n x="610"/>
        <n x="317"/>
        <n x="318"/>
        <n x="611" s="1"/>
        <n x="681"/>
        <n x="682"/>
      </t>
    </mdx>
    <mdx n="0" f="v">
      <t c="6" si="614">
        <n x="610"/>
        <n x="317"/>
        <n x="318"/>
        <n x="611" s="1"/>
        <n x="685"/>
        <n x="686"/>
      </t>
    </mdx>
    <mdx n="0" f="v">
      <t c="6" si="614">
        <n x="610"/>
        <n x="317"/>
        <n x="318"/>
        <n x="611" s="1"/>
        <n x="695"/>
        <n x="696"/>
      </t>
    </mdx>
    <mdx n="0" f="v">
      <t c="6" si="614">
        <n x="610"/>
        <n x="317"/>
        <n x="318"/>
        <n x="611" s="1"/>
        <n x="697"/>
        <n x="698"/>
      </t>
    </mdx>
    <mdx n="0" f="v">
      <t c="6" si="614">
        <n x="610"/>
        <n x="317"/>
        <n x="318"/>
        <n x="611" s="1"/>
        <n x="699"/>
        <n x="700"/>
      </t>
    </mdx>
    <mdx n="0" f="v">
      <t c="6" si="614">
        <n x="610"/>
        <n x="317"/>
        <n x="318"/>
        <n x="611" s="1"/>
        <n x="701"/>
        <n x="702"/>
      </t>
    </mdx>
    <mdx n="0" f="v">
      <t c="6" si="614">
        <n x="610"/>
        <n x="319"/>
        <n x="320"/>
        <n x="611" s="1"/>
        <n x="612"/>
        <n x="613"/>
      </t>
    </mdx>
    <mdx n="0" f="v">
      <t c="6" si="614">
        <n x="610"/>
        <n x="319"/>
        <n x="320"/>
        <n x="611" s="1"/>
        <n x="615"/>
        <n x="616"/>
      </t>
    </mdx>
    <mdx n="0" f="v">
      <t c="6" si="614">
        <n x="610"/>
        <n x="319"/>
        <n x="320"/>
        <n x="611" s="1"/>
        <n x="617"/>
        <n x="618"/>
      </t>
    </mdx>
    <mdx n="0" f="v">
      <t c="6" si="614">
        <n x="610"/>
        <n x="319"/>
        <n x="320"/>
        <n x="611" s="1"/>
        <n x="619"/>
        <n x="620"/>
      </t>
    </mdx>
    <mdx n="0" f="v">
      <t c="6" si="614">
        <n x="610"/>
        <n x="319"/>
        <n x="320"/>
        <n x="611" s="1"/>
        <n x="623"/>
        <n x="624"/>
      </t>
    </mdx>
    <mdx n="0" f="v">
      <t c="6" si="614">
        <n x="610"/>
        <n x="319"/>
        <n x="320"/>
        <n x="611" s="1"/>
        <n x="629"/>
        <n x="630"/>
      </t>
    </mdx>
    <mdx n="0" f="v">
      <t c="6" si="614">
        <n x="610"/>
        <n x="319"/>
        <n x="320"/>
        <n x="611" s="1"/>
        <n x="631"/>
        <n x="632"/>
      </t>
    </mdx>
    <mdx n="0" f="v">
      <t c="6" si="614">
        <n x="610"/>
        <n x="319"/>
        <n x="320"/>
        <n x="611" s="1"/>
        <n x="635"/>
        <n x="636"/>
      </t>
    </mdx>
    <mdx n="0" f="v">
      <t c="6" si="614">
        <n x="610"/>
        <n x="319"/>
        <n x="320"/>
        <n x="611" s="1"/>
        <n x="645"/>
        <n x="646"/>
      </t>
    </mdx>
    <mdx n="0" f="v">
      <t c="6" si="614">
        <n x="610"/>
        <n x="319"/>
        <n x="320"/>
        <n x="611" s="1"/>
        <n x="647"/>
        <n x="648"/>
      </t>
    </mdx>
    <mdx n="0" f="v">
      <t c="6" si="614">
        <n x="610"/>
        <n x="319"/>
        <n x="320"/>
        <n x="611" s="1"/>
        <n x="649"/>
        <n x="650"/>
      </t>
    </mdx>
    <mdx n="0" f="v">
      <t c="6" si="614">
        <n x="610"/>
        <n x="319"/>
        <n x="320"/>
        <n x="611" s="1"/>
        <n x="651"/>
        <n x="652"/>
      </t>
    </mdx>
    <mdx n="0" f="v">
      <t c="6" si="614">
        <n x="610"/>
        <n x="319"/>
        <n x="320"/>
        <n x="611" s="1"/>
        <n x="655"/>
        <n x="656"/>
      </t>
    </mdx>
    <mdx n="0" f="v">
      <t c="6" si="614">
        <n x="610"/>
        <n x="319"/>
        <n x="320"/>
        <n x="611" s="1"/>
        <n x="657"/>
        <n x="658"/>
      </t>
    </mdx>
    <mdx n="0" f="v">
      <t c="6" si="614">
        <n x="610"/>
        <n x="319"/>
        <n x="320"/>
        <n x="611" s="1"/>
        <n x="659"/>
        <n x="660"/>
      </t>
    </mdx>
    <mdx n="0" f="v">
      <t c="6" si="614">
        <n x="610"/>
        <n x="319"/>
        <n x="320"/>
        <n x="611" s="1"/>
        <n x="661"/>
        <n x="662"/>
      </t>
    </mdx>
    <mdx n="0" f="v">
      <t c="6" si="614">
        <n x="610"/>
        <n x="319"/>
        <n x="320"/>
        <n x="611" s="1"/>
        <n x="665"/>
        <n x="666"/>
      </t>
    </mdx>
    <mdx n="0" f="v">
      <t c="6" si="614">
        <n x="610"/>
        <n x="319"/>
        <n x="320"/>
        <n x="611" s="1"/>
        <n x="667"/>
        <n x="668"/>
      </t>
    </mdx>
    <mdx n="0" f="v">
      <t c="6" si="614">
        <n x="610"/>
        <n x="319"/>
        <n x="320"/>
        <n x="611" s="1"/>
        <n x="669"/>
        <n x="670"/>
      </t>
    </mdx>
    <mdx n="0" f="v">
      <t c="6" si="614">
        <n x="610"/>
        <n x="319"/>
        <n x="320"/>
        <n x="611" s="1"/>
        <n x="671"/>
        <n x="672"/>
      </t>
    </mdx>
    <mdx n="0" f="v">
      <t c="6" si="614">
        <n x="610"/>
        <n x="319"/>
        <n x="320"/>
        <n x="611" s="1"/>
        <n x="681"/>
        <n x="682"/>
      </t>
    </mdx>
    <mdx n="0" f="v">
      <t c="6" si="614">
        <n x="610"/>
        <n x="319"/>
        <n x="320"/>
        <n x="611" s="1"/>
        <n x="685"/>
        <n x="686"/>
      </t>
    </mdx>
    <mdx n="0" f="v">
      <t c="6" si="614">
        <n x="610"/>
        <n x="319"/>
        <n x="320"/>
        <n x="611" s="1"/>
        <n x="697"/>
        <n x="698"/>
      </t>
    </mdx>
    <mdx n="0" f="v">
      <t c="6" si="614">
        <n x="610"/>
        <n x="319"/>
        <n x="320"/>
        <n x="611" s="1"/>
        <n x="701"/>
        <n x="702"/>
      </t>
    </mdx>
    <mdx n="0" f="v">
      <t c="6" si="614">
        <n x="610"/>
        <n x="319"/>
        <n x="320"/>
        <n x="611" s="1"/>
        <n x="703"/>
        <n x="704"/>
      </t>
    </mdx>
    <mdx n="0" f="v">
      <t c="6" si="614">
        <n x="610"/>
        <n x="319"/>
        <n x="320"/>
        <n x="611" s="1"/>
        <n x="705"/>
        <n x="706"/>
      </t>
    </mdx>
    <mdx n="0" f="v">
      <t c="6" si="614">
        <n x="610"/>
        <n x="319"/>
        <n x="320"/>
        <n x="611" s="1"/>
        <n x="707"/>
        <n x="708"/>
      </t>
    </mdx>
    <mdx n="0" f="v">
      <t c="6" si="614">
        <n x="610"/>
        <n x="321"/>
        <n x="322"/>
        <n x="611" s="1"/>
        <n x="612"/>
        <n x="613"/>
      </t>
    </mdx>
    <mdx n="0" f="v">
      <t c="6" si="614">
        <n x="610"/>
        <n x="321"/>
        <n x="322"/>
        <n x="611" s="1"/>
        <n x="615"/>
        <n x="616"/>
      </t>
    </mdx>
    <mdx n="0" f="v">
      <t c="6" si="614">
        <n x="610"/>
        <n x="321"/>
        <n x="322"/>
        <n x="611" s="1"/>
        <n x="617"/>
        <n x="618"/>
      </t>
    </mdx>
    <mdx n="0" f="v">
      <t c="6" si="614">
        <n x="610"/>
        <n x="321"/>
        <n x="322"/>
        <n x="611" s="1"/>
        <n x="619"/>
        <n x="620"/>
      </t>
    </mdx>
    <mdx n="0" f="v">
      <t c="6" si="614">
        <n x="610"/>
        <n x="321"/>
        <n x="322"/>
        <n x="611" s="1"/>
        <n x="621"/>
        <n x="622"/>
      </t>
    </mdx>
    <mdx n="0" f="v">
      <t c="6" si="614">
        <n x="610"/>
        <n x="321"/>
        <n x="322"/>
        <n x="611" s="1"/>
        <n x="623"/>
        <n x="624"/>
      </t>
    </mdx>
    <mdx n="0" f="v">
      <t c="6" si="614">
        <n x="610"/>
        <n x="321"/>
        <n x="322"/>
        <n x="611" s="1"/>
        <n x="625"/>
        <n x="626"/>
      </t>
    </mdx>
    <mdx n="0" f="v">
      <t c="6" si="614">
        <n x="610"/>
        <n x="321"/>
        <n x="322"/>
        <n x="611" s="1"/>
        <n x="627"/>
        <n x="628"/>
      </t>
    </mdx>
    <mdx n="0" f="v">
      <t c="6" si="614">
        <n x="610"/>
        <n x="321"/>
        <n x="322"/>
        <n x="611" s="1"/>
        <n x="629"/>
        <n x="630"/>
      </t>
    </mdx>
    <mdx n="0" f="v">
      <t c="6" si="614">
        <n x="610"/>
        <n x="321"/>
        <n x="322"/>
        <n x="611" s="1"/>
        <n x="633"/>
        <n x="634"/>
      </t>
    </mdx>
    <mdx n="0" f="v">
      <t c="6" si="614">
        <n x="610"/>
        <n x="321"/>
        <n x="322"/>
        <n x="611" s="1"/>
        <n x="635"/>
        <n x="636"/>
      </t>
    </mdx>
    <mdx n="0" f="v">
      <t c="6" si="614">
        <n x="610"/>
        <n x="321"/>
        <n x="322"/>
        <n x="611" s="1"/>
        <n x="637"/>
        <n x="638"/>
      </t>
    </mdx>
    <mdx n="0" f="v">
      <t c="6" si="614">
        <n x="610"/>
        <n x="321"/>
        <n x="322"/>
        <n x="611" s="1"/>
        <n x="639"/>
        <n x="640"/>
      </t>
    </mdx>
    <mdx n="0" f="v">
      <t c="6" si="614">
        <n x="610"/>
        <n x="321"/>
        <n x="322"/>
        <n x="611" s="1"/>
        <n x="641"/>
        <n x="642"/>
      </t>
    </mdx>
    <mdx n="0" f="v">
      <t c="6" si="614">
        <n x="610"/>
        <n x="321"/>
        <n x="322"/>
        <n x="611" s="1"/>
        <n x="643"/>
        <n x="644"/>
      </t>
    </mdx>
    <mdx n="0" f="v">
      <t c="6" si="614">
        <n x="610"/>
        <n x="321"/>
        <n x="322"/>
        <n x="611" s="1"/>
        <n x="645"/>
        <n x="646"/>
      </t>
    </mdx>
    <mdx n="0" f="v">
      <t c="6" si="614">
        <n x="610"/>
        <n x="321"/>
        <n x="322"/>
        <n x="611" s="1"/>
        <n x="649"/>
        <n x="650"/>
      </t>
    </mdx>
    <mdx n="0" f="v">
      <t c="6" si="614">
        <n x="610"/>
        <n x="321"/>
        <n x="322"/>
        <n x="611" s="1"/>
        <n x="655"/>
        <n x="656"/>
      </t>
    </mdx>
    <mdx n="0" f="v">
      <t c="6" si="614">
        <n x="610"/>
        <n x="321"/>
        <n x="322"/>
        <n x="611" s="1"/>
        <n x="657"/>
        <n x="658"/>
      </t>
    </mdx>
    <mdx n="0" f="v">
      <t c="6" si="614">
        <n x="610"/>
        <n x="321"/>
        <n x="322"/>
        <n x="611" s="1"/>
        <n x="659"/>
        <n x="660"/>
      </t>
    </mdx>
    <mdx n="0" f="v">
      <t c="6" si="614">
        <n x="610"/>
        <n x="321"/>
        <n x="322"/>
        <n x="611" s="1"/>
        <n x="661"/>
        <n x="662"/>
      </t>
    </mdx>
    <mdx n="0" f="v">
      <t c="6" si="614">
        <n x="610"/>
        <n x="321"/>
        <n x="322"/>
        <n x="611" s="1"/>
        <n x="663"/>
        <n x="664"/>
      </t>
    </mdx>
    <mdx n="0" f="v">
      <t c="6" si="614">
        <n x="610"/>
        <n x="321"/>
        <n x="322"/>
        <n x="611" s="1"/>
        <n x="667"/>
        <n x="668"/>
      </t>
    </mdx>
    <mdx n="0" f="v">
      <t c="6" si="614">
        <n x="610"/>
        <n x="321"/>
        <n x="322"/>
        <n x="611" s="1"/>
        <n x="677"/>
        <n x="678"/>
      </t>
    </mdx>
    <mdx n="0" f="v">
      <t c="6" si="614">
        <n x="610"/>
        <n x="321"/>
        <n x="322"/>
        <n x="611" s="1"/>
        <n x="679"/>
        <n x="680"/>
      </t>
    </mdx>
    <mdx n="0" f="v">
      <t c="6" si="614">
        <n x="610"/>
        <n x="321"/>
        <n x="322"/>
        <n x="611" s="1"/>
        <n x="683"/>
        <n x="684"/>
      </t>
    </mdx>
    <mdx n="0" f="v">
      <t c="6" si="614">
        <n x="610"/>
        <n x="321"/>
        <n x="322"/>
        <n x="611" s="1"/>
        <n x="687"/>
        <n x="688"/>
      </t>
    </mdx>
    <mdx n="0" f="v">
      <t c="6" si="614">
        <n x="610"/>
        <n x="321"/>
        <n x="322"/>
        <n x="611" s="1"/>
        <n x="699"/>
        <n x="700"/>
      </t>
    </mdx>
    <mdx n="0" f="v">
      <t c="6" si="614">
        <n x="610"/>
        <n x="321"/>
        <n x="322"/>
        <n x="611" s="1"/>
        <n x="701"/>
        <n x="702"/>
      </t>
    </mdx>
    <mdx n="0" f="v">
      <t c="6" si="614">
        <n x="610"/>
        <n x="321"/>
        <n x="322"/>
        <n x="611" s="1"/>
        <n x="707"/>
        <n x="708"/>
      </t>
    </mdx>
    <mdx n="0" f="v">
      <t c="6" si="614">
        <n x="610"/>
        <n x="323"/>
        <n x="324"/>
        <n x="611" s="1"/>
        <n x="612"/>
        <n x="613"/>
      </t>
    </mdx>
    <mdx n="0" f="v">
      <t c="6" si="614">
        <n x="610"/>
        <n x="323"/>
        <n x="324"/>
        <n x="611" s="1"/>
        <n x="617"/>
        <n x="618"/>
      </t>
    </mdx>
    <mdx n="0" f="v">
      <t c="6" si="614">
        <n x="610"/>
        <n x="323"/>
        <n x="324"/>
        <n x="611" s="1"/>
        <n x="621"/>
        <n x="622"/>
      </t>
    </mdx>
    <mdx n="0" f="v">
      <t c="6" si="614">
        <n x="610"/>
        <n x="323"/>
        <n x="324"/>
        <n x="611" s="1"/>
        <n x="623"/>
        <n x="624"/>
      </t>
    </mdx>
    <mdx n="0" f="v">
      <t c="6" si="614">
        <n x="610"/>
        <n x="323"/>
        <n x="324"/>
        <n x="611" s="1"/>
        <n x="625"/>
        <n x="626"/>
      </t>
    </mdx>
    <mdx n="0" f="v">
      <t c="6" si="614">
        <n x="610"/>
        <n x="323"/>
        <n x="324"/>
        <n x="611" s="1"/>
        <n x="627"/>
        <n x="628"/>
      </t>
    </mdx>
    <mdx n="0" f="v">
      <t c="6" si="614">
        <n x="610"/>
        <n x="323"/>
        <n x="324"/>
        <n x="611" s="1"/>
        <n x="629"/>
        <n x="630"/>
      </t>
    </mdx>
    <mdx n="0" f="v">
      <t c="6" si="614">
        <n x="610"/>
        <n x="323"/>
        <n x="324"/>
        <n x="611" s="1"/>
        <n x="633"/>
        <n x="634"/>
      </t>
    </mdx>
    <mdx n="0" f="v">
      <t c="6" si="614">
        <n x="610"/>
        <n x="323"/>
        <n x="324"/>
        <n x="611" s="1"/>
        <n x="635"/>
        <n x="636"/>
      </t>
    </mdx>
    <mdx n="0" f="v">
      <t c="6" si="614">
        <n x="610"/>
        <n x="323"/>
        <n x="324"/>
        <n x="611" s="1"/>
        <n x="637"/>
        <n x="638"/>
      </t>
    </mdx>
    <mdx n="0" f="v">
      <t c="6" si="614">
        <n x="610"/>
        <n x="323"/>
        <n x="324"/>
        <n x="611" s="1"/>
        <n x="639"/>
        <n x="640"/>
      </t>
    </mdx>
    <mdx n="0" f="v">
      <t c="6" si="614">
        <n x="610"/>
        <n x="323"/>
        <n x="324"/>
        <n x="611" s="1"/>
        <n x="641"/>
        <n x="642"/>
      </t>
    </mdx>
    <mdx n="0" f="v">
      <t c="6" si="614">
        <n x="610"/>
        <n x="323"/>
        <n x="324"/>
        <n x="611" s="1"/>
        <n x="647"/>
        <n x="648"/>
      </t>
    </mdx>
    <mdx n="0" f="v">
      <t c="6" si="614">
        <n x="610"/>
        <n x="323"/>
        <n x="324"/>
        <n x="611" s="1"/>
        <n x="649"/>
        <n x="650"/>
      </t>
    </mdx>
    <mdx n="0" f="v">
      <t c="6" si="614">
        <n x="610"/>
        <n x="323"/>
        <n x="324"/>
        <n x="611" s="1"/>
        <n x="651"/>
        <n x="652"/>
      </t>
    </mdx>
    <mdx n="0" f="v">
      <t c="6" si="614">
        <n x="610"/>
        <n x="323"/>
        <n x="324"/>
        <n x="611" s="1"/>
        <n x="653"/>
        <n x="654"/>
      </t>
    </mdx>
    <mdx n="0" f="v">
      <t c="6" si="614">
        <n x="610"/>
        <n x="323"/>
        <n x="324"/>
        <n x="611" s="1"/>
        <n x="655"/>
        <n x="656"/>
      </t>
    </mdx>
    <mdx n="0" f="v">
      <t c="6" si="614">
        <n x="610"/>
        <n x="323"/>
        <n x="324"/>
        <n x="611" s="1"/>
        <n x="657"/>
        <n x="658"/>
      </t>
    </mdx>
    <mdx n="0" f="v">
      <t c="6" si="614">
        <n x="610"/>
        <n x="323"/>
        <n x="324"/>
        <n x="611" s="1"/>
        <n x="659"/>
        <n x="660"/>
      </t>
    </mdx>
    <mdx n="0" f="v">
      <t c="6" si="614">
        <n x="610"/>
        <n x="323"/>
        <n x="324"/>
        <n x="611" s="1"/>
        <n x="661"/>
        <n x="662"/>
      </t>
    </mdx>
    <mdx n="0" f="v">
      <t c="6" si="614">
        <n x="610"/>
        <n x="323"/>
        <n x="324"/>
        <n x="611" s="1"/>
        <n x="663"/>
        <n x="664"/>
      </t>
    </mdx>
    <mdx n="0" f="v">
      <t c="6" si="614">
        <n x="610"/>
        <n x="323"/>
        <n x="324"/>
        <n x="611" s="1"/>
        <n x="665"/>
        <n x="666"/>
      </t>
    </mdx>
    <mdx n="0" f="v">
      <t c="6" si="614">
        <n x="610"/>
        <n x="323"/>
        <n x="324"/>
        <n x="611" s="1"/>
        <n x="667"/>
        <n x="668"/>
      </t>
    </mdx>
    <mdx n="0" f="v">
      <t c="6" si="614">
        <n x="610"/>
        <n x="323"/>
        <n x="324"/>
        <n x="611" s="1"/>
        <n x="671"/>
        <n x="672"/>
      </t>
    </mdx>
    <mdx n="0" f="v">
      <t c="6" si="614">
        <n x="610"/>
        <n x="323"/>
        <n x="324"/>
        <n x="611" s="1"/>
        <n x="673"/>
        <n x="674"/>
      </t>
    </mdx>
    <mdx n="0" f="v">
      <t c="6" si="614">
        <n x="610"/>
        <n x="323"/>
        <n x="324"/>
        <n x="611" s="1"/>
        <n x="675"/>
        <n x="676"/>
      </t>
    </mdx>
    <mdx n="0" f="v">
      <t c="6" si="614">
        <n x="610"/>
        <n x="323"/>
        <n x="324"/>
        <n x="611" s="1"/>
        <n x="677"/>
        <n x="678"/>
      </t>
    </mdx>
    <mdx n="0" f="v">
      <t c="6" si="614">
        <n x="610"/>
        <n x="323"/>
        <n x="324"/>
        <n x="611" s="1"/>
        <n x="679"/>
        <n x="680"/>
      </t>
    </mdx>
    <mdx n="0" f="v">
      <t c="6" si="614">
        <n x="610"/>
        <n x="323"/>
        <n x="324"/>
        <n x="611" s="1"/>
        <n x="683"/>
        <n x="684"/>
      </t>
    </mdx>
    <mdx n="0" f="v">
      <t c="6" si="614">
        <n x="610"/>
        <n x="323"/>
        <n x="324"/>
        <n x="611" s="1"/>
        <n x="687"/>
        <n x="688"/>
      </t>
    </mdx>
    <mdx n="0" f="v">
      <t c="6" si="614">
        <n x="610"/>
        <n x="323"/>
        <n x="324"/>
        <n x="611" s="1"/>
        <n x="689"/>
        <n x="690"/>
      </t>
    </mdx>
    <mdx n="0" f="v">
      <t c="6" si="614">
        <n x="610"/>
        <n x="323"/>
        <n x="324"/>
        <n x="611" s="1"/>
        <n x="693"/>
        <n x="694"/>
      </t>
    </mdx>
    <mdx n="0" f="v">
      <t c="6" si="614">
        <n x="610"/>
        <n x="323"/>
        <n x="324"/>
        <n x="611" s="1"/>
        <n x="695"/>
        <n x="696"/>
      </t>
    </mdx>
    <mdx n="0" f="v">
      <t c="6" si="614">
        <n x="610"/>
        <n x="323"/>
        <n x="324"/>
        <n x="611" s="1"/>
        <n x="699"/>
        <n x="700"/>
      </t>
    </mdx>
    <mdx n="0" f="v">
      <t c="6" si="614">
        <n x="610"/>
        <n x="323"/>
        <n x="324"/>
        <n x="611" s="1"/>
        <n x="701"/>
        <n x="702"/>
      </t>
    </mdx>
    <mdx n="0" f="v">
      <t c="6" si="614">
        <n x="610"/>
        <n x="323"/>
        <n x="324"/>
        <n x="611" s="1"/>
        <n x="705"/>
        <n x="706"/>
      </t>
    </mdx>
    <mdx n="0" f="v">
      <t c="6" si="614">
        <n x="610"/>
        <n x="325"/>
        <n x="326"/>
        <n x="611" s="1"/>
        <n x="612"/>
        <n x="613"/>
      </t>
    </mdx>
    <mdx n="0" f="v">
      <t c="6" si="614">
        <n x="610"/>
        <n x="325"/>
        <n x="326"/>
        <n x="611" s="1"/>
        <n x="615"/>
        <n x="616"/>
      </t>
    </mdx>
    <mdx n="0" f="v">
      <t c="6" si="614">
        <n x="610"/>
        <n x="325"/>
        <n x="326"/>
        <n x="611" s="1"/>
        <n x="623"/>
        <n x="624"/>
      </t>
    </mdx>
    <mdx n="0" f="v">
      <t c="6" si="614">
        <n x="610"/>
        <n x="325"/>
        <n x="326"/>
        <n x="611" s="1"/>
        <n x="625"/>
        <n x="626"/>
      </t>
    </mdx>
    <mdx n="0" f="v">
      <t c="6" si="614">
        <n x="610"/>
        <n x="325"/>
        <n x="326"/>
        <n x="611" s="1"/>
        <n x="627"/>
        <n x="628"/>
      </t>
    </mdx>
    <mdx n="0" f="v">
      <t c="6" si="614">
        <n x="610"/>
        <n x="325"/>
        <n x="326"/>
        <n x="611" s="1"/>
        <n x="635"/>
        <n x="636"/>
      </t>
    </mdx>
    <mdx n="0" f="v">
      <t c="6" si="614">
        <n x="610"/>
        <n x="325"/>
        <n x="326"/>
        <n x="611" s="1"/>
        <n x="641"/>
        <n x="642"/>
      </t>
    </mdx>
    <mdx n="0" f="v">
      <t c="6" si="614">
        <n x="610"/>
        <n x="325"/>
        <n x="326"/>
        <n x="611" s="1"/>
        <n x="643"/>
        <n x="644"/>
      </t>
    </mdx>
    <mdx n="0" f="v">
      <t c="6" si="614">
        <n x="610"/>
        <n x="325"/>
        <n x="326"/>
        <n x="611" s="1"/>
        <n x="647"/>
        <n x="648"/>
      </t>
    </mdx>
    <mdx n="0" f="v">
      <t c="6" si="614">
        <n x="610"/>
        <n x="325"/>
        <n x="326"/>
        <n x="611" s="1"/>
        <n x="651"/>
        <n x="652"/>
      </t>
    </mdx>
    <mdx n="0" f="v">
      <t c="6" si="614">
        <n x="610"/>
        <n x="325"/>
        <n x="326"/>
        <n x="611" s="1"/>
        <n x="655"/>
        <n x="656"/>
      </t>
    </mdx>
    <mdx n="0" f="v">
      <t c="6" si="614">
        <n x="610"/>
        <n x="325"/>
        <n x="326"/>
        <n x="611" s="1"/>
        <n x="657"/>
        <n x="658"/>
      </t>
    </mdx>
    <mdx n="0" f="v">
      <t c="6" si="614">
        <n x="610"/>
        <n x="325"/>
        <n x="326"/>
        <n x="611" s="1"/>
        <n x="659"/>
        <n x="660"/>
      </t>
    </mdx>
    <mdx n="0" f="v">
      <t c="6" si="614">
        <n x="610"/>
        <n x="325"/>
        <n x="326"/>
        <n x="611" s="1"/>
        <n x="665"/>
        <n x="666"/>
      </t>
    </mdx>
    <mdx n="0" f="v">
      <t c="6" si="614">
        <n x="610"/>
        <n x="325"/>
        <n x="326"/>
        <n x="611" s="1"/>
        <n x="669"/>
        <n x="670"/>
      </t>
    </mdx>
    <mdx n="0" f="v">
      <t c="6" si="614">
        <n x="610"/>
        <n x="325"/>
        <n x="326"/>
        <n x="611" s="1"/>
        <n x="671"/>
        <n x="672"/>
      </t>
    </mdx>
    <mdx n="0" f="v">
      <t c="6" si="614">
        <n x="610"/>
        <n x="325"/>
        <n x="326"/>
        <n x="611" s="1"/>
        <n x="673"/>
        <n x="674"/>
      </t>
    </mdx>
    <mdx n="0" f="v">
      <t c="6" si="614">
        <n x="610"/>
        <n x="325"/>
        <n x="326"/>
        <n x="611" s="1"/>
        <n x="675"/>
        <n x="676"/>
      </t>
    </mdx>
    <mdx n="0" f="v">
      <t c="6" si="614">
        <n x="610"/>
        <n x="325"/>
        <n x="326"/>
        <n x="611" s="1"/>
        <n x="677"/>
        <n x="678"/>
      </t>
    </mdx>
    <mdx n="0" f="v">
      <t c="6" si="614">
        <n x="610"/>
        <n x="325"/>
        <n x="326"/>
        <n x="611" s="1"/>
        <n x="683"/>
        <n x="684"/>
      </t>
    </mdx>
    <mdx n="0" f="v">
      <t c="6" si="614">
        <n x="610"/>
        <n x="325"/>
        <n x="326"/>
        <n x="611" s="1"/>
        <n x="687"/>
        <n x="688"/>
      </t>
    </mdx>
    <mdx n="0" f="v">
      <t c="6" si="614">
        <n x="610"/>
        <n x="325"/>
        <n x="326"/>
        <n x="611" s="1"/>
        <n x="691"/>
        <n x="692"/>
      </t>
    </mdx>
    <mdx n="0" f="v">
      <t c="6" si="614">
        <n x="610"/>
        <n x="325"/>
        <n x="326"/>
        <n x="611" s="1"/>
        <n x="695"/>
        <n x="696"/>
      </t>
    </mdx>
    <mdx n="0" f="v">
      <t c="6" si="614">
        <n x="610"/>
        <n x="325"/>
        <n x="326"/>
        <n x="611" s="1"/>
        <n x="701"/>
        <n x="702"/>
      </t>
    </mdx>
    <mdx n="0" f="v">
      <t c="6" si="614">
        <n x="610"/>
        <n x="325"/>
        <n x="326"/>
        <n x="611" s="1"/>
        <n x="705"/>
        <n x="706"/>
      </t>
    </mdx>
    <mdx n="0" f="v">
      <t c="6" si="614">
        <n x="610"/>
        <n x="327"/>
        <n x="328"/>
        <n x="611" s="1"/>
        <n x="612"/>
        <n x="613"/>
      </t>
    </mdx>
    <mdx n="0" f="v">
      <t c="6" si="614">
        <n x="610"/>
        <n x="327"/>
        <n x="328"/>
        <n x="611" s="1"/>
        <n x="615"/>
        <n x="616"/>
      </t>
    </mdx>
    <mdx n="0" f="v">
      <t c="6" si="614">
        <n x="610"/>
        <n x="327"/>
        <n x="328"/>
        <n x="611" s="1"/>
        <n x="617"/>
        <n x="618"/>
      </t>
    </mdx>
    <mdx n="0" f="v">
      <t c="6" si="614">
        <n x="610"/>
        <n x="327"/>
        <n x="328"/>
        <n x="611" s="1"/>
        <n x="621"/>
        <n x="622"/>
      </t>
    </mdx>
    <mdx n="0" f="v">
      <t c="6" si="614">
        <n x="610"/>
        <n x="327"/>
        <n x="328"/>
        <n x="611" s="1"/>
        <n x="623"/>
        <n x="624"/>
      </t>
    </mdx>
    <mdx n="0" f="v">
      <t c="6" si="614">
        <n x="610"/>
        <n x="327"/>
        <n x="328"/>
        <n x="611" s="1"/>
        <n x="625"/>
        <n x="626"/>
      </t>
    </mdx>
    <mdx n="0" f="v">
      <t c="6" si="614">
        <n x="610"/>
        <n x="327"/>
        <n x="328"/>
        <n x="611" s="1"/>
        <n x="627"/>
        <n x="628"/>
      </t>
    </mdx>
    <mdx n="0" f="v">
      <t c="6" si="614">
        <n x="610"/>
        <n x="327"/>
        <n x="328"/>
        <n x="611" s="1"/>
        <n x="629"/>
        <n x="630"/>
      </t>
    </mdx>
    <mdx n="0" f="v">
      <t c="6" si="614">
        <n x="610"/>
        <n x="327"/>
        <n x="328"/>
        <n x="611" s="1"/>
        <n x="631"/>
        <n x="632"/>
      </t>
    </mdx>
    <mdx n="0" f="v">
      <t c="6" si="614">
        <n x="610"/>
        <n x="327"/>
        <n x="328"/>
        <n x="611" s="1"/>
        <n x="635"/>
        <n x="636"/>
      </t>
    </mdx>
    <mdx n="0" f="v">
      <t c="6" si="614">
        <n x="610"/>
        <n x="327"/>
        <n x="328"/>
        <n x="611" s="1"/>
        <n x="637"/>
        <n x="638"/>
      </t>
    </mdx>
    <mdx n="0" f="v">
      <t c="6" si="614">
        <n x="610"/>
        <n x="327"/>
        <n x="328"/>
        <n x="611" s="1"/>
        <n x="643"/>
        <n x="644"/>
      </t>
    </mdx>
    <mdx n="0" f="v">
      <t c="6" si="614">
        <n x="610"/>
        <n x="327"/>
        <n x="328"/>
        <n x="611" s="1"/>
        <n x="645"/>
        <n x="646"/>
      </t>
    </mdx>
    <mdx n="0" f="v">
      <t c="6" si="614">
        <n x="610"/>
        <n x="327"/>
        <n x="328"/>
        <n x="611" s="1"/>
        <n x="647"/>
        <n x="648"/>
      </t>
    </mdx>
    <mdx n="0" f="v">
      <t c="6" si="614">
        <n x="610"/>
        <n x="327"/>
        <n x="328"/>
        <n x="611" s="1"/>
        <n x="649"/>
        <n x="650"/>
      </t>
    </mdx>
    <mdx n="0" f="v">
      <t c="6" si="614">
        <n x="610"/>
        <n x="327"/>
        <n x="328"/>
        <n x="611" s="1"/>
        <n x="653"/>
        <n x="654"/>
      </t>
    </mdx>
    <mdx n="0" f="v">
      <t c="6" si="614">
        <n x="610"/>
        <n x="327"/>
        <n x="328"/>
        <n x="611" s="1"/>
        <n x="657"/>
        <n x="658"/>
      </t>
    </mdx>
    <mdx n="0" f="v">
      <t c="6" si="614">
        <n x="610"/>
        <n x="327"/>
        <n x="328"/>
        <n x="611" s="1"/>
        <n x="661"/>
        <n x="662"/>
      </t>
    </mdx>
    <mdx n="0" f="v">
      <t c="6" si="614">
        <n x="610"/>
        <n x="327"/>
        <n x="328"/>
        <n x="611" s="1"/>
        <n x="663"/>
        <n x="664"/>
      </t>
    </mdx>
    <mdx n="0" f="v">
      <t c="6" si="614">
        <n x="610"/>
        <n x="327"/>
        <n x="328"/>
        <n x="611" s="1"/>
        <n x="665"/>
        <n x="666"/>
      </t>
    </mdx>
    <mdx n="0" f="v">
      <t c="6" si="614">
        <n x="610"/>
        <n x="327"/>
        <n x="328"/>
        <n x="611" s="1"/>
        <n x="669"/>
        <n x="670"/>
      </t>
    </mdx>
    <mdx n="0" f="v">
      <t c="6" si="614">
        <n x="610"/>
        <n x="327"/>
        <n x="328"/>
        <n x="611" s="1"/>
        <n x="671"/>
        <n x="672"/>
      </t>
    </mdx>
    <mdx n="0" f="v">
      <t c="6" si="614">
        <n x="610"/>
        <n x="327"/>
        <n x="328"/>
        <n x="611" s="1"/>
        <n x="679"/>
        <n x="680"/>
      </t>
    </mdx>
    <mdx n="0" f="v">
      <t c="6" si="614">
        <n x="610"/>
        <n x="327"/>
        <n x="328"/>
        <n x="611" s="1"/>
        <n x="685"/>
        <n x="686"/>
      </t>
    </mdx>
    <mdx n="0" f="v">
      <t c="6" si="614">
        <n x="610"/>
        <n x="327"/>
        <n x="328"/>
        <n x="611" s="1"/>
        <n x="687"/>
        <n x="688"/>
      </t>
    </mdx>
    <mdx n="0" f="v">
      <t c="6" si="614">
        <n x="610"/>
        <n x="327"/>
        <n x="328"/>
        <n x="611" s="1"/>
        <n x="689"/>
        <n x="690"/>
      </t>
    </mdx>
    <mdx n="0" f="v">
      <t c="6" si="614">
        <n x="610"/>
        <n x="327"/>
        <n x="328"/>
        <n x="611" s="1"/>
        <n x="691"/>
        <n x="692"/>
      </t>
    </mdx>
    <mdx n="0" f="v">
      <t c="6" si="614">
        <n x="610"/>
        <n x="327"/>
        <n x="328"/>
        <n x="611" s="1"/>
        <n x="695"/>
        <n x="696"/>
      </t>
    </mdx>
    <mdx n="0" f="v">
      <t c="6" si="614">
        <n x="610"/>
        <n x="327"/>
        <n x="328"/>
        <n x="611" s="1"/>
        <n x="697"/>
        <n x="698"/>
      </t>
    </mdx>
    <mdx n="0" f="v">
      <t c="6" si="614">
        <n x="610"/>
        <n x="327"/>
        <n x="328"/>
        <n x="611" s="1"/>
        <n x="703"/>
        <n x="704"/>
      </t>
    </mdx>
    <mdx n="0" f="v">
      <t c="6" si="614">
        <n x="610"/>
        <n x="329"/>
        <n x="330"/>
        <n x="611" s="1"/>
        <n x="612"/>
        <n x="613"/>
      </t>
    </mdx>
    <mdx n="0" f="v">
      <t c="6" si="614">
        <n x="610"/>
        <n x="329"/>
        <n x="330"/>
        <n x="611" s="1"/>
        <n x="619"/>
        <n x="620"/>
      </t>
    </mdx>
    <mdx n="0" f="v">
      <t c="6" si="614">
        <n x="610"/>
        <n x="329"/>
        <n x="330"/>
        <n x="611" s="1"/>
        <n x="621"/>
        <n x="622"/>
      </t>
    </mdx>
    <mdx n="0" f="v">
      <t c="6" si="614">
        <n x="610"/>
        <n x="329"/>
        <n x="330"/>
        <n x="611" s="1"/>
        <n x="625"/>
        <n x="626"/>
      </t>
    </mdx>
    <mdx n="0" f="v">
      <t c="6" si="614">
        <n x="610"/>
        <n x="329"/>
        <n x="330"/>
        <n x="611" s="1"/>
        <n x="627"/>
        <n x="628"/>
      </t>
    </mdx>
    <mdx n="0" f="v">
      <t c="6" si="614">
        <n x="610"/>
        <n x="329"/>
        <n x="330"/>
        <n x="611" s="1"/>
        <n x="629"/>
        <n x="630"/>
      </t>
    </mdx>
    <mdx n="0" f="v">
      <t c="6" si="614">
        <n x="610"/>
        <n x="329"/>
        <n x="330"/>
        <n x="611" s="1"/>
        <n x="631"/>
        <n x="632"/>
      </t>
    </mdx>
    <mdx n="0" f="v">
      <t c="6" si="614">
        <n x="610"/>
        <n x="329"/>
        <n x="330"/>
        <n x="611" s="1"/>
        <n x="633"/>
        <n x="634"/>
      </t>
    </mdx>
    <mdx n="0" f="v">
      <t c="6" si="614">
        <n x="610"/>
        <n x="329"/>
        <n x="330"/>
        <n x="611" s="1"/>
        <n x="635"/>
        <n x="636"/>
      </t>
    </mdx>
    <mdx n="0" f="v">
      <t c="6" si="614">
        <n x="610"/>
        <n x="329"/>
        <n x="330"/>
        <n x="611" s="1"/>
        <n x="637"/>
        <n x="638"/>
      </t>
    </mdx>
    <mdx n="0" f="v">
      <t c="6" si="614">
        <n x="610"/>
        <n x="329"/>
        <n x="330"/>
        <n x="611" s="1"/>
        <n x="643"/>
        <n x="644"/>
      </t>
    </mdx>
    <mdx n="0" f="v">
      <t c="6" si="614">
        <n x="610"/>
        <n x="329"/>
        <n x="330"/>
        <n x="611" s="1"/>
        <n x="647"/>
        <n x="648"/>
      </t>
    </mdx>
    <mdx n="0" f="v">
      <t c="6" si="614">
        <n x="610"/>
        <n x="329"/>
        <n x="330"/>
        <n x="611" s="1"/>
        <n x="651"/>
        <n x="652"/>
      </t>
    </mdx>
    <mdx n="0" f="v">
      <t c="6" si="614">
        <n x="610"/>
        <n x="329"/>
        <n x="330"/>
        <n x="611" s="1"/>
        <n x="653"/>
        <n x="654"/>
      </t>
    </mdx>
    <mdx n="0" f="v">
      <t c="6" si="614">
        <n x="610"/>
        <n x="329"/>
        <n x="330"/>
        <n x="611" s="1"/>
        <n x="657"/>
        <n x="658"/>
      </t>
    </mdx>
    <mdx n="0" f="v">
      <t c="6" si="614">
        <n x="610"/>
        <n x="329"/>
        <n x="330"/>
        <n x="611" s="1"/>
        <n x="659"/>
        <n x="660"/>
      </t>
    </mdx>
    <mdx n="0" f="v">
      <t c="6" si="614">
        <n x="610"/>
        <n x="329"/>
        <n x="330"/>
        <n x="611" s="1"/>
        <n x="661"/>
        <n x="662"/>
      </t>
    </mdx>
    <mdx n="0" f="v">
      <t c="6" si="614">
        <n x="610"/>
        <n x="329"/>
        <n x="330"/>
        <n x="611" s="1"/>
        <n x="665"/>
        <n x="666"/>
      </t>
    </mdx>
    <mdx n="0" f="v">
      <t c="6" si="614">
        <n x="610"/>
        <n x="329"/>
        <n x="330"/>
        <n x="611" s="1"/>
        <n x="669"/>
        <n x="670"/>
      </t>
    </mdx>
    <mdx n="0" f="v">
      <t c="6" si="614">
        <n x="610"/>
        <n x="329"/>
        <n x="330"/>
        <n x="611" s="1"/>
        <n x="671"/>
        <n x="672"/>
      </t>
    </mdx>
    <mdx n="0" f="v">
      <t c="6" si="614">
        <n x="610"/>
        <n x="329"/>
        <n x="330"/>
        <n x="611" s="1"/>
        <n x="675"/>
        <n x="676"/>
      </t>
    </mdx>
    <mdx n="0" f="v">
      <t c="6" si="614">
        <n x="610"/>
        <n x="329"/>
        <n x="330"/>
        <n x="611" s="1"/>
        <n x="677"/>
        <n x="678"/>
      </t>
    </mdx>
    <mdx n="0" f="v">
      <t c="6" si="614">
        <n x="610"/>
        <n x="329"/>
        <n x="330"/>
        <n x="611" s="1"/>
        <n x="679"/>
        <n x="680"/>
      </t>
    </mdx>
    <mdx n="0" f="v">
      <t c="6" si="614">
        <n x="610"/>
        <n x="329"/>
        <n x="330"/>
        <n x="611" s="1"/>
        <n x="681"/>
        <n x="682"/>
      </t>
    </mdx>
    <mdx n="0" f="v">
      <t c="6" si="614">
        <n x="610"/>
        <n x="329"/>
        <n x="330"/>
        <n x="611" s="1"/>
        <n x="683"/>
        <n x="684"/>
      </t>
    </mdx>
    <mdx n="0" f="v">
      <t c="6" si="614">
        <n x="610"/>
        <n x="329"/>
        <n x="330"/>
        <n x="611" s="1"/>
        <n x="689"/>
        <n x="690"/>
      </t>
    </mdx>
    <mdx n="0" f="v">
      <t c="6" si="614">
        <n x="610"/>
        <n x="329"/>
        <n x="330"/>
        <n x="611" s="1"/>
        <n x="691"/>
        <n x="692"/>
      </t>
    </mdx>
    <mdx n="0" f="v">
      <t c="6" si="614">
        <n x="610"/>
        <n x="329"/>
        <n x="330"/>
        <n x="611" s="1"/>
        <n x="695"/>
        <n x="696"/>
      </t>
    </mdx>
    <mdx n="0" f="v">
      <t c="6" si="614">
        <n x="610"/>
        <n x="329"/>
        <n x="330"/>
        <n x="611" s="1"/>
        <n x="703"/>
        <n x="704"/>
      </t>
    </mdx>
    <mdx n="0" f="v">
      <t c="6" si="614">
        <n x="610"/>
        <n x="329"/>
        <n x="330"/>
        <n x="611" s="1"/>
        <n x="705"/>
        <n x="706"/>
      </t>
    </mdx>
    <mdx n="0" f="v">
      <t c="6" si="614">
        <n x="610"/>
        <n x="331"/>
        <n x="332"/>
        <n x="611" s="1"/>
        <n x="612"/>
        <n x="613"/>
      </t>
    </mdx>
    <mdx n="0" f="v">
      <t c="6" si="614">
        <n x="610"/>
        <n x="331"/>
        <n x="332"/>
        <n x="611" s="1"/>
        <n x="615"/>
        <n x="616"/>
      </t>
    </mdx>
    <mdx n="0" f="v">
      <t c="6" si="614">
        <n x="610"/>
        <n x="331"/>
        <n x="332"/>
        <n x="611" s="1"/>
        <n x="623"/>
        <n x="624"/>
      </t>
    </mdx>
    <mdx n="0" f="v">
      <t c="6" si="614">
        <n x="610"/>
        <n x="331"/>
        <n x="332"/>
        <n x="611" s="1"/>
        <n x="627"/>
        <n x="628"/>
      </t>
    </mdx>
    <mdx n="0" f="v">
      <t c="6" si="614">
        <n x="610"/>
        <n x="331"/>
        <n x="332"/>
        <n x="611" s="1"/>
        <n x="629"/>
        <n x="630"/>
      </t>
    </mdx>
    <mdx n="0" f="v">
      <t c="6" si="614">
        <n x="610"/>
        <n x="331"/>
        <n x="332"/>
        <n x="611" s="1"/>
        <n x="631"/>
        <n x="632"/>
      </t>
    </mdx>
    <mdx n="0" f="v">
      <t c="6" si="614">
        <n x="610"/>
        <n x="331"/>
        <n x="332"/>
        <n x="611" s="1"/>
        <n x="635"/>
        <n x="636"/>
      </t>
    </mdx>
    <mdx n="0" f="v">
      <t c="6" si="614">
        <n x="610"/>
        <n x="331"/>
        <n x="332"/>
        <n x="611" s="1"/>
        <n x="639"/>
        <n x="640"/>
      </t>
    </mdx>
    <mdx n="0" f="v">
      <t c="6" si="614">
        <n x="610"/>
        <n x="331"/>
        <n x="332"/>
        <n x="611" s="1"/>
        <n x="645"/>
        <n x="646"/>
      </t>
    </mdx>
    <mdx n="0" f="v">
      <t c="6" si="614">
        <n x="610"/>
        <n x="331"/>
        <n x="332"/>
        <n x="611" s="1"/>
        <n x="647"/>
        <n x="648"/>
      </t>
    </mdx>
    <mdx n="0" f="v">
      <t c="6" si="614">
        <n x="610"/>
        <n x="331"/>
        <n x="332"/>
        <n x="611" s="1"/>
        <n x="649"/>
        <n x="650"/>
      </t>
    </mdx>
    <mdx n="0" f="v">
      <t c="6" si="614">
        <n x="610"/>
        <n x="331"/>
        <n x="332"/>
        <n x="611" s="1"/>
        <n x="657"/>
        <n x="658"/>
      </t>
    </mdx>
    <mdx n="0" f="v">
      <t c="6" si="614">
        <n x="610"/>
        <n x="331"/>
        <n x="332"/>
        <n x="611" s="1"/>
        <n x="659"/>
        <n x="660"/>
      </t>
    </mdx>
    <mdx n="0" f="v">
      <t c="6" si="614">
        <n x="610"/>
        <n x="331"/>
        <n x="332"/>
        <n x="611" s="1"/>
        <n x="661"/>
        <n x="662"/>
      </t>
    </mdx>
    <mdx n="0" f="v">
      <t c="6" si="614">
        <n x="610"/>
        <n x="331"/>
        <n x="332"/>
        <n x="611" s="1"/>
        <n x="665"/>
        <n x="666"/>
      </t>
    </mdx>
    <mdx n="0" f="v">
      <t c="6" si="614">
        <n x="610"/>
        <n x="331"/>
        <n x="332"/>
        <n x="611" s="1"/>
        <n x="667"/>
        <n x="668"/>
      </t>
    </mdx>
    <mdx n="0" f="v">
      <t c="6" si="614">
        <n x="610"/>
        <n x="331"/>
        <n x="332"/>
        <n x="611" s="1"/>
        <n x="669"/>
        <n x="670"/>
      </t>
    </mdx>
    <mdx n="0" f="v">
      <t c="6" si="614">
        <n x="610"/>
        <n x="331"/>
        <n x="332"/>
        <n x="611" s="1"/>
        <n x="671"/>
        <n x="672"/>
      </t>
    </mdx>
    <mdx n="0" f="v">
      <t c="6" si="614">
        <n x="610"/>
        <n x="331"/>
        <n x="332"/>
        <n x="611" s="1"/>
        <n x="673"/>
        <n x="674"/>
      </t>
    </mdx>
    <mdx n="0" f="v">
      <t c="6" si="614">
        <n x="610"/>
        <n x="331"/>
        <n x="332"/>
        <n x="611" s="1"/>
        <n x="679"/>
        <n x="680"/>
      </t>
    </mdx>
    <mdx n="0" f="v">
      <t c="6" si="614">
        <n x="610"/>
        <n x="331"/>
        <n x="332"/>
        <n x="611" s="1"/>
        <n x="683"/>
        <n x="684"/>
      </t>
    </mdx>
    <mdx n="0" f="v">
      <t c="6" si="614">
        <n x="610"/>
        <n x="331"/>
        <n x="332"/>
        <n x="611" s="1"/>
        <n x="685"/>
        <n x="686"/>
      </t>
    </mdx>
    <mdx n="0" f="v">
      <t c="6" si="614">
        <n x="610"/>
        <n x="331"/>
        <n x="332"/>
        <n x="611" s="1"/>
        <n x="687"/>
        <n x="688"/>
      </t>
    </mdx>
    <mdx n="0" f="v">
      <t c="6" si="614">
        <n x="610"/>
        <n x="331"/>
        <n x="332"/>
        <n x="611" s="1"/>
        <n x="691"/>
        <n x="692"/>
      </t>
    </mdx>
    <mdx n="0" f="v">
      <t c="6" si="614">
        <n x="610"/>
        <n x="331"/>
        <n x="332"/>
        <n x="611" s="1"/>
        <n x="699"/>
        <n x="700"/>
      </t>
    </mdx>
    <mdx n="0" f="v">
      <t c="6" si="614">
        <n x="610"/>
        <n x="331"/>
        <n x="332"/>
        <n x="611" s="1"/>
        <n x="703"/>
        <n x="704"/>
      </t>
    </mdx>
    <mdx n="0" f="v">
      <t c="6" si="614">
        <n x="610"/>
        <n x="331"/>
        <n x="332"/>
        <n x="611" s="1"/>
        <n x="705"/>
        <n x="706"/>
      </t>
    </mdx>
    <mdx n="0" f="v">
      <t c="6" si="614">
        <n x="610"/>
        <n x="333"/>
        <n x="334"/>
        <n x="611" s="1"/>
        <n x="617"/>
        <n x="618"/>
      </t>
    </mdx>
    <mdx n="0" f="v">
      <t c="6" si="614">
        <n x="610"/>
        <n x="333"/>
        <n x="334"/>
        <n x="611" s="1"/>
        <n x="619"/>
        <n x="620"/>
      </t>
    </mdx>
    <mdx n="0" f="v">
      <t c="6" si="614">
        <n x="610"/>
        <n x="333"/>
        <n x="334"/>
        <n x="611" s="1"/>
        <n x="621"/>
        <n x="622"/>
      </t>
    </mdx>
    <mdx n="0" f="v">
      <t c="6" si="614">
        <n x="610"/>
        <n x="333"/>
        <n x="334"/>
        <n x="611" s="1"/>
        <n x="629"/>
        <n x="630"/>
      </t>
    </mdx>
    <mdx n="0" f="v">
      <t c="6" si="614">
        <n x="610"/>
        <n x="333"/>
        <n x="334"/>
        <n x="611" s="1"/>
        <n x="635"/>
        <n x="636"/>
      </t>
    </mdx>
    <mdx n="0" f="v">
      <t c="6" si="614">
        <n x="610"/>
        <n x="333"/>
        <n x="334"/>
        <n x="611" s="1"/>
        <n x="645"/>
        <n x="646"/>
      </t>
    </mdx>
    <mdx n="0" f="v">
      <t c="6" si="614">
        <n x="610"/>
        <n x="333"/>
        <n x="334"/>
        <n x="611" s="1"/>
        <n x="649"/>
        <n x="650"/>
      </t>
    </mdx>
    <mdx n="0" f="v">
      <t c="6" si="614">
        <n x="610"/>
        <n x="333"/>
        <n x="334"/>
        <n x="611" s="1"/>
        <n x="653"/>
        <n x="654"/>
      </t>
    </mdx>
    <mdx n="0" f="v">
      <t c="6" si="614">
        <n x="610"/>
        <n x="333"/>
        <n x="334"/>
        <n x="611" s="1"/>
        <n x="657"/>
        <n x="658"/>
      </t>
    </mdx>
    <mdx n="0" f="v">
      <t c="6" si="614">
        <n x="610"/>
        <n x="333"/>
        <n x="334"/>
        <n x="611" s="1"/>
        <n x="659"/>
        <n x="660"/>
      </t>
    </mdx>
    <mdx n="0" f="v">
      <t c="6" si="614">
        <n x="610"/>
        <n x="333"/>
        <n x="334"/>
        <n x="611" s="1"/>
        <n x="665"/>
        <n x="666"/>
      </t>
    </mdx>
    <mdx n="0" f="v">
      <t c="6" si="614">
        <n x="610"/>
        <n x="333"/>
        <n x="334"/>
        <n x="611" s="1"/>
        <n x="671"/>
        <n x="672"/>
      </t>
    </mdx>
    <mdx n="0" f="v">
      <t c="6" si="614">
        <n x="610"/>
        <n x="333"/>
        <n x="334"/>
        <n x="611" s="1"/>
        <n x="673"/>
        <n x="674"/>
      </t>
    </mdx>
    <mdx n="0" f="v">
      <t c="6" si="614">
        <n x="610"/>
        <n x="333"/>
        <n x="334"/>
        <n x="611" s="1"/>
        <n x="675"/>
        <n x="676"/>
      </t>
    </mdx>
    <mdx n="0" f="v">
      <t c="6" si="614">
        <n x="610"/>
        <n x="333"/>
        <n x="334"/>
        <n x="611" s="1"/>
        <n x="677"/>
        <n x="678"/>
      </t>
    </mdx>
    <mdx n="0" f="v">
      <t c="6" si="614">
        <n x="610"/>
        <n x="333"/>
        <n x="334"/>
        <n x="611" s="1"/>
        <n x="683"/>
        <n x="684"/>
      </t>
    </mdx>
    <mdx n="0" f="v">
      <t c="6" si="614">
        <n x="610"/>
        <n x="333"/>
        <n x="334"/>
        <n x="611" s="1"/>
        <n x="689"/>
        <n x="690"/>
      </t>
    </mdx>
    <mdx n="0" f="v">
      <t c="6" si="614">
        <n x="610"/>
        <n x="333"/>
        <n x="334"/>
        <n x="611" s="1"/>
        <n x="697"/>
        <n x="698"/>
      </t>
    </mdx>
    <mdx n="0" f="v">
      <t c="6" si="614">
        <n x="610"/>
        <n x="333"/>
        <n x="334"/>
        <n x="611" s="1"/>
        <n x="699"/>
        <n x="700"/>
      </t>
    </mdx>
    <mdx n="0" f="v">
      <t c="6" si="614">
        <n x="610"/>
        <n x="333"/>
        <n x="334"/>
        <n x="611" s="1"/>
        <n x="705"/>
        <n x="706"/>
      </t>
    </mdx>
    <mdx n="0" f="v">
      <t c="6" si="614">
        <n x="610"/>
        <n x="335"/>
        <n x="336"/>
        <n x="611" s="1"/>
        <n x="612"/>
        <n x="613"/>
      </t>
    </mdx>
    <mdx n="0" f="v">
      <t c="6" si="614">
        <n x="610"/>
        <n x="335"/>
        <n x="336"/>
        <n x="611" s="1"/>
        <n x="619"/>
        <n x="620"/>
      </t>
    </mdx>
    <mdx n="0" f="v">
      <t c="6" si="614">
        <n x="610"/>
        <n x="335"/>
        <n x="336"/>
        <n x="611" s="1"/>
        <n x="623"/>
        <n x="624"/>
      </t>
    </mdx>
    <mdx n="0" f="v">
      <t c="6" si="614">
        <n x="610"/>
        <n x="335"/>
        <n x="336"/>
        <n x="611" s="1"/>
        <n x="625"/>
        <n x="626"/>
      </t>
    </mdx>
    <mdx n="0" f="v">
      <t c="6" si="614">
        <n x="610"/>
        <n x="335"/>
        <n x="336"/>
        <n x="611" s="1"/>
        <n x="627"/>
        <n x="628"/>
      </t>
    </mdx>
    <mdx n="0" f="v">
      <t c="6" si="614">
        <n x="610"/>
        <n x="335"/>
        <n x="336"/>
        <n x="611" s="1"/>
        <n x="631"/>
        <n x="632"/>
      </t>
    </mdx>
    <mdx n="0" f="v">
      <t c="6" si="614">
        <n x="610"/>
        <n x="335"/>
        <n x="336"/>
        <n x="611" s="1"/>
        <n x="635"/>
        <n x="636"/>
      </t>
    </mdx>
    <mdx n="0" f="v">
      <t c="6" si="614">
        <n x="610"/>
        <n x="335"/>
        <n x="336"/>
        <n x="611" s="1"/>
        <n x="643"/>
        <n x="644"/>
      </t>
    </mdx>
    <mdx n="0" f="v">
      <t c="6" si="614">
        <n x="610"/>
        <n x="335"/>
        <n x="336"/>
        <n x="611" s="1"/>
        <n x="645"/>
        <n x="646"/>
      </t>
    </mdx>
    <mdx n="0" f="v">
      <t c="6" si="614">
        <n x="610"/>
        <n x="335"/>
        <n x="336"/>
        <n x="611" s="1"/>
        <n x="649"/>
        <n x="650"/>
      </t>
    </mdx>
    <mdx n="0" f="v">
      <t c="6" si="614">
        <n x="610"/>
        <n x="335"/>
        <n x="336"/>
        <n x="611" s="1"/>
        <n x="651"/>
        <n x="652"/>
      </t>
    </mdx>
    <mdx n="0" f="v">
      <t c="6" si="614">
        <n x="610"/>
        <n x="335"/>
        <n x="336"/>
        <n x="611" s="1"/>
        <n x="657"/>
        <n x="658"/>
      </t>
    </mdx>
    <mdx n="0" f="v">
      <t c="6" si="614">
        <n x="610"/>
        <n x="335"/>
        <n x="336"/>
        <n x="611" s="1"/>
        <n x="659"/>
        <n x="660"/>
      </t>
    </mdx>
    <mdx n="0" f="v">
      <t c="6" si="614">
        <n x="610"/>
        <n x="335"/>
        <n x="336"/>
        <n x="611" s="1"/>
        <n x="663"/>
        <n x="664"/>
      </t>
    </mdx>
    <mdx n="0" f="v">
      <t c="6" si="614">
        <n x="610"/>
        <n x="335"/>
        <n x="336"/>
        <n x="611" s="1"/>
        <n x="665"/>
        <n x="666"/>
      </t>
    </mdx>
    <mdx n="0" f="v">
      <t c="6" si="614">
        <n x="610"/>
        <n x="335"/>
        <n x="336"/>
        <n x="611" s="1"/>
        <n x="667"/>
        <n x="668"/>
      </t>
    </mdx>
    <mdx n="0" f="v">
      <t c="6" si="614">
        <n x="610"/>
        <n x="335"/>
        <n x="336"/>
        <n x="611" s="1"/>
        <n x="673"/>
        <n x="674"/>
      </t>
    </mdx>
    <mdx n="0" f="v">
      <t c="6" si="614">
        <n x="610"/>
        <n x="335"/>
        <n x="336"/>
        <n x="611" s="1"/>
        <n x="677"/>
        <n x="678"/>
      </t>
    </mdx>
    <mdx n="0" f="v">
      <t c="6" si="614">
        <n x="610"/>
        <n x="335"/>
        <n x="336"/>
        <n x="611" s="1"/>
        <n x="679"/>
        <n x="680"/>
      </t>
    </mdx>
    <mdx n="0" f="v">
      <t c="6" si="614">
        <n x="610"/>
        <n x="335"/>
        <n x="336"/>
        <n x="611" s="1"/>
        <n x="683"/>
        <n x="684"/>
      </t>
    </mdx>
    <mdx n="0" f="v">
      <t c="6" si="614">
        <n x="610"/>
        <n x="335"/>
        <n x="336"/>
        <n x="611" s="1"/>
        <n x="685"/>
        <n x="686"/>
      </t>
    </mdx>
    <mdx n="0" f="v">
      <t c="6" si="614">
        <n x="610"/>
        <n x="335"/>
        <n x="336"/>
        <n x="611" s="1"/>
        <n x="687"/>
        <n x="688"/>
      </t>
    </mdx>
    <mdx n="0" f="v">
      <t c="6" si="614">
        <n x="610"/>
        <n x="335"/>
        <n x="336"/>
        <n x="611" s="1"/>
        <n x="691"/>
        <n x="692"/>
      </t>
    </mdx>
    <mdx n="0" f="v">
      <t c="6" si="614">
        <n x="610"/>
        <n x="335"/>
        <n x="336"/>
        <n x="611" s="1"/>
        <n x="695"/>
        <n x="696"/>
      </t>
    </mdx>
    <mdx n="0" f="v">
      <t c="6" si="614">
        <n x="610"/>
        <n x="335"/>
        <n x="336"/>
        <n x="611" s="1"/>
        <n x="697"/>
        <n x="698"/>
      </t>
    </mdx>
    <mdx n="0" f="v">
      <t c="6" si="614">
        <n x="610"/>
        <n x="335"/>
        <n x="336"/>
        <n x="611" s="1"/>
        <n x="699"/>
        <n x="700"/>
      </t>
    </mdx>
    <mdx n="0" f="v">
      <t c="6" si="614">
        <n x="610"/>
        <n x="335"/>
        <n x="336"/>
        <n x="611" s="1"/>
        <n x="701"/>
        <n x="702"/>
      </t>
    </mdx>
    <mdx n="0" f="v">
      <t c="6" si="614">
        <n x="610"/>
        <n x="335"/>
        <n x="336"/>
        <n x="611" s="1"/>
        <n x="703"/>
        <n x="704"/>
      </t>
    </mdx>
    <mdx n="0" f="v">
      <t c="6" si="614">
        <n x="610"/>
        <n x="335"/>
        <n x="336"/>
        <n x="611" s="1"/>
        <n x="705"/>
        <n x="706"/>
      </t>
    </mdx>
    <mdx n="0" f="v">
      <t c="6" si="614">
        <n x="610"/>
        <n x="337"/>
        <n x="338"/>
        <n x="611" s="1"/>
        <n x="612"/>
        <n x="613"/>
      </t>
    </mdx>
    <mdx n="0" f="v">
      <t c="6" si="614">
        <n x="610"/>
        <n x="337"/>
        <n x="338"/>
        <n x="611" s="1"/>
        <n x="615"/>
        <n x="616"/>
      </t>
    </mdx>
    <mdx n="0" f="v">
      <t c="6" si="614">
        <n x="610"/>
        <n x="337"/>
        <n x="338"/>
        <n x="611" s="1"/>
        <n x="619"/>
        <n x="620"/>
      </t>
    </mdx>
    <mdx n="0" f="v">
      <t c="6" si="614">
        <n x="610"/>
        <n x="337"/>
        <n x="338"/>
        <n x="611" s="1"/>
        <n x="621"/>
        <n x="622"/>
      </t>
    </mdx>
    <mdx n="0" f="v">
      <t c="6" si="614">
        <n x="610"/>
        <n x="337"/>
        <n x="338"/>
        <n x="611" s="1"/>
        <n x="623"/>
        <n x="624"/>
      </t>
    </mdx>
    <mdx n="0" f="v">
      <t c="6" si="614">
        <n x="610"/>
        <n x="337"/>
        <n x="338"/>
        <n x="611" s="1"/>
        <n x="625"/>
        <n x="626"/>
      </t>
    </mdx>
    <mdx n="0" f="v">
      <t c="6" si="614">
        <n x="610"/>
        <n x="337"/>
        <n x="338"/>
        <n x="611" s="1"/>
        <n x="627"/>
        <n x="628"/>
      </t>
    </mdx>
    <mdx n="0" f="v">
      <t c="6" si="614">
        <n x="610"/>
        <n x="337"/>
        <n x="338"/>
        <n x="611" s="1"/>
        <n x="631"/>
        <n x="632"/>
      </t>
    </mdx>
    <mdx n="0" f="v">
      <t c="6" si="614">
        <n x="610"/>
        <n x="337"/>
        <n x="338"/>
        <n x="611" s="1"/>
        <n x="635"/>
        <n x="636"/>
      </t>
    </mdx>
    <mdx n="0" f="v">
      <t c="6" si="614">
        <n x="610"/>
        <n x="337"/>
        <n x="338"/>
        <n x="611" s="1"/>
        <n x="641"/>
        <n x="642"/>
      </t>
    </mdx>
    <mdx n="0" f="v">
      <t c="6" si="614">
        <n x="610"/>
        <n x="337"/>
        <n x="338"/>
        <n x="611" s="1"/>
        <n x="643"/>
        <n x="644"/>
      </t>
    </mdx>
    <mdx n="0" f="v">
      <t c="6" si="614">
        <n x="610"/>
        <n x="337"/>
        <n x="338"/>
        <n x="611" s="1"/>
        <n x="645"/>
        <n x="646"/>
      </t>
    </mdx>
    <mdx n="0" f="v">
      <t c="6" si="614">
        <n x="610"/>
        <n x="337"/>
        <n x="338"/>
        <n x="611" s="1"/>
        <n x="647"/>
        <n x="648"/>
      </t>
    </mdx>
    <mdx n="0" f="v">
      <t c="6" si="614">
        <n x="610"/>
        <n x="337"/>
        <n x="338"/>
        <n x="611" s="1"/>
        <n x="649"/>
        <n x="650"/>
      </t>
    </mdx>
    <mdx n="0" f="v">
      <t c="6" si="614">
        <n x="610"/>
        <n x="337"/>
        <n x="338"/>
        <n x="611" s="1"/>
        <n x="657"/>
        <n x="658"/>
      </t>
    </mdx>
    <mdx n="0" f="v">
      <t c="6" si="614">
        <n x="610"/>
        <n x="337"/>
        <n x="338"/>
        <n x="611" s="1"/>
        <n x="659"/>
        <n x="660"/>
      </t>
    </mdx>
    <mdx n="0" f="v">
      <t c="6" si="614">
        <n x="610"/>
        <n x="337"/>
        <n x="338"/>
        <n x="611" s="1"/>
        <n x="663"/>
        <n x="664"/>
      </t>
    </mdx>
    <mdx n="0" f="v">
      <t c="6" si="614">
        <n x="610"/>
        <n x="337"/>
        <n x="338"/>
        <n x="611" s="1"/>
        <n x="669"/>
        <n x="670"/>
      </t>
    </mdx>
    <mdx n="0" f="v">
      <t c="6" si="614">
        <n x="610"/>
        <n x="337"/>
        <n x="338"/>
        <n x="611" s="1"/>
        <n x="671"/>
        <n x="672"/>
      </t>
    </mdx>
    <mdx n="0" f="v">
      <t c="6" si="614">
        <n x="610"/>
        <n x="337"/>
        <n x="338"/>
        <n x="611" s="1"/>
        <n x="673"/>
        <n x="674"/>
      </t>
    </mdx>
    <mdx n="0" f="v">
      <t c="6" si="614">
        <n x="610"/>
        <n x="337"/>
        <n x="338"/>
        <n x="611" s="1"/>
        <n x="677"/>
        <n x="678"/>
      </t>
    </mdx>
    <mdx n="0" f="v">
      <t c="6" si="614">
        <n x="610"/>
        <n x="337"/>
        <n x="338"/>
        <n x="611" s="1"/>
        <n x="679"/>
        <n x="680"/>
      </t>
    </mdx>
    <mdx n="0" f="v">
      <t c="6" si="614">
        <n x="610"/>
        <n x="337"/>
        <n x="338"/>
        <n x="611" s="1"/>
        <n x="681"/>
        <n x="682"/>
      </t>
    </mdx>
    <mdx n="0" f="v">
      <t c="6" si="614">
        <n x="610"/>
        <n x="337"/>
        <n x="338"/>
        <n x="611" s="1"/>
        <n x="685"/>
        <n x="686"/>
      </t>
    </mdx>
    <mdx n="0" f="v">
      <t c="6" si="614">
        <n x="610"/>
        <n x="337"/>
        <n x="338"/>
        <n x="611" s="1"/>
        <n x="687"/>
        <n x="688"/>
      </t>
    </mdx>
    <mdx n="0" f="v">
      <t c="6" si="614">
        <n x="610"/>
        <n x="337"/>
        <n x="338"/>
        <n x="611" s="1"/>
        <n x="689"/>
        <n x="690"/>
      </t>
    </mdx>
    <mdx n="0" f="v">
      <t c="6" si="614">
        <n x="610"/>
        <n x="337"/>
        <n x="338"/>
        <n x="611" s="1"/>
        <n x="691"/>
        <n x="692"/>
      </t>
    </mdx>
    <mdx n="0" f="v">
      <t c="6" si="614">
        <n x="610"/>
        <n x="337"/>
        <n x="338"/>
        <n x="611" s="1"/>
        <n x="703"/>
        <n x="704"/>
      </t>
    </mdx>
    <mdx n="0" f="v">
      <t c="6" si="614">
        <n x="610"/>
        <n x="337"/>
        <n x="338"/>
        <n x="611" s="1"/>
        <n x="707"/>
        <n x="708"/>
      </t>
    </mdx>
    <mdx n="0" f="v">
      <t c="6" si="614">
        <n x="610"/>
        <n x="339"/>
        <n x="340"/>
        <n x="611" s="1"/>
        <n x="612"/>
        <n x="613"/>
      </t>
    </mdx>
    <mdx n="0" f="v">
      <t c="6" si="614">
        <n x="610"/>
        <n x="339"/>
        <n x="340"/>
        <n x="611" s="1"/>
        <n x="615"/>
        <n x="616"/>
      </t>
    </mdx>
    <mdx n="0" f="v">
      <t c="6" si="614">
        <n x="610"/>
        <n x="339"/>
        <n x="340"/>
        <n x="611" s="1"/>
        <n x="619"/>
        <n x="620"/>
      </t>
    </mdx>
    <mdx n="0" f="v">
      <t c="6" si="614">
        <n x="610"/>
        <n x="339"/>
        <n x="340"/>
        <n x="611" s="1"/>
        <n x="623"/>
        <n x="624"/>
      </t>
    </mdx>
    <mdx n="0" f="v">
      <t c="6" si="614">
        <n x="610"/>
        <n x="339"/>
        <n x="340"/>
        <n x="611" s="1"/>
        <n x="625"/>
        <n x="626"/>
      </t>
    </mdx>
    <mdx n="0" f="v">
      <t c="6" si="614">
        <n x="610"/>
        <n x="339"/>
        <n x="340"/>
        <n x="611" s="1"/>
        <n x="627"/>
        <n x="628"/>
      </t>
    </mdx>
    <mdx n="0" f="v">
      <t c="6" si="614">
        <n x="610"/>
        <n x="339"/>
        <n x="340"/>
        <n x="611" s="1"/>
        <n x="629"/>
        <n x="630"/>
      </t>
    </mdx>
    <mdx n="0" f="v">
      <t c="6" si="614">
        <n x="610"/>
        <n x="339"/>
        <n x="340"/>
        <n x="611" s="1"/>
        <n x="631"/>
        <n x="632"/>
      </t>
    </mdx>
    <mdx n="0" f="v">
      <t c="6" si="614">
        <n x="610"/>
        <n x="339"/>
        <n x="340"/>
        <n x="611" s="1"/>
        <n x="633"/>
        <n x="634"/>
      </t>
    </mdx>
    <mdx n="0" f="v">
      <t c="6" si="614">
        <n x="610"/>
        <n x="339"/>
        <n x="340"/>
        <n x="611" s="1"/>
        <n x="635"/>
        <n x="636"/>
      </t>
    </mdx>
    <mdx n="0" f="v">
      <t c="6" si="614">
        <n x="610"/>
        <n x="339"/>
        <n x="340"/>
        <n x="611" s="1"/>
        <n x="637"/>
        <n x="638"/>
      </t>
    </mdx>
    <mdx n="0" f="v">
      <t c="6" si="614">
        <n x="610"/>
        <n x="339"/>
        <n x="340"/>
        <n x="611" s="1"/>
        <n x="639"/>
        <n x="640"/>
      </t>
    </mdx>
    <mdx n="0" f="v">
      <t c="6" si="614">
        <n x="610"/>
        <n x="339"/>
        <n x="340"/>
        <n x="611" s="1"/>
        <n x="641"/>
        <n x="642"/>
      </t>
    </mdx>
    <mdx n="0" f="v">
      <t c="6" si="614">
        <n x="610"/>
        <n x="339"/>
        <n x="340"/>
        <n x="611" s="1"/>
        <n x="643"/>
        <n x="644"/>
      </t>
    </mdx>
    <mdx n="0" f="v">
      <t c="6" si="614">
        <n x="610"/>
        <n x="339"/>
        <n x="340"/>
        <n x="611" s="1"/>
        <n x="645"/>
        <n x="646"/>
      </t>
    </mdx>
    <mdx n="0" f="v">
      <t c="6" si="614">
        <n x="610"/>
        <n x="339"/>
        <n x="340"/>
        <n x="611" s="1"/>
        <n x="647"/>
        <n x="648"/>
      </t>
    </mdx>
    <mdx n="0" f="v">
      <t c="6" si="614">
        <n x="610"/>
        <n x="339"/>
        <n x="340"/>
        <n x="611" s="1"/>
        <n x="649"/>
        <n x="650"/>
      </t>
    </mdx>
    <mdx n="0" f="v">
      <t c="6" si="614">
        <n x="610"/>
        <n x="339"/>
        <n x="340"/>
        <n x="611" s="1"/>
        <n x="651"/>
        <n x="652"/>
      </t>
    </mdx>
    <mdx n="0" f="v">
      <t c="6" si="614">
        <n x="610"/>
        <n x="339"/>
        <n x="340"/>
        <n x="611" s="1"/>
        <n x="653"/>
        <n x="654"/>
      </t>
    </mdx>
    <mdx n="0" f="v">
      <t c="6" si="614">
        <n x="610"/>
        <n x="339"/>
        <n x="340"/>
        <n x="611" s="1"/>
        <n x="657"/>
        <n x="658"/>
      </t>
    </mdx>
    <mdx n="0" f="v">
      <t c="6" si="614">
        <n x="610"/>
        <n x="339"/>
        <n x="340"/>
        <n x="611" s="1"/>
        <n x="659"/>
        <n x="660"/>
      </t>
    </mdx>
    <mdx n="0" f="v">
      <t c="6" si="614">
        <n x="610"/>
        <n x="339"/>
        <n x="340"/>
        <n x="611" s="1"/>
        <n x="661"/>
        <n x="662"/>
      </t>
    </mdx>
    <mdx n="0" f="v">
      <t c="6" si="614">
        <n x="610"/>
        <n x="339"/>
        <n x="340"/>
        <n x="611" s="1"/>
        <n x="665"/>
        <n x="666"/>
      </t>
    </mdx>
    <mdx n="0" f="v">
      <t c="6" si="614">
        <n x="610"/>
        <n x="339"/>
        <n x="340"/>
        <n x="611" s="1"/>
        <n x="667"/>
        <n x="668"/>
      </t>
    </mdx>
    <mdx n="0" f="v">
      <t c="6" si="614">
        <n x="610"/>
        <n x="339"/>
        <n x="340"/>
        <n x="611" s="1"/>
        <n x="669"/>
        <n x="670"/>
      </t>
    </mdx>
    <mdx n="0" f="v">
      <t c="6" si="614">
        <n x="610"/>
        <n x="339"/>
        <n x="340"/>
        <n x="611" s="1"/>
        <n x="671"/>
        <n x="672"/>
      </t>
    </mdx>
    <mdx n="0" f="v">
      <t c="6" si="614">
        <n x="610"/>
        <n x="339"/>
        <n x="340"/>
        <n x="611" s="1"/>
        <n x="673"/>
        <n x="674"/>
      </t>
    </mdx>
    <mdx n="0" f="v">
      <t c="6" si="614">
        <n x="610"/>
        <n x="339"/>
        <n x="340"/>
        <n x="611" s="1"/>
        <n x="675"/>
        <n x="676"/>
      </t>
    </mdx>
    <mdx n="0" f="v">
      <t c="6" si="614">
        <n x="610"/>
        <n x="339"/>
        <n x="340"/>
        <n x="611" s="1"/>
        <n x="679"/>
        <n x="680"/>
      </t>
    </mdx>
    <mdx n="0" f="v">
      <t c="6" si="614">
        <n x="610"/>
        <n x="339"/>
        <n x="340"/>
        <n x="611" s="1"/>
        <n x="681"/>
        <n x="682"/>
      </t>
    </mdx>
    <mdx n="0" f="v">
      <t c="6" si="614">
        <n x="610"/>
        <n x="339"/>
        <n x="340"/>
        <n x="611" s="1"/>
        <n x="687"/>
        <n x="688"/>
      </t>
    </mdx>
    <mdx n="0" f="v">
      <t c="6" si="614">
        <n x="610"/>
        <n x="339"/>
        <n x="340"/>
        <n x="611" s="1"/>
        <n x="689"/>
        <n x="690"/>
      </t>
    </mdx>
    <mdx n="0" f="v">
      <t c="6" si="614">
        <n x="610"/>
        <n x="339"/>
        <n x="340"/>
        <n x="611" s="1"/>
        <n x="691"/>
        <n x="692"/>
      </t>
    </mdx>
    <mdx n="0" f="v">
      <t c="6" si="614">
        <n x="610"/>
        <n x="339"/>
        <n x="340"/>
        <n x="611" s="1"/>
        <n x="693"/>
        <n x="694"/>
      </t>
    </mdx>
    <mdx n="0" f="v">
      <t c="6" si="614">
        <n x="610"/>
        <n x="339"/>
        <n x="340"/>
        <n x="611" s="1"/>
        <n x="695"/>
        <n x="696"/>
      </t>
    </mdx>
    <mdx n="0" f="v">
      <t c="6" si="614">
        <n x="610"/>
        <n x="339"/>
        <n x="340"/>
        <n x="611" s="1"/>
        <n x="697"/>
        <n x="698"/>
      </t>
    </mdx>
    <mdx n="0" f="v">
      <t c="6" si="614">
        <n x="610"/>
        <n x="339"/>
        <n x="340"/>
        <n x="611" s="1"/>
        <n x="701"/>
        <n x="702"/>
      </t>
    </mdx>
    <mdx n="0" f="v">
      <t c="6" si="614">
        <n x="610"/>
        <n x="341"/>
        <n x="342"/>
        <n x="611" s="1"/>
        <n x="615"/>
        <n x="616"/>
      </t>
    </mdx>
    <mdx n="0" f="v">
      <t c="6" si="614">
        <n x="610"/>
        <n x="341"/>
        <n x="342"/>
        <n x="611" s="1"/>
        <n x="617"/>
        <n x="618"/>
      </t>
    </mdx>
    <mdx n="0" f="v">
      <t c="6" si="614">
        <n x="610"/>
        <n x="341"/>
        <n x="342"/>
        <n x="611" s="1"/>
        <n x="619"/>
        <n x="620"/>
      </t>
    </mdx>
    <mdx n="0" f="v">
      <t c="6" si="614">
        <n x="610"/>
        <n x="341"/>
        <n x="342"/>
        <n x="611" s="1"/>
        <n x="623"/>
        <n x="624"/>
      </t>
    </mdx>
    <mdx n="0" f="v">
      <t c="6" si="614">
        <n x="610"/>
        <n x="341"/>
        <n x="342"/>
        <n x="611" s="1"/>
        <n x="625"/>
        <n x="626"/>
      </t>
    </mdx>
    <mdx n="0" f="v">
      <t c="6" si="614">
        <n x="610"/>
        <n x="341"/>
        <n x="342"/>
        <n x="611" s="1"/>
        <n x="627"/>
        <n x="628"/>
      </t>
    </mdx>
    <mdx n="0" f="v">
      <t c="6" si="614">
        <n x="610"/>
        <n x="341"/>
        <n x="342"/>
        <n x="611" s="1"/>
        <n x="629"/>
        <n x="630"/>
      </t>
    </mdx>
    <mdx n="0" f="v">
      <t c="6" si="614">
        <n x="610"/>
        <n x="341"/>
        <n x="342"/>
        <n x="611" s="1"/>
        <n x="635"/>
        <n x="636"/>
      </t>
    </mdx>
    <mdx n="0" f="v">
      <t c="6" si="614">
        <n x="610"/>
        <n x="341"/>
        <n x="342"/>
        <n x="611" s="1"/>
        <n x="637"/>
        <n x="638"/>
      </t>
    </mdx>
    <mdx n="0" f="v">
      <t c="6" si="614">
        <n x="610"/>
        <n x="341"/>
        <n x="342"/>
        <n x="611" s="1"/>
        <n x="641"/>
        <n x="642"/>
      </t>
    </mdx>
    <mdx n="0" f="v">
      <t c="6" si="614">
        <n x="610"/>
        <n x="341"/>
        <n x="342"/>
        <n x="611" s="1"/>
        <n x="645"/>
        <n x="646"/>
      </t>
    </mdx>
    <mdx n="0" f="v">
      <t c="6" si="614">
        <n x="610"/>
        <n x="341"/>
        <n x="342"/>
        <n x="611" s="1"/>
        <n x="649"/>
        <n x="650"/>
      </t>
    </mdx>
    <mdx n="0" f="v">
      <t c="6" si="614">
        <n x="610"/>
        <n x="341"/>
        <n x="342"/>
        <n x="611" s="1"/>
        <n x="657"/>
        <n x="658"/>
      </t>
    </mdx>
    <mdx n="0" f="v">
      <t c="6" si="614">
        <n x="610"/>
        <n x="341"/>
        <n x="342"/>
        <n x="611" s="1"/>
        <n x="665"/>
        <n x="666"/>
      </t>
    </mdx>
    <mdx n="0" f="v">
      <t c="6" si="614">
        <n x="610"/>
        <n x="341"/>
        <n x="342"/>
        <n x="611" s="1"/>
        <n x="667"/>
        <n x="668"/>
      </t>
    </mdx>
    <mdx n="0" f="v">
      <t c="6" si="614">
        <n x="610"/>
        <n x="341"/>
        <n x="342"/>
        <n x="611" s="1"/>
        <n x="669"/>
        <n x="670"/>
      </t>
    </mdx>
    <mdx n="0" f="v">
      <t c="6" si="614">
        <n x="610"/>
        <n x="341"/>
        <n x="342"/>
        <n x="611" s="1"/>
        <n x="675"/>
        <n x="676"/>
      </t>
    </mdx>
    <mdx n="0" f="v">
      <t c="6" si="614">
        <n x="610"/>
        <n x="341"/>
        <n x="342"/>
        <n x="611" s="1"/>
        <n x="677"/>
        <n x="678"/>
      </t>
    </mdx>
    <mdx n="0" f="v">
      <t c="6" si="614">
        <n x="610"/>
        <n x="341"/>
        <n x="342"/>
        <n x="611" s="1"/>
        <n x="679"/>
        <n x="680"/>
      </t>
    </mdx>
    <mdx n="0" f="v">
      <t c="6" si="614">
        <n x="610"/>
        <n x="341"/>
        <n x="342"/>
        <n x="611" s="1"/>
        <n x="681"/>
        <n x="682"/>
      </t>
    </mdx>
    <mdx n="0" f="v">
      <t c="6" si="614">
        <n x="610"/>
        <n x="341"/>
        <n x="342"/>
        <n x="611" s="1"/>
        <n x="683"/>
        <n x="684"/>
      </t>
    </mdx>
    <mdx n="0" f="v">
      <t c="6" si="614">
        <n x="610"/>
        <n x="341"/>
        <n x="342"/>
        <n x="611" s="1"/>
        <n x="685"/>
        <n x="686"/>
      </t>
    </mdx>
    <mdx n="0" f="v">
      <t c="6" si="614">
        <n x="610"/>
        <n x="341"/>
        <n x="342"/>
        <n x="611" s="1"/>
        <n x="691"/>
        <n x="692"/>
      </t>
    </mdx>
    <mdx n="0" f="v">
      <t c="6" si="614">
        <n x="610"/>
        <n x="341"/>
        <n x="342"/>
        <n x="611" s="1"/>
        <n x="693"/>
        <n x="694"/>
      </t>
    </mdx>
    <mdx n="0" f="v">
      <t c="6" si="614">
        <n x="610"/>
        <n x="341"/>
        <n x="342"/>
        <n x="611" s="1"/>
        <n x="697"/>
        <n x="698"/>
      </t>
    </mdx>
    <mdx n="0" f="v">
      <t c="6" si="614">
        <n x="610"/>
        <n x="341"/>
        <n x="342"/>
        <n x="611" s="1"/>
        <n x="699"/>
        <n x="700"/>
      </t>
    </mdx>
    <mdx n="0" f="v">
      <t c="6" si="614">
        <n x="610"/>
        <n x="341"/>
        <n x="342"/>
        <n x="611" s="1"/>
        <n x="701"/>
        <n x="702"/>
      </t>
    </mdx>
    <mdx n="0" f="v">
      <t c="6" si="614">
        <n x="610"/>
        <n x="341"/>
        <n x="342"/>
        <n x="611" s="1"/>
        <n x="703"/>
        <n x="704"/>
      </t>
    </mdx>
    <mdx n="0" f="v">
      <t c="6" si="614">
        <n x="610"/>
        <n x="341"/>
        <n x="342"/>
        <n x="611" s="1"/>
        <n x="705"/>
        <n x="706"/>
      </t>
    </mdx>
    <mdx n="0" f="v">
      <t c="6" si="614">
        <n x="610"/>
        <n x="341"/>
        <n x="342"/>
        <n x="611" s="1"/>
        <n x="707"/>
        <n x="708"/>
      </t>
    </mdx>
    <mdx n="0" f="v">
      <t c="6" si="614">
        <n x="610"/>
        <n x="343"/>
        <n x="344"/>
        <n x="611" s="1"/>
        <n x="612"/>
        <n x="613"/>
      </t>
    </mdx>
    <mdx n="0" f="v">
      <t c="6" si="614">
        <n x="610"/>
        <n x="343"/>
        <n x="344"/>
        <n x="611" s="1"/>
        <n x="615"/>
        <n x="616"/>
      </t>
    </mdx>
    <mdx n="0" f="v">
      <t c="6" si="614">
        <n x="610"/>
        <n x="343"/>
        <n x="344"/>
        <n x="611" s="1"/>
        <n x="617"/>
        <n x="618"/>
      </t>
    </mdx>
    <mdx n="0" f="v">
      <t c="6" si="614">
        <n x="610"/>
        <n x="343"/>
        <n x="344"/>
        <n x="611" s="1"/>
        <n x="621"/>
        <n x="622"/>
      </t>
    </mdx>
    <mdx n="0" f="v">
      <t c="6" si="614">
        <n x="610"/>
        <n x="343"/>
        <n x="344"/>
        <n x="611" s="1"/>
        <n x="623"/>
        <n x="624"/>
      </t>
    </mdx>
    <mdx n="0" f="v">
      <t c="6" si="614">
        <n x="610"/>
        <n x="343"/>
        <n x="344"/>
        <n x="611" s="1"/>
        <n x="625"/>
        <n x="626"/>
      </t>
    </mdx>
    <mdx n="0" f="v">
      <t c="6" si="614">
        <n x="610"/>
        <n x="343"/>
        <n x="344"/>
        <n x="611" s="1"/>
        <n x="627"/>
        <n x="628"/>
      </t>
    </mdx>
    <mdx n="0" f="v">
      <t c="6" si="614">
        <n x="610"/>
        <n x="343"/>
        <n x="344"/>
        <n x="611" s="1"/>
        <n x="629"/>
        <n x="630"/>
      </t>
    </mdx>
    <mdx n="0" f="v">
      <t c="6" si="614">
        <n x="610"/>
        <n x="343"/>
        <n x="344"/>
        <n x="611" s="1"/>
        <n x="633"/>
        <n x="634"/>
      </t>
    </mdx>
    <mdx n="0" f="v">
      <t c="6" si="614">
        <n x="610"/>
        <n x="343"/>
        <n x="344"/>
        <n x="611" s="1"/>
        <n x="635"/>
        <n x="636"/>
      </t>
    </mdx>
    <mdx n="0" f="v">
      <t c="6" si="614">
        <n x="610"/>
        <n x="343"/>
        <n x="344"/>
        <n x="611" s="1"/>
        <n x="637"/>
        <n x="638"/>
      </t>
    </mdx>
    <mdx n="0" f="v">
      <t c="6" si="614">
        <n x="610"/>
        <n x="343"/>
        <n x="344"/>
        <n x="611" s="1"/>
        <n x="639"/>
        <n x="640"/>
      </t>
    </mdx>
    <mdx n="0" f="v">
      <t c="6" si="614">
        <n x="610"/>
        <n x="343"/>
        <n x="344"/>
        <n x="611" s="1"/>
        <n x="643"/>
        <n x="644"/>
      </t>
    </mdx>
    <mdx n="0" f="v">
      <t c="6" si="614">
        <n x="610"/>
        <n x="343"/>
        <n x="344"/>
        <n x="611" s="1"/>
        <n x="647"/>
        <n x="648"/>
      </t>
    </mdx>
    <mdx n="0" f="v">
      <t c="6" si="614">
        <n x="610"/>
        <n x="343"/>
        <n x="344"/>
        <n x="611" s="1"/>
        <n x="649"/>
        <n x="650"/>
      </t>
    </mdx>
    <mdx n="0" f="v">
      <t c="6" si="614">
        <n x="610"/>
        <n x="343"/>
        <n x="344"/>
        <n x="611" s="1"/>
        <n x="651"/>
        <n x="652"/>
      </t>
    </mdx>
    <mdx n="0" f="v">
      <t c="6" si="614">
        <n x="610"/>
        <n x="343"/>
        <n x="344"/>
        <n x="611" s="1"/>
        <n x="653"/>
        <n x="654"/>
      </t>
    </mdx>
    <mdx n="0" f="v">
      <t c="6" si="614">
        <n x="610"/>
        <n x="343"/>
        <n x="344"/>
        <n x="611" s="1"/>
        <n x="657"/>
        <n x="658"/>
      </t>
    </mdx>
    <mdx n="0" f="v">
      <t c="6" si="614">
        <n x="610"/>
        <n x="343"/>
        <n x="344"/>
        <n x="611" s="1"/>
        <n x="659"/>
        <n x="660"/>
      </t>
    </mdx>
    <mdx n="0" f="v">
      <t c="6" si="614">
        <n x="610"/>
        <n x="343"/>
        <n x="344"/>
        <n x="611" s="1"/>
        <n x="661"/>
        <n x="662"/>
      </t>
    </mdx>
    <mdx n="0" f="v">
      <t c="6" si="614">
        <n x="610"/>
        <n x="343"/>
        <n x="344"/>
        <n x="611" s="1"/>
        <n x="663"/>
        <n x="664"/>
      </t>
    </mdx>
    <mdx n="0" f="v">
      <t c="6" si="614">
        <n x="610"/>
        <n x="343"/>
        <n x="344"/>
        <n x="611" s="1"/>
        <n x="665"/>
        <n x="666"/>
      </t>
    </mdx>
    <mdx n="0" f="v">
      <t c="6" si="614">
        <n x="610"/>
        <n x="343"/>
        <n x="344"/>
        <n x="611" s="1"/>
        <n x="669"/>
        <n x="670"/>
      </t>
    </mdx>
    <mdx n="0" f="v">
      <t c="6" si="614">
        <n x="610"/>
        <n x="343"/>
        <n x="344"/>
        <n x="611" s="1"/>
        <n x="671"/>
        <n x="672"/>
      </t>
    </mdx>
    <mdx n="0" f="v">
      <t c="6" si="614">
        <n x="610"/>
        <n x="343"/>
        <n x="344"/>
        <n x="611" s="1"/>
        <n x="675"/>
        <n x="676"/>
      </t>
    </mdx>
    <mdx n="0" f="v">
      <t c="6" si="614">
        <n x="610"/>
        <n x="343"/>
        <n x="344"/>
        <n x="611" s="1"/>
        <n x="677"/>
        <n x="678"/>
      </t>
    </mdx>
    <mdx n="0" f="v">
      <t c="6" si="614">
        <n x="610"/>
        <n x="343"/>
        <n x="344"/>
        <n x="611" s="1"/>
        <n x="679"/>
        <n x="680"/>
      </t>
    </mdx>
    <mdx n="0" f="v">
      <t c="6" si="614">
        <n x="610"/>
        <n x="343"/>
        <n x="344"/>
        <n x="611" s="1"/>
        <n x="681"/>
        <n x="682"/>
      </t>
    </mdx>
    <mdx n="0" f="v">
      <t c="6" si="614">
        <n x="610"/>
        <n x="343"/>
        <n x="344"/>
        <n x="611" s="1"/>
        <n x="683"/>
        <n x="684"/>
      </t>
    </mdx>
    <mdx n="0" f="v">
      <t c="6" si="614">
        <n x="610"/>
        <n x="343"/>
        <n x="344"/>
        <n x="611" s="1"/>
        <n x="685"/>
        <n x="686"/>
      </t>
    </mdx>
    <mdx n="0" f="v">
      <t c="6" si="614">
        <n x="610"/>
        <n x="343"/>
        <n x="344"/>
        <n x="611" s="1"/>
        <n x="687"/>
        <n x="688"/>
      </t>
    </mdx>
    <mdx n="0" f="v">
      <t c="6" si="614">
        <n x="610"/>
        <n x="343"/>
        <n x="344"/>
        <n x="611" s="1"/>
        <n x="689"/>
        <n x="690"/>
      </t>
    </mdx>
    <mdx n="0" f="v">
      <t c="6" si="614">
        <n x="610"/>
        <n x="343"/>
        <n x="344"/>
        <n x="611" s="1"/>
        <n x="691"/>
        <n x="692"/>
      </t>
    </mdx>
    <mdx n="0" f="v">
      <t c="6" si="614">
        <n x="610"/>
        <n x="343"/>
        <n x="344"/>
        <n x="611" s="1"/>
        <n x="693"/>
        <n x="694"/>
      </t>
    </mdx>
    <mdx n="0" f="v">
      <t c="6" si="614">
        <n x="610"/>
        <n x="343"/>
        <n x="344"/>
        <n x="611" s="1"/>
        <n x="695"/>
        <n x="696"/>
      </t>
    </mdx>
    <mdx n="0" f="v">
      <t c="6" si="614">
        <n x="610"/>
        <n x="343"/>
        <n x="344"/>
        <n x="611" s="1"/>
        <n x="697"/>
        <n x="698"/>
      </t>
    </mdx>
    <mdx n="0" f="v">
      <t c="6" si="614">
        <n x="610"/>
        <n x="343"/>
        <n x="344"/>
        <n x="611" s="1"/>
        <n x="699"/>
        <n x="700"/>
      </t>
    </mdx>
    <mdx n="0" f="v">
      <t c="6" si="614">
        <n x="610"/>
        <n x="343"/>
        <n x="344"/>
        <n x="611" s="1"/>
        <n x="703"/>
        <n x="704"/>
      </t>
    </mdx>
    <mdx n="0" f="v">
      <t c="6" si="614">
        <n x="610"/>
        <n x="343"/>
        <n x="344"/>
        <n x="611" s="1"/>
        <n x="705"/>
        <n x="706"/>
      </t>
    </mdx>
    <mdx n="0" f="v">
      <t c="6" si="614">
        <n x="610"/>
        <n x="343"/>
        <n x="344"/>
        <n x="611" s="1"/>
        <n x="707"/>
        <n x="708"/>
      </t>
    </mdx>
    <mdx n="0" f="v">
      <t c="6" si="614">
        <n x="610"/>
        <n x="345"/>
        <n x="346"/>
        <n x="611" s="1"/>
        <n x="612"/>
        <n x="613"/>
      </t>
    </mdx>
    <mdx n="0" f="v">
      <t c="6" si="614">
        <n x="610"/>
        <n x="345"/>
        <n x="346"/>
        <n x="611" s="1"/>
        <n x="615"/>
        <n x="616"/>
      </t>
    </mdx>
    <mdx n="0" f="v">
      <t c="6" si="614">
        <n x="610"/>
        <n x="345"/>
        <n x="346"/>
        <n x="611" s="1"/>
        <n x="619"/>
        <n x="620"/>
      </t>
    </mdx>
    <mdx n="0" f="v">
      <t c="6" si="614">
        <n x="610"/>
        <n x="345"/>
        <n x="346"/>
        <n x="611" s="1"/>
        <n x="621"/>
        <n x="622"/>
      </t>
    </mdx>
    <mdx n="0" f="v">
      <t c="6" si="614">
        <n x="610"/>
        <n x="345"/>
        <n x="346"/>
        <n x="611" s="1"/>
        <n x="623"/>
        <n x="624"/>
      </t>
    </mdx>
    <mdx n="0" f="v">
      <t c="6" si="614">
        <n x="610"/>
        <n x="345"/>
        <n x="346"/>
        <n x="611" s="1"/>
        <n x="625"/>
        <n x="626"/>
      </t>
    </mdx>
    <mdx n="0" f="v">
      <t c="6" si="614">
        <n x="610"/>
        <n x="345"/>
        <n x="346"/>
        <n x="611" s="1"/>
        <n x="627"/>
        <n x="628"/>
      </t>
    </mdx>
    <mdx n="0" f="v">
      <t c="6" si="614">
        <n x="610"/>
        <n x="345"/>
        <n x="346"/>
        <n x="611" s="1"/>
        <n x="631"/>
        <n x="632"/>
      </t>
    </mdx>
    <mdx n="0" f="v">
      <t c="6" si="614">
        <n x="610"/>
        <n x="345"/>
        <n x="346"/>
        <n x="611" s="1"/>
        <n x="633"/>
        <n x="634"/>
      </t>
    </mdx>
    <mdx n="0" f="v">
      <t c="6" si="614">
        <n x="610"/>
        <n x="345"/>
        <n x="346"/>
        <n x="611" s="1"/>
        <n x="635"/>
        <n x="636"/>
      </t>
    </mdx>
    <mdx n="0" f="v">
      <t c="6" si="614">
        <n x="610"/>
        <n x="345"/>
        <n x="346"/>
        <n x="611" s="1"/>
        <n x="643"/>
        <n x="644"/>
      </t>
    </mdx>
    <mdx n="0" f="v">
      <t c="6" si="614">
        <n x="610"/>
        <n x="345"/>
        <n x="346"/>
        <n x="611" s="1"/>
        <n x="647"/>
        <n x="648"/>
      </t>
    </mdx>
    <mdx n="0" f="v">
      <t c="6" si="614">
        <n x="610"/>
        <n x="345"/>
        <n x="346"/>
        <n x="611" s="1"/>
        <n x="651"/>
        <n x="652"/>
      </t>
    </mdx>
    <mdx n="0" f="v">
      <t c="6" si="614">
        <n x="610"/>
        <n x="345"/>
        <n x="346"/>
        <n x="611" s="1"/>
        <n x="657"/>
        <n x="658"/>
      </t>
    </mdx>
    <mdx n="0" f="v">
      <t c="6" si="614">
        <n x="610"/>
        <n x="345"/>
        <n x="346"/>
        <n x="611" s="1"/>
        <n x="659"/>
        <n x="660"/>
      </t>
    </mdx>
    <mdx n="0" f="v">
      <t c="6" si="614">
        <n x="610"/>
        <n x="345"/>
        <n x="346"/>
        <n x="611" s="1"/>
        <n x="669"/>
        <n x="670"/>
      </t>
    </mdx>
    <mdx n="0" f="v">
      <t c="6" si="614">
        <n x="610"/>
        <n x="345"/>
        <n x="346"/>
        <n x="611" s="1"/>
        <n x="671"/>
        <n x="672"/>
      </t>
    </mdx>
    <mdx n="0" f="v">
      <t c="6" si="614">
        <n x="610"/>
        <n x="345"/>
        <n x="346"/>
        <n x="611" s="1"/>
        <n x="673"/>
        <n x="674"/>
      </t>
    </mdx>
    <mdx n="0" f="v">
      <t c="6" si="614">
        <n x="610"/>
        <n x="345"/>
        <n x="346"/>
        <n x="611" s="1"/>
        <n x="675"/>
        <n x="676"/>
      </t>
    </mdx>
    <mdx n="0" f="v">
      <t c="6" si="614">
        <n x="610"/>
        <n x="345"/>
        <n x="346"/>
        <n x="611" s="1"/>
        <n x="677"/>
        <n x="678"/>
      </t>
    </mdx>
    <mdx n="0" f="v">
      <t c="6" si="614">
        <n x="610"/>
        <n x="345"/>
        <n x="346"/>
        <n x="611" s="1"/>
        <n x="679"/>
        <n x="680"/>
      </t>
    </mdx>
    <mdx n="0" f="v">
      <t c="6" si="614">
        <n x="610"/>
        <n x="345"/>
        <n x="346"/>
        <n x="611" s="1"/>
        <n x="681"/>
        <n x="682"/>
      </t>
    </mdx>
    <mdx n="0" f="v">
      <t c="6" si="614">
        <n x="610"/>
        <n x="345"/>
        <n x="346"/>
        <n x="611" s="1"/>
        <n x="683"/>
        <n x="684"/>
      </t>
    </mdx>
    <mdx n="0" f="v">
      <t c="6" si="614">
        <n x="610"/>
        <n x="345"/>
        <n x="346"/>
        <n x="611" s="1"/>
        <n x="685"/>
        <n x="686"/>
      </t>
    </mdx>
    <mdx n="0" f="v">
      <t c="6" si="614">
        <n x="610"/>
        <n x="345"/>
        <n x="346"/>
        <n x="611" s="1"/>
        <n x="687"/>
        <n x="688"/>
      </t>
    </mdx>
    <mdx n="0" f="v">
      <t c="6" si="614">
        <n x="610"/>
        <n x="345"/>
        <n x="346"/>
        <n x="611" s="1"/>
        <n x="689"/>
        <n x="690"/>
      </t>
    </mdx>
    <mdx n="0" f="v">
      <t c="6" si="614">
        <n x="610"/>
        <n x="345"/>
        <n x="346"/>
        <n x="611" s="1"/>
        <n x="697"/>
        <n x="698"/>
      </t>
    </mdx>
    <mdx n="0" f="v">
      <t c="6" si="614">
        <n x="610"/>
        <n x="345"/>
        <n x="346"/>
        <n x="611" s="1"/>
        <n x="699"/>
        <n x="700"/>
      </t>
    </mdx>
    <mdx n="0" f="v">
      <t c="6" si="614">
        <n x="610"/>
        <n x="345"/>
        <n x="346"/>
        <n x="611" s="1"/>
        <n x="701"/>
        <n x="702"/>
      </t>
    </mdx>
    <mdx n="0" f="v">
      <t c="6" si="614">
        <n x="610"/>
        <n x="345"/>
        <n x="346"/>
        <n x="611" s="1"/>
        <n x="703"/>
        <n x="704"/>
      </t>
    </mdx>
    <mdx n="0" f="v">
      <t c="6" si="614">
        <n x="610"/>
        <n x="347"/>
        <n x="348"/>
        <n x="611" s="1"/>
        <n x="612"/>
        <n x="613"/>
      </t>
    </mdx>
    <mdx n="0" f="v">
      <t c="6" si="614">
        <n x="610"/>
        <n x="347"/>
        <n x="348"/>
        <n x="611" s="1"/>
        <n x="617"/>
        <n x="618"/>
      </t>
    </mdx>
    <mdx n="0" f="v">
      <t c="6" si="614">
        <n x="610"/>
        <n x="347"/>
        <n x="348"/>
        <n x="611" s="1"/>
        <n x="623"/>
        <n x="624"/>
      </t>
    </mdx>
    <mdx n="0" f="v">
      <t c="6" si="614">
        <n x="610"/>
        <n x="347"/>
        <n x="348"/>
        <n x="611" s="1"/>
        <n x="627"/>
        <n x="628"/>
      </t>
    </mdx>
    <mdx n="0" f="v">
      <t c="6" si="614">
        <n x="610"/>
        <n x="347"/>
        <n x="348"/>
        <n x="611" s="1"/>
        <n x="631"/>
        <n x="632"/>
      </t>
    </mdx>
    <mdx n="0" f="v">
      <t c="6" si="614">
        <n x="610"/>
        <n x="347"/>
        <n x="348"/>
        <n x="611" s="1"/>
        <n x="635"/>
        <n x="636"/>
      </t>
    </mdx>
    <mdx n="0" f="v">
      <t c="6" si="614">
        <n x="610"/>
        <n x="347"/>
        <n x="348"/>
        <n x="611" s="1"/>
        <n x="639"/>
        <n x="640"/>
      </t>
    </mdx>
    <mdx n="0" f="v">
      <t c="6" si="614">
        <n x="610"/>
        <n x="347"/>
        <n x="348"/>
        <n x="611" s="1"/>
        <n x="643"/>
        <n x="644"/>
      </t>
    </mdx>
    <mdx n="0" f="v">
      <t c="6" si="614">
        <n x="610"/>
        <n x="347"/>
        <n x="348"/>
        <n x="611" s="1"/>
        <n x="645"/>
        <n x="646"/>
      </t>
    </mdx>
    <mdx n="0" f="v">
      <t c="6" si="614">
        <n x="610"/>
        <n x="347"/>
        <n x="348"/>
        <n x="611" s="1"/>
        <n x="647"/>
        <n x="648"/>
      </t>
    </mdx>
    <mdx n="0" f="v">
      <t c="6" si="614">
        <n x="610"/>
        <n x="347"/>
        <n x="348"/>
        <n x="611" s="1"/>
        <n x="649"/>
        <n x="650"/>
      </t>
    </mdx>
    <mdx n="0" f="v">
      <t c="6" si="614">
        <n x="610"/>
        <n x="347"/>
        <n x="348"/>
        <n x="611" s="1"/>
        <n x="657"/>
        <n x="658"/>
      </t>
    </mdx>
    <mdx n="0" f="v">
      <t c="6" si="614">
        <n x="610"/>
        <n x="347"/>
        <n x="348"/>
        <n x="611" s="1"/>
        <n x="659"/>
        <n x="660"/>
      </t>
    </mdx>
    <mdx n="0" f="v">
      <t c="6" si="614">
        <n x="610"/>
        <n x="347"/>
        <n x="348"/>
        <n x="611" s="1"/>
        <n x="661"/>
        <n x="662"/>
      </t>
    </mdx>
    <mdx n="0" f="v">
      <t c="6" si="614">
        <n x="610"/>
        <n x="347"/>
        <n x="348"/>
        <n x="611" s="1"/>
        <n x="663"/>
        <n x="664"/>
      </t>
    </mdx>
    <mdx n="0" f="v">
      <t c="6" si="614">
        <n x="610"/>
        <n x="347"/>
        <n x="348"/>
        <n x="611" s="1"/>
        <n x="669"/>
        <n x="670"/>
      </t>
    </mdx>
    <mdx n="0" f="v">
      <t c="6" si="614">
        <n x="610"/>
        <n x="347"/>
        <n x="348"/>
        <n x="611" s="1"/>
        <n x="671"/>
        <n x="672"/>
      </t>
    </mdx>
    <mdx n="0" f="v">
      <t c="6" si="614">
        <n x="610"/>
        <n x="347"/>
        <n x="348"/>
        <n x="611" s="1"/>
        <n x="675"/>
        <n x="676"/>
      </t>
    </mdx>
    <mdx n="0" f="v">
      <t c="6" si="614">
        <n x="610"/>
        <n x="347"/>
        <n x="348"/>
        <n x="611" s="1"/>
        <n x="679"/>
        <n x="680"/>
      </t>
    </mdx>
    <mdx n="0" f="v">
      <t c="6" si="614">
        <n x="610"/>
        <n x="347"/>
        <n x="348"/>
        <n x="611" s="1"/>
        <n x="683"/>
        <n x="684"/>
      </t>
    </mdx>
    <mdx n="0" f="v">
      <t c="6" si="614">
        <n x="610"/>
        <n x="347"/>
        <n x="348"/>
        <n x="611" s="1"/>
        <n x="685"/>
        <n x="686"/>
      </t>
    </mdx>
    <mdx n="0" f="v">
      <t c="6" si="614">
        <n x="610"/>
        <n x="347"/>
        <n x="348"/>
        <n x="611" s="1"/>
        <n x="687"/>
        <n x="688"/>
      </t>
    </mdx>
    <mdx n="0" f="v">
      <t c="6" si="614">
        <n x="610"/>
        <n x="347"/>
        <n x="348"/>
        <n x="611" s="1"/>
        <n x="689"/>
        <n x="690"/>
      </t>
    </mdx>
    <mdx n="0" f="v">
      <t c="6" si="614">
        <n x="610"/>
        <n x="347"/>
        <n x="348"/>
        <n x="611" s="1"/>
        <n x="699"/>
        <n x="700"/>
      </t>
    </mdx>
    <mdx n="0" f="v">
      <t c="6" si="614">
        <n x="610"/>
        <n x="347"/>
        <n x="348"/>
        <n x="611" s="1"/>
        <n x="703"/>
        <n x="704"/>
      </t>
    </mdx>
    <mdx n="0" f="v">
      <t c="6" si="614">
        <n x="610"/>
        <n x="347"/>
        <n x="348"/>
        <n x="611" s="1"/>
        <n x="705"/>
        <n x="706"/>
      </t>
    </mdx>
    <mdx n="0" f="v">
      <t c="6" si="614">
        <n x="610"/>
        <n x="349"/>
        <n x="350"/>
        <n x="611" s="1"/>
        <n x="612"/>
        <n x="613"/>
      </t>
    </mdx>
    <mdx n="0" f="v">
      <t c="6" si="614">
        <n x="610"/>
        <n x="349"/>
        <n x="350"/>
        <n x="611" s="1"/>
        <n x="617"/>
        <n x="618"/>
      </t>
    </mdx>
    <mdx n="0" f="v">
      <t c="6" si="614">
        <n x="610"/>
        <n x="349"/>
        <n x="350"/>
        <n x="611" s="1"/>
        <n x="619"/>
        <n x="620"/>
      </t>
    </mdx>
    <mdx n="0" f="v">
      <t c="6" si="614">
        <n x="610"/>
        <n x="349"/>
        <n x="350"/>
        <n x="611" s="1"/>
        <n x="621"/>
        <n x="622"/>
      </t>
    </mdx>
    <mdx n="0" f="v">
      <t c="6" si="614">
        <n x="610"/>
        <n x="349"/>
        <n x="350"/>
        <n x="611" s="1"/>
        <n x="627"/>
        <n x="628"/>
      </t>
    </mdx>
    <mdx n="0" f="v">
      <t c="6" si="614">
        <n x="610"/>
        <n x="349"/>
        <n x="350"/>
        <n x="611" s="1"/>
        <n x="633"/>
        <n x="634"/>
      </t>
    </mdx>
    <mdx n="0" f="v">
      <t c="6" si="614">
        <n x="610"/>
        <n x="349"/>
        <n x="350"/>
        <n x="611" s="1"/>
        <n x="635"/>
        <n x="636"/>
      </t>
    </mdx>
    <mdx n="0" f="v">
      <t c="6" si="614">
        <n x="610"/>
        <n x="349"/>
        <n x="350"/>
        <n x="611" s="1"/>
        <n x="641"/>
        <n x="642"/>
      </t>
    </mdx>
    <mdx n="0" f="v">
      <t c="6" si="614">
        <n x="610"/>
        <n x="349"/>
        <n x="350"/>
        <n x="611" s="1"/>
        <n x="645"/>
        <n x="646"/>
      </t>
    </mdx>
    <mdx n="0" f="v">
      <t c="6" si="614">
        <n x="610"/>
        <n x="349"/>
        <n x="350"/>
        <n x="611" s="1"/>
        <n x="649"/>
        <n x="650"/>
      </t>
    </mdx>
    <mdx n="0" f="v">
      <t c="6" si="614">
        <n x="610"/>
        <n x="349"/>
        <n x="350"/>
        <n x="611" s="1"/>
        <n x="651"/>
        <n x="652"/>
      </t>
    </mdx>
    <mdx n="0" f="v">
      <t c="6" si="614">
        <n x="610"/>
        <n x="349"/>
        <n x="350"/>
        <n x="611" s="1"/>
        <n x="655"/>
        <n x="656"/>
      </t>
    </mdx>
    <mdx n="0" f="v">
      <t c="6" si="614">
        <n x="610"/>
        <n x="349"/>
        <n x="350"/>
        <n x="611" s="1"/>
        <n x="657"/>
        <n x="658"/>
      </t>
    </mdx>
    <mdx n="0" f="v">
      <t c="6" si="614">
        <n x="610"/>
        <n x="349"/>
        <n x="350"/>
        <n x="611" s="1"/>
        <n x="659"/>
        <n x="660"/>
      </t>
    </mdx>
    <mdx n="0" f="v">
      <t c="6" si="614">
        <n x="610"/>
        <n x="349"/>
        <n x="350"/>
        <n x="611" s="1"/>
        <n x="663"/>
        <n x="664"/>
      </t>
    </mdx>
    <mdx n="0" f="v">
      <t c="6" si="614">
        <n x="610"/>
        <n x="349"/>
        <n x="350"/>
        <n x="611" s="1"/>
        <n x="665"/>
        <n x="666"/>
      </t>
    </mdx>
    <mdx n="0" f="v">
      <t c="6" si="614">
        <n x="610"/>
        <n x="349"/>
        <n x="350"/>
        <n x="611" s="1"/>
        <n x="667"/>
        <n x="668"/>
      </t>
    </mdx>
    <mdx n="0" f="v">
      <t c="6" si="614">
        <n x="610"/>
        <n x="349"/>
        <n x="350"/>
        <n x="611" s="1"/>
        <n x="669"/>
        <n x="670"/>
      </t>
    </mdx>
    <mdx n="0" f="v">
      <t c="6" si="614">
        <n x="610"/>
        <n x="349"/>
        <n x="350"/>
        <n x="611" s="1"/>
        <n x="675"/>
        <n x="676"/>
      </t>
    </mdx>
    <mdx n="0" f="v">
      <t c="6" si="614">
        <n x="610"/>
        <n x="349"/>
        <n x="350"/>
        <n x="611" s="1"/>
        <n x="679"/>
        <n x="680"/>
      </t>
    </mdx>
    <mdx n="0" f="v">
      <t c="6" si="614">
        <n x="610"/>
        <n x="349"/>
        <n x="350"/>
        <n x="611" s="1"/>
        <n x="685"/>
        <n x="686"/>
      </t>
    </mdx>
    <mdx n="0" f="v">
      <t c="6" si="614">
        <n x="610"/>
        <n x="349"/>
        <n x="350"/>
        <n x="611" s="1"/>
        <n x="687"/>
        <n x="688"/>
      </t>
    </mdx>
    <mdx n="0" f="v">
      <t c="6" si="614">
        <n x="610"/>
        <n x="349"/>
        <n x="350"/>
        <n x="611" s="1"/>
        <n x="697"/>
        <n x="698"/>
      </t>
    </mdx>
    <mdx n="0" f="v">
      <t c="6" si="614">
        <n x="610"/>
        <n x="349"/>
        <n x="350"/>
        <n x="611" s="1"/>
        <n x="701"/>
        <n x="702"/>
      </t>
    </mdx>
    <mdx n="0" f="v">
      <t c="6" si="614">
        <n x="610"/>
        <n x="349"/>
        <n x="350"/>
        <n x="611" s="1"/>
        <n x="705"/>
        <n x="706"/>
      </t>
    </mdx>
    <mdx n="0" f="v">
      <t c="6" si="614">
        <n x="610"/>
        <n x="351"/>
        <n x="352"/>
        <n x="611" s="1"/>
        <n x="612"/>
        <n x="613"/>
      </t>
    </mdx>
    <mdx n="0" f="v">
      <t c="6" si="614">
        <n x="610"/>
        <n x="351"/>
        <n x="352"/>
        <n x="611" s="1"/>
        <n x="615"/>
        <n x="616"/>
      </t>
    </mdx>
    <mdx n="0" f="v">
      <t c="6" si="614">
        <n x="610"/>
        <n x="351"/>
        <n x="352"/>
        <n x="611" s="1"/>
        <n x="617"/>
        <n x="618"/>
      </t>
    </mdx>
    <mdx n="0" f="v">
      <t c="6" si="614">
        <n x="610"/>
        <n x="351"/>
        <n x="352"/>
        <n x="611" s="1"/>
        <n x="621"/>
        <n x="622"/>
      </t>
    </mdx>
    <mdx n="0" f="v">
      <t c="6" si="614">
        <n x="610"/>
        <n x="351"/>
        <n x="352"/>
        <n x="611" s="1"/>
        <n x="623"/>
        <n x="624"/>
      </t>
    </mdx>
    <mdx n="0" f="v">
      <t c="6" si="614">
        <n x="610"/>
        <n x="351"/>
        <n x="352"/>
        <n x="611" s="1"/>
        <n x="625"/>
        <n x="626"/>
      </t>
    </mdx>
    <mdx n="0" f="v">
      <t c="6" si="614">
        <n x="610"/>
        <n x="351"/>
        <n x="352"/>
        <n x="611" s="1"/>
        <n x="627"/>
        <n x="628"/>
      </t>
    </mdx>
    <mdx n="0" f="v">
      <t c="6" si="614">
        <n x="610"/>
        <n x="351"/>
        <n x="352"/>
        <n x="611" s="1"/>
        <n x="629"/>
        <n x="630"/>
      </t>
    </mdx>
    <mdx n="0" f="v">
      <t c="6" si="614">
        <n x="610"/>
        <n x="351"/>
        <n x="352"/>
        <n x="611" s="1"/>
        <n x="631"/>
        <n x="632"/>
      </t>
    </mdx>
    <mdx n="0" f="v">
      <t c="6" si="614">
        <n x="610"/>
        <n x="351"/>
        <n x="352"/>
        <n x="611" s="1"/>
        <n x="633"/>
        <n x="634"/>
      </t>
    </mdx>
    <mdx n="0" f="v">
      <t c="6" si="614">
        <n x="610"/>
        <n x="351"/>
        <n x="352"/>
        <n x="611" s="1"/>
        <n x="635"/>
        <n x="636"/>
      </t>
    </mdx>
    <mdx n="0" f="v">
      <t c="6" si="614">
        <n x="610"/>
        <n x="351"/>
        <n x="352"/>
        <n x="611" s="1"/>
        <n x="637"/>
        <n x="638"/>
      </t>
    </mdx>
    <mdx n="0" f="v">
      <t c="6" si="614">
        <n x="610"/>
        <n x="351"/>
        <n x="352"/>
        <n x="611" s="1"/>
        <n x="639"/>
        <n x="640"/>
      </t>
    </mdx>
    <mdx n="0" f="v">
      <t c="6" si="614">
        <n x="610"/>
        <n x="351"/>
        <n x="352"/>
        <n x="611" s="1"/>
        <n x="643"/>
        <n x="644"/>
      </t>
    </mdx>
    <mdx n="0" f="v">
      <t c="6" si="614">
        <n x="610"/>
        <n x="351"/>
        <n x="352"/>
        <n x="611" s="1"/>
        <n x="645"/>
        <n x="646"/>
      </t>
    </mdx>
    <mdx n="0" f="v">
      <t c="6" si="614">
        <n x="610"/>
        <n x="351"/>
        <n x="352"/>
        <n x="611" s="1"/>
        <n x="647"/>
        <n x="648"/>
      </t>
    </mdx>
    <mdx n="0" f="v">
      <t c="6" si="614">
        <n x="610"/>
        <n x="351"/>
        <n x="352"/>
        <n x="611" s="1"/>
        <n x="657"/>
        <n x="658"/>
      </t>
    </mdx>
    <mdx n="0" f="v">
      <t c="6" si="614">
        <n x="610"/>
        <n x="351"/>
        <n x="352"/>
        <n x="611" s="1"/>
        <n x="659"/>
        <n x="660"/>
      </t>
    </mdx>
    <mdx n="0" f="v">
      <t c="6" si="614">
        <n x="610"/>
        <n x="351"/>
        <n x="352"/>
        <n x="611" s="1"/>
        <n x="661"/>
        <n x="662"/>
      </t>
    </mdx>
    <mdx n="0" f="v">
      <t c="6" si="614">
        <n x="610"/>
        <n x="351"/>
        <n x="352"/>
        <n x="611" s="1"/>
        <n x="663"/>
        <n x="664"/>
      </t>
    </mdx>
    <mdx n="0" f="v">
      <t c="6" si="614">
        <n x="610"/>
        <n x="351"/>
        <n x="352"/>
        <n x="611" s="1"/>
        <n x="667"/>
        <n x="668"/>
      </t>
    </mdx>
    <mdx n="0" f="v">
      <t c="6" si="614">
        <n x="610"/>
        <n x="351"/>
        <n x="352"/>
        <n x="611" s="1"/>
        <n x="669"/>
        <n x="670"/>
      </t>
    </mdx>
    <mdx n="0" f="v">
      <t c="6" si="614">
        <n x="610"/>
        <n x="351"/>
        <n x="352"/>
        <n x="611" s="1"/>
        <n x="671"/>
        <n x="672"/>
      </t>
    </mdx>
    <mdx n="0" f="v">
      <t c="6" si="614">
        <n x="610"/>
        <n x="351"/>
        <n x="352"/>
        <n x="611" s="1"/>
        <n x="673"/>
        <n x="674"/>
      </t>
    </mdx>
    <mdx n="0" f="v">
      <t c="6" si="614">
        <n x="610"/>
        <n x="351"/>
        <n x="352"/>
        <n x="611" s="1"/>
        <n x="675"/>
        <n x="676"/>
      </t>
    </mdx>
    <mdx n="0" f="v">
      <t c="6" si="614">
        <n x="610"/>
        <n x="351"/>
        <n x="352"/>
        <n x="611" s="1"/>
        <n x="677"/>
        <n x="678"/>
      </t>
    </mdx>
    <mdx n="0" f="v">
      <t c="6" si="614">
        <n x="610"/>
        <n x="351"/>
        <n x="352"/>
        <n x="611" s="1"/>
        <n x="679"/>
        <n x="680"/>
      </t>
    </mdx>
    <mdx n="0" f="v">
      <t c="6" si="614">
        <n x="610"/>
        <n x="351"/>
        <n x="352"/>
        <n x="611" s="1"/>
        <n x="681"/>
        <n x="682"/>
      </t>
    </mdx>
    <mdx n="0" f="v">
      <t c="6" si="614">
        <n x="610"/>
        <n x="351"/>
        <n x="352"/>
        <n x="611" s="1"/>
        <n x="683"/>
        <n x="684"/>
      </t>
    </mdx>
    <mdx n="0" f="v">
      <t c="6" si="614">
        <n x="610"/>
        <n x="351"/>
        <n x="352"/>
        <n x="611" s="1"/>
        <n x="685"/>
        <n x="686"/>
      </t>
    </mdx>
    <mdx n="0" f="v">
      <t c="6" si="614">
        <n x="610"/>
        <n x="351"/>
        <n x="352"/>
        <n x="611" s="1"/>
        <n x="691"/>
        <n x="692"/>
      </t>
    </mdx>
    <mdx n="0" f="v">
      <t c="6" si="614">
        <n x="610"/>
        <n x="351"/>
        <n x="352"/>
        <n x="611" s="1"/>
        <n x="693"/>
        <n x="694"/>
      </t>
    </mdx>
    <mdx n="0" f="v">
      <t c="6" si="614">
        <n x="610"/>
        <n x="351"/>
        <n x="352"/>
        <n x="611" s="1"/>
        <n x="695"/>
        <n x="696"/>
      </t>
    </mdx>
    <mdx n="0" f="v">
      <t c="6" si="614">
        <n x="610"/>
        <n x="351"/>
        <n x="352"/>
        <n x="611" s="1"/>
        <n x="697"/>
        <n x="698"/>
      </t>
    </mdx>
    <mdx n="0" f="v">
      <t c="6" si="614">
        <n x="610"/>
        <n x="351"/>
        <n x="352"/>
        <n x="611" s="1"/>
        <n x="699"/>
        <n x="700"/>
      </t>
    </mdx>
    <mdx n="0" f="v">
      <t c="6" si="614">
        <n x="610"/>
        <n x="351"/>
        <n x="352"/>
        <n x="611" s="1"/>
        <n x="701"/>
        <n x="702"/>
      </t>
    </mdx>
    <mdx n="0" f="v">
      <t c="6" si="614">
        <n x="610"/>
        <n x="351"/>
        <n x="352"/>
        <n x="611" s="1"/>
        <n x="703"/>
        <n x="704"/>
      </t>
    </mdx>
    <mdx n="0" f="v">
      <t c="6" si="614">
        <n x="610"/>
        <n x="351"/>
        <n x="352"/>
        <n x="611" s="1"/>
        <n x="705"/>
        <n x="706"/>
      </t>
    </mdx>
    <mdx n="0" f="v">
      <t c="6" si="614">
        <n x="610"/>
        <n x="353"/>
        <n x="354"/>
        <n x="611" s="1"/>
        <n x="612"/>
        <n x="613"/>
      </t>
    </mdx>
    <mdx n="0" f="v">
      <t c="6" si="614">
        <n x="610"/>
        <n x="353"/>
        <n x="354"/>
        <n x="611" s="1"/>
        <n x="615"/>
        <n x="616"/>
      </t>
    </mdx>
    <mdx n="0" f="v">
      <t c="6" si="614">
        <n x="610"/>
        <n x="353"/>
        <n x="354"/>
        <n x="611" s="1"/>
        <n x="617"/>
        <n x="618"/>
      </t>
    </mdx>
    <mdx n="0" f="v">
      <t c="6" si="614">
        <n x="610"/>
        <n x="353"/>
        <n x="354"/>
        <n x="611" s="1"/>
        <n x="621"/>
        <n x="622"/>
      </t>
    </mdx>
    <mdx n="0" f="v">
      <t c="6" si="614">
        <n x="610"/>
        <n x="353"/>
        <n x="354"/>
        <n x="611" s="1"/>
        <n x="623"/>
        <n x="624"/>
      </t>
    </mdx>
    <mdx n="0" f="v">
      <t c="6" si="614">
        <n x="610"/>
        <n x="353"/>
        <n x="354"/>
        <n x="611" s="1"/>
        <n x="625"/>
        <n x="626"/>
      </t>
    </mdx>
    <mdx n="0" f="v">
      <t c="6" si="614">
        <n x="610"/>
        <n x="353"/>
        <n x="354"/>
        <n x="611" s="1"/>
        <n x="627"/>
        <n x="628"/>
      </t>
    </mdx>
    <mdx n="0" f="v">
      <t c="6" si="614">
        <n x="610"/>
        <n x="353"/>
        <n x="354"/>
        <n x="611" s="1"/>
        <n x="631"/>
        <n x="632"/>
      </t>
    </mdx>
    <mdx n="0" f="v">
      <t c="6" si="614">
        <n x="610"/>
        <n x="353"/>
        <n x="354"/>
        <n x="611" s="1"/>
        <n x="637"/>
        <n x="638"/>
      </t>
    </mdx>
    <mdx n="0" f="v">
      <t c="6" si="614">
        <n x="610"/>
        <n x="353"/>
        <n x="354"/>
        <n x="611" s="1"/>
        <n x="641"/>
        <n x="642"/>
      </t>
    </mdx>
    <mdx n="0" f="v">
      <t c="6" si="614">
        <n x="610"/>
        <n x="353"/>
        <n x="354"/>
        <n x="611" s="1"/>
        <n x="649"/>
        <n x="650"/>
      </t>
    </mdx>
    <mdx n="0" f="v">
      <t c="6" si="614">
        <n x="610"/>
        <n x="353"/>
        <n x="354"/>
        <n x="611" s="1"/>
        <n x="657"/>
        <n x="658"/>
      </t>
    </mdx>
    <mdx n="0" f="v">
      <t c="6" si="614">
        <n x="610"/>
        <n x="353"/>
        <n x="354"/>
        <n x="611" s="1"/>
        <n x="659"/>
        <n x="660"/>
      </t>
    </mdx>
    <mdx n="0" f="v">
      <t c="6" si="614">
        <n x="610"/>
        <n x="353"/>
        <n x="354"/>
        <n x="611" s="1"/>
        <n x="663"/>
        <n x="664"/>
      </t>
    </mdx>
    <mdx n="0" f="v">
      <t c="6" si="614">
        <n x="610"/>
        <n x="353"/>
        <n x="354"/>
        <n x="611" s="1"/>
        <n x="665"/>
        <n x="666"/>
      </t>
    </mdx>
    <mdx n="0" f="v">
      <t c="6" si="614">
        <n x="610"/>
        <n x="353"/>
        <n x="354"/>
        <n x="611" s="1"/>
        <n x="667"/>
        <n x="668"/>
      </t>
    </mdx>
    <mdx n="0" f="v">
      <t c="6" si="614">
        <n x="610"/>
        <n x="353"/>
        <n x="354"/>
        <n x="611" s="1"/>
        <n x="669"/>
        <n x="670"/>
      </t>
    </mdx>
    <mdx n="0" f="v">
      <t c="6" si="614">
        <n x="610"/>
        <n x="353"/>
        <n x="354"/>
        <n x="611" s="1"/>
        <n x="671"/>
        <n x="672"/>
      </t>
    </mdx>
    <mdx n="0" f="v">
      <t c="6" si="614">
        <n x="610"/>
        <n x="353"/>
        <n x="354"/>
        <n x="611" s="1"/>
        <n x="673"/>
        <n x="674"/>
      </t>
    </mdx>
    <mdx n="0" f="v">
      <t c="6" si="614">
        <n x="610"/>
        <n x="353"/>
        <n x="354"/>
        <n x="611" s="1"/>
        <n x="675"/>
        <n x="676"/>
      </t>
    </mdx>
    <mdx n="0" f="v">
      <t c="6" si="614">
        <n x="610"/>
        <n x="353"/>
        <n x="354"/>
        <n x="611" s="1"/>
        <n x="679"/>
        <n x="680"/>
      </t>
    </mdx>
    <mdx n="0" f="v">
      <t c="6" si="614">
        <n x="610"/>
        <n x="353"/>
        <n x="354"/>
        <n x="611" s="1"/>
        <n x="681"/>
        <n x="682"/>
      </t>
    </mdx>
    <mdx n="0" f="v">
      <t c="6" si="614">
        <n x="610"/>
        <n x="353"/>
        <n x="354"/>
        <n x="611" s="1"/>
        <n x="683"/>
        <n x="684"/>
      </t>
    </mdx>
    <mdx n="0" f="v">
      <t c="6" si="614">
        <n x="610"/>
        <n x="353"/>
        <n x="354"/>
        <n x="611" s="1"/>
        <n x="685"/>
        <n x="686"/>
      </t>
    </mdx>
    <mdx n="0" f="v">
      <t c="6" si="614">
        <n x="610"/>
        <n x="353"/>
        <n x="354"/>
        <n x="611" s="1"/>
        <n x="687"/>
        <n x="688"/>
      </t>
    </mdx>
    <mdx n="0" f="v">
      <t c="6" si="614">
        <n x="610"/>
        <n x="353"/>
        <n x="354"/>
        <n x="611" s="1"/>
        <n x="689"/>
        <n x="690"/>
      </t>
    </mdx>
    <mdx n="0" f="v">
      <t c="6" si="614">
        <n x="610"/>
        <n x="353"/>
        <n x="354"/>
        <n x="611" s="1"/>
        <n x="691"/>
        <n x="692"/>
      </t>
    </mdx>
    <mdx n="0" f="v">
      <t c="6" si="614">
        <n x="610"/>
        <n x="353"/>
        <n x="354"/>
        <n x="611" s="1"/>
        <n x="697"/>
        <n x="698"/>
      </t>
    </mdx>
    <mdx n="0" f="v">
      <t c="6" si="614">
        <n x="610"/>
        <n x="353"/>
        <n x="354"/>
        <n x="611" s="1"/>
        <n x="699"/>
        <n x="700"/>
      </t>
    </mdx>
    <mdx n="0" f="v">
      <t c="6" si="614">
        <n x="610"/>
        <n x="353"/>
        <n x="354"/>
        <n x="611" s="1"/>
        <n x="701"/>
        <n x="702"/>
      </t>
    </mdx>
    <mdx n="0" f="v">
      <t c="6" si="614">
        <n x="610"/>
        <n x="353"/>
        <n x="354"/>
        <n x="611" s="1"/>
        <n x="705"/>
        <n x="706"/>
      </t>
    </mdx>
    <mdx n="0" f="v">
      <t c="6" si="614">
        <n x="610"/>
        <n x="355"/>
        <n x="356"/>
        <n x="611" s="1"/>
        <n x="612"/>
        <n x="613"/>
      </t>
    </mdx>
    <mdx n="0" f="v">
      <t c="6" si="614">
        <n x="610"/>
        <n x="355"/>
        <n x="356"/>
        <n x="611" s="1"/>
        <n x="615"/>
        <n x="616"/>
      </t>
    </mdx>
    <mdx n="0" f="v">
      <t c="6" si="614">
        <n x="610"/>
        <n x="355"/>
        <n x="356"/>
        <n x="611" s="1"/>
        <n x="621"/>
        <n x="622"/>
      </t>
    </mdx>
    <mdx n="0" f="v">
      <t c="6" si="614">
        <n x="610"/>
        <n x="355"/>
        <n x="356"/>
        <n x="611" s="1"/>
        <n x="623"/>
        <n x="624"/>
      </t>
    </mdx>
    <mdx n="0" f="v">
      <t c="6" si="614">
        <n x="610"/>
        <n x="355"/>
        <n x="356"/>
        <n x="611" s="1"/>
        <n x="625"/>
        <n x="626"/>
      </t>
    </mdx>
    <mdx n="0" f="v">
      <t c="6" si="614">
        <n x="610"/>
        <n x="355"/>
        <n x="356"/>
        <n x="611" s="1"/>
        <n x="627"/>
        <n x="628"/>
      </t>
    </mdx>
    <mdx n="0" f="v">
      <t c="6" si="614">
        <n x="610"/>
        <n x="355"/>
        <n x="356"/>
        <n x="611" s="1"/>
        <n x="629"/>
        <n x="630"/>
      </t>
    </mdx>
    <mdx n="0" f="v">
      <t c="6" si="614">
        <n x="610"/>
        <n x="355"/>
        <n x="356"/>
        <n x="611" s="1"/>
        <n x="633"/>
        <n x="634"/>
      </t>
    </mdx>
    <mdx n="0" f="v">
      <t c="6" si="614">
        <n x="610"/>
        <n x="355"/>
        <n x="356"/>
        <n x="611" s="1"/>
        <n x="635"/>
        <n x="636"/>
      </t>
    </mdx>
    <mdx n="0" f="v">
      <t c="6" si="614">
        <n x="610"/>
        <n x="355"/>
        <n x="356"/>
        <n x="611" s="1"/>
        <n x="639"/>
        <n x="640"/>
      </t>
    </mdx>
    <mdx n="0" f="v">
      <t c="6" si="614">
        <n x="610"/>
        <n x="355"/>
        <n x="356"/>
        <n x="611" s="1"/>
        <n x="643"/>
        <n x="644"/>
      </t>
    </mdx>
    <mdx n="0" f="v">
      <t c="6" si="614">
        <n x="610"/>
        <n x="355"/>
        <n x="356"/>
        <n x="611" s="1"/>
        <n x="645"/>
        <n x="646"/>
      </t>
    </mdx>
    <mdx n="0" f="v">
      <t c="6" si="614">
        <n x="610"/>
        <n x="355"/>
        <n x="356"/>
        <n x="611" s="1"/>
        <n x="647"/>
        <n x="648"/>
      </t>
    </mdx>
    <mdx n="0" f="v">
      <t c="6" si="614">
        <n x="610"/>
        <n x="355"/>
        <n x="356"/>
        <n x="611" s="1"/>
        <n x="649"/>
        <n x="650"/>
      </t>
    </mdx>
    <mdx n="0" f="v">
      <t c="6" si="614">
        <n x="610"/>
        <n x="355"/>
        <n x="356"/>
        <n x="611" s="1"/>
        <n x="651"/>
        <n x="652"/>
      </t>
    </mdx>
    <mdx n="0" f="v">
      <t c="6" si="614">
        <n x="610"/>
        <n x="355"/>
        <n x="356"/>
        <n x="611" s="1"/>
        <n x="655"/>
        <n x="656"/>
      </t>
    </mdx>
    <mdx n="0" f="v">
      <t c="6" si="614">
        <n x="610"/>
        <n x="355"/>
        <n x="356"/>
        <n x="611" s="1"/>
        <n x="657"/>
        <n x="658"/>
      </t>
    </mdx>
    <mdx n="0" f="v">
      <t c="6" si="614">
        <n x="610"/>
        <n x="355"/>
        <n x="356"/>
        <n x="611" s="1"/>
        <n x="661"/>
        <n x="662"/>
      </t>
    </mdx>
    <mdx n="0" f="v">
      <t c="6" si="614">
        <n x="610"/>
        <n x="355"/>
        <n x="356"/>
        <n x="611" s="1"/>
        <n x="663"/>
        <n x="664"/>
      </t>
    </mdx>
    <mdx n="0" f="v">
      <t c="6" si="614">
        <n x="610"/>
        <n x="355"/>
        <n x="356"/>
        <n x="611" s="1"/>
        <n x="665"/>
        <n x="666"/>
      </t>
    </mdx>
    <mdx n="0" f="v">
      <t c="6" si="614">
        <n x="610"/>
        <n x="355"/>
        <n x="356"/>
        <n x="611" s="1"/>
        <n x="667"/>
        <n x="668"/>
      </t>
    </mdx>
    <mdx n="0" f="v">
      <t c="6" si="614">
        <n x="610"/>
        <n x="355"/>
        <n x="356"/>
        <n x="611" s="1"/>
        <n x="669"/>
        <n x="670"/>
      </t>
    </mdx>
    <mdx n="0" f="v">
      <t c="6" si="614">
        <n x="610"/>
        <n x="355"/>
        <n x="356"/>
        <n x="611" s="1"/>
        <n x="671"/>
        <n x="672"/>
      </t>
    </mdx>
    <mdx n="0" f="v">
      <t c="6" si="614">
        <n x="610"/>
        <n x="355"/>
        <n x="356"/>
        <n x="611" s="1"/>
        <n x="675"/>
        <n x="676"/>
      </t>
    </mdx>
    <mdx n="0" f="v">
      <t c="6" si="614">
        <n x="610"/>
        <n x="355"/>
        <n x="356"/>
        <n x="611" s="1"/>
        <n x="677"/>
        <n x="678"/>
      </t>
    </mdx>
    <mdx n="0" f="v">
      <t c="6" si="614">
        <n x="610"/>
        <n x="355"/>
        <n x="356"/>
        <n x="611" s="1"/>
        <n x="679"/>
        <n x="680"/>
      </t>
    </mdx>
    <mdx n="0" f="v">
      <t c="6" si="614">
        <n x="610"/>
        <n x="355"/>
        <n x="356"/>
        <n x="611" s="1"/>
        <n x="681"/>
        <n x="682"/>
      </t>
    </mdx>
    <mdx n="0" f="v">
      <t c="6" si="614">
        <n x="610"/>
        <n x="355"/>
        <n x="356"/>
        <n x="611" s="1"/>
        <n x="683"/>
        <n x="684"/>
      </t>
    </mdx>
    <mdx n="0" f="v">
      <t c="6" si="614">
        <n x="610"/>
        <n x="355"/>
        <n x="356"/>
        <n x="611" s="1"/>
        <n x="685"/>
        <n x="686"/>
      </t>
    </mdx>
    <mdx n="0" f="v">
      <t c="6" si="614">
        <n x="610"/>
        <n x="355"/>
        <n x="356"/>
        <n x="611" s="1"/>
        <n x="689"/>
        <n x="690"/>
      </t>
    </mdx>
    <mdx n="0" f="v">
      <t c="6" si="614">
        <n x="610"/>
        <n x="355"/>
        <n x="356"/>
        <n x="611" s="1"/>
        <n x="695"/>
        <n x="696"/>
      </t>
    </mdx>
    <mdx n="0" f="v">
      <t c="6" si="614">
        <n x="610"/>
        <n x="355"/>
        <n x="356"/>
        <n x="611" s="1"/>
        <n x="697"/>
        <n x="698"/>
      </t>
    </mdx>
    <mdx n="0" f="v">
      <t c="6" si="614">
        <n x="610"/>
        <n x="355"/>
        <n x="356"/>
        <n x="611" s="1"/>
        <n x="699"/>
        <n x="700"/>
      </t>
    </mdx>
    <mdx n="0" f="v">
      <t c="6" si="614">
        <n x="610"/>
        <n x="355"/>
        <n x="356"/>
        <n x="611" s="1"/>
        <n x="701"/>
        <n x="702"/>
      </t>
    </mdx>
    <mdx n="0" f="v">
      <t c="6" si="614">
        <n x="610"/>
        <n x="355"/>
        <n x="356"/>
        <n x="611" s="1"/>
        <n x="703"/>
        <n x="704"/>
      </t>
    </mdx>
    <mdx n="0" f="v">
      <t c="6" si="614">
        <n x="610"/>
        <n x="355"/>
        <n x="356"/>
        <n x="611" s="1"/>
        <n x="705"/>
        <n x="706"/>
      </t>
    </mdx>
    <mdx n="0" f="v">
      <t c="6" si="614">
        <n x="610"/>
        <n x="355"/>
        <n x="356"/>
        <n x="611" s="1"/>
        <n x="707"/>
        <n x="708"/>
      </t>
    </mdx>
    <mdx n="0" f="v">
      <t c="6" si="614">
        <n x="610"/>
        <n x="357"/>
        <n x="358"/>
        <n x="611" s="1"/>
        <n x="612"/>
        <n x="613"/>
      </t>
    </mdx>
    <mdx n="0" f="v">
      <t c="6" si="614">
        <n x="610"/>
        <n x="357"/>
        <n x="358"/>
        <n x="611" s="1"/>
        <n x="615"/>
        <n x="616"/>
      </t>
    </mdx>
    <mdx n="0" f="v">
      <t c="6" si="614">
        <n x="610"/>
        <n x="357"/>
        <n x="358"/>
        <n x="611" s="1"/>
        <n x="617"/>
        <n x="618"/>
      </t>
    </mdx>
    <mdx n="0" f="v">
      <t c="6" si="614">
        <n x="610"/>
        <n x="357"/>
        <n x="358"/>
        <n x="611" s="1"/>
        <n x="619"/>
        <n x="620"/>
      </t>
    </mdx>
    <mdx n="0" f="v">
      <t c="6" si="614">
        <n x="610"/>
        <n x="357"/>
        <n x="358"/>
        <n x="611" s="1"/>
        <n x="623"/>
        <n x="624"/>
      </t>
    </mdx>
    <mdx n="0" f="v">
      <t c="6" si="614">
        <n x="610"/>
        <n x="357"/>
        <n x="358"/>
        <n x="611" s="1"/>
        <n x="625"/>
        <n x="626"/>
      </t>
    </mdx>
    <mdx n="0" f="v">
      <t c="6" si="614">
        <n x="610"/>
        <n x="357"/>
        <n x="358"/>
        <n x="611" s="1"/>
        <n x="627"/>
        <n x="628"/>
      </t>
    </mdx>
    <mdx n="0" f="v">
      <t c="6" si="614">
        <n x="610"/>
        <n x="357"/>
        <n x="358"/>
        <n x="611" s="1"/>
        <n x="635"/>
        <n x="636"/>
      </t>
    </mdx>
    <mdx n="0" f="v">
      <t c="6" si="614">
        <n x="610"/>
        <n x="357"/>
        <n x="358"/>
        <n x="611" s="1"/>
        <n x="643"/>
        <n x="644"/>
      </t>
    </mdx>
    <mdx n="0" f="v">
      <t c="6" si="614">
        <n x="610"/>
        <n x="357"/>
        <n x="358"/>
        <n x="611" s="1"/>
        <n x="645"/>
        <n x="646"/>
      </t>
    </mdx>
    <mdx n="0" f="v">
      <t c="6" si="614">
        <n x="610"/>
        <n x="357"/>
        <n x="358"/>
        <n x="611" s="1"/>
        <n x="647"/>
        <n x="648"/>
      </t>
    </mdx>
    <mdx n="0" f="v">
      <t c="6" si="614">
        <n x="610"/>
        <n x="357"/>
        <n x="358"/>
        <n x="611" s="1"/>
        <n x="649"/>
        <n x="650"/>
      </t>
    </mdx>
    <mdx n="0" f="v">
      <t c="6" si="614">
        <n x="610"/>
        <n x="357"/>
        <n x="358"/>
        <n x="611" s="1"/>
        <n x="651"/>
        <n x="652"/>
      </t>
    </mdx>
    <mdx n="0" f="v">
      <t c="6" si="614">
        <n x="610"/>
        <n x="357"/>
        <n x="358"/>
        <n x="611" s="1"/>
        <n x="659"/>
        <n x="660"/>
      </t>
    </mdx>
    <mdx n="0" f="v">
      <t c="6" si="614">
        <n x="610"/>
        <n x="357"/>
        <n x="358"/>
        <n x="611" s="1"/>
        <n x="663"/>
        <n x="664"/>
      </t>
    </mdx>
    <mdx n="0" f="v">
      <t c="6" si="614">
        <n x="610"/>
        <n x="357"/>
        <n x="358"/>
        <n x="611" s="1"/>
        <n x="665"/>
        <n x="666"/>
      </t>
    </mdx>
    <mdx n="0" f="v">
      <t c="6" si="614">
        <n x="610"/>
        <n x="357"/>
        <n x="358"/>
        <n x="611" s="1"/>
        <n x="667"/>
        <n x="668"/>
      </t>
    </mdx>
    <mdx n="0" f="v">
      <t c="6" si="614">
        <n x="610"/>
        <n x="357"/>
        <n x="358"/>
        <n x="611" s="1"/>
        <n x="669"/>
        <n x="670"/>
      </t>
    </mdx>
    <mdx n="0" f="v">
      <t c="6" si="614">
        <n x="610"/>
        <n x="357"/>
        <n x="358"/>
        <n x="611" s="1"/>
        <n x="671"/>
        <n x="672"/>
      </t>
    </mdx>
    <mdx n="0" f="v">
      <t c="6" si="614">
        <n x="610"/>
        <n x="357"/>
        <n x="358"/>
        <n x="611" s="1"/>
        <n x="673"/>
        <n x="674"/>
      </t>
    </mdx>
    <mdx n="0" f="v">
      <t c="6" si="614">
        <n x="610"/>
        <n x="357"/>
        <n x="358"/>
        <n x="611" s="1"/>
        <n x="675"/>
        <n x="676"/>
      </t>
    </mdx>
    <mdx n="0" f="v">
      <t c="6" si="614">
        <n x="610"/>
        <n x="357"/>
        <n x="358"/>
        <n x="611" s="1"/>
        <n x="681"/>
        <n x="682"/>
      </t>
    </mdx>
    <mdx n="0" f="v">
      <t c="6" si="614">
        <n x="610"/>
        <n x="357"/>
        <n x="358"/>
        <n x="611" s="1"/>
        <n x="683"/>
        <n x="684"/>
      </t>
    </mdx>
    <mdx n="0" f="v">
      <t c="6" si="614">
        <n x="610"/>
        <n x="357"/>
        <n x="358"/>
        <n x="611" s="1"/>
        <n x="685"/>
        <n x="686"/>
      </t>
    </mdx>
    <mdx n="0" f="v">
      <t c="6" si="614">
        <n x="610"/>
        <n x="357"/>
        <n x="358"/>
        <n x="611" s="1"/>
        <n x="691"/>
        <n x="692"/>
      </t>
    </mdx>
    <mdx n="0" f="v">
      <t c="6" si="614">
        <n x="610"/>
        <n x="357"/>
        <n x="358"/>
        <n x="611" s="1"/>
        <n x="695"/>
        <n x="696"/>
      </t>
    </mdx>
    <mdx n="0" f="v">
      <t c="6" si="614">
        <n x="610"/>
        <n x="357"/>
        <n x="358"/>
        <n x="611" s="1"/>
        <n x="699"/>
        <n x="700"/>
      </t>
    </mdx>
    <mdx n="0" f="v">
      <t c="6" si="614">
        <n x="610"/>
        <n x="357"/>
        <n x="358"/>
        <n x="611" s="1"/>
        <n x="701"/>
        <n x="702"/>
      </t>
    </mdx>
    <mdx n="0" f="v">
      <t c="6" si="614">
        <n x="610"/>
        <n x="357"/>
        <n x="358"/>
        <n x="611" s="1"/>
        <n x="705"/>
        <n x="706"/>
      </t>
    </mdx>
    <mdx n="0" f="v">
      <t c="6" si="614">
        <n x="610"/>
        <n x="359"/>
        <n x="360"/>
        <n x="611" s="1"/>
        <n x="612"/>
        <n x="613"/>
      </t>
    </mdx>
    <mdx n="0" f="v">
      <t c="6" si="614">
        <n x="610"/>
        <n x="359"/>
        <n x="360"/>
        <n x="611" s="1"/>
        <n x="615"/>
        <n x="616"/>
      </t>
    </mdx>
    <mdx n="0" f="v">
      <t c="6" si="614">
        <n x="610"/>
        <n x="359"/>
        <n x="360"/>
        <n x="611" s="1"/>
        <n x="617"/>
        <n x="618"/>
      </t>
    </mdx>
    <mdx n="0" f="v">
      <t c="6" si="614">
        <n x="610"/>
        <n x="359"/>
        <n x="360"/>
        <n x="611" s="1"/>
        <n x="621"/>
        <n x="622"/>
      </t>
    </mdx>
    <mdx n="0" f="v">
      <t c="6" si="614">
        <n x="610"/>
        <n x="359"/>
        <n x="360"/>
        <n x="611" s="1"/>
        <n x="625"/>
        <n x="626"/>
      </t>
    </mdx>
    <mdx n="0" f="v">
      <t c="6" si="614">
        <n x="610"/>
        <n x="359"/>
        <n x="360"/>
        <n x="611" s="1"/>
        <n x="627"/>
        <n x="628"/>
      </t>
    </mdx>
    <mdx n="0" f="v">
      <t c="6" si="614">
        <n x="610"/>
        <n x="359"/>
        <n x="360"/>
        <n x="611" s="1"/>
        <n x="629"/>
        <n x="630"/>
      </t>
    </mdx>
    <mdx n="0" f="v">
      <t c="6" si="614">
        <n x="610"/>
        <n x="359"/>
        <n x="360"/>
        <n x="611" s="1"/>
        <n x="631"/>
        <n x="632"/>
      </t>
    </mdx>
    <mdx n="0" f="v">
      <t c="6" si="614">
        <n x="610"/>
        <n x="359"/>
        <n x="360"/>
        <n x="611" s="1"/>
        <n x="633"/>
        <n x="634"/>
      </t>
    </mdx>
    <mdx n="0" f="v">
      <t c="6" si="614">
        <n x="610"/>
        <n x="359"/>
        <n x="360"/>
        <n x="611" s="1"/>
        <n x="635"/>
        <n x="636"/>
      </t>
    </mdx>
    <mdx n="0" f="v">
      <t c="6" si="614">
        <n x="610"/>
        <n x="359"/>
        <n x="360"/>
        <n x="611" s="1"/>
        <n x="637"/>
        <n x="638"/>
      </t>
    </mdx>
    <mdx n="0" f="v">
      <t c="6" si="614">
        <n x="610"/>
        <n x="359"/>
        <n x="360"/>
        <n x="611" s="1"/>
        <n x="639"/>
        <n x="640"/>
      </t>
    </mdx>
    <mdx n="0" f="v">
      <t c="6" si="614">
        <n x="610"/>
        <n x="359"/>
        <n x="360"/>
        <n x="611" s="1"/>
        <n x="641"/>
        <n x="642"/>
      </t>
    </mdx>
    <mdx n="0" f="v">
      <t c="6" si="614">
        <n x="610"/>
        <n x="359"/>
        <n x="360"/>
        <n x="611" s="1"/>
        <n x="643"/>
        <n x="644"/>
      </t>
    </mdx>
    <mdx n="0" f="v">
      <t c="6" si="614">
        <n x="610"/>
        <n x="359"/>
        <n x="360"/>
        <n x="611" s="1"/>
        <n x="645"/>
        <n x="646"/>
      </t>
    </mdx>
    <mdx n="0" f="v">
      <t c="6" si="614">
        <n x="610"/>
        <n x="359"/>
        <n x="360"/>
        <n x="611" s="1"/>
        <n x="651"/>
        <n x="652"/>
      </t>
    </mdx>
    <mdx n="0" f="v">
      <t c="6" si="614">
        <n x="610"/>
        <n x="359"/>
        <n x="360"/>
        <n x="611" s="1"/>
        <n x="653"/>
        <n x="654"/>
      </t>
    </mdx>
    <mdx n="0" f="v">
      <t c="6" si="614">
        <n x="610"/>
        <n x="359"/>
        <n x="360"/>
        <n x="611" s="1"/>
        <n x="655"/>
        <n x="656"/>
      </t>
    </mdx>
    <mdx n="0" f="v">
      <t c="6" si="614">
        <n x="610"/>
        <n x="359"/>
        <n x="360"/>
        <n x="611" s="1"/>
        <n x="657"/>
        <n x="658"/>
      </t>
    </mdx>
    <mdx n="0" f="v">
      <t c="6" si="614">
        <n x="610"/>
        <n x="359"/>
        <n x="360"/>
        <n x="611" s="1"/>
        <n x="659"/>
        <n x="660"/>
      </t>
    </mdx>
    <mdx n="0" f="v">
      <t c="6" si="614">
        <n x="610"/>
        <n x="359"/>
        <n x="360"/>
        <n x="611" s="1"/>
        <n x="661"/>
        <n x="662"/>
      </t>
    </mdx>
    <mdx n="0" f="v">
      <t c="6" si="614">
        <n x="610"/>
        <n x="359"/>
        <n x="360"/>
        <n x="611" s="1"/>
        <n x="663"/>
        <n x="664"/>
      </t>
    </mdx>
    <mdx n="0" f="v">
      <t c="6" si="614">
        <n x="610"/>
        <n x="359"/>
        <n x="360"/>
        <n x="611" s="1"/>
        <n x="665"/>
        <n x="666"/>
      </t>
    </mdx>
    <mdx n="0" f="v">
      <t c="6" si="614">
        <n x="610"/>
        <n x="359"/>
        <n x="360"/>
        <n x="611" s="1"/>
        <n x="667"/>
        <n x="668"/>
      </t>
    </mdx>
    <mdx n="0" f="v">
      <t c="6" si="614">
        <n x="610"/>
        <n x="359"/>
        <n x="360"/>
        <n x="611" s="1"/>
        <n x="669"/>
        <n x="670"/>
      </t>
    </mdx>
    <mdx n="0" f="v">
      <t c="6" si="614">
        <n x="610"/>
        <n x="359"/>
        <n x="360"/>
        <n x="611" s="1"/>
        <n x="673"/>
        <n x="674"/>
      </t>
    </mdx>
    <mdx n="0" f="v">
      <t c="6" si="614">
        <n x="610"/>
        <n x="359"/>
        <n x="360"/>
        <n x="611" s="1"/>
        <n x="677"/>
        <n x="678"/>
      </t>
    </mdx>
    <mdx n="0" f="v">
      <t c="6" si="614">
        <n x="610"/>
        <n x="359"/>
        <n x="360"/>
        <n x="611" s="1"/>
        <n x="681"/>
        <n x="682"/>
      </t>
    </mdx>
    <mdx n="0" f="v">
      <t c="6" si="614">
        <n x="610"/>
        <n x="359"/>
        <n x="360"/>
        <n x="611" s="1"/>
        <n x="683"/>
        <n x="684"/>
      </t>
    </mdx>
    <mdx n="0" f="v">
      <t c="6" si="614">
        <n x="610"/>
        <n x="359"/>
        <n x="360"/>
        <n x="611" s="1"/>
        <n x="685"/>
        <n x="686"/>
      </t>
    </mdx>
    <mdx n="0" f="v">
      <t c="6" si="614">
        <n x="610"/>
        <n x="359"/>
        <n x="360"/>
        <n x="611" s="1"/>
        <n x="687"/>
        <n x="688"/>
      </t>
    </mdx>
    <mdx n="0" f="v">
      <t c="6" si="614">
        <n x="610"/>
        <n x="359"/>
        <n x="360"/>
        <n x="611" s="1"/>
        <n x="689"/>
        <n x="690"/>
      </t>
    </mdx>
    <mdx n="0" f="v">
      <t c="6" si="614">
        <n x="610"/>
        <n x="359"/>
        <n x="360"/>
        <n x="611" s="1"/>
        <n x="691"/>
        <n x="692"/>
      </t>
    </mdx>
    <mdx n="0" f="v">
      <t c="6" si="614">
        <n x="610"/>
        <n x="359"/>
        <n x="360"/>
        <n x="611" s="1"/>
        <n x="693"/>
        <n x="694"/>
      </t>
    </mdx>
    <mdx n="0" f="v">
      <t c="6" si="614">
        <n x="610"/>
        <n x="359"/>
        <n x="360"/>
        <n x="611" s="1"/>
        <n x="695"/>
        <n x="696"/>
      </t>
    </mdx>
    <mdx n="0" f="v">
      <t c="6" si="614">
        <n x="610"/>
        <n x="359"/>
        <n x="360"/>
        <n x="611" s="1"/>
        <n x="697"/>
        <n x="698"/>
      </t>
    </mdx>
    <mdx n="0" f="v">
      <t c="6" si="614">
        <n x="610"/>
        <n x="359"/>
        <n x="360"/>
        <n x="611" s="1"/>
        <n x="699"/>
        <n x="700"/>
      </t>
    </mdx>
    <mdx n="0" f="v">
      <t c="6" si="614">
        <n x="610"/>
        <n x="359"/>
        <n x="360"/>
        <n x="611" s="1"/>
        <n x="701"/>
        <n x="702"/>
      </t>
    </mdx>
    <mdx n="0" f="v">
      <t c="6" si="614">
        <n x="610"/>
        <n x="359"/>
        <n x="360"/>
        <n x="611" s="1"/>
        <n x="703"/>
        <n x="704"/>
      </t>
    </mdx>
    <mdx n="0" f="v">
      <t c="6" si="614">
        <n x="610"/>
        <n x="359"/>
        <n x="360"/>
        <n x="611" s="1"/>
        <n x="705"/>
        <n x="706"/>
      </t>
    </mdx>
    <mdx n="0" f="v">
      <t c="6" si="614">
        <n x="610"/>
        <n x="361"/>
        <n x="362"/>
        <n x="611" s="1"/>
        <n x="612"/>
        <n x="613"/>
      </t>
    </mdx>
    <mdx n="0" f="v">
      <t c="6" si="614">
        <n x="610"/>
        <n x="361"/>
        <n x="362"/>
        <n x="611" s="1"/>
        <n x="615"/>
        <n x="616"/>
      </t>
    </mdx>
    <mdx n="0" f="v">
      <t c="6" si="614">
        <n x="610"/>
        <n x="361"/>
        <n x="362"/>
        <n x="611" s="1"/>
        <n x="617"/>
        <n x="618"/>
      </t>
    </mdx>
    <mdx n="0" f="v">
      <t c="6" si="614">
        <n x="610"/>
        <n x="361"/>
        <n x="362"/>
        <n x="611" s="1"/>
        <n x="621"/>
        <n x="622"/>
      </t>
    </mdx>
    <mdx n="0" f="v">
      <t c="6" si="614">
        <n x="610"/>
        <n x="361"/>
        <n x="362"/>
        <n x="611" s="1"/>
        <n x="627"/>
        <n x="628"/>
      </t>
    </mdx>
    <mdx n="0" f="v">
      <t c="6" si="614">
        <n x="610"/>
        <n x="361"/>
        <n x="362"/>
        <n x="611" s="1"/>
        <n x="631"/>
        <n x="632"/>
      </t>
    </mdx>
    <mdx n="0" f="v">
      <t c="6" si="614">
        <n x="610"/>
        <n x="361"/>
        <n x="362"/>
        <n x="611" s="1"/>
        <n x="635"/>
        <n x="636"/>
      </t>
    </mdx>
    <mdx n="0" f="v">
      <t c="6" si="614">
        <n x="610"/>
        <n x="361"/>
        <n x="362"/>
        <n x="611" s="1"/>
        <n x="643"/>
        <n x="644"/>
      </t>
    </mdx>
    <mdx n="0" f="v">
      <t c="6" si="614">
        <n x="610"/>
        <n x="361"/>
        <n x="362"/>
        <n x="611" s="1"/>
        <n x="645"/>
        <n x="646"/>
      </t>
    </mdx>
    <mdx n="0" f="v">
      <t c="6" si="614">
        <n x="610"/>
        <n x="361"/>
        <n x="362"/>
        <n x="611" s="1"/>
        <n x="657"/>
        <n x="658"/>
      </t>
    </mdx>
    <mdx n="0" f="v">
      <t c="6" si="614">
        <n x="610"/>
        <n x="361"/>
        <n x="362"/>
        <n x="611" s="1"/>
        <n x="659"/>
        <n x="660"/>
      </t>
    </mdx>
    <mdx n="0" f="v">
      <t c="6" si="614">
        <n x="610"/>
        <n x="361"/>
        <n x="362"/>
        <n x="611" s="1"/>
        <n x="661"/>
        <n x="662"/>
      </t>
    </mdx>
    <mdx n="0" f="v">
      <t c="6" si="614">
        <n x="610"/>
        <n x="361"/>
        <n x="362"/>
        <n x="611" s="1"/>
        <n x="663"/>
        <n x="664"/>
      </t>
    </mdx>
    <mdx n="0" f="v">
      <t c="6" si="614">
        <n x="610"/>
        <n x="361"/>
        <n x="362"/>
        <n x="611" s="1"/>
        <n x="665"/>
        <n x="666"/>
      </t>
    </mdx>
    <mdx n="0" f="v">
      <t c="6" si="614">
        <n x="610"/>
        <n x="361"/>
        <n x="362"/>
        <n x="611" s="1"/>
        <n x="667"/>
        <n x="668"/>
      </t>
    </mdx>
    <mdx n="0" f="v">
      <t c="6" si="614">
        <n x="610"/>
        <n x="361"/>
        <n x="362"/>
        <n x="611" s="1"/>
        <n x="669"/>
        <n x="670"/>
      </t>
    </mdx>
    <mdx n="0" f="v">
      <t c="6" si="614">
        <n x="610"/>
        <n x="361"/>
        <n x="362"/>
        <n x="611" s="1"/>
        <n x="671"/>
        <n x="672"/>
      </t>
    </mdx>
    <mdx n="0" f="v">
      <t c="6" si="614">
        <n x="610"/>
        <n x="361"/>
        <n x="362"/>
        <n x="611" s="1"/>
        <n x="677"/>
        <n x="678"/>
      </t>
    </mdx>
    <mdx n="0" f="v">
      <t c="6" si="614">
        <n x="610"/>
        <n x="361"/>
        <n x="362"/>
        <n x="611" s="1"/>
        <n x="679"/>
        <n x="680"/>
      </t>
    </mdx>
    <mdx n="0" f="v">
      <t c="6" si="614">
        <n x="610"/>
        <n x="361"/>
        <n x="362"/>
        <n x="611" s="1"/>
        <n x="681"/>
        <n x="682"/>
      </t>
    </mdx>
    <mdx n="0" f="v">
      <t c="6" si="614">
        <n x="610"/>
        <n x="361"/>
        <n x="362"/>
        <n x="611" s="1"/>
        <n x="683"/>
        <n x="684"/>
      </t>
    </mdx>
    <mdx n="0" f="v">
      <t c="6" si="614">
        <n x="610"/>
        <n x="361"/>
        <n x="362"/>
        <n x="611" s="1"/>
        <n x="685"/>
        <n x="686"/>
      </t>
    </mdx>
    <mdx n="0" f="v">
      <t c="6" si="614">
        <n x="610"/>
        <n x="361"/>
        <n x="362"/>
        <n x="611" s="1"/>
        <n x="687"/>
        <n x="688"/>
      </t>
    </mdx>
    <mdx n="0" f="v">
      <t c="6" si="614">
        <n x="610"/>
        <n x="361"/>
        <n x="362"/>
        <n x="611" s="1"/>
        <n x="689"/>
        <n x="690"/>
      </t>
    </mdx>
    <mdx n="0" f="v">
      <t c="6" si="614">
        <n x="610"/>
        <n x="361"/>
        <n x="362"/>
        <n x="611" s="1"/>
        <n x="691"/>
        <n x="692"/>
      </t>
    </mdx>
    <mdx n="0" f="v">
      <t c="6" si="614">
        <n x="610"/>
        <n x="361"/>
        <n x="362"/>
        <n x="611" s="1"/>
        <n x="699"/>
        <n x="700"/>
      </t>
    </mdx>
    <mdx n="0" f="v">
      <t c="6" si="614">
        <n x="610"/>
        <n x="361"/>
        <n x="362"/>
        <n x="611" s="1"/>
        <n x="701"/>
        <n x="702"/>
      </t>
    </mdx>
    <mdx n="0" f="v">
      <t c="6" si="614">
        <n x="610"/>
        <n x="361"/>
        <n x="362"/>
        <n x="611" s="1"/>
        <n x="707"/>
        <n x="708"/>
      </t>
    </mdx>
    <mdx n="0" f="v">
      <t c="6" si="614">
        <n x="610"/>
        <n x="363"/>
        <n x="364"/>
        <n x="611" s="1"/>
        <n x="612"/>
        <n x="613"/>
      </t>
    </mdx>
    <mdx n="0" f="v">
      <t c="6" si="614">
        <n x="610"/>
        <n x="363"/>
        <n x="364"/>
        <n x="611" s="1"/>
        <n x="617"/>
        <n x="618"/>
      </t>
    </mdx>
    <mdx n="0" f="v">
      <t c="6" si="614">
        <n x="610"/>
        <n x="363"/>
        <n x="364"/>
        <n x="611" s="1"/>
        <n x="619"/>
        <n x="620"/>
      </t>
    </mdx>
    <mdx n="0" f="v">
      <t c="6" si="614">
        <n x="610"/>
        <n x="363"/>
        <n x="364"/>
        <n x="611" s="1"/>
        <n x="621"/>
        <n x="622"/>
      </t>
    </mdx>
    <mdx n="0" f="v">
      <t c="6" si="614">
        <n x="610"/>
        <n x="363"/>
        <n x="364"/>
        <n x="611" s="1"/>
        <n x="623"/>
        <n x="624"/>
      </t>
    </mdx>
    <mdx n="0" f="v">
      <t c="6" si="614">
        <n x="610"/>
        <n x="363"/>
        <n x="364"/>
        <n x="611" s="1"/>
        <n x="625"/>
        <n x="626"/>
      </t>
    </mdx>
    <mdx n="0" f="v">
      <t c="6" si="614">
        <n x="610"/>
        <n x="363"/>
        <n x="364"/>
        <n x="611" s="1"/>
        <n x="627"/>
        <n x="628"/>
      </t>
    </mdx>
    <mdx n="0" f="v">
      <t c="6" si="614">
        <n x="610"/>
        <n x="363"/>
        <n x="364"/>
        <n x="611" s="1"/>
        <n x="629"/>
        <n x="630"/>
      </t>
    </mdx>
    <mdx n="0" f="v">
      <t c="6" si="614">
        <n x="610"/>
        <n x="363"/>
        <n x="364"/>
        <n x="611" s="1"/>
        <n x="631"/>
        <n x="632"/>
      </t>
    </mdx>
    <mdx n="0" f="v">
      <t c="6" si="614">
        <n x="610"/>
        <n x="363"/>
        <n x="364"/>
        <n x="611" s="1"/>
        <n x="635"/>
        <n x="636"/>
      </t>
    </mdx>
    <mdx n="0" f="v">
      <t c="6" si="614">
        <n x="610"/>
        <n x="363"/>
        <n x="364"/>
        <n x="611" s="1"/>
        <n x="639"/>
        <n x="640"/>
      </t>
    </mdx>
    <mdx n="0" f="v">
      <t c="6" si="614">
        <n x="610"/>
        <n x="363"/>
        <n x="364"/>
        <n x="611" s="1"/>
        <n x="645"/>
        <n x="646"/>
      </t>
    </mdx>
    <mdx n="0" f="v">
      <t c="6" si="614">
        <n x="610"/>
        <n x="363"/>
        <n x="364"/>
        <n x="611" s="1"/>
        <n x="647"/>
        <n x="648"/>
      </t>
    </mdx>
    <mdx n="0" f="v">
      <t c="6" si="614">
        <n x="610"/>
        <n x="363"/>
        <n x="364"/>
        <n x="611" s="1"/>
        <n x="649"/>
        <n x="650"/>
      </t>
    </mdx>
    <mdx n="0" f="v">
      <t c="6" si="614">
        <n x="610"/>
        <n x="363"/>
        <n x="364"/>
        <n x="611" s="1"/>
        <n x="651"/>
        <n x="652"/>
      </t>
    </mdx>
    <mdx n="0" f="v">
      <t c="6" si="614">
        <n x="610"/>
        <n x="363"/>
        <n x="364"/>
        <n x="611" s="1"/>
        <n x="655"/>
        <n x="656"/>
      </t>
    </mdx>
    <mdx n="0" f="v">
      <t c="6" si="614">
        <n x="610"/>
        <n x="363"/>
        <n x="364"/>
        <n x="611" s="1"/>
        <n x="657"/>
        <n x="658"/>
      </t>
    </mdx>
    <mdx n="0" f="v">
      <t c="6" si="614">
        <n x="610"/>
        <n x="363"/>
        <n x="364"/>
        <n x="611" s="1"/>
        <n x="661"/>
        <n x="662"/>
      </t>
    </mdx>
    <mdx n="0" f="v">
      <t c="6" si="614">
        <n x="610"/>
        <n x="363"/>
        <n x="364"/>
        <n x="611" s="1"/>
        <n x="663"/>
        <n x="664"/>
      </t>
    </mdx>
    <mdx n="0" f="v">
      <t c="6" si="614">
        <n x="610"/>
        <n x="363"/>
        <n x="364"/>
        <n x="611" s="1"/>
        <n x="665"/>
        <n x="666"/>
      </t>
    </mdx>
    <mdx n="0" f="v">
      <t c="6" si="614">
        <n x="610"/>
        <n x="363"/>
        <n x="364"/>
        <n x="611" s="1"/>
        <n x="667"/>
        <n x="668"/>
      </t>
    </mdx>
    <mdx n="0" f="v">
      <t c="6" si="614">
        <n x="610"/>
        <n x="363"/>
        <n x="364"/>
        <n x="611" s="1"/>
        <n x="669"/>
        <n x="670"/>
      </t>
    </mdx>
    <mdx n="0" f="v">
      <t c="6" si="614">
        <n x="610"/>
        <n x="363"/>
        <n x="364"/>
        <n x="611" s="1"/>
        <n x="671"/>
        <n x="672"/>
      </t>
    </mdx>
    <mdx n="0" f="v">
      <t c="6" si="614">
        <n x="610"/>
        <n x="363"/>
        <n x="364"/>
        <n x="611" s="1"/>
        <n x="673"/>
        <n x="674"/>
      </t>
    </mdx>
    <mdx n="0" f="v">
      <t c="6" si="614">
        <n x="610"/>
        <n x="363"/>
        <n x="364"/>
        <n x="611" s="1"/>
        <n x="675"/>
        <n x="676"/>
      </t>
    </mdx>
    <mdx n="0" f="v">
      <t c="6" si="614">
        <n x="610"/>
        <n x="363"/>
        <n x="364"/>
        <n x="611" s="1"/>
        <n x="677"/>
        <n x="678"/>
      </t>
    </mdx>
    <mdx n="0" f="v">
      <t c="6" si="614">
        <n x="610"/>
        <n x="363"/>
        <n x="364"/>
        <n x="611" s="1"/>
        <n x="679"/>
        <n x="680"/>
      </t>
    </mdx>
    <mdx n="0" f="v">
      <t c="6" si="614">
        <n x="610"/>
        <n x="363"/>
        <n x="364"/>
        <n x="611" s="1"/>
        <n x="681"/>
        <n x="682"/>
      </t>
    </mdx>
    <mdx n="0" f="v">
      <t c="6" si="614">
        <n x="610"/>
        <n x="363"/>
        <n x="364"/>
        <n x="611" s="1"/>
        <n x="683"/>
        <n x="684"/>
      </t>
    </mdx>
    <mdx n="0" f="v">
      <t c="6" si="614">
        <n x="610"/>
        <n x="363"/>
        <n x="364"/>
        <n x="611" s="1"/>
        <n x="685"/>
        <n x="686"/>
      </t>
    </mdx>
    <mdx n="0" f="v">
      <t c="6" si="614">
        <n x="610"/>
        <n x="363"/>
        <n x="364"/>
        <n x="611" s="1"/>
        <n x="689"/>
        <n x="690"/>
      </t>
    </mdx>
    <mdx n="0" f="v">
      <t c="6" si="614">
        <n x="610"/>
        <n x="363"/>
        <n x="364"/>
        <n x="611" s="1"/>
        <n x="691"/>
        <n x="692"/>
      </t>
    </mdx>
    <mdx n="0" f="v">
      <t c="6" si="614">
        <n x="610"/>
        <n x="363"/>
        <n x="364"/>
        <n x="611" s="1"/>
        <n x="693"/>
        <n x="694"/>
      </t>
    </mdx>
    <mdx n="0" f="v">
      <t c="6" si="614">
        <n x="610"/>
        <n x="363"/>
        <n x="364"/>
        <n x="611" s="1"/>
        <n x="695"/>
        <n x="696"/>
      </t>
    </mdx>
    <mdx n="0" f="v">
      <t c="6" si="614">
        <n x="610"/>
        <n x="363"/>
        <n x="364"/>
        <n x="611" s="1"/>
        <n x="701"/>
        <n x="702"/>
      </t>
    </mdx>
    <mdx n="0" f="v">
      <t c="6" si="614">
        <n x="610"/>
        <n x="363"/>
        <n x="364"/>
        <n x="611" s="1"/>
        <n x="703"/>
        <n x="704"/>
      </t>
    </mdx>
    <mdx n="0" f="v">
      <t c="6" si="614">
        <n x="610"/>
        <n x="363"/>
        <n x="364"/>
        <n x="611" s="1"/>
        <n x="705"/>
        <n x="706"/>
      </t>
    </mdx>
    <mdx n="0" f="v">
      <t c="6" si="614">
        <n x="610"/>
        <n x="363"/>
        <n x="364"/>
        <n x="611" s="1"/>
        <n x="707"/>
        <n x="708"/>
      </t>
    </mdx>
    <mdx n="0" f="v">
      <t c="6" si="614">
        <n x="610"/>
        <n x="365"/>
        <n x="366"/>
        <n x="611" s="1"/>
        <n x="612"/>
        <n x="613"/>
      </t>
    </mdx>
    <mdx n="0" f="v">
      <t c="6" si="614">
        <n x="610"/>
        <n x="365"/>
        <n x="366"/>
        <n x="611" s="1"/>
        <n x="617"/>
        <n x="618"/>
      </t>
    </mdx>
    <mdx n="0" f="v">
      <t c="6" si="614">
        <n x="610"/>
        <n x="365"/>
        <n x="366"/>
        <n x="611" s="1"/>
        <n x="619"/>
        <n x="620"/>
      </t>
    </mdx>
    <mdx n="0" f="v">
      <t c="6" si="614">
        <n x="610"/>
        <n x="365"/>
        <n x="366"/>
        <n x="611" s="1"/>
        <n x="621"/>
        <n x="622"/>
      </t>
    </mdx>
    <mdx n="0" f="v">
      <t c="6" si="614">
        <n x="610"/>
        <n x="365"/>
        <n x="366"/>
        <n x="611" s="1"/>
        <n x="627"/>
        <n x="628"/>
      </t>
    </mdx>
    <mdx n="0" f="v">
      <t c="6" si="614">
        <n x="610"/>
        <n x="365"/>
        <n x="366"/>
        <n x="611" s="1"/>
        <n x="629"/>
        <n x="630"/>
      </t>
    </mdx>
    <mdx n="0" f="v">
      <t c="6" si="614">
        <n x="610"/>
        <n x="365"/>
        <n x="366"/>
        <n x="611" s="1"/>
        <n x="631"/>
        <n x="632"/>
      </t>
    </mdx>
    <mdx n="0" f="v">
      <t c="6" si="614">
        <n x="610"/>
        <n x="365"/>
        <n x="366"/>
        <n x="611" s="1"/>
        <n x="635"/>
        <n x="636"/>
      </t>
    </mdx>
    <mdx n="0" f="v">
      <t c="6" si="614">
        <n x="610"/>
        <n x="365"/>
        <n x="366"/>
        <n x="611" s="1"/>
        <n x="639"/>
        <n x="640"/>
      </t>
    </mdx>
    <mdx n="0" f="v">
      <t c="6" si="614">
        <n x="610"/>
        <n x="365"/>
        <n x="366"/>
        <n x="611" s="1"/>
        <n x="643"/>
        <n x="644"/>
      </t>
    </mdx>
    <mdx n="0" f="v">
      <t c="6" si="614">
        <n x="610"/>
        <n x="365"/>
        <n x="366"/>
        <n x="611" s="1"/>
        <n x="645"/>
        <n x="646"/>
      </t>
    </mdx>
    <mdx n="0" f="v">
      <t c="6" si="614">
        <n x="610"/>
        <n x="365"/>
        <n x="366"/>
        <n x="611" s="1"/>
        <n x="651"/>
        <n x="652"/>
      </t>
    </mdx>
    <mdx n="0" f="v">
      <t c="6" si="614">
        <n x="610"/>
        <n x="365"/>
        <n x="366"/>
        <n x="611" s="1"/>
        <n x="657"/>
        <n x="658"/>
      </t>
    </mdx>
    <mdx n="0" f="v">
      <t c="6" si="614">
        <n x="610"/>
        <n x="365"/>
        <n x="366"/>
        <n x="611" s="1"/>
        <n x="659"/>
        <n x="660"/>
      </t>
    </mdx>
    <mdx n="0" f="v">
      <t c="6" si="614">
        <n x="610"/>
        <n x="365"/>
        <n x="366"/>
        <n x="611" s="1"/>
        <n x="661"/>
        <n x="662"/>
      </t>
    </mdx>
    <mdx n="0" f="v">
      <t c="6" si="614">
        <n x="610"/>
        <n x="365"/>
        <n x="366"/>
        <n x="611" s="1"/>
        <n x="665"/>
        <n x="666"/>
      </t>
    </mdx>
    <mdx n="0" f="v">
      <t c="6" si="614">
        <n x="610"/>
        <n x="365"/>
        <n x="366"/>
        <n x="611" s="1"/>
        <n x="667"/>
        <n x="668"/>
      </t>
    </mdx>
    <mdx n="0" f="v">
      <t c="6" si="614">
        <n x="610"/>
        <n x="365"/>
        <n x="366"/>
        <n x="611" s="1"/>
        <n x="669"/>
        <n x="670"/>
      </t>
    </mdx>
    <mdx n="0" f="v">
      <t c="6" si="614">
        <n x="610"/>
        <n x="365"/>
        <n x="366"/>
        <n x="611" s="1"/>
        <n x="675"/>
        <n x="676"/>
      </t>
    </mdx>
    <mdx n="0" f="v">
      <t c="6" si="614">
        <n x="610"/>
        <n x="365"/>
        <n x="366"/>
        <n x="611" s="1"/>
        <n x="677"/>
        <n x="678"/>
      </t>
    </mdx>
    <mdx n="0" f="v">
      <t c="6" si="614">
        <n x="610"/>
        <n x="365"/>
        <n x="366"/>
        <n x="611" s="1"/>
        <n x="679"/>
        <n x="680"/>
      </t>
    </mdx>
    <mdx n="0" f="v">
      <t c="6" si="614">
        <n x="610"/>
        <n x="365"/>
        <n x="366"/>
        <n x="611" s="1"/>
        <n x="681"/>
        <n x="682"/>
      </t>
    </mdx>
    <mdx n="0" f="v">
      <t c="6" si="614">
        <n x="610"/>
        <n x="365"/>
        <n x="366"/>
        <n x="611" s="1"/>
        <n x="685"/>
        <n x="686"/>
      </t>
    </mdx>
    <mdx n="0" f="v">
      <t c="6" si="614">
        <n x="610"/>
        <n x="365"/>
        <n x="366"/>
        <n x="611" s="1"/>
        <n x="687"/>
        <n x="688"/>
      </t>
    </mdx>
    <mdx n="0" f="v">
      <t c="6" si="614">
        <n x="610"/>
        <n x="365"/>
        <n x="366"/>
        <n x="611" s="1"/>
        <n x="689"/>
        <n x="690"/>
      </t>
    </mdx>
    <mdx n="0" f="v">
      <t c="6" si="614">
        <n x="610"/>
        <n x="365"/>
        <n x="366"/>
        <n x="611" s="1"/>
        <n x="693"/>
        <n x="694"/>
      </t>
    </mdx>
    <mdx n="0" f="v">
      <t c="6" si="614">
        <n x="610"/>
        <n x="365"/>
        <n x="366"/>
        <n x="611" s="1"/>
        <n x="695"/>
        <n x="696"/>
      </t>
    </mdx>
    <mdx n="0" f="v">
      <t c="6" si="614">
        <n x="610"/>
        <n x="365"/>
        <n x="366"/>
        <n x="611" s="1"/>
        <n x="697"/>
        <n x="698"/>
      </t>
    </mdx>
    <mdx n="0" f="v">
      <t c="6" si="614">
        <n x="610"/>
        <n x="365"/>
        <n x="366"/>
        <n x="611" s="1"/>
        <n x="699"/>
        <n x="700"/>
      </t>
    </mdx>
    <mdx n="0" f="v">
      <t c="6" si="614">
        <n x="610"/>
        <n x="365"/>
        <n x="366"/>
        <n x="611" s="1"/>
        <n x="701"/>
        <n x="702"/>
      </t>
    </mdx>
    <mdx n="0" f="v">
      <t c="6" si="614">
        <n x="610"/>
        <n x="365"/>
        <n x="366"/>
        <n x="611" s="1"/>
        <n x="705"/>
        <n x="706"/>
      </t>
    </mdx>
    <mdx n="0" f="v">
      <t c="6" si="614">
        <n x="610"/>
        <n x="367"/>
        <n x="368"/>
        <n x="611" s="1"/>
        <n x="612"/>
        <n x="613"/>
      </t>
    </mdx>
    <mdx n="0" f="v">
      <t c="6" si="614">
        <n x="610"/>
        <n x="367"/>
        <n x="368"/>
        <n x="611" s="1"/>
        <n x="615"/>
        <n x="616"/>
      </t>
    </mdx>
    <mdx n="0" f="v">
      <t c="6" si="614">
        <n x="610"/>
        <n x="367"/>
        <n x="368"/>
        <n x="611" s="1"/>
        <n x="619"/>
        <n x="620"/>
      </t>
    </mdx>
    <mdx n="0" f="v">
      <t c="6" si="614">
        <n x="610"/>
        <n x="367"/>
        <n x="368"/>
        <n x="611" s="1"/>
        <n x="625"/>
        <n x="626"/>
      </t>
    </mdx>
    <mdx n="0" f="v">
      <t c="6" si="614">
        <n x="610"/>
        <n x="367"/>
        <n x="368"/>
        <n x="611" s="1"/>
        <n x="627"/>
        <n x="628"/>
      </t>
    </mdx>
    <mdx n="0" f="v">
      <t c="6" si="614">
        <n x="610"/>
        <n x="367"/>
        <n x="368"/>
        <n x="611" s="1"/>
        <n x="631"/>
        <n x="632"/>
      </t>
    </mdx>
    <mdx n="0" f="v">
      <t c="6" si="614">
        <n x="610"/>
        <n x="367"/>
        <n x="368"/>
        <n x="611" s="1"/>
        <n x="635"/>
        <n x="636"/>
      </t>
    </mdx>
    <mdx n="0" f="v">
      <t c="6" si="614">
        <n x="610"/>
        <n x="367"/>
        <n x="368"/>
        <n x="611" s="1"/>
        <n x="645"/>
        <n x="646"/>
      </t>
    </mdx>
    <mdx n="0" f="v">
      <t c="6" si="614">
        <n x="610"/>
        <n x="367"/>
        <n x="368"/>
        <n x="611" s="1"/>
        <n x="651"/>
        <n x="652"/>
      </t>
    </mdx>
    <mdx n="0" f="v">
      <t c="6" si="614">
        <n x="610"/>
        <n x="367"/>
        <n x="368"/>
        <n x="611" s="1"/>
        <n x="657"/>
        <n x="658"/>
      </t>
    </mdx>
    <mdx n="0" f="v">
      <t c="6" si="614">
        <n x="610"/>
        <n x="367"/>
        <n x="368"/>
        <n x="611" s="1"/>
        <n x="659"/>
        <n x="660"/>
      </t>
    </mdx>
    <mdx n="0" f="v">
      <t c="6" si="614">
        <n x="610"/>
        <n x="367"/>
        <n x="368"/>
        <n x="611" s="1"/>
        <n x="663"/>
        <n x="664"/>
      </t>
    </mdx>
    <mdx n="0" f="v">
      <t c="6" si="614">
        <n x="610"/>
        <n x="367"/>
        <n x="368"/>
        <n x="611" s="1"/>
        <n x="667"/>
        <n x="668"/>
      </t>
    </mdx>
    <mdx n="0" f="v">
      <t c="6" si="614">
        <n x="610"/>
        <n x="367"/>
        <n x="368"/>
        <n x="611" s="1"/>
        <n x="669"/>
        <n x="670"/>
      </t>
    </mdx>
    <mdx n="0" f="v">
      <t c="6" si="614">
        <n x="610"/>
        <n x="367"/>
        <n x="368"/>
        <n x="611" s="1"/>
        <n x="671"/>
        <n x="672"/>
      </t>
    </mdx>
    <mdx n="0" f="v">
      <t c="6" si="614">
        <n x="610"/>
        <n x="367"/>
        <n x="368"/>
        <n x="611" s="1"/>
        <n x="673"/>
        <n x="674"/>
      </t>
    </mdx>
    <mdx n="0" f="v">
      <t c="6" si="614">
        <n x="610"/>
        <n x="367"/>
        <n x="368"/>
        <n x="611" s="1"/>
        <n x="677"/>
        <n x="678"/>
      </t>
    </mdx>
    <mdx n="0" f="v">
      <t c="6" si="614">
        <n x="610"/>
        <n x="367"/>
        <n x="368"/>
        <n x="611" s="1"/>
        <n x="679"/>
        <n x="680"/>
      </t>
    </mdx>
    <mdx n="0" f="v">
      <t c="6" si="614">
        <n x="610"/>
        <n x="367"/>
        <n x="368"/>
        <n x="611" s="1"/>
        <n x="681"/>
        <n x="682"/>
      </t>
    </mdx>
    <mdx n="0" f="v">
      <t c="6" si="614">
        <n x="610"/>
        <n x="367"/>
        <n x="368"/>
        <n x="611" s="1"/>
        <n x="685"/>
        <n x="686"/>
      </t>
    </mdx>
    <mdx n="0" f="v">
      <t c="6" si="614">
        <n x="610"/>
        <n x="367"/>
        <n x="368"/>
        <n x="611" s="1"/>
        <n x="687"/>
        <n x="688"/>
      </t>
    </mdx>
    <mdx n="0" f="v">
      <t c="6" si="614">
        <n x="610"/>
        <n x="367"/>
        <n x="368"/>
        <n x="611" s="1"/>
        <n x="689"/>
        <n x="690"/>
      </t>
    </mdx>
    <mdx n="0" f="v">
      <t c="6" si="614">
        <n x="610"/>
        <n x="367"/>
        <n x="368"/>
        <n x="611" s="1"/>
        <n x="693"/>
        <n x="694"/>
      </t>
    </mdx>
    <mdx n="0" f="v">
      <t c="6" si="614">
        <n x="610"/>
        <n x="367"/>
        <n x="368"/>
        <n x="611" s="1"/>
        <n x="695"/>
        <n x="696"/>
      </t>
    </mdx>
    <mdx n="0" f="v">
      <t c="6" si="614">
        <n x="610"/>
        <n x="367"/>
        <n x="368"/>
        <n x="611" s="1"/>
        <n x="697"/>
        <n x="698"/>
      </t>
    </mdx>
    <mdx n="0" f="v">
      <t c="6" si="614">
        <n x="610"/>
        <n x="367"/>
        <n x="368"/>
        <n x="611" s="1"/>
        <n x="699"/>
        <n x="700"/>
      </t>
    </mdx>
    <mdx n="0" f="v">
      <t c="6" si="614">
        <n x="610"/>
        <n x="367"/>
        <n x="368"/>
        <n x="611" s="1"/>
        <n x="701"/>
        <n x="702"/>
      </t>
    </mdx>
    <mdx n="0" f="v">
      <t c="6" si="614">
        <n x="610"/>
        <n x="367"/>
        <n x="368"/>
        <n x="611" s="1"/>
        <n x="703"/>
        <n x="704"/>
      </t>
    </mdx>
    <mdx n="0" f="v">
      <t c="6" si="614">
        <n x="610"/>
        <n x="367"/>
        <n x="368"/>
        <n x="611" s="1"/>
        <n x="705"/>
        <n x="706"/>
      </t>
    </mdx>
    <mdx n="0" f="v">
      <t c="6" si="614">
        <n x="610"/>
        <n x="367"/>
        <n x="368"/>
        <n x="611" s="1"/>
        <n x="707"/>
        <n x="708"/>
      </t>
    </mdx>
    <mdx n="0" f="v">
      <t c="6" si="614">
        <n x="610"/>
        <n x="369"/>
        <n x="370"/>
        <n x="611" s="1"/>
        <n x="612"/>
        <n x="613"/>
      </t>
    </mdx>
    <mdx n="0" f="v">
      <t c="6" si="614">
        <n x="610"/>
        <n x="369"/>
        <n x="370"/>
        <n x="611" s="1"/>
        <n x="615"/>
        <n x="616"/>
      </t>
    </mdx>
    <mdx n="0" f="v">
      <t c="6" si="614">
        <n x="610"/>
        <n x="369"/>
        <n x="370"/>
        <n x="611" s="1"/>
        <n x="617"/>
        <n x="618"/>
      </t>
    </mdx>
    <mdx n="0" f="v">
      <t c="6" si="614">
        <n x="610"/>
        <n x="369"/>
        <n x="370"/>
        <n x="611" s="1"/>
        <n x="619"/>
        <n x="620"/>
      </t>
    </mdx>
    <mdx n="0" f="v">
      <t c="6" si="614">
        <n x="610"/>
        <n x="369"/>
        <n x="370"/>
        <n x="611" s="1"/>
        <n x="621"/>
        <n x="622"/>
      </t>
    </mdx>
    <mdx n="0" f="v">
      <t c="6" si="614">
        <n x="610"/>
        <n x="369"/>
        <n x="370"/>
        <n x="611" s="1"/>
        <n x="625"/>
        <n x="626"/>
      </t>
    </mdx>
    <mdx n="0" f="v">
      <t c="6" si="614">
        <n x="610"/>
        <n x="369"/>
        <n x="370"/>
        <n x="611" s="1"/>
        <n x="627"/>
        <n x="628"/>
      </t>
    </mdx>
    <mdx n="0" f="v">
      <t c="6" si="614">
        <n x="610"/>
        <n x="369"/>
        <n x="370"/>
        <n x="611" s="1"/>
        <n x="631"/>
        <n x="632"/>
      </t>
    </mdx>
    <mdx n="0" f="v">
      <t c="6" si="614">
        <n x="610"/>
        <n x="369"/>
        <n x="370"/>
        <n x="611" s="1"/>
        <n x="633"/>
        <n x="634"/>
      </t>
    </mdx>
    <mdx n="0" f="v">
      <t c="6" si="614">
        <n x="610"/>
        <n x="369"/>
        <n x="370"/>
        <n x="611" s="1"/>
        <n x="635"/>
        <n x="636"/>
      </t>
    </mdx>
    <mdx n="0" f="v">
      <t c="6" si="614">
        <n x="610"/>
        <n x="369"/>
        <n x="370"/>
        <n x="611" s="1"/>
        <n x="639"/>
        <n x="640"/>
      </t>
    </mdx>
    <mdx n="0" f="v">
      <t c="6" si="614">
        <n x="610"/>
        <n x="369"/>
        <n x="370"/>
        <n x="611" s="1"/>
        <n x="641"/>
        <n x="642"/>
      </t>
    </mdx>
    <mdx n="0" f="v">
      <t c="6" si="614">
        <n x="610"/>
        <n x="369"/>
        <n x="370"/>
        <n x="611" s="1"/>
        <n x="645"/>
        <n x="646"/>
      </t>
    </mdx>
    <mdx n="0" f="v">
      <t c="6" si="614">
        <n x="610"/>
        <n x="369"/>
        <n x="370"/>
        <n x="611" s="1"/>
        <n x="657"/>
        <n x="658"/>
      </t>
    </mdx>
    <mdx n="0" f="v">
      <t c="6" si="614">
        <n x="610"/>
        <n x="369"/>
        <n x="370"/>
        <n x="611" s="1"/>
        <n x="659"/>
        <n x="660"/>
      </t>
    </mdx>
    <mdx n="0" f="v">
      <t c="6" si="614">
        <n x="610"/>
        <n x="369"/>
        <n x="370"/>
        <n x="611" s="1"/>
        <n x="663"/>
        <n x="664"/>
      </t>
    </mdx>
    <mdx n="0" f="v">
      <t c="6" si="614">
        <n x="610"/>
        <n x="369"/>
        <n x="370"/>
        <n x="611" s="1"/>
        <n x="665"/>
        <n x="666"/>
      </t>
    </mdx>
    <mdx n="0" f="v">
      <t c="6" si="614">
        <n x="610"/>
        <n x="369"/>
        <n x="370"/>
        <n x="611" s="1"/>
        <n x="667"/>
        <n x="668"/>
      </t>
    </mdx>
    <mdx n="0" f="v">
      <t c="6" si="614">
        <n x="610"/>
        <n x="369"/>
        <n x="370"/>
        <n x="611" s="1"/>
        <n x="669"/>
        <n x="670"/>
      </t>
    </mdx>
    <mdx n="0" f="v">
      <t c="6" si="614">
        <n x="610"/>
        <n x="369"/>
        <n x="370"/>
        <n x="611" s="1"/>
        <n x="673"/>
        <n x="674"/>
      </t>
    </mdx>
    <mdx n="0" f="v">
      <t c="6" si="614">
        <n x="610"/>
        <n x="369"/>
        <n x="370"/>
        <n x="611" s="1"/>
        <n x="675"/>
        <n x="676"/>
      </t>
    </mdx>
    <mdx n="0" f="v">
      <t c="6" si="614">
        <n x="610"/>
        <n x="369"/>
        <n x="370"/>
        <n x="611" s="1"/>
        <n x="681"/>
        <n x="682"/>
      </t>
    </mdx>
    <mdx n="0" f="v">
      <t c="6" si="614">
        <n x="610"/>
        <n x="369"/>
        <n x="370"/>
        <n x="611" s="1"/>
        <n x="683"/>
        <n x="684"/>
      </t>
    </mdx>
    <mdx n="0" f="v">
      <t c="6" si="614">
        <n x="610"/>
        <n x="369"/>
        <n x="370"/>
        <n x="611" s="1"/>
        <n x="685"/>
        <n x="686"/>
      </t>
    </mdx>
    <mdx n="0" f="v">
      <t c="6" si="614">
        <n x="610"/>
        <n x="369"/>
        <n x="370"/>
        <n x="611" s="1"/>
        <n x="687"/>
        <n x="688"/>
      </t>
    </mdx>
    <mdx n="0" f="v">
      <t c="6" si="614">
        <n x="610"/>
        <n x="369"/>
        <n x="370"/>
        <n x="611" s="1"/>
        <n x="689"/>
        <n x="690"/>
      </t>
    </mdx>
    <mdx n="0" f="v">
      <t c="6" si="614">
        <n x="610"/>
        <n x="369"/>
        <n x="370"/>
        <n x="611" s="1"/>
        <n x="699"/>
        <n x="700"/>
      </t>
    </mdx>
    <mdx n="0" f="v">
      <t c="6" si="614">
        <n x="610"/>
        <n x="369"/>
        <n x="370"/>
        <n x="611" s="1"/>
        <n x="701"/>
        <n x="702"/>
      </t>
    </mdx>
    <mdx n="0" f="v">
      <t c="6" si="614">
        <n x="610"/>
        <n x="369"/>
        <n x="370"/>
        <n x="611" s="1"/>
        <n x="705"/>
        <n x="706"/>
      </t>
    </mdx>
    <mdx n="0" f="v">
      <t c="6" si="614">
        <n x="610"/>
        <n x="371"/>
        <n x="372"/>
        <n x="611" s="1"/>
        <n x="612"/>
        <n x="613"/>
      </t>
    </mdx>
    <mdx n="0" f="v">
      <t c="6" si="614">
        <n x="610"/>
        <n x="371"/>
        <n x="372"/>
        <n x="611" s="1"/>
        <n x="615"/>
        <n x="616"/>
      </t>
    </mdx>
    <mdx n="0" f="v">
      <t c="6" si="614">
        <n x="610"/>
        <n x="371"/>
        <n x="372"/>
        <n x="611" s="1"/>
        <n x="617"/>
        <n x="618"/>
      </t>
    </mdx>
    <mdx n="0" f="v">
      <t c="6" si="614">
        <n x="610"/>
        <n x="371"/>
        <n x="372"/>
        <n x="611" s="1"/>
        <n x="623"/>
        <n x="624"/>
      </t>
    </mdx>
    <mdx n="0" f="v">
      <t c="6" si="614">
        <n x="610"/>
        <n x="371"/>
        <n x="372"/>
        <n x="611" s="1"/>
        <n x="625"/>
        <n x="626"/>
      </t>
    </mdx>
    <mdx n="0" f="v">
      <t c="6" si="614">
        <n x="610"/>
        <n x="371"/>
        <n x="372"/>
        <n x="611" s="1"/>
        <n x="627"/>
        <n x="628"/>
      </t>
    </mdx>
    <mdx n="0" f="v">
      <t c="6" si="614">
        <n x="610"/>
        <n x="371"/>
        <n x="372"/>
        <n x="611" s="1"/>
        <n x="629"/>
        <n x="630"/>
      </t>
    </mdx>
    <mdx n="0" f="v">
      <t c="6" si="614">
        <n x="610"/>
        <n x="371"/>
        <n x="372"/>
        <n x="611" s="1"/>
        <n x="631"/>
        <n x="632"/>
      </t>
    </mdx>
    <mdx n="0" f="v">
      <t c="6" si="614">
        <n x="610"/>
        <n x="371"/>
        <n x="372"/>
        <n x="611" s="1"/>
        <n x="635"/>
        <n x="636"/>
      </t>
    </mdx>
    <mdx n="0" f="v">
      <t c="6" si="614">
        <n x="610"/>
        <n x="371"/>
        <n x="372"/>
        <n x="611" s="1"/>
        <n x="641"/>
        <n x="642"/>
      </t>
    </mdx>
    <mdx n="0" f="v">
      <t c="6" si="614">
        <n x="610"/>
        <n x="371"/>
        <n x="372"/>
        <n x="611" s="1"/>
        <n x="645"/>
        <n x="646"/>
      </t>
    </mdx>
    <mdx n="0" f="v">
      <t c="6" si="614">
        <n x="610"/>
        <n x="371"/>
        <n x="372"/>
        <n x="611" s="1"/>
        <n x="647"/>
        <n x="648"/>
      </t>
    </mdx>
    <mdx n="0" f="v">
      <t c="6" si="614">
        <n x="610"/>
        <n x="371"/>
        <n x="372"/>
        <n x="611" s="1"/>
        <n x="649"/>
        <n x="650"/>
      </t>
    </mdx>
    <mdx n="0" f="v">
      <t c="6" si="614">
        <n x="610"/>
        <n x="371"/>
        <n x="372"/>
        <n x="611" s="1"/>
        <n x="651"/>
        <n x="652"/>
      </t>
    </mdx>
    <mdx n="0" f="v">
      <t c="6" si="614">
        <n x="610"/>
        <n x="371"/>
        <n x="372"/>
        <n x="611" s="1"/>
        <n x="657"/>
        <n x="658"/>
      </t>
    </mdx>
    <mdx n="0" f="v">
      <t c="6" si="614">
        <n x="610"/>
        <n x="371"/>
        <n x="372"/>
        <n x="611" s="1"/>
        <n x="659"/>
        <n x="660"/>
      </t>
    </mdx>
    <mdx n="0" f="v">
      <t c="6" si="614">
        <n x="610"/>
        <n x="371"/>
        <n x="372"/>
        <n x="611" s="1"/>
        <n x="665"/>
        <n x="666"/>
      </t>
    </mdx>
    <mdx n="0" f="v">
      <t c="6" si="614">
        <n x="610"/>
        <n x="371"/>
        <n x="372"/>
        <n x="611" s="1"/>
        <n x="667"/>
        <n x="668"/>
      </t>
    </mdx>
    <mdx n="0" f="v">
      <t c="6" si="614">
        <n x="610"/>
        <n x="371"/>
        <n x="372"/>
        <n x="611" s="1"/>
        <n x="669"/>
        <n x="670"/>
      </t>
    </mdx>
    <mdx n="0" f="v">
      <t c="6" si="614">
        <n x="610"/>
        <n x="371"/>
        <n x="372"/>
        <n x="611" s="1"/>
        <n x="671"/>
        <n x="672"/>
      </t>
    </mdx>
    <mdx n="0" f="v">
      <t c="6" si="614">
        <n x="610"/>
        <n x="371"/>
        <n x="372"/>
        <n x="611" s="1"/>
        <n x="673"/>
        <n x="674"/>
      </t>
    </mdx>
    <mdx n="0" f="v">
      <t c="6" si="614">
        <n x="610"/>
        <n x="371"/>
        <n x="372"/>
        <n x="611" s="1"/>
        <n x="675"/>
        <n x="676"/>
      </t>
    </mdx>
    <mdx n="0" f="v">
      <t c="6" si="614">
        <n x="610"/>
        <n x="371"/>
        <n x="372"/>
        <n x="611" s="1"/>
        <n x="677"/>
        <n x="678"/>
      </t>
    </mdx>
    <mdx n="0" f="v">
      <t c="6" si="614">
        <n x="610"/>
        <n x="371"/>
        <n x="372"/>
        <n x="611" s="1"/>
        <n x="679"/>
        <n x="680"/>
      </t>
    </mdx>
    <mdx n="0" f="v">
      <t c="6" si="614">
        <n x="610"/>
        <n x="371"/>
        <n x="372"/>
        <n x="611" s="1"/>
        <n x="683"/>
        <n x="684"/>
      </t>
    </mdx>
    <mdx n="0" f="v">
      <t c="6" si="614">
        <n x="610"/>
        <n x="371"/>
        <n x="372"/>
        <n x="611" s="1"/>
        <n x="687"/>
        <n x="688"/>
      </t>
    </mdx>
    <mdx n="0" f="v">
      <t c="6" si="614">
        <n x="610"/>
        <n x="371"/>
        <n x="372"/>
        <n x="611" s="1"/>
        <n x="689"/>
        <n x="690"/>
      </t>
    </mdx>
    <mdx n="0" f="v">
      <t c="6" si="614">
        <n x="610"/>
        <n x="371"/>
        <n x="372"/>
        <n x="611" s="1"/>
        <n x="695"/>
        <n x="696"/>
      </t>
    </mdx>
    <mdx n="0" f="v">
      <t c="6" si="614">
        <n x="610"/>
        <n x="371"/>
        <n x="372"/>
        <n x="611" s="1"/>
        <n x="699"/>
        <n x="700"/>
      </t>
    </mdx>
    <mdx n="0" f="v">
      <t c="6" si="614">
        <n x="610"/>
        <n x="371"/>
        <n x="372"/>
        <n x="611" s="1"/>
        <n x="701"/>
        <n x="702"/>
      </t>
    </mdx>
    <mdx n="0" f="v">
      <t c="6" si="614">
        <n x="610"/>
        <n x="371"/>
        <n x="372"/>
        <n x="611" s="1"/>
        <n x="703"/>
        <n x="704"/>
      </t>
    </mdx>
    <mdx n="0" f="v">
      <t c="6" si="614">
        <n x="610"/>
        <n x="371"/>
        <n x="372"/>
        <n x="611" s="1"/>
        <n x="705"/>
        <n x="706"/>
      </t>
    </mdx>
    <mdx n="0" f="v">
      <t c="6" si="614">
        <n x="610"/>
        <n x="371"/>
        <n x="372"/>
        <n x="611" s="1"/>
        <n x="707"/>
        <n x="708"/>
      </t>
    </mdx>
    <mdx n="0" f="v">
      <t c="6" si="614">
        <n x="610"/>
        <n x="373"/>
        <n x="374"/>
        <n x="611" s="1"/>
        <n x="612"/>
        <n x="613"/>
      </t>
    </mdx>
    <mdx n="0" f="v">
      <t c="6" si="614">
        <n x="610"/>
        <n x="373"/>
        <n x="374"/>
        <n x="611" s="1"/>
        <n x="619"/>
        <n x="620"/>
      </t>
    </mdx>
    <mdx n="0" f="v">
      <t c="6" si="614">
        <n x="610"/>
        <n x="373"/>
        <n x="374"/>
        <n x="611" s="1"/>
        <n x="621"/>
        <n x="622"/>
      </t>
    </mdx>
    <mdx n="0" f="v">
      <t c="6" si="614">
        <n x="610"/>
        <n x="373"/>
        <n x="374"/>
        <n x="611" s="1"/>
        <n x="623"/>
        <n x="624"/>
      </t>
    </mdx>
    <mdx n="0" f="v">
      <t c="6" si="614">
        <n x="610"/>
        <n x="373"/>
        <n x="374"/>
        <n x="611" s="1"/>
        <n x="625"/>
        <n x="626"/>
      </t>
    </mdx>
    <mdx n="0" f="v">
      <t c="6" si="614">
        <n x="610"/>
        <n x="373"/>
        <n x="374"/>
        <n x="611" s="1"/>
        <n x="627"/>
        <n x="628"/>
      </t>
    </mdx>
    <mdx n="0" f="v">
      <t c="6" si="614">
        <n x="610"/>
        <n x="373"/>
        <n x="374"/>
        <n x="611" s="1"/>
        <n x="633"/>
        <n x="634"/>
      </t>
    </mdx>
    <mdx n="0" f="v">
      <t c="6" si="614">
        <n x="610"/>
        <n x="373"/>
        <n x="374"/>
        <n x="611" s="1"/>
        <n x="635"/>
        <n x="636"/>
      </t>
    </mdx>
    <mdx n="0" f="v">
      <t c="6" si="614">
        <n x="610"/>
        <n x="373"/>
        <n x="374"/>
        <n x="611" s="1"/>
        <n x="651"/>
        <n x="652"/>
      </t>
    </mdx>
    <mdx n="0" f="v">
      <t c="6" si="614">
        <n x="610"/>
        <n x="373"/>
        <n x="374"/>
        <n x="611" s="1"/>
        <n x="653"/>
        <n x="654"/>
      </t>
    </mdx>
    <mdx n="0" f="v">
      <t c="6" si="614">
        <n x="610"/>
        <n x="373"/>
        <n x="374"/>
        <n x="611" s="1"/>
        <n x="657"/>
        <n x="658"/>
      </t>
    </mdx>
    <mdx n="0" f="v">
      <t c="6" si="614">
        <n x="610"/>
        <n x="373"/>
        <n x="374"/>
        <n x="611" s="1"/>
        <n x="659"/>
        <n x="660"/>
      </t>
    </mdx>
    <mdx n="0" f="v">
      <t c="6" si="614">
        <n x="610"/>
        <n x="373"/>
        <n x="374"/>
        <n x="611" s="1"/>
        <n x="665"/>
        <n x="666"/>
      </t>
    </mdx>
    <mdx n="0" f="v">
      <t c="6" si="614">
        <n x="610"/>
        <n x="373"/>
        <n x="374"/>
        <n x="611" s="1"/>
        <n x="669"/>
        <n x="670"/>
      </t>
    </mdx>
    <mdx n="0" f="v">
      <t c="6" si="614">
        <n x="610"/>
        <n x="373"/>
        <n x="374"/>
        <n x="611" s="1"/>
        <n x="675"/>
        <n x="676"/>
      </t>
    </mdx>
    <mdx n="0" f="v">
      <t c="6" si="614">
        <n x="610"/>
        <n x="373"/>
        <n x="374"/>
        <n x="611" s="1"/>
        <n x="677"/>
        <n x="678"/>
      </t>
    </mdx>
    <mdx n="0" f="v">
      <t c="6" si="614">
        <n x="610"/>
        <n x="373"/>
        <n x="374"/>
        <n x="611" s="1"/>
        <n x="679"/>
        <n x="680"/>
      </t>
    </mdx>
    <mdx n="0" f="v">
      <t c="6" si="614">
        <n x="610"/>
        <n x="373"/>
        <n x="374"/>
        <n x="611" s="1"/>
        <n x="683"/>
        <n x="684"/>
      </t>
    </mdx>
    <mdx n="0" f="v">
      <t c="6" si="614">
        <n x="610"/>
        <n x="373"/>
        <n x="374"/>
        <n x="611" s="1"/>
        <n x="687"/>
        <n x="688"/>
      </t>
    </mdx>
    <mdx n="0" f="v">
      <t c="6" si="614">
        <n x="610"/>
        <n x="373"/>
        <n x="374"/>
        <n x="611" s="1"/>
        <n x="689"/>
        <n x="690"/>
      </t>
    </mdx>
    <mdx n="0" f="v">
      <t c="6" si="614">
        <n x="610"/>
        <n x="373"/>
        <n x="374"/>
        <n x="611" s="1"/>
        <n x="691"/>
        <n x="692"/>
      </t>
    </mdx>
    <mdx n="0" f="v">
      <t c="6" si="614">
        <n x="610"/>
        <n x="373"/>
        <n x="374"/>
        <n x="611" s="1"/>
        <n x="695"/>
        <n x="696"/>
      </t>
    </mdx>
    <mdx n="0" f="v">
      <t c="6" si="614">
        <n x="610"/>
        <n x="373"/>
        <n x="374"/>
        <n x="611" s="1"/>
        <n x="697"/>
        <n x="698"/>
      </t>
    </mdx>
    <mdx n="0" f="v">
      <t c="6" si="614">
        <n x="610"/>
        <n x="373"/>
        <n x="374"/>
        <n x="611" s="1"/>
        <n x="699"/>
        <n x="700"/>
      </t>
    </mdx>
    <mdx n="0" f="v">
      <t c="6" si="614">
        <n x="610"/>
        <n x="373"/>
        <n x="374"/>
        <n x="611" s="1"/>
        <n x="701"/>
        <n x="702"/>
      </t>
    </mdx>
    <mdx n="0" f="v">
      <t c="6" si="614">
        <n x="610"/>
        <n x="373"/>
        <n x="374"/>
        <n x="611" s="1"/>
        <n x="703"/>
        <n x="704"/>
      </t>
    </mdx>
    <mdx n="0" f="v">
      <t c="6" si="614">
        <n x="610"/>
        <n x="373"/>
        <n x="374"/>
        <n x="611" s="1"/>
        <n x="705"/>
        <n x="706"/>
      </t>
    </mdx>
    <mdx n="0" f="v">
      <t c="6" si="614">
        <n x="610"/>
        <n x="373"/>
        <n x="374"/>
        <n x="611" s="1"/>
        <n x="707"/>
        <n x="708"/>
      </t>
    </mdx>
    <mdx n="0" f="v">
      <t c="6" si="614">
        <n x="610"/>
        <n x="375"/>
        <n x="376"/>
        <n x="611" s="1"/>
        <n x="612"/>
        <n x="613"/>
      </t>
    </mdx>
    <mdx n="0" f="v">
      <t c="6" si="614">
        <n x="610"/>
        <n x="375"/>
        <n x="376"/>
        <n x="611" s="1"/>
        <n x="615"/>
        <n x="616"/>
      </t>
    </mdx>
    <mdx n="0" f="v">
      <t c="6" si="614">
        <n x="610"/>
        <n x="375"/>
        <n x="376"/>
        <n x="611" s="1"/>
        <n x="617"/>
        <n x="618"/>
      </t>
    </mdx>
    <mdx n="0" f="v">
      <t c="6" si="614">
        <n x="610"/>
        <n x="375"/>
        <n x="376"/>
        <n x="611" s="1"/>
        <n x="619"/>
        <n x="620"/>
      </t>
    </mdx>
    <mdx n="0" f="v">
      <t c="6" si="614">
        <n x="610"/>
        <n x="375"/>
        <n x="376"/>
        <n x="611" s="1"/>
        <n x="621"/>
        <n x="622"/>
      </t>
    </mdx>
    <mdx n="0" f="v">
      <t c="6" si="614">
        <n x="610"/>
        <n x="375"/>
        <n x="376"/>
        <n x="611" s="1"/>
        <n x="623"/>
        <n x="624"/>
      </t>
    </mdx>
    <mdx n="0" f="v">
      <t c="6" si="614">
        <n x="610"/>
        <n x="375"/>
        <n x="376"/>
        <n x="611" s="1"/>
        <n x="625"/>
        <n x="626"/>
      </t>
    </mdx>
    <mdx n="0" f="v">
      <t c="6" si="614">
        <n x="610"/>
        <n x="375"/>
        <n x="376"/>
        <n x="611" s="1"/>
        <n x="627"/>
        <n x="628"/>
      </t>
    </mdx>
    <mdx n="0" f="v">
      <t c="6" si="614">
        <n x="610"/>
        <n x="375"/>
        <n x="376"/>
        <n x="611" s="1"/>
        <n x="631"/>
        <n x="632"/>
      </t>
    </mdx>
    <mdx n="0" f="v">
      <t c="6" si="614">
        <n x="610"/>
        <n x="375"/>
        <n x="376"/>
        <n x="611" s="1"/>
        <n x="635"/>
        <n x="636"/>
      </t>
    </mdx>
    <mdx n="0" f="v">
      <t c="6" si="614">
        <n x="610"/>
        <n x="375"/>
        <n x="376"/>
        <n x="611" s="1"/>
        <n x="637"/>
        <n x="638"/>
      </t>
    </mdx>
    <mdx n="0" f="v">
      <t c="6" si="614">
        <n x="610"/>
        <n x="375"/>
        <n x="376"/>
        <n x="611" s="1"/>
        <n x="643"/>
        <n x="644"/>
      </t>
    </mdx>
    <mdx n="0" f="v">
      <t c="6" si="614">
        <n x="610"/>
        <n x="375"/>
        <n x="376"/>
        <n x="611" s="1"/>
        <n x="645"/>
        <n x="646"/>
      </t>
    </mdx>
    <mdx n="0" f="v">
      <t c="6" si="614">
        <n x="610"/>
        <n x="375"/>
        <n x="376"/>
        <n x="611" s="1"/>
        <n x="647"/>
        <n x="648"/>
      </t>
    </mdx>
    <mdx n="0" f="v">
      <t c="6" si="614">
        <n x="610"/>
        <n x="375"/>
        <n x="376"/>
        <n x="611" s="1"/>
        <n x="649"/>
        <n x="650"/>
      </t>
    </mdx>
    <mdx n="0" f="v">
      <t c="6" si="614">
        <n x="610"/>
        <n x="375"/>
        <n x="376"/>
        <n x="611" s="1"/>
        <n x="657"/>
        <n x="658"/>
      </t>
    </mdx>
    <mdx n="0" f="v">
      <t c="6" si="614">
        <n x="610"/>
        <n x="375"/>
        <n x="376"/>
        <n x="611" s="1"/>
        <n x="659"/>
        <n x="660"/>
      </t>
    </mdx>
    <mdx n="0" f="v">
      <t c="6" si="614">
        <n x="610"/>
        <n x="375"/>
        <n x="376"/>
        <n x="611" s="1"/>
        <n x="663"/>
        <n x="664"/>
      </t>
    </mdx>
    <mdx n="0" f="v">
      <t c="6" si="614">
        <n x="610"/>
        <n x="375"/>
        <n x="376"/>
        <n x="611" s="1"/>
        <n x="665"/>
        <n x="666"/>
      </t>
    </mdx>
    <mdx n="0" f="v">
      <t c="6" si="614">
        <n x="610"/>
        <n x="375"/>
        <n x="376"/>
        <n x="611" s="1"/>
        <n x="667"/>
        <n x="668"/>
      </t>
    </mdx>
    <mdx n="0" f="v">
      <t c="6" si="614">
        <n x="610"/>
        <n x="375"/>
        <n x="376"/>
        <n x="611" s="1"/>
        <n x="669"/>
        <n x="670"/>
      </t>
    </mdx>
    <mdx n="0" f="v">
      <t c="6" si="614">
        <n x="610"/>
        <n x="375"/>
        <n x="376"/>
        <n x="611" s="1"/>
        <n x="673"/>
        <n x="674"/>
      </t>
    </mdx>
    <mdx n="0" f="v">
      <t c="6" si="614">
        <n x="610"/>
        <n x="375"/>
        <n x="376"/>
        <n x="611" s="1"/>
        <n x="675"/>
        <n x="676"/>
      </t>
    </mdx>
    <mdx n="0" f="v">
      <t c="6" si="614">
        <n x="610"/>
        <n x="375"/>
        <n x="376"/>
        <n x="611" s="1"/>
        <n x="677"/>
        <n x="678"/>
      </t>
    </mdx>
    <mdx n="0" f="v">
      <t c="6" si="614">
        <n x="610"/>
        <n x="375"/>
        <n x="376"/>
        <n x="611" s="1"/>
        <n x="681"/>
        <n x="682"/>
      </t>
    </mdx>
    <mdx n="0" f="v">
      <t c="6" si="614">
        <n x="610"/>
        <n x="375"/>
        <n x="376"/>
        <n x="611" s="1"/>
        <n x="683"/>
        <n x="684"/>
      </t>
    </mdx>
    <mdx n="0" f="v">
      <t c="6" si="614">
        <n x="610"/>
        <n x="375"/>
        <n x="376"/>
        <n x="611" s="1"/>
        <n x="685"/>
        <n x="686"/>
      </t>
    </mdx>
    <mdx n="0" f="v">
      <t c="6" si="614">
        <n x="610"/>
        <n x="375"/>
        <n x="376"/>
        <n x="611" s="1"/>
        <n x="687"/>
        <n x="688"/>
      </t>
    </mdx>
    <mdx n="0" f="v">
      <t c="6" si="614">
        <n x="610"/>
        <n x="375"/>
        <n x="376"/>
        <n x="611" s="1"/>
        <n x="689"/>
        <n x="690"/>
      </t>
    </mdx>
    <mdx n="0" f="v">
      <t c="6" si="614">
        <n x="610"/>
        <n x="375"/>
        <n x="376"/>
        <n x="611" s="1"/>
        <n x="691"/>
        <n x="692"/>
      </t>
    </mdx>
    <mdx n="0" f="v">
      <t c="6" si="614">
        <n x="610"/>
        <n x="375"/>
        <n x="376"/>
        <n x="611" s="1"/>
        <n x="693"/>
        <n x="694"/>
      </t>
    </mdx>
    <mdx n="0" f="v">
      <t c="6" si="614">
        <n x="610"/>
        <n x="375"/>
        <n x="376"/>
        <n x="611" s="1"/>
        <n x="695"/>
        <n x="696"/>
      </t>
    </mdx>
    <mdx n="0" f="v">
      <t c="6" si="614">
        <n x="610"/>
        <n x="375"/>
        <n x="376"/>
        <n x="611" s="1"/>
        <n x="699"/>
        <n x="700"/>
      </t>
    </mdx>
    <mdx n="0" f="v">
      <t c="6" si="614">
        <n x="610"/>
        <n x="375"/>
        <n x="376"/>
        <n x="611" s="1"/>
        <n x="701"/>
        <n x="702"/>
      </t>
    </mdx>
    <mdx n="0" f="v">
      <t c="6" si="614">
        <n x="610"/>
        <n x="375"/>
        <n x="376"/>
        <n x="611" s="1"/>
        <n x="703"/>
        <n x="704"/>
      </t>
    </mdx>
    <mdx n="0" f="v">
      <t c="6" si="614">
        <n x="610"/>
        <n x="375"/>
        <n x="376"/>
        <n x="611" s="1"/>
        <n x="705"/>
        <n x="706"/>
      </t>
    </mdx>
    <mdx n="0" f="v">
      <t c="6" si="614">
        <n x="610"/>
        <n x="377"/>
        <n x="378"/>
        <n x="611" s="1"/>
        <n x="612"/>
        <n x="613"/>
      </t>
    </mdx>
    <mdx n="0" f="v">
      <t c="6" si="614">
        <n x="610"/>
        <n x="377"/>
        <n x="378"/>
        <n x="611" s="1"/>
        <n x="615"/>
        <n x="616"/>
      </t>
    </mdx>
    <mdx n="0" f="v">
      <t c="6" si="614">
        <n x="610"/>
        <n x="377"/>
        <n x="378"/>
        <n x="611" s="1"/>
        <n x="617"/>
        <n x="618"/>
      </t>
    </mdx>
    <mdx n="0" f="v">
      <t c="6" si="614">
        <n x="610"/>
        <n x="377"/>
        <n x="378"/>
        <n x="611" s="1"/>
        <n x="621"/>
        <n x="622"/>
      </t>
    </mdx>
    <mdx n="0" f="v">
      <t c="6" si="614">
        <n x="610"/>
        <n x="377"/>
        <n x="378"/>
        <n x="611" s="1"/>
        <n x="625"/>
        <n x="626"/>
      </t>
    </mdx>
    <mdx n="0" f="v">
      <t c="6" si="614">
        <n x="610"/>
        <n x="377"/>
        <n x="378"/>
        <n x="611" s="1"/>
        <n x="627"/>
        <n x="628"/>
      </t>
    </mdx>
    <mdx n="0" f="v">
      <t c="6" si="614">
        <n x="610"/>
        <n x="377"/>
        <n x="378"/>
        <n x="611" s="1"/>
        <n x="629"/>
        <n x="630"/>
      </t>
    </mdx>
    <mdx n="0" f="v">
      <t c="6" si="614">
        <n x="610"/>
        <n x="377"/>
        <n x="378"/>
        <n x="611" s="1"/>
        <n x="631"/>
        <n x="632"/>
      </t>
    </mdx>
    <mdx n="0" f="v">
      <t c="6" si="614">
        <n x="610"/>
        <n x="377"/>
        <n x="378"/>
        <n x="611" s="1"/>
        <n x="633"/>
        <n x="634"/>
      </t>
    </mdx>
    <mdx n="0" f="v">
      <t c="6" si="614">
        <n x="610"/>
        <n x="377"/>
        <n x="378"/>
        <n x="611" s="1"/>
        <n x="635"/>
        <n x="636"/>
      </t>
    </mdx>
    <mdx n="0" f="v">
      <t c="6" si="614">
        <n x="610"/>
        <n x="377"/>
        <n x="378"/>
        <n x="611" s="1"/>
        <n x="637"/>
        <n x="638"/>
      </t>
    </mdx>
    <mdx n="0" f="v">
      <t c="6" si="614">
        <n x="610"/>
        <n x="377"/>
        <n x="378"/>
        <n x="611" s="1"/>
        <n x="639"/>
        <n x="640"/>
      </t>
    </mdx>
    <mdx n="0" f="v">
      <t c="6" si="614">
        <n x="610"/>
        <n x="377"/>
        <n x="378"/>
        <n x="611" s="1"/>
        <n x="641"/>
        <n x="642"/>
      </t>
    </mdx>
    <mdx n="0" f="v">
      <t c="6" si="614">
        <n x="610"/>
        <n x="377"/>
        <n x="378"/>
        <n x="611" s="1"/>
        <n x="643"/>
        <n x="644"/>
      </t>
    </mdx>
    <mdx n="0" f="v">
      <t c="6" si="614">
        <n x="610"/>
        <n x="377"/>
        <n x="378"/>
        <n x="611" s="1"/>
        <n x="649"/>
        <n x="650"/>
      </t>
    </mdx>
    <mdx n="0" f="v">
      <t c="6" si="614">
        <n x="610"/>
        <n x="377"/>
        <n x="378"/>
        <n x="611" s="1"/>
        <n x="651"/>
        <n x="652"/>
      </t>
    </mdx>
    <mdx n="0" f="v">
      <t c="6" si="614">
        <n x="610"/>
        <n x="377"/>
        <n x="378"/>
        <n x="611" s="1"/>
        <n x="653"/>
        <n x="654"/>
      </t>
    </mdx>
    <mdx n="0" f="v">
      <t c="6" si="614">
        <n x="610"/>
        <n x="377"/>
        <n x="378"/>
        <n x="611" s="1"/>
        <n x="657"/>
        <n x="658"/>
      </t>
    </mdx>
    <mdx n="0" f="v">
      <t c="6" si="614">
        <n x="610"/>
        <n x="377"/>
        <n x="378"/>
        <n x="611" s="1"/>
        <n x="659"/>
        <n x="660"/>
      </t>
    </mdx>
    <mdx n="0" f="v">
      <t c="6" si="614">
        <n x="610"/>
        <n x="377"/>
        <n x="378"/>
        <n x="611" s="1"/>
        <n x="661"/>
        <n x="662"/>
      </t>
    </mdx>
    <mdx n="0" f="v">
      <t c="6" si="614">
        <n x="610"/>
        <n x="377"/>
        <n x="378"/>
        <n x="611" s="1"/>
        <n x="663"/>
        <n x="664"/>
      </t>
    </mdx>
    <mdx n="0" f="v">
      <t c="6" si="614">
        <n x="610"/>
        <n x="377"/>
        <n x="378"/>
        <n x="611" s="1"/>
        <n x="665"/>
        <n x="666"/>
      </t>
    </mdx>
    <mdx n="0" f="v">
      <t c="6" si="614">
        <n x="610"/>
        <n x="377"/>
        <n x="378"/>
        <n x="611" s="1"/>
        <n x="667"/>
        <n x="668"/>
      </t>
    </mdx>
    <mdx n="0" f="v">
      <t c="6" si="614">
        <n x="610"/>
        <n x="377"/>
        <n x="378"/>
        <n x="611" s="1"/>
        <n x="669"/>
        <n x="670"/>
      </t>
    </mdx>
    <mdx n="0" f="v">
      <t c="6" si="614">
        <n x="610"/>
        <n x="377"/>
        <n x="378"/>
        <n x="611" s="1"/>
        <n x="671"/>
        <n x="672"/>
      </t>
    </mdx>
    <mdx n="0" f="v">
      <t c="6" si="614">
        <n x="610"/>
        <n x="377"/>
        <n x="378"/>
        <n x="611" s="1"/>
        <n x="675"/>
        <n x="676"/>
      </t>
    </mdx>
    <mdx n="0" f="v">
      <t c="6" si="614">
        <n x="610"/>
        <n x="377"/>
        <n x="378"/>
        <n x="611" s="1"/>
        <n x="677"/>
        <n x="678"/>
      </t>
    </mdx>
    <mdx n="0" f="v">
      <t c="6" si="614">
        <n x="610"/>
        <n x="377"/>
        <n x="378"/>
        <n x="611" s="1"/>
        <n x="679"/>
        <n x="680"/>
      </t>
    </mdx>
    <mdx n="0" f="v">
      <t c="6" si="614">
        <n x="610"/>
        <n x="377"/>
        <n x="378"/>
        <n x="611" s="1"/>
        <n x="681"/>
        <n x="682"/>
      </t>
    </mdx>
    <mdx n="0" f="v">
      <t c="6" si="614">
        <n x="610"/>
        <n x="377"/>
        <n x="378"/>
        <n x="611" s="1"/>
        <n x="685"/>
        <n x="686"/>
      </t>
    </mdx>
    <mdx n="0" f="v">
      <t c="6" si="614">
        <n x="610"/>
        <n x="377"/>
        <n x="378"/>
        <n x="611" s="1"/>
        <n x="687"/>
        <n x="688"/>
      </t>
    </mdx>
    <mdx n="0" f="v">
      <t c="6" si="614">
        <n x="610"/>
        <n x="377"/>
        <n x="378"/>
        <n x="611" s="1"/>
        <n x="689"/>
        <n x="690"/>
      </t>
    </mdx>
    <mdx n="0" f="v">
      <t c="6" si="614">
        <n x="610"/>
        <n x="377"/>
        <n x="378"/>
        <n x="611" s="1"/>
        <n x="691"/>
        <n x="692"/>
      </t>
    </mdx>
    <mdx n="0" f="v">
      <t c="6" si="614">
        <n x="610"/>
        <n x="377"/>
        <n x="378"/>
        <n x="611" s="1"/>
        <n x="693"/>
        <n x="694"/>
      </t>
    </mdx>
    <mdx n="0" f="v">
      <t c="6" si="614">
        <n x="610"/>
        <n x="377"/>
        <n x="378"/>
        <n x="611" s="1"/>
        <n x="695"/>
        <n x="696"/>
      </t>
    </mdx>
    <mdx n="0" f="v">
      <t c="6" si="614">
        <n x="610"/>
        <n x="377"/>
        <n x="378"/>
        <n x="611" s="1"/>
        <n x="697"/>
        <n x="698"/>
      </t>
    </mdx>
    <mdx n="0" f="v">
      <t c="6" si="614">
        <n x="610"/>
        <n x="377"/>
        <n x="378"/>
        <n x="611" s="1"/>
        <n x="699"/>
        <n x="700"/>
      </t>
    </mdx>
    <mdx n="0" f="v">
      <t c="6" si="614">
        <n x="610"/>
        <n x="377"/>
        <n x="378"/>
        <n x="611" s="1"/>
        <n x="701"/>
        <n x="702"/>
      </t>
    </mdx>
    <mdx n="0" f="v">
      <t c="6" si="614">
        <n x="610"/>
        <n x="377"/>
        <n x="378"/>
        <n x="611" s="1"/>
        <n x="703"/>
        <n x="704"/>
      </t>
    </mdx>
    <mdx n="0" f="v">
      <t c="6" si="614">
        <n x="610"/>
        <n x="379"/>
        <n x="380"/>
        <n x="611" s="1"/>
        <n x="612"/>
        <n x="613"/>
      </t>
    </mdx>
    <mdx n="0" f="v">
      <t c="6" si="614">
        <n x="610"/>
        <n x="379"/>
        <n x="380"/>
        <n x="611" s="1"/>
        <n x="615"/>
        <n x="616"/>
      </t>
    </mdx>
    <mdx n="0" f="v">
      <t c="6" si="614">
        <n x="610"/>
        <n x="379"/>
        <n x="380"/>
        <n x="611" s="1"/>
        <n x="617"/>
        <n x="618"/>
      </t>
    </mdx>
    <mdx n="0" f="v">
      <t c="6" si="614">
        <n x="610"/>
        <n x="379"/>
        <n x="380"/>
        <n x="611" s="1"/>
        <n x="619"/>
        <n x="620"/>
      </t>
    </mdx>
    <mdx n="0" f="v">
      <t c="6" si="614">
        <n x="610"/>
        <n x="379"/>
        <n x="380"/>
        <n x="611" s="1"/>
        <n x="621"/>
        <n x="622"/>
      </t>
    </mdx>
    <mdx n="0" f="v">
      <t c="6" si="614">
        <n x="610"/>
        <n x="379"/>
        <n x="380"/>
        <n x="611" s="1"/>
        <n x="623"/>
        <n x="624"/>
      </t>
    </mdx>
    <mdx n="0" f="v">
      <t c="6" si="614">
        <n x="610"/>
        <n x="379"/>
        <n x="380"/>
        <n x="611" s="1"/>
        <n x="625"/>
        <n x="626"/>
      </t>
    </mdx>
    <mdx n="0" f="v">
      <t c="6" si="614">
        <n x="610"/>
        <n x="379"/>
        <n x="380"/>
        <n x="611" s="1"/>
        <n x="627"/>
        <n x="628"/>
      </t>
    </mdx>
    <mdx n="0" f="v">
      <t c="6" si="614">
        <n x="610"/>
        <n x="379"/>
        <n x="380"/>
        <n x="611" s="1"/>
        <n x="629"/>
        <n x="630"/>
      </t>
    </mdx>
    <mdx n="0" f="v">
      <t c="6" si="614">
        <n x="610"/>
        <n x="379"/>
        <n x="380"/>
        <n x="611" s="1"/>
        <n x="631"/>
        <n x="632"/>
      </t>
    </mdx>
    <mdx n="0" f="v">
      <t c="6" si="614">
        <n x="610"/>
        <n x="379"/>
        <n x="380"/>
        <n x="611" s="1"/>
        <n x="635"/>
        <n x="636"/>
      </t>
    </mdx>
    <mdx n="0" f="v">
      <t c="6" si="614">
        <n x="610"/>
        <n x="379"/>
        <n x="380"/>
        <n x="611" s="1"/>
        <n x="637"/>
        <n x="638"/>
      </t>
    </mdx>
    <mdx n="0" f="v">
      <t c="6" si="614">
        <n x="610"/>
        <n x="379"/>
        <n x="380"/>
        <n x="611" s="1"/>
        <n x="639"/>
        <n x="640"/>
      </t>
    </mdx>
    <mdx n="0" f="v">
      <t c="6" si="614">
        <n x="610"/>
        <n x="379"/>
        <n x="380"/>
        <n x="611" s="1"/>
        <n x="641"/>
        <n x="642"/>
      </t>
    </mdx>
    <mdx n="0" f="v">
      <t c="6" si="614">
        <n x="610"/>
        <n x="379"/>
        <n x="380"/>
        <n x="611" s="1"/>
        <n x="647"/>
        <n x="648"/>
      </t>
    </mdx>
    <mdx n="0" f="v">
      <t c="6" si="614">
        <n x="610"/>
        <n x="379"/>
        <n x="380"/>
        <n x="611" s="1"/>
        <n x="649"/>
        <n x="650"/>
      </t>
    </mdx>
    <mdx n="0" f="v">
      <t c="6" si="614">
        <n x="610"/>
        <n x="379"/>
        <n x="380"/>
        <n x="611" s="1"/>
        <n x="651"/>
        <n x="652"/>
      </t>
    </mdx>
    <mdx n="0" f="v">
      <t c="6" si="614">
        <n x="610"/>
        <n x="379"/>
        <n x="380"/>
        <n x="611" s="1"/>
        <n x="653"/>
        <n x="654"/>
      </t>
    </mdx>
    <mdx n="0" f="v">
      <t c="6" si="614">
        <n x="610"/>
        <n x="379"/>
        <n x="380"/>
        <n x="611" s="1"/>
        <n x="655"/>
        <n x="656"/>
      </t>
    </mdx>
    <mdx n="0" f="v">
      <t c="6" si="614">
        <n x="610"/>
        <n x="379"/>
        <n x="380"/>
        <n x="611" s="1"/>
        <n x="657"/>
        <n x="658"/>
      </t>
    </mdx>
    <mdx n="0" f="v">
      <t c="6" si="614">
        <n x="610"/>
        <n x="379"/>
        <n x="380"/>
        <n x="611" s="1"/>
        <n x="659"/>
        <n x="660"/>
      </t>
    </mdx>
    <mdx n="0" f="v">
      <t c="6" si="614">
        <n x="610"/>
        <n x="379"/>
        <n x="380"/>
        <n x="611" s="1"/>
        <n x="661"/>
        <n x="662"/>
      </t>
    </mdx>
    <mdx n="0" f="v">
      <t c="6" si="614">
        <n x="610"/>
        <n x="379"/>
        <n x="380"/>
        <n x="611" s="1"/>
        <n x="663"/>
        <n x="664"/>
      </t>
    </mdx>
    <mdx n="0" f="v">
      <t c="6" si="614">
        <n x="610"/>
        <n x="379"/>
        <n x="380"/>
        <n x="611" s="1"/>
        <n x="665"/>
        <n x="666"/>
      </t>
    </mdx>
    <mdx n="0" f="v">
      <t c="6" si="614">
        <n x="610"/>
        <n x="379"/>
        <n x="380"/>
        <n x="611" s="1"/>
        <n x="667"/>
        <n x="668"/>
      </t>
    </mdx>
    <mdx n="0" f="v">
      <t c="6" si="614">
        <n x="610"/>
        <n x="379"/>
        <n x="380"/>
        <n x="611" s="1"/>
        <n x="669"/>
        <n x="670"/>
      </t>
    </mdx>
    <mdx n="0" f="v">
      <t c="6" si="614">
        <n x="610"/>
        <n x="379"/>
        <n x="380"/>
        <n x="611" s="1"/>
        <n x="673"/>
        <n x="674"/>
      </t>
    </mdx>
    <mdx n="0" f="v">
      <t c="6" si="614">
        <n x="610"/>
        <n x="379"/>
        <n x="380"/>
        <n x="611" s="1"/>
        <n x="677"/>
        <n x="678"/>
      </t>
    </mdx>
    <mdx n="0" f="v">
      <t c="6" si="614">
        <n x="610"/>
        <n x="379"/>
        <n x="380"/>
        <n x="611" s="1"/>
        <n x="679"/>
        <n x="680"/>
      </t>
    </mdx>
    <mdx n="0" f="v">
      <t c="6" si="614">
        <n x="610"/>
        <n x="379"/>
        <n x="380"/>
        <n x="611" s="1"/>
        <n x="681"/>
        <n x="682"/>
      </t>
    </mdx>
    <mdx n="0" f="v">
      <t c="6" si="614">
        <n x="610"/>
        <n x="379"/>
        <n x="380"/>
        <n x="611" s="1"/>
        <n x="687"/>
        <n x="688"/>
      </t>
    </mdx>
    <mdx n="0" f="v">
      <t c="6" si="614">
        <n x="610"/>
        <n x="379"/>
        <n x="380"/>
        <n x="611" s="1"/>
        <n x="689"/>
        <n x="690"/>
      </t>
    </mdx>
    <mdx n="0" f="v">
      <t c="6" si="614">
        <n x="610"/>
        <n x="379"/>
        <n x="380"/>
        <n x="611" s="1"/>
        <n x="691"/>
        <n x="692"/>
      </t>
    </mdx>
    <mdx n="0" f="v">
      <t c="6" si="614">
        <n x="610"/>
        <n x="379"/>
        <n x="380"/>
        <n x="611" s="1"/>
        <n x="695"/>
        <n x="696"/>
      </t>
    </mdx>
    <mdx n="0" f="v">
      <t c="6" si="614">
        <n x="610"/>
        <n x="379"/>
        <n x="380"/>
        <n x="611" s="1"/>
        <n x="699"/>
        <n x="700"/>
      </t>
    </mdx>
    <mdx n="0" f="v">
      <t c="6" si="614">
        <n x="610"/>
        <n x="379"/>
        <n x="380"/>
        <n x="611" s="1"/>
        <n x="701"/>
        <n x="702"/>
      </t>
    </mdx>
    <mdx n="0" f="v">
      <t c="6" si="614">
        <n x="610"/>
        <n x="379"/>
        <n x="380"/>
        <n x="611" s="1"/>
        <n x="703"/>
        <n x="704"/>
      </t>
    </mdx>
    <mdx n="0" f="v">
      <t c="6" si="614">
        <n x="610"/>
        <n x="381"/>
        <n x="382"/>
        <n x="611" s="1"/>
        <n x="612"/>
        <n x="613"/>
      </t>
    </mdx>
    <mdx n="0" f="v">
      <t c="6" si="614">
        <n x="610"/>
        <n x="381"/>
        <n x="382"/>
        <n x="611" s="1"/>
        <n x="615"/>
        <n x="616"/>
      </t>
    </mdx>
    <mdx n="0" f="v">
      <t c="6" si="614">
        <n x="610"/>
        <n x="381"/>
        <n x="382"/>
        <n x="611" s="1"/>
        <n x="617"/>
        <n x="618"/>
      </t>
    </mdx>
    <mdx n="0" f="v">
      <t c="6" si="614">
        <n x="610"/>
        <n x="381"/>
        <n x="382"/>
        <n x="611" s="1"/>
        <n x="619"/>
        <n x="620"/>
      </t>
    </mdx>
    <mdx n="0" f="v">
      <t c="6" si="614">
        <n x="610"/>
        <n x="381"/>
        <n x="382"/>
        <n x="611" s="1"/>
        <n x="625"/>
        <n x="626"/>
      </t>
    </mdx>
    <mdx n="0" f="v">
      <t c="6" si="614">
        <n x="610"/>
        <n x="381"/>
        <n x="382"/>
        <n x="611" s="1"/>
        <n x="627"/>
        <n x="628"/>
      </t>
    </mdx>
    <mdx n="0" f="v">
      <t c="6" si="614">
        <n x="610"/>
        <n x="381"/>
        <n x="382"/>
        <n x="611" s="1"/>
        <n x="631"/>
        <n x="632"/>
      </t>
    </mdx>
    <mdx n="0" f="v">
      <t c="6" si="614">
        <n x="610"/>
        <n x="381"/>
        <n x="382"/>
        <n x="611" s="1"/>
        <n x="635"/>
        <n x="636"/>
      </t>
    </mdx>
    <mdx n="0" f="v">
      <t c="6" si="614">
        <n x="610"/>
        <n x="381"/>
        <n x="382"/>
        <n x="611" s="1"/>
        <n x="643"/>
        <n x="644"/>
      </t>
    </mdx>
    <mdx n="0" f="v">
      <t c="6" si="614">
        <n x="610"/>
        <n x="381"/>
        <n x="382"/>
        <n x="611" s="1"/>
        <n x="645"/>
        <n x="646"/>
      </t>
    </mdx>
    <mdx n="0" f="v">
      <t c="6" si="614">
        <n x="610"/>
        <n x="381"/>
        <n x="382"/>
        <n x="611" s="1"/>
        <n x="649"/>
        <n x="650"/>
      </t>
    </mdx>
    <mdx n="0" f="v">
      <t c="6" si="614">
        <n x="610"/>
        <n x="381"/>
        <n x="382"/>
        <n x="611" s="1"/>
        <n x="651"/>
        <n x="652"/>
      </t>
    </mdx>
    <mdx n="0" f="v">
      <t c="6" si="614">
        <n x="610"/>
        <n x="381"/>
        <n x="382"/>
        <n x="611" s="1"/>
        <n x="657"/>
        <n x="658"/>
      </t>
    </mdx>
    <mdx n="0" f="v">
      <t c="6" si="614">
        <n x="610"/>
        <n x="381"/>
        <n x="382"/>
        <n x="611" s="1"/>
        <n x="659"/>
        <n x="660"/>
      </t>
    </mdx>
    <mdx n="0" f="v">
      <t c="6" si="614">
        <n x="610"/>
        <n x="381"/>
        <n x="382"/>
        <n x="611" s="1"/>
        <n x="661"/>
        <n x="662"/>
      </t>
    </mdx>
    <mdx n="0" f="v">
      <t c="6" si="614">
        <n x="610"/>
        <n x="381"/>
        <n x="382"/>
        <n x="611" s="1"/>
        <n x="663"/>
        <n x="664"/>
      </t>
    </mdx>
    <mdx n="0" f="v">
      <t c="6" si="614">
        <n x="610"/>
        <n x="381"/>
        <n x="382"/>
        <n x="611" s="1"/>
        <n x="665"/>
        <n x="666"/>
      </t>
    </mdx>
    <mdx n="0" f="v">
      <t c="6" si="614">
        <n x="610"/>
        <n x="381"/>
        <n x="382"/>
        <n x="611" s="1"/>
        <n x="667"/>
        <n x="668"/>
      </t>
    </mdx>
    <mdx n="0" f="v">
      <t c="6" si="614">
        <n x="610"/>
        <n x="381"/>
        <n x="382"/>
        <n x="611" s="1"/>
        <n x="669"/>
        <n x="670"/>
      </t>
    </mdx>
    <mdx n="0" f="v">
      <t c="6" si="614">
        <n x="610"/>
        <n x="381"/>
        <n x="382"/>
        <n x="611" s="1"/>
        <n x="671"/>
        <n x="672"/>
      </t>
    </mdx>
    <mdx n="0" f="v">
      <t c="6" si="614">
        <n x="610"/>
        <n x="381"/>
        <n x="382"/>
        <n x="611" s="1"/>
        <n x="673"/>
        <n x="674"/>
      </t>
    </mdx>
    <mdx n="0" f="v">
      <t c="6" si="614">
        <n x="610"/>
        <n x="381"/>
        <n x="382"/>
        <n x="611" s="1"/>
        <n x="675"/>
        <n x="676"/>
      </t>
    </mdx>
    <mdx n="0" f="v">
      <t c="6" si="614">
        <n x="610"/>
        <n x="381"/>
        <n x="382"/>
        <n x="611" s="1"/>
        <n x="677"/>
        <n x="678"/>
      </t>
    </mdx>
    <mdx n="0" f="v">
      <t c="6" si="614">
        <n x="610"/>
        <n x="381"/>
        <n x="382"/>
        <n x="611" s="1"/>
        <n x="679"/>
        <n x="680"/>
      </t>
    </mdx>
    <mdx n="0" f="v">
      <t c="6" si="614">
        <n x="610"/>
        <n x="381"/>
        <n x="382"/>
        <n x="611" s="1"/>
        <n x="681"/>
        <n x="682"/>
      </t>
    </mdx>
    <mdx n="0" f="v">
      <t c="6" si="614">
        <n x="610"/>
        <n x="381"/>
        <n x="382"/>
        <n x="611" s="1"/>
        <n x="683"/>
        <n x="684"/>
      </t>
    </mdx>
    <mdx n="0" f="v">
      <t c="6" si="614">
        <n x="610"/>
        <n x="381"/>
        <n x="382"/>
        <n x="611" s="1"/>
        <n x="685"/>
        <n x="686"/>
      </t>
    </mdx>
    <mdx n="0" f="v">
      <t c="6" si="614">
        <n x="610"/>
        <n x="381"/>
        <n x="382"/>
        <n x="611" s="1"/>
        <n x="687"/>
        <n x="688"/>
      </t>
    </mdx>
    <mdx n="0" f="v">
      <t c="6" si="614">
        <n x="610"/>
        <n x="381"/>
        <n x="382"/>
        <n x="611" s="1"/>
        <n x="693"/>
        <n x="694"/>
      </t>
    </mdx>
    <mdx n="0" f="v">
      <t c="6" si="614">
        <n x="610"/>
        <n x="381"/>
        <n x="382"/>
        <n x="611" s="1"/>
        <n x="695"/>
        <n x="696"/>
      </t>
    </mdx>
    <mdx n="0" f="v">
      <t c="6" si="614">
        <n x="610"/>
        <n x="381"/>
        <n x="382"/>
        <n x="611" s="1"/>
        <n x="699"/>
        <n x="700"/>
      </t>
    </mdx>
    <mdx n="0" f="v">
      <t c="6" si="614">
        <n x="610"/>
        <n x="381"/>
        <n x="382"/>
        <n x="611" s="1"/>
        <n x="703"/>
        <n x="704"/>
      </t>
    </mdx>
    <mdx n="0" f="v">
      <t c="6" si="614">
        <n x="610"/>
        <n x="381"/>
        <n x="382"/>
        <n x="611" s="1"/>
        <n x="705"/>
        <n x="706"/>
      </t>
    </mdx>
    <mdx n="0" f="v">
      <t c="6" si="614">
        <n x="610"/>
        <n x="383"/>
        <n x="384"/>
        <n x="611" s="1"/>
        <n x="612"/>
        <n x="613"/>
      </t>
    </mdx>
    <mdx n="0" f="v">
      <t c="6" si="614">
        <n x="610"/>
        <n x="383"/>
        <n x="384"/>
        <n x="611" s="1"/>
        <n x="615"/>
        <n x="616"/>
      </t>
    </mdx>
    <mdx n="0" f="v">
      <t c="6" si="614">
        <n x="610"/>
        <n x="383"/>
        <n x="384"/>
        <n x="611" s="1"/>
        <n x="617"/>
        <n x="618"/>
      </t>
    </mdx>
    <mdx n="0" f="v">
      <t c="6" si="614">
        <n x="610"/>
        <n x="383"/>
        <n x="384"/>
        <n x="611" s="1"/>
        <n x="619"/>
        <n x="620"/>
      </t>
    </mdx>
    <mdx n="0" f="v">
      <t c="6" si="614">
        <n x="610"/>
        <n x="383"/>
        <n x="384"/>
        <n x="611" s="1"/>
        <n x="621"/>
        <n x="622"/>
      </t>
    </mdx>
    <mdx n="0" f="v">
      <t c="6" si="614">
        <n x="610"/>
        <n x="383"/>
        <n x="384"/>
        <n x="611" s="1"/>
        <n x="623"/>
        <n x="624"/>
      </t>
    </mdx>
    <mdx n="0" f="v">
      <t c="6" si="614">
        <n x="610"/>
        <n x="383"/>
        <n x="384"/>
        <n x="611" s="1"/>
        <n x="625"/>
        <n x="626"/>
      </t>
    </mdx>
    <mdx n="0" f="v">
      <t c="6" si="614">
        <n x="610"/>
        <n x="383"/>
        <n x="384"/>
        <n x="611" s="1"/>
        <n x="627"/>
        <n x="628"/>
      </t>
    </mdx>
    <mdx n="0" f="v">
      <t c="6" si="614">
        <n x="610"/>
        <n x="383"/>
        <n x="384"/>
        <n x="611" s="1"/>
        <n x="631"/>
        <n x="632"/>
      </t>
    </mdx>
    <mdx n="0" f="v">
      <t c="6" si="614">
        <n x="610"/>
        <n x="383"/>
        <n x="384"/>
        <n x="611" s="1"/>
        <n x="633"/>
        <n x="634"/>
      </t>
    </mdx>
    <mdx n="0" f="v">
      <t c="6" si="614">
        <n x="610"/>
        <n x="383"/>
        <n x="384"/>
        <n x="611" s="1"/>
        <n x="635"/>
        <n x="636"/>
      </t>
    </mdx>
    <mdx n="0" f="v">
      <t c="6" si="614">
        <n x="610"/>
        <n x="383"/>
        <n x="384"/>
        <n x="611" s="1"/>
        <n x="643"/>
        <n x="644"/>
      </t>
    </mdx>
    <mdx n="0" f="v">
      <t c="6" si="614">
        <n x="610"/>
        <n x="383"/>
        <n x="384"/>
        <n x="611" s="1"/>
        <n x="645"/>
        <n x="646"/>
      </t>
    </mdx>
    <mdx n="0" f="v">
      <t c="6" si="614">
        <n x="610"/>
        <n x="383"/>
        <n x="384"/>
        <n x="611" s="1"/>
        <n x="647"/>
        <n x="648"/>
      </t>
    </mdx>
    <mdx n="0" f="v">
      <t c="6" si="614">
        <n x="610"/>
        <n x="383"/>
        <n x="384"/>
        <n x="611" s="1"/>
        <n x="651"/>
        <n x="652"/>
      </t>
    </mdx>
    <mdx n="0" f="v">
      <t c="6" si="614">
        <n x="610"/>
        <n x="383"/>
        <n x="384"/>
        <n x="611" s="1"/>
        <n x="657"/>
        <n x="658"/>
      </t>
    </mdx>
    <mdx n="0" f="v">
      <t c="6" si="614">
        <n x="610"/>
        <n x="383"/>
        <n x="384"/>
        <n x="611" s="1"/>
        <n x="659"/>
        <n x="660"/>
      </t>
    </mdx>
    <mdx n="0" f="v">
      <t c="6" si="614">
        <n x="610"/>
        <n x="383"/>
        <n x="384"/>
        <n x="611" s="1"/>
        <n x="663"/>
        <n x="664"/>
      </t>
    </mdx>
    <mdx n="0" f="v">
      <t c="6" si="614">
        <n x="610"/>
        <n x="383"/>
        <n x="384"/>
        <n x="611" s="1"/>
        <n x="665"/>
        <n x="666"/>
      </t>
    </mdx>
    <mdx n="0" f="v">
      <t c="6" si="614">
        <n x="610"/>
        <n x="383"/>
        <n x="384"/>
        <n x="611" s="1"/>
        <n x="667"/>
        <n x="668"/>
      </t>
    </mdx>
    <mdx n="0" f="v">
      <t c="6" si="614">
        <n x="610"/>
        <n x="383"/>
        <n x="384"/>
        <n x="611" s="1"/>
        <n x="669"/>
        <n x="670"/>
      </t>
    </mdx>
    <mdx n="0" f="v">
      <t c="6" si="614">
        <n x="610"/>
        <n x="383"/>
        <n x="384"/>
        <n x="611" s="1"/>
        <n x="671"/>
        <n x="672"/>
      </t>
    </mdx>
    <mdx n="0" f="v">
      <t c="6" si="614">
        <n x="610"/>
        <n x="383"/>
        <n x="384"/>
        <n x="611" s="1"/>
        <n x="675"/>
        <n x="676"/>
      </t>
    </mdx>
    <mdx n="0" f="v">
      <t c="6" si="614">
        <n x="610"/>
        <n x="383"/>
        <n x="384"/>
        <n x="611" s="1"/>
        <n x="677"/>
        <n x="678"/>
      </t>
    </mdx>
    <mdx n="0" f="v">
      <t c="6" si="614">
        <n x="610"/>
        <n x="383"/>
        <n x="384"/>
        <n x="611" s="1"/>
        <n x="679"/>
        <n x="680"/>
      </t>
    </mdx>
    <mdx n="0" f="v">
      <t c="6" si="614">
        <n x="610"/>
        <n x="383"/>
        <n x="384"/>
        <n x="611" s="1"/>
        <n x="681"/>
        <n x="682"/>
      </t>
    </mdx>
    <mdx n="0" f="v">
      <t c="6" si="614">
        <n x="610"/>
        <n x="383"/>
        <n x="384"/>
        <n x="611" s="1"/>
        <n x="683"/>
        <n x="684"/>
      </t>
    </mdx>
    <mdx n="0" f="v">
      <t c="6" si="614">
        <n x="610"/>
        <n x="383"/>
        <n x="384"/>
        <n x="611" s="1"/>
        <n x="685"/>
        <n x="686"/>
      </t>
    </mdx>
    <mdx n="0" f="v">
      <t c="6" si="614">
        <n x="610"/>
        <n x="383"/>
        <n x="384"/>
        <n x="611" s="1"/>
        <n x="687"/>
        <n x="688"/>
      </t>
    </mdx>
    <mdx n="0" f="v">
      <t c="6" si="614">
        <n x="610"/>
        <n x="383"/>
        <n x="384"/>
        <n x="611" s="1"/>
        <n x="689"/>
        <n x="690"/>
      </t>
    </mdx>
    <mdx n="0" f="v">
      <t c="6" si="614">
        <n x="610"/>
        <n x="383"/>
        <n x="384"/>
        <n x="611" s="1"/>
        <n x="691"/>
        <n x="692"/>
      </t>
    </mdx>
    <mdx n="0" f="v">
      <t c="6" si="614">
        <n x="610"/>
        <n x="383"/>
        <n x="384"/>
        <n x="611" s="1"/>
        <n x="695"/>
        <n x="696"/>
      </t>
    </mdx>
    <mdx n="0" f="v">
      <t c="6" si="614">
        <n x="610"/>
        <n x="383"/>
        <n x="384"/>
        <n x="611" s="1"/>
        <n x="697"/>
        <n x="698"/>
      </t>
    </mdx>
    <mdx n="0" f="v">
      <t c="6" si="614">
        <n x="610"/>
        <n x="383"/>
        <n x="384"/>
        <n x="611" s="1"/>
        <n x="699"/>
        <n x="700"/>
      </t>
    </mdx>
    <mdx n="0" f="v">
      <t c="6" si="614">
        <n x="610"/>
        <n x="383"/>
        <n x="384"/>
        <n x="611" s="1"/>
        <n x="703"/>
        <n x="704"/>
      </t>
    </mdx>
    <mdx n="0" f="v">
      <t c="6" si="614">
        <n x="610"/>
        <n x="383"/>
        <n x="384"/>
        <n x="611" s="1"/>
        <n x="705"/>
        <n x="706"/>
      </t>
    </mdx>
    <mdx n="0" f="v">
      <t c="6" si="614">
        <n x="610"/>
        <n x="385"/>
        <n x="386"/>
        <n x="611" s="1"/>
        <n x="612"/>
        <n x="613"/>
      </t>
    </mdx>
    <mdx n="0" f="v">
      <t c="6" si="614">
        <n x="610"/>
        <n x="385"/>
        <n x="386"/>
        <n x="611" s="1"/>
        <n x="617"/>
        <n x="618"/>
      </t>
    </mdx>
    <mdx n="0" f="v">
      <t c="6" si="614">
        <n x="610"/>
        <n x="385"/>
        <n x="386"/>
        <n x="611" s="1"/>
        <n x="619"/>
        <n x="620"/>
      </t>
    </mdx>
    <mdx n="0" f="v">
      <t c="6" si="614">
        <n x="610"/>
        <n x="385"/>
        <n x="386"/>
        <n x="611" s="1"/>
        <n x="621"/>
        <n x="622"/>
      </t>
    </mdx>
    <mdx n="0" f="v">
      <t c="6" si="614">
        <n x="610"/>
        <n x="385"/>
        <n x="386"/>
        <n x="611" s="1"/>
        <n x="623"/>
        <n x="624"/>
      </t>
    </mdx>
    <mdx n="0" f="v">
      <t c="6" si="614">
        <n x="610"/>
        <n x="385"/>
        <n x="386"/>
        <n x="611" s="1"/>
        <n x="625"/>
        <n x="626"/>
      </t>
    </mdx>
    <mdx n="0" f="v">
      <t c="6" si="614">
        <n x="610"/>
        <n x="385"/>
        <n x="386"/>
        <n x="611" s="1"/>
        <n x="627"/>
        <n x="628"/>
      </t>
    </mdx>
    <mdx n="0" f="v">
      <t c="6" si="614">
        <n x="610"/>
        <n x="385"/>
        <n x="386"/>
        <n x="611" s="1"/>
        <n x="635"/>
        <n x="636"/>
      </t>
    </mdx>
    <mdx n="0" f="v">
      <t c="6" si="614">
        <n x="610"/>
        <n x="385"/>
        <n x="386"/>
        <n x="611" s="1"/>
        <n x="645"/>
        <n x="646"/>
      </t>
    </mdx>
    <mdx n="0" f="v">
      <t c="6" si="614">
        <n x="610"/>
        <n x="385"/>
        <n x="386"/>
        <n x="611" s="1"/>
        <n x="649"/>
        <n x="650"/>
      </t>
    </mdx>
    <mdx n="0" f="v">
      <t c="6" si="614">
        <n x="610"/>
        <n x="385"/>
        <n x="386"/>
        <n x="611" s="1"/>
        <n x="657"/>
        <n x="658"/>
      </t>
    </mdx>
    <mdx n="0" f="v">
      <t c="6" si="614">
        <n x="610"/>
        <n x="385"/>
        <n x="386"/>
        <n x="611" s="1"/>
        <n x="659"/>
        <n x="660"/>
      </t>
    </mdx>
    <mdx n="0" f="v">
      <t c="6" si="614">
        <n x="610"/>
        <n x="385"/>
        <n x="386"/>
        <n x="611" s="1"/>
        <n x="661"/>
        <n x="662"/>
      </t>
    </mdx>
    <mdx n="0" f="v">
      <t c="6" si="614">
        <n x="610"/>
        <n x="385"/>
        <n x="386"/>
        <n x="611" s="1"/>
        <n x="663"/>
        <n x="664"/>
      </t>
    </mdx>
    <mdx n="0" f="v">
      <t c="6" si="614">
        <n x="610"/>
        <n x="385"/>
        <n x="386"/>
        <n x="611" s="1"/>
        <n x="665"/>
        <n x="666"/>
      </t>
    </mdx>
    <mdx n="0" f="v">
      <t c="6" si="614">
        <n x="610"/>
        <n x="385"/>
        <n x="386"/>
        <n x="611" s="1"/>
        <n x="667"/>
        <n x="668"/>
      </t>
    </mdx>
    <mdx n="0" f="v">
      <t c="6" si="614">
        <n x="610"/>
        <n x="385"/>
        <n x="386"/>
        <n x="611" s="1"/>
        <n x="669"/>
        <n x="670"/>
      </t>
    </mdx>
    <mdx n="0" f="v">
      <t c="6" si="614">
        <n x="610"/>
        <n x="385"/>
        <n x="386"/>
        <n x="611" s="1"/>
        <n x="671"/>
        <n x="672"/>
      </t>
    </mdx>
    <mdx n="0" f="v">
      <t c="6" si="614">
        <n x="610"/>
        <n x="385"/>
        <n x="386"/>
        <n x="611" s="1"/>
        <n x="673"/>
        <n x="674"/>
      </t>
    </mdx>
    <mdx n="0" f="v">
      <t c="6" si="614">
        <n x="610"/>
        <n x="385"/>
        <n x="386"/>
        <n x="611" s="1"/>
        <n x="675"/>
        <n x="676"/>
      </t>
    </mdx>
    <mdx n="0" f="v">
      <t c="6" si="614">
        <n x="610"/>
        <n x="385"/>
        <n x="386"/>
        <n x="611" s="1"/>
        <n x="677"/>
        <n x="678"/>
      </t>
    </mdx>
    <mdx n="0" f="v">
      <t c="6" si="614">
        <n x="610"/>
        <n x="385"/>
        <n x="386"/>
        <n x="611" s="1"/>
        <n x="679"/>
        <n x="680"/>
      </t>
    </mdx>
    <mdx n="0" f="v">
      <t c="6" si="614">
        <n x="610"/>
        <n x="385"/>
        <n x="386"/>
        <n x="611" s="1"/>
        <n x="683"/>
        <n x="684"/>
      </t>
    </mdx>
    <mdx n="0" f="v">
      <t c="6" si="614">
        <n x="610"/>
        <n x="385"/>
        <n x="386"/>
        <n x="611" s="1"/>
        <n x="685"/>
        <n x="686"/>
      </t>
    </mdx>
    <mdx n="0" f="v">
      <t c="6" si="614">
        <n x="610"/>
        <n x="385"/>
        <n x="386"/>
        <n x="611" s="1"/>
        <n x="689"/>
        <n x="690"/>
      </t>
    </mdx>
    <mdx n="0" f="v">
      <t c="6" si="614">
        <n x="610"/>
        <n x="385"/>
        <n x="386"/>
        <n x="611" s="1"/>
        <n x="695"/>
        <n x="696"/>
      </t>
    </mdx>
    <mdx n="0" f="v">
      <t c="6" si="614">
        <n x="610"/>
        <n x="385"/>
        <n x="386"/>
        <n x="611" s="1"/>
        <n x="699"/>
        <n x="700"/>
      </t>
    </mdx>
    <mdx n="0" f="v">
      <t c="6" si="614">
        <n x="610"/>
        <n x="385"/>
        <n x="386"/>
        <n x="611" s="1"/>
        <n x="701"/>
        <n x="702"/>
      </t>
    </mdx>
    <mdx n="0" f="v">
      <t c="6" si="614">
        <n x="610"/>
        <n x="385"/>
        <n x="386"/>
        <n x="611" s="1"/>
        <n x="703"/>
        <n x="704"/>
      </t>
    </mdx>
    <mdx n="0" f="v">
      <t c="6" si="614">
        <n x="610"/>
        <n x="385"/>
        <n x="386"/>
        <n x="611" s="1"/>
        <n x="705"/>
        <n x="706"/>
      </t>
    </mdx>
    <mdx n="0" f="v">
      <t c="6" si="614">
        <n x="610"/>
        <n x="387"/>
        <n x="388"/>
        <n x="611" s="1"/>
        <n x="615"/>
        <n x="616"/>
      </t>
    </mdx>
    <mdx n="0" f="v">
      <t c="6" si="614">
        <n x="610"/>
        <n x="387"/>
        <n x="388"/>
        <n x="611" s="1"/>
        <n x="617"/>
        <n x="618"/>
      </t>
    </mdx>
    <mdx n="0" f="v">
      <t c="6" si="614">
        <n x="610"/>
        <n x="387"/>
        <n x="388"/>
        <n x="611" s="1"/>
        <n x="619"/>
        <n x="620"/>
      </t>
    </mdx>
    <mdx n="0" f="v">
      <t c="6" si="614">
        <n x="610"/>
        <n x="387"/>
        <n x="388"/>
        <n x="611" s="1"/>
        <n x="621"/>
        <n x="622"/>
      </t>
    </mdx>
    <mdx n="0" f="v">
      <t c="6" si="614">
        <n x="610"/>
        <n x="387"/>
        <n x="388"/>
        <n x="611" s="1"/>
        <n x="623"/>
        <n x="624"/>
      </t>
    </mdx>
    <mdx n="0" f="v">
      <t c="6" si="614">
        <n x="610"/>
        <n x="387"/>
        <n x="388"/>
        <n x="611" s="1"/>
        <n x="627"/>
        <n x="628"/>
      </t>
    </mdx>
    <mdx n="0" f="v">
      <t c="6" si="614">
        <n x="610"/>
        <n x="387"/>
        <n x="388"/>
        <n x="611" s="1"/>
        <n x="629"/>
        <n x="630"/>
      </t>
    </mdx>
    <mdx n="0" f="v">
      <t c="6" si="614">
        <n x="610"/>
        <n x="387"/>
        <n x="388"/>
        <n x="611" s="1"/>
        <n x="631"/>
        <n x="632"/>
      </t>
    </mdx>
    <mdx n="0" f="v">
      <t c="6" si="614">
        <n x="610"/>
        <n x="387"/>
        <n x="388"/>
        <n x="611" s="1"/>
        <n x="633"/>
        <n x="634"/>
      </t>
    </mdx>
    <mdx n="0" f="v">
      <t c="6" si="614">
        <n x="610"/>
        <n x="387"/>
        <n x="388"/>
        <n x="611" s="1"/>
        <n x="635"/>
        <n x="636"/>
      </t>
    </mdx>
    <mdx n="0" f="v">
      <t c="6" si="614">
        <n x="610"/>
        <n x="387"/>
        <n x="388"/>
        <n x="611" s="1"/>
        <n x="637"/>
        <n x="638"/>
      </t>
    </mdx>
    <mdx n="0" f="v">
      <t c="6" si="614">
        <n x="610"/>
        <n x="387"/>
        <n x="388"/>
        <n x="611" s="1"/>
        <n x="639"/>
        <n x="640"/>
      </t>
    </mdx>
    <mdx n="0" f="v">
      <t c="6" si="614">
        <n x="610"/>
        <n x="387"/>
        <n x="388"/>
        <n x="611" s="1"/>
        <n x="645"/>
        <n x="646"/>
      </t>
    </mdx>
    <mdx n="0" f="v">
      <t c="6" si="614">
        <n x="610"/>
        <n x="387"/>
        <n x="388"/>
        <n x="611" s="1"/>
        <n x="647"/>
        <n x="648"/>
      </t>
    </mdx>
    <mdx n="0" f="v">
      <t c="6" si="614">
        <n x="610"/>
        <n x="387"/>
        <n x="388"/>
        <n x="611" s="1"/>
        <n x="649"/>
        <n x="650"/>
      </t>
    </mdx>
    <mdx n="0" f="v">
      <t c="6" si="614">
        <n x="610"/>
        <n x="387"/>
        <n x="388"/>
        <n x="611" s="1"/>
        <n x="651"/>
        <n x="652"/>
      </t>
    </mdx>
    <mdx n="0" f="v">
      <t c="6" si="614">
        <n x="610"/>
        <n x="387"/>
        <n x="388"/>
        <n x="611" s="1"/>
        <n x="653"/>
        <n x="654"/>
      </t>
    </mdx>
    <mdx n="0" f="v">
      <t c="6" si="614">
        <n x="610"/>
        <n x="387"/>
        <n x="388"/>
        <n x="611" s="1"/>
        <n x="655"/>
        <n x="656"/>
      </t>
    </mdx>
    <mdx n="0" f="v">
      <t c="6" si="614">
        <n x="610"/>
        <n x="387"/>
        <n x="388"/>
        <n x="611" s="1"/>
        <n x="657"/>
        <n x="658"/>
      </t>
    </mdx>
    <mdx n="0" f="v">
      <t c="6" si="614">
        <n x="610"/>
        <n x="387"/>
        <n x="388"/>
        <n x="611" s="1"/>
        <n x="659"/>
        <n x="660"/>
      </t>
    </mdx>
    <mdx n="0" f="v">
      <t c="6" si="614">
        <n x="610"/>
        <n x="387"/>
        <n x="388"/>
        <n x="611" s="1"/>
        <n x="661"/>
        <n x="662"/>
      </t>
    </mdx>
    <mdx n="0" f="v">
      <t c="6" si="614">
        <n x="610"/>
        <n x="387"/>
        <n x="388"/>
        <n x="611" s="1"/>
        <n x="663"/>
        <n x="664"/>
      </t>
    </mdx>
    <mdx n="0" f="v">
      <t c="6" si="614">
        <n x="610"/>
        <n x="387"/>
        <n x="388"/>
        <n x="611" s="1"/>
        <n x="665"/>
        <n x="666"/>
      </t>
    </mdx>
    <mdx n="0" f="v">
      <t c="6" si="614">
        <n x="610"/>
        <n x="387"/>
        <n x="388"/>
        <n x="611" s="1"/>
        <n x="667"/>
        <n x="668"/>
      </t>
    </mdx>
    <mdx n="0" f="v">
      <t c="6" si="614">
        <n x="610"/>
        <n x="387"/>
        <n x="388"/>
        <n x="611" s="1"/>
        <n x="669"/>
        <n x="670"/>
      </t>
    </mdx>
    <mdx n="0" f="v">
      <t c="6" si="614">
        <n x="610"/>
        <n x="387"/>
        <n x="388"/>
        <n x="611" s="1"/>
        <n x="671"/>
        <n x="672"/>
      </t>
    </mdx>
    <mdx n="0" f="v">
      <t c="6" si="614">
        <n x="610"/>
        <n x="387"/>
        <n x="388"/>
        <n x="611" s="1"/>
        <n x="673"/>
        <n x="674"/>
      </t>
    </mdx>
    <mdx n="0" f="v">
      <t c="6" si="614">
        <n x="610"/>
        <n x="387"/>
        <n x="388"/>
        <n x="611" s="1"/>
        <n x="675"/>
        <n x="676"/>
      </t>
    </mdx>
    <mdx n="0" f="v">
      <t c="6" si="614">
        <n x="610"/>
        <n x="387"/>
        <n x="388"/>
        <n x="611" s="1"/>
        <n x="677"/>
        <n x="678"/>
      </t>
    </mdx>
    <mdx n="0" f="v">
      <t c="6" si="614">
        <n x="610"/>
        <n x="387"/>
        <n x="388"/>
        <n x="611" s="1"/>
        <n x="679"/>
        <n x="680"/>
      </t>
    </mdx>
    <mdx n="0" f="v">
      <t c="6" si="614">
        <n x="610"/>
        <n x="387"/>
        <n x="388"/>
        <n x="611" s="1"/>
        <n x="681"/>
        <n x="682"/>
      </t>
    </mdx>
    <mdx n="0" f="v">
      <t c="6" si="614">
        <n x="610"/>
        <n x="387"/>
        <n x="388"/>
        <n x="611" s="1"/>
        <n x="683"/>
        <n x="684"/>
      </t>
    </mdx>
    <mdx n="0" f="v">
      <t c="6" si="614">
        <n x="610"/>
        <n x="387"/>
        <n x="388"/>
        <n x="611" s="1"/>
        <n x="685"/>
        <n x="686"/>
      </t>
    </mdx>
    <mdx n="0" f="v">
      <t c="6" si="614">
        <n x="610"/>
        <n x="387"/>
        <n x="388"/>
        <n x="611" s="1"/>
        <n x="687"/>
        <n x="688"/>
      </t>
    </mdx>
    <mdx n="0" f="v">
      <t c="6" si="614">
        <n x="610"/>
        <n x="387"/>
        <n x="388"/>
        <n x="611" s="1"/>
        <n x="689"/>
        <n x="690"/>
      </t>
    </mdx>
    <mdx n="0" f="v">
      <t c="6" si="614">
        <n x="610"/>
        <n x="387"/>
        <n x="388"/>
        <n x="611" s="1"/>
        <n x="691"/>
        <n x="692"/>
      </t>
    </mdx>
    <mdx n="0" f="v">
      <t c="6" si="614">
        <n x="610"/>
        <n x="387"/>
        <n x="388"/>
        <n x="611" s="1"/>
        <n x="693"/>
        <n x="694"/>
      </t>
    </mdx>
    <mdx n="0" f="v">
      <t c="6" si="614">
        <n x="610"/>
        <n x="387"/>
        <n x="388"/>
        <n x="611" s="1"/>
        <n x="695"/>
        <n x="696"/>
      </t>
    </mdx>
    <mdx n="0" f="v">
      <t c="6" si="614">
        <n x="610"/>
        <n x="387"/>
        <n x="388"/>
        <n x="611" s="1"/>
        <n x="699"/>
        <n x="700"/>
      </t>
    </mdx>
    <mdx n="0" f="v">
      <t c="6" si="614">
        <n x="610"/>
        <n x="387"/>
        <n x="388"/>
        <n x="611" s="1"/>
        <n x="701"/>
        <n x="702"/>
      </t>
    </mdx>
    <mdx n="0" f="v">
      <t c="6" si="614">
        <n x="610"/>
        <n x="387"/>
        <n x="388"/>
        <n x="611" s="1"/>
        <n x="707"/>
        <n x="708"/>
      </t>
    </mdx>
    <mdx n="0" f="v">
      <t c="6" si="614">
        <n x="610"/>
        <n x="389"/>
        <n x="390"/>
        <n x="611" s="1"/>
        <n x="612"/>
        <n x="613"/>
      </t>
    </mdx>
    <mdx n="0" f="v">
      <t c="6" si="614">
        <n x="610"/>
        <n x="389"/>
        <n x="390"/>
        <n x="611" s="1"/>
        <n x="615"/>
        <n x="616"/>
      </t>
    </mdx>
    <mdx n="0" f="v">
      <t c="6" si="614">
        <n x="610"/>
        <n x="389"/>
        <n x="390"/>
        <n x="611" s="1"/>
        <n x="617"/>
        <n x="618"/>
      </t>
    </mdx>
    <mdx n="0" f="v">
      <t c="6" si="614">
        <n x="610"/>
        <n x="389"/>
        <n x="390"/>
        <n x="611" s="1"/>
        <n x="619"/>
        <n x="620"/>
      </t>
    </mdx>
    <mdx n="0" f="v">
      <t c="6" si="614">
        <n x="610"/>
        <n x="389"/>
        <n x="390"/>
        <n x="611" s="1"/>
        <n x="621"/>
        <n x="622"/>
      </t>
    </mdx>
    <mdx n="0" f="v">
      <t c="6" si="614">
        <n x="610"/>
        <n x="389"/>
        <n x="390"/>
        <n x="611" s="1"/>
        <n x="625"/>
        <n x="626"/>
      </t>
    </mdx>
    <mdx n="0" f="v">
      <t c="6" si="614">
        <n x="610"/>
        <n x="389"/>
        <n x="390"/>
        <n x="611" s="1"/>
        <n x="627"/>
        <n x="628"/>
      </t>
    </mdx>
    <mdx n="0" f="v">
      <t c="6" si="614">
        <n x="610"/>
        <n x="389"/>
        <n x="390"/>
        <n x="611" s="1"/>
        <n x="631"/>
        <n x="632"/>
      </t>
    </mdx>
    <mdx n="0" f="v">
      <t c="6" si="614">
        <n x="610"/>
        <n x="389"/>
        <n x="390"/>
        <n x="611" s="1"/>
        <n x="635"/>
        <n x="636"/>
      </t>
    </mdx>
    <mdx n="0" f="v">
      <t c="6" si="614">
        <n x="610"/>
        <n x="389"/>
        <n x="390"/>
        <n x="611" s="1"/>
        <n x="645"/>
        <n x="646"/>
      </t>
    </mdx>
    <mdx n="0" f="v">
      <t c="6" si="614">
        <n x="610"/>
        <n x="389"/>
        <n x="390"/>
        <n x="611" s="1"/>
        <n x="647"/>
        <n x="648"/>
      </t>
    </mdx>
    <mdx n="0" f="v">
      <t c="6" si="614">
        <n x="610"/>
        <n x="389"/>
        <n x="390"/>
        <n x="611" s="1"/>
        <n x="649"/>
        <n x="650"/>
      </t>
    </mdx>
    <mdx n="0" f="v">
      <t c="6" si="614">
        <n x="610"/>
        <n x="389"/>
        <n x="390"/>
        <n x="611" s="1"/>
        <n x="651"/>
        <n x="652"/>
      </t>
    </mdx>
    <mdx n="0" f="v">
      <t c="6" si="614">
        <n x="610"/>
        <n x="389"/>
        <n x="390"/>
        <n x="611" s="1"/>
        <n x="657"/>
        <n x="658"/>
      </t>
    </mdx>
    <mdx n="0" f="v">
      <t c="6" si="614">
        <n x="610"/>
        <n x="389"/>
        <n x="390"/>
        <n x="611" s="1"/>
        <n x="659"/>
        <n x="660"/>
      </t>
    </mdx>
    <mdx n="0" f="v">
      <t c="6" si="614">
        <n x="610"/>
        <n x="389"/>
        <n x="390"/>
        <n x="611" s="1"/>
        <n x="661"/>
        <n x="662"/>
      </t>
    </mdx>
    <mdx n="0" f="v">
      <t c="6" si="614">
        <n x="610"/>
        <n x="389"/>
        <n x="390"/>
        <n x="611" s="1"/>
        <n x="663"/>
        <n x="664"/>
      </t>
    </mdx>
    <mdx n="0" f="v">
      <t c="6" si="614">
        <n x="610"/>
        <n x="389"/>
        <n x="390"/>
        <n x="611" s="1"/>
        <n x="665"/>
        <n x="666"/>
      </t>
    </mdx>
    <mdx n="0" f="v">
      <t c="6" si="614">
        <n x="610"/>
        <n x="389"/>
        <n x="390"/>
        <n x="611" s="1"/>
        <n x="667"/>
        <n x="668"/>
      </t>
    </mdx>
    <mdx n="0" f="v">
      <t c="6" si="614">
        <n x="610"/>
        <n x="389"/>
        <n x="390"/>
        <n x="611" s="1"/>
        <n x="669"/>
        <n x="670"/>
      </t>
    </mdx>
    <mdx n="0" f="v">
      <t c="6" si="614">
        <n x="610"/>
        <n x="389"/>
        <n x="390"/>
        <n x="611" s="1"/>
        <n x="671"/>
        <n x="672"/>
      </t>
    </mdx>
    <mdx n="0" f="v">
      <t c="6" si="614">
        <n x="610"/>
        <n x="389"/>
        <n x="390"/>
        <n x="611" s="1"/>
        <n x="673"/>
        <n x="674"/>
      </t>
    </mdx>
    <mdx n="0" f="v">
      <t c="6" si="614">
        <n x="610"/>
        <n x="389"/>
        <n x="390"/>
        <n x="611" s="1"/>
        <n x="675"/>
        <n x="676"/>
      </t>
    </mdx>
    <mdx n="0" f="v">
      <t c="6" si="614">
        <n x="610"/>
        <n x="389"/>
        <n x="390"/>
        <n x="611" s="1"/>
        <n x="677"/>
        <n x="678"/>
      </t>
    </mdx>
    <mdx n="0" f="v">
      <t c="6" si="614">
        <n x="610"/>
        <n x="389"/>
        <n x="390"/>
        <n x="611" s="1"/>
        <n x="679"/>
        <n x="680"/>
      </t>
    </mdx>
    <mdx n="0" f="v">
      <t c="6" si="614">
        <n x="610"/>
        <n x="389"/>
        <n x="390"/>
        <n x="611" s="1"/>
        <n x="681"/>
        <n x="682"/>
      </t>
    </mdx>
    <mdx n="0" f="v">
      <t c="6" si="614">
        <n x="610"/>
        <n x="389"/>
        <n x="390"/>
        <n x="611" s="1"/>
        <n x="683"/>
        <n x="684"/>
      </t>
    </mdx>
    <mdx n="0" f="v">
      <t c="6" si="614">
        <n x="610"/>
        <n x="389"/>
        <n x="390"/>
        <n x="611" s="1"/>
        <n x="685"/>
        <n x="686"/>
      </t>
    </mdx>
    <mdx n="0" f="v">
      <t c="6" si="614">
        <n x="610"/>
        <n x="389"/>
        <n x="390"/>
        <n x="611" s="1"/>
        <n x="687"/>
        <n x="688"/>
      </t>
    </mdx>
    <mdx n="0" f="v">
      <t c="6" si="614">
        <n x="610"/>
        <n x="389"/>
        <n x="390"/>
        <n x="611" s="1"/>
        <n x="691"/>
        <n x="692"/>
      </t>
    </mdx>
    <mdx n="0" f="v">
      <t c="6" si="614">
        <n x="610"/>
        <n x="389"/>
        <n x="390"/>
        <n x="611" s="1"/>
        <n x="697"/>
        <n x="698"/>
      </t>
    </mdx>
    <mdx n="0" f="v">
      <t c="6" si="614">
        <n x="610"/>
        <n x="389"/>
        <n x="390"/>
        <n x="611" s="1"/>
        <n x="699"/>
        <n x="700"/>
      </t>
    </mdx>
    <mdx n="0" f="v">
      <t c="6" si="614">
        <n x="610"/>
        <n x="389"/>
        <n x="390"/>
        <n x="611" s="1"/>
        <n x="701"/>
        <n x="702"/>
      </t>
    </mdx>
    <mdx n="0" f="v">
      <t c="6" si="614">
        <n x="610"/>
        <n x="389"/>
        <n x="390"/>
        <n x="611" s="1"/>
        <n x="703"/>
        <n x="704"/>
      </t>
    </mdx>
    <mdx n="0" f="v">
      <t c="6" si="614">
        <n x="610"/>
        <n x="389"/>
        <n x="390"/>
        <n x="611" s="1"/>
        <n x="705"/>
        <n x="706"/>
      </t>
    </mdx>
    <mdx n="0" f="v">
      <t c="6" si="614">
        <n x="610"/>
        <n x="391"/>
        <n x="392"/>
        <n x="611" s="1"/>
        <n x="612"/>
        <n x="613"/>
      </t>
    </mdx>
    <mdx n="0" f="v">
      <t c="6" si="614">
        <n x="610"/>
        <n x="391"/>
        <n x="392"/>
        <n x="611" s="1"/>
        <n x="615"/>
        <n x="616"/>
      </t>
    </mdx>
    <mdx n="0" f="v">
      <t c="6" si="614">
        <n x="610"/>
        <n x="391"/>
        <n x="392"/>
        <n x="611" s="1"/>
        <n x="617"/>
        <n x="618"/>
      </t>
    </mdx>
    <mdx n="0" f="v">
      <t c="6" si="614">
        <n x="610"/>
        <n x="391"/>
        <n x="392"/>
        <n x="611" s="1"/>
        <n x="621"/>
        <n x="622"/>
      </t>
    </mdx>
    <mdx n="0" f="v">
      <t c="6" si="614">
        <n x="610"/>
        <n x="391"/>
        <n x="392"/>
        <n x="611" s="1"/>
        <n x="623"/>
        <n x="624"/>
      </t>
    </mdx>
    <mdx n="0" f="v">
      <t c="6" si="614">
        <n x="610"/>
        <n x="391"/>
        <n x="392"/>
        <n x="611" s="1"/>
        <n x="625"/>
        <n x="626"/>
      </t>
    </mdx>
    <mdx n="0" f="v">
      <t c="6" si="614">
        <n x="610"/>
        <n x="391"/>
        <n x="392"/>
        <n x="611" s="1"/>
        <n x="627"/>
        <n x="628"/>
      </t>
    </mdx>
    <mdx n="0" f="v">
      <t c="6" si="614">
        <n x="610"/>
        <n x="391"/>
        <n x="392"/>
        <n x="611" s="1"/>
        <n x="635"/>
        <n x="636"/>
      </t>
    </mdx>
    <mdx n="0" f="v">
      <t c="6" si="614">
        <n x="610"/>
        <n x="391"/>
        <n x="392"/>
        <n x="611" s="1"/>
        <n x="643"/>
        <n x="644"/>
      </t>
    </mdx>
    <mdx n="0" f="v">
      <t c="6" si="614">
        <n x="610"/>
        <n x="391"/>
        <n x="392"/>
        <n x="611" s="1"/>
        <n x="647"/>
        <n x="648"/>
      </t>
    </mdx>
    <mdx n="0" f="v">
      <t c="6" si="614">
        <n x="610"/>
        <n x="391"/>
        <n x="392"/>
        <n x="611" s="1"/>
        <n x="649"/>
        <n x="650"/>
      </t>
    </mdx>
    <mdx n="0" f="v">
      <t c="6" si="614">
        <n x="610"/>
        <n x="391"/>
        <n x="392"/>
        <n x="611" s="1"/>
        <n x="651"/>
        <n x="652"/>
      </t>
    </mdx>
    <mdx n="0" f="v">
      <t c="6" si="614">
        <n x="610"/>
        <n x="391"/>
        <n x="392"/>
        <n x="611" s="1"/>
        <n x="657"/>
        <n x="658"/>
      </t>
    </mdx>
    <mdx n="0" f="v">
      <t c="6" si="614">
        <n x="610"/>
        <n x="391"/>
        <n x="392"/>
        <n x="611" s="1"/>
        <n x="663"/>
        <n x="664"/>
      </t>
    </mdx>
    <mdx n="0" f="v">
      <t c="6" si="614">
        <n x="610"/>
        <n x="391"/>
        <n x="392"/>
        <n x="611" s="1"/>
        <n x="665"/>
        <n x="666"/>
      </t>
    </mdx>
    <mdx n="0" f="v">
      <t c="6" si="614">
        <n x="610"/>
        <n x="391"/>
        <n x="392"/>
        <n x="611" s="1"/>
        <n x="667"/>
        <n x="668"/>
      </t>
    </mdx>
    <mdx n="0" f="v">
      <t c="6" si="614">
        <n x="610"/>
        <n x="391"/>
        <n x="392"/>
        <n x="611" s="1"/>
        <n x="669"/>
        <n x="670"/>
      </t>
    </mdx>
    <mdx n="0" f="v">
      <t c="6" si="614">
        <n x="610"/>
        <n x="391"/>
        <n x="392"/>
        <n x="611" s="1"/>
        <n x="671"/>
        <n x="672"/>
      </t>
    </mdx>
    <mdx n="0" f="v">
      <t c="6" si="614">
        <n x="610"/>
        <n x="391"/>
        <n x="392"/>
        <n x="611" s="1"/>
        <n x="673"/>
        <n x="674"/>
      </t>
    </mdx>
    <mdx n="0" f="v">
      <t c="6" si="614">
        <n x="610"/>
        <n x="391"/>
        <n x="392"/>
        <n x="611" s="1"/>
        <n x="679"/>
        <n x="680"/>
      </t>
    </mdx>
    <mdx n="0" f="v">
      <t c="6" si="614">
        <n x="610"/>
        <n x="391"/>
        <n x="392"/>
        <n x="611" s="1"/>
        <n x="681"/>
        <n x="682"/>
      </t>
    </mdx>
    <mdx n="0" f="v">
      <t c="6" si="614">
        <n x="610"/>
        <n x="391"/>
        <n x="392"/>
        <n x="611" s="1"/>
        <n x="683"/>
        <n x="684"/>
      </t>
    </mdx>
    <mdx n="0" f="v">
      <t c="6" si="614">
        <n x="610"/>
        <n x="391"/>
        <n x="392"/>
        <n x="611" s="1"/>
        <n x="685"/>
        <n x="686"/>
      </t>
    </mdx>
    <mdx n="0" f="v">
      <t c="6" si="614">
        <n x="610"/>
        <n x="391"/>
        <n x="392"/>
        <n x="611" s="1"/>
        <n x="687"/>
        <n x="688"/>
      </t>
    </mdx>
    <mdx n="0" f="v">
      <t c="6" si="614">
        <n x="610"/>
        <n x="391"/>
        <n x="392"/>
        <n x="611" s="1"/>
        <n x="689"/>
        <n x="690"/>
      </t>
    </mdx>
    <mdx n="0" f="v">
      <t c="6" si="614">
        <n x="610"/>
        <n x="391"/>
        <n x="392"/>
        <n x="611" s="1"/>
        <n x="691"/>
        <n x="692"/>
      </t>
    </mdx>
    <mdx n="0" f="v">
      <t c="6" si="614">
        <n x="610"/>
        <n x="391"/>
        <n x="392"/>
        <n x="611" s="1"/>
        <n x="693"/>
        <n x="694"/>
      </t>
    </mdx>
    <mdx n="0" f="v">
      <t c="6" si="614">
        <n x="610"/>
        <n x="391"/>
        <n x="392"/>
        <n x="611" s="1"/>
        <n x="695"/>
        <n x="696"/>
      </t>
    </mdx>
    <mdx n="0" f="v">
      <t c="6" si="614">
        <n x="610"/>
        <n x="391"/>
        <n x="392"/>
        <n x="611" s="1"/>
        <n x="699"/>
        <n x="700"/>
      </t>
    </mdx>
    <mdx n="0" f="v">
      <t c="6" si="614">
        <n x="610"/>
        <n x="391"/>
        <n x="392"/>
        <n x="611" s="1"/>
        <n x="701"/>
        <n x="702"/>
      </t>
    </mdx>
    <mdx n="0" f="v">
      <t c="6" si="614">
        <n x="610"/>
        <n x="393"/>
        <n x="394"/>
        <n x="611" s="1"/>
        <n x="612"/>
        <n x="613"/>
      </t>
    </mdx>
    <mdx n="0" f="v">
      <t c="6" si="614">
        <n x="610"/>
        <n x="393"/>
        <n x="394"/>
        <n x="611" s="1"/>
        <n x="615"/>
        <n x="616"/>
      </t>
    </mdx>
    <mdx n="0" f="v">
      <t c="6" si="614">
        <n x="610"/>
        <n x="393"/>
        <n x="394"/>
        <n x="611" s="1"/>
        <n x="617"/>
        <n x="618"/>
      </t>
    </mdx>
    <mdx n="0" f="v">
      <t c="6" si="614">
        <n x="610"/>
        <n x="393"/>
        <n x="394"/>
        <n x="611" s="1"/>
        <n x="619"/>
        <n x="620"/>
      </t>
    </mdx>
    <mdx n="0" f="v">
      <t c="6" si="614">
        <n x="610"/>
        <n x="393"/>
        <n x="394"/>
        <n x="611" s="1"/>
        <n x="621"/>
        <n x="622"/>
      </t>
    </mdx>
    <mdx n="0" f="v">
      <t c="6" si="614">
        <n x="610"/>
        <n x="393"/>
        <n x="394"/>
        <n x="611" s="1"/>
        <n x="623"/>
        <n x="624"/>
      </t>
    </mdx>
    <mdx n="0" f="v">
      <t c="6" si="614">
        <n x="610"/>
        <n x="393"/>
        <n x="394"/>
        <n x="611" s="1"/>
        <n x="627"/>
        <n x="628"/>
      </t>
    </mdx>
    <mdx n="0" f="v">
      <t c="6" si="614">
        <n x="610"/>
        <n x="393"/>
        <n x="394"/>
        <n x="611" s="1"/>
        <n x="629"/>
        <n x="630"/>
      </t>
    </mdx>
    <mdx n="0" f="v">
      <t c="6" si="614">
        <n x="610"/>
        <n x="393"/>
        <n x="394"/>
        <n x="611" s="1"/>
        <n x="633"/>
        <n x="634"/>
      </t>
    </mdx>
    <mdx n="0" f="v">
      <t c="6" si="614">
        <n x="610"/>
        <n x="393"/>
        <n x="394"/>
        <n x="611" s="1"/>
        <n x="635"/>
        <n x="636"/>
      </t>
    </mdx>
    <mdx n="0" f="v">
      <t c="6" si="614">
        <n x="610"/>
        <n x="393"/>
        <n x="394"/>
        <n x="611" s="1"/>
        <n x="637"/>
        <n x="638"/>
      </t>
    </mdx>
    <mdx n="0" f="v">
      <t c="6" si="614">
        <n x="610"/>
        <n x="393"/>
        <n x="394"/>
        <n x="611" s="1"/>
        <n x="643"/>
        <n x="644"/>
      </t>
    </mdx>
    <mdx n="0" f="v">
      <t c="6" si="614">
        <n x="610"/>
        <n x="393"/>
        <n x="394"/>
        <n x="611" s="1"/>
        <n x="649"/>
        <n x="650"/>
      </t>
    </mdx>
    <mdx n="0" f="v">
      <t c="6" si="614">
        <n x="610"/>
        <n x="393"/>
        <n x="394"/>
        <n x="611" s="1"/>
        <n x="653"/>
        <n x="654"/>
      </t>
    </mdx>
    <mdx n="0" f="v">
      <t c="6" si="614">
        <n x="610"/>
        <n x="393"/>
        <n x="394"/>
        <n x="611" s="1"/>
        <n x="655"/>
        <n x="656"/>
      </t>
    </mdx>
    <mdx n="0" f="v">
      <t c="6" si="614">
        <n x="610"/>
        <n x="393"/>
        <n x="394"/>
        <n x="611" s="1"/>
        <n x="657"/>
        <n x="658"/>
      </t>
    </mdx>
    <mdx n="0" f="v">
      <t c="6" si="614">
        <n x="610"/>
        <n x="393"/>
        <n x="394"/>
        <n x="611" s="1"/>
        <n x="659"/>
        <n x="660"/>
      </t>
    </mdx>
    <mdx n="0" f="v">
      <t c="6" si="614">
        <n x="610"/>
        <n x="393"/>
        <n x="394"/>
        <n x="611" s="1"/>
        <n x="661"/>
        <n x="662"/>
      </t>
    </mdx>
    <mdx n="0" f="v">
      <t c="6" si="614">
        <n x="610"/>
        <n x="393"/>
        <n x="394"/>
        <n x="611" s="1"/>
        <n x="663"/>
        <n x="664"/>
      </t>
    </mdx>
    <mdx n="0" f="v">
      <t c="6" si="614">
        <n x="610"/>
        <n x="393"/>
        <n x="394"/>
        <n x="611" s="1"/>
        <n x="667"/>
        <n x="668"/>
      </t>
    </mdx>
    <mdx n="0" f="v">
      <t c="6" si="614">
        <n x="610"/>
        <n x="393"/>
        <n x="394"/>
        <n x="611" s="1"/>
        <n x="669"/>
        <n x="670"/>
      </t>
    </mdx>
    <mdx n="0" f="v">
      <t c="6" si="614">
        <n x="610"/>
        <n x="393"/>
        <n x="394"/>
        <n x="611" s="1"/>
        <n x="673"/>
        <n x="674"/>
      </t>
    </mdx>
    <mdx n="0" f="v">
      <t c="6" si="614">
        <n x="610"/>
        <n x="393"/>
        <n x="394"/>
        <n x="611" s="1"/>
        <n x="675"/>
        <n x="676"/>
      </t>
    </mdx>
    <mdx n="0" f="v">
      <t c="6" si="614">
        <n x="610"/>
        <n x="393"/>
        <n x="394"/>
        <n x="611" s="1"/>
        <n x="677"/>
        <n x="678"/>
      </t>
    </mdx>
    <mdx n="0" f="v">
      <t c="6" si="614">
        <n x="610"/>
        <n x="393"/>
        <n x="394"/>
        <n x="611" s="1"/>
        <n x="681"/>
        <n x="682"/>
      </t>
    </mdx>
    <mdx n="0" f="v">
      <t c="6" si="614">
        <n x="610"/>
        <n x="393"/>
        <n x="394"/>
        <n x="611" s="1"/>
        <n x="683"/>
        <n x="684"/>
      </t>
    </mdx>
    <mdx n="0" f="v">
      <t c="6" si="614">
        <n x="610"/>
        <n x="393"/>
        <n x="394"/>
        <n x="611" s="1"/>
        <n x="685"/>
        <n x="686"/>
      </t>
    </mdx>
    <mdx n="0" f="v">
      <t c="6" si="614">
        <n x="610"/>
        <n x="393"/>
        <n x="394"/>
        <n x="611" s="1"/>
        <n x="691"/>
        <n x="692"/>
      </t>
    </mdx>
    <mdx n="0" f="v">
      <t c="6" si="614">
        <n x="610"/>
        <n x="393"/>
        <n x="394"/>
        <n x="611" s="1"/>
        <n x="695"/>
        <n x="696"/>
      </t>
    </mdx>
    <mdx n="0" f="v">
      <t c="6" si="614">
        <n x="610"/>
        <n x="393"/>
        <n x="394"/>
        <n x="611" s="1"/>
        <n x="697"/>
        <n x="698"/>
      </t>
    </mdx>
    <mdx n="0" f="v">
      <t c="6" si="614">
        <n x="610"/>
        <n x="393"/>
        <n x="394"/>
        <n x="611" s="1"/>
        <n x="699"/>
        <n x="700"/>
      </t>
    </mdx>
    <mdx n="0" f="v">
      <t c="6" si="614">
        <n x="610"/>
        <n x="393"/>
        <n x="394"/>
        <n x="611" s="1"/>
        <n x="703"/>
        <n x="704"/>
      </t>
    </mdx>
    <mdx n="0" f="v">
      <t c="6" si="614">
        <n x="610"/>
        <n x="393"/>
        <n x="394"/>
        <n x="611" s="1"/>
        <n x="705"/>
        <n x="706"/>
      </t>
    </mdx>
    <mdx n="0" f="v">
      <t c="6" si="614">
        <n x="610"/>
        <n x="393"/>
        <n x="394"/>
        <n x="611" s="1"/>
        <n x="707"/>
        <n x="708"/>
      </t>
    </mdx>
    <mdx n="0" f="v">
      <t c="6" si="614">
        <n x="610"/>
        <n x="395"/>
        <n x="396"/>
        <n x="611" s="1"/>
        <n x="615"/>
        <n x="616"/>
      </t>
    </mdx>
    <mdx n="0" f="v">
      <t c="6" si="614">
        <n x="610"/>
        <n x="395"/>
        <n x="396"/>
        <n x="611" s="1"/>
        <n x="619"/>
        <n x="620"/>
      </t>
    </mdx>
    <mdx n="0" f="v">
      <t c="6" si="614">
        <n x="610"/>
        <n x="395"/>
        <n x="396"/>
        <n x="611" s="1"/>
        <n x="621"/>
        <n x="622"/>
      </t>
    </mdx>
    <mdx n="0" f="v">
      <t c="6" si="614">
        <n x="610"/>
        <n x="395"/>
        <n x="396"/>
        <n x="611" s="1"/>
        <n x="623"/>
        <n x="624"/>
      </t>
    </mdx>
    <mdx n="0" f="v">
      <t c="6" si="614">
        <n x="610"/>
        <n x="395"/>
        <n x="396"/>
        <n x="611" s="1"/>
        <n x="625"/>
        <n x="626"/>
      </t>
    </mdx>
    <mdx n="0" f="v">
      <t c="6" si="614">
        <n x="610"/>
        <n x="395"/>
        <n x="396"/>
        <n x="611" s="1"/>
        <n x="627"/>
        <n x="628"/>
      </t>
    </mdx>
    <mdx n="0" f="v">
      <t c="6" si="614">
        <n x="610"/>
        <n x="395"/>
        <n x="396"/>
        <n x="611" s="1"/>
        <n x="629"/>
        <n x="630"/>
      </t>
    </mdx>
    <mdx n="0" f="v">
      <t c="6" si="614">
        <n x="610"/>
        <n x="395"/>
        <n x="396"/>
        <n x="611" s="1"/>
        <n x="633"/>
        <n x="634"/>
      </t>
    </mdx>
    <mdx n="0" f="v">
      <t c="6" si="614">
        <n x="610"/>
        <n x="395"/>
        <n x="396"/>
        <n x="611" s="1"/>
        <n x="635"/>
        <n x="636"/>
      </t>
    </mdx>
    <mdx n="0" f="v">
      <t c="6" si="614">
        <n x="610"/>
        <n x="395"/>
        <n x="396"/>
        <n x="611" s="1"/>
        <n x="637"/>
        <n x="638"/>
      </t>
    </mdx>
    <mdx n="0" f="v">
      <t c="6" si="614">
        <n x="610"/>
        <n x="395"/>
        <n x="396"/>
        <n x="611" s="1"/>
        <n x="639"/>
        <n x="640"/>
      </t>
    </mdx>
    <mdx n="0" f="v">
      <t c="6" si="614">
        <n x="610"/>
        <n x="395"/>
        <n x="396"/>
        <n x="611" s="1"/>
        <n x="641"/>
        <n x="642"/>
      </t>
    </mdx>
    <mdx n="0" f="v">
      <t c="6" si="614">
        <n x="610"/>
        <n x="395"/>
        <n x="396"/>
        <n x="611" s="1"/>
        <n x="645"/>
        <n x="646"/>
      </t>
    </mdx>
    <mdx n="0" f="v">
      <t c="6" si="614">
        <n x="610"/>
        <n x="395"/>
        <n x="396"/>
        <n x="611" s="1"/>
        <n x="647"/>
        <n x="648"/>
      </t>
    </mdx>
    <mdx n="0" f="v">
      <t c="6" si="614">
        <n x="610"/>
        <n x="395"/>
        <n x="396"/>
        <n x="611" s="1"/>
        <n x="649"/>
        <n x="650"/>
      </t>
    </mdx>
    <mdx n="0" f="v">
      <t c="6" si="614">
        <n x="610"/>
        <n x="395"/>
        <n x="396"/>
        <n x="611" s="1"/>
        <n x="651"/>
        <n x="652"/>
      </t>
    </mdx>
    <mdx n="0" f="v">
      <t c="6" si="614">
        <n x="610"/>
        <n x="395"/>
        <n x="396"/>
        <n x="611" s="1"/>
        <n x="653"/>
        <n x="654"/>
      </t>
    </mdx>
    <mdx n="0" f="v">
      <t c="6" si="614">
        <n x="610"/>
        <n x="395"/>
        <n x="396"/>
        <n x="611" s="1"/>
        <n x="655"/>
        <n x="656"/>
      </t>
    </mdx>
    <mdx n="0" f="v">
      <t c="6" si="614">
        <n x="610"/>
        <n x="395"/>
        <n x="396"/>
        <n x="611" s="1"/>
        <n x="657"/>
        <n x="658"/>
      </t>
    </mdx>
    <mdx n="0" f="v">
      <t c="6" si="614">
        <n x="610"/>
        <n x="395"/>
        <n x="396"/>
        <n x="611" s="1"/>
        <n x="659"/>
        <n x="660"/>
      </t>
    </mdx>
    <mdx n="0" f="v">
      <t c="6" si="614">
        <n x="610"/>
        <n x="395"/>
        <n x="396"/>
        <n x="611" s="1"/>
        <n x="661"/>
        <n x="662"/>
      </t>
    </mdx>
    <mdx n="0" f="v">
      <t c="6" si="614">
        <n x="610"/>
        <n x="395"/>
        <n x="396"/>
        <n x="611" s="1"/>
        <n x="663"/>
        <n x="664"/>
      </t>
    </mdx>
    <mdx n="0" f="v">
      <t c="6" si="614">
        <n x="610"/>
        <n x="395"/>
        <n x="396"/>
        <n x="611" s="1"/>
        <n x="665"/>
        <n x="666"/>
      </t>
    </mdx>
    <mdx n="0" f="v">
      <t c="6" si="614">
        <n x="610"/>
        <n x="395"/>
        <n x="396"/>
        <n x="611" s="1"/>
        <n x="667"/>
        <n x="668"/>
      </t>
    </mdx>
    <mdx n="0" f="v">
      <t c="6" si="614">
        <n x="610"/>
        <n x="395"/>
        <n x="396"/>
        <n x="611" s="1"/>
        <n x="669"/>
        <n x="670"/>
      </t>
    </mdx>
    <mdx n="0" f="v">
      <t c="6" si="614">
        <n x="610"/>
        <n x="395"/>
        <n x="396"/>
        <n x="611" s="1"/>
        <n x="671"/>
        <n x="672"/>
      </t>
    </mdx>
    <mdx n="0" f="v">
      <t c="6" si="614">
        <n x="610"/>
        <n x="395"/>
        <n x="396"/>
        <n x="611" s="1"/>
        <n x="673"/>
        <n x="674"/>
      </t>
    </mdx>
    <mdx n="0" f="v">
      <t c="6" si="614">
        <n x="610"/>
        <n x="395"/>
        <n x="396"/>
        <n x="611" s="1"/>
        <n x="675"/>
        <n x="676"/>
      </t>
    </mdx>
    <mdx n="0" f="v">
      <t c="6" si="614">
        <n x="610"/>
        <n x="395"/>
        <n x="396"/>
        <n x="611" s="1"/>
        <n x="677"/>
        <n x="678"/>
      </t>
    </mdx>
    <mdx n="0" f="v">
      <t c="6" si="614">
        <n x="610"/>
        <n x="395"/>
        <n x="396"/>
        <n x="611" s="1"/>
        <n x="679"/>
        <n x="680"/>
      </t>
    </mdx>
    <mdx n="0" f="v">
      <t c="6" si="614">
        <n x="610"/>
        <n x="395"/>
        <n x="396"/>
        <n x="611" s="1"/>
        <n x="681"/>
        <n x="682"/>
      </t>
    </mdx>
    <mdx n="0" f="v">
      <t c="6" si="614">
        <n x="610"/>
        <n x="395"/>
        <n x="396"/>
        <n x="611" s="1"/>
        <n x="683"/>
        <n x="684"/>
      </t>
    </mdx>
    <mdx n="0" f="v">
      <t c="6" si="614">
        <n x="610"/>
        <n x="395"/>
        <n x="396"/>
        <n x="611" s="1"/>
        <n x="685"/>
        <n x="686"/>
      </t>
    </mdx>
    <mdx n="0" f="v">
      <t c="6" si="614">
        <n x="610"/>
        <n x="395"/>
        <n x="396"/>
        <n x="611" s="1"/>
        <n x="689"/>
        <n x="690"/>
      </t>
    </mdx>
    <mdx n="0" f="v">
      <t c="6" si="614">
        <n x="610"/>
        <n x="395"/>
        <n x="396"/>
        <n x="611" s="1"/>
        <n x="691"/>
        <n x="692"/>
      </t>
    </mdx>
    <mdx n="0" f="v">
      <t c="6" si="614">
        <n x="610"/>
        <n x="395"/>
        <n x="396"/>
        <n x="611" s="1"/>
        <n x="693"/>
        <n x="694"/>
      </t>
    </mdx>
    <mdx n="0" f="v">
      <t c="6" si="614">
        <n x="610"/>
        <n x="395"/>
        <n x="396"/>
        <n x="611" s="1"/>
        <n x="695"/>
        <n x="696"/>
      </t>
    </mdx>
    <mdx n="0" f="v">
      <t c="6" si="614">
        <n x="610"/>
        <n x="395"/>
        <n x="396"/>
        <n x="611" s="1"/>
        <n x="697"/>
        <n x="698"/>
      </t>
    </mdx>
    <mdx n="0" f="v">
      <t c="6" si="614">
        <n x="610"/>
        <n x="395"/>
        <n x="396"/>
        <n x="611" s="1"/>
        <n x="699"/>
        <n x="700"/>
      </t>
    </mdx>
    <mdx n="0" f="v">
      <t c="6" si="614">
        <n x="610"/>
        <n x="395"/>
        <n x="396"/>
        <n x="611" s="1"/>
        <n x="701"/>
        <n x="702"/>
      </t>
    </mdx>
    <mdx n="0" f="v">
      <t c="6" si="614">
        <n x="610"/>
        <n x="395"/>
        <n x="396"/>
        <n x="611" s="1"/>
        <n x="705"/>
        <n x="706"/>
      </t>
    </mdx>
    <mdx n="0" f="v">
      <t c="6" si="614">
        <n x="610"/>
        <n x="395"/>
        <n x="396"/>
        <n x="611" s="1"/>
        <n x="707"/>
        <n x="708"/>
      </t>
    </mdx>
    <mdx n="0" f="v">
      <t c="6" si="614">
        <n x="610"/>
        <n x="397"/>
        <n x="398"/>
        <n x="611" s="1"/>
        <n x="612"/>
        <n x="613"/>
      </t>
    </mdx>
    <mdx n="0" f="v">
      <t c="6" si="614">
        <n x="610"/>
        <n x="397"/>
        <n x="398"/>
        <n x="611" s="1"/>
        <n x="615"/>
        <n x="616"/>
      </t>
    </mdx>
    <mdx n="0" f="v">
      <t c="6" si="614">
        <n x="610"/>
        <n x="397"/>
        <n x="398"/>
        <n x="611" s="1"/>
        <n x="617"/>
        <n x="618"/>
      </t>
    </mdx>
    <mdx n="0" f="v">
      <t c="6" si="614">
        <n x="610"/>
        <n x="397"/>
        <n x="398"/>
        <n x="611" s="1"/>
        <n x="619"/>
        <n x="620"/>
      </t>
    </mdx>
    <mdx n="0" f="v">
      <t c="6" si="614">
        <n x="610"/>
        <n x="397"/>
        <n x="398"/>
        <n x="611" s="1"/>
        <n x="623"/>
        <n x="624"/>
      </t>
    </mdx>
    <mdx n="0" f="v">
      <t c="6" si="614">
        <n x="610"/>
        <n x="397"/>
        <n x="398"/>
        <n x="611" s="1"/>
        <n x="627"/>
        <n x="628"/>
      </t>
    </mdx>
    <mdx n="0" f="v">
      <t c="6" si="614">
        <n x="610"/>
        <n x="397"/>
        <n x="398"/>
        <n x="611" s="1"/>
        <n x="629"/>
        <n x="630"/>
      </t>
    </mdx>
    <mdx n="0" f="v">
      <t c="6" si="614">
        <n x="610"/>
        <n x="397"/>
        <n x="398"/>
        <n x="611" s="1"/>
        <n x="631"/>
        <n x="632"/>
      </t>
    </mdx>
    <mdx n="0" f="v">
      <t c="6" si="614">
        <n x="610"/>
        <n x="397"/>
        <n x="398"/>
        <n x="611" s="1"/>
        <n x="635"/>
        <n x="636"/>
      </t>
    </mdx>
    <mdx n="0" f="v">
      <t c="6" si="614">
        <n x="610"/>
        <n x="397"/>
        <n x="398"/>
        <n x="611" s="1"/>
        <n x="637"/>
        <n x="638"/>
      </t>
    </mdx>
    <mdx n="0" f="v">
      <t c="6" si="614">
        <n x="610"/>
        <n x="397"/>
        <n x="398"/>
        <n x="611" s="1"/>
        <n x="639"/>
        <n x="640"/>
      </t>
    </mdx>
    <mdx n="0" f="v">
      <t c="6" si="614">
        <n x="610"/>
        <n x="397"/>
        <n x="398"/>
        <n x="611" s="1"/>
        <n x="641"/>
        <n x="642"/>
      </t>
    </mdx>
    <mdx n="0" f="v">
      <t c="6" si="614">
        <n x="610"/>
        <n x="397"/>
        <n x="398"/>
        <n x="611" s="1"/>
        <n x="643"/>
        <n x="644"/>
      </t>
    </mdx>
    <mdx n="0" f="v">
      <t c="6" si="614">
        <n x="610"/>
        <n x="397"/>
        <n x="398"/>
        <n x="611" s="1"/>
        <n x="645"/>
        <n x="646"/>
      </t>
    </mdx>
    <mdx n="0" f="v">
      <t c="6" si="614">
        <n x="610"/>
        <n x="397"/>
        <n x="398"/>
        <n x="611" s="1"/>
        <n x="647"/>
        <n x="648"/>
      </t>
    </mdx>
    <mdx n="0" f="v">
      <t c="6" si="614">
        <n x="610"/>
        <n x="397"/>
        <n x="398"/>
        <n x="611" s="1"/>
        <n x="649"/>
        <n x="650"/>
      </t>
    </mdx>
    <mdx n="0" f="v">
      <t c="6" si="614">
        <n x="610"/>
        <n x="397"/>
        <n x="398"/>
        <n x="611" s="1"/>
        <n x="651"/>
        <n x="652"/>
      </t>
    </mdx>
    <mdx n="0" f="v">
      <t c="6" si="614">
        <n x="610"/>
        <n x="397"/>
        <n x="398"/>
        <n x="611" s="1"/>
        <n x="653"/>
        <n x="654"/>
      </t>
    </mdx>
    <mdx n="0" f="v">
      <t c="6" si="614">
        <n x="610"/>
        <n x="397"/>
        <n x="398"/>
        <n x="611" s="1"/>
        <n x="655"/>
        <n x="656"/>
      </t>
    </mdx>
    <mdx n="0" f="v">
      <t c="6" si="614">
        <n x="610"/>
        <n x="397"/>
        <n x="398"/>
        <n x="611" s="1"/>
        <n x="657"/>
        <n x="658"/>
      </t>
    </mdx>
    <mdx n="0" f="v">
      <t c="6" si="614">
        <n x="610"/>
        <n x="397"/>
        <n x="398"/>
        <n x="611" s="1"/>
        <n x="659"/>
        <n x="660"/>
      </t>
    </mdx>
    <mdx n="0" f="v">
      <t c="6" si="614">
        <n x="610"/>
        <n x="397"/>
        <n x="398"/>
        <n x="611" s="1"/>
        <n x="661"/>
        <n x="662"/>
      </t>
    </mdx>
    <mdx n="0" f="v">
      <t c="6" si="614">
        <n x="610"/>
        <n x="397"/>
        <n x="398"/>
        <n x="611" s="1"/>
        <n x="663"/>
        <n x="664"/>
      </t>
    </mdx>
    <mdx n="0" f="v">
      <t c="6" si="614">
        <n x="610"/>
        <n x="397"/>
        <n x="398"/>
        <n x="611" s="1"/>
        <n x="665"/>
        <n x="666"/>
      </t>
    </mdx>
    <mdx n="0" f="v">
      <t c="6" si="614">
        <n x="610"/>
        <n x="397"/>
        <n x="398"/>
        <n x="611" s="1"/>
        <n x="667"/>
        <n x="668"/>
      </t>
    </mdx>
    <mdx n="0" f="v">
      <t c="6" si="614">
        <n x="610"/>
        <n x="397"/>
        <n x="398"/>
        <n x="611" s="1"/>
        <n x="669"/>
        <n x="670"/>
      </t>
    </mdx>
    <mdx n="0" f="v">
      <t c="6" si="614">
        <n x="610"/>
        <n x="397"/>
        <n x="398"/>
        <n x="611" s="1"/>
        <n x="671"/>
        <n x="672"/>
      </t>
    </mdx>
    <mdx n="0" f="v">
      <t c="6" si="614">
        <n x="610"/>
        <n x="397"/>
        <n x="398"/>
        <n x="611" s="1"/>
        <n x="675"/>
        <n x="676"/>
      </t>
    </mdx>
    <mdx n="0" f="v">
      <t c="6" si="614">
        <n x="610"/>
        <n x="397"/>
        <n x="398"/>
        <n x="611" s="1"/>
        <n x="679"/>
        <n x="680"/>
      </t>
    </mdx>
    <mdx n="0" f="v">
      <t c="6" si="614">
        <n x="610"/>
        <n x="397"/>
        <n x="398"/>
        <n x="611" s="1"/>
        <n x="681"/>
        <n x="682"/>
      </t>
    </mdx>
    <mdx n="0" f="v">
      <t c="6" si="614">
        <n x="610"/>
        <n x="397"/>
        <n x="398"/>
        <n x="611" s="1"/>
        <n x="685"/>
        <n x="686"/>
      </t>
    </mdx>
    <mdx n="0" f="v">
      <t c="6" si="614">
        <n x="610"/>
        <n x="397"/>
        <n x="398"/>
        <n x="611" s="1"/>
        <n x="687"/>
        <n x="688"/>
      </t>
    </mdx>
    <mdx n="0" f="v">
      <t c="6" si="614">
        <n x="610"/>
        <n x="397"/>
        <n x="398"/>
        <n x="611" s="1"/>
        <n x="689"/>
        <n x="690"/>
      </t>
    </mdx>
    <mdx n="0" f="v">
      <t c="6" si="614">
        <n x="610"/>
        <n x="397"/>
        <n x="398"/>
        <n x="611" s="1"/>
        <n x="693"/>
        <n x="694"/>
      </t>
    </mdx>
    <mdx n="0" f="v">
      <t c="6" si="614">
        <n x="610"/>
        <n x="397"/>
        <n x="398"/>
        <n x="611" s="1"/>
        <n x="695"/>
        <n x="696"/>
      </t>
    </mdx>
    <mdx n="0" f="v">
      <t c="6" si="614">
        <n x="610"/>
        <n x="397"/>
        <n x="398"/>
        <n x="611" s="1"/>
        <n x="697"/>
        <n x="698"/>
      </t>
    </mdx>
    <mdx n="0" f="v">
      <t c="6" si="614">
        <n x="610"/>
        <n x="397"/>
        <n x="398"/>
        <n x="611" s="1"/>
        <n x="707"/>
        <n x="708"/>
      </t>
    </mdx>
    <mdx n="0" f="v">
      <t c="6" si="614">
        <n x="610"/>
        <n x="399"/>
        <n x="400"/>
        <n x="611" s="1"/>
        <n x="612"/>
        <n x="613"/>
      </t>
    </mdx>
    <mdx n="0" f="v">
      <t c="6" si="614">
        <n x="610"/>
        <n x="399"/>
        <n x="400"/>
        <n x="611" s="1"/>
        <n x="615"/>
        <n x="616"/>
      </t>
    </mdx>
    <mdx n="0" f="v">
      <t c="6" si="614">
        <n x="610"/>
        <n x="399"/>
        <n x="400"/>
        <n x="611" s="1"/>
        <n x="617"/>
        <n x="618"/>
      </t>
    </mdx>
    <mdx n="0" f="v">
      <t c="6" si="614">
        <n x="610"/>
        <n x="399"/>
        <n x="400"/>
        <n x="611" s="1"/>
        <n x="619"/>
        <n x="620"/>
      </t>
    </mdx>
    <mdx n="0" f="v">
      <t c="6" si="614">
        <n x="610"/>
        <n x="399"/>
        <n x="400"/>
        <n x="611" s="1"/>
        <n x="621"/>
        <n x="622"/>
      </t>
    </mdx>
    <mdx n="0" f="v">
      <t c="6" si="614">
        <n x="610"/>
        <n x="399"/>
        <n x="400"/>
        <n x="611" s="1"/>
        <n x="631"/>
        <n x="632"/>
      </t>
    </mdx>
    <mdx n="0" f="v">
      <t c="6" si="614">
        <n x="610"/>
        <n x="399"/>
        <n x="400"/>
        <n x="611" s="1"/>
        <n x="635"/>
        <n x="636"/>
      </t>
    </mdx>
    <mdx n="0" f="v">
      <t c="6" si="614">
        <n x="610"/>
        <n x="399"/>
        <n x="400"/>
        <n x="611" s="1"/>
        <n x="643"/>
        <n x="644"/>
      </t>
    </mdx>
    <mdx n="0" f="v">
      <t c="6" si="614">
        <n x="610"/>
        <n x="399"/>
        <n x="400"/>
        <n x="611" s="1"/>
        <n x="657"/>
        <n x="658"/>
      </t>
    </mdx>
    <mdx n="0" f="v">
      <t c="6" si="614">
        <n x="610"/>
        <n x="399"/>
        <n x="400"/>
        <n x="611" s="1"/>
        <n x="659"/>
        <n x="660"/>
      </t>
    </mdx>
    <mdx n="0" f="v">
      <t c="6" si="614">
        <n x="610"/>
        <n x="399"/>
        <n x="400"/>
        <n x="611" s="1"/>
        <n x="663"/>
        <n x="664"/>
      </t>
    </mdx>
    <mdx n="0" f="v">
      <t c="6" si="614">
        <n x="610"/>
        <n x="399"/>
        <n x="400"/>
        <n x="611" s="1"/>
        <n x="665"/>
        <n x="666"/>
      </t>
    </mdx>
    <mdx n="0" f="v">
      <t c="6" si="614">
        <n x="610"/>
        <n x="399"/>
        <n x="400"/>
        <n x="611" s="1"/>
        <n x="667"/>
        <n x="668"/>
      </t>
    </mdx>
    <mdx n="0" f="v">
      <t c="6" si="614">
        <n x="610"/>
        <n x="399"/>
        <n x="400"/>
        <n x="611" s="1"/>
        <n x="669"/>
        <n x="670"/>
      </t>
    </mdx>
    <mdx n="0" f="v">
      <t c="6" si="614">
        <n x="610"/>
        <n x="399"/>
        <n x="400"/>
        <n x="611" s="1"/>
        <n x="671"/>
        <n x="672"/>
      </t>
    </mdx>
    <mdx n="0" f="v">
      <t c="6" si="614">
        <n x="610"/>
        <n x="399"/>
        <n x="400"/>
        <n x="611" s="1"/>
        <n x="675"/>
        <n x="676"/>
      </t>
    </mdx>
    <mdx n="0" f="v">
      <t c="6" si="614">
        <n x="610"/>
        <n x="399"/>
        <n x="400"/>
        <n x="611" s="1"/>
        <n x="677"/>
        <n x="678"/>
      </t>
    </mdx>
    <mdx n="0" f="v">
      <t c="6" si="614">
        <n x="610"/>
        <n x="399"/>
        <n x="400"/>
        <n x="611" s="1"/>
        <n x="679"/>
        <n x="680"/>
      </t>
    </mdx>
    <mdx n="0" f="v">
      <t c="6" si="614">
        <n x="610"/>
        <n x="399"/>
        <n x="400"/>
        <n x="611" s="1"/>
        <n x="681"/>
        <n x="682"/>
      </t>
    </mdx>
    <mdx n="0" f="v">
      <t c="6" si="614">
        <n x="610"/>
        <n x="399"/>
        <n x="400"/>
        <n x="611" s="1"/>
        <n x="685"/>
        <n x="686"/>
      </t>
    </mdx>
    <mdx n="0" f="v">
      <t c="6" si="614">
        <n x="610"/>
        <n x="399"/>
        <n x="400"/>
        <n x="611" s="1"/>
        <n x="689"/>
        <n x="690"/>
      </t>
    </mdx>
    <mdx n="0" f="v">
      <t c="6" si="614">
        <n x="610"/>
        <n x="399"/>
        <n x="400"/>
        <n x="611" s="1"/>
        <n x="693"/>
        <n x="694"/>
      </t>
    </mdx>
    <mdx n="0" f="v">
      <t c="6" si="614">
        <n x="610"/>
        <n x="399"/>
        <n x="400"/>
        <n x="611" s="1"/>
        <n x="695"/>
        <n x="696"/>
      </t>
    </mdx>
    <mdx n="0" f="v">
      <t c="6" si="614">
        <n x="610"/>
        <n x="399"/>
        <n x="400"/>
        <n x="611" s="1"/>
        <n x="697"/>
        <n x="698"/>
      </t>
    </mdx>
    <mdx n="0" f="v">
      <t c="6" si="614">
        <n x="610"/>
        <n x="399"/>
        <n x="400"/>
        <n x="611" s="1"/>
        <n x="699"/>
        <n x="700"/>
      </t>
    </mdx>
    <mdx n="0" f="v">
      <t c="6" si="614">
        <n x="610"/>
        <n x="399"/>
        <n x="400"/>
        <n x="611" s="1"/>
        <n x="703"/>
        <n x="704"/>
      </t>
    </mdx>
    <mdx n="0" f="v">
      <t c="6" si="614">
        <n x="610"/>
        <n x="399"/>
        <n x="400"/>
        <n x="611" s="1"/>
        <n x="705"/>
        <n x="706"/>
      </t>
    </mdx>
    <mdx n="0" f="v">
      <t c="6" si="614">
        <n x="610"/>
        <n x="401"/>
        <n x="402"/>
        <n x="611" s="1"/>
        <n x="612"/>
        <n x="613"/>
      </t>
    </mdx>
    <mdx n="0" f="v">
      <t c="6" si="614">
        <n x="610"/>
        <n x="401"/>
        <n x="402"/>
        <n x="611" s="1"/>
        <n x="615"/>
        <n x="616"/>
      </t>
    </mdx>
    <mdx n="0" f="v">
      <t c="6" si="614">
        <n x="610"/>
        <n x="401"/>
        <n x="402"/>
        <n x="611" s="1"/>
        <n x="617"/>
        <n x="618"/>
      </t>
    </mdx>
    <mdx n="0" f="v">
      <t c="6" si="614">
        <n x="610"/>
        <n x="401"/>
        <n x="402"/>
        <n x="611" s="1"/>
        <n x="619"/>
        <n x="620"/>
      </t>
    </mdx>
    <mdx n="0" f="v">
      <t c="6" si="614">
        <n x="610"/>
        <n x="401"/>
        <n x="402"/>
        <n x="611" s="1"/>
        <n x="621"/>
        <n x="622"/>
      </t>
    </mdx>
    <mdx n="0" f="v">
      <t c="6" si="614">
        <n x="610"/>
        <n x="401"/>
        <n x="402"/>
        <n x="611" s="1"/>
        <n x="623"/>
        <n x="624"/>
      </t>
    </mdx>
    <mdx n="0" f="v">
      <t c="6" si="614">
        <n x="610"/>
        <n x="401"/>
        <n x="402"/>
        <n x="611" s="1"/>
        <n x="625"/>
        <n x="626"/>
      </t>
    </mdx>
    <mdx n="0" f="v">
      <t c="6" si="614">
        <n x="610"/>
        <n x="401"/>
        <n x="402"/>
        <n x="611" s="1"/>
        <n x="627"/>
        <n x="628"/>
      </t>
    </mdx>
    <mdx n="0" f="v">
      <t c="6" si="614">
        <n x="610"/>
        <n x="401"/>
        <n x="402"/>
        <n x="611" s="1"/>
        <n x="631"/>
        <n x="632"/>
      </t>
    </mdx>
    <mdx n="0" f="v">
      <t c="6" si="614">
        <n x="610"/>
        <n x="401"/>
        <n x="402"/>
        <n x="611" s="1"/>
        <n x="635"/>
        <n x="636"/>
      </t>
    </mdx>
    <mdx n="0" f="v">
      <t c="6" si="614">
        <n x="610"/>
        <n x="401"/>
        <n x="402"/>
        <n x="611" s="1"/>
        <n x="641"/>
        <n x="642"/>
      </t>
    </mdx>
    <mdx n="0" f="v">
      <t c="6" si="614">
        <n x="610"/>
        <n x="401"/>
        <n x="402"/>
        <n x="611" s="1"/>
        <n x="643"/>
        <n x="644"/>
      </t>
    </mdx>
    <mdx n="0" f="v">
      <t c="6" si="614">
        <n x="610"/>
        <n x="401"/>
        <n x="402"/>
        <n x="611" s="1"/>
        <n x="647"/>
        <n x="648"/>
      </t>
    </mdx>
    <mdx n="0" f="v">
      <t c="6" si="614">
        <n x="610"/>
        <n x="401"/>
        <n x="402"/>
        <n x="611" s="1"/>
        <n x="649"/>
        <n x="650"/>
      </t>
    </mdx>
    <mdx n="0" f="v">
      <t c="6" si="614">
        <n x="610"/>
        <n x="401"/>
        <n x="402"/>
        <n x="611" s="1"/>
        <n x="657"/>
        <n x="658"/>
      </t>
    </mdx>
    <mdx n="0" f="v">
      <t c="6" si="614">
        <n x="610"/>
        <n x="401"/>
        <n x="402"/>
        <n x="611" s="1"/>
        <n x="659"/>
        <n x="660"/>
      </t>
    </mdx>
    <mdx n="0" f="v">
      <t c="6" si="614">
        <n x="610"/>
        <n x="401"/>
        <n x="402"/>
        <n x="611" s="1"/>
        <n x="663"/>
        <n x="664"/>
      </t>
    </mdx>
    <mdx n="0" f="v">
      <t c="6" si="614">
        <n x="610"/>
        <n x="401"/>
        <n x="402"/>
        <n x="611" s="1"/>
        <n x="665"/>
        <n x="666"/>
      </t>
    </mdx>
    <mdx n="0" f="v">
      <t c="6" si="614">
        <n x="610"/>
        <n x="401"/>
        <n x="402"/>
        <n x="611" s="1"/>
        <n x="669"/>
        <n x="670"/>
      </t>
    </mdx>
    <mdx n="0" f="v">
      <t c="6" si="614">
        <n x="610"/>
        <n x="401"/>
        <n x="402"/>
        <n x="611" s="1"/>
        <n x="671"/>
        <n x="672"/>
      </t>
    </mdx>
    <mdx n="0" f="v">
      <t c="6" si="614">
        <n x="610"/>
        <n x="401"/>
        <n x="402"/>
        <n x="611" s="1"/>
        <n x="675"/>
        <n x="676"/>
      </t>
    </mdx>
    <mdx n="0" f="v">
      <t c="6" si="614">
        <n x="610"/>
        <n x="401"/>
        <n x="402"/>
        <n x="611" s="1"/>
        <n x="677"/>
        <n x="678"/>
      </t>
    </mdx>
    <mdx n="0" f="v">
      <t c="6" si="614">
        <n x="610"/>
        <n x="401"/>
        <n x="402"/>
        <n x="611" s="1"/>
        <n x="679"/>
        <n x="680"/>
      </t>
    </mdx>
    <mdx n="0" f="v">
      <t c="6" si="614">
        <n x="610"/>
        <n x="401"/>
        <n x="402"/>
        <n x="611" s="1"/>
        <n x="681"/>
        <n x="682"/>
      </t>
    </mdx>
    <mdx n="0" f="v">
      <t c="6" si="614">
        <n x="610"/>
        <n x="401"/>
        <n x="402"/>
        <n x="611" s="1"/>
        <n x="683"/>
        <n x="684"/>
      </t>
    </mdx>
    <mdx n="0" f="v">
      <t c="6" si="614">
        <n x="610"/>
        <n x="401"/>
        <n x="402"/>
        <n x="611" s="1"/>
        <n x="685"/>
        <n x="686"/>
      </t>
    </mdx>
    <mdx n="0" f="v">
      <t c="6" si="614">
        <n x="610"/>
        <n x="401"/>
        <n x="402"/>
        <n x="611" s="1"/>
        <n x="687"/>
        <n x="688"/>
      </t>
    </mdx>
    <mdx n="0" f="v">
      <t c="6" si="614">
        <n x="610"/>
        <n x="401"/>
        <n x="402"/>
        <n x="611" s="1"/>
        <n x="689"/>
        <n x="690"/>
      </t>
    </mdx>
    <mdx n="0" f="v">
      <t c="6" si="614">
        <n x="610"/>
        <n x="401"/>
        <n x="402"/>
        <n x="611" s="1"/>
        <n x="691"/>
        <n x="692"/>
      </t>
    </mdx>
    <mdx n="0" f="v">
      <t c="6" si="614">
        <n x="610"/>
        <n x="401"/>
        <n x="402"/>
        <n x="611" s="1"/>
        <n x="693"/>
        <n x="694"/>
      </t>
    </mdx>
    <mdx n="0" f="v">
      <t c="6" si="614">
        <n x="610"/>
        <n x="401"/>
        <n x="402"/>
        <n x="611" s="1"/>
        <n x="695"/>
        <n x="696"/>
      </t>
    </mdx>
    <mdx n="0" f="v">
      <t c="6" si="614">
        <n x="610"/>
        <n x="401"/>
        <n x="402"/>
        <n x="611" s="1"/>
        <n x="701"/>
        <n x="702"/>
      </t>
    </mdx>
    <mdx n="0" f="v">
      <t c="6" si="614">
        <n x="610"/>
        <n x="401"/>
        <n x="402"/>
        <n x="611" s="1"/>
        <n x="703"/>
        <n x="704"/>
      </t>
    </mdx>
    <mdx n="0" f="v">
      <t c="6" si="614">
        <n x="610"/>
        <n x="401"/>
        <n x="402"/>
        <n x="611" s="1"/>
        <n x="705"/>
        <n x="706"/>
      </t>
    </mdx>
    <mdx n="0" f="v">
      <t c="6" si="614">
        <n x="610"/>
        <n x="403"/>
        <n x="404"/>
        <n x="611" s="1"/>
        <n x="612"/>
        <n x="613"/>
      </t>
    </mdx>
    <mdx n="0" f="v">
      <t c="6" si="614">
        <n x="610"/>
        <n x="403"/>
        <n x="404"/>
        <n x="611" s="1"/>
        <n x="617"/>
        <n x="618"/>
      </t>
    </mdx>
    <mdx n="0" f="v">
      <t c="6" si="614">
        <n x="610"/>
        <n x="403"/>
        <n x="404"/>
        <n x="611" s="1"/>
        <n x="619"/>
        <n x="620"/>
      </t>
    </mdx>
    <mdx n="0" f="v">
      <t c="6" si="614">
        <n x="610"/>
        <n x="403"/>
        <n x="404"/>
        <n x="611" s="1"/>
        <n x="621"/>
        <n x="622"/>
      </t>
    </mdx>
    <mdx n="0" f="v">
      <t c="6" si="614">
        <n x="610"/>
        <n x="403"/>
        <n x="404"/>
        <n x="611" s="1"/>
        <n x="623"/>
        <n x="624"/>
      </t>
    </mdx>
    <mdx n="0" f="v">
      <t c="6" si="614">
        <n x="610"/>
        <n x="403"/>
        <n x="404"/>
        <n x="611" s="1"/>
        <n x="625"/>
        <n x="626"/>
      </t>
    </mdx>
    <mdx n="0" f="v">
      <t c="6" si="614">
        <n x="610"/>
        <n x="403"/>
        <n x="404"/>
        <n x="611" s="1"/>
        <n x="627"/>
        <n x="628"/>
      </t>
    </mdx>
    <mdx n="0" f="v">
      <t c="6" si="614">
        <n x="610"/>
        <n x="403"/>
        <n x="404"/>
        <n x="611" s="1"/>
        <n x="631"/>
        <n x="632"/>
      </t>
    </mdx>
    <mdx n="0" f="v">
      <t c="6" si="614">
        <n x="610"/>
        <n x="403"/>
        <n x="404"/>
        <n x="611" s="1"/>
        <n x="633"/>
        <n x="634"/>
      </t>
    </mdx>
    <mdx n="0" f="v">
      <t c="6" si="614">
        <n x="610"/>
        <n x="403"/>
        <n x="404"/>
        <n x="611" s="1"/>
        <n x="635"/>
        <n x="636"/>
      </t>
    </mdx>
    <mdx n="0" f="v">
      <t c="6" si="614">
        <n x="610"/>
        <n x="403"/>
        <n x="404"/>
        <n x="611" s="1"/>
        <n x="637"/>
        <n x="638"/>
      </t>
    </mdx>
    <mdx n="0" f="v">
      <t c="6" si="614">
        <n x="610"/>
        <n x="403"/>
        <n x="404"/>
        <n x="611" s="1"/>
        <n x="647"/>
        <n x="648"/>
      </t>
    </mdx>
    <mdx n="0" f="v">
      <t c="6" si="614">
        <n x="610"/>
        <n x="403"/>
        <n x="404"/>
        <n x="611" s="1"/>
        <n x="649"/>
        <n x="650"/>
      </t>
    </mdx>
    <mdx n="0" f="v">
      <t c="6" si="614">
        <n x="610"/>
        <n x="403"/>
        <n x="404"/>
        <n x="611" s="1"/>
        <n x="651"/>
        <n x="652"/>
      </t>
    </mdx>
    <mdx n="0" f="v">
      <t c="6" si="614">
        <n x="610"/>
        <n x="403"/>
        <n x="404"/>
        <n x="611" s="1"/>
        <n x="657"/>
        <n x="658"/>
      </t>
    </mdx>
    <mdx n="0" f="v">
      <t c="6" si="614">
        <n x="610"/>
        <n x="403"/>
        <n x="404"/>
        <n x="611" s="1"/>
        <n x="659"/>
        <n x="660"/>
      </t>
    </mdx>
    <mdx n="0" f="v">
      <t c="6" si="614">
        <n x="610"/>
        <n x="403"/>
        <n x="404"/>
        <n x="611" s="1"/>
        <n x="661"/>
        <n x="662"/>
      </t>
    </mdx>
    <mdx n="0" f="v">
      <t c="6" si="614">
        <n x="610"/>
        <n x="403"/>
        <n x="404"/>
        <n x="611" s="1"/>
        <n x="663"/>
        <n x="664"/>
      </t>
    </mdx>
    <mdx n="0" f="v">
      <t c="6" si="614">
        <n x="610"/>
        <n x="403"/>
        <n x="404"/>
        <n x="611" s="1"/>
        <n x="665"/>
        <n x="666"/>
      </t>
    </mdx>
    <mdx n="0" f="v">
      <t c="6" si="614">
        <n x="610"/>
        <n x="403"/>
        <n x="404"/>
        <n x="611" s="1"/>
        <n x="667"/>
        <n x="668"/>
      </t>
    </mdx>
    <mdx n="0" f="v">
      <t c="6" si="614">
        <n x="610"/>
        <n x="403"/>
        <n x="404"/>
        <n x="611" s="1"/>
        <n x="669"/>
        <n x="670"/>
      </t>
    </mdx>
    <mdx n="0" f="v">
      <t c="6" si="614">
        <n x="610"/>
        <n x="403"/>
        <n x="404"/>
        <n x="611" s="1"/>
        <n x="673"/>
        <n x="674"/>
      </t>
    </mdx>
    <mdx n="0" f="v">
      <t c="6" si="614">
        <n x="610"/>
        <n x="403"/>
        <n x="404"/>
        <n x="611" s="1"/>
        <n x="675"/>
        <n x="676"/>
      </t>
    </mdx>
    <mdx n="0" f="v">
      <t c="6" si="614">
        <n x="610"/>
        <n x="403"/>
        <n x="404"/>
        <n x="611" s="1"/>
        <n x="677"/>
        <n x="678"/>
      </t>
    </mdx>
    <mdx n="0" f="v">
      <t c="6" si="614">
        <n x="610"/>
        <n x="403"/>
        <n x="404"/>
        <n x="611" s="1"/>
        <n x="679"/>
        <n x="680"/>
      </t>
    </mdx>
    <mdx n="0" f="v">
      <t c="6" si="614">
        <n x="610"/>
        <n x="403"/>
        <n x="404"/>
        <n x="611" s="1"/>
        <n x="687"/>
        <n x="688"/>
      </t>
    </mdx>
    <mdx n="0" f="v">
      <t c="6" si="614">
        <n x="610"/>
        <n x="403"/>
        <n x="404"/>
        <n x="611" s="1"/>
        <n x="689"/>
        <n x="690"/>
      </t>
    </mdx>
    <mdx n="0" f="v">
      <t c="6" si="614">
        <n x="610"/>
        <n x="403"/>
        <n x="404"/>
        <n x="611" s="1"/>
        <n x="691"/>
        <n x="692"/>
      </t>
    </mdx>
    <mdx n="0" f="v">
      <t c="6" si="614">
        <n x="610"/>
        <n x="403"/>
        <n x="404"/>
        <n x="611" s="1"/>
        <n x="699"/>
        <n x="700"/>
      </t>
    </mdx>
    <mdx n="0" f="v">
      <t c="6" si="614">
        <n x="610"/>
        <n x="403"/>
        <n x="404"/>
        <n x="611" s="1"/>
        <n x="701"/>
        <n x="702"/>
      </t>
    </mdx>
    <mdx n="0" f="v">
      <t c="6" si="614">
        <n x="610"/>
        <n x="403"/>
        <n x="404"/>
        <n x="611" s="1"/>
        <n x="703"/>
        <n x="704"/>
      </t>
    </mdx>
    <mdx n="0" f="v">
      <t c="6" si="614">
        <n x="610"/>
        <n x="403"/>
        <n x="404"/>
        <n x="611" s="1"/>
        <n x="705"/>
        <n x="706"/>
      </t>
    </mdx>
    <mdx n="0" f="v">
      <t c="6" si="614">
        <n x="610"/>
        <n x="405"/>
        <n x="406"/>
        <n x="611" s="1"/>
        <n x="612"/>
        <n x="613"/>
      </t>
    </mdx>
    <mdx n="0" f="v">
      <t c="6" si="614">
        <n x="610"/>
        <n x="405"/>
        <n x="406"/>
        <n x="611" s="1"/>
        <n x="615"/>
        <n x="616"/>
      </t>
    </mdx>
    <mdx n="0" f="v">
      <t c="6" si="614">
        <n x="610"/>
        <n x="405"/>
        <n x="406"/>
        <n x="611" s="1"/>
        <n x="619"/>
        <n x="620"/>
      </t>
    </mdx>
    <mdx n="0" f="v">
      <t c="6" si="614">
        <n x="610"/>
        <n x="405"/>
        <n x="406"/>
        <n x="611" s="1"/>
        <n x="621"/>
        <n x="622"/>
      </t>
    </mdx>
    <mdx n="0" f="v">
      <t c="6" si="614">
        <n x="610"/>
        <n x="405"/>
        <n x="406"/>
        <n x="611" s="1"/>
        <n x="623"/>
        <n x="624"/>
      </t>
    </mdx>
    <mdx n="0" f="v">
      <t c="6" si="614">
        <n x="610"/>
        <n x="405"/>
        <n x="406"/>
        <n x="611" s="1"/>
        <n x="625"/>
        <n x="626"/>
      </t>
    </mdx>
    <mdx n="0" f="v">
      <t c="6" si="614">
        <n x="610"/>
        <n x="405"/>
        <n x="406"/>
        <n x="611" s="1"/>
        <n x="627"/>
        <n x="628"/>
      </t>
    </mdx>
    <mdx n="0" f="v">
      <t c="6" si="614">
        <n x="610"/>
        <n x="405"/>
        <n x="406"/>
        <n x="611" s="1"/>
        <n x="629"/>
        <n x="630"/>
      </t>
    </mdx>
    <mdx n="0" f="v">
      <t c="6" si="614">
        <n x="610"/>
        <n x="405"/>
        <n x="406"/>
        <n x="611" s="1"/>
        <n x="631"/>
        <n x="632"/>
      </t>
    </mdx>
    <mdx n="0" f="v">
      <t c="6" si="614">
        <n x="610"/>
        <n x="405"/>
        <n x="406"/>
        <n x="611" s="1"/>
        <n x="633"/>
        <n x="634"/>
      </t>
    </mdx>
    <mdx n="0" f="v">
      <t c="6" si="614">
        <n x="610"/>
        <n x="405"/>
        <n x="406"/>
        <n x="611" s="1"/>
        <n x="635"/>
        <n x="636"/>
      </t>
    </mdx>
    <mdx n="0" f="v">
      <t c="6" si="614">
        <n x="610"/>
        <n x="405"/>
        <n x="406"/>
        <n x="611" s="1"/>
        <n x="637"/>
        <n x="638"/>
      </t>
    </mdx>
    <mdx n="0" f="v">
      <t c="6" si="614">
        <n x="610"/>
        <n x="405"/>
        <n x="406"/>
        <n x="611" s="1"/>
        <n x="641"/>
        <n x="642"/>
      </t>
    </mdx>
    <mdx n="0" f="v">
      <t c="6" si="614">
        <n x="610"/>
        <n x="405"/>
        <n x="406"/>
        <n x="611" s="1"/>
        <n x="645"/>
        <n x="646"/>
      </t>
    </mdx>
    <mdx n="0" f="v">
      <t c="6" si="614">
        <n x="610"/>
        <n x="405"/>
        <n x="406"/>
        <n x="611" s="1"/>
        <n x="647"/>
        <n x="648"/>
      </t>
    </mdx>
    <mdx n="0" f="v">
      <t c="6" si="614">
        <n x="610"/>
        <n x="405"/>
        <n x="406"/>
        <n x="611" s="1"/>
        <n x="651"/>
        <n x="652"/>
      </t>
    </mdx>
    <mdx n="0" f="v">
      <t c="6" si="614">
        <n x="610"/>
        <n x="405"/>
        <n x="406"/>
        <n x="611" s="1"/>
        <n x="653"/>
        <n x="654"/>
      </t>
    </mdx>
    <mdx n="0" f="v">
      <t c="6" si="614">
        <n x="610"/>
        <n x="405"/>
        <n x="406"/>
        <n x="611" s="1"/>
        <n x="655"/>
        <n x="656"/>
      </t>
    </mdx>
    <mdx n="0" f="v">
      <t c="6" si="614">
        <n x="610"/>
        <n x="405"/>
        <n x="406"/>
        <n x="611" s="1"/>
        <n x="657"/>
        <n x="658"/>
      </t>
    </mdx>
    <mdx n="0" f="v">
      <t c="6" si="614">
        <n x="610"/>
        <n x="405"/>
        <n x="406"/>
        <n x="611" s="1"/>
        <n x="659"/>
        <n x="660"/>
      </t>
    </mdx>
    <mdx n="0" f="v">
      <t c="6" si="614">
        <n x="610"/>
        <n x="405"/>
        <n x="406"/>
        <n x="611" s="1"/>
        <n x="661"/>
        <n x="662"/>
      </t>
    </mdx>
    <mdx n="0" f="v">
      <t c="6" si="614">
        <n x="610"/>
        <n x="405"/>
        <n x="406"/>
        <n x="611" s="1"/>
        <n x="667"/>
        <n x="668"/>
      </t>
    </mdx>
    <mdx n="0" f="v">
      <t c="6" si="614">
        <n x="610"/>
        <n x="405"/>
        <n x="406"/>
        <n x="611" s="1"/>
        <n x="669"/>
        <n x="670"/>
      </t>
    </mdx>
    <mdx n="0" f="v">
      <t c="6" si="614">
        <n x="610"/>
        <n x="405"/>
        <n x="406"/>
        <n x="611" s="1"/>
        <n x="671"/>
        <n x="672"/>
      </t>
    </mdx>
    <mdx n="0" f="v">
      <t c="6" si="614">
        <n x="610"/>
        <n x="405"/>
        <n x="406"/>
        <n x="611" s="1"/>
        <n x="673"/>
        <n x="674"/>
      </t>
    </mdx>
    <mdx n="0" f="v">
      <t c="6" si="614">
        <n x="610"/>
        <n x="405"/>
        <n x="406"/>
        <n x="611" s="1"/>
        <n x="675"/>
        <n x="676"/>
      </t>
    </mdx>
    <mdx n="0" f="v">
      <t c="6" si="614">
        <n x="610"/>
        <n x="405"/>
        <n x="406"/>
        <n x="611" s="1"/>
        <n x="677"/>
        <n x="678"/>
      </t>
    </mdx>
    <mdx n="0" f="v">
      <t c="6" si="614">
        <n x="610"/>
        <n x="405"/>
        <n x="406"/>
        <n x="611" s="1"/>
        <n x="683"/>
        <n x="684"/>
      </t>
    </mdx>
    <mdx n="0" f="v">
      <t c="6" si="614">
        <n x="610"/>
        <n x="405"/>
        <n x="406"/>
        <n x="611" s="1"/>
        <n x="687"/>
        <n x="688"/>
      </t>
    </mdx>
    <mdx n="0" f="v">
      <t c="6" si="614">
        <n x="610"/>
        <n x="405"/>
        <n x="406"/>
        <n x="611" s="1"/>
        <n x="691"/>
        <n x="692"/>
      </t>
    </mdx>
    <mdx n="0" f="v">
      <t c="6" si="614">
        <n x="610"/>
        <n x="405"/>
        <n x="406"/>
        <n x="611" s="1"/>
        <n x="695"/>
        <n x="696"/>
      </t>
    </mdx>
    <mdx n="0" f="v">
      <t c="6" si="614">
        <n x="610"/>
        <n x="405"/>
        <n x="406"/>
        <n x="611" s="1"/>
        <n x="697"/>
        <n x="698"/>
      </t>
    </mdx>
    <mdx n="0" f="v">
      <t c="6" si="614">
        <n x="610"/>
        <n x="405"/>
        <n x="406"/>
        <n x="611" s="1"/>
        <n x="701"/>
        <n x="702"/>
      </t>
    </mdx>
    <mdx n="0" f="v">
      <t c="6" si="614">
        <n x="610"/>
        <n x="405"/>
        <n x="406"/>
        <n x="611" s="1"/>
        <n x="703"/>
        <n x="704"/>
      </t>
    </mdx>
    <mdx n="0" f="v">
      <t c="6" si="614">
        <n x="610"/>
        <n x="405"/>
        <n x="406"/>
        <n x="611" s="1"/>
        <n x="705"/>
        <n x="706"/>
      </t>
    </mdx>
    <mdx n="0" f="v">
      <t c="6" si="614">
        <n x="610"/>
        <n x="405"/>
        <n x="406"/>
        <n x="611" s="1"/>
        <n x="707"/>
        <n x="708"/>
      </t>
    </mdx>
    <mdx n="0" f="v">
      <t c="6" si="614">
        <n x="610"/>
        <n x="407"/>
        <n x="408"/>
        <n x="611" s="1"/>
        <n x="612"/>
        <n x="613"/>
      </t>
    </mdx>
    <mdx n="0" f="v">
      <t c="6" si="614">
        <n x="610"/>
        <n x="407"/>
        <n x="408"/>
        <n x="611" s="1"/>
        <n x="617"/>
        <n x="618"/>
      </t>
    </mdx>
    <mdx n="0" f="v">
      <t c="6" si="614">
        <n x="610"/>
        <n x="407"/>
        <n x="408"/>
        <n x="611" s="1"/>
        <n x="619"/>
        <n x="620"/>
      </t>
    </mdx>
    <mdx n="0" f="v">
      <t c="6" si="614">
        <n x="610"/>
        <n x="407"/>
        <n x="408"/>
        <n x="611" s="1"/>
        <n x="621"/>
        <n x="622"/>
      </t>
    </mdx>
    <mdx n="0" f="v">
      <t c="6" si="614">
        <n x="610"/>
        <n x="407"/>
        <n x="408"/>
        <n x="611" s="1"/>
        <n x="623"/>
        <n x="624"/>
      </t>
    </mdx>
    <mdx n="0" f="v">
      <t c="6" si="614">
        <n x="610"/>
        <n x="407"/>
        <n x="408"/>
        <n x="611" s="1"/>
        <n x="625"/>
        <n x="626"/>
      </t>
    </mdx>
    <mdx n="0" f="v">
      <t c="6" si="614">
        <n x="610"/>
        <n x="407"/>
        <n x="408"/>
        <n x="611" s="1"/>
        <n x="627"/>
        <n x="628"/>
      </t>
    </mdx>
    <mdx n="0" f="v">
      <t c="6" si="614">
        <n x="610"/>
        <n x="407"/>
        <n x="408"/>
        <n x="611" s="1"/>
        <n x="629"/>
        <n x="630"/>
      </t>
    </mdx>
    <mdx n="0" f="v">
      <t c="6" si="614">
        <n x="610"/>
        <n x="407"/>
        <n x="408"/>
        <n x="611" s="1"/>
        <n x="633"/>
        <n x="634"/>
      </t>
    </mdx>
    <mdx n="0" f="v">
      <t c="6" si="614">
        <n x="610"/>
        <n x="407"/>
        <n x="408"/>
        <n x="611" s="1"/>
        <n x="635"/>
        <n x="636"/>
      </t>
    </mdx>
    <mdx n="0" f="v">
      <t c="6" si="614">
        <n x="610"/>
        <n x="407"/>
        <n x="408"/>
        <n x="611" s="1"/>
        <n x="639"/>
        <n x="640"/>
      </t>
    </mdx>
    <mdx n="0" f="v">
      <t c="6" si="614">
        <n x="610"/>
        <n x="407"/>
        <n x="408"/>
        <n x="611" s="1"/>
        <n x="641"/>
        <n x="642"/>
      </t>
    </mdx>
    <mdx n="0" f="v">
      <t c="6" si="614">
        <n x="610"/>
        <n x="407"/>
        <n x="408"/>
        <n x="611" s="1"/>
        <n x="643"/>
        <n x="644"/>
      </t>
    </mdx>
    <mdx n="0" f="v">
      <t c="6" si="614">
        <n x="610"/>
        <n x="407"/>
        <n x="408"/>
        <n x="611" s="1"/>
        <n x="645"/>
        <n x="646"/>
      </t>
    </mdx>
    <mdx n="0" f="v">
      <t c="6" si="614">
        <n x="610"/>
        <n x="407"/>
        <n x="408"/>
        <n x="611" s="1"/>
        <n x="647"/>
        <n x="648"/>
      </t>
    </mdx>
    <mdx n="0" f="v">
      <t c="6" si="614">
        <n x="610"/>
        <n x="407"/>
        <n x="408"/>
        <n x="611" s="1"/>
        <n x="649"/>
        <n x="650"/>
      </t>
    </mdx>
    <mdx n="0" f="v">
      <t c="6" si="614">
        <n x="610"/>
        <n x="407"/>
        <n x="408"/>
        <n x="611" s="1"/>
        <n x="651"/>
        <n x="652"/>
      </t>
    </mdx>
    <mdx n="0" f="v">
      <t c="6" si="614">
        <n x="610"/>
        <n x="407"/>
        <n x="408"/>
        <n x="611" s="1"/>
        <n x="653"/>
        <n x="654"/>
      </t>
    </mdx>
    <mdx n="0" f="v">
      <t c="6" si="614">
        <n x="610"/>
        <n x="407"/>
        <n x="408"/>
        <n x="611" s="1"/>
        <n x="655"/>
        <n x="656"/>
      </t>
    </mdx>
    <mdx n="0" f="v">
      <t c="6" si="614">
        <n x="610"/>
        <n x="407"/>
        <n x="408"/>
        <n x="611" s="1"/>
        <n x="657"/>
        <n x="658"/>
      </t>
    </mdx>
    <mdx n="0" f="v">
      <t c="6" si="614">
        <n x="610"/>
        <n x="407"/>
        <n x="408"/>
        <n x="611" s="1"/>
        <n x="659"/>
        <n x="660"/>
      </t>
    </mdx>
    <mdx n="0" f="v">
      <t c="6" si="614">
        <n x="610"/>
        <n x="407"/>
        <n x="408"/>
        <n x="611" s="1"/>
        <n x="661"/>
        <n x="662"/>
      </t>
    </mdx>
    <mdx n="0" f="v">
      <t c="6" si="614">
        <n x="610"/>
        <n x="407"/>
        <n x="408"/>
        <n x="611" s="1"/>
        <n x="663"/>
        <n x="664"/>
      </t>
    </mdx>
    <mdx n="0" f="v">
      <t c="6" si="614">
        <n x="610"/>
        <n x="407"/>
        <n x="408"/>
        <n x="611" s="1"/>
        <n x="665"/>
        <n x="666"/>
      </t>
    </mdx>
    <mdx n="0" f="v">
      <t c="6" si="614">
        <n x="610"/>
        <n x="407"/>
        <n x="408"/>
        <n x="611" s="1"/>
        <n x="667"/>
        <n x="668"/>
      </t>
    </mdx>
    <mdx n="0" f="v">
      <t c="6" si="614">
        <n x="610"/>
        <n x="407"/>
        <n x="408"/>
        <n x="611" s="1"/>
        <n x="669"/>
        <n x="670"/>
      </t>
    </mdx>
    <mdx n="0" f="v">
      <t c="6" si="614">
        <n x="610"/>
        <n x="407"/>
        <n x="408"/>
        <n x="611" s="1"/>
        <n x="671"/>
        <n x="672"/>
      </t>
    </mdx>
    <mdx n="0" f="v">
      <t c="6" si="614">
        <n x="610"/>
        <n x="407"/>
        <n x="408"/>
        <n x="611" s="1"/>
        <n x="673"/>
        <n x="674"/>
      </t>
    </mdx>
    <mdx n="0" f="v">
      <t c="6" si="614">
        <n x="610"/>
        <n x="407"/>
        <n x="408"/>
        <n x="611" s="1"/>
        <n x="675"/>
        <n x="676"/>
      </t>
    </mdx>
    <mdx n="0" f="v">
      <t c="6" si="614">
        <n x="610"/>
        <n x="407"/>
        <n x="408"/>
        <n x="611" s="1"/>
        <n x="681"/>
        <n x="682"/>
      </t>
    </mdx>
    <mdx n="0" f="v">
      <t c="6" si="614">
        <n x="610"/>
        <n x="407"/>
        <n x="408"/>
        <n x="611" s="1"/>
        <n x="683"/>
        <n x="684"/>
      </t>
    </mdx>
    <mdx n="0" f="v">
      <t c="6" si="614">
        <n x="610"/>
        <n x="407"/>
        <n x="408"/>
        <n x="611" s="1"/>
        <n x="685"/>
        <n x="686"/>
      </t>
    </mdx>
    <mdx n="0" f="v">
      <t c="6" si="614">
        <n x="610"/>
        <n x="407"/>
        <n x="408"/>
        <n x="611" s="1"/>
        <n x="687"/>
        <n x="688"/>
      </t>
    </mdx>
    <mdx n="0" f="v">
      <t c="6" si="614">
        <n x="610"/>
        <n x="407"/>
        <n x="408"/>
        <n x="611" s="1"/>
        <n x="689"/>
        <n x="690"/>
      </t>
    </mdx>
    <mdx n="0" f="v">
      <t c="6" si="614">
        <n x="610"/>
        <n x="407"/>
        <n x="408"/>
        <n x="611" s="1"/>
        <n x="691"/>
        <n x="692"/>
      </t>
    </mdx>
    <mdx n="0" f="v">
      <t c="6" si="614">
        <n x="610"/>
        <n x="407"/>
        <n x="408"/>
        <n x="611" s="1"/>
        <n x="693"/>
        <n x="694"/>
      </t>
    </mdx>
    <mdx n="0" f="v">
      <t c="6" si="614">
        <n x="610"/>
        <n x="407"/>
        <n x="408"/>
        <n x="611" s="1"/>
        <n x="695"/>
        <n x="696"/>
      </t>
    </mdx>
    <mdx n="0" f="v">
      <t c="6" si="614">
        <n x="610"/>
        <n x="407"/>
        <n x="408"/>
        <n x="611" s="1"/>
        <n x="699"/>
        <n x="700"/>
      </t>
    </mdx>
    <mdx n="0" f="v">
      <t c="6" si="614">
        <n x="610"/>
        <n x="407"/>
        <n x="408"/>
        <n x="611" s="1"/>
        <n x="703"/>
        <n x="704"/>
      </t>
    </mdx>
    <mdx n="0" f="v">
      <t c="6" si="614">
        <n x="610"/>
        <n x="407"/>
        <n x="408"/>
        <n x="611" s="1"/>
        <n x="705"/>
        <n x="706"/>
      </t>
    </mdx>
    <mdx n="0" f="v">
      <t c="6" si="614">
        <n x="610"/>
        <n x="409"/>
        <n x="410"/>
        <n x="611" s="1"/>
        <n x="612"/>
        <n x="613"/>
      </t>
    </mdx>
    <mdx n="0" f="v">
      <t c="6" si="614">
        <n x="610"/>
        <n x="409"/>
        <n x="410"/>
        <n x="611" s="1"/>
        <n x="615"/>
        <n x="616"/>
      </t>
    </mdx>
    <mdx n="0" f="v">
      <t c="6" si="614">
        <n x="610"/>
        <n x="409"/>
        <n x="410"/>
        <n x="611" s="1"/>
        <n x="617"/>
        <n x="618"/>
      </t>
    </mdx>
    <mdx n="0" f="v">
      <t c="6" si="614">
        <n x="610"/>
        <n x="409"/>
        <n x="410"/>
        <n x="611" s="1"/>
        <n x="619"/>
        <n x="620"/>
      </t>
    </mdx>
    <mdx n="0" f="v">
      <t c="6" si="614">
        <n x="610"/>
        <n x="409"/>
        <n x="410"/>
        <n x="611" s="1"/>
        <n x="621"/>
        <n x="622"/>
      </t>
    </mdx>
    <mdx n="0" f="v">
      <t c="6" si="614">
        <n x="610"/>
        <n x="409"/>
        <n x="410"/>
        <n x="611" s="1"/>
        <n x="623"/>
        <n x="624"/>
      </t>
    </mdx>
    <mdx n="0" f="v">
      <t c="6" si="614">
        <n x="610"/>
        <n x="409"/>
        <n x="410"/>
        <n x="611" s="1"/>
        <n x="627"/>
        <n x="628"/>
      </t>
    </mdx>
    <mdx n="0" f="v">
      <t c="6" si="614">
        <n x="610"/>
        <n x="409"/>
        <n x="410"/>
        <n x="611" s="1"/>
        <n x="629"/>
        <n x="630"/>
      </t>
    </mdx>
    <mdx n="0" f="v">
      <t c="6" si="614">
        <n x="610"/>
        <n x="409"/>
        <n x="410"/>
        <n x="611" s="1"/>
        <n x="633"/>
        <n x="634"/>
      </t>
    </mdx>
    <mdx n="0" f="v">
      <t c="6" si="614">
        <n x="610"/>
        <n x="409"/>
        <n x="410"/>
        <n x="611" s="1"/>
        <n x="635"/>
        <n x="636"/>
      </t>
    </mdx>
    <mdx n="0" f="v">
      <t c="6" si="614">
        <n x="610"/>
        <n x="409"/>
        <n x="410"/>
        <n x="611" s="1"/>
        <n x="637"/>
        <n x="638"/>
      </t>
    </mdx>
    <mdx n="0" f="v">
      <t c="6" si="614">
        <n x="610"/>
        <n x="409"/>
        <n x="410"/>
        <n x="611" s="1"/>
        <n x="641"/>
        <n x="642"/>
      </t>
    </mdx>
    <mdx n="0" f="v">
      <t c="6" si="614">
        <n x="610"/>
        <n x="409"/>
        <n x="410"/>
        <n x="611" s="1"/>
        <n x="643"/>
        <n x="644"/>
      </t>
    </mdx>
    <mdx n="0" f="v">
      <t c="6" si="614">
        <n x="610"/>
        <n x="409"/>
        <n x="410"/>
        <n x="611" s="1"/>
        <n x="645"/>
        <n x="646"/>
      </t>
    </mdx>
    <mdx n="0" f="v">
      <t c="6" si="614">
        <n x="610"/>
        <n x="409"/>
        <n x="410"/>
        <n x="611" s="1"/>
        <n x="647"/>
        <n x="648"/>
      </t>
    </mdx>
    <mdx n="0" f="v">
      <t c="6" si="614">
        <n x="610"/>
        <n x="409"/>
        <n x="410"/>
        <n x="611" s="1"/>
        <n x="649"/>
        <n x="650"/>
      </t>
    </mdx>
    <mdx n="0" f="v">
      <t c="6" si="614">
        <n x="610"/>
        <n x="409"/>
        <n x="410"/>
        <n x="611" s="1"/>
        <n x="651"/>
        <n x="652"/>
      </t>
    </mdx>
    <mdx n="0" f="v">
      <t c="6" si="614">
        <n x="610"/>
        <n x="409"/>
        <n x="410"/>
        <n x="611" s="1"/>
        <n x="657"/>
        <n x="658"/>
      </t>
    </mdx>
    <mdx n="0" f="v">
      <t c="6" si="614">
        <n x="610"/>
        <n x="409"/>
        <n x="410"/>
        <n x="611" s="1"/>
        <n x="659"/>
        <n x="660"/>
      </t>
    </mdx>
    <mdx n="0" f="v">
      <t c="6" si="614">
        <n x="610"/>
        <n x="409"/>
        <n x="410"/>
        <n x="611" s="1"/>
        <n x="661"/>
        <n x="662"/>
      </t>
    </mdx>
    <mdx n="0" f="v">
      <t c="6" si="614">
        <n x="610"/>
        <n x="409"/>
        <n x="410"/>
        <n x="611" s="1"/>
        <n x="665"/>
        <n x="666"/>
      </t>
    </mdx>
    <mdx n="0" f="v">
      <t c="6" si="614">
        <n x="610"/>
        <n x="409"/>
        <n x="410"/>
        <n x="611" s="1"/>
        <n x="667"/>
        <n x="668"/>
      </t>
    </mdx>
    <mdx n="0" f="v">
      <t c="6" si="614">
        <n x="610"/>
        <n x="409"/>
        <n x="410"/>
        <n x="611" s="1"/>
        <n x="669"/>
        <n x="670"/>
      </t>
    </mdx>
    <mdx n="0" f="v">
      <t c="6" si="614">
        <n x="610"/>
        <n x="409"/>
        <n x="410"/>
        <n x="611" s="1"/>
        <n x="671"/>
        <n x="672"/>
      </t>
    </mdx>
    <mdx n="0" f="v">
      <t c="6" si="614">
        <n x="610"/>
        <n x="409"/>
        <n x="410"/>
        <n x="611" s="1"/>
        <n x="673"/>
        <n x="674"/>
      </t>
    </mdx>
    <mdx n="0" f="v">
      <t c="6" si="614">
        <n x="610"/>
        <n x="409"/>
        <n x="410"/>
        <n x="611" s="1"/>
        <n x="675"/>
        <n x="676"/>
      </t>
    </mdx>
    <mdx n="0" f="v">
      <t c="6" si="614">
        <n x="610"/>
        <n x="409"/>
        <n x="410"/>
        <n x="611" s="1"/>
        <n x="677"/>
        <n x="678"/>
      </t>
    </mdx>
    <mdx n="0" f="v">
      <t c="6" si="614">
        <n x="610"/>
        <n x="409"/>
        <n x="410"/>
        <n x="611" s="1"/>
        <n x="683"/>
        <n x="684"/>
      </t>
    </mdx>
    <mdx n="0" f="v">
      <t c="6" si="614">
        <n x="610"/>
        <n x="409"/>
        <n x="410"/>
        <n x="611" s="1"/>
        <n x="685"/>
        <n x="686"/>
      </t>
    </mdx>
    <mdx n="0" f="v">
      <t c="6" si="614">
        <n x="610"/>
        <n x="409"/>
        <n x="410"/>
        <n x="611" s="1"/>
        <n x="687"/>
        <n x="688"/>
      </t>
    </mdx>
    <mdx n="0" f="v">
      <t c="6" si="614">
        <n x="610"/>
        <n x="409"/>
        <n x="410"/>
        <n x="611" s="1"/>
        <n x="689"/>
        <n x="690"/>
      </t>
    </mdx>
    <mdx n="0" f="v">
      <t c="6" si="614">
        <n x="610"/>
        <n x="409"/>
        <n x="410"/>
        <n x="611" s="1"/>
        <n x="691"/>
        <n x="692"/>
      </t>
    </mdx>
    <mdx n="0" f="v">
      <t c="6" si="614">
        <n x="610"/>
        <n x="409"/>
        <n x="410"/>
        <n x="611" s="1"/>
        <n x="695"/>
        <n x="696"/>
      </t>
    </mdx>
    <mdx n="0" f="v">
      <t c="6" si="614">
        <n x="610"/>
        <n x="409"/>
        <n x="410"/>
        <n x="611" s="1"/>
        <n x="697"/>
        <n x="698"/>
      </t>
    </mdx>
    <mdx n="0" f="v">
      <t c="6" si="614">
        <n x="610"/>
        <n x="409"/>
        <n x="410"/>
        <n x="611" s="1"/>
        <n x="699"/>
        <n x="700"/>
      </t>
    </mdx>
    <mdx n="0" f="v">
      <t c="6" si="614">
        <n x="610"/>
        <n x="409"/>
        <n x="410"/>
        <n x="611" s="1"/>
        <n x="701"/>
        <n x="702"/>
      </t>
    </mdx>
    <mdx n="0" f="v">
      <t c="6" si="614">
        <n x="610"/>
        <n x="409"/>
        <n x="410"/>
        <n x="611" s="1"/>
        <n x="703"/>
        <n x="704"/>
      </t>
    </mdx>
    <mdx n="0" f="v">
      <t c="6" si="614">
        <n x="610"/>
        <n x="409"/>
        <n x="410"/>
        <n x="611" s="1"/>
        <n x="705"/>
        <n x="706"/>
      </t>
    </mdx>
    <mdx n="0" f="v">
      <t c="6" si="614">
        <n x="610"/>
        <n x="409"/>
        <n x="410"/>
        <n x="611" s="1"/>
        <n x="707"/>
        <n x="708"/>
      </t>
    </mdx>
    <mdx n="0" f="v">
      <t c="6" si="614">
        <n x="610"/>
        <n x="411"/>
        <n x="412"/>
        <n x="611" s="1"/>
        <n x="612"/>
        <n x="613"/>
      </t>
    </mdx>
    <mdx n="0" f="v">
      <t c="6" si="614">
        <n x="610"/>
        <n x="411"/>
        <n x="412"/>
        <n x="611" s="1"/>
        <n x="617"/>
        <n x="618"/>
      </t>
    </mdx>
    <mdx n="0" f="v">
      <t c="6" si="614">
        <n x="610"/>
        <n x="411"/>
        <n x="412"/>
        <n x="611" s="1"/>
        <n x="619"/>
        <n x="620"/>
      </t>
    </mdx>
    <mdx n="0" f="v">
      <t c="6" si="614">
        <n x="610"/>
        <n x="411"/>
        <n x="412"/>
        <n x="611" s="1"/>
        <n x="623"/>
        <n x="624"/>
      </t>
    </mdx>
    <mdx n="0" f="v">
      <t c="6" si="614">
        <n x="610"/>
        <n x="411"/>
        <n x="412"/>
        <n x="611" s="1"/>
        <n x="625"/>
        <n x="626"/>
      </t>
    </mdx>
    <mdx n="0" f="v">
      <t c="6" si="614">
        <n x="610"/>
        <n x="411"/>
        <n x="412"/>
        <n x="611" s="1"/>
        <n x="627"/>
        <n x="628"/>
      </t>
    </mdx>
    <mdx n="0" f="v">
      <t c="6" si="614">
        <n x="610"/>
        <n x="411"/>
        <n x="412"/>
        <n x="611" s="1"/>
        <n x="631"/>
        <n x="632"/>
      </t>
    </mdx>
    <mdx n="0" f="v">
      <t c="6" si="614">
        <n x="610"/>
        <n x="411"/>
        <n x="412"/>
        <n x="611" s="1"/>
        <n x="633"/>
        <n x="634"/>
      </t>
    </mdx>
    <mdx n="0" f="v">
      <t c="6" si="614">
        <n x="610"/>
        <n x="411"/>
        <n x="412"/>
        <n x="611" s="1"/>
        <n x="635"/>
        <n x="636"/>
      </t>
    </mdx>
    <mdx n="0" f="v">
      <t c="6" si="614">
        <n x="610"/>
        <n x="411"/>
        <n x="412"/>
        <n x="611" s="1"/>
        <n x="645"/>
        <n x="646"/>
      </t>
    </mdx>
    <mdx n="0" f="v">
      <t c="6" si="614">
        <n x="610"/>
        <n x="411"/>
        <n x="412"/>
        <n x="611" s="1"/>
        <n x="649"/>
        <n x="650"/>
      </t>
    </mdx>
    <mdx n="0" f="v">
      <t c="6" si="614">
        <n x="610"/>
        <n x="411"/>
        <n x="412"/>
        <n x="611" s="1"/>
        <n x="651"/>
        <n x="652"/>
      </t>
    </mdx>
    <mdx n="0" f="v">
      <t c="6" si="614">
        <n x="610"/>
        <n x="411"/>
        <n x="412"/>
        <n x="611" s="1"/>
        <n x="657"/>
        <n x="658"/>
      </t>
    </mdx>
    <mdx n="0" f="v">
      <t c="6" si="614">
        <n x="610"/>
        <n x="411"/>
        <n x="412"/>
        <n x="611" s="1"/>
        <n x="659"/>
        <n x="660"/>
      </t>
    </mdx>
    <mdx n="0" f="v">
      <t c="6" si="614">
        <n x="610"/>
        <n x="411"/>
        <n x="412"/>
        <n x="611" s="1"/>
        <n x="665"/>
        <n x="666"/>
      </t>
    </mdx>
    <mdx n="0" f="v">
      <t c="6" si="614">
        <n x="610"/>
        <n x="411"/>
        <n x="412"/>
        <n x="611" s="1"/>
        <n x="669"/>
        <n x="670"/>
      </t>
    </mdx>
    <mdx n="0" f="v">
      <t c="6" si="614">
        <n x="610"/>
        <n x="411"/>
        <n x="412"/>
        <n x="611" s="1"/>
        <n x="671"/>
        <n x="672"/>
      </t>
    </mdx>
    <mdx n="0" f="v">
      <t c="6" si="614">
        <n x="610"/>
        <n x="411"/>
        <n x="412"/>
        <n x="611" s="1"/>
        <n x="675"/>
        <n x="676"/>
      </t>
    </mdx>
    <mdx n="0" f="v">
      <t c="6" si="614">
        <n x="610"/>
        <n x="411"/>
        <n x="412"/>
        <n x="611" s="1"/>
        <n x="677"/>
        <n x="678"/>
      </t>
    </mdx>
    <mdx n="0" f="v">
      <t c="6" si="614">
        <n x="610"/>
        <n x="411"/>
        <n x="412"/>
        <n x="611" s="1"/>
        <n x="679"/>
        <n x="680"/>
      </t>
    </mdx>
    <mdx n="0" f="v">
      <t c="6" si="614">
        <n x="610"/>
        <n x="411"/>
        <n x="412"/>
        <n x="611" s="1"/>
        <n x="683"/>
        <n x="684"/>
      </t>
    </mdx>
    <mdx n="0" f="v">
      <t c="6" si="614">
        <n x="610"/>
        <n x="411"/>
        <n x="412"/>
        <n x="611" s="1"/>
        <n x="685"/>
        <n x="686"/>
      </t>
    </mdx>
    <mdx n="0" f="v">
      <t c="6" si="614">
        <n x="610"/>
        <n x="411"/>
        <n x="412"/>
        <n x="611" s="1"/>
        <n x="687"/>
        <n x="688"/>
      </t>
    </mdx>
    <mdx n="0" f="v">
      <t c="6" si="614">
        <n x="610"/>
        <n x="411"/>
        <n x="412"/>
        <n x="611" s="1"/>
        <n x="689"/>
        <n x="690"/>
      </t>
    </mdx>
    <mdx n="0" f="v">
      <t c="6" si="614">
        <n x="610"/>
        <n x="411"/>
        <n x="412"/>
        <n x="611" s="1"/>
        <n x="695"/>
        <n x="696"/>
      </t>
    </mdx>
    <mdx n="0" f="v">
      <t c="6" si="614">
        <n x="610"/>
        <n x="411"/>
        <n x="412"/>
        <n x="611" s="1"/>
        <n x="697"/>
        <n x="698"/>
      </t>
    </mdx>
    <mdx n="0" f="v">
      <t c="6" si="614">
        <n x="610"/>
        <n x="411"/>
        <n x="412"/>
        <n x="611" s="1"/>
        <n x="699"/>
        <n x="700"/>
      </t>
    </mdx>
    <mdx n="0" f="v">
      <t c="6" si="614">
        <n x="610"/>
        <n x="411"/>
        <n x="412"/>
        <n x="611" s="1"/>
        <n x="701"/>
        <n x="702"/>
      </t>
    </mdx>
    <mdx n="0" f="v">
      <t c="6" si="614">
        <n x="610"/>
        <n x="411"/>
        <n x="412"/>
        <n x="611" s="1"/>
        <n x="703"/>
        <n x="704"/>
      </t>
    </mdx>
    <mdx n="0" f="v">
      <t c="6" si="614">
        <n x="610"/>
        <n x="413"/>
        <n x="414"/>
        <n x="611" s="1"/>
        <n x="612"/>
        <n x="613"/>
      </t>
    </mdx>
    <mdx n="0" f="v">
      <t c="6" si="614">
        <n x="610"/>
        <n x="413"/>
        <n x="414"/>
        <n x="611" s="1"/>
        <n x="615"/>
        <n x="616"/>
      </t>
    </mdx>
    <mdx n="0" f="v">
      <t c="6" si="614">
        <n x="610"/>
        <n x="413"/>
        <n x="414"/>
        <n x="611" s="1"/>
        <n x="617"/>
        <n x="618"/>
      </t>
    </mdx>
    <mdx n="0" f="v">
      <t c="6" si="614">
        <n x="610"/>
        <n x="413"/>
        <n x="414"/>
        <n x="611" s="1"/>
        <n x="621"/>
        <n x="622"/>
      </t>
    </mdx>
    <mdx n="0" f="v">
      <t c="6" si="614">
        <n x="610"/>
        <n x="413"/>
        <n x="414"/>
        <n x="611" s="1"/>
        <n x="625"/>
        <n x="626"/>
      </t>
    </mdx>
    <mdx n="0" f="v">
      <t c="6" si="614">
        <n x="610"/>
        <n x="413"/>
        <n x="414"/>
        <n x="611" s="1"/>
        <n x="627"/>
        <n x="628"/>
      </t>
    </mdx>
    <mdx n="0" f="v">
      <t c="6" si="614">
        <n x="610"/>
        <n x="413"/>
        <n x="414"/>
        <n x="611" s="1"/>
        <n x="629"/>
        <n x="630"/>
      </t>
    </mdx>
    <mdx n="0" f="v">
      <t c="6" si="614">
        <n x="610"/>
        <n x="413"/>
        <n x="414"/>
        <n x="611" s="1"/>
        <n x="631"/>
        <n x="632"/>
      </t>
    </mdx>
    <mdx n="0" f="v">
      <t c="6" si="614">
        <n x="610"/>
        <n x="413"/>
        <n x="414"/>
        <n x="611" s="1"/>
        <n x="633"/>
        <n x="634"/>
      </t>
    </mdx>
    <mdx n="0" f="v">
      <t c="6" si="614">
        <n x="610"/>
        <n x="413"/>
        <n x="414"/>
        <n x="611" s="1"/>
        <n x="635"/>
        <n x="636"/>
      </t>
    </mdx>
    <mdx n="0" f="v">
      <t c="6" si="614">
        <n x="610"/>
        <n x="413"/>
        <n x="414"/>
        <n x="611" s="1"/>
        <n x="637"/>
        <n x="638"/>
      </t>
    </mdx>
    <mdx n="0" f="v">
      <t c="6" si="614">
        <n x="610"/>
        <n x="413"/>
        <n x="414"/>
        <n x="611" s="1"/>
        <n x="639"/>
        <n x="640"/>
      </t>
    </mdx>
    <mdx n="0" f="v">
      <t c="6" si="614">
        <n x="610"/>
        <n x="413"/>
        <n x="414"/>
        <n x="611" s="1"/>
        <n x="641"/>
        <n x="642"/>
      </t>
    </mdx>
    <mdx n="0" f="v">
      <t c="6" si="614">
        <n x="610"/>
        <n x="413"/>
        <n x="414"/>
        <n x="611" s="1"/>
        <n x="643"/>
        <n x="644"/>
      </t>
    </mdx>
    <mdx n="0" f="v">
      <t c="6" si="614">
        <n x="610"/>
        <n x="413"/>
        <n x="414"/>
        <n x="611" s="1"/>
        <n x="647"/>
        <n x="648"/>
      </t>
    </mdx>
    <mdx n="0" f="v">
      <t c="6" si="614">
        <n x="610"/>
        <n x="413"/>
        <n x="414"/>
        <n x="611" s="1"/>
        <n x="649"/>
        <n x="650"/>
      </t>
    </mdx>
    <mdx n="0" f="v">
      <t c="6" si="614">
        <n x="610"/>
        <n x="413"/>
        <n x="414"/>
        <n x="611" s="1"/>
        <n x="653"/>
        <n x="654"/>
      </t>
    </mdx>
    <mdx n="0" f="v">
      <t c="6" si="614">
        <n x="610"/>
        <n x="413"/>
        <n x="414"/>
        <n x="611" s="1"/>
        <n x="657"/>
        <n x="658"/>
      </t>
    </mdx>
    <mdx n="0" f="v">
      <t c="6" si="614">
        <n x="610"/>
        <n x="413"/>
        <n x="414"/>
        <n x="611" s="1"/>
        <n x="659"/>
        <n x="660"/>
      </t>
    </mdx>
    <mdx n="0" f="v">
      <t c="6" si="614">
        <n x="610"/>
        <n x="413"/>
        <n x="414"/>
        <n x="611" s="1"/>
        <n x="661"/>
        <n x="662"/>
      </t>
    </mdx>
    <mdx n="0" f="v">
      <t c="6" si="614">
        <n x="610"/>
        <n x="413"/>
        <n x="414"/>
        <n x="611" s="1"/>
        <n x="663"/>
        <n x="664"/>
      </t>
    </mdx>
    <mdx n="0" f="v">
      <t c="6" si="614">
        <n x="610"/>
        <n x="413"/>
        <n x="414"/>
        <n x="611" s="1"/>
        <n x="665"/>
        <n x="666"/>
      </t>
    </mdx>
    <mdx n="0" f="v">
      <t c="6" si="614">
        <n x="610"/>
        <n x="413"/>
        <n x="414"/>
        <n x="611" s="1"/>
        <n x="667"/>
        <n x="668"/>
      </t>
    </mdx>
    <mdx n="0" f="v">
      <t c="6" si="614">
        <n x="610"/>
        <n x="413"/>
        <n x="414"/>
        <n x="611" s="1"/>
        <n x="669"/>
        <n x="670"/>
      </t>
    </mdx>
    <mdx n="0" f="v">
      <t c="6" si="614">
        <n x="610"/>
        <n x="413"/>
        <n x="414"/>
        <n x="611" s="1"/>
        <n x="671"/>
        <n x="672"/>
      </t>
    </mdx>
    <mdx n="0" f="v">
      <t c="6" si="614">
        <n x="610"/>
        <n x="413"/>
        <n x="414"/>
        <n x="611" s="1"/>
        <n x="673"/>
        <n x="674"/>
      </t>
    </mdx>
    <mdx n="0" f="v">
      <t c="6" si="614">
        <n x="610"/>
        <n x="413"/>
        <n x="414"/>
        <n x="611" s="1"/>
        <n x="681"/>
        <n x="682"/>
      </t>
    </mdx>
    <mdx n="0" f="v">
      <t c="6" si="614">
        <n x="610"/>
        <n x="413"/>
        <n x="414"/>
        <n x="611" s="1"/>
        <n x="683"/>
        <n x="684"/>
      </t>
    </mdx>
    <mdx n="0" f="v">
      <t c="6" si="614">
        <n x="610"/>
        <n x="413"/>
        <n x="414"/>
        <n x="611" s="1"/>
        <n x="685"/>
        <n x="686"/>
      </t>
    </mdx>
    <mdx n="0" f="v">
      <t c="6" si="614">
        <n x="610"/>
        <n x="413"/>
        <n x="414"/>
        <n x="611" s="1"/>
        <n x="687"/>
        <n x="688"/>
      </t>
    </mdx>
    <mdx n="0" f="v">
      <t c="6" si="614">
        <n x="610"/>
        <n x="413"/>
        <n x="414"/>
        <n x="611" s="1"/>
        <n x="689"/>
        <n x="690"/>
      </t>
    </mdx>
    <mdx n="0" f="v">
      <t c="6" si="614">
        <n x="610"/>
        <n x="413"/>
        <n x="414"/>
        <n x="611" s="1"/>
        <n x="693"/>
        <n x="694"/>
      </t>
    </mdx>
    <mdx n="0" f="v">
      <t c="6" si="614">
        <n x="610"/>
        <n x="413"/>
        <n x="414"/>
        <n x="611" s="1"/>
        <n x="699"/>
        <n x="700"/>
      </t>
    </mdx>
    <mdx n="0" f="v">
      <t c="6" si="614">
        <n x="610"/>
        <n x="413"/>
        <n x="414"/>
        <n x="611" s="1"/>
        <n x="701"/>
        <n x="702"/>
      </t>
    </mdx>
    <mdx n="0" f="v">
      <t c="6" si="614">
        <n x="610"/>
        <n x="413"/>
        <n x="414"/>
        <n x="611" s="1"/>
        <n x="705"/>
        <n x="706"/>
      </t>
    </mdx>
    <mdx n="0" f="v">
      <t c="6" si="614">
        <n x="610"/>
        <n x="413"/>
        <n x="414"/>
        <n x="611" s="1"/>
        <n x="707"/>
        <n x="708"/>
      </t>
    </mdx>
    <mdx n="0" f="v">
      <t c="6" si="614">
        <n x="610"/>
        <n x="415"/>
        <n x="416"/>
        <n x="611" s="1"/>
        <n x="612"/>
        <n x="613"/>
      </t>
    </mdx>
    <mdx n="0" f="v">
      <t c="6" si="614">
        <n x="610"/>
        <n x="415"/>
        <n x="416"/>
        <n x="611" s="1"/>
        <n x="617"/>
        <n x="618"/>
      </t>
    </mdx>
    <mdx n="0" f="v">
      <t c="6" si="614">
        <n x="610"/>
        <n x="415"/>
        <n x="416"/>
        <n x="611" s="1"/>
        <n x="621"/>
        <n x="622"/>
      </t>
    </mdx>
    <mdx n="0" f="v">
      <t c="6" si="614">
        <n x="610"/>
        <n x="415"/>
        <n x="416"/>
        <n x="611" s="1"/>
        <n x="623"/>
        <n x="624"/>
      </t>
    </mdx>
    <mdx n="0" f="v">
      <t c="6" si="614">
        <n x="610"/>
        <n x="415"/>
        <n x="416"/>
        <n x="611" s="1"/>
        <n x="627"/>
        <n x="628"/>
      </t>
    </mdx>
    <mdx n="0" f="v">
      <t c="6" si="614">
        <n x="610"/>
        <n x="415"/>
        <n x="416"/>
        <n x="611" s="1"/>
        <n x="635"/>
        <n x="636"/>
      </t>
    </mdx>
    <mdx n="0" f="v">
      <t c="6" si="614">
        <n x="610"/>
        <n x="415"/>
        <n x="416"/>
        <n x="611" s="1"/>
        <n x="643"/>
        <n x="644"/>
      </t>
    </mdx>
    <mdx n="0" f="v">
      <t c="6" si="614">
        <n x="610"/>
        <n x="415"/>
        <n x="416"/>
        <n x="611" s="1"/>
        <n x="647"/>
        <n x="648"/>
      </t>
    </mdx>
    <mdx n="0" f="v">
      <t c="6" si="614">
        <n x="610"/>
        <n x="415"/>
        <n x="416"/>
        <n x="611" s="1"/>
        <n x="649"/>
        <n x="650"/>
      </t>
    </mdx>
    <mdx n="0" f="v">
      <t c="6" si="614">
        <n x="610"/>
        <n x="415"/>
        <n x="416"/>
        <n x="611" s="1"/>
        <n x="651"/>
        <n x="652"/>
      </t>
    </mdx>
    <mdx n="0" f="v">
      <t c="6" si="614">
        <n x="610"/>
        <n x="415"/>
        <n x="416"/>
        <n x="611" s="1"/>
        <n x="657"/>
        <n x="658"/>
      </t>
    </mdx>
    <mdx n="0" f="v">
      <t c="6" si="614">
        <n x="610"/>
        <n x="415"/>
        <n x="416"/>
        <n x="611" s="1"/>
        <n x="659"/>
        <n x="660"/>
      </t>
    </mdx>
    <mdx n="0" f="v">
      <t c="6" si="614">
        <n x="610"/>
        <n x="415"/>
        <n x="416"/>
        <n x="611" s="1"/>
        <n x="663"/>
        <n x="664"/>
      </t>
    </mdx>
    <mdx n="0" f="v">
      <t c="6" si="614">
        <n x="610"/>
        <n x="415"/>
        <n x="416"/>
        <n x="611" s="1"/>
        <n x="667"/>
        <n x="668"/>
      </t>
    </mdx>
    <mdx n="0" f="v">
      <t c="6" si="614">
        <n x="610"/>
        <n x="415"/>
        <n x="416"/>
        <n x="611" s="1"/>
        <n x="669"/>
        <n x="670"/>
      </t>
    </mdx>
    <mdx n="0" f="v">
      <t c="6" si="614">
        <n x="610"/>
        <n x="415"/>
        <n x="416"/>
        <n x="611" s="1"/>
        <n x="671"/>
        <n x="672"/>
      </t>
    </mdx>
    <mdx n="0" f="v">
      <t c="6" si="614">
        <n x="610"/>
        <n x="415"/>
        <n x="416"/>
        <n x="611" s="1"/>
        <n x="673"/>
        <n x="674"/>
      </t>
    </mdx>
    <mdx n="0" f="v">
      <t c="6" si="614">
        <n x="610"/>
        <n x="415"/>
        <n x="416"/>
        <n x="611" s="1"/>
        <n x="675"/>
        <n x="676"/>
      </t>
    </mdx>
    <mdx n="0" f="v">
      <t c="6" si="614">
        <n x="610"/>
        <n x="415"/>
        <n x="416"/>
        <n x="611" s="1"/>
        <n x="679"/>
        <n x="680"/>
      </t>
    </mdx>
    <mdx n="0" f="v">
      <t c="6" si="614">
        <n x="610"/>
        <n x="415"/>
        <n x="416"/>
        <n x="611" s="1"/>
        <n x="681"/>
        <n x="682"/>
      </t>
    </mdx>
    <mdx n="0" f="v">
      <t c="6" si="614">
        <n x="610"/>
        <n x="415"/>
        <n x="416"/>
        <n x="611" s="1"/>
        <n x="683"/>
        <n x="684"/>
      </t>
    </mdx>
    <mdx n="0" f="v">
      <t c="6" si="614">
        <n x="610"/>
        <n x="415"/>
        <n x="416"/>
        <n x="611" s="1"/>
        <n x="685"/>
        <n x="686"/>
      </t>
    </mdx>
    <mdx n="0" f="v">
      <t c="6" si="614">
        <n x="610"/>
        <n x="415"/>
        <n x="416"/>
        <n x="611" s="1"/>
        <n x="687"/>
        <n x="688"/>
      </t>
    </mdx>
    <mdx n="0" f="v">
      <t c="6" si="614">
        <n x="610"/>
        <n x="415"/>
        <n x="416"/>
        <n x="611" s="1"/>
        <n x="695"/>
        <n x="696"/>
      </t>
    </mdx>
    <mdx n="0" f="v">
      <t c="6" si="614">
        <n x="610"/>
        <n x="415"/>
        <n x="416"/>
        <n x="611" s="1"/>
        <n x="697"/>
        <n x="698"/>
      </t>
    </mdx>
    <mdx n="0" f="v">
      <t c="6" si="614">
        <n x="610"/>
        <n x="415"/>
        <n x="416"/>
        <n x="611" s="1"/>
        <n x="705"/>
        <n x="706"/>
      </t>
    </mdx>
    <mdx n="0" f="v">
      <t c="6" si="614">
        <n x="610"/>
        <n x="417"/>
        <n x="418"/>
        <n x="611" s="1"/>
        <n x="621"/>
        <n x="622"/>
      </t>
    </mdx>
    <mdx n="0" f="v">
      <t c="6" si="614">
        <n x="610"/>
        <n x="419"/>
        <n x="420"/>
        <n x="611" s="1"/>
        <n x="612"/>
        <n x="613"/>
      </t>
    </mdx>
    <mdx n="0" f="v">
      <t c="6" si="614">
        <n x="610"/>
        <n x="419"/>
        <n x="420"/>
        <n x="611" s="1"/>
        <n x="617"/>
        <n x="618"/>
      </t>
    </mdx>
    <mdx n="0" f="v">
      <t c="6" si="614">
        <n x="610"/>
        <n x="419"/>
        <n x="420"/>
        <n x="611" s="1"/>
        <n x="619"/>
        <n x="620"/>
      </t>
    </mdx>
    <mdx n="0" f="v">
      <t c="6" si="614">
        <n x="610"/>
        <n x="419"/>
        <n x="420"/>
        <n x="611" s="1"/>
        <n x="623"/>
        <n x="624"/>
      </t>
    </mdx>
    <mdx n="0" f="v">
      <t c="6" si="614">
        <n x="610"/>
        <n x="419"/>
        <n x="420"/>
        <n x="611" s="1"/>
        <n x="625"/>
        <n x="626"/>
      </t>
    </mdx>
    <mdx n="0" f="v">
      <t c="6" si="614">
        <n x="610"/>
        <n x="419"/>
        <n x="420"/>
        <n x="611" s="1"/>
        <n x="627"/>
        <n x="628"/>
      </t>
    </mdx>
    <mdx n="0" f="v">
      <t c="6" si="614">
        <n x="610"/>
        <n x="419"/>
        <n x="420"/>
        <n x="611" s="1"/>
        <n x="631"/>
        <n x="632"/>
      </t>
    </mdx>
    <mdx n="0" f="v">
      <t c="6" si="614">
        <n x="610"/>
        <n x="419"/>
        <n x="420"/>
        <n x="611" s="1"/>
        <n x="635"/>
        <n x="636"/>
      </t>
    </mdx>
    <mdx n="0" f="v">
      <t c="6" si="614">
        <n x="610"/>
        <n x="419"/>
        <n x="420"/>
        <n x="611" s="1"/>
        <n x="643"/>
        <n x="644"/>
      </t>
    </mdx>
    <mdx n="0" f="v">
      <t c="6" si="614">
        <n x="610"/>
        <n x="419"/>
        <n x="420"/>
        <n x="611" s="1"/>
        <n x="651"/>
        <n x="652"/>
      </t>
    </mdx>
    <mdx n="0" f="v">
      <t c="6" si="614">
        <n x="610"/>
        <n x="419"/>
        <n x="420"/>
        <n x="611" s="1"/>
        <n x="657"/>
        <n x="658"/>
      </t>
    </mdx>
    <mdx n="0" f="v">
      <t c="6" si="614">
        <n x="610"/>
        <n x="419"/>
        <n x="420"/>
        <n x="611" s="1"/>
        <n x="661"/>
        <n x="662"/>
      </t>
    </mdx>
    <mdx n="0" f="v">
      <t c="6" si="614">
        <n x="610"/>
        <n x="419"/>
        <n x="420"/>
        <n x="611" s="1"/>
        <n x="663"/>
        <n x="664"/>
      </t>
    </mdx>
    <mdx n="0" f="v">
      <t c="6" si="614">
        <n x="610"/>
        <n x="419"/>
        <n x="420"/>
        <n x="611" s="1"/>
        <n x="665"/>
        <n x="666"/>
      </t>
    </mdx>
    <mdx n="0" f="v">
      <t c="6" si="614">
        <n x="610"/>
        <n x="419"/>
        <n x="420"/>
        <n x="611" s="1"/>
        <n x="667"/>
        <n x="668"/>
      </t>
    </mdx>
    <mdx n="0" f="v">
      <t c="6" si="614">
        <n x="610"/>
        <n x="419"/>
        <n x="420"/>
        <n x="611" s="1"/>
        <n x="669"/>
        <n x="670"/>
      </t>
    </mdx>
    <mdx n="0" f="v">
      <t c="6" si="614">
        <n x="610"/>
        <n x="419"/>
        <n x="420"/>
        <n x="611" s="1"/>
        <n x="671"/>
        <n x="672"/>
      </t>
    </mdx>
    <mdx n="0" f="v">
      <t c="6" si="614">
        <n x="610"/>
        <n x="419"/>
        <n x="420"/>
        <n x="611" s="1"/>
        <n x="679"/>
        <n x="680"/>
      </t>
    </mdx>
    <mdx n="0" f="v">
      <t c="6" si="614">
        <n x="610"/>
        <n x="419"/>
        <n x="420"/>
        <n x="611" s="1"/>
        <n x="681"/>
        <n x="682"/>
      </t>
    </mdx>
    <mdx n="0" f="v">
      <t c="6" si="614">
        <n x="610"/>
        <n x="419"/>
        <n x="420"/>
        <n x="611" s="1"/>
        <n x="683"/>
        <n x="684"/>
      </t>
    </mdx>
    <mdx n="0" f="v">
      <t c="6" si="614">
        <n x="610"/>
        <n x="419"/>
        <n x="420"/>
        <n x="611" s="1"/>
        <n x="685"/>
        <n x="686"/>
      </t>
    </mdx>
    <mdx n="0" f="v">
      <t c="6" si="614">
        <n x="610"/>
        <n x="419"/>
        <n x="420"/>
        <n x="611" s="1"/>
        <n x="687"/>
        <n x="688"/>
      </t>
    </mdx>
    <mdx n="0" f="v">
      <t c="6" si="614">
        <n x="610"/>
        <n x="419"/>
        <n x="420"/>
        <n x="611" s="1"/>
        <n x="689"/>
        <n x="690"/>
      </t>
    </mdx>
    <mdx n="0" f="v">
      <t c="6" si="614">
        <n x="610"/>
        <n x="419"/>
        <n x="420"/>
        <n x="611" s="1"/>
        <n x="691"/>
        <n x="692"/>
      </t>
    </mdx>
    <mdx n="0" f="v">
      <t c="6" si="614">
        <n x="610"/>
        <n x="419"/>
        <n x="420"/>
        <n x="611" s="1"/>
        <n x="695"/>
        <n x="696"/>
      </t>
    </mdx>
    <mdx n="0" f="v">
      <t c="6" si="614">
        <n x="610"/>
        <n x="419"/>
        <n x="420"/>
        <n x="611" s="1"/>
        <n x="697"/>
        <n x="698"/>
      </t>
    </mdx>
    <mdx n="0" f="v">
      <t c="6" si="614">
        <n x="610"/>
        <n x="419"/>
        <n x="420"/>
        <n x="611" s="1"/>
        <n x="699"/>
        <n x="700"/>
      </t>
    </mdx>
    <mdx n="0" f="v">
      <t c="6" si="614">
        <n x="610"/>
        <n x="419"/>
        <n x="420"/>
        <n x="611" s="1"/>
        <n x="701"/>
        <n x="702"/>
      </t>
    </mdx>
    <mdx n="0" f="v">
      <t c="6" si="614">
        <n x="610"/>
        <n x="421"/>
        <n x="422"/>
        <n x="611" s="1"/>
        <n x="612"/>
        <n x="613"/>
      </t>
    </mdx>
    <mdx n="0" f="v">
      <t c="6" si="614">
        <n x="610"/>
        <n x="421"/>
        <n x="422"/>
        <n x="611" s="1"/>
        <n x="615"/>
        <n x="616"/>
      </t>
    </mdx>
    <mdx n="0" f="v">
      <t c="6" si="614">
        <n x="610"/>
        <n x="421"/>
        <n x="422"/>
        <n x="611" s="1"/>
        <n x="617"/>
        <n x="618"/>
      </t>
    </mdx>
    <mdx n="0" f="v">
      <t c="6" si="614">
        <n x="610"/>
        <n x="421"/>
        <n x="422"/>
        <n x="611" s="1"/>
        <n x="619"/>
        <n x="620"/>
      </t>
    </mdx>
    <mdx n="0" f="v">
      <t c="6" si="614">
        <n x="610"/>
        <n x="421"/>
        <n x="422"/>
        <n x="611" s="1"/>
        <n x="621"/>
        <n x="622"/>
      </t>
    </mdx>
    <mdx n="0" f="v">
      <t c="6" si="614">
        <n x="610"/>
        <n x="421"/>
        <n x="422"/>
        <n x="611" s="1"/>
        <n x="625"/>
        <n x="626"/>
      </t>
    </mdx>
    <mdx n="0" f="v">
      <t c="6" si="614">
        <n x="610"/>
        <n x="421"/>
        <n x="422"/>
        <n x="611" s="1"/>
        <n x="627"/>
        <n x="628"/>
      </t>
    </mdx>
    <mdx n="0" f="v">
      <t c="6" si="614">
        <n x="610"/>
        <n x="421"/>
        <n x="422"/>
        <n x="611" s="1"/>
        <n x="631"/>
        <n x="632"/>
      </t>
    </mdx>
    <mdx n="0" f="v">
      <t c="6" si="614">
        <n x="610"/>
        <n x="421"/>
        <n x="422"/>
        <n x="611" s="1"/>
        <n x="635"/>
        <n x="636"/>
      </t>
    </mdx>
    <mdx n="0" f="v">
      <t c="6" si="614">
        <n x="610"/>
        <n x="421"/>
        <n x="422"/>
        <n x="611" s="1"/>
        <n x="641"/>
        <n x="642"/>
      </t>
    </mdx>
    <mdx n="0" f="v">
      <t c="6" si="614">
        <n x="610"/>
        <n x="421"/>
        <n x="422"/>
        <n x="611" s="1"/>
        <n x="643"/>
        <n x="644"/>
      </t>
    </mdx>
    <mdx n="0" f="v">
      <t c="6" si="614">
        <n x="610"/>
        <n x="421"/>
        <n x="422"/>
        <n x="611" s="1"/>
        <n x="645"/>
        <n x="646"/>
      </t>
    </mdx>
    <mdx n="0" f="v">
      <t c="6" si="614">
        <n x="610"/>
        <n x="421"/>
        <n x="422"/>
        <n x="611" s="1"/>
        <n x="647"/>
        <n x="648"/>
      </t>
    </mdx>
    <mdx n="0" f="v">
      <t c="6" si="614">
        <n x="610"/>
        <n x="421"/>
        <n x="422"/>
        <n x="611" s="1"/>
        <n x="649"/>
        <n x="650"/>
      </t>
    </mdx>
    <mdx n="0" f="v">
      <t c="6" si="614">
        <n x="610"/>
        <n x="421"/>
        <n x="422"/>
        <n x="611" s="1"/>
        <n x="651"/>
        <n x="652"/>
      </t>
    </mdx>
    <mdx n="0" f="v">
      <t c="6" si="614">
        <n x="610"/>
        <n x="421"/>
        <n x="422"/>
        <n x="611" s="1"/>
        <n x="657"/>
        <n x="658"/>
      </t>
    </mdx>
    <mdx n="0" f="v">
      <t c="6" si="614">
        <n x="610"/>
        <n x="421"/>
        <n x="422"/>
        <n x="611" s="1"/>
        <n x="659"/>
        <n x="660"/>
      </t>
    </mdx>
    <mdx n="0" f="v">
      <t c="6" si="614">
        <n x="610"/>
        <n x="421"/>
        <n x="422"/>
        <n x="611" s="1"/>
        <n x="663"/>
        <n x="664"/>
      </t>
    </mdx>
    <mdx n="0" f="v">
      <t c="6" si="614">
        <n x="610"/>
        <n x="421"/>
        <n x="422"/>
        <n x="611" s="1"/>
        <n x="665"/>
        <n x="666"/>
      </t>
    </mdx>
    <mdx n="0" f="v">
      <t c="6" si="614">
        <n x="610"/>
        <n x="421"/>
        <n x="422"/>
        <n x="611" s="1"/>
        <n x="667"/>
        <n x="668"/>
      </t>
    </mdx>
    <mdx n="0" f="v">
      <t c="6" si="614">
        <n x="610"/>
        <n x="421"/>
        <n x="422"/>
        <n x="611" s="1"/>
        <n x="669"/>
        <n x="670"/>
      </t>
    </mdx>
    <mdx n="0" f="v">
      <t c="6" si="614">
        <n x="610"/>
        <n x="421"/>
        <n x="422"/>
        <n x="611" s="1"/>
        <n x="671"/>
        <n x="672"/>
      </t>
    </mdx>
    <mdx n="0" f="v">
      <t c="6" si="614">
        <n x="610"/>
        <n x="421"/>
        <n x="422"/>
        <n x="611" s="1"/>
        <n x="673"/>
        <n x="674"/>
      </t>
    </mdx>
    <mdx n="0" f="v">
      <t c="6" si="614">
        <n x="610"/>
        <n x="421"/>
        <n x="422"/>
        <n x="611" s="1"/>
        <n x="675"/>
        <n x="676"/>
      </t>
    </mdx>
    <mdx n="0" f="v">
      <t c="6" si="614">
        <n x="610"/>
        <n x="421"/>
        <n x="422"/>
        <n x="611" s="1"/>
        <n x="677"/>
        <n x="678"/>
      </t>
    </mdx>
    <mdx n="0" f="v">
      <t c="6" si="614">
        <n x="610"/>
        <n x="421"/>
        <n x="422"/>
        <n x="611" s="1"/>
        <n x="681"/>
        <n x="682"/>
      </t>
    </mdx>
    <mdx n="0" f="v">
      <t c="6" si="614">
        <n x="610"/>
        <n x="421"/>
        <n x="422"/>
        <n x="611" s="1"/>
        <n x="683"/>
        <n x="684"/>
      </t>
    </mdx>
    <mdx n="0" f="v">
      <t c="6" si="614">
        <n x="610"/>
        <n x="421"/>
        <n x="422"/>
        <n x="611" s="1"/>
        <n x="687"/>
        <n x="688"/>
      </t>
    </mdx>
    <mdx n="0" f="v">
      <t c="6" si="614">
        <n x="610"/>
        <n x="421"/>
        <n x="422"/>
        <n x="611" s="1"/>
        <n x="697"/>
        <n x="698"/>
      </t>
    </mdx>
    <mdx n="0" f="v">
      <t c="6" si="614">
        <n x="610"/>
        <n x="421"/>
        <n x="422"/>
        <n x="611" s="1"/>
        <n x="699"/>
        <n x="700"/>
      </t>
    </mdx>
    <mdx n="0" f="v">
      <t c="6" si="614">
        <n x="610"/>
        <n x="421"/>
        <n x="422"/>
        <n x="611" s="1"/>
        <n x="701"/>
        <n x="702"/>
      </t>
    </mdx>
    <mdx n="0" f="v">
      <t c="6" si="614">
        <n x="610"/>
        <n x="421"/>
        <n x="422"/>
        <n x="611" s="1"/>
        <n x="703"/>
        <n x="704"/>
      </t>
    </mdx>
    <mdx n="0" f="v">
      <t c="6" si="614">
        <n x="610"/>
        <n x="423"/>
        <n x="424"/>
        <n x="611" s="1"/>
        <n x="612"/>
        <n x="613"/>
      </t>
    </mdx>
    <mdx n="0" f="v">
      <t c="6" si="614">
        <n x="610"/>
        <n x="423"/>
        <n x="424"/>
        <n x="611" s="1"/>
        <n x="615"/>
        <n x="616"/>
      </t>
    </mdx>
    <mdx n="0" f="v">
      <t c="6" si="614">
        <n x="610"/>
        <n x="423"/>
        <n x="424"/>
        <n x="611" s="1"/>
        <n x="617"/>
        <n x="618"/>
      </t>
    </mdx>
    <mdx n="0" f="v">
      <t c="6" si="614">
        <n x="610"/>
        <n x="423"/>
        <n x="424"/>
        <n x="611" s="1"/>
        <n x="619"/>
        <n x="620"/>
      </t>
    </mdx>
    <mdx n="0" f="v">
      <t c="6" si="614">
        <n x="610"/>
        <n x="423"/>
        <n x="424"/>
        <n x="611" s="1"/>
        <n x="621"/>
        <n x="622"/>
      </t>
    </mdx>
    <mdx n="0" f="v">
      <t c="6" si="614">
        <n x="610"/>
        <n x="423"/>
        <n x="424"/>
        <n x="611" s="1"/>
        <n x="623"/>
        <n x="624"/>
      </t>
    </mdx>
    <mdx n="0" f="v">
      <t c="6" si="614">
        <n x="610"/>
        <n x="423"/>
        <n x="424"/>
        <n x="611" s="1"/>
        <n x="625"/>
        <n x="626"/>
      </t>
    </mdx>
    <mdx n="0" f="v">
      <t c="6" si="614">
        <n x="610"/>
        <n x="423"/>
        <n x="424"/>
        <n x="611" s="1"/>
        <n x="627"/>
        <n x="628"/>
      </t>
    </mdx>
    <mdx n="0" f="v">
      <t c="6" si="614">
        <n x="610"/>
        <n x="423"/>
        <n x="424"/>
        <n x="611" s="1"/>
        <n x="629"/>
        <n x="630"/>
      </t>
    </mdx>
    <mdx n="0" f="v">
      <t c="6" si="614">
        <n x="610"/>
        <n x="423"/>
        <n x="424"/>
        <n x="611" s="1"/>
        <n x="633"/>
        <n x="634"/>
      </t>
    </mdx>
    <mdx n="0" f="v">
      <t c="6" si="614">
        <n x="610"/>
        <n x="423"/>
        <n x="424"/>
        <n x="611" s="1"/>
        <n x="635"/>
        <n x="636"/>
      </t>
    </mdx>
    <mdx n="0" f="v">
      <t c="6" si="614">
        <n x="610"/>
        <n x="423"/>
        <n x="424"/>
        <n x="611" s="1"/>
        <n x="637"/>
        <n x="638"/>
      </t>
    </mdx>
    <mdx n="0" f="v">
      <t c="6" si="614">
        <n x="610"/>
        <n x="423"/>
        <n x="424"/>
        <n x="611" s="1"/>
        <n x="639"/>
        <n x="640"/>
      </t>
    </mdx>
    <mdx n="0" f="v">
      <t c="6" si="614">
        <n x="610"/>
        <n x="423"/>
        <n x="424"/>
        <n x="611" s="1"/>
        <n x="641"/>
        <n x="642"/>
      </t>
    </mdx>
    <mdx n="0" f="v">
      <t c="6" si="614">
        <n x="610"/>
        <n x="423"/>
        <n x="424"/>
        <n x="611" s="1"/>
        <n x="643"/>
        <n x="644"/>
      </t>
    </mdx>
    <mdx n="0" f="v">
      <t c="6" si="614">
        <n x="610"/>
        <n x="423"/>
        <n x="424"/>
        <n x="611" s="1"/>
        <n x="645"/>
        <n x="646"/>
      </t>
    </mdx>
    <mdx n="0" f="v">
      <t c="6" si="614">
        <n x="610"/>
        <n x="423"/>
        <n x="424"/>
        <n x="611" s="1"/>
        <n x="647"/>
        <n x="648"/>
      </t>
    </mdx>
    <mdx n="0" f="v">
      <t c="6" si="614">
        <n x="610"/>
        <n x="423"/>
        <n x="424"/>
        <n x="611" s="1"/>
        <n x="651"/>
        <n x="652"/>
      </t>
    </mdx>
    <mdx n="0" f="v">
      <t c="6" si="614">
        <n x="610"/>
        <n x="423"/>
        <n x="424"/>
        <n x="611" s="1"/>
        <n x="653"/>
        <n x="654"/>
      </t>
    </mdx>
    <mdx n="0" f="v">
      <t c="6" si="614">
        <n x="610"/>
        <n x="423"/>
        <n x="424"/>
        <n x="611" s="1"/>
        <n x="655"/>
        <n x="656"/>
      </t>
    </mdx>
    <mdx n="0" f="v">
      <t c="6" si="614">
        <n x="610"/>
        <n x="423"/>
        <n x="424"/>
        <n x="611" s="1"/>
        <n x="657"/>
        <n x="658"/>
      </t>
    </mdx>
    <mdx n="0" f="v">
      <t c="6" si="614">
        <n x="610"/>
        <n x="423"/>
        <n x="424"/>
        <n x="611" s="1"/>
        <n x="661"/>
        <n x="662"/>
      </t>
    </mdx>
    <mdx n="0" f="v">
      <t c="6" si="614">
        <n x="610"/>
        <n x="423"/>
        <n x="424"/>
        <n x="611" s="1"/>
        <n x="663"/>
        <n x="664"/>
      </t>
    </mdx>
    <mdx n="0" f="v">
      <t c="6" si="614">
        <n x="610"/>
        <n x="423"/>
        <n x="424"/>
        <n x="611" s="1"/>
        <n x="665"/>
        <n x="666"/>
      </t>
    </mdx>
    <mdx n="0" f="v">
      <t c="6" si="614">
        <n x="610"/>
        <n x="423"/>
        <n x="424"/>
        <n x="611" s="1"/>
        <n x="667"/>
        <n x="668"/>
      </t>
    </mdx>
    <mdx n="0" f="v">
      <t c="6" si="614">
        <n x="610"/>
        <n x="423"/>
        <n x="424"/>
        <n x="611" s="1"/>
        <n x="669"/>
        <n x="670"/>
      </t>
    </mdx>
    <mdx n="0" f="v">
      <t c="6" si="614">
        <n x="610"/>
        <n x="423"/>
        <n x="424"/>
        <n x="611" s="1"/>
        <n x="673"/>
        <n x="674"/>
      </t>
    </mdx>
    <mdx n="0" f="v">
      <t c="6" si="614">
        <n x="610"/>
        <n x="423"/>
        <n x="424"/>
        <n x="611" s="1"/>
        <n x="677"/>
        <n x="678"/>
      </t>
    </mdx>
    <mdx n="0" f="v">
      <t c="6" si="614">
        <n x="610"/>
        <n x="423"/>
        <n x="424"/>
        <n x="611" s="1"/>
        <n x="679"/>
        <n x="680"/>
      </t>
    </mdx>
    <mdx n="0" f="v">
      <t c="6" si="614">
        <n x="610"/>
        <n x="423"/>
        <n x="424"/>
        <n x="611" s="1"/>
        <n x="681"/>
        <n x="682"/>
      </t>
    </mdx>
    <mdx n="0" f="v">
      <t c="6" si="614">
        <n x="610"/>
        <n x="423"/>
        <n x="424"/>
        <n x="611" s="1"/>
        <n x="683"/>
        <n x="684"/>
      </t>
    </mdx>
    <mdx n="0" f="v">
      <t c="6" si="614">
        <n x="610"/>
        <n x="423"/>
        <n x="424"/>
        <n x="611" s="1"/>
        <n x="685"/>
        <n x="686"/>
      </t>
    </mdx>
    <mdx n="0" f="v">
      <t c="6" si="614">
        <n x="610"/>
        <n x="423"/>
        <n x="424"/>
        <n x="611" s="1"/>
        <n x="687"/>
        <n x="688"/>
      </t>
    </mdx>
    <mdx n="0" f="v">
      <t c="6" si="614">
        <n x="610"/>
        <n x="423"/>
        <n x="424"/>
        <n x="611" s="1"/>
        <n x="691"/>
        <n x="692"/>
      </t>
    </mdx>
    <mdx n="0" f="v">
      <t c="6" si="614">
        <n x="610"/>
        <n x="423"/>
        <n x="424"/>
        <n x="611" s="1"/>
        <n x="693"/>
        <n x="694"/>
      </t>
    </mdx>
    <mdx n="0" f="v">
      <t c="6" si="614">
        <n x="610"/>
        <n x="423"/>
        <n x="424"/>
        <n x="611" s="1"/>
        <n x="695"/>
        <n x="696"/>
      </t>
    </mdx>
    <mdx n="0" f="v">
      <t c="6" si="614">
        <n x="610"/>
        <n x="423"/>
        <n x="424"/>
        <n x="611" s="1"/>
        <n x="699"/>
        <n x="700"/>
      </t>
    </mdx>
    <mdx n="0" f="v">
      <t c="6" si="614">
        <n x="610"/>
        <n x="423"/>
        <n x="424"/>
        <n x="611" s="1"/>
        <n x="701"/>
        <n x="702"/>
      </t>
    </mdx>
    <mdx n="0" f="v">
      <t c="6" si="614">
        <n x="610"/>
        <n x="423"/>
        <n x="424"/>
        <n x="611" s="1"/>
        <n x="705"/>
        <n x="706"/>
      </t>
    </mdx>
    <mdx n="0" f="v">
      <t c="6" si="614">
        <n x="610"/>
        <n x="423"/>
        <n x="424"/>
        <n x="611" s="1"/>
        <n x="707"/>
        <n x="708"/>
      </t>
    </mdx>
    <mdx n="0" f="v">
      <t c="6" si="614">
        <n x="610"/>
        <n x="425"/>
        <n x="426"/>
        <n x="611" s="1"/>
        <n x="612"/>
        <n x="613"/>
      </t>
    </mdx>
    <mdx n="0" f="v">
      <t c="6" si="614">
        <n x="610"/>
        <n x="425"/>
        <n x="426"/>
        <n x="611" s="1"/>
        <n x="617"/>
        <n x="618"/>
      </t>
    </mdx>
    <mdx n="0" f="v">
      <t c="6" si="614">
        <n x="610"/>
        <n x="425"/>
        <n x="426"/>
        <n x="611" s="1"/>
        <n x="619"/>
        <n x="620"/>
      </t>
    </mdx>
    <mdx n="0" f="v">
      <t c="6" si="614">
        <n x="610"/>
        <n x="425"/>
        <n x="426"/>
        <n x="611" s="1"/>
        <n x="623"/>
        <n x="624"/>
      </t>
    </mdx>
    <mdx n="0" f="v">
      <t c="6" si="614">
        <n x="610"/>
        <n x="425"/>
        <n x="426"/>
        <n x="611" s="1"/>
        <n x="625"/>
        <n x="626"/>
      </t>
    </mdx>
    <mdx n="0" f="v">
      <t c="6" si="614">
        <n x="610"/>
        <n x="425"/>
        <n x="426"/>
        <n x="611" s="1"/>
        <n x="627"/>
        <n x="628"/>
      </t>
    </mdx>
    <mdx n="0" f="v">
      <t c="6" si="614">
        <n x="610"/>
        <n x="425"/>
        <n x="426"/>
        <n x="611" s="1"/>
        <n x="635"/>
        <n x="636"/>
      </t>
    </mdx>
    <mdx n="0" f="v">
      <t c="6" si="614">
        <n x="610"/>
        <n x="425"/>
        <n x="426"/>
        <n x="611" s="1"/>
        <n x="645"/>
        <n x="646"/>
      </t>
    </mdx>
    <mdx n="0" f="v">
      <t c="6" si="614">
        <n x="610"/>
        <n x="425"/>
        <n x="426"/>
        <n x="611" s="1"/>
        <n x="649"/>
        <n x="650"/>
      </t>
    </mdx>
    <mdx n="0" f="v">
      <t c="6" si="614">
        <n x="610"/>
        <n x="425"/>
        <n x="426"/>
        <n x="611" s="1"/>
        <n x="651"/>
        <n x="652"/>
      </t>
    </mdx>
    <mdx n="0" f="v">
      <t c="6" si="614">
        <n x="610"/>
        <n x="425"/>
        <n x="426"/>
        <n x="611" s="1"/>
        <n x="657"/>
        <n x="658"/>
      </t>
    </mdx>
    <mdx n="0" f="v">
      <t c="6" si="614">
        <n x="610"/>
        <n x="425"/>
        <n x="426"/>
        <n x="611" s="1"/>
        <n x="659"/>
        <n x="660"/>
      </t>
    </mdx>
    <mdx n="0" f="v">
      <t c="6" si="614">
        <n x="610"/>
        <n x="425"/>
        <n x="426"/>
        <n x="611" s="1"/>
        <n x="663"/>
        <n x="664"/>
      </t>
    </mdx>
    <mdx n="0" f="v">
      <t c="6" si="614">
        <n x="610"/>
        <n x="425"/>
        <n x="426"/>
        <n x="611" s="1"/>
        <n x="667"/>
        <n x="668"/>
      </t>
    </mdx>
    <mdx n="0" f="v">
      <t c="6" si="614">
        <n x="610"/>
        <n x="425"/>
        <n x="426"/>
        <n x="611" s="1"/>
        <n x="669"/>
        <n x="670"/>
      </t>
    </mdx>
    <mdx n="0" f="v">
      <t c="6" si="614">
        <n x="610"/>
        <n x="425"/>
        <n x="426"/>
        <n x="611" s="1"/>
        <n x="671"/>
        <n x="672"/>
      </t>
    </mdx>
    <mdx n="0" f="v">
      <t c="6" si="614">
        <n x="610"/>
        <n x="425"/>
        <n x="426"/>
        <n x="611" s="1"/>
        <n x="677"/>
        <n x="678"/>
      </t>
    </mdx>
    <mdx n="0" f="v">
      <t c="6" si="614">
        <n x="610"/>
        <n x="425"/>
        <n x="426"/>
        <n x="611" s="1"/>
        <n x="679"/>
        <n x="680"/>
      </t>
    </mdx>
    <mdx n="0" f="v">
      <t c="6" si="614">
        <n x="610"/>
        <n x="425"/>
        <n x="426"/>
        <n x="611" s="1"/>
        <n x="681"/>
        <n x="682"/>
      </t>
    </mdx>
    <mdx n="0" f="v">
      <t c="6" si="614">
        <n x="610"/>
        <n x="425"/>
        <n x="426"/>
        <n x="611" s="1"/>
        <n x="683"/>
        <n x="684"/>
      </t>
    </mdx>
    <mdx n="0" f="v">
      <t c="6" si="614">
        <n x="610"/>
        <n x="425"/>
        <n x="426"/>
        <n x="611" s="1"/>
        <n x="685"/>
        <n x="686"/>
      </t>
    </mdx>
    <mdx n="0" f="v">
      <t c="6" si="614">
        <n x="610"/>
        <n x="425"/>
        <n x="426"/>
        <n x="611" s="1"/>
        <n x="687"/>
        <n x="688"/>
      </t>
    </mdx>
    <mdx n="0" f="v">
      <t c="6" si="614">
        <n x="610"/>
        <n x="425"/>
        <n x="426"/>
        <n x="611" s="1"/>
        <n x="695"/>
        <n x="696"/>
      </t>
    </mdx>
    <mdx n="0" f="v">
      <t c="6" si="614">
        <n x="610"/>
        <n x="425"/>
        <n x="426"/>
        <n x="611" s="1"/>
        <n x="703"/>
        <n x="704"/>
      </t>
    </mdx>
    <mdx n="0" f="v">
      <t c="6" si="614">
        <n x="610"/>
        <n x="425"/>
        <n x="426"/>
        <n x="611" s="1"/>
        <n x="705"/>
        <n x="706"/>
      </t>
    </mdx>
    <mdx n="0" f="v">
      <t c="6" si="614">
        <n x="610"/>
        <n x="427"/>
        <n x="428"/>
        <n x="611" s="1"/>
        <n x="612"/>
        <n x="613"/>
      </t>
    </mdx>
    <mdx n="0" f="v">
      <t c="6" si="614">
        <n x="610"/>
        <n x="427"/>
        <n x="428"/>
        <n x="611" s="1"/>
        <n x="615"/>
        <n x="616"/>
      </t>
    </mdx>
    <mdx n="0" f="v">
      <t c="6" si="614">
        <n x="610"/>
        <n x="427"/>
        <n x="428"/>
        <n x="611" s="1"/>
        <n x="619"/>
        <n x="620"/>
      </t>
    </mdx>
    <mdx n="0" f="v">
      <t c="6" si="614">
        <n x="610"/>
        <n x="427"/>
        <n x="428"/>
        <n x="611" s="1"/>
        <n x="621"/>
        <n x="622"/>
      </t>
    </mdx>
    <mdx n="0" f="v">
      <t c="6" si="614">
        <n x="610"/>
        <n x="427"/>
        <n x="428"/>
        <n x="611" s="1"/>
        <n x="623"/>
        <n x="624"/>
      </t>
    </mdx>
    <mdx n="0" f="v">
      <t c="6" si="614">
        <n x="610"/>
        <n x="427"/>
        <n x="428"/>
        <n x="611" s="1"/>
        <n x="625"/>
        <n x="626"/>
      </t>
    </mdx>
    <mdx n="0" f="v">
      <t c="6" si="614">
        <n x="610"/>
        <n x="427"/>
        <n x="428"/>
        <n x="611" s="1"/>
        <n x="627"/>
        <n x="628"/>
      </t>
    </mdx>
    <mdx n="0" f="v">
      <t c="6" si="614">
        <n x="610"/>
        <n x="427"/>
        <n x="428"/>
        <n x="611" s="1"/>
        <n x="635"/>
        <n x="636"/>
      </t>
    </mdx>
    <mdx n="0" f="v">
      <t c="6" si="614">
        <n x="610"/>
        <n x="427"/>
        <n x="428"/>
        <n x="611" s="1"/>
        <n x="637"/>
        <n x="638"/>
      </t>
    </mdx>
    <mdx n="0" f="v">
      <t c="6" si="614">
        <n x="610"/>
        <n x="427"/>
        <n x="428"/>
        <n x="611" s="1"/>
        <n x="641"/>
        <n x="642"/>
      </t>
    </mdx>
    <mdx n="0" f="v">
      <t c="6" si="614">
        <n x="610"/>
        <n x="427"/>
        <n x="428"/>
        <n x="611" s="1"/>
        <n x="643"/>
        <n x="644"/>
      </t>
    </mdx>
    <mdx n="0" f="v">
      <t c="6" si="614">
        <n x="610"/>
        <n x="427"/>
        <n x="428"/>
        <n x="611" s="1"/>
        <n x="645"/>
        <n x="646"/>
      </t>
    </mdx>
    <mdx n="0" f="v">
      <t c="6" si="614">
        <n x="610"/>
        <n x="427"/>
        <n x="428"/>
        <n x="611" s="1"/>
        <n x="649"/>
        <n x="650"/>
      </t>
    </mdx>
    <mdx n="0" f="v">
      <t c="6" si="614">
        <n x="610"/>
        <n x="427"/>
        <n x="428"/>
        <n x="611" s="1"/>
        <n x="657"/>
        <n x="658"/>
      </t>
    </mdx>
    <mdx n="0" f="v">
      <t c="6" si="614">
        <n x="610"/>
        <n x="427"/>
        <n x="428"/>
        <n x="611" s="1"/>
        <n x="659"/>
        <n x="660"/>
      </t>
    </mdx>
    <mdx n="0" f="v">
      <t c="6" si="614">
        <n x="610"/>
        <n x="427"/>
        <n x="428"/>
        <n x="611" s="1"/>
        <n x="667"/>
        <n x="668"/>
      </t>
    </mdx>
    <mdx n="0" f="v">
      <t c="6" si="614">
        <n x="610"/>
        <n x="427"/>
        <n x="428"/>
        <n x="611" s="1"/>
        <n x="669"/>
        <n x="670"/>
      </t>
    </mdx>
    <mdx n="0" f="v">
      <t c="6" si="614">
        <n x="610"/>
        <n x="427"/>
        <n x="428"/>
        <n x="611" s="1"/>
        <n x="671"/>
        <n x="672"/>
      </t>
    </mdx>
    <mdx n="0" f="v">
      <t c="6" si="614">
        <n x="610"/>
        <n x="427"/>
        <n x="428"/>
        <n x="611" s="1"/>
        <n x="679"/>
        <n x="680"/>
      </t>
    </mdx>
    <mdx n="0" f="v">
      <t c="6" si="614">
        <n x="610"/>
        <n x="427"/>
        <n x="428"/>
        <n x="611" s="1"/>
        <n x="681"/>
        <n x="682"/>
      </t>
    </mdx>
    <mdx n="0" f="v">
      <t c="6" si="614">
        <n x="610"/>
        <n x="427"/>
        <n x="428"/>
        <n x="611" s="1"/>
        <n x="687"/>
        <n x="688"/>
      </t>
    </mdx>
    <mdx n="0" f="v">
      <t c="6" si="614">
        <n x="610"/>
        <n x="427"/>
        <n x="428"/>
        <n x="611" s="1"/>
        <n x="689"/>
        <n x="690"/>
      </t>
    </mdx>
    <mdx n="0" f="v">
      <t c="6" si="614">
        <n x="610"/>
        <n x="427"/>
        <n x="428"/>
        <n x="611" s="1"/>
        <n x="691"/>
        <n x="692"/>
      </t>
    </mdx>
    <mdx n="0" f="v">
      <t c="6" si="614">
        <n x="610"/>
        <n x="427"/>
        <n x="428"/>
        <n x="611" s="1"/>
        <n x="695"/>
        <n x="696"/>
      </t>
    </mdx>
    <mdx n="0" f="v">
      <t c="6" si="614">
        <n x="610"/>
        <n x="427"/>
        <n x="428"/>
        <n x="611" s="1"/>
        <n x="697"/>
        <n x="698"/>
      </t>
    </mdx>
    <mdx n="0" f="v">
      <t c="6" si="614">
        <n x="610"/>
        <n x="427"/>
        <n x="428"/>
        <n x="611" s="1"/>
        <n x="699"/>
        <n x="700"/>
      </t>
    </mdx>
    <mdx n="0" f="v">
      <t c="6" si="614">
        <n x="610"/>
        <n x="427"/>
        <n x="428"/>
        <n x="611" s="1"/>
        <n x="701"/>
        <n x="702"/>
      </t>
    </mdx>
    <mdx n="0" f="v">
      <t c="6" si="614">
        <n x="610"/>
        <n x="427"/>
        <n x="428"/>
        <n x="611" s="1"/>
        <n x="703"/>
        <n x="704"/>
      </t>
    </mdx>
    <mdx n="0" f="v">
      <t c="6" si="614">
        <n x="610"/>
        <n x="427"/>
        <n x="428"/>
        <n x="611" s="1"/>
        <n x="705"/>
        <n x="706"/>
      </t>
    </mdx>
    <mdx n="0" f="v">
      <t c="6" si="614">
        <n x="610"/>
        <n x="429"/>
        <n x="430"/>
        <n x="611" s="1"/>
        <n x="612"/>
        <n x="613"/>
      </t>
    </mdx>
    <mdx n="0" f="v">
      <t c="6" si="614">
        <n x="610"/>
        <n x="429"/>
        <n x="430"/>
        <n x="611" s="1"/>
        <n x="615"/>
        <n x="616"/>
      </t>
    </mdx>
    <mdx n="0" f="v">
      <t c="6" si="614">
        <n x="610"/>
        <n x="429"/>
        <n x="430"/>
        <n x="611" s="1"/>
        <n x="617"/>
        <n x="618"/>
      </t>
    </mdx>
    <mdx n="0" f="v">
      <t c="6" si="614">
        <n x="610"/>
        <n x="429"/>
        <n x="430"/>
        <n x="611" s="1"/>
        <n x="619"/>
        <n x="620"/>
      </t>
    </mdx>
    <mdx n="0" f="v">
      <t c="6" si="614">
        <n x="610"/>
        <n x="429"/>
        <n x="430"/>
        <n x="611" s="1"/>
        <n x="621"/>
        <n x="622"/>
      </t>
    </mdx>
    <mdx n="0" f="v">
      <t c="6" si="614">
        <n x="610"/>
        <n x="429"/>
        <n x="430"/>
        <n x="611" s="1"/>
        <n x="623"/>
        <n x="624"/>
      </t>
    </mdx>
    <mdx n="0" f="v">
      <t c="6" si="614">
        <n x="610"/>
        <n x="429"/>
        <n x="430"/>
        <n x="611" s="1"/>
        <n x="625"/>
        <n x="626"/>
      </t>
    </mdx>
    <mdx n="0" f="v">
      <t c="6" si="614">
        <n x="610"/>
        <n x="429"/>
        <n x="430"/>
        <n x="611" s="1"/>
        <n x="627"/>
        <n x="628"/>
      </t>
    </mdx>
    <mdx n="0" f="v">
      <t c="6" si="614">
        <n x="610"/>
        <n x="429"/>
        <n x="430"/>
        <n x="611" s="1"/>
        <n x="631"/>
        <n x="632"/>
      </t>
    </mdx>
    <mdx n="0" f="v">
      <t c="6" si="614">
        <n x="610"/>
        <n x="429"/>
        <n x="430"/>
        <n x="611" s="1"/>
        <n x="635"/>
        <n x="636"/>
      </t>
    </mdx>
    <mdx n="0" f="v">
      <t c="6" si="614">
        <n x="610"/>
        <n x="429"/>
        <n x="430"/>
        <n x="611" s="1"/>
        <n x="641"/>
        <n x="642"/>
      </t>
    </mdx>
    <mdx n="0" f="v">
      <t c="6" si="614">
        <n x="610"/>
        <n x="429"/>
        <n x="430"/>
        <n x="611" s="1"/>
        <n x="643"/>
        <n x="644"/>
      </t>
    </mdx>
    <mdx n="0" f="v">
      <t c="6" si="614">
        <n x="610"/>
        <n x="429"/>
        <n x="430"/>
        <n x="611" s="1"/>
        <n x="645"/>
        <n x="646"/>
      </t>
    </mdx>
    <mdx n="0" f="v">
      <t c="6" si="614">
        <n x="610"/>
        <n x="429"/>
        <n x="430"/>
        <n x="611" s="1"/>
        <n x="649"/>
        <n x="650"/>
      </t>
    </mdx>
    <mdx n="0" f="v">
      <t c="6" si="614">
        <n x="610"/>
        <n x="429"/>
        <n x="430"/>
        <n x="611" s="1"/>
        <n x="651"/>
        <n x="652"/>
      </t>
    </mdx>
    <mdx n="0" f="v">
      <t c="6" si="614">
        <n x="610"/>
        <n x="429"/>
        <n x="430"/>
        <n x="611" s="1"/>
        <n x="657"/>
        <n x="658"/>
      </t>
    </mdx>
    <mdx n="0" f="v">
      <t c="6" si="614">
        <n x="610"/>
        <n x="429"/>
        <n x="430"/>
        <n x="611" s="1"/>
        <n x="659"/>
        <n x="660"/>
      </t>
    </mdx>
    <mdx n="0" f="v">
      <t c="6" si="614">
        <n x="610"/>
        <n x="429"/>
        <n x="430"/>
        <n x="611" s="1"/>
        <n x="661"/>
        <n x="662"/>
      </t>
    </mdx>
    <mdx n="0" f="v">
      <t c="6" si="614">
        <n x="610"/>
        <n x="429"/>
        <n x="430"/>
        <n x="611" s="1"/>
        <n x="663"/>
        <n x="664"/>
      </t>
    </mdx>
    <mdx n="0" f="v">
      <t c="6" si="614">
        <n x="610"/>
        <n x="429"/>
        <n x="430"/>
        <n x="611" s="1"/>
        <n x="665"/>
        <n x="666"/>
      </t>
    </mdx>
    <mdx n="0" f="v">
      <t c="6" si="614">
        <n x="610"/>
        <n x="429"/>
        <n x="430"/>
        <n x="611" s="1"/>
        <n x="667"/>
        <n x="668"/>
      </t>
    </mdx>
    <mdx n="0" f="v">
      <t c="6" si="614">
        <n x="610"/>
        <n x="429"/>
        <n x="430"/>
        <n x="611" s="1"/>
        <n x="669"/>
        <n x="670"/>
      </t>
    </mdx>
    <mdx n="0" f="v">
      <t c="6" si="614">
        <n x="610"/>
        <n x="429"/>
        <n x="430"/>
        <n x="611" s="1"/>
        <n x="675"/>
        <n x="676"/>
      </t>
    </mdx>
    <mdx n="0" f="v">
      <t c="6" si="614">
        <n x="610"/>
        <n x="429"/>
        <n x="430"/>
        <n x="611" s="1"/>
        <n x="677"/>
        <n x="678"/>
      </t>
    </mdx>
    <mdx n="0" f="v">
      <t c="6" si="614">
        <n x="610"/>
        <n x="429"/>
        <n x="430"/>
        <n x="611" s="1"/>
        <n x="681"/>
        <n x="682"/>
      </t>
    </mdx>
    <mdx n="0" f="v">
      <t c="6" si="614">
        <n x="610"/>
        <n x="429"/>
        <n x="430"/>
        <n x="611" s="1"/>
        <n x="685"/>
        <n x="686"/>
      </t>
    </mdx>
    <mdx n="0" f="v">
      <t c="6" si="614">
        <n x="610"/>
        <n x="429"/>
        <n x="430"/>
        <n x="611" s="1"/>
        <n x="687"/>
        <n x="688"/>
      </t>
    </mdx>
    <mdx n="0" f="v">
      <t c="6" si="614">
        <n x="610"/>
        <n x="429"/>
        <n x="430"/>
        <n x="611" s="1"/>
        <n x="689"/>
        <n x="690"/>
      </t>
    </mdx>
    <mdx n="0" f="v">
      <t c="6" si="614">
        <n x="610"/>
        <n x="429"/>
        <n x="430"/>
        <n x="611" s="1"/>
        <n x="699"/>
        <n x="700"/>
      </t>
    </mdx>
    <mdx n="0" f="v">
      <t c="6" si="614">
        <n x="610"/>
        <n x="429"/>
        <n x="430"/>
        <n x="611" s="1"/>
        <n x="703"/>
        <n x="704"/>
      </t>
    </mdx>
    <mdx n="0" f="v">
      <t c="6" si="614">
        <n x="610"/>
        <n x="429"/>
        <n x="430"/>
        <n x="611" s="1"/>
        <n x="705"/>
        <n x="706"/>
      </t>
    </mdx>
    <mdx n="0" f="v">
      <t c="6" si="614">
        <n x="610"/>
        <n x="429"/>
        <n x="430"/>
        <n x="611" s="1"/>
        <n x="707"/>
        <n x="708"/>
      </t>
    </mdx>
    <mdx n="0" f="v">
      <t c="6" si="614">
        <n x="610"/>
        <n x="431"/>
        <n x="432"/>
        <n x="611" s="1"/>
        <n x="612"/>
        <n x="613"/>
      </t>
    </mdx>
    <mdx n="0" f="v">
      <t c="6" si="614">
        <n x="610"/>
        <n x="431"/>
        <n x="432"/>
        <n x="611" s="1"/>
        <n x="615"/>
        <n x="616"/>
      </t>
    </mdx>
    <mdx n="0" f="v">
      <t c="6" si="614">
        <n x="610"/>
        <n x="431"/>
        <n x="432"/>
        <n x="611" s="1"/>
        <n x="617"/>
        <n x="618"/>
      </t>
    </mdx>
    <mdx n="0" f="v">
      <t c="6" si="614">
        <n x="610"/>
        <n x="431"/>
        <n x="432"/>
        <n x="611" s="1"/>
        <n x="621"/>
        <n x="622"/>
      </t>
    </mdx>
    <mdx n="0" f="v">
      <t c="6" si="614">
        <n x="610"/>
        <n x="431"/>
        <n x="432"/>
        <n x="611" s="1"/>
        <n x="625"/>
        <n x="626"/>
      </t>
    </mdx>
    <mdx n="0" f="v">
      <t c="6" si="614">
        <n x="610"/>
        <n x="431"/>
        <n x="432"/>
        <n x="611" s="1"/>
        <n x="627"/>
        <n x="628"/>
      </t>
    </mdx>
    <mdx n="0" f="v">
      <t c="6" si="614">
        <n x="610"/>
        <n x="431"/>
        <n x="432"/>
        <n x="611" s="1"/>
        <n x="629"/>
        <n x="630"/>
      </t>
    </mdx>
    <mdx n="0" f="v">
      <t c="6" si="614">
        <n x="610"/>
        <n x="431"/>
        <n x="432"/>
        <n x="611" s="1"/>
        <n x="633"/>
        <n x="634"/>
      </t>
    </mdx>
    <mdx n="0" f="v">
      <t c="6" si="614">
        <n x="610"/>
        <n x="431"/>
        <n x="432"/>
        <n x="611" s="1"/>
        <n x="635"/>
        <n x="636"/>
      </t>
    </mdx>
    <mdx n="0" f="v">
      <t c="6" si="614">
        <n x="610"/>
        <n x="431"/>
        <n x="432"/>
        <n x="611" s="1"/>
        <n x="637"/>
        <n x="638"/>
      </t>
    </mdx>
    <mdx n="0" f="v">
      <t c="6" si="614">
        <n x="610"/>
        <n x="431"/>
        <n x="432"/>
        <n x="611" s="1"/>
        <n x="639"/>
        <n x="640"/>
      </t>
    </mdx>
    <mdx n="0" f="v">
      <t c="6" si="614">
        <n x="610"/>
        <n x="431"/>
        <n x="432"/>
        <n x="611" s="1"/>
        <n x="643"/>
        <n x="644"/>
      </t>
    </mdx>
    <mdx n="0" f="v">
      <t c="6" si="614">
        <n x="610"/>
        <n x="431"/>
        <n x="432"/>
        <n x="611" s="1"/>
        <n x="647"/>
        <n x="648"/>
      </t>
    </mdx>
    <mdx n="0" f="v">
      <t c="6" si="614">
        <n x="610"/>
        <n x="431"/>
        <n x="432"/>
        <n x="611" s="1"/>
        <n x="651"/>
        <n x="652"/>
      </t>
    </mdx>
    <mdx n="0" f="v">
      <t c="6" si="614">
        <n x="610"/>
        <n x="431"/>
        <n x="432"/>
        <n x="611" s="1"/>
        <n x="655"/>
        <n x="656"/>
      </t>
    </mdx>
    <mdx n="0" f="v">
      <t c="6" si="614">
        <n x="610"/>
        <n x="431"/>
        <n x="432"/>
        <n x="611" s="1"/>
        <n x="657"/>
        <n x="658"/>
      </t>
    </mdx>
    <mdx n="0" f="v">
      <t c="6" si="614">
        <n x="610"/>
        <n x="431"/>
        <n x="432"/>
        <n x="611" s="1"/>
        <n x="659"/>
        <n x="660"/>
      </t>
    </mdx>
    <mdx n="0" f="v">
      <t c="6" si="614">
        <n x="610"/>
        <n x="431"/>
        <n x="432"/>
        <n x="611" s="1"/>
        <n x="661"/>
        <n x="662"/>
      </t>
    </mdx>
    <mdx n="0" f="v">
      <t c="6" si="614">
        <n x="610"/>
        <n x="431"/>
        <n x="432"/>
        <n x="611" s="1"/>
        <n x="663"/>
        <n x="664"/>
      </t>
    </mdx>
    <mdx n="0" f="v">
      <t c="6" si="614">
        <n x="610"/>
        <n x="431"/>
        <n x="432"/>
        <n x="611" s="1"/>
        <n x="665"/>
        <n x="666"/>
      </t>
    </mdx>
    <mdx n="0" f="v">
      <t c="6" si="614">
        <n x="610"/>
        <n x="431"/>
        <n x="432"/>
        <n x="611" s="1"/>
        <n x="667"/>
        <n x="668"/>
      </t>
    </mdx>
    <mdx n="0" f="v">
      <t c="6" si="614">
        <n x="610"/>
        <n x="431"/>
        <n x="432"/>
        <n x="611" s="1"/>
        <n x="669"/>
        <n x="670"/>
      </t>
    </mdx>
    <mdx n="0" f="v">
      <t c="6" si="614">
        <n x="610"/>
        <n x="431"/>
        <n x="432"/>
        <n x="611" s="1"/>
        <n x="673"/>
        <n x="674"/>
      </t>
    </mdx>
    <mdx n="0" f="v">
      <t c="6" si="614">
        <n x="610"/>
        <n x="431"/>
        <n x="432"/>
        <n x="611" s="1"/>
        <n x="675"/>
        <n x="676"/>
      </t>
    </mdx>
    <mdx n="0" f="v">
      <t c="6" si="614">
        <n x="610"/>
        <n x="431"/>
        <n x="432"/>
        <n x="611" s="1"/>
        <n x="677"/>
        <n x="678"/>
      </t>
    </mdx>
    <mdx n="0" f="v">
      <t c="6" si="614">
        <n x="610"/>
        <n x="431"/>
        <n x="432"/>
        <n x="611" s="1"/>
        <n x="679"/>
        <n x="680"/>
      </t>
    </mdx>
    <mdx n="0" f="v">
      <t c="6" si="614">
        <n x="610"/>
        <n x="431"/>
        <n x="432"/>
        <n x="611" s="1"/>
        <n x="681"/>
        <n x="682"/>
      </t>
    </mdx>
    <mdx n="0" f="v">
      <t c="6" si="614">
        <n x="610"/>
        <n x="431"/>
        <n x="432"/>
        <n x="611" s="1"/>
        <n x="683"/>
        <n x="684"/>
      </t>
    </mdx>
    <mdx n="0" f="v">
      <t c="6" si="614">
        <n x="610"/>
        <n x="431"/>
        <n x="432"/>
        <n x="611" s="1"/>
        <n x="685"/>
        <n x="686"/>
      </t>
    </mdx>
    <mdx n="0" f="v">
      <t c="6" si="614">
        <n x="610"/>
        <n x="431"/>
        <n x="432"/>
        <n x="611" s="1"/>
        <n x="687"/>
        <n x="688"/>
      </t>
    </mdx>
    <mdx n="0" f="v">
      <t c="6" si="614">
        <n x="610"/>
        <n x="431"/>
        <n x="432"/>
        <n x="611" s="1"/>
        <n x="691"/>
        <n x="692"/>
      </t>
    </mdx>
    <mdx n="0" f="v">
      <t c="6" si="614">
        <n x="610"/>
        <n x="431"/>
        <n x="432"/>
        <n x="611" s="1"/>
        <n x="693"/>
        <n x="694"/>
      </t>
    </mdx>
    <mdx n="0" f="v">
      <t c="6" si="614">
        <n x="610"/>
        <n x="431"/>
        <n x="432"/>
        <n x="611" s="1"/>
        <n x="697"/>
        <n x="698"/>
      </t>
    </mdx>
    <mdx n="0" f="v">
      <t c="6" si="614">
        <n x="610"/>
        <n x="431"/>
        <n x="432"/>
        <n x="611" s="1"/>
        <n x="699"/>
        <n x="700"/>
      </t>
    </mdx>
    <mdx n="0" f="v">
      <t c="6" si="614">
        <n x="610"/>
        <n x="431"/>
        <n x="432"/>
        <n x="611" s="1"/>
        <n x="703"/>
        <n x="704"/>
      </t>
    </mdx>
    <mdx n="0" f="v">
      <t c="6" si="614">
        <n x="610"/>
        <n x="431"/>
        <n x="432"/>
        <n x="611" s="1"/>
        <n x="705"/>
        <n x="706"/>
      </t>
    </mdx>
    <mdx n="0" f="v">
      <t c="6" si="614">
        <n x="610"/>
        <n x="431"/>
        <n x="432"/>
        <n x="611" s="1"/>
        <n x="707"/>
        <n x="708"/>
      </t>
    </mdx>
    <mdx n="0" f="v">
      <t c="6" si="614">
        <n x="610"/>
        <n x="433"/>
        <n x="434"/>
        <n x="611" s="1"/>
        <n x="612"/>
        <n x="613"/>
      </t>
    </mdx>
    <mdx n="0" f="v">
      <t c="6" si="614">
        <n x="610"/>
        <n x="433"/>
        <n x="434"/>
        <n x="611" s="1"/>
        <n x="615"/>
        <n x="616"/>
      </t>
    </mdx>
    <mdx n="0" f="v">
      <t c="6" si="614">
        <n x="610"/>
        <n x="433"/>
        <n x="434"/>
        <n x="611" s="1"/>
        <n x="617"/>
        <n x="618"/>
      </t>
    </mdx>
    <mdx n="0" f="v">
      <t c="6" si="614">
        <n x="610"/>
        <n x="433"/>
        <n x="434"/>
        <n x="611" s="1"/>
        <n x="619"/>
        <n x="620"/>
      </t>
    </mdx>
    <mdx n="0" f="v">
      <t c="6" si="614">
        <n x="610"/>
        <n x="433"/>
        <n x="434"/>
        <n x="611" s="1"/>
        <n x="621"/>
        <n x="622"/>
      </t>
    </mdx>
    <mdx n="0" f="v">
      <t c="6" si="614">
        <n x="610"/>
        <n x="433"/>
        <n x="434"/>
        <n x="611" s="1"/>
        <n x="623"/>
        <n x="624"/>
      </t>
    </mdx>
    <mdx n="0" f="v">
      <t c="6" si="614">
        <n x="610"/>
        <n x="433"/>
        <n x="434"/>
        <n x="611" s="1"/>
        <n x="627"/>
        <n x="628"/>
      </t>
    </mdx>
    <mdx n="0" f="v">
      <t c="6" si="614">
        <n x="610"/>
        <n x="433"/>
        <n x="434"/>
        <n x="611" s="1"/>
        <n x="629"/>
        <n x="630"/>
      </t>
    </mdx>
    <mdx n="0" f="v">
      <t c="6" si="614">
        <n x="610"/>
        <n x="433"/>
        <n x="434"/>
        <n x="611" s="1"/>
        <n x="631"/>
        <n x="632"/>
      </t>
    </mdx>
    <mdx n="0" f="v">
      <t c="6" si="614">
        <n x="610"/>
        <n x="433"/>
        <n x="434"/>
        <n x="611" s="1"/>
        <n x="633"/>
        <n x="634"/>
      </t>
    </mdx>
    <mdx n="0" f="v">
      <t c="6" si="614">
        <n x="610"/>
        <n x="433"/>
        <n x="434"/>
        <n x="611" s="1"/>
        <n x="635"/>
        <n x="636"/>
      </t>
    </mdx>
    <mdx n="0" f="v">
      <t c="6" si="614">
        <n x="610"/>
        <n x="433"/>
        <n x="434"/>
        <n x="611" s="1"/>
        <n x="637"/>
        <n x="638"/>
      </t>
    </mdx>
    <mdx n="0" f="v">
      <t c="6" si="614">
        <n x="610"/>
        <n x="433"/>
        <n x="434"/>
        <n x="611" s="1"/>
        <n x="639"/>
        <n x="640"/>
      </t>
    </mdx>
    <mdx n="0" f="v">
      <t c="6" si="614">
        <n x="610"/>
        <n x="433"/>
        <n x="434"/>
        <n x="611" s="1"/>
        <n x="641"/>
        <n x="642"/>
      </t>
    </mdx>
    <mdx n="0" f="v">
      <t c="6" si="614">
        <n x="610"/>
        <n x="433"/>
        <n x="434"/>
        <n x="611" s="1"/>
        <n x="643"/>
        <n x="644"/>
      </t>
    </mdx>
    <mdx n="0" f="v">
      <t c="6" si="614">
        <n x="610"/>
        <n x="433"/>
        <n x="434"/>
        <n x="611" s="1"/>
        <n x="645"/>
        <n x="646"/>
      </t>
    </mdx>
    <mdx n="0" f="v">
      <t c="6" si="614">
        <n x="610"/>
        <n x="433"/>
        <n x="434"/>
        <n x="611" s="1"/>
        <n x="647"/>
        <n x="648"/>
      </t>
    </mdx>
    <mdx n="0" f="v">
      <t c="6" si="614">
        <n x="610"/>
        <n x="433"/>
        <n x="434"/>
        <n x="611" s="1"/>
        <n x="651"/>
        <n x="652"/>
      </t>
    </mdx>
    <mdx n="0" f="v">
      <t c="6" si="614">
        <n x="610"/>
        <n x="433"/>
        <n x="434"/>
        <n x="611" s="1"/>
        <n x="653"/>
        <n x="654"/>
      </t>
    </mdx>
    <mdx n="0" f="v">
      <t c="6" si="614">
        <n x="610"/>
        <n x="433"/>
        <n x="434"/>
        <n x="611" s="1"/>
        <n x="655"/>
        <n x="656"/>
      </t>
    </mdx>
    <mdx n="0" f="v">
      <t c="6" si="614">
        <n x="610"/>
        <n x="433"/>
        <n x="434"/>
        <n x="611" s="1"/>
        <n x="657"/>
        <n x="658"/>
      </t>
    </mdx>
    <mdx n="0" f="v">
      <t c="6" si="614">
        <n x="610"/>
        <n x="433"/>
        <n x="434"/>
        <n x="611" s="1"/>
        <n x="659"/>
        <n x="660"/>
      </t>
    </mdx>
    <mdx n="0" f="v">
      <t c="6" si="614">
        <n x="610"/>
        <n x="433"/>
        <n x="434"/>
        <n x="611" s="1"/>
        <n x="661"/>
        <n x="662"/>
      </t>
    </mdx>
    <mdx n="0" f="v">
      <t c="6" si="614">
        <n x="610"/>
        <n x="433"/>
        <n x="434"/>
        <n x="611" s="1"/>
        <n x="663"/>
        <n x="664"/>
      </t>
    </mdx>
    <mdx n="0" f="v">
      <t c="6" si="614">
        <n x="610"/>
        <n x="433"/>
        <n x="434"/>
        <n x="611" s="1"/>
        <n x="665"/>
        <n x="666"/>
      </t>
    </mdx>
    <mdx n="0" f="v">
      <t c="6" si="614">
        <n x="610"/>
        <n x="433"/>
        <n x="434"/>
        <n x="611" s="1"/>
        <n x="667"/>
        <n x="668"/>
      </t>
    </mdx>
    <mdx n="0" f="v">
      <t c="6" si="614">
        <n x="610"/>
        <n x="433"/>
        <n x="434"/>
        <n x="611" s="1"/>
        <n x="669"/>
        <n x="670"/>
      </t>
    </mdx>
    <mdx n="0" f="v">
      <t c="6" si="614">
        <n x="610"/>
        <n x="433"/>
        <n x="434"/>
        <n x="611" s="1"/>
        <n x="671"/>
        <n x="672"/>
      </t>
    </mdx>
    <mdx n="0" f="v">
      <t c="6" si="614">
        <n x="610"/>
        <n x="433"/>
        <n x="434"/>
        <n x="611" s="1"/>
        <n x="675"/>
        <n x="676"/>
      </t>
    </mdx>
    <mdx n="0" f="v">
      <t c="6" si="614">
        <n x="610"/>
        <n x="433"/>
        <n x="434"/>
        <n x="611" s="1"/>
        <n x="679"/>
        <n x="680"/>
      </t>
    </mdx>
    <mdx n="0" f="v">
      <t c="6" si="614">
        <n x="610"/>
        <n x="433"/>
        <n x="434"/>
        <n x="611" s="1"/>
        <n x="681"/>
        <n x="682"/>
      </t>
    </mdx>
    <mdx n="0" f="v">
      <t c="6" si="614">
        <n x="610"/>
        <n x="433"/>
        <n x="434"/>
        <n x="611" s="1"/>
        <n x="683"/>
        <n x="684"/>
      </t>
    </mdx>
    <mdx n="0" f="v">
      <t c="6" si="614">
        <n x="610"/>
        <n x="433"/>
        <n x="434"/>
        <n x="611" s="1"/>
        <n x="687"/>
        <n x="688"/>
      </t>
    </mdx>
    <mdx n="0" f="v">
      <t c="6" si="614">
        <n x="610"/>
        <n x="433"/>
        <n x="434"/>
        <n x="611" s="1"/>
        <n x="689"/>
        <n x="690"/>
      </t>
    </mdx>
    <mdx n="0" f="v">
      <t c="6" si="614">
        <n x="610"/>
        <n x="433"/>
        <n x="434"/>
        <n x="611" s="1"/>
        <n x="691"/>
        <n x="692"/>
      </t>
    </mdx>
    <mdx n="0" f="v">
      <t c="6" si="614">
        <n x="610"/>
        <n x="433"/>
        <n x="434"/>
        <n x="611" s="1"/>
        <n x="693"/>
        <n x="694"/>
      </t>
    </mdx>
    <mdx n="0" f="v">
      <t c="6" si="614">
        <n x="610"/>
        <n x="433"/>
        <n x="434"/>
        <n x="611" s="1"/>
        <n x="695"/>
        <n x="696"/>
      </t>
    </mdx>
    <mdx n="0" f="v">
      <t c="6" si="614">
        <n x="610"/>
        <n x="433"/>
        <n x="434"/>
        <n x="611" s="1"/>
        <n x="697"/>
        <n x="698"/>
      </t>
    </mdx>
    <mdx n="0" f="v">
      <t c="6" si="614">
        <n x="610"/>
        <n x="433"/>
        <n x="434"/>
        <n x="611" s="1"/>
        <n x="701"/>
        <n x="702"/>
      </t>
    </mdx>
    <mdx n="0" f="v">
      <t c="6" si="614">
        <n x="610"/>
        <n x="433"/>
        <n x="434"/>
        <n x="611" s="1"/>
        <n x="703"/>
        <n x="704"/>
      </t>
    </mdx>
    <mdx n="0" f="v">
      <t c="6" si="614">
        <n x="610"/>
        <n x="433"/>
        <n x="434"/>
        <n x="611" s="1"/>
        <n x="705"/>
        <n x="706"/>
      </t>
    </mdx>
    <mdx n="0" f="v">
      <t c="6" si="614">
        <n x="610"/>
        <n x="433"/>
        <n x="434"/>
        <n x="611" s="1"/>
        <n x="707"/>
        <n x="708"/>
      </t>
    </mdx>
    <mdx n="0" f="v">
      <t c="6" si="614">
        <n x="610"/>
        <n x="435"/>
        <n x="436"/>
        <n x="611" s="1"/>
        <n x="612"/>
        <n x="613"/>
      </t>
    </mdx>
    <mdx n="0" f="v">
      <t c="6" si="614">
        <n x="610"/>
        <n x="435"/>
        <n x="436"/>
        <n x="611" s="1"/>
        <n x="615"/>
        <n x="616"/>
      </t>
    </mdx>
    <mdx n="0" f="v">
      <t c="6" si="614">
        <n x="610"/>
        <n x="435"/>
        <n x="436"/>
        <n x="611" s="1"/>
        <n x="619"/>
        <n x="620"/>
      </t>
    </mdx>
    <mdx n="0" f="v">
      <t c="6" si="614">
        <n x="610"/>
        <n x="435"/>
        <n x="436"/>
        <n x="611" s="1"/>
        <n x="621"/>
        <n x="622"/>
      </t>
    </mdx>
    <mdx n="0" f="v">
      <t c="6" si="614">
        <n x="610"/>
        <n x="435"/>
        <n x="436"/>
        <n x="611" s="1"/>
        <n x="623"/>
        <n x="624"/>
      </t>
    </mdx>
    <mdx n="0" f="v">
      <t c="6" si="614">
        <n x="610"/>
        <n x="435"/>
        <n x="436"/>
        <n x="611" s="1"/>
        <n x="625"/>
        <n x="626"/>
      </t>
    </mdx>
    <mdx n="0" f="v">
      <t c="6" si="614">
        <n x="610"/>
        <n x="435"/>
        <n x="436"/>
        <n x="611" s="1"/>
        <n x="627"/>
        <n x="628"/>
      </t>
    </mdx>
    <mdx n="0" f="v">
      <t c="6" si="614">
        <n x="610"/>
        <n x="435"/>
        <n x="436"/>
        <n x="611" s="1"/>
        <n x="629"/>
        <n x="630"/>
      </t>
    </mdx>
    <mdx n="0" f="v">
      <t c="6" si="614">
        <n x="610"/>
        <n x="435"/>
        <n x="436"/>
        <n x="611" s="1"/>
        <n x="633"/>
        <n x="634"/>
      </t>
    </mdx>
    <mdx n="0" f="v">
      <t c="6" si="614">
        <n x="610"/>
        <n x="435"/>
        <n x="436"/>
        <n x="611" s="1"/>
        <n x="635"/>
        <n x="636"/>
      </t>
    </mdx>
    <mdx n="0" f="v">
      <t c="6" si="614">
        <n x="610"/>
        <n x="435"/>
        <n x="436"/>
        <n x="611" s="1"/>
        <n x="637"/>
        <n x="638"/>
      </t>
    </mdx>
    <mdx n="0" f="v">
      <t c="6" si="614">
        <n x="610"/>
        <n x="435"/>
        <n x="436"/>
        <n x="611" s="1"/>
        <n x="639"/>
        <n x="640"/>
      </t>
    </mdx>
    <mdx n="0" f="v">
      <t c="6" si="614">
        <n x="610"/>
        <n x="435"/>
        <n x="436"/>
        <n x="611" s="1"/>
        <n x="641"/>
        <n x="642"/>
      </t>
    </mdx>
    <mdx n="0" f="v">
      <t c="6" si="614">
        <n x="610"/>
        <n x="435"/>
        <n x="436"/>
        <n x="611" s="1"/>
        <n x="643"/>
        <n x="644"/>
      </t>
    </mdx>
    <mdx n="0" f="v">
      <t c="6" si="614">
        <n x="610"/>
        <n x="435"/>
        <n x="436"/>
        <n x="611" s="1"/>
        <n x="645"/>
        <n x="646"/>
      </t>
    </mdx>
    <mdx n="0" f="v">
      <t c="6" si="614">
        <n x="610"/>
        <n x="435"/>
        <n x="436"/>
        <n x="611" s="1"/>
        <n x="647"/>
        <n x="648"/>
      </t>
    </mdx>
    <mdx n="0" f="v">
      <t c="6" si="614">
        <n x="610"/>
        <n x="435"/>
        <n x="436"/>
        <n x="611" s="1"/>
        <n x="649"/>
        <n x="650"/>
      </t>
    </mdx>
    <mdx n="0" f="v">
      <t c="6" si="614">
        <n x="610"/>
        <n x="435"/>
        <n x="436"/>
        <n x="611" s="1"/>
        <n x="651"/>
        <n x="652"/>
      </t>
    </mdx>
    <mdx n="0" f="v">
      <t c="6" si="614">
        <n x="610"/>
        <n x="435"/>
        <n x="436"/>
        <n x="611" s="1"/>
        <n x="655"/>
        <n x="656"/>
      </t>
    </mdx>
    <mdx n="0" f="v">
      <t c="6" si="614">
        <n x="610"/>
        <n x="435"/>
        <n x="436"/>
        <n x="611" s="1"/>
        <n x="657"/>
        <n x="658"/>
      </t>
    </mdx>
    <mdx n="0" f="v">
      <t c="6" si="614">
        <n x="610"/>
        <n x="435"/>
        <n x="436"/>
        <n x="611" s="1"/>
        <n x="659"/>
        <n x="660"/>
      </t>
    </mdx>
    <mdx n="0" f="v">
      <t c="6" si="614">
        <n x="610"/>
        <n x="435"/>
        <n x="436"/>
        <n x="611" s="1"/>
        <n x="661"/>
        <n x="662"/>
      </t>
    </mdx>
    <mdx n="0" f="v">
      <t c="6" si="614">
        <n x="610"/>
        <n x="435"/>
        <n x="436"/>
        <n x="611" s="1"/>
        <n x="663"/>
        <n x="664"/>
      </t>
    </mdx>
    <mdx n="0" f="v">
      <t c="6" si="614">
        <n x="610"/>
        <n x="435"/>
        <n x="436"/>
        <n x="611" s="1"/>
        <n x="665"/>
        <n x="666"/>
      </t>
    </mdx>
    <mdx n="0" f="v">
      <t c="6" si="614">
        <n x="610"/>
        <n x="435"/>
        <n x="436"/>
        <n x="611" s="1"/>
        <n x="667"/>
        <n x="668"/>
      </t>
    </mdx>
    <mdx n="0" f="v">
      <t c="6" si="614">
        <n x="610"/>
        <n x="435"/>
        <n x="436"/>
        <n x="611" s="1"/>
        <n x="671"/>
        <n x="672"/>
      </t>
    </mdx>
    <mdx n="0" f="v">
      <t c="6" si="614">
        <n x="610"/>
        <n x="435"/>
        <n x="436"/>
        <n x="611" s="1"/>
        <n x="673"/>
        <n x="674"/>
      </t>
    </mdx>
    <mdx n="0" f="v">
      <t c="6" si="614">
        <n x="610"/>
        <n x="435"/>
        <n x="436"/>
        <n x="611" s="1"/>
        <n x="675"/>
        <n x="676"/>
      </t>
    </mdx>
    <mdx n="0" f="v">
      <t c="6" si="614">
        <n x="610"/>
        <n x="435"/>
        <n x="436"/>
        <n x="611" s="1"/>
        <n x="677"/>
        <n x="678"/>
      </t>
    </mdx>
    <mdx n="0" f="v">
      <t c="6" si="614">
        <n x="610"/>
        <n x="435"/>
        <n x="436"/>
        <n x="611" s="1"/>
        <n x="681"/>
        <n x="682"/>
      </t>
    </mdx>
    <mdx n="0" f="v">
      <t c="6" si="614">
        <n x="610"/>
        <n x="435"/>
        <n x="436"/>
        <n x="611" s="1"/>
        <n x="687"/>
        <n x="688"/>
      </t>
    </mdx>
    <mdx n="0" f="v">
      <t c="6" si="614">
        <n x="610"/>
        <n x="435"/>
        <n x="436"/>
        <n x="611" s="1"/>
        <n x="689"/>
        <n x="690"/>
      </t>
    </mdx>
    <mdx n="0" f="v">
      <t c="6" si="614">
        <n x="610"/>
        <n x="435"/>
        <n x="436"/>
        <n x="611" s="1"/>
        <n x="691"/>
        <n x="692"/>
      </t>
    </mdx>
    <mdx n="0" f="v">
      <t c="6" si="614">
        <n x="610"/>
        <n x="435"/>
        <n x="436"/>
        <n x="611" s="1"/>
        <n x="693"/>
        <n x="694"/>
      </t>
    </mdx>
    <mdx n="0" f="v">
      <t c="6" si="614">
        <n x="610"/>
        <n x="435"/>
        <n x="436"/>
        <n x="611" s="1"/>
        <n x="697"/>
        <n x="698"/>
      </t>
    </mdx>
    <mdx n="0" f="v">
      <t c="6" si="614">
        <n x="610"/>
        <n x="435"/>
        <n x="436"/>
        <n x="611" s="1"/>
        <n x="699"/>
        <n x="700"/>
      </t>
    </mdx>
    <mdx n="0" f="v">
      <t c="6" si="614">
        <n x="610"/>
        <n x="435"/>
        <n x="436"/>
        <n x="611" s="1"/>
        <n x="703"/>
        <n x="704"/>
      </t>
    </mdx>
    <mdx n="0" f="v">
      <t c="6" si="614">
        <n x="610"/>
        <n x="435"/>
        <n x="436"/>
        <n x="611" s="1"/>
        <n x="705"/>
        <n x="706"/>
      </t>
    </mdx>
    <mdx n="0" f="v">
      <t c="6" si="614">
        <n x="610"/>
        <n x="435"/>
        <n x="436"/>
        <n x="611" s="1"/>
        <n x="707"/>
        <n x="708"/>
      </t>
    </mdx>
    <mdx n="0" f="v">
      <t c="6" si="614">
        <n x="610"/>
        <n x="437"/>
        <n x="438"/>
        <n x="611" s="1"/>
        <n x="612"/>
        <n x="613"/>
      </t>
    </mdx>
    <mdx n="0" f="v">
      <t c="6" si="614">
        <n x="610"/>
        <n x="437"/>
        <n x="438"/>
        <n x="611" s="1"/>
        <n x="615"/>
        <n x="616"/>
      </t>
    </mdx>
    <mdx n="0" f="v">
      <t c="6" si="614">
        <n x="610"/>
        <n x="437"/>
        <n x="438"/>
        <n x="611" s="1"/>
        <n x="617"/>
        <n x="618"/>
      </t>
    </mdx>
    <mdx n="0" f="v">
      <t c="6" si="614">
        <n x="610"/>
        <n x="437"/>
        <n x="438"/>
        <n x="611" s="1"/>
        <n x="619"/>
        <n x="620"/>
      </t>
    </mdx>
    <mdx n="0" f="v">
      <t c="6" si="614">
        <n x="610"/>
        <n x="437"/>
        <n x="438"/>
        <n x="611" s="1"/>
        <n x="623"/>
        <n x="624"/>
      </t>
    </mdx>
    <mdx n="0" f="v">
      <t c="6" si="614">
        <n x="610"/>
        <n x="437"/>
        <n x="438"/>
        <n x="611" s="1"/>
        <n x="625"/>
        <n x="626"/>
      </t>
    </mdx>
    <mdx n="0" f="v">
      <t c="6" si="614">
        <n x="610"/>
        <n x="437"/>
        <n x="438"/>
        <n x="611" s="1"/>
        <n x="627"/>
        <n x="628"/>
      </t>
    </mdx>
    <mdx n="0" f="v">
      <t c="6" si="614">
        <n x="610"/>
        <n x="437"/>
        <n x="438"/>
        <n x="611" s="1"/>
        <n x="629"/>
        <n x="630"/>
      </t>
    </mdx>
    <mdx n="0" f="v">
      <t c="6" si="614">
        <n x="610"/>
        <n x="437"/>
        <n x="438"/>
        <n x="611" s="1"/>
        <n x="631"/>
        <n x="632"/>
      </t>
    </mdx>
    <mdx n="0" f="v">
      <t c="6" si="614">
        <n x="610"/>
        <n x="437"/>
        <n x="438"/>
        <n x="611" s="1"/>
        <n x="633"/>
        <n x="634"/>
      </t>
    </mdx>
    <mdx n="0" f="v">
      <t c="6" si="614">
        <n x="610"/>
        <n x="437"/>
        <n x="438"/>
        <n x="611" s="1"/>
        <n x="635"/>
        <n x="636"/>
      </t>
    </mdx>
    <mdx n="0" f="v">
      <t c="6" si="614">
        <n x="610"/>
        <n x="437"/>
        <n x="438"/>
        <n x="611" s="1"/>
        <n x="637"/>
        <n x="638"/>
      </t>
    </mdx>
    <mdx n="0" f="v">
      <t c="6" si="614">
        <n x="610"/>
        <n x="437"/>
        <n x="438"/>
        <n x="611" s="1"/>
        <n x="639"/>
        <n x="640"/>
      </t>
    </mdx>
    <mdx n="0" f="v">
      <t c="6" si="614">
        <n x="610"/>
        <n x="437"/>
        <n x="438"/>
        <n x="611" s="1"/>
        <n x="641"/>
        <n x="642"/>
      </t>
    </mdx>
    <mdx n="0" f="v">
      <t c="6" si="614">
        <n x="610"/>
        <n x="437"/>
        <n x="438"/>
        <n x="611" s="1"/>
        <n x="643"/>
        <n x="644"/>
      </t>
    </mdx>
    <mdx n="0" f="v">
      <t c="6" si="614">
        <n x="610"/>
        <n x="437"/>
        <n x="438"/>
        <n x="611" s="1"/>
        <n x="645"/>
        <n x="646"/>
      </t>
    </mdx>
    <mdx n="0" f="v">
      <t c="6" si="614">
        <n x="610"/>
        <n x="437"/>
        <n x="438"/>
        <n x="611" s="1"/>
        <n x="647"/>
        <n x="648"/>
      </t>
    </mdx>
    <mdx n="0" f="v">
      <t c="6" si="614">
        <n x="610"/>
        <n x="437"/>
        <n x="438"/>
        <n x="611" s="1"/>
        <n x="649"/>
        <n x="650"/>
      </t>
    </mdx>
    <mdx n="0" f="v">
      <t c="6" si="614">
        <n x="610"/>
        <n x="437"/>
        <n x="438"/>
        <n x="611" s="1"/>
        <n x="651"/>
        <n x="652"/>
      </t>
    </mdx>
    <mdx n="0" f="v">
      <t c="6" si="614">
        <n x="610"/>
        <n x="437"/>
        <n x="438"/>
        <n x="611" s="1"/>
        <n x="655"/>
        <n x="656"/>
      </t>
    </mdx>
    <mdx n="0" f="v">
      <t c="6" si="614">
        <n x="610"/>
        <n x="437"/>
        <n x="438"/>
        <n x="611" s="1"/>
        <n x="657"/>
        <n x="658"/>
      </t>
    </mdx>
    <mdx n="0" f="v">
      <t c="6" si="614">
        <n x="610"/>
        <n x="437"/>
        <n x="438"/>
        <n x="611" s="1"/>
        <n x="659"/>
        <n x="660"/>
      </t>
    </mdx>
    <mdx n="0" f="v">
      <t c="6" si="614">
        <n x="610"/>
        <n x="437"/>
        <n x="438"/>
        <n x="611" s="1"/>
        <n x="661"/>
        <n x="662"/>
      </t>
    </mdx>
    <mdx n="0" f="v">
      <t c="6" si="614">
        <n x="610"/>
        <n x="437"/>
        <n x="438"/>
        <n x="611" s="1"/>
        <n x="663"/>
        <n x="664"/>
      </t>
    </mdx>
    <mdx n="0" f="v">
      <t c="6" si="614">
        <n x="610"/>
        <n x="437"/>
        <n x="438"/>
        <n x="611" s="1"/>
        <n x="667"/>
        <n x="668"/>
      </t>
    </mdx>
    <mdx n="0" f="v">
      <t c="6" si="614">
        <n x="610"/>
        <n x="437"/>
        <n x="438"/>
        <n x="611" s="1"/>
        <n x="669"/>
        <n x="670"/>
      </t>
    </mdx>
    <mdx n="0" f="v">
      <t c="6" si="614">
        <n x="610"/>
        <n x="437"/>
        <n x="438"/>
        <n x="611" s="1"/>
        <n x="671"/>
        <n x="672"/>
      </t>
    </mdx>
    <mdx n="0" f="v">
      <t c="6" si="614">
        <n x="610"/>
        <n x="437"/>
        <n x="438"/>
        <n x="611" s="1"/>
        <n x="675"/>
        <n x="676"/>
      </t>
    </mdx>
    <mdx n="0" f="v">
      <t c="6" si="614">
        <n x="610"/>
        <n x="437"/>
        <n x="438"/>
        <n x="611" s="1"/>
        <n x="677"/>
        <n x="678"/>
      </t>
    </mdx>
    <mdx n="0" f="v">
      <t c="6" si="614">
        <n x="610"/>
        <n x="437"/>
        <n x="438"/>
        <n x="611" s="1"/>
        <n x="679"/>
        <n x="680"/>
      </t>
    </mdx>
    <mdx n="0" f="v">
      <t c="6" si="614">
        <n x="610"/>
        <n x="437"/>
        <n x="438"/>
        <n x="611" s="1"/>
        <n x="681"/>
        <n x="682"/>
      </t>
    </mdx>
    <mdx n="0" f="v">
      <t c="6" si="614">
        <n x="610"/>
        <n x="437"/>
        <n x="438"/>
        <n x="611" s="1"/>
        <n x="685"/>
        <n x="686"/>
      </t>
    </mdx>
    <mdx n="0" f="v">
      <t c="6" si="614">
        <n x="610"/>
        <n x="437"/>
        <n x="438"/>
        <n x="611" s="1"/>
        <n x="687"/>
        <n x="688"/>
      </t>
    </mdx>
    <mdx n="0" f="v">
      <t c="6" si="614">
        <n x="610"/>
        <n x="437"/>
        <n x="438"/>
        <n x="611" s="1"/>
        <n x="689"/>
        <n x="690"/>
      </t>
    </mdx>
    <mdx n="0" f="v">
      <t c="6" si="614">
        <n x="610"/>
        <n x="437"/>
        <n x="438"/>
        <n x="611" s="1"/>
        <n x="691"/>
        <n x="692"/>
      </t>
    </mdx>
    <mdx n="0" f="v">
      <t c="6" si="614">
        <n x="610"/>
        <n x="437"/>
        <n x="438"/>
        <n x="611" s="1"/>
        <n x="695"/>
        <n x="696"/>
      </t>
    </mdx>
    <mdx n="0" f="v">
      <t c="6" si="614">
        <n x="610"/>
        <n x="437"/>
        <n x="438"/>
        <n x="611" s="1"/>
        <n x="697"/>
        <n x="698"/>
      </t>
    </mdx>
    <mdx n="0" f="v">
      <t c="6" si="614">
        <n x="610"/>
        <n x="437"/>
        <n x="438"/>
        <n x="611" s="1"/>
        <n x="701"/>
        <n x="702"/>
      </t>
    </mdx>
    <mdx n="0" f="v">
      <t c="6" si="614">
        <n x="610"/>
        <n x="437"/>
        <n x="438"/>
        <n x="611" s="1"/>
        <n x="703"/>
        <n x="704"/>
      </t>
    </mdx>
    <mdx n="0" f="v">
      <t c="6" si="614">
        <n x="610"/>
        <n x="437"/>
        <n x="438"/>
        <n x="611" s="1"/>
        <n x="707"/>
        <n x="708"/>
      </t>
    </mdx>
    <mdx n="0" f="v">
      <t c="6" si="614">
        <n x="610"/>
        <n x="439"/>
        <n x="440"/>
        <n x="611" s="1"/>
        <n x="612"/>
        <n x="613"/>
      </t>
    </mdx>
    <mdx n="0" f="v">
      <t c="6" si="614">
        <n x="610"/>
        <n x="439"/>
        <n x="440"/>
        <n x="611" s="1"/>
        <n x="615"/>
        <n x="616"/>
      </t>
    </mdx>
    <mdx n="0" f="v">
      <t c="6" si="614">
        <n x="610"/>
        <n x="439"/>
        <n x="440"/>
        <n x="611" s="1"/>
        <n x="617"/>
        <n x="618"/>
      </t>
    </mdx>
    <mdx n="0" f="v">
      <t c="6" si="614">
        <n x="610"/>
        <n x="439"/>
        <n x="440"/>
        <n x="611" s="1"/>
        <n x="619"/>
        <n x="620"/>
      </t>
    </mdx>
    <mdx n="0" f="v">
      <t c="6" si="614">
        <n x="610"/>
        <n x="439"/>
        <n x="440"/>
        <n x="611" s="1"/>
        <n x="621"/>
        <n x="622"/>
      </t>
    </mdx>
    <mdx n="0" f="v">
      <t c="6" si="614">
        <n x="610"/>
        <n x="439"/>
        <n x="440"/>
        <n x="611" s="1"/>
        <n x="623"/>
        <n x="624"/>
      </t>
    </mdx>
    <mdx n="0" f="v">
      <t c="6" si="614">
        <n x="610"/>
        <n x="439"/>
        <n x="440"/>
        <n x="611" s="1"/>
        <n x="627"/>
        <n x="628"/>
      </t>
    </mdx>
    <mdx n="0" f="v">
      <t c="6" si="614">
        <n x="610"/>
        <n x="439"/>
        <n x="440"/>
        <n x="611" s="1"/>
        <n x="631"/>
        <n x="632"/>
      </t>
    </mdx>
    <mdx n="0" f="v">
      <t c="6" si="614">
        <n x="610"/>
        <n x="439"/>
        <n x="440"/>
        <n x="611" s="1"/>
        <n x="635"/>
        <n x="636"/>
      </t>
    </mdx>
    <mdx n="0" f="v">
      <t c="6" si="614">
        <n x="610"/>
        <n x="439"/>
        <n x="440"/>
        <n x="611" s="1"/>
        <n x="647"/>
        <n x="648"/>
      </t>
    </mdx>
    <mdx n="0" f="v">
      <t c="6" si="614">
        <n x="610"/>
        <n x="439"/>
        <n x="440"/>
        <n x="611" s="1"/>
        <n x="651"/>
        <n x="652"/>
      </t>
    </mdx>
    <mdx n="0" f="v">
      <t c="6" si="614">
        <n x="610"/>
        <n x="439"/>
        <n x="440"/>
        <n x="611" s="1"/>
        <n x="653"/>
        <n x="654"/>
      </t>
    </mdx>
    <mdx n="0" f="v">
      <t c="6" si="614">
        <n x="610"/>
        <n x="439"/>
        <n x="440"/>
        <n x="611" s="1"/>
        <n x="655"/>
        <n x="656"/>
      </t>
    </mdx>
    <mdx n="0" f="v">
      <t c="6" si="614">
        <n x="610"/>
        <n x="439"/>
        <n x="440"/>
        <n x="611" s="1"/>
        <n x="657"/>
        <n x="658"/>
      </t>
    </mdx>
    <mdx n="0" f="v">
      <t c="6" si="614">
        <n x="610"/>
        <n x="439"/>
        <n x="440"/>
        <n x="611" s="1"/>
        <n x="659"/>
        <n x="660"/>
      </t>
    </mdx>
    <mdx n="0" f="v">
      <t c="6" si="614">
        <n x="610"/>
        <n x="439"/>
        <n x="440"/>
        <n x="611" s="1"/>
        <n x="663"/>
        <n x="664"/>
      </t>
    </mdx>
    <mdx n="0" f="v">
      <t c="6" si="614">
        <n x="610"/>
        <n x="439"/>
        <n x="440"/>
        <n x="611" s="1"/>
        <n x="665"/>
        <n x="666"/>
      </t>
    </mdx>
    <mdx n="0" f="v">
      <t c="6" si="614">
        <n x="610"/>
        <n x="439"/>
        <n x="440"/>
        <n x="611" s="1"/>
        <n x="667"/>
        <n x="668"/>
      </t>
    </mdx>
    <mdx n="0" f="v">
      <t c="6" si="614">
        <n x="610"/>
        <n x="439"/>
        <n x="440"/>
        <n x="611" s="1"/>
        <n x="669"/>
        <n x="670"/>
      </t>
    </mdx>
    <mdx n="0" f="v">
      <t c="6" si="614">
        <n x="610"/>
        <n x="439"/>
        <n x="440"/>
        <n x="611" s="1"/>
        <n x="671"/>
        <n x="672"/>
      </t>
    </mdx>
    <mdx n="0" f="v">
      <t c="6" si="614">
        <n x="610"/>
        <n x="439"/>
        <n x="440"/>
        <n x="611" s="1"/>
        <n x="673"/>
        <n x="674"/>
      </t>
    </mdx>
    <mdx n="0" f="v">
      <t c="6" si="614">
        <n x="610"/>
        <n x="439"/>
        <n x="440"/>
        <n x="611" s="1"/>
        <n x="675"/>
        <n x="676"/>
      </t>
    </mdx>
    <mdx n="0" f="v">
      <t c="6" si="614">
        <n x="610"/>
        <n x="439"/>
        <n x="440"/>
        <n x="611" s="1"/>
        <n x="677"/>
        <n x="678"/>
      </t>
    </mdx>
    <mdx n="0" f="v">
      <t c="6" si="614">
        <n x="610"/>
        <n x="439"/>
        <n x="440"/>
        <n x="611" s="1"/>
        <n x="679"/>
        <n x="680"/>
      </t>
    </mdx>
    <mdx n="0" f="v">
      <t c="6" si="614">
        <n x="610"/>
        <n x="439"/>
        <n x="440"/>
        <n x="611" s="1"/>
        <n x="681"/>
        <n x="682"/>
      </t>
    </mdx>
    <mdx n="0" f="v">
      <t c="6" si="614">
        <n x="610"/>
        <n x="439"/>
        <n x="440"/>
        <n x="611" s="1"/>
        <n x="683"/>
        <n x="684"/>
      </t>
    </mdx>
    <mdx n="0" f="v">
      <t c="6" si="614">
        <n x="610"/>
        <n x="439"/>
        <n x="440"/>
        <n x="611" s="1"/>
        <n x="685"/>
        <n x="686"/>
      </t>
    </mdx>
    <mdx n="0" f="v">
      <t c="6" si="614">
        <n x="610"/>
        <n x="439"/>
        <n x="440"/>
        <n x="611" s="1"/>
        <n x="689"/>
        <n x="690"/>
      </t>
    </mdx>
    <mdx n="0" f="v">
      <t c="6" si="614">
        <n x="610"/>
        <n x="439"/>
        <n x="440"/>
        <n x="611" s="1"/>
        <n x="693"/>
        <n x="694"/>
      </t>
    </mdx>
    <mdx n="0" f="v">
      <t c="6" si="614">
        <n x="610"/>
        <n x="439"/>
        <n x="440"/>
        <n x="611" s="1"/>
        <n x="699"/>
        <n x="700"/>
      </t>
    </mdx>
    <mdx n="0" f="v">
      <t c="6" si="614">
        <n x="610"/>
        <n x="439"/>
        <n x="440"/>
        <n x="611" s="1"/>
        <n x="705"/>
        <n x="706"/>
      </t>
    </mdx>
    <mdx n="0" f="v">
      <t c="6" si="614">
        <n x="610"/>
        <n x="441"/>
        <n x="442"/>
        <n x="611" s="1"/>
        <n x="612"/>
        <n x="613"/>
      </t>
    </mdx>
    <mdx n="0" f="v">
      <t c="6" si="614">
        <n x="610"/>
        <n x="441"/>
        <n x="442"/>
        <n x="611" s="1"/>
        <n x="615"/>
        <n x="616"/>
      </t>
    </mdx>
    <mdx n="0" f="v">
      <t c="6" si="614">
        <n x="610"/>
        <n x="441"/>
        <n x="442"/>
        <n x="611" s="1"/>
        <n x="617"/>
        <n x="618"/>
      </t>
    </mdx>
    <mdx n="0" f="v">
      <t c="6" si="614">
        <n x="610"/>
        <n x="441"/>
        <n x="442"/>
        <n x="611" s="1"/>
        <n x="619"/>
        <n x="620"/>
      </t>
    </mdx>
    <mdx n="0" f="v">
      <t c="6" si="614">
        <n x="610"/>
        <n x="441"/>
        <n x="442"/>
        <n x="611" s="1"/>
        <n x="621"/>
        <n x="622"/>
      </t>
    </mdx>
    <mdx n="0" f="v">
      <t c="6" si="614">
        <n x="610"/>
        <n x="441"/>
        <n x="442"/>
        <n x="611" s="1"/>
        <n x="623"/>
        <n x="624"/>
      </t>
    </mdx>
    <mdx n="0" f="v">
      <t c="6" si="614">
        <n x="610"/>
        <n x="441"/>
        <n x="442"/>
        <n x="611" s="1"/>
        <n x="625"/>
        <n x="626"/>
      </t>
    </mdx>
    <mdx n="0" f="v">
      <t c="6" si="614">
        <n x="610"/>
        <n x="441"/>
        <n x="442"/>
        <n x="611" s="1"/>
        <n x="627"/>
        <n x="628"/>
      </t>
    </mdx>
    <mdx n="0" f="v">
      <t c="6" si="614">
        <n x="610"/>
        <n x="441"/>
        <n x="442"/>
        <n x="611" s="1"/>
        <n x="629"/>
        <n x="630"/>
      </t>
    </mdx>
    <mdx n="0" f="v">
      <t c="6" si="614">
        <n x="610"/>
        <n x="441"/>
        <n x="442"/>
        <n x="611" s="1"/>
        <n x="631"/>
        <n x="632"/>
      </t>
    </mdx>
    <mdx n="0" f="v">
      <t c="6" si="614">
        <n x="610"/>
        <n x="441"/>
        <n x="442"/>
        <n x="611" s="1"/>
        <n x="635"/>
        <n x="636"/>
      </t>
    </mdx>
    <mdx n="0" f="v">
      <t c="6" si="614">
        <n x="610"/>
        <n x="441"/>
        <n x="442"/>
        <n x="611" s="1"/>
        <n x="637"/>
        <n x="638"/>
      </t>
    </mdx>
    <mdx n="0" f="v">
      <t c="6" si="614">
        <n x="610"/>
        <n x="441"/>
        <n x="442"/>
        <n x="611" s="1"/>
        <n x="641"/>
        <n x="642"/>
      </t>
    </mdx>
    <mdx n="0" f="v">
      <t c="6" si="614">
        <n x="610"/>
        <n x="441"/>
        <n x="442"/>
        <n x="611" s="1"/>
        <n x="645"/>
        <n x="646"/>
      </t>
    </mdx>
    <mdx n="0" f="v">
      <t c="6" si="614">
        <n x="610"/>
        <n x="441"/>
        <n x="442"/>
        <n x="611" s="1"/>
        <n x="647"/>
        <n x="648"/>
      </t>
    </mdx>
    <mdx n="0" f="v">
      <t c="6" si="614">
        <n x="610"/>
        <n x="441"/>
        <n x="442"/>
        <n x="611" s="1"/>
        <n x="649"/>
        <n x="650"/>
      </t>
    </mdx>
    <mdx n="0" f="v">
      <t c="6" si="614">
        <n x="610"/>
        <n x="441"/>
        <n x="442"/>
        <n x="611" s="1"/>
        <n x="651"/>
        <n x="652"/>
      </t>
    </mdx>
    <mdx n="0" f="v">
      <t c="6" si="614">
        <n x="610"/>
        <n x="441"/>
        <n x="442"/>
        <n x="611" s="1"/>
        <n x="653"/>
        <n x="654"/>
      </t>
    </mdx>
    <mdx n="0" f="v">
      <t c="6" si="614">
        <n x="610"/>
        <n x="441"/>
        <n x="442"/>
        <n x="611" s="1"/>
        <n x="655"/>
        <n x="656"/>
      </t>
    </mdx>
    <mdx n="0" f="v">
      <t c="6" si="614">
        <n x="610"/>
        <n x="441"/>
        <n x="442"/>
        <n x="611" s="1"/>
        <n x="657"/>
        <n x="658"/>
      </t>
    </mdx>
    <mdx n="0" f="v">
      <t c="6" si="614">
        <n x="610"/>
        <n x="441"/>
        <n x="442"/>
        <n x="611" s="1"/>
        <n x="659"/>
        <n x="660"/>
      </t>
    </mdx>
    <mdx n="0" f="v">
      <t c="6" si="614">
        <n x="610"/>
        <n x="441"/>
        <n x="442"/>
        <n x="611" s="1"/>
        <n x="661"/>
        <n x="662"/>
      </t>
    </mdx>
    <mdx n="0" f="v">
      <t c="6" si="614">
        <n x="610"/>
        <n x="441"/>
        <n x="442"/>
        <n x="611" s="1"/>
        <n x="663"/>
        <n x="664"/>
      </t>
    </mdx>
    <mdx n="0" f="v">
      <t c="6" si="614">
        <n x="610"/>
        <n x="441"/>
        <n x="442"/>
        <n x="611" s="1"/>
        <n x="665"/>
        <n x="666"/>
      </t>
    </mdx>
    <mdx n="0" f="v">
      <t c="6" si="614">
        <n x="610"/>
        <n x="441"/>
        <n x="442"/>
        <n x="611" s="1"/>
        <n x="667"/>
        <n x="668"/>
      </t>
    </mdx>
    <mdx n="0" f="v">
      <t c="6" si="614">
        <n x="610"/>
        <n x="441"/>
        <n x="442"/>
        <n x="611" s="1"/>
        <n x="669"/>
        <n x="670"/>
      </t>
    </mdx>
    <mdx n="0" f="v">
      <t c="6" si="614">
        <n x="610"/>
        <n x="441"/>
        <n x="442"/>
        <n x="611" s="1"/>
        <n x="671"/>
        <n x="672"/>
      </t>
    </mdx>
    <mdx n="0" f="v">
      <t c="6" si="614">
        <n x="610"/>
        <n x="441"/>
        <n x="442"/>
        <n x="611" s="1"/>
        <n x="673"/>
        <n x="674"/>
      </t>
    </mdx>
    <mdx n="0" f="v">
      <t c="6" si="614">
        <n x="610"/>
        <n x="441"/>
        <n x="442"/>
        <n x="611" s="1"/>
        <n x="675"/>
        <n x="676"/>
      </t>
    </mdx>
    <mdx n="0" f="v">
      <t c="6" si="614">
        <n x="610"/>
        <n x="441"/>
        <n x="442"/>
        <n x="611" s="1"/>
        <n x="679"/>
        <n x="680"/>
      </t>
    </mdx>
    <mdx n="0" f="v">
      <t c="6" si="614">
        <n x="610"/>
        <n x="441"/>
        <n x="442"/>
        <n x="611" s="1"/>
        <n x="681"/>
        <n x="682"/>
      </t>
    </mdx>
    <mdx n="0" f="v">
      <t c="6" si="614">
        <n x="610"/>
        <n x="441"/>
        <n x="442"/>
        <n x="611" s="1"/>
        <n x="683"/>
        <n x="684"/>
      </t>
    </mdx>
    <mdx n="0" f="v">
      <t c="6" si="614">
        <n x="610"/>
        <n x="441"/>
        <n x="442"/>
        <n x="611" s="1"/>
        <n x="685"/>
        <n x="686"/>
      </t>
    </mdx>
    <mdx n="0" f="v">
      <t c="6" si="614">
        <n x="610"/>
        <n x="441"/>
        <n x="442"/>
        <n x="611" s="1"/>
        <n x="687"/>
        <n x="688"/>
      </t>
    </mdx>
    <mdx n="0" f="v">
      <t c="6" si="614">
        <n x="610"/>
        <n x="441"/>
        <n x="442"/>
        <n x="611" s="1"/>
        <n x="691"/>
        <n x="692"/>
      </t>
    </mdx>
    <mdx n="0" f="v">
      <t c="6" si="614">
        <n x="610"/>
        <n x="441"/>
        <n x="442"/>
        <n x="611" s="1"/>
        <n x="693"/>
        <n x="694"/>
      </t>
    </mdx>
    <mdx n="0" f="v">
      <t c="6" si="614">
        <n x="610"/>
        <n x="441"/>
        <n x="442"/>
        <n x="611" s="1"/>
        <n x="695"/>
        <n x="696"/>
      </t>
    </mdx>
    <mdx n="0" f="v">
      <t c="6" si="614">
        <n x="610"/>
        <n x="441"/>
        <n x="442"/>
        <n x="611" s="1"/>
        <n x="697"/>
        <n x="698"/>
      </t>
    </mdx>
    <mdx n="0" f="v">
      <t c="6" si="614">
        <n x="610"/>
        <n x="441"/>
        <n x="442"/>
        <n x="611" s="1"/>
        <n x="699"/>
        <n x="700"/>
      </t>
    </mdx>
    <mdx n="0" f="v">
      <t c="6" si="614">
        <n x="610"/>
        <n x="441"/>
        <n x="442"/>
        <n x="611" s="1"/>
        <n x="701"/>
        <n x="702"/>
      </t>
    </mdx>
    <mdx n="0" f="v">
      <t c="6" si="614">
        <n x="610"/>
        <n x="441"/>
        <n x="442"/>
        <n x="611" s="1"/>
        <n x="705"/>
        <n x="706"/>
      </t>
    </mdx>
    <mdx n="0" f="v">
      <t c="6" si="614">
        <n x="610"/>
        <n x="441"/>
        <n x="442"/>
        <n x="611" s="1"/>
        <n x="707"/>
        <n x="708"/>
      </t>
    </mdx>
    <mdx n="0" f="v">
      <t c="6" si="614">
        <n x="610"/>
        <n x="443"/>
        <n x="444"/>
        <n x="611" s="1"/>
        <n x="612"/>
        <n x="613"/>
      </t>
    </mdx>
    <mdx n="0" f="v">
      <t c="6" si="614">
        <n x="610"/>
        <n x="443"/>
        <n x="444"/>
        <n x="611" s="1"/>
        <n x="617"/>
        <n x="618"/>
      </t>
    </mdx>
    <mdx n="0" f="v">
      <t c="6" si="614">
        <n x="610"/>
        <n x="443"/>
        <n x="444"/>
        <n x="611" s="1"/>
        <n x="619"/>
        <n x="620"/>
      </t>
    </mdx>
    <mdx n="0" f="v">
      <t c="6" si="614">
        <n x="610"/>
        <n x="443"/>
        <n x="444"/>
        <n x="611" s="1"/>
        <n x="621"/>
        <n x="622"/>
      </t>
    </mdx>
    <mdx n="0" f="v">
      <t c="6" si="614">
        <n x="610"/>
        <n x="443"/>
        <n x="444"/>
        <n x="611" s="1"/>
        <n x="623"/>
        <n x="624"/>
      </t>
    </mdx>
    <mdx n="0" f="v">
      <t c="6" si="614">
        <n x="610"/>
        <n x="443"/>
        <n x="444"/>
        <n x="611" s="1"/>
        <n x="625"/>
        <n x="626"/>
      </t>
    </mdx>
    <mdx n="0" f="v">
      <t c="6" si="614">
        <n x="610"/>
        <n x="443"/>
        <n x="444"/>
        <n x="611" s="1"/>
        <n x="627"/>
        <n x="628"/>
      </t>
    </mdx>
    <mdx n="0" f="v">
      <t c="6" si="614">
        <n x="610"/>
        <n x="443"/>
        <n x="444"/>
        <n x="611" s="1"/>
        <n x="631"/>
        <n x="632"/>
      </t>
    </mdx>
    <mdx n="0" f="v">
      <t c="6" si="614">
        <n x="610"/>
        <n x="443"/>
        <n x="444"/>
        <n x="611" s="1"/>
        <n x="635"/>
        <n x="636"/>
      </t>
    </mdx>
    <mdx n="0" f="v">
      <t c="6" si="614">
        <n x="610"/>
        <n x="443"/>
        <n x="444"/>
        <n x="611" s="1"/>
        <n x="643"/>
        <n x="644"/>
      </t>
    </mdx>
    <mdx n="0" f="v">
      <t c="6" si="614">
        <n x="610"/>
        <n x="443"/>
        <n x="444"/>
        <n x="611" s="1"/>
        <n x="645"/>
        <n x="646"/>
      </t>
    </mdx>
    <mdx n="0" f="v">
      <t c="6" si="614">
        <n x="610"/>
        <n x="443"/>
        <n x="444"/>
        <n x="611" s="1"/>
        <n x="647"/>
        <n x="648"/>
      </t>
    </mdx>
    <mdx n="0" f="v">
      <t c="6" si="614">
        <n x="610"/>
        <n x="443"/>
        <n x="444"/>
        <n x="611" s="1"/>
        <n x="649"/>
        <n x="650"/>
      </t>
    </mdx>
    <mdx n="0" f="v">
      <t c="6" si="614">
        <n x="610"/>
        <n x="443"/>
        <n x="444"/>
        <n x="611" s="1"/>
        <n x="655"/>
        <n x="656"/>
      </t>
    </mdx>
    <mdx n="0" f="v">
      <t c="6" si="614">
        <n x="610"/>
        <n x="443"/>
        <n x="444"/>
        <n x="611" s="1"/>
        <n x="657"/>
        <n x="658"/>
      </t>
    </mdx>
    <mdx n="0" f="v">
      <t c="6" si="614">
        <n x="610"/>
        <n x="443"/>
        <n x="444"/>
        <n x="611" s="1"/>
        <n x="659"/>
        <n x="660"/>
      </t>
    </mdx>
    <mdx n="0" f="v">
      <t c="6" si="614">
        <n x="610"/>
        <n x="443"/>
        <n x="444"/>
        <n x="611" s="1"/>
        <n x="663"/>
        <n x="664"/>
      </t>
    </mdx>
    <mdx n="0" f="v">
      <t c="6" si="614">
        <n x="610"/>
        <n x="443"/>
        <n x="444"/>
        <n x="611" s="1"/>
        <n x="665"/>
        <n x="666"/>
      </t>
    </mdx>
    <mdx n="0" f="v">
      <t c="6" si="614">
        <n x="610"/>
        <n x="443"/>
        <n x="444"/>
        <n x="611" s="1"/>
        <n x="667"/>
        <n x="668"/>
      </t>
    </mdx>
    <mdx n="0" f="v">
      <t c="6" si="614">
        <n x="610"/>
        <n x="443"/>
        <n x="444"/>
        <n x="611" s="1"/>
        <n x="669"/>
        <n x="670"/>
      </t>
    </mdx>
    <mdx n="0" f="v">
      <t c="6" si="614">
        <n x="610"/>
        <n x="443"/>
        <n x="444"/>
        <n x="611" s="1"/>
        <n x="671"/>
        <n x="672"/>
      </t>
    </mdx>
    <mdx n="0" f="v">
      <t c="6" si="614">
        <n x="610"/>
        <n x="443"/>
        <n x="444"/>
        <n x="611" s="1"/>
        <n x="675"/>
        <n x="676"/>
      </t>
    </mdx>
    <mdx n="0" f="v">
      <t c="6" si="614">
        <n x="610"/>
        <n x="443"/>
        <n x="444"/>
        <n x="611" s="1"/>
        <n x="679"/>
        <n x="680"/>
      </t>
    </mdx>
    <mdx n="0" f="v">
      <t c="6" si="614">
        <n x="610"/>
        <n x="443"/>
        <n x="444"/>
        <n x="611" s="1"/>
        <n x="681"/>
        <n x="682"/>
      </t>
    </mdx>
    <mdx n="0" f="v">
      <t c="6" si="614">
        <n x="610"/>
        <n x="443"/>
        <n x="444"/>
        <n x="611" s="1"/>
        <n x="683"/>
        <n x="684"/>
      </t>
    </mdx>
    <mdx n="0" f="v">
      <t c="6" si="614">
        <n x="610"/>
        <n x="443"/>
        <n x="444"/>
        <n x="611" s="1"/>
        <n x="685"/>
        <n x="686"/>
      </t>
    </mdx>
    <mdx n="0" f="v">
      <t c="6" si="614">
        <n x="610"/>
        <n x="443"/>
        <n x="444"/>
        <n x="611" s="1"/>
        <n x="687"/>
        <n x="688"/>
      </t>
    </mdx>
    <mdx n="0" f="v">
      <t c="6" si="614">
        <n x="610"/>
        <n x="443"/>
        <n x="444"/>
        <n x="611" s="1"/>
        <n x="689"/>
        <n x="690"/>
      </t>
    </mdx>
    <mdx n="0" f="v">
      <t c="6" si="614">
        <n x="610"/>
        <n x="443"/>
        <n x="444"/>
        <n x="611" s="1"/>
        <n x="691"/>
        <n x="692"/>
      </t>
    </mdx>
    <mdx n="0" f="v">
      <t c="6" si="614">
        <n x="610"/>
        <n x="443"/>
        <n x="444"/>
        <n x="611" s="1"/>
        <n x="697"/>
        <n x="698"/>
      </t>
    </mdx>
    <mdx n="0" f="v">
      <t c="6" si="614">
        <n x="610"/>
        <n x="443"/>
        <n x="444"/>
        <n x="611" s="1"/>
        <n x="699"/>
        <n x="700"/>
      </t>
    </mdx>
    <mdx n="0" f="v">
      <t c="6" si="614">
        <n x="610"/>
        <n x="443"/>
        <n x="444"/>
        <n x="611" s="1"/>
        <n x="701"/>
        <n x="702"/>
      </t>
    </mdx>
    <mdx n="0" f="v">
      <t c="6" si="614">
        <n x="610"/>
        <n x="443"/>
        <n x="444"/>
        <n x="611" s="1"/>
        <n x="703"/>
        <n x="704"/>
      </t>
    </mdx>
    <mdx n="0" f="v">
      <t c="6" si="614">
        <n x="610"/>
        <n x="443"/>
        <n x="444"/>
        <n x="611" s="1"/>
        <n x="705"/>
        <n x="706"/>
      </t>
    </mdx>
    <mdx n="0" f="v">
      <t c="6" si="614">
        <n x="610"/>
        <n x="445"/>
        <n x="446"/>
        <n x="611" s="1"/>
        <n x="612"/>
        <n x="613"/>
      </t>
    </mdx>
    <mdx n="0" f="v">
      <t c="6" si="614">
        <n x="610"/>
        <n x="445"/>
        <n x="446"/>
        <n x="611" s="1"/>
        <n x="615"/>
        <n x="616"/>
      </t>
    </mdx>
    <mdx n="0" f="v">
      <t c="6" si="614">
        <n x="610"/>
        <n x="445"/>
        <n x="446"/>
        <n x="611" s="1"/>
        <n x="617"/>
        <n x="618"/>
      </t>
    </mdx>
    <mdx n="0" f="v">
      <t c="6" si="614">
        <n x="610"/>
        <n x="445"/>
        <n x="446"/>
        <n x="611" s="1"/>
        <n x="619"/>
        <n x="620"/>
      </t>
    </mdx>
    <mdx n="0" f="v">
      <t c="6" si="614">
        <n x="610"/>
        <n x="445"/>
        <n x="446"/>
        <n x="611" s="1"/>
        <n x="621"/>
        <n x="622"/>
      </t>
    </mdx>
    <mdx n="0" f="v">
      <t c="6" si="614">
        <n x="610"/>
        <n x="445"/>
        <n x="446"/>
        <n x="611" s="1"/>
        <n x="625"/>
        <n x="626"/>
      </t>
    </mdx>
    <mdx n="0" f="v">
      <t c="6" si="614">
        <n x="610"/>
        <n x="445"/>
        <n x="446"/>
        <n x="611" s="1"/>
        <n x="627"/>
        <n x="628"/>
      </t>
    </mdx>
    <mdx n="0" f="v">
      <t c="6" si="614">
        <n x="610"/>
        <n x="445"/>
        <n x="446"/>
        <n x="611" s="1"/>
        <n x="631"/>
        <n x="632"/>
      </t>
    </mdx>
    <mdx n="0" f="v">
      <t c="6" si="614">
        <n x="610"/>
        <n x="445"/>
        <n x="446"/>
        <n x="611" s="1"/>
        <n x="635"/>
        <n x="636"/>
      </t>
    </mdx>
    <mdx n="0" f="v">
      <t c="6" si="614">
        <n x="610"/>
        <n x="445"/>
        <n x="446"/>
        <n x="611" s="1"/>
        <n x="643"/>
        <n x="644"/>
      </t>
    </mdx>
    <mdx n="0" f="v">
      <t c="6" si="614">
        <n x="610"/>
        <n x="445"/>
        <n x="446"/>
        <n x="611" s="1"/>
        <n x="645"/>
        <n x="646"/>
      </t>
    </mdx>
    <mdx n="0" f="v">
      <t c="6" si="614">
        <n x="610"/>
        <n x="445"/>
        <n x="446"/>
        <n x="611" s="1"/>
        <n x="647"/>
        <n x="648"/>
      </t>
    </mdx>
    <mdx n="0" f="v">
      <t c="6" si="614">
        <n x="610"/>
        <n x="445"/>
        <n x="446"/>
        <n x="611" s="1"/>
        <n x="649"/>
        <n x="650"/>
      </t>
    </mdx>
    <mdx n="0" f="v">
      <t c="6" si="614">
        <n x="610"/>
        <n x="445"/>
        <n x="446"/>
        <n x="611" s="1"/>
        <n x="651"/>
        <n x="652"/>
      </t>
    </mdx>
    <mdx n="0" f="v">
      <t c="6" si="614">
        <n x="610"/>
        <n x="445"/>
        <n x="446"/>
        <n x="611" s="1"/>
        <n x="657"/>
        <n x="658"/>
      </t>
    </mdx>
    <mdx n="0" f="v">
      <t c="6" si="614">
        <n x="610"/>
        <n x="445"/>
        <n x="446"/>
        <n x="611" s="1"/>
        <n x="659"/>
        <n x="660"/>
      </t>
    </mdx>
    <mdx n="0" f="v">
      <t c="6" si="614">
        <n x="610"/>
        <n x="445"/>
        <n x="446"/>
        <n x="611" s="1"/>
        <n x="661"/>
        <n x="662"/>
      </t>
    </mdx>
    <mdx n="0" f="v">
      <t c="6" si="614">
        <n x="610"/>
        <n x="445"/>
        <n x="446"/>
        <n x="611" s="1"/>
        <n x="663"/>
        <n x="664"/>
      </t>
    </mdx>
    <mdx n="0" f="v">
      <t c="6" si="614">
        <n x="610"/>
        <n x="445"/>
        <n x="446"/>
        <n x="611" s="1"/>
        <n x="665"/>
        <n x="666"/>
      </t>
    </mdx>
    <mdx n="0" f="v">
      <t c="6" si="614">
        <n x="610"/>
        <n x="445"/>
        <n x="446"/>
        <n x="611" s="1"/>
        <n x="669"/>
        <n x="670"/>
      </t>
    </mdx>
    <mdx n="0" f="v">
      <t c="6" si="614">
        <n x="610"/>
        <n x="445"/>
        <n x="446"/>
        <n x="611" s="1"/>
        <n x="671"/>
        <n x="672"/>
      </t>
    </mdx>
    <mdx n="0" f="v">
      <t c="6" si="614">
        <n x="610"/>
        <n x="445"/>
        <n x="446"/>
        <n x="611" s="1"/>
        <n x="675"/>
        <n x="676"/>
      </t>
    </mdx>
    <mdx n="0" f="v">
      <t c="6" si="614">
        <n x="610"/>
        <n x="445"/>
        <n x="446"/>
        <n x="611" s="1"/>
        <n x="679"/>
        <n x="680"/>
      </t>
    </mdx>
    <mdx n="0" f="v">
      <t c="6" si="614">
        <n x="610"/>
        <n x="445"/>
        <n x="446"/>
        <n x="611" s="1"/>
        <n x="681"/>
        <n x="682"/>
      </t>
    </mdx>
    <mdx n="0" f="v">
      <t c="6" si="614">
        <n x="610"/>
        <n x="445"/>
        <n x="446"/>
        <n x="611" s="1"/>
        <n x="683"/>
        <n x="684"/>
      </t>
    </mdx>
    <mdx n="0" f="v">
      <t c="6" si="614">
        <n x="610"/>
        <n x="445"/>
        <n x="446"/>
        <n x="611" s="1"/>
        <n x="685"/>
        <n x="686"/>
      </t>
    </mdx>
    <mdx n="0" f="v">
      <t c="6" si="614">
        <n x="610"/>
        <n x="445"/>
        <n x="446"/>
        <n x="611" s="1"/>
        <n x="689"/>
        <n x="690"/>
      </t>
    </mdx>
    <mdx n="0" f="v">
      <t c="6" si="614">
        <n x="610"/>
        <n x="445"/>
        <n x="446"/>
        <n x="611" s="1"/>
        <n x="695"/>
        <n x="696"/>
      </t>
    </mdx>
    <mdx n="0" f="v">
      <t c="6" si="614">
        <n x="610"/>
        <n x="445"/>
        <n x="446"/>
        <n x="611" s="1"/>
        <n x="703"/>
        <n x="704"/>
      </t>
    </mdx>
    <mdx n="0" f="v">
      <t c="6" si="614">
        <n x="610"/>
        <n x="447"/>
        <n x="448"/>
        <n x="611" s="1"/>
        <n x="612"/>
        <n x="613"/>
      </t>
    </mdx>
    <mdx n="0" f="v">
      <t c="6" si="614">
        <n x="610"/>
        <n x="447"/>
        <n x="448"/>
        <n x="611" s="1"/>
        <n x="615"/>
        <n x="616"/>
      </t>
    </mdx>
    <mdx n="0" f="v">
      <t c="6" si="614">
        <n x="610"/>
        <n x="447"/>
        <n x="448"/>
        <n x="611" s="1"/>
        <n x="617"/>
        <n x="618"/>
      </t>
    </mdx>
    <mdx n="0" f="v">
      <t c="6" si="614">
        <n x="610"/>
        <n x="447"/>
        <n x="448"/>
        <n x="611" s="1"/>
        <n x="619"/>
        <n x="620"/>
      </t>
    </mdx>
    <mdx n="0" f="v">
      <t c="6" si="614">
        <n x="610"/>
        <n x="447"/>
        <n x="448"/>
        <n x="611" s="1"/>
        <n x="621"/>
        <n x="622"/>
      </t>
    </mdx>
    <mdx n="0" f="v">
      <t c="6" si="614">
        <n x="610"/>
        <n x="447"/>
        <n x="448"/>
        <n x="611" s="1"/>
        <n x="625"/>
        <n x="626"/>
      </t>
    </mdx>
    <mdx n="0" f="v">
      <t c="6" si="614">
        <n x="610"/>
        <n x="447"/>
        <n x="448"/>
        <n x="611" s="1"/>
        <n x="627"/>
        <n x="628"/>
      </t>
    </mdx>
    <mdx n="0" f="v">
      <t c="6" si="614">
        <n x="610"/>
        <n x="447"/>
        <n x="448"/>
        <n x="611" s="1"/>
        <n x="631"/>
        <n x="632"/>
      </t>
    </mdx>
    <mdx n="0" f="v">
      <t c="6" si="614">
        <n x="610"/>
        <n x="447"/>
        <n x="448"/>
        <n x="611" s="1"/>
        <n x="635"/>
        <n x="636"/>
      </t>
    </mdx>
    <mdx n="0" f="v">
      <t c="6" si="614">
        <n x="610"/>
        <n x="447"/>
        <n x="448"/>
        <n x="611" s="1"/>
        <n x="643"/>
        <n x="644"/>
      </t>
    </mdx>
    <mdx n="0" f="v">
      <t c="6" si="614">
        <n x="610"/>
        <n x="447"/>
        <n x="448"/>
        <n x="611" s="1"/>
        <n x="647"/>
        <n x="648"/>
      </t>
    </mdx>
    <mdx n="0" f="v">
      <t c="6" si="614">
        <n x="610"/>
        <n x="447"/>
        <n x="448"/>
        <n x="611" s="1"/>
        <n x="649"/>
        <n x="650"/>
      </t>
    </mdx>
    <mdx n="0" f="v">
      <t c="6" si="614">
        <n x="610"/>
        <n x="447"/>
        <n x="448"/>
        <n x="611" s="1"/>
        <n x="651"/>
        <n x="652"/>
      </t>
    </mdx>
    <mdx n="0" f="v">
      <t c="6" si="614">
        <n x="610"/>
        <n x="447"/>
        <n x="448"/>
        <n x="611" s="1"/>
        <n x="657"/>
        <n x="658"/>
      </t>
    </mdx>
    <mdx n="0" f="v">
      <t c="6" si="614">
        <n x="610"/>
        <n x="447"/>
        <n x="448"/>
        <n x="611" s="1"/>
        <n x="659"/>
        <n x="660"/>
      </t>
    </mdx>
    <mdx n="0" f="v">
      <t c="6" si="614">
        <n x="610"/>
        <n x="447"/>
        <n x="448"/>
        <n x="611" s="1"/>
        <n x="663"/>
        <n x="664"/>
      </t>
    </mdx>
    <mdx n="0" f="v">
      <t c="6" si="614">
        <n x="610"/>
        <n x="447"/>
        <n x="448"/>
        <n x="611" s="1"/>
        <n x="665"/>
        <n x="666"/>
      </t>
    </mdx>
    <mdx n="0" f="v">
      <t c="6" si="614">
        <n x="610"/>
        <n x="447"/>
        <n x="448"/>
        <n x="611" s="1"/>
        <n x="667"/>
        <n x="668"/>
      </t>
    </mdx>
    <mdx n="0" f="v">
      <t c="6" si="614">
        <n x="610"/>
        <n x="447"/>
        <n x="448"/>
        <n x="611" s="1"/>
        <n x="669"/>
        <n x="670"/>
      </t>
    </mdx>
    <mdx n="0" f="v">
      <t c="6" si="614">
        <n x="610"/>
        <n x="447"/>
        <n x="448"/>
        <n x="611" s="1"/>
        <n x="671"/>
        <n x="672"/>
      </t>
    </mdx>
    <mdx n="0" f="v">
      <t c="6" si="614">
        <n x="610"/>
        <n x="447"/>
        <n x="448"/>
        <n x="611" s="1"/>
        <n x="673"/>
        <n x="674"/>
      </t>
    </mdx>
    <mdx n="0" f="v">
      <t c="6" si="614">
        <n x="610"/>
        <n x="447"/>
        <n x="448"/>
        <n x="611" s="1"/>
        <n x="677"/>
        <n x="678"/>
      </t>
    </mdx>
    <mdx n="0" f="v">
      <t c="6" si="614">
        <n x="610"/>
        <n x="447"/>
        <n x="448"/>
        <n x="611" s="1"/>
        <n x="679"/>
        <n x="680"/>
      </t>
    </mdx>
    <mdx n="0" f="v">
      <t c="6" si="614">
        <n x="610"/>
        <n x="447"/>
        <n x="448"/>
        <n x="611" s="1"/>
        <n x="683"/>
        <n x="684"/>
      </t>
    </mdx>
    <mdx n="0" f="v">
      <t c="6" si="614">
        <n x="610"/>
        <n x="447"/>
        <n x="448"/>
        <n x="611" s="1"/>
        <n x="685"/>
        <n x="686"/>
      </t>
    </mdx>
    <mdx n="0" f="v">
      <t c="6" si="614">
        <n x="610"/>
        <n x="447"/>
        <n x="448"/>
        <n x="611" s="1"/>
        <n x="687"/>
        <n x="688"/>
      </t>
    </mdx>
    <mdx n="0" f="v">
      <t c="6" si="614">
        <n x="610"/>
        <n x="447"/>
        <n x="448"/>
        <n x="611" s="1"/>
        <n x="695"/>
        <n x="696"/>
      </t>
    </mdx>
    <mdx n="0" f="v">
      <t c="6" si="614">
        <n x="610"/>
        <n x="447"/>
        <n x="448"/>
        <n x="611" s="1"/>
        <n x="699"/>
        <n x="700"/>
      </t>
    </mdx>
    <mdx n="0" f="v">
      <t c="6" si="614">
        <n x="610"/>
        <n x="447"/>
        <n x="448"/>
        <n x="611" s="1"/>
        <n x="701"/>
        <n x="702"/>
      </t>
    </mdx>
    <mdx n="0" f="v">
      <t c="6" si="614">
        <n x="610"/>
        <n x="447"/>
        <n x="448"/>
        <n x="611" s="1"/>
        <n x="703"/>
        <n x="704"/>
      </t>
    </mdx>
    <mdx n="0" f="v">
      <t c="6" si="614">
        <n x="610"/>
        <n x="447"/>
        <n x="448"/>
        <n x="611" s="1"/>
        <n x="705"/>
        <n x="706"/>
      </t>
    </mdx>
    <mdx n="0" f="v">
      <t c="6" si="614">
        <n x="610"/>
        <n x="449"/>
        <n x="450"/>
        <n x="611" s="1"/>
        <n x="612"/>
        <n x="613"/>
      </t>
    </mdx>
    <mdx n="0" f="v">
      <t c="6" si="614">
        <n x="610"/>
        <n x="449"/>
        <n x="450"/>
        <n x="611" s="1"/>
        <n x="615"/>
        <n x="616"/>
      </t>
    </mdx>
    <mdx n="0" f="v">
      <t c="6" si="614">
        <n x="610"/>
        <n x="449"/>
        <n x="450"/>
        <n x="611" s="1"/>
        <n x="619"/>
        <n x="620"/>
      </t>
    </mdx>
    <mdx n="0" f="v">
      <t c="6" si="614">
        <n x="610"/>
        <n x="449"/>
        <n x="450"/>
        <n x="611" s="1"/>
        <n x="621"/>
        <n x="622"/>
      </t>
    </mdx>
    <mdx n="0" f="v">
      <t c="6" si="614">
        <n x="610"/>
        <n x="449"/>
        <n x="450"/>
        <n x="611" s="1"/>
        <n x="623"/>
        <n x="624"/>
      </t>
    </mdx>
    <mdx n="0" f="v">
      <t c="6" si="614">
        <n x="610"/>
        <n x="449"/>
        <n x="450"/>
        <n x="611" s="1"/>
        <n x="625"/>
        <n x="626"/>
      </t>
    </mdx>
    <mdx n="0" f="v">
      <t c="6" si="614">
        <n x="610"/>
        <n x="449"/>
        <n x="450"/>
        <n x="611" s="1"/>
        <n x="627"/>
        <n x="628"/>
      </t>
    </mdx>
    <mdx n="0" f="v">
      <t c="6" si="614">
        <n x="610"/>
        <n x="449"/>
        <n x="450"/>
        <n x="611" s="1"/>
        <n x="629"/>
        <n x="630"/>
      </t>
    </mdx>
    <mdx n="0" f="v">
      <t c="6" si="614">
        <n x="610"/>
        <n x="449"/>
        <n x="450"/>
        <n x="611" s="1"/>
        <n x="633"/>
        <n x="634"/>
      </t>
    </mdx>
    <mdx n="0" f="v">
      <t c="6" si="614">
        <n x="610"/>
        <n x="449"/>
        <n x="450"/>
        <n x="611" s="1"/>
        <n x="635"/>
        <n x="636"/>
      </t>
    </mdx>
    <mdx n="0" f="v">
      <t c="6" si="614">
        <n x="610"/>
        <n x="449"/>
        <n x="450"/>
        <n x="611" s="1"/>
        <n x="637"/>
        <n x="638"/>
      </t>
    </mdx>
    <mdx n="0" f="v">
      <t c="6" si="614">
        <n x="610"/>
        <n x="449"/>
        <n x="450"/>
        <n x="611" s="1"/>
        <n x="639"/>
        <n x="640"/>
      </t>
    </mdx>
    <mdx n="0" f="v">
      <t c="6" si="614">
        <n x="610"/>
        <n x="449"/>
        <n x="450"/>
        <n x="611" s="1"/>
        <n x="641"/>
        <n x="642"/>
      </t>
    </mdx>
    <mdx n="0" f="v">
      <t c="6" si="614">
        <n x="610"/>
        <n x="449"/>
        <n x="450"/>
        <n x="611" s="1"/>
        <n x="645"/>
        <n x="646"/>
      </t>
    </mdx>
    <mdx n="0" f="v">
      <t c="6" si="614">
        <n x="610"/>
        <n x="449"/>
        <n x="450"/>
        <n x="611" s="1"/>
        <n x="647"/>
        <n x="648"/>
      </t>
    </mdx>
    <mdx n="0" f="v">
      <t c="6" si="614">
        <n x="610"/>
        <n x="449"/>
        <n x="450"/>
        <n x="611" s="1"/>
        <n x="649"/>
        <n x="650"/>
      </t>
    </mdx>
    <mdx n="0" f="v">
      <t c="6" si="614">
        <n x="610"/>
        <n x="449"/>
        <n x="450"/>
        <n x="611" s="1"/>
        <n x="653"/>
        <n x="654"/>
      </t>
    </mdx>
    <mdx n="0" f="v">
      <t c="6" si="614">
        <n x="610"/>
        <n x="449"/>
        <n x="450"/>
        <n x="611" s="1"/>
        <n x="655"/>
        <n x="656"/>
      </t>
    </mdx>
    <mdx n="0" f="v">
      <t c="6" si="614">
        <n x="610"/>
        <n x="449"/>
        <n x="450"/>
        <n x="611" s="1"/>
        <n x="657"/>
        <n x="658"/>
      </t>
    </mdx>
    <mdx n="0" f="v">
      <t c="6" si="614">
        <n x="610"/>
        <n x="449"/>
        <n x="450"/>
        <n x="611" s="1"/>
        <n x="659"/>
        <n x="660"/>
      </t>
    </mdx>
    <mdx n="0" f="v">
      <t c="6" si="614">
        <n x="610"/>
        <n x="449"/>
        <n x="450"/>
        <n x="611" s="1"/>
        <n x="663"/>
        <n x="664"/>
      </t>
    </mdx>
    <mdx n="0" f="v">
      <t c="6" si="614">
        <n x="610"/>
        <n x="449"/>
        <n x="450"/>
        <n x="611" s="1"/>
        <n x="665"/>
        <n x="666"/>
      </t>
    </mdx>
    <mdx n="0" f="v">
      <t c="6" si="614">
        <n x="610"/>
        <n x="449"/>
        <n x="450"/>
        <n x="611" s="1"/>
        <n x="669"/>
        <n x="670"/>
      </t>
    </mdx>
    <mdx n="0" f="v">
      <t c="6" si="614">
        <n x="610"/>
        <n x="449"/>
        <n x="450"/>
        <n x="611" s="1"/>
        <n x="671"/>
        <n x="672"/>
      </t>
    </mdx>
    <mdx n="0" f="v">
      <t c="6" si="614">
        <n x="610"/>
        <n x="449"/>
        <n x="450"/>
        <n x="611" s="1"/>
        <n x="675"/>
        <n x="676"/>
      </t>
    </mdx>
    <mdx n="0" f="v">
      <t c="6" si="614">
        <n x="610"/>
        <n x="449"/>
        <n x="450"/>
        <n x="611" s="1"/>
        <n x="679"/>
        <n x="680"/>
      </t>
    </mdx>
    <mdx n="0" f="v">
      <t c="6" si="614">
        <n x="610"/>
        <n x="449"/>
        <n x="450"/>
        <n x="611" s="1"/>
        <n x="681"/>
        <n x="682"/>
      </t>
    </mdx>
    <mdx n="0" f="v">
      <t c="6" si="614">
        <n x="610"/>
        <n x="449"/>
        <n x="450"/>
        <n x="611" s="1"/>
        <n x="683"/>
        <n x="684"/>
      </t>
    </mdx>
    <mdx n="0" f="v">
      <t c="6" si="614">
        <n x="610"/>
        <n x="449"/>
        <n x="450"/>
        <n x="611" s="1"/>
        <n x="685"/>
        <n x="686"/>
      </t>
    </mdx>
    <mdx n="0" f="v">
      <t c="6" si="614">
        <n x="610"/>
        <n x="449"/>
        <n x="450"/>
        <n x="611" s="1"/>
        <n x="687"/>
        <n x="688"/>
      </t>
    </mdx>
    <mdx n="0" f="v">
      <t c="6" si="614">
        <n x="610"/>
        <n x="449"/>
        <n x="450"/>
        <n x="611" s="1"/>
        <n x="689"/>
        <n x="690"/>
      </t>
    </mdx>
    <mdx n="0" f="v">
      <t c="6" si="614">
        <n x="610"/>
        <n x="449"/>
        <n x="450"/>
        <n x="611" s="1"/>
        <n x="695"/>
        <n x="696"/>
      </t>
    </mdx>
    <mdx n="0" f="v">
      <t c="6" si="614">
        <n x="610"/>
        <n x="449"/>
        <n x="450"/>
        <n x="611" s="1"/>
        <n x="697"/>
        <n x="698"/>
      </t>
    </mdx>
    <mdx n="0" f="v">
      <t c="6" si="614">
        <n x="610"/>
        <n x="449"/>
        <n x="450"/>
        <n x="611" s="1"/>
        <n x="699"/>
        <n x="700"/>
      </t>
    </mdx>
    <mdx n="0" f="v">
      <t c="6" si="614">
        <n x="610"/>
        <n x="449"/>
        <n x="450"/>
        <n x="611" s="1"/>
        <n x="703"/>
        <n x="704"/>
      </t>
    </mdx>
    <mdx n="0" f="v">
      <t c="6" si="614">
        <n x="610"/>
        <n x="449"/>
        <n x="450"/>
        <n x="611" s="1"/>
        <n x="705"/>
        <n x="706"/>
      </t>
    </mdx>
    <mdx n="0" f="v">
      <t c="6" si="614">
        <n x="610"/>
        <n x="449"/>
        <n x="450"/>
        <n x="611" s="1"/>
        <n x="707"/>
        <n x="708"/>
      </t>
    </mdx>
    <mdx n="0" f="v">
      <t c="6" si="614">
        <n x="610"/>
        <n x="451"/>
        <n x="452"/>
        <n x="611" s="1"/>
        <n x="612"/>
        <n x="613"/>
      </t>
    </mdx>
    <mdx n="0" f="v">
      <t c="6" si="614">
        <n x="610"/>
        <n x="451"/>
        <n x="452"/>
        <n x="611" s="1"/>
        <n x="615"/>
        <n x="616"/>
      </t>
    </mdx>
    <mdx n="0" f="v">
      <t c="6" si="614">
        <n x="610"/>
        <n x="451"/>
        <n x="452"/>
        <n x="611" s="1"/>
        <n x="617"/>
        <n x="618"/>
      </t>
    </mdx>
    <mdx n="0" f="v">
      <t c="6" si="614">
        <n x="610"/>
        <n x="451"/>
        <n x="452"/>
        <n x="611" s="1"/>
        <n x="619"/>
        <n x="620"/>
      </t>
    </mdx>
    <mdx n="0" f="v">
      <t c="6" si="614">
        <n x="610"/>
        <n x="451"/>
        <n x="452"/>
        <n x="611" s="1"/>
        <n x="621"/>
        <n x="622"/>
      </t>
    </mdx>
    <mdx n="0" f="v">
      <t c="6" si="614">
        <n x="610"/>
        <n x="451"/>
        <n x="452"/>
        <n x="611" s="1"/>
        <n x="623"/>
        <n x="624"/>
      </t>
    </mdx>
    <mdx n="0" f="v">
      <t c="6" si="614">
        <n x="610"/>
        <n x="451"/>
        <n x="452"/>
        <n x="611" s="1"/>
        <n x="625"/>
        <n x="626"/>
      </t>
    </mdx>
    <mdx n="0" f="v">
      <t c="6" si="614">
        <n x="610"/>
        <n x="451"/>
        <n x="452"/>
        <n x="611" s="1"/>
        <n x="627"/>
        <n x="628"/>
      </t>
    </mdx>
    <mdx n="0" f="v">
      <t c="6" si="614">
        <n x="610"/>
        <n x="451"/>
        <n x="452"/>
        <n x="611" s="1"/>
        <n x="629"/>
        <n x="630"/>
      </t>
    </mdx>
    <mdx n="0" f="v">
      <t c="6" si="614">
        <n x="610"/>
        <n x="451"/>
        <n x="452"/>
        <n x="611" s="1"/>
        <n x="631"/>
        <n x="632"/>
      </t>
    </mdx>
    <mdx n="0" f="v">
      <t c="6" si="614">
        <n x="610"/>
        <n x="451"/>
        <n x="452"/>
        <n x="611" s="1"/>
        <n x="637"/>
        <n x="638"/>
      </t>
    </mdx>
    <mdx n="0" f="v">
      <t c="6" si="614">
        <n x="610"/>
        <n x="451"/>
        <n x="452"/>
        <n x="611" s="1"/>
        <n x="639"/>
        <n x="640"/>
      </t>
    </mdx>
    <mdx n="0" f="v">
      <t c="6" si="614">
        <n x="610"/>
        <n x="451"/>
        <n x="452"/>
        <n x="611" s="1"/>
        <n x="641"/>
        <n x="642"/>
      </t>
    </mdx>
    <mdx n="0" f="v">
      <t c="6" si="614">
        <n x="610"/>
        <n x="451"/>
        <n x="452"/>
        <n x="611" s="1"/>
        <n x="643"/>
        <n x="644"/>
      </t>
    </mdx>
    <mdx n="0" f="v">
      <t c="6" si="614">
        <n x="610"/>
        <n x="451"/>
        <n x="452"/>
        <n x="611" s="1"/>
        <n x="649"/>
        <n x="650"/>
      </t>
    </mdx>
    <mdx n="0" f="v">
      <t c="6" si="614">
        <n x="610"/>
        <n x="451"/>
        <n x="452"/>
        <n x="611" s="1"/>
        <n x="651"/>
        <n x="652"/>
      </t>
    </mdx>
    <mdx n="0" f="v">
      <t c="6" si="614">
        <n x="610"/>
        <n x="451"/>
        <n x="452"/>
        <n x="611" s="1"/>
        <n x="655"/>
        <n x="656"/>
      </t>
    </mdx>
    <mdx n="0" f="v">
      <t c="6" si="614">
        <n x="610"/>
        <n x="451"/>
        <n x="452"/>
        <n x="611" s="1"/>
        <n x="657"/>
        <n x="658"/>
      </t>
    </mdx>
    <mdx n="0" f="v">
      <t c="6" si="614">
        <n x="610"/>
        <n x="451"/>
        <n x="452"/>
        <n x="611" s="1"/>
        <n x="659"/>
        <n x="660"/>
      </t>
    </mdx>
    <mdx n="0" f="v">
      <t c="6" si="614">
        <n x="610"/>
        <n x="451"/>
        <n x="452"/>
        <n x="611" s="1"/>
        <n x="661"/>
        <n x="662"/>
      </t>
    </mdx>
    <mdx n="0" f="v">
      <t c="6" si="614">
        <n x="610"/>
        <n x="451"/>
        <n x="452"/>
        <n x="611" s="1"/>
        <n x="663"/>
        <n x="664"/>
      </t>
    </mdx>
    <mdx n="0" f="v">
      <t c="6" si="614">
        <n x="610"/>
        <n x="451"/>
        <n x="452"/>
        <n x="611" s="1"/>
        <n x="665"/>
        <n x="666"/>
      </t>
    </mdx>
    <mdx n="0" f="v">
      <t c="6" si="614">
        <n x="610"/>
        <n x="451"/>
        <n x="452"/>
        <n x="611" s="1"/>
        <n x="667"/>
        <n x="668"/>
      </t>
    </mdx>
    <mdx n="0" f="v">
      <t c="6" si="614">
        <n x="610"/>
        <n x="451"/>
        <n x="452"/>
        <n x="611" s="1"/>
        <n x="669"/>
        <n x="670"/>
      </t>
    </mdx>
    <mdx n="0" f="v">
      <t c="6" si="614">
        <n x="610"/>
        <n x="451"/>
        <n x="452"/>
        <n x="611" s="1"/>
        <n x="673"/>
        <n x="674"/>
      </t>
    </mdx>
    <mdx n="0" f="v">
      <t c="6" si="614">
        <n x="610"/>
        <n x="451"/>
        <n x="452"/>
        <n x="611" s="1"/>
        <n x="675"/>
        <n x="676"/>
      </t>
    </mdx>
    <mdx n="0" f="v">
      <t c="6" si="614">
        <n x="610"/>
        <n x="451"/>
        <n x="452"/>
        <n x="611" s="1"/>
        <n x="677"/>
        <n x="678"/>
      </t>
    </mdx>
    <mdx n="0" f="v">
      <t c="6" si="614">
        <n x="610"/>
        <n x="451"/>
        <n x="452"/>
        <n x="611" s="1"/>
        <n x="679"/>
        <n x="680"/>
      </t>
    </mdx>
    <mdx n="0" f="v">
      <t c="6" si="614">
        <n x="610"/>
        <n x="451"/>
        <n x="452"/>
        <n x="611" s="1"/>
        <n x="681"/>
        <n x="682"/>
      </t>
    </mdx>
    <mdx n="0" f="v">
      <t c="6" si="614">
        <n x="610"/>
        <n x="451"/>
        <n x="452"/>
        <n x="611" s="1"/>
        <n x="685"/>
        <n x="686"/>
      </t>
    </mdx>
    <mdx n="0" f="v">
      <t c="6" si="614">
        <n x="610"/>
        <n x="451"/>
        <n x="452"/>
        <n x="611" s="1"/>
        <n x="687"/>
        <n x="688"/>
      </t>
    </mdx>
    <mdx n="0" f="v">
      <t c="6" si="614">
        <n x="610"/>
        <n x="451"/>
        <n x="452"/>
        <n x="611" s="1"/>
        <n x="689"/>
        <n x="690"/>
      </t>
    </mdx>
    <mdx n="0" f="v">
      <t c="6" si="614">
        <n x="610"/>
        <n x="451"/>
        <n x="452"/>
        <n x="611" s="1"/>
        <n x="691"/>
        <n x="692"/>
      </t>
    </mdx>
    <mdx n="0" f="v">
      <t c="6" si="614">
        <n x="610"/>
        <n x="451"/>
        <n x="452"/>
        <n x="611" s="1"/>
        <n x="695"/>
        <n x="696"/>
      </t>
    </mdx>
    <mdx n="0" f="v">
      <t c="6" si="614">
        <n x="610"/>
        <n x="451"/>
        <n x="452"/>
        <n x="611" s="1"/>
        <n x="697"/>
        <n x="698"/>
      </t>
    </mdx>
    <mdx n="0" f="v">
      <t c="6" si="614">
        <n x="610"/>
        <n x="451"/>
        <n x="452"/>
        <n x="611" s="1"/>
        <n x="699"/>
        <n x="700"/>
      </t>
    </mdx>
    <mdx n="0" f="v">
      <t c="6" si="614">
        <n x="610"/>
        <n x="451"/>
        <n x="452"/>
        <n x="611" s="1"/>
        <n x="701"/>
        <n x="702"/>
      </t>
    </mdx>
    <mdx n="0" f="v">
      <t c="6" si="614">
        <n x="610"/>
        <n x="451"/>
        <n x="452"/>
        <n x="611" s="1"/>
        <n x="703"/>
        <n x="704"/>
      </t>
    </mdx>
    <mdx n="0" f="v">
      <t c="6" si="614">
        <n x="610"/>
        <n x="451"/>
        <n x="452"/>
        <n x="611" s="1"/>
        <n x="705"/>
        <n x="706"/>
      </t>
    </mdx>
    <mdx n="0" f="v">
      <t c="6" si="614">
        <n x="610"/>
        <n x="453"/>
        <n x="454"/>
        <n x="611" s="1"/>
        <n x="612"/>
        <n x="613"/>
      </t>
    </mdx>
    <mdx n="0" f="v">
      <t c="6" si="614">
        <n x="610"/>
        <n x="453"/>
        <n x="454"/>
        <n x="611" s="1"/>
        <n x="615"/>
        <n x="616"/>
      </t>
    </mdx>
    <mdx n="0" f="v">
      <t c="6" si="614">
        <n x="610"/>
        <n x="453"/>
        <n x="454"/>
        <n x="611" s="1"/>
        <n x="617"/>
        <n x="618"/>
      </t>
    </mdx>
    <mdx n="0" f="v">
      <t c="6" si="614">
        <n x="610"/>
        <n x="453"/>
        <n x="454"/>
        <n x="611" s="1"/>
        <n x="621"/>
        <n x="622"/>
      </t>
    </mdx>
    <mdx n="0" f="v">
      <t c="6" si="614">
        <n x="610"/>
        <n x="453"/>
        <n x="454"/>
        <n x="611" s="1"/>
        <n x="623"/>
        <n x="624"/>
      </t>
    </mdx>
    <mdx n="0" f="v">
      <t c="6" si="614">
        <n x="610"/>
        <n x="453"/>
        <n x="454"/>
        <n x="611" s="1"/>
        <n x="625"/>
        <n x="626"/>
      </t>
    </mdx>
    <mdx n="0" f="v">
      <t c="6" si="614">
        <n x="610"/>
        <n x="453"/>
        <n x="454"/>
        <n x="611" s="1"/>
        <n x="627"/>
        <n x="628"/>
      </t>
    </mdx>
    <mdx n="0" f="v">
      <t c="6" si="614">
        <n x="610"/>
        <n x="453"/>
        <n x="454"/>
        <n x="611" s="1"/>
        <n x="629"/>
        <n x="630"/>
      </t>
    </mdx>
    <mdx n="0" f="v">
      <t c="6" si="614">
        <n x="610"/>
        <n x="453"/>
        <n x="454"/>
        <n x="611" s="1"/>
        <n x="631"/>
        <n x="632"/>
      </t>
    </mdx>
    <mdx n="0" f="v">
      <t c="6" si="614">
        <n x="610"/>
        <n x="453"/>
        <n x="454"/>
        <n x="611" s="1"/>
        <n x="633"/>
        <n x="634"/>
      </t>
    </mdx>
    <mdx n="0" f="v">
      <t c="6" si="614">
        <n x="610"/>
        <n x="453"/>
        <n x="454"/>
        <n x="611" s="1"/>
        <n x="635"/>
        <n x="636"/>
      </t>
    </mdx>
    <mdx n="0" f="v">
      <t c="6" si="614">
        <n x="610"/>
        <n x="453"/>
        <n x="454"/>
        <n x="611" s="1"/>
        <n x="637"/>
        <n x="638"/>
      </t>
    </mdx>
    <mdx n="0" f="v">
      <t c="6" si="614">
        <n x="610"/>
        <n x="453"/>
        <n x="454"/>
        <n x="611" s="1"/>
        <n x="641"/>
        <n x="642"/>
      </t>
    </mdx>
    <mdx n="0" f="v">
      <t c="6" si="614">
        <n x="610"/>
        <n x="453"/>
        <n x="454"/>
        <n x="611" s="1"/>
        <n x="643"/>
        <n x="644"/>
      </t>
    </mdx>
    <mdx n="0" f="v">
      <t c="6" si="614">
        <n x="610"/>
        <n x="453"/>
        <n x="454"/>
        <n x="611" s="1"/>
        <n x="645"/>
        <n x="646"/>
      </t>
    </mdx>
    <mdx n="0" f="v">
      <t c="6" si="614">
        <n x="610"/>
        <n x="453"/>
        <n x="454"/>
        <n x="611" s="1"/>
        <n x="649"/>
        <n x="650"/>
      </t>
    </mdx>
    <mdx n="0" f="v">
      <t c="6" si="614">
        <n x="610"/>
        <n x="453"/>
        <n x="454"/>
        <n x="611" s="1"/>
        <n x="651"/>
        <n x="652"/>
      </t>
    </mdx>
    <mdx n="0" f="v">
      <t c="6" si="614">
        <n x="610"/>
        <n x="453"/>
        <n x="454"/>
        <n x="611" s="1"/>
        <n x="653"/>
        <n x="654"/>
      </t>
    </mdx>
    <mdx n="0" f="v">
      <t c="6" si="614">
        <n x="610"/>
        <n x="453"/>
        <n x="454"/>
        <n x="611" s="1"/>
        <n x="655"/>
        <n x="656"/>
      </t>
    </mdx>
    <mdx n="0" f="v">
      <t c="6" si="614">
        <n x="610"/>
        <n x="453"/>
        <n x="454"/>
        <n x="611" s="1"/>
        <n x="657"/>
        <n x="658"/>
      </t>
    </mdx>
    <mdx n="0" f="v">
      <t c="6" si="614">
        <n x="610"/>
        <n x="453"/>
        <n x="454"/>
        <n x="611" s="1"/>
        <n x="659"/>
        <n x="660"/>
      </t>
    </mdx>
    <mdx n="0" f="v">
      <t c="6" si="614">
        <n x="610"/>
        <n x="453"/>
        <n x="454"/>
        <n x="611" s="1"/>
        <n x="661"/>
        <n x="662"/>
      </t>
    </mdx>
    <mdx n="0" f="v">
      <t c="6" si="614">
        <n x="610"/>
        <n x="453"/>
        <n x="454"/>
        <n x="611" s="1"/>
        <n x="663"/>
        <n x="664"/>
      </t>
    </mdx>
    <mdx n="0" f="v">
      <t c="6" si="614">
        <n x="610"/>
        <n x="453"/>
        <n x="454"/>
        <n x="611" s="1"/>
        <n x="665"/>
        <n x="666"/>
      </t>
    </mdx>
    <mdx n="0" f="v">
      <t c="6" si="614">
        <n x="610"/>
        <n x="453"/>
        <n x="454"/>
        <n x="611" s="1"/>
        <n x="667"/>
        <n x="668"/>
      </t>
    </mdx>
    <mdx n="0" f="v">
      <t c="6" si="614">
        <n x="610"/>
        <n x="453"/>
        <n x="454"/>
        <n x="611" s="1"/>
        <n x="669"/>
        <n x="670"/>
      </t>
    </mdx>
    <mdx n="0" f="v">
      <t c="6" si="614">
        <n x="610"/>
        <n x="453"/>
        <n x="454"/>
        <n x="611" s="1"/>
        <n x="671"/>
        <n x="672"/>
      </t>
    </mdx>
    <mdx n="0" f="v">
      <t c="6" si="614">
        <n x="610"/>
        <n x="453"/>
        <n x="454"/>
        <n x="611" s="1"/>
        <n x="673"/>
        <n x="674"/>
      </t>
    </mdx>
    <mdx n="0" f="v">
      <t c="6" si="614">
        <n x="610"/>
        <n x="453"/>
        <n x="454"/>
        <n x="611" s="1"/>
        <n x="675"/>
        <n x="676"/>
      </t>
    </mdx>
    <mdx n="0" f="v">
      <t c="6" si="614">
        <n x="610"/>
        <n x="453"/>
        <n x="454"/>
        <n x="611" s="1"/>
        <n x="677"/>
        <n x="678"/>
      </t>
    </mdx>
    <mdx n="0" f="v">
      <t c="6" si="614">
        <n x="610"/>
        <n x="453"/>
        <n x="454"/>
        <n x="611" s="1"/>
        <n x="679"/>
        <n x="680"/>
      </t>
    </mdx>
    <mdx n="0" f="v">
      <t c="6" si="614">
        <n x="610"/>
        <n x="453"/>
        <n x="454"/>
        <n x="611" s="1"/>
        <n x="681"/>
        <n x="682"/>
      </t>
    </mdx>
    <mdx n="0" f="v">
      <t c="6" si="614">
        <n x="610"/>
        <n x="453"/>
        <n x="454"/>
        <n x="611" s="1"/>
        <n x="685"/>
        <n x="686"/>
      </t>
    </mdx>
    <mdx n="0" f="v">
      <t c="6" si="614">
        <n x="610"/>
        <n x="453"/>
        <n x="454"/>
        <n x="611" s="1"/>
        <n x="691"/>
        <n x="692"/>
      </t>
    </mdx>
    <mdx n="0" f="v">
      <t c="6" si="614">
        <n x="610"/>
        <n x="453"/>
        <n x="454"/>
        <n x="611" s="1"/>
        <n x="693"/>
        <n x="694"/>
      </t>
    </mdx>
    <mdx n="0" f="v">
      <t c="6" si="614">
        <n x="610"/>
        <n x="453"/>
        <n x="454"/>
        <n x="611" s="1"/>
        <n x="695"/>
        <n x="696"/>
      </t>
    </mdx>
    <mdx n="0" f="v">
      <t c="6" si="614">
        <n x="610"/>
        <n x="453"/>
        <n x="454"/>
        <n x="611" s="1"/>
        <n x="699"/>
        <n x="700"/>
      </t>
    </mdx>
    <mdx n="0" f="v">
      <t c="6" si="614">
        <n x="610"/>
        <n x="453"/>
        <n x="454"/>
        <n x="611" s="1"/>
        <n x="701"/>
        <n x="702"/>
      </t>
    </mdx>
    <mdx n="0" f="v">
      <t c="6" si="614">
        <n x="610"/>
        <n x="453"/>
        <n x="454"/>
        <n x="611" s="1"/>
        <n x="703"/>
        <n x="704"/>
      </t>
    </mdx>
    <mdx n="0" f="v">
      <t c="6" si="614">
        <n x="610"/>
        <n x="453"/>
        <n x="454"/>
        <n x="611" s="1"/>
        <n x="705"/>
        <n x="706"/>
      </t>
    </mdx>
    <mdx n="0" f="v">
      <t c="6" si="614">
        <n x="610"/>
        <n x="453"/>
        <n x="454"/>
        <n x="611" s="1"/>
        <n x="707"/>
        <n x="708"/>
      </t>
    </mdx>
    <mdx n="0" f="v">
      <t c="6" si="614">
        <n x="610"/>
        <n x="455"/>
        <n x="456"/>
        <n x="611" s="1"/>
        <n x="612"/>
        <n x="613"/>
      </t>
    </mdx>
    <mdx n="0" f="v">
      <t c="6" si="614">
        <n x="610"/>
        <n x="455"/>
        <n x="456"/>
        <n x="611" s="1"/>
        <n x="615"/>
        <n x="616"/>
      </t>
    </mdx>
    <mdx n="0" f="v">
      <t c="6" si="614">
        <n x="610"/>
        <n x="455"/>
        <n x="456"/>
        <n x="611" s="1"/>
        <n x="617"/>
        <n x="618"/>
      </t>
    </mdx>
    <mdx n="0" f="v">
      <t c="6" si="614">
        <n x="610"/>
        <n x="455"/>
        <n x="456"/>
        <n x="611" s="1"/>
        <n x="619"/>
        <n x="620"/>
      </t>
    </mdx>
    <mdx n="0" f="v">
      <t c="6" si="614">
        <n x="610"/>
        <n x="455"/>
        <n x="456"/>
        <n x="611" s="1"/>
        <n x="621"/>
        <n x="622"/>
      </t>
    </mdx>
    <mdx n="0" f="v">
      <t c="6" si="614">
        <n x="610"/>
        <n x="455"/>
        <n x="456"/>
        <n x="611" s="1"/>
        <n x="625"/>
        <n x="626"/>
      </t>
    </mdx>
    <mdx n="0" f="v">
      <t c="6" si="614">
        <n x="610"/>
        <n x="455"/>
        <n x="456"/>
        <n x="611" s="1"/>
        <n x="627"/>
        <n x="628"/>
      </t>
    </mdx>
    <mdx n="0" f="v">
      <t c="6" si="614">
        <n x="610"/>
        <n x="455"/>
        <n x="456"/>
        <n x="611" s="1"/>
        <n x="629"/>
        <n x="630"/>
      </t>
    </mdx>
    <mdx n="0" f="v">
      <t c="6" si="614">
        <n x="610"/>
        <n x="455"/>
        <n x="456"/>
        <n x="611" s="1"/>
        <n x="633"/>
        <n x="634"/>
      </t>
    </mdx>
    <mdx n="0" f="v">
      <t c="6" si="614">
        <n x="610"/>
        <n x="455"/>
        <n x="456"/>
        <n x="611" s="1"/>
        <n x="635"/>
        <n x="636"/>
      </t>
    </mdx>
    <mdx n="0" f="v">
      <t c="6" si="614">
        <n x="610"/>
        <n x="455"/>
        <n x="456"/>
        <n x="611" s="1"/>
        <n x="637"/>
        <n x="638"/>
      </t>
    </mdx>
    <mdx n="0" f="v">
      <t c="6" si="614">
        <n x="610"/>
        <n x="455"/>
        <n x="456"/>
        <n x="611" s="1"/>
        <n x="641"/>
        <n x="642"/>
      </t>
    </mdx>
    <mdx n="0" f="v">
      <t c="6" si="614">
        <n x="610"/>
        <n x="455"/>
        <n x="456"/>
        <n x="611" s="1"/>
        <n x="643"/>
        <n x="644"/>
      </t>
    </mdx>
    <mdx n="0" f="v">
      <t c="6" si="614">
        <n x="610"/>
        <n x="455"/>
        <n x="456"/>
        <n x="611" s="1"/>
        <n x="647"/>
        <n x="648"/>
      </t>
    </mdx>
    <mdx n="0" f="v">
      <t c="6" si="614">
        <n x="610"/>
        <n x="455"/>
        <n x="456"/>
        <n x="611" s="1"/>
        <n x="653"/>
        <n x="654"/>
      </t>
    </mdx>
    <mdx n="0" f="v">
      <t c="6" si="614">
        <n x="610"/>
        <n x="455"/>
        <n x="456"/>
        <n x="611" s="1"/>
        <n x="655"/>
        <n x="656"/>
      </t>
    </mdx>
    <mdx n="0" f="v">
      <t c="6" si="614">
        <n x="610"/>
        <n x="455"/>
        <n x="456"/>
        <n x="611" s="1"/>
        <n x="657"/>
        <n x="658"/>
      </t>
    </mdx>
    <mdx n="0" f="v">
      <t c="6" si="614">
        <n x="610"/>
        <n x="455"/>
        <n x="456"/>
        <n x="611" s="1"/>
        <n x="659"/>
        <n x="660"/>
      </t>
    </mdx>
    <mdx n="0" f="v">
      <t c="6" si="614">
        <n x="610"/>
        <n x="455"/>
        <n x="456"/>
        <n x="611" s="1"/>
        <n x="661"/>
        <n x="662"/>
      </t>
    </mdx>
    <mdx n="0" f="v">
      <t c="6" si="614">
        <n x="610"/>
        <n x="455"/>
        <n x="456"/>
        <n x="611" s="1"/>
        <n x="665"/>
        <n x="666"/>
      </t>
    </mdx>
    <mdx n="0" f="v">
      <t c="6" si="614">
        <n x="610"/>
        <n x="455"/>
        <n x="456"/>
        <n x="611" s="1"/>
        <n x="667"/>
        <n x="668"/>
      </t>
    </mdx>
    <mdx n="0" f="v">
      <t c="6" si="614">
        <n x="610"/>
        <n x="455"/>
        <n x="456"/>
        <n x="611" s="1"/>
        <n x="669"/>
        <n x="670"/>
      </t>
    </mdx>
    <mdx n="0" f="v">
      <t c="6" si="614">
        <n x="610"/>
        <n x="455"/>
        <n x="456"/>
        <n x="611" s="1"/>
        <n x="671"/>
        <n x="672"/>
      </t>
    </mdx>
    <mdx n="0" f="v">
      <t c="6" si="614">
        <n x="610"/>
        <n x="455"/>
        <n x="456"/>
        <n x="611" s="1"/>
        <n x="673"/>
        <n x="674"/>
      </t>
    </mdx>
    <mdx n="0" f="v">
      <t c="6" si="614">
        <n x="610"/>
        <n x="455"/>
        <n x="456"/>
        <n x="611" s="1"/>
        <n x="675"/>
        <n x="676"/>
      </t>
    </mdx>
    <mdx n="0" f="v">
      <t c="6" si="614">
        <n x="610"/>
        <n x="455"/>
        <n x="456"/>
        <n x="611" s="1"/>
        <n x="677"/>
        <n x="678"/>
      </t>
    </mdx>
    <mdx n="0" f="v">
      <t c="6" si="614">
        <n x="610"/>
        <n x="455"/>
        <n x="456"/>
        <n x="611" s="1"/>
        <n x="679"/>
        <n x="680"/>
      </t>
    </mdx>
    <mdx n="0" f="v">
      <t c="6" si="614">
        <n x="610"/>
        <n x="455"/>
        <n x="456"/>
        <n x="611" s="1"/>
        <n x="685"/>
        <n x="686"/>
      </t>
    </mdx>
    <mdx n="0" f="v">
      <t c="6" si="614">
        <n x="610"/>
        <n x="455"/>
        <n x="456"/>
        <n x="611" s="1"/>
        <n x="691"/>
        <n x="692"/>
      </t>
    </mdx>
    <mdx n="0" f="v">
      <t c="6" si="614">
        <n x="610"/>
        <n x="455"/>
        <n x="456"/>
        <n x="611" s="1"/>
        <n x="693"/>
        <n x="694"/>
      </t>
    </mdx>
    <mdx n="0" f="v">
      <t c="6" si="614">
        <n x="610"/>
        <n x="455"/>
        <n x="456"/>
        <n x="611" s="1"/>
        <n x="695"/>
        <n x="696"/>
      </t>
    </mdx>
    <mdx n="0" f="v">
      <t c="6" si="614">
        <n x="610"/>
        <n x="455"/>
        <n x="456"/>
        <n x="611" s="1"/>
        <n x="697"/>
        <n x="698"/>
      </t>
    </mdx>
    <mdx n="0" f="v">
      <t c="6" si="614">
        <n x="610"/>
        <n x="455"/>
        <n x="456"/>
        <n x="611" s="1"/>
        <n x="699"/>
        <n x="700"/>
      </t>
    </mdx>
    <mdx n="0" f="v">
      <t c="6" si="614">
        <n x="610"/>
        <n x="455"/>
        <n x="456"/>
        <n x="611" s="1"/>
        <n x="701"/>
        <n x="702"/>
      </t>
    </mdx>
    <mdx n="0" f="v">
      <t c="6" si="614">
        <n x="610"/>
        <n x="455"/>
        <n x="456"/>
        <n x="611" s="1"/>
        <n x="703"/>
        <n x="704"/>
      </t>
    </mdx>
    <mdx n="0" f="v">
      <t c="6" si="614">
        <n x="610"/>
        <n x="457"/>
        <n x="458"/>
        <n x="611" s="1"/>
        <n x="612"/>
        <n x="613"/>
      </t>
    </mdx>
    <mdx n="0" f="v">
      <t c="6" si="614">
        <n x="610"/>
        <n x="457"/>
        <n x="458"/>
        <n x="611" s="1"/>
        <n x="615"/>
        <n x="616"/>
      </t>
    </mdx>
    <mdx n="0" f="v">
      <t c="6" si="614">
        <n x="610"/>
        <n x="457"/>
        <n x="458"/>
        <n x="611" s="1"/>
        <n x="617"/>
        <n x="618"/>
      </t>
    </mdx>
    <mdx n="0" f="v">
      <t c="6" si="614">
        <n x="610"/>
        <n x="457"/>
        <n x="458"/>
        <n x="611" s="1"/>
        <n x="619"/>
        <n x="620"/>
      </t>
    </mdx>
    <mdx n="0" f="v">
      <t c="6" si="614">
        <n x="610"/>
        <n x="457"/>
        <n x="458"/>
        <n x="611" s="1"/>
        <n x="623"/>
        <n x="624"/>
      </t>
    </mdx>
    <mdx n="0" f="v">
      <t c="6" si="614">
        <n x="610"/>
        <n x="457"/>
        <n x="458"/>
        <n x="611" s="1"/>
        <n x="627"/>
        <n x="628"/>
      </t>
    </mdx>
    <mdx n="0" f="v">
      <t c="6" si="614">
        <n x="610"/>
        <n x="457"/>
        <n x="458"/>
        <n x="611" s="1"/>
        <n x="629"/>
        <n x="630"/>
      </t>
    </mdx>
    <mdx n="0" f="v">
      <t c="6" si="614">
        <n x="610"/>
        <n x="457"/>
        <n x="458"/>
        <n x="611" s="1"/>
        <n x="631"/>
        <n x="632"/>
      </t>
    </mdx>
    <mdx n="0" f="v">
      <t c="6" si="614">
        <n x="610"/>
        <n x="457"/>
        <n x="458"/>
        <n x="611" s="1"/>
        <n x="633"/>
        <n x="634"/>
      </t>
    </mdx>
    <mdx n="0" f="v">
      <t c="6" si="614">
        <n x="610"/>
        <n x="457"/>
        <n x="458"/>
        <n x="611" s="1"/>
        <n x="635"/>
        <n x="636"/>
      </t>
    </mdx>
    <mdx n="0" f="v">
      <t c="6" si="614">
        <n x="610"/>
        <n x="457"/>
        <n x="458"/>
        <n x="611" s="1"/>
        <n x="637"/>
        <n x="638"/>
      </t>
    </mdx>
    <mdx n="0" f="v">
      <t c="6" si="614">
        <n x="610"/>
        <n x="457"/>
        <n x="458"/>
        <n x="611" s="1"/>
        <n x="639"/>
        <n x="640"/>
      </t>
    </mdx>
    <mdx n="0" f="v">
      <t c="6" si="614">
        <n x="610"/>
        <n x="457"/>
        <n x="458"/>
        <n x="611" s="1"/>
        <n x="641"/>
        <n x="642"/>
      </t>
    </mdx>
    <mdx n="0" f="v">
      <t c="6" si="614">
        <n x="610"/>
        <n x="457"/>
        <n x="458"/>
        <n x="611" s="1"/>
        <n x="643"/>
        <n x="644"/>
      </t>
    </mdx>
    <mdx n="0" f="v">
      <t c="6" si="614">
        <n x="610"/>
        <n x="457"/>
        <n x="458"/>
        <n x="611" s="1"/>
        <n x="645"/>
        <n x="646"/>
      </t>
    </mdx>
    <mdx n="0" f="v">
      <t c="6" si="614">
        <n x="610"/>
        <n x="457"/>
        <n x="458"/>
        <n x="611" s="1"/>
        <n x="647"/>
        <n x="648"/>
      </t>
    </mdx>
    <mdx n="0" f="v">
      <t c="6" si="614">
        <n x="610"/>
        <n x="457"/>
        <n x="458"/>
        <n x="611" s="1"/>
        <n x="649"/>
        <n x="650"/>
      </t>
    </mdx>
    <mdx n="0" f="v">
      <t c="6" si="614">
        <n x="610"/>
        <n x="457"/>
        <n x="458"/>
        <n x="611" s="1"/>
        <n x="653"/>
        <n x="654"/>
      </t>
    </mdx>
    <mdx n="0" f="v">
      <t c="6" si="614">
        <n x="610"/>
        <n x="457"/>
        <n x="458"/>
        <n x="611" s="1"/>
        <n x="655"/>
        <n x="656"/>
      </t>
    </mdx>
    <mdx n="0" f="v">
      <t c="6" si="614">
        <n x="610"/>
        <n x="457"/>
        <n x="458"/>
        <n x="611" s="1"/>
        <n x="657"/>
        <n x="658"/>
      </t>
    </mdx>
    <mdx n="0" f="v">
      <t c="6" si="614">
        <n x="610"/>
        <n x="457"/>
        <n x="458"/>
        <n x="611" s="1"/>
        <n x="659"/>
        <n x="660"/>
      </t>
    </mdx>
    <mdx n="0" f="v">
      <t c="6" si="614">
        <n x="610"/>
        <n x="457"/>
        <n x="458"/>
        <n x="611" s="1"/>
        <n x="661"/>
        <n x="662"/>
      </t>
    </mdx>
    <mdx n="0" f="v">
      <t c="6" si="614">
        <n x="610"/>
        <n x="457"/>
        <n x="458"/>
        <n x="611" s="1"/>
        <n x="665"/>
        <n x="666"/>
      </t>
    </mdx>
    <mdx n="0" f="v">
      <t c="6" si="614">
        <n x="610"/>
        <n x="457"/>
        <n x="458"/>
        <n x="611" s="1"/>
        <n x="667"/>
        <n x="668"/>
      </t>
    </mdx>
    <mdx n="0" f="v">
      <t c="6" si="614">
        <n x="610"/>
        <n x="457"/>
        <n x="458"/>
        <n x="611" s="1"/>
        <n x="669"/>
        <n x="670"/>
      </t>
    </mdx>
    <mdx n="0" f="v">
      <t c="6" si="614">
        <n x="610"/>
        <n x="457"/>
        <n x="458"/>
        <n x="611" s="1"/>
        <n x="673"/>
        <n x="674"/>
      </t>
    </mdx>
    <mdx n="0" f="v">
      <t c="6" si="614">
        <n x="610"/>
        <n x="457"/>
        <n x="458"/>
        <n x="611" s="1"/>
        <n x="675"/>
        <n x="676"/>
      </t>
    </mdx>
    <mdx n="0" f="v">
      <t c="6" si="614">
        <n x="610"/>
        <n x="457"/>
        <n x="458"/>
        <n x="611" s="1"/>
        <n x="677"/>
        <n x="678"/>
      </t>
    </mdx>
    <mdx n="0" f="v">
      <t c="6" si="614">
        <n x="610"/>
        <n x="457"/>
        <n x="458"/>
        <n x="611" s="1"/>
        <n x="681"/>
        <n x="682"/>
      </t>
    </mdx>
    <mdx n="0" f="v">
      <t c="6" si="614">
        <n x="610"/>
        <n x="457"/>
        <n x="458"/>
        <n x="611" s="1"/>
        <n x="683"/>
        <n x="684"/>
      </t>
    </mdx>
    <mdx n="0" f="v">
      <t c="6" si="614">
        <n x="610"/>
        <n x="457"/>
        <n x="458"/>
        <n x="611" s="1"/>
        <n x="685"/>
        <n x="686"/>
      </t>
    </mdx>
    <mdx n="0" f="v">
      <t c="6" si="614">
        <n x="610"/>
        <n x="457"/>
        <n x="458"/>
        <n x="611" s="1"/>
        <n x="687"/>
        <n x="688"/>
      </t>
    </mdx>
    <mdx n="0" f="v">
      <t c="6" si="614">
        <n x="610"/>
        <n x="457"/>
        <n x="458"/>
        <n x="611" s="1"/>
        <n x="691"/>
        <n x="692"/>
      </t>
    </mdx>
    <mdx n="0" f="v">
      <t c="6" si="614">
        <n x="610"/>
        <n x="457"/>
        <n x="458"/>
        <n x="611" s="1"/>
        <n x="695"/>
        <n x="696"/>
      </t>
    </mdx>
    <mdx n="0" f="v">
      <t c="6" si="614">
        <n x="610"/>
        <n x="457"/>
        <n x="458"/>
        <n x="611" s="1"/>
        <n x="697"/>
        <n x="698"/>
      </t>
    </mdx>
    <mdx n="0" f="v">
      <t c="6" si="614">
        <n x="610"/>
        <n x="457"/>
        <n x="458"/>
        <n x="611" s="1"/>
        <n x="699"/>
        <n x="700"/>
      </t>
    </mdx>
    <mdx n="0" f="v">
      <t c="6" si="614">
        <n x="610"/>
        <n x="457"/>
        <n x="458"/>
        <n x="611" s="1"/>
        <n x="703"/>
        <n x="704"/>
      </t>
    </mdx>
    <mdx n="0" f="v">
      <t c="6" si="614">
        <n x="610"/>
        <n x="457"/>
        <n x="458"/>
        <n x="611" s="1"/>
        <n x="705"/>
        <n x="706"/>
      </t>
    </mdx>
    <mdx n="0" f="v">
      <t c="6" si="614">
        <n x="610"/>
        <n x="457"/>
        <n x="458"/>
        <n x="611" s="1"/>
        <n x="707"/>
        <n x="708"/>
      </t>
    </mdx>
    <mdx n="0" f="v">
      <t c="6" si="614">
        <n x="610"/>
        <n x="459"/>
        <n x="460"/>
        <n x="611" s="1"/>
        <n x="612"/>
        <n x="613"/>
      </t>
    </mdx>
    <mdx n="0" f="v">
      <t c="6" si="614">
        <n x="610"/>
        <n x="459"/>
        <n x="460"/>
        <n x="611" s="1"/>
        <n x="615"/>
        <n x="616"/>
      </t>
    </mdx>
    <mdx n="0" f="v">
      <t c="6" si="614">
        <n x="610"/>
        <n x="459"/>
        <n x="460"/>
        <n x="611" s="1"/>
        <n x="617"/>
        <n x="618"/>
      </t>
    </mdx>
    <mdx n="0" f="v">
      <t c="6" si="614">
        <n x="610"/>
        <n x="459"/>
        <n x="460"/>
        <n x="611" s="1"/>
        <n x="619"/>
        <n x="620"/>
      </t>
    </mdx>
    <mdx n="0" f="v">
      <t c="6" si="614">
        <n x="610"/>
        <n x="459"/>
        <n x="460"/>
        <n x="611" s="1"/>
        <n x="621"/>
        <n x="622"/>
      </t>
    </mdx>
    <mdx n="0" f="v">
      <t c="6" si="614">
        <n x="610"/>
        <n x="459"/>
        <n x="460"/>
        <n x="611" s="1"/>
        <n x="623"/>
        <n x="624"/>
      </t>
    </mdx>
    <mdx n="0" f="v">
      <t c="6" si="614">
        <n x="610"/>
        <n x="459"/>
        <n x="460"/>
        <n x="611" s="1"/>
        <n x="627"/>
        <n x="628"/>
      </t>
    </mdx>
    <mdx n="0" f="v">
      <t c="6" si="614">
        <n x="610"/>
        <n x="459"/>
        <n x="460"/>
        <n x="611" s="1"/>
        <n x="629"/>
        <n x="630"/>
      </t>
    </mdx>
    <mdx n="0" f="v">
      <t c="6" si="614">
        <n x="610"/>
        <n x="459"/>
        <n x="460"/>
        <n x="611" s="1"/>
        <n x="631"/>
        <n x="632"/>
      </t>
    </mdx>
    <mdx n="0" f="v">
      <t c="6" si="614">
        <n x="610"/>
        <n x="459"/>
        <n x="460"/>
        <n x="611" s="1"/>
        <n x="635"/>
        <n x="636"/>
      </t>
    </mdx>
    <mdx n="0" f="v">
      <t c="6" si="614">
        <n x="610"/>
        <n x="459"/>
        <n x="460"/>
        <n x="611" s="1"/>
        <n x="643"/>
        <n x="644"/>
      </t>
    </mdx>
    <mdx n="0" f="v">
      <t c="6" si="614">
        <n x="610"/>
        <n x="459"/>
        <n x="460"/>
        <n x="611" s="1"/>
        <n x="645"/>
        <n x="646"/>
      </t>
    </mdx>
    <mdx n="0" f="v">
      <t c="6" si="614">
        <n x="610"/>
        <n x="459"/>
        <n x="460"/>
        <n x="611" s="1"/>
        <n x="647"/>
        <n x="648"/>
      </t>
    </mdx>
    <mdx n="0" f="v">
      <t c="6" si="614">
        <n x="610"/>
        <n x="459"/>
        <n x="460"/>
        <n x="611" s="1"/>
        <n x="653"/>
        <n x="654"/>
      </t>
    </mdx>
    <mdx n="0" f="v">
      <t c="6" si="614">
        <n x="610"/>
        <n x="459"/>
        <n x="460"/>
        <n x="611" s="1"/>
        <n x="655"/>
        <n x="656"/>
      </t>
    </mdx>
    <mdx n="0" f="v">
      <t c="6" si="614">
        <n x="610"/>
        <n x="459"/>
        <n x="460"/>
        <n x="611" s="1"/>
        <n x="657"/>
        <n x="658"/>
      </t>
    </mdx>
    <mdx n="0" f="v">
      <t c="6" si="614">
        <n x="610"/>
        <n x="459"/>
        <n x="460"/>
        <n x="611" s="1"/>
        <n x="659"/>
        <n x="660"/>
      </t>
    </mdx>
    <mdx n="0" f="v">
      <t c="6" si="614">
        <n x="610"/>
        <n x="459"/>
        <n x="460"/>
        <n x="611" s="1"/>
        <n x="661"/>
        <n x="662"/>
      </t>
    </mdx>
    <mdx n="0" f="v">
      <t c="6" si="614">
        <n x="610"/>
        <n x="459"/>
        <n x="460"/>
        <n x="611" s="1"/>
        <n x="665"/>
        <n x="666"/>
      </t>
    </mdx>
    <mdx n="0" f="v">
      <t c="6" si="614">
        <n x="610"/>
        <n x="459"/>
        <n x="460"/>
        <n x="611" s="1"/>
        <n x="667"/>
        <n x="668"/>
      </t>
    </mdx>
    <mdx n="0" f="v">
      <t c="6" si="614">
        <n x="610"/>
        <n x="459"/>
        <n x="460"/>
        <n x="611" s="1"/>
        <n x="669"/>
        <n x="670"/>
      </t>
    </mdx>
    <mdx n="0" f="v">
      <t c="6" si="614">
        <n x="610"/>
        <n x="459"/>
        <n x="460"/>
        <n x="611" s="1"/>
        <n x="673"/>
        <n x="674"/>
      </t>
    </mdx>
    <mdx n="0" f="v">
      <t c="6" si="614">
        <n x="610"/>
        <n x="459"/>
        <n x="460"/>
        <n x="611" s="1"/>
        <n x="675"/>
        <n x="676"/>
      </t>
    </mdx>
    <mdx n="0" f="v">
      <t c="6" si="614">
        <n x="610"/>
        <n x="459"/>
        <n x="460"/>
        <n x="611" s="1"/>
        <n x="681"/>
        <n x="682"/>
      </t>
    </mdx>
    <mdx n="0" f="v">
      <t c="6" si="614">
        <n x="610"/>
        <n x="459"/>
        <n x="460"/>
        <n x="611" s="1"/>
        <n x="683"/>
        <n x="684"/>
      </t>
    </mdx>
    <mdx n="0" f="v">
      <t c="6" si="614">
        <n x="610"/>
        <n x="459"/>
        <n x="460"/>
        <n x="611" s="1"/>
        <n x="685"/>
        <n x="686"/>
      </t>
    </mdx>
    <mdx n="0" f="v">
      <t c="6" si="614">
        <n x="610"/>
        <n x="459"/>
        <n x="460"/>
        <n x="611" s="1"/>
        <n x="687"/>
        <n x="688"/>
      </t>
    </mdx>
    <mdx n="0" f="v">
      <t c="6" si="614">
        <n x="610"/>
        <n x="459"/>
        <n x="460"/>
        <n x="611" s="1"/>
        <n x="689"/>
        <n x="690"/>
      </t>
    </mdx>
    <mdx n="0" f="v">
      <t c="6" si="614">
        <n x="610"/>
        <n x="459"/>
        <n x="460"/>
        <n x="611" s="1"/>
        <n x="691"/>
        <n x="692"/>
      </t>
    </mdx>
    <mdx n="0" f="v">
      <t c="6" si="614">
        <n x="610"/>
        <n x="459"/>
        <n x="460"/>
        <n x="611" s="1"/>
        <n x="693"/>
        <n x="694"/>
      </t>
    </mdx>
    <mdx n="0" f="v">
      <t c="6" si="614">
        <n x="610"/>
        <n x="459"/>
        <n x="460"/>
        <n x="611" s="1"/>
        <n x="697"/>
        <n x="698"/>
      </t>
    </mdx>
    <mdx n="0" f="v">
      <t c="6" si="614">
        <n x="610"/>
        <n x="459"/>
        <n x="460"/>
        <n x="611" s="1"/>
        <n x="701"/>
        <n x="702"/>
      </t>
    </mdx>
    <mdx n="0" f="v">
      <t c="6" si="614">
        <n x="610"/>
        <n x="459"/>
        <n x="460"/>
        <n x="611" s="1"/>
        <n x="703"/>
        <n x="704"/>
      </t>
    </mdx>
    <mdx n="0" f="v">
      <t c="6" si="614">
        <n x="610"/>
        <n x="459"/>
        <n x="460"/>
        <n x="611" s="1"/>
        <n x="705"/>
        <n x="706"/>
      </t>
    </mdx>
    <mdx n="0" f="v">
      <t c="6" si="614">
        <n x="610"/>
        <n x="459"/>
        <n x="460"/>
        <n x="611" s="1"/>
        <n x="707"/>
        <n x="708"/>
      </t>
    </mdx>
    <mdx n="0" f="v">
      <t c="6" si="614">
        <n x="610"/>
        <n x="461"/>
        <n x="462"/>
        <n x="611" s="1"/>
        <n x="612"/>
        <n x="613"/>
      </t>
    </mdx>
    <mdx n="0" f="v">
      <t c="6" si="614">
        <n x="610"/>
        <n x="461"/>
        <n x="462"/>
        <n x="611" s="1"/>
        <n x="615"/>
        <n x="616"/>
      </t>
    </mdx>
    <mdx n="0" f="v">
      <t c="6" si="614">
        <n x="610"/>
        <n x="461"/>
        <n x="462"/>
        <n x="611" s="1"/>
        <n x="617"/>
        <n x="618"/>
      </t>
    </mdx>
    <mdx n="0" f="v">
      <t c="6" si="614">
        <n x="610"/>
        <n x="461"/>
        <n x="462"/>
        <n x="611" s="1"/>
        <n x="619"/>
        <n x="620"/>
      </t>
    </mdx>
    <mdx n="0" f="v">
      <t c="6" si="614">
        <n x="610"/>
        <n x="461"/>
        <n x="462"/>
        <n x="611" s="1"/>
        <n x="621"/>
        <n x="622"/>
      </t>
    </mdx>
    <mdx n="0" f="v">
      <t c="6" si="614">
        <n x="610"/>
        <n x="461"/>
        <n x="462"/>
        <n x="611" s="1"/>
        <n x="623"/>
        <n x="624"/>
      </t>
    </mdx>
    <mdx n="0" f="v">
      <t c="6" si="614">
        <n x="610"/>
        <n x="461"/>
        <n x="462"/>
        <n x="611" s="1"/>
        <n x="625"/>
        <n x="626"/>
      </t>
    </mdx>
    <mdx n="0" f="v">
      <t c="6" si="614">
        <n x="610"/>
        <n x="461"/>
        <n x="462"/>
        <n x="611" s="1"/>
        <n x="627"/>
        <n x="628"/>
      </t>
    </mdx>
    <mdx n="0" f="v">
      <t c="6" si="614">
        <n x="610"/>
        <n x="461"/>
        <n x="462"/>
        <n x="611" s="1"/>
        <n x="631"/>
        <n x="632"/>
      </t>
    </mdx>
    <mdx n="0" f="v">
      <t c="6" si="614">
        <n x="610"/>
        <n x="461"/>
        <n x="462"/>
        <n x="611" s="1"/>
        <n x="635"/>
        <n x="636"/>
      </t>
    </mdx>
    <mdx n="0" f="v">
      <t c="6" si="614">
        <n x="610"/>
        <n x="461"/>
        <n x="462"/>
        <n x="611" s="1"/>
        <n x="643"/>
        <n x="644"/>
      </t>
    </mdx>
    <mdx n="0" f="v">
      <t c="6" si="614">
        <n x="610"/>
        <n x="461"/>
        <n x="462"/>
        <n x="611" s="1"/>
        <n x="647"/>
        <n x="648"/>
      </t>
    </mdx>
    <mdx n="0" f="v">
      <t c="6" si="614">
        <n x="610"/>
        <n x="461"/>
        <n x="462"/>
        <n x="611" s="1"/>
        <n x="649"/>
        <n x="650"/>
      </t>
    </mdx>
    <mdx n="0" f="v">
      <t c="6" si="614">
        <n x="610"/>
        <n x="461"/>
        <n x="462"/>
        <n x="611" s="1"/>
        <n x="651"/>
        <n x="652"/>
      </t>
    </mdx>
    <mdx n="0" f="v">
      <t c="6" si="614">
        <n x="610"/>
        <n x="461"/>
        <n x="462"/>
        <n x="611" s="1"/>
        <n x="657"/>
        <n x="658"/>
      </t>
    </mdx>
    <mdx n="0" f="v">
      <t c="6" si="614">
        <n x="610"/>
        <n x="461"/>
        <n x="462"/>
        <n x="611" s="1"/>
        <n x="659"/>
        <n x="660"/>
      </t>
    </mdx>
    <mdx n="0" f="v">
      <t c="6" si="614">
        <n x="610"/>
        <n x="461"/>
        <n x="462"/>
        <n x="611" s="1"/>
        <n x="661"/>
        <n x="662"/>
      </t>
    </mdx>
    <mdx n="0" f="v">
      <t c="6" si="614">
        <n x="610"/>
        <n x="461"/>
        <n x="462"/>
        <n x="611" s="1"/>
        <n x="663"/>
        <n x="664"/>
      </t>
    </mdx>
    <mdx n="0" f="v">
      <t c="6" si="614">
        <n x="610"/>
        <n x="461"/>
        <n x="462"/>
        <n x="611" s="1"/>
        <n x="665"/>
        <n x="666"/>
      </t>
    </mdx>
    <mdx n="0" f="v">
      <t c="6" si="614">
        <n x="610"/>
        <n x="461"/>
        <n x="462"/>
        <n x="611" s="1"/>
        <n x="669"/>
        <n x="670"/>
      </t>
    </mdx>
    <mdx n="0" f="v">
      <t c="6" si="614">
        <n x="610"/>
        <n x="461"/>
        <n x="462"/>
        <n x="611" s="1"/>
        <n x="675"/>
        <n x="676"/>
      </t>
    </mdx>
    <mdx n="0" f="v">
      <t c="6" si="614">
        <n x="610"/>
        <n x="461"/>
        <n x="462"/>
        <n x="611" s="1"/>
        <n x="677"/>
        <n x="678"/>
      </t>
    </mdx>
    <mdx n="0" f="v">
      <t c="6" si="614">
        <n x="610"/>
        <n x="461"/>
        <n x="462"/>
        <n x="611" s="1"/>
        <n x="681"/>
        <n x="682"/>
      </t>
    </mdx>
    <mdx n="0" f="v">
      <t c="6" si="614">
        <n x="610"/>
        <n x="461"/>
        <n x="462"/>
        <n x="611" s="1"/>
        <n x="683"/>
        <n x="684"/>
      </t>
    </mdx>
    <mdx n="0" f="v">
      <t c="6" si="614">
        <n x="610"/>
        <n x="461"/>
        <n x="462"/>
        <n x="611" s="1"/>
        <n x="685"/>
        <n x="686"/>
      </t>
    </mdx>
    <mdx n="0" f="v">
      <t c="6" si="614">
        <n x="610"/>
        <n x="461"/>
        <n x="462"/>
        <n x="611" s="1"/>
        <n x="687"/>
        <n x="688"/>
      </t>
    </mdx>
    <mdx n="0" f="v">
      <t c="6" si="614">
        <n x="610"/>
        <n x="461"/>
        <n x="462"/>
        <n x="611" s="1"/>
        <n x="693"/>
        <n x="694"/>
      </t>
    </mdx>
    <mdx n="0" f="v">
      <t c="6" si="614">
        <n x="610"/>
        <n x="461"/>
        <n x="462"/>
        <n x="611" s="1"/>
        <n x="703"/>
        <n x="704"/>
      </t>
    </mdx>
    <mdx n="0" f="v">
      <t c="6" si="614">
        <n x="610"/>
        <n x="461"/>
        <n x="462"/>
        <n x="611" s="1"/>
        <n x="705"/>
        <n x="706"/>
      </t>
    </mdx>
    <mdx n="0" f="v">
      <t c="6" si="614">
        <n x="610"/>
        <n x="463"/>
        <n x="464"/>
        <n x="611" s="1"/>
        <n x="612"/>
        <n x="613"/>
      </t>
    </mdx>
    <mdx n="0" f="v">
      <t c="6" si="614">
        <n x="610"/>
        <n x="463"/>
        <n x="464"/>
        <n x="611" s="1"/>
        <n x="615"/>
        <n x="616"/>
      </t>
    </mdx>
    <mdx n="0" f="v">
      <t c="6" si="614">
        <n x="610"/>
        <n x="463"/>
        <n x="464"/>
        <n x="611" s="1"/>
        <n x="619"/>
        <n x="620"/>
      </t>
    </mdx>
    <mdx n="0" f="v">
      <t c="6" si="614">
        <n x="610"/>
        <n x="463"/>
        <n x="464"/>
        <n x="611" s="1"/>
        <n x="623"/>
        <n x="624"/>
      </t>
    </mdx>
    <mdx n="0" f="v">
      <t c="6" si="614">
        <n x="610"/>
        <n x="463"/>
        <n x="464"/>
        <n x="611" s="1"/>
        <n x="625"/>
        <n x="626"/>
      </t>
    </mdx>
    <mdx n="0" f="v">
      <t c="6" si="614">
        <n x="610"/>
        <n x="463"/>
        <n x="464"/>
        <n x="611" s="1"/>
        <n x="627"/>
        <n x="628"/>
      </t>
    </mdx>
    <mdx n="0" f="v">
      <t c="6" si="614">
        <n x="610"/>
        <n x="463"/>
        <n x="464"/>
        <n x="611" s="1"/>
        <n x="629"/>
        <n x="630"/>
      </t>
    </mdx>
    <mdx n="0" f="v">
      <t c="6" si="614">
        <n x="610"/>
        <n x="463"/>
        <n x="464"/>
        <n x="611" s="1"/>
        <n x="633"/>
        <n x="634"/>
      </t>
    </mdx>
    <mdx n="0" f="v">
      <t c="6" si="614">
        <n x="610"/>
        <n x="463"/>
        <n x="464"/>
        <n x="611" s="1"/>
        <n x="635"/>
        <n x="636"/>
      </t>
    </mdx>
    <mdx n="0" f="v">
      <t c="6" si="614">
        <n x="610"/>
        <n x="463"/>
        <n x="464"/>
        <n x="611" s="1"/>
        <n x="637"/>
        <n x="638"/>
      </t>
    </mdx>
    <mdx n="0" f="v">
      <t c="6" si="614">
        <n x="610"/>
        <n x="463"/>
        <n x="464"/>
        <n x="611" s="1"/>
        <n x="639"/>
        <n x="640"/>
      </t>
    </mdx>
    <mdx n="0" f="v">
      <t c="6" si="614">
        <n x="610"/>
        <n x="463"/>
        <n x="464"/>
        <n x="611" s="1"/>
        <n x="641"/>
        <n x="642"/>
      </t>
    </mdx>
    <mdx n="0" f="v">
      <t c="6" si="614">
        <n x="610"/>
        <n x="463"/>
        <n x="464"/>
        <n x="611" s="1"/>
        <n x="645"/>
        <n x="646"/>
      </t>
    </mdx>
    <mdx n="0" f="v">
      <t c="6" si="614">
        <n x="610"/>
        <n x="463"/>
        <n x="464"/>
        <n x="611" s="1"/>
        <n x="647"/>
        <n x="648"/>
      </t>
    </mdx>
    <mdx n="0" f="v">
      <t c="6" si="614">
        <n x="610"/>
        <n x="463"/>
        <n x="464"/>
        <n x="611" s="1"/>
        <n x="651"/>
        <n x="652"/>
      </t>
    </mdx>
    <mdx n="0" f="v">
      <t c="6" si="614">
        <n x="610"/>
        <n x="463"/>
        <n x="464"/>
        <n x="611" s="1"/>
        <n x="655"/>
        <n x="656"/>
      </t>
    </mdx>
    <mdx n="0" f="v">
      <t c="6" si="614">
        <n x="610"/>
        <n x="463"/>
        <n x="464"/>
        <n x="611" s="1"/>
        <n x="657"/>
        <n x="658"/>
      </t>
    </mdx>
    <mdx n="0" f="v">
      <t c="6" si="614">
        <n x="610"/>
        <n x="463"/>
        <n x="464"/>
        <n x="611" s="1"/>
        <n x="659"/>
        <n x="660"/>
      </t>
    </mdx>
    <mdx n="0" f="v">
      <t c="6" si="614">
        <n x="610"/>
        <n x="463"/>
        <n x="464"/>
        <n x="611" s="1"/>
        <n x="665"/>
        <n x="666"/>
      </t>
    </mdx>
    <mdx n="0" f="v">
      <t c="6" si="614">
        <n x="610"/>
        <n x="463"/>
        <n x="464"/>
        <n x="611" s="1"/>
        <n x="671"/>
        <n x="672"/>
      </t>
    </mdx>
    <mdx n="0" f="v">
      <t c="6" si="614">
        <n x="610"/>
        <n x="463"/>
        <n x="464"/>
        <n x="611" s="1"/>
        <n x="673"/>
        <n x="674"/>
      </t>
    </mdx>
    <mdx n="0" f="v">
      <t c="6" si="614">
        <n x="610"/>
        <n x="463"/>
        <n x="464"/>
        <n x="611" s="1"/>
        <n x="675"/>
        <n x="676"/>
      </t>
    </mdx>
    <mdx n="0" f="v">
      <t c="6" si="614">
        <n x="610"/>
        <n x="463"/>
        <n x="464"/>
        <n x="611" s="1"/>
        <n x="677"/>
        <n x="678"/>
      </t>
    </mdx>
    <mdx n="0" f="v">
      <t c="6" si="614">
        <n x="610"/>
        <n x="463"/>
        <n x="464"/>
        <n x="611" s="1"/>
        <n x="681"/>
        <n x="682"/>
      </t>
    </mdx>
    <mdx n="0" f="v">
      <t c="6" si="614">
        <n x="610"/>
        <n x="463"/>
        <n x="464"/>
        <n x="611" s="1"/>
        <n x="685"/>
        <n x="686"/>
      </t>
    </mdx>
    <mdx n="0" f="v">
      <t c="6" si="614">
        <n x="610"/>
        <n x="463"/>
        <n x="464"/>
        <n x="611" s="1"/>
        <n x="687"/>
        <n x="688"/>
      </t>
    </mdx>
    <mdx n="0" f="v">
      <t c="6" si="614">
        <n x="610"/>
        <n x="463"/>
        <n x="464"/>
        <n x="611" s="1"/>
        <n x="689"/>
        <n x="690"/>
      </t>
    </mdx>
    <mdx n="0" f="v">
      <t c="6" si="614">
        <n x="610"/>
        <n x="463"/>
        <n x="464"/>
        <n x="611" s="1"/>
        <n x="691"/>
        <n x="692"/>
      </t>
    </mdx>
    <mdx n="0" f="v">
      <t c="6" si="614">
        <n x="610"/>
        <n x="463"/>
        <n x="464"/>
        <n x="611" s="1"/>
        <n x="693"/>
        <n x="694"/>
      </t>
    </mdx>
    <mdx n="0" f="v">
      <t c="6" si="614">
        <n x="610"/>
        <n x="463"/>
        <n x="464"/>
        <n x="611" s="1"/>
        <n x="695"/>
        <n x="696"/>
      </t>
    </mdx>
    <mdx n="0" f="v">
      <t c="6" si="614">
        <n x="610"/>
        <n x="463"/>
        <n x="464"/>
        <n x="611" s="1"/>
        <n x="697"/>
        <n x="698"/>
      </t>
    </mdx>
    <mdx n="0" f="v">
      <t c="6" si="614">
        <n x="610"/>
        <n x="463"/>
        <n x="464"/>
        <n x="611" s="1"/>
        <n x="699"/>
        <n x="700"/>
      </t>
    </mdx>
    <mdx n="0" f="v">
      <t c="6" si="614">
        <n x="610"/>
        <n x="463"/>
        <n x="464"/>
        <n x="611" s="1"/>
        <n x="703"/>
        <n x="704"/>
      </t>
    </mdx>
    <mdx n="0" f="v">
      <t c="6" si="614">
        <n x="610"/>
        <n x="463"/>
        <n x="464"/>
        <n x="611" s="1"/>
        <n x="705"/>
        <n x="706"/>
      </t>
    </mdx>
    <mdx n="0" f="v">
      <t c="6" si="614">
        <n x="610"/>
        <n x="465"/>
        <n x="466"/>
        <n x="611" s="1"/>
        <n x="612"/>
        <n x="613"/>
      </t>
    </mdx>
    <mdx n="0" f="v">
      <t c="6" si="614">
        <n x="610"/>
        <n x="465"/>
        <n x="466"/>
        <n x="611" s="1"/>
        <n x="615"/>
        <n x="616"/>
      </t>
    </mdx>
    <mdx n="0" f="v">
      <t c="6" si="614">
        <n x="610"/>
        <n x="465"/>
        <n x="466"/>
        <n x="611" s="1"/>
        <n x="617"/>
        <n x="618"/>
      </t>
    </mdx>
    <mdx n="0" f="v">
      <t c="6" si="614">
        <n x="610"/>
        <n x="465"/>
        <n x="466"/>
        <n x="611" s="1"/>
        <n x="619"/>
        <n x="620"/>
      </t>
    </mdx>
    <mdx n="0" f="v">
      <t c="6" si="614">
        <n x="610"/>
        <n x="465"/>
        <n x="466"/>
        <n x="611" s="1"/>
        <n x="621"/>
        <n x="622"/>
      </t>
    </mdx>
    <mdx n="0" f="v">
      <t c="6" si="614">
        <n x="610"/>
        <n x="465"/>
        <n x="466"/>
        <n x="611" s="1"/>
        <n x="625"/>
        <n x="626"/>
      </t>
    </mdx>
    <mdx n="0" f="v">
      <t c="6" si="614">
        <n x="610"/>
        <n x="465"/>
        <n x="466"/>
        <n x="611" s="1"/>
        <n x="631"/>
        <n x="632"/>
      </t>
    </mdx>
    <mdx n="0" f="v">
      <t c="6" si="614">
        <n x="610"/>
        <n x="465"/>
        <n x="466"/>
        <n x="611" s="1"/>
        <n x="635"/>
        <n x="636"/>
      </t>
    </mdx>
    <mdx n="0" f="v">
      <t c="6" si="614">
        <n x="610"/>
        <n x="465"/>
        <n x="466"/>
        <n x="611" s="1"/>
        <n x="643"/>
        <n x="644"/>
      </t>
    </mdx>
    <mdx n="0" f="v">
      <t c="6" si="614">
        <n x="610"/>
        <n x="465"/>
        <n x="466"/>
        <n x="611" s="1"/>
        <n x="651"/>
        <n x="652"/>
      </t>
    </mdx>
    <mdx n="0" f="v">
      <t c="6" si="614">
        <n x="610"/>
        <n x="465"/>
        <n x="466"/>
        <n x="611" s="1"/>
        <n x="657"/>
        <n x="658"/>
      </t>
    </mdx>
    <mdx n="0" f="v">
      <t c="6" si="614">
        <n x="610"/>
        <n x="465"/>
        <n x="466"/>
        <n x="611" s="1"/>
        <n x="659"/>
        <n x="660"/>
      </t>
    </mdx>
    <mdx n="0" f="v">
      <t c="6" si="614">
        <n x="610"/>
        <n x="465"/>
        <n x="466"/>
        <n x="611" s="1"/>
        <n x="661"/>
        <n x="662"/>
      </t>
    </mdx>
    <mdx n="0" f="v">
      <t c="6" si="614">
        <n x="610"/>
        <n x="465"/>
        <n x="466"/>
        <n x="611" s="1"/>
        <n x="667"/>
        <n x="668"/>
      </t>
    </mdx>
    <mdx n="0" f="v">
      <t c="6" si="614">
        <n x="610"/>
        <n x="465"/>
        <n x="466"/>
        <n x="611" s="1"/>
        <n x="669"/>
        <n x="670"/>
      </t>
    </mdx>
    <mdx n="0" f="v">
      <t c="6" si="614">
        <n x="610"/>
        <n x="465"/>
        <n x="466"/>
        <n x="611" s="1"/>
        <n x="673"/>
        <n x="674"/>
      </t>
    </mdx>
    <mdx n="0" f="v">
      <t c="6" si="614">
        <n x="610"/>
        <n x="465"/>
        <n x="466"/>
        <n x="611" s="1"/>
        <n x="679"/>
        <n x="680"/>
      </t>
    </mdx>
    <mdx n="0" f="v">
      <t c="6" si="614">
        <n x="610"/>
        <n x="465"/>
        <n x="466"/>
        <n x="611" s="1"/>
        <n x="681"/>
        <n x="682"/>
      </t>
    </mdx>
    <mdx n="0" f="v">
      <t c="6" si="614">
        <n x="610"/>
        <n x="465"/>
        <n x="466"/>
        <n x="611" s="1"/>
        <n x="683"/>
        <n x="684"/>
      </t>
    </mdx>
    <mdx n="0" f="v">
      <t c="6" si="614">
        <n x="610"/>
        <n x="465"/>
        <n x="466"/>
        <n x="611" s="1"/>
        <n x="685"/>
        <n x="686"/>
      </t>
    </mdx>
    <mdx n="0" f="v">
      <t c="6" si="614">
        <n x="610"/>
        <n x="465"/>
        <n x="466"/>
        <n x="611" s="1"/>
        <n x="687"/>
        <n x="688"/>
      </t>
    </mdx>
    <mdx n="0" f="v">
      <t c="6" si="614">
        <n x="610"/>
        <n x="465"/>
        <n x="466"/>
        <n x="611" s="1"/>
        <n x="689"/>
        <n x="690"/>
      </t>
    </mdx>
    <mdx n="0" f="v">
      <t c="6" si="614">
        <n x="610"/>
        <n x="465"/>
        <n x="466"/>
        <n x="611" s="1"/>
        <n x="697"/>
        <n x="698"/>
      </t>
    </mdx>
    <mdx n="0" f="v">
      <t c="6" si="614">
        <n x="610"/>
        <n x="465"/>
        <n x="466"/>
        <n x="611" s="1"/>
        <n x="699"/>
        <n x="700"/>
      </t>
    </mdx>
    <mdx n="0" f="v">
      <t c="6" si="614">
        <n x="610"/>
        <n x="465"/>
        <n x="466"/>
        <n x="611" s="1"/>
        <n x="701"/>
        <n x="702"/>
      </t>
    </mdx>
    <mdx n="0" f="v">
      <t c="6" si="614">
        <n x="610"/>
        <n x="465"/>
        <n x="466"/>
        <n x="611" s="1"/>
        <n x="703"/>
        <n x="704"/>
      </t>
    </mdx>
    <mdx n="0" f="v">
      <t c="6" si="614">
        <n x="610"/>
        <n x="465"/>
        <n x="466"/>
        <n x="611" s="1"/>
        <n x="705"/>
        <n x="706"/>
      </t>
    </mdx>
    <mdx n="0" f="v">
      <t c="6" si="614">
        <n x="610"/>
        <n x="467"/>
        <n x="468"/>
        <n x="611" s="1"/>
        <n x="612"/>
        <n x="613"/>
      </t>
    </mdx>
    <mdx n="0" f="v">
      <t c="6" si="614">
        <n x="610"/>
        <n x="467"/>
        <n x="468"/>
        <n x="611" s="1"/>
        <n x="615"/>
        <n x="616"/>
      </t>
    </mdx>
    <mdx n="0" f="v">
      <t c="6" si="614">
        <n x="610"/>
        <n x="467"/>
        <n x="468"/>
        <n x="611" s="1"/>
        <n x="617"/>
        <n x="618"/>
      </t>
    </mdx>
    <mdx n="0" f="v">
      <t c="6" si="614">
        <n x="610"/>
        <n x="467"/>
        <n x="468"/>
        <n x="611" s="1"/>
        <n x="619"/>
        <n x="620"/>
      </t>
    </mdx>
    <mdx n="0" f="v">
      <t c="6" si="614">
        <n x="610"/>
        <n x="467"/>
        <n x="468"/>
        <n x="611" s="1"/>
        <n x="621"/>
        <n x="622"/>
      </t>
    </mdx>
    <mdx n="0" f="v">
      <t c="6" si="614">
        <n x="610"/>
        <n x="467"/>
        <n x="468"/>
        <n x="611" s="1"/>
        <n x="623"/>
        <n x="624"/>
      </t>
    </mdx>
    <mdx n="0" f="v">
      <t c="6" si="614">
        <n x="610"/>
        <n x="467"/>
        <n x="468"/>
        <n x="611" s="1"/>
        <n x="625"/>
        <n x="626"/>
      </t>
    </mdx>
    <mdx n="0" f="v">
      <t c="6" si="614">
        <n x="610"/>
        <n x="467"/>
        <n x="468"/>
        <n x="611" s="1"/>
        <n x="627"/>
        <n x="628"/>
      </t>
    </mdx>
    <mdx n="0" f="v">
      <t c="6" si="614">
        <n x="610"/>
        <n x="467"/>
        <n x="468"/>
        <n x="611" s="1"/>
        <n x="629"/>
        <n x="630"/>
      </t>
    </mdx>
    <mdx n="0" f="v">
      <t c="6" si="614">
        <n x="610"/>
        <n x="467"/>
        <n x="468"/>
        <n x="611" s="1"/>
        <n x="631"/>
        <n x="632"/>
      </t>
    </mdx>
    <mdx n="0" f="v">
      <t c="6" si="614">
        <n x="610"/>
        <n x="467"/>
        <n x="468"/>
        <n x="611" s="1"/>
        <n x="633"/>
        <n x="634"/>
      </t>
    </mdx>
    <mdx n="0" f="v">
      <t c="6" si="614">
        <n x="610"/>
        <n x="467"/>
        <n x="468"/>
        <n x="611" s="1"/>
        <n x="635"/>
        <n x="636"/>
      </t>
    </mdx>
    <mdx n="0" f="v">
      <t c="6" si="614">
        <n x="610"/>
        <n x="467"/>
        <n x="468"/>
        <n x="611" s="1"/>
        <n x="637"/>
        <n x="638"/>
      </t>
    </mdx>
    <mdx n="0" f="v">
      <t c="6" si="614">
        <n x="610"/>
        <n x="467"/>
        <n x="468"/>
        <n x="611" s="1"/>
        <n x="639"/>
        <n x="640"/>
      </t>
    </mdx>
    <mdx n="0" f="v">
      <t c="6" si="614">
        <n x="610"/>
        <n x="467"/>
        <n x="468"/>
        <n x="611" s="1"/>
        <n x="641"/>
        <n x="642"/>
      </t>
    </mdx>
    <mdx n="0" f="v">
      <t c="6" si="614">
        <n x="610"/>
        <n x="467"/>
        <n x="468"/>
        <n x="611" s="1"/>
        <n x="645"/>
        <n x="646"/>
      </t>
    </mdx>
    <mdx n="0" f="v">
      <t c="6" si="614">
        <n x="610"/>
        <n x="467"/>
        <n x="468"/>
        <n x="611" s="1"/>
        <n x="647"/>
        <n x="648"/>
      </t>
    </mdx>
    <mdx n="0" f="v">
      <t c="6" si="614">
        <n x="610"/>
        <n x="467"/>
        <n x="468"/>
        <n x="611" s="1"/>
        <n x="649"/>
        <n x="650"/>
      </t>
    </mdx>
    <mdx n="0" f="v">
      <t c="6" si="614">
        <n x="610"/>
        <n x="467"/>
        <n x="468"/>
        <n x="611" s="1"/>
        <n x="651"/>
        <n x="652"/>
      </t>
    </mdx>
    <mdx n="0" f="v">
      <t c="6" si="614">
        <n x="610"/>
        <n x="467"/>
        <n x="468"/>
        <n x="611" s="1"/>
        <n x="653"/>
        <n x="654"/>
      </t>
    </mdx>
    <mdx n="0" f="v">
      <t c="6" si="614">
        <n x="610"/>
        <n x="467"/>
        <n x="468"/>
        <n x="611" s="1"/>
        <n x="655"/>
        <n x="656"/>
      </t>
    </mdx>
    <mdx n="0" f="v">
      <t c="6" si="614">
        <n x="610"/>
        <n x="467"/>
        <n x="468"/>
        <n x="611" s="1"/>
        <n x="657"/>
        <n x="658"/>
      </t>
    </mdx>
    <mdx n="0" f="v">
      <t c="6" si="614">
        <n x="610"/>
        <n x="467"/>
        <n x="468"/>
        <n x="611" s="1"/>
        <n x="659"/>
        <n x="660"/>
      </t>
    </mdx>
    <mdx n="0" f="v">
      <t c="6" si="614">
        <n x="610"/>
        <n x="467"/>
        <n x="468"/>
        <n x="611" s="1"/>
        <n x="661"/>
        <n x="662"/>
      </t>
    </mdx>
    <mdx n="0" f="v">
      <t c="6" si="614">
        <n x="610"/>
        <n x="467"/>
        <n x="468"/>
        <n x="611" s="1"/>
        <n x="667"/>
        <n x="668"/>
      </t>
    </mdx>
    <mdx n="0" f="v">
      <t c="6" si="614">
        <n x="610"/>
        <n x="467"/>
        <n x="468"/>
        <n x="611" s="1"/>
        <n x="669"/>
        <n x="670"/>
      </t>
    </mdx>
    <mdx n="0" f="v">
      <t c="6" si="614">
        <n x="610"/>
        <n x="467"/>
        <n x="468"/>
        <n x="611" s="1"/>
        <n x="671"/>
        <n x="672"/>
      </t>
    </mdx>
    <mdx n="0" f="v">
      <t c="6" si="614">
        <n x="610"/>
        <n x="467"/>
        <n x="468"/>
        <n x="611" s="1"/>
        <n x="673"/>
        <n x="674"/>
      </t>
    </mdx>
    <mdx n="0" f="v">
      <t c="6" si="614">
        <n x="610"/>
        <n x="467"/>
        <n x="468"/>
        <n x="611" s="1"/>
        <n x="675"/>
        <n x="676"/>
      </t>
    </mdx>
    <mdx n="0" f="v">
      <t c="6" si="614">
        <n x="610"/>
        <n x="467"/>
        <n x="468"/>
        <n x="611" s="1"/>
        <n x="677"/>
        <n x="678"/>
      </t>
    </mdx>
    <mdx n="0" f="v">
      <t c="6" si="614">
        <n x="610"/>
        <n x="467"/>
        <n x="468"/>
        <n x="611" s="1"/>
        <n x="681"/>
        <n x="682"/>
      </t>
    </mdx>
    <mdx n="0" f="v">
      <t c="6" si="614">
        <n x="610"/>
        <n x="467"/>
        <n x="468"/>
        <n x="611" s="1"/>
        <n x="683"/>
        <n x="684"/>
      </t>
    </mdx>
    <mdx n="0" f="v">
      <t c="6" si="614">
        <n x="610"/>
        <n x="467"/>
        <n x="468"/>
        <n x="611" s="1"/>
        <n x="685"/>
        <n x="686"/>
      </t>
    </mdx>
    <mdx n="0" f="v">
      <t c="6" si="614">
        <n x="610"/>
        <n x="467"/>
        <n x="468"/>
        <n x="611" s="1"/>
        <n x="695"/>
        <n x="696"/>
      </t>
    </mdx>
    <mdx n="0" f="v">
      <t c="6" si="614">
        <n x="610"/>
        <n x="467"/>
        <n x="468"/>
        <n x="611" s="1"/>
        <n x="697"/>
        <n x="698"/>
      </t>
    </mdx>
    <mdx n="0" f="v">
      <t c="6" si="614">
        <n x="610"/>
        <n x="467"/>
        <n x="468"/>
        <n x="611" s="1"/>
        <n x="699"/>
        <n x="700"/>
      </t>
    </mdx>
    <mdx n="0" f="v">
      <t c="6" si="614">
        <n x="610"/>
        <n x="467"/>
        <n x="468"/>
        <n x="611" s="1"/>
        <n x="701"/>
        <n x="702"/>
      </t>
    </mdx>
    <mdx n="0" f="v">
      <t c="6" si="614">
        <n x="610"/>
        <n x="467"/>
        <n x="468"/>
        <n x="611" s="1"/>
        <n x="703"/>
        <n x="704"/>
      </t>
    </mdx>
    <mdx n="0" f="v">
      <t c="6" si="614">
        <n x="610"/>
        <n x="467"/>
        <n x="468"/>
        <n x="611" s="1"/>
        <n x="705"/>
        <n x="706"/>
      </t>
    </mdx>
    <mdx n="0" f="v">
      <t c="6" si="614">
        <n x="610"/>
        <n x="467"/>
        <n x="468"/>
        <n x="611" s="1"/>
        <n x="707"/>
        <n x="708"/>
      </t>
    </mdx>
    <mdx n="0" f="v">
      <t c="6" si="614">
        <n x="610"/>
        <n x="469"/>
        <n x="470"/>
        <n x="611" s="1"/>
        <n x="612"/>
        <n x="613"/>
      </t>
    </mdx>
    <mdx n="0" f="v">
      <t c="6" si="614">
        <n x="610"/>
        <n x="469"/>
        <n x="470"/>
        <n x="611" s="1"/>
        <n x="615"/>
        <n x="616"/>
      </t>
    </mdx>
    <mdx n="0" f="v">
      <t c="6" si="614">
        <n x="610"/>
        <n x="469"/>
        <n x="470"/>
        <n x="611" s="1"/>
        <n x="617"/>
        <n x="618"/>
      </t>
    </mdx>
    <mdx n="0" f="v">
      <t c="6" si="614">
        <n x="610"/>
        <n x="469"/>
        <n x="470"/>
        <n x="611" s="1"/>
        <n x="619"/>
        <n x="620"/>
      </t>
    </mdx>
    <mdx n="0" f="v">
      <t c="6" si="614">
        <n x="610"/>
        <n x="469"/>
        <n x="470"/>
        <n x="611" s="1"/>
        <n x="623"/>
        <n x="624"/>
      </t>
    </mdx>
    <mdx n="0" f="v">
      <t c="6" si="614">
        <n x="610"/>
        <n x="469"/>
        <n x="470"/>
        <n x="611" s="1"/>
        <n x="625"/>
        <n x="626"/>
      </t>
    </mdx>
    <mdx n="0" f="v">
      <t c="6" si="614">
        <n x="610"/>
        <n x="469"/>
        <n x="470"/>
        <n x="611" s="1"/>
        <n x="627"/>
        <n x="628"/>
      </t>
    </mdx>
    <mdx n="0" f="v">
      <t c="6" si="614">
        <n x="610"/>
        <n x="469"/>
        <n x="470"/>
        <n x="611" s="1"/>
        <n x="629"/>
        <n x="630"/>
      </t>
    </mdx>
    <mdx n="0" f="v">
      <t c="6" si="614">
        <n x="610"/>
        <n x="469"/>
        <n x="470"/>
        <n x="611" s="1"/>
        <n x="631"/>
        <n x="632"/>
      </t>
    </mdx>
    <mdx n="0" f="v">
      <t c="6" si="614">
        <n x="610"/>
        <n x="469"/>
        <n x="470"/>
        <n x="611" s="1"/>
        <n x="635"/>
        <n x="636"/>
      </t>
    </mdx>
    <mdx n="0" f="v">
      <t c="6" si="614">
        <n x="610"/>
        <n x="469"/>
        <n x="470"/>
        <n x="611" s="1"/>
        <n x="641"/>
        <n x="642"/>
      </t>
    </mdx>
    <mdx n="0" f="v">
      <t c="6" si="614">
        <n x="610"/>
        <n x="469"/>
        <n x="470"/>
        <n x="611" s="1"/>
        <n x="643"/>
        <n x="644"/>
      </t>
    </mdx>
    <mdx n="0" f="v">
      <t c="6" si="614">
        <n x="610"/>
        <n x="469"/>
        <n x="470"/>
        <n x="611" s="1"/>
        <n x="645"/>
        <n x="646"/>
      </t>
    </mdx>
    <mdx n="0" f="v">
      <t c="6" si="614">
        <n x="610"/>
        <n x="469"/>
        <n x="470"/>
        <n x="611" s="1"/>
        <n x="647"/>
        <n x="648"/>
      </t>
    </mdx>
    <mdx n="0" f="v">
      <t c="6" si="614">
        <n x="610"/>
        <n x="469"/>
        <n x="470"/>
        <n x="611" s="1"/>
        <n x="649"/>
        <n x="650"/>
      </t>
    </mdx>
    <mdx n="0" f="v">
      <t c="6" si="614">
        <n x="610"/>
        <n x="469"/>
        <n x="470"/>
        <n x="611" s="1"/>
        <n x="651"/>
        <n x="652"/>
      </t>
    </mdx>
    <mdx n="0" f="v">
      <t c="6" si="614">
        <n x="610"/>
        <n x="469"/>
        <n x="470"/>
        <n x="611" s="1"/>
        <n x="653"/>
        <n x="654"/>
      </t>
    </mdx>
    <mdx n="0" f="v">
      <t c="6" si="614">
        <n x="610"/>
        <n x="469"/>
        <n x="470"/>
        <n x="611" s="1"/>
        <n x="655"/>
        <n x="656"/>
      </t>
    </mdx>
    <mdx n="0" f="v">
      <t c="6" si="614">
        <n x="610"/>
        <n x="469"/>
        <n x="470"/>
        <n x="611" s="1"/>
        <n x="657"/>
        <n x="658"/>
      </t>
    </mdx>
    <mdx n="0" f="v">
      <t c="6" si="614">
        <n x="610"/>
        <n x="469"/>
        <n x="470"/>
        <n x="611" s="1"/>
        <n x="659"/>
        <n x="660"/>
      </t>
    </mdx>
    <mdx n="0" f="v">
      <t c="6" si="614">
        <n x="610"/>
        <n x="469"/>
        <n x="470"/>
        <n x="611" s="1"/>
        <n x="661"/>
        <n x="662"/>
      </t>
    </mdx>
    <mdx n="0" f="v">
      <t c="6" si="614">
        <n x="610"/>
        <n x="469"/>
        <n x="470"/>
        <n x="611" s="1"/>
        <n x="663"/>
        <n x="664"/>
      </t>
    </mdx>
    <mdx n="0" f="v">
      <t c="6" si="614">
        <n x="610"/>
        <n x="469"/>
        <n x="470"/>
        <n x="611" s="1"/>
        <n x="665"/>
        <n x="666"/>
      </t>
    </mdx>
    <mdx n="0" f="v">
      <t c="6" si="614">
        <n x="610"/>
        <n x="469"/>
        <n x="470"/>
        <n x="611" s="1"/>
        <n x="667"/>
        <n x="668"/>
      </t>
    </mdx>
    <mdx n="0" f="v">
      <t c="6" si="614">
        <n x="610"/>
        <n x="469"/>
        <n x="470"/>
        <n x="611" s="1"/>
        <n x="669"/>
        <n x="670"/>
      </t>
    </mdx>
    <mdx n="0" f="v">
      <t c="6" si="614">
        <n x="610"/>
        <n x="469"/>
        <n x="470"/>
        <n x="611" s="1"/>
        <n x="671"/>
        <n x="672"/>
      </t>
    </mdx>
    <mdx n="0" f="v">
      <t c="6" si="614">
        <n x="610"/>
        <n x="469"/>
        <n x="470"/>
        <n x="611" s="1"/>
        <n x="673"/>
        <n x="674"/>
      </t>
    </mdx>
    <mdx n="0" f="v">
      <t c="6" si="614">
        <n x="610"/>
        <n x="469"/>
        <n x="470"/>
        <n x="611" s="1"/>
        <n x="675"/>
        <n x="676"/>
      </t>
    </mdx>
    <mdx n="0" f="v">
      <t c="6" si="614">
        <n x="610"/>
        <n x="469"/>
        <n x="470"/>
        <n x="611" s="1"/>
        <n x="679"/>
        <n x="680"/>
      </t>
    </mdx>
    <mdx n="0" f="v">
      <t c="6" si="614">
        <n x="610"/>
        <n x="469"/>
        <n x="470"/>
        <n x="611" s="1"/>
        <n x="681"/>
        <n x="682"/>
      </t>
    </mdx>
    <mdx n="0" f="v">
      <t c="6" si="614">
        <n x="610"/>
        <n x="469"/>
        <n x="470"/>
        <n x="611" s="1"/>
        <n x="685"/>
        <n x="686"/>
      </t>
    </mdx>
    <mdx n="0" f="v">
      <t c="6" si="614">
        <n x="610"/>
        <n x="469"/>
        <n x="470"/>
        <n x="611" s="1"/>
        <n x="689"/>
        <n x="690"/>
      </t>
    </mdx>
    <mdx n="0" f="v">
      <t c="6" si="614">
        <n x="610"/>
        <n x="469"/>
        <n x="470"/>
        <n x="611" s="1"/>
        <n x="691"/>
        <n x="692"/>
      </t>
    </mdx>
    <mdx n="0" f="v">
      <t c="6" si="614">
        <n x="610"/>
        <n x="469"/>
        <n x="470"/>
        <n x="611" s="1"/>
        <n x="695"/>
        <n x="696"/>
      </t>
    </mdx>
    <mdx n="0" f="v">
      <t c="6" si="614">
        <n x="610"/>
        <n x="469"/>
        <n x="470"/>
        <n x="611" s="1"/>
        <n x="697"/>
        <n x="698"/>
      </t>
    </mdx>
    <mdx n="0" f="v">
      <t c="6" si="614">
        <n x="610"/>
        <n x="469"/>
        <n x="470"/>
        <n x="611" s="1"/>
        <n x="701"/>
        <n x="702"/>
      </t>
    </mdx>
    <mdx n="0" f="v">
      <t c="6" si="614">
        <n x="610"/>
        <n x="469"/>
        <n x="470"/>
        <n x="611" s="1"/>
        <n x="705"/>
        <n x="706"/>
      </t>
    </mdx>
    <mdx n="0" f="v">
      <t c="6" si="614">
        <n x="610"/>
        <n x="469"/>
        <n x="470"/>
        <n x="611" s="1"/>
        <n x="707"/>
        <n x="708"/>
      </t>
    </mdx>
    <mdx n="0" f="v">
      <t c="6" si="614">
        <n x="610"/>
        <n x="471"/>
        <n x="472"/>
        <n x="611" s="1"/>
        <n x="612"/>
        <n x="613"/>
      </t>
    </mdx>
    <mdx n="0" f="v">
      <t c="6" si="614">
        <n x="610"/>
        <n x="471"/>
        <n x="472"/>
        <n x="611" s="1"/>
        <n x="615"/>
        <n x="616"/>
      </t>
    </mdx>
    <mdx n="0" f="v">
      <t c="6" si="614">
        <n x="610"/>
        <n x="471"/>
        <n x="472"/>
        <n x="611" s="1"/>
        <n x="617"/>
        <n x="618"/>
      </t>
    </mdx>
    <mdx n="0" f="v">
      <t c="6" si="614">
        <n x="610"/>
        <n x="471"/>
        <n x="472"/>
        <n x="611" s="1"/>
        <n x="623"/>
        <n x="624"/>
      </t>
    </mdx>
    <mdx n="0" f="v">
      <t c="6" si="614">
        <n x="610"/>
        <n x="471"/>
        <n x="472"/>
        <n x="611" s="1"/>
        <n x="625"/>
        <n x="626"/>
      </t>
    </mdx>
    <mdx n="0" f="v">
      <t c="6" si="614">
        <n x="610"/>
        <n x="471"/>
        <n x="472"/>
        <n x="611" s="1"/>
        <n x="627"/>
        <n x="628"/>
      </t>
    </mdx>
    <mdx n="0" f="v">
      <t c="6" si="614">
        <n x="610"/>
        <n x="471"/>
        <n x="472"/>
        <n x="611" s="1"/>
        <n x="635"/>
        <n x="636"/>
      </t>
    </mdx>
    <mdx n="0" f="v">
      <t c="6" si="614">
        <n x="610"/>
        <n x="471"/>
        <n x="472"/>
        <n x="611" s="1"/>
        <n x="643"/>
        <n x="644"/>
      </t>
    </mdx>
    <mdx n="0" f="v">
      <t c="6" si="614">
        <n x="610"/>
        <n x="471"/>
        <n x="472"/>
        <n x="611" s="1"/>
        <n x="647"/>
        <n x="648"/>
      </t>
    </mdx>
    <mdx n="0" f="v">
      <t c="6" si="614">
        <n x="610"/>
        <n x="471"/>
        <n x="472"/>
        <n x="611" s="1"/>
        <n x="649"/>
        <n x="650"/>
      </t>
    </mdx>
    <mdx n="0" f="v">
      <t c="6" si="614">
        <n x="610"/>
        <n x="471"/>
        <n x="472"/>
        <n x="611" s="1"/>
        <n x="657"/>
        <n x="658"/>
      </t>
    </mdx>
    <mdx n="0" f="v">
      <t c="6" si="614">
        <n x="610"/>
        <n x="471"/>
        <n x="472"/>
        <n x="611" s="1"/>
        <n x="659"/>
        <n x="660"/>
      </t>
    </mdx>
    <mdx n="0" f="v">
      <t c="6" si="614">
        <n x="610"/>
        <n x="471"/>
        <n x="472"/>
        <n x="611" s="1"/>
        <n x="661"/>
        <n x="662"/>
      </t>
    </mdx>
    <mdx n="0" f="v">
      <t c="6" si="614">
        <n x="610"/>
        <n x="471"/>
        <n x="472"/>
        <n x="611" s="1"/>
        <n x="663"/>
        <n x="664"/>
      </t>
    </mdx>
    <mdx n="0" f="v">
      <t c="6" si="614">
        <n x="610"/>
        <n x="471"/>
        <n x="472"/>
        <n x="611" s="1"/>
        <n x="671"/>
        <n x="672"/>
      </t>
    </mdx>
    <mdx n="0" f="v">
      <t c="6" si="614">
        <n x="610"/>
        <n x="471"/>
        <n x="472"/>
        <n x="611" s="1"/>
        <n x="675"/>
        <n x="676"/>
      </t>
    </mdx>
    <mdx n="0" f="v">
      <t c="6" si="614">
        <n x="610"/>
        <n x="471"/>
        <n x="472"/>
        <n x="611" s="1"/>
        <n x="677"/>
        <n x="678"/>
      </t>
    </mdx>
    <mdx n="0" f="v">
      <t c="6" si="614">
        <n x="610"/>
        <n x="471"/>
        <n x="472"/>
        <n x="611" s="1"/>
        <n x="679"/>
        <n x="680"/>
      </t>
    </mdx>
    <mdx n="0" f="v">
      <t c="6" si="614">
        <n x="610"/>
        <n x="471"/>
        <n x="472"/>
        <n x="611" s="1"/>
        <n x="681"/>
        <n x="682"/>
      </t>
    </mdx>
    <mdx n="0" f="v">
      <t c="6" si="614">
        <n x="610"/>
        <n x="471"/>
        <n x="472"/>
        <n x="611" s="1"/>
        <n x="683"/>
        <n x="684"/>
      </t>
    </mdx>
    <mdx n="0" f="v">
      <t c="6" si="614">
        <n x="610"/>
        <n x="471"/>
        <n x="472"/>
        <n x="611" s="1"/>
        <n x="687"/>
        <n x="688"/>
      </t>
    </mdx>
    <mdx n="0" f="v">
      <t c="6" si="614">
        <n x="610"/>
        <n x="471"/>
        <n x="472"/>
        <n x="611" s="1"/>
        <n x="689"/>
        <n x="690"/>
      </t>
    </mdx>
    <mdx n="0" f="v">
      <t c="6" si="614">
        <n x="610"/>
        <n x="471"/>
        <n x="472"/>
        <n x="611" s="1"/>
        <n x="691"/>
        <n x="692"/>
      </t>
    </mdx>
    <mdx n="0" f="v">
      <t c="6" si="614">
        <n x="610"/>
        <n x="471"/>
        <n x="472"/>
        <n x="611" s="1"/>
        <n x="697"/>
        <n x="698"/>
      </t>
    </mdx>
    <mdx n="0" f="v">
      <t c="6" si="614">
        <n x="610"/>
        <n x="471"/>
        <n x="472"/>
        <n x="611" s="1"/>
        <n x="699"/>
        <n x="700"/>
      </t>
    </mdx>
    <mdx n="0" f="v">
      <t c="6" si="614">
        <n x="610"/>
        <n x="471"/>
        <n x="472"/>
        <n x="611" s="1"/>
        <n x="703"/>
        <n x="704"/>
      </t>
    </mdx>
    <mdx n="0" f="v">
      <t c="6" si="614">
        <n x="610"/>
        <n x="473"/>
        <n x="474"/>
        <n x="611" s="1"/>
        <n x="612"/>
        <n x="613"/>
      </t>
    </mdx>
    <mdx n="0" f="v">
      <t c="6" si="614">
        <n x="610"/>
        <n x="473"/>
        <n x="474"/>
        <n x="611" s="1"/>
        <n x="615"/>
        <n x="616"/>
      </t>
    </mdx>
    <mdx n="0" f="v">
      <t c="6" si="614">
        <n x="610"/>
        <n x="473"/>
        <n x="474"/>
        <n x="611" s="1"/>
        <n x="617"/>
        <n x="618"/>
      </t>
    </mdx>
    <mdx n="0" f="v">
      <t c="6" si="614">
        <n x="610"/>
        <n x="473"/>
        <n x="474"/>
        <n x="611" s="1"/>
        <n x="619"/>
        <n x="620"/>
      </t>
    </mdx>
    <mdx n="0" f="v">
      <t c="6" si="614">
        <n x="610"/>
        <n x="473"/>
        <n x="474"/>
        <n x="611" s="1"/>
        <n x="621"/>
        <n x="622"/>
      </t>
    </mdx>
    <mdx n="0" f="v">
      <t c="6" si="614">
        <n x="610"/>
        <n x="473"/>
        <n x="474"/>
        <n x="611" s="1"/>
        <n x="623"/>
        <n x="624"/>
      </t>
    </mdx>
    <mdx n="0" f="v">
      <t c="6" si="614">
        <n x="610"/>
        <n x="473"/>
        <n x="474"/>
        <n x="611" s="1"/>
        <n x="627"/>
        <n x="628"/>
      </t>
    </mdx>
    <mdx n="0" f="v">
      <t c="6" si="614">
        <n x="610"/>
        <n x="473"/>
        <n x="474"/>
        <n x="611" s="1"/>
        <n x="629"/>
        <n x="630"/>
      </t>
    </mdx>
    <mdx n="0" f="v">
      <t c="6" si="614">
        <n x="610"/>
        <n x="473"/>
        <n x="474"/>
        <n x="611" s="1"/>
        <n x="631"/>
        <n x="632"/>
      </t>
    </mdx>
    <mdx n="0" f="v">
      <t c="6" si="614">
        <n x="610"/>
        <n x="473"/>
        <n x="474"/>
        <n x="611" s="1"/>
        <n x="635"/>
        <n x="636"/>
      </t>
    </mdx>
    <mdx n="0" f="v">
      <t c="6" si="614">
        <n x="610"/>
        <n x="473"/>
        <n x="474"/>
        <n x="611" s="1"/>
        <n x="643"/>
        <n x="644"/>
      </t>
    </mdx>
    <mdx n="0" f="v">
      <t c="6" si="614">
        <n x="610"/>
        <n x="473"/>
        <n x="474"/>
        <n x="611" s="1"/>
        <n x="645"/>
        <n x="646"/>
      </t>
    </mdx>
    <mdx n="0" f="v">
      <t c="6" si="614">
        <n x="610"/>
        <n x="473"/>
        <n x="474"/>
        <n x="611" s="1"/>
        <n x="649"/>
        <n x="650"/>
      </t>
    </mdx>
    <mdx n="0" f="v">
      <t c="6" si="614">
        <n x="610"/>
        <n x="473"/>
        <n x="474"/>
        <n x="611" s="1"/>
        <n x="651"/>
        <n x="652"/>
      </t>
    </mdx>
    <mdx n="0" f="v">
      <t c="6" si="614">
        <n x="610"/>
        <n x="473"/>
        <n x="474"/>
        <n x="611" s="1"/>
        <n x="655"/>
        <n x="656"/>
      </t>
    </mdx>
    <mdx n="0" f="v">
      <t c="6" si="614">
        <n x="610"/>
        <n x="473"/>
        <n x="474"/>
        <n x="611" s="1"/>
        <n x="657"/>
        <n x="658"/>
      </t>
    </mdx>
    <mdx n="0" f="v">
      <t c="6" si="614">
        <n x="610"/>
        <n x="473"/>
        <n x="474"/>
        <n x="611" s="1"/>
        <n x="659"/>
        <n x="660"/>
      </t>
    </mdx>
    <mdx n="0" f="v">
      <t c="6" si="614">
        <n x="610"/>
        <n x="473"/>
        <n x="474"/>
        <n x="611" s="1"/>
        <n x="663"/>
        <n x="664"/>
      </t>
    </mdx>
    <mdx n="0" f="v">
      <t c="6" si="614">
        <n x="610"/>
        <n x="473"/>
        <n x="474"/>
        <n x="611" s="1"/>
        <n x="669"/>
        <n x="670"/>
      </t>
    </mdx>
    <mdx n="0" f="v">
      <t c="6" si="614">
        <n x="610"/>
        <n x="473"/>
        <n x="474"/>
        <n x="611" s="1"/>
        <n x="671"/>
        <n x="672"/>
      </t>
    </mdx>
    <mdx n="0" f="v">
      <t c="6" si="614">
        <n x="610"/>
        <n x="473"/>
        <n x="474"/>
        <n x="611" s="1"/>
        <n x="673"/>
        <n x="674"/>
      </t>
    </mdx>
    <mdx n="0" f="v">
      <t c="6" si="614">
        <n x="610"/>
        <n x="473"/>
        <n x="474"/>
        <n x="611" s="1"/>
        <n x="675"/>
        <n x="676"/>
      </t>
    </mdx>
    <mdx n="0" f="v">
      <t c="6" si="614">
        <n x="610"/>
        <n x="473"/>
        <n x="474"/>
        <n x="611" s="1"/>
        <n x="677"/>
        <n x="678"/>
      </t>
    </mdx>
    <mdx n="0" f="v">
      <t c="6" si="614">
        <n x="610"/>
        <n x="473"/>
        <n x="474"/>
        <n x="611" s="1"/>
        <n x="679"/>
        <n x="680"/>
      </t>
    </mdx>
    <mdx n="0" f="v">
      <t c="6" si="614">
        <n x="610"/>
        <n x="473"/>
        <n x="474"/>
        <n x="611" s="1"/>
        <n x="681"/>
        <n x="682"/>
      </t>
    </mdx>
    <mdx n="0" f="v">
      <t c="6" si="614">
        <n x="610"/>
        <n x="473"/>
        <n x="474"/>
        <n x="611" s="1"/>
        <n x="683"/>
        <n x="684"/>
      </t>
    </mdx>
    <mdx n="0" f="v">
      <t c="6" si="614">
        <n x="610"/>
        <n x="473"/>
        <n x="474"/>
        <n x="611" s="1"/>
        <n x="685"/>
        <n x="686"/>
      </t>
    </mdx>
    <mdx n="0" f="v">
      <t c="6" si="614">
        <n x="610"/>
        <n x="473"/>
        <n x="474"/>
        <n x="611" s="1"/>
        <n x="687"/>
        <n x="688"/>
      </t>
    </mdx>
    <mdx n="0" f="v">
      <t c="6" si="614">
        <n x="610"/>
        <n x="473"/>
        <n x="474"/>
        <n x="611" s="1"/>
        <n x="689"/>
        <n x="690"/>
      </t>
    </mdx>
    <mdx n="0" f="v">
      <t c="6" si="614">
        <n x="610"/>
        <n x="473"/>
        <n x="474"/>
        <n x="611" s="1"/>
        <n x="691"/>
        <n x="692"/>
      </t>
    </mdx>
    <mdx n="0" f="v">
      <t c="6" si="614">
        <n x="610"/>
        <n x="473"/>
        <n x="474"/>
        <n x="611" s="1"/>
        <n x="693"/>
        <n x="694"/>
      </t>
    </mdx>
    <mdx n="0" f="v">
      <t c="6" si="614">
        <n x="610"/>
        <n x="473"/>
        <n x="474"/>
        <n x="611" s="1"/>
        <n x="695"/>
        <n x="696"/>
      </t>
    </mdx>
    <mdx n="0" f="v">
      <t c="6" si="614">
        <n x="610"/>
        <n x="473"/>
        <n x="474"/>
        <n x="611" s="1"/>
        <n x="699"/>
        <n x="700"/>
      </t>
    </mdx>
    <mdx n="0" f="v">
      <t c="6" si="614">
        <n x="610"/>
        <n x="473"/>
        <n x="474"/>
        <n x="611" s="1"/>
        <n x="701"/>
        <n x="702"/>
      </t>
    </mdx>
    <mdx n="0" f="v">
      <t c="6" si="614">
        <n x="610"/>
        <n x="473"/>
        <n x="474"/>
        <n x="611" s="1"/>
        <n x="703"/>
        <n x="704"/>
      </t>
    </mdx>
    <mdx n="0" f="v">
      <t c="6" si="614">
        <n x="610"/>
        <n x="473"/>
        <n x="474"/>
        <n x="611" s="1"/>
        <n x="705"/>
        <n x="706"/>
      </t>
    </mdx>
    <mdx n="0" f="v">
      <t c="6" si="614">
        <n x="610"/>
        <n x="473"/>
        <n x="474"/>
        <n x="611" s="1"/>
        <n x="707"/>
        <n x="708"/>
      </t>
    </mdx>
    <mdx n="0" f="v">
      <t c="6" si="614">
        <n x="610"/>
        <n x="475"/>
        <n x="476"/>
        <n x="611" s="1"/>
        <n x="612"/>
        <n x="613"/>
      </t>
    </mdx>
    <mdx n="0" f="v">
      <t c="6" si="614">
        <n x="610"/>
        <n x="475"/>
        <n x="476"/>
        <n x="611" s="1"/>
        <n x="615"/>
        <n x="616"/>
      </t>
    </mdx>
    <mdx n="0" f="v">
      <t c="6" si="614">
        <n x="610"/>
        <n x="475"/>
        <n x="476"/>
        <n x="611" s="1"/>
        <n x="617"/>
        <n x="618"/>
      </t>
    </mdx>
    <mdx n="0" f="v">
      <t c="6" si="614">
        <n x="610"/>
        <n x="475"/>
        <n x="476"/>
        <n x="611" s="1"/>
        <n x="619"/>
        <n x="620"/>
      </t>
    </mdx>
    <mdx n="0" f="v">
      <t c="6" si="614">
        <n x="610"/>
        <n x="475"/>
        <n x="476"/>
        <n x="611" s="1"/>
        <n x="621"/>
        <n x="622"/>
      </t>
    </mdx>
    <mdx n="0" f="v">
      <t c="6" si="614">
        <n x="610"/>
        <n x="475"/>
        <n x="476"/>
        <n x="611" s="1"/>
        <n x="623"/>
        <n x="624"/>
      </t>
    </mdx>
    <mdx n="0" f="v">
      <t c="6" si="614">
        <n x="610"/>
        <n x="475"/>
        <n x="476"/>
        <n x="611" s="1"/>
        <n x="631"/>
        <n x="632"/>
      </t>
    </mdx>
    <mdx n="0" f="v">
      <t c="6" si="614">
        <n x="610"/>
        <n x="475"/>
        <n x="476"/>
        <n x="611" s="1"/>
        <n x="635"/>
        <n x="636"/>
      </t>
    </mdx>
    <mdx n="0" f="v">
      <t c="6" si="614">
        <n x="610"/>
        <n x="475"/>
        <n x="476"/>
        <n x="611" s="1"/>
        <n x="643"/>
        <n x="644"/>
      </t>
    </mdx>
    <mdx n="0" f="v">
      <t c="6" si="614">
        <n x="610"/>
        <n x="475"/>
        <n x="476"/>
        <n x="611" s="1"/>
        <n x="645"/>
        <n x="646"/>
      </t>
    </mdx>
    <mdx n="0" f="v">
      <t c="6" si="614">
        <n x="610"/>
        <n x="475"/>
        <n x="476"/>
        <n x="611" s="1"/>
        <n x="647"/>
        <n x="648"/>
      </t>
    </mdx>
    <mdx n="0" f="v">
      <t c="6" si="614">
        <n x="610"/>
        <n x="475"/>
        <n x="476"/>
        <n x="611" s="1"/>
        <n x="651"/>
        <n x="652"/>
      </t>
    </mdx>
    <mdx n="0" f="v">
      <t c="6" si="614">
        <n x="610"/>
        <n x="475"/>
        <n x="476"/>
        <n x="611" s="1"/>
        <n x="659"/>
        <n x="660"/>
      </t>
    </mdx>
    <mdx n="0" f="v">
      <t c="6" si="614">
        <n x="610"/>
        <n x="475"/>
        <n x="476"/>
        <n x="611" s="1"/>
        <n x="665"/>
        <n x="666"/>
      </t>
    </mdx>
    <mdx n="0" f="v">
      <t c="6" si="614">
        <n x="610"/>
        <n x="475"/>
        <n x="476"/>
        <n x="611" s="1"/>
        <n x="669"/>
        <n x="670"/>
      </t>
    </mdx>
    <mdx n="0" f="v">
      <t c="6" si="614">
        <n x="610"/>
        <n x="475"/>
        <n x="476"/>
        <n x="611" s="1"/>
        <n x="671"/>
        <n x="672"/>
      </t>
    </mdx>
    <mdx n="0" f="v">
      <t c="6" si="614">
        <n x="610"/>
        <n x="475"/>
        <n x="476"/>
        <n x="611" s="1"/>
        <n x="675"/>
        <n x="676"/>
      </t>
    </mdx>
    <mdx n="0" f="v">
      <t c="6" si="614">
        <n x="610"/>
        <n x="475"/>
        <n x="476"/>
        <n x="611" s="1"/>
        <n x="677"/>
        <n x="678"/>
      </t>
    </mdx>
    <mdx n="0" f="v">
      <t c="6" si="614">
        <n x="610"/>
        <n x="475"/>
        <n x="476"/>
        <n x="611" s="1"/>
        <n x="679"/>
        <n x="680"/>
      </t>
    </mdx>
    <mdx n="0" f="v">
      <t c="6" si="614">
        <n x="610"/>
        <n x="475"/>
        <n x="476"/>
        <n x="611" s="1"/>
        <n x="681"/>
        <n x="682"/>
      </t>
    </mdx>
    <mdx n="0" f="v">
      <t c="6" si="614">
        <n x="610"/>
        <n x="475"/>
        <n x="476"/>
        <n x="611" s="1"/>
        <n x="687"/>
        <n x="688"/>
      </t>
    </mdx>
    <mdx n="0" f="v">
      <t c="6" si="614">
        <n x="610"/>
        <n x="475"/>
        <n x="476"/>
        <n x="611" s="1"/>
        <n x="689"/>
        <n x="690"/>
      </t>
    </mdx>
    <mdx n="0" f="v">
      <t c="6" si="614">
        <n x="610"/>
        <n x="475"/>
        <n x="476"/>
        <n x="611" s="1"/>
        <n x="691"/>
        <n x="692"/>
      </t>
    </mdx>
    <mdx n="0" f="v">
      <t c="6" si="614">
        <n x="610"/>
        <n x="475"/>
        <n x="476"/>
        <n x="611" s="1"/>
        <n x="695"/>
        <n x="696"/>
      </t>
    </mdx>
    <mdx n="0" f="v">
      <t c="6" si="614">
        <n x="610"/>
        <n x="475"/>
        <n x="476"/>
        <n x="611" s="1"/>
        <n x="701"/>
        <n x="702"/>
      </t>
    </mdx>
    <mdx n="0" f="v">
      <t c="6" si="614">
        <n x="610"/>
        <n x="475"/>
        <n x="476"/>
        <n x="611" s="1"/>
        <n x="703"/>
        <n x="704"/>
      </t>
    </mdx>
    <mdx n="0" f="v">
      <t c="6" si="614">
        <n x="610"/>
        <n x="477"/>
        <n x="478"/>
        <n x="611" s="1"/>
        <n x="612"/>
        <n x="613"/>
      </t>
    </mdx>
    <mdx n="0" f="v">
      <t c="6" si="614">
        <n x="610"/>
        <n x="477"/>
        <n x="478"/>
        <n x="611" s="1"/>
        <n x="615"/>
        <n x="616"/>
      </t>
    </mdx>
    <mdx n="0" f="v">
      <t c="6" si="614">
        <n x="610"/>
        <n x="477"/>
        <n x="478"/>
        <n x="611" s="1"/>
        <n x="623"/>
        <n x="624"/>
      </t>
    </mdx>
    <mdx n="0" f="v">
      <t c="6" si="614">
        <n x="610"/>
        <n x="477"/>
        <n x="478"/>
        <n x="611" s="1"/>
        <n x="625"/>
        <n x="626"/>
      </t>
    </mdx>
    <mdx n="0" f="v">
      <t c="6" si="614">
        <n x="610"/>
        <n x="477"/>
        <n x="478"/>
        <n x="611" s="1"/>
        <n x="627"/>
        <n x="628"/>
      </t>
    </mdx>
    <mdx n="0" f="v">
      <t c="6" si="614">
        <n x="610"/>
        <n x="477"/>
        <n x="478"/>
        <n x="611" s="1"/>
        <n x="629"/>
        <n x="630"/>
      </t>
    </mdx>
    <mdx n="0" f="v">
      <t c="6" si="614">
        <n x="610"/>
        <n x="477"/>
        <n x="478"/>
        <n x="611" s="1"/>
        <n x="631"/>
        <n x="632"/>
      </t>
    </mdx>
    <mdx n="0" f="v">
      <t c="6" si="614">
        <n x="610"/>
        <n x="477"/>
        <n x="478"/>
        <n x="611" s="1"/>
        <n x="633"/>
        <n x="634"/>
      </t>
    </mdx>
    <mdx n="0" f="v">
      <t c="6" si="614">
        <n x="610"/>
        <n x="477"/>
        <n x="478"/>
        <n x="611" s="1"/>
        <n x="635"/>
        <n x="636"/>
      </t>
    </mdx>
    <mdx n="0" f="v">
      <t c="6" si="614">
        <n x="610"/>
        <n x="477"/>
        <n x="478"/>
        <n x="611" s="1"/>
        <n x="637"/>
        <n x="638"/>
      </t>
    </mdx>
    <mdx n="0" f="v">
      <t c="6" si="614">
        <n x="610"/>
        <n x="477"/>
        <n x="478"/>
        <n x="611" s="1"/>
        <n x="641"/>
        <n x="642"/>
      </t>
    </mdx>
    <mdx n="0" f="v">
      <t c="6" si="614">
        <n x="610"/>
        <n x="477"/>
        <n x="478"/>
        <n x="611" s="1"/>
        <n x="643"/>
        <n x="644"/>
      </t>
    </mdx>
    <mdx n="0" f="v">
      <t c="6" si="614">
        <n x="610"/>
        <n x="477"/>
        <n x="478"/>
        <n x="611" s="1"/>
        <n x="645"/>
        <n x="646"/>
      </t>
    </mdx>
    <mdx n="0" f="v">
      <t c="6" si="614">
        <n x="610"/>
        <n x="477"/>
        <n x="478"/>
        <n x="611" s="1"/>
        <n x="647"/>
        <n x="648"/>
      </t>
    </mdx>
    <mdx n="0" f="v">
      <t c="6" si="614">
        <n x="610"/>
        <n x="477"/>
        <n x="478"/>
        <n x="611" s="1"/>
        <n x="649"/>
        <n x="650"/>
      </t>
    </mdx>
    <mdx n="0" f="v">
      <t c="6" si="614">
        <n x="610"/>
        <n x="477"/>
        <n x="478"/>
        <n x="611" s="1"/>
        <n x="653"/>
        <n x="654"/>
      </t>
    </mdx>
    <mdx n="0" f="v">
      <t c="6" si="614">
        <n x="610"/>
        <n x="477"/>
        <n x="478"/>
        <n x="611" s="1"/>
        <n x="655"/>
        <n x="656"/>
      </t>
    </mdx>
    <mdx n="0" f="v">
      <t c="6" si="614">
        <n x="610"/>
        <n x="477"/>
        <n x="478"/>
        <n x="611" s="1"/>
        <n x="657"/>
        <n x="658"/>
      </t>
    </mdx>
    <mdx n="0" f="v">
      <t c="6" si="614">
        <n x="610"/>
        <n x="477"/>
        <n x="478"/>
        <n x="611" s="1"/>
        <n x="661"/>
        <n x="662"/>
      </t>
    </mdx>
    <mdx n="0" f="v">
      <t c="6" si="614">
        <n x="610"/>
        <n x="477"/>
        <n x="478"/>
        <n x="611" s="1"/>
        <n x="663"/>
        <n x="664"/>
      </t>
    </mdx>
    <mdx n="0" f="v">
      <t c="6" si="614">
        <n x="610"/>
        <n x="477"/>
        <n x="478"/>
        <n x="611" s="1"/>
        <n x="667"/>
        <n x="668"/>
      </t>
    </mdx>
    <mdx n="0" f="v">
      <t c="6" si="614">
        <n x="610"/>
        <n x="477"/>
        <n x="478"/>
        <n x="611" s="1"/>
        <n x="669"/>
        <n x="670"/>
      </t>
    </mdx>
    <mdx n="0" f="v">
      <t c="6" si="614">
        <n x="610"/>
        <n x="477"/>
        <n x="478"/>
        <n x="611" s="1"/>
        <n x="673"/>
        <n x="674"/>
      </t>
    </mdx>
    <mdx n="0" f="v">
      <t c="6" si="614">
        <n x="610"/>
        <n x="477"/>
        <n x="478"/>
        <n x="611" s="1"/>
        <n x="675"/>
        <n x="676"/>
      </t>
    </mdx>
    <mdx n="0" f="v">
      <t c="6" si="614">
        <n x="610"/>
        <n x="477"/>
        <n x="478"/>
        <n x="611" s="1"/>
        <n x="677"/>
        <n x="678"/>
      </t>
    </mdx>
    <mdx n="0" f="v">
      <t c="6" si="614">
        <n x="610"/>
        <n x="477"/>
        <n x="478"/>
        <n x="611" s="1"/>
        <n x="681"/>
        <n x="682"/>
      </t>
    </mdx>
    <mdx n="0" f="v">
      <t c="6" si="614">
        <n x="610"/>
        <n x="477"/>
        <n x="478"/>
        <n x="611" s="1"/>
        <n x="685"/>
        <n x="686"/>
      </t>
    </mdx>
    <mdx n="0" f="v">
      <t c="6" si="614">
        <n x="610"/>
        <n x="477"/>
        <n x="478"/>
        <n x="611" s="1"/>
        <n x="687"/>
        <n x="688"/>
      </t>
    </mdx>
    <mdx n="0" f="v">
      <t c="6" si="614">
        <n x="610"/>
        <n x="477"/>
        <n x="478"/>
        <n x="611" s="1"/>
        <n x="689"/>
        <n x="690"/>
      </t>
    </mdx>
    <mdx n="0" f="v">
      <t c="6" si="614">
        <n x="610"/>
        <n x="477"/>
        <n x="478"/>
        <n x="611" s="1"/>
        <n x="691"/>
        <n x="692"/>
      </t>
    </mdx>
    <mdx n="0" f="v">
      <t c="6" si="614">
        <n x="610"/>
        <n x="477"/>
        <n x="478"/>
        <n x="611" s="1"/>
        <n x="693"/>
        <n x="694"/>
      </t>
    </mdx>
    <mdx n="0" f="v">
      <t c="6" si="614">
        <n x="610"/>
        <n x="477"/>
        <n x="478"/>
        <n x="611" s="1"/>
        <n x="695"/>
        <n x="696"/>
      </t>
    </mdx>
    <mdx n="0" f="v">
      <t c="6" si="614">
        <n x="610"/>
        <n x="477"/>
        <n x="478"/>
        <n x="611" s="1"/>
        <n x="697"/>
        <n x="698"/>
      </t>
    </mdx>
    <mdx n="0" f="v">
      <t c="6" si="614">
        <n x="610"/>
        <n x="477"/>
        <n x="478"/>
        <n x="611" s="1"/>
        <n x="699"/>
        <n x="700"/>
      </t>
    </mdx>
    <mdx n="0" f="v">
      <t c="6" si="614">
        <n x="610"/>
        <n x="477"/>
        <n x="478"/>
        <n x="611" s="1"/>
        <n x="701"/>
        <n x="702"/>
      </t>
    </mdx>
    <mdx n="0" f="v">
      <t c="6" si="614">
        <n x="610"/>
        <n x="477"/>
        <n x="478"/>
        <n x="611" s="1"/>
        <n x="703"/>
        <n x="704"/>
      </t>
    </mdx>
    <mdx n="0" f="v">
      <t c="6" si="614">
        <n x="610"/>
        <n x="477"/>
        <n x="478"/>
        <n x="611" s="1"/>
        <n x="707"/>
        <n x="708"/>
      </t>
    </mdx>
    <mdx n="0" f="v">
      <t c="6" si="614">
        <n x="610"/>
        <n x="479"/>
        <n x="480"/>
        <n x="611" s="1"/>
        <n x="612"/>
        <n x="613"/>
      </t>
    </mdx>
    <mdx n="0" f="v">
      <t c="6" si="614">
        <n x="610"/>
        <n x="479"/>
        <n x="480"/>
        <n x="611" s="1"/>
        <n x="617"/>
        <n x="618"/>
      </t>
    </mdx>
    <mdx n="0" f="v">
      <t c="6" si="614">
        <n x="610"/>
        <n x="479"/>
        <n x="480"/>
        <n x="611" s="1"/>
        <n x="621"/>
        <n x="622"/>
      </t>
    </mdx>
    <mdx n="0" f="v">
      <t c="6" si="614">
        <n x="610"/>
        <n x="479"/>
        <n x="480"/>
        <n x="611" s="1"/>
        <n x="623"/>
        <n x="624"/>
      </t>
    </mdx>
    <mdx n="0" f="v">
      <t c="6" si="614">
        <n x="610"/>
        <n x="479"/>
        <n x="480"/>
        <n x="611" s="1"/>
        <n x="625"/>
        <n x="626"/>
      </t>
    </mdx>
    <mdx n="0" f="v">
      <t c="6" si="614">
        <n x="610"/>
        <n x="479"/>
        <n x="480"/>
        <n x="611" s="1"/>
        <n x="627"/>
        <n x="628"/>
      </t>
    </mdx>
    <mdx n="0" f="v">
      <t c="6" si="614">
        <n x="610"/>
        <n x="479"/>
        <n x="480"/>
        <n x="611" s="1"/>
        <n x="629"/>
        <n x="630"/>
      </t>
    </mdx>
    <mdx n="0" f="v">
      <t c="6" si="614">
        <n x="610"/>
        <n x="479"/>
        <n x="480"/>
        <n x="611" s="1"/>
        <n x="631"/>
        <n x="632"/>
      </t>
    </mdx>
    <mdx n="0" f="v">
      <t c="6" si="614">
        <n x="610"/>
        <n x="479"/>
        <n x="480"/>
        <n x="611" s="1"/>
        <n x="633"/>
        <n x="634"/>
      </t>
    </mdx>
    <mdx n="0" f="v">
      <t c="6" si="614">
        <n x="610"/>
        <n x="479"/>
        <n x="480"/>
        <n x="611" s="1"/>
        <n x="635"/>
        <n x="636"/>
      </t>
    </mdx>
    <mdx n="0" f="v">
      <t c="6" si="614">
        <n x="610"/>
        <n x="479"/>
        <n x="480"/>
        <n x="611" s="1"/>
        <n x="637"/>
        <n x="638"/>
      </t>
    </mdx>
    <mdx n="0" f="v">
      <t c="6" si="614">
        <n x="610"/>
        <n x="479"/>
        <n x="480"/>
        <n x="611" s="1"/>
        <n x="639"/>
        <n x="640"/>
      </t>
    </mdx>
    <mdx n="0" f="v">
      <t c="6" si="614">
        <n x="610"/>
        <n x="479"/>
        <n x="480"/>
        <n x="611" s="1"/>
        <n x="643"/>
        <n x="644"/>
      </t>
    </mdx>
    <mdx n="0" f="v">
      <t c="6" si="614">
        <n x="610"/>
        <n x="479"/>
        <n x="480"/>
        <n x="611" s="1"/>
        <n x="645"/>
        <n x="646"/>
      </t>
    </mdx>
    <mdx n="0" f="v">
      <t c="6" si="614">
        <n x="610"/>
        <n x="479"/>
        <n x="480"/>
        <n x="611" s="1"/>
        <n x="647"/>
        <n x="648"/>
      </t>
    </mdx>
    <mdx n="0" f="v">
      <t c="6" si="614">
        <n x="610"/>
        <n x="479"/>
        <n x="480"/>
        <n x="611" s="1"/>
        <n x="649"/>
        <n x="650"/>
      </t>
    </mdx>
    <mdx n="0" f="v">
      <t c="6" si="614">
        <n x="610"/>
        <n x="479"/>
        <n x="480"/>
        <n x="611" s="1"/>
        <n x="651"/>
        <n x="652"/>
      </t>
    </mdx>
    <mdx n="0" f="v">
      <t c="6" si="614">
        <n x="610"/>
        <n x="479"/>
        <n x="480"/>
        <n x="611" s="1"/>
        <n x="655"/>
        <n x="656"/>
      </t>
    </mdx>
    <mdx n="0" f="v">
      <t c="6" si="614">
        <n x="610"/>
        <n x="479"/>
        <n x="480"/>
        <n x="611" s="1"/>
        <n x="657"/>
        <n x="658"/>
      </t>
    </mdx>
    <mdx n="0" f="v">
      <t c="6" si="614">
        <n x="610"/>
        <n x="479"/>
        <n x="480"/>
        <n x="611" s="1"/>
        <n x="661"/>
        <n x="662"/>
      </t>
    </mdx>
    <mdx n="0" f="v">
      <t c="6" si="614">
        <n x="610"/>
        <n x="479"/>
        <n x="480"/>
        <n x="611" s="1"/>
        <n x="663"/>
        <n x="664"/>
      </t>
    </mdx>
    <mdx n="0" f="v">
      <t c="6" si="614">
        <n x="610"/>
        <n x="479"/>
        <n x="480"/>
        <n x="611" s="1"/>
        <n x="665"/>
        <n x="666"/>
      </t>
    </mdx>
    <mdx n="0" f="v">
      <t c="6" si="614">
        <n x="610"/>
        <n x="479"/>
        <n x="480"/>
        <n x="611" s="1"/>
        <n x="667"/>
        <n x="668"/>
      </t>
    </mdx>
    <mdx n="0" f="v">
      <t c="6" si="614">
        <n x="610"/>
        <n x="479"/>
        <n x="480"/>
        <n x="611" s="1"/>
        <n x="669"/>
        <n x="670"/>
      </t>
    </mdx>
    <mdx n="0" f="v">
      <t c="6" si="614">
        <n x="610"/>
        <n x="479"/>
        <n x="480"/>
        <n x="611" s="1"/>
        <n x="671"/>
        <n x="672"/>
      </t>
    </mdx>
    <mdx n="0" f="v">
      <t c="6" si="614">
        <n x="610"/>
        <n x="479"/>
        <n x="480"/>
        <n x="611" s="1"/>
        <n x="677"/>
        <n x="678"/>
      </t>
    </mdx>
    <mdx n="0" f="v">
      <t c="6" si="614">
        <n x="610"/>
        <n x="479"/>
        <n x="480"/>
        <n x="611" s="1"/>
        <n x="681"/>
        <n x="682"/>
      </t>
    </mdx>
    <mdx n="0" f="v">
      <t c="6" si="614">
        <n x="610"/>
        <n x="479"/>
        <n x="480"/>
        <n x="611" s="1"/>
        <n x="683"/>
        <n x="684"/>
      </t>
    </mdx>
    <mdx n="0" f="v">
      <t c="6" si="614">
        <n x="610"/>
        <n x="479"/>
        <n x="480"/>
        <n x="611" s="1"/>
        <n x="687"/>
        <n x="688"/>
      </t>
    </mdx>
    <mdx n="0" f="v">
      <t c="6" si="614">
        <n x="610"/>
        <n x="479"/>
        <n x="480"/>
        <n x="611" s="1"/>
        <n x="693"/>
        <n x="694"/>
      </t>
    </mdx>
    <mdx n="0" f="v">
      <t c="6" si="614">
        <n x="610"/>
        <n x="479"/>
        <n x="480"/>
        <n x="611" s="1"/>
        <n x="695"/>
        <n x="696"/>
      </t>
    </mdx>
    <mdx n="0" f="v">
      <t c="6" si="614">
        <n x="610"/>
        <n x="479"/>
        <n x="480"/>
        <n x="611" s="1"/>
        <n x="697"/>
        <n x="698"/>
      </t>
    </mdx>
    <mdx n="0" f="v">
      <t c="6" si="614">
        <n x="610"/>
        <n x="479"/>
        <n x="480"/>
        <n x="611" s="1"/>
        <n x="699"/>
        <n x="700"/>
      </t>
    </mdx>
    <mdx n="0" f="v">
      <t c="6" si="614">
        <n x="610"/>
        <n x="479"/>
        <n x="480"/>
        <n x="611" s="1"/>
        <n x="701"/>
        <n x="702"/>
      </t>
    </mdx>
    <mdx n="0" f="v">
      <t c="6" si="614">
        <n x="610"/>
        <n x="479"/>
        <n x="480"/>
        <n x="611" s="1"/>
        <n x="703"/>
        <n x="704"/>
      </t>
    </mdx>
    <mdx n="0" f="v">
      <t c="6" si="614">
        <n x="610"/>
        <n x="479"/>
        <n x="480"/>
        <n x="611" s="1"/>
        <n x="705"/>
        <n x="706"/>
      </t>
    </mdx>
    <mdx n="0" f="v">
      <t c="6" si="614">
        <n x="610"/>
        <n x="479"/>
        <n x="480"/>
        <n x="611" s="1"/>
        <n x="707"/>
        <n x="708"/>
      </t>
    </mdx>
    <mdx n="0" f="v">
      <t c="6" si="614">
        <n x="610"/>
        <n x="481"/>
        <n x="482"/>
        <n x="611" s="1"/>
        <n x="612"/>
        <n x="613"/>
      </t>
    </mdx>
    <mdx n="0" f="v">
      <t c="6" si="614">
        <n x="610"/>
        <n x="481"/>
        <n x="482"/>
        <n x="611" s="1"/>
        <n x="615"/>
        <n x="616"/>
      </t>
    </mdx>
    <mdx n="0" f="v">
      <t c="6" si="614">
        <n x="610"/>
        <n x="481"/>
        <n x="482"/>
        <n x="611" s="1"/>
        <n x="617"/>
        <n x="618"/>
      </t>
    </mdx>
    <mdx n="0" f="v">
      <t c="6" si="614">
        <n x="610"/>
        <n x="481"/>
        <n x="482"/>
        <n x="611" s="1"/>
        <n x="619"/>
        <n x="620"/>
      </t>
    </mdx>
    <mdx n="0" f="v">
      <t c="6" si="614">
        <n x="610"/>
        <n x="481"/>
        <n x="482"/>
        <n x="611" s="1"/>
        <n x="621"/>
        <n x="622"/>
      </t>
    </mdx>
    <mdx n="0" f="v">
      <t c="6" si="614">
        <n x="610"/>
        <n x="481"/>
        <n x="482"/>
        <n x="611" s="1"/>
        <n x="623"/>
        <n x="624"/>
      </t>
    </mdx>
    <mdx n="0" f="v">
      <t c="6" si="614">
        <n x="610"/>
        <n x="481"/>
        <n x="482"/>
        <n x="611" s="1"/>
        <n x="625"/>
        <n x="626"/>
      </t>
    </mdx>
    <mdx n="0" f="v">
      <t c="6" si="614">
        <n x="610"/>
        <n x="481"/>
        <n x="482"/>
        <n x="611" s="1"/>
        <n x="627"/>
        <n x="628"/>
      </t>
    </mdx>
    <mdx n="0" f="v">
      <t c="6" si="614">
        <n x="610"/>
        <n x="481"/>
        <n x="482"/>
        <n x="611" s="1"/>
        <n x="629"/>
        <n x="630"/>
      </t>
    </mdx>
    <mdx n="0" f="v">
      <t c="6" si="614">
        <n x="610"/>
        <n x="481"/>
        <n x="482"/>
        <n x="611" s="1"/>
        <n x="631"/>
        <n x="632"/>
      </t>
    </mdx>
    <mdx n="0" f="v">
      <t c="6" si="614">
        <n x="610"/>
        <n x="481"/>
        <n x="482"/>
        <n x="611" s="1"/>
        <n x="633"/>
        <n x="634"/>
      </t>
    </mdx>
    <mdx n="0" f="v">
      <t c="6" si="614">
        <n x="610"/>
        <n x="481"/>
        <n x="482"/>
        <n x="611" s="1"/>
        <n x="635"/>
        <n x="636"/>
      </t>
    </mdx>
    <mdx n="0" f="v">
      <t c="6" si="614">
        <n x="610"/>
        <n x="481"/>
        <n x="482"/>
        <n x="611" s="1"/>
        <n x="637"/>
        <n x="638"/>
      </t>
    </mdx>
    <mdx n="0" f="v">
      <t c="6" si="614">
        <n x="610"/>
        <n x="481"/>
        <n x="482"/>
        <n x="611" s="1"/>
        <n x="639"/>
        <n x="640"/>
      </t>
    </mdx>
    <mdx n="0" f="v">
      <t c="6" si="614">
        <n x="610"/>
        <n x="481"/>
        <n x="482"/>
        <n x="611" s="1"/>
        <n x="643"/>
        <n x="644"/>
      </t>
    </mdx>
    <mdx n="0" f="v">
      <t c="6" si="614">
        <n x="610"/>
        <n x="481"/>
        <n x="482"/>
        <n x="611" s="1"/>
        <n x="645"/>
        <n x="646"/>
      </t>
    </mdx>
    <mdx n="0" f="v">
      <t c="6" si="614">
        <n x="610"/>
        <n x="481"/>
        <n x="482"/>
        <n x="611" s="1"/>
        <n x="647"/>
        <n x="648"/>
      </t>
    </mdx>
    <mdx n="0" f="v">
      <t c="6" si="614">
        <n x="610"/>
        <n x="481"/>
        <n x="482"/>
        <n x="611" s="1"/>
        <n x="649"/>
        <n x="650"/>
      </t>
    </mdx>
    <mdx n="0" f="v">
      <t c="6" si="614">
        <n x="610"/>
        <n x="481"/>
        <n x="482"/>
        <n x="611" s="1"/>
        <n x="651"/>
        <n x="652"/>
      </t>
    </mdx>
    <mdx n="0" f="v">
      <t c="6" si="614">
        <n x="610"/>
        <n x="481"/>
        <n x="482"/>
        <n x="611" s="1"/>
        <n x="653"/>
        <n x="654"/>
      </t>
    </mdx>
    <mdx n="0" f="v">
      <t c="6" si="614">
        <n x="610"/>
        <n x="481"/>
        <n x="482"/>
        <n x="611" s="1"/>
        <n x="655"/>
        <n x="656"/>
      </t>
    </mdx>
    <mdx n="0" f="v">
      <t c="6" si="614">
        <n x="610"/>
        <n x="481"/>
        <n x="482"/>
        <n x="611" s="1"/>
        <n x="657"/>
        <n x="658"/>
      </t>
    </mdx>
    <mdx n="0" f="v">
      <t c="6" si="614">
        <n x="610"/>
        <n x="481"/>
        <n x="482"/>
        <n x="611" s="1"/>
        <n x="659"/>
        <n x="660"/>
      </t>
    </mdx>
    <mdx n="0" f="v">
      <t c="6" si="614">
        <n x="610"/>
        <n x="481"/>
        <n x="482"/>
        <n x="611" s="1"/>
        <n x="661"/>
        <n x="662"/>
      </t>
    </mdx>
    <mdx n="0" f="v">
      <t c="6" si="614">
        <n x="610"/>
        <n x="481"/>
        <n x="482"/>
        <n x="611" s="1"/>
        <n x="663"/>
        <n x="664"/>
      </t>
    </mdx>
    <mdx n="0" f="v">
      <t c="6" si="614">
        <n x="610"/>
        <n x="481"/>
        <n x="482"/>
        <n x="611" s="1"/>
        <n x="667"/>
        <n x="668"/>
      </t>
    </mdx>
    <mdx n="0" f="v">
      <t c="6" si="614">
        <n x="610"/>
        <n x="481"/>
        <n x="482"/>
        <n x="611" s="1"/>
        <n x="669"/>
        <n x="670"/>
      </t>
    </mdx>
    <mdx n="0" f="v">
      <t c="6" si="614">
        <n x="610"/>
        <n x="481"/>
        <n x="482"/>
        <n x="611" s="1"/>
        <n x="671"/>
        <n x="672"/>
      </t>
    </mdx>
    <mdx n="0" f="v">
      <t c="6" si="614">
        <n x="610"/>
        <n x="481"/>
        <n x="482"/>
        <n x="611" s="1"/>
        <n x="673"/>
        <n x="674"/>
      </t>
    </mdx>
    <mdx n="0" f="v">
      <t c="6" si="614">
        <n x="610"/>
        <n x="481"/>
        <n x="482"/>
        <n x="611" s="1"/>
        <n x="675"/>
        <n x="676"/>
      </t>
    </mdx>
    <mdx n="0" f="v">
      <t c="6" si="614">
        <n x="610"/>
        <n x="481"/>
        <n x="482"/>
        <n x="611" s="1"/>
        <n x="677"/>
        <n x="678"/>
      </t>
    </mdx>
    <mdx n="0" f="v">
      <t c="6" si="614">
        <n x="610"/>
        <n x="481"/>
        <n x="482"/>
        <n x="611" s="1"/>
        <n x="679"/>
        <n x="680"/>
      </t>
    </mdx>
    <mdx n="0" f="v">
      <t c="6" si="614">
        <n x="610"/>
        <n x="481"/>
        <n x="482"/>
        <n x="611" s="1"/>
        <n x="681"/>
        <n x="682"/>
      </t>
    </mdx>
    <mdx n="0" f="v">
      <t c="6" si="614">
        <n x="610"/>
        <n x="481"/>
        <n x="482"/>
        <n x="611" s="1"/>
        <n x="683"/>
        <n x="684"/>
      </t>
    </mdx>
    <mdx n="0" f="v">
      <t c="6" si="614">
        <n x="610"/>
        <n x="481"/>
        <n x="482"/>
        <n x="611" s="1"/>
        <n x="687"/>
        <n x="688"/>
      </t>
    </mdx>
    <mdx n="0" f="v">
      <t c="6" si="614">
        <n x="610"/>
        <n x="481"/>
        <n x="482"/>
        <n x="611" s="1"/>
        <n x="695"/>
        <n x="696"/>
      </t>
    </mdx>
    <mdx n="0" f="v">
      <t c="6" si="614">
        <n x="610"/>
        <n x="481"/>
        <n x="482"/>
        <n x="611" s="1"/>
        <n x="699"/>
        <n x="700"/>
      </t>
    </mdx>
    <mdx n="0" f="v">
      <t c="6" si="614">
        <n x="610"/>
        <n x="481"/>
        <n x="482"/>
        <n x="611" s="1"/>
        <n x="701"/>
        <n x="702"/>
      </t>
    </mdx>
    <mdx n="0" f="v">
      <t c="6" si="614">
        <n x="610"/>
        <n x="481"/>
        <n x="482"/>
        <n x="611" s="1"/>
        <n x="705"/>
        <n x="706"/>
      </t>
    </mdx>
    <mdx n="0" f="v">
      <t c="6" si="614">
        <n x="610"/>
        <n x="481"/>
        <n x="482"/>
        <n x="611" s="1"/>
        <n x="707"/>
        <n x="708"/>
      </t>
    </mdx>
    <mdx n="0" f="v">
      <t c="6" si="614">
        <n x="610"/>
        <n x="483"/>
        <n x="484"/>
        <n x="611" s="1"/>
        <n x="612"/>
        <n x="613"/>
      </t>
    </mdx>
    <mdx n="0" f="v">
      <t c="6" si="614">
        <n x="610"/>
        <n x="483"/>
        <n x="484"/>
        <n x="611" s="1"/>
        <n x="615"/>
        <n x="616"/>
      </t>
    </mdx>
    <mdx n="0" f="v">
      <t c="6" si="614">
        <n x="610"/>
        <n x="483"/>
        <n x="484"/>
        <n x="611" s="1"/>
        <n x="617"/>
        <n x="618"/>
      </t>
    </mdx>
    <mdx n="0" f="v">
      <t c="6" si="614">
        <n x="610"/>
        <n x="483"/>
        <n x="484"/>
        <n x="611" s="1"/>
        <n x="619"/>
        <n x="620"/>
      </t>
    </mdx>
    <mdx n="0" f="v">
      <t c="6" si="614">
        <n x="610"/>
        <n x="483"/>
        <n x="484"/>
        <n x="611" s="1"/>
        <n x="623"/>
        <n x="624"/>
      </t>
    </mdx>
    <mdx n="0" f="v">
      <t c="6" si="614">
        <n x="610"/>
        <n x="483"/>
        <n x="484"/>
        <n x="611" s="1"/>
        <n x="625"/>
        <n x="626"/>
      </t>
    </mdx>
    <mdx n="0" f="v">
      <t c="6" si="614">
        <n x="610"/>
        <n x="483"/>
        <n x="484"/>
        <n x="611" s="1"/>
        <n x="627"/>
        <n x="628"/>
      </t>
    </mdx>
    <mdx n="0" f="v">
      <t c="6" si="614">
        <n x="610"/>
        <n x="483"/>
        <n x="484"/>
        <n x="611" s="1"/>
        <n x="629"/>
        <n x="630"/>
      </t>
    </mdx>
    <mdx n="0" f="v">
      <t c="6" si="614">
        <n x="610"/>
        <n x="483"/>
        <n x="484"/>
        <n x="611" s="1"/>
        <n x="631"/>
        <n x="632"/>
      </t>
    </mdx>
    <mdx n="0" f="v">
      <t c="6" si="614">
        <n x="610"/>
        <n x="483"/>
        <n x="484"/>
        <n x="611" s="1"/>
        <n x="633"/>
        <n x="634"/>
      </t>
    </mdx>
    <mdx n="0" f="v">
      <t c="6" si="614">
        <n x="610"/>
        <n x="483"/>
        <n x="484"/>
        <n x="611" s="1"/>
        <n x="635"/>
        <n x="636"/>
      </t>
    </mdx>
    <mdx n="0" f="v">
      <t c="6" si="614">
        <n x="610"/>
        <n x="483"/>
        <n x="484"/>
        <n x="611" s="1"/>
        <n x="641"/>
        <n x="642"/>
      </t>
    </mdx>
    <mdx n="0" f="v">
      <t c="6" si="614">
        <n x="610"/>
        <n x="483"/>
        <n x="484"/>
        <n x="611" s="1"/>
        <n x="643"/>
        <n x="644"/>
      </t>
    </mdx>
    <mdx n="0" f="v">
      <t c="6" si="614">
        <n x="610"/>
        <n x="483"/>
        <n x="484"/>
        <n x="611" s="1"/>
        <n x="645"/>
        <n x="646"/>
      </t>
    </mdx>
    <mdx n="0" f="v">
      <t c="6" si="614">
        <n x="610"/>
        <n x="483"/>
        <n x="484"/>
        <n x="611" s="1"/>
        <n x="647"/>
        <n x="648"/>
      </t>
    </mdx>
    <mdx n="0" f="v">
      <t c="6" si="614">
        <n x="610"/>
        <n x="483"/>
        <n x="484"/>
        <n x="611" s="1"/>
        <n x="649"/>
        <n x="650"/>
      </t>
    </mdx>
    <mdx n="0" f="v">
      <t c="6" si="614">
        <n x="610"/>
        <n x="483"/>
        <n x="484"/>
        <n x="611" s="1"/>
        <n x="651"/>
        <n x="652"/>
      </t>
    </mdx>
    <mdx n="0" f="v">
      <t c="6" si="614">
        <n x="610"/>
        <n x="483"/>
        <n x="484"/>
        <n x="611" s="1"/>
        <n x="653"/>
        <n x="654"/>
      </t>
    </mdx>
    <mdx n="0" f="v">
      <t c="6" si="614">
        <n x="610"/>
        <n x="483"/>
        <n x="484"/>
        <n x="611" s="1"/>
        <n x="655"/>
        <n x="656"/>
      </t>
    </mdx>
    <mdx n="0" f="v">
      <t c="6" si="614">
        <n x="610"/>
        <n x="483"/>
        <n x="484"/>
        <n x="611" s="1"/>
        <n x="657"/>
        <n x="658"/>
      </t>
    </mdx>
    <mdx n="0" f="v">
      <t c="6" si="614">
        <n x="610"/>
        <n x="483"/>
        <n x="484"/>
        <n x="611" s="1"/>
        <n x="659"/>
        <n x="660"/>
      </t>
    </mdx>
    <mdx n="0" f="v">
      <t c="6" si="614">
        <n x="610"/>
        <n x="483"/>
        <n x="484"/>
        <n x="611" s="1"/>
        <n x="661"/>
        <n x="662"/>
      </t>
    </mdx>
    <mdx n="0" f="v">
      <t c="6" si="614">
        <n x="610"/>
        <n x="483"/>
        <n x="484"/>
        <n x="611" s="1"/>
        <n x="665"/>
        <n x="666"/>
      </t>
    </mdx>
    <mdx n="0" f="v">
      <t c="6" si="614">
        <n x="610"/>
        <n x="483"/>
        <n x="484"/>
        <n x="611" s="1"/>
        <n x="669"/>
        <n x="670"/>
      </t>
    </mdx>
    <mdx n="0" f="v">
      <t c="6" si="614">
        <n x="610"/>
        <n x="483"/>
        <n x="484"/>
        <n x="611" s="1"/>
        <n x="671"/>
        <n x="672"/>
      </t>
    </mdx>
    <mdx n="0" f="v">
      <t c="6" si="614">
        <n x="610"/>
        <n x="483"/>
        <n x="484"/>
        <n x="611" s="1"/>
        <n x="673"/>
        <n x="674"/>
      </t>
    </mdx>
    <mdx n="0" f="v">
      <t c="6" si="614">
        <n x="610"/>
        <n x="483"/>
        <n x="484"/>
        <n x="611" s="1"/>
        <n x="675"/>
        <n x="676"/>
      </t>
    </mdx>
    <mdx n="0" f="v">
      <t c="6" si="614">
        <n x="610"/>
        <n x="483"/>
        <n x="484"/>
        <n x="611" s="1"/>
        <n x="679"/>
        <n x="680"/>
      </t>
    </mdx>
    <mdx n="0" f="v">
      <t c="6" si="614">
        <n x="610"/>
        <n x="483"/>
        <n x="484"/>
        <n x="611" s="1"/>
        <n x="681"/>
        <n x="682"/>
      </t>
    </mdx>
    <mdx n="0" f="v">
      <t c="6" si="614">
        <n x="610"/>
        <n x="483"/>
        <n x="484"/>
        <n x="611" s="1"/>
        <n x="683"/>
        <n x="684"/>
      </t>
    </mdx>
    <mdx n="0" f="v">
      <t c="6" si="614">
        <n x="610"/>
        <n x="483"/>
        <n x="484"/>
        <n x="611" s="1"/>
        <n x="685"/>
        <n x="686"/>
      </t>
    </mdx>
    <mdx n="0" f="v">
      <t c="6" si="614">
        <n x="610"/>
        <n x="483"/>
        <n x="484"/>
        <n x="611" s="1"/>
        <n x="687"/>
        <n x="688"/>
      </t>
    </mdx>
    <mdx n="0" f="v">
      <t c="6" si="614">
        <n x="610"/>
        <n x="483"/>
        <n x="484"/>
        <n x="611" s="1"/>
        <n x="693"/>
        <n x="694"/>
      </t>
    </mdx>
    <mdx n="0" f="v">
      <t c="6" si="614">
        <n x="610"/>
        <n x="483"/>
        <n x="484"/>
        <n x="611" s="1"/>
        <n x="695"/>
        <n x="696"/>
      </t>
    </mdx>
    <mdx n="0" f="v">
      <t c="6" si="614">
        <n x="610"/>
        <n x="483"/>
        <n x="484"/>
        <n x="611" s="1"/>
        <n x="699"/>
        <n x="700"/>
      </t>
    </mdx>
    <mdx n="0" f="v">
      <t c="6" si="614">
        <n x="610"/>
        <n x="483"/>
        <n x="484"/>
        <n x="611" s="1"/>
        <n x="701"/>
        <n x="702"/>
      </t>
    </mdx>
    <mdx n="0" f="v">
      <t c="6" si="614">
        <n x="610"/>
        <n x="483"/>
        <n x="484"/>
        <n x="611" s="1"/>
        <n x="703"/>
        <n x="704"/>
      </t>
    </mdx>
    <mdx n="0" f="v">
      <t c="6" si="614">
        <n x="610"/>
        <n x="483"/>
        <n x="484"/>
        <n x="611" s="1"/>
        <n x="705"/>
        <n x="706"/>
      </t>
    </mdx>
    <mdx n="0" f="v">
      <t c="6" si="614">
        <n x="610"/>
        <n x="483"/>
        <n x="484"/>
        <n x="611" s="1"/>
        <n x="707"/>
        <n x="708"/>
      </t>
    </mdx>
    <mdx n="0" f="v">
      <t c="6" si="614">
        <n x="610"/>
        <n x="485"/>
        <n x="486"/>
        <n x="611" s="1"/>
        <n x="612"/>
        <n x="613"/>
      </t>
    </mdx>
    <mdx n="0" f="v">
      <t c="6" si="614">
        <n x="610"/>
        <n x="485"/>
        <n x="486"/>
        <n x="611" s="1"/>
        <n x="615"/>
        <n x="616"/>
      </t>
    </mdx>
    <mdx n="0" f="v">
      <t c="6" si="614">
        <n x="610"/>
        <n x="485"/>
        <n x="486"/>
        <n x="611" s="1"/>
        <n x="617"/>
        <n x="618"/>
      </t>
    </mdx>
    <mdx n="0" f="v">
      <t c="6" si="614">
        <n x="610"/>
        <n x="485"/>
        <n x="486"/>
        <n x="611" s="1"/>
        <n x="619"/>
        <n x="620"/>
      </t>
    </mdx>
    <mdx n="0" f="v">
      <t c="6" si="614">
        <n x="610"/>
        <n x="485"/>
        <n x="486"/>
        <n x="611" s="1"/>
        <n x="623"/>
        <n x="624"/>
      </t>
    </mdx>
    <mdx n="0" f="v">
      <t c="6" si="614">
        <n x="610"/>
        <n x="485"/>
        <n x="486"/>
        <n x="611" s="1"/>
        <n x="625"/>
        <n x="626"/>
      </t>
    </mdx>
    <mdx n="0" f="v">
      <t c="6" si="614">
        <n x="610"/>
        <n x="485"/>
        <n x="486"/>
        <n x="611" s="1"/>
        <n x="627"/>
        <n x="628"/>
      </t>
    </mdx>
    <mdx n="0" f="v">
      <t c="6" si="614">
        <n x="610"/>
        <n x="485"/>
        <n x="486"/>
        <n x="611" s="1"/>
        <n x="631"/>
        <n x="632"/>
      </t>
    </mdx>
    <mdx n="0" f="v">
      <t c="6" si="614">
        <n x="610"/>
        <n x="485"/>
        <n x="486"/>
        <n x="611" s="1"/>
        <n x="633"/>
        <n x="634"/>
      </t>
    </mdx>
    <mdx n="0" f="v">
      <t c="6" si="614">
        <n x="610"/>
        <n x="485"/>
        <n x="486"/>
        <n x="611" s="1"/>
        <n x="643"/>
        <n x="644"/>
      </t>
    </mdx>
    <mdx n="0" f="v">
      <t c="6" si="614">
        <n x="610"/>
        <n x="485"/>
        <n x="486"/>
        <n x="611" s="1"/>
        <n x="645"/>
        <n x="646"/>
      </t>
    </mdx>
    <mdx n="0" f="v">
      <t c="6" si="614">
        <n x="610"/>
        <n x="485"/>
        <n x="486"/>
        <n x="611" s="1"/>
        <n x="649"/>
        <n x="650"/>
      </t>
    </mdx>
    <mdx n="0" f="v">
      <t c="6" si="614">
        <n x="610"/>
        <n x="485"/>
        <n x="486"/>
        <n x="611" s="1"/>
        <n x="651"/>
        <n x="652"/>
      </t>
    </mdx>
    <mdx n="0" f="v">
      <t c="6" si="614">
        <n x="610"/>
        <n x="485"/>
        <n x="486"/>
        <n x="611" s="1"/>
        <n x="653"/>
        <n x="654"/>
      </t>
    </mdx>
    <mdx n="0" f="v">
      <t c="6" si="614">
        <n x="610"/>
        <n x="485"/>
        <n x="486"/>
        <n x="611" s="1"/>
        <n x="655"/>
        <n x="656"/>
      </t>
    </mdx>
    <mdx n="0" f="v">
      <t c="6" si="614">
        <n x="610"/>
        <n x="485"/>
        <n x="486"/>
        <n x="611" s="1"/>
        <n x="657"/>
        <n x="658"/>
      </t>
    </mdx>
    <mdx n="0" f="v">
      <t c="6" si="614">
        <n x="610"/>
        <n x="485"/>
        <n x="486"/>
        <n x="611" s="1"/>
        <n x="659"/>
        <n x="660"/>
      </t>
    </mdx>
    <mdx n="0" f="v">
      <t c="6" si="614">
        <n x="610"/>
        <n x="485"/>
        <n x="486"/>
        <n x="611" s="1"/>
        <n x="661"/>
        <n x="662"/>
      </t>
    </mdx>
    <mdx n="0" f="v">
      <t c="6" si="614">
        <n x="610"/>
        <n x="485"/>
        <n x="486"/>
        <n x="611" s="1"/>
        <n x="663"/>
        <n x="664"/>
      </t>
    </mdx>
    <mdx n="0" f="v">
      <t c="6" si="614">
        <n x="610"/>
        <n x="485"/>
        <n x="486"/>
        <n x="611" s="1"/>
        <n x="665"/>
        <n x="666"/>
      </t>
    </mdx>
    <mdx n="0" f="v">
      <t c="6" si="614">
        <n x="610"/>
        <n x="485"/>
        <n x="486"/>
        <n x="611" s="1"/>
        <n x="667"/>
        <n x="668"/>
      </t>
    </mdx>
    <mdx n="0" f="v">
      <t c="6" si="614">
        <n x="610"/>
        <n x="485"/>
        <n x="486"/>
        <n x="611" s="1"/>
        <n x="669"/>
        <n x="670"/>
      </t>
    </mdx>
    <mdx n="0" f="v">
      <t c="6" si="614">
        <n x="610"/>
        <n x="485"/>
        <n x="486"/>
        <n x="611" s="1"/>
        <n x="671"/>
        <n x="672"/>
      </t>
    </mdx>
    <mdx n="0" f="v">
      <t c="6" si="614">
        <n x="610"/>
        <n x="485"/>
        <n x="486"/>
        <n x="611" s="1"/>
        <n x="673"/>
        <n x="674"/>
      </t>
    </mdx>
    <mdx n="0" f="v">
      <t c="6" si="614">
        <n x="610"/>
        <n x="485"/>
        <n x="486"/>
        <n x="611" s="1"/>
        <n x="677"/>
        <n x="678"/>
      </t>
    </mdx>
    <mdx n="0" f="v">
      <t c="6" si="614">
        <n x="610"/>
        <n x="485"/>
        <n x="486"/>
        <n x="611" s="1"/>
        <n x="679"/>
        <n x="680"/>
      </t>
    </mdx>
    <mdx n="0" f="v">
      <t c="6" si="614">
        <n x="610"/>
        <n x="485"/>
        <n x="486"/>
        <n x="611" s="1"/>
        <n x="681"/>
        <n x="682"/>
      </t>
    </mdx>
    <mdx n="0" f="v">
      <t c="6" si="614">
        <n x="610"/>
        <n x="485"/>
        <n x="486"/>
        <n x="611" s="1"/>
        <n x="683"/>
        <n x="684"/>
      </t>
    </mdx>
    <mdx n="0" f="v">
      <t c="6" si="614">
        <n x="610"/>
        <n x="485"/>
        <n x="486"/>
        <n x="611" s="1"/>
        <n x="685"/>
        <n x="686"/>
      </t>
    </mdx>
    <mdx n="0" f="v">
      <t c="6" si="614">
        <n x="610"/>
        <n x="485"/>
        <n x="486"/>
        <n x="611" s="1"/>
        <n x="689"/>
        <n x="690"/>
      </t>
    </mdx>
    <mdx n="0" f="v">
      <t c="6" si="614">
        <n x="610"/>
        <n x="485"/>
        <n x="486"/>
        <n x="611" s="1"/>
        <n x="691"/>
        <n x="692"/>
      </t>
    </mdx>
    <mdx n="0" f="v">
      <t c="6" si="614">
        <n x="610"/>
        <n x="485"/>
        <n x="486"/>
        <n x="611" s="1"/>
        <n x="695"/>
        <n x="696"/>
      </t>
    </mdx>
    <mdx n="0" f="v">
      <t c="6" si="614">
        <n x="610"/>
        <n x="485"/>
        <n x="486"/>
        <n x="611" s="1"/>
        <n x="699"/>
        <n x="700"/>
      </t>
    </mdx>
    <mdx n="0" f="v">
      <t c="6" si="614">
        <n x="610"/>
        <n x="485"/>
        <n x="486"/>
        <n x="611" s="1"/>
        <n x="701"/>
        <n x="702"/>
      </t>
    </mdx>
    <mdx n="0" f="v">
      <t c="6" si="614">
        <n x="610"/>
        <n x="485"/>
        <n x="486"/>
        <n x="611" s="1"/>
        <n x="707"/>
        <n x="708"/>
      </t>
    </mdx>
    <mdx n="0" f="v">
      <t c="6" si="614">
        <n x="610"/>
        <n x="487"/>
        <n x="488"/>
        <n x="611" s="1"/>
        <n x="612"/>
        <n x="613"/>
      </t>
    </mdx>
    <mdx n="0" f="v">
      <t c="6" si="614">
        <n x="610"/>
        <n x="487"/>
        <n x="488"/>
        <n x="611" s="1"/>
        <n x="617"/>
        <n x="618"/>
      </t>
    </mdx>
    <mdx n="0" f="v">
      <t c="6" si="614">
        <n x="610"/>
        <n x="487"/>
        <n x="488"/>
        <n x="611" s="1"/>
        <n x="619"/>
        <n x="620"/>
      </t>
    </mdx>
    <mdx n="0" f="v">
      <t c="6" si="614">
        <n x="610"/>
        <n x="487"/>
        <n x="488"/>
        <n x="611" s="1"/>
        <n x="621"/>
        <n x="622"/>
      </t>
    </mdx>
    <mdx n="0" f="v">
      <t c="6" si="614">
        <n x="610"/>
        <n x="487"/>
        <n x="488"/>
        <n x="611" s="1"/>
        <n x="627"/>
        <n x="628"/>
      </t>
    </mdx>
    <mdx n="0" f="v">
      <t c="6" si="614">
        <n x="610"/>
        <n x="487"/>
        <n x="488"/>
        <n x="611" s="1"/>
        <n x="629"/>
        <n x="630"/>
      </t>
    </mdx>
    <mdx n="0" f="v">
      <t c="6" si="614">
        <n x="610"/>
        <n x="487"/>
        <n x="488"/>
        <n x="611" s="1"/>
        <n x="631"/>
        <n x="632"/>
      </t>
    </mdx>
    <mdx n="0" f="v">
      <t c="6" si="614">
        <n x="610"/>
        <n x="487"/>
        <n x="488"/>
        <n x="611" s="1"/>
        <n x="633"/>
        <n x="634"/>
      </t>
    </mdx>
    <mdx n="0" f="v">
      <t c="6" si="614">
        <n x="610"/>
        <n x="487"/>
        <n x="488"/>
        <n x="611" s="1"/>
        <n x="635"/>
        <n x="636"/>
      </t>
    </mdx>
    <mdx n="0" f="v">
      <t c="6" si="614">
        <n x="610"/>
        <n x="487"/>
        <n x="488"/>
        <n x="611" s="1"/>
        <n x="637"/>
        <n x="638"/>
      </t>
    </mdx>
    <mdx n="0" f="v">
      <t c="6" si="614">
        <n x="610"/>
        <n x="487"/>
        <n x="488"/>
        <n x="611" s="1"/>
        <n x="639"/>
        <n x="640"/>
      </t>
    </mdx>
    <mdx n="0" f="v">
      <t c="6" si="614">
        <n x="610"/>
        <n x="487"/>
        <n x="488"/>
        <n x="611" s="1"/>
        <n x="641"/>
        <n x="642"/>
      </t>
    </mdx>
    <mdx n="0" f="v">
      <t c="6" si="614">
        <n x="610"/>
        <n x="487"/>
        <n x="488"/>
        <n x="611" s="1"/>
        <n x="645"/>
        <n x="646"/>
      </t>
    </mdx>
    <mdx n="0" f="v">
      <t c="6" si="614">
        <n x="610"/>
        <n x="487"/>
        <n x="488"/>
        <n x="611" s="1"/>
        <n x="647"/>
        <n x="648"/>
      </t>
    </mdx>
    <mdx n="0" f="v">
      <t c="6" si="614">
        <n x="610"/>
        <n x="487"/>
        <n x="488"/>
        <n x="611" s="1"/>
        <n x="651"/>
        <n x="652"/>
      </t>
    </mdx>
    <mdx n="0" f="v">
      <t c="6" si="614">
        <n x="610"/>
        <n x="487"/>
        <n x="488"/>
        <n x="611" s="1"/>
        <n x="653"/>
        <n x="654"/>
      </t>
    </mdx>
    <mdx n="0" f="v">
      <t c="6" si="614">
        <n x="610"/>
        <n x="487"/>
        <n x="488"/>
        <n x="611" s="1"/>
        <n x="655"/>
        <n x="656"/>
      </t>
    </mdx>
    <mdx n="0" f="v">
      <t c="6" si="614">
        <n x="610"/>
        <n x="487"/>
        <n x="488"/>
        <n x="611" s="1"/>
        <n x="657"/>
        <n x="658"/>
      </t>
    </mdx>
    <mdx n="0" f="v">
      <t c="6" si="614">
        <n x="610"/>
        <n x="487"/>
        <n x="488"/>
        <n x="611" s="1"/>
        <n x="659"/>
        <n x="660"/>
      </t>
    </mdx>
    <mdx n="0" f="v">
      <t c="6" si="614">
        <n x="610"/>
        <n x="487"/>
        <n x="488"/>
        <n x="611" s="1"/>
        <n x="661"/>
        <n x="662"/>
      </t>
    </mdx>
    <mdx n="0" f="v">
      <t c="6" si="614">
        <n x="610"/>
        <n x="487"/>
        <n x="488"/>
        <n x="611" s="1"/>
        <n x="665"/>
        <n x="666"/>
      </t>
    </mdx>
    <mdx n="0" f="v">
      <t c="6" si="614">
        <n x="610"/>
        <n x="487"/>
        <n x="488"/>
        <n x="611" s="1"/>
        <n x="669"/>
        <n x="670"/>
      </t>
    </mdx>
    <mdx n="0" f="v">
      <t c="6" si="614">
        <n x="610"/>
        <n x="487"/>
        <n x="488"/>
        <n x="611" s="1"/>
        <n x="677"/>
        <n x="678"/>
      </t>
    </mdx>
    <mdx n="0" f="v">
      <t c="6" si="614">
        <n x="610"/>
        <n x="487"/>
        <n x="488"/>
        <n x="611" s="1"/>
        <n x="679"/>
        <n x="680"/>
      </t>
    </mdx>
    <mdx n="0" f="v">
      <t c="6" si="614">
        <n x="610"/>
        <n x="487"/>
        <n x="488"/>
        <n x="611" s="1"/>
        <n x="681"/>
        <n x="682"/>
      </t>
    </mdx>
    <mdx n="0" f="v">
      <t c="6" si="614">
        <n x="610"/>
        <n x="487"/>
        <n x="488"/>
        <n x="611" s="1"/>
        <n x="685"/>
        <n x="686"/>
      </t>
    </mdx>
    <mdx n="0" f="v">
      <t c="6" si="614">
        <n x="610"/>
        <n x="487"/>
        <n x="488"/>
        <n x="611" s="1"/>
        <n x="689"/>
        <n x="690"/>
      </t>
    </mdx>
    <mdx n="0" f="v">
      <t c="6" si="614">
        <n x="610"/>
        <n x="487"/>
        <n x="488"/>
        <n x="611" s="1"/>
        <n x="691"/>
        <n x="692"/>
      </t>
    </mdx>
    <mdx n="0" f="v">
      <t c="6" si="614">
        <n x="610"/>
        <n x="487"/>
        <n x="488"/>
        <n x="611" s="1"/>
        <n x="693"/>
        <n x="694"/>
      </t>
    </mdx>
    <mdx n="0" f="v">
      <t c="6" si="614">
        <n x="610"/>
        <n x="487"/>
        <n x="488"/>
        <n x="611" s="1"/>
        <n x="695"/>
        <n x="696"/>
      </t>
    </mdx>
    <mdx n="0" f="v">
      <t c="6" si="614">
        <n x="610"/>
        <n x="487"/>
        <n x="488"/>
        <n x="611" s="1"/>
        <n x="697"/>
        <n x="698"/>
      </t>
    </mdx>
    <mdx n="0" f="v">
      <t c="6" si="614">
        <n x="610"/>
        <n x="487"/>
        <n x="488"/>
        <n x="611" s="1"/>
        <n x="701"/>
        <n x="702"/>
      </t>
    </mdx>
    <mdx n="0" f="v">
      <t c="6" si="614">
        <n x="610"/>
        <n x="487"/>
        <n x="488"/>
        <n x="611" s="1"/>
        <n x="705"/>
        <n x="706"/>
      </t>
    </mdx>
    <mdx n="0" f="v">
      <t c="6" si="614">
        <n x="610"/>
        <n x="489"/>
        <n x="490"/>
        <n x="611" s="1"/>
        <n x="612"/>
        <n x="613"/>
      </t>
    </mdx>
    <mdx n="0" f="v">
      <t c="6" si="614">
        <n x="610"/>
        <n x="489"/>
        <n x="490"/>
        <n x="611" s="1"/>
        <n x="615"/>
        <n x="616"/>
      </t>
    </mdx>
    <mdx n="0" f="v">
      <t c="6" si="614">
        <n x="610"/>
        <n x="489"/>
        <n x="490"/>
        <n x="611" s="1"/>
        <n x="617"/>
        <n x="618"/>
      </t>
    </mdx>
    <mdx n="0" f="v">
      <t c="6" si="614">
        <n x="610"/>
        <n x="489"/>
        <n x="490"/>
        <n x="611" s="1"/>
        <n x="619"/>
        <n x="620"/>
      </t>
    </mdx>
    <mdx n="0" f="v">
      <t c="6" si="614">
        <n x="610"/>
        <n x="489"/>
        <n x="490"/>
        <n x="611" s="1"/>
        <n x="623"/>
        <n x="624"/>
      </t>
    </mdx>
    <mdx n="0" f="v">
      <t c="6" si="614">
        <n x="610"/>
        <n x="489"/>
        <n x="490"/>
        <n x="611" s="1"/>
        <n x="625"/>
        <n x="626"/>
      </t>
    </mdx>
    <mdx n="0" f="v">
      <t c="6" si="614">
        <n x="610"/>
        <n x="489"/>
        <n x="490"/>
        <n x="611" s="1"/>
        <n x="627"/>
        <n x="628"/>
      </t>
    </mdx>
    <mdx n="0" f="v">
      <t c="6" si="614">
        <n x="610"/>
        <n x="489"/>
        <n x="490"/>
        <n x="611" s="1"/>
        <n x="629"/>
        <n x="630"/>
      </t>
    </mdx>
    <mdx n="0" f="v">
      <t c="6" si="614">
        <n x="610"/>
        <n x="489"/>
        <n x="490"/>
        <n x="611" s="1"/>
        <n x="631"/>
        <n x="632"/>
      </t>
    </mdx>
    <mdx n="0" f="v">
      <t c="6" si="614">
        <n x="610"/>
        <n x="489"/>
        <n x="490"/>
        <n x="611" s="1"/>
        <n x="633"/>
        <n x="634"/>
      </t>
    </mdx>
    <mdx n="0" f="v">
      <t c="6" si="614">
        <n x="610"/>
        <n x="489"/>
        <n x="490"/>
        <n x="611" s="1"/>
        <n x="635"/>
        <n x="636"/>
      </t>
    </mdx>
    <mdx n="0" f="v">
      <t c="6" si="614">
        <n x="610"/>
        <n x="489"/>
        <n x="490"/>
        <n x="611" s="1"/>
        <n x="637"/>
        <n x="638"/>
      </t>
    </mdx>
    <mdx n="0" f="v">
      <t c="6" si="614">
        <n x="610"/>
        <n x="489"/>
        <n x="490"/>
        <n x="611" s="1"/>
        <n x="639"/>
        <n x="640"/>
      </t>
    </mdx>
    <mdx n="0" f="v">
      <t c="6" si="614">
        <n x="610"/>
        <n x="489"/>
        <n x="490"/>
        <n x="611" s="1"/>
        <n x="641"/>
        <n x="642"/>
      </t>
    </mdx>
    <mdx n="0" f="v">
      <t c="6" si="614">
        <n x="610"/>
        <n x="489"/>
        <n x="490"/>
        <n x="611" s="1"/>
        <n x="643"/>
        <n x="644"/>
      </t>
    </mdx>
    <mdx n="0" f="v">
      <t c="6" si="614">
        <n x="610"/>
        <n x="489"/>
        <n x="490"/>
        <n x="611" s="1"/>
        <n x="647"/>
        <n x="648"/>
      </t>
    </mdx>
    <mdx n="0" f="v">
      <t c="6" si="614">
        <n x="610"/>
        <n x="489"/>
        <n x="490"/>
        <n x="611" s="1"/>
        <n x="649"/>
        <n x="650"/>
      </t>
    </mdx>
    <mdx n="0" f="v">
      <t c="6" si="614">
        <n x="610"/>
        <n x="489"/>
        <n x="490"/>
        <n x="611" s="1"/>
        <n x="651"/>
        <n x="652"/>
      </t>
    </mdx>
    <mdx n="0" f="v">
      <t c="6" si="614">
        <n x="610"/>
        <n x="489"/>
        <n x="490"/>
        <n x="611" s="1"/>
        <n x="653"/>
        <n x="654"/>
      </t>
    </mdx>
    <mdx n="0" f="v">
      <t c="6" si="614">
        <n x="610"/>
        <n x="489"/>
        <n x="490"/>
        <n x="611" s="1"/>
        <n x="655"/>
        <n x="656"/>
      </t>
    </mdx>
    <mdx n="0" f="v">
      <t c="6" si="614">
        <n x="610"/>
        <n x="489"/>
        <n x="490"/>
        <n x="611" s="1"/>
        <n x="657"/>
        <n x="658"/>
      </t>
    </mdx>
    <mdx n="0" f="v">
      <t c="6" si="614">
        <n x="610"/>
        <n x="489"/>
        <n x="490"/>
        <n x="611" s="1"/>
        <n x="659"/>
        <n x="660"/>
      </t>
    </mdx>
    <mdx n="0" f="v">
      <t c="6" si="614">
        <n x="610"/>
        <n x="489"/>
        <n x="490"/>
        <n x="611" s="1"/>
        <n x="661"/>
        <n x="662"/>
      </t>
    </mdx>
    <mdx n="0" f="v">
      <t c="6" si="614">
        <n x="610"/>
        <n x="489"/>
        <n x="490"/>
        <n x="611" s="1"/>
        <n x="663"/>
        <n x="664"/>
      </t>
    </mdx>
    <mdx n="0" f="v">
      <t c="6" si="614">
        <n x="610"/>
        <n x="489"/>
        <n x="490"/>
        <n x="611" s="1"/>
        <n x="665"/>
        <n x="666"/>
      </t>
    </mdx>
    <mdx n="0" f="v">
      <t c="6" si="614">
        <n x="610"/>
        <n x="489"/>
        <n x="490"/>
        <n x="611" s="1"/>
        <n x="669"/>
        <n x="670"/>
      </t>
    </mdx>
    <mdx n="0" f="v">
      <t c="6" si="614">
        <n x="610"/>
        <n x="489"/>
        <n x="490"/>
        <n x="611" s="1"/>
        <n x="671"/>
        <n x="672"/>
      </t>
    </mdx>
    <mdx n="0" f="v">
      <t c="6" si="614">
        <n x="610"/>
        <n x="489"/>
        <n x="490"/>
        <n x="611" s="1"/>
        <n x="673"/>
        <n x="674"/>
      </t>
    </mdx>
    <mdx n="0" f="v">
      <t c="6" si="614">
        <n x="610"/>
        <n x="489"/>
        <n x="490"/>
        <n x="611" s="1"/>
        <n x="675"/>
        <n x="676"/>
      </t>
    </mdx>
    <mdx n="0" f="v">
      <t c="6" si="614">
        <n x="610"/>
        <n x="489"/>
        <n x="490"/>
        <n x="611" s="1"/>
        <n x="677"/>
        <n x="678"/>
      </t>
    </mdx>
    <mdx n="0" f="v">
      <t c="6" si="614">
        <n x="610"/>
        <n x="489"/>
        <n x="490"/>
        <n x="611" s="1"/>
        <n x="679"/>
        <n x="680"/>
      </t>
    </mdx>
    <mdx n="0" f="v">
      <t c="6" si="614">
        <n x="610"/>
        <n x="489"/>
        <n x="490"/>
        <n x="611" s="1"/>
        <n x="681"/>
        <n x="682"/>
      </t>
    </mdx>
    <mdx n="0" f="v">
      <t c="6" si="614">
        <n x="610"/>
        <n x="489"/>
        <n x="490"/>
        <n x="611" s="1"/>
        <n x="683"/>
        <n x="684"/>
      </t>
    </mdx>
    <mdx n="0" f="v">
      <t c="6" si="614">
        <n x="610"/>
        <n x="489"/>
        <n x="490"/>
        <n x="611" s="1"/>
        <n x="685"/>
        <n x="686"/>
      </t>
    </mdx>
    <mdx n="0" f="v">
      <t c="6" si="614">
        <n x="610"/>
        <n x="489"/>
        <n x="490"/>
        <n x="611" s="1"/>
        <n x="687"/>
        <n x="688"/>
      </t>
    </mdx>
    <mdx n="0" f="v">
      <t c="6" si="614">
        <n x="610"/>
        <n x="489"/>
        <n x="490"/>
        <n x="611" s="1"/>
        <n x="689"/>
        <n x="690"/>
      </t>
    </mdx>
    <mdx n="0" f="v">
      <t c="6" si="614">
        <n x="610"/>
        <n x="489"/>
        <n x="490"/>
        <n x="611" s="1"/>
        <n x="691"/>
        <n x="692"/>
      </t>
    </mdx>
    <mdx n="0" f="v">
      <t c="6" si="614">
        <n x="610"/>
        <n x="489"/>
        <n x="490"/>
        <n x="611" s="1"/>
        <n x="693"/>
        <n x="694"/>
      </t>
    </mdx>
    <mdx n="0" f="v">
      <t c="6" si="614">
        <n x="610"/>
        <n x="489"/>
        <n x="490"/>
        <n x="611" s="1"/>
        <n x="695"/>
        <n x="696"/>
      </t>
    </mdx>
    <mdx n="0" f="v">
      <t c="6" si="614">
        <n x="610"/>
        <n x="489"/>
        <n x="490"/>
        <n x="611" s="1"/>
        <n x="697"/>
        <n x="698"/>
      </t>
    </mdx>
    <mdx n="0" f="v">
      <t c="6" si="614">
        <n x="610"/>
        <n x="489"/>
        <n x="490"/>
        <n x="611" s="1"/>
        <n x="699"/>
        <n x="700"/>
      </t>
    </mdx>
    <mdx n="0" f="v">
      <t c="6" si="614">
        <n x="610"/>
        <n x="489"/>
        <n x="490"/>
        <n x="611" s="1"/>
        <n x="701"/>
        <n x="702"/>
      </t>
    </mdx>
    <mdx n="0" f="v">
      <t c="6" si="614">
        <n x="610"/>
        <n x="489"/>
        <n x="490"/>
        <n x="611" s="1"/>
        <n x="703"/>
        <n x="704"/>
      </t>
    </mdx>
    <mdx n="0" f="v">
      <t c="6" si="614">
        <n x="610"/>
        <n x="489"/>
        <n x="490"/>
        <n x="611" s="1"/>
        <n x="707"/>
        <n x="708"/>
      </t>
    </mdx>
    <mdx n="0" f="v">
      <t c="6" si="614">
        <n x="610"/>
        <n x="491"/>
        <n x="492"/>
        <n x="611" s="1"/>
        <n x="612"/>
        <n x="613"/>
      </t>
    </mdx>
    <mdx n="0" f="v">
      <t c="6" si="614">
        <n x="610"/>
        <n x="491"/>
        <n x="492"/>
        <n x="611" s="1"/>
        <n x="617"/>
        <n x="618"/>
      </t>
    </mdx>
    <mdx n="0" f="v">
      <t c="6" si="614">
        <n x="610"/>
        <n x="491"/>
        <n x="492"/>
        <n x="611" s="1"/>
        <n x="619"/>
        <n x="620"/>
      </t>
    </mdx>
    <mdx n="0" f="v">
      <t c="6" si="614">
        <n x="610"/>
        <n x="491"/>
        <n x="492"/>
        <n x="611" s="1"/>
        <n x="621"/>
        <n x="622"/>
      </t>
    </mdx>
    <mdx n="0" f="v">
      <t c="6" si="614">
        <n x="610"/>
        <n x="491"/>
        <n x="492"/>
        <n x="611" s="1"/>
        <n x="625"/>
        <n x="626"/>
      </t>
    </mdx>
    <mdx n="0" f="v">
      <t c="6" si="614">
        <n x="610"/>
        <n x="491"/>
        <n x="492"/>
        <n x="611" s="1"/>
        <n x="627"/>
        <n x="628"/>
      </t>
    </mdx>
    <mdx n="0" f="v">
      <t c="6" si="614">
        <n x="610"/>
        <n x="491"/>
        <n x="492"/>
        <n x="611" s="1"/>
        <n x="629"/>
        <n x="630"/>
      </t>
    </mdx>
    <mdx n="0" f="v">
      <t c="6" si="614">
        <n x="610"/>
        <n x="491"/>
        <n x="492"/>
        <n x="611" s="1"/>
        <n x="631"/>
        <n x="632"/>
      </t>
    </mdx>
    <mdx n="0" f="v">
      <t c="6" si="614">
        <n x="610"/>
        <n x="491"/>
        <n x="492"/>
        <n x="611" s="1"/>
        <n x="635"/>
        <n x="636"/>
      </t>
    </mdx>
    <mdx n="0" f="v">
      <t c="6" si="614">
        <n x="610"/>
        <n x="491"/>
        <n x="492"/>
        <n x="611" s="1"/>
        <n x="637"/>
        <n x="638"/>
      </t>
    </mdx>
    <mdx n="0" f="v">
      <t c="6" si="614">
        <n x="610"/>
        <n x="491"/>
        <n x="492"/>
        <n x="611" s="1"/>
        <n x="643"/>
        <n x="644"/>
      </t>
    </mdx>
    <mdx n="0" f="v">
      <t c="6" si="614">
        <n x="610"/>
        <n x="491"/>
        <n x="492"/>
        <n x="611" s="1"/>
        <n x="645"/>
        <n x="646"/>
      </t>
    </mdx>
    <mdx n="0" f="v">
      <t c="6" si="614">
        <n x="610"/>
        <n x="491"/>
        <n x="492"/>
        <n x="611" s="1"/>
        <n x="647"/>
        <n x="648"/>
      </t>
    </mdx>
    <mdx n="0" f="v">
      <t c="6" si="614">
        <n x="610"/>
        <n x="491"/>
        <n x="492"/>
        <n x="611" s="1"/>
        <n x="649"/>
        <n x="650"/>
      </t>
    </mdx>
    <mdx n="0" f="v">
      <t c="6" si="614">
        <n x="610"/>
        <n x="491"/>
        <n x="492"/>
        <n x="611" s="1"/>
        <n x="651"/>
        <n x="652"/>
      </t>
    </mdx>
    <mdx n="0" f="v">
      <t c="6" si="614">
        <n x="610"/>
        <n x="491"/>
        <n x="492"/>
        <n x="611" s="1"/>
        <n x="653"/>
        <n x="654"/>
      </t>
    </mdx>
    <mdx n="0" f="v">
      <t c="6" si="614">
        <n x="610"/>
        <n x="491"/>
        <n x="492"/>
        <n x="611" s="1"/>
        <n x="655"/>
        <n x="656"/>
      </t>
    </mdx>
    <mdx n="0" f="v">
      <t c="6" si="614">
        <n x="610"/>
        <n x="491"/>
        <n x="492"/>
        <n x="611" s="1"/>
        <n x="657"/>
        <n x="658"/>
      </t>
    </mdx>
    <mdx n="0" f="v">
      <t c="6" si="614">
        <n x="610"/>
        <n x="491"/>
        <n x="492"/>
        <n x="611" s="1"/>
        <n x="659"/>
        <n x="660"/>
      </t>
    </mdx>
    <mdx n="0" f="v">
      <t c="6" si="614">
        <n x="610"/>
        <n x="491"/>
        <n x="492"/>
        <n x="611" s="1"/>
        <n x="661"/>
        <n x="662"/>
      </t>
    </mdx>
    <mdx n="0" f="v">
      <t c="6" si="614">
        <n x="610"/>
        <n x="491"/>
        <n x="492"/>
        <n x="611" s="1"/>
        <n x="663"/>
        <n x="664"/>
      </t>
    </mdx>
    <mdx n="0" f="v">
      <t c="6" si="614">
        <n x="610"/>
        <n x="491"/>
        <n x="492"/>
        <n x="611" s="1"/>
        <n x="667"/>
        <n x="668"/>
      </t>
    </mdx>
    <mdx n="0" f="v">
      <t c="6" si="614">
        <n x="610"/>
        <n x="491"/>
        <n x="492"/>
        <n x="611" s="1"/>
        <n x="669"/>
        <n x="670"/>
      </t>
    </mdx>
    <mdx n="0" f="v">
      <t c="6" si="614">
        <n x="610"/>
        <n x="491"/>
        <n x="492"/>
        <n x="611" s="1"/>
        <n x="671"/>
        <n x="672"/>
      </t>
    </mdx>
    <mdx n="0" f="v">
      <t c="6" si="614">
        <n x="610"/>
        <n x="491"/>
        <n x="492"/>
        <n x="611" s="1"/>
        <n x="673"/>
        <n x="674"/>
      </t>
    </mdx>
    <mdx n="0" f="v">
      <t c="6" si="614">
        <n x="610"/>
        <n x="491"/>
        <n x="492"/>
        <n x="611" s="1"/>
        <n x="675"/>
        <n x="676"/>
      </t>
    </mdx>
    <mdx n="0" f="v">
      <t c="6" si="614">
        <n x="610"/>
        <n x="491"/>
        <n x="492"/>
        <n x="611" s="1"/>
        <n x="683"/>
        <n x="684"/>
      </t>
    </mdx>
    <mdx n="0" f="v">
      <t c="6" si="614">
        <n x="610"/>
        <n x="491"/>
        <n x="492"/>
        <n x="611" s="1"/>
        <n x="687"/>
        <n x="688"/>
      </t>
    </mdx>
    <mdx n="0" f="v">
      <t c="6" si="614">
        <n x="610"/>
        <n x="491"/>
        <n x="492"/>
        <n x="611" s="1"/>
        <n x="689"/>
        <n x="690"/>
      </t>
    </mdx>
    <mdx n="0" f="v">
      <t c="6" si="614">
        <n x="610"/>
        <n x="491"/>
        <n x="492"/>
        <n x="611" s="1"/>
        <n x="693"/>
        <n x="694"/>
      </t>
    </mdx>
    <mdx n="0" f="v">
      <t c="6" si="614">
        <n x="610"/>
        <n x="491"/>
        <n x="492"/>
        <n x="611" s="1"/>
        <n x="695"/>
        <n x="696"/>
      </t>
    </mdx>
    <mdx n="0" f="v">
      <t c="6" si="614">
        <n x="610"/>
        <n x="491"/>
        <n x="492"/>
        <n x="611" s="1"/>
        <n x="697"/>
        <n x="698"/>
      </t>
    </mdx>
    <mdx n="0" f="v">
      <t c="6" si="614">
        <n x="610"/>
        <n x="491"/>
        <n x="492"/>
        <n x="611" s="1"/>
        <n x="701"/>
        <n x="702"/>
      </t>
    </mdx>
    <mdx n="0" f="v">
      <t c="6" si="614">
        <n x="610"/>
        <n x="491"/>
        <n x="492"/>
        <n x="611" s="1"/>
        <n x="705"/>
        <n x="706"/>
      </t>
    </mdx>
    <mdx n="0" f="v">
      <t c="6" si="614">
        <n x="610"/>
        <n x="491"/>
        <n x="492"/>
        <n x="611" s="1"/>
        <n x="707"/>
        <n x="708"/>
      </t>
    </mdx>
    <mdx n="0" f="v">
      <t c="6" si="614">
        <n x="610"/>
        <n x="493"/>
        <n x="494"/>
        <n x="611" s="1"/>
        <n x="612"/>
        <n x="613"/>
      </t>
    </mdx>
    <mdx n="0" f="v">
      <t c="6" si="614">
        <n x="610"/>
        <n x="493"/>
        <n x="494"/>
        <n x="611" s="1"/>
        <n x="615"/>
        <n x="616"/>
      </t>
    </mdx>
    <mdx n="0" f="v">
      <t c="6" si="614">
        <n x="610"/>
        <n x="493"/>
        <n x="494"/>
        <n x="611" s="1"/>
        <n x="617"/>
        <n x="618"/>
      </t>
    </mdx>
    <mdx n="0" f="v">
      <t c="6" si="614">
        <n x="610"/>
        <n x="493"/>
        <n x="494"/>
        <n x="611" s="1"/>
        <n x="619"/>
        <n x="620"/>
      </t>
    </mdx>
    <mdx n="0" f="v">
      <t c="6" si="614">
        <n x="610"/>
        <n x="493"/>
        <n x="494"/>
        <n x="611" s="1"/>
        <n x="621"/>
        <n x="622"/>
      </t>
    </mdx>
    <mdx n="0" f="v">
      <t c="6" si="614">
        <n x="610"/>
        <n x="493"/>
        <n x="494"/>
        <n x="611" s="1"/>
        <n x="623"/>
        <n x="624"/>
      </t>
    </mdx>
    <mdx n="0" f="v">
      <t c="6" si="614">
        <n x="610"/>
        <n x="493"/>
        <n x="494"/>
        <n x="611" s="1"/>
        <n x="625"/>
        <n x="626"/>
      </t>
    </mdx>
    <mdx n="0" f="v">
      <t c="6" si="614">
        <n x="610"/>
        <n x="493"/>
        <n x="494"/>
        <n x="611" s="1"/>
        <n x="631"/>
        <n x="632"/>
      </t>
    </mdx>
    <mdx n="0" f="v">
      <t c="6" si="614">
        <n x="610"/>
        <n x="493"/>
        <n x="494"/>
        <n x="611" s="1"/>
        <n x="633"/>
        <n x="634"/>
      </t>
    </mdx>
    <mdx n="0" f="v">
      <t c="6" si="614">
        <n x="610"/>
        <n x="493"/>
        <n x="494"/>
        <n x="611" s="1"/>
        <n x="635"/>
        <n x="636"/>
      </t>
    </mdx>
    <mdx n="0" f="v">
      <t c="6" si="614">
        <n x="610"/>
        <n x="493"/>
        <n x="494"/>
        <n x="611" s="1"/>
        <n x="637"/>
        <n x="638"/>
      </t>
    </mdx>
    <mdx n="0" f="v">
      <t c="6" si="614">
        <n x="610"/>
        <n x="493"/>
        <n x="494"/>
        <n x="611" s="1"/>
        <n x="641"/>
        <n x="642"/>
      </t>
    </mdx>
    <mdx n="0" f="v">
      <t c="6" si="614">
        <n x="610"/>
        <n x="493"/>
        <n x="494"/>
        <n x="611" s="1"/>
        <n x="647"/>
        <n x="648"/>
      </t>
    </mdx>
    <mdx n="0" f="v">
      <t c="6" si="614">
        <n x="610"/>
        <n x="493"/>
        <n x="494"/>
        <n x="611" s="1"/>
        <n x="649"/>
        <n x="650"/>
      </t>
    </mdx>
    <mdx n="0" f="v">
      <t c="6" si="614">
        <n x="610"/>
        <n x="493"/>
        <n x="494"/>
        <n x="611" s="1"/>
        <n x="651"/>
        <n x="652"/>
      </t>
    </mdx>
    <mdx n="0" f="v">
      <t c="6" si="614">
        <n x="610"/>
        <n x="493"/>
        <n x="494"/>
        <n x="611" s="1"/>
        <n x="657"/>
        <n x="658"/>
      </t>
    </mdx>
    <mdx n="0" f="v">
      <t c="6" si="614">
        <n x="610"/>
        <n x="493"/>
        <n x="494"/>
        <n x="611" s="1"/>
        <n x="659"/>
        <n x="660"/>
      </t>
    </mdx>
    <mdx n="0" f="v">
      <t c="6" si="614">
        <n x="610"/>
        <n x="493"/>
        <n x="494"/>
        <n x="611" s="1"/>
        <n x="663"/>
        <n x="664"/>
      </t>
    </mdx>
    <mdx n="0" f="v">
      <t c="6" si="614">
        <n x="610"/>
        <n x="493"/>
        <n x="494"/>
        <n x="611" s="1"/>
        <n x="667"/>
        <n x="668"/>
      </t>
    </mdx>
    <mdx n="0" f="v">
      <t c="6" si="614">
        <n x="610"/>
        <n x="493"/>
        <n x="494"/>
        <n x="611" s="1"/>
        <n x="669"/>
        <n x="670"/>
      </t>
    </mdx>
    <mdx n="0" f="v">
      <t c="6" si="614">
        <n x="610"/>
        <n x="493"/>
        <n x="494"/>
        <n x="611" s="1"/>
        <n x="671"/>
        <n x="672"/>
      </t>
    </mdx>
    <mdx n="0" f="v">
      <t c="6" si="614">
        <n x="610"/>
        <n x="493"/>
        <n x="494"/>
        <n x="611" s="1"/>
        <n x="673"/>
        <n x="674"/>
      </t>
    </mdx>
    <mdx n="0" f="v">
      <t c="6" si="614">
        <n x="610"/>
        <n x="493"/>
        <n x="494"/>
        <n x="611" s="1"/>
        <n x="675"/>
        <n x="676"/>
      </t>
    </mdx>
    <mdx n="0" f="v">
      <t c="6" si="614">
        <n x="610"/>
        <n x="493"/>
        <n x="494"/>
        <n x="611" s="1"/>
        <n x="677"/>
        <n x="678"/>
      </t>
    </mdx>
    <mdx n="0" f="v">
      <t c="6" si="614">
        <n x="610"/>
        <n x="493"/>
        <n x="494"/>
        <n x="611" s="1"/>
        <n x="683"/>
        <n x="684"/>
      </t>
    </mdx>
    <mdx n="0" f="v">
      <t c="6" si="614">
        <n x="610"/>
        <n x="493"/>
        <n x="494"/>
        <n x="611" s="1"/>
        <n x="685"/>
        <n x="686"/>
      </t>
    </mdx>
    <mdx n="0" f="v">
      <t c="6" si="614">
        <n x="610"/>
        <n x="493"/>
        <n x="494"/>
        <n x="611" s="1"/>
        <n x="693"/>
        <n x="694"/>
      </t>
    </mdx>
    <mdx n="0" f="v">
      <t c="6" si="614">
        <n x="610"/>
        <n x="493"/>
        <n x="494"/>
        <n x="611" s="1"/>
        <n x="695"/>
        <n x="696"/>
      </t>
    </mdx>
    <mdx n="0" f="v">
      <t c="6" si="614">
        <n x="610"/>
        <n x="493"/>
        <n x="494"/>
        <n x="611" s="1"/>
        <n x="697"/>
        <n x="698"/>
      </t>
    </mdx>
    <mdx n="0" f="v">
      <t c="6" si="614">
        <n x="610"/>
        <n x="493"/>
        <n x="494"/>
        <n x="611" s="1"/>
        <n x="699"/>
        <n x="700"/>
      </t>
    </mdx>
    <mdx n="0" f="v">
      <t c="6" si="614">
        <n x="610"/>
        <n x="493"/>
        <n x="494"/>
        <n x="611" s="1"/>
        <n x="701"/>
        <n x="702"/>
      </t>
    </mdx>
    <mdx n="0" f="v">
      <t c="6" si="614">
        <n x="610"/>
        <n x="493"/>
        <n x="494"/>
        <n x="611" s="1"/>
        <n x="703"/>
        <n x="704"/>
      </t>
    </mdx>
    <mdx n="0" f="v">
      <t c="6" si="614">
        <n x="610"/>
        <n x="493"/>
        <n x="494"/>
        <n x="611" s="1"/>
        <n x="705"/>
        <n x="706"/>
      </t>
    </mdx>
    <mdx n="0" f="v">
      <t c="6" si="614">
        <n x="610"/>
        <n x="493"/>
        <n x="494"/>
        <n x="611" s="1"/>
        <n x="707"/>
        <n x="708"/>
      </t>
    </mdx>
    <mdx n="0" f="v">
      <t c="6" si="614">
        <n x="610"/>
        <n x="495"/>
        <n x="496"/>
        <n x="611" s="1"/>
        <n x="612"/>
        <n x="613"/>
      </t>
    </mdx>
    <mdx n="0" f="v">
      <t c="6" si="614">
        <n x="610"/>
        <n x="495"/>
        <n x="496"/>
        <n x="611" s="1"/>
        <n x="617"/>
        <n x="618"/>
      </t>
    </mdx>
    <mdx n="0" f="v">
      <t c="6" si="614">
        <n x="610"/>
        <n x="495"/>
        <n x="496"/>
        <n x="611" s="1"/>
        <n x="619"/>
        <n x="620"/>
      </t>
    </mdx>
    <mdx n="0" f="v">
      <t c="6" si="614">
        <n x="610"/>
        <n x="495"/>
        <n x="496"/>
        <n x="611" s="1"/>
        <n x="625"/>
        <n x="626"/>
      </t>
    </mdx>
    <mdx n="0" f="v">
      <t c="6" si="614">
        <n x="610"/>
        <n x="495"/>
        <n x="496"/>
        <n x="611" s="1"/>
        <n x="627"/>
        <n x="628"/>
      </t>
    </mdx>
    <mdx n="0" f="v">
      <t c="6" si="614">
        <n x="610"/>
        <n x="495"/>
        <n x="496"/>
        <n x="611" s="1"/>
        <n x="635"/>
        <n x="636"/>
      </t>
    </mdx>
    <mdx n="0" f="v">
      <t c="6" si="614">
        <n x="610"/>
        <n x="495"/>
        <n x="496"/>
        <n x="611" s="1"/>
        <n x="641"/>
        <n x="642"/>
      </t>
    </mdx>
    <mdx n="0" f="v">
      <t c="6" si="614">
        <n x="610"/>
        <n x="495"/>
        <n x="496"/>
        <n x="611" s="1"/>
        <n x="643"/>
        <n x="644"/>
      </t>
    </mdx>
    <mdx n="0" f="v">
      <t c="6" si="614">
        <n x="610"/>
        <n x="495"/>
        <n x="496"/>
        <n x="611" s="1"/>
        <n x="645"/>
        <n x="646"/>
      </t>
    </mdx>
    <mdx n="0" f="v">
      <t c="6" si="614">
        <n x="610"/>
        <n x="495"/>
        <n x="496"/>
        <n x="611" s="1"/>
        <n x="647"/>
        <n x="648"/>
      </t>
    </mdx>
    <mdx n="0" f="v">
      <t c="6" si="614">
        <n x="610"/>
        <n x="495"/>
        <n x="496"/>
        <n x="611" s="1"/>
        <n x="649"/>
        <n x="650"/>
      </t>
    </mdx>
    <mdx n="0" f="v">
      <t c="6" si="614">
        <n x="610"/>
        <n x="495"/>
        <n x="496"/>
        <n x="611" s="1"/>
        <n x="651"/>
        <n x="652"/>
      </t>
    </mdx>
    <mdx n="0" f="v">
      <t c="6" si="614">
        <n x="610"/>
        <n x="495"/>
        <n x="496"/>
        <n x="611" s="1"/>
        <n x="657"/>
        <n x="658"/>
      </t>
    </mdx>
    <mdx n="0" f="v">
      <t c="6" si="614">
        <n x="610"/>
        <n x="495"/>
        <n x="496"/>
        <n x="611" s="1"/>
        <n x="659"/>
        <n x="660"/>
      </t>
    </mdx>
    <mdx n="0" f="v">
      <t c="6" si="614">
        <n x="610"/>
        <n x="495"/>
        <n x="496"/>
        <n x="611" s="1"/>
        <n x="663"/>
        <n x="664"/>
      </t>
    </mdx>
    <mdx n="0" f="v">
      <t c="6" si="614">
        <n x="610"/>
        <n x="495"/>
        <n x="496"/>
        <n x="611" s="1"/>
        <n x="665"/>
        <n x="666"/>
      </t>
    </mdx>
    <mdx n="0" f="v">
      <t c="6" si="614">
        <n x="610"/>
        <n x="495"/>
        <n x="496"/>
        <n x="611" s="1"/>
        <n x="667"/>
        <n x="668"/>
      </t>
    </mdx>
    <mdx n="0" f="v">
      <t c="6" si="614">
        <n x="610"/>
        <n x="495"/>
        <n x="496"/>
        <n x="611" s="1"/>
        <n x="669"/>
        <n x="670"/>
      </t>
    </mdx>
    <mdx n="0" f="v">
      <t c="6" si="614">
        <n x="610"/>
        <n x="495"/>
        <n x="496"/>
        <n x="611" s="1"/>
        <n x="675"/>
        <n x="676"/>
      </t>
    </mdx>
    <mdx n="0" f="v">
      <t c="6" si="614">
        <n x="610"/>
        <n x="495"/>
        <n x="496"/>
        <n x="611" s="1"/>
        <n x="679"/>
        <n x="680"/>
      </t>
    </mdx>
    <mdx n="0" f="v">
      <t c="6" si="614">
        <n x="610"/>
        <n x="495"/>
        <n x="496"/>
        <n x="611" s="1"/>
        <n x="681"/>
        <n x="682"/>
      </t>
    </mdx>
    <mdx n="0" f="v">
      <t c="6" si="614">
        <n x="610"/>
        <n x="495"/>
        <n x="496"/>
        <n x="611" s="1"/>
        <n x="685"/>
        <n x="686"/>
      </t>
    </mdx>
    <mdx n="0" f="v">
      <t c="6" si="614">
        <n x="610"/>
        <n x="495"/>
        <n x="496"/>
        <n x="611" s="1"/>
        <n x="689"/>
        <n x="690"/>
      </t>
    </mdx>
    <mdx n="0" f="v">
      <t c="6" si="614">
        <n x="610"/>
        <n x="495"/>
        <n x="496"/>
        <n x="611" s="1"/>
        <n x="691"/>
        <n x="692"/>
      </t>
    </mdx>
    <mdx n="0" f="v">
      <t c="6" si="614">
        <n x="610"/>
        <n x="495"/>
        <n x="496"/>
        <n x="611" s="1"/>
        <n x="693"/>
        <n x="694"/>
      </t>
    </mdx>
    <mdx n="0" f="v">
      <t c="6" si="614">
        <n x="610"/>
        <n x="495"/>
        <n x="496"/>
        <n x="611" s="1"/>
        <n x="695"/>
        <n x="696"/>
      </t>
    </mdx>
    <mdx n="0" f="v">
      <t c="6" si="614">
        <n x="610"/>
        <n x="495"/>
        <n x="496"/>
        <n x="611" s="1"/>
        <n x="699"/>
        <n x="700"/>
      </t>
    </mdx>
    <mdx n="0" f="v">
      <t c="6" si="614">
        <n x="610"/>
        <n x="495"/>
        <n x="496"/>
        <n x="611" s="1"/>
        <n x="701"/>
        <n x="702"/>
      </t>
    </mdx>
    <mdx n="0" f="v">
      <t c="6" si="614">
        <n x="610"/>
        <n x="495"/>
        <n x="496"/>
        <n x="611" s="1"/>
        <n x="703"/>
        <n x="704"/>
      </t>
    </mdx>
    <mdx n="0" f="v">
      <t c="6" si="614">
        <n x="610"/>
        <n x="495"/>
        <n x="496"/>
        <n x="611" s="1"/>
        <n x="705"/>
        <n x="706"/>
      </t>
    </mdx>
    <mdx n="0" f="v">
      <t c="6" si="614">
        <n x="610"/>
        <n x="497"/>
        <n x="498"/>
        <n x="611" s="1"/>
        <n x="612"/>
        <n x="613"/>
      </t>
    </mdx>
    <mdx n="0" f="v">
      <t c="6" si="614">
        <n x="610"/>
        <n x="497"/>
        <n x="498"/>
        <n x="611" s="1"/>
        <n x="615"/>
        <n x="616"/>
      </t>
    </mdx>
    <mdx n="0" f="v">
      <t c="6" si="614">
        <n x="610"/>
        <n x="497"/>
        <n x="498"/>
        <n x="611" s="1"/>
        <n x="617"/>
        <n x="618"/>
      </t>
    </mdx>
    <mdx n="0" f="v">
      <t c="6" si="614">
        <n x="610"/>
        <n x="497"/>
        <n x="498"/>
        <n x="611" s="1"/>
        <n x="619"/>
        <n x="620"/>
      </t>
    </mdx>
    <mdx n="0" f="v">
      <t c="6" si="614">
        <n x="610"/>
        <n x="497"/>
        <n x="498"/>
        <n x="611" s="1"/>
        <n x="621"/>
        <n x="622"/>
      </t>
    </mdx>
    <mdx n="0" f="v">
      <t c="6" si="614">
        <n x="610"/>
        <n x="497"/>
        <n x="498"/>
        <n x="611" s="1"/>
        <n x="623"/>
        <n x="624"/>
      </t>
    </mdx>
    <mdx n="0" f="v">
      <t c="6" si="614">
        <n x="610"/>
        <n x="497"/>
        <n x="498"/>
        <n x="611" s="1"/>
        <n x="627"/>
        <n x="628"/>
      </t>
    </mdx>
    <mdx n="0" f="v">
      <t c="6" si="614">
        <n x="610"/>
        <n x="497"/>
        <n x="498"/>
        <n x="611" s="1"/>
        <n x="631"/>
        <n x="632"/>
      </t>
    </mdx>
    <mdx n="0" f="v">
      <t c="6" si="614">
        <n x="610"/>
        <n x="497"/>
        <n x="498"/>
        <n x="611" s="1"/>
        <n x="633"/>
        <n x="634"/>
      </t>
    </mdx>
    <mdx n="0" f="v">
      <t c="6" si="614">
        <n x="610"/>
        <n x="497"/>
        <n x="498"/>
        <n x="611" s="1"/>
        <n x="635"/>
        <n x="636"/>
      </t>
    </mdx>
    <mdx n="0" f="v">
      <t c="6" si="614">
        <n x="610"/>
        <n x="497"/>
        <n x="498"/>
        <n x="611" s="1"/>
        <n x="639"/>
        <n x="640"/>
      </t>
    </mdx>
    <mdx n="0" f="v">
      <t c="6" si="614">
        <n x="610"/>
        <n x="497"/>
        <n x="498"/>
        <n x="611" s="1"/>
        <n x="641"/>
        <n x="642"/>
      </t>
    </mdx>
    <mdx n="0" f="v">
      <t c="6" si="614">
        <n x="610"/>
        <n x="497"/>
        <n x="498"/>
        <n x="611" s="1"/>
        <n x="643"/>
        <n x="644"/>
      </t>
    </mdx>
    <mdx n="0" f="v">
      <t c="6" si="614">
        <n x="610"/>
        <n x="497"/>
        <n x="498"/>
        <n x="611" s="1"/>
        <n x="645"/>
        <n x="646"/>
      </t>
    </mdx>
    <mdx n="0" f="v">
      <t c="6" si="614">
        <n x="610"/>
        <n x="497"/>
        <n x="498"/>
        <n x="611" s="1"/>
        <n x="647"/>
        <n x="648"/>
      </t>
    </mdx>
    <mdx n="0" f="v">
      <t c="6" si="614">
        <n x="610"/>
        <n x="497"/>
        <n x="498"/>
        <n x="611" s="1"/>
        <n x="649"/>
        <n x="650"/>
      </t>
    </mdx>
    <mdx n="0" f="v">
      <t c="6" si="614">
        <n x="610"/>
        <n x="497"/>
        <n x="498"/>
        <n x="611" s="1"/>
        <n x="651"/>
        <n x="652"/>
      </t>
    </mdx>
    <mdx n="0" f="v">
      <t c="6" si="614">
        <n x="610"/>
        <n x="497"/>
        <n x="498"/>
        <n x="611" s="1"/>
        <n x="657"/>
        <n x="658"/>
      </t>
    </mdx>
    <mdx n="0" f="v">
      <t c="6" si="614">
        <n x="610"/>
        <n x="497"/>
        <n x="498"/>
        <n x="611" s="1"/>
        <n x="659"/>
        <n x="660"/>
      </t>
    </mdx>
    <mdx n="0" f="v">
      <t c="6" si="614">
        <n x="610"/>
        <n x="497"/>
        <n x="498"/>
        <n x="611" s="1"/>
        <n x="661"/>
        <n x="662"/>
      </t>
    </mdx>
    <mdx n="0" f="v">
      <t c="6" si="614">
        <n x="610"/>
        <n x="497"/>
        <n x="498"/>
        <n x="611" s="1"/>
        <n x="663"/>
        <n x="664"/>
      </t>
    </mdx>
    <mdx n="0" f="v">
      <t c="6" si="614">
        <n x="610"/>
        <n x="497"/>
        <n x="498"/>
        <n x="611" s="1"/>
        <n x="665"/>
        <n x="666"/>
      </t>
    </mdx>
    <mdx n="0" f="v">
      <t c="6" si="614">
        <n x="610"/>
        <n x="497"/>
        <n x="498"/>
        <n x="611" s="1"/>
        <n x="667"/>
        <n x="668"/>
      </t>
    </mdx>
    <mdx n="0" f="v">
      <t c="6" si="614">
        <n x="610"/>
        <n x="497"/>
        <n x="498"/>
        <n x="611" s="1"/>
        <n x="669"/>
        <n x="670"/>
      </t>
    </mdx>
    <mdx n="0" f="v">
      <t c="6" si="614">
        <n x="610"/>
        <n x="497"/>
        <n x="498"/>
        <n x="611" s="1"/>
        <n x="671"/>
        <n x="672"/>
      </t>
    </mdx>
    <mdx n="0" f="v">
      <t c="6" si="614">
        <n x="610"/>
        <n x="497"/>
        <n x="498"/>
        <n x="611" s="1"/>
        <n x="673"/>
        <n x="674"/>
      </t>
    </mdx>
    <mdx n="0" f="v">
      <t c="6" si="614">
        <n x="610"/>
        <n x="497"/>
        <n x="498"/>
        <n x="611" s="1"/>
        <n x="675"/>
        <n x="676"/>
      </t>
    </mdx>
    <mdx n="0" f="v">
      <t c="6" si="614">
        <n x="610"/>
        <n x="497"/>
        <n x="498"/>
        <n x="611" s="1"/>
        <n x="677"/>
        <n x="678"/>
      </t>
    </mdx>
    <mdx n="0" f="v">
      <t c="6" si="614">
        <n x="610"/>
        <n x="497"/>
        <n x="498"/>
        <n x="611" s="1"/>
        <n x="679"/>
        <n x="680"/>
      </t>
    </mdx>
    <mdx n="0" f="v">
      <t c="6" si="614">
        <n x="610"/>
        <n x="497"/>
        <n x="498"/>
        <n x="611" s="1"/>
        <n x="681"/>
        <n x="682"/>
      </t>
    </mdx>
    <mdx n="0" f="v">
      <t c="6" si="614">
        <n x="610"/>
        <n x="497"/>
        <n x="498"/>
        <n x="611" s="1"/>
        <n x="683"/>
        <n x="684"/>
      </t>
    </mdx>
    <mdx n="0" f="v">
      <t c="6" si="614">
        <n x="610"/>
        <n x="497"/>
        <n x="498"/>
        <n x="611" s="1"/>
        <n x="685"/>
        <n x="686"/>
      </t>
    </mdx>
    <mdx n="0" f="v">
      <t c="6" si="614">
        <n x="610"/>
        <n x="497"/>
        <n x="498"/>
        <n x="611" s="1"/>
        <n x="687"/>
        <n x="688"/>
      </t>
    </mdx>
    <mdx n="0" f="v">
      <t c="6" si="614">
        <n x="610"/>
        <n x="497"/>
        <n x="498"/>
        <n x="611" s="1"/>
        <n x="689"/>
        <n x="690"/>
      </t>
    </mdx>
    <mdx n="0" f="v">
      <t c="6" si="614">
        <n x="610"/>
        <n x="497"/>
        <n x="498"/>
        <n x="611" s="1"/>
        <n x="691"/>
        <n x="692"/>
      </t>
    </mdx>
    <mdx n="0" f="v">
      <t c="6" si="614">
        <n x="610"/>
        <n x="497"/>
        <n x="498"/>
        <n x="611" s="1"/>
        <n x="695"/>
        <n x="696"/>
      </t>
    </mdx>
    <mdx n="0" f="v">
      <t c="6" si="614">
        <n x="610"/>
        <n x="497"/>
        <n x="498"/>
        <n x="611" s="1"/>
        <n x="701"/>
        <n x="702"/>
      </t>
    </mdx>
    <mdx n="0" f="v">
      <t c="6" si="614">
        <n x="610"/>
        <n x="497"/>
        <n x="498"/>
        <n x="611" s="1"/>
        <n x="705"/>
        <n x="706"/>
      </t>
    </mdx>
    <mdx n="0" f="v">
      <t c="6" si="614">
        <n x="610"/>
        <n x="499"/>
        <n x="500"/>
        <n x="611" s="1"/>
        <n x="612"/>
        <n x="613"/>
      </t>
    </mdx>
    <mdx n="0" f="v">
      <t c="6" si="614">
        <n x="610"/>
        <n x="499"/>
        <n x="500"/>
        <n x="611" s="1"/>
        <n x="615"/>
        <n x="616"/>
      </t>
    </mdx>
    <mdx n="0" f="v">
      <t c="6" si="614">
        <n x="610"/>
        <n x="499"/>
        <n x="500"/>
        <n x="611" s="1"/>
        <n x="621"/>
        <n x="622"/>
      </t>
    </mdx>
    <mdx n="0" f="v">
      <t c="6" si="614">
        <n x="610"/>
        <n x="499"/>
        <n x="500"/>
        <n x="611" s="1"/>
        <n x="623"/>
        <n x="624"/>
      </t>
    </mdx>
    <mdx n="0" f="v">
      <t c="6" si="614">
        <n x="610"/>
        <n x="499"/>
        <n x="500"/>
        <n x="611" s="1"/>
        <n x="627"/>
        <n x="628"/>
      </t>
    </mdx>
    <mdx n="0" f="v">
      <t c="6" si="614">
        <n x="610"/>
        <n x="499"/>
        <n x="500"/>
        <n x="611" s="1"/>
        <n x="631"/>
        <n x="632"/>
      </t>
    </mdx>
    <mdx n="0" f="v">
      <t c="6" si="614">
        <n x="610"/>
        <n x="499"/>
        <n x="500"/>
        <n x="611" s="1"/>
        <n x="633"/>
        <n x="634"/>
      </t>
    </mdx>
    <mdx n="0" f="v">
      <t c="6" si="614">
        <n x="610"/>
        <n x="499"/>
        <n x="500"/>
        <n x="611" s="1"/>
        <n x="635"/>
        <n x="636"/>
      </t>
    </mdx>
    <mdx n="0" f="v">
      <t c="6" si="614">
        <n x="610"/>
        <n x="499"/>
        <n x="500"/>
        <n x="611" s="1"/>
        <n x="637"/>
        <n x="638"/>
      </t>
    </mdx>
    <mdx n="0" f="v">
      <t c="6" si="614">
        <n x="610"/>
        <n x="499"/>
        <n x="500"/>
        <n x="611" s="1"/>
        <n x="639"/>
        <n x="640"/>
      </t>
    </mdx>
    <mdx n="0" f="v">
      <t c="6" si="614">
        <n x="610"/>
        <n x="499"/>
        <n x="500"/>
        <n x="611" s="1"/>
        <n x="641"/>
        <n x="642"/>
      </t>
    </mdx>
    <mdx n="0" f="v">
      <t c="6" si="614">
        <n x="610"/>
        <n x="499"/>
        <n x="500"/>
        <n x="611" s="1"/>
        <n x="643"/>
        <n x="644"/>
      </t>
    </mdx>
    <mdx n="0" f="v">
      <t c="6" si="614">
        <n x="610"/>
        <n x="499"/>
        <n x="500"/>
        <n x="611" s="1"/>
        <n x="645"/>
        <n x="646"/>
      </t>
    </mdx>
    <mdx n="0" f="v">
      <t c="6" si="614">
        <n x="610"/>
        <n x="499"/>
        <n x="500"/>
        <n x="611" s="1"/>
        <n x="649"/>
        <n x="650"/>
      </t>
    </mdx>
    <mdx n="0" f="v">
      <t c="6" si="614">
        <n x="610"/>
        <n x="499"/>
        <n x="500"/>
        <n x="611" s="1"/>
        <n x="651"/>
        <n x="652"/>
      </t>
    </mdx>
    <mdx n="0" f="v">
      <t c="6" si="614">
        <n x="610"/>
        <n x="499"/>
        <n x="500"/>
        <n x="611" s="1"/>
        <n x="657"/>
        <n x="658"/>
      </t>
    </mdx>
    <mdx n="0" f="v">
      <t c="6" si="614">
        <n x="610"/>
        <n x="499"/>
        <n x="500"/>
        <n x="611" s="1"/>
        <n x="659"/>
        <n x="660"/>
      </t>
    </mdx>
    <mdx n="0" f="v">
      <t c="6" si="614">
        <n x="610"/>
        <n x="499"/>
        <n x="500"/>
        <n x="611" s="1"/>
        <n x="663"/>
        <n x="664"/>
      </t>
    </mdx>
    <mdx n="0" f="v">
      <t c="6" si="614">
        <n x="610"/>
        <n x="499"/>
        <n x="500"/>
        <n x="611" s="1"/>
        <n x="665"/>
        <n x="666"/>
      </t>
    </mdx>
    <mdx n="0" f="v">
      <t c="6" si="614">
        <n x="610"/>
        <n x="499"/>
        <n x="500"/>
        <n x="611" s="1"/>
        <n x="667"/>
        <n x="668"/>
      </t>
    </mdx>
    <mdx n="0" f="v">
      <t c="6" si="614">
        <n x="610"/>
        <n x="499"/>
        <n x="500"/>
        <n x="611" s="1"/>
        <n x="669"/>
        <n x="670"/>
      </t>
    </mdx>
    <mdx n="0" f="v">
      <t c="6" si="614">
        <n x="610"/>
        <n x="499"/>
        <n x="500"/>
        <n x="611" s="1"/>
        <n x="671"/>
        <n x="672"/>
      </t>
    </mdx>
    <mdx n="0" f="v">
      <t c="6" si="614">
        <n x="610"/>
        <n x="499"/>
        <n x="500"/>
        <n x="611" s="1"/>
        <n x="681"/>
        <n x="682"/>
      </t>
    </mdx>
    <mdx n="0" f="v">
      <t c="6" si="614">
        <n x="610"/>
        <n x="499"/>
        <n x="500"/>
        <n x="611" s="1"/>
        <n x="685"/>
        <n x="686"/>
      </t>
    </mdx>
    <mdx n="0" f="v">
      <t c="6" si="614">
        <n x="610"/>
        <n x="499"/>
        <n x="500"/>
        <n x="611" s="1"/>
        <n x="687"/>
        <n x="688"/>
      </t>
    </mdx>
    <mdx n="0" f="v">
      <t c="6" si="614">
        <n x="610"/>
        <n x="499"/>
        <n x="500"/>
        <n x="611" s="1"/>
        <n x="689"/>
        <n x="690"/>
      </t>
    </mdx>
    <mdx n="0" f="v">
      <t c="6" si="614">
        <n x="610"/>
        <n x="499"/>
        <n x="500"/>
        <n x="611" s="1"/>
        <n x="697"/>
        <n x="698"/>
      </t>
    </mdx>
    <mdx n="0" f="v">
      <t c="6" si="614">
        <n x="610"/>
        <n x="499"/>
        <n x="500"/>
        <n x="611" s="1"/>
        <n x="703"/>
        <n x="704"/>
      </t>
    </mdx>
    <mdx n="0" f="v">
      <t c="6" si="614">
        <n x="610"/>
        <n x="499"/>
        <n x="500"/>
        <n x="611" s="1"/>
        <n x="705"/>
        <n x="706"/>
      </t>
    </mdx>
    <mdx n="0" f="v">
      <t c="6" si="614">
        <n x="610"/>
        <n x="501"/>
        <n x="502"/>
        <n x="611" s="1"/>
        <n x="612"/>
        <n x="613"/>
      </t>
    </mdx>
    <mdx n="0" f="v">
      <t c="6" si="614">
        <n x="610"/>
        <n x="501"/>
        <n x="502"/>
        <n x="611" s="1"/>
        <n x="615"/>
        <n x="616"/>
      </t>
    </mdx>
    <mdx n="0" f="v">
      <t c="6" si="614">
        <n x="610"/>
        <n x="501"/>
        <n x="502"/>
        <n x="611" s="1"/>
        <n x="617"/>
        <n x="618"/>
      </t>
    </mdx>
    <mdx n="0" f="v">
      <t c="6" si="614">
        <n x="610"/>
        <n x="501"/>
        <n x="502"/>
        <n x="611" s="1"/>
        <n x="619"/>
        <n x="620"/>
      </t>
    </mdx>
    <mdx n="0" f="v">
      <t c="6" si="614">
        <n x="610"/>
        <n x="501"/>
        <n x="502"/>
        <n x="611" s="1"/>
        <n x="621"/>
        <n x="622"/>
      </t>
    </mdx>
    <mdx n="0" f="v">
      <t c="6" si="614">
        <n x="610"/>
        <n x="501"/>
        <n x="502"/>
        <n x="611" s="1"/>
        <n x="623"/>
        <n x="624"/>
      </t>
    </mdx>
    <mdx n="0" f="v">
      <t c="6" si="614">
        <n x="610"/>
        <n x="501"/>
        <n x="502"/>
        <n x="611" s="1"/>
        <n x="625"/>
        <n x="626"/>
      </t>
    </mdx>
    <mdx n="0" f="v">
      <t c="6" si="614">
        <n x="610"/>
        <n x="501"/>
        <n x="502"/>
        <n x="611" s="1"/>
        <n x="631"/>
        <n x="632"/>
      </t>
    </mdx>
    <mdx n="0" f="v">
      <t c="6" si="614">
        <n x="610"/>
        <n x="501"/>
        <n x="502"/>
        <n x="611" s="1"/>
        <n x="635"/>
        <n x="636"/>
      </t>
    </mdx>
    <mdx n="0" f="v">
      <t c="6" si="614">
        <n x="610"/>
        <n x="501"/>
        <n x="502"/>
        <n x="611" s="1"/>
        <n x="641"/>
        <n x="642"/>
      </t>
    </mdx>
    <mdx n="0" f="v">
      <t c="6" si="614">
        <n x="610"/>
        <n x="501"/>
        <n x="502"/>
        <n x="611" s="1"/>
        <n x="643"/>
        <n x="644"/>
      </t>
    </mdx>
    <mdx n="0" f="v">
      <t c="6" si="614">
        <n x="610"/>
        <n x="501"/>
        <n x="502"/>
        <n x="611" s="1"/>
        <n x="645"/>
        <n x="646"/>
      </t>
    </mdx>
    <mdx n="0" f="v">
      <t c="6" si="614">
        <n x="610"/>
        <n x="501"/>
        <n x="502"/>
        <n x="611" s="1"/>
        <n x="647"/>
        <n x="648"/>
      </t>
    </mdx>
    <mdx n="0" f="v">
      <t c="6" si="614">
        <n x="610"/>
        <n x="501"/>
        <n x="502"/>
        <n x="611" s="1"/>
        <n x="649"/>
        <n x="650"/>
      </t>
    </mdx>
    <mdx n="0" f="v">
      <t c="6" si="614">
        <n x="610"/>
        <n x="501"/>
        <n x="502"/>
        <n x="611" s="1"/>
        <n x="651"/>
        <n x="652"/>
      </t>
    </mdx>
    <mdx n="0" f="v">
      <t c="6" si="614">
        <n x="610"/>
        <n x="501"/>
        <n x="502"/>
        <n x="611" s="1"/>
        <n x="655"/>
        <n x="656"/>
      </t>
    </mdx>
    <mdx n="0" f="v">
      <t c="6" si="614">
        <n x="610"/>
        <n x="501"/>
        <n x="502"/>
        <n x="611" s="1"/>
        <n x="657"/>
        <n x="658"/>
      </t>
    </mdx>
    <mdx n="0" f="v">
      <t c="6" si="614">
        <n x="610"/>
        <n x="501"/>
        <n x="502"/>
        <n x="611" s="1"/>
        <n x="659"/>
        <n x="660"/>
      </t>
    </mdx>
    <mdx n="0" f="v">
      <t c="6" si="614">
        <n x="610"/>
        <n x="501"/>
        <n x="502"/>
        <n x="611" s="1"/>
        <n x="661"/>
        <n x="662"/>
      </t>
    </mdx>
    <mdx n="0" f="v">
      <t c="6" si="614">
        <n x="610"/>
        <n x="501"/>
        <n x="502"/>
        <n x="611" s="1"/>
        <n x="663"/>
        <n x="664"/>
      </t>
    </mdx>
    <mdx n="0" f="v">
      <t c="6" si="614">
        <n x="610"/>
        <n x="501"/>
        <n x="502"/>
        <n x="611" s="1"/>
        <n x="665"/>
        <n x="666"/>
      </t>
    </mdx>
    <mdx n="0" f="v">
      <t c="6" si="614">
        <n x="610"/>
        <n x="501"/>
        <n x="502"/>
        <n x="611" s="1"/>
        <n x="667"/>
        <n x="668"/>
      </t>
    </mdx>
    <mdx n="0" f="v">
      <t c="6" si="614">
        <n x="610"/>
        <n x="501"/>
        <n x="502"/>
        <n x="611" s="1"/>
        <n x="669"/>
        <n x="670"/>
      </t>
    </mdx>
    <mdx n="0" f="v">
      <t c="6" si="614">
        <n x="610"/>
        <n x="501"/>
        <n x="502"/>
        <n x="611" s="1"/>
        <n x="673"/>
        <n x="674"/>
      </t>
    </mdx>
    <mdx n="0" f="v">
      <t c="6" si="614">
        <n x="610"/>
        <n x="501"/>
        <n x="502"/>
        <n x="611" s="1"/>
        <n x="675"/>
        <n x="676"/>
      </t>
    </mdx>
    <mdx n="0" f="v">
      <t c="6" si="614">
        <n x="610"/>
        <n x="501"/>
        <n x="502"/>
        <n x="611" s="1"/>
        <n x="677"/>
        <n x="678"/>
      </t>
    </mdx>
    <mdx n="0" f="v">
      <t c="6" si="614">
        <n x="610"/>
        <n x="501"/>
        <n x="502"/>
        <n x="611" s="1"/>
        <n x="679"/>
        <n x="680"/>
      </t>
    </mdx>
    <mdx n="0" f="v">
      <t c="6" si="614">
        <n x="610"/>
        <n x="501"/>
        <n x="502"/>
        <n x="611" s="1"/>
        <n x="681"/>
        <n x="682"/>
      </t>
    </mdx>
    <mdx n="0" f="v">
      <t c="6" si="614">
        <n x="610"/>
        <n x="501"/>
        <n x="502"/>
        <n x="611" s="1"/>
        <n x="683"/>
        <n x="684"/>
      </t>
    </mdx>
    <mdx n="0" f="v">
      <t c="6" si="614">
        <n x="610"/>
        <n x="501"/>
        <n x="502"/>
        <n x="611" s="1"/>
        <n x="685"/>
        <n x="686"/>
      </t>
    </mdx>
    <mdx n="0" f="v">
      <t c="6" si="614">
        <n x="610"/>
        <n x="501"/>
        <n x="502"/>
        <n x="611" s="1"/>
        <n x="687"/>
        <n x="688"/>
      </t>
    </mdx>
    <mdx n="0" f="v">
      <t c="6" si="614">
        <n x="610"/>
        <n x="501"/>
        <n x="502"/>
        <n x="611" s="1"/>
        <n x="689"/>
        <n x="690"/>
      </t>
    </mdx>
    <mdx n="0" f="v">
      <t c="6" si="614">
        <n x="610"/>
        <n x="501"/>
        <n x="502"/>
        <n x="611" s="1"/>
        <n x="693"/>
        <n x="694"/>
      </t>
    </mdx>
    <mdx n="0" f="v">
      <t c="6" si="614">
        <n x="610"/>
        <n x="501"/>
        <n x="502"/>
        <n x="611" s="1"/>
        <n x="695"/>
        <n x="696"/>
      </t>
    </mdx>
    <mdx n="0" f="v">
      <t c="6" si="614">
        <n x="610"/>
        <n x="501"/>
        <n x="502"/>
        <n x="611" s="1"/>
        <n x="697"/>
        <n x="698"/>
      </t>
    </mdx>
    <mdx n="0" f="v">
      <t c="6" si="614">
        <n x="610"/>
        <n x="501"/>
        <n x="502"/>
        <n x="611" s="1"/>
        <n x="699"/>
        <n x="700"/>
      </t>
    </mdx>
    <mdx n="0" f="v">
      <t c="6" si="614">
        <n x="610"/>
        <n x="501"/>
        <n x="502"/>
        <n x="611" s="1"/>
        <n x="701"/>
        <n x="702"/>
      </t>
    </mdx>
    <mdx n="0" f="v">
      <t c="6" si="614">
        <n x="610"/>
        <n x="501"/>
        <n x="502"/>
        <n x="611" s="1"/>
        <n x="703"/>
        <n x="704"/>
      </t>
    </mdx>
    <mdx n="0" f="v">
      <t c="6" si="614">
        <n x="610"/>
        <n x="501"/>
        <n x="502"/>
        <n x="611" s="1"/>
        <n x="707"/>
        <n x="708"/>
      </t>
    </mdx>
    <mdx n="0" f="v">
      <t c="6" si="614">
        <n x="610"/>
        <n x="503"/>
        <n x="504"/>
        <n x="611" s="1"/>
        <n x="679"/>
        <n x="680"/>
      </t>
    </mdx>
    <mdx n="0" f="v">
      <t c="6" si="614">
        <n x="610"/>
        <n x="505"/>
        <n x="506"/>
        <n x="611" s="1"/>
        <n x="649"/>
        <n x="650"/>
      </t>
    </mdx>
    <mdx n="0" f="v">
      <t c="6" si="614">
        <n x="610"/>
        <n x="505"/>
        <n x="506"/>
        <n x="611" s="1"/>
        <n x="651"/>
        <n x="652"/>
      </t>
    </mdx>
    <mdx n="0" f="v">
      <t c="6" si="614">
        <n x="610"/>
        <n x="505"/>
        <n x="506"/>
        <n x="611" s="1"/>
        <n x="683"/>
        <n x="684"/>
      </t>
    </mdx>
    <mdx n="0" f="v">
      <t c="6" si="614">
        <n x="610"/>
        <n x="507"/>
        <n x="508"/>
        <n x="611" s="1"/>
        <n x="612"/>
        <n x="613"/>
      </t>
    </mdx>
    <mdx n="0" f="v">
      <t c="6" si="614">
        <n x="610"/>
        <n x="507"/>
        <n x="508"/>
        <n x="611" s="1"/>
        <n x="615"/>
        <n x="616"/>
      </t>
    </mdx>
    <mdx n="0" f="v">
      <t c="6" si="614">
        <n x="610"/>
        <n x="507"/>
        <n x="508"/>
        <n x="611" s="1"/>
        <n x="617"/>
        <n x="618"/>
      </t>
    </mdx>
    <mdx n="0" f="v">
      <t c="6" si="614">
        <n x="610"/>
        <n x="507"/>
        <n x="508"/>
        <n x="611" s="1"/>
        <n x="619"/>
        <n x="620"/>
      </t>
    </mdx>
    <mdx n="0" f="v">
      <t c="6" si="614">
        <n x="610"/>
        <n x="507"/>
        <n x="508"/>
        <n x="611" s="1"/>
        <n x="623"/>
        <n x="624"/>
      </t>
    </mdx>
    <mdx n="0" f="v">
      <t c="6" si="614">
        <n x="610"/>
        <n x="507"/>
        <n x="508"/>
        <n x="611" s="1"/>
        <n x="627"/>
        <n x="628"/>
      </t>
    </mdx>
    <mdx n="0" f="v">
      <t c="6" si="614">
        <n x="610"/>
        <n x="507"/>
        <n x="508"/>
        <n x="611" s="1"/>
        <n x="629"/>
        <n x="630"/>
      </t>
    </mdx>
    <mdx n="0" f="v">
      <t c="6" si="614">
        <n x="610"/>
        <n x="507"/>
        <n x="508"/>
        <n x="611" s="1"/>
        <n x="633"/>
        <n x="634"/>
      </t>
    </mdx>
    <mdx n="0" f="v">
      <t c="6" si="614">
        <n x="610"/>
        <n x="507"/>
        <n x="508"/>
        <n x="611" s="1"/>
        <n x="635"/>
        <n x="636"/>
      </t>
    </mdx>
    <mdx n="0" f="v">
      <t c="6" si="614">
        <n x="610"/>
        <n x="507"/>
        <n x="508"/>
        <n x="611" s="1"/>
        <n x="643"/>
        <n x="644"/>
      </t>
    </mdx>
    <mdx n="0" f="v">
      <t c="6" si="614">
        <n x="610"/>
        <n x="507"/>
        <n x="508"/>
        <n x="611" s="1"/>
        <n x="645"/>
        <n x="646"/>
      </t>
    </mdx>
    <mdx n="0" f="v">
      <t c="6" si="614">
        <n x="610"/>
        <n x="507"/>
        <n x="508"/>
        <n x="611" s="1"/>
        <n x="647"/>
        <n x="648"/>
      </t>
    </mdx>
    <mdx n="0" f="v">
      <t c="6" si="614">
        <n x="610"/>
        <n x="507"/>
        <n x="508"/>
        <n x="611" s="1"/>
        <n x="649"/>
        <n x="650"/>
      </t>
    </mdx>
    <mdx n="0" f="v">
      <t c="6" si="614">
        <n x="610"/>
        <n x="507"/>
        <n x="508"/>
        <n x="611" s="1"/>
        <n x="651"/>
        <n x="652"/>
      </t>
    </mdx>
    <mdx n="0" f="v">
      <t c="6" si="614">
        <n x="610"/>
        <n x="507"/>
        <n x="508"/>
        <n x="611" s="1"/>
        <n x="653"/>
        <n x="654"/>
      </t>
    </mdx>
    <mdx n="0" f="v">
      <t c="6" si="614">
        <n x="610"/>
        <n x="507"/>
        <n x="508"/>
        <n x="611" s="1"/>
        <n x="655"/>
        <n x="656"/>
      </t>
    </mdx>
    <mdx n="0" f="v">
      <t c="6" si="614">
        <n x="610"/>
        <n x="507"/>
        <n x="508"/>
        <n x="611" s="1"/>
        <n x="657"/>
        <n x="658"/>
      </t>
    </mdx>
    <mdx n="0" f="v">
      <t c="6" si="614">
        <n x="610"/>
        <n x="507"/>
        <n x="508"/>
        <n x="611" s="1"/>
        <n x="659"/>
        <n x="660"/>
      </t>
    </mdx>
    <mdx n="0" f="v">
      <t c="6" si="614">
        <n x="610"/>
        <n x="507"/>
        <n x="508"/>
        <n x="611" s="1"/>
        <n x="661"/>
        <n x="662"/>
      </t>
    </mdx>
    <mdx n="0" f="v">
      <t c="6" si="614">
        <n x="610"/>
        <n x="507"/>
        <n x="508"/>
        <n x="611" s="1"/>
        <n x="663"/>
        <n x="664"/>
      </t>
    </mdx>
    <mdx n="0" f="v">
      <t c="6" si="614">
        <n x="610"/>
        <n x="507"/>
        <n x="508"/>
        <n x="611" s="1"/>
        <n x="665"/>
        <n x="666"/>
      </t>
    </mdx>
    <mdx n="0" f="v">
      <t c="6" si="614">
        <n x="610"/>
        <n x="507"/>
        <n x="508"/>
        <n x="611" s="1"/>
        <n x="669"/>
        <n x="670"/>
      </t>
    </mdx>
    <mdx n="0" f="v">
      <t c="6" si="614">
        <n x="610"/>
        <n x="507"/>
        <n x="508"/>
        <n x="611" s="1"/>
        <n x="671"/>
        <n x="672"/>
      </t>
    </mdx>
    <mdx n="0" f="v">
      <t c="6" si="614">
        <n x="610"/>
        <n x="507"/>
        <n x="508"/>
        <n x="611" s="1"/>
        <n x="675"/>
        <n x="676"/>
      </t>
    </mdx>
    <mdx n="0" f="v">
      <t c="6" si="614">
        <n x="610"/>
        <n x="507"/>
        <n x="508"/>
        <n x="611" s="1"/>
        <n x="677"/>
        <n x="678"/>
      </t>
    </mdx>
    <mdx n="0" f="v">
      <t c="6" si="614">
        <n x="610"/>
        <n x="507"/>
        <n x="508"/>
        <n x="611" s="1"/>
        <n x="679"/>
        <n x="680"/>
      </t>
    </mdx>
    <mdx n="0" f="v">
      <t c="6" si="614">
        <n x="610"/>
        <n x="507"/>
        <n x="508"/>
        <n x="611" s="1"/>
        <n x="681"/>
        <n x="682"/>
      </t>
    </mdx>
    <mdx n="0" f="v">
      <t c="6" si="614">
        <n x="610"/>
        <n x="507"/>
        <n x="508"/>
        <n x="611" s="1"/>
        <n x="683"/>
        <n x="684"/>
      </t>
    </mdx>
    <mdx n="0" f="v">
      <t c="6" si="614">
        <n x="610"/>
        <n x="507"/>
        <n x="508"/>
        <n x="611" s="1"/>
        <n x="689"/>
        <n x="690"/>
      </t>
    </mdx>
    <mdx n="0" f="v">
      <t c="6" si="614">
        <n x="610"/>
        <n x="507"/>
        <n x="508"/>
        <n x="611" s="1"/>
        <n x="691"/>
        <n x="692"/>
      </t>
    </mdx>
    <mdx n="0" f="v">
      <t c="6" si="614">
        <n x="610"/>
        <n x="507"/>
        <n x="508"/>
        <n x="611" s="1"/>
        <n x="695"/>
        <n x="696"/>
      </t>
    </mdx>
    <mdx n="0" f="v">
      <t c="6" si="614">
        <n x="610"/>
        <n x="507"/>
        <n x="508"/>
        <n x="611" s="1"/>
        <n x="697"/>
        <n x="698"/>
      </t>
    </mdx>
    <mdx n="0" f="v">
      <t c="6" si="614">
        <n x="610"/>
        <n x="507"/>
        <n x="508"/>
        <n x="611" s="1"/>
        <n x="699"/>
        <n x="700"/>
      </t>
    </mdx>
    <mdx n="0" f="v">
      <t c="6" si="614">
        <n x="610"/>
        <n x="507"/>
        <n x="508"/>
        <n x="611" s="1"/>
        <n x="703"/>
        <n x="704"/>
      </t>
    </mdx>
    <mdx n="0" f="v">
      <t c="6" si="614">
        <n x="610"/>
        <n x="507"/>
        <n x="508"/>
        <n x="611" s="1"/>
        <n x="705"/>
        <n x="706"/>
      </t>
    </mdx>
    <mdx n="0" f="v">
      <t c="6" si="614">
        <n x="610"/>
        <n x="507"/>
        <n x="508"/>
        <n x="611" s="1"/>
        <n x="707"/>
        <n x="708"/>
      </t>
    </mdx>
    <mdx n="0" f="v">
      <t c="6" si="614">
        <n x="610"/>
        <n x="509"/>
        <n x="510"/>
        <n x="611" s="1"/>
        <n x="612"/>
        <n x="613"/>
      </t>
    </mdx>
    <mdx n="0" f="v">
      <t c="6" si="614">
        <n x="610"/>
        <n x="509"/>
        <n x="510"/>
        <n x="611" s="1"/>
        <n x="615"/>
        <n x="616"/>
      </t>
    </mdx>
    <mdx n="0" f="v">
      <t c="6" si="614">
        <n x="610"/>
        <n x="509"/>
        <n x="510"/>
        <n x="611" s="1"/>
        <n x="617"/>
        <n x="618"/>
      </t>
    </mdx>
    <mdx n="0" f="v">
      <t c="6" si="614">
        <n x="610"/>
        <n x="509"/>
        <n x="510"/>
        <n x="611" s="1"/>
        <n x="627"/>
        <n x="628"/>
      </t>
    </mdx>
    <mdx n="0" f="v">
      <t c="6" si="614">
        <n x="610"/>
        <n x="509"/>
        <n x="510"/>
        <n x="611" s="1"/>
        <n x="631"/>
        <n x="632"/>
      </t>
    </mdx>
    <mdx n="0" f="v">
      <t c="6" si="614">
        <n x="610"/>
        <n x="509"/>
        <n x="510"/>
        <n x="611" s="1"/>
        <n x="633"/>
        <n x="634"/>
      </t>
    </mdx>
    <mdx n="0" f="v">
      <t c="6" si="614">
        <n x="610"/>
        <n x="509"/>
        <n x="510"/>
        <n x="611" s="1"/>
        <n x="635"/>
        <n x="636"/>
      </t>
    </mdx>
    <mdx n="0" f="v">
      <t c="6" si="614">
        <n x="610"/>
        <n x="509"/>
        <n x="510"/>
        <n x="611" s="1"/>
        <n x="643"/>
        <n x="644"/>
      </t>
    </mdx>
    <mdx n="0" f="v">
      <t c="6" si="614">
        <n x="610"/>
        <n x="509"/>
        <n x="510"/>
        <n x="611" s="1"/>
        <n x="645"/>
        <n x="646"/>
      </t>
    </mdx>
    <mdx n="0" f="v">
      <t c="6" si="614">
        <n x="610"/>
        <n x="509"/>
        <n x="510"/>
        <n x="611" s="1"/>
        <n x="649"/>
        <n x="650"/>
      </t>
    </mdx>
    <mdx n="0" f="v">
      <t c="6" si="614">
        <n x="610"/>
        <n x="509"/>
        <n x="510"/>
        <n x="611" s="1"/>
        <n x="657"/>
        <n x="658"/>
      </t>
    </mdx>
    <mdx n="0" f="v">
      <t c="6" si="614">
        <n x="610"/>
        <n x="509"/>
        <n x="510"/>
        <n x="611" s="1"/>
        <n x="659"/>
        <n x="660"/>
      </t>
    </mdx>
    <mdx n="0" f="v">
      <t c="6" si="614">
        <n x="610"/>
        <n x="509"/>
        <n x="510"/>
        <n x="611" s="1"/>
        <n x="663"/>
        <n x="664"/>
      </t>
    </mdx>
    <mdx n="0" f="v">
      <t c="6" si="614">
        <n x="610"/>
        <n x="509"/>
        <n x="510"/>
        <n x="611" s="1"/>
        <n x="665"/>
        <n x="666"/>
      </t>
    </mdx>
    <mdx n="0" f="v">
      <t c="6" si="614">
        <n x="610"/>
        <n x="509"/>
        <n x="510"/>
        <n x="611" s="1"/>
        <n x="667"/>
        <n x="668"/>
      </t>
    </mdx>
    <mdx n="0" f="v">
      <t c="6" si="614">
        <n x="610"/>
        <n x="509"/>
        <n x="510"/>
        <n x="611" s="1"/>
        <n x="669"/>
        <n x="670"/>
      </t>
    </mdx>
    <mdx n="0" f="v">
      <t c="6" si="614">
        <n x="610"/>
        <n x="509"/>
        <n x="510"/>
        <n x="611" s="1"/>
        <n x="671"/>
        <n x="672"/>
      </t>
    </mdx>
    <mdx n="0" f="v">
      <t c="6" si="614">
        <n x="610"/>
        <n x="509"/>
        <n x="510"/>
        <n x="611" s="1"/>
        <n x="673"/>
        <n x="674"/>
      </t>
    </mdx>
    <mdx n="0" f="v">
      <t c="6" si="614">
        <n x="610"/>
        <n x="509"/>
        <n x="510"/>
        <n x="611" s="1"/>
        <n x="675"/>
        <n x="676"/>
      </t>
    </mdx>
    <mdx n="0" f="v">
      <t c="6" si="614">
        <n x="610"/>
        <n x="509"/>
        <n x="510"/>
        <n x="611" s="1"/>
        <n x="677"/>
        <n x="678"/>
      </t>
    </mdx>
    <mdx n="0" f="v">
      <t c="6" si="614">
        <n x="610"/>
        <n x="509"/>
        <n x="510"/>
        <n x="611" s="1"/>
        <n x="679"/>
        <n x="680"/>
      </t>
    </mdx>
    <mdx n="0" f="v">
      <t c="6" si="614">
        <n x="610"/>
        <n x="509"/>
        <n x="510"/>
        <n x="611" s="1"/>
        <n x="683"/>
        <n x="684"/>
      </t>
    </mdx>
    <mdx n="0" f="v">
      <t c="6" si="614">
        <n x="610"/>
        <n x="509"/>
        <n x="510"/>
        <n x="611" s="1"/>
        <n x="685"/>
        <n x="686"/>
      </t>
    </mdx>
    <mdx n="0" f="v">
      <t c="6" si="614">
        <n x="610"/>
        <n x="509"/>
        <n x="510"/>
        <n x="611" s="1"/>
        <n x="687"/>
        <n x="688"/>
      </t>
    </mdx>
    <mdx n="0" f="v">
      <t c="6" si="614">
        <n x="610"/>
        <n x="509"/>
        <n x="510"/>
        <n x="611" s="1"/>
        <n x="689"/>
        <n x="690"/>
      </t>
    </mdx>
    <mdx n="0" f="v">
      <t c="6" si="614">
        <n x="610"/>
        <n x="509"/>
        <n x="510"/>
        <n x="611" s="1"/>
        <n x="695"/>
        <n x="696"/>
      </t>
    </mdx>
    <mdx n="0" f="v">
      <t c="6" si="614">
        <n x="610"/>
        <n x="509"/>
        <n x="510"/>
        <n x="611" s="1"/>
        <n x="697"/>
        <n x="698"/>
      </t>
    </mdx>
    <mdx n="0" f="v">
      <t c="6" si="614">
        <n x="610"/>
        <n x="509"/>
        <n x="510"/>
        <n x="611" s="1"/>
        <n x="699"/>
        <n x="700"/>
      </t>
    </mdx>
    <mdx n="0" f="v">
      <t c="6" si="614">
        <n x="610"/>
        <n x="509"/>
        <n x="510"/>
        <n x="611" s="1"/>
        <n x="701"/>
        <n x="702"/>
      </t>
    </mdx>
    <mdx n="0" f="v">
      <t c="6" si="614">
        <n x="610"/>
        <n x="509"/>
        <n x="510"/>
        <n x="611" s="1"/>
        <n x="703"/>
        <n x="704"/>
      </t>
    </mdx>
    <mdx n="0" f="v">
      <t c="6" si="614">
        <n x="610"/>
        <n x="511"/>
        <n x="512"/>
        <n x="611" s="1"/>
        <n x="612"/>
        <n x="613"/>
      </t>
    </mdx>
    <mdx n="0" f="v">
      <t c="6" si="614">
        <n x="610"/>
        <n x="511"/>
        <n x="512"/>
        <n x="611" s="1"/>
        <n x="617"/>
        <n x="618"/>
      </t>
    </mdx>
    <mdx n="0" f="v">
      <t c="6" si="614">
        <n x="610"/>
        <n x="511"/>
        <n x="512"/>
        <n x="611" s="1"/>
        <n x="619"/>
        <n x="620"/>
      </t>
    </mdx>
    <mdx n="0" f="v">
      <t c="6" si="614">
        <n x="610"/>
        <n x="511"/>
        <n x="512"/>
        <n x="611" s="1"/>
        <n x="621"/>
        <n x="622"/>
      </t>
    </mdx>
    <mdx n="0" f="v">
      <t c="6" si="614">
        <n x="610"/>
        <n x="511"/>
        <n x="512"/>
        <n x="611" s="1"/>
        <n x="623"/>
        <n x="624"/>
      </t>
    </mdx>
    <mdx n="0" f="v">
      <t c="6" si="614">
        <n x="610"/>
        <n x="511"/>
        <n x="512"/>
        <n x="611" s="1"/>
        <n x="625"/>
        <n x="626"/>
      </t>
    </mdx>
    <mdx n="0" f="v">
      <t c="6" si="614">
        <n x="610"/>
        <n x="511"/>
        <n x="512"/>
        <n x="611" s="1"/>
        <n x="627"/>
        <n x="628"/>
      </t>
    </mdx>
    <mdx n="0" f="v">
      <t c="6" si="614">
        <n x="610"/>
        <n x="511"/>
        <n x="512"/>
        <n x="611" s="1"/>
        <n x="635"/>
        <n x="636"/>
      </t>
    </mdx>
    <mdx n="0" f="v">
      <t c="6" si="614">
        <n x="610"/>
        <n x="511"/>
        <n x="512"/>
        <n x="611" s="1"/>
        <n x="639"/>
        <n x="640"/>
      </t>
    </mdx>
    <mdx n="0" f="v">
      <t c="6" si="614">
        <n x="610"/>
        <n x="511"/>
        <n x="512"/>
        <n x="611" s="1"/>
        <n x="643"/>
        <n x="644"/>
      </t>
    </mdx>
    <mdx n="0" f="v">
      <t c="6" si="614">
        <n x="610"/>
        <n x="511"/>
        <n x="512"/>
        <n x="611" s="1"/>
        <n x="645"/>
        <n x="646"/>
      </t>
    </mdx>
    <mdx n="0" f="v">
      <t c="6" si="614">
        <n x="610"/>
        <n x="511"/>
        <n x="512"/>
        <n x="611" s="1"/>
        <n x="647"/>
        <n x="648"/>
      </t>
    </mdx>
    <mdx n="0" f="v">
      <t c="6" si="614">
        <n x="610"/>
        <n x="511"/>
        <n x="512"/>
        <n x="611" s="1"/>
        <n x="649"/>
        <n x="650"/>
      </t>
    </mdx>
    <mdx n="0" f="v">
      <t c="6" si="614">
        <n x="610"/>
        <n x="511"/>
        <n x="512"/>
        <n x="611" s="1"/>
        <n x="651"/>
        <n x="652"/>
      </t>
    </mdx>
    <mdx n="0" f="v">
      <t c="6" si="614">
        <n x="610"/>
        <n x="511"/>
        <n x="512"/>
        <n x="611" s="1"/>
        <n x="657"/>
        <n x="658"/>
      </t>
    </mdx>
    <mdx n="0" f="v">
      <t c="6" si="614">
        <n x="610"/>
        <n x="511"/>
        <n x="512"/>
        <n x="611" s="1"/>
        <n x="659"/>
        <n x="660"/>
      </t>
    </mdx>
    <mdx n="0" f="v">
      <t c="6" si="614">
        <n x="610"/>
        <n x="511"/>
        <n x="512"/>
        <n x="611" s="1"/>
        <n x="663"/>
        <n x="664"/>
      </t>
    </mdx>
    <mdx n="0" f="v">
      <t c="6" si="614">
        <n x="610"/>
        <n x="511"/>
        <n x="512"/>
        <n x="611" s="1"/>
        <n x="665"/>
        <n x="666"/>
      </t>
    </mdx>
    <mdx n="0" f="v">
      <t c="6" si="614">
        <n x="610"/>
        <n x="511"/>
        <n x="512"/>
        <n x="611" s="1"/>
        <n x="667"/>
        <n x="668"/>
      </t>
    </mdx>
    <mdx n="0" f="v">
      <t c="6" si="614">
        <n x="610"/>
        <n x="511"/>
        <n x="512"/>
        <n x="611" s="1"/>
        <n x="669"/>
        <n x="670"/>
      </t>
    </mdx>
    <mdx n="0" f="v">
      <t c="6" si="614">
        <n x="610"/>
        <n x="511"/>
        <n x="512"/>
        <n x="611" s="1"/>
        <n x="671"/>
        <n x="672"/>
      </t>
    </mdx>
    <mdx n="0" f="v">
      <t c="6" si="614">
        <n x="610"/>
        <n x="511"/>
        <n x="512"/>
        <n x="611" s="1"/>
        <n x="677"/>
        <n x="678"/>
      </t>
    </mdx>
    <mdx n="0" f="v">
      <t c="6" si="614">
        <n x="610"/>
        <n x="511"/>
        <n x="512"/>
        <n x="611" s="1"/>
        <n x="679"/>
        <n x="680"/>
      </t>
    </mdx>
    <mdx n="0" f="v">
      <t c="6" si="614">
        <n x="610"/>
        <n x="511"/>
        <n x="512"/>
        <n x="611" s="1"/>
        <n x="681"/>
        <n x="682"/>
      </t>
    </mdx>
    <mdx n="0" f="v">
      <t c="6" si="614">
        <n x="610"/>
        <n x="511"/>
        <n x="512"/>
        <n x="611" s="1"/>
        <n x="683"/>
        <n x="684"/>
      </t>
    </mdx>
    <mdx n="0" f="v">
      <t c="6" si="614">
        <n x="610"/>
        <n x="511"/>
        <n x="512"/>
        <n x="611" s="1"/>
        <n x="685"/>
        <n x="686"/>
      </t>
    </mdx>
    <mdx n="0" f="v">
      <t c="6" si="614">
        <n x="610"/>
        <n x="511"/>
        <n x="512"/>
        <n x="611" s="1"/>
        <n x="687"/>
        <n x="688"/>
      </t>
    </mdx>
    <mdx n="0" f="v">
      <t c="6" si="614">
        <n x="610"/>
        <n x="511"/>
        <n x="512"/>
        <n x="611" s="1"/>
        <n x="689"/>
        <n x="690"/>
      </t>
    </mdx>
    <mdx n="0" f="v">
      <t c="6" si="614">
        <n x="610"/>
        <n x="511"/>
        <n x="512"/>
        <n x="611" s="1"/>
        <n x="693"/>
        <n x="694"/>
      </t>
    </mdx>
    <mdx n="0" f="v">
      <t c="6" si="614">
        <n x="610"/>
        <n x="511"/>
        <n x="512"/>
        <n x="611" s="1"/>
        <n x="697"/>
        <n x="698"/>
      </t>
    </mdx>
    <mdx n="0" f="v">
      <t c="6" si="614">
        <n x="610"/>
        <n x="511"/>
        <n x="512"/>
        <n x="611" s="1"/>
        <n x="699"/>
        <n x="700"/>
      </t>
    </mdx>
    <mdx n="0" f="v">
      <t c="6" si="614">
        <n x="610"/>
        <n x="511"/>
        <n x="512"/>
        <n x="611" s="1"/>
        <n x="701"/>
        <n x="702"/>
      </t>
    </mdx>
    <mdx n="0" f="v">
      <t c="6" si="614">
        <n x="610"/>
        <n x="511"/>
        <n x="512"/>
        <n x="611" s="1"/>
        <n x="705"/>
        <n x="706"/>
      </t>
    </mdx>
    <mdx n="0" f="v">
      <t c="6" si="614">
        <n x="610"/>
        <n x="511"/>
        <n x="512"/>
        <n x="611" s="1"/>
        <n x="707"/>
        <n x="708"/>
      </t>
    </mdx>
    <mdx n="0" f="v">
      <t c="6" si="614">
        <n x="610"/>
        <n x="513"/>
        <n x="514"/>
        <n x="611" s="1"/>
        <n x="612"/>
        <n x="613"/>
      </t>
    </mdx>
    <mdx n="0" f="v">
      <t c="6" si="614">
        <n x="610"/>
        <n x="513"/>
        <n x="514"/>
        <n x="611" s="1"/>
        <n x="615"/>
        <n x="616"/>
      </t>
    </mdx>
    <mdx n="0" f="v">
      <t c="6" si="614">
        <n x="610"/>
        <n x="513"/>
        <n x="514"/>
        <n x="611" s="1"/>
        <n x="617"/>
        <n x="618"/>
      </t>
    </mdx>
    <mdx n="0" f="v">
      <t c="6" si="614">
        <n x="610"/>
        <n x="513"/>
        <n x="514"/>
        <n x="611" s="1"/>
        <n x="619"/>
        <n x="620"/>
      </t>
    </mdx>
    <mdx n="0" f="v">
      <t c="6" si="614">
        <n x="610"/>
        <n x="513"/>
        <n x="514"/>
        <n x="611" s="1"/>
        <n x="623"/>
        <n x="624"/>
      </t>
    </mdx>
    <mdx n="0" f="v">
      <t c="6" si="614">
        <n x="610"/>
        <n x="513"/>
        <n x="514"/>
        <n x="611" s="1"/>
        <n x="625"/>
        <n x="626"/>
      </t>
    </mdx>
    <mdx n="0" f="v">
      <t c="6" si="614">
        <n x="610"/>
        <n x="513"/>
        <n x="514"/>
        <n x="611" s="1"/>
        <n x="627"/>
        <n x="628"/>
      </t>
    </mdx>
    <mdx n="0" f="v">
      <t c="6" si="614">
        <n x="610"/>
        <n x="513"/>
        <n x="514"/>
        <n x="611" s="1"/>
        <n x="629"/>
        <n x="630"/>
      </t>
    </mdx>
    <mdx n="0" f="v">
      <t c="6" si="614">
        <n x="610"/>
        <n x="513"/>
        <n x="514"/>
        <n x="611" s="1"/>
        <n x="633"/>
        <n x="634"/>
      </t>
    </mdx>
    <mdx n="0" f="v">
      <t c="6" si="614">
        <n x="610"/>
        <n x="513"/>
        <n x="514"/>
        <n x="611" s="1"/>
        <n x="635"/>
        <n x="636"/>
      </t>
    </mdx>
    <mdx n="0" f="v">
      <t c="6" si="614">
        <n x="610"/>
        <n x="513"/>
        <n x="514"/>
        <n x="611" s="1"/>
        <n x="637"/>
        <n x="638"/>
      </t>
    </mdx>
    <mdx n="0" f="v">
      <t c="6" si="614">
        <n x="610"/>
        <n x="513"/>
        <n x="514"/>
        <n x="611" s="1"/>
        <n x="639"/>
        <n x="640"/>
      </t>
    </mdx>
    <mdx n="0" f="v">
      <t c="6" si="614">
        <n x="610"/>
        <n x="513"/>
        <n x="514"/>
        <n x="611" s="1"/>
        <n x="641"/>
        <n x="642"/>
      </t>
    </mdx>
    <mdx n="0" f="v">
      <t c="6" si="614">
        <n x="610"/>
        <n x="513"/>
        <n x="514"/>
        <n x="611" s="1"/>
        <n x="643"/>
        <n x="644"/>
      </t>
    </mdx>
    <mdx n="0" f="v">
      <t c="6" si="614">
        <n x="610"/>
        <n x="513"/>
        <n x="514"/>
        <n x="611" s="1"/>
        <n x="645"/>
        <n x="646"/>
      </t>
    </mdx>
    <mdx n="0" f="v">
      <t c="6" si="614">
        <n x="610"/>
        <n x="513"/>
        <n x="514"/>
        <n x="611" s="1"/>
        <n x="647"/>
        <n x="648"/>
      </t>
    </mdx>
    <mdx n="0" f="v">
      <t c="6" si="614">
        <n x="610"/>
        <n x="513"/>
        <n x="514"/>
        <n x="611" s="1"/>
        <n x="649"/>
        <n x="650"/>
      </t>
    </mdx>
    <mdx n="0" f="v">
      <t c="6" si="614">
        <n x="610"/>
        <n x="513"/>
        <n x="514"/>
        <n x="611" s="1"/>
        <n x="651"/>
        <n x="652"/>
      </t>
    </mdx>
    <mdx n="0" f="v">
      <t c="6" si="614">
        <n x="610"/>
        <n x="513"/>
        <n x="514"/>
        <n x="611" s="1"/>
        <n x="653"/>
        <n x="654"/>
      </t>
    </mdx>
    <mdx n="0" f="v">
      <t c="6" si="614">
        <n x="610"/>
        <n x="513"/>
        <n x="514"/>
        <n x="611" s="1"/>
        <n x="655"/>
        <n x="656"/>
      </t>
    </mdx>
    <mdx n="0" f="v">
      <t c="6" si="614">
        <n x="610"/>
        <n x="513"/>
        <n x="514"/>
        <n x="611" s="1"/>
        <n x="657"/>
        <n x="658"/>
      </t>
    </mdx>
    <mdx n="0" f="v">
      <t c="6" si="614">
        <n x="610"/>
        <n x="513"/>
        <n x="514"/>
        <n x="611" s="1"/>
        <n x="659"/>
        <n x="660"/>
      </t>
    </mdx>
    <mdx n="0" f="v">
      <t c="6" si="614">
        <n x="610"/>
        <n x="513"/>
        <n x="514"/>
        <n x="611" s="1"/>
        <n x="661"/>
        <n x="662"/>
      </t>
    </mdx>
    <mdx n="0" f="v">
      <t c="6" si="614">
        <n x="610"/>
        <n x="513"/>
        <n x="514"/>
        <n x="611" s="1"/>
        <n x="663"/>
        <n x="664"/>
      </t>
    </mdx>
    <mdx n="0" f="v">
      <t c="6" si="614">
        <n x="610"/>
        <n x="513"/>
        <n x="514"/>
        <n x="611" s="1"/>
        <n x="665"/>
        <n x="666"/>
      </t>
    </mdx>
    <mdx n="0" f="v">
      <t c="6" si="614">
        <n x="610"/>
        <n x="513"/>
        <n x="514"/>
        <n x="611" s="1"/>
        <n x="667"/>
        <n x="668"/>
      </t>
    </mdx>
    <mdx n="0" f="v">
      <t c="6" si="614">
        <n x="610"/>
        <n x="513"/>
        <n x="514"/>
        <n x="611" s="1"/>
        <n x="669"/>
        <n x="670"/>
      </t>
    </mdx>
    <mdx n="0" f="v">
      <t c="6" si="614">
        <n x="610"/>
        <n x="513"/>
        <n x="514"/>
        <n x="611" s="1"/>
        <n x="671"/>
        <n x="672"/>
      </t>
    </mdx>
    <mdx n="0" f="v">
      <t c="6" si="614">
        <n x="610"/>
        <n x="513"/>
        <n x="514"/>
        <n x="611" s="1"/>
        <n x="673"/>
        <n x="674"/>
      </t>
    </mdx>
    <mdx n="0" f="v">
      <t c="6" si="614">
        <n x="610"/>
        <n x="513"/>
        <n x="514"/>
        <n x="611" s="1"/>
        <n x="675"/>
        <n x="676"/>
      </t>
    </mdx>
    <mdx n="0" f="v">
      <t c="6" si="614">
        <n x="610"/>
        <n x="513"/>
        <n x="514"/>
        <n x="611" s="1"/>
        <n x="677"/>
        <n x="678"/>
      </t>
    </mdx>
    <mdx n="0" f="v">
      <t c="6" si="614">
        <n x="610"/>
        <n x="513"/>
        <n x="514"/>
        <n x="611" s="1"/>
        <n x="679"/>
        <n x="680"/>
      </t>
    </mdx>
    <mdx n="0" f="v">
      <t c="6" si="614">
        <n x="610"/>
        <n x="513"/>
        <n x="514"/>
        <n x="611" s="1"/>
        <n x="681"/>
        <n x="682"/>
      </t>
    </mdx>
    <mdx n="0" f="v">
      <t c="6" si="614">
        <n x="610"/>
        <n x="513"/>
        <n x="514"/>
        <n x="611" s="1"/>
        <n x="683"/>
        <n x="684"/>
      </t>
    </mdx>
    <mdx n="0" f="v">
      <t c="6" si="614">
        <n x="610"/>
        <n x="513"/>
        <n x="514"/>
        <n x="611" s="1"/>
        <n x="685"/>
        <n x="686"/>
      </t>
    </mdx>
    <mdx n="0" f="v">
      <t c="6" si="614">
        <n x="610"/>
        <n x="513"/>
        <n x="514"/>
        <n x="611" s="1"/>
        <n x="687"/>
        <n x="688"/>
      </t>
    </mdx>
    <mdx n="0" f="v">
      <t c="6" si="614">
        <n x="610"/>
        <n x="513"/>
        <n x="514"/>
        <n x="611" s="1"/>
        <n x="689"/>
        <n x="690"/>
      </t>
    </mdx>
    <mdx n="0" f="v">
      <t c="6" si="614">
        <n x="610"/>
        <n x="513"/>
        <n x="514"/>
        <n x="611" s="1"/>
        <n x="693"/>
        <n x="694"/>
      </t>
    </mdx>
    <mdx n="0" f="v">
      <t c="6" si="614">
        <n x="610"/>
        <n x="513"/>
        <n x="514"/>
        <n x="611" s="1"/>
        <n x="695"/>
        <n x="696"/>
      </t>
    </mdx>
    <mdx n="0" f="v">
      <t c="6" si="614">
        <n x="610"/>
        <n x="513"/>
        <n x="514"/>
        <n x="611" s="1"/>
        <n x="697"/>
        <n x="698"/>
      </t>
    </mdx>
    <mdx n="0" f="v">
      <t c="6" si="614">
        <n x="610"/>
        <n x="513"/>
        <n x="514"/>
        <n x="611" s="1"/>
        <n x="699"/>
        <n x="700"/>
      </t>
    </mdx>
    <mdx n="0" f="v">
      <t c="6" si="614">
        <n x="610"/>
        <n x="513"/>
        <n x="514"/>
        <n x="611" s="1"/>
        <n x="701"/>
        <n x="702"/>
      </t>
    </mdx>
    <mdx n="0" f="v">
      <t c="6" si="614">
        <n x="610"/>
        <n x="513"/>
        <n x="514"/>
        <n x="611" s="1"/>
        <n x="705"/>
        <n x="706"/>
      </t>
    </mdx>
    <mdx n="0" f="v">
      <t c="6" si="614">
        <n x="610"/>
        <n x="513"/>
        <n x="514"/>
        <n x="611" s="1"/>
        <n x="707"/>
        <n x="708"/>
      </t>
    </mdx>
    <mdx n="0" f="v">
      <t c="6" si="614">
        <n x="610"/>
        <n x="515"/>
        <n x="516"/>
        <n x="611" s="1"/>
        <n x="617"/>
        <n x="618"/>
      </t>
    </mdx>
    <mdx n="0" f="v">
      <t c="6" si="614">
        <n x="610"/>
        <n x="515"/>
        <n x="516"/>
        <n x="611" s="1"/>
        <n x="619"/>
        <n x="620"/>
      </t>
    </mdx>
    <mdx n="0" f="v">
      <t c="6" si="614">
        <n x="610"/>
        <n x="515"/>
        <n x="516"/>
        <n x="611" s="1"/>
        <n x="623"/>
        <n x="624"/>
      </t>
    </mdx>
    <mdx n="0" f="v">
      <t c="6" si="614">
        <n x="610"/>
        <n x="515"/>
        <n x="516"/>
        <n x="611" s="1"/>
        <n x="625"/>
        <n x="626"/>
      </t>
    </mdx>
    <mdx n="0" f="v">
      <t c="6" si="614">
        <n x="610"/>
        <n x="515"/>
        <n x="516"/>
        <n x="611" s="1"/>
        <n x="627"/>
        <n x="628"/>
      </t>
    </mdx>
    <mdx n="0" f="v">
      <t c="6" si="614">
        <n x="610"/>
        <n x="515"/>
        <n x="516"/>
        <n x="611" s="1"/>
        <n x="631"/>
        <n x="632"/>
      </t>
    </mdx>
    <mdx n="0" f="v">
      <t c="6" si="614">
        <n x="610"/>
        <n x="515"/>
        <n x="516"/>
        <n x="611" s="1"/>
        <n x="635"/>
        <n x="636"/>
      </t>
    </mdx>
    <mdx n="0" f="v">
      <t c="6" si="614">
        <n x="610"/>
        <n x="515"/>
        <n x="516"/>
        <n x="611" s="1"/>
        <n x="639"/>
        <n x="640"/>
      </t>
    </mdx>
    <mdx n="0" f="v">
      <t c="6" si="614">
        <n x="610"/>
        <n x="515"/>
        <n x="516"/>
        <n x="611" s="1"/>
        <n x="643"/>
        <n x="644"/>
      </t>
    </mdx>
    <mdx n="0" f="v">
      <t c="6" si="614">
        <n x="610"/>
        <n x="515"/>
        <n x="516"/>
        <n x="611" s="1"/>
        <n x="645"/>
        <n x="646"/>
      </t>
    </mdx>
    <mdx n="0" f="v">
      <t c="6" si="614">
        <n x="610"/>
        <n x="515"/>
        <n x="516"/>
        <n x="611" s="1"/>
        <n x="647"/>
        <n x="648"/>
      </t>
    </mdx>
    <mdx n="0" f="v">
      <t c="6" si="614">
        <n x="610"/>
        <n x="515"/>
        <n x="516"/>
        <n x="611" s="1"/>
        <n x="649"/>
        <n x="650"/>
      </t>
    </mdx>
    <mdx n="0" f="v">
      <t c="6" si="614">
        <n x="610"/>
        <n x="515"/>
        <n x="516"/>
        <n x="611" s="1"/>
        <n x="651"/>
        <n x="652"/>
      </t>
    </mdx>
    <mdx n="0" f="v">
      <t c="6" si="614">
        <n x="610"/>
        <n x="515"/>
        <n x="516"/>
        <n x="611" s="1"/>
        <n x="655"/>
        <n x="656"/>
      </t>
    </mdx>
    <mdx n="0" f="v">
      <t c="6" si="614">
        <n x="610"/>
        <n x="515"/>
        <n x="516"/>
        <n x="611" s="1"/>
        <n x="657"/>
        <n x="658"/>
      </t>
    </mdx>
    <mdx n="0" f="v">
      <t c="6" si="614">
        <n x="610"/>
        <n x="515"/>
        <n x="516"/>
        <n x="611" s="1"/>
        <n x="659"/>
        <n x="660"/>
      </t>
    </mdx>
    <mdx n="0" f="v">
      <t c="6" si="614">
        <n x="610"/>
        <n x="515"/>
        <n x="516"/>
        <n x="611" s="1"/>
        <n x="663"/>
        <n x="664"/>
      </t>
    </mdx>
    <mdx n="0" f="v">
      <t c="6" si="614">
        <n x="610"/>
        <n x="515"/>
        <n x="516"/>
        <n x="611" s="1"/>
        <n x="665"/>
        <n x="666"/>
      </t>
    </mdx>
    <mdx n="0" f="v">
      <t c="6" si="614">
        <n x="610"/>
        <n x="515"/>
        <n x="516"/>
        <n x="611" s="1"/>
        <n x="669"/>
        <n x="670"/>
      </t>
    </mdx>
    <mdx n="0" f="v">
      <t c="6" si="614">
        <n x="610"/>
        <n x="515"/>
        <n x="516"/>
        <n x="611" s="1"/>
        <n x="675"/>
        <n x="676"/>
      </t>
    </mdx>
    <mdx n="0" f="v">
      <t c="6" si="614">
        <n x="610"/>
        <n x="515"/>
        <n x="516"/>
        <n x="611" s="1"/>
        <n x="677"/>
        <n x="678"/>
      </t>
    </mdx>
    <mdx n="0" f="v">
      <t c="6" si="614">
        <n x="610"/>
        <n x="515"/>
        <n x="516"/>
        <n x="611" s="1"/>
        <n x="679"/>
        <n x="680"/>
      </t>
    </mdx>
    <mdx n="0" f="v">
      <t c="6" si="614">
        <n x="610"/>
        <n x="515"/>
        <n x="516"/>
        <n x="611" s="1"/>
        <n x="681"/>
        <n x="682"/>
      </t>
    </mdx>
    <mdx n="0" f="v">
      <t c="6" si="614">
        <n x="610"/>
        <n x="515"/>
        <n x="516"/>
        <n x="611" s="1"/>
        <n x="685"/>
        <n x="686"/>
      </t>
    </mdx>
    <mdx n="0" f="v">
      <t c="6" si="614">
        <n x="610"/>
        <n x="515"/>
        <n x="516"/>
        <n x="611" s="1"/>
        <n x="687"/>
        <n x="688"/>
      </t>
    </mdx>
    <mdx n="0" f="v">
      <t c="6" si="614">
        <n x="610"/>
        <n x="515"/>
        <n x="516"/>
        <n x="611" s="1"/>
        <n x="689"/>
        <n x="690"/>
      </t>
    </mdx>
    <mdx n="0" f="v">
      <t c="6" si="614">
        <n x="610"/>
        <n x="515"/>
        <n x="516"/>
        <n x="611" s="1"/>
        <n x="699"/>
        <n x="700"/>
      </t>
    </mdx>
    <mdx n="0" f="v">
      <t c="6" si="614">
        <n x="610"/>
        <n x="515"/>
        <n x="516"/>
        <n x="611" s="1"/>
        <n x="703"/>
        <n x="704"/>
      </t>
    </mdx>
    <mdx n="0" f="v">
      <t c="6" si="614">
        <n x="610"/>
        <n x="515"/>
        <n x="516"/>
        <n x="611" s="1"/>
        <n x="705"/>
        <n x="706"/>
      </t>
    </mdx>
    <mdx n="0" f="v">
      <t c="6" si="614">
        <n x="610"/>
        <n x="517"/>
        <n x="518"/>
        <n x="611" s="1"/>
        <n x="612"/>
        <n x="613"/>
      </t>
    </mdx>
    <mdx n="0" f="v">
      <t c="6" si="614">
        <n x="610"/>
        <n x="517"/>
        <n x="518"/>
        <n x="611" s="1"/>
        <n x="615"/>
        <n x="616"/>
      </t>
    </mdx>
    <mdx n="0" f="v">
      <t c="6" si="614">
        <n x="610"/>
        <n x="517"/>
        <n x="518"/>
        <n x="611" s="1"/>
        <n x="617"/>
        <n x="618"/>
      </t>
    </mdx>
    <mdx n="0" f="v">
      <t c="6" si="614">
        <n x="610"/>
        <n x="517"/>
        <n x="518"/>
        <n x="611" s="1"/>
        <n x="619"/>
        <n x="620"/>
      </t>
    </mdx>
    <mdx n="0" f="v">
      <t c="6" si="614">
        <n x="610"/>
        <n x="517"/>
        <n x="518"/>
        <n x="611" s="1"/>
        <n x="623"/>
        <n x="624"/>
      </t>
    </mdx>
    <mdx n="0" f="v">
      <t c="6" si="614">
        <n x="610"/>
        <n x="517"/>
        <n x="518"/>
        <n x="611" s="1"/>
        <n x="627"/>
        <n x="628"/>
      </t>
    </mdx>
    <mdx n="0" f="v">
      <t c="6" si="614">
        <n x="610"/>
        <n x="517"/>
        <n x="518"/>
        <n x="611" s="1"/>
        <n x="629"/>
        <n x="630"/>
      </t>
    </mdx>
    <mdx n="0" f="v">
      <t c="6" si="614">
        <n x="610"/>
        <n x="517"/>
        <n x="518"/>
        <n x="611" s="1"/>
        <n x="635"/>
        <n x="636"/>
      </t>
    </mdx>
    <mdx n="0" f="v">
      <t c="6" si="614">
        <n x="610"/>
        <n x="517"/>
        <n x="518"/>
        <n x="611" s="1"/>
        <n x="637"/>
        <n x="638"/>
      </t>
    </mdx>
    <mdx n="0" f="v">
      <t c="6" si="614">
        <n x="610"/>
        <n x="517"/>
        <n x="518"/>
        <n x="611" s="1"/>
        <n x="639"/>
        <n x="640"/>
      </t>
    </mdx>
    <mdx n="0" f="v">
      <t c="6" si="614">
        <n x="610"/>
        <n x="517"/>
        <n x="518"/>
        <n x="611" s="1"/>
        <n x="641"/>
        <n x="642"/>
      </t>
    </mdx>
    <mdx n="0" f="v">
      <t c="6" si="614">
        <n x="610"/>
        <n x="517"/>
        <n x="518"/>
        <n x="611" s="1"/>
        <n x="643"/>
        <n x="644"/>
      </t>
    </mdx>
    <mdx n="0" f="v">
      <t c="6" si="614">
        <n x="610"/>
        <n x="517"/>
        <n x="518"/>
        <n x="611" s="1"/>
        <n x="645"/>
        <n x="646"/>
      </t>
    </mdx>
    <mdx n="0" f="v">
      <t c="6" si="614">
        <n x="610"/>
        <n x="517"/>
        <n x="518"/>
        <n x="611" s="1"/>
        <n x="647"/>
        <n x="648"/>
      </t>
    </mdx>
    <mdx n="0" f="v">
      <t c="6" si="614">
        <n x="610"/>
        <n x="517"/>
        <n x="518"/>
        <n x="611" s="1"/>
        <n x="649"/>
        <n x="650"/>
      </t>
    </mdx>
    <mdx n="0" f="v">
      <t c="6" si="614">
        <n x="610"/>
        <n x="517"/>
        <n x="518"/>
        <n x="611" s="1"/>
        <n x="651"/>
        <n x="652"/>
      </t>
    </mdx>
    <mdx n="0" f="v">
      <t c="6" si="614">
        <n x="610"/>
        <n x="517"/>
        <n x="518"/>
        <n x="611" s="1"/>
        <n x="653"/>
        <n x="654"/>
      </t>
    </mdx>
    <mdx n="0" f="v">
      <t c="6" si="614">
        <n x="610"/>
        <n x="517"/>
        <n x="518"/>
        <n x="611" s="1"/>
        <n x="655"/>
        <n x="656"/>
      </t>
    </mdx>
    <mdx n="0" f="v">
      <t c="6" si="614">
        <n x="610"/>
        <n x="517"/>
        <n x="518"/>
        <n x="611" s="1"/>
        <n x="657"/>
        <n x="658"/>
      </t>
    </mdx>
    <mdx n="0" f="v">
      <t c="6" si="614">
        <n x="610"/>
        <n x="517"/>
        <n x="518"/>
        <n x="611" s="1"/>
        <n x="659"/>
        <n x="660"/>
      </t>
    </mdx>
    <mdx n="0" f="v">
      <t c="6" si="614">
        <n x="610"/>
        <n x="517"/>
        <n x="518"/>
        <n x="611" s="1"/>
        <n x="661"/>
        <n x="662"/>
      </t>
    </mdx>
    <mdx n="0" f="v">
      <t c="6" si="614">
        <n x="610"/>
        <n x="517"/>
        <n x="518"/>
        <n x="611" s="1"/>
        <n x="665"/>
        <n x="666"/>
      </t>
    </mdx>
    <mdx n="0" f="v">
      <t c="6" si="614">
        <n x="610"/>
        <n x="517"/>
        <n x="518"/>
        <n x="611" s="1"/>
        <n x="667"/>
        <n x="668"/>
      </t>
    </mdx>
    <mdx n="0" f="v">
      <t c="6" si="614">
        <n x="610"/>
        <n x="517"/>
        <n x="518"/>
        <n x="611" s="1"/>
        <n x="669"/>
        <n x="670"/>
      </t>
    </mdx>
    <mdx n="0" f="v">
      <t c="6" si="614">
        <n x="610"/>
        <n x="517"/>
        <n x="518"/>
        <n x="611" s="1"/>
        <n x="671"/>
        <n x="672"/>
      </t>
    </mdx>
    <mdx n="0" f="v">
      <t c="6" si="614">
        <n x="610"/>
        <n x="517"/>
        <n x="518"/>
        <n x="611" s="1"/>
        <n x="673"/>
        <n x="674"/>
      </t>
    </mdx>
    <mdx n="0" f="v">
      <t c="6" si="614">
        <n x="610"/>
        <n x="517"/>
        <n x="518"/>
        <n x="611" s="1"/>
        <n x="677"/>
        <n x="678"/>
      </t>
    </mdx>
    <mdx n="0" f="v">
      <t c="6" si="614">
        <n x="610"/>
        <n x="517"/>
        <n x="518"/>
        <n x="611" s="1"/>
        <n x="681"/>
        <n x="682"/>
      </t>
    </mdx>
    <mdx n="0" f="v">
      <t c="6" si="614">
        <n x="610"/>
        <n x="517"/>
        <n x="518"/>
        <n x="611" s="1"/>
        <n x="683"/>
        <n x="684"/>
      </t>
    </mdx>
    <mdx n="0" f="v">
      <t c="6" si="614">
        <n x="610"/>
        <n x="517"/>
        <n x="518"/>
        <n x="611" s="1"/>
        <n x="685"/>
        <n x="686"/>
      </t>
    </mdx>
    <mdx n="0" f="v">
      <t c="6" si="614">
        <n x="610"/>
        <n x="517"/>
        <n x="518"/>
        <n x="611" s="1"/>
        <n x="687"/>
        <n x="688"/>
      </t>
    </mdx>
    <mdx n="0" f="v">
      <t c="6" si="614">
        <n x="610"/>
        <n x="517"/>
        <n x="518"/>
        <n x="611" s="1"/>
        <n x="689"/>
        <n x="690"/>
      </t>
    </mdx>
    <mdx n="0" f="v">
      <t c="6" si="614">
        <n x="610"/>
        <n x="517"/>
        <n x="518"/>
        <n x="611" s="1"/>
        <n x="691"/>
        <n x="692"/>
      </t>
    </mdx>
    <mdx n="0" f="v">
      <t c="6" si="614">
        <n x="610"/>
        <n x="517"/>
        <n x="518"/>
        <n x="611" s="1"/>
        <n x="695"/>
        <n x="696"/>
      </t>
    </mdx>
    <mdx n="0" f="v">
      <t c="6" si="614">
        <n x="610"/>
        <n x="517"/>
        <n x="518"/>
        <n x="611" s="1"/>
        <n x="697"/>
        <n x="698"/>
      </t>
    </mdx>
    <mdx n="0" f="v">
      <t c="6" si="614">
        <n x="610"/>
        <n x="517"/>
        <n x="518"/>
        <n x="611" s="1"/>
        <n x="699"/>
        <n x="700"/>
      </t>
    </mdx>
    <mdx n="0" f="v">
      <t c="6" si="614">
        <n x="610"/>
        <n x="517"/>
        <n x="518"/>
        <n x="611" s="1"/>
        <n x="701"/>
        <n x="702"/>
      </t>
    </mdx>
    <mdx n="0" f="v">
      <t c="6" si="614">
        <n x="610"/>
        <n x="517"/>
        <n x="518"/>
        <n x="611" s="1"/>
        <n x="705"/>
        <n x="706"/>
      </t>
    </mdx>
    <mdx n="0" f="v">
      <t c="6" si="614">
        <n x="610"/>
        <n x="517"/>
        <n x="518"/>
        <n x="611" s="1"/>
        <n x="707"/>
        <n x="708"/>
      </t>
    </mdx>
    <mdx n="0" f="v">
      <t c="6" si="614">
        <n x="610"/>
        <n x="519"/>
        <n x="520"/>
        <n x="611" s="1"/>
        <n x="612"/>
        <n x="613"/>
      </t>
    </mdx>
    <mdx n="0" f="v">
      <t c="6" si="614">
        <n x="610"/>
        <n x="519"/>
        <n x="520"/>
        <n x="611" s="1"/>
        <n x="615"/>
        <n x="616"/>
      </t>
    </mdx>
    <mdx n="0" f="v">
      <t c="6" si="614">
        <n x="610"/>
        <n x="519"/>
        <n x="520"/>
        <n x="611" s="1"/>
        <n x="617"/>
        <n x="618"/>
      </t>
    </mdx>
    <mdx n="0" f="v">
      <t c="6" si="614">
        <n x="610"/>
        <n x="519"/>
        <n x="520"/>
        <n x="611" s="1"/>
        <n x="619"/>
        <n x="620"/>
      </t>
    </mdx>
    <mdx n="0" f="v">
      <t c="6" si="614">
        <n x="610"/>
        <n x="519"/>
        <n x="520"/>
        <n x="611" s="1"/>
        <n x="621"/>
        <n x="622"/>
      </t>
    </mdx>
    <mdx n="0" f="v">
      <t c="6" si="614">
        <n x="610"/>
        <n x="519"/>
        <n x="520"/>
        <n x="611" s="1"/>
        <n x="623"/>
        <n x="624"/>
      </t>
    </mdx>
    <mdx n="0" f="v">
      <t c="6" si="614">
        <n x="610"/>
        <n x="519"/>
        <n x="520"/>
        <n x="611" s="1"/>
        <n x="627"/>
        <n x="628"/>
      </t>
    </mdx>
    <mdx n="0" f="v">
      <t c="6" si="614">
        <n x="610"/>
        <n x="519"/>
        <n x="520"/>
        <n x="611" s="1"/>
        <n x="635"/>
        <n x="636"/>
      </t>
    </mdx>
    <mdx n="0" f="v">
      <t c="6" si="614">
        <n x="610"/>
        <n x="519"/>
        <n x="520"/>
        <n x="611" s="1"/>
        <n x="637"/>
        <n x="638"/>
      </t>
    </mdx>
    <mdx n="0" f="v">
      <t c="6" si="614">
        <n x="610"/>
        <n x="519"/>
        <n x="520"/>
        <n x="611" s="1"/>
        <n x="641"/>
        <n x="642"/>
      </t>
    </mdx>
    <mdx n="0" f="v">
      <t c="6" si="614">
        <n x="610"/>
        <n x="519"/>
        <n x="520"/>
        <n x="611" s="1"/>
        <n x="643"/>
        <n x="644"/>
      </t>
    </mdx>
    <mdx n="0" f="v">
      <t c="6" si="614">
        <n x="610"/>
        <n x="519"/>
        <n x="520"/>
        <n x="611" s="1"/>
        <n x="645"/>
        <n x="646"/>
      </t>
    </mdx>
    <mdx n="0" f="v">
      <t c="6" si="614">
        <n x="610"/>
        <n x="519"/>
        <n x="520"/>
        <n x="611" s="1"/>
        <n x="647"/>
        <n x="648"/>
      </t>
    </mdx>
    <mdx n="0" f="v">
      <t c="6" si="614">
        <n x="610"/>
        <n x="519"/>
        <n x="520"/>
        <n x="611" s="1"/>
        <n x="649"/>
        <n x="650"/>
      </t>
    </mdx>
    <mdx n="0" f="v">
      <t c="6" si="614">
        <n x="610"/>
        <n x="519"/>
        <n x="520"/>
        <n x="611" s="1"/>
        <n x="651"/>
        <n x="652"/>
      </t>
    </mdx>
    <mdx n="0" f="v">
      <t c="6" si="614">
        <n x="610"/>
        <n x="519"/>
        <n x="520"/>
        <n x="611" s="1"/>
        <n x="655"/>
        <n x="656"/>
      </t>
    </mdx>
    <mdx n="0" f="v">
      <t c="6" si="614">
        <n x="610"/>
        <n x="519"/>
        <n x="520"/>
        <n x="611" s="1"/>
        <n x="657"/>
        <n x="658"/>
      </t>
    </mdx>
    <mdx n="0" f="v">
      <t c="6" si="614">
        <n x="610"/>
        <n x="519"/>
        <n x="520"/>
        <n x="611" s="1"/>
        <n x="659"/>
        <n x="660"/>
      </t>
    </mdx>
    <mdx n="0" f="v">
      <t c="6" si="614">
        <n x="610"/>
        <n x="519"/>
        <n x="520"/>
        <n x="611" s="1"/>
        <n x="661"/>
        <n x="662"/>
      </t>
    </mdx>
    <mdx n="0" f="v">
      <t c="6" si="614">
        <n x="610"/>
        <n x="519"/>
        <n x="520"/>
        <n x="611" s="1"/>
        <n x="665"/>
        <n x="666"/>
      </t>
    </mdx>
    <mdx n="0" f="v">
      <t c="6" si="614">
        <n x="610"/>
        <n x="519"/>
        <n x="520"/>
        <n x="611" s="1"/>
        <n x="667"/>
        <n x="668"/>
      </t>
    </mdx>
    <mdx n="0" f="v">
      <t c="6" si="614">
        <n x="610"/>
        <n x="519"/>
        <n x="520"/>
        <n x="611" s="1"/>
        <n x="669"/>
        <n x="670"/>
      </t>
    </mdx>
    <mdx n="0" f="v">
      <t c="6" si="614">
        <n x="610"/>
        <n x="519"/>
        <n x="520"/>
        <n x="611" s="1"/>
        <n x="673"/>
        <n x="674"/>
      </t>
    </mdx>
    <mdx n="0" f="v">
      <t c="6" si="614">
        <n x="610"/>
        <n x="519"/>
        <n x="520"/>
        <n x="611" s="1"/>
        <n x="677"/>
        <n x="678"/>
      </t>
    </mdx>
    <mdx n="0" f="v">
      <t c="6" si="614">
        <n x="610"/>
        <n x="519"/>
        <n x="520"/>
        <n x="611" s="1"/>
        <n x="679"/>
        <n x="680"/>
      </t>
    </mdx>
    <mdx n="0" f="v">
      <t c="6" si="614">
        <n x="610"/>
        <n x="519"/>
        <n x="520"/>
        <n x="611" s="1"/>
        <n x="681"/>
        <n x="682"/>
      </t>
    </mdx>
    <mdx n="0" f="v">
      <t c="6" si="614">
        <n x="610"/>
        <n x="519"/>
        <n x="520"/>
        <n x="611" s="1"/>
        <n x="685"/>
        <n x="686"/>
      </t>
    </mdx>
    <mdx n="0" f="v">
      <t c="6" si="614">
        <n x="610"/>
        <n x="519"/>
        <n x="520"/>
        <n x="611" s="1"/>
        <n x="687"/>
        <n x="688"/>
      </t>
    </mdx>
    <mdx n="0" f="v">
      <t c="6" si="614">
        <n x="610"/>
        <n x="519"/>
        <n x="520"/>
        <n x="611" s="1"/>
        <n x="689"/>
        <n x="690"/>
      </t>
    </mdx>
    <mdx n="0" f="v">
      <t c="6" si="614">
        <n x="610"/>
        <n x="519"/>
        <n x="520"/>
        <n x="611" s="1"/>
        <n x="691"/>
        <n x="692"/>
      </t>
    </mdx>
    <mdx n="0" f="v">
      <t c="6" si="614">
        <n x="610"/>
        <n x="519"/>
        <n x="520"/>
        <n x="611" s="1"/>
        <n x="695"/>
        <n x="696"/>
      </t>
    </mdx>
    <mdx n="0" f="v">
      <t c="6" si="614">
        <n x="610"/>
        <n x="519"/>
        <n x="520"/>
        <n x="611" s="1"/>
        <n x="699"/>
        <n x="700"/>
      </t>
    </mdx>
    <mdx n="0" f="v">
      <t c="6" si="614">
        <n x="610"/>
        <n x="519"/>
        <n x="520"/>
        <n x="611" s="1"/>
        <n x="701"/>
        <n x="702"/>
      </t>
    </mdx>
    <mdx n="0" f="v">
      <t c="6" si="614">
        <n x="610"/>
        <n x="519"/>
        <n x="520"/>
        <n x="611" s="1"/>
        <n x="703"/>
        <n x="704"/>
      </t>
    </mdx>
    <mdx n="0" f="v">
      <t c="6" si="614">
        <n x="610"/>
        <n x="521"/>
        <n x="522"/>
        <n x="611" s="1"/>
        <n x="612"/>
        <n x="613"/>
      </t>
    </mdx>
    <mdx n="0" f="v">
      <t c="6" si="614">
        <n x="610"/>
        <n x="521"/>
        <n x="522"/>
        <n x="611" s="1"/>
        <n x="615"/>
        <n x="616"/>
      </t>
    </mdx>
    <mdx n="0" f="v">
      <t c="6" si="614">
        <n x="610"/>
        <n x="521"/>
        <n x="522"/>
        <n x="611" s="1"/>
        <n x="617"/>
        <n x="618"/>
      </t>
    </mdx>
    <mdx n="0" f="v">
      <t c="6" si="614">
        <n x="610"/>
        <n x="521"/>
        <n x="522"/>
        <n x="611" s="1"/>
        <n x="619"/>
        <n x="620"/>
      </t>
    </mdx>
    <mdx n="0" f="v">
      <t c="6" si="614">
        <n x="610"/>
        <n x="521"/>
        <n x="522"/>
        <n x="611" s="1"/>
        <n x="621"/>
        <n x="622"/>
      </t>
    </mdx>
    <mdx n="0" f="v">
      <t c="6" si="614">
        <n x="610"/>
        <n x="521"/>
        <n x="522"/>
        <n x="611" s="1"/>
        <n x="623"/>
        <n x="624"/>
      </t>
    </mdx>
    <mdx n="0" f="v">
      <t c="6" si="614">
        <n x="610"/>
        <n x="521"/>
        <n x="522"/>
        <n x="611" s="1"/>
        <n x="625"/>
        <n x="626"/>
      </t>
    </mdx>
    <mdx n="0" f="v">
      <t c="6" si="614">
        <n x="610"/>
        <n x="521"/>
        <n x="522"/>
        <n x="611" s="1"/>
        <n x="627"/>
        <n x="628"/>
      </t>
    </mdx>
    <mdx n="0" f="v">
      <t c="6" si="614">
        <n x="610"/>
        <n x="521"/>
        <n x="522"/>
        <n x="611" s="1"/>
        <n x="629"/>
        <n x="630"/>
      </t>
    </mdx>
    <mdx n="0" f="v">
      <t c="6" si="614">
        <n x="610"/>
        <n x="521"/>
        <n x="522"/>
        <n x="611" s="1"/>
        <n x="631"/>
        <n x="632"/>
      </t>
    </mdx>
    <mdx n="0" f="v">
      <t c="6" si="614">
        <n x="610"/>
        <n x="521"/>
        <n x="522"/>
        <n x="611" s="1"/>
        <n x="633"/>
        <n x="634"/>
      </t>
    </mdx>
    <mdx n="0" f="v">
      <t c="6" si="614">
        <n x="610"/>
        <n x="521"/>
        <n x="522"/>
        <n x="611" s="1"/>
        <n x="635"/>
        <n x="636"/>
      </t>
    </mdx>
    <mdx n="0" f="v">
      <t c="6" si="614">
        <n x="610"/>
        <n x="521"/>
        <n x="522"/>
        <n x="611" s="1"/>
        <n x="637"/>
        <n x="638"/>
      </t>
    </mdx>
    <mdx n="0" f="v">
      <t c="6" si="614">
        <n x="610"/>
        <n x="521"/>
        <n x="522"/>
        <n x="611" s="1"/>
        <n x="639"/>
        <n x="640"/>
      </t>
    </mdx>
    <mdx n="0" f="v">
      <t c="6" si="614">
        <n x="610"/>
        <n x="521"/>
        <n x="522"/>
        <n x="611" s="1"/>
        <n x="641"/>
        <n x="642"/>
      </t>
    </mdx>
    <mdx n="0" f="v">
      <t c="6" si="614">
        <n x="610"/>
        <n x="521"/>
        <n x="522"/>
        <n x="611" s="1"/>
        <n x="643"/>
        <n x="644"/>
      </t>
    </mdx>
    <mdx n="0" f="v">
      <t c="6" si="614">
        <n x="610"/>
        <n x="521"/>
        <n x="522"/>
        <n x="611" s="1"/>
        <n x="647"/>
        <n x="648"/>
      </t>
    </mdx>
    <mdx n="0" f="v">
      <t c="6" si="614">
        <n x="610"/>
        <n x="521"/>
        <n x="522"/>
        <n x="611" s="1"/>
        <n x="649"/>
        <n x="650"/>
      </t>
    </mdx>
    <mdx n="0" f="v">
      <t c="6" si="614">
        <n x="610"/>
        <n x="521"/>
        <n x="522"/>
        <n x="611" s="1"/>
        <n x="651"/>
        <n x="652"/>
      </t>
    </mdx>
    <mdx n="0" f="v">
      <t c="6" si="614">
        <n x="610"/>
        <n x="521"/>
        <n x="522"/>
        <n x="611" s="1"/>
        <n x="655"/>
        <n x="656"/>
      </t>
    </mdx>
    <mdx n="0" f="v">
      <t c="6" si="614">
        <n x="610"/>
        <n x="521"/>
        <n x="522"/>
        <n x="611" s="1"/>
        <n x="657"/>
        <n x="658"/>
      </t>
    </mdx>
    <mdx n="0" f="v">
      <t c="6" si="614">
        <n x="610"/>
        <n x="521"/>
        <n x="522"/>
        <n x="611" s="1"/>
        <n x="659"/>
        <n x="660"/>
      </t>
    </mdx>
    <mdx n="0" f="v">
      <t c="6" si="614">
        <n x="610"/>
        <n x="521"/>
        <n x="522"/>
        <n x="611" s="1"/>
        <n x="661"/>
        <n x="662"/>
      </t>
    </mdx>
    <mdx n="0" f="v">
      <t c="6" si="614">
        <n x="610"/>
        <n x="521"/>
        <n x="522"/>
        <n x="611" s="1"/>
        <n x="663"/>
        <n x="664"/>
      </t>
    </mdx>
    <mdx n="0" f="v">
      <t c="6" si="614">
        <n x="610"/>
        <n x="521"/>
        <n x="522"/>
        <n x="611" s="1"/>
        <n x="665"/>
        <n x="666"/>
      </t>
    </mdx>
    <mdx n="0" f="v">
      <t c="6" si="614">
        <n x="610"/>
        <n x="521"/>
        <n x="522"/>
        <n x="611" s="1"/>
        <n x="667"/>
        <n x="668"/>
      </t>
    </mdx>
    <mdx n="0" f="v">
      <t c="6" si="614">
        <n x="610"/>
        <n x="521"/>
        <n x="522"/>
        <n x="611" s="1"/>
        <n x="669"/>
        <n x="670"/>
      </t>
    </mdx>
    <mdx n="0" f="v">
      <t c="6" si="614">
        <n x="610"/>
        <n x="521"/>
        <n x="522"/>
        <n x="611" s="1"/>
        <n x="671"/>
        <n x="672"/>
      </t>
    </mdx>
    <mdx n="0" f="v">
      <t c="6" si="614">
        <n x="610"/>
        <n x="521"/>
        <n x="522"/>
        <n x="611" s="1"/>
        <n x="673"/>
        <n x="674"/>
      </t>
    </mdx>
    <mdx n="0" f="v">
      <t c="6" si="614">
        <n x="610"/>
        <n x="521"/>
        <n x="522"/>
        <n x="611" s="1"/>
        <n x="675"/>
        <n x="676"/>
      </t>
    </mdx>
    <mdx n="0" f="v">
      <t c="6" si="614">
        <n x="610"/>
        <n x="521"/>
        <n x="522"/>
        <n x="611" s="1"/>
        <n x="679"/>
        <n x="680"/>
      </t>
    </mdx>
    <mdx n="0" f="v">
      <t c="6" si="614">
        <n x="610"/>
        <n x="521"/>
        <n x="522"/>
        <n x="611" s="1"/>
        <n x="683"/>
        <n x="684"/>
      </t>
    </mdx>
    <mdx n="0" f="v">
      <t c="6" si="614">
        <n x="610"/>
        <n x="521"/>
        <n x="522"/>
        <n x="611" s="1"/>
        <n x="685"/>
        <n x="686"/>
      </t>
    </mdx>
    <mdx n="0" f="v">
      <t c="6" si="614">
        <n x="610"/>
        <n x="521"/>
        <n x="522"/>
        <n x="611" s="1"/>
        <n x="687"/>
        <n x="688"/>
      </t>
    </mdx>
    <mdx n="0" f="v">
      <t c="6" si="614">
        <n x="610"/>
        <n x="521"/>
        <n x="522"/>
        <n x="611" s="1"/>
        <n x="689"/>
        <n x="690"/>
      </t>
    </mdx>
    <mdx n="0" f="v">
      <t c="6" si="614">
        <n x="610"/>
        <n x="521"/>
        <n x="522"/>
        <n x="611" s="1"/>
        <n x="691"/>
        <n x="692"/>
      </t>
    </mdx>
    <mdx n="0" f="v">
      <t c="6" si="614">
        <n x="610"/>
        <n x="521"/>
        <n x="522"/>
        <n x="611" s="1"/>
        <n x="695"/>
        <n x="696"/>
      </t>
    </mdx>
    <mdx n="0" f="v">
      <t c="6" si="614">
        <n x="610"/>
        <n x="521"/>
        <n x="522"/>
        <n x="611" s="1"/>
        <n x="697"/>
        <n x="698"/>
      </t>
    </mdx>
    <mdx n="0" f="v">
      <t c="6" si="614">
        <n x="610"/>
        <n x="521"/>
        <n x="522"/>
        <n x="611" s="1"/>
        <n x="699"/>
        <n x="700"/>
      </t>
    </mdx>
    <mdx n="0" f="v">
      <t c="6" si="614">
        <n x="610"/>
        <n x="521"/>
        <n x="522"/>
        <n x="611" s="1"/>
        <n x="701"/>
        <n x="702"/>
      </t>
    </mdx>
    <mdx n="0" f="v">
      <t c="6" si="614">
        <n x="610"/>
        <n x="521"/>
        <n x="522"/>
        <n x="611" s="1"/>
        <n x="705"/>
        <n x="706"/>
      </t>
    </mdx>
    <mdx n="0" f="v">
      <t c="6" si="614">
        <n x="610"/>
        <n x="521"/>
        <n x="522"/>
        <n x="611" s="1"/>
        <n x="707"/>
        <n x="708"/>
      </t>
    </mdx>
    <mdx n="0" f="v">
      <t c="6" si="614">
        <n x="610"/>
        <n x="523"/>
        <n x="524"/>
        <n x="611" s="1"/>
        <n x="612"/>
        <n x="613"/>
      </t>
    </mdx>
    <mdx n="0" f="v">
      <t c="6" si="614">
        <n x="610"/>
        <n x="523"/>
        <n x="524"/>
        <n x="611" s="1"/>
        <n x="615"/>
        <n x="616"/>
      </t>
    </mdx>
    <mdx n="0" f="v">
      <t c="6" si="614">
        <n x="610"/>
        <n x="523"/>
        <n x="524"/>
        <n x="611" s="1"/>
        <n x="617"/>
        <n x="618"/>
      </t>
    </mdx>
    <mdx n="0" f="v">
      <t c="6" si="614">
        <n x="610"/>
        <n x="523"/>
        <n x="524"/>
        <n x="611" s="1"/>
        <n x="619"/>
        <n x="620"/>
      </t>
    </mdx>
    <mdx n="0" f="v">
      <t c="6" si="614">
        <n x="610"/>
        <n x="523"/>
        <n x="524"/>
        <n x="611" s="1"/>
        <n x="621"/>
        <n x="622"/>
      </t>
    </mdx>
    <mdx n="0" f="v">
      <t c="6" si="614">
        <n x="610"/>
        <n x="523"/>
        <n x="524"/>
        <n x="611" s="1"/>
        <n x="623"/>
        <n x="624"/>
      </t>
    </mdx>
    <mdx n="0" f="v">
      <t c="6" si="614">
        <n x="610"/>
        <n x="523"/>
        <n x="524"/>
        <n x="611" s="1"/>
        <n x="625"/>
        <n x="626"/>
      </t>
    </mdx>
    <mdx n="0" f="v">
      <t c="6" si="614">
        <n x="610"/>
        <n x="523"/>
        <n x="524"/>
        <n x="611" s="1"/>
        <n x="627"/>
        <n x="628"/>
      </t>
    </mdx>
    <mdx n="0" f="v">
      <t c="6" si="614">
        <n x="610"/>
        <n x="523"/>
        <n x="524"/>
        <n x="611" s="1"/>
        <n x="635"/>
        <n x="636"/>
      </t>
    </mdx>
    <mdx n="0" f="v">
      <t c="6" si="614">
        <n x="610"/>
        <n x="523"/>
        <n x="524"/>
        <n x="611" s="1"/>
        <n x="643"/>
        <n x="644"/>
      </t>
    </mdx>
    <mdx n="0" f="v">
      <t c="6" si="614">
        <n x="610"/>
        <n x="523"/>
        <n x="524"/>
        <n x="611" s="1"/>
        <n x="645"/>
        <n x="646"/>
      </t>
    </mdx>
    <mdx n="0" f="v">
      <t c="6" si="614">
        <n x="610"/>
        <n x="523"/>
        <n x="524"/>
        <n x="611" s="1"/>
        <n x="647"/>
        <n x="648"/>
      </t>
    </mdx>
    <mdx n="0" f="v">
      <t c="6" si="614">
        <n x="610"/>
        <n x="523"/>
        <n x="524"/>
        <n x="611" s="1"/>
        <n x="649"/>
        <n x="650"/>
      </t>
    </mdx>
    <mdx n="0" f="v">
      <t c="6" si="614">
        <n x="610"/>
        <n x="523"/>
        <n x="524"/>
        <n x="611" s="1"/>
        <n x="651"/>
        <n x="652"/>
      </t>
    </mdx>
    <mdx n="0" f="v">
      <t c="6" si="614">
        <n x="610"/>
        <n x="523"/>
        <n x="524"/>
        <n x="611" s="1"/>
        <n x="655"/>
        <n x="656"/>
      </t>
    </mdx>
    <mdx n="0" f="v">
      <t c="6" si="614">
        <n x="610"/>
        <n x="523"/>
        <n x="524"/>
        <n x="611" s="1"/>
        <n x="657"/>
        <n x="658"/>
      </t>
    </mdx>
    <mdx n="0" f="v">
      <t c="6" si="614">
        <n x="610"/>
        <n x="523"/>
        <n x="524"/>
        <n x="611" s="1"/>
        <n x="663"/>
        <n x="664"/>
      </t>
    </mdx>
    <mdx n="0" f="v">
      <t c="6" si="614">
        <n x="610"/>
        <n x="523"/>
        <n x="524"/>
        <n x="611" s="1"/>
        <n x="665"/>
        <n x="666"/>
      </t>
    </mdx>
    <mdx n="0" f="v">
      <t c="6" si="614">
        <n x="610"/>
        <n x="523"/>
        <n x="524"/>
        <n x="611" s="1"/>
        <n x="667"/>
        <n x="668"/>
      </t>
    </mdx>
    <mdx n="0" f="v">
      <t c="6" si="614">
        <n x="610"/>
        <n x="523"/>
        <n x="524"/>
        <n x="611" s="1"/>
        <n x="669"/>
        <n x="670"/>
      </t>
    </mdx>
    <mdx n="0" f="v">
      <t c="6" si="614">
        <n x="610"/>
        <n x="523"/>
        <n x="524"/>
        <n x="611" s="1"/>
        <n x="675"/>
        <n x="676"/>
      </t>
    </mdx>
    <mdx n="0" f="v">
      <t c="6" si="614">
        <n x="610"/>
        <n x="523"/>
        <n x="524"/>
        <n x="611" s="1"/>
        <n x="677"/>
        <n x="678"/>
      </t>
    </mdx>
    <mdx n="0" f="v">
      <t c="6" si="614">
        <n x="610"/>
        <n x="523"/>
        <n x="524"/>
        <n x="611" s="1"/>
        <n x="679"/>
        <n x="680"/>
      </t>
    </mdx>
    <mdx n="0" f="v">
      <t c="6" si="614">
        <n x="610"/>
        <n x="523"/>
        <n x="524"/>
        <n x="611" s="1"/>
        <n x="681"/>
        <n x="682"/>
      </t>
    </mdx>
    <mdx n="0" f="v">
      <t c="6" si="614">
        <n x="610"/>
        <n x="523"/>
        <n x="524"/>
        <n x="611" s="1"/>
        <n x="683"/>
        <n x="684"/>
      </t>
    </mdx>
    <mdx n="0" f="v">
      <t c="6" si="614">
        <n x="610"/>
        <n x="523"/>
        <n x="524"/>
        <n x="611" s="1"/>
        <n x="685"/>
        <n x="686"/>
      </t>
    </mdx>
    <mdx n="0" f="v">
      <t c="6" si="614">
        <n x="610"/>
        <n x="523"/>
        <n x="524"/>
        <n x="611" s="1"/>
        <n x="687"/>
        <n x="688"/>
      </t>
    </mdx>
    <mdx n="0" f="v">
      <t c="6" si="614">
        <n x="610"/>
        <n x="523"/>
        <n x="524"/>
        <n x="611" s="1"/>
        <n x="691"/>
        <n x="692"/>
      </t>
    </mdx>
    <mdx n="0" f="v">
      <t c="6" si="614">
        <n x="610"/>
        <n x="523"/>
        <n x="524"/>
        <n x="611" s="1"/>
        <n x="695"/>
        <n x="696"/>
      </t>
    </mdx>
    <mdx n="0" f="v">
      <t c="6" si="614">
        <n x="610"/>
        <n x="523"/>
        <n x="524"/>
        <n x="611" s="1"/>
        <n x="699"/>
        <n x="700"/>
      </t>
    </mdx>
    <mdx n="0" f="v">
      <t c="6" si="614">
        <n x="610"/>
        <n x="523"/>
        <n x="524"/>
        <n x="611" s="1"/>
        <n x="701"/>
        <n x="702"/>
      </t>
    </mdx>
    <mdx n="0" f="v">
      <t c="6" si="614">
        <n x="610"/>
        <n x="523"/>
        <n x="524"/>
        <n x="611" s="1"/>
        <n x="703"/>
        <n x="704"/>
      </t>
    </mdx>
    <mdx n="0" f="v">
      <t c="6" si="614">
        <n x="610"/>
        <n x="525"/>
        <n x="526"/>
        <n x="611" s="1"/>
        <n x="612"/>
        <n x="613"/>
      </t>
    </mdx>
    <mdx n="0" f="v">
      <t c="6" si="614">
        <n x="610"/>
        <n x="525"/>
        <n x="526"/>
        <n x="611" s="1"/>
        <n x="615"/>
        <n x="616"/>
      </t>
    </mdx>
    <mdx n="0" f="v">
      <t c="6" si="614">
        <n x="610"/>
        <n x="525"/>
        <n x="526"/>
        <n x="611" s="1"/>
        <n x="617"/>
        <n x="618"/>
      </t>
    </mdx>
    <mdx n="0" f="v">
      <t c="6" si="614">
        <n x="610"/>
        <n x="525"/>
        <n x="526"/>
        <n x="611" s="1"/>
        <n x="619"/>
        <n x="620"/>
      </t>
    </mdx>
    <mdx n="0" f="v">
      <t c="6" si="614">
        <n x="610"/>
        <n x="525"/>
        <n x="526"/>
        <n x="611" s="1"/>
        <n x="621"/>
        <n x="622"/>
      </t>
    </mdx>
    <mdx n="0" f="v">
      <t c="6" si="614">
        <n x="610"/>
        <n x="525"/>
        <n x="526"/>
        <n x="611" s="1"/>
        <n x="623"/>
        <n x="624"/>
      </t>
    </mdx>
    <mdx n="0" f="v">
      <t c="6" si="614">
        <n x="610"/>
        <n x="525"/>
        <n x="526"/>
        <n x="611" s="1"/>
        <n x="625"/>
        <n x="626"/>
      </t>
    </mdx>
    <mdx n="0" f="v">
      <t c="6" si="614">
        <n x="610"/>
        <n x="525"/>
        <n x="526"/>
        <n x="611" s="1"/>
        <n x="627"/>
        <n x="628"/>
      </t>
    </mdx>
    <mdx n="0" f="v">
      <t c="6" si="614">
        <n x="610"/>
        <n x="525"/>
        <n x="526"/>
        <n x="611" s="1"/>
        <n x="631"/>
        <n x="632"/>
      </t>
    </mdx>
    <mdx n="0" f="v">
      <t c="6" si="614">
        <n x="610"/>
        <n x="525"/>
        <n x="526"/>
        <n x="611" s="1"/>
        <n x="635"/>
        <n x="636"/>
      </t>
    </mdx>
    <mdx n="0" f="v">
      <t c="6" si="614">
        <n x="610"/>
        <n x="525"/>
        <n x="526"/>
        <n x="611" s="1"/>
        <n x="645"/>
        <n x="646"/>
      </t>
    </mdx>
    <mdx n="0" f="v">
      <t c="6" si="614">
        <n x="610"/>
        <n x="525"/>
        <n x="526"/>
        <n x="611" s="1"/>
        <n x="649"/>
        <n x="650"/>
      </t>
    </mdx>
    <mdx n="0" f="v">
      <t c="6" si="614">
        <n x="610"/>
        <n x="525"/>
        <n x="526"/>
        <n x="611" s="1"/>
        <n x="651"/>
        <n x="652"/>
      </t>
    </mdx>
    <mdx n="0" f="v">
      <t c="6" si="614">
        <n x="610"/>
        <n x="525"/>
        <n x="526"/>
        <n x="611" s="1"/>
        <n x="657"/>
        <n x="658"/>
      </t>
    </mdx>
    <mdx n="0" f="v">
      <t c="6" si="614">
        <n x="610"/>
        <n x="525"/>
        <n x="526"/>
        <n x="611" s="1"/>
        <n x="659"/>
        <n x="660"/>
      </t>
    </mdx>
    <mdx n="0" f="v">
      <t c="6" si="614">
        <n x="610"/>
        <n x="525"/>
        <n x="526"/>
        <n x="611" s="1"/>
        <n x="663"/>
        <n x="664"/>
      </t>
    </mdx>
    <mdx n="0" f="v">
      <t c="6" si="614">
        <n x="610"/>
        <n x="525"/>
        <n x="526"/>
        <n x="611" s="1"/>
        <n x="665"/>
        <n x="666"/>
      </t>
    </mdx>
    <mdx n="0" f="v">
      <t c="6" si="614">
        <n x="610"/>
        <n x="525"/>
        <n x="526"/>
        <n x="611" s="1"/>
        <n x="667"/>
        <n x="668"/>
      </t>
    </mdx>
    <mdx n="0" f="v">
      <t c="6" si="614">
        <n x="610"/>
        <n x="525"/>
        <n x="526"/>
        <n x="611" s="1"/>
        <n x="669"/>
        <n x="670"/>
      </t>
    </mdx>
    <mdx n="0" f="v">
      <t c="6" si="614">
        <n x="610"/>
        <n x="525"/>
        <n x="526"/>
        <n x="611" s="1"/>
        <n x="671"/>
        <n x="672"/>
      </t>
    </mdx>
    <mdx n="0" f="v">
      <t c="6" si="614">
        <n x="610"/>
        <n x="525"/>
        <n x="526"/>
        <n x="611" s="1"/>
        <n x="673"/>
        <n x="674"/>
      </t>
    </mdx>
    <mdx n="0" f="v">
      <t c="6" si="614">
        <n x="610"/>
        <n x="525"/>
        <n x="526"/>
        <n x="611" s="1"/>
        <n x="675"/>
        <n x="676"/>
      </t>
    </mdx>
    <mdx n="0" f="v">
      <t c="6" si="614">
        <n x="610"/>
        <n x="525"/>
        <n x="526"/>
        <n x="611" s="1"/>
        <n x="681"/>
        <n x="682"/>
      </t>
    </mdx>
    <mdx n="0" f="v">
      <t c="6" si="614">
        <n x="610"/>
        <n x="525"/>
        <n x="526"/>
        <n x="611" s="1"/>
        <n x="685"/>
        <n x="686"/>
      </t>
    </mdx>
    <mdx n="0" f="v">
      <t c="6" si="614">
        <n x="610"/>
        <n x="525"/>
        <n x="526"/>
        <n x="611" s="1"/>
        <n x="687"/>
        <n x="688"/>
      </t>
    </mdx>
    <mdx n="0" f="v">
      <t c="6" si="614">
        <n x="610"/>
        <n x="525"/>
        <n x="526"/>
        <n x="611" s="1"/>
        <n x="689"/>
        <n x="690"/>
      </t>
    </mdx>
    <mdx n="0" f="v">
      <t c="6" si="614">
        <n x="610"/>
        <n x="525"/>
        <n x="526"/>
        <n x="611" s="1"/>
        <n x="693"/>
        <n x="694"/>
      </t>
    </mdx>
    <mdx n="0" f="v">
      <t c="6" si="614">
        <n x="610"/>
        <n x="525"/>
        <n x="526"/>
        <n x="611" s="1"/>
        <n x="695"/>
        <n x="696"/>
      </t>
    </mdx>
    <mdx n="0" f="v">
      <t c="6" si="614">
        <n x="610"/>
        <n x="525"/>
        <n x="526"/>
        <n x="611" s="1"/>
        <n x="699"/>
        <n x="700"/>
      </t>
    </mdx>
    <mdx n="0" f="v">
      <t c="6" si="614">
        <n x="610"/>
        <n x="525"/>
        <n x="526"/>
        <n x="611" s="1"/>
        <n x="701"/>
        <n x="702"/>
      </t>
    </mdx>
    <mdx n="0" f="v">
      <t c="6" si="614">
        <n x="610"/>
        <n x="527"/>
        <n x="528"/>
        <n x="611" s="1"/>
        <n x="612"/>
        <n x="613"/>
      </t>
    </mdx>
    <mdx n="0" f="v">
      <t c="6" si="614">
        <n x="610"/>
        <n x="527"/>
        <n x="528"/>
        <n x="611" s="1"/>
        <n x="617"/>
        <n x="618"/>
      </t>
    </mdx>
    <mdx n="0" f="v">
      <t c="6" si="614">
        <n x="610"/>
        <n x="527"/>
        <n x="528"/>
        <n x="611" s="1"/>
        <n x="619"/>
        <n x="620"/>
      </t>
    </mdx>
    <mdx n="0" f="v">
      <t c="6" si="614">
        <n x="610"/>
        <n x="527"/>
        <n x="528"/>
        <n x="611" s="1"/>
        <n x="621"/>
        <n x="622"/>
      </t>
    </mdx>
    <mdx n="0" f="v">
      <t c="6" si="614">
        <n x="610"/>
        <n x="527"/>
        <n x="528"/>
        <n x="611" s="1"/>
        <n x="625"/>
        <n x="626"/>
      </t>
    </mdx>
    <mdx n="0" f="v">
      <t c="6" si="614">
        <n x="610"/>
        <n x="527"/>
        <n x="528"/>
        <n x="611" s="1"/>
        <n x="627"/>
        <n x="628"/>
      </t>
    </mdx>
    <mdx n="0" f="v">
      <t c="6" si="614">
        <n x="610"/>
        <n x="527"/>
        <n x="528"/>
        <n x="611" s="1"/>
        <n x="629"/>
        <n x="630"/>
      </t>
    </mdx>
    <mdx n="0" f="v">
      <t c="6" si="614">
        <n x="610"/>
        <n x="527"/>
        <n x="528"/>
        <n x="611" s="1"/>
        <n x="633"/>
        <n x="634"/>
      </t>
    </mdx>
    <mdx n="0" f="v">
      <t c="6" si="614">
        <n x="610"/>
        <n x="527"/>
        <n x="528"/>
        <n x="611" s="1"/>
        <n x="635"/>
        <n x="636"/>
      </t>
    </mdx>
    <mdx n="0" f="v">
      <t c="6" si="614">
        <n x="610"/>
        <n x="527"/>
        <n x="528"/>
        <n x="611" s="1"/>
        <n x="639"/>
        <n x="640"/>
      </t>
    </mdx>
    <mdx n="0" f="v">
      <t c="6" si="614">
        <n x="610"/>
        <n x="527"/>
        <n x="528"/>
        <n x="611" s="1"/>
        <n x="641"/>
        <n x="642"/>
      </t>
    </mdx>
    <mdx n="0" f="v">
      <t c="6" si="614">
        <n x="610"/>
        <n x="527"/>
        <n x="528"/>
        <n x="611" s="1"/>
        <n x="643"/>
        <n x="644"/>
      </t>
    </mdx>
    <mdx n="0" f="v">
      <t c="6" si="614">
        <n x="610"/>
        <n x="527"/>
        <n x="528"/>
        <n x="611" s="1"/>
        <n x="645"/>
        <n x="646"/>
      </t>
    </mdx>
    <mdx n="0" f="v">
      <t c="6" si="614">
        <n x="610"/>
        <n x="527"/>
        <n x="528"/>
        <n x="611" s="1"/>
        <n x="647"/>
        <n x="648"/>
      </t>
    </mdx>
    <mdx n="0" f="v">
      <t c="6" si="614">
        <n x="610"/>
        <n x="527"/>
        <n x="528"/>
        <n x="611" s="1"/>
        <n x="651"/>
        <n x="652"/>
      </t>
    </mdx>
    <mdx n="0" f="v">
      <t c="6" si="614">
        <n x="610"/>
        <n x="527"/>
        <n x="528"/>
        <n x="611" s="1"/>
        <n x="655"/>
        <n x="656"/>
      </t>
    </mdx>
    <mdx n="0" f="v">
      <t c="6" si="614">
        <n x="610"/>
        <n x="527"/>
        <n x="528"/>
        <n x="611" s="1"/>
        <n x="657"/>
        <n x="658"/>
      </t>
    </mdx>
    <mdx n="0" f="v">
      <t c="6" si="614">
        <n x="610"/>
        <n x="527"/>
        <n x="528"/>
        <n x="611" s="1"/>
        <n x="659"/>
        <n x="660"/>
      </t>
    </mdx>
    <mdx n="0" f="v">
      <t c="6" si="614">
        <n x="610"/>
        <n x="527"/>
        <n x="528"/>
        <n x="611" s="1"/>
        <n x="661"/>
        <n x="662"/>
      </t>
    </mdx>
    <mdx n="0" f="v">
      <t c="6" si="614">
        <n x="610"/>
        <n x="527"/>
        <n x="528"/>
        <n x="611" s="1"/>
        <n x="669"/>
        <n x="670"/>
      </t>
    </mdx>
    <mdx n="0" f="v">
      <t c="6" si="614">
        <n x="610"/>
        <n x="527"/>
        <n x="528"/>
        <n x="611" s="1"/>
        <n x="671"/>
        <n x="672"/>
      </t>
    </mdx>
    <mdx n="0" f="v">
      <t c="6" si="614">
        <n x="610"/>
        <n x="527"/>
        <n x="528"/>
        <n x="611" s="1"/>
        <n x="675"/>
        <n x="676"/>
      </t>
    </mdx>
    <mdx n="0" f="v">
      <t c="6" si="614">
        <n x="610"/>
        <n x="527"/>
        <n x="528"/>
        <n x="611" s="1"/>
        <n x="677"/>
        <n x="678"/>
      </t>
    </mdx>
    <mdx n="0" f="v">
      <t c="6" si="614">
        <n x="610"/>
        <n x="527"/>
        <n x="528"/>
        <n x="611" s="1"/>
        <n x="679"/>
        <n x="680"/>
      </t>
    </mdx>
    <mdx n="0" f="v">
      <t c="6" si="614">
        <n x="610"/>
        <n x="527"/>
        <n x="528"/>
        <n x="611" s="1"/>
        <n x="681"/>
        <n x="682"/>
      </t>
    </mdx>
    <mdx n="0" f="v">
      <t c="6" si="614">
        <n x="610"/>
        <n x="527"/>
        <n x="528"/>
        <n x="611" s="1"/>
        <n x="683"/>
        <n x="684"/>
      </t>
    </mdx>
    <mdx n="0" f="v">
      <t c="6" si="614">
        <n x="610"/>
        <n x="527"/>
        <n x="528"/>
        <n x="611" s="1"/>
        <n x="687"/>
        <n x="688"/>
      </t>
    </mdx>
    <mdx n="0" f="v">
      <t c="6" si="614">
        <n x="610"/>
        <n x="527"/>
        <n x="528"/>
        <n x="611" s="1"/>
        <n x="689"/>
        <n x="690"/>
      </t>
    </mdx>
    <mdx n="0" f="v">
      <t c="6" si="614">
        <n x="610"/>
        <n x="527"/>
        <n x="528"/>
        <n x="611" s="1"/>
        <n x="691"/>
        <n x="692"/>
      </t>
    </mdx>
    <mdx n="0" f="v">
      <t c="6" si="614">
        <n x="610"/>
        <n x="527"/>
        <n x="528"/>
        <n x="611" s="1"/>
        <n x="693"/>
        <n x="694"/>
      </t>
    </mdx>
    <mdx n="0" f="v">
      <t c="6" si="614">
        <n x="610"/>
        <n x="527"/>
        <n x="528"/>
        <n x="611" s="1"/>
        <n x="695"/>
        <n x="696"/>
      </t>
    </mdx>
    <mdx n="0" f="v">
      <t c="6" si="614">
        <n x="610"/>
        <n x="527"/>
        <n x="528"/>
        <n x="611" s="1"/>
        <n x="697"/>
        <n x="698"/>
      </t>
    </mdx>
    <mdx n="0" f="v">
      <t c="6" si="614">
        <n x="610"/>
        <n x="527"/>
        <n x="528"/>
        <n x="611" s="1"/>
        <n x="699"/>
        <n x="700"/>
      </t>
    </mdx>
    <mdx n="0" f="v">
      <t c="6" si="614">
        <n x="610"/>
        <n x="527"/>
        <n x="528"/>
        <n x="611" s="1"/>
        <n x="703"/>
        <n x="704"/>
      </t>
    </mdx>
    <mdx n="0" f="v">
      <t c="6" si="614">
        <n x="610"/>
        <n x="527"/>
        <n x="528"/>
        <n x="611" s="1"/>
        <n x="707"/>
        <n x="708"/>
      </t>
    </mdx>
    <mdx n="0" f="v">
      <t c="6" si="614">
        <n x="610"/>
        <n x="529"/>
        <n x="530"/>
        <n x="611" s="1"/>
        <n x="612"/>
        <n x="613"/>
      </t>
    </mdx>
    <mdx n="0" f="v">
      <t c="6" si="614">
        <n x="610"/>
        <n x="529"/>
        <n x="530"/>
        <n x="611" s="1"/>
        <n x="615"/>
        <n x="616"/>
      </t>
    </mdx>
    <mdx n="0" f="v">
      <t c="6" si="614">
        <n x="610"/>
        <n x="529"/>
        <n x="530"/>
        <n x="611" s="1"/>
        <n x="619"/>
        <n x="620"/>
      </t>
    </mdx>
    <mdx n="0" f="v">
      <t c="6" si="614">
        <n x="610"/>
        <n x="529"/>
        <n x="530"/>
        <n x="611" s="1"/>
        <n x="623"/>
        <n x="624"/>
      </t>
    </mdx>
    <mdx n="0" f="v">
      <t c="6" si="614">
        <n x="610"/>
        <n x="529"/>
        <n x="530"/>
        <n x="611" s="1"/>
        <n x="625"/>
        <n x="626"/>
      </t>
    </mdx>
    <mdx n="0" f="v">
      <t c="6" si="614">
        <n x="610"/>
        <n x="529"/>
        <n x="530"/>
        <n x="611" s="1"/>
        <n x="627"/>
        <n x="628"/>
      </t>
    </mdx>
    <mdx n="0" f="v">
      <t c="6" si="614">
        <n x="610"/>
        <n x="529"/>
        <n x="530"/>
        <n x="611" s="1"/>
        <n x="631"/>
        <n x="632"/>
      </t>
    </mdx>
    <mdx n="0" f="v">
      <t c="6" si="614">
        <n x="610"/>
        <n x="529"/>
        <n x="530"/>
        <n x="611" s="1"/>
        <n x="633"/>
        <n x="634"/>
      </t>
    </mdx>
    <mdx n="0" f="v">
      <t c="6" si="614">
        <n x="610"/>
        <n x="529"/>
        <n x="530"/>
        <n x="611" s="1"/>
        <n x="635"/>
        <n x="636"/>
      </t>
    </mdx>
    <mdx n="0" f="v">
      <t c="6" si="614">
        <n x="610"/>
        <n x="529"/>
        <n x="530"/>
        <n x="611" s="1"/>
        <n x="643"/>
        <n x="644"/>
      </t>
    </mdx>
    <mdx n="0" f="v">
      <t c="6" si="614">
        <n x="610"/>
        <n x="529"/>
        <n x="530"/>
        <n x="611" s="1"/>
        <n x="645"/>
        <n x="646"/>
      </t>
    </mdx>
    <mdx n="0" f="v">
      <t c="6" si="614">
        <n x="610"/>
        <n x="529"/>
        <n x="530"/>
        <n x="611" s="1"/>
        <n x="649"/>
        <n x="650"/>
      </t>
    </mdx>
    <mdx n="0" f="v">
      <t c="6" si="614">
        <n x="610"/>
        <n x="529"/>
        <n x="530"/>
        <n x="611" s="1"/>
        <n x="659"/>
        <n x="660"/>
      </t>
    </mdx>
    <mdx n="0" f="v">
      <t c="6" si="614">
        <n x="610"/>
        <n x="529"/>
        <n x="530"/>
        <n x="611" s="1"/>
        <n x="665"/>
        <n x="666"/>
      </t>
    </mdx>
    <mdx n="0" f="v">
      <t c="6" si="614">
        <n x="610"/>
        <n x="529"/>
        <n x="530"/>
        <n x="611" s="1"/>
        <n x="667"/>
        <n x="668"/>
      </t>
    </mdx>
    <mdx n="0" f="v">
      <t c="6" si="614">
        <n x="610"/>
        <n x="529"/>
        <n x="530"/>
        <n x="611" s="1"/>
        <n x="671"/>
        <n x="672"/>
      </t>
    </mdx>
    <mdx n="0" f="v">
      <t c="6" si="614">
        <n x="610"/>
        <n x="529"/>
        <n x="530"/>
        <n x="611" s="1"/>
        <n x="673"/>
        <n x="674"/>
      </t>
    </mdx>
    <mdx n="0" f="v">
      <t c="6" si="614">
        <n x="610"/>
        <n x="529"/>
        <n x="530"/>
        <n x="611" s="1"/>
        <n x="677"/>
        <n x="678"/>
      </t>
    </mdx>
    <mdx n="0" f="v">
      <t c="6" si="614">
        <n x="610"/>
        <n x="529"/>
        <n x="530"/>
        <n x="611" s="1"/>
        <n x="679"/>
        <n x="680"/>
      </t>
    </mdx>
    <mdx n="0" f="v">
      <t c="6" si="614">
        <n x="610"/>
        <n x="529"/>
        <n x="530"/>
        <n x="611" s="1"/>
        <n x="681"/>
        <n x="682"/>
      </t>
    </mdx>
    <mdx n="0" f="v">
      <t c="6" si="614">
        <n x="610"/>
        <n x="529"/>
        <n x="530"/>
        <n x="611" s="1"/>
        <n x="683"/>
        <n x="684"/>
      </t>
    </mdx>
    <mdx n="0" f="v">
      <t c="6" si="614">
        <n x="610"/>
        <n x="529"/>
        <n x="530"/>
        <n x="611" s="1"/>
        <n x="687"/>
        <n x="688"/>
      </t>
    </mdx>
    <mdx n="0" f="v">
      <t c="6" si="614">
        <n x="610"/>
        <n x="529"/>
        <n x="530"/>
        <n x="611" s="1"/>
        <n x="689"/>
        <n x="690"/>
      </t>
    </mdx>
    <mdx n="0" f="v">
      <t c="6" si="614">
        <n x="610"/>
        <n x="529"/>
        <n x="530"/>
        <n x="611" s="1"/>
        <n x="691"/>
        <n x="692"/>
      </t>
    </mdx>
    <mdx n="0" f="v">
      <t c="6" si="614">
        <n x="610"/>
        <n x="529"/>
        <n x="530"/>
        <n x="611" s="1"/>
        <n x="695"/>
        <n x="696"/>
      </t>
    </mdx>
    <mdx n="0" f="v">
      <t c="6" si="614">
        <n x="610"/>
        <n x="529"/>
        <n x="530"/>
        <n x="611" s="1"/>
        <n x="699"/>
        <n x="700"/>
      </t>
    </mdx>
    <mdx n="0" f="v">
      <t c="6" si="614">
        <n x="610"/>
        <n x="529"/>
        <n x="530"/>
        <n x="611" s="1"/>
        <n x="701"/>
        <n x="702"/>
      </t>
    </mdx>
    <mdx n="0" f="v">
      <t c="6" si="614">
        <n x="610"/>
        <n x="529"/>
        <n x="530"/>
        <n x="611" s="1"/>
        <n x="703"/>
        <n x="704"/>
      </t>
    </mdx>
    <mdx n="0" f="v">
      <t c="6" si="614">
        <n x="610"/>
        <n x="531"/>
        <n x="532"/>
        <n x="611" s="1"/>
        <n x="612"/>
        <n x="613"/>
      </t>
    </mdx>
    <mdx n="0" f="v">
      <t c="6" si="614">
        <n x="610"/>
        <n x="531"/>
        <n x="532"/>
        <n x="611" s="1"/>
        <n x="615"/>
        <n x="616"/>
      </t>
    </mdx>
    <mdx n="0" f="v">
      <t c="6" si="614">
        <n x="610"/>
        <n x="531"/>
        <n x="532"/>
        <n x="611" s="1"/>
        <n x="617"/>
        <n x="618"/>
      </t>
    </mdx>
    <mdx n="0" f="v">
      <t c="6" si="614">
        <n x="610"/>
        <n x="531"/>
        <n x="532"/>
        <n x="611" s="1"/>
        <n x="619"/>
        <n x="620"/>
      </t>
    </mdx>
    <mdx n="0" f="v">
      <t c="6" si="614">
        <n x="610"/>
        <n x="531"/>
        <n x="532"/>
        <n x="611" s="1"/>
        <n x="621"/>
        <n x="622"/>
      </t>
    </mdx>
    <mdx n="0" f="v">
      <t c="6" si="614">
        <n x="610"/>
        <n x="531"/>
        <n x="532"/>
        <n x="611" s="1"/>
        <n x="627"/>
        <n x="628"/>
      </t>
    </mdx>
    <mdx n="0" f="v">
      <t c="6" si="614">
        <n x="610"/>
        <n x="531"/>
        <n x="532"/>
        <n x="611" s="1"/>
        <n x="629"/>
        <n x="630"/>
      </t>
    </mdx>
    <mdx n="0" f="v">
      <t c="6" si="614">
        <n x="610"/>
        <n x="531"/>
        <n x="532"/>
        <n x="611" s="1"/>
        <n x="631"/>
        <n x="632"/>
      </t>
    </mdx>
    <mdx n="0" f="v">
      <t c="6" si="614">
        <n x="610"/>
        <n x="531"/>
        <n x="532"/>
        <n x="611" s="1"/>
        <n x="633"/>
        <n x="634"/>
      </t>
    </mdx>
    <mdx n="0" f="v">
      <t c="6" si="614">
        <n x="610"/>
        <n x="531"/>
        <n x="532"/>
        <n x="611" s="1"/>
        <n x="635"/>
        <n x="636"/>
      </t>
    </mdx>
    <mdx n="0" f="v">
      <t c="6" si="614">
        <n x="610"/>
        <n x="531"/>
        <n x="532"/>
        <n x="611" s="1"/>
        <n x="637"/>
        <n x="638"/>
      </t>
    </mdx>
    <mdx n="0" f="v">
      <t c="6" si="614">
        <n x="610"/>
        <n x="531"/>
        <n x="532"/>
        <n x="611" s="1"/>
        <n x="639"/>
        <n x="640"/>
      </t>
    </mdx>
    <mdx n="0" f="v">
      <t c="6" si="614">
        <n x="610"/>
        <n x="531"/>
        <n x="532"/>
        <n x="611" s="1"/>
        <n x="643"/>
        <n x="644"/>
      </t>
    </mdx>
    <mdx n="0" f="v">
      <t c="6" si="614">
        <n x="610"/>
        <n x="531"/>
        <n x="532"/>
        <n x="611" s="1"/>
        <n x="647"/>
        <n x="648"/>
      </t>
    </mdx>
    <mdx n="0" f="v">
      <t c="6" si="614">
        <n x="610"/>
        <n x="531"/>
        <n x="532"/>
        <n x="611" s="1"/>
        <n x="651"/>
        <n x="652"/>
      </t>
    </mdx>
    <mdx n="0" f="v">
      <t c="6" si="614">
        <n x="610"/>
        <n x="531"/>
        <n x="532"/>
        <n x="611" s="1"/>
        <n x="653"/>
        <n x="654"/>
      </t>
    </mdx>
    <mdx n="0" f="v">
      <t c="6" si="614">
        <n x="610"/>
        <n x="531"/>
        <n x="532"/>
        <n x="611" s="1"/>
        <n x="655"/>
        <n x="656"/>
      </t>
    </mdx>
    <mdx n="0" f="v">
      <t c="6" si="614">
        <n x="610"/>
        <n x="531"/>
        <n x="532"/>
        <n x="611" s="1"/>
        <n x="657"/>
        <n x="658"/>
      </t>
    </mdx>
    <mdx n="0" f="v">
      <t c="6" si="614">
        <n x="610"/>
        <n x="531"/>
        <n x="532"/>
        <n x="611" s="1"/>
        <n x="659"/>
        <n x="660"/>
      </t>
    </mdx>
    <mdx n="0" f="v">
      <t c="6" si="614">
        <n x="610"/>
        <n x="531"/>
        <n x="532"/>
        <n x="611" s="1"/>
        <n x="661"/>
        <n x="662"/>
      </t>
    </mdx>
    <mdx n="0" f="v">
      <t c="6" si="614">
        <n x="610"/>
        <n x="531"/>
        <n x="532"/>
        <n x="611" s="1"/>
        <n x="663"/>
        <n x="664"/>
      </t>
    </mdx>
    <mdx n="0" f="v">
      <t c="6" si="614">
        <n x="610"/>
        <n x="531"/>
        <n x="532"/>
        <n x="611" s="1"/>
        <n x="665"/>
        <n x="666"/>
      </t>
    </mdx>
    <mdx n="0" f="v">
      <t c="6" si="614">
        <n x="610"/>
        <n x="531"/>
        <n x="532"/>
        <n x="611" s="1"/>
        <n x="667"/>
        <n x="668"/>
      </t>
    </mdx>
    <mdx n="0" f="v">
      <t c="6" si="614">
        <n x="610"/>
        <n x="531"/>
        <n x="532"/>
        <n x="611" s="1"/>
        <n x="669"/>
        <n x="670"/>
      </t>
    </mdx>
    <mdx n="0" f="v">
      <t c="6" si="614">
        <n x="610"/>
        <n x="531"/>
        <n x="532"/>
        <n x="611" s="1"/>
        <n x="671"/>
        <n x="672"/>
      </t>
    </mdx>
    <mdx n="0" f="v">
      <t c="6" si="614">
        <n x="610"/>
        <n x="531"/>
        <n x="532"/>
        <n x="611" s="1"/>
        <n x="673"/>
        <n x="674"/>
      </t>
    </mdx>
    <mdx n="0" f="v">
      <t c="6" si="614">
        <n x="610"/>
        <n x="531"/>
        <n x="532"/>
        <n x="611" s="1"/>
        <n x="675"/>
        <n x="676"/>
      </t>
    </mdx>
    <mdx n="0" f="v">
      <t c="6" si="614">
        <n x="610"/>
        <n x="531"/>
        <n x="532"/>
        <n x="611" s="1"/>
        <n x="679"/>
        <n x="680"/>
      </t>
    </mdx>
    <mdx n="0" f="v">
      <t c="6" si="614">
        <n x="610"/>
        <n x="531"/>
        <n x="532"/>
        <n x="611" s="1"/>
        <n x="681"/>
        <n x="682"/>
      </t>
    </mdx>
    <mdx n="0" f="v">
      <t c="6" si="614">
        <n x="610"/>
        <n x="531"/>
        <n x="532"/>
        <n x="611" s="1"/>
        <n x="683"/>
        <n x="684"/>
      </t>
    </mdx>
    <mdx n="0" f="v">
      <t c="6" si="614">
        <n x="610"/>
        <n x="531"/>
        <n x="532"/>
        <n x="611" s="1"/>
        <n x="685"/>
        <n x="686"/>
      </t>
    </mdx>
    <mdx n="0" f="v">
      <t c="6" si="614">
        <n x="610"/>
        <n x="531"/>
        <n x="532"/>
        <n x="611" s="1"/>
        <n x="687"/>
        <n x="688"/>
      </t>
    </mdx>
    <mdx n="0" f="v">
      <t c="6" si="614">
        <n x="610"/>
        <n x="531"/>
        <n x="532"/>
        <n x="611" s="1"/>
        <n x="689"/>
        <n x="690"/>
      </t>
    </mdx>
    <mdx n="0" f="v">
      <t c="6" si="614">
        <n x="610"/>
        <n x="531"/>
        <n x="532"/>
        <n x="611" s="1"/>
        <n x="691"/>
        <n x="692"/>
      </t>
    </mdx>
    <mdx n="0" f="v">
      <t c="6" si="614">
        <n x="610"/>
        <n x="531"/>
        <n x="532"/>
        <n x="611" s="1"/>
        <n x="693"/>
        <n x="694"/>
      </t>
    </mdx>
    <mdx n="0" f="v">
      <t c="6" si="614">
        <n x="610"/>
        <n x="531"/>
        <n x="532"/>
        <n x="611" s="1"/>
        <n x="701"/>
        <n x="702"/>
      </t>
    </mdx>
    <mdx n="0" f="v">
      <t c="6" si="614">
        <n x="610"/>
        <n x="531"/>
        <n x="532"/>
        <n x="611" s="1"/>
        <n x="703"/>
        <n x="704"/>
      </t>
    </mdx>
    <mdx n="0" f="v">
      <t c="6" si="614">
        <n x="610"/>
        <n x="531"/>
        <n x="532"/>
        <n x="611" s="1"/>
        <n x="705"/>
        <n x="706"/>
      </t>
    </mdx>
    <mdx n="0" f="v">
      <t c="6" si="614">
        <n x="610"/>
        <n x="533"/>
        <n x="534"/>
        <n x="611" s="1"/>
        <n x="612"/>
        <n x="613"/>
      </t>
    </mdx>
    <mdx n="0" f="v">
      <t c="6" si="614">
        <n x="610"/>
        <n x="533"/>
        <n x="534"/>
        <n x="611" s="1"/>
        <n x="615"/>
        <n x="616"/>
      </t>
    </mdx>
    <mdx n="0" f="v">
      <t c="6" si="614">
        <n x="610"/>
        <n x="533"/>
        <n x="534"/>
        <n x="611" s="1"/>
        <n x="617"/>
        <n x="618"/>
      </t>
    </mdx>
    <mdx n="0" f="v">
      <t c="6" si="614">
        <n x="610"/>
        <n x="533"/>
        <n x="534"/>
        <n x="611" s="1"/>
        <n x="619"/>
        <n x="620"/>
      </t>
    </mdx>
    <mdx n="0" f="v">
      <t c="6" si="614">
        <n x="610"/>
        <n x="533"/>
        <n x="534"/>
        <n x="611" s="1"/>
        <n x="623"/>
        <n x="624"/>
      </t>
    </mdx>
    <mdx n="0" f="v">
      <t c="6" si="614">
        <n x="610"/>
        <n x="533"/>
        <n x="534"/>
        <n x="611" s="1"/>
        <n x="625"/>
        <n x="626"/>
      </t>
    </mdx>
    <mdx n="0" f="v">
      <t c="6" si="614">
        <n x="610"/>
        <n x="533"/>
        <n x="534"/>
        <n x="611" s="1"/>
        <n x="627"/>
        <n x="628"/>
      </t>
    </mdx>
    <mdx n="0" f="v">
      <t c="6" si="614">
        <n x="610"/>
        <n x="533"/>
        <n x="534"/>
        <n x="611" s="1"/>
        <n x="629"/>
        <n x="630"/>
      </t>
    </mdx>
    <mdx n="0" f="v">
      <t c="6" si="614">
        <n x="610"/>
        <n x="533"/>
        <n x="534"/>
        <n x="611" s="1"/>
        <n x="635"/>
        <n x="636"/>
      </t>
    </mdx>
    <mdx n="0" f="v">
      <t c="6" si="614">
        <n x="610"/>
        <n x="533"/>
        <n x="534"/>
        <n x="611" s="1"/>
        <n x="641"/>
        <n x="642"/>
      </t>
    </mdx>
    <mdx n="0" f="v">
      <t c="6" si="614">
        <n x="610"/>
        <n x="533"/>
        <n x="534"/>
        <n x="611" s="1"/>
        <n x="643"/>
        <n x="644"/>
      </t>
    </mdx>
    <mdx n="0" f="v">
      <t c="6" si="614">
        <n x="610"/>
        <n x="533"/>
        <n x="534"/>
        <n x="611" s="1"/>
        <n x="647"/>
        <n x="648"/>
      </t>
    </mdx>
    <mdx n="0" f="v">
      <t c="6" si="614">
        <n x="610"/>
        <n x="533"/>
        <n x="534"/>
        <n x="611" s="1"/>
        <n x="649"/>
        <n x="650"/>
      </t>
    </mdx>
    <mdx n="0" f="v">
      <t c="6" si="614">
        <n x="610"/>
        <n x="533"/>
        <n x="534"/>
        <n x="611" s="1"/>
        <n x="651"/>
        <n x="652"/>
      </t>
    </mdx>
    <mdx n="0" f="v">
      <t c="6" si="614">
        <n x="610"/>
        <n x="533"/>
        <n x="534"/>
        <n x="611" s="1"/>
        <n x="657"/>
        <n x="658"/>
      </t>
    </mdx>
    <mdx n="0" f="v">
      <t c="6" si="614">
        <n x="610"/>
        <n x="533"/>
        <n x="534"/>
        <n x="611" s="1"/>
        <n x="659"/>
        <n x="660"/>
      </t>
    </mdx>
    <mdx n="0" f="v">
      <t c="6" si="614">
        <n x="610"/>
        <n x="533"/>
        <n x="534"/>
        <n x="611" s="1"/>
        <n x="661"/>
        <n x="662"/>
      </t>
    </mdx>
    <mdx n="0" f="v">
      <t c="6" si="614">
        <n x="610"/>
        <n x="533"/>
        <n x="534"/>
        <n x="611" s="1"/>
        <n x="663"/>
        <n x="664"/>
      </t>
    </mdx>
    <mdx n="0" f="v">
      <t c="6" si="614">
        <n x="610"/>
        <n x="533"/>
        <n x="534"/>
        <n x="611" s="1"/>
        <n x="665"/>
        <n x="666"/>
      </t>
    </mdx>
    <mdx n="0" f="v">
      <t c="6" si="614">
        <n x="610"/>
        <n x="533"/>
        <n x="534"/>
        <n x="611" s="1"/>
        <n x="667"/>
        <n x="668"/>
      </t>
    </mdx>
    <mdx n="0" f="v">
      <t c="6" si="614">
        <n x="610"/>
        <n x="533"/>
        <n x="534"/>
        <n x="611" s="1"/>
        <n x="669"/>
        <n x="670"/>
      </t>
    </mdx>
    <mdx n="0" f="v">
      <t c="6" si="614">
        <n x="610"/>
        <n x="533"/>
        <n x="534"/>
        <n x="611" s="1"/>
        <n x="673"/>
        <n x="674"/>
      </t>
    </mdx>
    <mdx n="0" f="v">
      <t c="6" si="614">
        <n x="610"/>
        <n x="533"/>
        <n x="534"/>
        <n x="611" s="1"/>
        <n x="675"/>
        <n x="676"/>
      </t>
    </mdx>
    <mdx n="0" f="v">
      <t c="6" si="614">
        <n x="610"/>
        <n x="533"/>
        <n x="534"/>
        <n x="611" s="1"/>
        <n x="677"/>
        <n x="678"/>
      </t>
    </mdx>
    <mdx n="0" f="v">
      <t c="6" si="614">
        <n x="610"/>
        <n x="533"/>
        <n x="534"/>
        <n x="611" s="1"/>
        <n x="679"/>
        <n x="680"/>
      </t>
    </mdx>
    <mdx n="0" f="v">
      <t c="6" si="614">
        <n x="610"/>
        <n x="533"/>
        <n x="534"/>
        <n x="611" s="1"/>
        <n x="681"/>
        <n x="682"/>
      </t>
    </mdx>
    <mdx n="0" f="v">
      <t c="6" si="614">
        <n x="610"/>
        <n x="533"/>
        <n x="534"/>
        <n x="611" s="1"/>
        <n x="683"/>
        <n x="684"/>
      </t>
    </mdx>
    <mdx n="0" f="v">
      <t c="6" si="614">
        <n x="610"/>
        <n x="533"/>
        <n x="534"/>
        <n x="611" s="1"/>
        <n x="685"/>
        <n x="686"/>
      </t>
    </mdx>
    <mdx n="0" f="v">
      <t c="6" si="614">
        <n x="610"/>
        <n x="533"/>
        <n x="534"/>
        <n x="611" s="1"/>
        <n x="687"/>
        <n x="688"/>
      </t>
    </mdx>
    <mdx n="0" f="v">
      <t c="6" si="614">
        <n x="610"/>
        <n x="533"/>
        <n x="534"/>
        <n x="611" s="1"/>
        <n x="691"/>
        <n x="692"/>
      </t>
    </mdx>
    <mdx n="0" f="v">
      <t c="6" si="614">
        <n x="610"/>
        <n x="533"/>
        <n x="534"/>
        <n x="611" s="1"/>
        <n x="693"/>
        <n x="694"/>
      </t>
    </mdx>
    <mdx n="0" f="v">
      <t c="6" si="614">
        <n x="610"/>
        <n x="533"/>
        <n x="534"/>
        <n x="611" s="1"/>
        <n x="695"/>
        <n x="696"/>
      </t>
    </mdx>
    <mdx n="0" f="v">
      <t c="6" si="614">
        <n x="610"/>
        <n x="533"/>
        <n x="534"/>
        <n x="611" s="1"/>
        <n x="697"/>
        <n x="698"/>
      </t>
    </mdx>
    <mdx n="0" f="v">
      <t c="6" si="614">
        <n x="610"/>
        <n x="533"/>
        <n x="534"/>
        <n x="611" s="1"/>
        <n x="699"/>
        <n x="700"/>
      </t>
    </mdx>
    <mdx n="0" f="v">
      <t c="6" si="614">
        <n x="610"/>
        <n x="533"/>
        <n x="534"/>
        <n x="611" s="1"/>
        <n x="701"/>
        <n x="702"/>
      </t>
    </mdx>
    <mdx n="0" f="v">
      <t c="6" si="614">
        <n x="610"/>
        <n x="533"/>
        <n x="534"/>
        <n x="611" s="1"/>
        <n x="705"/>
        <n x="706"/>
      </t>
    </mdx>
    <mdx n="0" f="v">
      <t c="6" si="614">
        <n x="610"/>
        <n x="535"/>
        <n x="536"/>
        <n x="611" s="1"/>
        <n x="612"/>
        <n x="613"/>
      </t>
    </mdx>
    <mdx n="0" f="v">
      <t c="6" si="614">
        <n x="610"/>
        <n x="535"/>
        <n x="536"/>
        <n x="611" s="1"/>
        <n x="615"/>
        <n x="616"/>
      </t>
    </mdx>
    <mdx n="0" f="v">
      <t c="6" si="614">
        <n x="610"/>
        <n x="535"/>
        <n x="536"/>
        <n x="611" s="1"/>
        <n x="621"/>
        <n x="622"/>
      </t>
    </mdx>
    <mdx n="0" f="v">
      <t c="6" si="614">
        <n x="610"/>
        <n x="535"/>
        <n x="536"/>
        <n x="611" s="1"/>
        <n x="623"/>
        <n x="624"/>
      </t>
    </mdx>
    <mdx n="0" f="v">
      <t c="6" si="614">
        <n x="610"/>
        <n x="535"/>
        <n x="536"/>
        <n x="611" s="1"/>
        <n x="625"/>
        <n x="626"/>
      </t>
    </mdx>
    <mdx n="0" f="v">
      <t c="6" si="614">
        <n x="610"/>
        <n x="535"/>
        <n x="536"/>
        <n x="611" s="1"/>
        <n x="627"/>
        <n x="628"/>
      </t>
    </mdx>
    <mdx n="0" f="v">
      <t c="6" si="614">
        <n x="610"/>
        <n x="535"/>
        <n x="536"/>
        <n x="611" s="1"/>
        <n x="631"/>
        <n x="632"/>
      </t>
    </mdx>
    <mdx n="0" f="v">
      <t c="6" si="614">
        <n x="610"/>
        <n x="535"/>
        <n x="536"/>
        <n x="611" s="1"/>
        <n x="635"/>
        <n x="636"/>
      </t>
    </mdx>
    <mdx n="0" f="v">
      <t c="6" si="614">
        <n x="610"/>
        <n x="535"/>
        <n x="536"/>
        <n x="611" s="1"/>
        <n x="643"/>
        <n x="644"/>
      </t>
    </mdx>
    <mdx n="0" f="v">
      <t c="6" si="614">
        <n x="610"/>
        <n x="535"/>
        <n x="536"/>
        <n x="611" s="1"/>
        <n x="645"/>
        <n x="646"/>
      </t>
    </mdx>
    <mdx n="0" f="v">
      <t c="6" si="614">
        <n x="610"/>
        <n x="535"/>
        <n x="536"/>
        <n x="611" s="1"/>
        <n x="647"/>
        <n x="648"/>
      </t>
    </mdx>
    <mdx n="0" f="v">
      <t c="6" si="614">
        <n x="610"/>
        <n x="535"/>
        <n x="536"/>
        <n x="611" s="1"/>
        <n x="649"/>
        <n x="650"/>
      </t>
    </mdx>
    <mdx n="0" f="v">
      <t c="6" si="614">
        <n x="610"/>
        <n x="535"/>
        <n x="536"/>
        <n x="611" s="1"/>
        <n x="651"/>
        <n x="652"/>
      </t>
    </mdx>
    <mdx n="0" f="v">
      <t c="6" si="614">
        <n x="610"/>
        <n x="535"/>
        <n x="536"/>
        <n x="611" s="1"/>
        <n x="657"/>
        <n x="658"/>
      </t>
    </mdx>
    <mdx n="0" f="v">
      <t c="6" si="614">
        <n x="610"/>
        <n x="535"/>
        <n x="536"/>
        <n x="611" s="1"/>
        <n x="659"/>
        <n x="660"/>
      </t>
    </mdx>
    <mdx n="0" f="v">
      <t c="6" si="614">
        <n x="610"/>
        <n x="535"/>
        <n x="536"/>
        <n x="611" s="1"/>
        <n x="663"/>
        <n x="664"/>
      </t>
    </mdx>
    <mdx n="0" f="v">
      <t c="6" si="614">
        <n x="610"/>
        <n x="535"/>
        <n x="536"/>
        <n x="611" s="1"/>
        <n x="665"/>
        <n x="666"/>
      </t>
    </mdx>
    <mdx n="0" f="v">
      <t c="6" si="614">
        <n x="610"/>
        <n x="535"/>
        <n x="536"/>
        <n x="611" s="1"/>
        <n x="667"/>
        <n x="668"/>
      </t>
    </mdx>
    <mdx n="0" f="v">
      <t c="6" si="614">
        <n x="610"/>
        <n x="535"/>
        <n x="536"/>
        <n x="611" s="1"/>
        <n x="669"/>
        <n x="670"/>
      </t>
    </mdx>
    <mdx n="0" f="v">
      <t c="6" si="614">
        <n x="610"/>
        <n x="535"/>
        <n x="536"/>
        <n x="611" s="1"/>
        <n x="671"/>
        <n x="672"/>
      </t>
    </mdx>
    <mdx n="0" f="v">
      <t c="6" si="614">
        <n x="610"/>
        <n x="535"/>
        <n x="536"/>
        <n x="611" s="1"/>
        <n x="673"/>
        <n x="674"/>
      </t>
    </mdx>
    <mdx n="0" f="v">
      <t c="6" si="614">
        <n x="610"/>
        <n x="535"/>
        <n x="536"/>
        <n x="611" s="1"/>
        <n x="675"/>
        <n x="676"/>
      </t>
    </mdx>
    <mdx n="0" f="v">
      <t c="6" si="614">
        <n x="610"/>
        <n x="535"/>
        <n x="536"/>
        <n x="611" s="1"/>
        <n x="677"/>
        <n x="678"/>
      </t>
    </mdx>
    <mdx n="0" f="v">
      <t c="6" si="614">
        <n x="610"/>
        <n x="535"/>
        <n x="536"/>
        <n x="611" s="1"/>
        <n x="679"/>
        <n x="680"/>
      </t>
    </mdx>
    <mdx n="0" f="v">
      <t c="6" si="614">
        <n x="610"/>
        <n x="535"/>
        <n x="536"/>
        <n x="611" s="1"/>
        <n x="681"/>
        <n x="682"/>
      </t>
    </mdx>
    <mdx n="0" f="v">
      <t c="6" si="614">
        <n x="610"/>
        <n x="535"/>
        <n x="536"/>
        <n x="611" s="1"/>
        <n x="683"/>
        <n x="684"/>
      </t>
    </mdx>
    <mdx n="0" f="v">
      <t c="6" si="614">
        <n x="610"/>
        <n x="535"/>
        <n x="536"/>
        <n x="611" s="1"/>
        <n x="685"/>
        <n x="686"/>
      </t>
    </mdx>
    <mdx n="0" f="v">
      <t c="6" si="614">
        <n x="610"/>
        <n x="535"/>
        <n x="536"/>
        <n x="611" s="1"/>
        <n x="687"/>
        <n x="688"/>
      </t>
    </mdx>
    <mdx n="0" f="v">
      <t c="6" si="614">
        <n x="610"/>
        <n x="535"/>
        <n x="536"/>
        <n x="611" s="1"/>
        <n x="689"/>
        <n x="690"/>
      </t>
    </mdx>
    <mdx n="0" f="v">
      <t c="6" si="614">
        <n x="610"/>
        <n x="535"/>
        <n x="536"/>
        <n x="611" s="1"/>
        <n x="695"/>
        <n x="696"/>
      </t>
    </mdx>
    <mdx n="0" f="v">
      <t c="6" si="614">
        <n x="610"/>
        <n x="535"/>
        <n x="536"/>
        <n x="611" s="1"/>
        <n x="699"/>
        <n x="700"/>
      </t>
    </mdx>
    <mdx n="0" f="v">
      <t c="6" si="614">
        <n x="610"/>
        <n x="535"/>
        <n x="536"/>
        <n x="611" s="1"/>
        <n x="701"/>
        <n x="702"/>
      </t>
    </mdx>
    <mdx n="0" f="v">
      <t c="6" si="614">
        <n x="610"/>
        <n x="535"/>
        <n x="536"/>
        <n x="611" s="1"/>
        <n x="703"/>
        <n x="704"/>
      </t>
    </mdx>
    <mdx n="0" f="v">
      <t c="6" si="614">
        <n x="610"/>
        <n x="535"/>
        <n x="536"/>
        <n x="611" s="1"/>
        <n x="705"/>
        <n x="706"/>
      </t>
    </mdx>
    <mdx n="0" f="v">
      <t c="6" si="614">
        <n x="610"/>
        <n x="537"/>
        <n x="538"/>
        <n x="611" s="1"/>
        <n x="612"/>
        <n x="613"/>
      </t>
    </mdx>
    <mdx n="0" f="v">
      <t c="6" si="614">
        <n x="610"/>
        <n x="537"/>
        <n x="538"/>
        <n x="611" s="1"/>
        <n x="615"/>
        <n x="616"/>
      </t>
    </mdx>
    <mdx n="0" f="v">
      <t c="6" si="614">
        <n x="610"/>
        <n x="537"/>
        <n x="538"/>
        <n x="611" s="1"/>
        <n x="617"/>
        <n x="618"/>
      </t>
    </mdx>
    <mdx n="0" f="v">
      <t c="6" si="614">
        <n x="610"/>
        <n x="537"/>
        <n x="538"/>
        <n x="611" s="1"/>
        <n x="619"/>
        <n x="620"/>
      </t>
    </mdx>
    <mdx n="0" f="v">
      <t c="6" si="614">
        <n x="610"/>
        <n x="537"/>
        <n x="538"/>
        <n x="611" s="1"/>
        <n x="623"/>
        <n x="624"/>
      </t>
    </mdx>
    <mdx n="0" f="v">
      <t c="6" si="614">
        <n x="610"/>
        <n x="537"/>
        <n x="538"/>
        <n x="611" s="1"/>
        <n x="625"/>
        <n x="626"/>
      </t>
    </mdx>
    <mdx n="0" f="v">
      <t c="6" si="614">
        <n x="610"/>
        <n x="537"/>
        <n x="538"/>
        <n x="611" s="1"/>
        <n x="627"/>
        <n x="628"/>
      </t>
    </mdx>
    <mdx n="0" f="v">
      <t c="6" si="614">
        <n x="610"/>
        <n x="537"/>
        <n x="538"/>
        <n x="611" s="1"/>
        <n x="629"/>
        <n x="630"/>
      </t>
    </mdx>
    <mdx n="0" f="v">
      <t c="6" si="614">
        <n x="610"/>
        <n x="537"/>
        <n x="538"/>
        <n x="611" s="1"/>
        <n x="631"/>
        <n x="632"/>
      </t>
    </mdx>
    <mdx n="0" f="v">
      <t c="6" si="614">
        <n x="610"/>
        <n x="537"/>
        <n x="538"/>
        <n x="611" s="1"/>
        <n x="635"/>
        <n x="636"/>
      </t>
    </mdx>
    <mdx n="0" f="v">
      <t c="6" si="614">
        <n x="610"/>
        <n x="537"/>
        <n x="538"/>
        <n x="611" s="1"/>
        <n x="643"/>
        <n x="644"/>
      </t>
    </mdx>
    <mdx n="0" f="v">
      <t c="6" si="614">
        <n x="610"/>
        <n x="537"/>
        <n x="538"/>
        <n x="611" s="1"/>
        <n x="645"/>
        <n x="646"/>
      </t>
    </mdx>
    <mdx n="0" f="v">
      <t c="6" si="614">
        <n x="610"/>
        <n x="537"/>
        <n x="538"/>
        <n x="611" s="1"/>
        <n x="647"/>
        <n x="648"/>
      </t>
    </mdx>
    <mdx n="0" f="v">
      <t c="6" si="614">
        <n x="610"/>
        <n x="537"/>
        <n x="538"/>
        <n x="611" s="1"/>
        <n x="649"/>
        <n x="650"/>
      </t>
    </mdx>
    <mdx n="0" f="v">
      <t c="6" si="614">
        <n x="610"/>
        <n x="537"/>
        <n x="538"/>
        <n x="611" s="1"/>
        <n x="651"/>
        <n x="652"/>
      </t>
    </mdx>
    <mdx n="0" f="v">
      <t c="6" si="614">
        <n x="610"/>
        <n x="537"/>
        <n x="538"/>
        <n x="611" s="1"/>
        <n x="657"/>
        <n x="658"/>
      </t>
    </mdx>
    <mdx n="0" f="v">
      <t c="6" si="614">
        <n x="610"/>
        <n x="537"/>
        <n x="538"/>
        <n x="611" s="1"/>
        <n x="659"/>
        <n x="660"/>
      </t>
    </mdx>
    <mdx n="0" f="v">
      <t c="6" si="614">
        <n x="610"/>
        <n x="537"/>
        <n x="538"/>
        <n x="611" s="1"/>
        <n x="661"/>
        <n x="662"/>
      </t>
    </mdx>
    <mdx n="0" f="v">
      <t c="6" si="614">
        <n x="610"/>
        <n x="537"/>
        <n x="538"/>
        <n x="611" s="1"/>
        <n x="667"/>
        <n x="668"/>
      </t>
    </mdx>
    <mdx n="0" f="v">
      <t c="6" si="614">
        <n x="610"/>
        <n x="537"/>
        <n x="538"/>
        <n x="611" s="1"/>
        <n x="669"/>
        <n x="670"/>
      </t>
    </mdx>
    <mdx n="0" f="v">
      <t c="6" si="614">
        <n x="610"/>
        <n x="537"/>
        <n x="538"/>
        <n x="611" s="1"/>
        <n x="671"/>
        <n x="672"/>
      </t>
    </mdx>
    <mdx n="0" f="v">
      <t c="6" si="614">
        <n x="610"/>
        <n x="537"/>
        <n x="538"/>
        <n x="611" s="1"/>
        <n x="673"/>
        <n x="674"/>
      </t>
    </mdx>
    <mdx n="0" f="v">
      <t c="6" si="614">
        <n x="610"/>
        <n x="537"/>
        <n x="538"/>
        <n x="611" s="1"/>
        <n x="675"/>
        <n x="676"/>
      </t>
    </mdx>
    <mdx n="0" f="v">
      <t c="6" si="614">
        <n x="610"/>
        <n x="537"/>
        <n x="538"/>
        <n x="611" s="1"/>
        <n x="677"/>
        <n x="678"/>
      </t>
    </mdx>
    <mdx n="0" f="v">
      <t c="6" si="614">
        <n x="610"/>
        <n x="537"/>
        <n x="538"/>
        <n x="611" s="1"/>
        <n x="679"/>
        <n x="680"/>
      </t>
    </mdx>
    <mdx n="0" f="v">
      <t c="6" si="614">
        <n x="610"/>
        <n x="537"/>
        <n x="538"/>
        <n x="611" s="1"/>
        <n x="681"/>
        <n x="682"/>
      </t>
    </mdx>
    <mdx n="0" f="v">
      <t c="6" si="614">
        <n x="610"/>
        <n x="537"/>
        <n x="538"/>
        <n x="611" s="1"/>
        <n x="685"/>
        <n x="686"/>
      </t>
    </mdx>
    <mdx n="0" f="v">
      <t c="6" si="614">
        <n x="610"/>
        <n x="537"/>
        <n x="538"/>
        <n x="611" s="1"/>
        <n x="689"/>
        <n x="690"/>
      </t>
    </mdx>
    <mdx n="0" f="v">
      <t c="6" si="614">
        <n x="610"/>
        <n x="537"/>
        <n x="538"/>
        <n x="611" s="1"/>
        <n x="697"/>
        <n x="698"/>
      </t>
    </mdx>
    <mdx n="0" f="v">
      <t c="6" si="614">
        <n x="610"/>
        <n x="537"/>
        <n x="538"/>
        <n x="611" s="1"/>
        <n x="699"/>
        <n x="700"/>
      </t>
    </mdx>
    <mdx n="0" f="v">
      <t c="6" si="614">
        <n x="610"/>
        <n x="537"/>
        <n x="538"/>
        <n x="611" s="1"/>
        <n x="701"/>
        <n x="702"/>
      </t>
    </mdx>
    <mdx n="0" f="v">
      <t c="6" si="614">
        <n x="610"/>
        <n x="537"/>
        <n x="538"/>
        <n x="611" s="1"/>
        <n x="703"/>
        <n x="704"/>
      </t>
    </mdx>
    <mdx n="0" f="v">
      <t c="6" si="614">
        <n x="610"/>
        <n x="537"/>
        <n x="538"/>
        <n x="611" s="1"/>
        <n x="705"/>
        <n x="706"/>
      </t>
    </mdx>
    <mdx n="0" f="v">
      <t c="6" si="614">
        <n x="610"/>
        <n x="537"/>
        <n x="538"/>
        <n x="611" s="1"/>
        <n x="707"/>
        <n x="708"/>
      </t>
    </mdx>
    <mdx n="0" f="v">
      <t c="6" si="614">
        <n x="610"/>
        <n x="539"/>
        <n x="540"/>
        <n x="611" s="1"/>
        <n x="612"/>
        <n x="613"/>
      </t>
    </mdx>
    <mdx n="0" f="v">
      <t c="6" si="614">
        <n x="610"/>
        <n x="539"/>
        <n x="540"/>
        <n x="611" s="1"/>
        <n x="615"/>
        <n x="616"/>
      </t>
    </mdx>
    <mdx n="0" f="v">
      <t c="6" si="614">
        <n x="610"/>
        <n x="539"/>
        <n x="540"/>
        <n x="611" s="1"/>
        <n x="619"/>
        <n x="620"/>
      </t>
    </mdx>
    <mdx n="0" f="v">
      <t c="6" si="614">
        <n x="610"/>
        <n x="539"/>
        <n x="540"/>
        <n x="611" s="1"/>
        <n x="621"/>
        <n x="622"/>
      </t>
    </mdx>
    <mdx n="0" f="v">
      <t c="6" si="614">
        <n x="610"/>
        <n x="539"/>
        <n x="540"/>
        <n x="611" s="1"/>
        <n x="623"/>
        <n x="624"/>
      </t>
    </mdx>
    <mdx n="0" f="v">
      <t c="6" si="614">
        <n x="610"/>
        <n x="539"/>
        <n x="540"/>
        <n x="611" s="1"/>
        <n x="627"/>
        <n x="628"/>
      </t>
    </mdx>
    <mdx n="0" f="v">
      <t c="6" si="614">
        <n x="610"/>
        <n x="539"/>
        <n x="540"/>
        <n x="611" s="1"/>
        <n x="631"/>
        <n x="632"/>
      </t>
    </mdx>
    <mdx n="0" f="v">
      <t c="6" si="614">
        <n x="610"/>
        <n x="539"/>
        <n x="540"/>
        <n x="611" s="1"/>
        <n x="635"/>
        <n x="636"/>
      </t>
    </mdx>
    <mdx n="0" f="v">
      <t c="6" si="614">
        <n x="610"/>
        <n x="539"/>
        <n x="540"/>
        <n x="611" s="1"/>
        <n x="639"/>
        <n x="640"/>
      </t>
    </mdx>
    <mdx n="0" f="v">
      <t c="6" si="614">
        <n x="610"/>
        <n x="539"/>
        <n x="540"/>
        <n x="611" s="1"/>
        <n x="643"/>
        <n x="644"/>
      </t>
    </mdx>
    <mdx n="0" f="v">
      <t c="6" si="614">
        <n x="610"/>
        <n x="539"/>
        <n x="540"/>
        <n x="611" s="1"/>
        <n x="645"/>
        <n x="646"/>
      </t>
    </mdx>
    <mdx n="0" f="v">
      <t c="6" si="614">
        <n x="610"/>
        <n x="539"/>
        <n x="540"/>
        <n x="611" s="1"/>
        <n x="649"/>
        <n x="650"/>
      </t>
    </mdx>
    <mdx n="0" f="v">
      <t c="6" si="614">
        <n x="610"/>
        <n x="539"/>
        <n x="540"/>
        <n x="611" s="1"/>
        <n x="651"/>
        <n x="652"/>
      </t>
    </mdx>
    <mdx n="0" f="v">
      <t c="6" si="614">
        <n x="610"/>
        <n x="539"/>
        <n x="540"/>
        <n x="611" s="1"/>
        <n x="655"/>
        <n x="656"/>
      </t>
    </mdx>
    <mdx n="0" f="v">
      <t c="6" si="614">
        <n x="610"/>
        <n x="539"/>
        <n x="540"/>
        <n x="611" s="1"/>
        <n x="657"/>
        <n x="658"/>
      </t>
    </mdx>
    <mdx n="0" f="v">
      <t c="6" si="614">
        <n x="610"/>
        <n x="539"/>
        <n x="540"/>
        <n x="611" s="1"/>
        <n x="659"/>
        <n x="660"/>
      </t>
    </mdx>
    <mdx n="0" f="v">
      <t c="6" si="614">
        <n x="610"/>
        <n x="539"/>
        <n x="540"/>
        <n x="611" s="1"/>
        <n x="663"/>
        <n x="664"/>
      </t>
    </mdx>
    <mdx n="0" f="v">
      <t c="6" si="614">
        <n x="610"/>
        <n x="539"/>
        <n x="540"/>
        <n x="611" s="1"/>
        <n x="665"/>
        <n x="666"/>
      </t>
    </mdx>
    <mdx n="0" f="v">
      <t c="6" si="614">
        <n x="610"/>
        <n x="539"/>
        <n x="540"/>
        <n x="611" s="1"/>
        <n x="669"/>
        <n x="670"/>
      </t>
    </mdx>
    <mdx n="0" f="v">
      <t c="6" si="614">
        <n x="610"/>
        <n x="539"/>
        <n x="540"/>
        <n x="611" s="1"/>
        <n x="671"/>
        <n x="672"/>
      </t>
    </mdx>
    <mdx n="0" f="v">
      <t c="6" si="614">
        <n x="610"/>
        <n x="539"/>
        <n x="540"/>
        <n x="611" s="1"/>
        <n x="675"/>
        <n x="676"/>
      </t>
    </mdx>
    <mdx n="0" f="v">
      <t c="6" si="614">
        <n x="610"/>
        <n x="539"/>
        <n x="540"/>
        <n x="611" s="1"/>
        <n x="677"/>
        <n x="678"/>
      </t>
    </mdx>
    <mdx n="0" f="v">
      <t c="6" si="614">
        <n x="610"/>
        <n x="539"/>
        <n x="540"/>
        <n x="611" s="1"/>
        <n x="679"/>
        <n x="680"/>
      </t>
    </mdx>
    <mdx n="0" f="v">
      <t c="6" si="614">
        <n x="610"/>
        <n x="539"/>
        <n x="540"/>
        <n x="611" s="1"/>
        <n x="681"/>
        <n x="682"/>
      </t>
    </mdx>
    <mdx n="0" f="v">
      <t c="6" si="614">
        <n x="610"/>
        <n x="539"/>
        <n x="540"/>
        <n x="611" s="1"/>
        <n x="683"/>
        <n x="684"/>
      </t>
    </mdx>
    <mdx n="0" f="v">
      <t c="6" si="614">
        <n x="610"/>
        <n x="539"/>
        <n x="540"/>
        <n x="611" s="1"/>
        <n x="689"/>
        <n x="690"/>
      </t>
    </mdx>
    <mdx n="0" f="v">
      <t c="6" si="614">
        <n x="610"/>
        <n x="539"/>
        <n x="540"/>
        <n x="611" s="1"/>
        <n x="691"/>
        <n x="692"/>
      </t>
    </mdx>
    <mdx n="0" f="v">
      <t c="6" si="614">
        <n x="610"/>
        <n x="539"/>
        <n x="540"/>
        <n x="611" s="1"/>
        <n x="693"/>
        <n x="694"/>
      </t>
    </mdx>
    <mdx n="0" f="v">
      <t c="6" si="614">
        <n x="610"/>
        <n x="539"/>
        <n x="540"/>
        <n x="611" s="1"/>
        <n x="697"/>
        <n x="698"/>
      </t>
    </mdx>
    <mdx n="0" f="v">
      <t c="6" si="614">
        <n x="610"/>
        <n x="539"/>
        <n x="540"/>
        <n x="611" s="1"/>
        <n x="699"/>
        <n x="700"/>
      </t>
    </mdx>
    <mdx n="0" f="v">
      <t c="6" si="614">
        <n x="610"/>
        <n x="539"/>
        <n x="540"/>
        <n x="611" s="1"/>
        <n x="701"/>
        <n x="702"/>
      </t>
    </mdx>
    <mdx n="0" f="v">
      <t c="6" si="614">
        <n x="610"/>
        <n x="539"/>
        <n x="540"/>
        <n x="611" s="1"/>
        <n x="703"/>
        <n x="704"/>
      </t>
    </mdx>
    <mdx n="0" f="v">
      <t c="6" si="614">
        <n x="610"/>
        <n x="539"/>
        <n x="540"/>
        <n x="611" s="1"/>
        <n x="705"/>
        <n x="706"/>
      </t>
    </mdx>
    <mdx n="0" f="v">
      <t c="6" si="614">
        <n x="610"/>
        <n x="541"/>
        <n x="542"/>
        <n x="611" s="1"/>
        <n x="612"/>
        <n x="613"/>
      </t>
    </mdx>
    <mdx n="0" f="v">
      <t c="6" si="614">
        <n x="610"/>
        <n x="541"/>
        <n x="542"/>
        <n x="611" s="1"/>
        <n x="617"/>
        <n x="618"/>
      </t>
    </mdx>
    <mdx n="0" f="v">
      <t c="6" si="614">
        <n x="610"/>
        <n x="541"/>
        <n x="542"/>
        <n x="611" s="1"/>
        <n x="623"/>
        <n x="624"/>
      </t>
    </mdx>
    <mdx n="0" f="v">
      <t c="6" si="614">
        <n x="610"/>
        <n x="541"/>
        <n x="542"/>
        <n x="611" s="1"/>
        <n x="625"/>
        <n x="626"/>
      </t>
    </mdx>
    <mdx n="0" f="v">
      <t c="6" si="614">
        <n x="610"/>
        <n x="541"/>
        <n x="542"/>
        <n x="611" s="1"/>
        <n x="627"/>
        <n x="628"/>
      </t>
    </mdx>
    <mdx n="0" f="v">
      <t c="6" si="614">
        <n x="610"/>
        <n x="541"/>
        <n x="542"/>
        <n x="611" s="1"/>
        <n x="635"/>
        <n x="636"/>
      </t>
    </mdx>
    <mdx n="0" f="v">
      <t c="6" si="614">
        <n x="610"/>
        <n x="541"/>
        <n x="542"/>
        <n x="611" s="1"/>
        <n x="643"/>
        <n x="644"/>
      </t>
    </mdx>
    <mdx n="0" f="v">
      <t c="6" si="614">
        <n x="610"/>
        <n x="541"/>
        <n x="542"/>
        <n x="611" s="1"/>
        <n x="645"/>
        <n x="646"/>
      </t>
    </mdx>
    <mdx n="0" f="v">
      <t c="6" si="614">
        <n x="610"/>
        <n x="541"/>
        <n x="542"/>
        <n x="611" s="1"/>
        <n x="649"/>
        <n x="650"/>
      </t>
    </mdx>
    <mdx n="0" f="v">
      <t c="6" si="614">
        <n x="610"/>
        <n x="541"/>
        <n x="542"/>
        <n x="611" s="1"/>
        <n x="651"/>
        <n x="652"/>
      </t>
    </mdx>
    <mdx n="0" f="v">
      <t c="6" si="614">
        <n x="610"/>
        <n x="541"/>
        <n x="542"/>
        <n x="611" s="1"/>
        <n x="657"/>
        <n x="658"/>
      </t>
    </mdx>
    <mdx n="0" f="v">
      <t c="6" si="614">
        <n x="610"/>
        <n x="541"/>
        <n x="542"/>
        <n x="611" s="1"/>
        <n x="659"/>
        <n x="660"/>
      </t>
    </mdx>
    <mdx n="0" f="v">
      <t c="6" si="614">
        <n x="610"/>
        <n x="541"/>
        <n x="542"/>
        <n x="611" s="1"/>
        <n x="661"/>
        <n x="662"/>
      </t>
    </mdx>
    <mdx n="0" f="v">
      <t c="6" si="614">
        <n x="610"/>
        <n x="541"/>
        <n x="542"/>
        <n x="611" s="1"/>
        <n x="665"/>
        <n x="666"/>
      </t>
    </mdx>
    <mdx n="0" f="v">
      <t c="6" si="614">
        <n x="610"/>
        <n x="541"/>
        <n x="542"/>
        <n x="611" s="1"/>
        <n x="667"/>
        <n x="668"/>
      </t>
    </mdx>
    <mdx n="0" f="v">
      <t c="6" si="614">
        <n x="610"/>
        <n x="541"/>
        <n x="542"/>
        <n x="611" s="1"/>
        <n x="669"/>
        <n x="670"/>
      </t>
    </mdx>
    <mdx n="0" f="v">
      <t c="6" si="614">
        <n x="610"/>
        <n x="541"/>
        <n x="542"/>
        <n x="611" s="1"/>
        <n x="671"/>
        <n x="672"/>
      </t>
    </mdx>
    <mdx n="0" f="v">
      <t c="6" si="614">
        <n x="610"/>
        <n x="541"/>
        <n x="542"/>
        <n x="611" s="1"/>
        <n x="673"/>
        <n x="674"/>
      </t>
    </mdx>
    <mdx n="0" f="v">
      <t c="6" si="614">
        <n x="610"/>
        <n x="541"/>
        <n x="542"/>
        <n x="611" s="1"/>
        <n x="675"/>
        <n x="676"/>
      </t>
    </mdx>
    <mdx n="0" f="v">
      <t c="6" si="614">
        <n x="610"/>
        <n x="541"/>
        <n x="542"/>
        <n x="611" s="1"/>
        <n x="677"/>
        <n x="678"/>
      </t>
    </mdx>
    <mdx n="0" f="v">
      <t c="6" si="614">
        <n x="610"/>
        <n x="541"/>
        <n x="542"/>
        <n x="611" s="1"/>
        <n x="679"/>
        <n x="680"/>
      </t>
    </mdx>
    <mdx n="0" f="v">
      <t c="6" si="614">
        <n x="610"/>
        <n x="541"/>
        <n x="542"/>
        <n x="611" s="1"/>
        <n x="683"/>
        <n x="684"/>
      </t>
    </mdx>
    <mdx n="0" f="v">
      <t c="6" si="614">
        <n x="610"/>
        <n x="541"/>
        <n x="542"/>
        <n x="611" s="1"/>
        <n x="685"/>
        <n x="686"/>
      </t>
    </mdx>
    <mdx n="0" f="v">
      <t c="6" si="614">
        <n x="610"/>
        <n x="541"/>
        <n x="542"/>
        <n x="611" s="1"/>
        <n x="687"/>
        <n x="688"/>
      </t>
    </mdx>
    <mdx n="0" f="v">
      <t c="6" si="614">
        <n x="610"/>
        <n x="541"/>
        <n x="542"/>
        <n x="611" s="1"/>
        <n x="689"/>
        <n x="690"/>
      </t>
    </mdx>
    <mdx n="0" f="v">
      <t c="6" si="614">
        <n x="610"/>
        <n x="541"/>
        <n x="542"/>
        <n x="611" s="1"/>
        <n x="691"/>
        <n x="692"/>
      </t>
    </mdx>
    <mdx n="0" f="v">
      <t c="6" si="614">
        <n x="610"/>
        <n x="541"/>
        <n x="542"/>
        <n x="611" s="1"/>
        <n x="695"/>
        <n x="696"/>
      </t>
    </mdx>
    <mdx n="0" f="v">
      <t c="6" si="614">
        <n x="610"/>
        <n x="541"/>
        <n x="542"/>
        <n x="611" s="1"/>
        <n x="697"/>
        <n x="698"/>
      </t>
    </mdx>
    <mdx n="0" f="v">
      <t c="6" si="614">
        <n x="610"/>
        <n x="541"/>
        <n x="542"/>
        <n x="611" s="1"/>
        <n x="699"/>
        <n x="700"/>
      </t>
    </mdx>
    <mdx n="0" f="v">
      <t c="6" si="614">
        <n x="610"/>
        <n x="541"/>
        <n x="542"/>
        <n x="611" s="1"/>
        <n x="701"/>
        <n x="702"/>
      </t>
    </mdx>
    <mdx n="0" f="v">
      <t c="6" si="614">
        <n x="610"/>
        <n x="541"/>
        <n x="542"/>
        <n x="611" s="1"/>
        <n x="703"/>
        <n x="704"/>
      </t>
    </mdx>
    <mdx n="0" f="v">
      <t c="6" si="614">
        <n x="610"/>
        <n x="541"/>
        <n x="542"/>
        <n x="611" s="1"/>
        <n x="705"/>
        <n x="706"/>
      </t>
    </mdx>
    <mdx n="0" f="v">
      <t c="6" si="614">
        <n x="610"/>
        <n x="541"/>
        <n x="542"/>
        <n x="611" s="1"/>
        <n x="707"/>
        <n x="708"/>
      </t>
    </mdx>
    <mdx n="0" f="v">
      <t c="6" si="614">
        <n x="610"/>
        <n x="543"/>
        <n x="544"/>
        <n x="611" s="1"/>
        <n x="612"/>
        <n x="613"/>
      </t>
    </mdx>
    <mdx n="0" f="v">
      <t c="6" si="614">
        <n x="610"/>
        <n x="543"/>
        <n x="544"/>
        <n x="611" s="1"/>
        <n x="615"/>
        <n x="616"/>
      </t>
    </mdx>
    <mdx n="0" f="v">
      <t c="6" si="614">
        <n x="610"/>
        <n x="543"/>
        <n x="544"/>
        <n x="611" s="1"/>
        <n x="617"/>
        <n x="618"/>
      </t>
    </mdx>
    <mdx n="0" f="v">
      <t c="6" si="614">
        <n x="610"/>
        <n x="543"/>
        <n x="544"/>
        <n x="611" s="1"/>
        <n x="619"/>
        <n x="620"/>
      </t>
    </mdx>
    <mdx n="0" f="v">
      <t c="6" si="614">
        <n x="610"/>
        <n x="543"/>
        <n x="544"/>
        <n x="611" s="1"/>
        <n x="621"/>
        <n x="622"/>
      </t>
    </mdx>
    <mdx n="0" f="v">
      <t c="6" si="614">
        <n x="610"/>
        <n x="543"/>
        <n x="544"/>
        <n x="611" s="1"/>
        <n x="623"/>
        <n x="624"/>
      </t>
    </mdx>
    <mdx n="0" f="v">
      <t c="6" si="614">
        <n x="610"/>
        <n x="543"/>
        <n x="544"/>
        <n x="611" s="1"/>
        <n x="627"/>
        <n x="628"/>
      </t>
    </mdx>
    <mdx n="0" f="v">
      <t c="6" si="614">
        <n x="610"/>
        <n x="543"/>
        <n x="544"/>
        <n x="611" s="1"/>
        <n x="631"/>
        <n x="632"/>
      </t>
    </mdx>
    <mdx n="0" f="v">
      <t c="6" si="614">
        <n x="610"/>
        <n x="543"/>
        <n x="544"/>
        <n x="611" s="1"/>
        <n x="635"/>
        <n x="636"/>
      </t>
    </mdx>
    <mdx n="0" f="v">
      <t c="6" si="614">
        <n x="610"/>
        <n x="543"/>
        <n x="544"/>
        <n x="611" s="1"/>
        <n x="643"/>
        <n x="644"/>
      </t>
    </mdx>
    <mdx n="0" f="v">
      <t c="6" si="614">
        <n x="610"/>
        <n x="543"/>
        <n x="544"/>
        <n x="611" s="1"/>
        <n x="645"/>
        <n x="646"/>
      </t>
    </mdx>
    <mdx n="0" f="v">
      <t c="6" si="614">
        <n x="610"/>
        <n x="543"/>
        <n x="544"/>
        <n x="611" s="1"/>
        <n x="647"/>
        <n x="648"/>
      </t>
    </mdx>
    <mdx n="0" f="v">
      <t c="6" si="614">
        <n x="610"/>
        <n x="543"/>
        <n x="544"/>
        <n x="611" s="1"/>
        <n x="649"/>
        <n x="650"/>
      </t>
    </mdx>
    <mdx n="0" f="v">
      <t c="6" si="614">
        <n x="610"/>
        <n x="543"/>
        <n x="544"/>
        <n x="611" s="1"/>
        <n x="651"/>
        <n x="652"/>
      </t>
    </mdx>
    <mdx n="0" f="v">
      <t c="6" si="614">
        <n x="610"/>
        <n x="543"/>
        <n x="544"/>
        <n x="611" s="1"/>
        <n x="655"/>
        <n x="656"/>
      </t>
    </mdx>
    <mdx n="0" f="v">
      <t c="6" si="614">
        <n x="610"/>
        <n x="543"/>
        <n x="544"/>
        <n x="611" s="1"/>
        <n x="657"/>
        <n x="658"/>
      </t>
    </mdx>
    <mdx n="0" f="v">
      <t c="6" si="614">
        <n x="610"/>
        <n x="543"/>
        <n x="544"/>
        <n x="611" s="1"/>
        <n x="659"/>
        <n x="660"/>
      </t>
    </mdx>
    <mdx n="0" f="v">
      <t c="6" si="614">
        <n x="610"/>
        <n x="543"/>
        <n x="544"/>
        <n x="611" s="1"/>
        <n x="665"/>
        <n x="666"/>
      </t>
    </mdx>
    <mdx n="0" f="v">
      <t c="6" si="614">
        <n x="610"/>
        <n x="543"/>
        <n x="544"/>
        <n x="611" s="1"/>
        <n x="667"/>
        <n x="668"/>
      </t>
    </mdx>
    <mdx n="0" f="v">
      <t c="6" si="614">
        <n x="610"/>
        <n x="543"/>
        <n x="544"/>
        <n x="611" s="1"/>
        <n x="669"/>
        <n x="670"/>
      </t>
    </mdx>
    <mdx n="0" f="v">
      <t c="6" si="614">
        <n x="610"/>
        <n x="543"/>
        <n x="544"/>
        <n x="611" s="1"/>
        <n x="673"/>
        <n x="674"/>
      </t>
    </mdx>
    <mdx n="0" f="v">
      <t c="6" si="614">
        <n x="610"/>
        <n x="543"/>
        <n x="544"/>
        <n x="611" s="1"/>
        <n x="675"/>
        <n x="676"/>
      </t>
    </mdx>
    <mdx n="0" f="v">
      <t c="6" si="614">
        <n x="610"/>
        <n x="543"/>
        <n x="544"/>
        <n x="611" s="1"/>
        <n x="679"/>
        <n x="680"/>
      </t>
    </mdx>
    <mdx n="0" f="v">
      <t c="6" si="614">
        <n x="610"/>
        <n x="543"/>
        <n x="544"/>
        <n x="611" s="1"/>
        <n x="681"/>
        <n x="682"/>
      </t>
    </mdx>
    <mdx n="0" f="v">
      <t c="6" si="614">
        <n x="610"/>
        <n x="543"/>
        <n x="544"/>
        <n x="611" s="1"/>
        <n x="683"/>
        <n x="684"/>
      </t>
    </mdx>
    <mdx n="0" f="v">
      <t c="6" si="614">
        <n x="610"/>
        <n x="543"/>
        <n x="544"/>
        <n x="611" s="1"/>
        <n x="685"/>
        <n x="686"/>
      </t>
    </mdx>
    <mdx n="0" f="v">
      <t c="6" si="614">
        <n x="610"/>
        <n x="543"/>
        <n x="544"/>
        <n x="611" s="1"/>
        <n x="687"/>
        <n x="688"/>
      </t>
    </mdx>
    <mdx n="0" f="v">
      <t c="6" si="614">
        <n x="610"/>
        <n x="543"/>
        <n x="544"/>
        <n x="611" s="1"/>
        <n x="689"/>
        <n x="690"/>
      </t>
    </mdx>
    <mdx n="0" f="v">
      <t c="6" si="614">
        <n x="610"/>
        <n x="543"/>
        <n x="544"/>
        <n x="611" s="1"/>
        <n x="695"/>
        <n x="696"/>
      </t>
    </mdx>
    <mdx n="0" f="v">
      <t c="6" si="614">
        <n x="610"/>
        <n x="543"/>
        <n x="544"/>
        <n x="611" s="1"/>
        <n x="697"/>
        <n x="698"/>
      </t>
    </mdx>
    <mdx n="0" f="v">
      <t c="6" si="614">
        <n x="610"/>
        <n x="543"/>
        <n x="544"/>
        <n x="611" s="1"/>
        <n x="705"/>
        <n x="706"/>
      </t>
    </mdx>
    <mdx n="0" f="v">
      <t c="6" si="614">
        <n x="610"/>
        <n x="545"/>
        <n x="546"/>
        <n x="611" s="1"/>
        <n x="612"/>
        <n x="613"/>
      </t>
    </mdx>
    <mdx n="0" f="v">
      <t c="6" si="614">
        <n x="610"/>
        <n x="545"/>
        <n x="546"/>
        <n x="611" s="1"/>
        <n x="615"/>
        <n x="616"/>
      </t>
    </mdx>
    <mdx n="0" f="v">
      <t c="6" si="614">
        <n x="610"/>
        <n x="545"/>
        <n x="546"/>
        <n x="611" s="1"/>
        <n x="621"/>
        <n x="622"/>
      </t>
    </mdx>
    <mdx n="0" f="v">
      <t c="6" si="614">
        <n x="610"/>
        <n x="545"/>
        <n x="546"/>
        <n x="611" s="1"/>
        <n x="623"/>
        <n x="624"/>
      </t>
    </mdx>
    <mdx n="0" f="v">
      <t c="6" si="614">
        <n x="610"/>
        <n x="545"/>
        <n x="546"/>
        <n x="611" s="1"/>
        <n x="625"/>
        <n x="626"/>
      </t>
    </mdx>
    <mdx n="0" f="v">
      <t c="6" si="614">
        <n x="610"/>
        <n x="545"/>
        <n x="546"/>
        <n x="611" s="1"/>
        <n x="627"/>
        <n x="628"/>
      </t>
    </mdx>
    <mdx n="0" f="v">
      <t c="6" si="614">
        <n x="610"/>
        <n x="545"/>
        <n x="546"/>
        <n x="611" s="1"/>
        <n x="629"/>
        <n x="630"/>
      </t>
    </mdx>
    <mdx n="0" f="v">
      <t c="6" si="614">
        <n x="610"/>
        <n x="545"/>
        <n x="546"/>
        <n x="611" s="1"/>
        <n x="631"/>
        <n x="632"/>
      </t>
    </mdx>
    <mdx n="0" f="v">
      <t c="6" si="614">
        <n x="610"/>
        <n x="545"/>
        <n x="546"/>
        <n x="611" s="1"/>
        <n x="633"/>
        <n x="634"/>
      </t>
    </mdx>
    <mdx n="0" f="v">
      <t c="6" si="614">
        <n x="610"/>
        <n x="545"/>
        <n x="546"/>
        <n x="611" s="1"/>
        <n x="635"/>
        <n x="636"/>
      </t>
    </mdx>
    <mdx n="0" f="v">
      <t c="6" si="614">
        <n x="610"/>
        <n x="545"/>
        <n x="546"/>
        <n x="611" s="1"/>
        <n x="637"/>
        <n x="638"/>
      </t>
    </mdx>
    <mdx n="0" f="v">
      <t c="6" si="614">
        <n x="610"/>
        <n x="545"/>
        <n x="546"/>
        <n x="611" s="1"/>
        <n x="639"/>
        <n x="640"/>
      </t>
    </mdx>
    <mdx n="0" f="v">
      <t c="6" si="614">
        <n x="610"/>
        <n x="545"/>
        <n x="546"/>
        <n x="611" s="1"/>
        <n x="641"/>
        <n x="642"/>
      </t>
    </mdx>
    <mdx n="0" f="v">
      <t c="6" si="614">
        <n x="610"/>
        <n x="545"/>
        <n x="546"/>
        <n x="611" s="1"/>
        <n x="645"/>
        <n x="646"/>
      </t>
    </mdx>
    <mdx n="0" f="v">
      <t c="6" si="614">
        <n x="610"/>
        <n x="545"/>
        <n x="546"/>
        <n x="611" s="1"/>
        <n x="647"/>
        <n x="648"/>
      </t>
    </mdx>
    <mdx n="0" f="v">
      <t c="6" si="614">
        <n x="610"/>
        <n x="545"/>
        <n x="546"/>
        <n x="611" s="1"/>
        <n x="651"/>
        <n x="652"/>
      </t>
    </mdx>
    <mdx n="0" f="v">
      <t c="6" si="614">
        <n x="610"/>
        <n x="545"/>
        <n x="546"/>
        <n x="611" s="1"/>
        <n x="653"/>
        <n x="654"/>
      </t>
    </mdx>
    <mdx n="0" f="v">
      <t c="6" si="614">
        <n x="610"/>
        <n x="545"/>
        <n x="546"/>
        <n x="611" s="1"/>
        <n x="655"/>
        <n x="656"/>
      </t>
    </mdx>
    <mdx n="0" f="v">
      <t c="6" si="614">
        <n x="610"/>
        <n x="545"/>
        <n x="546"/>
        <n x="611" s="1"/>
        <n x="657"/>
        <n x="658"/>
      </t>
    </mdx>
    <mdx n="0" f="v">
      <t c="6" si="614">
        <n x="610"/>
        <n x="545"/>
        <n x="546"/>
        <n x="611" s="1"/>
        <n x="659"/>
        <n x="660"/>
      </t>
    </mdx>
    <mdx n="0" f="v">
      <t c="6" si="614">
        <n x="610"/>
        <n x="545"/>
        <n x="546"/>
        <n x="611" s="1"/>
        <n x="661"/>
        <n x="662"/>
      </t>
    </mdx>
    <mdx n="0" f="v">
      <t c="6" si="614">
        <n x="610"/>
        <n x="545"/>
        <n x="546"/>
        <n x="611" s="1"/>
        <n x="663"/>
        <n x="664"/>
      </t>
    </mdx>
    <mdx n="0" f="v">
      <t c="6" si="614">
        <n x="610"/>
        <n x="545"/>
        <n x="546"/>
        <n x="611" s="1"/>
        <n x="665"/>
        <n x="666"/>
      </t>
    </mdx>
    <mdx n="0" f="v">
      <t c="6" si="614">
        <n x="610"/>
        <n x="545"/>
        <n x="546"/>
        <n x="611" s="1"/>
        <n x="669"/>
        <n x="670"/>
      </t>
    </mdx>
    <mdx n="0" f="v">
      <t c="6" si="614">
        <n x="610"/>
        <n x="545"/>
        <n x="546"/>
        <n x="611" s="1"/>
        <n x="671"/>
        <n x="672"/>
      </t>
    </mdx>
    <mdx n="0" f="v">
      <t c="6" si="614">
        <n x="610"/>
        <n x="545"/>
        <n x="546"/>
        <n x="611" s="1"/>
        <n x="673"/>
        <n x="674"/>
      </t>
    </mdx>
    <mdx n="0" f="v">
      <t c="6" si="614">
        <n x="610"/>
        <n x="545"/>
        <n x="546"/>
        <n x="611" s="1"/>
        <n x="675"/>
        <n x="676"/>
      </t>
    </mdx>
    <mdx n="0" f="v">
      <t c="6" si="614">
        <n x="610"/>
        <n x="545"/>
        <n x="546"/>
        <n x="611" s="1"/>
        <n x="679"/>
        <n x="680"/>
      </t>
    </mdx>
    <mdx n="0" f="v">
      <t c="6" si="614">
        <n x="610"/>
        <n x="545"/>
        <n x="546"/>
        <n x="611" s="1"/>
        <n x="681"/>
        <n x="682"/>
      </t>
    </mdx>
    <mdx n="0" f="v">
      <t c="6" si="614">
        <n x="610"/>
        <n x="545"/>
        <n x="546"/>
        <n x="611" s="1"/>
        <n x="683"/>
        <n x="684"/>
      </t>
    </mdx>
    <mdx n="0" f="v">
      <t c="6" si="614">
        <n x="610"/>
        <n x="545"/>
        <n x="546"/>
        <n x="611" s="1"/>
        <n x="685"/>
        <n x="686"/>
      </t>
    </mdx>
    <mdx n="0" f="v">
      <t c="6" si="614">
        <n x="610"/>
        <n x="545"/>
        <n x="546"/>
        <n x="611" s="1"/>
        <n x="689"/>
        <n x="690"/>
      </t>
    </mdx>
    <mdx n="0" f="v">
      <t c="6" si="614">
        <n x="610"/>
        <n x="545"/>
        <n x="546"/>
        <n x="611" s="1"/>
        <n x="693"/>
        <n x="694"/>
      </t>
    </mdx>
    <mdx n="0" f="v">
      <t c="6" si="614">
        <n x="610"/>
        <n x="545"/>
        <n x="546"/>
        <n x="611" s="1"/>
        <n x="695"/>
        <n x="696"/>
      </t>
    </mdx>
    <mdx n="0" f="v">
      <t c="6" si="614">
        <n x="610"/>
        <n x="545"/>
        <n x="546"/>
        <n x="611" s="1"/>
        <n x="697"/>
        <n x="698"/>
      </t>
    </mdx>
    <mdx n="0" f="v">
      <t c="6" si="614">
        <n x="610"/>
        <n x="545"/>
        <n x="546"/>
        <n x="611" s="1"/>
        <n x="699"/>
        <n x="700"/>
      </t>
    </mdx>
    <mdx n="0" f="v">
      <t c="6" si="614">
        <n x="610"/>
        <n x="545"/>
        <n x="546"/>
        <n x="611" s="1"/>
        <n x="701"/>
        <n x="702"/>
      </t>
    </mdx>
    <mdx n="0" f="v">
      <t c="6" si="614">
        <n x="610"/>
        <n x="545"/>
        <n x="546"/>
        <n x="611" s="1"/>
        <n x="703"/>
        <n x="704"/>
      </t>
    </mdx>
    <mdx n="0" f="v">
      <t c="6" si="614">
        <n x="610"/>
        <n x="545"/>
        <n x="546"/>
        <n x="611" s="1"/>
        <n x="705"/>
        <n x="706"/>
      </t>
    </mdx>
    <mdx n="0" f="v">
      <t c="6" si="614">
        <n x="610"/>
        <n x="545"/>
        <n x="546"/>
        <n x="611" s="1"/>
        <n x="707"/>
        <n x="708"/>
      </t>
    </mdx>
    <mdx n="0" f="v">
      <t c="6" si="614">
        <n x="610"/>
        <n x="547"/>
        <n x="548"/>
        <n x="611" s="1"/>
        <n x="612"/>
        <n x="613"/>
      </t>
    </mdx>
    <mdx n="0" f="v">
      <t c="6" si="614">
        <n x="610"/>
        <n x="547"/>
        <n x="548"/>
        <n x="611" s="1"/>
        <n x="615"/>
        <n x="616"/>
      </t>
    </mdx>
    <mdx n="0" f="v">
      <t c="6" si="614">
        <n x="610"/>
        <n x="547"/>
        <n x="548"/>
        <n x="611" s="1"/>
        <n x="617"/>
        <n x="618"/>
      </t>
    </mdx>
    <mdx n="0" f="v">
      <t c="6" si="614">
        <n x="610"/>
        <n x="547"/>
        <n x="548"/>
        <n x="611" s="1"/>
        <n x="619"/>
        <n x="620"/>
      </t>
    </mdx>
    <mdx n="0" f="v">
      <t c="6" si="614">
        <n x="610"/>
        <n x="547"/>
        <n x="548"/>
        <n x="611" s="1"/>
        <n x="621"/>
        <n x="622"/>
      </t>
    </mdx>
    <mdx n="0" f="v">
      <t c="6" si="614">
        <n x="610"/>
        <n x="547"/>
        <n x="548"/>
        <n x="611" s="1"/>
        <n x="623"/>
        <n x="624"/>
      </t>
    </mdx>
    <mdx n="0" f="v">
      <t c="6" si="614">
        <n x="610"/>
        <n x="547"/>
        <n x="548"/>
        <n x="611" s="1"/>
        <n x="625"/>
        <n x="626"/>
      </t>
    </mdx>
    <mdx n="0" f="v">
      <t c="6" si="614">
        <n x="610"/>
        <n x="547"/>
        <n x="548"/>
        <n x="611" s="1"/>
        <n x="635"/>
        <n x="636"/>
      </t>
    </mdx>
    <mdx n="0" f="v">
      <t c="6" si="614">
        <n x="610"/>
        <n x="547"/>
        <n x="548"/>
        <n x="611" s="1"/>
        <n x="641"/>
        <n x="642"/>
      </t>
    </mdx>
    <mdx n="0" f="v">
      <t c="6" si="614">
        <n x="610"/>
        <n x="547"/>
        <n x="548"/>
        <n x="611" s="1"/>
        <n x="643"/>
        <n x="644"/>
      </t>
    </mdx>
    <mdx n="0" f="v">
      <t c="6" si="614">
        <n x="610"/>
        <n x="547"/>
        <n x="548"/>
        <n x="611" s="1"/>
        <n x="645"/>
        <n x="646"/>
      </t>
    </mdx>
    <mdx n="0" f="v">
      <t c="6" si="614">
        <n x="610"/>
        <n x="547"/>
        <n x="548"/>
        <n x="611" s="1"/>
        <n x="649"/>
        <n x="650"/>
      </t>
    </mdx>
    <mdx n="0" f="v">
      <t c="6" si="614">
        <n x="610"/>
        <n x="547"/>
        <n x="548"/>
        <n x="611" s="1"/>
        <n x="651"/>
        <n x="652"/>
      </t>
    </mdx>
    <mdx n="0" f="v">
      <t c="6" si="614">
        <n x="610"/>
        <n x="547"/>
        <n x="548"/>
        <n x="611" s="1"/>
        <n x="653"/>
        <n x="654"/>
      </t>
    </mdx>
    <mdx n="0" f="v">
      <t c="6" si="614">
        <n x="610"/>
        <n x="547"/>
        <n x="548"/>
        <n x="611" s="1"/>
        <n x="655"/>
        <n x="656"/>
      </t>
    </mdx>
    <mdx n="0" f="v">
      <t c="6" si="614">
        <n x="610"/>
        <n x="547"/>
        <n x="548"/>
        <n x="611" s="1"/>
        <n x="657"/>
        <n x="658"/>
      </t>
    </mdx>
    <mdx n="0" f="v">
      <t c="6" si="614">
        <n x="610"/>
        <n x="547"/>
        <n x="548"/>
        <n x="611" s="1"/>
        <n x="659"/>
        <n x="660"/>
      </t>
    </mdx>
    <mdx n="0" f="v">
      <t c="6" si="614">
        <n x="610"/>
        <n x="547"/>
        <n x="548"/>
        <n x="611" s="1"/>
        <n x="663"/>
        <n x="664"/>
      </t>
    </mdx>
    <mdx n="0" f="v">
      <t c="6" si="614">
        <n x="610"/>
        <n x="547"/>
        <n x="548"/>
        <n x="611" s="1"/>
        <n x="665"/>
        <n x="666"/>
      </t>
    </mdx>
    <mdx n="0" f="v">
      <t c="6" si="614">
        <n x="610"/>
        <n x="547"/>
        <n x="548"/>
        <n x="611" s="1"/>
        <n x="667"/>
        <n x="668"/>
      </t>
    </mdx>
    <mdx n="0" f="v">
      <t c="6" si="614">
        <n x="610"/>
        <n x="547"/>
        <n x="548"/>
        <n x="611" s="1"/>
        <n x="669"/>
        <n x="670"/>
      </t>
    </mdx>
    <mdx n="0" f="v">
      <t c="6" si="614">
        <n x="610"/>
        <n x="547"/>
        <n x="548"/>
        <n x="611" s="1"/>
        <n x="677"/>
        <n x="678"/>
      </t>
    </mdx>
    <mdx n="0" f="v">
      <t c="6" si="614">
        <n x="610"/>
        <n x="547"/>
        <n x="548"/>
        <n x="611" s="1"/>
        <n x="679"/>
        <n x="680"/>
      </t>
    </mdx>
    <mdx n="0" f="v">
      <t c="6" si="614">
        <n x="610"/>
        <n x="547"/>
        <n x="548"/>
        <n x="611" s="1"/>
        <n x="681"/>
        <n x="682"/>
      </t>
    </mdx>
    <mdx n="0" f="v">
      <t c="6" si="614">
        <n x="610"/>
        <n x="547"/>
        <n x="548"/>
        <n x="611" s="1"/>
        <n x="683"/>
        <n x="684"/>
      </t>
    </mdx>
    <mdx n="0" f="v">
      <t c="6" si="614">
        <n x="610"/>
        <n x="547"/>
        <n x="548"/>
        <n x="611" s="1"/>
        <n x="685"/>
        <n x="686"/>
      </t>
    </mdx>
    <mdx n="0" f="v">
      <t c="6" si="614">
        <n x="610"/>
        <n x="547"/>
        <n x="548"/>
        <n x="611" s="1"/>
        <n x="687"/>
        <n x="688"/>
      </t>
    </mdx>
    <mdx n="0" f="v">
      <t c="6" si="614">
        <n x="610"/>
        <n x="547"/>
        <n x="548"/>
        <n x="611" s="1"/>
        <n x="689"/>
        <n x="690"/>
      </t>
    </mdx>
    <mdx n="0" f="v">
      <t c="6" si="614">
        <n x="610"/>
        <n x="547"/>
        <n x="548"/>
        <n x="611" s="1"/>
        <n x="691"/>
        <n x="692"/>
      </t>
    </mdx>
    <mdx n="0" f="v">
      <t c="6" si="614">
        <n x="610"/>
        <n x="547"/>
        <n x="548"/>
        <n x="611" s="1"/>
        <n x="693"/>
        <n x="694"/>
      </t>
    </mdx>
    <mdx n="0" f="v">
      <t c="6" si="614">
        <n x="610"/>
        <n x="547"/>
        <n x="548"/>
        <n x="611" s="1"/>
        <n x="695"/>
        <n x="696"/>
      </t>
    </mdx>
    <mdx n="0" f="v">
      <t c="6" si="614">
        <n x="610"/>
        <n x="547"/>
        <n x="548"/>
        <n x="611" s="1"/>
        <n x="697"/>
        <n x="698"/>
      </t>
    </mdx>
    <mdx n="0" f="v">
      <t c="6" si="614">
        <n x="610"/>
        <n x="547"/>
        <n x="548"/>
        <n x="611" s="1"/>
        <n x="699"/>
        <n x="700"/>
      </t>
    </mdx>
    <mdx n="0" f="v">
      <t c="6" si="614">
        <n x="610"/>
        <n x="547"/>
        <n x="548"/>
        <n x="611" s="1"/>
        <n x="701"/>
        <n x="702"/>
      </t>
    </mdx>
    <mdx n="0" f="v">
      <t c="6" si="614">
        <n x="610"/>
        <n x="547"/>
        <n x="548"/>
        <n x="611" s="1"/>
        <n x="705"/>
        <n x="706"/>
      </t>
    </mdx>
    <mdx n="0" f="v">
      <t c="6" si="614">
        <n x="610"/>
        <n x="549"/>
        <n x="550"/>
        <n x="611" s="1"/>
        <n x="612"/>
        <n x="613"/>
      </t>
    </mdx>
    <mdx n="0" f="v">
      <t c="6" si="614">
        <n x="610"/>
        <n x="549"/>
        <n x="550"/>
        <n x="611" s="1"/>
        <n x="615"/>
        <n x="616"/>
      </t>
    </mdx>
    <mdx n="0" f="v">
      <t c="6" si="614">
        <n x="610"/>
        <n x="549"/>
        <n x="550"/>
        <n x="611" s="1"/>
        <n x="617"/>
        <n x="618"/>
      </t>
    </mdx>
    <mdx n="0" f="v">
      <t c="6" si="614">
        <n x="610"/>
        <n x="549"/>
        <n x="550"/>
        <n x="611" s="1"/>
        <n x="621"/>
        <n x="622"/>
      </t>
    </mdx>
    <mdx n="0" f="v">
      <t c="6" si="614">
        <n x="610"/>
        <n x="549"/>
        <n x="550"/>
        <n x="611" s="1"/>
        <n x="623"/>
        <n x="624"/>
      </t>
    </mdx>
    <mdx n="0" f="v">
      <t c="6" si="614">
        <n x="610"/>
        <n x="549"/>
        <n x="550"/>
        <n x="611" s="1"/>
        <n x="625"/>
        <n x="626"/>
      </t>
    </mdx>
    <mdx n="0" f="v">
      <t c="6" si="614">
        <n x="610"/>
        <n x="549"/>
        <n x="550"/>
        <n x="611" s="1"/>
        <n x="627"/>
        <n x="628"/>
      </t>
    </mdx>
    <mdx n="0" f="v">
      <t c="6" si="614">
        <n x="610"/>
        <n x="549"/>
        <n x="550"/>
        <n x="611" s="1"/>
        <n x="629"/>
        <n x="630"/>
      </t>
    </mdx>
    <mdx n="0" f="v">
      <t c="6" si="614">
        <n x="610"/>
        <n x="549"/>
        <n x="550"/>
        <n x="611" s="1"/>
        <n x="631"/>
        <n x="632"/>
      </t>
    </mdx>
    <mdx n="0" f="v">
      <t c="6" si="614">
        <n x="610"/>
        <n x="549"/>
        <n x="550"/>
        <n x="611" s="1"/>
        <n x="633"/>
        <n x="634"/>
      </t>
    </mdx>
    <mdx n="0" f="v">
      <t c="6" si="614">
        <n x="610"/>
        <n x="549"/>
        <n x="550"/>
        <n x="611" s="1"/>
        <n x="635"/>
        <n x="636"/>
      </t>
    </mdx>
    <mdx n="0" f="v">
      <t c="6" si="614">
        <n x="610"/>
        <n x="549"/>
        <n x="550"/>
        <n x="611" s="1"/>
        <n x="637"/>
        <n x="638"/>
      </t>
    </mdx>
    <mdx n="0" f="v">
      <t c="6" si="614">
        <n x="610"/>
        <n x="549"/>
        <n x="550"/>
        <n x="611" s="1"/>
        <n x="639"/>
        <n x="640"/>
      </t>
    </mdx>
    <mdx n="0" f="v">
      <t c="6" si="614">
        <n x="610"/>
        <n x="549"/>
        <n x="550"/>
        <n x="611" s="1"/>
        <n x="645"/>
        <n x="646"/>
      </t>
    </mdx>
    <mdx n="0" f="v">
      <t c="6" si="614">
        <n x="610"/>
        <n x="549"/>
        <n x="550"/>
        <n x="611" s="1"/>
        <n x="647"/>
        <n x="648"/>
      </t>
    </mdx>
    <mdx n="0" f="v">
      <t c="6" si="614">
        <n x="610"/>
        <n x="549"/>
        <n x="550"/>
        <n x="611" s="1"/>
        <n x="649"/>
        <n x="650"/>
      </t>
    </mdx>
    <mdx n="0" f="v">
      <t c="6" si="614">
        <n x="610"/>
        <n x="549"/>
        <n x="550"/>
        <n x="611" s="1"/>
        <n x="653"/>
        <n x="654"/>
      </t>
    </mdx>
    <mdx n="0" f="v">
      <t c="6" si="614">
        <n x="610"/>
        <n x="549"/>
        <n x="550"/>
        <n x="611" s="1"/>
        <n x="655"/>
        <n x="656"/>
      </t>
    </mdx>
    <mdx n="0" f="v">
      <t c="6" si="614">
        <n x="610"/>
        <n x="549"/>
        <n x="550"/>
        <n x="611" s="1"/>
        <n x="657"/>
        <n x="658"/>
      </t>
    </mdx>
    <mdx n="0" f="v">
      <t c="6" si="614">
        <n x="610"/>
        <n x="549"/>
        <n x="550"/>
        <n x="611" s="1"/>
        <n x="659"/>
        <n x="660"/>
      </t>
    </mdx>
    <mdx n="0" f="v">
      <t c="6" si="614">
        <n x="610"/>
        <n x="549"/>
        <n x="550"/>
        <n x="611" s="1"/>
        <n x="661"/>
        <n x="662"/>
      </t>
    </mdx>
    <mdx n="0" f="v">
      <t c="6" si="614">
        <n x="610"/>
        <n x="549"/>
        <n x="550"/>
        <n x="611" s="1"/>
        <n x="663"/>
        <n x="664"/>
      </t>
    </mdx>
    <mdx n="0" f="v">
      <t c="6" si="614">
        <n x="610"/>
        <n x="549"/>
        <n x="550"/>
        <n x="611" s="1"/>
        <n x="665"/>
        <n x="666"/>
      </t>
    </mdx>
    <mdx n="0" f="v">
      <t c="6" si="614">
        <n x="610"/>
        <n x="549"/>
        <n x="550"/>
        <n x="611" s="1"/>
        <n x="667"/>
        <n x="668"/>
      </t>
    </mdx>
    <mdx n="0" f="v">
      <t c="6" si="614">
        <n x="610"/>
        <n x="549"/>
        <n x="550"/>
        <n x="611" s="1"/>
        <n x="669"/>
        <n x="670"/>
      </t>
    </mdx>
    <mdx n="0" f="v">
      <t c="6" si="614">
        <n x="610"/>
        <n x="549"/>
        <n x="550"/>
        <n x="611" s="1"/>
        <n x="671"/>
        <n x="672"/>
      </t>
    </mdx>
    <mdx n="0" f="v">
      <t c="6" si="614">
        <n x="610"/>
        <n x="549"/>
        <n x="550"/>
        <n x="611" s="1"/>
        <n x="673"/>
        <n x="674"/>
      </t>
    </mdx>
    <mdx n="0" f="v">
      <t c="6" si="614">
        <n x="610"/>
        <n x="549"/>
        <n x="550"/>
        <n x="611" s="1"/>
        <n x="675"/>
        <n x="676"/>
      </t>
    </mdx>
    <mdx n="0" f="v">
      <t c="6" si="614">
        <n x="610"/>
        <n x="549"/>
        <n x="550"/>
        <n x="611" s="1"/>
        <n x="677"/>
        <n x="678"/>
      </t>
    </mdx>
    <mdx n="0" f="v">
      <t c="6" si="614">
        <n x="610"/>
        <n x="549"/>
        <n x="550"/>
        <n x="611" s="1"/>
        <n x="679"/>
        <n x="680"/>
      </t>
    </mdx>
    <mdx n="0" f="v">
      <t c="6" si="614">
        <n x="610"/>
        <n x="549"/>
        <n x="550"/>
        <n x="611" s="1"/>
        <n x="681"/>
        <n x="682"/>
      </t>
    </mdx>
    <mdx n="0" f="v">
      <t c="6" si="614">
        <n x="610"/>
        <n x="549"/>
        <n x="550"/>
        <n x="611" s="1"/>
        <n x="683"/>
        <n x="684"/>
      </t>
    </mdx>
    <mdx n="0" f="v">
      <t c="6" si="614">
        <n x="610"/>
        <n x="549"/>
        <n x="550"/>
        <n x="611" s="1"/>
        <n x="685"/>
        <n x="686"/>
      </t>
    </mdx>
    <mdx n="0" f="v">
      <t c="6" si="614">
        <n x="610"/>
        <n x="549"/>
        <n x="550"/>
        <n x="611" s="1"/>
        <n x="687"/>
        <n x="688"/>
      </t>
    </mdx>
    <mdx n="0" f="v">
      <t c="6" si="614">
        <n x="610"/>
        <n x="549"/>
        <n x="550"/>
        <n x="611" s="1"/>
        <n x="689"/>
        <n x="690"/>
      </t>
    </mdx>
    <mdx n="0" f="v">
      <t c="6" si="614">
        <n x="610"/>
        <n x="549"/>
        <n x="550"/>
        <n x="611" s="1"/>
        <n x="691"/>
        <n x="692"/>
      </t>
    </mdx>
    <mdx n="0" f="v">
      <t c="6" si="614">
        <n x="610"/>
        <n x="549"/>
        <n x="550"/>
        <n x="611" s="1"/>
        <n x="693"/>
        <n x="694"/>
      </t>
    </mdx>
    <mdx n="0" f="v">
      <t c="6" si="614">
        <n x="610"/>
        <n x="549"/>
        <n x="550"/>
        <n x="611" s="1"/>
        <n x="695"/>
        <n x="696"/>
      </t>
    </mdx>
    <mdx n="0" f="v">
      <t c="6" si="614">
        <n x="610"/>
        <n x="549"/>
        <n x="550"/>
        <n x="611" s="1"/>
        <n x="697"/>
        <n x="698"/>
      </t>
    </mdx>
    <mdx n="0" f="v">
      <t c="6" si="614">
        <n x="610"/>
        <n x="549"/>
        <n x="550"/>
        <n x="611" s="1"/>
        <n x="699"/>
        <n x="700"/>
      </t>
    </mdx>
    <mdx n="0" f="v">
      <t c="6" si="614">
        <n x="610"/>
        <n x="549"/>
        <n x="550"/>
        <n x="611" s="1"/>
        <n x="701"/>
        <n x="702"/>
      </t>
    </mdx>
    <mdx n="0" f="v">
      <t c="6" si="614">
        <n x="610"/>
        <n x="549"/>
        <n x="550"/>
        <n x="611" s="1"/>
        <n x="703"/>
        <n x="704"/>
      </t>
    </mdx>
    <mdx n="0" f="v">
      <t c="6" si="614">
        <n x="610"/>
        <n x="549"/>
        <n x="550"/>
        <n x="611" s="1"/>
        <n x="705"/>
        <n x="706"/>
      </t>
    </mdx>
    <mdx n="0" f="v">
      <t c="6" si="614">
        <n x="610"/>
        <n x="549"/>
        <n x="550"/>
        <n x="611" s="1"/>
        <n x="707"/>
        <n x="708"/>
      </t>
    </mdx>
    <mdx n="0" f="v">
      <t c="6" si="614">
        <n x="610"/>
        <n x="551"/>
        <n x="552"/>
        <n x="611" s="1"/>
        <n x="612"/>
        <n x="613"/>
      </t>
    </mdx>
    <mdx n="0" f="v">
      <t c="6" si="614">
        <n x="610"/>
        <n x="551"/>
        <n x="552"/>
        <n x="611" s="1"/>
        <n x="615"/>
        <n x="616"/>
      </t>
    </mdx>
    <mdx n="0" f="v">
      <t c="6" si="614">
        <n x="610"/>
        <n x="551"/>
        <n x="552"/>
        <n x="611" s="1"/>
        <n x="617"/>
        <n x="618"/>
      </t>
    </mdx>
    <mdx n="0" f="v">
      <t c="6" si="614">
        <n x="610"/>
        <n x="551"/>
        <n x="552"/>
        <n x="611" s="1"/>
        <n x="619"/>
        <n x="620"/>
      </t>
    </mdx>
    <mdx n="0" f="v">
      <t c="6" si="614">
        <n x="610"/>
        <n x="551"/>
        <n x="552"/>
        <n x="611" s="1"/>
        <n x="621"/>
        <n x="622"/>
      </t>
    </mdx>
    <mdx n="0" f="v">
      <t c="6" si="614">
        <n x="610"/>
        <n x="551"/>
        <n x="552"/>
        <n x="611" s="1"/>
        <n x="623"/>
        <n x="624"/>
      </t>
    </mdx>
    <mdx n="0" f="v">
      <t c="6" si="614">
        <n x="610"/>
        <n x="551"/>
        <n x="552"/>
        <n x="611" s="1"/>
        <n x="625"/>
        <n x="626"/>
      </t>
    </mdx>
    <mdx n="0" f="v">
      <t c="6" si="614">
        <n x="610"/>
        <n x="551"/>
        <n x="552"/>
        <n x="611" s="1"/>
        <n x="627"/>
        <n x="628"/>
      </t>
    </mdx>
    <mdx n="0" f="v">
      <t c="6" si="614">
        <n x="610"/>
        <n x="551"/>
        <n x="552"/>
        <n x="611" s="1"/>
        <n x="629"/>
        <n x="630"/>
      </t>
    </mdx>
    <mdx n="0" f="v">
      <t c="6" si="614">
        <n x="610"/>
        <n x="551"/>
        <n x="552"/>
        <n x="611" s="1"/>
        <n x="635"/>
        <n x="636"/>
      </t>
    </mdx>
    <mdx n="0" f="v">
      <t c="6" si="614">
        <n x="610"/>
        <n x="551"/>
        <n x="552"/>
        <n x="611" s="1"/>
        <n x="639"/>
        <n x="640"/>
      </t>
    </mdx>
    <mdx n="0" f="v">
      <t c="6" si="614">
        <n x="610"/>
        <n x="551"/>
        <n x="552"/>
        <n x="611" s="1"/>
        <n x="641"/>
        <n x="642"/>
      </t>
    </mdx>
    <mdx n="0" f="v">
      <t c="6" si="614">
        <n x="610"/>
        <n x="551"/>
        <n x="552"/>
        <n x="611" s="1"/>
        <n x="643"/>
        <n x="644"/>
      </t>
    </mdx>
    <mdx n="0" f="v">
      <t c="6" si="614">
        <n x="610"/>
        <n x="551"/>
        <n x="552"/>
        <n x="611" s="1"/>
        <n x="645"/>
        <n x="646"/>
      </t>
    </mdx>
    <mdx n="0" f="v">
      <t c="6" si="614">
        <n x="610"/>
        <n x="551"/>
        <n x="552"/>
        <n x="611" s="1"/>
        <n x="647"/>
        <n x="648"/>
      </t>
    </mdx>
    <mdx n="0" f="v">
      <t c="6" si="614">
        <n x="610"/>
        <n x="551"/>
        <n x="552"/>
        <n x="611" s="1"/>
        <n x="649"/>
        <n x="650"/>
      </t>
    </mdx>
    <mdx n="0" f="v">
      <t c="6" si="614">
        <n x="610"/>
        <n x="551"/>
        <n x="552"/>
        <n x="611" s="1"/>
        <n x="651"/>
        <n x="652"/>
      </t>
    </mdx>
    <mdx n="0" f="v">
      <t c="6" si="614">
        <n x="610"/>
        <n x="551"/>
        <n x="552"/>
        <n x="611" s="1"/>
        <n x="655"/>
        <n x="656"/>
      </t>
    </mdx>
    <mdx n="0" f="v">
      <t c="6" si="614">
        <n x="610"/>
        <n x="551"/>
        <n x="552"/>
        <n x="611" s="1"/>
        <n x="657"/>
        <n x="658"/>
      </t>
    </mdx>
    <mdx n="0" f="v">
      <t c="6" si="614">
        <n x="610"/>
        <n x="551"/>
        <n x="552"/>
        <n x="611" s="1"/>
        <n x="659"/>
        <n x="660"/>
      </t>
    </mdx>
    <mdx n="0" f="v">
      <t c="6" si="614">
        <n x="610"/>
        <n x="551"/>
        <n x="552"/>
        <n x="611" s="1"/>
        <n x="661"/>
        <n x="662"/>
      </t>
    </mdx>
    <mdx n="0" f="v">
      <t c="6" si="614">
        <n x="610"/>
        <n x="551"/>
        <n x="552"/>
        <n x="611" s="1"/>
        <n x="663"/>
        <n x="664"/>
      </t>
    </mdx>
    <mdx n="0" f="v">
      <t c="6" si="614">
        <n x="610"/>
        <n x="551"/>
        <n x="552"/>
        <n x="611" s="1"/>
        <n x="665"/>
        <n x="666"/>
      </t>
    </mdx>
    <mdx n="0" f="v">
      <t c="6" si="614">
        <n x="610"/>
        <n x="551"/>
        <n x="552"/>
        <n x="611" s="1"/>
        <n x="667"/>
        <n x="668"/>
      </t>
    </mdx>
    <mdx n="0" f="v">
      <t c="6" si="614">
        <n x="610"/>
        <n x="551"/>
        <n x="552"/>
        <n x="611" s="1"/>
        <n x="669"/>
        <n x="670"/>
      </t>
    </mdx>
    <mdx n="0" f="v">
      <t c="6" si="614">
        <n x="610"/>
        <n x="551"/>
        <n x="552"/>
        <n x="611" s="1"/>
        <n x="671"/>
        <n x="672"/>
      </t>
    </mdx>
    <mdx n="0" f="v">
      <t c="6" si="614">
        <n x="610"/>
        <n x="551"/>
        <n x="552"/>
        <n x="611" s="1"/>
        <n x="673"/>
        <n x="674"/>
      </t>
    </mdx>
    <mdx n="0" f="v">
      <t c="6" si="614">
        <n x="610"/>
        <n x="551"/>
        <n x="552"/>
        <n x="611" s="1"/>
        <n x="677"/>
        <n x="678"/>
      </t>
    </mdx>
    <mdx n="0" f="v">
      <t c="6" si="614">
        <n x="610"/>
        <n x="551"/>
        <n x="552"/>
        <n x="611" s="1"/>
        <n x="679"/>
        <n x="680"/>
      </t>
    </mdx>
    <mdx n="0" f="v">
      <t c="6" si="614">
        <n x="610"/>
        <n x="551"/>
        <n x="552"/>
        <n x="611" s="1"/>
        <n x="681"/>
        <n x="682"/>
      </t>
    </mdx>
    <mdx n="0" f="v">
      <t c="6" si="614">
        <n x="610"/>
        <n x="551"/>
        <n x="552"/>
        <n x="611" s="1"/>
        <n x="685"/>
        <n x="686"/>
      </t>
    </mdx>
    <mdx n="0" f="v">
      <t c="6" si="614">
        <n x="610"/>
        <n x="551"/>
        <n x="552"/>
        <n x="611" s="1"/>
        <n x="687"/>
        <n x="688"/>
      </t>
    </mdx>
    <mdx n="0" f="v">
      <t c="6" si="614">
        <n x="610"/>
        <n x="551"/>
        <n x="552"/>
        <n x="611" s="1"/>
        <n x="689"/>
        <n x="690"/>
      </t>
    </mdx>
    <mdx n="0" f="v">
      <t c="6" si="614">
        <n x="610"/>
        <n x="551"/>
        <n x="552"/>
        <n x="611" s="1"/>
        <n x="691"/>
        <n x="692"/>
      </t>
    </mdx>
    <mdx n="0" f="v">
      <t c="6" si="614">
        <n x="610"/>
        <n x="551"/>
        <n x="552"/>
        <n x="611" s="1"/>
        <n x="695"/>
        <n x="696"/>
      </t>
    </mdx>
    <mdx n="0" f="v">
      <t c="6" si="614">
        <n x="610"/>
        <n x="551"/>
        <n x="552"/>
        <n x="611" s="1"/>
        <n x="697"/>
        <n x="698"/>
      </t>
    </mdx>
    <mdx n="0" f="v">
      <t c="6" si="614">
        <n x="610"/>
        <n x="551"/>
        <n x="552"/>
        <n x="611" s="1"/>
        <n x="699"/>
        <n x="700"/>
      </t>
    </mdx>
    <mdx n="0" f="v">
      <t c="6" si="614">
        <n x="610"/>
        <n x="551"/>
        <n x="552"/>
        <n x="611" s="1"/>
        <n x="701"/>
        <n x="702"/>
      </t>
    </mdx>
    <mdx n="0" f="v">
      <t c="6" si="614">
        <n x="610"/>
        <n x="551"/>
        <n x="552"/>
        <n x="611" s="1"/>
        <n x="705"/>
        <n x="706"/>
      </t>
    </mdx>
    <mdx n="0" f="v">
      <t c="6" si="614">
        <n x="610"/>
        <n x="551"/>
        <n x="552"/>
        <n x="611" s="1"/>
        <n x="707"/>
        <n x="708"/>
      </t>
    </mdx>
    <mdx n="0" f="v">
      <t c="6" si="614">
        <n x="610"/>
        <n x="553"/>
        <n x="554"/>
        <n x="611" s="1"/>
        <n x="612"/>
        <n x="613"/>
      </t>
    </mdx>
    <mdx n="0" f="v">
      <t c="6" si="614">
        <n x="610"/>
        <n x="553"/>
        <n x="554"/>
        <n x="611" s="1"/>
        <n x="615"/>
        <n x="616"/>
      </t>
    </mdx>
    <mdx n="0" f="v">
      <t c="6" si="614">
        <n x="610"/>
        <n x="553"/>
        <n x="554"/>
        <n x="611" s="1"/>
        <n x="619"/>
        <n x="620"/>
      </t>
    </mdx>
    <mdx n="0" f="v">
      <t c="6" si="614">
        <n x="610"/>
        <n x="553"/>
        <n x="554"/>
        <n x="611" s="1"/>
        <n x="621"/>
        <n x="622"/>
      </t>
    </mdx>
    <mdx n="0" f="v">
      <t c="6" si="614">
        <n x="610"/>
        <n x="553"/>
        <n x="554"/>
        <n x="611" s="1"/>
        <n x="623"/>
        <n x="624"/>
      </t>
    </mdx>
    <mdx n="0" f="v">
      <t c="6" si="614">
        <n x="610"/>
        <n x="553"/>
        <n x="554"/>
        <n x="611" s="1"/>
        <n x="625"/>
        <n x="626"/>
      </t>
    </mdx>
    <mdx n="0" f="v">
      <t c="6" si="614">
        <n x="610"/>
        <n x="553"/>
        <n x="554"/>
        <n x="611" s="1"/>
        <n x="627"/>
        <n x="628"/>
      </t>
    </mdx>
    <mdx n="0" f="v">
      <t c="6" si="614">
        <n x="610"/>
        <n x="553"/>
        <n x="554"/>
        <n x="611" s="1"/>
        <n x="629"/>
        <n x="630"/>
      </t>
    </mdx>
    <mdx n="0" f="v">
      <t c="6" si="614">
        <n x="610"/>
        <n x="553"/>
        <n x="554"/>
        <n x="611" s="1"/>
        <n x="631"/>
        <n x="632"/>
      </t>
    </mdx>
    <mdx n="0" f="v">
      <t c="6" si="614">
        <n x="610"/>
        <n x="553"/>
        <n x="554"/>
        <n x="611" s="1"/>
        <n x="633"/>
        <n x="634"/>
      </t>
    </mdx>
    <mdx n="0" f="v">
      <t c="6" si="614">
        <n x="610"/>
        <n x="553"/>
        <n x="554"/>
        <n x="611" s="1"/>
        <n x="635"/>
        <n x="636"/>
      </t>
    </mdx>
    <mdx n="0" f="v">
      <t c="6" si="614">
        <n x="610"/>
        <n x="553"/>
        <n x="554"/>
        <n x="611" s="1"/>
        <n x="637"/>
        <n x="638"/>
      </t>
    </mdx>
    <mdx n="0" f="v">
      <t c="6" si="614">
        <n x="610"/>
        <n x="553"/>
        <n x="554"/>
        <n x="611" s="1"/>
        <n x="639"/>
        <n x="640"/>
      </t>
    </mdx>
    <mdx n="0" f="v">
      <t c="6" si="614">
        <n x="610"/>
        <n x="553"/>
        <n x="554"/>
        <n x="611" s="1"/>
        <n x="643"/>
        <n x="644"/>
      </t>
    </mdx>
    <mdx n="0" f="v">
      <t c="6" si="614">
        <n x="610"/>
        <n x="553"/>
        <n x="554"/>
        <n x="611" s="1"/>
        <n x="645"/>
        <n x="646"/>
      </t>
    </mdx>
    <mdx n="0" f="v">
      <t c="6" si="614">
        <n x="610"/>
        <n x="553"/>
        <n x="554"/>
        <n x="611" s="1"/>
        <n x="647"/>
        <n x="648"/>
      </t>
    </mdx>
    <mdx n="0" f="v">
      <t c="6" si="614">
        <n x="610"/>
        <n x="553"/>
        <n x="554"/>
        <n x="611" s="1"/>
        <n x="649"/>
        <n x="650"/>
      </t>
    </mdx>
    <mdx n="0" f="v">
      <t c="6" si="614">
        <n x="610"/>
        <n x="553"/>
        <n x="554"/>
        <n x="611" s="1"/>
        <n x="651"/>
        <n x="652"/>
      </t>
    </mdx>
    <mdx n="0" f="v">
      <t c="6" si="614">
        <n x="610"/>
        <n x="553"/>
        <n x="554"/>
        <n x="611" s="1"/>
        <n x="653"/>
        <n x="654"/>
      </t>
    </mdx>
    <mdx n="0" f="v">
      <t c="6" si="614">
        <n x="610"/>
        <n x="553"/>
        <n x="554"/>
        <n x="611" s="1"/>
        <n x="655"/>
        <n x="656"/>
      </t>
    </mdx>
    <mdx n="0" f="v">
      <t c="6" si="614">
        <n x="610"/>
        <n x="553"/>
        <n x="554"/>
        <n x="611" s="1"/>
        <n x="657"/>
        <n x="658"/>
      </t>
    </mdx>
    <mdx n="0" f="v">
      <t c="6" si="614">
        <n x="610"/>
        <n x="553"/>
        <n x="554"/>
        <n x="611" s="1"/>
        <n x="659"/>
        <n x="660"/>
      </t>
    </mdx>
    <mdx n="0" f="v">
      <t c="6" si="614">
        <n x="610"/>
        <n x="553"/>
        <n x="554"/>
        <n x="611" s="1"/>
        <n x="661"/>
        <n x="662"/>
      </t>
    </mdx>
    <mdx n="0" f="v">
      <t c="6" si="614">
        <n x="610"/>
        <n x="553"/>
        <n x="554"/>
        <n x="611" s="1"/>
        <n x="663"/>
        <n x="664"/>
      </t>
    </mdx>
    <mdx n="0" f="v">
      <t c="6" si="614">
        <n x="610"/>
        <n x="553"/>
        <n x="554"/>
        <n x="611" s="1"/>
        <n x="665"/>
        <n x="666"/>
      </t>
    </mdx>
    <mdx n="0" f="v">
      <t c="6" si="614">
        <n x="610"/>
        <n x="553"/>
        <n x="554"/>
        <n x="611" s="1"/>
        <n x="667"/>
        <n x="668"/>
      </t>
    </mdx>
    <mdx n="0" f="v">
      <t c="6" si="614">
        <n x="610"/>
        <n x="553"/>
        <n x="554"/>
        <n x="611" s="1"/>
        <n x="669"/>
        <n x="670"/>
      </t>
    </mdx>
    <mdx n="0" f="v">
      <t c="6" si="614">
        <n x="610"/>
        <n x="553"/>
        <n x="554"/>
        <n x="611" s="1"/>
        <n x="671"/>
        <n x="672"/>
      </t>
    </mdx>
    <mdx n="0" f="v">
      <t c="6" si="614">
        <n x="610"/>
        <n x="553"/>
        <n x="554"/>
        <n x="611" s="1"/>
        <n x="673"/>
        <n x="674"/>
      </t>
    </mdx>
    <mdx n="0" f="v">
      <t c="6" si="614">
        <n x="610"/>
        <n x="553"/>
        <n x="554"/>
        <n x="611" s="1"/>
        <n x="675"/>
        <n x="676"/>
      </t>
    </mdx>
    <mdx n="0" f="v">
      <t c="6" si="614">
        <n x="610"/>
        <n x="553"/>
        <n x="554"/>
        <n x="611" s="1"/>
        <n x="677"/>
        <n x="678"/>
      </t>
    </mdx>
    <mdx n="0" f="v">
      <t c="6" si="614">
        <n x="610"/>
        <n x="553"/>
        <n x="554"/>
        <n x="611" s="1"/>
        <n x="679"/>
        <n x="680"/>
      </t>
    </mdx>
    <mdx n="0" f="v">
      <t c="6" si="614">
        <n x="610"/>
        <n x="553"/>
        <n x="554"/>
        <n x="611" s="1"/>
        <n x="681"/>
        <n x="682"/>
      </t>
    </mdx>
    <mdx n="0" f="v">
      <t c="6" si="614">
        <n x="610"/>
        <n x="553"/>
        <n x="554"/>
        <n x="611" s="1"/>
        <n x="683"/>
        <n x="684"/>
      </t>
    </mdx>
    <mdx n="0" f="v">
      <t c="6" si="614">
        <n x="610"/>
        <n x="553"/>
        <n x="554"/>
        <n x="611" s="1"/>
        <n x="689"/>
        <n x="690"/>
      </t>
    </mdx>
    <mdx n="0" f="v">
      <t c="6" si="614">
        <n x="610"/>
        <n x="553"/>
        <n x="554"/>
        <n x="611" s="1"/>
        <n x="695"/>
        <n x="696"/>
      </t>
    </mdx>
    <mdx n="0" f="v">
      <t c="6" si="614">
        <n x="610"/>
        <n x="553"/>
        <n x="554"/>
        <n x="611" s="1"/>
        <n x="697"/>
        <n x="698"/>
      </t>
    </mdx>
    <mdx n="0" f="v">
      <t c="6" si="614">
        <n x="610"/>
        <n x="553"/>
        <n x="554"/>
        <n x="611" s="1"/>
        <n x="699"/>
        <n x="700"/>
      </t>
    </mdx>
    <mdx n="0" f="v">
      <t c="6" si="614">
        <n x="610"/>
        <n x="553"/>
        <n x="554"/>
        <n x="611" s="1"/>
        <n x="701"/>
        <n x="702"/>
      </t>
    </mdx>
    <mdx n="0" f="v">
      <t c="6" si="614">
        <n x="610"/>
        <n x="553"/>
        <n x="554"/>
        <n x="611" s="1"/>
        <n x="703"/>
        <n x="704"/>
      </t>
    </mdx>
    <mdx n="0" f="v">
      <t c="6" si="614">
        <n x="610"/>
        <n x="553"/>
        <n x="554"/>
        <n x="611" s="1"/>
        <n x="705"/>
        <n x="706"/>
      </t>
    </mdx>
    <mdx n="0" f="v">
      <t c="6" si="614">
        <n x="610"/>
        <n x="553"/>
        <n x="554"/>
        <n x="611" s="1"/>
        <n x="707"/>
        <n x="708"/>
      </t>
    </mdx>
    <mdx n="0" f="v">
      <t c="6" si="614">
        <n x="610"/>
        <n x="555"/>
        <n x="556"/>
        <n x="611" s="1"/>
        <n x="612"/>
        <n x="613"/>
      </t>
    </mdx>
    <mdx n="0" f="v">
      <t c="6" si="614">
        <n x="610"/>
        <n x="555"/>
        <n x="556"/>
        <n x="611" s="1"/>
        <n x="615"/>
        <n x="616"/>
      </t>
    </mdx>
    <mdx n="0" f="v">
      <t c="6" si="614">
        <n x="610"/>
        <n x="555"/>
        <n x="556"/>
        <n x="611" s="1"/>
        <n x="617"/>
        <n x="618"/>
      </t>
    </mdx>
    <mdx n="0" f="v">
      <t c="6" si="614">
        <n x="610"/>
        <n x="555"/>
        <n x="556"/>
        <n x="611" s="1"/>
        <n x="619"/>
        <n x="620"/>
      </t>
    </mdx>
    <mdx n="0" f="v">
      <t c="6" si="614">
        <n x="610"/>
        <n x="555"/>
        <n x="556"/>
        <n x="611" s="1"/>
        <n x="623"/>
        <n x="624"/>
      </t>
    </mdx>
    <mdx n="0" f="v">
      <t c="6" si="614">
        <n x="610"/>
        <n x="555"/>
        <n x="556"/>
        <n x="611" s="1"/>
        <n x="625"/>
        <n x="626"/>
      </t>
    </mdx>
    <mdx n="0" f="v">
      <t c="6" si="614">
        <n x="610"/>
        <n x="555"/>
        <n x="556"/>
        <n x="611" s="1"/>
        <n x="627"/>
        <n x="628"/>
      </t>
    </mdx>
    <mdx n="0" f="v">
      <t c="6" si="614">
        <n x="610"/>
        <n x="555"/>
        <n x="556"/>
        <n x="611" s="1"/>
        <n x="631"/>
        <n x="632"/>
      </t>
    </mdx>
    <mdx n="0" f="v">
      <t c="6" si="614">
        <n x="610"/>
        <n x="555"/>
        <n x="556"/>
        <n x="611" s="1"/>
        <n x="635"/>
        <n x="636"/>
      </t>
    </mdx>
    <mdx n="0" f="v">
      <t c="6" si="614">
        <n x="610"/>
        <n x="555"/>
        <n x="556"/>
        <n x="611" s="1"/>
        <n x="641"/>
        <n x="642"/>
      </t>
    </mdx>
    <mdx n="0" f="v">
      <t c="6" si="614">
        <n x="610"/>
        <n x="555"/>
        <n x="556"/>
        <n x="611" s="1"/>
        <n x="645"/>
        <n x="646"/>
      </t>
    </mdx>
    <mdx n="0" f="v">
      <t c="6" si="614">
        <n x="610"/>
        <n x="555"/>
        <n x="556"/>
        <n x="611" s="1"/>
        <n x="647"/>
        <n x="648"/>
      </t>
    </mdx>
    <mdx n="0" f="v">
      <t c="6" si="614">
        <n x="610"/>
        <n x="555"/>
        <n x="556"/>
        <n x="611" s="1"/>
        <n x="657"/>
        <n x="658"/>
      </t>
    </mdx>
    <mdx n="0" f="v">
      <t c="6" si="614">
        <n x="610"/>
        <n x="555"/>
        <n x="556"/>
        <n x="611" s="1"/>
        <n x="659"/>
        <n x="660"/>
      </t>
    </mdx>
    <mdx n="0" f="v">
      <t c="6" si="614">
        <n x="610"/>
        <n x="555"/>
        <n x="556"/>
        <n x="611" s="1"/>
        <n x="663"/>
        <n x="664"/>
      </t>
    </mdx>
    <mdx n="0" f="v">
      <t c="6" si="614">
        <n x="610"/>
        <n x="555"/>
        <n x="556"/>
        <n x="611" s="1"/>
        <n x="667"/>
        <n x="668"/>
      </t>
    </mdx>
    <mdx n="0" f="v">
      <t c="6" si="614">
        <n x="610"/>
        <n x="555"/>
        <n x="556"/>
        <n x="611" s="1"/>
        <n x="669"/>
        <n x="670"/>
      </t>
    </mdx>
    <mdx n="0" f="v">
      <t c="6" si="614">
        <n x="610"/>
        <n x="555"/>
        <n x="556"/>
        <n x="611" s="1"/>
        <n x="671"/>
        <n x="672"/>
      </t>
    </mdx>
    <mdx n="0" f="v">
      <t c="6" si="614">
        <n x="610"/>
        <n x="555"/>
        <n x="556"/>
        <n x="611" s="1"/>
        <n x="673"/>
        <n x="674"/>
      </t>
    </mdx>
    <mdx n="0" f="v">
      <t c="6" si="614">
        <n x="610"/>
        <n x="555"/>
        <n x="556"/>
        <n x="611" s="1"/>
        <n x="677"/>
        <n x="678"/>
      </t>
    </mdx>
    <mdx n="0" f="v">
      <t c="6" si="614">
        <n x="610"/>
        <n x="555"/>
        <n x="556"/>
        <n x="611" s="1"/>
        <n x="681"/>
        <n x="682"/>
      </t>
    </mdx>
    <mdx n="0" f="v">
      <t c="6" si="614">
        <n x="610"/>
        <n x="555"/>
        <n x="556"/>
        <n x="611" s="1"/>
        <n x="683"/>
        <n x="684"/>
      </t>
    </mdx>
    <mdx n="0" f="v">
      <t c="6" si="614">
        <n x="610"/>
        <n x="555"/>
        <n x="556"/>
        <n x="611" s="1"/>
        <n x="685"/>
        <n x="686"/>
      </t>
    </mdx>
    <mdx n="0" f="v">
      <t c="6" si="614">
        <n x="610"/>
        <n x="555"/>
        <n x="556"/>
        <n x="611" s="1"/>
        <n x="687"/>
        <n x="688"/>
      </t>
    </mdx>
    <mdx n="0" f="v">
      <t c="6" si="614">
        <n x="610"/>
        <n x="555"/>
        <n x="556"/>
        <n x="611" s="1"/>
        <n x="695"/>
        <n x="696"/>
      </t>
    </mdx>
    <mdx n="0" f="v">
      <t c="6" si="614">
        <n x="610"/>
        <n x="555"/>
        <n x="556"/>
        <n x="611" s="1"/>
        <n x="697"/>
        <n x="698"/>
      </t>
    </mdx>
    <mdx n="0" f="v">
      <t c="6" si="614">
        <n x="610"/>
        <n x="555"/>
        <n x="556"/>
        <n x="611" s="1"/>
        <n x="699"/>
        <n x="700"/>
      </t>
    </mdx>
    <mdx n="0" f="v">
      <t c="6" si="614">
        <n x="610"/>
        <n x="555"/>
        <n x="556"/>
        <n x="611" s="1"/>
        <n x="701"/>
        <n x="702"/>
      </t>
    </mdx>
    <mdx n="0" f="v">
      <t c="6" si="614">
        <n x="610"/>
        <n x="555"/>
        <n x="556"/>
        <n x="611" s="1"/>
        <n x="703"/>
        <n x="704"/>
      </t>
    </mdx>
    <mdx n="0" f="v">
      <t c="6" si="614">
        <n x="610"/>
        <n x="555"/>
        <n x="556"/>
        <n x="611" s="1"/>
        <n x="705"/>
        <n x="706"/>
      </t>
    </mdx>
    <mdx n="0" f="v">
      <t c="6" si="614">
        <n x="610"/>
        <n x="557"/>
        <n x="558"/>
        <n x="611" s="1"/>
        <n x="612"/>
        <n x="613"/>
      </t>
    </mdx>
    <mdx n="0" f="v">
      <t c="6" si="614">
        <n x="610"/>
        <n x="557"/>
        <n x="558"/>
        <n x="611" s="1"/>
        <n x="615"/>
        <n x="616"/>
      </t>
    </mdx>
    <mdx n="0" f="v">
      <t c="6" si="614">
        <n x="610"/>
        <n x="557"/>
        <n x="558"/>
        <n x="611" s="1"/>
        <n x="619"/>
        <n x="620"/>
      </t>
    </mdx>
    <mdx n="0" f="v">
      <t c="6" si="614">
        <n x="610"/>
        <n x="557"/>
        <n x="558"/>
        <n x="611" s="1"/>
        <n x="621"/>
        <n x="622"/>
      </t>
    </mdx>
    <mdx n="0" f="v">
      <t c="6" si="614">
        <n x="610"/>
        <n x="557"/>
        <n x="558"/>
        <n x="611" s="1"/>
        <n x="623"/>
        <n x="624"/>
      </t>
    </mdx>
    <mdx n="0" f="v">
      <t c="6" si="614">
        <n x="610"/>
        <n x="557"/>
        <n x="558"/>
        <n x="611" s="1"/>
        <n x="625"/>
        <n x="626"/>
      </t>
    </mdx>
    <mdx n="0" f="v">
      <t c="6" si="614">
        <n x="610"/>
        <n x="557"/>
        <n x="558"/>
        <n x="611" s="1"/>
        <n x="627"/>
        <n x="628"/>
      </t>
    </mdx>
    <mdx n="0" f="v">
      <t c="6" si="614">
        <n x="610"/>
        <n x="557"/>
        <n x="558"/>
        <n x="611" s="1"/>
        <n x="629"/>
        <n x="630"/>
      </t>
    </mdx>
    <mdx n="0" f="v">
      <t c="6" si="614">
        <n x="610"/>
        <n x="557"/>
        <n x="558"/>
        <n x="611" s="1"/>
        <n x="631"/>
        <n x="632"/>
      </t>
    </mdx>
    <mdx n="0" f="v">
      <t c="6" si="614">
        <n x="610"/>
        <n x="557"/>
        <n x="558"/>
        <n x="611" s="1"/>
        <n x="633"/>
        <n x="634"/>
      </t>
    </mdx>
    <mdx n="0" f="v">
      <t c="6" si="614">
        <n x="610"/>
        <n x="557"/>
        <n x="558"/>
        <n x="611" s="1"/>
        <n x="635"/>
        <n x="636"/>
      </t>
    </mdx>
    <mdx n="0" f="v">
      <t c="6" si="614">
        <n x="610"/>
        <n x="557"/>
        <n x="558"/>
        <n x="611" s="1"/>
        <n x="637"/>
        <n x="638"/>
      </t>
    </mdx>
    <mdx n="0" f="v">
      <t c="6" si="614">
        <n x="610"/>
        <n x="557"/>
        <n x="558"/>
        <n x="611" s="1"/>
        <n x="639"/>
        <n x="640"/>
      </t>
    </mdx>
    <mdx n="0" f="v">
      <t c="6" si="614">
        <n x="610"/>
        <n x="557"/>
        <n x="558"/>
        <n x="611" s="1"/>
        <n x="641"/>
        <n x="642"/>
      </t>
    </mdx>
    <mdx n="0" f="v">
      <t c="6" si="614">
        <n x="610"/>
        <n x="557"/>
        <n x="558"/>
        <n x="611" s="1"/>
        <n x="643"/>
        <n x="644"/>
      </t>
    </mdx>
    <mdx n="0" f="v">
      <t c="6" si="614">
        <n x="610"/>
        <n x="557"/>
        <n x="558"/>
        <n x="611" s="1"/>
        <n x="645"/>
        <n x="646"/>
      </t>
    </mdx>
    <mdx n="0" f="v">
      <t c="6" si="614">
        <n x="610"/>
        <n x="557"/>
        <n x="558"/>
        <n x="611" s="1"/>
        <n x="647"/>
        <n x="648"/>
      </t>
    </mdx>
    <mdx n="0" f="v">
      <t c="6" si="614">
        <n x="610"/>
        <n x="557"/>
        <n x="558"/>
        <n x="611" s="1"/>
        <n x="651"/>
        <n x="652"/>
      </t>
    </mdx>
    <mdx n="0" f="v">
      <t c="6" si="614">
        <n x="610"/>
        <n x="557"/>
        <n x="558"/>
        <n x="611" s="1"/>
        <n x="653"/>
        <n x="654"/>
      </t>
    </mdx>
    <mdx n="0" f="v">
      <t c="6" si="614">
        <n x="610"/>
        <n x="557"/>
        <n x="558"/>
        <n x="611" s="1"/>
        <n x="655"/>
        <n x="656"/>
      </t>
    </mdx>
    <mdx n="0" f="v">
      <t c="6" si="614">
        <n x="610"/>
        <n x="557"/>
        <n x="558"/>
        <n x="611" s="1"/>
        <n x="657"/>
        <n x="658"/>
      </t>
    </mdx>
    <mdx n="0" f="v">
      <t c="6" si="614">
        <n x="610"/>
        <n x="557"/>
        <n x="558"/>
        <n x="611" s="1"/>
        <n x="659"/>
        <n x="660"/>
      </t>
    </mdx>
    <mdx n="0" f="v">
      <t c="6" si="614">
        <n x="610"/>
        <n x="557"/>
        <n x="558"/>
        <n x="611" s="1"/>
        <n x="661"/>
        <n x="662"/>
      </t>
    </mdx>
    <mdx n="0" f="v">
      <t c="6" si="614">
        <n x="610"/>
        <n x="557"/>
        <n x="558"/>
        <n x="611" s="1"/>
        <n x="663"/>
        <n x="664"/>
      </t>
    </mdx>
    <mdx n="0" f="v">
      <t c="6" si="614">
        <n x="610"/>
        <n x="557"/>
        <n x="558"/>
        <n x="611" s="1"/>
        <n x="665"/>
        <n x="666"/>
      </t>
    </mdx>
    <mdx n="0" f="v">
      <t c="6" si="614">
        <n x="610"/>
        <n x="557"/>
        <n x="558"/>
        <n x="611" s="1"/>
        <n x="667"/>
        <n x="668"/>
      </t>
    </mdx>
    <mdx n="0" f="v">
      <t c="6" si="614">
        <n x="610"/>
        <n x="557"/>
        <n x="558"/>
        <n x="611" s="1"/>
        <n x="669"/>
        <n x="670"/>
      </t>
    </mdx>
    <mdx n="0" f="v">
      <t c="6" si="614">
        <n x="610"/>
        <n x="557"/>
        <n x="558"/>
        <n x="611" s="1"/>
        <n x="671"/>
        <n x="672"/>
      </t>
    </mdx>
    <mdx n="0" f="v">
      <t c="6" si="614">
        <n x="610"/>
        <n x="557"/>
        <n x="558"/>
        <n x="611" s="1"/>
        <n x="673"/>
        <n x="674"/>
      </t>
    </mdx>
    <mdx n="0" f="v">
      <t c="6" si="614">
        <n x="610"/>
        <n x="557"/>
        <n x="558"/>
        <n x="611" s="1"/>
        <n x="675"/>
        <n x="676"/>
      </t>
    </mdx>
    <mdx n="0" f="v">
      <t c="6" si="614">
        <n x="610"/>
        <n x="557"/>
        <n x="558"/>
        <n x="611" s="1"/>
        <n x="677"/>
        <n x="678"/>
      </t>
    </mdx>
    <mdx n="0" f="v">
      <t c="6" si="614">
        <n x="610"/>
        <n x="557"/>
        <n x="558"/>
        <n x="611" s="1"/>
        <n x="679"/>
        <n x="680"/>
      </t>
    </mdx>
    <mdx n="0" f="v">
      <t c="6" si="614">
        <n x="610"/>
        <n x="557"/>
        <n x="558"/>
        <n x="611" s="1"/>
        <n x="681"/>
        <n x="682"/>
      </t>
    </mdx>
    <mdx n="0" f="v">
      <t c="6" si="614">
        <n x="610"/>
        <n x="557"/>
        <n x="558"/>
        <n x="611" s="1"/>
        <n x="683"/>
        <n x="684"/>
      </t>
    </mdx>
    <mdx n="0" f="v">
      <t c="6" si="614">
        <n x="610"/>
        <n x="557"/>
        <n x="558"/>
        <n x="611" s="1"/>
        <n x="687"/>
        <n x="688"/>
      </t>
    </mdx>
    <mdx n="0" f="v">
      <t c="6" si="614">
        <n x="610"/>
        <n x="557"/>
        <n x="558"/>
        <n x="611" s="1"/>
        <n x="691"/>
        <n x="692"/>
      </t>
    </mdx>
    <mdx n="0" f="v">
      <t c="6" si="614">
        <n x="610"/>
        <n x="557"/>
        <n x="558"/>
        <n x="611" s="1"/>
        <n x="693"/>
        <n x="694"/>
      </t>
    </mdx>
    <mdx n="0" f="v">
      <t c="6" si="614">
        <n x="610"/>
        <n x="557"/>
        <n x="558"/>
        <n x="611" s="1"/>
        <n x="697"/>
        <n x="698"/>
      </t>
    </mdx>
    <mdx n="0" f="v">
      <t c="6" si="614">
        <n x="610"/>
        <n x="557"/>
        <n x="558"/>
        <n x="611" s="1"/>
        <n x="699"/>
        <n x="700"/>
      </t>
    </mdx>
    <mdx n="0" f="v">
      <t c="6" si="614">
        <n x="610"/>
        <n x="557"/>
        <n x="558"/>
        <n x="611" s="1"/>
        <n x="701"/>
        <n x="702"/>
      </t>
    </mdx>
    <mdx n="0" f="v">
      <t c="6" si="614">
        <n x="610"/>
        <n x="557"/>
        <n x="558"/>
        <n x="611" s="1"/>
        <n x="703"/>
        <n x="704"/>
      </t>
    </mdx>
    <mdx n="0" f="v">
      <t c="6" si="614">
        <n x="610"/>
        <n x="557"/>
        <n x="558"/>
        <n x="611" s="1"/>
        <n x="705"/>
        <n x="706"/>
      </t>
    </mdx>
    <mdx n="0" f="v">
      <t c="6" si="614">
        <n x="610"/>
        <n x="557"/>
        <n x="558"/>
        <n x="611" s="1"/>
        <n x="707"/>
        <n x="708"/>
      </t>
    </mdx>
    <mdx n="0" f="v">
      <t c="6" si="614">
        <n x="610"/>
        <n x="559"/>
        <n x="560"/>
        <n x="611" s="1"/>
        <n x="612"/>
        <n x="613"/>
      </t>
    </mdx>
    <mdx n="0" f="v">
      <t c="6" si="614">
        <n x="610"/>
        <n x="559"/>
        <n x="560"/>
        <n x="611" s="1"/>
        <n x="615"/>
        <n x="616"/>
      </t>
    </mdx>
    <mdx n="0" f="v">
      <t c="6" si="614">
        <n x="610"/>
        <n x="559"/>
        <n x="560"/>
        <n x="611" s="1"/>
        <n x="617"/>
        <n x="618"/>
      </t>
    </mdx>
    <mdx n="0" f="v">
      <t c="6" si="614">
        <n x="610"/>
        <n x="559"/>
        <n x="560"/>
        <n x="611" s="1"/>
        <n x="621"/>
        <n x="622"/>
      </t>
    </mdx>
    <mdx n="0" f="v">
      <t c="6" si="614">
        <n x="610"/>
        <n x="559"/>
        <n x="560"/>
        <n x="611" s="1"/>
        <n x="623"/>
        <n x="624"/>
      </t>
    </mdx>
    <mdx n="0" f="v">
      <t c="6" si="614">
        <n x="610"/>
        <n x="559"/>
        <n x="560"/>
        <n x="611" s="1"/>
        <n x="625"/>
        <n x="626"/>
      </t>
    </mdx>
    <mdx n="0" f="v">
      <t c="6" si="614">
        <n x="610"/>
        <n x="559"/>
        <n x="560"/>
        <n x="611" s="1"/>
        <n x="627"/>
        <n x="628"/>
      </t>
    </mdx>
    <mdx n="0" f="v">
      <t c="6" si="614">
        <n x="610"/>
        <n x="559"/>
        <n x="560"/>
        <n x="611" s="1"/>
        <n x="629"/>
        <n x="630"/>
      </t>
    </mdx>
    <mdx n="0" f="v">
      <t c="6" si="614">
        <n x="610"/>
        <n x="559"/>
        <n x="560"/>
        <n x="611" s="1"/>
        <n x="631"/>
        <n x="632"/>
      </t>
    </mdx>
    <mdx n="0" f="v">
      <t c="6" si="614">
        <n x="610"/>
        <n x="559"/>
        <n x="560"/>
        <n x="611" s="1"/>
        <n x="635"/>
        <n x="636"/>
      </t>
    </mdx>
    <mdx n="0" f="v">
      <t c="6" si="614">
        <n x="610"/>
        <n x="559"/>
        <n x="560"/>
        <n x="611" s="1"/>
        <n x="637"/>
        <n x="638"/>
      </t>
    </mdx>
    <mdx n="0" f="v">
      <t c="6" si="614">
        <n x="610"/>
        <n x="559"/>
        <n x="560"/>
        <n x="611" s="1"/>
        <n x="639"/>
        <n x="640"/>
      </t>
    </mdx>
    <mdx n="0" f="v">
      <t c="6" si="614">
        <n x="610"/>
        <n x="559"/>
        <n x="560"/>
        <n x="611" s="1"/>
        <n x="643"/>
        <n x="644"/>
      </t>
    </mdx>
    <mdx n="0" f="v">
      <t c="6" si="614">
        <n x="610"/>
        <n x="559"/>
        <n x="560"/>
        <n x="611" s="1"/>
        <n x="645"/>
        <n x="646"/>
      </t>
    </mdx>
    <mdx n="0" f="v">
      <t c="6" si="614">
        <n x="610"/>
        <n x="559"/>
        <n x="560"/>
        <n x="611" s="1"/>
        <n x="647"/>
        <n x="648"/>
      </t>
    </mdx>
    <mdx n="0" f="v">
      <t c="6" si="614">
        <n x="610"/>
        <n x="559"/>
        <n x="560"/>
        <n x="611" s="1"/>
        <n x="649"/>
        <n x="650"/>
      </t>
    </mdx>
    <mdx n="0" f="v">
      <t c="6" si="614">
        <n x="610"/>
        <n x="559"/>
        <n x="560"/>
        <n x="611" s="1"/>
        <n x="651"/>
        <n x="652"/>
      </t>
    </mdx>
    <mdx n="0" f="v">
      <t c="6" si="614">
        <n x="610"/>
        <n x="559"/>
        <n x="560"/>
        <n x="611" s="1"/>
        <n x="653"/>
        <n x="654"/>
      </t>
    </mdx>
    <mdx n="0" f="v">
      <t c="6" si="614">
        <n x="610"/>
        <n x="559"/>
        <n x="560"/>
        <n x="611" s="1"/>
        <n x="657"/>
        <n x="658"/>
      </t>
    </mdx>
    <mdx n="0" f="v">
      <t c="6" si="614">
        <n x="610"/>
        <n x="559"/>
        <n x="560"/>
        <n x="611" s="1"/>
        <n x="659"/>
        <n x="660"/>
      </t>
    </mdx>
    <mdx n="0" f="v">
      <t c="6" si="614">
        <n x="610"/>
        <n x="559"/>
        <n x="560"/>
        <n x="611" s="1"/>
        <n x="661"/>
        <n x="662"/>
      </t>
    </mdx>
    <mdx n="0" f="v">
      <t c="6" si="614">
        <n x="610"/>
        <n x="559"/>
        <n x="560"/>
        <n x="611" s="1"/>
        <n x="663"/>
        <n x="664"/>
      </t>
    </mdx>
    <mdx n="0" f="v">
      <t c="6" si="614">
        <n x="610"/>
        <n x="559"/>
        <n x="560"/>
        <n x="611" s="1"/>
        <n x="665"/>
        <n x="666"/>
      </t>
    </mdx>
    <mdx n="0" f="v">
      <t c="6" si="614">
        <n x="610"/>
        <n x="559"/>
        <n x="560"/>
        <n x="611" s="1"/>
        <n x="667"/>
        <n x="668"/>
      </t>
    </mdx>
    <mdx n="0" f="v">
      <t c="6" si="614">
        <n x="610"/>
        <n x="559"/>
        <n x="560"/>
        <n x="611" s="1"/>
        <n x="669"/>
        <n x="670"/>
      </t>
    </mdx>
    <mdx n="0" f="v">
      <t c="6" si="614">
        <n x="610"/>
        <n x="559"/>
        <n x="560"/>
        <n x="611" s="1"/>
        <n x="671"/>
        <n x="672"/>
      </t>
    </mdx>
    <mdx n="0" f="v">
      <t c="6" si="614">
        <n x="610"/>
        <n x="559"/>
        <n x="560"/>
        <n x="611" s="1"/>
        <n x="675"/>
        <n x="676"/>
      </t>
    </mdx>
    <mdx n="0" f="v">
      <t c="6" si="614">
        <n x="610"/>
        <n x="559"/>
        <n x="560"/>
        <n x="611" s="1"/>
        <n x="677"/>
        <n x="678"/>
      </t>
    </mdx>
    <mdx n="0" f="v">
      <t c="6" si="614">
        <n x="610"/>
        <n x="559"/>
        <n x="560"/>
        <n x="611" s="1"/>
        <n x="679"/>
        <n x="680"/>
      </t>
    </mdx>
    <mdx n="0" f="v">
      <t c="6" si="614">
        <n x="610"/>
        <n x="559"/>
        <n x="560"/>
        <n x="611" s="1"/>
        <n x="681"/>
        <n x="682"/>
      </t>
    </mdx>
    <mdx n="0" f="v">
      <t c="6" si="614">
        <n x="610"/>
        <n x="559"/>
        <n x="560"/>
        <n x="611" s="1"/>
        <n x="683"/>
        <n x="684"/>
      </t>
    </mdx>
    <mdx n="0" f="v">
      <t c="6" si="614">
        <n x="610"/>
        <n x="559"/>
        <n x="560"/>
        <n x="611" s="1"/>
        <n x="685"/>
        <n x="686"/>
      </t>
    </mdx>
    <mdx n="0" f="v">
      <t c="6" si="614">
        <n x="610"/>
        <n x="559"/>
        <n x="560"/>
        <n x="611" s="1"/>
        <n x="687"/>
        <n x="688"/>
      </t>
    </mdx>
    <mdx n="0" f="v">
      <t c="6" si="614">
        <n x="610"/>
        <n x="559"/>
        <n x="560"/>
        <n x="611" s="1"/>
        <n x="691"/>
        <n x="692"/>
      </t>
    </mdx>
    <mdx n="0" f="v">
      <t c="6" si="614">
        <n x="610"/>
        <n x="559"/>
        <n x="560"/>
        <n x="611" s="1"/>
        <n x="695"/>
        <n x="696"/>
      </t>
    </mdx>
    <mdx n="0" f="v">
      <t c="6" si="614">
        <n x="610"/>
        <n x="559"/>
        <n x="560"/>
        <n x="611" s="1"/>
        <n x="697"/>
        <n x="698"/>
      </t>
    </mdx>
    <mdx n="0" f="v">
      <t c="6" si="614">
        <n x="610"/>
        <n x="559"/>
        <n x="560"/>
        <n x="611" s="1"/>
        <n x="699"/>
        <n x="700"/>
      </t>
    </mdx>
    <mdx n="0" f="v">
      <t c="6" si="614">
        <n x="610"/>
        <n x="559"/>
        <n x="560"/>
        <n x="611" s="1"/>
        <n x="703"/>
        <n x="704"/>
      </t>
    </mdx>
    <mdx n="0" f="v">
      <t c="6" si="614">
        <n x="610"/>
        <n x="559"/>
        <n x="560"/>
        <n x="611" s="1"/>
        <n x="705"/>
        <n x="706"/>
      </t>
    </mdx>
    <mdx n="0" f="v">
      <t c="6" si="614">
        <n x="610"/>
        <n x="559"/>
        <n x="560"/>
        <n x="611" s="1"/>
        <n x="707"/>
        <n x="708"/>
      </t>
    </mdx>
    <mdx n="0" f="v">
      <t c="6" si="614">
        <n x="610"/>
        <n x="561"/>
        <n x="562"/>
        <n x="611" s="1"/>
        <n x="612"/>
        <n x="613"/>
      </t>
    </mdx>
    <mdx n="0" f="v">
      <t c="6" si="614">
        <n x="610"/>
        <n x="561"/>
        <n x="562"/>
        <n x="611" s="1"/>
        <n x="615"/>
        <n x="616"/>
      </t>
    </mdx>
    <mdx n="0" f="v">
      <t c="6" si="614">
        <n x="610"/>
        <n x="561"/>
        <n x="562"/>
        <n x="611" s="1"/>
        <n x="617"/>
        <n x="618"/>
      </t>
    </mdx>
    <mdx n="0" f="v">
      <t c="6" si="614">
        <n x="610"/>
        <n x="561"/>
        <n x="562"/>
        <n x="611" s="1"/>
        <n x="619"/>
        <n x="620"/>
      </t>
    </mdx>
    <mdx n="0" f="v">
      <t c="6" si="614">
        <n x="610"/>
        <n x="561"/>
        <n x="562"/>
        <n x="611" s="1"/>
        <n x="621"/>
        <n x="622"/>
      </t>
    </mdx>
    <mdx n="0" f="v">
      <t c="6" si="614">
        <n x="610"/>
        <n x="561"/>
        <n x="562"/>
        <n x="611" s="1"/>
        <n x="623"/>
        <n x="624"/>
      </t>
    </mdx>
    <mdx n="0" f="v">
      <t c="6" si="614">
        <n x="610"/>
        <n x="561"/>
        <n x="562"/>
        <n x="611" s="1"/>
        <n x="625"/>
        <n x="626"/>
      </t>
    </mdx>
    <mdx n="0" f="v">
      <t c="6" si="614">
        <n x="610"/>
        <n x="561"/>
        <n x="562"/>
        <n x="611" s="1"/>
        <n x="627"/>
        <n x="628"/>
      </t>
    </mdx>
    <mdx n="0" f="v">
      <t c="6" si="614">
        <n x="610"/>
        <n x="561"/>
        <n x="562"/>
        <n x="611" s="1"/>
        <n x="629"/>
        <n x="630"/>
      </t>
    </mdx>
    <mdx n="0" f="v">
      <t c="6" si="614">
        <n x="610"/>
        <n x="561"/>
        <n x="562"/>
        <n x="611" s="1"/>
        <n x="631"/>
        <n x="632"/>
      </t>
    </mdx>
    <mdx n="0" f="v">
      <t c="6" si="614">
        <n x="610"/>
        <n x="561"/>
        <n x="562"/>
        <n x="611" s="1"/>
        <n x="635"/>
        <n x="636"/>
      </t>
    </mdx>
    <mdx n="0" f="v">
      <t c="6" si="614">
        <n x="610"/>
        <n x="561"/>
        <n x="562"/>
        <n x="611" s="1"/>
        <n x="641"/>
        <n x="642"/>
      </t>
    </mdx>
    <mdx n="0" f="v">
      <t c="6" si="614">
        <n x="610"/>
        <n x="561"/>
        <n x="562"/>
        <n x="611" s="1"/>
        <n x="643"/>
        <n x="644"/>
      </t>
    </mdx>
    <mdx n="0" f="v">
      <t c="6" si="614">
        <n x="610"/>
        <n x="561"/>
        <n x="562"/>
        <n x="611" s="1"/>
        <n x="645"/>
        <n x="646"/>
      </t>
    </mdx>
    <mdx n="0" f="v">
      <t c="6" si="614">
        <n x="610"/>
        <n x="561"/>
        <n x="562"/>
        <n x="611" s="1"/>
        <n x="647"/>
        <n x="648"/>
      </t>
    </mdx>
    <mdx n="0" f="v">
      <t c="6" si="614">
        <n x="610"/>
        <n x="561"/>
        <n x="562"/>
        <n x="611" s="1"/>
        <n x="649"/>
        <n x="650"/>
      </t>
    </mdx>
    <mdx n="0" f="v">
      <t c="6" si="614">
        <n x="610"/>
        <n x="561"/>
        <n x="562"/>
        <n x="611" s="1"/>
        <n x="651"/>
        <n x="652"/>
      </t>
    </mdx>
    <mdx n="0" f="v">
      <t c="6" si="614">
        <n x="610"/>
        <n x="561"/>
        <n x="562"/>
        <n x="611" s="1"/>
        <n x="653"/>
        <n x="654"/>
      </t>
    </mdx>
    <mdx n="0" f="v">
      <t c="6" si="614">
        <n x="610"/>
        <n x="561"/>
        <n x="562"/>
        <n x="611" s="1"/>
        <n x="655"/>
        <n x="656"/>
      </t>
    </mdx>
    <mdx n="0" f="v">
      <t c="6" si="614">
        <n x="610"/>
        <n x="561"/>
        <n x="562"/>
        <n x="611" s="1"/>
        <n x="657"/>
        <n x="658"/>
      </t>
    </mdx>
    <mdx n="0" f="v">
      <t c="6" si="614">
        <n x="610"/>
        <n x="561"/>
        <n x="562"/>
        <n x="611" s="1"/>
        <n x="659"/>
        <n x="660"/>
      </t>
    </mdx>
    <mdx n="0" f="v">
      <t c="6" si="614">
        <n x="610"/>
        <n x="561"/>
        <n x="562"/>
        <n x="611" s="1"/>
        <n x="661"/>
        <n x="662"/>
      </t>
    </mdx>
    <mdx n="0" f="v">
      <t c="6" si="614">
        <n x="610"/>
        <n x="561"/>
        <n x="562"/>
        <n x="611" s="1"/>
        <n x="665"/>
        <n x="666"/>
      </t>
    </mdx>
    <mdx n="0" f="v">
      <t c="6" si="614">
        <n x="610"/>
        <n x="561"/>
        <n x="562"/>
        <n x="611" s="1"/>
        <n x="669"/>
        <n x="670"/>
      </t>
    </mdx>
    <mdx n="0" f="v">
      <t c="6" si="614">
        <n x="610"/>
        <n x="561"/>
        <n x="562"/>
        <n x="611" s="1"/>
        <n x="671"/>
        <n x="672"/>
      </t>
    </mdx>
    <mdx n="0" f="v">
      <t c="6" si="614">
        <n x="610"/>
        <n x="561"/>
        <n x="562"/>
        <n x="611" s="1"/>
        <n x="675"/>
        <n x="676"/>
      </t>
    </mdx>
    <mdx n="0" f="v">
      <t c="6" si="614">
        <n x="610"/>
        <n x="561"/>
        <n x="562"/>
        <n x="611" s="1"/>
        <n x="677"/>
        <n x="678"/>
      </t>
    </mdx>
    <mdx n="0" f="v">
      <t c="6" si="614">
        <n x="610"/>
        <n x="561"/>
        <n x="562"/>
        <n x="611" s="1"/>
        <n x="681"/>
        <n x="682"/>
      </t>
    </mdx>
    <mdx n="0" f="v">
      <t c="6" si="614">
        <n x="610"/>
        <n x="561"/>
        <n x="562"/>
        <n x="611" s="1"/>
        <n x="683"/>
        <n x="684"/>
      </t>
    </mdx>
    <mdx n="0" f="v">
      <t c="6" si="614">
        <n x="610"/>
        <n x="561"/>
        <n x="562"/>
        <n x="611" s="1"/>
        <n x="685"/>
        <n x="686"/>
      </t>
    </mdx>
    <mdx n="0" f="v">
      <t c="6" si="614">
        <n x="610"/>
        <n x="561"/>
        <n x="562"/>
        <n x="611" s="1"/>
        <n x="687"/>
        <n x="688"/>
      </t>
    </mdx>
    <mdx n="0" f="v">
      <t c="6" si="614">
        <n x="610"/>
        <n x="561"/>
        <n x="562"/>
        <n x="611" s="1"/>
        <n x="689"/>
        <n x="690"/>
      </t>
    </mdx>
    <mdx n="0" f="v">
      <t c="6" si="614">
        <n x="610"/>
        <n x="561"/>
        <n x="562"/>
        <n x="611" s="1"/>
        <n x="693"/>
        <n x="694"/>
      </t>
    </mdx>
    <mdx n="0" f="v">
      <t c="6" si="614">
        <n x="610"/>
        <n x="561"/>
        <n x="562"/>
        <n x="611" s="1"/>
        <n x="695"/>
        <n x="696"/>
      </t>
    </mdx>
    <mdx n="0" f="v">
      <t c="6" si="614">
        <n x="610"/>
        <n x="561"/>
        <n x="562"/>
        <n x="611" s="1"/>
        <n x="697"/>
        <n x="698"/>
      </t>
    </mdx>
    <mdx n="0" f="v">
      <t c="6" si="614">
        <n x="610"/>
        <n x="561"/>
        <n x="562"/>
        <n x="611" s="1"/>
        <n x="699"/>
        <n x="700"/>
      </t>
    </mdx>
    <mdx n="0" f="v">
      <t c="6" si="614">
        <n x="610"/>
        <n x="561"/>
        <n x="562"/>
        <n x="611" s="1"/>
        <n x="701"/>
        <n x="702"/>
      </t>
    </mdx>
    <mdx n="0" f="v">
      <t c="6" si="614">
        <n x="610"/>
        <n x="561"/>
        <n x="562"/>
        <n x="611" s="1"/>
        <n x="703"/>
        <n x="704"/>
      </t>
    </mdx>
    <mdx n="0" f="v">
      <t c="6" si="614">
        <n x="610"/>
        <n x="561"/>
        <n x="562"/>
        <n x="611" s="1"/>
        <n x="705"/>
        <n x="706"/>
      </t>
    </mdx>
    <mdx n="0" f="v">
      <t c="6" si="614">
        <n x="610"/>
        <n x="563"/>
        <n x="564"/>
        <n x="611" s="1"/>
        <n x="612"/>
        <n x="613"/>
      </t>
    </mdx>
    <mdx n="0" f="v">
      <t c="6" si="614">
        <n x="610"/>
        <n x="563"/>
        <n x="564"/>
        <n x="611" s="1"/>
        <n x="615"/>
        <n x="616"/>
      </t>
    </mdx>
    <mdx n="0" f="v">
      <t c="6" si="614">
        <n x="610"/>
        <n x="563"/>
        <n x="564"/>
        <n x="611" s="1"/>
        <n x="619"/>
        <n x="620"/>
      </t>
    </mdx>
    <mdx n="0" f="v">
      <t c="6" si="614">
        <n x="610"/>
        <n x="563"/>
        <n x="564"/>
        <n x="611" s="1"/>
        <n x="623"/>
        <n x="624"/>
      </t>
    </mdx>
    <mdx n="0" f="v">
      <t c="6" si="614">
        <n x="610"/>
        <n x="563"/>
        <n x="564"/>
        <n x="611" s="1"/>
        <n x="625"/>
        <n x="626"/>
      </t>
    </mdx>
    <mdx n="0" f="v">
      <t c="6" si="614">
        <n x="610"/>
        <n x="563"/>
        <n x="564"/>
        <n x="611" s="1"/>
        <n x="627"/>
        <n x="628"/>
      </t>
    </mdx>
    <mdx n="0" f="v">
      <t c="6" si="614">
        <n x="610"/>
        <n x="563"/>
        <n x="564"/>
        <n x="611" s="1"/>
        <n x="629"/>
        <n x="630"/>
      </t>
    </mdx>
    <mdx n="0" f="v">
      <t c="6" si="614">
        <n x="610"/>
        <n x="563"/>
        <n x="564"/>
        <n x="611" s="1"/>
        <n x="633"/>
        <n x="634"/>
      </t>
    </mdx>
    <mdx n="0" f="v">
      <t c="6" si="614">
        <n x="610"/>
        <n x="563"/>
        <n x="564"/>
        <n x="611" s="1"/>
        <n x="635"/>
        <n x="636"/>
      </t>
    </mdx>
    <mdx n="0" f="v">
      <t c="6" si="614">
        <n x="610"/>
        <n x="563"/>
        <n x="564"/>
        <n x="611" s="1"/>
        <n x="637"/>
        <n x="638"/>
      </t>
    </mdx>
    <mdx n="0" f="v">
      <t c="6" si="614">
        <n x="610"/>
        <n x="563"/>
        <n x="564"/>
        <n x="611" s="1"/>
        <n x="641"/>
        <n x="642"/>
      </t>
    </mdx>
    <mdx n="0" f="v">
      <t c="6" si="614">
        <n x="610"/>
        <n x="563"/>
        <n x="564"/>
        <n x="611" s="1"/>
        <n x="643"/>
        <n x="644"/>
      </t>
    </mdx>
    <mdx n="0" f="v">
      <t c="6" si="614">
        <n x="610"/>
        <n x="563"/>
        <n x="564"/>
        <n x="611" s="1"/>
        <n x="645"/>
        <n x="646"/>
      </t>
    </mdx>
    <mdx n="0" f="v">
      <t c="6" si="614">
        <n x="610"/>
        <n x="563"/>
        <n x="564"/>
        <n x="611" s="1"/>
        <n x="647"/>
        <n x="648"/>
      </t>
    </mdx>
    <mdx n="0" f="v">
      <t c="6" si="614">
        <n x="610"/>
        <n x="563"/>
        <n x="564"/>
        <n x="611" s="1"/>
        <n x="649"/>
        <n x="650"/>
      </t>
    </mdx>
    <mdx n="0" f="v">
      <t c="6" si="614">
        <n x="610"/>
        <n x="563"/>
        <n x="564"/>
        <n x="611" s="1"/>
        <n x="651"/>
        <n x="652"/>
      </t>
    </mdx>
    <mdx n="0" f="v">
      <t c="6" si="614">
        <n x="610"/>
        <n x="563"/>
        <n x="564"/>
        <n x="611" s="1"/>
        <n x="655"/>
        <n x="656"/>
      </t>
    </mdx>
    <mdx n="0" f="v">
      <t c="6" si="614">
        <n x="610"/>
        <n x="563"/>
        <n x="564"/>
        <n x="611" s="1"/>
        <n x="657"/>
        <n x="658"/>
      </t>
    </mdx>
    <mdx n="0" f="v">
      <t c="6" si="614">
        <n x="610"/>
        <n x="563"/>
        <n x="564"/>
        <n x="611" s="1"/>
        <n x="659"/>
        <n x="660"/>
      </t>
    </mdx>
    <mdx n="0" f="v">
      <t c="6" si="614">
        <n x="610"/>
        <n x="563"/>
        <n x="564"/>
        <n x="611" s="1"/>
        <n x="661"/>
        <n x="662"/>
      </t>
    </mdx>
    <mdx n="0" f="v">
      <t c="6" si="614">
        <n x="610"/>
        <n x="563"/>
        <n x="564"/>
        <n x="611" s="1"/>
        <n x="667"/>
        <n x="668"/>
      </t>
    </mdx>
    <mdx n="0" f="v">
      <t c="6" si="614">
        <n x="610"/>
        <n x="563"/>
        <n x="564"/>
        <n x="611" s="1"/>
        <n x="669"/>
        <n x="670"/>
      </t>
    </mdx>
    <mdx n="0" f="v">
      <t c="6" si="614">
        <n x="610"/>
        <n x="563"/>
        <n x="564"/>
        <n x="611" s="1"/>
        <n x="671"/>
        <n x="672"/>
      </t>
    </mdx>
    <mdx n="0" f="v">
      <t c="6" si="614">
        <n x="610"/>
        <n x="563"/>
        <n x="564"/>
        <n x="611" s="1"/>
        <n x="673"/>
        <n x="674"/>
      </t>
    </mdx>
    <mdx n="0" f="v">
      <t c="6" si="614">
        <n x="610"/>
        <n x="563"/>
        <n x="564"/>
        <n x="611" s="1"/>
        <n x="675"/>
        <n x="676"/>
      </t>
    </mdx>
    <mdx n="0" f="v">
      <t c="6" si="614">
        <n x="610"/>
        <n x="563"/>
        <n x="564"/>
        <n x="611" s="1"/>
        <n x="677"/>
        <n x="678"/>
      </t>
    </mdx>
    <mdx n="0" f="v">
      <t c="6" si="614">
        <n x="610"/>
        <n x="563"/>
        <n x="564"/>
        <n x="611" s="1"/>
        <n x="679"/>
        <n x="680"/>
      </t>
    </mdx>
    <mdx n="0" f="v">
      <t c="6" si="614">
        <n x="610"/>
        <n x="563"/>
        <n x="564"/>
        <n x="611" s="1"/>
        <n x="681"/>
        <n x="682"/>
      </t>
    </mdx>
    <mdx n="0" f="v">
      <t c="6" si="614">
        <n x="610"/>
        <n x="563"/>
        <n x="564"/>
        <n x="611" s="1"/>
        <n x="683"/>
        <n x="684"/>
      </t>
    </mdx>
    <mdx n="0" f="v">
      <t c="6" si="614">
        <n x="610"/>
        <n x="563"/>
        <n x="564"/>
        <n x="611" s="1"/>
        <n x="687"/>
        <n x="688"/>
      </t>
    </mdx>
    <mdx n="0" f="v">
      <t c="6" si="614">
        <n x="610"/>
        <n x="563"/>
        <n x="564"/>
        <n x="611" s="1"/>
        <n x="693"/>
        <n x="694"/>
      </t>
    </mdx>
    <mdx n="0" f="v">
      <t c="6" si="614">
        <n x="610"/>
        <n x="563"/>
        <n x="564"/>
        <n x="611" s="1"/>
        <n x="697"/>
        <n x="698"/>
      </t>
    </mdx>
    <mdx n="0" f="v">
      <t c="6" si="614">
        <n x="610"/>
        <n x="563"/>
        <n x="564"/>
        <n x="611" s="1"/>
        <n x="701"/>
        <n x="702"/>
      </t>
    </mdx>
    <mdx n="0" f="v">
      <t c="6" si="614">
        <n x="610"/>
        <n x="563"/>
        <n x="564"/>
        <n x="611" s="1"/>
        <n x="703"/>
        <n x="704"/>
      </t>
    </mdx>
    <mdx n="0" f="v">
      <t c="6" si="614">
        <n x="610"/>
        <n x="563"/>
        <n x="564"/>
        <n x="611" s="1"/>
        <n x="705"/>
        <n x="706"/>
      </t>
    </mdx>
    <mdx n="0" f="v">
      <t c="6" si="614">
        <n x="610"/>
        <n x="563"/>
        <n x="564"/>
        <n x="611" s="1"/>
        <n x="707"/>
        <n x="708"/>
      </t>
    </mdx>
    <mdx n="0" f="v">
      <t c="6" si="614">
        <n x="610"/>
        <n x="565"/>
        <n x="566"/>
        <n x="611" s="1"/>
        <n x="612"/>
        <n x="613"/>
      </t>
    </mdx>
    <mdx n="0" f="v">
      <t c="6" si="614">
        <n x="610"/>
        <n x="565"/>
        <n x="566"/>
        <n x="611" s="1"/>
        <n x="615"/>
        <n x="616"/>
      </t>
    </mdx>
    <mdx n="0" f="v">
      <t c="6" si="614">
        <n x="610"/>
        <n x="565"/>
        <n x="566"/>
        <n x="611" s="1"/>
        <n x="619"/>
        <n x="620"/>
      </t>
    </mdx>
    <mdx n="0" f="v">
      <t c="6" si="614">
        <n x="610"/>
        <n x="565"/>
        <n x="566"/>
        <n x="611" s="1"/>
        <n x="621"/>
        <n x="622"/>
      </t>
    </mdx>
    <mdx n="0" f="v">
      <t c="6" si="614">
        <n x="610"/>
        <n x="565"/>
        <n x="566"/>
        <n x="611" s="1"/>
        <n x="623"/>
        <n x="624"/>
      </t>
    </mdx>
    <mdx n="0" f="v">
      <t c="6" si="614">
        <n x="610"/>
        <n x="565"/>
        <n x="566"/>
        <n x="611" s="1"/>
        <n x="625"/>
        <n x="626"/>
      </t>
    </mdx>
    <mdx n="0" f="v">
      <t c="6" si="614">
        <n x="610"/>
        <n x="565"/>
        <n x="566"/>
        <n x="611" s="1"/>
        <n x="627"/>
        <n x="628"/>
      </t>
    </mdx>
    <mdx n="0" f="v">
      <t c="6" si="614">
        <n x="610"/>
        <n x="565"/>
        <n x="566"/>
        <n x="611" s="1"/>
        <n x="629"/>
        <n x="630"/>
      </t>
    </mdx>
    <mdx n="0" f="v">
      <t c="6" si="614">
        <n x="610"/>
        <n x="565"/>
        <n x="566"/>
        <n x="611" s="1"/>
        <n x="631"/>
        <n x="632"/>
      </t>
    </mdx>
    <mdx n="0" f="v">
      <t c="6" si="614">
        <n x="610"/>
        <n x="565"/>
        <n x="566"/>
        <n x="611" s="1"/>
        <n x="633"/>
        <n x="634"/>
      </t>
    </mdx>
    <mdx n="0" f="v">
      <t c="6" si="614">
        <n x="610"/>
        <n x="565"/>
        <n x="566"/>
        <n x="611" s="1"/>
        <n x="635"/>
        <n x="636"/>
      </t>
    </mdx>
    <mdx n="0" f="v">
      <t c="6" si="614">
        <n x="610"/>
        <n x="565"/>
        <n x="566"/>
        <n x="611" s="1"/>
        <n x="637"/>
        <n x="638"/>
      </t>
    </mdx>
    <mdx n="0" f="v">
      <t c="6" si="614">
        <n x="610"/>
        <n x="565"/>
        <n x="566"/>
        <n x="611" s="1"/>
        <n x="639"/>
        <n x="640"/>
      </t>
    </mdx>
    <mdx n="0" f="v">
      <t c="6" si="614">
        <n x="610"/>
        <n x="565"/>
        <n x="566"/>
        <n x="611" s="1"/>
        <n x="641"/>
        <n x="642"/>
      </t>
    </mdx>
    <mdx n="0" f="v">
      <t c="6" si="614">
        <n x="610"/>
        <n x="565"/>
        <n x="566"/>
        <n x="611" s="1"/>
        <n x="643"/>
        <n x="644"/>
      </t>
    </mdx>
    <mdx n="0" f="v">
      <t c="6" si="614">
        <n x="610"/>
        <n x="565"/>
        <n x="566"/>
        <n x="611" s="1"/>
        <n x="645"/>
        <n x="646"/>
      </t>
    </mdx>
    <mdx n="0" f="v">
      <t c="6" si="614">
        <n x="610"/>
        <n x="565"/>
        <n x="566"/>
        <n x="611" s="1"/>
        <n x="647"/>
        <n x="648"/>
      </t>
    </mdx>
    <mdx n="0" f="v">
      <t c="6" si="614">
        <n x="610"/>
        <n x="565"/>
        <n x="566"/>
        <n x="611" s="1"/>
        <n x="651"/>
        <n x="652"/>
      </t>
    </mdx>
    <mdx n="0" f="v">
      <t c="6" si="614">
        <n x="610"/>
        <n x="565"/>
        <n x="566"/>
        <n x="611" s="1"/>
        <n x="653"/>
        <n x="654"/>
      </t>
    </mdx>
    <mdx n="0" f="v">
      <t c="6" si="614">
        <n x="610"/>
        <n x="565"/>
        <n x="566"/>
        <n x="611" s="1"/>
        <n x="657"/>
        <n x="658"/>
      </t>
    </mdx>
    <mdx n="0" f="v">
      <t c="6" si="614">
        <n x="610"/>
        <n x="565"/>
        <n x="566"/>
        <n x="611" s="1"/>
        <n x="659"/>
        <n x="660"/>
      </t>
    </mdx>
    <mdx n="0" f="v">
      <t c="6" si="614">
        <n x="610"/>
        <n x="565"/>
        <n x="566"/>
        <n x="611" s="1"/>
        <n x="661"/>
        <n x="662"/>
      </t>
    </mdx>
    <mdx n="0" f="v">
      <t c="6" si="614">
        <n x="610"/>
        <n x="565"/>
        <n x="566"/>
        <n x="611" s="1"/>
        <n x="663"/>
        <n x="664"/>
      </t>
    </mdx>
    <mdx n="0" f="v">
      <t c="6" si="614">
        <n x="610"/>
        <n x="565"/>
        <n x="566"/>
        <n x="611" s="1"/>
        <n x="665"/>
        <n x="666"/>
      </t>
    </mdx>
    <mdx n="0" f="v">
      <t c="6" si="614">
        <n x="610"/>
        <n x="565"/>
        <n x="566"/>
        <n x="611" s="1"/>
        <n x="667"/>
        <n x="668"/>
      </t>
    </mdx>
    <mdx n="0" f="v">
      <t c="6" si="614">
        <n x="610"/>
        <n x="565"/>
        <n x="566"/>
        <n x="611" s="1"/>
        <n x="669"/>
        <n x="670"/>
      </t>
    </mdx>
    <mdx n="0" f="v">
      <t c="6" si="614">
        <n x="610"/>
        <n x="565"/>
        <n x="566"/>
        <n x="611" s="1"/>
        <n x="673"/>
        <n x="674"/>
      </t>
    </mdx>
    <mdx n="0" f="v">
      <t c="6" si="614">
        <n x="610"/>
        <n x="565"/>
        <n x="566"/>
        <n x="611" s="1"/>
        <n x="675"/>
        <n x="676"/>
      </t>
    </mdx>
    <mdx n="0" f="v">
      <t c="6" si="614">
        <n x="610"/>
        <n x="565"/>
        <n x="566"/>
        <n x="611" s="1"/>
        <n x="677"/>
        <n x="678"/>
      </t>
    </mdx>
    <mdx n="0" f="v">
      <t c="6" si="614">
        <n x="610"/>
        <n x="565"/>
        <n x="566"/>
        <n x="611" s="1"/>
        <n x="679"/>
        <n x="680"/>
      </t>
    </mdx>
    <mdx n="0" f="v">
      <t c="6" si="614">
        <n x="610"/>
        <n x="565"/>
        <n x="566"/>
        <n x="611" s="1"/>
        <n x="681"/>
        <n x="682"/>
      </t>
    </mdx>
    <mdx n="0" f="v">
      <t c="6" si="614">
        <n x="610"/>
        <n x="565"/>
        <n x="566"/>
        <n x="611" s="1"/>
        <n x="685"/>
        <n x="686"/>
      </t>
    </mdx>
    <mdx n="0" f="v">
      <t c="6" si="614">
        <n x="610"/>
        <n x="565"/>
        <n x="566"/>
        <n x="611" s="1"/>
        <n x="687"/>
        <n x="688"/>
      </t>
    </mdx>
    <mdx n="0" f="v">
      <t c="6" si="614">
        <n x="610"/>
        <n x="565"/>
        <n x="566"/>
        <n x="611" s="1"/>
        <n x="689"/>
        <n x="690"/>
      </t>
    </mdx>
    <mdx n="0" f="v">
      <t c="6" si="614">
        <n x="610"/>
        <n x="565"/>
        <n x="566"/>
        <n x="611" s="1"/>
        <n x="691"/>
        <n x="692"/>
      </t>
    </mdx>
    <mdx n="0" f="v">
      <t c="6" si="614">
        <n x="610"/>
        <n x="565"/>
        <n x="566"/>
        <n x="611" s="1"/>
        <n x="695"/>
        <n x="696"/>
      </t>
    </mdx>
    <mdx n="0" f="v">
      <t c="6" si="614">
        <n x="610"/>
        <n x="565"/>
        <n x="566"/>
        <n x="611" s="1"/>
        <n x="697"/>
        <n x="698"/>
      </t>
    </mdx>
    <mdx n="0" f="v">
      <t c="6" si="614">
        <n x="610"/>
        <n x="565"/>
        <n x="566"/>
        <n x="611" s="1"/>
        <n x="701"/>
        <n x="702"/>
      </t>
    </mdx>
    <mdx n="0" f="v">
      <t c="6" si="614">
        <n x="610"/>
        <n x="565"/>
        <n x="566"/>
        <n x="611" s="1"/>
        <n x="703"/>
        <n x="704"/>
      </t>
    </mdx>
    <mdx n="0" f="v">
      <t c="6" si="614">
        <n x="610"/>
        <n x="565"/>
        <n x="566"/>
        <n x="611" s="1"/>
        <n x="705"/>
        <n x="706"/>
      </t>
    </mdx>
    <mdx n="0" f="v">
      <t c="6" si="614">
        <n x="610"/>
        <n x="565"/>
        <n x="566"/>
        <n x="611" s="1"/>
        <n x="707"/>
        <n x="708"/>
      </t>
    </mdx>
    <mdx n="0" f="v">
      <t c="6" si="614">
        <n x="610"/>
        <n x="567"/>
        <n x="568"/>
        <n x="611" s="1"/>
        <n x="612"/>
        <n x="613"/>
      </t>
    </mdx>
    <mdx n="0" f="v">
      <t c="6" si="614">
        <n x="610"/>
        <n x="567"/>
        <n x="568"/>
        <n x="611" s="1"/>
        <n x="615"/>
        <n x="616"/>
      </t>
    </mdx>
    <mdx n="0" f="v">
      <t c="6" si="614">
        <n x="610"/>
        <n x="567"/>
        <n x="568"/>
        <n x="611" s="1"/>
        <n x="617"/>
        <n x="618"/>
      </t>
    </mdx>
    <mdx n="0" f="v">
      <t c="6" si="614">
        <n x="610"/>
        <n x="567"/>
        <n x="568"/>
        <n x="611" s="1"/>
        <n x="619"/>
        <n x="620"/>
      </t>
    </mdx>
    <mdx n="0" f="v">
      <t c="6" si="614">
        <n x="610"/>
        <n x="567"/>
        <n x="568"/>
        <n x="611" s="1"/>
        <n x="621"/>
        <n x="622"/>
      </t>
    </mdx>
    <mdx n="0" f="v">
      <t c="6" si="614">
        <n x="610"/>
        <n x="567"/>
        <n x="568"/>
        <n x="611" s="1"/>
        <n x="625"/>
        <n x="626"/>
      </t>
    </mdx>
    <mdx n="0" f="v">
      <t c="6" si="614">
        <n x="610"/>
        <n x="567"/>
        <n x="568"/>
        <n x="611" s="1"/>
        <n x="627"/>
        <n x="628"/>
      </t>
    </mdx>
    <mdx n="0" f="v">
      <t c="6" si="614">
        <n x="610"/>
        <n x="567"/>
        <n x="568"/>
        <n x="611" s="1"/>
        <n x="629"/>
        <n x="630"/>
      </t>
    </mdx>
    <mdx n="0" f="v">
      <t c="6" si="614">
        <n x="610"/>
        <n x="567"/>
        <n x="568"/>
        <n x="611" s="1"/>
        <n x="631"/>
        <n x="632"/>
      </t>
    </mdx>
    <mdx n="0" f="v">
      <t c="6" si="614">
        <n x="610"/>
        <n x="567"/>
        <n x="568"/>
        <n x="611" s="1"/>
        <n x="633"/>
        <n x="634"/>
      </t>
    </mdx>
    <mdx n="0" f="v">
      <t c="6" si="614">
        <n x="610"/>
        <n x="567"/>
        <n x="568"/>
        <n x="611" s="1"/>
        <n x="635"/>
        <n x="636"/>
      </t>
    </mdx>
    <mdx n="0" f="v">
      <t c="6" si="614">
        <n x="610"/>
        <n x="567"/>
        <n x="568"/>
        <n x="611" s="1"/>
        <n x="637"/>
        <n x="638"/>
      </t>
    </mdx>
    <mdx n="0" f="v">
      <t c="6" si="614">
        <n x="610"/>
        <n x="567"/>
        <n x="568"/>
        <n x="611" s="1"/>
        <n x="639"/>
        <n x="640"/>
      </t>
    </mdx>
    <mdx n="0" f="v">
      <t c="6" si="614">
        <n x="610"/>
        <n x="567"/>
        <n x="568"/>
        <n x="611" s="1"/>
        <n x="641"/>
        <n x="642"/>
      </t>
    </mdx>
    <mdx n="0" f="v">
      <t c="6" si="614">
        <n x="610"/>
        <n x="567"/>
        <n x="568"/>
        <n x="611" s="1"/>
        <n x="643"/>
        <n x="644"/>
      </t>
    </mdx>
    <mdx n="0" f="v">
      <t c="6" si="614">
        <n x="610"/>
        <n x="567"/>
        <n x="568"/>
        <n x="611" s="1"/>
        <n x="645"/>
        <n x="646"/>
      </t>
    </mdx>
    <mdx n="0" f="v">
      <t c="6" si="614">
        <n x="610"/>
        <n x="567"/>
        <n x="568"/>
        <n x="611" s="1"/>
        <n x="647"/>
        <n x="648"/>
      </t>
    </mdx>
    <mdx n="0" f="v">
      <t c="6" si="614">
        <n x="610"/>
        <n x="567"/>
        <n x="568"/>
        <n x="611" s="1"/>
        <n x="649"/>
        <n x="650"/>
      </t>
    </mdx>
    <mdx n="0" f="v">
      <t c="6" si="614">
        <n x="610"/>
        <n x="567"/>
        <n x="568"/>
        <n x="611" s="1"/>
        <n x="655"/>
        <n x="656"/>
      </t>
    </mdx>
    <mdx n="0" f="v">
      <t c="6" si="614">
        <n x="610"/>
        <n x="567"/>
        <n x="568"/>
        <n x="611" s="1"/>
        <n x="657"/>
        <n x="658"/>
      </t>
    </mdx>
    <mdx n="0" f="v">
      <t c="6" si="614">
        <n x="610"/>
        <n x="567"/>
        <n x="568"/>
        <n x="611" s="1"/>
        <n x="659"/>
        <n x="660"/>
      </t>
    </mdx>
    <mdx n="0" f="v">
      <t c="6" si="614">
        <n x="610"/>
        <n x="567"/>
        <n x="568"/>
        <n x="611" s="1"/>
        <n x="661"/>
        <n x="662"/>
      </t>
    </mdx>
    <mdx n="0" f="v">
      <t c="6" si="614">
        <n x="610"/>
        <n x="567"/>
        <n x="568"/>
        <n x="611" s="1"/>
        <n x="663"/>
        <n x="664"/>
      </t>
    </mdx>
    <mdx n="0" f="v">
      <t c="6" si="614">
        <n x="610"/>
        <n x="567"/>
        <n x="568"/>
        <n x="611" s="1"/>
        <n x="665"/>
        <n x="666"/>
      </t>
    </mdx>
    <mdx n="0" f="v">
      <t c="6" si="614">
        <n x="610"/>
        <n x="567"/>
        <n x="568"/>
        <n x="611" s="1"/>
        <n x="667"/>
        <n x="668"/>
      </t>
    </mdx>
    <mdx n="0" f="v">
      <t c="6" si="614">
        <n x="610"/>
        <n x="567"/>
        <n x="568"/>
        <n x="611" s="1"/>
        <n x="669"/>
        <n x="670"/>
      </t>
    </mdx>
    <mdx n="0" f="v">
      <t c="6" si="614">
        <n x="610"/>
        <n x="567"/>
        <n x="568"/>
        <n x="611" s="1"/>
        <n x="671"/>
        <n x="672"/>
      </t>
    </mdx>
    <mdx n="0" f="v">
      <t c="6" si="614">
        <n x="610"/>
        <n x="567"/>
        <n x="568"/>
        <n x="611" s="1"/>
        <n x="673"/>
        <n x="674"/>
      </t>
    </mdx>
    <mdx n="0" f="v">
      <t c="6" si="614">
        <n x="610"/>
        <n x="567"/>
        <n x="568"/>
        <n x="611" s="1"/>
        <n x="675"/>
        <n x="676"/>
      </t>
    </mdx>
    <mdx n="0" f="v">
      <t c="6" si="614">
        <n x="610"/>
        <n x="567"/>
        <n x="568"/>
        <n x="611" s="1"/>
        <n x="677"/>
        <n x="678"/>
      </t>
    </mdx>
    <mdx n="0" f="v">
      <t c="6" si="614">
        <n x="610"/>
        <n x="567"/>
        <n x="568"/>
        <n x="611" s="1"/>
        <n x="679"/>
        <n x="680"/>
      </t>
    </mdx>
    <mdx n="0" f="v">
      <t c="6" si="614">
        <n x="610"/>
        <n x="567"/>
        <n x="568"/>
        <n x="611" s="1"/>
        <n x="681"/>
        <n x="682"/>
      </t>
    </mdx>
    <mdx n="0" f="v">
      <t c="6" si="614">
        <n x="610"/>
        <n x="567"/>
        <n x="568"/>
        <n x="611" s="1"/>
        <n x="683"/>
        <n x="684"/>
      </t>
    </mdx>
    <mdx n="0" f="v">
      <t c="6" si="614">
        <n x="610"/>
        <n x="567"/>
        <n x="568"/>
        <n x="611" s="1"/>
        <n x="685"/>
        <n x="686"/>
      </t>
    </mdx>
    <mdx n="0" f="v">
      <t c="6" si="614">
        <n x="610"/>
        <n x="567"/>
        <n x="568"/>
        <n x="611" s="1"/>
        <n x="687"/>
        <n x="688"/>
      </t>
    </mdx>
    <mdx n="0" f="v">
      <t c="6" si="614">
        <n x="610"/>
        <n x="567"/>
        <n x="568"/>
        <n x="611" s="1"/>
        <n x="689"/>
        <n x="690"/>
      </t>
    </mdx>
    <mdx n="0" f="v">
      <t c="6" si="614">
        <n x="610"/>
        <n x="567"/>
        <n x="568"/>
        <n x="611" s="1"/>
        <n x="691"/>
        <n x="692"/>
      </t>
    </mdx>
    <mdx n="0" f="v">
      <t c="6" si="614">
        <n x="610"/>
        <n x="567"/>
        <n x="568"/>
        <n x="611" s="1"/>
        <n x="693"/>
        <n x="694"/>
      </t>
    </mdx>
    <mdx n="0" f="v">
      <t c="6" si="614">
        <n x="610"/>
        <n x="567"/>
        <n x="568"/>
        <n x="611" s="1"/>
        <n x="695"/>
        <n x="696"/>
      </t>
    </mdx>
    <mdx n="0" f="v">
      <t c="6" si="614">
        <n x="610"/>
        <n x="567"/>
        <n x="568"/>
        <n x="611" s="1"/>
        <n x="697"/>
        <n x="698"/>
      </t>
    </mdx>
    <mdx n="0" f="v">
      <t c="6" si="614">
        <n x="610"/>
        <n x="567"/>
        <n x="568"/>
        <n x="611" s="1"/>
        <n x="699"/>
        <n x="700"/>
      </t>
    </mdx>
    <mdx n="0" f="v">
      <t c="6" si="614">
        <n x="610"/>
        <n x="567"/>
        <n x="568"/>
        <n x="611" s="1"/>
        <n x="701"/>
        <n x="702"/>
      </t>
    </mdx>
    <mdx n="0" f="v">
      <t c="6" si="614">
        <n x="610"/>
        <n x="567"/>
        <n x="568"/>
        <n x="611" s="1"/>
        <n x="705"/>
        <n x="706"/>
      </t>
    </mdx>
    <mdx n="0" f="v">
      <t c="6" si="614">
        <n x="610"/>
        <n x="567"/>
        <n x="568"/>
        <n x="611" s="1"/>
        <n x="707"/>
        <n x="708"/>
      </t>
    </mdx>
    <mdx n="0" f="v">
      <t c="6" si="614">
        <n x="610"/>
        <n x="569"/>
        <n x="570"/>
        <n x="611" s="1"/>
        <n x="612"/>
        <n x="613"/>
      </t>
    </mdx>
    <mdx n="0" f="v">
      <t c="6" si="614">
        <n x="610"/>
        <n x="569"/>
        <n x="570"/>
        <n x="611" s="1"/>
        <n x="615"/>
        <n x="616"/>
      </t>
    </mdx>
    <mdx n="0" f="v">
      <t c="6" si="614">
        <n x="610"/>
        <n x="569"/>
        <n x="570"/>
        <n x="611" s="1"/>
        <n x="617"/>
        <n x="618"/>
      </t>
    </mdx>
    <mdx n="0" f="v">
      <t c="6" si="614">
        <n x="610"/>
        <n x="569"/>
        <n x="570"/>
        <n x="611" s="1"/>
        <n x="621"/>
        <n x="622"/>
      </t>
    </mdx>
    <mdx n="0" f="v">
      <t c="6" si="614">
        <n x="610"/>
        <n x="569"/>
        <n x="570"/>
        <n x="611" s="1"/>
        <n x="623"/>
        <n x="624"/>
      </t>
    </mdx>
    <mdx n="0" f="v">
      <t c="6" si="614">
        <n x="610"/>
        <n x="569"/>
        <n x="570"/>
        <n x="611" s="1"/>
        <n x="627"/>
        <n x="628"/>
      </t>
    </mdx>
    <mdx n="0" f="v">
      <t c="6" si="614">
        <n x="610"/>
        <n x="569"/>
        <n x="570"/>
        <n x="611" s="1"/>
        <n x="629"/>
        <n x="630"/>
      </t>
    </mdx>
    <mdx n="0" f="v">
      <t c="6" si="614">
        <n x="610"/>
        <n x="569"/>
        <n x="570"/>
        <n x="611" s="1"/>
        <n x="631"/>
        <n x="632"/>
      </t>
    </mdx>
    <mdx n="0" f="v">
      <t c="6" si="614">
        <n x="610"/>
        <n x="569"/>
        <n x="570"/>
        <n x="611" s="1"/>
        <n x="635"/>
        <n x="636"/>
      </t>
    </mdx>
    <mdx n="0" f="v">
      <t c="6" si="614">
        <n x="610"/>
        <n x="569"/>
        <n x="570"/>
        <n x="611" s="1"/>
        <n x="643"/>
        <n x="644"/>
      </t>
    </mdx>
    <mdx n="0" f="v">
      <t c="6" si="614">
        <n x="610"/>
        <n x="569"/>
        <n x="570"/>
        <n x="611" s="1"/>
        <n x="645"/>
        <n x="646"/>
      </t>
    </mdx>
    <mdx n="0" f="v">
      <t c="6" si="614">
        <n x="610"/>
        <n x="569"/>
        <n x="570"/>
        <n x="611" s="1"/>
        <n x="647"/>
        <n x="648"/>
      </t>
    </mdx>
    <mdx n="0" f="v">
      <t c="6" si="614">
        <n x="610"/>
        <n x="569"/>
        <n x="570"/>
        <n x="611" s="1"/>
        <n x="649"/>
        <n x="650"/>
      </t>
    </mdx>
    <mdx n="0" f="v">
      <t c="6" si="614">
        <n x="610"/>
        <n x="569"/>
        <n x="570"/>
        <n x="611" s="1"/>
        <n x="651"/>
        <n x="652"/>
      </t>
    </mdx>
    <mdx n="0" f="v">
      <t c="6" si="614">
        <n x="610"/>
        <n x="569"/>
        <n x="570"/>
        <n x="611" s="1"/>
        <n x="653"/>
        <n x="654"/>
      </t>
    </mdx>
    <mdx n="0" f="v">
      <t c="6" si="614">
        <n x="610"/>
        <n x="569"/>
        <n x="570"/>
        <n x="611" s="1"/>
        <n x="655"/>
        <n x="656"/>
      </t>
    </mdx>
    <mdx n="0" f="v">
      <t c="6" si="614">
        <n x="610"/>
        <n x="569"/>
        <n x="570"/>
        <n x="611" s="1"/>
        <n x="657"/>
        <n x="658"/>
      </t>
    </mdx>
    <mdx n="0" f="v">
      <t c="6" si="614">
        <n x="610"/>
        <n x="569"/>
        <n x="570"/>
        <n x="611" s="1"/>
        <n x="659"/>
        <n x="660"/>
      </t>
    </mdx>
    <mdx n="0" f="v">
      <t c="6" si="614">
        <n x="610"/>
        <n x="569"/>
        <n x="570"/>
        <n x="611" s="1"/>
        <n x="661"/>
        <n x="662"/>
      </t>
    </mdx>
    <mdx n="0" f="v">
      <t c="6" si="614">
        <n x="610"/>
        <n x="569"/>
        <n x="570"/>
        <n x="611" s="1"/>
        <n x="663"/>
        <n x="664"/>
      </t>
    </mdx>
    <mdx n="0" f="v">
      <t c="6" si="614">
        <n x="610"/>
        <n x="569"/>
        <n x="570"/>
        <n x="611" s="1"/>
        <n x="665"/>
        <n x="666"/>
      </t>
    </mdx>
    <mdx n="0" f="v">
      <t c="6" si="614">
        <n x="610"/>
        <n x="569"/>
        <n x="570"/>
        <n x="611" s="1"/>
        <n x="667"/>
        <n x="668"/>
      </t>
    </mdx>
    <mdx n="0" f="v">
      <t c="6" si="614">
        <n x="610"/>
        <n x="569"/>
        <n x="570"/>
        <n x="611" s="1"/>
        <n x="669"/>
        <n x="670"/>
      </t>
    </mdx>
    <mdx n="0" f="v">
      <t c="6" si="614">
        <n x="610"/>
        <n x="569"/>
        <n x="570"/>
        <n x="611" s="1"/>
        <n x="671"/>
        <n x="672"/>
      </t>
    </mdx>
    <mdx n="0" f="v">
      <t c="6" si="614">
        <n x="610"/>
        <n x="569"/>
        <n x="570"/>
        <n x="611" s="1"/>
        <n x="673"/>
        <n x="674"/>
      </t>
    </mdx>
    <mdx n="0" f="v">
      <t c="6" si="614">
        <n x="610"/>
        <n x="569"/>
        <n x="570"/>
        <n x="611" s="1"/>
        <n x="675"/>
        <n x="676"/>
      </t>
    </mdx>
    <mdx n="0" f="v">
      <t c="6" si="614">
        <n x="610"/>
        <n x="569"/>
        <n x="570"/>
        <n x="611" s="1"/>
        <n x="677"/>
        <n x="678"/>
      </t>
    </mdx>
    <mdx n="0" f="v">
      <t c="6" si="614">
        <n x="610"/>
        <n x="569"/>
        <n x="570"/>
        <n x="611" s="1"/>
        <n x="679"/>
        <n x="680"/>
      </t>
    </mdx>
    <mdx n="0" f="v">
      <t c="6" si="614">
        <n x="610"/>
        <n x="569"/>
        <n x="570"/>
        <n x="611" s="1"/>
        <n x="681"/>
        <n x="682"/>
      </t>
    </mdx>
    <mdx n="0" f="v">
      <t c="6" si="614">
        <n x="610"/>
        <n x="569"/>
        <n x="570"/>
        <n x="611" s="1"/>
        <n x="683"/>
        <n x="684"/>
      </t>
    </mdx>
    <mdx n="0" f="v">
      <t c="6" si="614">
        <n x="610"/>
        <n x="569"/>
        <n x="570"/>
        <n x="611" s="1"/>
        <n x="685"/>
        <n x="686"/>
      </t>
    </mdx>
    <mdx n="0" f="v">
      <t c="6" si="614">
        <n x="610"/>
        <n x="569"/>
        <n x="570"/>
        <n x="611" s="1"/>
        <n x="689"/>
        <n x="690"/>
      </t>
    </mdx>
    <mdx n="0" f="v">
      <t c="6" si="614">
        <n x="610"/>
        <n x="569"/>
        <n x="570"/>
        <n x="611" s="1"/>
        <n x="695"/>
        <n x="696"/>
      </t>
    </mdx>
    <mdx n="0" f="v">
      <t c="6" si="614">
        <n x="610"/>
        <n x="569"/>
        <n x="570"/>
        <n x="611" s="1"/>
        <n x="697"/>
        <n x="698"/>
      </t>
    </mdx>
    <mdx n="0" f="v">
      <t c="6" si="614">
        <n x="610"/>
        <n x="569"/>
        <n x="570"/>
        <n x="611" s="1"/>
        <n x="699"/>
        <n x="700"/>
      </t>
    </mdx>
    <mdx n="0" f="v">
      <t c="6" si="614">
        <n x="610"/>
        <n x="569"/>
        <n x="570"/>
        <n x="611" s="1"/>
        <n x="703"/>
        <n x="704"/>
      </t>
    </mdx>
    <mdx n="0" f="v">
      <t c="6" si="614">
        <n x="610"/>
        <n x="569"/>
        <n x="570"/>
        <n x="611" s="1"/>
        <n x="705"/>
        <n x="706"/>
      </t>
    </mdx>
    <mdx n="0" f="v">
      <t c="6" si="614">
        <n x="610"/>
        <n x="571"/>
        <n x="572"/>
        <n x="611" s="1"/>
        <n x="612"/>
        <n x="613"/>
      </t>
    </mdx>
    <mdx n="0" f="v">
      <t c="6" si="614">
        <n x="610"/>
        <n x="571"/>
        <n x="572"/>
        <n x="611" s="1"/>
        <n x="615"/>
        <n x="616"/>
      </t>
    </mdx>
    <mdx n="0" f="v">
      <t c="6" si="614">
        <n x="610"/>
        <n x="571"/>
        <n x="572"/>
        <n x="611" s="1"/>
        <n x="619"/>
        <n x="620"/>
      </t>
    </mdx>
    <mdx n="0" f="v">
      <t c="6" si="614">
        <n x="610"/>
        <n x="571"/>
        <n x="572"/>
        <n x="611" s="1"/>
        <n x="621"/>
        <n x="622"/>
      </t>
    </mdx>
    <mdx n="0" f="v">
      <t c="6" si="614">
        <n x="610"/>
        <n x="571"/>
        <n x="572"/>
        <n x="611" s="1"/>
        <n x="623"/>
        <n x="624"/>
      </t>
    </mdx>
    <mdx n="0" f="v">
      <t c="6" si="614">
        <n x="610"/>
        <n x="571"/>
        <n x="572"/>
        <n x="611" s="1"/>
        <n x="625"/>
        <n x="626"/>
      </t>
    </mdx>
    <mdx n="0" f="v">
      <t c="6" si="614">
        <n x="610"/>
        <n x="571"/>
        <n x="572"/>
        <n x="611" s="1"/>
        <n x="627"/>
        <n x="628"/>
      </t>
    </mdx>
    <mdx n="0" f="v">
      <t c="6" si="614">
        <n x="610"/>
        <n x="571"/>
        <n x="572"/>
        <n x="611" s="1"/>
        <n x="629"/>
        <n x="630"/>
      </t>
    </mdx>
    <mdx n="0" f="v">
      <t c="6" si="614">
        <n x="610"/>
        <n x="571"/>
        <n x="572"/>
        <n x="611" s="1"/>
        <n x="631"/>
        <n x="632"/>
      </t>
    </mdx>
    <mdx n="0" f="v">
      <t c="6" si="614">
        <n x="610"/>
        <n x="571"/>
        <n x="572"/>
        <n x="611" s="1"/>
        <n x="633"/>
        <n x="634"/>
      </t>
    </mdx>
    <mdx n="0" f="v">
      <t c="6" si="614">
        <n x="610"/>
        <n x="571"/>
        <n x="572"/>
        <n x="611" s="1"/>
        <n x="635"/>
        <n x="636"/>
      </t>
    </mdx>
    <mdx n="0" f="v">
      <t c="6" si="614">
        <n x="610"/>
        <n x="571"/>
        <n x="572"/>
        <n x="611" s="1"/>
        <n x="637"/>
        <n x="638"/>
      </t>
    </mdx>
    <mdx n="0" f="v">
      <t c="6" si="614">
        <n x="610"/>
        <n x="571"/>
        <n x="572"/>
        <n x="611" s="1"/>
        <n x="639"/>
        <n x="640"/>
      </t>
    </mdx>
    <mdx n="0" f="v">
      <t c="6" si="614">
        <n x="610"/>
        <n x="571"/>
        <n x="572"/>
        <n x="611" s="1"/>
        <n x="641"/>
        <n x="642"/>
      </t>
    </mdx>
    <mdx n="0" f="v">
      <t c="6" si="614">
        <n x="610"/>
        <n x="571"/>
        <n x="572"/>
        <n x="611" s="1"/>
        <n x="643"/>
        <n x="644"/>
      </t>
    </mdx>
    <mdx n="0" f="v">
      <t c="6" si="614">
        <n x="610"/>
        <n x="571"/>
        <n x="572"/>
        <n x="611" s="1"/>
        <n x="645"/>
        <n x="646"/>
      </t>
    </mdx>
    <mdx n="0" f="v">
      <t c="6" si="614">
        <n x="610"/>
        <n x="571"/>
        <n x="572"/>
        <n x="611" s="1"/>
        <n x="647"/>
        <n x="648"/>
      </t>
    </mdx>
    <mdx n="0" f="v">
      <t c="6" si="614">
        <n x="610"/>
        <n x="571"/>
        <n x="572"/>
        <n x="611" s="1"/>
        <n x="649"/>
        <n x="650"/>
      </t>
    </mdx>
    <mdx n="0" f="v">
      <t c="6" si="614">
        <n x="610"/>
        <n x="571"/>
        <n x="572"/>
        <n x="611" s="1"/>
        <n x="653"/>
        <n x="654"/>
      </t>
    </mdx>
    <mdx n="0" f="v">
      <t c="6" si="614">
        <n x="610"/>
        <n x="571"/>
        <n x="572"/>
        <n x="611" s="1"/>
        <n x="655"/>
        <n x="656"/>
      </t>
    </mdx>
    <mdx n="0" f="v">
      <t c="6" si="614">
        <n x="610"/>
        <n x="571"/>
        <n x="572"/>
        <n x="611" s="1"/>
        <n x="657"/>
        <n x="658"/>
      </t>
    </mdx>
    <mdx n="0" f="v">
      <t c="6" si="614">
        <n x="610"/>
        <n x="571"/>
        <n x="572"/>
        <n x="611" s="1"/>
        <n x="659"/>
        <n x="660"/>
      </t>
    </mdx>
    <mdx n="0" f="v">
      <t c="6" si="614">
        <n x="610"/>
        <n x="571"/>
        <n x="572"/>
        <n x="611" s="1"/>
        <n x="661"/>
        <n x="662"/>
      </t>
    </mdx>
    <mdx n="0" f="v">
      <t c="6" si="614">
        <n x="610"/>
        <n x="571"/>
        <n x="572"/>
        <n x="611" s="1"/>
        <n x="663"/>
        <n x="664"/>
      </t>
    </mdx>
    <mdx n="0" f="v">
      <t c="6" si="614">
        <n x="610"/>
        <n x="571"/>
        <n x="572"/>
        <n x="611" s="1"/>
        <n x="665"/>
        <n x="666"/>
      </t>
    </mdx>
    <mdx n="0" f="v">
      <t c="6" si="614">
        <n x="610"/>
        <n x="571"/>
        <n x="572"/>
        <n x="611" s="1"/>
        <n x="669"/>
        <n x="670"/>
      </t>
    </mdx>
    <mdx n="0" f="v">
      <t c="6" si="614">
        <n x="610"/>
        <n x="571"/>
        <n x="572"/>
        <n x="611" s="1"/>
        <n x="671"/>
        <n x="672"/>
      </t>
    </mdx>
    <mdx n="0" f="v">
      <t c="6" si="614">
        <n x="610"/>
        <n x="571"/>
        <n x="572"/>
        <n x="611" s="1"/>
        <n x="673"/>
        <n x="674"/>
      </t>
    </mdx>
    <mdx n="0" f="v">
      <t c="6" si="614">
        <n x="610"/>
        <n x="571"/>
        <n x="572"/>
        <n x="611" s="1"/>
        <n x="675"/>
        <n x="676"/>
      </t>
    </mdx>
    <mdx n="0" f="v">
      <t c="6" si="614">
        <n x="610"/>
        <n x="571"/>
        <n x="572"/>
        <n x="611" s="1"/>
        <n x="677"/>
        <n x="678"/>
      </t>
    </mdx>
    <mdx n="0" f="v">
      <t c="6" si="614">
        <n x="610"/>
        <n x="571"/>
        <n x="572"/>
        <n x="611" s="1"/>
        <n x="681"/>
        <n x="682"/>
      </t>
    </mdx>
    <mdx n="0" f="v">
      <t c="6" si="614">
        <n x="610"/>
        <n x="571"/>
        <n x="572"/>
        <n x="611" s="1"/>
        <n x="683"/>
        <n x="684"/>
      </t>
    </mdx>
    <mdx n="0" f="v">
      <t c="6" si="614">
        <n x="610"/>
        <n x="571"/>
        <n x="572"/>
        <n x="611" s="1"/>
        <n x="685"/>
        <n x="686"/>
      </t>
    </mdx>
    <mdx n="0" f="v">
      <t c="6" si="614">
        <n x="610"/>
        <n x="571"/>
        <n x="572"/>
        <n x="611" s="1"/>
        <n x="687"/>
        <n x="688"/>
      </t>
    </mdx>
    <mdx n="0" f="v">
      <t c="6" si="614">
        <n x="610"/>
        <n x="571"/>
        <n x="572"/>
        <n x="611" s="1"/>
        <n x="691"/>
        <n x="692"/>
      </t>
    </mdx>
    <mdx n="0" f="v">
      <t c="6" si="614">
        <n x="610"/>
        <n x="571"/>
        <n x="572"/>
        <n x="611" s="1"/>
        <n x="693"/>
        <n x="694"/>
      </t>
    </mdx>
    <mdx n="0" f="v">
      <t c="6" si="614">
        <n x="610"/>
        <n x="571"/>
        <n x="572"/>
        <n x="611" s="1"/>
        <n x="695"/>
        <n x="696"/>
      </t>
    </mdx>
    <mdx n="0" f="v">
      <t c="6" si="614">
        <n x="610"/>
        <n x="571"/>
        <n x="572"/>
        <n x="611" s="1"/>
        <n x="697"/>
        <n x="698"/>
      </t>
    </mdx>
    <mdx n="0" f="v">
      <t c="6" si="614">
        <n x="610"/>
        <n x="571"/>
        <n x="572"/>
        <n x="611" s="1"/>
        <n x="701"/>
        <n x="702"/>
      </t>
    </mdx>
    <mdx n="0" f="v">
      <t c="6" si="614">
        <n x="610"/>
        <n x="571"/>
        <n x="572"/>
        <n x="611" s="1"/>
        <n x="703"/>
        <n x="704"/>
      </t>
    </mdx>
    <mdx n="0" f="v">
      <t c="6" si="614">
        <n x="610"/>
        <n x="571"/>
        <n x="572"/>
        <n x="611" s="1"/>
        <n x="705"/>
        <n x="706"/>
      </t>
    </mdx>
    <mdx n="0" f="v">
      <t c="6" si="614">
        <n x="610"/>
        <n x="571"/>
        <n x="572"/>
        <n x="611" s="1"/>
        <n x="707"/>
        <n x="708"/>
      </t>
    </mdx>
    <mdx n="0" f="v">
      <t c="6" si="614">
        <n x="610"/>
        <n x="573"/>
        <n x="574"/>
        <n x="611" s="1"/>
        <n x="612"/>
        <n x="613"/>
      </t>
    </mdx>
    <mdx n="0" f="v">
      <t c="6" si="614">
        <n x="610"/>
        <n x="573"/>
        <n x="574"/>
        <n x="611" s="1"/>
        <n x="615"/>
        <n x="616"/>
      </t>
    </mdx>
    <mdx n="0" f="v">
      <t c="6" si="614">
        <n x="610"/>
        <n x="573"/>
        <n x="574"/>
        <n x="611" s="1"/>
        <n x="617"/>
        <n x="618"/>
      </t>
    </mdx>
    <mdx n="0" f="v">
      <t c="6" si="614">
        <n x="610"/>
        <n x="573"/>
        <n x="574"/>
        <n x="611" s="1"/>
        <n x="619"/>
        <n x="620"/>
      </t>
    </mdx>
    <mdx n="0" f="v">
      <t c="6" si="614">
        <n x="610"/>
        <n x="573"/>
        <n x="574"/>
        <n x="611" s="1"/>
        <n x="621"/>
        <n x="622"/>
      </t>
    </mdx>
    <mdx n="0" f="v">
      <t c="6" si="614">
        <n x="610"/>
        <n x="573"/>
        <n x="574"/>
        <n x="611" s="1"/>
        <n x="623"/>
        <n x="624"/>
      </t>
    </mdx>
    <mdx n="0" f="v">
      <t c="6" si="614">
        <n x="610"/>
        <n x="573"/>
        <n x="574"/>
        <n x="611" s="1"/>
        <n x="627"/>
        <n x="628"/>
      </t>
    </mdx>
    <mdx n="0" f="v">
      <t c="6" si="614">
        <n x="610"/>
        <n x="573"/>
        <n x="574"/>
        <n x="611" s="1"/>
        <n x="635"/>
        <n x="636"/>
      </t>
    </mdx>
    <mdx n="0" f="v">
      <t c="6" si="614">
        <n x="610"/>
        <n x="573"/>
        <n x="574"/>
        <n x="611" s="1"/>
        <n x="643"/>
        <n x="644"/>
      </t>
    </mdx>
    <mdx n="0" f="v">
      <t c="6" si="614">
        <n x="610"/>
        <n x="573"/>
        <n x="574"/>
        <n x="611" s="1"/>
        <n x="647"/>
        <n x="648"/>
      </t>
    </mdx>
    <mdx n="0" f="v">
      <t c="6" si="614">
        <n x="610"/>
        <n x="573"/>
        <n x="574"/>
        <n x="611" s="1"/>
        <n x="649"/>
        <n x="650"/>
      </t>
    </mdx>
    <mdx n="0" f="v">
      <t c="6" si="614">
        <n x="610"/>
        <n x="573"/>
        <n x="574"/>
        <n x="611" s="1"/>
        <n x="651"/>
        <n x="652"/>
      </t>
    </mdx>
    <mdx n="0" f="v">
      <t c="6" si="614">
        <n x="610"/>
        <n x="573"/>
        <n x="574"/>
        <n x="611" s="1"/>
        <n x="653"/>
        <n x="654"/>
      </t>
    </mdx>
    <mdx n="0" f="v">
      <t c="6" si="614">
        <n x="610"/>
        <n x="573"/>
        <n x="574"/>
        <n x="611" s="1"/>
        <n x="655"/>
        <n x="656"/>
      </t>
    </mdx>
    <mdx n="0" f="v">
      <t c="6" si="614">
        <n x="610"/>
        <n x="573"/>
        <n x="574"/>
        <n x="611" s="1"/>
        <n x="657"/>
        <n x="658"/>
      </t>
    </mdx>
    <mdx n="0" f="v">
      <t c="6" si="614">
        <n x="610"/>
        <n x="573"/>
        <n x="574"/>
        <n x="611" s="1"/>
        <n x="659"/>
        <n x="660"/>
      </t>
    </mdx>
    <mdx n="0" f="v">
      <t c="6" si="614">
        <n x="610"/>
        <n x="573"/>
        <n x="574"/>
        <n x="611" s="1"/>
        <n x="663"/>
        <n x="664"/>
      </t>
    </mdx>
    <mdx n="0" f="v">
      <t c="6" si="614">
        <n x="610"/>
        <n x="573"/>
        <n x="574"/>
        <n x="611" s="1"/>
        <n x="665"/>
        <n x="666"/>
      </t>
    </mdx>
    <mdx n="0" f="v">
      <t c="6" si="614">
        <n x="610"/>
        <n x="573"/>
        <n x="574"/>
        <n x="611" s="1"/>
        <n x="667"/>
        <n x="668"/>
      </t>
    </mdx>
    <mdx n="0" f="v">
      <t c="6" si="614">
        <n x="610"/>
        <n x="573"/>
        <n x="574"/>
        <n x="611" s="1"/>
        <n x="669"/>
        <n x="670"/>
      </t>
    </mdx>
    <mdx n="0" f="v">
      <t c="6" si="614">
        <n x="610"/>
        <n x="573"/>
        <n x="574"/>
        <n x="611" s="1"/>
        <n x="671"/>
        <n x="672"/>
      </t>
    </mdx>
    <mdx n="0" f="v">
      <t c="6" si="614">
        <n x="610"/>
        <n x="573"/>
        <n x="574"/>
        <n x="611" s="1"/>
        <n x="673"/>
        <n x="674"/>
      </t>
    </mdx>
    <mdx n="0" f="v">
      <t c="6" si="614">
        <n x="610"/>
        <n x="573"/>
        <n x="574"/>
        <n x="611" s="1"/>
        <n x="675"/>
        <n x="676"/>
      </t>
    </mdx>
    <mdx n="0" f="v">
      <t c="6" si="614">
        <n x="610"/>
        <n x="573"/>
        <n x="574"/>
        <n x="611" s="1"/>
        <n x="677"/>
        <n x="678"/>
      </t>
    </mdx>
    <mdx n="0" f="v">
      <t c="6" si="614">
        <n x="610"/>
        <n x="573"/>
        <n x="574"/>
        <n x="611" s="1"/>
        <n x="679"/>
        <n x="680"/>
      </t>
    </mdx>
    <mdx n="0" f="v">
      <t c="6" si="614">
        <n x="610"/>
        <n x="573"/>
        <n x="574"/>
        <n x="611" s="1"/>
        <n x="683"/>
        <n x="684"/>
      </t>
    </mdx>
    <mdx n="0" f="v">
      <t c="6" si="614">
        <n x="610"/>
        <n x="573"/>
        <n x="574"/>
        <n x="611" s="1"/>
        <n x="685"/>
        <n x="686"/>
      </t>
    </mdx>
    <mdx n="0" f="v">
      <t c="6" si="614">
        <n x="610"/>
        <n x="573"/>
        <n x="574"/>
        <n x="611" s="1"/>
        <n x="687"/>
        <n x="688"/>
      </t>
    </mdx>
    <mdx n="0" f="v">
      <t c="6" si="614">
        <n x="610"/>
        <n x="573"/>
        <n x="574"/>
        <n x="611" s="1"/>
        <n x="689"/>
        <n x="690"/>
      </t>
    </mdx>
    <mdx n="0" f="v">
      <t c="6" si="614">
        <n x="610"/>
        <n x="573"/>
        <n x="574"/>
        <n x="611" s="1"/>
        <n x="697"/>
        <n x="698"/>
      </t>
    </mdx>
    <mdx n="0" f="v">
      <t c="6" si="614">
        <n x="610"/>
        <n x="573"/>
        <n x="574"/>
        <n x="611" s="1"/>
        <n x="699"/>
        <n x="700"/>
      </t>
    </mdx>
    <mdx n="0" f="v">
      <t c="6" si="614">
        <n x="610"/>
        <n x="573"/>
        <n x="574"/>
        <n x="611" s="1"/>
        <n x="701"/>
        <n x="702"/>
      </t>
    </mdx>
    <mdx n="0" f="v">
      <t c="6" si="614">
        <n x="610"/>
        <n x="573"/>
        <n x="574"/>
        <n x="611" s="1"/>
        <n x="703"/>
        <n x="704"/>
      </t>
    </mdx>
    <mdx n="0" f="v">
      <t c="6" si="614">
        <n x="610"/>
        <n x="573"/>
        <n x="574"/>
        <n x="611" s="1"/>
        <n x="705"/>
        <n x="706"/>
      </t>
    </mdx>
    <mdx n="0" f="v">
      <t c="6" si="614">
        <n x="610"/>
        <n x="575"/>
        <n x="576"/>
        <n x="611" s="1"/>
        <n x="612"/>
        <n x="613"/>
      </t>
    </mdx>
    <mdx n="0" f="v">
      <t c="6" si="614">
        <n x="610"/>
        <n x="575"/>
        <n x="576"/>
        <n x="611" s="1"/>
        <n x="615"/>
        <n x="616"/>
      </t>
    </mdx>
    <mdx n="0" f="v">
      <t c="6" si="614">
        <n x="610"/>
        <n x="575"/>
        <n x="576"/>
        <n x="611" s="1"/>
        <n x="617"/>
        <n x="618"/>
      </t>
    </mdx>
    <mdx n="0" f="v">
      <t c="6" si="614">
        <n x="610"/>
        <n x="575"/>
        <n x="576"/>
        <n x="611" s="1"/>
        <n x="619"/>
        <n x="620"/>
      </t>
    </mdx>
    <mdx n="0" f="v">
      <t c="6" si="614">
        <n x="610"/>
        <n x="575"/>
        <n x="576"/>
        <n x="611" s="1"/>
        <n x="621"/>
        <n x="622"/>
      </t>
    </mdx>
    <mdx n="0" f="v">
      <t c="6" si="614">
        <n x="610"/>
        <n x="575"/>
        <n x="576"/>
        <n x="611" s="1"/>
        <n x="623"/>
        <n x="624"/>
      </t>
    </mdx>
    <mdx n="0" f="v">
      <t c="6" si="614">
        <n x="610"/>
        <n x="575"/>
        <n x="576"/>
        <n x="611" s="1"/>
        <n x="625"/>
        <n x="626"/>
      </t>
    </mdx>
    <mdx n="0" f="v">
      <t c="6" si="614">
        <n x="610"/>
        <n x="575"/>
        <n x="576"/>
        <n x="611" s="1"/>
        <n x="627"/>
        <n x="628"/>
      </t>
    </mdx>
    <mdx n="0" f="v">
      <t c="6" si="614">
        <n x="610"/>
        <n x="575"/>
        <n x="576"/>
        <n x="611" s="1"/>
        <n x="629"/>
        <n x="630"/>
      </t>
    </mdx>
    <mdx n="0" f="v">
      <t c="6" si="614">
        <n x="610"/>
        <n x="575"/>
        <n x="576"/>
        <n x="611" s="1"/>
        <n x="631"/>
        <n x="632"/>
      </t>
    </mdx>
    <mdx n="0" f="v">
      <t c="6" si="614">
        <n x="610"/>
        <n x="575"/>
        <n x="576"/>
        <n x="611" s="1"/>
        <n x="635"/>
        <n x="636"/>
      </t>
    </mdx>
    <mdx n="0" f="v">
      <t c="6" si="614">
        <n x="610"/>
        <n x="575"/>
        <n x="576"/>
        <n x="611" s="1"/>
        <n x="643"/>
        <n x="644"/>
      </t>
    </mdx>
    <mdx n="0" f="v">
      <t c="6" si="614">
        <n x="610"/>
        <n x="575"/>
        <n x="576"/>
        <n x="611" s="1"/>
        <n x="645"/>
        <n x="646"/>
      </t>
    </mdx>
    <mdx n="0" f="v">
      <t c="6" si="614">
        <n x="610"/>
        <n x="575"/>
        <n x="576"/>
        <n x="611" s="1"/>
        <n x="649"/>
        <n x="650"/>
      </t>
    </mdx>
    <mdx n="0" f="v">
      <t c="6" si="614">
        <n x="610"/>
        <n x="575"/>
        <n x="576"/>
        <n x="611" s="1"/>
        <n x="651"/>
        <n x="652"/>
      </t>
    </mdx>
    <mdx n="0" f="v">
      <t c="6" si="614">
        <n x="610"/>
        <n x="575"/>
        <n x="576"/>
        <n x="611" s="1"/>
        <n x="653"/>
        <n x="654"/>
      </t>
    </mdx>
    <mdx n="0" f="v">
      <t c="6" si="614">
        <n x="610"/>
        <n x="575"/>
        <n x="576"/>
        <n x="611" s="1"/>
        <n x="657"/>
        <n x="658"/>
      </t>
    </mdx>
    <mdx n="0" f="v">
      <t c="6" si="614">
        <n x="610"/>
        <n x="575"/>
        <n x="576"/>
        <n x="611" s="1"/>
        <n x="659"/>
        <n x="660"/>
      </t>
    </mdx>
    <mdx n="0" f="v">
      <t c="6" si="614">
        <n x="610"/>
        <n x="575"/>
        <n x="576"/>
        <n x="611" s="1"/>
        <n x="661"/>
        <n x="662"/>
      </t>
    </mdx>
    <mdx n="0" f="v">
      <t c="6" si="614">
        <n x="610"/>
        <n x="575"/>
        <n x="576"/>
        <n x="611" s="1"/>
        <n x="663"/>
        <n x="664"/>
      </t>
    </mdx>
    <mdx n="0" f="v">
      <t c="6" si="614">
        <n x="610"/>
        <n x="575"/>
        <n x="576"/>
        <n x="611" s="1"/>
        <n x="665"/>
        <n x="666"/>
      </t>
    </mdx>
    <mdx n="0" f="v">
      <t c="6" si="614">
        <n x="610"/>
        <n x="575"/>
        <n x="576"/>
        <n x="611" s="1"/>
        <n x="667"/>
        <n x="668"/>
      </t>
    </mdx>
    <mdx n="0" f="v">
      <t c="6" si="614">
        <n x="610"/>
        <n x="575"/>
        <n x="576"/>
        <n x="611" s="1"/>
        <n x="669"/>
        <n x="670"/>
      </t>
    </mdx>
    <mdx n="0" f="v">
      <t c="6" si="614">
        <n x="610"/>
        <n x="575"/>
        <n x="576"/>
        <n x="611" s="1"/>
        <n x="671"/>
        <n x="672"/>
      </t>
    </mdx>
    <mdx n="0" f="v">
      <t c="6" si="614">
        <n x="610"/>
        <n x="575"/>
        <n x="576"/>
        <n x="611" s="1"/>
        <n x="673"/>
        <n x="674"/>
      </t>
    </mdx>
    <mdx n="0" f="v">
      <t c="6" si="614">
        <n x="610"/>
        <n x="575"/>
        <n x="576"/>
        <n x="611" s="1"/>
        <n x="675"/>
        <n x="676"/>
      </t>
    </mdx>
    <mdx n="0" f="v">
      <t c="6" si="614">
        <n x="610"/>
        <n x="575"/>
        <n x="576"/>
        <n x="611" s="1"/>
        <n x="679"/>
        <n x="680"/>
      </t>
    </mdx>
    <mdx n="0" f="v">
      <t c="6" si="614">
        <n x="610"/>
        <n x="575"/>
        <n x="576"/>
        <n x="611" s="1"/>
        <n x="681"/>
        <n x="682"/>
      </t>
    </mdx>
    <mdx n="0" f="v">
      <t c="6" si="614">
        <n x="610"/>
        <n x="575"/>
        <n x="576"/>
        <n x="611" s="1"/>
        <n x="685"/>
        <n x="686"/>
      </t>
    </mdx>
    <mdx n="0" f="v">
      <t c="6" si="614">
        <n x="610"/>
        <n x="575"/>
        <n x="576"/>
        <n x="611" s="1"/>
        <n x="687"/>
        <n x="688"/>
      </t>
    </mdx>
    <mdx n="0" f="v">
      <t c="6" si="614">
        <n x="610"/>
        <n x="575"/>
        <n x="576"/>
        <n x="611" s="1"/>
        <n x="691"/>
        <n x="692"/>
      </t>
    </mdx>
    <mdx n="0" f="v">
      <t c="6" si="614">
        <n x="610"/>
        <n x="575"/>
        <n x="576"/>
        <n x="611" s="1"/>
        <n x="695"/>
        <n x="696"/>
      </t>
    </mdx>
    <mdx n="0" f="v">
      <t c="6" si="614">
        <n x="610"/>
        <n x="575"/>
        <n x="576"/>
        <n x="611" s="1"/>
        <n x="699"/>
        <n x="700"/>
      </t>
    </mdx>
    <mdx n="0" f="v">
      <t c="6" si="614">
        <n x="610"/>
        <n x="575"/>
        <n x="576"/>
        <n x="611" s="1"/>
        <n x="701"/>
        <n x="702"/>
      </t>
    </mdx>
    <mdx n="0" f="v">
      <t c="6" si="614">
        <n x="610"/>
        <n x="575"/>
        <n x="576"/>
        <n x="611" s="1"/>
        <n x="703"/>
        <n x="704"/>
      </t>
    </mdx>
    <mdx n="0" f="v">
      <t c="6" si="614">
        <n x="610"/>
        <n x="575"/>
        <n x="576"/>
        <n x="611" s="1"/>
        <n x="705"/>
        <n x="706"/>
      </t>
    </mdx>
    <mdx n="0" f="v">
      <t c="6" si="614">
        <n x="610"/>
        <n x="577"/>
        <n x="578"/>
        <n x="611" s="1"/>
        <n x="612"/>
        <n x="613"/>
      </t>
    </mdx>
    <mdx n="0" f="v">
      <t c="6" si="614">
        <n x="610"/>
        <n x="577"/>
        <n x="578"/>
        <n x="611" s="1"/>
        <n x="615"/>
        <n x="616"/>
      </t>
    </mdx>
    <mdx n="0" f="v">
      <t c="6" si="614">
        <n x="610"/>
        <n x="577"/>
        <n x="578"/>
        <n x="611" s="1"/>
        <n x="617"/>
        <n x="618"/>
      </t>
    </mdx>
    <mdx n="0" f="v">
      <t c="6" si="614">
        <n x="610"/>
        <n x="577"/>
        <n x="578"/>
        <n x="611" s="1"/>
        <n x="619"/>
        <n x="620"/>
      </t>
    </mdx>
    <mdx n="0" f="v">
      <t c="6" si="614">
        <n x="610"/>
        <n x="577"/>
        <n x="578"/>
        <n x="611" s="1"/>
        <n x="621"/>
        <n x="622"/>
      </t>
    </mdx>
    <mdx n="0" f="v">
      <t c="6" si="614">
        <n x="610"/>
        <n x="577"/>
        <n x="578"/>
        <n x="611" s="1"/>
        <n x="623"/>
        <n x="624"/>
      </t>
    </mdx>
    <mdx n="0" f="v">
      <t c="6" si="614">
        <n x="610"/>
        <n x="577"/>
        <n x="578"/>
        <n x="611" s="1"/>
        <n x="625"/>
        <n x="626"/>
      </t>
    </mdx>
    <mdx n="0" f="v">
      <t c="6" si="614">
        <n x="610"/>
        <n x="577"/>
        <n x="578"/>
        <n x="611" s="1"/>
        <n x="627"/>
        <n x="628"/>
      </t>
    </mdx>
    <mdx n="0" f="v">
      <t c="6" si="614">
        <n x="610"/>
        <n x="577"/>
        <n x="578"/>
        <n x="611" s="1"/>
        <n x="631"/>
        <n x="632"/>
      </t>
    </mdx>
    <mdx n="0" f="v">
      <t c="6" si="614">
        <n x="610"/>
        <n x="577"/>
        <n x="578"/>
        <n x="611" s="1"/>
        <n x="635"/>
        <n x="636"/>
      </t>
    </mdx>
    <mdx n="0" f="v">
      <t c="6" si="614">
        <n x="610"/>
        <n x="577"/>
        <n x="578"/>
        <n x="611" s="1"/>
        <n x="641"/>
        <n x="642"/>
      </t>
    </mdx>
    <mdx n="0" f="v">
      <t c="6" si="614">
        <n x="610"/>
        <n x="577"/>
        <n x="578"/>
        <n x="611" s="1"/>
        <n x="643"/>
        <n x="644"/>
      </t>
    </mdx>
    <mdx n="0" f="v">
      <t c="6" si="614">
        <n x="610"/>
        <n x="577"/>
        <n x="578"/>
        <n x="611" s="1"/>
        <n x="645"/>
        <n x="646"/>
      </t>
    </mdx>
    <mdx n="0" f="v">
      <t c="6" si="614">
        <n x="610"/>
        <n x="577"/>
        <n x="578"/>
        <n x="611" s="1"/>
        <n x="649"/>
        <n x="650"/>
      </t>
    </mdx>
    <mdx n="0" f="v">
      <t c="6" si="614">
        <n x="610"/>
        <n x="577"/>
        <n x="578"/>
        <n x="611" s="1"/>
        <n x="651"/>
        <n x="652"/>
      </t>
    </mdx>
    <mdx n="0" f="v">
      <t c="6" si="614">
        <n x="610"/>
        <n x="577"/>
        <n x="578"/>
        <n x="611" s="1"/>
        <n x="657"/>
        <n x="658"/>
      </t>
    </mdx>
    <mdx n="0" f="v">
      <t c="6" si="614">
        <n x="610"/>
        <n x="577"/>
        <n x="578"/>
        <n x="611" s="1"/>
        <n x="659"/>
        <n x="660"/>
      </t>
    </mdx>
    <mdx n="0" f="v">
      <t c="6" si="614">
        <n x="610"/>
        <n x="577"/>
        <n x="578"/>
        <n x="611" s="1"/>
        <n x="661"/>
        <n x="662"/>
      </t>
    </mdx>
    <mdx n="0" f="v">
      <t c="6" si="614">
        <n x="610"/>
        <n x="577"/>
        <n x="578"/>
        <n x="611" s="1"/>
        <n x="665"/>
        <n x="666"/>
      </t>
    </mdx>
    <mdx n="0" f="v">
      <t c="6" si="614">
        <n x="610"/>
        <n x="577"/>
        <n x="578"/>
        <n x="611" s="1"/>
        <n x="667"/>
        <n x="668"/>
      </t>
    </mdx>
    <mdx n="0" f="v">
      <t c="6" si="614">
        <n x="610"/>
        <n x="577"/>
        <n x="578"/>
        <n x="611" s="1"/>
        <n x="669"/>
        <n x="670"/>
      </t>
    </mdx>
    <mdx n="0" f="v">
      <t c="6" si="614">
        <n x="610"/>
        <n x="577"/>
        <n x="578"/>
        <n x="611" s="1"/>
        <n x="671"/>
        <n x="672"/>
      </t>
    </mdx>
    <mdx n="0" f="v">
      <t c="6" si="614">
        <n x="610"/>
        <n x="577"/>
        <n x="578"/>
        <n x="611" s="1"/>
        <n x="675"/>
        <n x="676"/>
      </t>
    </mdx>
    <mdx n="0" f="v">
      <t c="6" si="614">
        <n x="610"/>
        <n x="577"/>
        <n x="578"/>
        <n x="611" s="1"/>
        <n x="677"/>
        <n x="678"/>
      </t>
    </mdx>
    <mdx n="0" f="v">
      <t c="6" si="614">
        <n x="610"/>
        <n x="577"/>
        <n x="578"/>
        <n x="611" s="1"/>
        <n x="681"/>
        <n x="682"/>
      </t>
    </mdx>
    <mdx n="0" f="v">
      <t c="6" si="614">
        <n x="610"/>
        <n x="577"/>
        <n x="578"/>
        <n x="611" s="1"/>
        <n x="683"/>
        <n x="684"/>
      </t>
    </mdx>
    <mdx n="0" f="v">
      <t c="6" si="614">
        <n x="610"/>
        <n x="577"/>
        <n x="578"/>
        <n x="611" s="1"/>
        <n x="685"/>
        <n x="686"/>
      </t>
    </mdx>
    <mdx n="0" f="v">
      <t c="6" si="614">
        <n x="610"/>
        <n x="577"/>
        <n x="578"/>
        <n x="611" s="1"/>
        <n x="687"/>
        <n x="688"/>
      </t>
    </mdx>
    <mdx n="0" f="v">
      <t c="6" si="614">
        <n x="610"/>
        <n x="577"/>
        <n x="578"/>
        <n x="611" s="1"/>
        <n x="689"/>
        <n x="690"/>
      </t>
    </mdx>
    <mdx n="0" f="v">
      <t c="6" si="614">
        <n x="610"/>
        <n x="577"/>
        <n x="578"/>
        <n x="611" s="1"/>
        <n x="695"/>
        <n x="696"/>
      </t>
    </mdx>
    <mdx n="0" f="v">
      <t c="6" si="614">
        <n x="610"/>
        <n x="577"/>
        <n x="578"/>
        <n x="611" s="1"/>
        <n x="699"/>
        <n x="700"/>
      </t>
    </mdx>
    <mdx n="0" f="v">
      <t c="6" si="614">
        <n x="610"/>
        <n x="577"/>
        <n x="578"/>
        <n x="611" s="1"/>
        <n x="701"/>
        <n x="702"/>
      </t>
    </mdx>
    <mdx n="0" f="v">
      <t c="6" si="614">
        <n x="610"/>
        <n x="577"/>
        <n x="578"/>
        <n x="611" s="1"/>
        <n x="705"/>
        <n x="706"/>
      </t>
    </mdx>
    <mdx n="0" f="v">
      <t c="6" si="614">
        <n x="610"/>
        <n x="579"/>
        <n x="580"/>
        <n x="611" s="1"/>
        <n x="612"/>
        <n x="613"/>
      </t>
    </mdx>
    <mdx n="0" f="v">
      <t c="6" si="614">
        <n x="610"/>
        <n x="579"/>
        <n x="580"/>
        <n x="611" s="1"/>
        <n x="615"/>
        <n x="616"/>
      </t>
    </mdx>
    <mdx n="0" f="v">
      <t c="6" si="614">
        <n x="610"/>
        <n x="579"/>
        <n x="580"/>
        <n x="611" s="1"/>
        <n x="617"/>
        <n x="618"/>
      </t>
    </mdx>
    <mdx n="0" f="v">
      <t c="6" si="614">
        <n x="610"/>
        <n x="579"/>
        <n x="580"/>
        <n x="611" s="1"/>
        <n x="619"/>
        <n x="620"/>
      </t>
    </mdx>
    <mdx n="0" f="v">
      <t c="6" si="614">
        <n x="610"/>
        <n x="579"/>
        <n x="580"/>
        <n x="611" s="1"/>
        <n x="621"/>
        <n x="622"/>
      </t>
    </mdx>
    <mdx n="0" f="v">
      <t c="6" si="614">
        <n x="610"/>
        <n x="579"/>
        <n x="580"/>
        <n x="611" s="1"/>
        <n x="623"/>
        <n x="624"/>
      </t>
    </mdx>
    <mdx n="0" f="v">
      <t c="6" si="614">
        <n x="610"/>
        <n x="579"/>
        <n x="580"/>
        <n x="611" s="1"/>
        <n x="625"/>
        <n x="626"/>
      </t>
    </mdx>
    <mdx n="0" f="v">
      <t c="6" si="614">
        <n x="610"/>
        <n x="579"/>
        <n x="580"/>
        <n x="611" s="1"/>
        <n x="627"/>
        <n x="628"/>
      </t>
    </mdx>
    <mdx n="0" f="v">
      <t c="6" si="614">
        <n x="610"/>
        <n x="579"/>
        <n x="580"/>
        <n x="611" s="1"/>
        <n x="631"/>
        <n x="632"/>
      </t>
    </mdx>
    <mdx n="0" f="v">
      <t c="6" si="614">
        <n x="610"/>
        <n x="579"/>
        <n x="580"/>
        <n x="611" s="1"/>
        <n x="635"/>
        <n x="636"/>
      </t>
    </mdx>
    <mdx n="0" f="v">
      <t c="6" si="614">
        <n x="610"/>
        <n x="579"/>
        <n x="580"/>
        <n x="611" s="1"/>
        <n x="641"/>
        <n x="642"/>
      </t>
    </mdx>
    <mdx n="0" f="v">
      <t c="6" si="614">
        <n x="610"/>
        <n x="579"/>
        <n x="580"/>
        <n x="611" s="1"/>
        <n x="643"/>
        <n x="644"/>
      </t>
    </mdx>
    <mdx n="0" f="v">
      <t c="6" si="614">
        <n x="610"/>
        <n x="579"/>
        <n x="580"/>
        <n x="611" s="1"/>
        <n x="645"/>
        <n x="646"/>
      </t>
    </mdx>
    <mdx n="0" f="v">
      <t c="6" si="614">
        <n x="610"/>
        <n x="579"/>
        <n x="580"/>
        <n x="611" s="1"/>
        <n x="647"/>
        <n x="648"/>
      </t>
    </mdx>
    <mdx n="0" f="v">
      <t c="6" si="614">
        <n x="610"/>
        <n x="579"/>
        <n x="580"/>
        <n x="611" s="1"/>
        <n x="649"/>
        <n x="650"/>
      </t>
    </mdx>
    <mdx n="0" f="v">
      <t c="6" si="614">
        <n x="610"/>
        <n x="579"/>
        <n x="580"/>
        <n x="611" s="1"/>
        <n x="651"/>
        <n x="652"/>
      </t>
    </mdx>
    <mdx n="0" f="v">
      <t c="6" si="614">
        <n x="610"/>
        <n x="579"/>
        <n x="580"/>
        <n x="611" s="1"/>
        <n x="653"/>
        <n x="654"/>
      </t>
    </mdx>
    <mdx n="0" f="v">
      <t c="6" si="614">
        <n x="610"/>
        <n x="579"/>
        <n x="580"/>
        <n x="611" s="1"/>
        <n x="657"/>
        <n x="658"/>
      </t>
    </mdx>
    <mdx n="0" f="v">
      <t c="6" si="614">
        <n x="610"/>
        <n x="579"/>
        <n x="580"/>
        <n x="611" s="1"/>
        <n x="659"/>
        <n x="660"/>
      </t>
    </mdx>
    <mdx n="0" f="v">
      <t c="6" si="614">
        <n x="610"/>
        <n x="579"/>
        <n x="580"/>
        <n x="611" s="1"/>
        <n x="663"/>
        <n x="664"/>
      </t>
    </mdx>
    <mdx n="0" f="v">
      <t c="6" si="614">
        <n x="610"/>
        <n x="579"/>
        <n x="580"/>
        <n x="611" s="1"/>
        <n x="665"/>
        <n x="666"/>
      </t>
    </mdx>
    <mdx n="0" f="v">
      <t c="6" si="614">
        <n x="610"/>
        <n x="579"/>
        <n x="580"/>
        <n x="611" s="1"/>
        <n x="667"/>
        <n x="668"/>
      </t>
    </mdx>
    <mdx n="0" f="v">
      <t c="6" si="614">
        <n x="610"/>
        <n x="579"/>
        <n x="580"/>
        <n x="611" s="1"/>
        <n x="669"/>
        <n x="670"/>
      </t>
    </mdx>
    <mdx n="0" f="v">
      <t c="6" si="614">
        <n x="610"/>
        <n x="579"/>
        <n x="580"/>
        <n x="611" s="1"/>
        <n x="673"/>
        <n x="674"/>
      </t>
    </mdx>
    <mdx n="0" f="v">
      <t c="6" si="614">
        <n x="610"/>
        <n x="579"/>
        <n x="580"/>
        <n x="611" s="1"/>
        <n x="675"/>
        <n x="676"/>
      </t>
    </mdx>
    <mdx n="0" f="v">
      <t c="6" si="614">
        <n x="610"/>
        <n x="579"/>
        <n x="580"/>
        <n x="611" s="1"/>
        <n x="677"/>
        <n x="678"/>
      </t>
    </mdx>
    <mdx n="0" f="v">
      <t c="6" si="614">
        <n x="610"/>
        <n x="579"/>
        <n x="580"/>
        <n x="611" s="1"/>
        <n x="679"/>
        <n x="680"/>
      </t>
    </mdx>
    <mdx n="0" f="v">
      <t c="6" si="614">
        <n x="610"/>
        <n x="579"/>
        <n x="580"/>
        <n x="611" s="1"/>
        <n x="681"/>
        <n x="682"/>
      </t>
    </mdx>
    <mdx n="0" f="v">
      <t c="6" si="614">
        <n x="610"/>
        <n x="579"/>
        <n x="580"/>
        <n x="611" s="1"/>
        <n x="683"/>
        <n x="684"/>
      </t>
    </mdx>
    <mdx n="0" f="v">
      <t c="6" si="614">
        <n x="610"/>
        <n x="579"/>
        <n x="580"/>
        <n x="611" s="1"/>
        <n x="685"/>
        <n x="686"/>
      </t>
    </mdx>
    <mdx n="0" f="v">
      <t c="6" si="614">
        <n x="610"/>
        <n x="579"/>
        <n x="580"/>
        <n x="611" s="1"/>
        <n x="687"/>
        <n x="688"/>
      </t>
    </mdx>
    <mdx n="0" f="v">
      <t c="6" si="614">
        <n x="610"/>
        <n x="579"/>
        <n x="580"/>
        <n x="611" s="1"/>
        <n x="691"/>
        <n x="692"/>
      </t>
    </mdx>
    <mdx n="0" f="v">
      <t c="6" si="614">
        <n x="610"/>
        <n x="579"/>
        <n x="580"/>
        <n x="611" s="1"/>
        <n x="693"/>
        <n x="694"/>
      </t>
    </mdx>
    <mdx n="0" f="v">
      <t c="6" si="614">
        <n x="610"/>
        <n x="579"/>
        <n x="580"/>
        <n x="611" s="1"/>
        <n x="695"/>
        <n x="696"/>
      </t>
    </mdx>
    <mdx n="0" f="v">
      <t c="6" si="614">
        <n x="610"/>
        <n x="579"/>
        <n x="580"/>
        <n x="611" s="1"/>
        <n x="703"/>
        <n x="704"/>
      </t>
    </mdx>
    <mdx n="0" f="v">
      <t c="6" si="614">
        <n x="610"/>
        <n x="579"/>
        <n x="580"/>
        <n x="611" s="1"/>
        <n x="705"/>
        <n x="706"/>
      </t>
    </mdx>
    <mdx n="0" f="v">
      <t c="6" si="614">
        <n x="610"/>
        <n x="581"/>
        <n x="582"/>
        <n x="611" s="1"/>
        <n x="612"/>
        <n x="613"/>
      </t>
    </mdx>
    <mdx n="0" f="v">
      <t c="6" si="614">
        <n x="610"/>
        <n x="581"/>
        <n x="582"/>
        <n x="611" s="1"/>
        <n x="615"/>
        <n x="616"/>
      </t>
    </mdx>
    <mdx n="0" f="v">
      <t c="6" si="614">
        <n x="610"/>
        <n x="581"/>
        <n x="582"/>
        <n x="611" s="1"/>
        <n x="619"/>
        <n x="620"/>
      </t>
    </mdx>
    <mdx n="0" f="v">
      <t c="6" si="614">
        <n x="610"/>
        <n x="581"/>
        <n x="582"/>
        <n x="611" s="1"/>
        <n x="621"/>
        <n x="622"/>
      </t>
    </mdx>
    <mdx n="0" f="v">
      <t c="6" si="614">
        <n x="610"/>
        <n x="581"/>
        <n x="582"/>
        <n x="611" s="1"/>
        <n x="623"/>
        <n x="624"/>
      </t>
    </mdx>
    <mdx n="0" f="v">
      <t c="6" si="614">
        <n x="610"/>
        <n x="581"/>
        <n x="582"/>
        <n x="611" s="1"/>
        <n x="625"/>
        <n x="626"/>
      </t>
    </mdx>
    <mdx n="0" f="v">
      <t c="6" si="614">
        <n x="610"/>
        <n x="581"/>
        <n x="582"/>
        <n x="611" s="1"/>
        <n x="627"/>
        <n x="628"/>
      </t>
    </mdx>
    <mdx n="0" f="v">
      <t c="6" si="614">
        <n x="610"/>
        <n x="581"/>
        <n x="582"/>
        <n x="611" s="1"/>
        <n x="629"/>
        <n x="630"/>
      </t>
    </mdx>
    <mdx n="0" f="v">
      <t c="6" si="614">
        <n x="610"/>
        <n x="581"/>
        <n x="582"/>
        <n x="611" s="1"/>
        <n x="631"/>
        <n x="632"/>
      </t>
    </mdx>
    <mdx n="0" f="v">
      <t c="6" si="614">
        <n x="610"/>
        <n x="581"/>
        <n x="582"/>
        <n x="611" s="1"/>
        <n x="633"/>
        <n x="634"/>
      </t>
    </mdx>
    <mdx n="0" f="v">
      <t c="6" si="614">
        <n x="610"/>
        <n x="581"/>
        <n x="582"/>
        <n x="611" s="1"/>
        <n x="635"/>
        <n x="636"/>
      </t>
    </mdx>
    <mdx n="0" f="v">
      <t c="6" si="614">
        <n x="610"/>
        <n x="581"/>
        <n x="582"/>
        <n x="611" s="1"/>
        <n x="637"/>
        <n x="638"/>
      </t>
    </mdx>
    <mdx n="0" f="v">
      <t c="6" si="614">
        <n x="610"/>
        <n x="581"/>
        <n x="582"/>
        <n x="611" s="1"/>
        <n x="639"/>
        <n x="640"/>
      </t>
    </mdx>
    <mdx n="0" f="v">
      <t c="6" si="614">
        <n x="610"/>
        <n x="581"/>
        <n x="582"/>
        <n x="611" s="1"/>
        <n x="641"/>
        <n x="642"/>
      </t>
    </mdx>
    <mdx n="0" f="v">
      <t c="6" si="614">
        <n x="610"/>
        <n x="581"/>
        <n x="582"/>
        <n x="611" s="1"/>
        <n x="643"/>
        <n x="644"/>
      </t>
    </mdx>
    <mdx n="0" f="v">
      <t c="6" si="614">
        <n x="610"/>
        <n x="581"/>
        <n x="582"/>
        <n x="611" s="1"/>
        <n x="645"/>
        <n x="646"/>
      </t>
    </mdx>
    <mdx n="0" f="v">
      <t c="6" si="614">
        <n x="610"/>
        <n x="581"/>
        <n x="582"/>
        <n x="611" s="1"/>
        <n x="647"/>
        <n x="648"/>
      </t>
    </mdx>
    <mdx n="0" f="v">
      <t c="6" si="614">
        <n x="610"/>
        <n x="581"/>
        <n x="582"/>
        <n x="611" s="1"/>
        <n x="651"/>
        <n x="652"/>
      </t>
    </mdx>
    <mdx n="0" f="v">
      <t c="6" si="614">
        <n x="610"/>
        <n x="581"/>
        <n x="582"/>
        <n x="611" s="1"/>
        <n x="655"/>
        <n x="656"/>
      </t>
    </mdx>
    <mdx n="0" f="v">
      <t c="6" si="614">
        <n x="610"/>
        <n x="581"/>
        <n x="582"/>
        <n x="611" s="1"/>
        <n x="657"/>
        <n x="658"/>
      </t>
    </mdx>
    <mdx n="0" f="v">
      <t c="6" si="614">
        <n x="610"/>
        <n x="581"/>
        <n x="582"/>
        <n x="611" s="1"/>
        <n x="659"/>
        <n x="660"/>
      </t>
    </mdx>
    <mdx n="0" f="v">
      <t c="6" si="614">
        <n x="610"/>
        <n x="581"/>
        <n x="582"/>
        <n x="611" s="1"/>
        <n x="661"/>
        <n x="662"/>
      </t>
    </mdx>
    <mdx n="0" f="v">
      <t c="6" si="614">
        <n x="610"/>
        <n x="581"/>
        <n x="582"/>
        <n x="611" s="1"/>
        <n x="663"/>
        <n x="664"/>
      </t>
    </mdx>
    <mdx n="0" f="v">
      <t c="6" si="614">
        <n x="610"/>
        <n x="581"/>
        <n x="582"/>
        <n x="611" s="1"/>
        <n x="665"/>
        <n x="666"/>
      </t>
    </mdx>
    <mdx n="0" f="v">
      <t c="6" si="614">
        <n x="610"/>
        <n x="581"/>
        <n x="582"/>
        <n x="611" s="1"/>
        <n x="667"/>
        <n x="668"/>
      </t>
    </mdx>
    <mdx n="0" f="v">
      <t c="6" si="614">
        <n x="610"/>
        <n x="581"/>
        <n x="582"/>
        <n x="611" s="1"/>
        <n x="669"/>
        <n x="670"/>
      </t>
    </mdx>
    <mdx n="0" f="v">
      <t c="6" si="614">
        <n x="610"/>
        <n x="581"/>
        <n x="582"/>
        <n x="611" s="1"/>
        <n x="671"/>
        <n x="672"/>
      </t>
    </mdx>
    <mdx n="0" f="v">
      <t c="6" si="614">
        <n x="610"/>
        <n x="581"/>
        <n x="582"/>
        <n x="611" s="1"/>
        <n x="673"/>
        <n x="674"/>
      </t>
    </mdx>
    <mdx n="0" f="v">
      <t c="6" si="614">
        <n x="610"/>
        <n x="581"/>
        <n x="582"/>
        <n x="611" s="1"/>
        <n x="675"/>
        <n x="676"/>
      </t>
    </mdx>
    <mdx n="0" f="v">
      <t c="6" si="614">
        <n x="610"/>
        <n x="581"/>
        <n x="582"/>
        <n x="611" s="1"/>
        <n x="677"/>
        <n x="678"/>
      </t>
    </mdx>
    <mdx n="0" f="v">
      <t c="6" si="614">
        <n x="610"/>
        <n x="581"/>
        <n x="582"/>
        <n x="611" s="1"/>
        <n x="679"/>
        <n x="680"/>
      </t>
    </mdx>
    <mdx n="0" f="v">
      <t c="6" si="614">
        <n x="610"/>
        <n x="581"/>
        <n x="582"/>
        <n x="611" s="1"/>
        <n x="683"/>
        <n x="684"/>
      </t>
    </mdx>
    <mdx n="0" f="v">
      <t c="6" si="614">
        <n x="610"/>
        <n x="581"/>
        <n x="582"/>
        <n x="611" s="1"/>
        <n x="685"/>
        <n x="686"/>
      </t>
    </mdx>
    <mdx n="0" f="v">
      <t c="6" si="614">
        <n x="610"/>
        <n x="581"/>
        <n x="582"/>
        <n x="611" s="1"/>
        <n x="687"/>
        <n x="688"/>
      </t>
    </mdx>
    <mdx n="0" f="v">
      <t c="6" si="614">
        <n x="610"/>
        <n x="581"/>
        <n x="582"/>
        <n x="611" s="1"/>
        <n x="689"/>
        <n x="690"/>
      </t>
    </mdx>
    <mdx n="0" f="v">
      <t c="6" si="614">
        <n x="610"/>
        <n x="581"/>
        <n x="582"/>
        <n x="611" s="1"/>
        <n x="691"/>
        <n x="692"/>
      </t>
    </mdx>
    <mdx n="0" f="v">
      <t c="6" si="614">
        <n x="610"/>
        <n x="581"/>
        <n x="582"/>
        <n x="611" s="1"/>
        <n x="693"/>
        <n x="694"/>
      </t>
    </mdx>
    <mdx n="0" f="v">
      <t c="6" si="614">
        <n x="610"/>
        <n x="581"/>
        <n x="582"/>
        <n x="611" s="1"/>
        <n x="695"/>
        <n x="696"/>
      </t>
    </mdx>
    <mdx n="0" f="v">
      <t c="6" si="614">
        <n x="610"/>
        <n x="581"/>
        <n x="582"/>
        <n x="611" s="1"/>
        <n x="697"/>
        <n x="698"/>
      </t>
    </mdx>
    <mdx n="0" f="v">
      <t c="6" si="614">
        <n x="610"/>
        <n x="581"/>
        <n x="582"/>
        <n x="611" s="1"/>
        <n x="701"/>
        <n x="702"/>
      </t>
    </mdx>
    <mdx n="0" f="v">
      <t c="6" si="614">
        <n x="610"/>
        <n x="581"/>
        <n x="582"/>
        <n x="611" s="1"/>
        <n x="703"/>
        <n x="704"/>
      </t>
    </mdx>
    <mdx n="0" f="v">
      <t c="6" si="614">
        <n x="610"/>
        <n x="581"/>
        <n x="582"/>
        <n x="611" s="1"/>
        <n x="707"/>
        <n x="708"/>
      </t>
    </mdx>
    <mdx n="0" f="v">
      <t c="6" si="614">
        <n x="610"/>
        <n x="583"/>
        <n x="584"/>
        <n x="611" s="1"/>
        <n x="612"/>
        <n x="613"/>
      </t>
    </mdx>
    <mdx n="0" f="v">
      <t c="6" si="614">
        <n x="610"/>
        <n x="583"/>
        <n x="584"/>
        <n x="611" s="1"/>
        <n x="615"/>
        <n x="616"/>
      </t>
    </mdx>
    <mdx n="0" f="v">
      <t c="6" si="614">
        <n x="610"/>
        <n x="583"/>
        <n x="584"/>
        <n x="611" s="1"/>
        <n x="617"/>
        <n x="618"/>
      </t>
    </mdx>
    <mdx n="0" f="v">
      <t c="6" si="614">
        <n x="610"/>
        <n x="583"/>
        <n x="584"/>
        <n x="611" s="1"/>
        <n x="619"/>
        <n x="620"/>
      </t>
    </mdx>
    <mdx n="0" f="v">
      <t c="6" si="614">
        <n x="610"/>
        <n x="583"/>
        <n x="584"/>
        <n x="611" s="1"/>
        <n x="621"/>
        <n x="622"/>
      </t>
    </mdx>
    <mdx n="0" f="v">
      <t c="6" si="614">
        <n x="610"/>
        <n x="583"/>
        <n x="584"/>
        <n x="611" s="1"/>
        <n x="623"/>
        <n x="624"/>
      </t>
    </mdx>
    <mdx n="0" f="v">
      <t c="6" si="614">
        <n x="610"/>
        <n x="583"/>
        <n x="584"/>
        <n x="611" s="1"/>
        <n x="625"/>
        <n x="626"/>
      </t>
    </mdx>
    <mdx n="0" f="v">
      <t c="6" si="614">
        <n x="610"/>
        <n x="583"/>
        <n x="584"/>
        <n x="611" s="1"/>
        <n x="627"/>
        <n x="628"/>
      </t>
    </mdx>
    <mdx n="0" f="v">
      <t c="6" si="614">
        <n x="610"/>
        <n x="583"/>
        <n x="584"/>
        <n x="611" s="1"/>
        <n x="629"/>
        <n x="630"/>
      </t>
    </mdx>
    <mdx n="0" f="v">
      <t c="6" si="614">
        <n x="610"/>
        <n x="583"/>
        <n x="584"/>
        <n x="611" s="1"/>
        <n x="631"/>
        <n x="632"/>
      </t>
    </mdx>
    <mdx n="0" f="v">
      <t c="6" si="614">
        <n x="610"/>
        <n x="583"/>
        <n x="584"/>
        <n x="611" s="1"/>
        <n x="633"/>
        <n x="634"/>
      </t>
    </mdx>
    <mdx n="0" f="v">
      <t c="6" si="614">
        <n x="610"/>
        <n x="583"/>
        <n x="584"/>
        <n x="611" s="1"/>
        <n x="637"/>
        <n x="638"/>
      </t>
    </mdx>
    <mdx n="0" f="v">
      <t c="6" si="614">
        <n x="610"/>
        <n x="583"/>
        <n x="584"/>
        <n x="611" s="1"/>
        <n x="639"/>
        <n x="640"/>
      </t>
    </mdx>
    <mdx n="0" f="v">
      <t c="6" si="614">
        <n x="610"/>
        <n x="583"/>
        <n x="584"/>
        <n x="611" s="1"/>
        <n x="641"/>
        <n x="642"/>
      </t>
    </mdx>
    <mdx n="0" f="v">
      <t c="6" si="614">
        <n x="610"/>
        <n x="583"/>
        <n x="584"/>
        <n x="611" s="1"/>
        <n x="643"/>
        <n x="644"/>
      </t>
    </mdx>
    <mdx n="0" f="v">
      <t c="6" si="614">
        <n x="610"/>
        <n x="583"/>
        <n x="584"/>
        <n x="611" s="1"/>
        <n x="645"/>
        <n x="646"/>
      </t>
    </mdx>
    <mdx n="0" f="v">
      <t c="6" si="614">
        <n x="610"/>
        <n x="583"/>
        <n x="584"/>
        <n x="611" s="1"/>
        <n x="647"/>
        <n x="648"/>
      </t>
    </mdx>
    <mdx n="0" f="v">
      <t c="6" si="614">
        <n x="610"/>
        <n x="583"/>
        <n x="584"/>
        <n x="611" s="1"/>
        <n x="649"/>
        <n x="650"/>
      </t>
    </mdx>
    <mdx n="0" f="v">
      <t c="6" si="614">
        <n x="610"/>
        <n x="583"/>
        <n x="584"/>
        <n x="611" s="1"/>
        <n x="651"/>
        <n x="652"/>
      </t>
    </mdx>
    <mdx n="0" f="v">
      <t c="6" si="614">
        <n x="610"/>
        <n x="583"/>
        <n x="584"/>
        <n x="611" s="1"/>
        <n x="653"/>
        <n x="654"/>
      </t>
    </mdx>
    <mdx n="0" f="v">
      <t c="6" si="614">
        <n x="610"/>
        <n x="583"/>
        <n x="584"/>
        <n x="611" s="1"/>
        <n x="657"/>
        <n x="658"/>
      </t>
    </mdx>
    <mdx n="0" f="v">
      <t c="6" si="614">
        <n x="610"/>
        <n x="583"/>
        <n x="584"/>
        <n x="611" s="1"/>
        <n x="659"/>
        <n x="660"/>
      </t>
    </mdx>
    <mdx n="0" f="v">
      <t c="6" si="614">
        <n x="610"/>
        <n x="583"/>
        <n x="584"/>
        <n x="611" s="1"/>
        <n x="661"/>
        <n x="662"/>
      </t>
    </mdx>
    <mdx n="0" f="v">
      <t c="6" si="614">
        <n x="610"/>
        <n x="583"/>
        <n x="584"/>
        <n x="611" s="1"/>
        <n x="663"/>
        <n x="664"/>
      </t>
    </mdx>
    <mdx n="0" f="v">
      <t c="6" si="614">
        <n x="610"/>
        <n x="583"/>
        <n x="584"/>
        <n x="611" s="1"/>
        <n x="669"/>
        <n x="670"/>
      </t>
    </mdx>
    <mdx n="0" f="v">
      <t c="6" si="614">
        <n x="610"/>
        <n x="583"/>
        <n x="584"/>
        <n x="611" s="1"/>
        <n x="671"/>
        <n x="672"/>
      </t>
    </mdx>
    <mdx n="0" f="v">
      <t c="6" si="614">
        <n x="610"/>
        <n x="583"/>
        <n x="584"/>
        <n x="611" s="1"/>
        <n x="675"/>
        <n x="676"/>
      </t>
    </mdx>
    <mdx n="0" f="v">
      <t c="6" si="614">
        <n x="610"/>
        <n x="583"/>
        <n x="584"/>
        <n x="611" s="1"/>
        <n x="677"/>
        <n x="678"/>
      </t>
    </mdx>
    <mdx n="0" f="v">
      <t c="6" si="614">
        <n x="610"/>
        <n x="583"/>
        <n x="584"/>
        <n x="611" s="1"/>
        <n x="679"/>
        <n x="680"/>
      </t>
    </mdx>
    <mdx n="0" f="v">
      <t c="6" si="614">
        <n x="610"/>
        <n x="583"/>
        <n x="584"/>
        <n x="611" s="1"/>
        <n x="681"/>
        <n x="682"/>
      </t>
    </mdx>
    <mdx n="0" f="v">
      <t c="6" si="614">
        <n x="610"/>
        <n x="583"/>
        <n x="584"/>
        <n x="611" s="1"/>
        <n x="683"/>
        <n x="684"/>
      </t>
    </mdx>
    <mdx n="0" f="v">
      <t c="6" si="614">
        <n x="610"/>
        <n x="583"/>
        <n x="584"/>
        <n x="611" s="1"/>
        <n x="685"/>
        <n x="686"/>
      </t>
    </mdx>
    <mdx n="0" f="v">
      <t c="6" si="614">
        <n x="610"/>
        <n x="583"/>
        <n x="584"/>
        <n x="611" s="1"/>
        <n x="687"/>
        <n x="688"/>
      </t>
    </mdx>
    <mdx n="0" f="v">
      <t c="6" si="614">
        <n x="610"/>
        <n x="583"/>
        <n x="584"/>
        <n x="611" s="1"/>
        <n x="689"/>
        <n x="690"/>
      </t>
    </mdx>
    <mdx n="0" f="v">
      <t c="6" si="614">
        <n x="610"/>
        <n x="583"/>
        <n x="584"/>
        <n x="611" s="1"/>
        <n x="699"/>
        <n x="700"/>
      </t>
    </mdx>
    <mdx n="0" f="v">
      <t c="6" si="614">
        <n x="610"/>
        <n x="583"/>
        <n x="584"/>
        <n x="611" s="1"/>
        <n x="701"/>
        <n x="702"/>
      </t>
    </mdx>
    <mdx n="0" f="v">
      <t c="6" si="614">
        <n x="610"/>
        <n x="583"/>
        <n x="584"/>
        <n x="611" s="1"/>
        <n x="703"/>
        <n x="704"/>
      </t>
    </mdx>
    <mdx n="0" f="v">
      <t c="6" si="614">
        <n x="610"/>
        <n x="583"/>
        <n x="584"/>
        <n x="611" s="1"/>
        <n x="705"/>
        <n x="706"/>
      </t>
    </mdx>
    <mdx n="0" f="v">
      <t c="6" si="614">
        <n x="610"/>
        <n x="583"/>
        <n x="584"/>
        <n x="611" s="1"/>
        <n x="707"/>
        <n x="708"/>
      </t>
    </mdx>
    <mdx n="0" f="v">
      <t c="6" si="614">
        <n x="610"/>
        <n x="585"/>
        <n x="586"/>
        <n x="611" s="1"/>
        <n x="612"/>
        <n x="613"/>
      </t>
    </mdx>
    <mdx n="0" f="v">
      <t c="6" si="614">
        <n x="610"/>
        <n x="585"/>
        <n x="586"/>
        <n x="611" s="1"/>
        <n x="615"/>
        <n x="616"/>
      </t>
    </mdx>
    <mdx n="0" f="v">
      <t c="6" si="614">
        <n x="610"/>
        <n x="585"/>
        <n x="586"/>
        <n x="611" s="1"/>
        <n x="617"/>
        <n x="618"/>
      </t>
    </mdx>
    <mdx n="0" f="v">
      <t c="6" si="614">
        <n x="610"/>
        <n x="585"/>
        <n x="586"/>
        <n x="611" s="1"/>
        <n x="619"/>
        <n x="620"/>
      </t>
    </mdx>
    <mdx n="0" f="v">
      <t c="6" si="614">
        <n x="610"/>
        <n x="585"/>
        <n x="586"/>
        <n x="611" s="1"/>
        <n x="621"/>
        <n x="622"/>
      </t>
    </mdx>
    <mdx n="0" f="v">
      <t c="6" si="614">
        <n x="610"/>
        <n x="585"/>
        <n x="586"/>
        <n x="611" s="1"/>
        <n x="623"/>
        <n x="624"/>
      </t>
    </mdx>
    <mdx n="0" f="v">
      <t c="6" si="614">
        <n x="610"/>
        <n x="585"/>
        <n x="586"/>
        <n x="611" s="1"/>
        <n x="625"/>
        <n x="626"/>
      </t>
    </mdx>
    <mdx n="0" f="v">
      <t c="6" si="614">
        <n x="610"/>
        <n x="585"/>
        <n x="586"/>
        <n x="611" s="1"/>
        <n x="627"/>
        <n x="628"/>
      </t>
    </mdx>
    <mdx n="0" f="v">
      <t c="6" si="614">
        <n x="610"/>
        <n x="585"/>
        <n x="586"/>
        <n x="611" s="1"/>
        <n x="629"/>
        <n x="630"/>
      </t>
    </mdx>
    <mdx n="0" f="v">
      <t c="6" si="614">
        <n x="610"/>
        <n x="585"/>
        <n x="586"/>
        <n x="611" s="1"/>
        <n x="633"/>
        <n x="634"/>
      </t>
    </mdx>
    <mdx n="0" f="v">
      <t c="6" si="614">
        <n x="610"/>
        <n x="585"/>
        <n x="586"/>
        <n x="611" s="1"/>
        <n x="635"/>
        <n x="636"/>
      </t>
    </mdx>
    <mdx n="0" f="v">
      <t c="6" si="614">
        <n x="610"/>
        <n x="585"/>
        <n x="586"/>
        <n x="611" s="1"/>
        <n x="637"/>
        <n x="638"/>
      </t>
    </mdx>
    <mdx n="0" f="v">
      <t c="6" si="614">
        <n x="610"/>
        <n x="585"/>
        <n x="586"/>
        <n x="611" s="1"/>
        <n x="639"/>
        <n x="640"/>
      </t>
    </mdx>
    <mdx n="0" f="v">
      <t c="6" si="614">
        <n x="610"/>
        <n x="585"/>
        <n x="586"/>
        <n x="611" s="1"/>
        <n x="641"/>
        <n x="642"/>
      </t>
    </mdx>
    <mdx n="0" f="v">
      <t c="6" si="614">
        <n x="610"/>
        <n x="585"/>
        <n x="586"/>
        <n x="611" s="1"/>
        <n x="643"/>
        <n x="644"/>
      </t>
    </mdx>
    <mdx n="0" f="v">
      <t c="6" si="614">
        <n x="610"/>
        <n x="585"/>
        <n x="586"/>
        <n x="611" s="1"/>
        <n x="645"/>
        <n x="646"/>
      </t>
    </mdx>
    <mdx n="0" f="v">
      <t c="6" si="614">
        <n x="610"/>
        <n x="585"/>
        <n x="586"/>
        <n x="611" s="1"/>
        <n x="647"/>
        <n x="648"/>
      </t>
    </mdx>
    <mdx n="0" f="v">
      <t c="6" si="614">
        <n x="610"/>
        <n x="585"/>
        <n x="586"/>
        <n x="611" s="1"/>
        <n x="649"/>
        <n x="650"/>
      </t>
    </mdx>
    <mdx n="0" f="v">
      <t c="6" si="614">
        <n x="610"/>
        <n x="585"/>
        <n x="586"/>
        <n x="611" s="1"/>
        <n x="651"/>
        <n x="652"/>
      </t>
    </mdx>
    <mdx n="0" f="v">
      <t c="6" si="614">
        <n x="610"/>
        <n x="585"/>
        <n x="586"/>
        <n x="611" s="1"/>
        <n x="653"/>
        <n x="654"/>
      </t>
    </mdx>
    <mdx n="0" f="v">
      <t c="6" si="614">
        <n x="610"/>
        <n x="585"/>
        <n x="586"/>
        <n x="611" s="1"/>
        <n x="655"/>
        <n x="656"/>
      </t>
    </mdx>
    <mdx n="0" f="v">
      <t c="6" si="614">
        <n x="610"/>
        <n x="585"/>
        <n x="586"/>
        <n x="611" s="1"/>
        <n x="657"/>
        <n x="658"/>
      </t>
    </mdx>
    <mdx n="0" f="v">
      <t c="6" si="614">
        <n x="610"/>
        <n x="585"/>
        <n x="586"/>
        <n x="611" s="1"/>
        <n x="659"/>
        <n x="660"/>
      </t>
    </mdx>
    <mdx n="0" f="v">
      <t c="6" si="614">
        <n x="610"/>
        <n x="585"/>
        <n x="586"/>
        <n x="611" s="1"/>
        <n x="661"/>
        <n x="662"/>
      </t>
    </mdx>
    <mdx n="0" f="v">
      <t c="6" si="614">
        <n x="610"/>
        <n x="585"/>
        <n x="586"/>
        <n x="611" s="1"/>
        <n x="665"/>
        <n x="666"/>
      </t>
    </mdx>
    <mdx n="0" f="v">
      <t c="6" si="614">
        <n x="610"/>
        <n x="585"/>
        <n x="586"/>
        <n x="611" s="1"/>
        <n x="667"/>
        <n x="668"/>
      </t>
    </mdx>
    <mdx n="0" f="v">
      <t c="6" si="614">
        <n x="610"/>
        <n x="585"/>
        <n x="586"/>
        <n x="611" s="1"/>
        <n x="669"/>
        <n x="670"/>
      </t>
    </mdx>
    <mdx n="0" f="v">
      <t c="6" si="614">
        <n x="610"/>
        <n x="585"/>
        <n x="586"/>
        <n x="611" s="1"/>
        <n x="671"/>
        <n x="672"/>
      </t>
    </mdx>
    <mdx n="0" f="v">
      <t c="6" si="614">
        <n x="610"/>
        <n x="585"/>
        <n x="586"/>
        <n x="611" s="1"/>
        <n x="673"/>
        <n x="674"/>
      </t>
    </mdx>
    <mdx n="0" f="v">
      <t c="6" si="614">
        <n x="610"/>
        <n x="585"/>
        <n x="586"/>
        <n x="611" s="1"/>
        <n x="675"/>
        <n x="676"/>
      </t>
    </mdx>
    <mdx n="0" f="v">
      <t c="6" si="614">
        <n x="610"/>
        <n x="585"/>
        <n x="586"/>
        <n x="611" s="1"/>
        <n x="677"/>
        <n x="678"/>
      </t>
    </mdx>
    <mdx n="0" f="v">
      <t c="6" si="614">
        <n x="610"/>
        <n x="585"/>
        <n x="586"/>
        <n x="611" s="1"/>
        <n x="679"/>
        <n x="680"/>
      </t>
    </mdx>
    <mdx n="0" f="v">
      <t c="6" si="614">
        <n x="610"/>
        <n x="585"/>
        <n x="586"/>
        <n x="611" s="1"/>
        <n x="683"/>
        <n x="684"/>
      </t>
    </mdx>
    <mdx n="0" f="v">
      <t c="6" si="614">
        <n x="610"/>
        <n x="585"/>
        <n x="586"/>
        <n x="611" s="1"/>
        <n x="685"/>
        <n x="686"/>
      </t>
    </mdx>
    <mdx n="0" f="v">
      <t c="6" si="614">
        <n x="610"/>
        <n x="585"/>
        <n x="586"/>
        <n x="611" s="1"/>
        <n x="687"/>
        <n x="688"/>
      </t>
    </mdx>
    <mdx n="0" f="v">
      <t c="6" si="614">
        <n x="610"/>
        <n x="585"/>
        <n x="586"/>
        <n x="611" s="1"/>
        <n x="689"/>
        <n x="690"/>
      </t>
    </mdx>
    <mdx n="0" f="v">
      <t c="6" si="614">
        <n x="610"/>
        <n x="585"/>
        <n x="586"/>
        <n x="611" s="1"/>
        <n x="691"/>
        <n x="692"/>
      </t>
    </mdx>
    <mdx n="0" f="v">
      <t c="6" si="614">
        <n x="610"/>
        <n x="585"/>
        <n x="586"/>
        <n x="611" s="1"/>
        <n x="693"/>
        <n x="694"/>
      </t>
    </mdx>
    <mdx n="0" f="v">
      <t c="6" si="614">
        <n x="610"/>
        <n x="585"/>
        <n x="586"/>
        <n x="611" s="1"/>
        <n x="695"/>
        <n x="696"/>
      </t>
    </mdx>
    <mdx n="0" f="v">
      <t c="6" si="614">
        <n x="610"/>
        <n x="585"/>
        <n x="586"/>
        <n x="611" s="1"/>
        <n x="697"/>
        <n x="698"/>
      </t>
    </mdx>
    <mdx n="0" f="v">
      <t c="6" si="614">
        <n x="610"/>
        <n x="585"/>
        <n x="586"/>
        <n x="611" s="1"/>
        <n x="699"/>
        <n x="700"/>
      </t>
    </mdx>
    <mdx n="0" f="v">
      <t c="6" si="614">
        <n x="610"/>
        <n x="585"/>
        <n x="586"/>
        <n x="611" s="1"/>
        <n x="701"/>
        <n x="702"/>
      </t>
    </mdx>
    <mdx n="0" f="v">
      <t c="6" si="614">
        <n x="610"/>
        <n x="585"/>
        <n x="586"/>
        <n x="611" s="1"/>
        <n x="703"/>
        <n x="704"/>
      </t>
    </mdx>
    <mdx n="0" f="v">
      <t c="6" si="614">
        <n x="610"/>
        <n x="585"/>
        <n x="586"/>
        <n x="611" s="1"/>
        <n x="705"/>
        <n x="706"/>
      </t>
    </mdx>
    <mdx n="0" f="v">
      <t c="6" si="614">
        <n x="610"/>
        <n x="585"/>
        <n x="586"/>
        <n x="611" s="1"/>
        <n x="707"/>
        <n x="708"/>
      </t>
    </mdx>
    <mdx n="0" f="v">
      <t c="6" si="614">
        <n x="610"/>
        <n x="587"/>
        <n x="588"/>
        <n x="611" s="1"/>
        <n x="612"/>
        <n x="613"/>
      </t>
    </mdx>
    <mdx n="0" f="v">
      <t c="6" si="614">
        <n x="610"/>
        <n x="587"/>
        <n x="588"/>
        <n x="611" s="1"/>
        <n x="615"/>
        <n x="616"/>
      </t>
    </mdx>
    <mdx n="0" f="v">
      <t c="6" si="614">
        <n x="610"/>
        <n x="587"/>
        <n x="588"/>
        <n x="611" s="1"/>
        <n x="617"/>
        <n x="618"/>
      </t>
    </mdx>
    <mdx n="0" f="v">
      <t c="6" si="614">
        <n x="610"/>
        <n x="587"/>
        <n x="588"/>
        <n x="611" s="1"/>
        <n x="619"/>
        <n x="620"/>
      </t>
    </mdx>
    <mdx n="0" f="v">
      <t c="6" si="614">
        <n x="610"/>
        <n x="587"/>
        <n x="588"/>
        <n x="611" s="1"/>
        <n x="621"/>
        <n x="622"/>
      </t>
    </mdx>
    <mdx n="0" f="v">
      <t c="6" si="614">
        <n x="610"/>
        <n x="587"/>
        <n x="588"/>
        <n x="611" s="1"/>
        <n x="623"/>
        <n x="624"/>
      </t>
    </mdx>
    <mdx n="0" f="v">
      <t c="6" si="614">
        <n x="610"/>
        <n x="587"/>
        <n x="588"/>
        <n x="611" s="1"/>
        <n x="625"/>
        <n x="626"/>
      </t>
    </mdx>
    <mdx n="0" f="v">
      <t c="6" si="614">
        <n x="610"/>
        <n x="587"/>
        <n x="588"/>
        <n x="611" s="1"/>
        <n x="627"/>
        <n x="628"/>
      </t>
    </mdx>
    <mdx n="0" f="v">
      <t c="6" si="614">
        <n x="610"/>
        <n x="587"/>
        <n x="588"/>
        <n x="611" s="1"/>
        <n x="629"/>
        <n x="630"/>
      </t>
    </mdx>
    <mdx n="0" f="v">
      <t c="6" si="614">
        <n x="610"/>
        <n x="587"/>
        <n x="588"/>
        <n x="611" s="1"/>
        <n x="631"/>
        <n x="632"/>
      </t>
    </mdx>
    <mdx n="0" f="v">
      <t c="6" si="614">
        <n x="610"/>
        <n x="587"/>
        <n x="588"/>
        <n x="611" s="1"/>
        <n x="633"/>
        <n x="634"/>
      </t>
    </mdx>
    <mdx n="0" f="v">
      <t c="6" si="614">
        <n x="610"/>
        <n x="587"/>
        <n x="588"/>
        <n x="611" s="1"/>
        <n x="635"/>
        <n x="636"/>
      </t>
    </mdx>
    <mdx n="0" f="v">
      <t c="6" si="614">
        <n x="610"/>
        <n x="587"/>
        <n x="588"/>
        <n x="611" s="1"/>
        <n x="637"/>
        <n x="638"/>
      </t>
    </mdx>
    <mdx n="0" f="v">
      <t c="6" si="614">
        <n x="610"/>
        <n x="587"/>
        <n x="588"/>
        <n x="611" s="1"/>
        <n x="641"/>
        <n x="642"/>
      </t>
    </mdx>
    <mdx n="0" f="v">
      <t c="6" si="614">
        <n x="610"/>
        <n x="587"/>
        <n x="588"/>
        <n x="611" s="1"/>
        <n x="643"/>
        <n x="644"/>
      </t>
    </mdx>
    <mdx n="0" f="v">
      <t c="6" si="614">
        <n x="610"/>
        <n x="587"/>
        <n x="588"/>
        <n x="611" s="1"/>
        <n x="645"/>
        <n x="646"/>
      </t>
    </mdx>
    <mdx n="0" f="v">
      <t c="6" si="614">
        <n x="610"/>
        <n x="587"/>
        <n x="588"/>
        <n x="611" s="1"/>
        <n x="647"/>
        <n x="648"/>
      </t>
    </mdx>
    <mdx n="0" f="v">
      <t c="6" si="614">
        <n x="610"/>
        <n x="587"/>
        <n x="588"/>
        <n x="611" s="1"/>
        <n x="649"/>
        <n x="650"/>
      </t>
    </mdx>
    <mdx n="0" f="v">
      <t c="6" si="614">
        <n x="610"/>
        <n x="587"/>
        <n x="588"/>
        <n x="611" s="1"/>
        <n x="651"/>
        <n x="652"/>
      </t>
    </mdx>
    <mdx n="0" f="v">
      <t c="6" si="614">
        <n x="610"/>
        <n x="587"/>
        <n x="588"/>
        <n x="611" s="1"/>
        <n x="653"/>
        <n x="654"/>
      </t>
    </mdx>
    <mdx n="0" f="v">
      <t c="6" si="614">
        <n x="610"/>
        <n x="587"/>
        <n x="588"/>
        <n x="611" s="1"/>
        <n x="655"/>
        <n x="656"/>
      </t>
    </mdx>
    <mdx n="0" f="v">
      <t c="6" si="614">
        <n x="610"/>
        <n x="587"/>
        <n x="588"/>
        <n x="611" s="1"/>
        <n x="657"/>
        <n x="658"/>
      </t>
    </mdx>
    <mdx n="0" f="v">
      <t c="6" si="614">
        <n x="610"/>
        <n x="587"/>
        <n x="588"/>
        <n x="611" s="1"/>
        <n x="659"/>
        <n x="660"/>
      </t>
    </mdx>
    <mdx n="0" f="v">
      <t c="6" si="614">
        <n x="610"/>
        <n x="587"/>
        <n x="588"/>
        <n x="611" s="1"/>
        <n x="661"/>
        <n x="662"/>
      </t>
    </mdx>
    <mdx n="0" f="v">
      <t c="6" si="614">
        <n x="610"/>
        <n x="587"/>
        <n x="588"/>
        <n x="611" s="1"/>
        <n x="665"/>
        <n x="666"/>
      </t>
    </mdx>
    <mdx n="0" f="v">
      <t c="6" si="614">
        <n x="610"/>
        <n x="587"/>
        <n x="588"/>
        <n x="611" s="1"/>
        <n x="667"/>
        <n x="668"/>
      </t>
    </mdx>
    <mdx n="0" f="v">
      <t c="6" si="614">
        <n x="610"/>
        <n x="587"/>
        <n x="588"/>
        <n x="611" s="1"/>
        <n x="669"/>
        <n x="670"/>
      </t>
    </mdx>
    <mdx n="0" f="v">
      <t c="6" si="614">
        <n x="610"/>
        <n x="587"/>
        <n x="588"/>
        <n x="611" s="1"/>
        <n x="671"/>
        <n x="672"/>
      </t>
    </mdx>
    <mdx n="0" f="v">
      <t c="6" si="614">
        <n x="610"/>
        <n x="587"/>
        <n x="588"/>
        <n x="611" s="1"/>
        <n x="675"/>
        <n x="676"/>
      </t>
    </mdx>
    <mdx n="0" f="v">
      <t c="6" si="614">
        <n x="610"/>
        <n x="587"/>
        <n x="588"/>
        <n x="611" s="1"/>
        <n x="677"/>
        <n x="678"/>
      </t>
    </mdx>
    <mdx n="0" f="v">
      <t c="6" si="614">
        <n x="610"/>
        <n x="587"/>
        <n x="588"/>
        <n x="611" s="1"/>
        <n x="679"/>
        <n x="680"/>
      </t>
    </mdx>
    <mdx n="0" f="v">
      <t c="6" si="614">
        <n x="610"/>
        <n x="587"/>
        <n x="588"/>
        <n x="611" s="1"/>
        <n x="683"/>
        <n x="684"/>
      </t>
    </mdx>
    <mdx n="0" f="v">
      <t c="6" si="614">
        <n x="610"/>
        <n x="587"/>
        <n x="588"/>
        <n x="611" s="1"/>
        <n x="685"/>
        <n x="686"/>
      </t>
    </mdx>
    <mdx n="0" f="v">
      <t c="6" si="614">
        <n x="610"/>
        <n x="587"/>
        <n x="588"/>
        <n x="611" s="1"/>
        <n x="687"/>
        <n x="688"/>
      </t>
    </mdx>
    <mdx n="0" f="v">
      <t c="6" si="614">
        <n x="610"/>
        <n x="587"/>
        <n x="588"/>
        <n x="611" s="1"/>
        <n x="689"/>
        <n x="690"/>
      </t>
    </mdx>
    <mdx n="0" f="v">
      <t c="6" si="614">
        <n x="610"/>
        <n x="587"/>
        <n x="588"/>
        <n x="611" s="1"/>
        <n x="691"/>
        <n x="692"/>
      </t>
    </mdx>
    <mdx n="0" f="v">
      <t c="6" si="614">
        <n x="610"/>
        <n x="587"/>
        <n x="588"/>
        <n x="611" s="1"/>
        <n x="693"/>
        <n x="694"/>
      </t>
    </mdx>
    <mdx n="0" f="v">
      <t c="6" si="614">
        <n x="610"/>
        <n x="587"/>
        <n x="588"/>
        <n x="611" s="1"/>
        <n x="695"/>
        <n x="696"/>
      </t>
    </mdx>
    <mdx n="0" f="v">
      <t c="6" si="614">
        <n x="610"/>
        <n x="587"/>
        <n x="588"/>
        <n x="611" s="1"/>
        <n x="697"/>
        <n x="698"/>
      </t>
    </mdx>
    <mdx n="0" f="v">
      <t c="6" si="614">
        <n x="610"/>
        <n x="587"/>
        <n x="588"/>
        <n x="611" s="1"/>
        <n x="699"/>
        <n x="700"/>
      </t>
    </mdx>
    <mdx n="0" f="v">
      <t c="6" si="614">
        <n x="610"/>
        <n x="587"/>
        <n x="588"/>
        <n x="611" s="1"/>
        <n x="701"/>
        <n x="702"/>
      </t>
    </mdx>
    <mdx n="0" f="v">
      <t c="6" si="614">
        <n x="610"/>
        <n x="587"/>
        <n x="588"/>
        <n x="611" s="1"/>
        <n x="703"/>
        <n x="704"/>
      </t>
    </mdx>
    <mdx n="0" f="v">
      <t c="6" si="614">
        <n x="610"/>
        <n x="587"/>
        <n x="588"/>
        <n x="611" s="1"/>
        <n x="705"/>
        <n x="706"/>
      </t>
    </mdx>
    <mdx n="0" f="v">
      <t c="6" si="614">
        <n x="610"/>
        <n x="587"/>
        <n x="588"/>
        <n x="611" s="1"/>
        <n x="707"/>
        <n x="708"/>
      </t>
    </mdx>
    <mdx n="0" f="v">
      <t c="6" si="614">
        <n x="610"/>
        <n x="589"/>
        <n x="590"/>
        <n x="611" s="1"/>
        <n x="612"/>
        <n x="613"/>
      </t>
    </mdx>
    <mdx n="0" f="v">
      <t c="6" si="614">
        <n x="610"/>
        <n x="589"/>
        <n x="590"/>
        <n x="611" s="1"/>
        <n x="615"/>
        <n x="616"/>
      </t>
    </mdx>
    <mdx n="0" f="v">
      <t c="6" si="614">
        <n x="610"/>
        <n x="589"/>
        <n x="590"/>
        <n x="611" s="1"/>
        <n x="617"/>
        <n x="618"/>
      </t>
    </mdx>
    <mdx n="0" f="v">
      <t c="6" si="614">
        <n x="610"/>
        <n x="589"/>
        <n x="590"/>
        <n x="611" s="1"/>
        <n x="619"/>
        <n x="620"/>
      </t>
    </mdx>
    <mdx n="0" f="v">
      <t c="6" si="614">
        <n x="610"/>
        <n x="589"/>
        <n x="590"/>
        <n x="611" s="1"/>
        <n x="621"/>
        <n x="622"/>
      </t>
    </mdx>
    <mdx n="0" f="v">
      <t c="6" si="614">
        <n x="610"/>
        <n x="589"/>
        <n x="590"/>
        <n x="611" s="1"/>
        <n x="623"/>
        <n x="624"/>
      </t>
    </mdx>
    <mdx n="0" f="v">
      <t c="6" si="614">
        <n x="610"/>
        <n x="589"/>
        <n x="590"/>
        <n x="611" s="1"/>
        <n x="625"/>
        <n x="626"/>
      </t>
    </mdx>
    <mdx n="0" f="v">
      <t c="6" si="614">
        <n x="610"/>
        <n x="589"/>
        <n x="590"/>
        <n x="611" s="1"/>
        <n x="627"/>
        <n x="628"/>
      </t>
    </mdx>
    <mdx n="0" f="v">
      <t c="6" si="614">
        <n x="610"/>
        <n x="589"/>
        <n x="590"/>
        <n x="611" s="1"/>
        <n x="629"/>
        <n x="630"/>
      </t>
    </mdx>
    <mdx n="0" f="v">
      <t c="6" si="614">
        <n x="610"/>
        <n x="589"/>
        <n x="590"/>
        <n x="611" s="1"/>
        <n x="633"/>
        <n x="634"/>
      </t>
    </mdx>
    <mdx n="0" f="v">
      <t c="6" si="614">
        <n x="610"/>
        <n x="589"/>
        <n x="590"/>
        <n x="611" s="1"/>
        <n x="635"/>
        <n x="636"/>
      </t>
    </mdx>
    <mdx n="0" f="v">
      <t c="6" si="614">
        <n x="610"/>
        <n x="589"/>
        <n x="590"/>
        <n x="611" s="1"/>
        <n x="637"/>
        <n x="638"/>
      </t>
    </mdx>
    <mdx n="0" f="v">
      <t c="6" si="614">
        <n x="610"/>
        <n x="589"/>
        <n x="590"/>
        <n x="611" s="1"/>
        <n x="639"/>
        <n x="640"/>
      </t>
    </mdx>
    <mdx n="0" f="v">
      <t c="6" si="614">
        <n x="610"/>
        <n x="589"/>
        <n x="590"/>
        <n x="611" s="1"/>
        <n x="641"/>
        <n x="642"/>
      </t>
    </mdx>
    <mdx n="0" f="v">
      <t c="6" si="614">
        <n x="610"/>
        <n x="589"/>
        <n x="590"/>
        <n x="611" s="1"/>
        <n x="643"/>
        <n x="644"/>
      </t>
    </mdx>
    <mdx n="0" f="v">
      <t c="6" si="614">
        <n x="610"/>
        <n x="589"/>
        <n x="590"/>
        <n x="611" s="1"/>
        <n x="645"/>
        <n x="646"/>
      </t>
    </mdx>
    <mdx n="0" f="v">
      <t c="6" si="614">
        <n x="610"/>
        <n x="589"/>
        <n x="590"/>
        <n x="611" s="1"/>
        <n x="647"/>
        <n x="648"/>
      </t>
    </mdx>
    <mdx n="0" f="v">
      <t c="6" si="614">
        <n x="610"/>
        <n x="589"/>
        <n x="590"/>
        <n x="611" s="1"/>
        <n x="653"/>
        <n x="654"/>
      </t>
    </mdx>
    <mdx n="0" f="v">
      <t c="6" si="614">
        <n x="610"/>
        <n x="589"/>
        <n x="590"/>
        <n x="611" s="1"/>
        <n x="655"/>
        <n x="656"/>
      </t>
    </mdx>
    <mdx n="0" f="v">
      <t c="6" si="614">
        <n x="610"/>
        <n x="589"/>
        <n x="590"/>
        <n x="611" s="1"/>
        <n x="657"/>
        <n x="658"/>
      </t>
    </mdx>
    <mdx n="0" f="v">
      <t c="6" si="614">
        <n x="610"/>
        <n x="589"/>
        <n x="590"/>
        <n x="611" s="1"/>
        <n x="659"/>
        <n x="660"/>
      </t>
    </mdx>
    <mdx n="0" f="v">
      <t c="6" si="614">
        <n x="610"/>
        <n x="589"/>
        <n x="590"/>
        <n x="611" s="1"/>
        <n x="661"/>
        <n x="662"/>
      </t>
    </mdx>
    <mdx n="0" f="v">
      <t c="6" si="614">
        <n x="610"/>
        <n x="589"/>
        <n x="590"/>
        <n x="611" s="1"/>
        <n x="663"/>
        <n x="664"/>
      </t>
    </mdx>
    <mdx n="0" f="v">
      <t c="6" si="614">
        <n x="610"/>
        <n x="589"/>
        <n x="590"/>
        <n x="611" s="1"/>
        <n x="667"/>
        <n x="668"/>
      </t>
    </mdx>
    <mdx n="0" f="v">
      <t c="6" si="614">
        <n x="610"/>
        <n x="589"/>
        <n x="590"/>
        <n x="611" s="1"/>
        <n x="669"/>
        <n x="670"/>
      </t>
    </mdx>
    <mdx n="0" f="v">
      <t c="6" si="614">
        <n x="610"/>
        <n x="589"/>
        <n x="590"/>
        <n x="611" s="1"/>
        <n x="671"/>
        <n x="672"/>
      </t>
    </mdx>
    <mdx n="0" f="v">
      <t c="6" si="614">
        <n x="610"/>
        <n x="589"/>
        <n x="590"/>
        <n x="611" s="1"/>
        <n x="673"/>
        <n x="674"/>
      </t>
    </mdx>
    <mdx n="0" f="v">
      <t c="6" si="614">
        <n x="610"/>
        <n x="589"/>
        <n x="590"/>
        <n x="611" s="1"/>
        <n x="679"/>
        <n x="680"/>
      </t>
    </mdx>
    <mdx n="0" f="v">
      <t c="6" si="614">
        <n x="610"/>
        <n x="589"/>
        <n x="590"/>
        <n x="611" s="1"/>
        <n x="681"/>
        <n x="682"/>
      </t>
    </mdx>
    <mdx n="0" f="v">
      <t c="6" si="614">
        <n x="610"/>
        <n x="589"/>
        <n x="590"/>
        <n x="611" s="1"/>
        <n x="683"/>
        <n x="684"/>
      </t>
    </mdx>
    <mdx n="0" f="v">
      <t c="6" si="614">
        <n x="610"/>
        <n x="589"/>
        <n x="590"/>
        <n x="611" s="1"/>
        <n x="689"/>
        <n x="690"/>
      </t>
    </mdx>
    <mdx n="0" f="v">
      <t c="6" si="614">
        <n x="610"/>
        <n x="589"/>
        <n x="590"/>
        <n x="611" s="1"/>
        <n x="691"/>
        <n x="692"/>
      </t>
    </mdx>
    <mdx n="0" f="v">
      <t c="6" si="614">
        <n x="610"/>
        <n x="589"/>
        <n x="590"/>
        <n x="611" s="1"/>
        <n x="693"/>
        <n x="694"/>
      </t>
    </mdx>
    <mdx n="0" f="v">
      <t c="6" si="614">
        <n x="610"/>
        <n x="589"/>
        <n x="590"/>
        <n x="611" s="1"/>
        <n x="695"/>
        <n x="696"/>
      </t>
    </mdx>
    <mdx n="0" f="v">
      <t c="6" si="614">
        <n x="610"/>
        <n x="589"/>
        <n x="590"/>
        <n x="611" s="1"/>
        <n x="697"/>
        <n x="698"/>
      </t>
    </mdx>
    <mdx n="0" f="v">
      <t c="6" si="614">
        <n x="610"/>
        <n x="589"/>
        <n x="590"/>
        <n x="611" s="1"/>
        <n x="699"/>
        <n x="700"/>
      </t>
    </mdx>
    <mdx n="0" f="v">
      <t c="6" si="614">
        <n x="610"/>
        <n x="589"/>
        <n x="590"/>
        <n x="611" s="1"/>
        <n x="701"/>
        <n x="702"/>
      </t>
    </mdx>
    <mdx n="0" f="v">
      <t c="6" si="614">
        <n x="610"/>
        <n x="589"/>
        <n x="590"/>
        <n x="611" s="1"/>
        <n x="703"/>
        <n x="704"/>
      </t>
    </mdx>
    <mdx n="0" f="v">
      <t c="6" si="614">
        <n x="610"/>
        <n x="589"/>
        <n x="590"/>
        <n x="611" s="1"/>
        <n x="705"/>
        <n x="706"/>
      </t>
    </mdx>
    <mdx n="0" f="v">
      <t c="6" si="614">
        <n x="610"/>
        <n x="589"/>
        <n x="590"/>
        <n x="611" s="1"/>
        <n x="707"/>
        <n x="708"/>
      </t>
    </mdx>
    <mdx n="0" f="v">
      <t c="6" si="614">
        <n x="610"/>
        <n x="591"/>
        <n x="592"/>
        <n x="611" s="1"/>
        <n x="612"/>
        <n x="613"/>
      </t>
    </mdx>
    <mdx n="0" f="v">
      <t c="6" si="614">
        <n x="610"/>
        <n x="591"/>
        <n x="592"/>
        <n x="611" s="1"/>
        <n x="615"/>
        <n x="616"/>
      </t>
    </mdx>
    <mdx n="0" f="v">
      <t c="6" si="614">
        <n x="610"/>
        <n x="591"/>
        <n x="592"/>
        <n x="611" s="1"/>
        <n x="619"/>
        <n x="620"/>
      </t>
    </mdx>
    <mdx n="0" f="v">
      <t c="6" si="614">
        <n x="610"/>
        <n x="591"/>
        <n x="592"/>
        <n x="611" s="1"/>
        <n x="621"/>
        <n x="622"/>
      </t>
    </mdx>
    <mdx n="0" f="v">
      <t c="6" si="614">
        <n x="610"/>
        <n x="591"/>
        <n x="592"/>
        <n x="611" s="1"/>
        <n x="623"/>
        <n x="624"/>
      </t>
    </mdx>
    <mdx n="0" f="v">
      <t c="6" si="614">
        <n x="610"/>
        <n x="591"/>
        <n x="592"/>
        <n x="611" s="1"/>
        <n x="625"/>
        <n x="626"/>
      </t>
    </mdx>
    <mdx n="0" f="v">
      <t c="6" si="614">
        <n x="610"/>
        <n x="591"/>
        <n x="592"/>
        <n x="611" s="1"/>
        <n x="627"/>
        <n x="628"/>
      </t>
    </mdx>
    <mdx n="0" f="v">
      <t c="6" si="614">
        <n x="610"/>
        <n x="591"/>
        <n x="592"/>
        <n x="611" s="1"/>
        <n x="631"/>
        <n x="632"/>
      </t>
    </mdx>
    <mdx n="0" f="v">
      <t c="6" si="614">
        <n x="610"/>
        <n x="591"/>
        <n x="592"/>
        <n x="611" s="1"/>
        <n x="633"/>
        <n x="634"/>
      </t>
    </mdx>
    <mdx n="0" f="v">
      <t c="6" si="614">
        <n x="610"/>
        <n x="591"/>
        <n x="592"/>
        <n x="611" s="1"/>
        <n x="635"/>
        <n x="636"/>
      </t>
    </mdx>
    <mdx n="0" f="v">
      <t c="6" si="614">
        <n x="610"/>
        <n x="591"/>
        <n x="592"/>
        <n x="611" s="1"/>
        <n x="637"/>
        <n x="638"/>
      </t>
    </mdx>
    <mdx n="0" f="v">
      <t c="6" si="614">
        <n x="610"/>
        <n x="591"/>
        <n x="592"/>
        <n x="611" s="1"/>
        <n x="639"/>
        <n x="640"/>
      </t>
    </mdx>
    <mdx n="0" f="v">
      <t c="6" si="614">
        <n x="610"/>
        <n x="591"/>
        <n x="592"/>
        <n x="611" s="1"/>
        <n x="641"/>
        <n x="642"/>
      </t>
    </mdx>
    <mdx n="0" f="v">
      <t c="6" si="614">
        <n x="610"/>
        <n x="591"/>
        <n x="592"/>
        <n x="611" s="1"/>
        <n x="643"/>
        <n x="644"/>
      </t>
    </mdx>
    <mdx n="0" f="v">
      <t c="6" si="614">
        <n x="610"/>
        <n x="591"/>
        <n x="592"/>
        <n x="611" s="1"/>
        <n x="645"/>
        <n x="646"/>
      </t>
    </mdx>
    <mdx n="0" f="v">
      <t c="6" si="614">
        <n x="610"/>
        <n x="591"/>
        <n x="592"/>
        <n x="611" s="1"/>
        <n x="647"/>
        <n x="648"/>
      </t>
    </mdx>
    <mdx n="0" f="v">
      <t c="6" si="614">
        <n x="610"/>
        <n x="591"/>
        <n x="592"/>
        <n x="611" s="1"/>
        <n x="649"/>
        <n x="650"/>
      </t>
    </mdx>
    <mdx n="0" f="v">
      <t c="6" si="614">
        <n x="610"/>
        <n x="591"/>
        <n x="592"/>
        <n x="611" s="1"/>
        <n x="651"/>
        <n x="652"/>
      </t>
    </mdx>
    <mdx n="0" f="v">
      <t c="6" si="614">
        <n x="610"/>
        <n x="591"/>
        <n x="592"/>
        <n x="611" s="1"/>
        <n x="653"/>
        <n x="654"/>
      </t>
    </mdx>
    <mdx n="0" f="v">
      <t c="6" si="614">
        <n x="610"/>
        <n x="591"/>
        <n x="592"/>
        <n x="611" s="1"/>
        <n x="655"/>
        <n x="656"/>
      </t>
    </mdx>
    <mdx n="0" f="v">
      <t c="6" si="614">
        <n x="610"/>
        <n x="591"/>
        <n x="592"/>
        <n x="611" s="1"/>
        <n x="657"/>
        <n x="658"/>
      </t>
    </mdx>
    <mdx n="0" f="v">
      <t c="6" si="614">
        <n x="610"/>
        <n x="591"/>
        <n x="592"/>
        <n x="611" s="1"/>
        <n x="659"/>
        <n x="660"/>
      </t>
    </mdx>
    <mdx n="0" f="v">
      <t c="6" si="614">
        <n x="610"/>
        <n x="591"/>
        <n x="592"/>
        <n x="611" s="1"/>
        <n x="661"/>
        <n x="662"/>
      </t>
    </mdx>
    <mdx n="0" f="v">
      <t c="6" si="614">
        <n x="610"/>
        <n x="591"/>
        <n x="592"/>
        <n x="611" s="1"/>
        <n x="663"/>
        <n x="664"/>
      </t>
    </mdx>
    <mdx n="0" f="v">
      <t c="6" si="614">
        <n x="610"/>
        <n x="591"/>
        <n x="592"/>
        <n x="611" s="1"/>
        <n x="665"/>
        <n x="666"/>
      </t>
    </mdx>
    <mdx n="0" f="v">
      <t c="6" si="614">
        <n x="610"/>
        <n x="591"/>
        <n x="592"/>
        <n x="611" s="1"/>
        <n x="667"/>
        <n x="668"/>
      </t>
    </mdx>
    <mdx n="0" f="v">
      <t c="6" si="614">
        <n x="610"/>
        <n x="591"/>
        <n x="592"/>
        <n x="611" s="1"/>
        <n x="669"/>
        <n x="670"/>
      </t>
    </mdx>
    <mdx n="0" f="v">
      <t c="6" si="614">
        <n x="610"/>
        <n x="591"/>
        <n x="592"/>
        <n x="611" s="1"/>
        <n x="671"/>
        <n x="672"/>
      </t>
    </mdx>
    <mdx n="0" f="v">
      <t c="6" si="614">
        <n x="610"/>
        <n x="591"/>
        <n x="592"/>
        <n x="611" s="1"/>
        <n x="673"/>
        <n x="674"/>
      </t>
    </mdx>
    <mdx n="0" f="v">
      <t c="6" si="614">
        <n x="610"/>
        <n x="591"/>
        <n x="592"/>
        <n x="611" s="1"/>
        <n x="675"/>
        <n x="676"/>
      </t>
    </mdx>
    <mdx n="0" f="v">
      <t c="6" si="614">
        <n x="610"/>
        <n x="591"/>
        <n x="592"/>
        <n x="611" s="1"/>
        <n x="677"/>
        <n x="678"/>
      </t>
    </mdx>
    <mdx n="0" f="v">
      <t c="6" si="614">
        <n x="610"/>
        <n x="591"/>
        <n x="592"/>
        <n x="611" s="1"/>
        <n x="681"/>
        <n x="682"/>
      </t>
    </mdx>
    <mdx n="0" f="v">
      <t c="6" si="614">
        <n x="610"/>
        <n x="591"/>
        <n x="592"/>
        <n x="611" s="1"/>
        <n x="685"/>
        <n x="686"/>
      </t>
    </mdx>
    <mdx n="0" f="v">
      <t c="6" si="614">
        <n x="610"/>
        <n x="591"/>
        <n x="592"/>
        <n x="611" s="1"/>
        <n x="687"/>
        <n x="688"/>
      </t>
    </mdx>
    <mdx n="0" f="v">
      <t c="6" si="614">
        <n x="610"/>
        <n x="591"/>
        <n x="592"/>
        <n x="611" s="1"/>
        <n x="689"/>
        <n x="690"/>
      </t>
    </mdx>
    <mdx n="0" f="v">
      <t c="6" si="614">
        <n x="610"/>
        <n x="591"/>
        <n x="592"/>
        <n x="611" s="1"/>
        <n x="691"/>
        <n x="692"/>
      </t>
    </mdx>
    <mdx n="0" f="v">
      <t c="6" si="614">
        <n x="610"/>
        <n x="591"/>
        <n x="592"/>
        <n x="611" s="1"/>
        <n x="693"/>
        <n x="694"/>
      </t>
    </mdx>
    <mdx n="0" f="v">
      <t c="6" si="614">
        <n x="610"/>
        <n x="591"/>
        <n x="592"/>
        <n x="611" s="1"/>
        <n x="695"/>
        <n x="696"/>
      </t>
    </mdx>
    <mdx n="0" f="v">
      <t c="6" si="614">
        <n x="610"/>
        <n x="591"/>
        <n x="592"/>
        <n x="611" s="1"/>
        <n x="697"/>
        <n x="698"/>
      </t>
    </mdx>
    <mdx n="0" f="v">
      <t c="6" si="614">
        <n x="610"/>
        <n x="591"/>
        <n x="592"/>
        <n x="611" s="1"/>
        <n x="699"/>
        <n x="700"/>
      </t>
    </mdx>
    <mdx n="0" f="v">
      <t c="6" si="614">
        <n x="610"/>
        <n x="591"/>
        <n x="592"/>
        <n x="611" s="1"/>
        <n x="701"/>
        <n x="702"/>
      </t>
    </mdx>
    <mdx n="0" f="v">
      <t c="6" si="614">
        <n x="610"/>
        <n x="591"/>
        <n x="592"/>
        <n x="611" s="1"/>
        <n x="703"/>
        <n x="704"/>
      </t>
    </mdx>
    <mdx n="0" f="v">
      <t c="6" si="614">
        <n x="610"/>
        <n x="591"/>
        <n x="592"/>
        <n x="611" s="1"/>
        <n x="705"/>
        <n x="706"/>
      </t>
    </mdx>
    <mdx n="0" f="v">
      <t c="6" si="614">
        <n x="610"/>
        <n x="591"/>
        <n x="592"/>
        <n x="611" s="1"/>
        <n x="707"/>
        <n x="708"/>
      </t>
    </mdx>
    <mdx n="0" f="v">
      <t c="6" si="614">
        <n x="610"/>
        <n x="593"/>
        <n x="594"/>
        <n x="611" s="1"/>
        <n x="612"/>
        <n x="613"/>
      </t>
    </mdx>
    <mdx n="0" f="v">
      <t c="6" si="614">
        <n x="610"/>
        <n x="593"/>
        <n x="594"/>
        <n x="611" s="1"/>
        <n x="615"/>
        <n x="616"/>
      </t>
    </mdx>
    <mdx n="0" f="v">
      <t c="6" si="614">
        <n x="610"/>
        <n x="593"/>
        <n x="594"/>
        <n x="611" s="1"/>
        <n x="617"/>
        <n x="618"/>
      </t>
    </mdx>
    <mdx n="0" f="v">
      <t c="6" si="614">
        <n x="610"/>
        <n x="593"/>
        <n x="594"/>
        <n x="611" s="1"/>
        <n x="619"/>
        <n x="620"/>
      </t>
    </mdx>
    <mdx n="0" f="v">
      <t c="6" si="614">
        <n x="610"/>
        <n x="593"/>
        <n x="594"/>
        <n x="611" s="1"/>
        <n x="621"/>
        <n x="622"/>
      </t>
    </mdx>
    <mdx n="0" f="v">
      <t c="6" si="614">
        <n x="610"/>
        <n x="593"/>
        <n x="594"/>
        <n x="611" s="1"/>
        <n x="623"/>
        <n x="624"/>
      </t>
    </mdx>
    <mdx n="0" f="v">
      <t c="6" si="614">
        <n x="610"/>
        <n x="593"/>
        <n x="594"/>
        <n x="611" s="1"/>
        <n x="625"/>
        <n x="626"/>
      </t>
    </mdx>
    <mdx n="0" f="v">
      <t c="6" si="614">
        <n x="610"/>
        <n x="593"/>
        <n x="594"/>
        <n x="611" s="1"/>
        <n x="627"/>
        <n x="628"/>
      </t>
    </mdx>
    <mdx n="0" f="v">
      <t c="6" si="614">
        <n x="610"/>
        <n x="593"/>
        <n x="594"/>
        <n x="611" s="1"/>
        <n x="629"/>
        <n x="630"/>
      </t>
    </mdx>
    <mdx n="0" f="v">
      <t c="6" si="614">
        <n x="610"/>
        <n x="593"/>
        <n x="594"/>
        <n x="611" s="1"/>
        <n x="631"/>
        <n x="632"/>
      </t>
    </mdx>
    <mdx n="0" f="v">
      <t c="6" si="614">
        <n x="610"/>
        <n x="593"/>
        <n x="594"/>
        <n x="611" s="1"/>
        <n x="635"/>
        <n x="636"/>
      </t>
    </mdx>
    <mdx n="0" f="v">
      <t c="6" si="614">
        <n x="610"/>
        <n x="593"/>
        <n x="594"/>
        <n x="611" s="1"/>
        <n x="641"/>
        <n x="642"/>
      </t>
    </mdx>
    <mdx n="0" f="v">
      <t c="6" si="614">
        <n x="610"/>
        <n x="593"/>
        <n x="594"/>
        <n x="611" s="1"/>
        <n x="643"/>
        <n x="644"/>
      </t>
    </mdx>
    <mdx n="0" f="v">
      <t c="6" si="614">
        <n x="610"/>
        <n x="593"/>
        <n x="594"/>
        <n x="611" s="1"/>
        <n x="645"/>
        <n x="646"/>
      </t>
    </mdx>
    <mdx n="0" f="v">
      <t c="6" si="614">
        <n x="610"/>
        <n x="593"/>
        <n x="594"/>
        <n x="611" s="1"/>
        <n x="647"/>
        <n x="648"/>
      </t>
    </mdx>
    <mdx n="0" f="v">
      <t c="6" si="614">
        <n x="610"/>
        <n x="593"/>
        <n x="594"/>
        <n x="611" s="1"/>
        <n x="649"/>
        <n x="650"/>
      </t>
    </mdx>
    <mdx n="0" f="v">
      <t c="6" si="614">
        <n x="610"/>
        <n x="593"/>
        <n x="594"/>
        <n x="611" s="1"/>
        <n x="651"/>
        <n x="652"/>
      </t>
    </mdx>
    <mdx n="0" f="v">
      <t c="6" si="614">
        <n x="610"/>
        <n x="593"/>
        <n x="594"/>
        <n x="611" s="1"/>
        <n x="653"/>
        <n x="654"/>
      </t>
    </mdx>
    <mdx n="0" f="v">
      <t c="6" si="614">
        <n x="610"/>
        <n x="593"/>
        <n x="594"/>
        <n x="611" s="1"/>
        <n x="655"/>
        <n x="656"/>
      </t>
    </mdx>
    <mdx n="0" f="v">
      <t c="6" si="614">
        <n x="610"/>
        <n x="593"/>
        <n x="594"/>
        <n x="611" s="1"/>
        <n x="657"/>
        <n x="658"/>
      </t>
    </mdx>
    <mdx n="0" f="v">
      <t c="6" si="614">
        <n x="610"/>
        <n x="593"/>
        <n x="594"/>
        <n x="611" s="1"/>
        <n x="659"/>
        <n x="660"/>
      </t>
    </mdx>
    <mdx n="0" f="v">
      <t c="6" si="614">
        <n x="610"/>
        <n x="593"/>
        <n x="594"/>
        <n x="611" s="1"/>
        <n x="661"/>
        <n x="662"/>
      </t>
    </mdx>
    <mdx n="0" f="v">
      <t c="6" si="614">
        <n x="610"/>
        <n x="593"/>
        <n x="594"/>
        <n x="611" s="1"/>
        <n x="663"/>
        <n x="664"/>
      </t>
    </mdx>
    <mdx n="0" f="v">
      <t c="6" si="614">
        <n x="610"/>
        <n x="593"/>
        <n x="594"/>
        <n x="611" s="1"/>
        <n x="665"/>
        <n x="666"/>
      </t>
    </mdx>
    <mdx n="0" f="v">
      <t c="6" si="614">
        <n x="610"/>
        <n x="593"/>
        <n x="594"/>
        <n x="611" s="1"/>
        <n x="667"/>
        <n x="668"/>
      </t>
    </mdx>
    <mdx n="0" f="v">
      <t c="6" si="614">
        <n x="610"/>
        <n x="593"/>
        <n x="594"/>
        <n x="611" s="1"/>
        <n x="669"/>
        <n x="670"/>
      </t>
    </mdx>
    <mdx n="0" f="v">
      <t c="6" si="614">
        <n x="610"/>
        <n x="593"/>
        <n x="594"/>
        <n x="611" s="1"/>
        <n x="671"/>
        <n x="672"/>
      </t>
    </mdx>
    <mdx n="0" f="v">
      <t c="6" si="614">
        <n x="610"/>
        <n x="593"/>
        <n x="594"/>
        <n x="611" s="1"/>
        <n x="673"/>
        <n x="674"/>
      </t>
    </mdx>
    <mdx n="0" f="v">
      <t c="6" si="614">
        <n x="610"/>
        <n x="593"/>
        <n x="594"/>
        <n x="611" s="1"/>
        <n x="675"/>
        <n x="676"/>
      </t>
    </mdx>
    <mdx n="0" f="v">
      <t c="6" si="614">
        <n x="610"/>
        <n x="593"/>
        <n x="594"/>
        <n x="611" s="1"/>
        <n x="677"/>
        <n x="678"/>
      </t>
    </mdx>
    <mdx n="0" f="v">
      <t c="6" si="614">
        <n x="610"/>
        <n x="593"/>
        <n x="594"/>
        <n x="611" s="1"/>
        <n x="679"/>
        <n x="680"/>
      </t>
    </mdx>
    <mdx n="0" f="v">
      <t c="6" si="614">
        <n x="610"/>
        <n x="593"/>
        <n x="594"/>
        <n x="611" s="1"/>
        <n x="683"/>
        <n x="684"/>
      </t>
    </mdx>
    <mdx n="0" f="v">
      <t c="6" si="614">
        <n x="610"/>
        <n x="593"/>
        <n x="594"/>
        <n x="611" s="1"/>
        <n x="685"/>
        <n x="686"/>
      </t>
    </mdx>
    <mdx n="0" f="v">
      <t c="6" si="614">
        <n x="610"/>
        <n x="593"/>
        <n x="594"/>
        <n x="611" s="1"/>
        <n x="687"/>
        <n x="688"/>
      </t>
    </mdx>
    <mdx n="0" f="v">
      <t c="6" si="614">
        <n x="610"/>
        <n x="593"/>
        <n x="594"/>
        <n x="611" s="1"/>
        <n x="689"/>
        <n x="690"/>
      </t>
    </mdx>
    <mdx n="0" f="v">
      <t c="6" si="614">
        <n x="610"/>
        <n x="593"/>
        <n x="594"/>
        <n x="611" s="1"/>
        <n x="691"/>
        <n x="692"/>
      </t>
    </mdx>
    <mdx n="0" f="v">
      <t c="6" si="614">
        <n x="610"/>
        <n x="593"/>
        <n x="594"/>
        <n x="611" s="1"/>
        <n x="695"/>
        <n x="696"/>
      </t>
    </mdx>
    <mdx n="0" f="v">
      <t c="6" si="614">
        <n x="610"/>
        <n x="593"/>
        <n x="594"/>
        <n x="611" s="1"/>
        <n x="697"/>
        <n x="698"/>
      </t>
    </mdx>
    <mdx n="0" f="v">
      <t c="6" si="614">
        <n x="610"/>
        <n x="593"/>
        <n x="594"/>
        <n x="611" s="1"/>
        <n x="699"/>
        <n x="700"/>
      </t>
    </mdx>
    <mdx n="0" f="v">
      <t c="6" si="614">
        <n x="610"/>
        <n x="593"/>
        <n x="594"/>
        <n x="611" s="1"/>
        <n x="701"/>
        <n x="702"/>
      </t>
    </mdx>
    <mdx n="0" f="v">
      <t c="6" si="614">
        <n x="610"/>
        <n x="593"/>
        <n x="594"/>
        <n x="611" s="1"/>
        <n x="705"/>
        <n x="706"/>
      </t>
    </mdx>
    <mdx n="0" f="v">
      <t c="6" si="614">
        <n x="610"/>
        <n x="593"/>
        <n x="594"/>
        <n x="611" s="1"/>
        <n x="707"/>
        <n x="708"/>
      </t>
    </mdx>
    <mdx n="0" f="v">
      <t c="6" si="614">
        <n x="610"/>
        <n x="595"/>
        <n x="596"/>
        <n x="611" s="1"/>
        <n x="612"/>
        <n x="613"/>
      </t>
    </mdx>
    <mdx n="0" f="v">
      <t c="6" si="614">
        <n x="610"/>
        <n x="595"/>
        <n x="596"/>
        <n x="611" s="1"/>
        <n x="615"/>
        <n x="616"/>
      </t>
    </mdx>
    <mdx n="0" f="v">
      <t c="6" si="614">
        <n x="610"/>
        <n x="595"/>
        <n x="596"/>
        <n x="611" s="1"/>
        <n x="619"/>
        <n x="620"/>
      </t>
    </mdx>
    <mdx n="0" f="v">
      <t c="6" si="614">
        <n x="610"/>
        <n x="595"/>
        <n x="596"/>
        <n x="611" s="1"/>
        <n x="621"/>
        <n x="622"/>
      </t>
    </mdx>
    <mdx n="0" f="v">
      <t c="6" si="614">
        <n x="610"/>
        <n x="595"/>
        <n x="596"/>
        <n x="611" s="1"/>
        <n x="623"/>
        <n x="624"/>
      </t>
    </mdx>
    <mdx n="0" f="v">
      <t c="6" si="614">
        <n x="610"/>
        <n x="595"/>
        <n x="596"/>
        <n x="611" s="1"/>
        <n x="625"/>
        <n x="626"/>
      </t>
    </mdx>
    <mdx n="0" f="v">
      <t c="6" si="614">
        <n x="610"/>
        <n x="595"/>
        <n x="596"/>
        <n x="611" s="1"/>
        <n x="627"/>
        <n x="628"/>
      </t>
    </mdx>
    <mdx n="0" f="v">
      <t c="6" si="614">
        <n x="610"/>
        <n x="595"/>
        <n x="596"/>
        <n x="611" s="1"/>
        <n x="631"/>
        <n x="632"/>
      </t>
    </mdx>
    <mdx n="0" f="v">
      <t c="6" si="614">
        <n x="610"/>
        <n x="595"/>
        <n x="596"/>
        <n x="611" s="1"/>
        <n x="635"/>
        <n x="636"/>
      </t>
    </mdx>
    <mdx n="0" f="v">
      <t c="6" si="614">
        <n x="610"/>
        <n x="595"/>
        <n x="596"/>
        <n x="611" s="1"/>
        <n x="641"/>
        <n x="642"/>
      </t>
    </mdx>
    <mdx n="0" f="v">
      <t c="6" si="614">
        <n x="610"/>
        <n x="595"/>
        <n x="596"/>
        <n x="611" s="1"/>
        <n x="643"/>
        <n x="644"/>
      </t>
    </mdx>
    <mdx n="0" f="v">
      <t c="6" si="614">
        <n x="610"/>
        <n x="595"/>
        <n x="596"/>
        <n x="611" s="1"/>
        <n x="645"/>
        <n x="646"/>
      </t>
    </mdx>
    <mdx n="0" f="v">
      <t c="6" si="614">
        <n x="610"/>
        <n x="595"/>
        <n x="596"/>
        <n x="611" s="1"/>
        <n x="649"/>
        <n x="650"/>
      </t>
    </mdx>
    <mdx n="0" f="v">
      <t c="6" si="614">
        <n x="610"/>
        <n x="595"/>
        <n x="596"/>
        <n x="611" s="1"/>
        <n x="651"/>
        <n x="652"/>
      </t>
    </mdx>
    <mdx n="0" f="v">
      <t c="6" si="614">
        <n x="610"/>
        <n x="595"/>
        <n x="596"/>
        <n x="611" s="1"/>
        <n x="657"/>
        <n x="658"/>
      </t>
    </mdx>
    <mdx n="0" f="v">
      <t c="6" si="614">
        <n x="610"/>
        <n x="595"/>
        <n x="596"/>
        <n x="611" s="1"/>
        <n x="659"/>
        <n x="660"/>
      </t>
    </mdx>
    <mdx n="0" f="v">
      <t c="6" si="614">
        <n x="610"/>
        <n x="595"/>
        <n x="596"/>
        <n x="611" s="1"/>
        <n x="661"/>
        <n x="662"/>
      </t>
    </mdx>
    <mdx n="0" f="v">
      <t c="6" si="614">
        <n x="610"/>
        <n x="595"/>
        <n x="596"/>
        <n x="611" s="1"/>
        <n x="663"/>
        <n x="664"/>
      </t>
    </mdx>
    <mdx n="0" f="v">
      <t c="6" si="614">
        <n x="610"/>
        <n x="595"/>
        <n x="596"/>
        <n x="611" s="1"/>
        <n x="665"/>
        <n x="666"/>
      </t>
    </mdx>
    <mdx n="0" f="v">
      <t c="6" si="614">
        <n x="610"/>
        <n x="595"/>
        <n x="596"/>
        <n x="611" s="1"/>
        <n x="669"/>
        <n x="670"/>
      </t>
    </mdx>
    <mdx n="0" f="v">
      <t c="6" si="614">
        <n x="610"/>
        <n x="595"/>
        <n x="596"/>
        <n x="611" s="1"/>
        <n x="671"/>
        <n x="672"/>
      </t>
    </mdx>
    <mdx n="0" f="v">
      <t c="6" si="614">
        <n x="610"/>
        <n x="595"/>
        <n x="596"/>
        <n x="611" s="1"/>
        <n x="675"/>
        <n x="676"/>
      </t>
    </mdx>
    <mdx n="0" f="v">
      <t c="6" si="614">
        <n x="610"/>
        <n x="595"/>
        <n x="596"/>
        <n x="611" s="1"/>
        <n x="677"/>
        <n x="678"/>
      </t>
    </mdx>
    <mdx n="0" f="v">
      <t c="6" si="614">
        <n x="610"/>
        <n x="595"/>
        <n x="596"/>
        <n x="611" s="1"/>
        <n x="679"/>
        <n x="680"/>
      </t>
    </mdx>
    <mdx n="0" f="v">
      <t c="6" si="614">
        <n x="610"/>
        <n x="595"/>
        <n x="596"/>
        <n x="611" s="1"/>
        <n x="681"/>
        <n x="682"/>
      </t>
    </mdx>
    <mdx n="0" f="v">
      <t c="6" si="614">
        <n x="610"/>
        <n x="595"/>
        <n x="596"/>
        <n x="611" s="1"/>
        <n x="683"/>
        <n x="684"/>
      </t>
    </mdx>
    <mdx n="0" f="v">
      <t c="6" si="614">
        <n x="610"/>
        <n x="595"/>
        <n x="596"/>
        <n x="611" s="1"/>
        <n x="685"/>
        <n x="686"/>
      </t>
    </mdx>
    <mdx n="0" f="v">
      <t c="6" si="614">
        <n x="610"/>
        <n x="595"/>
        <n x="596"/>
        <n x="611" s="1"/>
        <n x="687"/>
        <n x="688"/>
      </t>
    </mdx>
    <mdx n="0" f="v">
      <t c="6" si="614">
        <n x="610"/>
        <n x="595"/>
        <n x="596"/>
        <n x="611" s="1"/>
        <n x="689"/>
        <n x="690"/>
      </t>
    </mdx>
    <mdx n="0" f="v">
      <t c="6" si="614">
        <n x="610"/>
        <n x="595"/>
        <n x="596"/>
        <n x="611" s="1"/>
        <n x="699"/>
        <n x="700"/>
      </t>
    </mdx>
    <mdx n="0" f="v">
      <t c="6" si="614">
        <n x="610"/>
        <n x="595"/>
        <n x="596"/>
        <n x="611" s="1"/>
        <n x="701"/>
        <n x="702"/>
      </t>
    </mdx>
    <mdx n="0" f="v">
      <t c="6" si="614">
        <n x="610"/>
        <n x="595"/>
        <n x="596"/>
        <n x="611" s="1"/>
        <n x="703"/>
        <n x="704"/>
      </t>
    </mdx>
    <mdx n="0" f="v">
      <t c="6" si="614">
        <n x="610"/>
        <n x="595"/>
        <n x="596"/>
        <n x="611" s="1"/>
        <n x="705"/>
        <n x="706"/>
      </t>
    </mdx>
    <mdx n="0" f="v">
      <t c="6" si="614">
        <n x="610"/>
        <n x="595"/>
        <n x="596"/>
        <n x="611" s="1"/>
        <n x="707"/>
        <n x="708"/>
      </t>
    </mdx>
    <mdx n="0" f="v">
      <t c="6" si="614">
        <n x="610"/>
        <n x="597"/>
        <n x="598"/>
        <n x="611" s="1"/>
        <n x="612"/>
        <n x="613"/>
      </t>
    </mdx>
    <mdx n="0" f="v">
      <t c="6" si="614">
        <n x="610"/>
        <n x="597"/>
        <n x="598"/>
        <n x="611" s="1"/>
        <n x="615"/>
        <n x="616"/>
      </t>
    </mdx>
    <mdx n="0" f="v">
      <t c="6" si="614">
        <n x="610"/>
        <n x="597"/>
        <n x="598"/>
        <n x="611" s="1"/>
        <n x="617"/>
        <n x="618"/>
      </t>
    </mdx>
    <mdx n="0" f="v">
      <t c="6" si="614">
        <n x="610"/>
        <n x="597"/>
        <n x="598"/>
        <n x="611" s="1"/>
        <n x="619"/>
        <n x="620"/>
      </t>
    </mdx>
    <mdx n="0" f="v">
      <t c="6" si="614">
        <n x="610"/>
        <n x="597"/>
        <n x="598"/>
        <n x="611" s="1"/>
        <n x="621"/>
        <n x="622"/>
      </t>
    </mdx>
    <mdx n="0" f="v">
      <t c="6" si="614">
        <n x="610"/>
        <n x="597"/>
        <n x="598"/>
        <n x="611" s="1"/>
        <n x="625"/>
        <n x="626"/>
      </t>
    </mdx>
    <mdx n="0" f="v">
      <t c="6" si="614">
        <n x="610"/>
        <n x="597"/>
        <n x="598"/>
        <n x="611" s="1"/>
        <n x="627"/>
        <n x="628"/>
      </t>
    </mdx>
    <mdx n="0" f="v">
      <t c="6" si="614">
        <n x="610"/>
        <n x="597"/>
        <n x="598"/>
        <n x="611" s="1"/>
        <n x="631"/>
        <n x="632"/>
      </t>
    </mdx>
    <mdx n="0" f="v">
      <t c="6" si="614">
        <n x="610"/>
        <n x="597"/>
        <n x="598"/>
        <n x="611" s="1"/>
        <n x="635"/>
        <n x="636"/>
      </t>
    </mdx>
    <mdx n="0" f="v">
      <t c="6" si="614">
        <n x="610"/>
        <n x="597"/>
        <n x="598"/>
        <n x="611" s="1"/>
        <n x="641"/>
        <n x="642"/>
      </t>
    </mdx>
    <mdx n="0" f="v">
      <t c="6" si="614">
        <n x="610"/>
        <n x="597"/>
        <n x="598"/>
        <n x="611" s="1"/>
        <n x="643"/>
        <n x="644"/>
      </t>
    </mdx>
    <mdx n="0" f="v">
      <t c="6" si="614">
        <n x="610"/>
        <n x="597"/>
        <n x="598"/>
        <n x="611" s="1"/>
        <n x="645"/>
        <n x="646"/>
      </t>
    </mdx>
    <mdx n="0" f="v">
      <t c="6" si="614">
        <n x="610"/>
        <n x="597"/>
        <n x="598"/>
        <n x="611" s="1"/>
        <n x="649"/>
        <n x="650"/>
      </t>
    </mdx>
    <mdx n="0" f="v">
      <t c="6" si="614">
        <n x="610"/>
        <n x="597"/>
        <n x="598"/>
        <n x="611" s="1"/>
        <n x="651"/>
        <n x="652"/>
      </t>
    </mdx>
    <mdx n="0" f="v">
      <t c="6" si="614">
        <n x="610"/>
        <n x="597"/>
        <n x="598"/>
        <n x="611" s="1"/>
        <n x="655"/>
        <n x="656"/>
      </t>
    </mdx>
    <mdx n="0" f="v">
      <t c="6" si="614">
        <n x="610"/>
        <n x="597"/>
        <n x="598"/>
        <n x="611" s="1"/>
        <n x="657"/>
        <n x="658"/>
      </t>
    </mdx>
    <mdx n="0" f="v">
      <t c="6" si="614">
        <n x="610"/>
        <n x="597"/>
        <n x="598"/>
        <n x="611" s="1"/>
        <n x="659"/>
        <n x="660"/>
      </t>
    </mdx>
    <mdx n="0" f="v">
      <t c="6" si="614">
        <n x="610"/>
        <n x="597"/>
        <n x="598"/>
        <n x="611" s="1"/>
        <n x="661"/>
        <n x="662"/>
      </t>
    </mdx>
    <mdx n="0" f="v">
      <t c="6" si="614">
        <n x="610"/>
        <n x="597"/>
        <n x="598"/>
        <n x="611" s="1"/>
        <n x="663"/>
        <n x="664"/>
      </t>
    </mdx>
    <mdx n="0" f="v">
      <t c="6" si="614">
        <n x="610"/>
        <n x="597"/>
        <n x="598"/>
        <n x="611" s="1"/>
        <n x="665"/>
        <n x="666"/>
      </t>
    </mdx>
    <mdx n="0" f="v">
      <t c="6" si="614">
        <n x="610"/>
        <n x="597"/>
        <n x="598"/>
        <n x="611" s="1"/>
        <n x="667"/>
        <n x="668"/>
      </t>
    </mdx>
    <mdx n="0" f="v">
      <t c="6" si="614">
        <n x="610"/>
        <n x="597"/>
        <n x="598"/>
        <n x="611" s="1"/>
        <n x="669"/>
        <n x="670"/>
      </t>
    </mdx>
    <mdx n="0" f="v">
      <t c="6" si="614">
        <n x="610"/>
        <n x="597"/>
        <n x="598"/>
        <n x="611" s="1"/>
        <n x="671"/>
        <n x="672"/>
      </t>
    </mdx>
    <mdx n="0" f="v">
      <t c="6" si="614">
        <n x="610"/>
        <n x="597"/>
        <n x="598"/>
        <n x="611" s="1"/>
        <n x="673"/>
        <n x="674"/>
      </t>
    </mdx>
    <mdx n="0" f="v">
      <t c="6" si="614">
        <n x="610"/>
        <n x="597"/>
        <n x="598"/>
        <n x="611" s="1"/>
        <n x="675"/>
        <n x="676"/>
      </t>
    </mdx>
    <mdx n="0" f="v">
      <t c="6" si="614">
        <n x="610"/>
        <n x="597"/>
        <n x="598"/>
        <n x="611" s="1"/>
        <n x="679"/>
        <n x="680"/>
      </t>
    </mdx>
    <mdx n="0" f="v">
      <t c="6" si="614">
        <n x="610"/>
        <n x="597"/>
        <n x="598"/>
        <n x="611" s="1"/>
        <n x="681"/>
        <n x="682"/>
      </t>
    </mdx>
    <mdx n="0" f="v">
      <t c="6" si="614">
        <n x="610"/>
        <n x="597"/>
        <n x="598"/>
        <n x="611" s="1"/>
        <n x="683"/>
        <n x="684"/>
      </t>
    </mdx>
    <mdx n="0" f="v">
      <t c="6" si="614">
        <n x="610"/>
        <n x="597"/>
        <n x="598"/>
        <n x="611" s="1"/>
        <n x="685"/>
        <n x="686"/>
      </t>
    </mdx>
    <mdx n="0" f="v">
      <t c="6" si="614">
        <n x="610"/>
        <n x="597"/>
        <n x="598"/>
        <n x="611" s="1"/>
        <n x="687"/>
        <n x="688"/>
      </t>
    </mdx>
    <mdx n="0" f="v">
      <t c="6" si="614">
        <n x="610"/>
        <n x="597"/>
        <n x="598"/>
        <n x="611" s="1"/>
        <n x="689"/>
        <n x="690"/>
      </t>
    </mdx>
    <mdx n="0" f="v">
      <t c="6" si="614">
        <n x="610"/>
        <n x="597"/>
        <n x="598"/>
        <n x="611" s="1"/>
        <n x="695"/>
        <n x="696"/>
      </t>
    </mdx>
    <mdx n="0" f="v">
      <t c="6" si="614">
        <n x="610"/>
        <n x="597"/>
        <n x="598"/>
        <n x="611" s="1"/>
        <n x="697"/>
        <n x="698"/>
      </t>
    </mdx>
    <mdx n="0" f="v">
      <t c="6" si="614">
        <n x="610"/>
        <n x="597"/>
        <n x="598"/>
        <n x="611" s="1"/>
        <n x="699"/>
        <n x="700"/>
      </t>
    </mdx>
    <mdx n="0" f="v">
      <t c="6" si="614">
        <n x="610"/>
        <n x="597"/>
        <n x="598"/>
        <n x="611" s="1"/>
        <n x="701"/>
        <n x="702"/>
      </t>
    </mdx>
    <mdx n="0" f="v">
      <t c="6" si="614">
        <n x="610"/>
        <n x="597"/>
        <n x="598"/>
        <n x="611" s="1"/>
        <n x="703"/>
        <n x="704"/>
      </t>
    </mdx>
    <mdx n="0" f="v">
      <t c="6" si="614">
        <n x="610"/>
        <n x="597"/>
        <n x="598"/>
        <n x="611" s="1"/>
        <n x="705"/>
        <n x="706"/>
      </t>
    </mdx>
    <mdx n="0" f="v">
      <t c="6" si="614">
        <n x="610"/>
        <n x="599"/>
        <n x="600"/>
        <n x="611" s="1"/>
        <n x="612"/>
        <n x="613"/>
      </t>
    </mdx>
    <mdx n="0" f="v">
      <t c="6" si="614">
        <n x="610"/>
        <n x="599"/>
        <n x="600"/>
        <n x="611" s="1"/>
        <n x="615"/>
        <n x="616"/>
      </t>
    </mdx>
    <mdx n="0" f="v">
      <t c="6" si="614">
        <n x="610"/>
        <n x="599"/>
        <n x="600"/>
        <n x="611" s="1"/>
        <n x="617"/>
        <n x="618"/>
      </t>
    </mdx>
    <mdx n="0" f="v">
      <t c="6" si="614">
        <n x="610"/>
        <n x="599"/>
        <n x="600"/>
        <n x="611" s="1"/>
        <n x="619"/>
        <n x="620"/>
      </t>
    </mdx>
    <mdx n="0" f="v">
      <t c="6" si="614">
        <n x="610"/>
        <n x="599"/>
        <n x="600"/>
        <n x="611" s="1"/>
        <n x="621"/>
        <n x="622"/>
      </t>
    </mdx>
    <mdx n="0" f="v">
      <t c="6" si="614">
        <n x="610"/>
        <n x="599"/>
        <n x="600"/>
        <n x="611" s="1"/>
        <n x="623"/>
        <n x="624"/>
      </t>
    </mdx>
    <mdx n="0" f="v">
      <t c="6" si="614">
        <n x="610"/>
        <n x="599"/>
        <n x="600"/>
        <n x="611" s="1"/>
        <n x="625"/>
        <n x="626"/>
      </t>
    </mdx>
    <mdx n="0" f="v">
      <t c="6" si="614">
        <n x="610"/>
        <n x="599"/>
        <n x="600"/>
        <n x="611" s="1"/>
        <n x="627"/>
        <n x="628"/>
      </t>
    </mdx>
    <mdx n="0" f="v">
      <t c="6" si="614">
        <n x="610"/>
        <n x="599"/>
        <n x="600"/>
        <n x="611" s="1"/>
        <n x="629"/>
        <n x="630"/>
      </t>
    </mdx>
    <mdx n="0" f="v">
      <t c="6" si="614">
        <n x="610"/>
        <n x="599"/>
        <n x="600"/>
        <n x="611" s="1"/>
        <n x="631"/>
        <n x="632"/>
      </t>
    </mdx>
    <mdx n="0" f="v">
      <t c="6" si="614">
        <n x="610"/>
        <n x="599"/>
        <n x="600"/>
        <n x="611" s="1"/>
        <n x="633"/>
        <n x="634"/>
      </t>
    </mdx>
    <mdx n="0" f="v">
      <t c="6" si="614">
        <n x="610"/>
        <n x="599"/>
        <n x="600"/>
        <n x="611" s="1"/>
        <n x="635"/>
        <n x="636"/>
      </t>
    </mdx>
    <mdx n="0" f="v">
      <t c="6" si="614">
        <n x="610"/>
        <n x="599"/>
        <n x="600"/>
        <n x="611" s="1"/>
        <n x="637"/>
        <n x="638"/>
      </t>
    </mdx>
    <mdx n="0" f="v">
      <t c="6" si="614">
        <n x="610"/>
        <n x="599"/>
        <n x="600"/>
        <n x="611" s="1"/>
        <n x="639"/>
        <n x="640"/>
      </t>
    </mdx>
    <mdx n="0" f="v">
      <t c="6" si="614">
        <n x="610"/>
        <n x="599"/>
        <n x="600"/>
        <n x="611" s="1"/>
        <n x="643"/>
        <n x="644"/>
      </t>
    </mdx>
    <mdx n="0" f="v">
      <t c="6" si="614">
        <n x="610"/>
        <n x="599"/>
        <n x="600"/>
        <n x="611" s="1"/>
        <n x="645"/>
        <n x="646"/>
      </t>
    </mdx>
    <mdx n="0" f="v">
      <t c="6" si="614">
        <n x="610"/>
        <n x="599"/>
        <n x="600"/>
        <n x="611" s="1"/>
        <n x="647"/>
        <n x="648"/>
      </t>
    </mdx>
    <mdx n="0" f="v">
      <t c="6" si="614">
        <n x="610"/>
        <n x="599"/>
        <n x="600"/>
        <n x="611" s="1"/>
        <n x="649"/>
        <n x="650"/>
      </t>
    </mdx>
    <mdx n="0" f="v">
      <t c="6" si="614">
        <n x="610"/>
        <n x="599"/>
        <n x="600"/>
        <n x="611" s="1"/>
        <n x="651"/>
        <n x="652"/>
      </t>
    </mdx>
    <mdx n="0" f="v">
      <t c="6" si="614">
        <n x="610"/>
        <n x="599"/>
        <n x="600"/>
        <n x="611" s="1"/>
        <n x="653"/>
        <n x="654"/>
      </t>
    </mdx>
    <mdx n="0" f="v">
      <t c="6" si="614">
        <n x="610"/>
        <n x="599"/>
        <n x="600"/>
        <n x="611" s="1"/>
        <n x="657"/>
        <n x="658"/>
      </t>
    </mdx>
    <mdx n="0" f="v">
      <t c="6" si="614">
        <n x="610"/>
        <n x="599"/>
        <n x="600"/>
        <n x="611" s="1"/>
        <n x="659"/>
        <n x="660"/>
      </t>
    </mdx>
    <mdx n="0" f="v">
      <t c="6" si="614">
        <n x="610"/>
        <n x="599"/>
        <n x="600"/>
        <n x="611" s="1"/>
        <n x="661"/>
        <n x="662"/>
      </t>
    </mdx>
    <mdx n="0" f="v">
      <t c="6" si="614">
        <n x="610"/>
        <n x="599"/>
        <n x="600"/>
        <n x="611" s="1"/>
        <n x="665"/>
        <n x="666"/>
      </t>
    </mdx>
    <mdx n="0" f="v">
      <t c="6" si="614">
        <n x="610"/>
        <n x="599"/>
        <n x="600"/>
        <n x="611" s="1"/>
        <n x="667"/>
        <n x="668"/>
      </t>
    </mdx>
    <mdx n="0" f="v">
      <t c="6" si="614">
        <n x="610"/>
        <n x="599"/>
        <n x="600"/>
        <n x="611" s="1"/>
        <n x="669"/>
        <n x="670"/>
      </t>
    </mdx>
    <mdx n="0" f="v">
      <t c="6" si="614">
        <n x="610"/>
        <n x="599"/>
        <n x="600"/>
        <n x="611" s="1"/>
        <n x="671"/>
        <n x="672"/>
      </t>
    </mdx>
    <mdx n="0" f="v">
      <t c="6" si="614">
        <n x="610"/>
        <n x="599"/>
        <n x="600"/>
        <n x="611" s="1"/>
        <n x="673"/>
        <n x="674"/>
      </t>
    </mdx>
    <mdx n="0" f="v">
      <t c="6" si="614">
        <n x="610"/>
        <n x="599"/>
        <n x="600"/>
        <n x="611" s="1"/>
        <n x="679"/>
        <n x="680"/>
      </t>
    </mdx>
    <mdx n="0" f="v">
      <t c="6" si="614">
        <n x="610"/>
        <n x="599"/>
        <n x="600"/>
        <n x="611" s="1"/>
        <n x="681"/>
        <n x="682"/>
      </t>
    </mdx>
    <mdx n="0" f="v">
      <t c="6" si="614">
        <n x="610"/>
        <n x="599"/>
        <n x="600"/>
        <n x="611" s="1"/>
        <n x="683"/>
        <n x="684"/>
      </t>
    </mdx>
    <mdx n="0" f="v">
      <t c="6" si="614">
        <n x="610"/>
        <n x="599"/>
        <n x="600"/>
        <n x="611" s="1"/>
        <n x="687"/>
        <n x="688"/>
      </t>
    </mdx>
    <mdx n="0" f="v">
      <t c="6" si="614">
        <n x="610"/>
        <n x="599"/>
        <n x="600"/>
        <n x="611" s="1"/>
        <n x="689"/>
        <n x="690"/>
      </t>
    </mdx>
    <mdx n="0" f="v">
      <t c="6" si="614">
        <n x="610"/>
        <n x="599"/>
        <n x="600"/>
        <n x="611" s="1"/>
        <n x="693"/>
        <n x="694"/>
      </t>
    </mdx>
    <mdx n="0" f="v">
      <t c="6" si="614">
        <n x="610"/>
        <n x="599"/>
        <n x="600"/>
        <n x="611" s="1"/>
        <n x="695"/>
        <n x="696"/>
      </t>
    </mdx>
    <mdx n="0" f="v">
      <t c="6" si="614">
        <n x="610"/>
        <n x="599"/>
        <n x="600"/>
        <n x="611" s="1"/>
        <n x="699"/>
        <n x="700"/>
      </t>
    </mdx>
    <mdx n="0" f="v">
      <t c="6" si="614">
        <n x="610"/>
        <n x="599"/>
        <n x="600"/>
        <n x="611" s="1"/>
        <n x="701"/>
        <n x="702"/>
      </t>
    </mdx>
    <mdx n="0" f="v">
      <t c="6" si="614">
        <n x="610"/>
        <n x="599"/>
        <n x="600"/>
        <n x="611" s="1"/>
        <n x="703"/>
        <n x="704"/>
      </t>
    </mdx>
    <mdx n="0" f="v">
      <t c="6" si="614">
        <n x="610"/>
        <n x="599"/>
        <n x="600"/>
        <n x="611" s="1"/>
        <n x="705"/>
        <n x="706"/>
      </t>
    </mdx>
    <mdx n="0" f="v">
      <t c="6" si="614">
        <n x="610"/>
        <n x="599"/>
        <n x="600"/>
        <n x="611" s="1"/>
        <n x="707"/>
        <n x="708"/>
      </t>
    </mdx>
    <mdx n="0" f="v">
      <t c="6" si="614">
        <n x="610"/>
        <n x="601"/>
        <n x="602"/>
        <n x="611" s="1"/>
        <n x="612"/>
        <n x="613"/>
      </t>
    </mdx>
    <mdx n="0" f="v">
      <t c="6" si="614">
        <n x="610"/>
        <n x="601"/>
        <n x="602"/>
        <n x="611" s="1"/>
        <n x="615"/>
        <n x="616"/>
      </t>
    </mdx>
    <mdx n="0" f="v">
      <t c="6" si="614">
        <n x="610"/>
        <n x="601"/>
        <n x="602"/>
        <n x="611" s="1"/>
        <n x="617"/>
        <n x="618"/>
      </t>
    </mdx>
    <mdx n="0" f="v">
      <t c="6" si="614">
        <n x="610"/>
        <n x="601"/>
        <n x="602"/>
        <n x="611" s="1"/>
        <n x="619"/>
        <n x="620"/>
      </t>
    </mdx>
    <mdx n="0" f="v">
      <t c="6" si="614">
        <n x="610"/>
        <n x="601"/>
        <n x="602"/>
        <n x="611" s="1"/>
        <n x="621"/>
        <n x="622"/>
      </t>
    </mdx>
    <mdx n="0" f="v">
      <t c="6" si="614">
        <n x="610"/>
        <n x="601"/>
        <n x="602"/>
        <n x="611" s="1"/>
        <n x="623"/>
        <n x="624"/>
      </t>
    </mdx>
    <mdx n="0" f="v">
      <t c="6" si="614">
        <n x="610"/>
        <n x="601"/>
        <n x="602"/>
        <n x="611" s="1"/>
        <n x="625"/>
        <n x="626"/>
      </t>
    </mdx>
    <mdx n="0" f="v">
      <t c="6" si="614">
        <n x="610"/>
        <n x="601"/>
        <n x="602"/>
        <n x="611" s="1"/>
        <n x="627"/>
        <n x="628"/>
      </t>
    </mdx>
    <mdx n="0" f="v">
      <t c="6" si="614">
        <n x="610"/>
        <n x="601"/>
        <n x="602"/>
        <n x="611" s="1"/>
        <n x="629"/>
        <n x="630"/>
      </t>
    </mdx>
    <mdx n="0" f="v">
      <t c="6" si="614">
        <n x="610"/>
        <n x="601"/>
        <n x="602"/>
        <n x="611" s="1"/>
        <n x="631"/>
        <n x="632"/>
      </t>
    </mdx>
    <mdx n="0" f="v">
      <t c="6" si="614">
        <n x="610"/>
        <n x="601"/>
        <n x="602"/>
        <n x="611" s="1"/>
        <n x="633"/>
        <n x="634"/>
      </t>
    </mdx>
    <mdx n="0" f="v">
      <t c="6" si="614">
        <n x="610"/>
        <n x="601"/>
        <n x="602"/>
        <n x="611" s="1"/>
        <n x="635"/>
        <n x="636"/>
      </t>
    </mdx>
    <mdx n="0" f="v">
      <t c="6" si="614">
        <n x="610"/>
        <n x="601"/>
        <n x="602"/>
        <n x="611" s="1"/>
        <n x="637"/>
        <n x="638"/>
      </t>
    </mdx>
    <mdx n="0" f="v">
      <t c="6" si="614">
        <n x="610"/>
        <n x="601"/>
        <n x="602"/>
        <n x="611" s="1"/>
        <n x="639"/>
        <n x="640"/>
      </t>
    </mdx>
    <mdx n="0" f="v">
      <t c="6" si="614">
        <n x="610"/>
        <n x="601"/>
        <n x="602"/>
        <n x="611" s="1"/>
        <n x="641"/>
        <n x="642"/>
      </t>
    </mdx>
    <mdx n="0" f="v">
      <t c="6" si="614">
        <n x="610"/>
        <n x="601"/>
        <n x="602"/>
        <n x="611" s="1"/>
        <n x="643"/>
        <n x="644"/>
      </t>
    </mdx>
    <mdx n="0" f="v">
      <t c="6" si="614">
        <n x="610"/>
        <n x="601"/>
        <n x="602"/>
        <n x="611" s="1"/>
        <n x="645"/>
        <n x="646"/>
      </t>
    </mdx>
    <mdx n="0" f="v">
      <t c="6" si="614">
        <n x="610"/>
        <n x="601"/>
        <n x="602"/>
        <n x="611" s="1"/>
        <n x="647"/>
        <n x="648"/>
      </t>
    </mdx>
    <mdx n="0" f="v">
      <t c="6" si="614">
        <n x="610"/>
        <n x="601"/>
        <n x="602"/>
        <n x="611" s="1"/>
        <n x="649"/>
        <n x="650"/>
      </t>
    </mdx>
    <mdx n="0" f="v">
      <t c="6" si="614">
        <n x="610"/>
        <n x="601"/>
        <n x="602"/>
        <n x="611" s="1"/>
        <n x="651"/>
        <n x="652"/>
      </t>
    </mdx>
    <mdx n="0" f="v">
      <t c="6" si="614">
        <n x="610"/>
        <n x="601"/>
        <n x="602"/>
        <n x="611" s="1"/>
        <n x="655"/>
        <n x="656"/>
      </t>
    </mdx>
    <mdx n="0" f="v">
      <t c="6" si="614">
        <n x="610"/>
        <n x="601"/>
        <n x="602"/>
        <n x="611" s="1"/>
        <n x="657"/>
        <n x="658"/>
      </t>
    </mdx>
    <mdx n="0" f="v">
      <t c="6" si="614">
        <n x="610"/>
        <n x="601"/>
        <n x="602"/>
        <n x="611" s="1"/>
        <n x="659"/>
        <n x="660"/>
      </t>
    </mdx>
    <mdx n="0" f="v">
      <t c="6" si="614">
        <n x="610"/>
        <n x="601"/>
        <n x="602"/>
        <n x="611" s="1"/>
        <n x="661"/>
        <n x="662"/>
      </t>
    </mdx>
    <mdx n="0" f="v">
      <t c="6" si="614">
        <n x="610"/>
        <n x="601"/>
        <n x="602"/>
        <n x="611" s="1"/>
        <n x="663"/>
        <n x="664"/>
      </t>
    </mdx>
    <mdx n="0" f="v">
      <t c="6" si="614">
        <n x="610"/>
        <n x="601"/>
        <n x="602"/>
        <n x="611" s="1"/>
        <n x="665"/>
        <n x="666"/>
      </t>
    </mdx>
    <mdx n="0" f="v">
      <t c="6" si="614">
        <n x="610"/>
        <n x="601"/>
        <n x="602"/>
        <n x="611" s="1"/>
        <n x="667"/>
        <n x="668"/>
      </t>
    </mdx>
    <mdx n="0" f="v">
      <t c="6" si="614">
        <n x="610"/>
        <n x="601"/>
        <n x="602"/>
        <n x="611" s="1"/>
        <n x="669"/>
        <n x="670"/>
      </t>
    </mdx>
    <mdx n="0" f="v">
      <t c="6" si="614">
        <n x="610"/>
        <n x="601"/>
        <n x="602"/>
        <n x="611" s="1"/>
        <n x="671"/>
        <n x="672"/>
      </t>
    </mdx>
    <mdx n="0" f="v">
      <t c="6" si="614">
        <n x="610"/>
        <n x="601"/>
        <n x="602"/>
        <n x="611" s="1"/>
        <n x="673"/>
        <n x="674"/>
      </t>
    </mdx>
    <mdx n="0" f="v">
      <t c="6" si="614">
        <n x="610"/>
        <n x="601"/>
        <n x="602"/>
        <n x="611" s="1"/>
        <n x="675"/>
        <n x="676"/>
      </t>
    </mdx>
    <mdx n="0" f="v">
      <t c="6" si="614">
        <n x="610"/>
        <n x="601"/>
        <n x="602"/>
        <n x="611" s="1"/>
        <n x="677"/>
        <n x="678"/>
      </t>
    </mdx>
    <mdx n="0" f="v">
      <t c="6" si="614">
        <n x="610"/>
        <n x="601"/>
        <n x="602"/>
        <n x="611" s="1"/>
        <n x="679"/>
        <n x="680"/>
      </t>
    </mdx>
    <mdx n="0" f="v">
      <t c="6" si="614">
        <n x="610"/>
        <n x="601"/>
        <n x="602"/>
        <n x="611" s="1"/>
        <n x="681"/>
        <n x="682"/>
      </t>
    </mdx>
    <mdx n="0" f="v">
      <t c="6" si="614">
        <n x="610"/>
        <n x="601"/>
        <n x="602"/>
        <n x="611" s="1"/>
        <n x="683"/>
        <n x="684"/>
      </t>
    </mdx>
    <mdx n="0" f="v">
      <t c="6" si="614">
        <n x="610"/>
        <n x="601"/>
        <n x="602"/>
        <n x="611" s="1"/>
        <n x="685"/>
        <n x="686"/>
      </t>
    </mdx>
    <mdx n="0" f="v">
      <t c="6" si="614">
        <n x="610"/>
        <n x="601"/>
        <n x="602"/>
        <n x="611" s="1"/>
        <n x="687"/>
        <n x="688"/>
      </t>
    </mdx>
    <mdx n="0" f="v">
      <t c="6" si="614">
        <n x="610"/>
        <n x="601"/>
        <n x="602"/>
        <n x="611" s="1"/>
        <n x="689"/>
        <n x="690"/>
      </t>
    </mdx>
    <mdx n="0" f="v">
      <t c="6" si="614">
        <n x="610"/>
        <n x="601"/>
        <n x="602"/>
        <n x="611" s="1"/>
        <n x="693"/>
        <n x="694"/>
      </t>
    </mdx>
    <mdx n="0" f="v">
      <t c="6" si="614">
        <n x="610"/>
        <n x="601"/>
        <n x="602"/>
        <n x="611" s="1"/>
        <n x="695"/>
        <n x="696"/>
      </t>
    </mdx>
    <mdx n="0" f="v">
      <t c="6" si="614">
        <n x="610"/>
        <n x="601"/>
        <n x="602"/>
        <n x="611" s="1"/>
        <n x="697"/>
        <n x="698"/>
      </t>
    </mdx>
    <mdx n="0" f="v">
      <t c="6" si="614">
        <n x="610"/>
        <n x="601"/>
        <n x="602"/>
        <n x="611" s="1"/>
        <n x="701"/>
        <n x="702"/>
      </t>
    </mdx>
    <mdx n="0" f="v">
      <t c="6" si="614">
        <n x="610"/>
        <n x="601"/>
        <n x="602"/>
        <n x="611" s="1"/>
        <n x="703"/>
        <n x="704"/>
      </t>
    </mdx>
    <mdx n="0" f="v">
      <t c="6" si="614">
        <n x="610"/>
        <n x="601"/>
        <n x="602"/>
        <n x="611" s="1"/>
        <n x="705"/>
        <n x="706"/>
      </t>
    </mdx>
    <mdx n="0" f="v">
      <t c="6" si="614">
        <n x="610"/>
        <n x="601"/>
        <n x="602"/>
        <n x="611" s="1"/>
        <n x="707"/>
        <n x="708"/>
      </t>
    </mdx>
    <mdx n="0" f="v">
      <t c="6" si="614">
        <n x="610"/>
        <n x="603"/>
        <n x="604"/>
        <n x="611" s="1"/>
        <n x="612"/>
        <n x="613"/>
      </t>
    </mdx>
    <mdx n="0" f="v">
      <t c="6" si="614">
        <n x="610"/>
        <n x="603"/>
        <n x="604"/>
        <n x="611" s="1"/>
        <n x="615"/>
        <n x="616"/>
      </t>
    </mdx>
    <mdx n="0" f="v">
      <t c="6" si="614">
        <n x="610"/>
        <n x="603"/>
        <n x="604"/>
        <n x="611" s="1"/>
        <n x="617"/>
        <n x="618"/>
      </t>
    </mdx>
    <mdx n="0" f="v">
      <t c="6" si="614">
        <n x="610"/>
        <n x="603"/>
        <n x="604"/>
        <n x="611" s="1"/>
        <n x="619"/>
        <n x="620"/>
      </t>
    </mdx>
    <mdx n="0" f="v">
      <t c="6" si="614">
        <n x="610"/>
        <n x="603"/>
        <n x="604"/>
        <n x="611" s="1"/>
        <n x="621"/>
        <n x="622"/>
      </t>
    </mdx>
    <mdx n="0" f="v">
      <t c="6" si="614">
        <n x="610"/>
        <n x="603"/>
        <n x="604"/>
        <n x="611" s="1"/>
        <n x="623"/>
        <n x="624"/>
      </t>
    </mdx>
    <mdx n="0" f="v">
      <t c="6" si="614">
        <n x="610"/>
        <n x="603"/>
        <n x="604"/>
        <n x="611" s="1"/>
        <n x="625"/>
        <n x="626"/>
      </t>
    </mdx>
    <mdx n="0" f="v">
      <t c="6" si="614">
        <n x="610"/>
        <n x="603"/>
        <n x="604"/>
        <n x="611" s="1"/>
        <n x="627"/>
        <n x="628"/>
      </t>
    </mdx>
    <mdx n="0" f="v">
      <t c="6" si="614">
        <n x="610"/>
        <n x="603"/>
        <n x="604"/>
        <n x="611" s="1"/>
        <n x="633"/>
        <n x="634"/>
      </t>
    </mdx>
    <mdx n="0" f="v">
      <t c="6" si="614">
        <n x="610"/>
        <n x="603"/>
        <n x="604"/>
        <n x="611" s="1"/>
        <n x="635"/>
        <n x="636"/>
      </t>
    </mdx>
    <mdx n="0" f="v">
      <t c="6" si="614">
        <n x="610"/>
        <n x="603"/>
        <n x="604"/>
        <n x="611" s="1"/>
        <n x="641"/>
        <n x="642"/>
      </t>
    </mdx>
    <mdx n="0" f="v">
      <t c="6" si="614">
        <n x="610"/>
        <n x="603"/>
        <n x="604"/>
        <n x="611" s="1"/>
        <n x="643"/>
        <n x="644"/>
      </t>
    </mdx>
    <mdx n="0" f="v">
      <t c="6" si="614">
        <n x="610"/>
        <n x="603"/>
        <n x="604"/>
        <n x="611" s="1"/>
        <n x="647"/>
        <n x="648"/>
      </t>
    </mdx>
    <mdx n="0" f="v">
      <t c="6" si="614">
        <n x="610"/>
        <n x="603"/>
        <n x="604"/>
        <n x="611" s="1"/>
        <n x="649"/>
        <n x="650"/>
      </t>
    </mdx>
    <mdx n="0" f="v">
      <t c="6" si="614">
        <n x="610"/>
        <n x="603"/>
        <n x="604"/>
        <n x="611" s="1"/>
        <n x="657"/>
        <n x="658"/>
      </t>
    </mdx>
    <mdx n="0" f="v">
      <t c="6" si="614">
        <n x="610"/>
        <n x="603"/>
        <n x="604"/>
        <n x="611" s="1"/>
        <n x="659"/>
        <n x="660"/>
      </t>
    </mdx>
    <mdx n="0" f="v">
      <t c="6" si="614">
        <n x="610"/>
        <n x="603"/>
        <n x="604"/>
        <n x="611" s="1"/>
        <n x="661"/>
        <n x="662"/>
      </t>
    </mdx>
    <mdx n="0" f="v">
      <t c="6" si="614">
        <n x="610"/>
        <n x="603"/>
        <n x="604"/>
        <n x="611" s="1"/>
        <n x="665"/>
        <n x="666"/>
      </t>
    </mdx>
    <mdx n="0" f="v">
      <t c="6" si="614">
        <n x="610"/>
        <n x="603"/>
        <n x="604"/>
        <n x="611" s="1"/>
        <n x="667"/>
        <n x="668"/>
      </t>
    </mdx>
    <mdx n="0" f="v">
      <t c="6" si="614">
        <n x="610"/>
        <n x="603"/>
        <n x="604"/>
        <n x="611" s="1"/>
        <n x="669"/>
        <n x="670"/>
      </t>
    </mdx>
    <mdx n="0" f="v">
      <t c="6" si="614">
        <n x="610"/>
        <n x="603"/>
        <n x="604"/>
        <n x="611" s="1"/>
        <n x="671"/>
        <n x="672"/>
      </t>
    </mdx>
    <mdx n="0" f="v">
      <t c="6" si="614">
        <n x="610"/>
        <n x="603"/>
        <n x="604"/>
        <n x="611" s="1"/>
        <n x="673"/>
        <n x="674"/>
      </t>
    </mdx>
    <mdx n="0" f="v">
      <t c="6" si="614">
        <n x="610"/>
        <n x="603"/>
        <n x="604"/>
        <n x="611" s="1"/>
        <n x="675"/>
        <n x="676"/>
      </t>
    </mdx>
    <mdx n="0" f="v">
      <t c="6" si="614">
        <n x="610"/>
        <n x="603"/>
        <n x="604"/>
        <n x="611" s="1"/>
        <n x="677"/>
        <n x="678"/>
      </t>
    </mdx>
    <mdx n="0" f="v">
      <t c="6" si="614">
        <n x="610"/>
        <n x="603"/>
        <n x="604"/>
        <n x="611" s="1"/>
        <n x="679"/>
        <n x="680"/>
      </t>
    </mdx>
    <mdx n="0" f="v">
      <t c="6" si="614">
        <n x="610"/>
        <n x="603"/>
        <n x="604"/>
        <n x="611" s="1"/>
        <n x="681"/>
        <n x="682"/>
      </t>
    </mdx>
    <mdx n="0" f="v">
      <t c="6" si="614">
        <n x="610"/>
        <n x="603"/>
        <n x="604"/>
        <n x="611" s="1"/>
        <n x="683"/>
        <n x="684"/>
      </t>
    </mdx>
    <mdx n="0" f="v">
      <t c="6" si="614">
        <n x="610"/>
        <n x="603"/>
        <n x="604"/>
        <n x="611" s="1"/>
        <n x="685"/>
        <n x="686"/>
      </t>
    </mdx>
    <mdx n="0" f="v">
      <t c="6" si="614">
        <n x="610"/>
        <n x="603"/>
        <n x="604"/>
        <n x="611" s="1"/>
        <n x="687"/>
        <n x="688"/>
      </t>
    </mdx>
    <mdx n="0" f="v">
      <t c="6" si="614">
        <n x="610"/>
        <n x="603"/>
        <n x="604"/>
        <n x="611" s="1"/>
        <n x="689"/>
        <n x="690"/>
      </t>
    </mdx>
    <mdx n="0" f="v">
      <t c="6" si="614">
        <n x="610"/>
        <n x="603"/>
        <n x="604"/>
        <n x="611" s="1"/>
        <n x="693"/>
        <n x="694"/>
      </t>
    </mdx>
    <mdx n="0" f="v">
      <t c="6" si="614">
        <n x="610"/>
        <n x="603"/>
        <n x="604"/>
        <n x="611" s="1"/>
        <n x="695"/>
        <n x="696"/>
      </t>
    </mdx>
    <mdx n="0" f="v">
      <t c="6" si="614">
        <n x="610"/>
        <n x="603"/>
        <n x="604"/>
        <n x="611" s="1"/>
        <n x="699"/>
        <n x="700"/>
      </t>
    </mdx>
    <mdx n="0" f="v">
      <t c="6" si="614">
        <n x="610"/>
        <n x="603"/>
        <n x="604"/>
        <n x="611" s="1"/>
        <n x="701"/>
        <n x="702"/>
      </t>
    </mdx>
    <mdx n="0" f="v">
      <t c="6" si="614">
        <n x="610"/>
        <n x="603"/>
        <n x="604"/>
        <n x="611" s="1"/>
        <n x="705"/>
        <n x="706"/>
      </t>
    </mdx>
    <mdx n="0" f="v">
      <t c="6" si="614">
        <n x="610"/>
        <n x="605"/>
        <n x="606"/>
        <n x="611" s="1"/>
        <n x="612"/>
        <n x="613"/>
      </t>
    </mdx>
    <mdx n="0" f="v">
      <t c="6" si="614">
        <n x="610"/>
        <n x="605"/>
        <n x="606"/>
        <n x="611" s="1"/>
        <n x="615"/>
        <n x="616"/>
      </t>
    </mdx>
    <mdx n="0" f="v">
      <t c="6" si="614">
        <n x="610"/>
        <n x="605"/>
        <n x="606"/>
        <n x="611" s="1"/>
        <n x="617"/>
        <n x="618"/>
      </t>
    </mdx>
    <mdx n="0" f="v">
      <t c="6" si="614">
        <n x="610"/>
        <n x="605"/>
        <n x="606"/>
        <n x="611" s="1"/>
        <n x="621"/>
        <n x="622"/>
      </t>
    </mdx>
    <mdx n="0" f="v">
      <t c="6" si="614">
        <n x="610"/>
        <n x="605"/>
        <n x="606"/>
        <n x="611" s="1"/>
        <n x="625"/>
        <n x="626"/>
      </t>
    </mdx>
    <mdx n="0" f="v">
      <t c="6" si="614">
        <n x="610"/>
        <n x="605"/>
        <n x="606"/>
        <n x="611" s="1"/>
        <n x="627"/>
        <n x="628"/>
      </t>
    </mdx>
    <mdx n="0" f="v">
      <t c="6" si="614">
        <n x="610"/>
        <n x="605"/>
        <n x="606"/>
        <n x="611" s="1"/>
        <n x="629"/>
        <n x="630"/>
      </t>
    </mdx>
    <mdx n="0" f="v">
      <t c="6" si="614">
        <n x="610"/>
        <n x="605"/>
        <n x="606"/>
        <n x="611" s="1"/>
        <n x="631"/>
        <n x="632"/>
      </t>
    </mdx>
    <mdx n="0" f="v">
      <t c="6" si="614">
        <n x="610"/>
        <n x="605"/>
        <n x="606"/>
        <n x="611" s="1"/>
        <n x="635"/>
        <n x="636"/>
      </t>
    </mdx>
    <mdx n="0" f="v">
      <t c="6" si="614">
        <n x="610"/>
        <n x="605"/>
        <n x="606"/>
        <n x="611" s="1"/>
        <n x="637"/>
        <n x="638"/>
      </t>
    </mdx>
    <mdx n="0" f="v">
      <t c="6" si="614">
        <n x="610"/>
        <n x="605"/>
        <n x="606"/>
        <n x="611" s="1"/>
        <n x="639"/>
        <n x="640"/>
      </t>
    </mdx>
    <mdx n="0" f="v">
      <t c="6" si="614">
        <n x="610"/>
        <n x="605"/>
        <n x="606"/>
        <n x="611" s="1"/>
        <n x="641"/>
        <n x="642"/>
      </t>
    </mdx>
    <mdx n="0" f="v">
      <t c="6" si="614">
        <n x="610"/>
        <n x="605"/>
        <n x="606"/>
        <n x="611" s="1"/>
        <n x="645"/>
        <n x="646"/>
      </t>
    </mdx>
    <mdx n="0" f="v">
      <t c="6" si="614">
        <n x="610"/>
        <n x="605"/>
        <n x="606"/>
        <n x="611" s="1"/>
        <n x="647"/>
        <n x="648"/>
      </t>
    </mdx>
    <mdx n="0" f="v">
      <t c="6" si="614">
        <n x="610"/>
        <n x="605"/>
        <n x="606"/>
        <n x="611" s="1"/>
        <n x="651"/>
        <n x="652"/>
      </t>
    </mdx>
    <mdx n="0" f="v">
      <t c="6" si="614">
        <n x="610"/>
        <n x="605"/>
        <n x="606"/>
        <n x="611" s="1"/>
        <n x="653"/>
        <n x="654"/>
      </t>
    </mdx>
    <mdx n="0" f="v">
      <t c="6" si="614">
        <n x="610"/>
        <n x="605"/>
        <n x="606"/>
        <n x="611" s="1"/>
        <n x="655"/>
        <n x="656"/>
      </t>
    </mdx>
    <mdx n="0" f="v">
      <t c="6" si="614">
        <n x="610"/>
        <n x="605"/>
        <n x="606"/>
        <n x="611" s="1"/>
        <n x="657"/>
        <n x="658"/>
      </t>
    </mdx>
    <mdx n="0" f="v">
      <t c="6" si="614">
        <n x="610"/>
        <n x="605"/>
        <n x="606"/>
        <n x="611" s="1"/>
        <n x="659"/>
        <n x="660"/>
      </t>
    </mdx>
    <mdx n="0" f="v">
      <t c="6" si="614">
        <n x="610"/>
        <n x="605"/>
        <n x="606"/>
        <n x="611" s="1"/>
        <n x="661"/>
        <n x="662"/>
      </t>
    </mdx>
    <mdx n="0" f="v">
      <t c="6" si="614">
        <n x="610"/>
        <n x="605"/>
        <n x="606"/>
        <n x="611" s="1"/>
        <n x="663"/>
        <n x="664"/>
      </t>
    </mdx>
    <mdx n="0" f="v">
      <t c="6" si="614">
        <n x="610"/>
        <n x="605"/>
        <n x="606"/>
        <n x="611" s="1"/>
        <n x="665"/>
        <n x="666"/>
      </t>
    </mdx>
    <mdx n="0" f="v">
      <t c="6" si="614">
        <n x="610"/>
        <n x="605"/>
        <n x="606"/>
        <n x="611" s="1"/>
        <n x="667"/>
        <n x="668"/>
      </t>
    </mdx>
    <mdx n="0" f="v">
      <t c="6" si="614">
        <n x="610"/>
        <n x="605"/>
        <n x="606"/>
        <n x="611" s="1"/>
        <n x="669"/>
        <n x="670"/>
      </t>
    </mdx>
    <mdx n="0" f="v">
      <t c="6" si="614">
        <n x="610"/>
        <n x="605"/>
        <n x="606"/>
        <n x="611" s="1"/>
        <n x="671"/>
        <n x="672"/>
      </t>
    </mdx>
    <mdx n="0" f="v">
      <t c="6" si="614">
        <n x="610"/>
        <n x="605"/>
        <n x="606"/>
        <n x="611" s="1"/>
        <n x="673"/>
        <n x="674"/>
      </t>
    </mdx>
    <mdx n="0" f="v">
      <t c="6" si="614">
        <n x="610"/>
        <n x="605"/>
        <n x="606"/>
        <n x="611" s="1"/>
        <n x="675"/>
        <n x="676"/>
      </t>
    </mdx>
    <mdx n="0" f="v">
      <t c="6" si="614">
        <n x="610"/>
        <n x="605"/>
        <n x="606"/>
        <n x="611" s="1"/>
        <n x="677"/>
        <n x="678"/>
      </t>
    </mdx>
    <mdx n="0" f="v">
      <t c="6" si="614">
        <n x="610"/>
        <n x="605"/>
        <n x="606"/>
        <n x="611" s="1"/>
        <n x="679"/>
        <n x="680"/>
      </t>
    </mdx>
    <mdx n="0" f="v">
      <t c="6" si="614">
        <n x="610"/>
        <n x="605"/>
        <n x="606"/>
        <n x="611" s="1"/>
        <n x="681"/>
        <n x="682"/>
      </t>
    </mdx>
    <mdx n="0" f="v">
      <t c="6" si="614">
        <n x="610"/>
        <n x="605"/>
        <n x="606"/>
        <n x="611" s="1"/>
        <n x="683"/>
        <n x="684"/>
      </t>
    </mdx>
    <mdx n="0" f="v">
      <t c="6" si="614">
        <n x="610"/>
        <n x="605"/>
        <n x="606"/>
        <n x="611" s="1"/>
        <n x="685"/>
        <n x="686"/>
      </t>
    </mdx>
    <mdx n="0" f="v">
      <t c="6" si="614">
        <n x="610"/>
        <n x="605"/>
        <n x="606"/>
        <n x="611" s="1"/>
        <n x="687"/>
        <n x="688"/>
      </t>
    </mdx>
    <mdx n="0" f="v">
      <t c="6" si="614">
        <n x="610"/>
        <n x="605"/>
        <n x="606"/>
        <n x="611" s="1"/>
        <n x="689"/>
        <n x="690"/>
      </t>
    </mdx>
    <mdx n="0" f="v">
      <t c="6" si="614">
        <n x="610"/>
        <n x="605"/>
        <n x="606"/>
        <n x="611" s="1"/>
        <n x="695"/>
        <n x="696"/>
      </t>
    </mdx>
    <mdx n="0" f="v">
      <t c="6" si="614">
        <n x="610"/>
        <n x="605"/>
        <n x="606"/>
        <n x="611" s="1"/>
        <n x="697"/>
        <n x="698"/>
      </t>
    </mdx>
    <mdx n="0" f="v">
      <t c="6" si="614">
        <n x="610"/>
        <n x="605"/>
        <n x="606"/>
        <n x="611" s="1"/>
        <n x="699"/>
        <n x="700"/>
      </t>
    </mdx>
    <mdx n="0" f="v">
      <t c="6" si="614">
        <n x="610"/>
        <n x="605"/>
        <n x="606"/>
        <n x="611" s="1"/>
        <n x="703"/>
        <n x="704"/>
      </t>
    </mdx>
    <mdx n="0" f="v">
      <t c="6" si="614">
        <n x="610"/>
        <n x="605"/>
        <n x="606"/>
        <n x="611" s="1"/>
        <n x="707"/>
        <n x="708"/>
      </t>
    </mdx>
    <mdx n="0" f="v">
      <t c="6" si="614">
        <n x="610"/>
        <n x="607"/>
        <n x="608"/>
        <n x="611" s="1"/>
        <n x="612"/>
        <n x="613"/>
      </t>
    </mdx>
    <mdx n="0" f="v">
      <t c="6" si="614">
        <n x="610"/>
        <n x="607"/>
        <n x="608"/>
        <n x="611" s="1"/>
        <n x="615"/>
        <n x="616"/>
      </t>
    </mdx>
    <mdx n="0" f="v">
      <t c="6" si="614">
        <n x="610"/>
        <n x="607"/>
        <n x="608"/>
        <n x="611" s="1"/>
        <n x="617"/>
        <n x="618"/>
      </t>
    </mdx>
    <mdx n="0" f="v">
      <t c="6" si="614">
        <n x="610"/>
        <n x="607"/>
        <n x="608"/>
        <n x="611" s="1"/>
        <n x="619"/>
        <n x="620"/>
      </t>
    </mdx>
    <mdx n="0" f="v">
      <t c="6" si="614">
        <n x="610"/>
        <n x="607"/>
        <n x="608"/>
        <n x="611" s="1"/>
        <n x="623"/>
        <n x="624"/>
      </t>
    </mdx>
    <mdx n="0" f="v">
      <t c="6" si="614">
        <n x="610"/>
        <n x="607"/>
        <n x="608"/>
        <n x="611" s="1"/>
        <n x="625"/>
        <n x="626"/>
      </t>
    </mdx>
    <mdx n="0" f="v">
      <t c="6" si="614">
        <n x="610"/>
        <n x="607"/>
        <n x="608"/>
        <n x="611" s="1"/>
        <n x="627"/>
        <n x="628"/>
      </t>
    </mdx>
    <mdx n="0" f="v">
      <t c="6" si="614">
        <n x="610"/>
        <n x="607"/>
        <n x="608"/>
        <n x="611" s="1"/>
        <n x="629"/>
        <n x="630"/>
      </t>
    </mdx>
    <mdx n="0" f="v">
      <t c="6" si="614">
        <n x="610"/>
        <n x="607"/>
        <n x="608"/>
        <n x="611" s="1"/>
        <n x="631"/>
        <n x="632"/>
      </t>
    </mdx>
    <mdx n="0" f="v">
      <t c="6" si="614">
        <n x="610"/>
        <n x="607"/>
        <n x="608"/>
        <n x="611" s="1"/>
        <n x="633"/>
        <n x="634"/>
      </t>
    </mdx>
    <mdx n="0" f="v">
      <t c="6" si="614">
        <n x="610"/>
        <n x="607"/>
        <n x="608"/>
        <n x="611" s="1"/>
        <n x="635"/>
        <n x="636"/>
      </t>
    </mdx>
    <mdx n="0" f="v">
      <t c="6" si="614">
        <n x="610"/>
        <n x="607"/>
        <n x="608"/>
        <n x="611" s="1"/>
        <n x="637"/>
        <n x="638"/>
      </t>
    </mdx>
    <mdx n="0" f="v">
      <t c="6" si="614">
        <n x="610"/>
        <n x="607"/>
        <n x="608"/>
        <n x="611" s="1"/>
        <n x="641"/>
        <n x="642"/>
      </t>
    </mdx>
    <mdx n="0" f="v">
      <t c="6" si="614">
        <n x="610"/>
        <n x="607"/>
        <n x="608"/>
        <n x="611" s="1"/>
        <n x="643"/>
        <n x="644"/>
      </t>
    </mdx>
    <mdx n="0" f="v">
      <t c="6" si="614">
        <n x="610"/>
        <n x="607"/>
        <n x="608"/>
        <n x="611" s="1"/>
        <n x="645"/>
        <n x="646"/>
      </t>
    </mdx>
    <mdx n="0" f="v">
      <t c="6" si="614">
        <n x="610"/>
        <n x="607"/>
        <n x="608"/>
        <n x="611" s="1"/>
        <n x="647"/>
        <n x="648"/>
      </t>
    </mdx>
    <mdx n="0" f="v">
      <t c="6" si="614">
        <n x="610"/>
        <n x="607"/>
        <n x="608"/>
        <n x="611" s="1"/>
        <n x="649"/>
        <n x="650"/>
      </t>
    </mdx>
    <mdx n="0" f="v">
      <t c="6" si="614">
        <n x="610"/>
        <n x="607"/>
        <n x="608"/>
        <n x="611" s="1"/>
        <n x="651"/>
        <n x="652"/>
      </t>
    </mdx>
    <mdx n="0" f="v">
      <t c="6" si="614">
        <n x="610"/>
        <n x="607"/>
        <n x="608"/>
        <n x="611" s="1"/>
        <n x="653"/>
        <n x="654"/>
      </t>
    </mdx>
    <mdx n="0" f="v">
      <t c="6" si="614">
        <n x="610"/>
        <n x="607"/>
        <n x="608"/>
        <n x="611" s="1"/>
        <n x="655"/>
        <n x="656"/>
      </t>
    </mdx>
    <mdx n="0" f="v">
      <t c="6" si="614">
        <n x="610"/>
        <n x="607"/>
        <n x="608"/>
        <n x="611" s="1"/>
        <n x="657"/>
        <n x="658"/>
      </t>
    </mdx>
    <mdx n="0" f="v">
      <t c="6" si="614">
        <n x="610"/>
        <n x="607"/>
        <n x="608"/>
        <n x="611" s="1"/>
        <n x="659"/>
        <n x="660"/>
      </t>
    </mdx>
    <mdx n="0" f="v">
      <t c="6" si="614">
        <n x="610"/>
        <n x="607"/>
        <n x="608"/>
        <n x="611" s="1"/>
        <n x="661"/>
        <n x="662"/>
      </t>
    </mdx>
    <mdx n="0" f="v">
      <t c="6" si="614">
        <n x="610"/>
        <n x="607"/>
        <n x="608"/>
        <n x="611" s="1"/>
        <n x="663"/>
        <n x="664"/>
      </t>
    </mdx>
    <mdx n="0" f="v">
      <t c="6" si="614">
        <n x="610"/>
        <n x="607"/>
        <n x="608"/>
        <n x="611" s="1"/>
        <n x="665"/>
        <n x="666"/>
      </t>
    </mdx>
    <mdx n="0" f="v">
      <t c="6" si="614">
        <n x="610"/>
        <n x="607"/>
        <n x="608"/>
        <n x="611" s="1"/>
        <n x="667"/>
        <n x="668"/>
      </t>
    </mdx>
    <mdx n="0" f="v">
      <t c="6" si="614">
        <n x="610"/>
        <n x="607"/>
        <n x="608"/>
        <n x="611" s="1"/>
        <n x="669"/>
        <n x="670"/>
      </t>
    </mdx>
    <mdx n="0" f="v">
      <t c="6" si="614">
        <n x="610"/>
        <n x="607"/>
        <n x="608"/>
        <n x="611" s="1"/>
        <n x="671"/>
        <n x="672"/>
      </t>
    </mdx>
    <mdx n="0" f="v">
      <t c="6" si="614">
        <n x="610"/>
        <n x="607"/>
        <n x="608"/>
        <n x="611" s="1"/>
        <n x="673"/>
        <n x="674"/>
      </t>
    </mdx>
    <mdx n="0" f="v">
      <t c="6" si="614">
        <n x="610"/>
        <n x="607"/>
        <n x="608"/>
        <n x="611" s="1"/>
        <n x="675"/>
        <n x="676"/>
      </t>
    </mdx>
    <mdx n="0" f="v">
      <t c="6" si="614">
        <n x="610"/>
        <n x="607"/>
        <n x="608"/>
        <n x="611" s="1"/>
        <n x="677"/>
        <n x="678"/>
      </t>
    </mdx>
    <mdx n="0" f="v">
      <t c="6" si="614">
        <n x="610"/>
        <n x="607"/>
        <n x="608"/>
        <n x="611" s="1"/>
        <n x="681"/>
        <n x="682"/>
      </t>
    </mdx>
    <mdx n="0" f="v">
      <t c="6" si="614">
        <n x="610"/>
        <n x="607"/>
        <n x="608"/>
        <n x="611" s="1"/>
        <n x="683"/>
        <n x="684"/>
      </t>
    </mdx>
    <mdx n="0" f="v">
      <t c="6" si="614">
        <n x="610"/>
        <n x="607"/>
        <n x="608"/>
        <n x="611" s="1"/>
        <n x="685"/>
        <n x="686"/>
      </t>
    </mdx>
    <mdx n="0" f="v">
      <t c="6" si="614">
        <n x="610"/>
        <n x="607"/>
        <n x="608"/>
        <n x="611" s="1"/>
        <n x="689"/>
        <n x="690"/>
      </t>
    </mdx>
    <mdx n="0" f="v">
      <t c="6" si="614">
        <n x="610"/>
        <n x="607"/>
        <n x="608"/>
        <n x="611" s="1"/>
        <n x="691"/>
        <n x="692"/>
      </t>
    </mdx>
    <mdx n="0" f="v">
      <t c="6" si="614">
        <n x="610"/>
        <n x="607"/>
        <n x="608"/>
        <n x="611" s="1"/>
        <n x="693"/>
        <n x="694"/>
      </t>
    </mdx>
    <mdx n="0" f="v">
      <t c="6" si="614">
        <n x="610"/>
        <n x="607"/>
        <n x="608"/>
        <n x="611" s="1"/>
        <n x="695"/>
        <n x="696"/>
      </t>
    </mdx>
    <mdx n="0" f="v">
      <t c="6" si="614">
        <n x="610"/>
        <n x="607"/>
        <n x="608"/>
        <n x="611" s="1"/>
        <n x="697"/>
        <n x="698"/>
      </t>
    </mdx>
    <mdx n="0" f="v">
      <t c="6" si="614">
        <n x="610"/>
        <n x="607"/>
        <n x="608"/>
        <n x="611" s="1"/>
        <n x="703"/>
        <n x="704"/>
      </t>
    </mdx>
    <mdx n="0" f="v">
      <t c="6" si="614">
        <n x="610"/>
        <n x="607"/>
        <n x="608"/>
        <n x="611" s="1"/>
        <n x="707"/>
        <n x="708"/>
      </t>
    </mdx>
    <mdx n="0" f="v">
      <t c="6" si="614">
        <n x="610"/>
        <n x="367"/>
        <n x="368"/>
        <n x="611" s="1"/>
        <n x="612"/>
        <n x="613"/>
      </t>
    </mdx>
    <mdx n="0" f="v">
      <t c="6" si="614">
        <n x="610"/>
        <n x="607"/>
        <n x="608"/>
        <n x="611" s="1"/>
        <n x="641"/>
        <n x="706"/>
      </t>
    </mdx>
    <mdx n="0" f="v">
      <t c="6" si="614">
        <n x="610"/>
        <n x="605"/>
        <n x="606"/>
        <n x="611" s="1"/>
        <n x="707"/>
        <n x="650"/>
      </t>
    </mdx>
    <mdx n="0" f="v">
      <t c="6" si="614">
        <n x="610"/>
        <n x="603"/>
        <n x="604"/>
        <n x="611" s="1"/>
        <n x="629"/>
        <n x="630"/>
      </t>
    </mdx>
    <mdx n="0" f="v">
      <t c="6" si="614">
        <n x="610"/>
        <n x="603"/>
        <n x="604"/>
        <n x="611" s="1"/>
        <n x="693"/>
        <n x="694"/>
      </t>
    </mdx>
    <mdx n="0" f="v">
      <t c="6" si="614">
        <n x="610"/>
        <n x="605"/>
        <n x="606"/>
        <n x="611" s="1"/>
        <n x="683"/>
        <n x="642"/>
      </t>
    </mdx>
    <mdx n="0" f="v">
      <t c="6" si="614">
        <n x="610"/>
        <n x="597"/>
        <n x="598"/>
        <n x="611" s="1"/>
        <n x="631"/>
        <n x="624"/>
      </t>
    </mdx>
    <mdx n="0" f="v">
      <t c="6" si="614">
        <n x="610"/>
        <n x="601"/>
        <n x="602"/>
        <n x="611" s="1"/>
        <n x="655"/>
        <n x="694"/>
      </t>
    </mdx>
    <mdx n="0" f="v">
      <t c="6" si="614">
        <n x="610"/>
        <n x="601"/>
        <n x="602"/>
        <n x="611" s="1"/>
        <n x="681"/>
        <n x="682"/>
      </t>
    </mdx>
    <mdx n="0" f="v">
      <t c="6" si="614">
        <n x="610"/>
        <n x="603"/>
        <n x="604"/>
        <n x="611" s="1"/>
        <n x="683"/>
        <n x="684"/>
      </t>
    </mdx>
    <mdx n="0" f="v">
      <t c="6" si="614">
        <n x="610"/>
        <n x="597"/>
        <n x="598"/>
        <n x="611" s="1"/>
        <n x="629"/>
        <n x="692"/>
      </t>
    </mdx>
    <mdx n="0" f="v">
      <t c="6" si="614">
        <n x="610"/>
        <n x="591"/>
        <n x="608"/>
        <n x="611" s="1"/>
        <n x="659"/>
        <n x="630"/>
      </t>
    </mdx>
    <mdx n="0" f="v">
      <t c="6" si="614">
        <n x="610"/>
        <n x="591"/>
        <n x="608"/>
        <n x="611" s="1"/>
        <n x="659"/>
        <n x="660"/>
      </t>
    </mdx>
    <mdx n="0" f="v">
      <t c="6" si="614">
        <n x="610"/>
        <n x="607"/>
        <n x="608"/>
        <n x="611" s="1"/>
        <n x="619"/>
        <n x="620"/>
      </t>
    </mdx>
    <mdx n="0" f="v">
      <t c="6" si="614">
        <n x="610"/>
        <n x="591"/>
        <n x="592"/>
        <n x="611" s="1"/>
        <n x="679"/>
        <n x="696"/>
      </t>
    </mdx>
    <mdx n="0" f="v">
      <t c="6" si="614">
        <n x="610"/>
        <n x="583"/>
        <n x="584"/>
        <n x="611" s="1"/>
        <n x="647"/>
        <n x="648"/>
      </t>
    </mdx>
    <mdx n="0" f="v">
      <t c="6" si="614">
        <n x="610"/>
        <n x="583"/>
        <n x="590"/>
        <n x="611" s="1"/>
        <n x="629"/>
        <n x="630"/>
      </t>
    </mdx>
    <mdx n="0" f="v">
      <t c="6" si="614">
        <n x="610"/>
        <n x="583"/>
        <n x="590"/>
        <n x="611" s="1"/>
        <n x="675"/>
        <n x="676"/>
      </t>
    </mdx>
    <mdx n="0" f="v">
      <t c="6" si="614">
        <n x="610"/>
        <n x="589"/>
        <n x="590"/>
        <n x="611" s="1"/>
        <n x="705"/>
        <n x="706"/>
      </t>
    </mdx>
    <mdx n="0" f="v">
      <t c="6" si="614">
        <n x="610"/>
        <n x="589"/>
        <n x="590"/>
        <n x="611" s="1"/>
        <n x="681"/>
        <n x="682"/>
      </t>
    </mdx>
    <mdx n="0" f="v">
      <t c="6" si="614">
        <n x="202"/>
        <n x="589"/>
        <n x="582"/>
        <n x="611" s="1"/>
        <n x="653"/>
        <n x="654"/>
      </t>
    </mdx>
    <mdx n="0" f="v">
      <t c="6" si="614">
        <n x="610"/>
        <n x="577"/>
        <n x="578"/>
        <n x="611" s="1"/>
        <n x="657"/>
        <n x="658"/>
      </t>
    </mdx>
    <mdx n="0" f="v">
      <t c="6" si="614">
        <n x="610"/>
        <n x="565"/>
        <n x="566"/>
        <n x="611" s="1"/>
        <n x="631"/>
        <n x="632"/>
      </t>
    </mdx>
    <mdx n="0" f="v">
      <t c="6" si="614">
        <n x="610"/>
        <n x="563"/>
        <n x="572"/>
        <n x="611" s="1"/>
        <n x="679"/>
        <n x="680"/>
      </t>
    </mdx>
    <mdx n="0" f="v">
      <t c="6" si="614">
        <n x="610"/>
        <n x="563"/>
        <n x="572"/>
        <n x="611" s="1"/>
        <n x="679"/>
        <n x="680"/>
      </t>
    </mdx>
    <mdx n="0" f="v">
      <t c="6" si="614">
        <n x="610"/>
        <n x="571"/>
        <n x="572"/>
        <n x="611" s="1"/>
        <n x="631"/>
        <n x="632"/>
      </t>
    </mdx>
    <mdx n="0" f="v">
      <t c="6" si="614">
        <n x="610"/>
        <n x="567"/>
        <n x="568"/>
        <n x="611" s="1"/>
        <n x="667"/>
        <n x="670"/>
      </t>
    </mdx>
    <mdx n="0" f="v">
      <t c="6" si="614">
        <n x="610"/>
        <n x="553"/>
        <n x="566"/>
        <n x="611" s="1"/>
        <n x="693"/>
        <n x="694"/>
      </t>
    </mdx>
    <mdx n="0" f="v">
      <t c="6" si="614">
        <n x="610"/>
        <n x="551"/>
        <n x="552"/>
        <n x="611" s="1"/>
        <n x="687"/>
        <n x="688"/>
      </t>
    </mdx>
    <mdx n="0" f="v">
      <t c="6" si="614">
        <n x="610"/>
        <n x="551"/>
        <n x="552"/>
        <n x="611" s="1"/>
        <n x="665"/>
        <n x="666"/>
      </t>
    </mdx>
    <mdx n="0" f="v">
      <t c="6" si="614">
        <n x="610"/>
        <n x="549"/>
        <n x="550"/>
        <n x="611" s="1"/>
        <n x="621"/>
        <n x="622"/>
      </t>
    </mdx>
    <mdx n="0" f="v">
      <t c="6" si="614">
        <n x="202"/>
        <n x="607"/>
        <n x="608"/>
        <n x="611" s="1"/>
        <n x="687"/>
        <n x="688"/>
      </t>
    </mdx>
    <mdx n="0" f="v">
      <t c="6" si="614">
        <n x="610"/>
        <n x="607"/>
        <n x="608"/>
        <n x="611" s="1"/>
        <n x="657"/>
        <n x="658"/>
      </t>
    </mdx>
    <mdx n="0" f="v">
      <t c="6" si="614">
        <n x="610"/>
        <n x="605"/>
        <n x="606"/>
        <n x="611" s="1"/>
        <n x="612"/>
        <n x="620"/>
      </t>
    </mdx>
    <mdx n="0" f="v">
      <t c="6" si="614">
        <n x="610"/>
        <n x="591"/>
        <n x="594"/>
        <n x="611" s="1"/>
        <n x="657"/>
        <n x="658"/>
      </t>
    </mdx>
    <mdx n="0" f="v">
      <t c="6" si="614">
        <n x="610"/>
        <n x="591"/>
        <n x="594"/>
        <n x="611" s="1"/>
        <n x="661"/>
        <n x="662"/>
      </t>
    </mdx>
    <mdx n="0" f="v">
      <t c="6" si="614">
        <n x="610"/>
        <n x="589"/>
        <n x="590"/>
        <n x="611" s="1"/>
        <n x="677"/>
        <n x="678"/>
      </t>
    </mdx>
    <mdx n="0" f="v">
      <t c="6" si="614">
        <n x="610"/>
        <n x="585"/>
        <n x="586"/>
        <n x="611" s="1"/>
        <n x="633"/>
        <n x="650"/>
      </t>
    </mdx>
    <mdx n="0" f="v">
      <t c="6" si="614">
        <n x="610"/>
        <n x="589"/>
        <n x="590"/>
        <n x="611" s="1"/>
        <n x="612"/>
        <n x="613"/>
      </t>
    </mdx>
    <mdx n="0" f="v">
      <t c="6" si="614">
        <n x="610"/>
        <n x="579"/>
        <n x="580"/>
        <n x="611" s="1"/>
        <n x="699"/>
        <n x="700"/>
      </t>
    </mdx>
    <mdx n="0" f="v">
      <t c="6" si="614">
        <n x="610"/>
        <n x="569"/>
        <n x="570"/>
        <n x="611" s="1"/>
        <n x="671"/>
        <n x="672"/>
      </t>
    </mdx>
    <mdx n="0" f="v">
      <t c="6" si="614">
        <n x="610"/>
        <n x="559"/>
        <n x="560"/>
        <n x="611" s="1"/>
        <n x="655"/>
        <n x="700"/>
      </t>
    </mdx>
    <mdx n="0" f="v">
      <t c="6" si="614">
        <n x="610"/>
        <n x="559"/>
        <n x="560"/>
        <n x="611" s="1"/>
        <n x="655"/>
        <n x="700"/>
      </t>
    </mdx>
    <mdx n="0" f="v">
      <t c="6" si="614">
        <n x="610"/>
        <n x="565"/>
        <n x="566"/>
        <n x="611" s="1"/>
        <n x="695"/>
        <n x="696"/>
      </t>
    </mdx>
    <mdx n="0" f="v">
      <t c="6" si="614">
        <n x="610"/>
        <n x="557"/>
        <n x="558"/>
        <n x="611" s="1"/>
        <n x="657"/>
        <n x="658"/>
      </t>
    </mdx>
    <mdx n="0" f="v">
      <t c="6" si="614">
        <n x="610"/>
        <n x="555"/>
        <n x="556"/>
        <n x="611" s="1"/>
        <n x="653"/>
        <n x="654"/>
      </t>
    </mdx>
    <mdx n="0" f="v">
      <t c="6" si="614">
        <n x="610"/>
        <n x="559"/>
        <n x="560"/>
        <n x="611" s="1"/>
        <n x="641"/>
        <n x="642"/>
      </t>
    </mdx>
    <mdx n="0" f="v">
      <t c="6" si="614">
        <n x="610"/>
        <n x="557"/>
        <n x="558"/>
        <n x="611" s="1"/>
        <n x="707"/>
        <n x="708"/>
      </t>
    </mdx>
    <mdx n="0" f="v">
      <t c="6" si="614">
        <n x="202"/>
        <n x="557"/>
        <n x="550"/>
        <n x="611" s="1"/>
        <n x="621"/>
        <n x="622"/>
      </t>
    </mdx>
    <mdx n="0" f="v">
      <t c="6" si="614">
        <n x="610"/>
        <n x="555"/>
        <n x="556"/>
        <n x="611" s="1"/>
        <n x="703"/>
        <n x="704"/>
      </t>
    </mdx>
    <mdx n="0" f="v">
      <t c="6" si="614">
        <n x="610"/>
        <n x="555"/>
        <n x="556"/>
        <n x="611" s="1"/>
        <n x="675"/>
        <n x="676"/>
      </t>
    </mdx>
    <mdx n="0" f="v">
      <t c="6" si="614">
        <n x="610"/>
        <n x="549"/>
        <n x="550"/>
        <n x="611" s="1"/>
        <n x="671"/>
        <n x="672"/>
      </t>
    </mdx>
    <mdx n="0" f="v">
      <t c="6" si="614">
        <n x="610"/>
        <n x="541"/>
        <n x="542"/>
        <n x="611" s="1"/>
        <n x="691"/>
        <n x="692"/>
      </t>
    </mdx>
    <mdx n="0" f="v">
      <t c="6" si="614">
        <n x="610"/>
        <n x="547"/>
        <n x="548"/>
        <n x="611" s="1"/>
        <n x="681"/>
        <n x="682"/>
      </t>
    </mdx>
    <mdx n="0" f="v">
      <t c="6" si="614">
        <n x="610"/>
        <n x="541"/>
        <n x="548"/>
        <n x="611" s="1"/>
        <n x="641"/>
        <n x="642"/>
      </t>
    </mdx>
    <mdx n="0" f="v">
      <t c="6" si="614">
        <n x="610"/>
        <n x="545"/>
        <n x="546"/>
        <n x="611" s="1"/>
        <n x="685"/>
        <n x="686"/>
      </t>
    </mdx>
    <mdx n="0" f="v">
      <t c="6" si="614">
        <n x="610"/>
        <n x="537"/>
        <n x="538"/>
        <n x="611" s="1"/>
        <n x="629"/>
        <n x="630"/>
      </t>
    </mdx>
    <mdx n="0" f="v">
      <t c="6" si="614">
        <n x="610"/>
        <n x="537"/>
        <n x="538"/>
        <n x="611" s="1"/>
        <n x="695"/>
        <n x="696"/>
      </t>
    </mdx>
    <mdx n="0" f="v">
      <t c="6" si="614">
        <n x="610"/>
        <n x="535"/>
        <n x="536"/>
        <n x="611" s="1"/>
        <n x="683"/>
        <n x="684"/>
      </t>
    </mdx>
    <mdx n="0" f="v">
      <t c="6" si="614">
        <n x="610"/>
        <n x="535"/>
        <n x="536"/>
        <n x="611" s="1"/>
        <n x="663"/>
        <n x="664"/>
      </t>
    </mdx>
    <mdx n="0" f="v">
      <t c="6" si="614">
        <n x="610"/>
        <n x="531"/>
        <n x="532"/>
        <n x="611" s="1"/>
        <n x="661"/>
        <n x="662"/>
      </t>
    </mdx>
    <mdx n="0" f="v">
      <t c="6" si="614">
        <n x="610"/>
        <n x="523"/>
        <n x="524"/>
        <n x="611" s="1"/>
        <n x="687"/>
        <n x="688"/>
      </t>
    </mdx>
    <mdx n="0" f="v">
      <t c="6" si="614">
        <n x="610"/>
        <n x="521"/>
        <n x="530"/>
        <n x="611" s="1"/>
        <n x="617"/>
        <n x="660"/>
      </t>
    </mdx>
    <mdx n="0" f="v">
      <t c="6" si="614">
        <n x="610"/>
        <n x="521"/>
        <n x="530"/>
        <n x="611" s="1"/>
        <n x="617"/>
        <n x="618"/>
      </t>
    </mdx>
    <mdx n="0" f="v">
      <t c="6" si="614">
        <n x="202"/>
        <n x="529"/>
        <n x="522"/>
        <n x="611" s="1"/>
        <n x="695"/>
        <n x="696"/>
      </t>
    </mdx>
    <mdx n="0" f="v">
      <t c="6" si="614">
        <n x="610"/>
        <n x="519"/>
        <n x="526"/>
        <n x="611" s="1"/>
        <n x="705"/>
        <n x="706"/>
      </t>
    </mdx>
    <mdx n="0" f="v">
      <t c="6" si="614">
        <n x="610"/>
        <n x="525"/>
        <n x="526"/>
        <n x="611" s="1"/>
        <n x="697"/>
        <n x="698"/>
      </t>
    </mdx>
    <mdx n="0" f="v">
      <t c="6" si="614">
        <n x="202"/>
        <n x="523"/>
        <n x="518"/>
        <n x="611" s="1"/>
        <n x="693"/>
        <n x="694"/>
      </t>
    </mdx>
    <mdx n="0" f="v">
      <t c="6" si="614">
        <n x="610"/>
        <n x="517"/>
        <n x="522"/>
        <n x="611" s="1"/>
        <n x="685"/>
        <n x="664"/>
      </t>
    </mdx>
    <mdx n="0" f="v">
      <t c="6" si="614">
        <n x="610"/>
        <n x="517"/>
        <n x="522"/>
        <n x="611" s="1"/>
        <n x="685"/>
        <n x="686"/>
      </t>
    </mdx>
    <mdx n="0" f="v">
      <t c="6" si="614">
        <n x="610"/>
        <n x="519"/>
        <n x="520"/>
        <n x="611" s="1"/>
        <n x="612"/>
        <n x="613"/>
      </t>
    </mdx>
    <mdx n="0" f="v">
      <t c="6" si="614">
        <n x="610"/>
        <n x="509"/>
        <n x="510"/>
        <n x="611" s="1"/>
        <n x="703"/>
        <n x="704"/>
      </t>
    </mdx>
    <mdx n="0" f="v">
      <t c="6" si="614">
        <n x="610"/>
        <n x="511"/>
        <n x="512"/>
        <n x="611" s="1"/>
        <n x="663"/>
        <n x="702"/>
      </t>
    </mdx>
    <mdx n="0" f="v">
      <t c="6" si="614">
        <n x="610"/>
        <n x="511"/>
        <n x="512"/>
        <n x="611" s="1"/>
        <n x="647"/>
        <n x="668"/>
      </t>
    </mdx>
    <mdx n="0" f="v">
      <t c="6" si="614">
        <n x="610"/>
        <n x="505"/>
        <n x="506"/>
        <n x="611" s="1"/>
        <n x="621"/>
        <n x="622"/>
      </t>
    </mdx>
    <mdx n="0" f="v">
      <t c="6" si="614">
        <n x="610"/>
        <n x="595"/>
        <n x="596"/>
        <n x="611" s="1"/>
        <n x="683"/>
        <n x="684"/>
      </t>
    </mdx>
    <mdx n="0" f="v">
      <t c="6" si="614">
        <n x="610"/>
        <n x="589"/>
        <n x="590"/>
        <n x="611" s="1"/>
        <n x="679"/>
        <n x="680"/>
      </t>
    </mdx>
    <mdx n="0" f="v">
      <t c="6" si="614">
        <n x="610"/>
        <n x="571"/>
        <n x="572"/>
        <n x="611" s="1"/>
        <n x="669"/>
        <n x="670"/>
      </t>
    </mdx>
    <mdx n="0" f="v">
      <t c="6" si="614">
        <n x="610"/>
        <n x="547"/>
        <n x="548"/>
        <n x="611" s="1"/>
        <n x="657"/>
        <n x="696"/>
      </t>
    </mdx>
    <mdx n="0" f="v">
      <t c="6" si="614">
        <n x="610"/>
        <n x="543"/>
        <n x="544"/>
        <n x="611" s="1"/>
        <n x="627"/>
        <n x="628"/>
      </t>
    </mdx>
    <mdx n="0" f="v">
      <t c="6" si="614">
        <n x="610"/>
        <n x="557"/>
        <n x="558"/>
        <n x="611" s="1"/>
        <n x="619"/>
        <n x="620"/>
      </t>
    </mdx>
    <mdx n="0" f="v">
      <t c="6" si="614">
        <n x="610"/>
        <n x="555"/>
        <n x="556"/>
        <n x="611" s="1"/>
        <n x="695"/>
        <n x="696"/>
      </t>
    </mdx>
    <mdx n="0" f="v">
      <t c="6" si="614">
        <n x="610"/>
        <n x="539"/>
        <n x="540"/>
        <n x="611" s="1"/>
        <n x="683"/>
        <n x="684"/>
      </t>
    </mdx>
    <mdx n="0" f="v">
      <t c="6" si="614">
        <n x="610"/>
        <n x="539"/>
        <n x="554"/>
        <n x="611" s="1"/>
        <n x="657"/>
        <n x="658"/>
      </t>
    </mdx>
    <mdx n="0" f="v">
      <t c="6" si="614">
        <n x="610"/>
        <n x="553"/>
        <n x="540"/>
        <n x="611" s="1"/>
        <n x="635"/>
        <n x="636"/>
      </t>
    </mdx>
    <mdx n="0" f="v">
      <t c="6" si="614">
        <n x="610"/>
        <n x="553"/>
        <n x="554"/>
        <n x="611" s="1"/>
        <n x="669"/>
        <n x="670"/>
      </t>
    </mdx>
    <mdx n="0" f="v">
      <t c="6" si="614">
        <n x="610"/>
        <n x="531"/>
        <n x="532"/>
        <n x="611" s="1"/>
        <n x="683"/>
        <n x="684"/>
      </t>
    </mdx>
    <mdx n="0" f="v">
      <t c="6" si="614">
        <n x="610"/>
        <n x="531"/>
        <n x="544"/>
        <n x="611" s="1"/>
        <n x="699"/>
        <n x="700"/>
      </t>
    </mdx>
    <mdx n="0" f="v">
      <t c="6" si="614">
        <n x="610"/>
        <n x="531"/>
        <n x="544"/>
        <n x="611" s="1"/>
        <n x="699"/>
        <n x="700"/>
      </t>
    </mdx>
    <mdx n="0" f="v">
      <t c="6" si="614">
        <n x="610"/>
        <n x="539"/>
        <n x="540"/>
        <n x="611" s="1"/>
        <n x="629"/>
        <n x="630"/>
      </t>
    </mdx>
    <mdx n="0" f="v">
      <t c="6" si="614">
        <n x="610"/>
        <n x="535"/>
        <n x="536"/>
        <n x="611" s="1"/>
        <n x="673"/>
        <n x="674"/>
      </t>
    </mdx>
    <mdx n="0" f="v">
      <t c="6" si="614">
        <n x="610"/>
        <n x="523"/>
        <n x="524"/>
        <n x="611" s="1"/>
        <n x="659"/>
        <n x="636"/>
      </t>
    </mdx>
    <mdx n="0" f="v">
      <t c="6" si="614">
        <n x="610"/>
        <n x="533"/>
        <n x="534"/>
        <n x="611" s="1"/>
        <n x="693"/>
        <n x="694"/>
      </t>
    </mdx>
    <mdx n="0" f="v">
      <t c="6" si="614">
        <n x="610"/>
        <n x="531"/>
        <n x="532"/>
        <n x="611" s="1"/>
        <n x="671"/>
        <n x="672"/>
      </t>
    </mdx>
    <mdx n="0" f="v">
      <t c="6" si="614">
        <n x="610"/>
        <n x="523"/>
        <n x="524"/>
        <n x="611" s="1"/>
        <n x="675"/>
        <n x="676"/>
      </t>
    </mdx>
    <mdx n="0" f="v">
      <t c="6" si="614">
        <n x="610"/>
        <n x="511"/>
        <n x="522"/>
        <n x="611" s="1"/>
        <n x="631"/>
        <n x="632"/>
      </t>
    </mdx>
    <mdx n="0" f="v">
      <t c="6" si="614">
        <n x="610"/>
        <n x="511"/>
        <n x="522"/>
        <n x="611" s="1"/>
        <n x="681"/>
        <n x="682"/>
      </t>
    </mdx>
    <mdx n="0" f="v">
      <t c="6" si="614">
        <n x="610"/>
        <n x="521"/>
        <n x="522"/>
        <n x="611" s="1"/>
        <n x="625"/>
        <n x="626"/>
      </t>
    </mdx>
    <mdx n="0" f="v">
      <t c="6" si="614">
        <n x="610"/>
        <n x="501"/>
        <n x="518"/>
        <n x="611" s="1"/>
        <n x="631"/>
        <n x="632"/>
      </t>
    </mdx>
    <mdx n="0" f="v">
      <t c="6" si="614">
        <n x="610"/>
        <n x="513"/>
        <n x="514"/>
        <n x="611" s="1"/>
        <n x="659"/>
        <n x="660"/>
      </t>
    </mdx>
    <mdx n="0" f="v">
      <t c="6" si="614">
        <n x="610"/>
        <n x="511"/>
        <n x="512"/>
        <n x="611" s="1"/>
        <n x="623"/>
        <n x="624"/>
      </t>
    </mdx>
    <mdx n="0" f="v">
      <t c="6" si="614">
        <n x="610"/>
        <n x="509"/>
        <n x="510"/>
        <n x="611" s="1"/>
        <n x="633"/>
        <n x="616"/>
      </t>
    </mdx>
    <mdx n="0" f="v">
      <t c="6" si="614">
        <n x="610"/>
        <n x="503"/>
        <n x="504"/>
        <n x="611" s="1"/>
        <n x="651"/>
        <n x="658"/>
      </t>
    </mdx>
    <mdx n="0" f="v">
      <t c="6" si="614">
        <n x="610"/>
        <n x="501"/>
        <n x="502"/>
        <n x="611" s="1"/>
        <n x="683"/>
        <n x="684"/>
      </t>
    </mdx>
    <mdx n="0" f="v">
      <t c="6" si="614">
        <n x="610"/>
        <n x="487"/>
        <n x="488"/>
        <n x="611" s="1"/>
        <n x="661"/>
        <n x="662"/>
      </t>
    </mdx>
    <mdx n="0" f="v">
      <t c="6" si="614">
        <n x="610"/>
        <n x="487"/>
        <n x="488"/>
        <n x="611" s="1"/>
        <n x="633"/>
        <n x="634"/>
      </t>
    </mdx>
    <mdx n="0" f="v">
      <t c="6" si="614">
        <n x="610"/>
        <n x="497"/>
        <n x="498"/>
        <n x="611" s="1"/>
        <n x="675"/>
        <n x="676"/>
      </t>
    </mdx>
    <mdx n="0" f="v">
      <t c="6" si="614">
        <n x="202"/>
        <n x="497"/>
        <n x="484"/>
        <n x="611" s="1"/>
        <n x="629"/>
        <n x="630"/>
      </t>
    </mdx>
    <mdx n="0" f="v">
      <t c="6" si="614">
        <n x="610"/>
        <n x="495"/>
        <n x="496"/>
        <n x="611" s="1"/>
        <n x="693"/>
        <n x="694"/>
      </t>
    </mdx>
    <mdx n="0" f="v">
      <t c="6" si="614">
        <n x="610"/>
        <n x="493"/>
        <n x="482"/>
        <n x="611" s="1"/>
        <n x="641"/>
        <n x="642"/>
      </t>
    </mdx>
    <mdx n="0" f="v">
      <t c="6" si="614">
        <n x="610"/>
        <n x="493"/>
        <n x="494"/>
        <n x="611" s="1"/>
        <n x="663"/>
        <n x="664"/>
      </t>
    </mdx>
    <mdx n="0" f="v">
      <t c="6" si="614">
        <n x="610"/>
        <n x="477"/>
        <n x="478"/>
        <n x="611" s="1"/>
        <n x="707"/>
        <n x="708"/>
      </t>
    </mdx>
    <mdx n="0" f="v">
      <t c="6" si="614">
        <n x="610"/>
        <n x="487"/>
        <n x="488"/>
        <n x="611" s="1"/>
        <n x="655"/>
        <n x="686"/>
      </t>
    </mdx>
    <mdx n="0" f="v">
      <t c="6" si="614">
        <n x="610"/>
        <n x="475"/>
        <n x="476"/>
        <n x="611" s="1"/>
        <n x="625"/>
        <n x="626"/>
      </t>
    </mdx>
    <mdx n="0" f="v">
      <t c="6" si="614">
        <n x="610"/>
        <n x="485"/>
        <n x="486"/>
        <n x="611" s="1"/>
        <n x="649"/>
        <n x="650"/>
      </t>
    </mdx>
    <mdx n="0" f="v">
      <t c="6" si="614">
        <n x="610"/>
        <n x="479"/>
        <n x="480"/>
        <n x="611" s="1"/>
        <n x="703"/>
        <n x="704"/>
      </t>
    </mdx>
    <mdx n="0" f="v">
      <t c="6" si="614">
        <n x="610"/>
        <n x="477"/>
        <n x="478"/>
        <n x="611" s="1"/>
        <n x="679"/>
        <n x="680"/>
      </t>
    </mdx>
    <mdx n="0" f="v">
      <t c="6" si="614">
        <n x="610"/>
        <n x="467"/>
        <n x="468"/>
        <n x="611" s="1"/>
        <n x="705"/>
        <n x="706"/>
      </t>
    </mdx>
    <mdx n="0" f="v">
      <t c="6" si="614">
        <n x="610"/>
        <n x="459"/>
        <n x="460"/>
        <n x="611" s="1"/>
        <n x="665"/>
        <n x="666"/>
      </t>
    </mdx>
    <mdx n="0" f="v">
      <t c="6" si="614">
        <n x="610"/>
        <n x="469"/>
        <n x="470"/>
        <n x="611" s="1"/>
        <n x="649"/>
        <n x="650"/>
      </t>
    </mdx>
    <mdx n="0" f="v">
      <t c="6" si="614">
        <n x="610"/>
        <n x="457"/>
        <n x="468"/>
        <n x="611" s="1"/>
        <n x="689"/>
        <n x="690"/>
      </t>
    </mdx>
    <mdx n="0" f="v">
      <t c="6" si="614">
        <n x="610"/>
        <n x="457"/>
        <n x="468"/>
        <n x="611" s="1"/>
        <n x="689"/>
        <n x="690"/>
      </t>
    </mdx>
    <mdx n="0" f="v">
      <t c="6" si="614">
        <n x="610"/>
        <n x="465"/>
        <n x="466"/>
        <n x="611" s="1"/>
        <n x="659"/>
        <n x="660"/>
      </t>
    </mdx>
    <mdx n="0" f="v">
      <t c="6" si="614">
        <n x="610"/>
        <n x="453"/>
        <n x="454"/>
        <n x="611" s="1"/>
        <n x="667"/>
        <n x="668"/>
      </t>
    </mdx>
    <mdx n="0" f="v">
      <t c="6" si="614">
        <n x="610"/>
        <n x="453"/>
        <n x="454"/>
        <n x="611" s="1"/>
        <n x="643"/>
        <n x="644"/>
      </t>
    </mdx>
    <mdx n="0" f="v">
      <t c="6" si="614">
        <n x="610"/>
        <n x="461"/>
        <n x="462"/>
        <n x="611" s="1"/>
        <n x="657"/>
        <n x="658"/>
      </t>
    </mdx>
    <mdx n="0" f="v">
      <t c="6" si="614">
        <n x="610"/>
        <n x="451"/>
        <n x="452"/>
        <n x="611" s="1"/>
        <n x="671"/>
        <n x="696"/>
      </t>
    </mdx>
    <mdx n="0" f="v">
      <t c="6" si="614">
        <n x="610"/>
        <n x="451"/>
        <n x="452"/>
        <n x="611" s="1"/>
        <n x="635"/>
        <n x="636"/>
      </t>
    </mdx>
    <mdx n="0" f="v">
      <t c="6" si="614">
        <n x="610"/>
        <n x="439"/>
        <n x="440"/>
        <n x="611" s="1"/>
        <n x="617"/>
        <n x="618"/>
      </t>
    </mdx>
    <mdx n="0" f="v">
      <t c="6" si="614">
        <n x="610"/>
        <n x="439"/>
        <n x="440"/>
        <n x="611" s="1"/>
        <n x="691"/>
        <n x="692"/>
      </t>
    </mdx>
    <mdx n="0" f="v">
      <t c="6" si="614">
        <n x="610"/>
        <n x="437"/>
        <n x="434"/>
        <n x="611" s="1"/>
        <n x="699"/>
        <n x="700"/>
      </t>
    </mdx>
    <mdx n="0" f="v">
      <t c="6" si="614">
        <n x="610"/>
        <n x="435"/>
        <n x="436"/>
        <n x="611" s="1"/>
        <n x="623"/>
        <n x="624"/>
      </t>
    </mdx>
    <mdx n="0" f="v">
      <t c="6" si="614">
        <n x="610"/>
        <n x="431"/>
        <n x="432"/>
        <n x="611" s="1"/>
        <n x="687"/>
        <n x="688"/>
      </t>
    </mdx>
    <mdx n="0" f="v">
      <t c="6" si="614">
        <n x="610"/>
        <n x="427"/>
        <n x="428"/>
        <n x="611" s="1"/>
        <n x="705"/>
        <n x="676"/>
      </t>
    </mdx>
    <mdx n="0" f="v">
      <t c="6" si="614">
        <n x="610"/>
        <n x="421"/>
        <n x="422"/>
        <n x="611" s="1"/>
        <n x="703"/>
        <n x="636"/>
      </t>
    </mdx>
    <mdx n="0" f="v">
      <t c="6" si="614">
        <n x="610"/>
        <n x="421"/>
        <n x="422"/>
        <n x="611" s="1"/>
        <n x="655"/>
        <n x="658"/>
      </t>
    </mdx>
    <mdx n="0" f="v">
      <t c="6" si="614">
        <n x="610"/>
        <n x="421"/>
        <n x="422"/>
        <n x="611" s="1"/>
        <n x="645"/>
        <n x="646"/>
      </t>
    </mdx>
    <mdx n="0" f="v">
      <t c="6" si="614">
        <n x="610"/>
        <n x="417"/>
        <n x="418"/>
        <n x="611" s="1"/>
        <n x="703"/>
        <n x="704"/>
      </t>
    </mdx>
    <mdx n="0" f="v">
      <t c="6" si="614">
        <n x="610"/>
        <n x="417"/>
        <n x="418"/>
        <n x="611" s="1"/>
        <n x="685"/>
        <n x="686"/>
      </t>
    </mdx>
    <mdx n="0" f="v">
      <t c="6" si="614">
        <n x="610"/>
        <n x="607"/>
        <n x="606"/>
        <n x="611" s="1"/>
        <n x="679"/>
        <n x="680"/>
      </t>
    </mdx>
    <mdx n="0" f="v">
      <t c="6" si="614">
        <n x="610"/>
        <n x="607"/>
        <n x="606"/>
        <n x="611" s="1"/>
        <n x="679"/>
        <n x="680"/>
      </t>
    </mdx>
    <mdx n="0" f="v">
      <t c="6" si="614">
        <n x="610"/>
        <n x="591"/>
        <n x="592"/>
        <n x="611" s="1"/>
        <n x="671"/>
        <n x="672"/>
      </t>
    </mdx>
    <mdx n="0" f="v">
      <t c="6" si="614">
        <n x="610"/>
        <n x="587"/>
        <n x="588"/>
        <n x="611" s="1"/>
        <n x="689"/>
        <n x="690"/>
      </t>
    </mdx>
    <mdx n="0" f="v">
      <t c="6" si="614">
        <n x="610"/>
        <n x="575"/>
        <n x="576"/>
        <n x="611" s="1"/>
        <n x="657"/>
        <n x="618"/>
      </t>
    </mdx>
    <mdx n="0" f="v">
      <t c="6" si="614">
        <n x="610"/>
        <n x="575"/>
        <n x="576"/>
        <n x="611" s="1"/>
        <n x="659"/>
        <n x="660"/>
      </t>
    </mdx>
    <mdx n="0" f="v">
      <t c="6" si="614">
        <n x="610"/>
        <n x="565"/>
        <n x="566"/>
        <n x="611" s="1"/>
        <n x="647"/>
        <n x="648"/>
      </t>
    </mdx>
    <mdx n="0" f="v">
      <t c="6" si="614">
        <n x="610"/>
        <n x="565"/>
        <n x="566"/>
        <n x="611" s="1"/>
        <n x="619"/>
        <n x="620"/>
      </t>
    </mdx>
    <mdx n="0" f="v">
      <t c="6" si="614">
        <n x="610"/>
        <n x="559"/>
        <n x="560"/>
        <n x="611" s="1"/>
        <n x="617"/>
        <n x="618"/>
      </t>
    </mdx>
    <mdx n="0" f="v">
      <t c="6" si="614">
        <n x="610"/>
        <n x="553"/>
        <n x="548"/>
        <n x="611" s="1"/>
        <n x="647"/>
        <n x="648"/>
      </t>
    </mdx>
    <mdx n="0" f="v">
      <t c="6" si="614">
        <n x="610"/>
        <n x="543"/>
        <n x="544"/>
        <n x="611" s="1"/>
        <n x="659"/>
        <n x="660"/>
      </t>
    </mdx>
    <mdx n="0" f="v">
      <t c="6" si="614">
        <n x="610"/>
        <n x="541"/>
        <n x="542"/>
        <n x="611" s="1"/>
        <n x="623"/>
        <n x="688"/>
      </t>
    </mdx>
    <mdx n="0" f="v">
      <t c="6" si="614">
        <n x="610"/>
        <n x="533"/>
        <n x="534"/>
        <n x="611" s="1"/>
        <n x="663"/>
        <n x="704"/>
      </t>
    </mdx>
    <mdx n="0" f="v">
      <t c="6" si="614">
        <n x="610"/>
        <n x="531"/>
        <n x="532"/>
        <n x="611" s="1"/>
        <n x="651"/>
        <n x="652"/>
      </t>
    </mdx>
    <mdx n="0" f="v">
      <t c="6" si="614">
        <n x="202"/>
        <n x="527"/>
        <n x="524"/>
        <n x="611" s="1"/>
        <n x="677"/>
        <n x="678"/>
      </t>
    </mdx>
    <mdx n="0" f="v">
      <t c="6" si="614">
        <n x="610"/>
        <n x="607"/>
        <n x="600"/>
        <n x="611" s="1"/>
        <n x="685"/>
        <n x="686"/>
      </t>
    </mdx>
    <mdx n="0" f="v">
      <t c="6" si="614">
        <n x="610"/>
        <n x="607"/>
        <n x="600"/>
        <n x="611" s="1"/>
        <n x="685"/>
        <n x="686"/>
      </t>
    </mdx>
    <mdx n="0" f="v">
      <t c="6" si="614">
        <n x="610"/>
        <n x="585"/>
        <n x="586"/>
        <n x="611" s="1"/>
        <n x="691"/>
        <n x="692"/>
      </t>
    </mdx>
    <mdx n="0" f="v">
      <t c="6" si="614">
        <n x="610"/>
        <n x="585"/>
        <n x="586"/>
        <n x="611" s="1"/>
        <n x="617"/>
        <n x="628"/>
      </t>
    </mdx>
    <mdx n="0" f="v">
      <t c="6" si="614">
        <n x="610"/>
        <n x="581"/>
        <n x="582"/>
        <n x="611" s="1"/>
        <n x="689"/>
        <n x="618"/>
      </t>
    </mdx>
    <mdx n="0" f="v">
      <t c="6" si="614">
        <n x="610"/>
        <n x="571"/>
        <n x="572"/>
        <n x="611" s="1"/>
        <n x="701"/>
        <n x="702"/>
      </t>
    </mdx>
    <mdx n="0" f="v">
      <t c="6" si="614">
        <n x="610"/>
        <n x="569"/>
        <n x="570"/>
        <n x="611" s="1"/>
        <n x="635"/>
        <n x="636"/>
      </t>
    </mdx>
    <mdx n="0" f="v">
      <t c="6" si="614">
        <n x="610"/>
        <n x="579"/>
        <n x="580"/>
        <n x="611" s="1"/>
        <n x="619"/>
        <n x="620"/>
      </t>
    </mdx>
    <mdx n="0" f="v">
      <t c="6" si="614">
        <n x="610"/>
        <n x="577"/>
        <n x="578"/>
        <n x="611" s="1"/>
        <n x="661"/>
        <n x="662"/>
      </t>
    </mdx>
    <mdx n="0" f="v">
      <t c="6" si="614">
        <n x="610"/>
        <n x="571"/>
        <n x="572"/>
        <n x="611" s="1"/>
        <n x="657"/>
        <n x="658"/>
      </t>
    </mdx>
    <mdx n="0" f="v">
      <t c="6" si="614">
        <n x="610"/>
        <n x="557"/>
        <n x="558"/>
        <n x="611" s="1"/>
        <n x="623"/>
        <n x="624"/>
      </t>
    </mdx>
    <mdx n="0" f="v">
      <t c="6" si="614">
        <n x="610"/>
        <n x="565"/>
        <n x="566"/>
        <n x="611" s="1"/>
        <n x="687"/>
        <n x="688"/>
      </t>
    </mdx>
    <mdx n="0" f="v">
      <t c="6" si="614">
        <n x="610"/>
        <n x="551"/>
        <n x="552"/>
        <n x="611" s="1"/>
        <n x="705"/>
        <n x="638"/>
      </t>
    </mdx>
    <mdx n="0" f="v">
      <t c="6" si="614">
        <n x="610"/>
        <n x="549"/>
        <n x="550"/>
        <n x="611" s="1"/>
        <n x="612"/>
        <n x="613"/>
      </t>
    </mdx>
    <mdx n="0" f="v">
      <t c="6" si="614">
        <n x="610"/>
        <n x="557"/>
        <n x="558"/>
        <n x="611" s="1"/>
        <n x="612"/>
        <n x="613"/>
      </t>
    </mdx>
    <mdx n="0" f="v">
      <t c="6" si="614">
        <n x="202"/>
        <n x="547"/>
        <n x="554"/>
        <n x="611" s="1"/>
        <n x="685"/>
        <n x="686"/>
      </t>
    </mdx>
    <mdx n="0" f="v">
      <t c="6" si="614">
        <n x="610"/>
        <n x="551"/>
        <n x="552"/>
        <n x="611" s="1"/>
        <n x="655"/>
        <n x="688"/>
      </t>
    </mdx>
    <mdx n="0" f="v">
      <t c="6" si="614">
        <n x="202"/>
        <n x="539"/>
        <n x="546"/>
        <n x="611" s="1"/>
        <n x="619"/>
        <n x="620"/>
      </t>
    </mdx>
    <mdx n="0" f="v">
      <t c="6" si="614">
        <n x="610"/>
        <n x="537"/>
        <n x="538"/>
        <n x="611" s="1"/>
        <n x="703"/>
        <n x="704"/>
      </t>
    </mdx>
    <mdx n="0" f="v">
      <t c="6" si="614">
        <n x="610"/>
        <n x="543"/>
        <n x="544"/>
        <n x="611" s="1"/>
        <n x="621"/>
        <n x="622"/>
      </t>
    </mdx>
    <mdx n="0" f="v">
      <t c="6" si="614">
        <n x="610"/>
        <n x="535"/>
        <n x="536"/>
        <n x="611" s="1"/>
        <n x="663"/>
        <n x="664"/>
      </t>
    </mdx>
    <mdx n="0" f="v">
      <t c="6" si="614">
        <n x="610"/>
        <n x="521"/>
        <n x="522"/>
        <n x="611" s="1"/>
        <n x="643"/>
        <n x="644"/>
      </t>
    </mdx>
    <mdx n="0" f="v">
      <t c="6" si="614">
        <n x="610"/>
        <n x="533"/>
        <n x="534"/>
        <n x="611" s="1"/>
        <n x="627"/>
        <n x="628"/>
      </t>
    </mdx>
    <mdx n="0" f="v">
      <t c="6" si="614">
        <n x="610"/>
        <n x="513"/>
        <n x="514"/>
        <n x="611" s="1"/>
        <n x="679"/>
        <n x="680"/>
      </t>
    </mdx>
    <mdx n="0" f="v">
      <t c="6" si="614">
        <n x="610"/>
        <n x="507"/>
        <n x="508"/>
        <n x="611" s="1"/>
        <n x="612"/>
        <n x="664"/>
      </t>
    </mdx>
    <mdx n="0" f="v">
      <t c="6" si="614">
        <n x="610"/>
        <n x="515"/>
        <n x="516"/>
        <n x="611" s="1"/>
        <n x="661"/>
        <n x="662"/>
      </t>
    </mdx>
    <mdx n="0" f="v">
      <t c="6" si="614">
        <n x="610"/>
        <n x="513"/>
        <n x="514"/>
        <n x="611" s="1"/>
        <n x="703"/>
        <n x="704"/>
      </t>
    </mdx>
    <mdx n="0" f="v">
      <t c="6" si="614">
        <n x="610"/>
        <n x="511"/>
        <n x="512"/>
        <n x="611" s="1"/>
        <n x="693"/>
        <n x="694"/>
      </t>
    </mdx>
    <mdx n="0" f="v">
      <t c="6" si="614">
        <n x="610"/>
        <n x="507"/>
        <n x="508"/>
        <n x="611" s="1"/>
        <n x="671"/>
        <n x="704"/>
      </t>
    </mdx>
    <mdx n="0" f="v">
      <t c="6" si="614">
        <n x="610"/>
        <n x="491"/>
        <n x="492"/>
        <n x="611" s="1"/>
        <n x="695"/>
        <n x="696"/>
      </t>
    </mdx>
    <mdx n="0" f="v">
      <t c="6" si="614">
        <n x="610"/>
        <n x="491"/>
        <n x="492"/>
        <n x="611" s="1"/>
        <n x="683"/>
        <n x="684"/>
      </t>
    </mdx>
    <mdx n="0" f="v">
      <t c="6" si="614">
        <n x="202"/>
        <n x="501"/>
        <n x="486"/>
        <n x="611" s="1"/>
        <n x="657"/>
        <n x="658"/>
      </t>
    </mdx>
    <mdx n="0" f="v">
      <t c="6" si="614">
        <n x="610"/>
        <n x="497"/>
        <n x="498"/>
        <n x="611" s="1"/>
        <n x="667"/>
        <n x="668"/>
      </t>
    </mdx>
    <mdx n="0" f="v">
      <t c="6" si="614">
        <n x="610"/>
        <n x="495"/>
        <n x="496"/>
        <n x="611" s="1"/>
        <n x="612"/>
        <n x="642"/>
      </t>
    </mdx>
    <mdx n="0" f="v">
      <t c="6" si="614">
        <n x="610"/>
        <n x="477"/>
        <n x="478"/>
        <n x="611" s="1"/>
        <n x="697"/>
        <n x="698"/>
      </t>
    </mdx>
    <mdx n="0" f="v">
      <t c="6" si="614">
        <n x="610"/>
        <n x="491"/>
        <n x="492"/>
        <n x="611" s="1"/>
        <n x="681"/>
        <n x="652"/>
      </t>
    </mdx>
    <mdx n="0" f="v">
      <t c="6" si="614">
        <n x="610"/>
        <n x="473"/>
        <n x="474"/>
        <n x="611" s="1"/>
        <n x="647"/>
        <n x="648"/>
      </t>
    </mdx>
    <mdx n="0" f="v">
      <t c="6" si="614">
        <n x="610"/>
        <n x="483"/>
        <n x="484"/>
        <n x="611" s="1"/>
        <n x="665"/>
        <n x="666"/>
      </t>
    </mdx>
    <mdx n="0" f="v">
      <t c="6" si="614">
        <n x="610"/>
        <n x="477"/>
        <n x="468"/>
        <n x="611" s="1"/>
        <n x="627"/>
        <n x="628"/>
      </t>
    </mdx>
    <mdx n="0" f="v">
      <t c="6" si="614">
        <n x="610"/>
        <n x="477"/>
        <n x="468"/>
        <n x="611" s="1"/>
        <n x="627"/>
        <n x="628"/>
      </t>
    </mdx>
    <mdx n="0" f="v">
      <t c="6" si="614">
        <n x="610"/>
        <n x="475"/>
        <n x="476"/>
        <n x="611" s="1"/>
        <n x="637"/>
        <n x="684"/>
      </t>
    </mdx>
    <mdx n="0" f="v">
      <t c="6" si="614">
        <n x="610"/>
        <n x="459"/>
        <n x="474"/>
        <n x="611" s="1"/>
        <n x="625"/>
        <n x="626"/>
      </t>
    </mdx>
    <mdx n="0" f="v">
      <t c="6" si="614">
        <n x="610"/>
        <n x="459"/>
        <n x="460"/>
        <n x="611" s="1"/>
        <n x="681"/>
        <n x="702"/>
      </t>
    </mdx>
    <mdx n="0" f="v">
      <t c="6" si="614">
        <n x="610"/>
        <n x="471"/>
        <n x="472"/>
        <n x="611" s="1"/>
        <n x="615"/>
        <n x="616"/>
      </t>
    </mdx>
    <mdx n="0" f="v">
      <t c="6" si="614">
        <n x="610"/>
        <n x="471"/>
        <n x="472"/>
        <n x="611" s="1"/>
        <n x="679"/>
        <n x="680"/>
      </t>
    </mdx>
    <mdx n="0" f="v">
      <t c="6" si="614">
        <n x="610"/>
        <n x="469"/>
        <n x="458"/>
        <n x="611" s="1"/>
        <n x="621"/>
        <n x="622"/>
      </t>
    </mdx>
    <mdx n="0" f="v">
      <t c="6" si="614">
        <n x="610"/>
        <n x="467"/>
        <n x="468"/>
        <n x="611" s="1"/>
        <n x="675"/>
        <n x="676"/>
      </t>
    </mdx>
    <mdx n="0" f="v">
      <t c="6" si="614">
        <n x="610"/>
        <n x="467"/>
        <n x="468"/>
        <n x="611" s="1"/>
        <n x="697"/>
        <n x="698"/>
      </t>
    </mdx>
    <mdx n="0" f="v">
      <t c="6" si="614">
        <n x="610"/>
        <n x="465"/>
        <n x="466"/>
        <n x="611" s="1"/>
        <n x="669"/>
        <n x="670"/>
      </t>
    </mdx>
    <mdx n="0" f="v">
      <t c="6" si="614">
        <n x="610"/>
        <n x="451"/>
        <n x="452"/>
        <n x="611" s="1"/>
        <n x="691"/>
        <n x="692"/>
      </t>
    </mdx>
    <mdx n="0" f="v">
      <t c="6" si="614">
        <n x="610"/>
        <n x="449"/>
        <n x="464"/>
        <n x="611" s="1"/>
        <n x="661"/>
        <n x="662"/>
      </t>
    </mdx>
    <mdx n="0" f="v">
      <t c="6" si="614">
        <n x="610"/>
        <n x="457"/>
        <n x="458"/>
        <n x="611" s="1"/>
        <n x="641"/>
        <n x="690"/>
      </t>
    </mdx>
    <mdx n="0" f="v">
      <t c="6" si="614">
        <n x="610"/>
        <n x="451"/>
        <n x="452"/>
        <n x="611" s="1"/>
        <n x="657"/>
        <n x="658"/>
      </t>
    </mdx>
    <mdx n="0" f="v">
      <t c="6" si="614">
        <n x="610"/>
        <n x="451"/>
        <n x="452"/>
        <n x="611" s="1"/>
        <n x="617"/>
        <n x="618"/>
      </t>
    </mdx>
    <mdx n="0" f="v">
      <t c="6" si="614">
        <n x="610"/>
        <n x="449"/>
        <n x="450"/>
        <n x="611" s="1"/>
        <n x="685"/>
        <n x="694"/>
      </t>
    </mdx>
    <mdx n="0" f="v">
      <t c="6" si="614">
        <n x="610"/>
        <n x="449"/>
        <n x="450"/>
        <n x="611" s="1"/>
        <n x="647"/>
        <n x="658"/>
      </t>
    </mdx>
    <mdx n="0" f="v">
      <t c="6" si="614">
        <n x="610"/>
        <n x="445"/>
        <n x="446"/>
        <n x="611" s="1"/>
        <n x="659"/>
        <n x="674"/>
      </t>
    </mdx>
    <mdx n="0" f="v">
      <t c="6" si="614">
        <n x="610"/>
        <n x="439"/>
        <n x="440"/>
        <n x="611" s="1"/>
        <n x="705"/>
        <n x="706"/>
      </t>
    </mdx>
    <mdx n="0" f="v">
      <t c="6" si="614">
        <n x="610"/>
        <n x="425"/>
        <n x="426"/>
        <n x="611" s="1"/>
        <n x="661"/>
        <n x="662"/>
      </t>
    </mdx>
    <mdx n="0" f="v">
      <t c="6" si="614">
        <n x="610"/>
        <n x="423"/>
        <n x="424"/>
        <n x="611" s="1"/>
        <n x="687"/>
        <n x="688"/>
      </t>
    </mdx>
    <mdx n="0" f="v">
      <t c="6" si="614">
        <n x="610"/>
        <n x="423"/>
        <n x="424"/>
        <n x="611" s="1"/>
        <n x="625"/>
        <n x="690"/>
      </t>
    </mdx>
    <mdx n="0" f="v">
      <t c="6" si="614">
        <n x="610"/>
        <n x="417"/>
        <n x="418"/>
        <n x="611" s="1"/>
        <n x="705"/>
        <n x="706"/>
      </t>
    </mdx>
    <mdx n="0" f="v">
      <t c="6" si="614">
        <n x="610"/>
        <n x="411"/>
        <n x="412"/>
        <n x="611" s="1"/>
        <n x="677"/>
        <n x="678"/>
      </t>
    </mdx>
    <mdx n="0" f="v">
      <t c="6" si="614">
        <n x="610"/>
        <n x="415"/>
        <n x="412"/>
        <n x="611" s="1"/>
        <n x="667"/>
        <n x="668"/>
      </t>
    </mdx>
    <mdx n="0" f="v">
      <t c="6" si="614">
        <n x="610"/>
        <n x="409"/>
        <n x="410"/>
        <n x="611" s="1"/>
        <n x="661"/>
        <n x="662"/>
      </t>
    </mdx>
    <mdx n="0" f="v">
      <t c="6" si="614">
        <n x="610"/>
        <n x="395"/>
        <n x="396"/>
        <n x="611" s="1"/>
        <n x="695"/>
        <n x="696"/>
      </t>
    </mdx>
    <mdx n="0" f="v">
      <t c="6" si="614">
        <n x="610"/>
        <n x="393"/>
        <n x="394"/>
        <n x="611" s="1"/>
        <n x="661"/>
        <n x="662"/>
      </t>
    </mdx>
    <mdx n="0" f="v">
      <t c="6" si="614">
        <n x="610"/>
        <n x="389"/>
        <n x="390"/>
        <n x="611" s="1"/>
        <n x="683"/>
        <n x="684"/>
      </t>
    </mdx>
    <mdx n="0" f="v">
      <t c="6" si="614">
        <n x="610"/>
        <n x="385"/>
        <n x="386"/>
        <n x="611" s="1"/>
        <n x="627"/>
        <n x="628"/>
      </t>
    </mdx>
    <mdx n="0" f="v">
      <t c="6" si="614">
        <n x="610"/>
        <n x="383"/>
        <n x="384"/>
        <n x="611" s="1"/>
        <n x="681"/>
        <n x="682"/>
      </t>
    </mdx>
    <mdx n="0" f="v">
      <t c="6" si="614">
        <n x="610"/>
        <n x="377"/>
        <n x="378"/>
        <n x="611" s="1"/>
        <n x="701"/>
        <n x="702"/>
      </t>
    </mdx>
    <mdx n="0" f="v">
      <t c="6" si="614">
        <n x="610"/>
        <n x="377"/>
        <n x="374"/>
        <n x="611" s="1"/>
        <n x="629"/>
        <n x="630"/>
      </t>
    </mdx>
    <mdx n="0" f="v">
      <t c="6" si="614">
        <n x="610"/>
        <n x="369"/>
        <n x="370"/>
        <n x="611" s="1"/>
        <n x="691"/>
        <n x="692"/>
      </t>
    </mdx>
    <mdx n="0" f="v">
      <t c="6" si="614">
        <n x="610"/>
        <n x="373"/>
        <n x="368"/>
        <n x="611" s="1"/>
        <n x="617"/>
        <n x="618"/>
      </t>
    </mdx>
    <mdx n="0" f="v">
      <t c="6" si="614">
        <n x="610"/>
        <n x="363"/>
        <n x="364"/>
        <n x="611" s="1"/>
        <n x="701"/>
        <n x="702"/>
      </t>
    </mdx>
    <mdx n="0" f="v">
      <t c="6" si="614">
        <n x="610"/>
        <n x="363"/>
        <n x="364"/>
        <n x="611" s="1"/>
        <n x="679"/>
        <n x="648"/>
      </t>
    </mdx>
    <mdx n="0" f="v">
      <t c="6" si="614">
        <n x="610"/>
        <n x="373"/>
        <n x="374"/>
        <n x="611" s="1"/>
        <n x="661"/>
        <n x="662"/>
      </t>
    </mdx>
    <mdx n="0" f="v">
      <t c="6" si="614">
        <n x="610"/>
        <n x="355"/>
        <n x="366"/>
        <n x="611" s="1"/>
        <n x="683"/>
        <n x="684"/>
      </t>
    </mdx>
    <mdx n="0" f="v">
      <t c="6" si="614">
        <n x="610"/>
        <n x="365"/>
        <n x="366"/>
        <n x="611" s="1"/>
        <n x="665"/>
        <n x="674"/>
      </t>
    </mdx>
    <mdx n="0" f="v">
      <t c="6" si="614">
        <n x="610"/>
        <n x="361"/>
        <n x="352"/>
        <n x="611" s="1"/>
        <n x="653"/>
        <n x="654"/>
      </t>
    </mdx>
    <mdx n="0" f="v">
      <t c="6" si="614">
        <n x="610"/>
        <n x="347"/>
        <n x="360"/>
        <n x="611" s="1"/>
        <n x="707"/>
        <n x="708"/>
      </t>
    </mdx>
    <mdx n="0" f="v">
      <t c="6" si="614">
        <n x="610"/>
        <n x="347"/>
        <n x="348"/>
        <n x="611" s="1"/>
        <n x="693"/>
        <n x="694"/>
      </t>
    </mdx>
    <mdx n="0" f="v">
      <t c="6" si="614">
        <n x="610"/>
        <n x="339"/>
        <n x="340"/>
        <n x="611" s="1"/>
        <n x="673"/>
        <n x="678"/>
      </t>
    </mdx>
    <mdx n="0" f="v">
      <t c="6" si="614">
        <n x="610"/>
        <n x="335"/>
        <n x="336"/>
        <n x="611" s="1"/>
        <n x="707"/>
        <n x="708"/>
      </t>
    </mdx>
    <mdx n="0" f="v">
      <t c="6" si="614">
        <n x="610"/>
        <n x="335"/>
        <n x="336"/>
        <n x="611" s="1"/>
        <n x="653"/>
        <n x="654"/>
      </t>
    </mdx>
    <mdx n="0" f="v">
      <t c="6" si="614">
        <n x="610"/>
        <n x="349"/>
        <n x="336"/>
        <n x="611" s="1"/>
        <n x="617"/>
        <n x="618"/>
      </t>
    </mdx>
    <mdx n="0" f="v">
      <t c="6" si="614">
        <n x="610"/>
        <n x="349"/>
        <n x="350"/>
        <n x="611" s="1"/>
        <n x="645"/>
        <n x="702"/>
      </t>
    </mdx>
    <mdx n="0" f="v">
      <t c="6" si="614">
        <n x="610"/>
        <n x="349"/>
        <n x="332"/>
        <n x="611" s="1"/>
        <n x="689"/>
        <n x="690"/>
      </t>
    </mdx>
    <mdx n="0" f="v">
      <t c="6" si="614">
        <n x="610"/>
        <n x="345"/>
        <n x="346"/>
        <n x="611" s="1"/>
        <n x="667"/>
        <n x="668"/>
      </t>
    </mdx>
    <mdx n="0" f="v">
      <t c="6" si="614">
        <n x="610"/>
        <n x="323"/>
        <n x="324"/>
        <n x="611" s="1"/>
        <n x="651"/>
        <n x="652"/>
      </t>
    </mdx>
    <mdx n="0" f="v">
      <t c="6" si="614">
        <n x="610"/>
        <n x="337"/>
        <n x="338"/>
        <n x="611" s="1"/>
        <n x="661"/>
        <n x="662"/>
      </t>
    </mdx>
    <mdx n="0" f="v">
      <t c="6" si="614">
        <n x="610"/>
        <n x="319"/>
        <n x="320"/>
        <n x="611" s="1"/>
        <n x="685"/>
        <n x="686"/>
      </t>
    </mdx>
    <mdx n="0" f="v">
      <t c="6" si="614">
        <n x="610"/>
        <n x="319"/>
        <n x="320"/>
        <n x="611" s="1"/>
        <n x="669"/>
        <n x="670"/>
      </t>
    </mdx>
    <mdx n="0" f="v">
      <t c="6" si="614">
        <n x="610"/>
        <n x="315"/>
        <n x="316"/>
        <n x="611" s="1"/>
        <n x="689"/>
        <n x="690"/>
      </t>
    </mdx>
    <mdx n="0" f="v">
      <t c="6" si="614">
        <n x="610"/>
        <n x="315"/>
        <n x="316"/>
        <n x="611" s="1"/>
        <n x="629"/>
        <n x="613"/>
      </t>
    </mdx>
    <mdx n="0" f="v">
      <t c="6" si="614">
        <n x="610"/>
        <n x="335"/>
        <n x="316"/>
        <n x="611" s="1"/>
        <n x="623"/>
        <n x="624"/>
      </t>
    </mdx>
    <mdx n="0" f="v">
      <t c="6" si="614">
        <n x="610"/>
        <n x="311"/>
        <n x="312"/>
        <n x="611" s="1"/>
        <n x="651"/>
        <n x="652"/>
      </t>
    </mdx>
    <mdx n="0" f="v">
      <t c="6" si="614">
        <n x="610"/>
        <n x="307"/>
        <n x="308"/>
        <n x="611" s="1"/>
        <n x="679"/>
        <n x="700"/>
      </t>
    </mdx>
    <mdx n="0" f="v">
      <t c="6" si="614">
        <n x="610"/>
        <n x="307"/>
        <n x="308"/>
        <n x="611" s="1"/>
        <n x="615"/>
        <n x="616"/>
      </t>
    </mdx>
    <mdx n="0" f="v">
      <t c="6" si="614">
        <n x="610"/>
        <n x="303"/>
        <n x="304"/>
        <n x="611" s="1"/>
        <n x="639"/>
        <n x="640"/>
      </t>
    </mdx>
    <mdx n="0" f="v">
      <t c="6" si="614">
        <n x="610"/>
        <n x="321"/>
        <n x="322"/>
        <n x="611" s="1"/>
        <n x="621"/>
        <n x="702"/>
      </t>
    </mdx>
    <mdx n="0" f="v">
      <t c="6" si="614">
        <n x="610"/>
        <n x="291"/>
        <n x="318"/>
        <n x="611" s="1"/>
        <n x="683"/>
        <n x="684"/>
      </t>
    </mdx>
    <mdx n="0" f="v">
      <t c="6" si="614">
        <n x="610"/>
        <n x="291"/>
        <n x="292"/>
        <n x="611" s="1"/>
        <n x="629"/>
        <n x="630"/>
      </t>
    </mdx>
    <mdx n="0" f="v">
      <t c="6" si="614">
        <n x="610"/>
        <n x="291"/>
        <n x="292"/>
        <n x="611" s="1"/>
        <n x="651"/>
        <n x="652"/>
      </t>
    </mdx>
    <mdx n="0" f="v">
      <t c="6" si="614">
        <n x="610"/>
        <n x="291"/>
        <n x="292"/>
        <n x="611" s="1"/>
        <n x="645"/>
        <n x="646"/>
      </t>
    </mdx>
    <mdx n="0" f="v">
      <t c="6" si="614">
        <n x="610"/>
        <n x="287"/>
        <n x="288"/>
        <n x="611" s="1"/>
        <n x="699"/>
        <n x="700"/>
      </t>
    </mdx>
    <mdx n="0" f="v">
      <t c="6" si="614">
        <n x="610"/>
        <n x="287"/>
        <n x="288"/>
        <n x="611" s="1"/>
        <n x="615"/>
        <n x="616"/>
      </t>
    </mdx>
    <mdx n="0" f="v">
      <t c="6" si="614">
        <n x="610"/>
        <n x="281"/>
        <n x="282"/>
        <n x="611" s="1"/>
        <n x="619"/>
        <n x="694"/>
      </t>
    </mdx>
    <mdx n="0" f="v">
      <t c="6" si="614">
        <n x="610"/>
        <n x="277"/>
        <n x="278"/>
        <n x="611" s="1"/>
        <n x="633"/>
        <n x="634"/>
      </t>
    </mdx>
    <mdx n="0" f="v">
      <t c="6" si="614">
        <n x="610"/>
        <n x="277"/>
        <n x="278"/>
        <n x="611" s="1"/>
        <n x="643"/>
        <n x="644"/>
      </t>
    </mdx>
    <mdx n="0" f="v">
      <t c="6" si="614">
        <n x="610"/>
        <n x="305"/>
        <n x="306"/>
        <n x="611" s="1"/>
        <n x="669"/>
        <n x="688"/>
      </t>
    </mdx>
    <mdx n="0" f="v">
      <t c="6" si="614">
        <n x="610"/>
        <n x="273"/>
        <n x="274"/>
        <n x="611" s="1"/>
        <n x="657"/>
        <n x="658"/>
      </t>
    </mdx>
    <mdx n="0" f="v">
      <t c="6" si="614">
        <n x="610"/>
        <n x="269"/>
        <n x="270"/>
        <n x="611" s="1"/>
        <n x="681"/>
        <n x="622"/>
      </t>
    </mdx>
    <mdx n="0" f="v">
      <t c="6" si="614">
        <n x="610"/>
        <n x="269"/>
        <n x="270"/>
        <n x="611" s="1"/>
        <n x="663"/>
        <n x="664"/>
      </t>
    </mdx>
    <mdx n="0" f="v">
      <t c="6" si="614">
        <n x="610"/>
        <n x="269"/>
        <n x="270"/>
        <n x="611" s="1"/>
        <n x="631"/>
        <n x="632"/>
      </t>
    </mdx>
    <mdx n="0" f="v">
      <t c="6" si="614">
        <n x="610"/>
        <n x="301"/>
        <n x="302"/>
        <n x="611" s="1"/>
        <n x="683"/>
        <n x="684"/>
      </t>
    </mdx>
    <mdx n="0" f="v">
      <t c="6" si="614">
        <n x="610"/>
        <n x="301"/>
        <n x="302"/>
        <n x="611" s="1"/>
        <n x="651"/>
        <n x="652"/>
      </t>
    </mdx>
    <mdx n="0" f="v">
      <t c="6" si="614">
        <n x="610"/>
        <n x="265"/>
        <n x="266"/>
        <n x="611" s="1"/>
        <n x="633"/>
        <n x="634"/>
      </t>
    </mdx>
    <mdx n="0" f="v">
      <t c="6" si="614">
        <n x="610"/>
        <n x="261"/>
        <n x="262"/>
        <n x="611" s="1"/>
        <n x="677"/>
        <n x="678"/>
      </t>
    </mdx>
    <mdx n="0" f="v">
      <t c="6" si="614">
        <n x="202"/>
        <n x="261"/>
        <n x="298"/>
        <n x="611" s="1"/>
        <n x="671"/>
        <n x="672"/>
      </t>
    </mdx>
    <mdx n="0" f="v">
      <t c="6" si="614">
        <n x="610"/>
        <n x="253"/>
        <n x="254"/>
        <n x="611" s="1"/>
        <n x="665"/>
        <n x="666"/>
      </t>
    </mdx>
    <mdx n="0" f="v">
      <t c="6" si="614">
        <n x="610"/>
        <n x="293"/>
        <n x="254"/>
        <n x="611" s="1"/>
        <n x="675"/>
        <n x="676"/>
      </t>
    </mdx>
    <mdx n="0" f="v">
      <t c="6" si="614">
        <n x="610"/>
        <n x="289"/>
        <n x="290"/>
        <n x="611" s="1"/>
        <n x="661"/>
        <n x="662"/>
      </t>
    </mdx>
    <mdx n="0" f="v">
      <t c="6" si="614">
        <n x="610"/>
        <n x="249"/>
        <n x="250"/>
        <n x="611" s="1"/>
        <n x="697"/>
        <n x="698"/>
      </t>
    </mdx>
    <mdx n="0" f="v">
      <t c="6" si="614">
        <n x="610"/>
        <n x="599"/>
        <n x="600"/>
        <n x="611" s="1"/>
        <n x="691"/>
        <n x="692"/>
      </t>
    </mdx>
    <mdx n="0" f="v">
      <t c="6" si="614">
        <n x="610"/>
        <n x="593"/>
        <n x="594"/>
        <n x="611" s="1"/>
        <n x="705"/>
        <n x="706"/>
      </t>
    </mdx>
    <mdx n="0" f="v">
      <t c="6" si="614">
        <n x="610"/>
        <n x="587"/>
        <n x="588"/>
        <n x="611" s="1"/>
        <n x="703"/>
        <n x="704"/>
      </t>
    </mdx>
    <mdx n="0" f="v">
      <t c="6" si="614">
        <n x="610"/>
        <n x="569"/>
        <n x="570"/>
        <n x="611" s="1"/>
        <n x="681"/>
        <n x="682"/>
      </t>
    </mdx>
    <mdx n="0" f="v">
      <t c="6" si="614">
        <n x="610"/>
        <n x="555"/>
        <n x="556"/>
        <n x="611" s="1"/>
        <n x="659"/>
        <n x="660"/>
      </t>
    </mdx>
    <mdx n="0" f="v">
      <t c="6" si="614">
        <n x="610"/>
        <n x="559"/>
        <n x="560"/>
        <n x="611" s="1"/>
        <n x="623"/>
        <n x="624"/>
      </t>
    </mdx>
    <mdx n="0" f="v">
      <t c="6" si="614">
        <n x="610"/>
        <n x="549"/>
        <n x="550"/>
        <n x="611" s="1"/>
        <n x="627"/>
        <n x="628"/>
      </t>
    </mdx>
    <mdx n="0" f="v">
      <t c="6" si="614">
        <n x="610"/>
        <n x="551"/>
        <n x="552"/>
        <n x="611" s="1"/>
        <n x="677"/>
        <n x="678"/>
      </t>
    </mdx>
    <mdx n="0" f="v">
      <t c="6" si="614">
        <n x="610"/>
        <n x="539"/>
        <n x="540"/>
        <n x="611" s="1"/>
        <n x="689"/>
        <n x="690"/>
      </t>
    </mdx>
    <mdx n="0" f="v">
      <t c="6" si="614">
        <n x="610"/>
        <n x="535"/>
        <n x="528"/>
        <n x="611" s="1"/>
        <n x="663"/>
        <n x="664"/>
      </t>
    </mdx>
    <mdx n="0" f="v">
      <t c="6" si="614">
        <n x="610"/>
        <n x="521"/>
        <n x="522"/>
        <n x="611" s="1"/>
        <n x="699"/>
        <n x="700"/>
      </t>
    </mdx>
    <mdx n="0" f="v">
      <t c="6" si="614">
        <n x="610"/>
        <n x="499"/>
        <n x="500"/>
        <n x="611" s="1"/>
        <n x="645"/>
        <n x="646"/>
      </t>
    </mdx>
    <mdx n="0" f="v">
      <t c="6" si="614">
        <n x="610"/>
        <n x="461"/>
        <n x="462"/>
        <n x="611" s="1"/>
        <n x="669"/>
        <n x="670"/>
      </t>
    </mdx>
    <mdx n="0" f="v">
      <t c="6" si="614">
        <n x="610"/>
        <n x="453"/>
        <n x="494"/>
        <n x="611" s="1"/>
        <n x="665"/>
        <n x="666"/>
      </t>
    </mdx>
    <mdx n="0" f="v">
      <t c="6" si="614">
        <n x="610"/>
        <n x="453"/>
        <n x="494"/>
        <n x="611" s="1"/>
        <n x="665"/>
        <n x="666"/>
      </t>
    </mdx>
    <mdx n="0" f="v">
      <t c="6" si="614">
        <n x="610"/>
        <n x="575"/>
        <n x="576"/>
        <n x="611" s="1"/>
        <n x="707"/>
        <n x="708"/>
      </t>
    </mdx>
    <mdx n="0" f="v">
      <t c="6" si="614">
        <n x="610"/>
        <n x="575"/>
        <n x="484"/>
        <n x="611" s="1"/>
        <n x="663"/>
        <n x="664"/>
      </t>
    </mdx>
    <mdx n="0" f="v">
      <t c="6" si="614">
        <n x="610"/>
        <n x="575"/>
        <n x="484"/>
        <n x="611" s="1"/>
        <n x="663"/>
        <n x="664"/>
      </t>
    </mdx>
    <mdx n="0" f="v">
      <t c="6" si="614">
        <n x="610"/>
        <n x="573"/>
        <n x="574"/>
        <n x="611" s="1"/>
        <n x="691"/>
        <n x="692"/>
      </t>
    </mdx>
    <mdx n="0" f="v">
      <t c="6" si="614">
        <n x="610"/>
        <n x="479"/>
        <n x="480"/>
        <n x="611" s="1"/>
        <n x="669"/>
        <n x="670"/>
      </t>
    </mdx>
    <mdx n="0" f="v">
      <t c="6" si="614">
        <n x="610"/>
        <n x="559"/>
        <n x="560"/>
        <n x="611" s="1"/>
        <n x="639"/>
        <n x="640"/>
      </t>
    </mdx>
    <mdx n="0" f="v">
      <t c="6" si="614">
        <n x="610"/>
        <n x="557"/>
        <n x="558"/>
        <n x="611" s="1"/>
        <n x="701"/>
        <n x="702"/>
      </t>
    </mdx>
    <mdx n="0" f="v">
      <t c="6" si="614">
        <n x="610"/>
        <n x="555"/>
        <n x="556"/>
        <n x="611" s="1"/>
        <n x="671"/>
        <n x="672"/>
      </t>
    </mdx>
    <mdx n="0" f="v">
      <t c="6" si="614">
        <n x="610"/>
        <n x="537"/>
        <n x="538"/>
        <n x="611" s="1"/>
        <n x="661"/>
        <n x="662"/>
      </t>
    </mdx>
    <mdx n="0" f="v">
      <t c="6" si="614">
        <n x="610"/>
        <n x="535"/>
        <n x="536"/>
        <n x="611" s="1"/>
        <n x="653"/>
        <n x="630"/>
      </t>
    </mdx>
    <mdx n="0" f="v">
      <t c="6" si="614">
        <n x="610"/>
        <n x="527"/>
        <n x="528"/>
        <n x="611" s="1"/>
        <n x="663"/>
        <n x="664"/>
      </t>
    </mdx>
    <mdx n="0" f="v">
      <t c="6" si="614">
        <n x="610"/>
        <n x="463"/>
        <n x="464"/>
        <n x="611" s="1"/>
        <n x="657"/>
        <n x="660"/>
      </t>
    </mdx>
    <mdx n="0" f="v">
      <t c="6" si="614">
        <n x="610"/>
        <n x="515"/>
        <n x="516"/>
        <n x="611" s="1"/>
        <n x="643"/>
        <n x="644"/>
      </t>
    </mdx>
    <mdx n="0" f="v">
      <t c="6" si="614">
        <n x="610"/>
        <n x="503"/>
        <n x="504"/>
        <n x="611" s="1"/>
        <n x="667"/>
        <n x="668"/>
      </t>
    </mdx>
    <mdx n="0" f="v">
      <t c="6" si="614">
        <n x="610"/>
        <n x="441"/>
        <n x="442"/>
        <n x="611" s="1"/>
        <n x="665"/>
        <n x="666"/>
      </t>
    </mdx>
    <mdx n="0" f="v">
      <t c="6" si="614">
        <n x="610"/>
        <n x="603"/>
        <n x="604"/>
        <n x="611" s="1"/>
        <n x="685"/>
        <n x="636"/>
      </t>
    </mdx>
    <mdx n="0" f="v">
      <t c="6" si="614">
        <n x="610"/>
        <n x="597"/>
        <n x="598"/>
        <n x="611" s="1"/>
        <n x="663"/>
        <n x="664"/>
      </t>
    </mdx>
    <mdx n="0" f="v">
      <t c="6" si="614">
        <n x="610"/>
        <n x="593"/>
        <n x="594"/>
        <n x="611" s="1"/>
        <n x="699"/>
        <n x="700"/>
      </t>
    </mdx>
    <mdx n="0" f="v">
      <t c="6" si="614">
        <n x="610"/>
        <n x="541"/>
        <n x="542"/>
        <n x="611" s="1"/>
        <n x="639"/>
        <n x="640"/>
      </t>
    </mdx>
    <mdx n="0" f="v">
      <t c="6" si="614">
        <n x="610"/>
        <n x="539"/>
        <n x="540"/>
        <n x="611" s="1"/>
        <n x="691"/>
        <n x="692"/>
      </t>
    </mdx>
    <mdx n="0" f="v">
      <t c="6" si="614">
        <n x="610"/>
        <n x="531"/>
        <n x="552"/>
        <n x="611" s="1"/>
        <n x="661"/>
        <n x="662"/>
      </t>
    </mdx>
    <mdx n="0" f="v">
      <t c="6" si="614">
        <n x="610"/>
        <n x="527"/>
        <n x="528"/>
        <n x="611" s="1"/>
        <n x="669"/>
        <n x="670"/>
      </t>
    </mdx>
    <mdx n="0" f="v">
      <t c="6" si="614">
        <n x="610"/>
        <n x="523"/>
        <n x="524"/>
        <n x="611" s="1"/>
        <n x="701"/>
        <n x="702"/>
      </t>
    </mdx>
    <mdx n="0" f="v">
      <t c="6" si="614">
        <n x="610"/>
        <n x="519"/>
        <n x="520"/>
        <n x="611" s="1"/>
        <n x="629"/>
        <n x="678"/>
      </t>
    </mdx>
    <mdx n="0" f="v">
      <t c="6" si="614">
        <n x="610"/>
        <n x="517"/>
        <n x="518"/>
        <n x="611" s="1"/>
        <n x="649"/>
        <n x="652"/>
      </t>
    </mdx>
    <mdx n="0" f="v">
      <t c="6" si="614">
        <n x="610"/>
        <n x="509"/>
        <n x="510"/>
        <n x="611" s="1"/>
        <n x="657"/>
        <n x="682"/>
      </t>
    </mdx>
    <mdx n="0" f="v">
      <t c="6" si="614">
        <n x="610"/>
        <n x="581"/>
        <n x="582"/>
        <n x="611" s="1"/>
        <n x="695"/>
        <n x="696"/>
      </t>
    </mdx>
    <mdx n="0" f="v">
      <t c="6" si="614">
        <n x="202"/>
        <n x="487"/>
        <n x="566"/>
        <n x="611" s="1"/>
        <n x="617"/>
        <n x="618"/>
      </t>
    </mdx>
    <mdx n="0" f="v">
      <t c="6" si="614">
        <n x="610"/>
        <n x="483"/>
        <n x="484"/>
        <n x="611" s="1"/>
        <n x="675"/>
        <n x="676"/>
      </t>
    </mdx>
    <mdx n="0" f="v">
      <t c="6" si="614">
        <n x="610"/>
        <n x="555"/>
        <n x="556"/>
        <n x="611" s="1"/>
        <n x="657"/>
        <n x="666"/>
      </t>
    </mdx>
    <mdx n="0" f="v">
      <t c="6" si="614">
        <n x="610"/>
        <n x="479"/>
        <n x="480"/>
        <n x="611" s="1"/>
        <n x="705"/>
        <n x="706"/>
      </t>
    </mdx>
    <mdx n="0" f="v">
      <t c="6" si="614">
        <n x="610"/>
        <n x="479"/>
        <n x="480"/>
        <n x="611" s="1"/>
        <n x="629"/>
        <n x="630"/>
      </t>
    </mdx>
    <mdx n="0" f="v">
      <t c="6" si="614">
        <n x="610"/>
        <n x="547"/>
        <n x="548"/>
        <n x="611" s="1"/>
        <n x="627"/>
        <n x="628"/>
      </t>
    </mdx>
    <mdx n="0" f="v">
      <t c="6" si="614">
        <n x="610"/>
        <n x="463"/>
        <n x="464"/>
        <n x="611" s="1"/>
        <n x="625"/>
        <n x="626"/>
      </t>
    </mdx>
    <mdx n="0" f="v">
      <t c="6" si="614">
        <n x="610"/>
        <n x="535"/>
        <n x="536"/>
        <n x="611" s="1"/>
        <n x="697"/>
        <n x="698"/>
      </t>
    </mdx>
    <mdx n="0" f="v">
      <t c="6" si="614">
        <n x="202"/>
        <n x="533"/>
        <n x="534"/>
        <n x="611" s="1"/>
        <n x="689"/>
        <n x="690"/>
      </t>
    </mdx>
    <mdx n="0" f="v">
      <t c="6" si="614">
        <n x="610"/>
        <n x="457"/>
        <n x="458"/>
        <n x="611" s="1"/>
        <n x="631"/>
        <n x="632"/>
      </t>
    </mdx>
    <mdx n="0" f="v">
      <t c="6" si="614">
        <n x="610"/>
        <n x="455"/>
        <n x="456"/>
        <n x="611" s="1"/>
        <n x="635"/>
        <n x="636"/>
      </t>
    </mdx>
    <mdx n="0" f="v">
      <t c="6" si="614">
        <n x="610"/>
        <n x="453"/>
        <n x="454"/>
        <n x="611" s="1"/>
        <n x="612"/>
        <n x="613"/>
      </t>
    </mdx>
    <mdx n="0" f="v">
      <t c="6" si="614">
        <n x="610"/>
        <n x="521"/>
        <n x="522"/>
        <n x="611" s="1"/>
        <n x="665"/>
        <n x="666"/>
      </t>
    </mdx>
    <mdx n="0" f="v">
      <t c="6" si="614">
        <n x="610"/>
        <n x="443"/>
        <n x="444"/>
        <n x="611" s="1"/>
        <n x="627"/>
        <n x="628"/>
      </t>
    </mdx>
    <mdx n="0" f="v">
      <t c="6" si="614">
        <n x="610"/>
        <n x="517"/>
        <n x="518"/>
        <n x="611" s="1"/>
        <n x="699"/>
        <n x="700"/>
      </t>
    </mdx>
    <mdx n="0" f="v">
      <t c="6" si="614">
        <n x="610"/>
        <n x="435"/>
        <n x="436"/>
        <n x="611" s="1"/>
        <n x="681"/>
        <n x="682"/>
      </t>
    </mdx>
    <mdx n="0" f="v">
      <t c="6" si="614">
        <n x="610"/>
        <n x="433"/>
        <n x="434"/>
        <n x="611" s="1"/>
        <n x="643"/>
        <n x="644"/>
      </t>
    </mdx>
    <mdx n="0" f="v">
      <t c="6" si="614">
        <n x="610"/>
        <n x="511"/>
        <n x="512"/>
        <n x="611" s="1"/>
        <n x="657"/>
        <n x="658"/>
      </t>
    </mdx>
    <mdx n="0" f="v">
      <t c="6" si="614">
        <n x="610"/>
        <n x="431"/>
        <n x="432"/>
        <n x="611" s="1"/>
        <n x="649"/>
        <n x="644"/>
      </t>
    </mdx>
    <mdx n="0" f="v">
      <t c="6" si="614">
        <n x="610"/>
        <n x="431"/>
        <n x="432"/>
        <n x="611" s="1"/>
        <n x="612"/>
        <n x="613"/>
      </t>
    </mdx>
    <mdx n="0" f="v">
      <t c="6" si="614">
        <n x="610"/>
        <n x="429"/>
        <n x="430"/>
        <n x="611" s="1"/>
        <n x="671"/>
        <n x="704"/>
      </t>
    </mdx>
    <mdx n="0" f="v">
      <t c="6" si="614">
        <n x="202"/>
        <n x="593"/>
        <n x="428"/>
        <n x="611" s="1"/>
        <n x="657"/>
        <n x="658"/>
      </t>
    </mdx>
    <mdx n="0" f="v">
      <t c="6" si="614">
        <n x="610"/>
        <n x="589"/>
        <n x="590"/>
        <n x="611" s="1"/>
        <n x="701"/>
        <n x="702"/>
      </t>
    </mdx>
    <mdx n="0" f="v">
      <t c="6" si="614">
        <n x="610"/>
        <n x="423"/>
        <n x="424"/>
        <n x="611" s="1"/>
        <n x="635"/>
        <n x="636"/>
      </t>
    </mdx>
    <mdx n="0" f="v">
      <t c="6" si="614">
        <n x="610"/>
        <n x="413"/>
        <n x="414"/>
        <n x="611" s="1"/>
        <n x="617"/>
        <n x="618"/>
      </t>
    </mdx>
    <mdx n="0" f="v">
      <t c="6" si="614">
        <n x="610"/>
        <n x="411"/>
        <n x="412"/>
        <n x="611" s="1"/>
        <n x="617"/>
        <n x="618"/>
      </t>
    </mdx>
    <mdx n="0" f="v">
      <t c="6" si="614">
        <n x="610"/>
        <n x="409"/>
        <n x="410"/>
        <n x="611" s="1"/>
        <n x="657"/>
        <n x="658"/>
      </t>
    </mdx>
    <mdx n="0" f="v">
      <t c="6" si="614">
        <n x="202"/>
        <n x="409"/>
        <n x="562"/>
        <n x="611" s="1"/>
        <n x="667"/>
        <n x="668"/>
      </t>
    </mdx>
    <mdx n="0" f="v">
      <t c="6" si="614">
        <n x="610"/>
        <n x="407"/>
        <n x="408"/>
        <n x="611" s="1"/>
        <n x="625"/>
        <n x="626"/>
      </t>
    </mdx>
    <mdx n="0" f="v">
      <t c="6" si="614">
        <n x="610"/>
        <n x="405"/>
        <n x="406"/>
        <n x="611" s="1"/>
        <n x="685"/>
        <n x="686"/>
      </t>
    </mdx>
    <mdx n="0" f="v">
      <t c="6" si="614">
        <n x="610"/>
        <n x="403"/>
        <n x="404"/>
        <n x="611" s="1"/>
        <n x="617"/>
        <n x="618"/>
      </t>
    </mdx>
    <mdx n="0" f="v">
      <t c="6" si="614">
        <n x="610"/>
        <n x="393"/>
        <n x="592"/>
        <n x="611" s="1"/>
        <n x="669"/>
        <n x="670"/>
      </t>
    </mdx>
    <mdx n="0" f="v">
      <t c="6" si="614">
        <n x="610"/>
        <n x="595"/>
        <n x="596"/>
        <n x="611" s="1"/>
        <n x="691"/>
        <n x="660"/>
      </t>
    </mdx>
    <mdx n="0" f="v">
      <t c="6" si="614">
        <n x="610"/>
        <n x="383"/>
        <n x="384"/>
        <n x="611" s="1"/>
        <n x="643"/>
        <n x="644"/>
      </t>
    </mdx>
    <mdx n="0" f="v">
      <t c="6" si="614">
        <n x="610"/>
        <n x="381"/>
        <n x="382"/>
        <n x="611" s="1"/>
        <n x="629"/>
        <n x="630"/>
      </t>
    </mdx>
    <mdx n="0" f="v">
      <t c="6" si="614">
        <n x="610"/>
        <n x="563"/>
        <n x="374"/>
        <n x="611" s="1"/>
        <n x="655"/>
        <n x="656"/>
      </t>
    </mdx>
    <mdx n="0" f="v">
      <t c="6" si="614">
        <n x="610"/>
        <n x="371"/>
        <n x="372"/>
        <n x="611" s="1"/>
        <n x="703"/>
        <n x="704"/>
      </t>
    </mdx>
    <mdx n="0" f="v">
      <t c="6" si="614">
        <n x="610"/>
        <n x="371"/>
        <n x="372"/>
        <n x="611" s="1"/>
        <n x="663"/>
        <n x="664"/>
      </t>
    </mdx>
    <mdx n="0" f="v">
      <t c="6" si="614">
        <n x="610"/>
        <n x="367"/>
        <n x="368"/>
        <n x="611" s="1"/>
        <n x="673"/>
        <n x="674"/>
      </t>
    </mdx>
    <mdx n="0" f="v">
      <t c="6" si="614">
        <n x="610"/>
        <n x="367"/>
        <n x="368"/>
        <n x="611" s="1"/>
        <n x="629"/>
        <n x="630"/>
      </t>
    </mdx>
    <mdx n="0" f="v">
      <t c="6" si="614">
        <n x="610"/>
        <n x="543"/>
        <n x="544"/>
        <n x="611" s="1"/>
        <n x="612"/>
        <n x="613"/>
      </t>
    </mdx>
    <mdx n="0" f="v">
      <t c="6" si="614">
        <n x="610"/>
        <n x="541"/>
        <n x="364"/>
        <n x="611" s="1"/>
        <n x="659"/>
        <n x="660"/>
      </t>
    </mdx>
    <mdx n="0" f="v">
      <t c="6" si="614">
        <n x="610"/>
        <n x="363"/>
        <n x="364"/>
        <n x="611" s="1"/>
        <n x="629"/>
        <n x="670"/>
      </t>
    </mdx>
    <mdx n="0" f="v">
      <t c="6" si="614">
        <n x="610"/>
        <n x="355"/>
        <n x="530"/>
        <n x="611" s="1"/>
        <n x="657"/>
        <n x="658"/>
      </t>
    </mdx>
    <mdx n="0" f="v">
      <t c="6" si="614">
        <n x="610"/>
        <n x="355"/>
        <n x="530"/>
        <n x="611" s="1"/>
        <n x="657"/>
        <n x="658"/>
      </t>
    </mdx>
    <mdx n="0" f="v">
      <t c="6" si="614">
        <n x="610"/>
        <n x="603"/>
        <n x="604"/>
        <n x="611" s="1"/>
        <n x="631"/>
        <n x="632"/>
      </t>
    </mdx>
    <mdx n="0" f="v">
      <t c="6" si="614">
        <n x="610"/>
        <n x="353"/>
        <n x="354"/>
        <n x="611" s="1"/>
        <n x="669"/>
        <n x="670"/>
      </t>
    </mdx>
    <mdx n="0" f="v">
      <t c="6" si="614">
        <n x="610"/>
        <n x="353"/>
        <n x="354"/>
        <n x="611" s="1"/>
        <n x="691"/>
        <n x="692"/>
      </t>
    </mdx>
    <mdx n="0" f="v">
      <t c="6" si="614">
        <n x="610"/>
        <n x="351"/>
        <n x="352"/>
        <n x="611" s="1"/>
        <n x="681"/>
        <n x="682"/>
      </t>
    </mdx>
    <mdx n="0" f="v">
      <t c="6" si="614">
        <n x="610"/>
        <n x="597"/>
        <n x="598"/>
        <n x="611" s="1"/>
        <n x="669"/>
        <n x="670"/>
      </t>
    </mdx>
    <mdx n="0" f="v">
      <t c="6" si="614">
        <n x="610"/>
        <n x="515"/>
        <n x="516"/>
        <n x="611" s="1"/>
        <n x="653"/>
        <n x="654"/>
      </t>
    </mdx>
    <mdx n="0" f="v">
      <t c="6" si="614">
        <n x="610"/>
        <n x="349"/>
        <n x="350"/>
        <n x="611" s="1"/>
        <n x="635"/>
        <n x="636"/>
      </t>
    </mdx>
    <mdx n="0" f="v">
      <t c="6" si="614">
        <n x="610"/>
        <n x="587"/>
        <n x="588"/>
        <n x="611" s="1"/>
        <n x="635"/>
        <n x="636"/>
      </t>
    </mdx>
    <mdx n="0" f="v">
      <t c="6" si="614">
        <n x="610"/>
        <n x="347"/>
        <n x="348"/>
        <n x="611" s="1"/>
        <n x="669"/>
        <n x="670"/>
      </t>
    </mdx>
    <mdx n="0" f="v">
      <t c="6" si="614">
        <n x="610"/>
        <n x="347"/>
        <n x="348"/>
        <n x="611" s="1"/>
        <n x="671"/>
        <n x="636"/>
      </t>
    </mdx>
    <mdx n="0" f="v">
      <t c="6" si="614">
        <n x="610"/>
        <n x="575"/>
        <n x="576"/>
        <n x="611" s="1"/>
        <n x="673"/>
        <n x="674"/>
      </t>
    </mdx>
    <mdx n="0" f="v">
      <t c="6" si="614">
        <n x="610"/>
        <n x="573"/>
        <n x="574"/>
        <n x="611" s="1"/>
        <n x="663"/>
        <n x="664"/>
      </t>
    </mdx>
    <mdx n="0" f="v">
      <t c="6" si="614">
        <n x="610"/>
        <n x="569"/>
        <n x="570"/>
        <n x="611" s="1"/>
        <n x="647"/>
        <n x="648"/>
      </t>
    </mdx>
    <mdx n="0" f="v">
      <t c="6" si="614">
        <n x="610"/>
        <n x="563"/>
        <n x="564"/>
        <n x="611" s="1"/>
        <n x="681"/>
        <n x="682"/>
      </t>
    </mdx>
    <mdx n="0" f="v">
      <t c="6" si="614">
        <n x="610"/>
        <n x="555"/>
        <n x="556"/>
        <n x="611" s="1"/>
        <n x="665"/>
        <n x="694"/>
      </t>
    </mdx>
    <mdx n="0" f="v">
      <t c="6" si="614">
        <n x="610"/>
        <n x="565"/>
        <n x="566"/>
        <n x="611" s="1"/>
        <n x="701"/>
        <n x="666"/>
      </t>
    </mdx>
    <mdx n="0" f="v">
      <t c="6" si="614">
        <n x="610"/>
        <n x="559"/>
        <n x="560"/>
        <n x="611" s="1"/>
        <n x="679"/>
        <n x="680"/>
      </t>
    </mdx>
    <mdx n="0" f="v">
      <t c="6" si="614">
        <n x="610"/>
        <n x="605"/>
        <n x="556"/>
        <n x="611" s="1"/>
        <n x="679"/>
        <n x="680"/>
      </t>
    </mdx>
    <mdx n="0" f="v">
      <t c="6" si="614">
        <n x="610"/>
        <n x="555"/>
        <n x="556"/>
        <n x="611" s="1"/>
        <n x="647"/>
        <n x="652"/>
      </t>
    </mdx>
    <mdx n="0" f="v">
      <t c="6" si="614">
        <n x="610"/>
        <n x="553"/>
        <n x="554"/>
        <n x="611" s="1"/>
        <n x="639"/>
        <n x="658"/>
      </t>
    </mdx>
    <mdx n="0" f="v">
      <t c="6" si="614">
        <n x="610"/>
        <n x="549"/>
        <n x="550"/>
        <n x="611" s="1"/>
        <n x="657"/>
        <n x="658"/>
      </t>
    </mdx>
    <mdx n="0" f="v">
      <t c="6" si="614">
        <n x="610"/>
        <n x="605"/>
        <n x="606"/>
        <n x="611" s="1"/>
        <n x="612"/>
        <n x="613"/>
      </t>
    </mdx>
    <mdx n="0" f="v">
      <t c="6" si="614">
        <n x="610"/>
        <n x="605"/>
        <n x="606"/>
        <n x="611" s="1"/>
        <n x="699"/>
        <n x="700"/>
      </t>
    </mdx>
    <mdx n="0" f="v">
      <t c="6" si="614">
        <n x="610"/>
        <n x="551"/>
        <n x="552"/>
        <n x="611" s="1"/>
        <n x="615"/>
        <n x="616"/>
      </t>
    </mdx>
    <mdx n="0" f="v">
      <t c="6" si="614">
        <n x="610"/>
        <n x="541"/>
        <n x="542"/>
        <n x="611" s="1"/>
        <n x="637"/>
        <n x="638"/>
      </t>
    </mdx>
    <mdx n="0" f="v">
      <t c="6" si="614">
        <n x="610"/>
        <n x="539"/>
        <n x="540"/>
        <n x="611" s="1"/>
        <n x="707"/>
        <n x="708"/>
      </t>
    </mdx>
    <mdx n="0" f="v">
      <t c="6" si="614">
        <n x="610"/>
        <n x="543"/>
        <n x="544"/>
        <n x="611" s="1"/>
        <n x="665"/>
        <n x="666"/>
      </t>
    </mdx>
    <mdx n="0" f="v">
      <t c="6" si="614">
        <n x="610"/>
        <n x="543"/>
        <n x="544"/>
        <n x="611" s="1"/>
        <n x="653"/>
        <n x="666"/>
      </t>
    </mdx>
    <mdx n="0" f="v">
      <t c="6" si="614">
        <n x="610"/>
        <n x="535"/>
        <n x="540"/>
        <n x="611" s="1"/>
        <n x="617"/>
        <n x="618"/>
      </t>
    </mdx>
    <mdx n="0" f="v">
      <t c="6" si="614">
        <n x="610"/>
        <n x="535"/>
        <n x="540"/>
        <n x="611" s="1"/>
        <n x="617"/>
        <n x="618"/>
      </t>
    </mdx>
    <mdx n="0" f="v">
      <t c="6" si="614">
        <n x="610"/>
        <n x="535"/>
        <n x="540"/>
        <n x="611" s="1"/>
        <n x="617"/>
        <n x="618"/>
      </t>
    </mdx>
    <mdx n="0" f="v">
      <t c="6" si="614">
        <n x="610"/>
        <n x="503"/>
        <n x="528"/>
        <n x="611" s="1"/>
        <n x="631"/>
        <n x="632"/>
      </t>
    </mdx>
    <mdx n="0" f="v">
      <t c="6" si="614">
        <n x="610"/>
        <n x="501"/>
        <n x="524"/>
        <n x="611" s="1"/>
        <n x="685"/>
        <n x="686"/>
      </t>
    </mdx>
    <mdx n="0" f="v">
      <t c="6" si="614">
        <n x="610"/>
        <n x="515"/>
        <n x="516"/>
        <n x="611" s="1"/>
        <n x="633"/>
        <n x="634"/>
      </t>
    </mdx>
    <mdx n="0" f="v">
      <t c="6" si="614">
        <n x="610"/>
        <n x="519"/>
        <n x="520"/>
        <n x="611" s="1"/>
        <n x="657"/>
        <n x="658"/>
      </t>
    </mdx>
    <mdx n="0" f="v">
      <t c="6" si="614">
        <n x="610"/>
        <n x="519"/>
        <n x="520"/>
        <n x="611" s="1"/>
        <n x="671"/>
        <n x="672"/>
      </t>
    </mdx>
    <mdx n="0" f="v">
      <t c="6" si="614">
        <n x="610"/>
        <n x="595"/>
        <n x="596"/>
        <n x="611" s="1"/>
        <n x="671"/>
        <n x="672"/>
      </t>
    </mdx>
    <mdx n="0" f="v">
      <t c="6" si="614">
        <n x="610"/>
        <n x="347"/>
        <n x="518"/>
        <n x="611" s="1"/>
        <n x="649"/>
        <n x="634"/>
      </t>
    </mdx>
    <mdx n="0" f="v">
      <t c="6" si="614">
        <n x="610"/>
        <n x="347"/>
        <n x="348"/>
        <n x="611" s="1"/>
        <n x="617"/>
        <n x="618"/>
      </t>
    </mdx>
    <mdx n="0" f="v">
      <t c="6" si="614">
        <n x="610"/>
        <n x="345"/>
        <n x="346"/>
        <n x="611" s="1"/>
        <n x="697"/>
        <n x="658"/>
      </t>
    </mdx>
    <mdx n="0" f="v">
      <t c="6" si="614">
        <n x="610"/>
        <n x="551"/>
        <n x="552"/>
        <n x="611" s="1"/>
        <n x="657"/>
        <n x="658"/>
      </t>
    </mdx>
    <mdx n="0" f="v">
      <t c="6" si="614">
        <n x="610"/>
        <n x="551"/>
        <n x="590"/>
        <n x="611" s="1"/>
        <n x="615"/>
        <n x="616"/>
      </t>
    </mdx>
    <mdx n="0" f="v">
      <t c="6" si="614">
        <n x="610"/>
        <n x="501"/>
        <n x="502"/>
        <n x="611" s="1"/>
        <n x="635"/>
        <n x="622"/>
      </t>
    </mdx>
    <mdx n="0" f="v">
      <t c="6" si="614">
        <n x="610"/>
        <n x="561"/>
        <n x="570"/>
        <n x="611" s="1"/>
        <n x="687"/>
        <n x="688"/>
      </t>
    </mdx>
    <mdx n="0" f="v">
      <t c="6" si="614">
        <n x="610"/>
        <n x="581"/>
        <n x="582"/>
        <n x="611" s="1"/>
        <n x="635"/>
        <n x="652"/>
      </t>
    </mdx>
    <mdx n="0" f="v">
      <t c="6" si="614">
        <n x="610"/>
        <n x="575"/>
        <n x="576"/>
        <n x="611" s="1"/>
        <n x="629"/>
        <n x="702"/>
      </t>
    </mdx>
    <mdx n="0" f="v">
      <t c="6" si="614">
        <n x="610"/>
        <n x="557"/>
        <n x="544"/>
        <n x="611" s="1"/>
        <n x="689"/>
        <n x="690"/>
      </t>
    </mdx>
    <mdx n="0" f="v">
      <t c="6" si="614">
        <n x="610"/>
        <n x="557"/>
        <n x="544"/>
        <n x="611" s="1"/>
        <n x="689"/>
        <n x="690"/>
      </t>
    </mdx>
    <mdx n="0" f="v">
      <t c="6" si="614">
        <n x="610"/>
        <n x="567"/>
        <n x="568"/>
        <n x="611" s="1"/>
        <n x="631"/>
        <n x="632"/>
      </t>
    </mdx>
    <mdx n="0" f="v">
      <t c="6" si="614">
        <n x="610"/>
        <n x="539"/>
        <n x="564"/>
        <n x="611" s="1"/>
        <n x="653"/>
        <n x="654"/>
      </t>
    </mdx>
    <mdx n="0" f="v">
      <t c="6" si="614">
        <n x="610"/>
        <n x="531"/>
        <n x="532"/>
        <n x="611" s="1"/>
        <n x="621"/>
        <n x="674"/>
      </t>
    </mdx>
    <mdx n="0" f="v">
      <t c="6" si="614">
        <n x="610"/>
        <n x="551"/>
        <n x="552"/>
        <n x="611" s="1"/>
        <n x="665"/>
        <n x="666"/>
      </t>
    </mdx>
    <mdx n="0" f="v">
      <t c="6" si="614">
        <n x="610"/>
        <n x="533"/>
        <n x="534"/>
        <n x="611" s="1"/>
        <n x="651"/>
        <n x="652"/>
      </t>
    </mdx>
    <mdx n="0" f="v">
      <t c="6" si="614">
        <n x="610"/>
        <n x="523"/>
        <n x="524"/>
        <n x="611" s="1"/>
        <n x="651"/>
        <n x="652"/>
      </t>
    </mdx>
    <mdx n="0" f="v">
      <t c="6" si="614">
        <n x="610"/>
        <n x="527"/>
        <n x="528"/>
        <n x="611" s="1"/>
        <n x="687"/>
        <n x="670"/>
      </t>
    </mdx>
    <mdx n="0" f="v">
      <t c="6" si="614">
        <n x="610"/>
        <n x="515"/>
        <n x="516"/>
        <n x="611" s="1"/>
        <n x="659"/>
        <n x="660"/>
      </t>
    </mdx>
    <mdx n="0" f="v">
      <t c="6" si="614">
        <n x="610"/>
        <n x="505"/>
        <n x="506"/>
        <n x="611" s="1"/>
        <n x="619"/>
        <n x="708"/>
      </t>
    </mdx>
    <mdx n="0" f="v">
      <t c="6" si="614">
        <n x="610"/>
        <n x="529"/>
        <n x="496"/>
        <n x="611" s="1"/>
        <n x="671"/>
        <n x="672"/>
      </t>
    </mdx>
    <mdx n="0" f="v">
      <t c="6" si="614">
        <n x="610"/>
        <n x="495"/>
        <n x="496"/>
        <n x="611" s="1"/>
        <n x="667"/>
        <n x="668"/>
      </t>
    </mdx>
    <mdx n="0" f="v">
      <t c="6" si="614">
        <n x="610"/>
        <n x="589"/>
        <n x="590"/>
        <n x="611" s="1"/>
        <n x="625"/>
        <n x="626"/>
      </t>
    </mdx>
    <mdx n="0" f="v">
      <t c="6" si="614">
        <n x="610"/>
        <n x="483"/>
        <n x="484"/>
        <n x="611" s="1"/>
        <n x="629"/>
        <n x="656"/>
      </t>
    </mdx>
    <mdx n="0" f="v">
      <t c="6" si="614">
        <n x="610"/>
        <n x="475"/>
        <n x="476"/>
        <n x="611" s="1"/>
        <n x="639"/>
        <n x="640"/>
      </t>
    </mdx>
    <mdx n="0" f="v">
      <t c="6" si="614">
        <n x="610"/>
        <n x="543"/>
        <n x="544"/>
        <n x="611" s="1"/>
        <n x="687"/>
        <n x="670"/>
      </t>
    </mdx>
    <mdx n="0" f="v">
      <t c="6" si="614">
        <n x="610"/>
        <n x="531"/>
        <n x="532"/>
        <n x="611" s="1"/>
        <n x="663"/>
        <n x="664"/>
      </t>
    </mdx>
    <mdx n="0" f="v">
      <t c="6" si="614">
        <n x="610"/>
        <n x="583"/>
        <n x="584"/>
        <n x="611" s="1"/>
        <n x="641"/>
        <n x="642"/>
      </t>
    </mdx>
    <mdx n="0" f="v">
      <t c="6" si="614">
        <n x="610"/>
        <n x="579"/>
        <n x="580"/>
        <n x="611" s="1"/>
        <n x="679"/>
        <n x="680"/>
      </t>
    </mdx>
    <mdx n="0" f="v">
      <t c="6" si="614">
        <n x="610"/>
        <n x="459"/>
        <n x="460"/>
        <n x="611" s="1"/>
        <n x="667"/>
        <n x="668"/>
      </t>
    </mdx>
    <mdx n="0" f="v">
      <t c="6" si="614">
        <n x="610"/>
        <n x="455"/>
        <n x="456"/>
        <n x="611" s="1"/>
        <n x="661"/>
        <n x="662"/>
      </t>
    </mdx>
    <mdx n="0" f="v">
      <t c="6" si="614">
        <n x="610"/>
        <n x="557"/>
        <n x="456"/>
        <n x="611" s="1"/>
        <n x="629"/>
        <n x="630"/>
      </t>
    </mdx>
    <mdx n="0" f="v">
      <t c="6" si="614">
        <n x="610"/>
        <n x="519"/>
        <n x="520"/>
        <n x="611" s="1"/>
        <n x="651"/>
        <n x="624"/>
      </t>
    </mdx>
    <mdx n="0" f="v">
      <t c="6" si="614">
        <n x="610"/>
        <n x="449"/>
        <n x="450"/>
        <n x="611" s="1"/>
        <n x="663"/>
        <n x="664"/>
      </t>
    </mdx>
    <mdx n="0" f="v">
      <t c="6" si="614">
        <n x="610"/>
        <n x="513"/>
        <n x="514"/>
        <n x="611" s="1"/>
        <n x="643"/>
        <n x="644"/>
      </t>
    </mdx>
    <mdx n="0" f="v">
      <t c="6" si="614">
        <n x="610"/>
        <n x="511"/>
        <n x="512"/>
        <n x="611" s="1"/>
        <n x="657"/>
        <n x="658"/>
      </t>
    </mdx>
    <mdx n="0" f="v">
      <t c="6" si="614">
        <n x="610"/>
        <n x="443"/>
        <n x="444"/>
        <n x="611" s="1"/>
        <n x="643"/>
        <n x="688"/>
      </t>
    </mdx>
    <mdx n="0" f="v">
      <t c="6" si="614">
        <n x="610"/>
        <n x="441"/>
        <n x="442"/>
        <n x="611" s="1"/>
        <n x="657"/>
        <n x="658"/>
      </t>
    </mdx>
    <mdx n="0" f="v">
      <t c="6" si="614">
        <n x="610"/>
        <n x="441"/>
        <n x="560"/>
        <n x="611" s="1"/>
        <n x="689"/>
        <n x="690"/>
      </t>
    </mdx>
    <mdx n="0" f="v">
      <t c="6" si="614">
        <n x="610"/>
        <n x="441"/>
        <n x="560"/>
        <n x="611" s="1"/>
        <n x="689"/>
        <n x="690"/>
      </t>
    </mdx>
    <mdx n="0" f="v">
      <t c="6" si="614">
        <n x="610"/>
        <n x="437"/>
        <n x="438"/>
        <n x="611" s="1"/>
        <n x="685"/>
        <n x="686"/>
      </t>
    </mdx>
    <mdx n="0" f="v">
      <t c="6" si="614">
        <n x="610"/>
        <n x="563"/>
        <n x="564"/>
        <n x="611" s="1"/>
        <n x="691"/>
        <n x="692"/>
      </t>
    </mdx>
    <mdx n="0" f="v">
      <t c="6" si="614">
        <n x="610"/>
        <n x="563"/>
        <n x="528"/>
        <n x="611" s="1"/>
        <n x="667"/>
        <n x="668"/>
      </t>
    </mdx>
    <mdx n="0" f="v">
      <t c="6" si="614">
        <n x="610"/>
        <n x="431"/>
        <n x="432"/>
        <n x="611" s="1"/>
        <n x="647"/>
        <n x="648"/>
      </t>
    </mdx>
    <mdx n="0" f="v">
      <t c="6" si="614">
        <n x="610"/>
        <n x="599"/>
        <n x="594"/>
        <n x="611" s="1"/>
        <n x="703"/>
        <n x="704"/>
      </t>
    </mdx>
    <mdx n="0" f="v">
      <t c="6" si="614">
        <n x="610"/>
        <n x="521"/>
        <n x="522"/>
        <n x="611" s="1"/>
        <n x="691"/>
        <n x="692"/>
      </t>
    </mdx>
    <mdx n="0" f="v">
      <t c="6" si="614">
        <n x="610"/>
        <n x="517"/>
        <n x="518"/>
        <n x="611" s="1"/>
        <n x="627"/>
        <n x="658"/>
      </t>
    </mdx>
    <mdx n="0" f="v">
      <t c="6" si="614">
        <n x="610"/>
        <n x="517"/>
        <n x="518"/>
        <n x="611" s="1"/>
        <n x="669"/>
        <n x="670"/>
      </t>
    </mdx>
    <mdx n="0" f="v">
      <t c="6" si="614">
        <n x="610"/>
        <n x="577"/>
        <n x="578"/>
        <n x="611" s="1"/>
        <n x="631"/>
        <n x="632"/>
      </t>
    </mdx>
    <mdx n="0" f="v">
      <t c="6" si="614">
        <n x="610"/>
        <n x="559"/>
        <n x="508"/>
        <n x="611" s="1"/>
        <n x="693"/>
        <n x="694"/>
      </t>
    </mdx>
    <mdx n="0" f="v">
      <t c="6" si="614">
        <n x="610"/>
        <n x="503"/>
        <n x="546"/>
        <n x="611" s="1"/>
        <n x="667"/>
        <n x="668"/>
      </t>
    </mdx>
    <mdx n="0" f="v">
      <t c="6" si="614">
        <n x="610"/>
        <n x="499"/>
        <n x="492"/>
        <n x="611" s="1"/>
        <n x="705"/>
        <n x="706"/>
      </t>
    </mdx>
    <mdx n="0" f="v">
      <t c="6" si="614">
        <n x="610"/>
        <n x="531"/>
        <n x="532"/>
        <n x="611" s="1"/>
        <n x="675"/>
        <n x="678"/>
      </t>
    </mdx>
    <mdx n="0" f="v">
      <t c="6" si="614">
        <n x="610"/>
        <n x="491"/>
        <n x="492"/>
        <n x="611" s="1"/>
        <n x="637"/>
        <n x="638"/>
      </t>
    </mdx>
    <mdx n="0" f="v">
      <t c="6" si="614">
        <n x="610"/>
        <n x="519"/>
        <n x="520"/>
        <n x="611" s="1"/>
        <n x="671"/>
        <n x="672"/>
      </t>
    </mdx>
    <mdx n="0" f="v">
      <t c="6" si="614">
        <n x="610"/>
        <n x="487"/>
        <n x="488"/>
        <n x="611" s="1"/>
        <n x="627"/>
        <n x="628"/>
      </t>
    </mdx>
    <mdx n="0" f="v">
      <t c="6" si="614">
        <n x="610"/>
        <n x="519"/>
        <n x="520"/>
        <n x="611" s="1"/>
        <n x="617"/>
        <n x="618"/>
      </t>
    </mdx>
    <mdx n="0" f="v">
      <t c="6" si="614">
        <n x="202"/>
        <n x="517"/>
        <n x="522"/>
        <n x="611" s="1"/>
        <n x="653"/>
        <n x="654"/>
      </t>
    </mdx>
    <mdx n="0" f="v">
      <t c="6" si="614">
        <n x="610"/>
        <n x="515"/>
        <n x="516"/>
        <n x="611" s="1"/>
        <n x="649"/>
        <n x="650"/>
      </t>
    </mdx>
    <mdx n="0" f="v">
      <t c="6" si="614">
        <n x="610"/>
        <n x="503"/>
        <n x="504"/>
        <n x="611" s="1"/>
        <n x="647"/>
        <n x="648"/>
      </t>
    </mdx>
    <mdx n="0" f="v">
      <t c="6" si="614">
        <n x="610"/>
        <n x="547"/>
        <n x="548"/>
        <n x="611" s="1"/>
        <n x="627"/>
        <n x="628"/>
      </t>
    </mdx>
    <mdx n="0" f="v">
      <t c="6" si="614">
        <n x="610"/>
        <n x="547"/>
        <n x="548"/>
        <n x="611" s="1"/>
        <n x="612"/>
        <n x="613"/>
      </t>
    </mdx>
    <mdx n="0" f="v">
      <t c="6" si="614">
        <n x="610"/>
        <n x="493"/>
        <n x="518"/>
        <n x="611" s="1"/>
        <n x="625"/>
        <n x="626"/>
      </t>
    </mdx>
    <mdx n="0" f="v">
      <t c="6" si="614">
        <n x="610"/>
        <n x="537"/>
        <n x="538"/>
        <n x="611" s="1"/>
        <n x="625"/>
        <n x="626"/>
      </t>
    </mdx>
    <mdx n="0" f="v">
      <t c="6" si="614">
        <n x="610"/>
        <n x="491"/>
        <n x="536"/>
        <n x="611" s="1"/>
        <n x="627"/>
        <n x="616"/>
      </t>
    </mdx>
    <mdx n="0" f="v">
      <t c="6" si="614">
        <n x="610"/>
        <n x="491"/>
        <n x="536"/>
        <n x="611" s="1"/>
        <n x="683"/>
        <n x="616"/>
      </t>
    </mdx>
    <mdx n="0" f="v">
      <t c="6" si="614">
        <n x="610"/>
        <n x="491"/>
        <n x="536"/>
        <n x="611" s="1"/>
        <n x="683"/>
        <n x="684"/>
      </t>
    </mdx>
    <mdx n="0" f="v">
      <t c="6" si="614">
        <n x="610"/>
        <n x="541"/>
        <n x="542"/>
        <n x="611" s="1"/>
        <n x="705"/>
        <n x="668"/>
      </t>
    </mdx>
    <mdx n="0" f="v">
      <t c="6" si="614">
        <n x="610"/>
        <n x="487"/>
        <n x="488"/>
        <n x="611" s="1"/>
        <n x="669"/>
        <n x="670"/>
      </t>
    </mdx>
    <mdx n="0" f="v">
      <t c="6" si="614">
        <n x="610"/>
        <n x="557"/>
        <n x="558"/>
        <n x="611" s="1"/>
        <n x="701"/>
        <n x="632"/>
      </t>
    </mdx>
    <mdx n="0" f="v">
      <t c="6" si="614">
        <n x="610"/>
        <n x="557"/>
        <n x="558"/>
        <n x="611" s="1"/>
        <n x="669"/>
        <n x="670"/>
      </t>
    </mdx>
    <mdx n="0" f="v">
      <t c="6" si="614">
        <n x="610"/>
        <n x="555"/>
        <n x="556"/>
        <n x="611" s="1"/>
        <n x="612"/>
        <n x="613"/>
      </t>
    </mdx>
    <mdx n="0" f="v">
      <t c="6" si="614">
        <n x="610"/>
        <n x="473"/>
        <n x="474"/>
        <n x="611" s="1"/>
        <n x="615"/>
        <n x="616"/>
      </t>
    </mdx>
    <mdx n="0" f="v">
      <t c="6" si="614">
        <n x="610"/>
        <n x="511"/>
        <n x="512"/>
        <n x="611" s="1"/>
        <n x="661"/>
        <n x="662"/>
      </t>
    </mdx>
    <mdx n="0" f="v">
      <t c="6" si="614">
        <n x="610"/>
        <n x="505"/>
        <n x="506"/>
        <n x="611" s="1"/>
        <n x="683"/>
        <n x="684"/>
      </t>
    </mdx>
    <mdx n="0" f="v">
      <t c="6" si="614">
        <n x="610"/>
        <n x="431"/>
        <n x="432"/>
        <n x="611" s="1"/>
        <n x="621"/>
        <n x="622"/>
      </t>
    </mdx>
    <mdx n="0" f="v">
      <t c="6" si="614">
        <n x="610"/>
        <n x="525"/>
        <n x="526"/>
        <n x="611" s="1"/>
        <n x="699"/>
        <n x="700"/>
      </t>
    </mdx>
    <mdx n="0" f="v">
      <t c="6" si="614">
        <n x="610"/>
        <n x="519"/>
        <n x="520"/>
        <n x="611" s="1"/>
        <n x="705"/>
        <n x="706"/>
      </t>
    </mdx>
    <mdx n="0" f="v">
      <t c="6" si="614">
        <n x="610"/>
        <n x="517"/>
        <n x="518"/>
        <n x="611" s="1"/>
        <n x="703"/>
        <n x="704"/>
      </t>
    </mdx>
    <mdx n="0" f="v">
      <t c="6" si="614">
        <n x="610"/>
        <n x="499"/>
        <n x="500"/>
        <n x="611" s="1"/>
        <n x="633"/>
        <n x="678"/>
      </t>
    </mdx>
    <mdx n="0" f="v">
      <t c="6" si="614">
        <n x="610"/>
        <n x="543"/>
        <n x="544"/>
        <n x="611" s="1"/>
        <n x="615"/>
        <n x="616"/>
      </t>
    </mdx>
    <mdx n="0" f="v">
      <t c="6" si="614">
        <n x="610"/>
        <n x="511"/>
        <n x="512"/>
        <n x="611" s="1"/>
        <n x="643"/>
        <n x="644"/>
      </t>
    </mdx>
    <mdx n="0" f="v">
      <t c="6" si="614">
        <n x="610"/>
        <n x="509"/>
        <n x="488"/>
        <n x="611" s="1"/>
        <n x="612"/>
        <n x="613"/>
      </t>
    </mdx>
    <mdx n="0" f="v">
      <t c="6" si="614">
        <n x="610"/>
        <n x="479"/>
        <n x="520"/>
        <n x="611" s="1"/>
        <n x="683"/>
        <n x="684"/>
      </t>
    </mdx>
    <mdx n="0" f="v">
      <t c="6" si="614">
        <n x="610"/>
        <n x="479"/>
        <n x="480"/>
        <n x="611" s="1"/>
        <n x="677"/>
        <n x="613"/>
      </t>
    </mdx>
    <mdx n="0" f="v">
      <t c="6" si="614">
        <n x="610"/>
        <n x="497"/>
        <n x="516"/>
        <n x="611" s="1"/>
        <n x="612"/>
        <n x="613"/>
      </t>
    </mdx>
    <mdx n="0" f="v">
      <t c="6" si="614">
        <n x="610"/>
        <n x="497"/>
        <n x="498"/>
        <n x="611" s="1"/>
        <n x="619"/>
        <n x="613"/>
      </t>
    </mdx>
    <mdx n="0" f="v">
      <t c="6" si="614">
        <n x="610"/>
        <n x="473"/>
        <n x="474"/>
        <n x="611" s="1"/>
        <n x="639"/>
        <n x="640"/>
      </t>
    </mdx>
    <mdx n="0" f="v">
      <t c="6" si="614">
        <n x="610"/>
        <n x="467"/>
        <n x="468"/>
        <n x="611" s="1"/>
        <n x="621"/>
        <n x="622"/>
      </t>
    </mdx>
    <mdx n="0" f="v">
      <t c="6" si="614">
        <n x="610"/>
        <n x="463"/>
        <n x="464"/>
        <n x="611" s="1"/>
        <n x="647"/>
        <n x="648"/>
      </t>
    </mdx>
    <mdx n="0" f="v">
      <t c="6" si="614">
        <n x="610"/>
        <n x="481"/>
        <n x="482"/>
        <n x="611" s="1"/>
        <n x="679"/>
        <n x="680"/>
      </t>
    </mdx>
    <mdx n="0" f="v">
      <t c="6" si="614">
        <n x="610"/>
        <n x="459"/>
        <n x="460"/>
        <n x="611" s="1"/>
        <n x="693"/>
        <n x="654"/>
      </t>
    </mdx>
    <mdx n="0" f="v">
      <t c="6" si="614">
        <n x="610"/>
        <n x="459"/>
        <n x="460"/>
        <n x="611" s="1"/>
        <n x="623"/>
        <n x="624"/>
      </t>
    </mdx>
    <mdx n="0" f="v">
      <t c="6" si="614">
        <n x="610"/>
        <n x="455"/>
        <n x="456"/>
        <n x="611" s="1"/>
        <n x="659"/>
        <n x="660"/>
      </t>
    </mdx>
    <mdx n="0" f="v">
      <t c="6" si="614">
        <n x="610"/>
        <n x="477"/>
        <n x="496"/>
        <n x="611" s="1"/>
        <n x="659"/>
        <n x="670"/>
      </t>
    </mdx>
    <mdx n="0" f="v">
      <t c="6" si="614">
        <n x="610"/>
        <n x="477"/>
        <n x="478"/>
        <n x="611" s="1"/>
        <n x="661"/>
        <n x="662"/>
      </t>
    </mdx>
    <mdx n="0" f="v">
      <t c="6" si="614">
        <n x="610"/>
        <n x="449"/>
        <n x="450"/>
        <n x="611" s="1"/>
        <n x="659"/>
        <n x="660"/>
      </t>
    </mdx>
    <mdx n="0" f="v">
      <t c="6" si="614">
        <n x="610"/>
        <n x="473"/>
        <n x="474"/>
        <n x="611" s="1"/>
        <n x="659"/>
        <n x="660"/>
      </t>
    </mdx>
    <mdx n="0" f="v">
      <t c="6" si="614">
        <n x="610"/>
        <n x="491"/>
        <n x="450"/>
        <n x="611" s="1"/>
        <n x="651"/>
        <n x="652"/>
      </t>
    </mdx>
    <mdx n="0" f="v">
      <t c="6" si="614">
        <n x="610"/>
        <n x="473"/>
        <n x="474"/>
        <n x="611" s="1"/>
        <n x="679"/>
        <n x="680"/>
      </t>
    </mdx>
    <mdx n="0" f="v">
      <t c="6" si="614">
        <n x="610"/>
        <n x="473"/>
        <n x="474"/>
        <n x="611" s="1"/>
        <n x="645"/>
        <n x="646"/>
      </t>
    </mdx>
    <mdx n="0" f="v">
      <t c="6" si="614">
        <n x="610"/>
        <n x="447"/>
        <n x="448"/>
        <n x="611" s="1"/>
        <n x="669"/>
        <n x="670"/>
      </t>
    </mdx>
    <mdx n="0" f="v">
      <t c="6" si="614">
        <n x="610"/>
        <n x="471"/>
        <n x="446"/>
        <n x="611" s="1"/>
        <n x="699"/>
        <n x="700"/>
      </t>
    </mdx>
    <mdx n="0" f="v">
      <t c="6" si="614">
        <n x="610"/>
        <n x="441"/>
        <n x="442"/>
        <n x="611" s="1"/>
        <n x="645"/>
        <n x="696"/>
      </t>
    </mdx>
    <mdx n="0" f="v">
      <t c="6" si="614">
        <n x="610"/>
        <n x="439"/>
        <n x="440"/>
        <n x="611" s="1"/>
        <n x="653"/>
        <n x="613"/>
      </t>
    </mdx>
    <mdx n="0" f="v">
      <t c="6" si="614">
        <n x="610"/>
        <n x="431"/>
        <n x="456"/>
        <n x="611" s="1"/>
        <n x="687"/>
        <n x="624"/>
      </t>
    </mdx>
    <mdx n="0" f="v">
      <t c="6" si="614">
        <n x="610"/>
        <n x="431"/>
        <n x="432"/>
        <n x="611" s="1"/>
        <n x="673"/>
        <n x="674"/>
      </t>
    </mdx>
    <mdx n="0" f="v">
      <t c="6" si="614">
        <n x="610"/>
        <n x="451"/>
        <n x="452"/>
        <n x="611" s="1"/>
        <n x="659"/>
        <n x="660"/>
      </t>
    </mdx>
    <mdx n="0" f="v">
      <t c="6" si="614">
        <n x="610"/>
        <n x="425"/>
        <n x="426"/>
        <n x="611" s="1"/>
        <n x="681"/>
        <n x="622"/>
      </t>
    </mdx>
    <mdx n="0" f="v">
      <t c="6" si="614">
        <n x="610"/>
        <n x="421"/>
        <n x="422"/>
        <n x="611" s="1"/>
        <n x="675"/>
        <n x="676"/>
      </t>
    </mdx>
    <mdx n="0" f="v">
      <t c="6" si="614">
        <n x="610"/>
        <n x="523"/>
        <n x="524"/>
        <n x="611" s="1"/>
        <n x="705"/>
        <n x="706"/>
      </t>
    </mdx>
    <mdx n="0" f="v">
      <t c="6" si="614">
        <n x="610"/>
        <n x="419"/>
        <n x="420"/>
        <n x="611" s="1"/>
        <n x="705"/>
        <n x="706"/>
      </t>
    </mdx>
    <mdx n="0" f="v">
      <t c="6" si="614">
        <n x="610"/>
        <n x="413"/>
        <n x="414"/>
        <n x="611" s="1"/>
        <n x="619"/>
        <n x="620"/>
      </t>
    </mdx>
    <mdx n="0" f="v">
      <t c="6" si="614">
        <n x="610"/>
        <n x="413"/>
        <n x="414"/>
        <n x="611" s="1"/>
        <n x="681"/>
        <n x="682"/>
      </t>
    </mdx>
    <mdx n="0" f="v">
      <t c="6" si="614">
        <n x="610"/>
        <n x="409"/>
        <n x="504"/>
        <n x="611" s="1"/>
        <n x="621"/>
        <n x="622"/>
      </t>
    </mdx>
    <mdx n="0" f="v">
      <t c="6" si="614">
        <n x="610"/>
        <n x="407"/>
        <n x="408"/>
        <n x="611" s="1"/>
        <n x="705"/>
        <n x="706"/>
      </t>
    </mdx>
    <mdx n="0" f="v">
      <t c="6" si="614">
        <n x="610"/>
        <n x="401"/>
        <n x="402"/>
        <n x="611" s="1"/>
        <n x="612"/>
        <n x="613"/>
      </t>
    </mdx>
    <mdx n="0" f="v">
      <t c="6" si="614">
        <n x="610"/>
        <n x="513"/>
        <n x="514"/>
        <n x="611" s="1"/>
        <n x="655"/>
        <n x="656"/>
      </t>
    </mdx>
    <mdx n="0" f="v">
      <t c="6" si="614">
        <n x="610"/>
        <n x="551"/>
        <n x="552"/>
        <n x="611" s="1"/>
        <n x="695"/>
        <n x="696"/>
      </t>
    </mdx>
    <mdx n="0" f="v">
      <t c="6" si="614">
        <n x="610"/>
        <n x="529"/>
        <n x="530"/>
        <n x="611" s="1"/>
        <n x="669"/>
        <n x="674"/>
      </t>
    </mdx>
    <mdx n="0" f="v">
      <t c="6" si="614">
        <n x="610"/>
        <n x="475"/>
        <n x="476"/>
        <n x="611" s="1"/>
        <n x="633"/>
        <n x="684"/>
      </t>
    </mdx>
    <mdx n="0" f="v">
      <t c="6" si="614">
        <n x="610"/>
        <n x="473"/>
        <n x="508"/>
        <n x="611" s="1"/>
        <n x="627"/>
        <n x="628"/>
      </t>
    </mdx>
    <mdx n="0" f="v">
      <t c="6" si="614">
        <n x="610"/>
        <n x="495"/>
        <n x="496"/>
        <n x="611" s="1"/>
        <n x="665"/>
        <n x="666"/>
      </t>
    </mdx>
    <mdx n="0" f="v">
      <t c="6" si="614">
        <n x="610"/>
        <n x="471"/>
        <n x="472"/>
        <n x="611" s="1"/>
        <n x="637"/>
        <n x="644"/>
      </t>
    </mdx>
    <mdx n="0" f="v">
      <t c="6" si="614">
        <n x="610"/>
        <n x="499"/>
        <n x="500"/>
        <n x="611" s="1"/>
        <n x="703"/>
        <n x="704"/>
      </t>
    </mdx>
    <mdx n="0" f="v">
      <t c="6" si="614">
        <n x="610"/>
        <n x="523"/>
        <n x="524"/>
        <n x="611" s="1"/>
        <n x="617"/>
        <n x="618"/>
      </t>
    </mdx>
    <mdx n="0" f="v">
      <t c="6" si="614">
        <n x="610"/>
        <n x="461"/>
        <n x="462"/>
        <n x="611" s="1"/>
        <n x="623"/>
        <n x="624"/>
      </t>
    </mdx>
    <mdx n="0" f="v">
      <t c="6" si="614">
        <n x="610"/>
        <n x="461"/>
        <n x="462"/>
        <n x="611" s="1"/>
        <n x="661"/>
        <n x="662"/>
      </t>
    </mdx>
    <mdx n="0" f="v">
      <t c="6" si="614">
        <n x="610"/>
        <n x="459"/>
        <n x="460"/>
        <n x="611" s="1"/>
        <n x="627"/>
        <n x="628"/>
      </t>
    </mdx>
    <mdx n="0" f="v">
      <t c="6" si="614">
        <n x="610"/>
        <n x="481"/>
        <n x="482"/>
        <n x="611" s="1"/>
        <n x="659"/>
        <n x="670"/>
      </t>
    </mdx>
    <mdx n="0" f="v">
      <t c="6" si="614">
        <n x="610"/>
        <n x="481"/>
        <n x="482"/>
        <n x="611" s="1"/>
        <n x="659"/>
        <n x="670"/>
      </t>
    </mdx>
    <mdx n="0" f="v">
      <t c="6" si="614">
        <n x="610"/>
        <n x="477"/>
        <n x="478"/>
        <n x="611" s="1"/>
        <n x="627"/>
        <n x="628"/>
      </t>
    </mdx>
    <mdx n="0" f="v">
      <t c="6" si="614">
        <n x="610"/>
        <n x="451"/>
        <n x="452"/>
        <n x="611" s="1"/>
        <n x="657"/>
        <n x="658"/>
      </t>
    </mdx>
    <mdx n="0" f="v">
      <t c="6" si="614">
        <n x="610"/>
        <n x="499"/>
        <n x="500"/>
        <n x="611" s="1"/>
        <n x="667"/>
        <n x="684"/>
      </t>
    </mdx>
    <mdx n="0" f="v">
      <t c="6" si="614">
        <n x="610"/>
        <n x="445"/>
        <n x="446"/>
        <n x="611" s="1"/>
        <n x="697"/>
        <n x="628"/>
      </t>
    </mdx>
    <mdx n="0" f="v">
      <t c="6" si="614">
        <n x="610"/>
        <n x="445"/>
        <n x="446"/>
        <n x="611" s="1"/>
        <n x="683"/>
        <n x="684"/>
      </t>
    </mdx>
    <mdx n="0" f="v">
      <t c="6" si="614">
        <n x="610"/>
        <n x="443"/>
        <n x="444"/>
        <n x="611" s="1"/>
        <n x="659"/>
        <n x="622"/>
      </t>
    </mdx>
    <mdx n="0" f="v">
      <t c="6" si="614">
        <n x="610"/>
        <n x="465"/>
        <n x="466"/>
        <n x="611" s="1"/>
        <n x="673"/>
        <n x="674"/>
      </t>
    </mdx>
    <mdx n="0" f="v">
      <t c="6" si="614">
        <n x="610"/>
        <n x="463"/>
        <n x="444"/>
        <n x="611" s="1"/>
        <n x="661"/>
        <n x="662"/>
      </t>
    </mdx>
    <mdx n="0" f="v">
      <t c="6" si="614">
        <n x="610"/>
        <n x="463"/>
        <n x="464"/>
        <n x="611" s="1"/>
        <n x="651"/>
        <n x="652"/>
      </t>
    </mdx>
    <mdx n="0" f="v">
      <t c="6" si="614">
        <n x="610"/>
        <n x="463"/>
        <n x="464"/>
        <n x="611" s="1"/>
        <n x="629"/>
        <n x="613"/>
      </t>
    </mdx>
    <mdx n="0" f="v">
      <t c="6" si="614">
        <n x="610"/>
        <n x="443"/>
        <n x="444"/>
        <n x="611" s="1"/>
        <n x="631"/>
        <n x="686"/>
      </t>
    </mdx>
    <mdx n="0" f="v">
      <t c="6" si="614">
        <n x="610"/>
        <n x="457"/>
        <n x="458"/>
        <n x="611" s="1"/>
        <n x="651"/>
        <n x="668"/>
      </t>
    </mdx>
    <mdx n="0" f="v">
      <t c="6" si="614">
        <n x="610"/>
        <n x="455"/>
        <n x="456"/>
        <n x="611" s="1"/>
        <n x="667"/>
        <n x="704"/>
      </t>
    </mdx>
    <mdx n="0" f="v">
      <t c="6" si="614">
        <n x="610"/>
        <n x="439"/>
        <n x="440"/>
        <n x="611" s="1"/>
        <n x="627"/>
        <n x="628"/>
      </t>
    </mdx>
    <mdx n="0" f="v">
      <t c="6" si="614">
        <n x="610"/>
        <n x="437"/>
        <n x="438"/>
        <n x="611" s="1"/>
        <n x="661"/>
        <n x="662"/>
      </t>
    </mdx>
    <mdx n="0" f="v">
      <t c="6" si="614">
        <n x="610"/>
        <n x="437"/>
        <n x="438"/>
        <n x="611" s="1"/>
        <n x="659"/>
        <n x="660"/>
      </t>
    </mdx>
    <mdx n="0" f="v">
      <t c="6" si="614">
        <n x="610"/>
        <n x="479"/>
        <n x="480"/>
        <n x="611" s="1"/>
        <n x="619"/>
        <n x="686"/>
      </t>
    </mdx>
    <mdx n="0" f="v">
      <t c="6" si="614">
        <n x="610"/>
        <n x="433"/>
        <n x="564"/>
        <n x="611" s="1"/>
        <n x="703"/>
        <n x="704"/>
      </t>
    </mdx>
    <mdx n="0" f="v">
      <t c="6" si="614">
        <n x="610"/>
        <n x="431"/>
        <n x="432"/>
        <n x="611" s="1"/>
        <n x="657"/>
        <n x="704"/>
      </t>
    </mdx>
    <mdx n="0" f="v">
      <t c="6" si="614">
        <n x="610"/>
        <n x="421"/>
        <n x="422"/>
        <n x="611" s="1"/>
        <n x="701"/>
        <n x="702"/>
      </t>
    </mdx>
    <mdx n="0" f="v">
      <t c="6" si="614">
        <n x="610"/>
        <n x="421"/>
        <n x="430"/>
        <n x="611" s="1"/>
        <n x="635"/>
        <n x="636"/>
      </t>
    </mdx>
    <mdx n="0" f="v">
      <t c="6" si="614">
        <n x="610"/>
        <n x="419"/>
        <n x="420"/>
        <n x="611" s="1"/>
        <n x="705"/>
        <n x="706"/>
      </t>
    </mdx>
    <mdx n="0" f="v">
      <t c="6" si="614">
        <n x="610"/>
        <n x="419"/>
        <n x="420"/>
        <n x="611" s="1"/>
        <n x="615"/>
        <n x="620"/>
      </t>
    </mdx>
    <mdx n="0" f="v">
      <t c="6" si="614">
        <n x="202"/>
        <n x="425"/>
        <n x="420"/>
        <n x="611" s="1"/>
        <n x="615"/>
        <n x="616"/>
      </t>
    </mdx>
    <mdx n="0" f="v">
      <t c="6" si="614">
        <n x="610"/>
        <n x="419"/>
        <n x="418"/>
        <n x="611" s="1"/>
        <n x="681"/>
        <n x="676"/>
      </t>
    </mdx>
    <mdx n="0" f="v">
      <t c="6" si="614">
        <n x="610"/>
        <n x="489"/>
        <n x="490"/>
        <n x="611" s="1"/>
        <n x="637"/>
        <n x="638"/>
      </t>
    </mdx>
    <mdx n="0" f="v">
      <t c="6" si="614">
        <n x="610"/>
        <n x="549"/>
        <n x="550"/>
        <n x="611" s="1"/>
        <n x="659"/>
        <n x="620"/>
      </t>
    </mdx>
    <mdx n="0" f="v">
      <t c="6" si="614">
        <n x="610"/>
        <n x="501"/>
        <n x="502"/>
        <n x="611" s="1"/>
        <n x="671"/>
        <n x="658"/>
      </t>
    </mdx>
    <mdx n="0" f="v">
      <t c="6" si="614">
        <n x="610"/>
        <n x="503"/>
        <n x="504"/>
        <n x="611" s="1"/>
        <n x="671"/>
        <n x="672"/>
      </t>
    </mdx>
    <mdx n="0" f="v">
      <t c="6" si="614">
        <n x="610"/>
        <n x="487"/>
        <n x="488"/>
        <n x="611" s="1"/>
        <n x="651"/>
        <n x="658"/>
      </t>
    </mdx>
    <mdx n="0" f="v">
      <t c="6" si="614">
        <n x="610"/>
        <n x="481"/>
        <n x="482"/>
        <n x="611" s="1"/>
        <n x="615"/>
        <n x="616"/>
      </t>
    </mdx>
    <mdx n="0" f="v">
      <t c="6" si="614">
        <n x="610"/>
        <n x="479"/>
        <n x="480"/>
        <n x="611" s="1"/>
        <n x="675"/>
        <n x="636"/>
      </t>
    </mdx>
    <mdx n="0" f="v">
      <t c="6" si="614">
        <n x="610"/>
        <n x="481"/>
        <n x="482"/>
        <n x="611" s="1"/>
        <n x="675"/>
        <n x="636"/>
      </t>
    </mdx>
    <mdx n="0" f="v">
      <t c="6" si="614">
        <n x="610"/>
        <n x="473"/>
        <n x="474"/>
        <n x="611" s="1"/>
        <n x="669"/>
        <n x="670"/>
      </t>
    </mdx>
    <mdx n="0" f="v">
      <t c="6" si="614">
        <n x="610"/>
        <n x="467"/>
        <n x="468"/>
        <n x="611" s="1"/>
        <n x="669"/>
        <n x="670"/>
      </t>
    </mdx>
    <mdx n="0" f="v">
      <t c="6" si="614">
        <n x="610"/>
        <n x="457"/>
        <n x="458"/>
        <n x="611" s="1"/>
        <n x="612"/>
        <n x="613"/>
      </t>
    </mdx>
    <mdx n="0" f="v">
      <t c="6" si="614">
        <n x="610"/>
        <n x="463"/>
        <n x="456"/>
        <n x="611" s="1"/>
        <n x="705"/>
        <n x="706"/>
      </t>
    </mdx>
    <mdx n="0" f="v">
      <t c="6" si="614">
        <n x="610"/>
        <n x="455"/>
        <n x="462"/>
        <n x="611" s="1"/>
        <n x="701"/>
        <n x="702"/>
      </t>
    </mdx>
    <mdx n="0" f="v">
      <t c="6" si="614">
        <n x="610"/>
        <n x="461"/>
        <n x="462"/>
        <n x="611" s="1"/>
        <n x="663"/>
        <n x="664"/>
      </t>
    </mdx>
    <mdx n="0" f="v">
      <t c="6" si="614">
        <n x="610"/>
        <n x="455"/>
        <n x="456"/>
        <n x="611" s="1"/>
        <n x="643"/>
        <n x="644"/>
      </t>
    </mdx>
    <mdx n="0" f="v">
      <t c="6" si="614">
        <n x="610"/>
        <n x="455"/>
        <n x="450"/>
        <n x="611" s="1"/>
        <n x="677"/>
        <n x="678"/>
      </t>
    </mdx>
    <mdx n="0" f="v">
      <t c="6" si="614">
        <n x="610"/>
        <n x="451"/>
        <n x="452"/>
        <n x="611" s="1"/>
        <n x="673"/>
        <n x="674"/>
      </t>
    </mdx>
    <mdx n="0" f="v">
      <t c="6" si="614">
        <n x="610"/>
        <n x="451"/>
        <n x="452"/>
        <n x="611" s="1"/>
        <n x="635"/>
        <n x="678"/>
      </t>
    </mdx>
    <mdx n="0" f="v">
      <t c="6" si="614">
        <n x="610"/>
        <n x="441"/>
        <n x="452"/>
        <n x="611" s="1"/>
        <n x="635"/>
        <n x="636"/>
      </t>
    </mdx>
    <mdx n="0" f="v">
      <t c="6" si="614">
        <n x="610"/>
        <n x="449"/>
        <n x="444"/>
        <n x="611" s="1"/>
        <n x="677"/>
        <n x="678"/>
      </t>
    </mdx>
    <mdx n="0" f="v">
      <t c="6" si="614">
        <n x="610"/>
        <n x="447"/>
        <n x="438"/>
        <n x="611" s="1"/>
        <n x="673"/>
        <n x="674"/>
      </t>
    </mdx>
    <mdx n="0" f="v">
      <t c="6" si="614">
        <n x="610"/>
        <n x="447"/>
        <n x="438"/>
        <n x="611" s="1"/>
        <n x="673"/>
        <n x="674"/>
      </t>
    </mdx>
    <mdx n="0" f="v">
      <t c="6" si="614">
        <n x="610"/>
        <n x="435"/>
        <n x="436"/>
        <n x="611" s="1"/>
        <n x="645"/>
        <n x="646"/>
      </t>
    </mdx>
    <mdx n="0" f="v">
      <t c="6" si="614">
        <n x="610"/>
        <n x="439"/>
        <n x="444"/>
        <n x="611" s="1"/>
        <n x="615"/>
        <n x="616"/>
      </t>
    </mdx>
    <mdx n="0" f="v">
      <t c="6" si="614">
        <n x="610"/>
        <n x="435"/>
        <n x="436"/>
        <n x="611" s="1"/>
        <n x="645"/>
        <n x="646"/>
      </t>
    </mdx>
    <mdx n="0" f="v">
      <t c="6" si="614">
        <n x="610"/>
        <n x="433"/>
        <n x="442"/>
        <n x="611" s="1"/>
        <n x="612"/>
        <n x="613"/>
      </t>
    </mdx>
    <mdx n="0" f="v">
      <t c="6" si="614">
        <n x="610"/>
        <n x="433"/>
        <n x="434"/>
        <n x="611" s="1"/>
        <n x="612"/>
        <n x="613"/>
      </t>
    </mdx>
    <mdx n="0" f="v">
      <t c="6" si="614">
        <n x="610"/>
        <n x="431"/>
        <n x="432"/>
        <n x="611" s="1"/>
        <n x="669"/>
        <n x="680"/>
      </t>
    </mdx>
    <mdx n="0" f="v">
      <t c="6" si="614">
        <n x="610"/>
        <n x="425"/>
        <n x="428"/>
        <n x="611" s="1"/>
        <n x="677"/>
        <n x="658"/>
      </t>
    </mdx>
    <mdx n="0" f="v">
      <t c="6" si="614">
        <n x="610"/>
        <n x="425"/>
        <n x="424"/>
        <n x="611" s="1"/>
        <n x="615"/>
        <n x="616"/>
      </t>
    </mdx>
    <mdx n="0" f="v">
      <t c="6" si="614">
        <n x="610"/>
        <n x="425"/>
        <n x="426"/>
        <n x="611" s="1"/>
        <n x="659"/>
        <n x="660"/>
      </t>
    </mdx>
    <mdx n="0" f="v">
      <t c="6" si="614">
        <n x="610"/>
        <n x="423"/>
        <n x="424"/>
        <n x="611" s="1"/>
        <n x="699"/>
        <n x="658"/>
      </t>
    </mdx>
    <mdx n="0" f="v">
      <t c="6" si="614">
        <n x="610"/>
        <n x="413"/>
        <n x="414"/>
        <n x="611" s="1"/>
        <n x="661"/>
        <n x="620"/>
      </t>
    </mdx>
    <mdx n="0" f="v">
      <t c="6" si="614">
        <n x="610"/>
        <n x="413"/>
        <n x="414"/>
        <n x="611" s="1"/>
        <n x="629"/>
        <n x="630"/>
      </t>
    </mdx>
    <mdx n="0" f="v">
      <t c="6" si="614">
        <n x="610"/>
        <n x="409"/>
        <n x="410"/>
        <n x="611" s="1"/>
        <n x="679"/>
        <n x="680"/>
      </t>
    </mdx>
    <mdx n="0" f="v">
      <t c="6" si="614">
        <n x="610"/>
        <n x="409"/>
        <n x="410"/>
        <n x="611" s="1"/>
        <n x="689"/>
        <n x="690"/>
      </t>
    </mdx>
    <mdx n="0" f="v">
      <t c="6" si="614">
        <n x="610"/>
        <n x="409"/>
        <n x="410"/>
        <n x="611" s="1"/>
        <n x="657"/>
        <n x="658"/>
      </t>
    </mdx>
    <mdx n="0" f="v">
      <t c="6" si="614">
        <n x="610"/>
        <n x="403"/>
        <n x="404"/>
        <n x="611" s="1"/>
        <n x="657"/>
        <n x="628"/>
      </t>
    </mdx>
    <mdx n="0" f="v">
      <t c="6" si="614">
        <n x="610"/>
        <n x="403"/>
        <n x="404"/>
        <n x="611" s="1"/>
        <n x="657"/>
        <n x="628"/>
      </t>
    </mdx>
    <mdx n="0" f="v">
      <t c="6" si="614">
        <n x="610"/>
        <n x="403"/>
        <n x="404"/>
        <n x="611" s="1"/>
        <n x="695"/>
        <n x="638"/>
      </t>
    </mdx>
    <mdx n="0" f="v">
      <t c="6" si="614">
        <n x="610"/>
        <n x="499"/>
        <n x="402"/>
        <n x="611" s="1"/>
        <n x="647"/>
        <n x="660"/>
      </t>
    </mdx>
    <mdx n="0" f="v">
      <t c="6" si="614">
        <n x="610"/>
        <n x="401"/>
        <n x="402"/>
        <n x="611" s="1"/>
        <n x="623"/>
        <n x="624"/>
      </t>
    </mdx>
    <mdx n="0" f="v">
      <t c="6" si="614">
        <n x="610"/>
        <n x="401"/>
        <n x="402"/>
        <n x="611" s="1"/>
        <n x="657"/>
        <n x="658"/>
      </t>
    </mdx>
    <mdx n="0" f="v">
      <t c="6" si="614">
        <n x="610"/>
        <n x="399"/>
        <n x="402"/>
        <n x="611" s="1"/>
        <n x="645"/>
        <n x="646"/>
      </t>
    </mdx>
    <mdx n="0" f="v">
      <t c="6" si="614">
        <n x="610"/>
        <n x="395"/>
        <n x="396"/>
        <n x="611" s="1"/>
        <n x="689"/>
        <n x="690"/>
      </t>
    </mdx>
    <mdx n="0" f="v">
      <t c="6" si="614">
        <n x="610"/>
        <n x="393"/>
        <n x="394"/>
        <n x="611" s="1"/>
        <n x="675"/>
        <n x="642"/>
      </t>
    </mdx>
    <mdx n="0" f="v">
      <t c="6" si="614">
        <n x="610"/>
        <n x="393"/>
        <n x="394"/>
        <n x="611" s="1"/>
        <n x="675"/>
        <n x="676"/>
      </t>
    </mdx>
    <mdx n="0" f="v">
      <t c="6" si="614">
        <n x="610"/>
        <n x="503"/>
        <n x="504"/>
        <n x="611" s="1"/>
        <n x="619"/>
        <n x="620"/>
      </t>
    </mdx>
    <mdx n="0" f="v">
      <t c="6" si="614">
        <n x="610"/>
        <n x="393"/>
        <n x="394"/>
        <n x="611" s="1"/>
        <n x="703"/>
        <n x="704"/>
      </t>
    </mdx>
    <mdx n="0" f="v">
      <t c="6" si="614">
        <n x="610"/>
        <n x="391"/>
        <n x="392"/>
        <n x="611" s="1"/>
        <n x="625"/>
        <n x="626"/>
      </t>
    </mdx>
    <mdx n="0" f="v">
      <t c="6" si="614">
        <n x="610"/>
        <n x="389"/>
        <n x="392"/>
        <n x="611" s="1"/>
        <n x="631"/>
        <n x="632"/>
      </t>
    </mdx>
    <mdx n="0" f="v">
      <t c="6" si="614">
        <n x="610"/>
        <n x="489"/>
        <n x="490"/>
        <n x="611" s="1"/>
        <n x="703"/>
        <n x="704"/>
      </t>
    </mdx>
    <mdx n="0" f="v">
      <t c="6" si="614">
        <n x="610"/>
        <n x="387"/>
        <n x="388"/>
        <n x="611" s="1"/>
        <n x="701"/>
        <n x="702"/>
      </t>
    </mdx>
    <mdx n="0" f="v">
      <t c="6" si="614">
        <n x="610"/>
        <n x="387"/>
        <n x="388"/>
        <n x="611" s="1"/>
        <n x="615"/>
        <n x="616"/>
      </t>
    </mdx>
    <mdx n="0" f="v">
      <t c="6" si="614">
        <n x="610"/>
        <n x="387"/>
        <n x="386"/>
        <n x="611" s="1"/>
        <n x="687"/>
        <n x="688"/>
      </t>
    </mdx>
    <mdx n="0" f="v">
      <t c="6" si="614">
        <n x="610"/>
        <n x="477"/>
        <n x="388"/>
        <n x="611" s="1"/>
        <n x="641"/>
        <n x="642"/>
      </t>
    </mdx>
    <mdx n="0" f="v">
      <t c="6" si="614">
        <n x="610"/>
        <n x="475"/>
        <n x="384"/>
        <n x="611" s="1"/>
        <n x="649"/>
        <n x="650"/>
      </t>
    </mdx>
    <mdx n="0" f="v">
      <t c="6" si="614">
        <n x="610"/>
        <n x="385"/>
        <n x="386"/>
        <n x="611" s="1"/>
        <n x="659"/>
        <n x="660"/>
      </t>
    </mdx>
    <mdx n="0" f="v">
      <t c="6" si="614">
        <n x="610"/>
        <n x="383"/>
        <n x="382"/>
        <n x="611" s="1"/>
        <n x="661"/>
        <n x="662"/>
      </t>
    </mdx>
    <mdx n="0" f="v">
      <t c="6" si="614">
        <n x="610"/>
        <n x="383"/>
        <n x="382"/>
        <n x="611" s="1"/>
        <n x="673"/>
        <n x="692"/>
      </t>
    </mdx>
    <mdx n="0" f="v">
      <t c="6" si="614">
        <n x="610"/>
        <n x="383"/>
        <n x="382"/>
        <n x="611" s="1"/>
        <n x="673"/>
        <n x="674"/>
      </t>
    </mdx>
    <mdx n="0" f="v">
      <t c="6" si="614">
        <n x="610"/>
        <n x="379"/>
        <n x="382"/>
        <n x="611" s="1"/>
        <n x="707"/>
        <n x="646"/>
      </t>
    </mdx>
    <mdx n="0" f="v">
      <t c="6" si="614">
        <n x="610"/>
        <n x="381"/>
        <n x="382"/>
        <n x="611" s="1"/>
        <n x="615"/>
        <n x="628"/>
      </t>
    </mdx>
    <mdx n="0" f="v">
      <t c="6" si="614">
        <n x="610"/>
        <n x="381"/>
        <n x="378"/>
        <n x="611" s="1"/>
        <n x="655"/>
        <n x="656"/>
      </t>
    </mdx>
    <mdx n="0" f="v">
      <t c="6" si="614">
        <n x="610"/>
        <n x="375"/>
        <n x="382"/>
        <n x="611" s="1"/>
        <n x="641"/>
        <n x="642"/>
      </t>
    </mdx>
    <mdx n="0" f="v">
      <t c="6" si="614">
        <n x="610"/>
        <n x="375"/>
        <n x="376"/>
        <n x="611" s="1"/>
        <n x="705"/>
        <n x="706"/>
      </t>
    </mdx>
    <mdx n="0" f="v">
      <t c="6" si="614">
        <n x="610"/>
        <n x="375"/>
        <n x="376"/>
        <n x="611" s="1"/>
        <n x="635"/>
        <n x="636"/>
      </t>
    </mdx>
    <mdx n="0" f="v">
      <t c="6" si="614">
        <n x="610"/>
        <n x="373"/>
        <n x="374"/>
        <n x="611" s="1"/>
        <n x="635"/>
        <n x="636"/>
      </t>
    </mdx>
    <mdx n="0" f="v">
      <t c="6" si="614">
        <n x="610"/>
        <n x="371"/>
        <n x="374"/>
        <n x="611" s="1"/>
        <n x="657"/>
        <n x="658"/>
      </t>
    </mdx>
    <mdx n="0" f="v">
      <t c="6" si="614">
        <n x="610"/>
        <n x="371"/>
        <n x="374"/>
        <n x="611" s="1"/>
        <n x="615"/>
        <n x="616"/>
      </t>
    </mdx>
    <mdx n="0" f="v">
      <t c="6" si="614">
        <n x="610"/>
        <n x="369"/>
        <n x="370"/>
        <n x="611" s="1"/>
        <n x="667"/>
        <n x="668"/>
      </t>
    </mdx>
    <mdx n="0" f="v">
      <t c="6" si="614">
        <n x="610"/>
        <n x="369"/>
        <n x="372"/>
        <n x="611" s="1"/>
        <n x="627"/>
        <n x="650"/>
      </t>
    </mdx>
    <mdx n="0" f="v">
      <t c="6" si="614">
        <n x="610"/>
        <n x="369"/>
        <n x="372"/>
        <n x="611" s="1"/>
        <n x="627"/>
        <n x="628"/>
      </t>
    </mdx>
    <mdx n="0" f="v">
      <t c="6" si="614">
        <n x="610"/>
        <n x="369"/>
        <n x="370"/>
        <n x="611" s="1"/>
        <n x="699"/>
        <n x="624"/>
      </t>
    </mdx>
    <mdx n="0" f="v">
      <t c="6" si="614">
        <n x="610"/>
        <n x="365"/>
        <n x="366"/>
        <n x="611" s="1"/>
        <n x="629"/>
        <n x="624"/>
      </t>
    </mdx>
    <mdx n="0" f="v">
      <t c="6" si="614">
        <n x="610"/>
        <n x="363"/>
        <n x="368"/>
        <n x="611" s="1"/>
        <n x="683"/>
        <n x="674"/>
      </t>
    </mdx>
    <mdx n="0" f="v">
      <t c="6" si="614">
        <n x="610"/>
        <n x="363"/>
        <n x="364"/>
        <n x="611" s="1"/>
        <n x="705"/>
        <n x="706"/>
      </t>
    </mdx>
    <mdx n="0" f="v">
      <t c="6" si="614">
        <n x="610"/>
        <n x="363"/>
        <n x="364"/>
        <n x="611" s="1"/>
        <n x="675"/>
        <n x="676"/>
      </t>
    </mdx>
    <mdx n="0" f="v">
      <t c="6" si="614">
        <n x="610"/>
        <n x="367"/>
        <n x="368"/>
        <n x="611" s="1"/>
        <n x="643"/>
        <n x="644"/>
      </t>
    </mdx>
    <mdx n="0" f="v">
      <t c="6" si="614">
        <n x="610"/>
        <n x="367"/>
        <n x="368"/>
        <n x="611" s="1"/>
        <n x="663"/>
        <n x="664"/>
      </t>
    </mdx>
    <mdx n="0" f="v">
      <t c="6" si="614">
        <n x="610"/>
        <n x="361"/>
        <n x="362"/>
        <n x="611" s="1"/>
        <n x="689"/>
        <n x="690"/>
      </t>
    </mdx>
    <mdx n="0" f="v">
      <t c="6" si="614">
        <n x="610"/>
        <n x="483"/>
        <n x="484"/>
        <n x="611" s="1"/>
        <n x="637"/>
        <n x="678"/>
      </t>
    </mdx>
    <mdx n="0" f="v">
      <t c="6" si="614">
        <n x="610"/>
        <n x="483"/>
        <n x="484"/>
        <n x="611" s="1"/>
        <n x="675"/>
        <n x="638"/>
      </t>
    </mdx>
    <mdx n="0" f="v">
      <t c="6" si="614">
        <n x="610"/>
        <n x="361"/>
        <n x="362"/>
        <n x="611" s="1"/>
        <n x="621"/>
        <n x="622"/>
      </t>
    </mdx>
    <mdx n="0" f="v">
      <t c="6" si="614">
        <n x="610"/>
        <n x="359"/>
        <n x="360"/>
        <n x="611" s="1"/>
        <n x="621"/>
        <n x="622"/>
      </t>
    </mdx>
    <mdx n="0" f="v">
      <t c="6" si="614">
        <n x="610"/>
        <n x="353"/>
        <n x="530"/>
        <n x="611" s="1"/>
        <n x="675"/>
        <n x="676"/>
      </t>
    </mdx>
    <mdx n="0" f="v">
      <t c="6" si="614">
        <n x="610"/>
        <n x="353"/>
        <n x="354"/>
        <n x="611" s="1"/>
        <n x="653"/>
        <n x="654"/>
      </t>
    </mdx>
    <mdx n="0" f="v">
      <t c="6" si="614">
        <n x="610"/>
        <n x="351"/>
        <n x="352"/>
        <n x="611" s="1"/>
        <n x="649"/>
        <n x="706"/>
      </t>
    </mdx>
    <mdx n="0" f="v">
      <t c="6" si="614">
        <n x="610"/>
        <n x="351"/>
        <n x="352"/>
        <n x="611" s="1"/>
        <n x="649"/>
        <n x="706"/>
      </t>
    </mdx>
    <mdx n="0" f="v">
      <t c="6" si="614">
        <n x="610"/>
        <n x="349"/>
        <n x="350"/>
        <n x="611" s="1"/>
        <n x="687"/>
        <n x="688"/>
      </t>
    </mdx>
    <mdx n="0" f="v">
      <t c="6" si="614">
        <n x="610"/>
        <n x="349"/>
        <n x="350"/>
        <n x="611" s="1"/>
        <n x="663"/>
        <n x="664"/>
      </t>
    </mdx>
    <mdx n="0" f="v">
      <t c="6" si="614">
        <n x="610"/>
        <n x="521"/>
        <n x="522"/>
        <n x="611" s="1"/>
        <n x="641"/>
        <n x="642"/>
      </t>
    </mdx>
    <mdx n="0" f="v">
      <t c="6" si="614">
        <n x="610"/>
        <n x="499"/>
        <n x="344"/>
        <n x="611" s="1"/>
        <n x="701"/>
        <n x="702"/>
      </t>
    </mdx>
    <mdx n="0" f="v">
      <t c="6" si="614">
        <n x="610"/>
        <n x="481"/>
        <n x="482"/>
        <n x="611" s="1"/>
        <n x="685"/>
        <n x="686"/>
      </t>
    </mdx>
    <mdx n="0" f="v">
      <t c="6" si="614">
        <n x="610"/>
        <n x="343"/>
        <n x="344"/>
        <n x="611" s="1"/>
        <n x="637"/>
        <n x="686"/>
      </t>
    </mdx>
    <mdx n="0" f="v">
      <t c="6" si="614">
        <n x="610"/>
        <n x="479"/>
        <n x="480"/>
        <n x="611" s="1"/>
        <n x="649"/>
        <n x="650"/>
      </t>
    </mdx>
    <mdx n="0" f="v">
      <t c="6" si="614">
        <n x="610"/>
        <n x="485"/>
        <n x="486"/>
        <n x="611" s="1"/>
        <n x="637"/>
        <n x="662"/>
      </t>
    </mdx>
    <mdx n="0" f="v">
      <t c="6" si="614">
        <n x="610"/>
        <n x="475"/>
        <n x="476"/>
        <n x="611" s="1"/>
        <n x="691"/>
        <n x="628"/>
      </t>
    </mdx>
    <mdx n="0" f="v">
      <t c="6" si="614">
        <n x="610"/>
        <n x="467"/>
        <n x="468"/>
        <n x="611" s="1"/>
        <n x="659"/>
        <n x="660"/>
      </t>
    </mdx>
    <mdx n="0" f="v">
      <t c="6" si="614">
        <n x="610"/>
        <n x="339"/>
        <n x="340"/>
        <n x="611" s="1"/>
        <n x="685"/>
        <n x="618"/>
      </t>
    </mdx>
    <mdx n="0" f="v">
      <t c="6" si="614">
        <n x="610"/>
        <n x="467"/>
        <n x="468"/>
        <n x="611" s="1"/>
        <n x="685"/>
        <n x="686"/>
      </t>
    </mdx>
    <mdx n="0" f="v">
      <t c="6" si="614">
        <n x="610"/>
        <n x="339"/>
        <n x="340"/>
        <n x="611" s="1"/>
        <n x="695"/>
        <n x="696"/>
      </t>
    </mdx>
    <mdx n="0" f="v">
      <t c="6" si="614">
        <n x="610"/>
        <n x="339"/>
        <n x="340"/>
        <n x="611" s="1"/>
        <n x="633"/>
        <n x="634"/>
      </t>
    </mdx>
    <mdx n="0" f="v">
      <t c="6" si="614">
        <n x="610"/>
        <n x="457"/>
        <n x="474"/>
        <n x="611" s="1"/>
        <n x="653"/>
        <n x="654"/>
      </t>
    </mdx>
    <mdx n="0" f="v">
      <t c="6" si="614">
        <n x="610"/>
        <n x="457"/>
        <n x="458"/>
        <n x="611" s="1"/>
        <n x="695"/>
        <n x="696"/>
      </t>
    </mdx>
    <mdx n="0" f="v">
      <t c="6" si="614">
        <n x="610"/>
        <n x="337"/>
        <n x="338"/>
        <n x="611" s="1"/>
        <n x="693"/>
        <n x="694"/>
      </t>
    </mdx>
    <mdx n="0" f="v">
      <t c="6" si="614">
        <n x="610"/>
        <n x="337"/>
        <n x="338"/>
        <n x="611" s="1"/>
        <n x="629"/>
        <n x="630"/>
      </t>
    </mdx>
    <mdx n="0" f="v">
      <t c="6" si="614">
        <n x="610"/>
        <n x="337"/>
        <n x="338"/>
        <n x="611" s="1"/>
        <n x="669"/>
        <n x="670"/>
      </t>
    </mdx>
    <mdx n="0" f="v">
      <t c="6" si="614">
        <n x="610"/>
        <n x="449"/>
        <n x="450"/>
        <n x="611" s="1"/>
        <n x="673"/>
        <n x="674"/>
      </t>
    </mdx>
    <mdx n="0" f="v">
      <t c="6" si="614">
        <n x="610"/>
        <n x="335"/>
        <n x="336"/>
        <n x="611" s="1"/>
        <n x="673"/>
        <n x="674"/>
      </t>
    </mdx>
    <mdx n="0" f="v">
      <t c="6" si="614">
        <n x="610"/>
        <n x="447"/>
        <n x="448"/>
        <n x="611" s="1"/>
        <n x="675"/>
        <n x="628"/>
      </t>
    </mdx>
    <mdx n="0" f="v">
      <t c="6" si="614">
        <n x="610"/>
        <n x="335"/>
        <n x="336"/>
        <n x="611" s="1"/>
        <n x="663"/>
        <n x="664"/>
      </t>
    </mdx>
    <mdx n="0" f="v">
      <t c="6" si="614">
        <n x="610"/>
        <n x="335"/>
        <n x="448"/>
        <n x="611" s="1"/>
        <n x="659"/>
        <n x="660"/>
      </t>
    </mdx>
    <mdx n="0" f="v">
      <t c="6" si="614">
        <n x="610"/>
        <n x="447"/>
        <n x="448"/>
        <n x="611" s="1"/>
        <n x="625"/>
        <n x="626"/>
      </t>
    </mdx>
    <mdx n="0" f="v">
      <t c="6" si="614">
        <n x="610"/>
        <n x="439"/>
        <n x="440"/>
        <n x="611" s="1"/>
        <n x="655"/>
        <n x="656"/>
      </t>
    </mdx>
    <mdx n="0" f="v">
      <t c="6" si="614">
        <n x="610"/>
        <n x="483"/>
        <n x="484"/>
        <n x="611" s="1"/>
        <n x="633"/>
        <n x="688"/>
      </t>
    </mdx>
    <mdx n="0" f="v">
      <t c="6" si="614">
        <n x="610"/>
        <n x="445"/>
        <n x="446"/>
        <n x="611" s="1"/>
        <n x="661"/>
        <n x="662"/>
      </t>
    </mdx>
    <mdx n="0" f="v">
      <t c="6" si="614">
        <n x="610"/>
        <n x="445"/>
        <n x="446"/>
        <n x="611" s="1"/>
        <n x="689"/>
        <n x="690"/>
      </t>
    </mdx>
    <mdx n="0" f="v">
      <t c="6" si="614">
        <n x="610"/>
        <n x="445"/>
        <n x="446"/>
        <n x="611" s="1"/>
        <n x="612"/>
        <n x="613"/>
      </t>
    </mdx>
    <mdx n="0" f="v">
      <t c="6" si="614">
        <n x="610"/>
        <n x="475"/>
        <n x="476"/>
        <n x="611" s="1"/>
        <n x="619"/>
        <n x="620"/>
      </t>
    </mdx>
    <mdx n="0" f="v">
      <t c="6" si="614">
        <n x="610"/>
        <n x="407"/>
        <n x="408"/>
        <n x="611" s="1"/>
        <n x="697"/>
        <n x="632"/>
      </t>
    </mdx>
    <mdx n="0" f="v">
      <t c="6" si="614">
        <n x="610"/>
        <n x="427"/>
        <n x="428"/>
        <n x="611" s="1"/>
        <n x="667"/>
        <n x="698"/>
      </t>
    </mdx>
    <mdx n="0" f="v">
      <t c="6" si="614">
        <n x="610"/>
        <n x="427"/>
        <n x="428"/>
        <n x="611" s="1"/>
        <n x="687"/>
        <n x="688"/>
      </t>
    </mdx>
    <mdx n="0" f="v">
      <t c="6" si="614">
        <n x="610"/>
        <n x="425"/>
        <n x="466"/>
        <n x="611" s="1"/>
        <n x="627"/>
        <n x="628"/>
      </t>
    </mdx>
    <mdx n="0" f="v">
      <t c="6" si="614">
        <n x="610"/>
        <n x="405"/>
        <n x="406"/>
        <n x="611" s="1"/>
        <n x="657"/>
        <n x="658"/>
      </t>
    </mdx>
    <mdx n="0" f="v">
      <t c="6" si="614">
        <n x="610"/>
        <n x="421"/>
        <n x="492"/>
        <n x="611" s="1"/>
        <n x="699"/>
        <n x="702"/>
      </t>
    </mdx>
    <mdx n="0" f="v">
      <t c="6" si="614">
        <n x="610"/>
        <n x="451"/>
        <n x="490"/>
        <n x="611" s="1"/>
        <n x="707"/>
        <n x="708"/>
      </t>
    </mdx>
    <mdx n="0" f="v">
      <t c="6" si="614">
        <n x="610"/>
        <n x="451"/>
        <n x="416"/>
        <n x="611" s="1"/>
        <n x="705"/>
        <n x="706"/>
      </t>
    </mdx>
    <mdx n="0" f="v">
      <t c="6" si="614">
        <n x="610"/>
        <n x="451"/>
        <n x="416"/>
        <n x="611" s="1"/>
        <n x="659"/>
        <n x="660"/>
      </t>
    </mdx>
    <mdx n="0" f="v">
      <t c="6" si="614">
        <n x="610"/>
        <n x="447"/>
        <n x="448"/>
        <n x="611" s="1"/>
        <n x="673"/>
        <n x="674"/>
      </t>
    </mdx>
    <mdx n="0" f="v">
      <t c="6" si="614">
        <n x="610"/>
        <n x="447"/>
        <n x="448"/>
        <n x="611" s="1"/>
        <n x="657"/>
        <n x="658"/>
      </t>
    </mdx>
    <mdx n="0" f="v">
      <t c="6" si="614">
        <n x="610"/>
        <n x="491"/>
        <n x="414"/>
        <n x="611" s="1"/>
        <n x="645"/>
        <n x="646"/>
      </t>
    </mdx>
    <mdx n="0" f="v">
      <t c="6" si="614">
        <n x="610"/>
        <n x="411"/>
        <n x="412"/>
        <n x="611" s="1"/>
        <n x="687"/>
        <n x="688"/>
      </t>
    </mdx>
    <mdx n="0" f="v">
      <t c="6" si="614">
        <n x="610"/>
        <n x="443"/>
        <n x="444"/>
        <n x="611" s="1"/>
        <n x="673"/>
        <n x="658"/>
      </t>
    </mdx>
    <mdx n="0" f="v">
      <t c="6" si="614">
        <n x="610"/>
        <n x="443"/>
        <n x="410"/>
        <n x="611" s="1"/>
        <n x="657"/>
        <n x="658"/>
      </t>
    </mdx>
    <mdx n="0" f="v">
      <t c="6" si="614">
        <n x="610"/>
        <n x="443"/>
        <n x="410"/>
        <n x="611" s="1"/>
        <n x="635"/>
        <n x="636"/>
      </t>
    </mdx>
    <mdx n="0" f="v">
      <t c="6" si="614">
        <n x="610"/>
        <n x="441"/>
        <n x="484"/>
        <n x="611" s="1"/>
        <n x="635"/>
        <n x="636"/>
      </t>
    </mdx>
    <mdx n="0" f="v">
      <t c="6" si="614">
        <n x="610"/>
        <n x="453"/>
        <n x="454"/>
        <n x="611" s="1"/>
        <n x="705"/>
        <n x="706"/>
      </t>
    </mdx>
    <mdx n="0" f="v">
      <t c="6" si="614">
        <n x="610"/>
        <n x="403"/>
        <n x="404"/>
        <n x="611" s="1"/>
        <n x="651"/>
        <n x="660"/>
      </t>
    </mdx>
    <mdx n="0" f="v">
      <t c="6" si="614">
        <n x="610"/>
        <n x="401"/>
        <n x="402"/>
        <n x="611" s="1"/>
        <n x="695"/>
        <n x="672"/>
      </t>
    </mdx>
    <mdx n="0" f="v">
      <t c="6" si="614">
        <n x="610"/>
        <n x="401"/>
        <n x="482"/>
        <n x="611" s="1"/>
        <n x="669"/>
        <n x="670"/>
      </t>
    </mdx>
    <mdx n="0" f="v">
      <t c="6" si="614">
        <n x="610"/>
        <n x="401"/>
        <n x="482"/>
        <n x="611" s="1"/>
        <n x="669"/>
        <n x="670"/>
      </t>
    </mdx>
    <mdx n="0" f="v">
      <t c="6" si="614">
        <n x="610"/>
        <n x="479"/>
        <n x="480"/>
        <n x="611" s="1"/>
        <n x="627"/>
        <n x="618"/>
      </t>
    </mdx>
    <mdx n="0" f="v">
      <t c="6" si="614">
        <n x="610"/>
        <n x="395"/>
        <n x="396"/>
        <n x="611" s="1"/>
        <n x="705"/>
        <n x="706"/>
      </t>
    </mdx>
    <mdx n="0" f="v">
      <t c="6" si="614">
        <n x="610"/>
        <n x="475"/>
        <n x="476"/>
        <n x="611" s="1"/>
        <n x="703"/>
        <n x="672"/>
      </t>
    </mdx>
    <mdx n="0" f="v">
      <t c="6" si="614">
        <n x="610"/>
        <n x="387"/>
        <n x="388"/>
        <n x="611" s="1"/>
        <n x="645"/>
        <n x="616"/>
      </t>
    </mdx>
    <mdx n="0" f="v">
      <t c="6" si="614">
        <n x="610"/>
        <n x="491"/>
        <n x="492"/>
        <n x="611" s="1"/>
        <n x="643"/>
        <n x="684"/>
      </t>
    </mdx>
    <mdx n="0" f="v">
      <t c="6" si="614">
        <n x="610"/>
        <n x="355"/>
        <n x="488"/>
        <n x="611" s="1"/>
        <n x="707"/>
        <n x="708"/>
      </t>
    </mdx>
    <mdx n="0" f="v">
      <t c="6" si="614">
        <n x="610"/>
        <n x="411"/>
        <n x="412"/>
        <n x="611" s="1"/>
        <n x="675"/>
        <n x="676"/>
      </t>
    </mdx>
    <mdx n="0" f="v">
      <t c="6" si="614">
        <n x="610"/>
        <n x="481"/>
        <n x="482"/>
        <n x="611" s="1"/>
        <n x="685"/>
        <n x="686"/>
      </t>
    </mdx>
    <mdx n="0" f="v">
      <t c="6" si="614">
        <n x="610"/>
        <n x="475"/>
        <n x="476"/>
        <n x="611" s="1"/>
        <n x="612"/>
        <n x="613"/>
      </t>
    </mdx>
    <mdx n="0" f="v">
      <t c="6" si="614">
        <n x="610"/>
        <n x="475"/>
        <n x="476"/>
        <n x="611" s="1"/>
        <n x="699"/>
        <n x="700"/>
      </t>
    </mdx>
    <mdx n="0" f="v">
      <t c="6" si="614">
        <n x="610"/>
        <n x="475"/>
        <n x="476"/>
        <n x="611" s="1"/>
        <n x="663"/>
        <n x="664"/>
      </t>
    </mdx>
    <mdx n="0" f="v">
      <t c="6" si="614">
        <n x="610"/>
        <n x="405"/>
        <n x="406"/>
        <n x="611" s="1"/>
        <n x="663"/>
        <n x="664"/>
      </t>
    </mdx>
    <mdx n="0" f="v">
      <t c="6" si="614">
        <n x="610"/>
        <n x="403"/>
        <n x="404"/>
        <n x="611" s="1"/>
        <n x="661"/>
        <n x="662"/>
      </t>
    </mdx>
    <mdx n="0" f="v">
      <t c="6" si="614">
        <n x="610"/>
        <n x="347"/>
        <n x="470"/>
        <n x="611" s="1"/>
        <n x="693"/>
        <n x="694"/>
      </t>
    </mdx>
    <mdx n="0" f="v">
      <t c="6" si="614">
        <n x="610"/>
        <n x="403"/>
        <n x="404"/>
        <n x="611" s="1"/>
        <n x="649"/>
        <n x="650"/>
      </t>
    </mdx>
    <mdx n="0" f="v">
      <t c="6" si="614">
        <n x="610"/>
        <n x="401"/>
        <n x="402"/>
        <n x="611" s="1"/>
        <n x="649"/>
        <n x="672"/>
      </t>
    </mdx>
    <mdx n="0" f="v">
      <t c="6" si="614">
        <n x="610"/>
        <n x="401"/>
        <n x="402"/>
        <n x="611" s="1"/>
        <n x="669"/>
        <n x="670"/>
      </t>
    </mdx>
    <mdx n="0" f="v">
      <t c="6" si="614">
        <n x="610"/>
        <n x="461"/>
        <n x="462"/>
        <n x="611" s="1"/>
        <n x="659"/>
        <n x="660"/>
      </t>
    </mdx>
    <mdx n="0" f="v">
      <t c="6" si="614">
        <n x="610"/>
        <n x="459"/>
        <n x="398"/>
        <n x="611" s="1"/>
        <n x="635"/>
        <n x="636"/>
      </t>
    </mdx>
    <mdx n="0" f="v">
      <t c="6" si="614">
        <n x="610"/>
        <n x="459"/>
        <n x="460"/>
        <n x="611" s="1"/>
        <n x="635"/>
        <n x="636"/>
      </t>
    </mdx>
    <mdx n="0" f="v">
      <t c="6" si="614">
        <n x="610"/>
        <n x="459"/>
        <n x="460"/>
        <n x="611" s="1"/>
        <n x="647"/>
        <n x="684"/>
      </t>
    </mdx>
    <mdx n="0" f="v">
      <t c="6" si="614">
        <n x="610"/>
        <n x="459"/>
        <n x="460"/>
        <n x="611" s="1"/>
        <n x="647"/>
        <n x="658"/>
      </t>
    </mdx>
    <mdx n="0" f="v">
      <t c="6" si="614">
        <n x="610"/>
        <n x="459"/>
        <n x="460"/>
        <n x="611" s="1"/>
        <n x="647"/>
        <n x="676"/>
      </t>
    </mdx>
    <mdx n="0" f="v">
      <t c="6" si="614">
        <n x="610"/>
        <n x="459"/>
        <n x="460"/>
        <n x="611" s="1"/>
        <n x="647"/>
        <n x="640"/>
      </t>
    </mdx>
    <mdx n="0" f="v">
      <t c="6" si="614">
        <n x="610"/>
        <n x="459"/>
        <n x="460"/>
        <n x="611" s="1"/>
        <n x="689"/>
        <n x="698"/>
      </t>
    </mdx>
    <mdx n="0" f="v">
      <t c="6" si="614">
        <n x="610"/>
        <n x="459"/>
        <n x="460"/>
        <n x="611" s="1"/>
        <n x="703"/>
        <n x="706"/>
      </t>
    </mdx>
    <mdx n="0" f="v">
      <t c="6" si="614">
        <n x="610"/>
        <n x="459"/>
        <n x="460"/>
        <n x="611" s="1"/>
        <n x="703"/>
        <n x="706"/>
      </t>
    </mdx>
    <mdx n="0" f="v">
      <t c="6" si="614">
        <n x="610"/>
        <n x="465"/>
        <n x="466"/>
        <n x="611" s="1"/>
        <n x="679"/>
        <n x="622"/>
      </t>
    </mdx>
    <mdx n="0" f="v">
      <t c="6" si="614">
        <n x="610"/>
        <n x="441"/>
        <n x="442"/>
        <n x="611" s="1"/>
        <n x="693"/>
        <n x="644"/>
      </t>
    </mdx>
    <mdx n="0" f="v">
      <t c="6" si="614">
        <n x="610"/>
        <n x="435"/>
        <n x="436"/>
        <n x="611" s="1"/>
        <n x="673"/>
        <n x="674"/>
      </t>
    </mdx>
    <mdx n="0" f="v">
      <t c="6" si="614">
        <n x="610"/>
        <n x="411"/>
        <n x="412"/>
        <n x="611" s="1"/>
        <n x="619"/>
        <n x="620"/>
      </t>
    </mdx>
    <mdx n="0" f="v">
      <t c="6" si="614">
        <n x="610"/>
        <n x="463"/>
        <n x="410"/>
        <n x="611" s="1"/>
        <n x="653"/>
        <n x="654"/>
      </t>
    </mdx>
    <mdx n="0" f="v">
      <t c="6" si="614">
        <n x="610"/>
        <n x="461"/>
        <n x="462"/>
        <n x="611" s="1"/>
        <n x="689"/>
        <n x="690"/>
      </t>
    </mdx>
    <mdx n="0" f="v">
      <t c="6" si="614">
        <n x="610"/>
        <n x="407"/>
        <n x="408"/>
        <n x="611" s="1"/>
        <n x="665"/>
        <n x="666"/>
      </t>
    </mdx>
    <mdx n="0" f="v">
      <t c="6" si="614">
        <n x="610"/>
        <n x="455"/>
        <n x="456"/>
        <n x="611" s="1"/>
        <n x="659"/>
        <n x="682"/>
      </t>
    </mdx>
    <mdx n="0" f="v">
      <t c="6" si="614">
        <n x="610"/>
        <n x="455"/>
        <n x="404"/>
        <n x="611" s="1"/>
        <n x="649"/>
        <n x="650"/>
      </t>
    </mdx>
    <mdx n="0" f="v">
      <t c="6" si="614">
        <n x="610"/>
        <n x="455"/>
        <n x="404"/>
        <n x="611" s="1"/>
        <n x="649"/>
        <n x="613"/>
      </t>
    </mdx>
    <mdx n="0" f="v">
      <t c="6" si="614">
        <n x="610"/>
        <n x="401"/>
        <n x="402"/>
        <n x="611" s="1"/>
        <n x="615"/>
        <n x="616"/>
      </t>
    </mdx>
    <mdx n="0" f="v">
      <t c="6" si="614">
        <n x="610"/>
        <n x="415"/>
        <n x="398"/>
        <n x="611" s="1"/>
        <n x="699"/>
        <n x="700"/>
      </t>
    </mdx>
    <mdx n="0" f="v">
      <t c="6" si="614">
        <n x="610"/>
        <n x="413"/>
        <n x="414"/>
        <n x="611" s="1"/>
        <n x="631"/>
        <n x="632"/>
      </t>
    </mdx>
    <mdx n="0" f="v">
      <t c="6" si="614">
        <n x="610"/>
        <n x="465"/>
        <n x="466"/>
        <n x="611" s="1"/>
        <n x="643"/>
        <n x="644"/>
      </t>
    </mdx>
    <mdx n="0" f="v">
      <t c="6" si="614">
        <n x="610"/>
        <n x="393"/>
        <n x="394"/>
        <n x="611" s="1"/>
        <n x="675"/>
        <n x="676"/>
      </t>
    </mdx>
    <mdx n="0" f="v">
      <t c="6" si="614">
        <n x="610"/>
        <n x="461"/>
        <n x="394"/>
        <n x="611" s="1"/>
        <n x="631"/>
        <n x="632"/>
      </t>
    </mdx>
    <mdx n="0" f="v">
      <t c="6" si="614">
        <n x="610"/>
        <n x="459"/>
        <n x="408"/>
        <n x="611" s="1"/>
        <n x="657"/>
        <n x="658"/>
      </t>
    </mdx>
    <mdx n="0" f="v">
      <t c="6" si="614">
        <n x="610"/>
        <n x="389"/>
        <n x="390"/>
        <n x="611" s="1"/>
        <n x="661"/>
        <n x="648"/>
      </t>
    </mdx>
    <mdx n="0" f="v">
      <t c="6" si="614">
        <n x="610"/>
        <n x="381"/>
        <n x="382"/>
        <n x="611" s="1"/>
        <n x="645"/>
        <n x="660"/>
      </t>
    </mdx>
    <mdx n="0" f="v">
      <t c="6" si="614">
        <n x="610"/>
        <n x="379"/>
        <n x="432"/>
        <n x="611" s="1"/>
        <n x="703"/>
        <n x="702"/>
      </t>
    </mdx>
    <mdx n="0" f="v">
      <t c="6" si="614">
        <n x="610"/>
        <n x="457"/>
        <n x="378"/>
        <n x="611" s="1"/>
        <n x="653"/>
        <n x="654"/>
      </t>
    </mdx>
    <mdx n="0" f="v">
      <t c="6" si="614">
        <n x="610"/>
        <n x="427"/>
        <n x="428"/>
        <n x="611" s="1"/>
        <n x="657"/>
        <n x="658"/>
      </t>
    </mdx>
    <mdx n="0" f="v">
      <t c="6" si="614">
        <n x="610"/>
        <n x="425"/>
        <n x="426"/>
        <n x="611" s="1"/>
        <n x="629"/>
        <n x="630"/>
      </t>
    </mdx>
    <mdx n="0" f="v">
      <t c="6" si="614">
        <n x="610"/>
        <n x="371"/>
        <n x="372"/>
        <n x="611" s="1"/>
        <n x="697"/>
        <n x="698"/>
      </t>
    </mdx>
    <mdx n="0" f="v">
      <t c="6" si="614">
        <n x="610"/>
        <n x="419"/>
        <n x="446"/>
        <n x="611" s="1"/>
        <n x="667"/>
        <n x="668"/>
      </t>
    </mdx>
    <mdx n="0" f="v">
      <t c="6" si="614">
        <n x="610"/>
        <n x="415"/>
        <n x="416"/>
        <n x="611" s="1"/>
        <n x="693"/>
        <n x="680"/>
      </t>
    </mdx>
    <mdx n="0" f="v">
      <t c="6" si="614">
        <n x="610"/>
        <n x="369"/>
        <n x="370"/>
        <n x="611" s="1"/>
        <n x="701"/>
        <n x="670"/>
      </t>
    </mdx>
    <mdx n="0" f="v">
      <t c="6" si="614">
        <n x="610"/>
        <n x="415"/>
        <n x="416"/>
        <n x="611" s="1"/>
        <n x="627"/>
        <n x="628"/>
      </t>
    </mdx>
    <mdx n="0" f="v">
      <t c="6" si="614">
        <n x="610"/>
        <n x="415"/>
        <n x="416"/>
        <n x="611" s="1"/>
        <n x="691"/>
        <n x="692"/>
      </t>
    </mdx>
    <mdx n="0" f="v">
      <t c="6" si="614">
        <n x="610"/>
        <n x="367"/>
        <n x="368"/>
        <n x="611" s="1"/>
        <n x="635"/>
        <n x="702"/>
      </t>
    </mdx>
    <mdx n="0" f="v">
      <t c="6" si="614">
        <n x="610"/>
        <n x="365"/>
        <n x="366"/>
        <n x="611" s="1"/>
        <n x="617"/>
        <n x="618"/>
      </t>
    </mdx>
    <mdx n="0" f="v">
      <t c="6" si="614">
        <n x="610"/>
        <n x="411"/>
        <n x="412"/>
        <n x="611" s="1"/>
        <n x="647"/>
        <n x="648"/>
      </t>
    </mdx>
    <mdx n="0" f="v">
      <t c="6" si="614">
        <n x="610"/>
        <n x="357"/>
        <n x="358"/>
        <n x="611" s="1"/>
        <n x="641"/>
        <n x="642"/>
      </t>
    </mdx>
    <mdx n="0" f="v">
      <t c="6" si="614">
        <n x="610"/>
        <n x="357"/>
        <n x="358"/>
        <n x="611" s="1"/>
        <n x="673"/>
        <n x="674"/>
      </t>
    </mdx>
    <mdx n="0" f="v">
      <t c="6" si="614">
        <n x="610"/>
        <n x="351"/>
        <n x="352"/>
        <n x="611" s="1"/>
        <n x="679"/>
        <n x="680"/>
      </t>
    </mdx>
    <mdx n="0" f="v">
      <t c="6" si="614">
        <n x="610"/>
        <n x="395"/>
        <n x="396"/>
        <n x="611" s="1"/>
        <n x="612"/>
        <n x="613"/>
      </t>
    </mdx>
    <mdx n="0" f="v">
      <t c="6" si="614">
        <n x="610"/>
        <n x="349"/>
        <n x="350"/>
        <n x="611" s="1"/>
        <n x="655"/>
        <n x="656"/>
      </t>
    </mdx>
    <mdx n="0" f="v">
      <t c="6" si="614">
        <n x="610"/>
        <n x="347"/>
        <n x="348"/>
        <n x="611" s="1"/>
        <n x="663"/>
        <n x="664"/>
      </t>
    </mdx>
    <mdx n="0" f="v">
      <t c="6" si="614">
        <n x="202"/>
        <n x="345"/>
        <n x="346"/>
        <n x="611" s="1"/>
        <n x="667"/>
        <n x="668"/>
      </t>
    </mdx>
    <mdx n="0" f="v">
      <t c="6" si="614">
        <n x="610"/>
        <n x="343"/>
        <n x="344"/>
        <n x="611" s="1"/>
        <n x="675"/>
        <n x="676"/>
      </t>
    </mdx>
    <mdx n="0" f="v">
      <t c="6" si="614">
        <n x="610"/>
        <n x="443"/>
        <n x="444"/>
        <n x="611" s="1"/>
        <n x="637"/>
        <n x="632"/>
      </t>
    </mdx>
    <mdx n="0" f="v">
      <t c="6" si="614">
        <n x="610"/>
        <n x="457"/>
        <n x="342"/>
        <n x="611" s="1"/>
        <n x="697"/>
        <n x="698"/>
      </t>
    </mdx>
    <mdx n="0" f="v">
      <t c="6" si="614">
        <n x="610"/>
        <n x="455"/>
        <n x="456"/>
        <n x="611" s="1"/>
        <n x="625"/>
        <n x="626"/>
      </t>
    </mdx>
    <mdx n="0" f="v">
      <t c="6" si="614">
        <n x="610"/>
        <n x="341"/>
        <n x="342"/>
        <n x="611" s="1"/>
        <n x="635"/>
        <n x="650"/>
      </t>
    </mdx>
    <mdx n="0" f="v">
      <t c="6" si="614">
        <n x="610"/>
        <n x="451"/>
        <n x="452"/>
        <n x="611" s="1"/>
        <n x="635"/>
        <n x="636"/>
      </t>
    </mdx>
    <mdx n="0" f="v">
      <t c="6" si="614">
        <n x="610"/>
        <n x="433"/>
        <n x="434"/>
        <n x="611" s="1"/>
        <n x="657"/>
        <n x="646"/>
      </t>
    </mdx>
    <mdx n="0" f="v">
      <t c="6" si="614">
        <n x="610"/>
        <n x="441"/>
        <n x="442"/>
        <n x="611" s="1"/>
        <n x="647"/>
        <n x="690"/>
      </t>
    </mdx>
    <mdx n="0" f="v">
      <t c="6" si="614">
        <n x="610"/>
        <n x="439"/>
        <n x="440"/>
        <n x="611" s="1"/>
        <n x="671"/>
        <n x="672"/>
      </t>
    </mdx>
    <mdx n="0" f="v">
      <t c="6" si="614">
        <n x="610"/>
        <n x="335"/>
        <n x="440"/>
        <n x="611" s="1"/>
        <n x="669"/>
        <n x="670"/>
      </t>
    </mdx>
    <mdx n="0" f="v">
      <t c="6" si="614">
        <n x="610"/>
        <n x="333"/>
        <n x="438"/>
        <n x="611" s="1"/>
        <n x="705"/>
        <n x="706"/>
      </t>
    </mdx>
    <mdx n="0" f="v">
      <t c="6" si="614">
        <n x="610"/>
        <n x="333"/>
        <n x="438"/>
        <n x="611" s="1"/>
        <n x="685"/>
        <n x="686"/>
      </t>
    </mdx>
    <mdx n="0" f="v">
      <t c="6" si="614">
        <n x="610"/>
        <n x="333"/>
        <n x="438"/>
        <n x="611" s="1"/>
        <n x="653"/>
        <n x="654"/>
      </t>
    </mdx>
    <mdx n="0" f="v">
      <t c="6" si="614">
        <n x="610"/>
        <n x="333"/>
        <n x="432"/>
        <n x="611" s="1"/>
        <n x="612"/>
        <n x="613"/>
      </t>
    </mdx>
    <mdx n="0" f="v">
      <t c="6" si="614">
        <n x="610"/>
        <n x="333"/>
        <n x="432"/>
        <n x="611" s="1"/>
        <n x="645"/>
        <n x="646"/>
      </t>
    </mdx>
    <mdx n="0" f="v">
      <t c="6" si="614">
        <n x="610"/>
        <n x="331"/>
        <n x="422"/>
        <n x="611" s="1"/>
        <n x="615"/>
        <n x="616"/>
      </t>
    </mdx>
    <mdx n="0" f="v">
      <t c="6" si="614">
        <n x="610"/>
        <n x="331"/>
        <n x="332"/>
        <n x="611" s="1"/>
        <n x="612"/>
        <n x="613"/>
      </t>
    </mdx>
    <mdx n="0" f="v">
      <t c="6" si="614">
        <n x="610"/>
        <n x="417"/>
        <n x="332"/>
        <n x="611" s="1"/>
        <n x="612"/>
        <n x="613"/>
      </t>
    </mdx>
    <mdx n="0" f="v">
      <t c="6" si="614">
        <n x="610"/>
        <n x="411"/>
        <n x="472"/>
        <n x="611" s="1"/>
        <n x="645"/>
        <n x="646"/>
      </t>
    </mdx>
    <mdx n="0" f="v">
      <t c="6" si="614">
        <n x="610"/>
        <n x="463"/>
        <n x="464"/>
        <n x="611" s="1"/>
        <n x="705"/>
        <n x="706"/>
      </t>
    </mdx>
    <mdx n="0" f="v">
      <t c="6" si="614">
        <n x="610"/>
        <n x="411"/>
        <n x="412"/>
        <n x="611" s="1"/>
        <n x="627"/>
        <n x="628"/>
      </t>
    </mdx>
    <mdx n="0" f="v">
      <t c="6" si="614">
        <n x="610"/>
        <n x="409"/>
        <n x="410"/>
        <n x="611" s="1"/>
        <n x="669"/>
        <n x="670"/>
      </t>
    </mdx>
    <mdx n="0" f="v">
      <t c="6" si="614">
        <n x="610"/>
        <n x="327"/>
        <n x="328"/>
        <n x="611" s="1"/>
        <n x="612"/>
        <n x="613"/>
      </t>
    </mdx>
    <mdx n="0" f="v">
      <t c="6" si="614">
        <n x="610"/>
        <n x="327"/>
        <n x="328"/>
        <n x="611" s="1"/>
        <n x="623"/>
        <n x="624"/>
      </t>
    </mdx>
    <mdx n="0" f="v">
      <t c="6" si="614">
        <n x="610"/>
        <n x="325"/>
        <n x="326"/>
        <n x="611" s="1"/>
        <n x="689"/>
        <n x="690"/>
      </t>
    </mdx>
    <mdx n="0" f="v">
      <t c="6" si="614">
        <n x="610"/>
        <n x="403"/>
        <n x="404"/>
        <n x="611" s="1"/>
        <n x="689"/>
        <n x="690"/>
      </t>
    </mdx>
    <mdx n="0" f="v">
      <t c="6" si="614">
        <n x="610"/>
        <n x="325"/>
        <n x="446"/>
        <n x="611" s="1"/>
        <n x="643"/>
        <n x="644"/>
      </t>
    </mdx>
    <mdx n="0" f="v">
      <t c="6" si="614">
        <n x="610"/>
        <n x="401"/>
        <n x="402"/>
        <n x="611" s="1"/>
        <n x="655"/>
        <n x="656"/>
      </t>
    </mdx>
    <mdx n="0" f="v">
      <t c="6" si="614">
        <n x="610"/>
        <n x="401"/>
        <n x="402"/>
        <n x="611" s="1"/>
        <n x="625"/>
        <n x="626"/>
      </t>
    </mdx>
    <mdx n="0" f="v">
      <t c="6" si="614">
        <n x="610"/>
        <n x="323"/>
        <n x="324"/>
        <n x="611" s="1"/>
        <n x="703"/>
        <n x="704"/>
      </t>
    </mdx>
    <mdx n="0" f="v">
      <t c="6" si="614">
        <n x="610"/>
        <n x="399"/>
        <n x="400"/>
        <n x="611" s="1"/>
        <n x="691"/>
        <n x="692"/>
      </t>
    </mdx>
    <mdx n="0" f="v">
      <t c="6" si="614">
        <n x="610"/>
        <n x="399"/>
        <n x="324"/>
        <n x="611" s="1"/>
        <n x="681"/>
        <n x="682"/>
      </t>
    </mdx>
    <mdx n="0" f="v">
      <t c="6" si="614">
        <n x="610"/>
        <n x="437"/>
        <n x="324"/>
        <n x="611" s="1"/>
        <n x="621"/>
        <n x="622"/>
      </t>
    </mdx>
    <mdx n="0" f="v">
      <t c="6" si="614">
        <n x="610"/>
        <n x="393"/>
        <n x="322"/>
        <n x="611" s="1"/>
        <n x="689"/>
        <n x="690"/>
      </t>
    </mdx>
    <mdx n="0" f="v">
      <t c="6" si="614">
        <n x="610"/>
        <n x="321"/>
        <n x="322"/>
        <n x="611" s="1"/>
        <n x="685"/>
        <n x="686"/>
      </t>
    </mdx>
    <mdx n="0" f="v">
      <t c="6" si="614">
        <n x="610"/>
        <n x="321"/>
        <n x="322"/>
        <n x="611" s="1"/>
        <n x="623"/>
        <n x="626"/>
      </t>
    </mdx>
    <mdx n="0" f="v">
      <t c="6" si="614">
        <n x="610"/>
        <n x="391"/>
        <n x="392"/>
        <n x="611" s="1"/>
        <n x="665"/>
        <n x="690"/>
      </t>
    </mdx>
    <mdx n="0" f="v">
      <t c="6" si="614">
        <n x="610"/>
        <n x="319"/>
        <n x="320"/>
        <n x="611" s="1"/>
        <n x="657"/>
        <n x="658"/>
      </t>
    </mdx>
    <mdx n="0" f="v">
      <t c="6" si="614">
        <n x="610"/>
        <n x="395"/>
        <n x="396"/>
        <n x="611" s="1"/>
        <n x="619"/>
        <n x="613"/>
      </t>
    </mdx>
    <mdx n="0" f="v">
      <t c="6" si="614">
        <n x="610"/>
        <n x="465"/>
        <n x="466"/>
        <n x="611" s="1"/>
        <n x="657"/>
        <n x="658"/>
      </t>
    </mdx>
    <mdx n="0" f="v">
      <t c="6" si="614">
        <n x="610"/>
        <n x="441"/>
        <n x="442"/>
        <n x="611" s="1"/>
        <n x="669"/>
        <n x="670"/>
      </t>
    </mdx>
    <mdx n="0" f="v">
      <t c="6" si="614">
        <n x="610"/>
        <n x="439"/>
        <n x="440"/>
        <n x="611" s="1"/>
        <n x="635"/>
        <n x="636"/>
      </t>
    </mdx>
    <mdx n="0" f="v">
      <t c="6" si="614">
        <n x="610"/>
        <n x="435"/>
        <n x="436"/>
        <n x="611" s="1"/>
        <n x="629"/>
        <n x="684"/>
      </t>
    </mdx>
    <mdx n="0" f="v">
      <t c="6" si="614">
        <n x="610"/>
        <n x="427"/>
        <n x="428"/>
        <n x="611" s="1"/>
        <n x="649"/>
        <n x="652"/>
      </t>
    </mdx>
    <mdx n="0" f="v">
      <t c="6" si="614">
        <n x="610"/>
        <n x="423"/>
        <n x="424"/>
        <n x="611" s="1"/>
        <n x="653"/>
        <n x="660"/>
      </t>
    </mdx>
    <mdx n="0" f="v">
      <t c="6" si="614">
        <n x="610"/>
        <n x="417"/>
        <n x="418"/>
        <n x="611" s="1"/>
        <n x="655"/>
        <n x="624"/>
      </t>
    </mdx>
    <mdx n="0" f="v">
      <t c="6" si="614">
        <n x="610"/>
        <n x="419"/>
        <n x="414"/>
        <n x="611" s="1"/>
        <n x="691"/>
        <n x="692"/>
      </t>
    </mdx>
    <mdx n="0" f="v">
      <t c="6" si="614">
        <n x="610"/>
        <n x="471"/>
        <n x="472"/>
        <n x="611" s="1"/>
        <n x="657"/>
        <n x="613"/>
      </t>
    </mdx>
    <mdx n="0" f="v">
      <t c="6" si="614">
        <n x="610"/>
        <n x="471"/>
        <n x="472"/>
        <n x="611" s="1"/>
        <n x="697"/>
        <n x="698"/>
      </t>
    </mdx>
    <mdx n="0" f="v">
      <t c="6" si="614">
        <n x="610"/>
        <n x="451"/>
        <n x="414"/>
        <n x="611" s="1"/>
        <n x="679"/>
        <n x="680"/>
      </t>
    </mdx>
    <mdx n="0" f="v">
      <t c="6" si="614">
        <n x="610"/>
        <n x="399"/>
        <n x="400"/>
        <n x="611" s="1"/>
        <n x="661"/>
        <n x="652"/>
      </t>
    </mdx>
    <mdx n="0" f="v">
      <t c="6" si="614">
        <n x="610"/>
        <n x="389"/>
        <n x="390"/>
        <n x="611" s="1"/>
        <n x="675"/>
        <n x="676"/>
      </t>
    </mdx>
    <mdx n="0" f="v">
      <t c="6" si="614">
        <n x="610"/>
        <n x="387"/>
        <n x="388"/>
        <n x="611" s="1"/>
        <n x="679"/>
        <n x="680"/>
      </t>
    </mdx>
    <mdx n="0" f="v">
      <t c="6" si="614">
        <n x="610"/>
        <n x="453"/>
        <n x="454"/>
        <n x="611" s="1"/>
        <n x="615"/>
        <n x="702"/>
      </t>
    </mdx>
    <mdx n="0" f="v">
      <t c="6" si="614">
        <n x="610"/>
        <n x="403"/>
        <n x="404"/>
        <n x="611" s="1"/>
        <n x="683"/>
        <n x="636"/>
      </t>
    </mdx>
    <mdx n="0" f="v">
      <t c="6" si="614">
        <n x="610"/>
        <n x="377"/>
        <n x="378"/>
        <n x="611" s="1"/>
        <n x="627"/>
        <n x="628"/>
      </t>
    </mdx>
    <mdx n="0" f="v">
      <t c="6" si="614">
        <n x="202"/>
        <n x="377"/>
        <n x="402"/>
        <n x="611" s="1"/>
        <n x="669"/>
        <n x="670"/>
      </t>
    </mdx>
    <mdx n="0" f="v">
      <t c="6" si="614">
        <n x="610"/>
        <n x="393"/>
        <n x="394"/>
        <n x="611" s="1"/>
        <n x="655"/>
        <n x="628"/>
      </t>
    </mdx>
    <mdx n="0" f="v">
      <t c="6" si="614">
        <n x="610"/>
        <n x="391"/>
        <n x="392"/>
        <n x="611" s="1"/>
        <n x="612"/>
        <n x="613"/>
      </t>
    </mdx>
    <mdx n="0" f="v">
      <t c="6" si="614">
        <n x="610"/>
        <n x="431"/>
        <n x="390"/>
        <n x="611" s="1"/>
        <n x="657"/>
        <n x="658"/>
      </t>
    </mdx>
    <mdx n="0" f="v">
      <t c="6" si="614">
        <n x="610"/>
        <n x="431"/>
        <n x="432"/>
        <n x="611" s="1"/>
        <n x="703"/>
        <n x="704"/>
      </t>
    </mdx>
    <mdx n="0" f="v">
      <t c="6" si="614">
        <n x="610"/>
        <n x="383"/>
        <n x="464"/>
        <n x="611" s="1"/>
        <n x="707"/>
        <n x="708"/>
      </t>
    </mdx>
    <mdx n="0" f="v">
      <t c="6" si="614">
        <n x="610"/>
        <n x="381"/>
        <n x="382"/>
        <n x="611" s="1"/>
        <n x="623"/>
        <n x="646"/>
      </t>
    </mdx>
    <mdx n="0" f="v">
      <t c="6" si="614">
        <n x="610"/>
        <n x="377"/>
        <n x="446"/>
        <n x="611" s="1"/>
        <n x="619"/>
        <n x="620"/>
      </t>
    </mdx>
    <mdx n="0" f="v">
      <t c="6" si="614">
        <n x="610"/>
        <n x="377"/>
        <n x="446"/>
        <n x="611" s="1"/>
        <n x="619"/>
        <n x="706"/>
      </t>
    </mdx>
    <mdx n="0" f="v">
      <t c="6" si="614">
        <n x="610"/>
        <n x="377"/>
        <n x="378"/>
        <n x="611" s="1"/>
        <n x="629"/>
        <n x="624"/>
      </t>
    </mdx>
    <mdx n="0" f="v">
      <t c="6" si="614">
        <n x="610"/>
        <n x="377"/>
        <n x="378"/>
        <n x="611" s="1"/>
        <n x="629"/>
        <n x="630"/>
      </t>
    </mdx>
    <mdx n="0" f="v">
      <t c="6" si="614">
        <n x="610"/>
        <n x="427"/>
        <n x="428"/>
        <n x="611" s="1"/>
        <n x="615"/>
        <n x="694"/>
      </t>
    </mdx>
    <mdx n="0" f="v">
      <t c="6" si="614">
        <n x="610"/>
        <n x="373"/>
        <n x="374"/>
        <n x="611" s="1"/>
        <n x="689"/>
        <n x="690"/>
      </t>
    </mdx>
    <mdx n="0" f="v">
      <t c="6" si="614">
        <n x="610"/>
        <n x="371"/>
        <n x="372"/>
        <n x="611" s="1"/>
        <n x="655"/>
        <n x="644"/>
      </t>
    </mdx>
    <mdx n="0" f="v">
      <t c="6" si="614">
        <n x="610"/>
        <n x="399"/>
        <n x="400"/>
        <n x="611" s="1"/>
        <n x="697"/>
        <n x="616"/>
      </t>
    </mdx>
    <mdx n="0" f="v">
      <t c="6" si="614">
        <n x="610"/>
        <n x="409"/>
        <n x="370"/>
        <n x="611" s="1"/>
        <n x="651"/>
        <n x="652"/>
      </t>
    </mdx>
    <mdx n="0" f="v">
      <t c="6" si="614">
        <n x="610"/>
        <n x="409"/>
        <n x="410"/>
        <n x="611" s="1"/>
        <n x="707"/>
        <n x="652"/>
      </t>
    </mdx>
    <mdx n="0" f="v">
      <t c="6" si="614">
        <n x="610"/>
        <n x="365"/>
        <n x="366"/>
        <n x="611" s="1"/>
        <n x="707"/>
        <n x="708"/>
      </t>
    </mdx>
    <mdx n="0" f="v">
      <t c="6" si="614">
        <n x="610"/>
        <n x="361"/>
        <n x="362"/>
        <n x="611" s="1"/>
        <n x="657"/>
        <n x="658"/>
      </t>
    </mdx>
    <mdx n="0" f="v">
      <t c="6" si="614">
        <n x="610"/>
        <n x="399"/>
        <n x="400"/>
        <n x="611" s="1"/>
        <n x="657"/>
        <n x="658"/>
      </t>
    </mdx>
    <mdx n="0" f="v">
      <t c="6" si="614">
        <n x="610"/>
        <n x="397"/>
        <n x="398"/>
        <n x="611" s="1"/>
        <n x="671"/>
        <n x="672"/>
      </t>
    </mdx>
    <mdx n="0" f="v">
      <t c="6" si="614">
        <n x="610"/>
        <n x="359"/>
        <n x="360"/>
        <n x="611" s="1"/>
        <n x="617"/>
        <n x="613"/>
      </t>
    </mdx>
    <mdx n="0" f="v">
      <t c="6" si="614">
        <n x="610"/>
        <n x="467"/>
        <n x="468"/>
        <n x="611" s="1"/>
        <n x="667"/>
        <n x="668"/>
      </t>
    </mdx>
    <mdx n="0" f="v">
      <t c="6" si="614">
        <n x="610"/>
        <n x="437"/>
        <n x="438"/>
        <n x="611" s="1"/>
        <n x="705"/>
        <n x="706"/>
      </t>
    </mdx>
    <mdx n="0" f="v">
      <t c="6" si="614">
        <n x="610"/>
        <n x="417"/>
        <n x="432"/>
        <n x="611" s="1"/>
        <n x="701"/>
        <n x="702"/>
      </t>
    </mdx>
    <mdx n="0" f="v">
      <t c="6" si="614">
        <n x="610"/>
        <n x="369"/>
        <n x="416"/>
        <n x="611" s="1"/>
        <n x="631"/>
        <n x="632"/>
      </t>
    </mdx>
    <mdx n="0" f="v">
      <t c="6" si="614">
        <n x="610"/>
        <n x="369"/>
        <n x="370"/>
        <n x="611" s="1"/>
        <n x="639"/>
        <n x="650"/>
      </t>
    </mdx>
    <mdx n="0" f="v">
      <t c="6" si="614">
        <n x="610"/>
        <n x="369"/>
        <n x="370"/>
        <n x="611" s="1"/>
        <n x="681"/>
        <n x="682"/>
      </t>
    </mdx>
    <mdx n="0" f="v">
      <t c="6" si="614">
        <n x="610"/>
        <n x="365"/>
        <n x="366"/>
        <n x="611" s="1"/>
        <n x="681"/>
        <n x="682"/>
      </t>
    </mdx>
    <mdx n="0" f="v">
      <t c="6" si="614">
        <n x="610"/>
        <n x="411"/>
        <n x="408"/>
        <n x="611" s="1"/>
        <n x="671"/>
        <n x="616"/>
      </t>
    </mdx>
    <mdx n="0" f="v">
      <t c="6" si="614">
        <n x="610"/>
        <n x="411"/>
        <n x="412"/>
        <n x="611" s="1"/>
        <n x="671"/>
        <n x="616"/>
      </t>
    </mdx>
    <mdx n="0" f="v">
      <t c="6" si="614">
        <n x="610"/>
        <n x="407"/>
        <n x="408"/>
        <n x="611" s="1"/>
        <n x="673"/>
        <n x="658"/>
      </t>
    </mdx>
    <mdx n="0" f="v">
      <t c="6" si="614">
        <n x="610"/>
        <n x="405"/>
        <n x="406"/>
        <n x="611" s="1"/>
        <n x="693"/>
        <n x="694"/>
      </t>
    </mdx>
    <mdx n="0" f="v">
      <t c="6" si="614">
        <n x="610"/>
        <n x="405"/>
        <n x="406"/>
        <n x="611" s="1"/>
        <n x="693"/>
        <n x="650"/>
      </t>
    </mdx>
    <mdx n="0" f="v">
      <t c="6" si="614">
        <n x="610"/>
        <n x="405"/>
        <n x="406"/>
        <n x="611" s="1"/>
        <n x="693"/>
        <n x="650"/>
      </t>
    </mdx>
    <mdx n="0" f="v">
      <t c="6" si="614">
        <n x="610"/>
        <n x="365"/>
        <n x="366"/>
        <n x="611" s="1"/>
        <n x="679"/>
        <n x="680"/>
      </t>
    </mdx>
    <mdx n="0" f="v">
      <t c="6" si="614">
        <n x="610"/>
        <n x="405"/>
        <n x="406"/>
        <n x="611" s="1"/>
        <n x="661"/>
        <n x="662"/>
      </t>
    </mdx>
    <mdx n="0" f="v">
      <t c="6" si="614">
        <n x="202"/>
        <n x="403"/>
        <n x="364"/>
        <n x="611" s="1"/>
        <n x="653"/>
        <n x="654"/>
      </t>
    </mdx>
    <mdx n="0" f="v">
      <t c="6" si="614">
        <n x="610"/>
        <n x="401"/>
        <n x="402"/>
        <n x="611" s="1"/>
        <n x="705"/>
        <n x="668"/>
      </t>
    </mdx>
    <mdx n="0" f="v">
      <t c="6" si="614">
        <n x="610"/>
        <n x="397"/>
        <n x="398"/>
        <n x="611" s="1"/>
        <n x="689"/>
        <n x="648"/>
      </t>
    </mdx>
    <mdx n="0" f="v">
      <t c="6" si="614">
        <n x="610"/>
        <n x="393"/>
        <n x="468"/>
        <n x="611" s="1"/>
        <n x="665"/>
        <n x="666"/>
      </t>
    </mdx>
    <mdx n="0" f="v">
      <t c="6" si="614">
        <n x="610"/>
        <n x="393"/>
        <n x="394"/>
        <n x="611" s="1"/>
        <n x="705"/>
        <n x="706"/>
      </t>
    </mdx>
    <mdx n="0" f="v">
      <t c="6" si="614">
        <n x="610"/>
        <n x="439"/>
        <n x="392"/>
        <n x="611" s="1"/>
        <n x="627"/>
        <n x="628"/>
      </t>
    </mdx>
    <mdx n="0" f="v">
      <t c="6" si="614">
        <n x="610"/>
        <n x="389"/>
        <n x="390"/>
        <n x="611" s="1"/>
        <n x="645"/>
        <n x="646"/>
      </t>
    </mdx>
    <mdx n="0" f="v">
      <t c="6" si="614">
        <n x="610"/>
        <n x="377"/>
        <n x="444"/>
        <n x="611" s="1"/>
        <n x="659"/>
        <n x="660"/>
      </t>
    </mdx>
    <mdx n="0" f="v">
      <t c="6" si="614">
        <n x="610"/>
        <n x="375"/>
        <n x="406"/>
        <n x="611" s="1"/>
        <n x="643"/>
        <n x="644"/>
      </t>
    </mdx>
    <mdx n="0" f="v">
      <t c="6" si="614">
        <n x="610"/>
        <n x="375"/>
        <n x="376"/>
        <n x="611" s="1"/>
        <n x="671"/>
        <n x="672"/>
      </t>
    </mdx>
    <mdx n="0" f="v">
      <t c="6" si="614">
        <n x="610"/>
        <n x="399"/>
        <n x="400"/>
        <n x="611" s="1"/>
        <n x="649"/>
        <n x="650"/>
      </t>
    </mdx>
    <mdx n="0" f="v">
      <t c="6" si="614">
        <n x="610"/>
        <n x="399"/>
        <n x="372"/>
        <n x="611" s="1"/>
        <n x="685"/>
        <n x="690"/>
      </t>
    </mdx>
    <mdx n="0" f="v">
      <t c="6" si="614">
        <n x="610"/>
        <n x="369"/>
        <n x="396"/>
        <n x="611" s="1"/>
        <n x="703"/>
        <n x="660"/>
      </t>
    </mdx>
    <mdx n="0" f="v">
      <t c="6" si="614">
        <n x="610"/>
        <n x="367"/>
        <n x="396"/>
        <n x="611" s="1"/>
        <n x="621"/>
        <n x="622"/>
      </t>
    </mdx>
    <mdx n="0" f="v">
      <t c="6" si="614">
        <n x="610"/>
        <n x="367"/>
        <n x="396"/>
        <n x="611" s="1"/>
        <n x="643"/>
        <n x="644"/>
      </t>
    </mdx>
    <mdx n="0" f="v">
      <t c="6" si="614">
        <n x="610"/>
        <n x="365"/>
        <n x="366"/>
        <n x="611" s="1"/>
        <n x="667"/>
        <n x="628"/>
      </t>
    </mdx>
    <mdx n="0" f="v">
      <t c="6" si="614">
        <n x="610"/>
        <n x="411"/>
        <n x="412"/>
        <n x="611" s="1"/>
        <n x="635"/>
        <n x="636"/>
      </t>
    </mdx>
    <mdx n="0" f="v">
      <t c="6" si="614">
        <n x="610"/>
        <n x="391"/>
        <n x="392"/>
        <n x="611" s="1"/>
        <n x="627"/>
        <n x="613"/>
      </t>
    </mdx>
    <mdx n="0" f="v">
      <t c="6" si="614">
        <n x="610"/>
        <n x="389"/>
        <n x="390"/>
        <n x="611" s="1"/>
        <n x="643"/>
        <n x="682"/>
      </t>
    </mdx>
    <mdx n="0" f="v">
      <t c="6" si="614">
        <n x="610"/>
        <n x="405"/>
        <n x="406"/>
        <n x="611" s="1"/>
        <n x="659"/>
        <n x="660"/>
      </t>
    </mdx>
    <mdx n="0" f="v">
      <t c="6" si="614">
        <n x="610"/>
        <n x="405"/>
        <n x="406"/>
        <n x="611" s="1"/>
        <n x="619"/>
        <n x="620"/>
      </t>
    </mdx>
    <mdx n="0" f="v">
      <t c="6" si="614">
        <n x="610"/>
        <n x="385"/>
        <n x="386"/>
        <n x="611" s="1"/>
        <n x="695"/>
        <n x="696"/>
      </t>
    </mdx>
    <mdx n="0" f="v">
      <t c="6" si="614">
        <n x="202"/>
        <n x="359"/>
        <n x="402"/>
        <n x="611" s="1"/>
        <n x="699"/>
        <n x="700"/>
      </t>
    </mdx>
    <mdx n="0" f="v">
      <t c="6" si="614">
        <n x="610"/>
        <n x="355"/>
        <n x="382"/>
        <n x="611" s="1"/>
        <n x="659"/>
        <n x="660"/>
      </t>
    </mdx>
    <mdx n="0" f="v">
      <t c="6" si="614">
        <n x="610"/>
        <n x="353"/>
        <n x="398"/>
        <n x="611" s="1"/>
        <n x="703"/>
        <n x="704"/>
      </t>
    </mdx>
    <mdx n="0" f="v">
      <t c="6" si="614">
        <n x="610"/>
        <n x="353"/>
        <n x="398"/>
        <n x="611" s="1"/>
        <n x="621"/>
        <n x="622"/>
      </t>
    </mdx>
    <mdx n="0" f="v">
      <t c="6" si="614">
        <n x="610"/>
        <n x="351"/>
        <n x="352"/>
        <n x="611" s="1"/>
        <n x="687"/>
        <n x="688"/>
      </t>
    </mdx>
    <mdx n="0" f="v">
      <t c="6" si="614">
        <n x="610"/>
        <n x="351"/>
        <n x="352"/>
        <n x="611" s="1"/>
        <n x="625"/>
        <n x="646"/>
      </t>
    </mdx>
    <mdx n="0" f="v">
      <t c="6" si="614">
        <n x="610"/>
        <n x="413"/>
        <n x="414"/>
        <n x="611" s="1"/>
        <n x="705"/>
        <n x="704"/>
      </t>
    </mdx>
    <mdx n="0" f="v">
      <t c="6" si="614">
        <n x="610"/>
        <n x="413"/>
        <n x="414"/>
        <n x="611" s="1"/>
        <n x="647"/>
        <n x="648"/>
      </t>
    </mdx>
    <mdx n="0" f="v">
      <t c="6" si="614">
        <n x="610"/>
        <n x="411"/>
        <n x="412"/>
        <n x="611" s="1"/>
        <n x="699"/>
        <n x="624"/>
      </t>
    </mdx>
    <mdx n="0" f="v">
      <t c="6" si="614">
        <n x="610"/>
        <n x="411"/>
        <n x="390"/>
        <n x="611" s="1"/>
        <n x="689"/>
        <n x="664"/>
      </t>
    </mdx>
    <mdx n="0" f="v">
      <t c="6" si="614">
        <n x="610"/>
        <n x="411"/>
        <n x="390"/>
        <n x="611" s="1"/>
        <n x="689"/>
        <n x="690"/>
      </t>
    </mdx>
    <mdx n="0" f="v">
      <t c="6" si="614">
        <n x="610"/>
        <n x="347"/>
        <n x="348"/>
        <n x="611" s="1"/>
        <n x="691"/>
        <n x="613"/>
      </t>
    </mdx>
    <mdx n="0" f="v">
      <t c="6" si="614">
        <n x="610"/>
        <n x="347"/>
        <n x="348"/>
        <n x="611" s="1"/>
        <n x="633"/>
        <n x="634"/>
      </t>
    </mdx>
    <mdx n="0" f="v">
      <t c="6" si="614">
        <n x="610"/>
        <n x="407"/>
        <n x="408"/>
        <n x="611" s="1"/>
        <n x="633"/>
        <n x="634"/>
      </t>
    </mdx>
    <mdx n="0" f="v">
      <t c="6" si="614">
        <n x="610"/>
        <n x="407"/>
        <n x="408"/>
        <n x="611" s="1"/>
        <n x="693"/>
        <n x="646"/>
      </t>
    </mdx>
    <mdx n="0" f="v">
      <t c="6" si="614">
        <n x="610"/>
        <n x="405"/>
        <n x="406"/>
        <n x="611" s="1"/>
        <n x="651"/>
        <n x="652"/>
      </t>
    </mdx>
    <mdx n="0" f="v">
      <t c="6" si="614">
        <n x="610"/>
        <n x="405"/>
        <n x="346"/>
        <n x="611" s="1"/>
        <n x="641"/>
        <n x="632"/>
      </t>
    </mdx>
    <mdx n="0" f="v">
      <t c="6" si="614">
        <n x="202"/>
        <n x="343"/>
        <n x="406"/>
        <n x="611" s="1"/>
        <n x="681"/>
        <n x="682"/>
      </t>
    </mdx>
    <mdx n="0" f="v">
      <t c="6" si="614">
        <n x="610"/>
        <n x="399"/>
        <n x="400"/>
        <n x="611" s="1"/>
        <n x="675"/>
        <n x="676"/>
      </t>
    </mdx>
    <mdx n="0" f="v">
      <t c="6" si="614">
        <n x="610"/>
        <n x="341"/>
        <n x="400"/>
        <n x="611" s="1"/>
        <n x="627"/>
        <n x="654"/>
      </t>
    </mdx>
    <mdx n="0" f="v">
      <t c="6" si="614">
        <n x="610"/>
        <n x="341"/>
        <n x="400"/>
        <n x="611" s="1"/>
        <n x="627"/>
        <n x="628"/>
      </t>
    </mdx>
    <mdx n="0" f="v">
      <t c="6" si="614">
        <n x="610"/>
        <n x="397"/>
        <n x="398"/>
        <n x="611" s="1"/>
        <n x="643"/>
        <n x="644"/>
      </t>
    </mdx>
    <mdx n="0" f="v">
      <t c="6" si="614">
        <n x="610"/>
        <n x="397"/>
        <n x="398"/>
        <n x="611" s="1"/>
        <n x="621"/>
        <n x="622"/>
      </t>
    </mdx>
    <mdx n="0" f="v">
      <t c="6" si="614">
        <n x="202"/>
        <n x="397"/>
        <n x="398"/>
        <n x="611" s="1"/>
        <n x="673"/>
        <n x="674"/>
      </t>
    </mdx>
    <mdx n="0" f="v">
      <t c="6" si="614">
        <n x="610"/>
        <n x="339"/>
        <n x="340"/>
        <n x="611" s="1"/>
        <n x="625"/>
        <n x="626"/>
      </t>
    </mdx>
    <mdx n="0" f="v">
      <t c="6" si="614">
        <n x="610"/>
        <n x="339"/>
        <n x="340"/>
        <n x="611" s="1"/>
        <n x="665"/>
        <n x="666"/>
      </t>
    </mdx>
    <mdx n="0" f="v">
      <t c="6" si="614">
        <n x="610"/>
        <n x="393"/>
        <n x="394"/>
        <n x="611" s="1"/>
        <n x="627"/>
        <n x="692"/>
      </t>
    </mdx>
    <mdx n="0" f="v">
      <t c="6" si="614">
        <n x="610"/>
        <n x="337"/>
        <n x="394"/>
        <n x="611" s="1"/>
        <n x="627"/>
        <n x="628"/>
      </t>
    </mdx>
    <mdx n="0" f="v">
      <t c="6" si="614">
        <n x="610"/>
        <n x="337"/>
        <n x="338"/>
        <n x="611" s="1"/>
        <n x="691"/>
        <n x="692"/>
      </t>
    </mdx>
    <mdx n="0" f="v">
      <t c="6" si="614">
        <n x="610"/>
        <n x="373"/>
        <n x="374"/>
        <n x="611" s="1"/>
        <n x="623"/>
        <n x="624"/>
      </t>
    </mdx>
    <mdx n="0" f="v">
      <t c="6" si="614">
        <n x="610"/>
        <n x="387"/>
        <n x="388"/>
        <n x="611" s="1"/>
        <n x="671"/>
        <n x="616"/>
      </t>
    </mdx>
    <mdx n="0" f="v">
      <t c="6" si="614">
        <n x="610"/>
        <n x="387"/>
        <n x="388"/>
        <n x="611" s="1"/>
        <n x="659"/>
        <n x="670"/>
      </t>
    </mdx>
    <mdx n="0" f="v">
      <t c="6" si="614">
        <n x="610"/>
        <n x="367"/>
        <n x="368"/>
        <n x="611" s="1"/>
        <n x="687"/>
        <n x="652"/>
      </t>
    </mdx>
    <mdx n="0" f="v">
      <t c="6" si="614">
        <n x="610"/>
        <n x="383"/>
        <n x="334"/>
        <n x="611" s="1"/>
        <n x="669"/>
        <n x="666"/>
      </t>
    </mdx>
    <mdx n="0" f="v">
      <t c="6" si="614">
        <n x="610"/>
        <n x="383"/>
        <n x="384"/>
        <n x="611" s="1"/>
        <n x="669"/>
        <n x="670"/>
      </t>
    </mdx>
    <mdx n="0" f="v">
      <t c="6" si="614">
        <n x="610"/>
        <n x="383"/>
        <n x="384"/>
        <n x="611" s="1"/>
        <n x="633"/>
        <n x="644"/>
      </t>
    </mdx>
    <mdx n="0" f="v">
      <t c="6" si="614">
        <n x="610"/>
        <n x="365"/>
        <n x="366"/>
        <n x="611" s="1"/>
        <n x="635"/>
        <n x="636"/>
      </t>
    </mdx>
    <mdx n="0" f="v">
      <t c="6" si="614">
        <n x="610"/>
        <n x="377"/>
        <n x="378"/>
        <n x="611" s="1"/>
        <n x="657"/>
        <n x="658"/>
      </t>
    </mdx>
    <mdx n="0" f="v">
      <t c="6" si="614">
        <n x="610"/>
        <n x="393"/>
        <n x="394"/>
        <n x="611" s="1"/>
        <n x="657"/>
        <n x="658"/>
      </t>
    </mdx>
    <mdx n="0" f="v">
      <t c="6" si="614">
        <n x="610"/>
        <n x="383"/>
        <n x="384"/>
        <n x="611" s="1"/>
        <n x="685"/>
        <n x="686"/>
      </t>
    </mdx>
    <mdx n="0" f="v">
      <t c="6" si="614">
        <n x="610"/>
        <n x="377"/>
        <n x="378"/>
        <n x="611" s="1"/>
        <n x="679"/>
        <n x="648"/>
      </t>
    </mdx>
    <mdx n="0" f="v">
      <t c="6" si="614">
        <n x="610"/>
        <n x="375"/>
        <n x="376"/>
        <n x="611" s="1"/>
        <n x="703"/>
        <n x="704"/>
      </t>
    </mdx>
    <mdx n="0" f="v">
      <t c="6" si="614">
        <n x="610"/>
        <n x="361"/>
        <n x="362"/>
        <n x="611" s="1"/>
        <n x="681"/>
        <n x="682"/>
      </t>
    </mdx>
    <mdx n="0" f="v">
      <t c="6" si="614">
        <n x="610"/>
        <n x="353"/>
        <n x="354"/>
        <n x="611" s="1"/>
        <n x="707"/>
        <n x="708"/>
      </t>
    </mdx>
    <mdx n="0" f="v">
      <t c="6" si="614">
        <n x="610"/>
        <n x="405"/>
        <n x="406"/>
        <n x="611" s="1"/>
        <n x="645"/>
        <n x="646"/>
      </t>
    </mdx>
    <mdx n="0" f="v">
      <t c="6" si="614">
        <n x="610"/>
        <n x="393"/>
        <n x="394"/>
        <n x="611" s="1"/>
        <n x="629"/>
        <n x="630"/>
      </t>
    </mdx>
    <mdx n="0" f="v">
      <t c="6" si="614">
        <n x="610"/>
        <n x="349"/>
        <n x="350"/>
        <n x="611" s="1"/>
        <n x="615"/>
        <n x="680"/>
      </t>
    </mdx>
    <mdx n="0" f="v">
      <t c="6" si="614">
        <n x="610"/>
        <n x="391"/>
        <n x="392"/>
        <n x="611" s="1"/>
        <n x="621"/>
        <n x="622"/>
      </t>
    </mdx>
    <mdx n="0" f="v">
      <t c="6" si="614">
        <n x="610"/>
        <n x="389"/>
        <n x="390"/>
        <n x="611" s="1"/>
        <n x="629"/>
        <n x="630"/>
      </t>
    </mdx>
    <mdx n="0" f="v">
      <t c="6" si="614">
        <n x="610"/>
        <n x="375"/>
        <n x="356"/>
        <n x="611" s="1"/>
        <n x="695"/>
        <n x="613"/>
      </t>
    </mdx>
    <mdx n="0" f="v">
      <t c="6" si="614">
        <n x="610"/>
        <n x="375"/>
        <n x="376"/>
        <n x="611" s="1"/>
        <n x="615"/>
        <n x="672"/>
      </t>
    </mdx>
    <mdx n="0" f="v">
      <t c="6" si="614">
        <n x="610"/>
        <n x="373"/>
        <n x="374"/>
        <n x="611" s="1"/>
        <n x="681"/>
        <n x="648"/>
      </t>
    </mdx>
    <mdx n="0" f="v">
      <t c="6" si="614">
        <n x="610"/>
        <n x="373"/>
        <n x="374"/>
        <n x="611" s="1"/>
        <n x="677"/>
        <n x="682"/>
      </t>
    </mdx>
    <mdx n="0" f="v">
      <t c="6" si="614">
        <n x="610"/>
        <n x="373"/>
        <n x="340"/>
        <n x="611" s="1"/>
        <n x="655"/>
        <n x="656"/>
      </t>
    </mdx>
    <mdx n="0" f="v">
      <t c="6" si="614">
        <n x="610"/>
        <n x="373"/>
        <n x="340"/>
        <n x="611" s="1"/>
        <n x="655"/>
        <n x="656"/>
      </t>
    </mdx>
    <mdx n="0" f="v">
      <t c="6" si="614">
        <n x="610"/>
        <n x="371"/>
        <n x="372"/>
        <n x="611" s="1"/>
        <n x="665"/>
        <n x="708"/>
      </t>
    </mdx>
    <mdx n="0" f="v">
      <t c="6" si="614">
        <n x="610"/>
        <n x="337"/>
        <n x="338"/>
        <n x="611" s="1"/>
        <n x="695"/>
        <n x="696"/>
      </t>
    </mdx>
    <mdx n="0" f="v">
      <t c="6" si="614">
        <n x="610"/>
        <n x="369"/>
        <n x="370"/>
        <n x="611" s="1"/>
        <n x="683"/>
        <n x="638"/>
      </t>
    </mdx>
    <mdx n="0" f="v">
      <t c="6" si="614">
        <n x="610"/>
        <n x="365"/>
        <n x="366"/>
        <n x="611" s="1"/>
        <n x="679"/>
        <n x="680"/>
      </t>
    </mdx>
    <mdx n="0" f="v">
      <t c="6" si="614">
        <n x="610"/>
        <n x="345"/>
        <n x="346"/>
        <n x="611" s="1"/>
        <n x="655"/>
        <n x="656"/>
      </t>
    </mdx>
    <mdx n="0" f="v">
      <t c="6" si="614">
        <n x="610"/>
        <n x="331"/>
        <n x="332"/>
        <n x="611" s="1"/>
        <n x="625"/>
        <n x="626"/>
      </t>
    </mdx>
    <mdx n="0" f="v">
      <t c="6" si="614">
        <n x="610"/>
        <n x="345"/>
        <n x="346"/>
        <n x="611" s="1"/>
        <n x="635"/>
        <n x="708"/>
      </t>
    </mdx>
    <mdx n="0" f="v">
      <t c="6" si="614">
        <n x="610"/>
        <n x="361"/>
        <n x="362"/>
        <n x="611" s="1"/>
        <n x="619"/>
        <n x="620"/>
      </t>
    </mdx>
    <mdx n="0" f="v">
      <t c="6" si="614">
        <n x="610"/>
        <n x="361"/>
        <n x="362"/>
        <n x="611" s="1"/>
        <n x="639"/>
        <n x="628"/>
      </t>
    </mdx>
    <mdx n="0" f="v">
      <t c="6" si="614">
        <n x="610"/>
        <n x="341"/>
        <n x="342"/>
        <n x="611" s="1"/>
        <n x="707"/>
        <n x="640"/>
      </t>
    </mdx>
    <mdx n="0" f="v">
      <t c="6" si="614">
        <n x="610"/>
        <n x="357"/>
        <n x="358"/>
        <n x="611" s="1"/>
        <n x="625"/>
        <n x="626"/>
      </t>
    </mdx>
    <mdx n="0" f="v">
      <t c="6" si="614">
        <n x="610"/>
        <n x="339"/>
        <n x="340"/>
        <n x="611" s="1"/>
        <n x="669"/>
        <n x="670"/>
      </t>
    </mdx>
    <mdx n="0" f="v">
      <t c="6" si="614">
        <n x="610"/>
        <n x="355"/>
        <n x="340"/>
        <n x="611" s="1"/>
        <n x="703"/>
        <n x="704"/>
      </t>
    </mdx>
    <mdx n="0" f="v">
      <t c="6" si="614">
        <n x="610"/>
        <n x="327"/>
        <n x="340"/>
        <n x="611" s="1"/>
        <n x="699"/>
        <n x="700"/>
      </t>
    </mdx>
    <mdx n="0" f="v">
      <t c="6" si="614">
        <n x="610"/>
        <n x="353"/>
        <n x="354"/>
        <n x="611" s="1"/>
        <n x="683"/>
        <n x="684"/>
      </t>
    </mdx>
    <mdx n="0" f="v">
      <t c="6" si="614">
        <n x="610"/>
        <n x="325"/>
        <n x="326"/>
        <n x="611" s="1"/>
        <n x="619"/>
        <n x="620"/>
      </t>
    </mdx>
    <mdx n="0" f="v">
      <t c="6" si="614">
        <n x="610"/>
        <n x="351"/>
        <n x="340"/>
        <n x="611" s="1"/>
        <n x="627"/>
        <n x="628"/>
      </t>
    </mdx>
    <mdx n="0" f="v">
      <t c="6" si="614">
        <n x="610"/>
        <n x="349"/>
        <n x="350"/>
        <n x="611" s="1"/>
        <n x="657"/>
        <n x="638"/>
      </t>
    </mdx>
    <mdx n="0" f="v">
      <t c="6" si="614">
        <n x="610"/>
        <n x="349"/>
        <n x="324"/>
        <n x="611" s="1"/>
        <n x="657"/>
        <n x="658"/>
      </t>
    </mdx>
    <mdx n="0" f="v">
      <t c="6" si="614">
        <n x="610"/>
        <n x="335"/>
        <n x="336"/>
        <n x="611" s="1"/>
        <n x="631"/>
        <n x="632"/>
      </t>
    </mdx>
    <mdx n="0" f="v">
      <t c="6" si="614">
        <n x="610"/>
        <n x="321"/>
        <n x="334"/>
        <n x="611" s="1"/>
        <n x="627"/>
        <n x="628"/>
      </t>
    </mdx>
    <mdx n="0" f="v">
      <t c="6" si="614">
        <n x="610"/>
        <n x="321"/>
        <n x="322"/>
        <n x="611" s="1"/>
        <n x="695"/>
        <n x="640"/>
      </t>
    </mdx>
    <mdx n="0" f="v">
      <t c="6" si="614">
        <n x="610"/>
        <n x="341"/>
        <n x="342"/>
        <n x="611" s="1"/>
        <n x="641"/>
        <n x="642"/>
      </t>
    </mdx>
    <mdx n="0" f="v">
      <t c="6" si="614">
        <n x="610"/>
        <n x="313"/>
        <n x="314"/>
        <n x="611" s="1"/>
        <n x="707"/>
        <n x="708"/>
      </t>
    </mdx>
    <mdx n="0" f="v">
      <t c="6" si="614">
        <n x="610"/>
        <n x="313"/>
        <n x="314"/>
        <n x="611" s="1"/>
        <n x="683"/>
        <n x="684"/>
      </t>
    </mdx>
    <mdx n="0" f="v">
      <t c="6" si="614">
        <n x="610"/>
        <n x="423"/>
        <n x="312"/>
        <n x="611" s="1"/>
        <n x="659"/>
        <n x="660"/>
      </t>
    </mdx>
    <mdx n="0" f="v">
      <t c="6" si="614">
        <n x="610"/>
        <n x="423"/>
        <n x="312"/>
        <n x="611" s="1"/>
        <n x="659"/>
        <n x="660"/>
      </t>
    </mdx>
    <mdx n="0" f="v">
      <t c="6" si="614">
        <n x="610"/>
        <n x="419"/>
        <n x="420"/>
        <n x="611" s="1"/>
        <n x="612"/>
        <n x="613"/>
      </t>
    </mdx>
    <mdx n="0" f="v">
      <t c="6" si="614">
        <n x="610"/>
        <n x="309"/>
        <n x="310"/>
        <n x="611" s="1"/>
        <n x="677"/>
        <n x="678"/>
      </t>
    </mdx>
    <mdx n="0" f="v">
      <t c="6" si="614">
        <n x="610"/>
        <n x="309"/>
        <n x="310"/>
        <n x="611" s="1"/>
        <n x="669"/>
        <n x="670"/>
      </t>
    </mdx>
    <mdx n="0" f="v">
      <t c="6" si="614">
        <n x="610"/>
        <n x="385"/>
        <n x="386"/>
        <n x="611" s="1"/>
        <n x="657"/>
        <n x="658"/>
      </t>
    </mdx>
    <mdx n="0" f="v">
      <t c="6" si="614">
        <n x="610"/>
        <n x="385"/>
        <n x="386"/>
        <n x="611" s="1"/>
        <n x="653"/>
        <n x="654"/>
      </t>
    </mdx>
    <mdx n="0" f="v">
      <t c="6" si="614">
        <n x="610"/>
        <n x="381"/>
        <n x="378"/>
        <n x="611" s="1"/>
        <n x="619"/>
        <n x="620"/>
      </t>
    </mdx>
    <mdx n="0" f="v">
      <t c="6" si="614">
        <n x="610"/>
        <n x="373"/>
        <n x="300"/>
        <n x="611" s="1"/>
        <n x="659"/>
        <n x="660"/>
      </t>
    </mdx>
    <mdx n="0" f="v">
      <t c="6" si="614">
        <n x="610"/>
        <n x="371"/>
        <n x="372"/>
        <n x="611" s="1"/>
        <n x="612"/>
        <n x="613"/>
      </t>
    </mdx>
    <mdx n="0" f="v">
      <t c="6" si="614">
        <n x="610"/>
        <n x="297"/>
        <n x="298"/>
        <n x="611" s="1"/>
        <n x="657"/>
        <n x="658"/>
      </t>
    </mdx>
    <mdx n="0" f="v">
      <t c="6" si="614">
        <n x="610"/>
        <n x="365"/>
        <n x="376"/>
        <n x="611" s="1"/>
        <n x="671"/>
        <n x="672"/>
      </t>
    </mdx>
    <mdx n="0" f="v">
      <t c="6" si="614">
        <n x="610"/>
        <n x="373"/>
        <n x="294"/>
        <n x="611" s="1"/>
        <n x="669"/>
        <n x="670"/>
      </t>
    </mdx>
    <mdx n="0" f="v">
      <t c="6" si="614">
        <n x="610"/>
        <n x="373"/>
        <n x="374"/>
        <n x="611" s="1"/>
        <n x="679"/>
        <n x="702"/>
      </t>
    </mdx>
    <mdx n="0" f="v">
      <t c="6" si="614">
        <n x="610"/>
        <n x="289"/>
        <n x="290"/>
        <n x="611" s="1"/>
        <n x="653"/>
        <n x="654"/>
      </t>
    </mdx>
    <mdx n="0" f="v">
      <t c="6" si="614">
        <n x="610"/>
        <n x="355"/>
        <n x="356"/>
        <n x="611" s="1"/>
        <n x="627"/>
        <n x="628"/>
      </t>
    </mdx>
    <mdx n="0" f="v">
      <t c="6" si="614">
        <n x="610"/>
        <n x="355"/>
        <n x="356"/>
        <n x="611" s="1"/>
        <n x="659"/>
        <n x="660"/>
      </t>
    </mdx>
    <mdx n="0" f="v">
      <t c="6" si="614">
        <n x="610"/>
        <n x="389"/>
        <n x="374"/>
        <n x="611" s="1"/>
        <n x="685"/>
        <n x="686"/>
      </t>
    </mdx>
    <mdx n="0" f="v">
      <t c="6" si="614">
        <n x="610"/>
        <n x="389"/>
        <n x="374"/>
        <n x="611" s="1"/>
        <n x="643"/>
        <n x="644"/>
      </t>
    </mdx>
    <mdx n="0" f="v">
      <t c="6" si="614">
        <n x="610"/>
        <n x="379"/>
        <n x="414"/>
        <n x="611" s="1"/>
        <n x="703"/>
        <n x="704"/>
      </t>
    </mdx>
    <mdx n="0" f="v">
      <t c="6" si="614">
        <n x="610"/>
        <n x="371"/>
        <n x="372"/>
        <n x="611" s="1"/>
        <n x="653"/>
        <n x="654"/>
      </t>
    </mdx>
    <mdx n="0" f="v">
      <t c="6" si="614">
        <n x="610"/>
        <n x="371"/>
        <n x="372"/>
        <n x="611" s="1"/>
        <n x="631"/>
        <n x="632"/>
      </t>
    </mdx>
    <mdx n="0" f="v">
      <t c="6" si="614">
        <n x="610"/>
        <n x="369"/>
        <n x="370"/>
        <n x="611" s="1"/>
        <n x="645"/>
        <n x="646"/>
      </t>
    </mdx>
    <mdx n="0" f="v">
      <t c="6" si="614">
        <n x="610"/>
        <n x="347"/>
        <n x="348"/>
        <n x="611" s="1"/>
        <n x="705"/>
        <n x="706"/>
      </t>
    </mdx>
    <mdx n="0" f="v">
      <t c="6" si="614">
        <n x="610"/>
        <n x="359"/>
        <n x="346"/>
        <n x="611" s="1"/>
        <n x="645"/>
        <n x="646"/>
      </t>
    </mdx>
    <mdx n="0" f="v">
      <t c="6" si="614">
        <n x="610"/>
        <n x="339"/>
        <n x="340"/>
        <n x="611" s="1"/>
        <n x="631"/>
        <n x="632"/>
      </t>
    </mdx>
    <mdx n="0" f="v">
      <t c="6" si="614">
        <n x="610"/>
        <n x="335"/>
        <n x="336"/>
        <n x="611" s="1"/>
        <n x="657"/>
        <n x="658"/>
      </t>
    </mdx>
    <mdx n="0" f="v">
      <t c="6" si="614">
        <n x="610"/>
        <n x="333"/>
        <n x="334"/>
        <n x="611" s="1"/>
        <n x="653"/>
        <n x="654"/>
      </t>
    </mdx>
    <mdx n="0" f="v">
      <t c="6" si="614">
        <n x="610"/>
        <n x="315"/>
        <n x="316"/>
        <n x="611" s="1"/>
        <n x="675"/>
        <n x="676"/>
      </t>
    </mdx>
    <mdx n="0" f="v">
      <t c="6" si="614">
        <n x="610"/>
        <n x="315"/>
        <n x="388"/>
        <n x="611" s="1"/>
        <n x="612"/>
        <n x="613"/>
      </t>
    </mdx>
    <mdx n="0" f="v">
      <t c="6" si="614">
        <n x="610"/>
        <n x="403"/>
        <n x="312"/>
        <n x="611" s="1"/>
        <n x="681"/>
        <n x="682"/>
      </t>
    </mdx>
    <mdx n="0" f="v">
      <t c="6" si="614">
        <n x="610"/>
        <n x="403"/>
        <n x="404"/>
        <n x="611" s="1"/>
        <n x="681"/>
        <n x="682"/>
      </t>
    </mdx>
    <mdx n="0" f="v">
      <t c="6" si="614">
        <n x="610"/>
        <n x="375"/>
        <n x="312"/>
        <n x="611" s="1"/>
        <n x="645"/>
        <n x="646"/>
      </t>
    </mdx>
    <mdx n="0" f="v">
      <t c="6" si="614">
        <n x="610"/>
        <n x="309"/>
        <n x="310"/>
        <n x="611" s="1"/>
        <n x="629"/>
        <n x="708"/>
      </t>
    </mdx>
    <mdx n="0" f="v">
      <t c="6" si="614">
        <n x="610"/>
        <n x="309"/>
        <n x="370"/>
        <n x="611" s="1"/>
        <n x="643"/>
        <n x="644"/>
      </t>
    </mdx>
    <mdx n="0" f="v">
      <t c="6" si="614">
        <n x="610"/>
        <n x="365"/>
        <n x="366"/>
        <n x="611" s="1"/>
        <n x="705"/>
        <n x="706"/>
      </t>
    </mdx>
    <mdx n="0" f="v">
      <t c="6" si="614">
        <n x="202"/>
        <n x="365"/>
        <n x="308"/>
        <n x="611" s="1"/>
        <n x="691"/>
        <n x="692"/>
      </t>
    </mdx>
    <mdx n="0" f="v">
      <t c="6" si="614">
        <n x="610"/>
        <n x="307"/>
        <n x="308"/>
        <n x="611" s="1"/>
        <n x="663"/>
        <n x="626"/>
      </t>
    </mdx>
    <mdx n="0" f="v">
      <t c="6" si="614">
        <n x="610"/>
        <n x="375"/>
        <n x="376"/>
        <n x="611" s="1"/>
        <n x="661"/>
        <n x="662"/>
      </t>
    </mdx>
    <mdx n="0" f="v">
      <t c="6" si="614">
        <n x="610"/>
        <n x="355"/>
        <n x="308"/>
        <n x="611" s="1"/>
        <n x="643"/>
        <n x="644"/>
      </t>
    </mdx>
    <mdx n="0" f="v">
      <t c="6" si="614">
        <n x="610"/>
        <n x="355"/>
        <n x="374"/>
        <n x="611" s="1"/>
        <n x="661"/>
        <n x="662"/>
      </t>
    </mdx>
    <mdx n="0" f="v">
      <t c="6" si="614">
        <n x="610"/>
        <n x="305"/>
        <n x="306"/>
        <n x="611" s="1"/>
        <n x="629"/>
        <n x="630"/>
      </t>
    </mdx>
    <mdx n="0" f="v">
      <t c="6" si="614">
        <n x="610"/>
        <n x="303"/>
        <n x="370"/>
        <n x="611" s="1"/>
        <n x="635"/>
        <n x="636"/>
      </t>
    </mdx>
    <mdx n="0" f="v">
      <t c="6" si="614">
        <n x="610"/>
        <n x="349"/>
        <n x="350"/>
        <n x="611" s="1"/>
        <n x="657"/>
        <n x="688"/>
      </t>
    </mdx>
    <mdx n="0" f="v">
      <t c="6" si="614">
        <n x="610"/>
        <n x="349"/>
        <n x="350"/>
        <n x="611" s="1"/>
        <n x="657"/>
        <n x="658"/>
      </t>
    </mdx>
    <mdx n="0" f="v">
      <t c="6" si="614">
        <n x="610"/>
        <n x="303"/>
        <n x="304"/>
        <n x="611" s="1"/>
        <n x="647"/>
        <n x="648"/>
      </t>
    </mdx>
    <mdx n="0" f="v">
      <t c="6" si="614">
        <n x="610"/>
        <n x="301"/>
        <n x="362"/>
        <n x="611" s="1"/>
        <n x="707"/>
        <n x="708"/>
      </t>
    </mdx>
    <mdx n="0" f="v">
      <t c="6" si="614">
        <n x="610"/>
        <n x="301"/>
        <n x="362"/>
        <n x="611" s="1"/>
        <n x="655"/>
        <n x="656"/>
      </t>
    </mdx>
    <mdx n="0" f="v">
      <t c="6" si="614">
        <n x="610"/>
        <n x="301"/>
        <n x="302"/>
        <n x="611" s="1"/>
        <n x="691"/>
        <n x="692"/>
      </t>
    </mdx>
    <mdx n="0" f="v">
      <t c="6" si="614">
        <n x="610"/>
        <n x="345"/>
        <n x="346"/>
        <n x="611" s="1"/>
        <n x="612"/>
        <n x="613"/>
      </t>
    </mdx>
    <mdx n="0" f="v">
      <t c="6" si="614">
        <n x="610"/>
        <n x="343"/>
        <n x="360"/>
        <n x="611" s="1"/>
        <n x="669"/>
        <n x="670"/>
      </t>
    </mdx>
    <mdx n="0" f="v">
      <t c="6" si="614">
        <n x="610"/>
        <n x="343"/>
        <n x="344"/>
        <n x="611" s="1"/>
        <n x="697"/>
        <n x="698"/>
      </t>
    </mdx>
    <mdx n="0" f="v">
      <t c="6" si="614">
        <n x="610"/>
        <n x="297"/>
        <n x="358"/>
        <n x="611" s="1"/>
        <n x="679"/>
        <n x="680"/>
      </t>
    </mdx>
    <mdx n="0" f="v">
      <t c="6" si="614">
        <n x="610"/>
        <n x="339"/>
        <n x="340"/>
        <n x="611" s="1"/>
        <n x="659"/>
        <n x="660"/>
      </t>
    </mdx>
    <mdx n="0" f="v">
      <t c="6" si="614">
        <n x="202"/>
        <n x="355"/>
        <n x="356"/>
        <n x="611" s="1"/>
        <n x="653"/>
        <n x="654"/>
      </t>
    </mdx>
    <mdx n="0" f="v">
      <t c="6" si="614">
        <n x="610"/>
        <n x="351"/>
        <n x="352"/>
        <n x="611" s="1"/>
        <n x="661"/>
        <n x="626"/>
      </t>
    </mdx>
    <mdx n="0" f="v">
      <t c="6" si="614">
        <n x="610"/>
        <n x="293"/>
        <n x="294"/>
        <n x="611" s="1"/>
        <n x="661"/>
        <n x="662"/>
      </t>
    </mdx>
    <mdx n="0" f="v">
      <t c="6" si="614">
        <n x="610"/>
        <n x="351"/>
        <n x="352"/>
        <n x="611" s="1"/>
        <n x="697"/>
        <n x="698"/>
      </t>
    </mdx>
    <mdx n="0" f="v">
      <t c="6" si="614">
        <n x="610"/>
        <n x="291"/>
        <n x="292"/>
        <n x="611" s="1"/>
        <n x="651"/>
        <n x="652"/>
      </t>
    </mdx>
    <mdx n="0" f="v">
      <t c="6" si="614">
        <n x="610"/>
        <n x="325"/>
        <n x="326"/>
        <n x="611" s="1"/>
        <n x="669"/>
        <n x="670"/>
      </t>
    </mdx>
    <mdx n="0" f="v">
      <t c="6" si="614">
        <n x="610"/>
        <n x="323"/>
        <n x="292"/>
        <n x="611" s="1"/>
        <n x="655"/>
        <n x="656"/>
      </t>
    </mdx>
    <mdx n="0" f="v">
      <t c="6" si="614">
        <n x="610"/>
        <n x="323"/>
        <n x="292"/>
        <n x="611" s="1"/>
        <n x="655"/>
        <n x="656"/>
      </t>
    </mdx>
    <mdx n="0" f="v">
      <t c="6" si="614">
        <n x="610"/>
        <n x="323"/>
        <n x="292"/>
        <n x="611" s="1"/>
        <n x="655"/>
        <n x="656"/>
      </t>
    </mdx>
    <mdx n="0" f="v">
      <t c="6" si="614">
        <n x="610"/>
        <n x="349"/>
        <n x="324"/>
        <n x="611" s="1"/>
        <n x="669"/>
        <n x="670"/>
      </t>
    </mdx>
    <mdx n="0" f="v">
      <t c="6" si="614">
        <n x="610"/>
        <n x="291"/>
        <n x="292"/>
        <n x="611" s="1"/>
        <n x="641"/>
        <n x="642"/>
      </t>
    </mdx>
    <mdx n="0" f="v">
      <t c="6" si="614">
        <n x="610"/>
        <n x="323"/>
        <n x="324"/>
        <n x="611" s="1"/>
        <n x="641"/>
        <n x="642"/>
      </t>
    </mdx>
    <mdx n="0" f="v">
      <t c="6" si="614">
        <n x="610"/>
        <n x="287"/>
        <n x="346"/>
        <n x="611" s="1"/>
        <n x="665"/>
        <n x="666"/>
      </t>
    </mdx>
    <mdx n="0" f="v">
      <t c="6" si="614">
        <n x="610"/>
        <n x="317"/>
        <n x="318"/>
        <n x="611" s="1"/>
        <n x="701"/>
        <n x="702"/>
      </t>
    </mdx>
    <mdx n="0" f="v">
      <t c="6" si="614">
        <n x="610"/>
        <n x="317"/>
        <n x="318"/>
        <n x="611" s="1"/>
        <n x="635"/>
        <n x="636"/>
      </t>
    </mdx>
    <mdx n="0" f="v">
      <t c="6" si="614">
        <n x="610"/>
        <n x="317"/>
        <n x="318"/>
        <n x="611" s="1"/>
        <n x="655"/>
        <n x="658"/>
      </t>
    </mdx>
    <mdx n="0" f="v">
      <t c="6" si="614">
        <n x="610"/>
        <n x="317"/>
        <n x="318"/>
        <n x="611" s="1"/>
        <n x="612"/>
        <n x="613"/>
      </t>
    </mdx>
    <mdx n="0" f="v">
      <t c="6" si="614">
        <n x="610"/>
        <n x="315"/>
        <n x="316"/>
        <n x="611" s="1"/>
        <n x="619"/>
        <n x="620"/>
      </t>
    </mdx>
    <mdx n="0" f="v">
      <t c="6" si="614">
        <n x="610"/>
        <n x="341"/>
        <n x="342"/>
        <n x="611" s="1"/>
        <n x="705"/>
        <n x="706"/>
      </t>
    </mdx>
    <mdx n="0" f="v">
      <t c="6" si="614">
        <n x="610"/>
        <n x="283"/>
        <n x="284"/>
        <n x="611" s="1"/>
        <n x="621"/>
        <n x="622"/>
      </t>
    </mdx>
    <mdx n="0" f="v">
      <t c="6" si="614">
        <n x="610"/>
        <n x="281"/>
        <n x="282"/>
        <n x="611" s="1"/>
        <n x="661"/>
        <n x="662"/>
      </t>
    </mdx>
    <mdx n="0" f="v">
      <t c="6" si="614">
        <n x="610"/>
        <n x="279"/>
        <n x="280"/>
        <n x="611" s="1"/>
        <n x="685"/>
        <n x="686"/>
      </t>
    </mdx>
    <mdx n="0" f="v">
      <t c="6" si="614">
        <n x="610"/>
        <n x="279"/>
        <n x="280"/>
        <n x="611" s="1"/>
        <n x="629"/>
        <n x="630"/>
      </t>
    </mdx>
    <mdx n="0" f="v">
      <t c="6" si="614">
        <n x="610"/>
        <n x="337"/>
        <n x="278"/>
        <n x="611" s="1"/>
        <n x="627"/>
        <n x="628"/>
      </t>
    </mdx>
    <mdx n="0" f="v">
      <t c="6" si="614">
        <n x="610"/>
        <n x="389"/>
        <n x="390"/>
        <n x="611" s="1"/>
        <n x="655"/>
        <n x="656"/>
      </t>
    </mdx>
    <mdx n="0" f="v">
      <t c="6" si="614">
        <n x="610"/>
        <n x="387"/>
        <n x="388"/>
        <n x="611" s="1"/>
        <n x="673"/>
        <n x="674"/>
      </t>
    </mdx>
    <mdx n="0" f="v">
      <t c="6" si="614">
        <n x="610"/>
        <n x="275"/>
        <n x="276"/>
        <n x="611" s="1"/>
        <n x="627"/>
        <n x="628"/>
      </t>
    </mdx>
    <mdx n="0" f="v">
      <t c="6" si="614">
        <n x="610"/>
        <n x="273"/>
        <n x="274"/>
        <n x="611" s="1"/>
        <n x="675"/>
        <n x="678"/>
      </t>
    </mdx>
    <mdx n="0" f="v">
      <t c="6" si="614">
        <n x="610"/>
        <n x="273"/>
        <n x="274"/>
        <n x="611" s="1"/>
        <n x="669"/>
        <n x="670"/>
      </t>
    </mdx>
    <mdx n="0" f="v">
      <t c="6" si="614">
        <n x="610"/>
        <n x="271"/>
        <n x="272"/>
        <n x="611" s="1"/>
        <n x="667"/>
        <n x="702"/>
      </t>
    </mdx>
    <mdx n="0" f="v">
      <t c="6" si="614">
        <n x="610"/>
        <n x="329"/>
        <n x="330"/>
        <n x="611" s="1"/>
        <n x="641"/>
        <n x="652"/>
      </t>
    </mdx>
    <mdx n="0" f="v">
      <t c="6" si="614">
        <n x="610"/>
        <n x="329"/>
        <n x="330"/>
        <n x="611" s="1"/>
        <n x="641"/>
        <n x="652"/>
      </t>
    </mdx>
    <mdx n="0" f="v">
      <t c="6" si="614">
        <n x="610"/>
        <n x="267"/>
        <n x="268"/>
        <n x="611" s="1"/>
        <n x="697"/>
        <n x="698"/>
      </t>
    </mdx>
    <mdx n="0" f="v">
      <t c="6" si="614">
        <n x="610"/>
        <n x="327"/>
        <n x="328"/>
        <n x="611" s="1"/>
        <n x="697"/>
        <n x="698"/>
      </t>
    </mdx>
    <mdx n="0" f="v">
      <t c="6" si="614">
        <n x="610"/>
        <n x="265"/>
        <n x="266"/>
        <n x="611" s="1"/>
        <n x="683"/>
        <n x="642"/>
      </t>
    </mdx>
    <mdx n="0" f="v">
      <t c="6" si="614">
        <n x="610"/>
        <n x="395"/>
        <n x="396"/>
        <n x="611" s="1"/>
        <n x="671"/>
        <n x="672"/>
      </t>
    </mdx>
    <mdx n="0" f="v">
      <t c="6" si="614">
        <n x="610"/>
        <n x="391"/>
        <n x="392"/>
        <n x="611" s="1"/>
        <n x="669"/>
        <n x="670"/>
      </t>
    </mdx>
    <mdx n="0" f="v">
      <t c="6" si="614">
        <n x="202"/>
        <n x="259"/>
        <n x="366"/>
        <n x="611" s="1"/>
        <n x="669"/>
        <n x="670"/>
      </t>
    </mdx>
    <mdx n="0" f="v">
      <t c="6" si="614">
        <n x="610"/>
        <n x="365"/>
        <n x="258"/>
        <n x="611" s="1"/>
        <n x="703"/>
        <n x="704"/>
      </t>
    </mdx>
    <mdx n="0" f="v">
      <t c="6" si="614">
        <n x="610"/>
        <n x="341"/>
        <n x="342"/>
        <n x="611" s="1"/>
        <n x="649"/>
        <n x="650"/>
      </t>
    </mdx>
    <mdx n="0" f="v">
      <t c="6" si="614">
        <n x="610"/>
        <n x="245"/>
        <n x="338"/>
        <n x="611" s="1"/>
        <n x="651"/>
        <n x="652"/>
      </t>
    </mdx>
    <mdx n="0" f="v">
      <t c="6" si="614">
        <n x="610"/>
        <n x="245"/>
        <n x="338"/>
        <n x="611" s="1"/>
        <n x="651"/>
        <n x="652"/>
      </t>
    </mdx>
    <mdx n="0" f="v">
      <t c="6" si="614">
        <n x="610"/>
        <n x="245"/>
        <n x="338"/>
        <n x="611" s="1"/>
        <n x="633"/>
        <n x="628"/>
      </t>
    </mdx>
    <mdx n="0" f="v">
      <t c="6" si="614">
        <n x="610"/>
        <n x="335"/>
        <n x="246"/>
        <n x="611" s="1"/>
        <n x="612"/>
        <n x="613"/>
      </t>
    </mdx>
    <mdx n="0" f="v">
      <t c="6" si="614">
        <n x="610"/>
        <n x="333"/>
        <n x="334"/>
        <n x="611" s="1"/>
        <n x="675"/>
        <n x="676"/>
      </t>
    </mdx>
    <mdx n="0" f="v">
      <t c="6" si="614">
        <n x="610"/>
        <n x="331"/>
        <n x="332"/>
        <n x="611" s="1"/>
        <n x="653"/>
        <n x="654"/>
      </t>
    </mdx>
    <mdx n="0" f="v">
      <t c="6" si="614">
        <n x="610"/>
        <n x="239"/>
        <n x="240"/>
        <n x="611" s="1"/>
        <n x="679"/>
        <n x="680"/>
      </t>
    </mdx>
    <mdx n="0" f="v">
      <t c="6" si="614">
        <n x="610"/>
        <n x="239"/>
        <n x="240"/>
        <n x="611" s="1"/>
        <n x="635"/>
        <n x="636"/>
      </t>
    </mdx>
    <mdx n="0" f="v">
      <t c="6" si="614">
        <n x="610"/>
        <n x="237"/>
        <n x="328"/>
        <n x="611" s="1"/>
        <n x="627"/>
        <n x="628"/>
      </t>
    </mdx>
    <mdx n="0" f="v">
      <t c="6" si="614">
        <n x="610"/>
        <n x="325"/>
        <n x="326"/>
        <n x="611" s="1"/>
        <n x="703"/>
        <n x="704"/>
      </t>
    </mdx>
    <mdx n="0" f="v">
      <t c="6" si="614">
        <n x="610"/>
        <n x="325"/>
        <n x="326"/>
        <n x="611" s="1"/>
        <n x="627"/>
        <n x="628"/>
      </t>
    </mdx>
    <mdx n="0" f="v">
      <t c="6" si="614">
        <n x="610"/>
        <n x="325"/>
        <n x="326"/>
        <n x="611" s="1"/>
        <n x="625"/>
        <n x="626"/>
      </t>
    </mdx>
    <mdx n="0" f="v">
      <t c="6" si="614">
        <n x="610"/>
        <n x="235"/>
        <n x="236"/>
        <n x="611" s="1"/>
        <n x="653"/>
        <n x="654"/>
      </t>
    </mdx>
    <mdx n="0" f="v">
      <t c="6" si="614">
        <n x="610"/>
        <n x="235"/>
        <n x="236"/>
        <n x="611" s="1"/>
        <n x="612"/>
        <n x="613"/>
      </t>
    </mdx>
    <mdx n="0" f="v">
      <t c="6" si="614">
        <n x="610"/>
        <n x="235"/>
        <n x="324"/>
        <n x="611" s="1"/>
        <n x="617"/>
        <n x="618"/>
      </t>
    </mdx>
    <mdx n="0" f="v">
      <t c="6" si="614">
        <n x="610"/>
        <n x="231"/>
        <n x="232"/>
        <n x="611" s="1"/>
        <n x="689"/>
        <n x="706"/>
      </t>
    </mdx>
    <mdx n="0" f="v">
      <t c="6" si="614">
        <n x="610"/>
        <n x="231"/>
        <n x="232"/>
        <n x="611" s="1"/>
        <n x="689"/>
        <n x="706"/>
      </t>
    </mdx>
    <mdx n="0" f="v">
      <t c="6" si="614">
        <n x="610"/>
        <n x="231"/>
        <n x="232"/>
        <n x="611" s="1"/>
        <n x="689"/>
        <n x="706"/>
      </t>
    </mdx>
    <mdx n="0" f="v">
      <t c="6" si="614">
        <n x="610"/>
        <n x="231"/>
        <n x="232"/>
        <n x="611" s="1"/>
        <n x="629"/>
        <n x="630"/>
      </t>
    </mdx>
    <mdx n="0" f="v">
      <t c="6" si="614">
        <n x="610"/>
        <n x="231"/>
        <n x="232"/>
        <n x="611" s="1"/>
        <n x="673"/>
        <n x="674"/>
      </t>
    </mdx>
    <mdx n="0" f="v">
      <t c="6" si="614">
        <n x="610"/>
        <n x="321"/>
        <n x="322"/>
        <n x="611" s="1"/>
        <n x="661"/>
        <n x="662"/>
      </t>
    </mdx>
    <mdx n="0" f="v">
      <t c="6" si="614">
        <n x="610"/>
        <n x="231"/>
        <n x="232"/>
        <n x="611" s="1"/>
        <n x="647"/>
        <n x="648"/>
      </t>
    </mdx>
    <mdx n="0" f="v">
      <t c="6" si="614">
        <n x="610"/>
        <n x="319"/>
        <n x="320"/>
        <n x="611" s="1"/>
        <n x="669"/>
        <n x="702"/>
      </t>
    </mdx>
    <mdx n="0" f="v">
      <t c="6" si="614">
        <n x="610"/>
        <n x="319"/>
        <n x="320"/>
        <n x="611" s="1"/>
        <n x="635"/>
        <n x="636"/>
      </t>
    </mdx>
    <mdx n="0" f="v">
      <t c="6" si="614">
        <n x="610"/>
        <n x="371"/>
        <n x="372"/>
        <n x="611" s="1"/>
        <n x="641"/>
        <n x="652"/>
      </t>
    </mdx>
    <mdx n="0" f="v">
      <t c="6" si="614">
        <n x="610"/>
        <n x="377"/>
        <n x="378"/>
        <n x="611" s="1"/>
        <n x="699"/>
        <n x="670"/>
      </t>
    </mdx>
    <mdx n="0" f="v">
      <t c="6" si="614">
        <n x="610"/>
        <n x="365"/>
        <n x="366"/>
        <n x="611" s="1"/>
        <n x="659"/>
        <n x="660"/>
      </t>
    </mdx>
    <mdx n="0" f="v">
      <t c="6" si="614">
        <n x="610"/>
        <n x="351"/>
        <n x="352"/>
        <n x="611" s="1"/>
        <n x="705"/>
        <n x="706"/>
      </t>
    </mdx>
    <mdx n="0" f="v">
      <t c="6" si="614">
        <n x="610"/>
        <n x="335"/>
        <n x="336"/>
        <n x="611" s="1"/>
        <n x="691"/>
        <n x="692"/>
      </t>
    </mdx>
    <mdx n="0" f="v">
      <t c="6" si="614">
        <n x="610"/>
        <n x="335"/>
        <n x="336"/>
        <n x="611" s="1"/>
        <n x="667"/>
        <n x="668"/>
      </t>
    </mdx>
    <mdx n="0" f="v">
      <t c="6" si="614">
        <n x="610"/>
        <n x="367"/>
        <n x="368"/>
        <n x="611" s="1"/>
        <n x="705"/>
        <n x="706"/>
      </t>
    </mdx>
    <mdx n="0" f="v">
      <t c="6" si="614">
        <n x="610"/>
        <n x="327"/>
        <n x="328"/>
        <n x="611" s="1"/>
        <n x="637"/>
        <n x="660"/>
      </t>
    </mdx>
    <mdx n="0" f="v">
      <t c="6" si="614">
        <n x="610"/>
        <n x="325"/>
        <n x="326"/>
        <n x="611" s="1"/>
        <n x="617"/>
        <n x="618"/>
      </t>
    </mdx>
    <mdx n="0" f="v">
      <t c="6" si="614">
        <n x="610"/>
        <n x="375"/>
        <n x="322"/>
        <n x="611" s="1"/>
        <n x="681"/>
        <n x="682"/>
      </t>
    </mdx>
    <mdx n="0" f="v">
      <t c="6" si="614">
        <n x="202"/>
        <n x="383"/>
        <n x="320"/>
        <n x="611" s="1"/>
        <n x="659"/>
        <n x="660"/>
      </t>
    </mdx>
    <mdx n="0" f="v">
      <t c="6" si="614">
        <n x="610"/>
        <n x="379"/>
        <n x="368"/>
        <n x="611" s="1"/>
        <n x="671"/>
        <n x="672"/>
      </t>
    </mdx>
    <mdx n="0" f="v">
      <t c="6" si="614">
        <n x="610"/>
        <n x="379"/>
        <n x="368"/>
        <n x="611" s="1"/>
        <n x="643"/>
        <n x="644"/>
      </t>
    </mdx>
    <mdx n="0" f="v">
      <t c="6" si="614">
        <n x="610"/>
        <n x="359"/>
        <n x="360"/>
        <n x="611" s="1"/>
        <n x="683"/>
        <n x="684"/>
      </t>
    </mdx>
    <mdx n="0" f="v">
      <t c="6" si="614">
        <n x="610"/>
        <n x="365"/>
        <n x="366"/>
        <n x="611" s="1"/>
        <n x="689"/>
        <n x="696"/>
      </t>
    </mdx>
    <mdx n="0" f="v">
      <t c="6" si="614">
        <n x="610"/>
        <n x="365"/>
        <n x="366"/>
        <n x="611" s="1"/>
        <n x="633"/>
        <n x="660"/>
      </t>
    </mdx>
    <mdx n="0" f="v">
      <t c="6" si="614">
        <n x="610"/>
        <n x="365"/>
        <n x="366"/>
        <n x="611" s="1"/>
        <n x="621"/>
        <n x="622"/>
      </t>
    </mdx>
    <mdx n="0" f="v">
      <t c="6" si="614">
        <n x="202"/>
        <n x="361"/>
        <n x="340"/>
        <n x="611" s="1"/>
        <n x="707"/>
        <n x="708"/>
      </t>
    </mdx>
    <mdx n="0" f="v">
      <t c="6" si="614">
        <n x="610"/>
        <n x="353"/>
        <n x="354"/>
        <n x="611" s="1"/>
        <n x="703"/>
        <n x="704"/>
      </t>
    </mdx>
    <mdx n="0" f="v">
      <t c="6" si="614">
        <n x="610"/>
        <n x="353"/>
        <n x="354"/>
        <n x="611" s="1"/>
        <n x="703"/>
        <n x="644"/>
      </t>
    </mdx>
    <mdx n="0" f="v">
      <t c="6" si="614">
        <n x="610"/>
        <n x="349"/>
        <n x="334"/>
        <n x="611" s="1"/>
        <n x="631"/>
        <n x="632"/>
      </t>
    </mdx>
    <mdx n="0" f="v">
      <t c="6" si="614">
        <n x="610"/>
        <n x="351"/>
        <n x="352"/>
        <n x="611" s="1"/>
        <n x="645"/>
        <n x="632"/>
      </t>
    </mdx>
    <mdx n="0" f="v">
      <t c="6" si="614">
        <n x="610"/>
        <n x="351"/>
        <n x="352"/>
        <n x="611" s="1"/>
        <n x="621"/>
        <n x="622"/>
      </t>
    </mdx>
    <mdx n="0" f="v">
      <t c="6" si="614">
        <n x="610"/>
        <n x="345"/>
        <n x="368"/>
        <n x="611" s="1"/>
        <n x="679"/>
        <n x="680"/>
      </t>
    </mdx>
    <mdx n="0" f="v">
      <t c="6" si="614">
        <n x="610"/>
        <n x="345"/>
        <n x="346"/>
        <n x="611" s="1"/>
        <n x="701"/>
        <n x="702"/>
      </t>
    </mdx>
    <mdx n="0" f="v">
      <t c="6" si="614">
        <n x="610"/>
        <n x="361"/>
        <n x="362"/>
        <n x="611" s="1"/>
        <n x="625"/>
        <n x="626"/>
      </t>
    </mdx>
    <mdx n="0" f="v">
      <t c="6" si="614">
        <n x="610"/>
        <n x="363"/>
        <n x="364"/>
        <n x="611" s="1"/>
        <n x="675"/>
        <n x="676"/>
      </t>
    </mdx>
    <mdx n="0" f="v">
      <t c="6" si="614">
        <n x="610"/>
        <n x="359"/>
        <n x="360"/>
        <n x="611" s="1"/>
        <n x="669"/>
        <n x="670"/>
      </t>
    </mdx>
    <mdx n="0" f="v">
      <t c="6" si="614">
        <n x="610"/>
        <n x="353"/>
        <n x="354"/>
        <n x="611" s="1"/>
        <n x="657"/>
        <n x="658"/>
      </t>
    </mdx>
    <mdx n="0" f="v">
      <t c="6" si="614">
        <n x="610"/>
        <n x="349"/>
        <n x="350"/>
        <n x="611" s="1"/>
        <n x="687"/>
        <n x="688"/>
      </t>
    </mdx>
    <mdx n="0" f="v">
      <t c="6" si="614">
        <n x="610"/>
        <n x="349"/>
        <n x="350"/>
        <n x="611" s="1"/>
        <n x="679"/>
        <n x="680"/>
      </t>
    </mdx>
    <mdx n="0" f="v">
      <t c="6" si="614">
        <n x="610"/>
        <n x="347"/>
        <n x="348"/>
        <n x="611" s="1"/>
        <n x="643"/>
        <n x="644"/>
      </t>
    </mdx>
    <mdx n="0" f="v">
      <t c="6" si="614">
        <n x="610"/>
        <n x="329"/>
        <n x="330"/>
        <n x="611" s="1"/>
        <n x="643"/>
        <n x="644"/>
      </t>
    </mdx>
    <mdx n="0" f="v">
      <t c="6" si="614">
        <n x="610"/>
        <n x="345"/>
        <n x="346"/>
        <n x="611" s="1"/>
        <n x="663"/>
        <n x="664"/>
      </t>
    </mdx>
    <mdx n="0" f="v">
      <t c="6" si="614">
        <n x="610"/>
        <n x="327"/>
        <n x="328"/>
        <n x="611" s="1"/>
        <n x="661"/>
        <n x="662"/>
      </t>
    </mdx>
    <mdx n="0" f="v">
      <t c="6" si="614">
        <n x="610"/>
        <n x="337"/>
        <n x="338"/>
        <n x="611" s="1"/>
        <n x="657"/>
        <n x="658"/>
      </t>
    </mdx>
    <mdx n="0" f="v">
      <t c="6" si="614">
        <n x="610"/>
        <n x="325"/>
        <n x="326"/>
        <n x="611" s="1"/>
        <n x="647"/>
        <n x="648"/>
      </t>
    </mdx>
    <mdx n="0" f="v">
      <t c="6" si="614">
        <n x="610"/>
        <n x="333"/>
        <n x="324"/>
        <n x="611" s="1"/>
        <n x="685"/>
        <n x="686"/>
      </t>
    </mdx>
    <mdx n="0" f="v">
      <t c="6" si="614">
        <n x="610"/>
        <n x="381"/>
        <n x="334"/>
        <n x="611" s="1"/>
        <n x="631"/>
        <n x="613"/>
      </t>
    </mdx>
    <mdx n="0" f="v">
      <t c="6" si="614">
        <n x="610"/>
        <n x="321"/>
        <n x="322"/>
        <n x="611" s="1"/>
        <n x="635"/>
        <n x="636"/>
      </t>
    </mdx>
    <mdx n="0" f="v">
      <t c="6" si="614">
        <n x="610"/>
        <n x="329"/>
        <n x="330"/>
        <n x="611" s="1"/>
        <n x="657"/>
        <n x="658"/>
      </t>
    </mdx>
    <mdx n="0" f="v">
      <t c="6" si="614">
        <n x="610"/>
        <n x="317"/>
        <n x="318"/>
        <n x="611" s="1"/>
        <n x="691"/>
        <n x="638"/>
      </t>
    </mdx>
    <mdx n="0" f="v">
      <t c="6" si="614">
        <n x="610"/>
        <n x="329"/>
        <n x="330"/>
        <n x="611" s="1"/>
        <n x="631"/>
        <n x="632"/>
      </t>
    </mdx>
    <mdx n="0" f="v">
      <t c="6" si="614">
        <n x="610"/>
        <n x="315"/>
        <n x="352"/>
        <n x="611" s="1"/>
        <n x="689"/>
        <n x="682"/>
      </t>
    </mdx>
    <mdx n="0" f="v">
      <t c="6" si="614">
        <n x="610"/>
        <n x="315"/>
        <n x="352"/>
        <n x="611" s="1"/>
        <n x="627"/>
        <n x="628"/>
      </t>
    </mdx>
    <mdx n="0" f="v">
      <t c="6" si="614">
        <n x="610"/>
        <n x="323"/>
        <n x="324"/>
        <n x="611" s="1"/>
        <n x="627"/>
        <n x="628"/>
      </t>
    </mdx>
    <mdx n="0" f="v">
      <t c="6" si="614">
        <n x="610"/>
        <n x="367"/>
        <n x="368"/>
        <n x="611" s="1"/>
        <n x="693"/>
        <n x="656"/>
      </t>
    </mdx>
    <mdx n="0" f="v">
      <t c="6" si="614">
        <n x="610"/>
        <n x="313"/>
        <n x="324"/>
        <n x="611" s="1"/>
        <n x="705"/>
        <n x="706"/>
      </t>
    </mdx>
    <mdx n="0" f="v">
      <t c="6" si="614">
        <n x="610"/>
        <n x="313"/>
        <n x="324"/>
        <n x="611" s="1"/>
        <n x="635"/>
        <n x="636"/>
      </t>
    </mdx>
    <mdx n="0" f="v">
      <t c="6" si="614">
        <n x="610"/>
        <n x="313"/>
        <n x="314"/>
        <n x="611" s="1"/>
        <n x="665"/>
        <n x="666"/>
      </t>
    </mdx>
    <mdx n="0" f="v">
      <t c="6" si="614">
        <n x="610"/>
        <n x="313"/>
        <n x="314"/>
        <n x="611" s="1"/>
        <n x="665"/>
        <n x="666"/>
      </t>
    </mdx>
    <mdx n="0" f="v">
      <t c="6" si="614">
        <n x="610"/>
        <n x="319"/>
        <n x="314"/>
        <n x="611" s="1"/>
        <n x="629"/>
        <n x="630"/>
      </t>
    </mdx>
    <mdx n="0" f="v">
      <t c="6" si="614">
        <n x="610"/>
        <n x="335"/>
        <n x="336"/>
        <n x="611" s="1"/>
        <n x="627"/>
        <n x="674"/>
      </t>
    </mdx>
    <mdx n="0" f="v">
      <t c="6" si="614">
        <n x="610"/>
        <n x="313"/>
        <n x="314"/>
        <n x="611" s="1"/>
        <n x="627"/>
        <n x="628"/>
      </t>
    </mdx>
    <mdx n="0" f="v">
      <t c="6" si="614">
        <n x="610"/>
        <n x="313"/>
        <n x="314"/>
        <n x="611" s="1"/>
        <n x="631"/>
        <n x="644"/>
      </t>
    </mdx>
    <mdx n="0" f="v">
      <t c="6" si="614">
        <n x="610"/>
        <n x="317"/>
        <n x="318"/>
        <n x="611" s="1"/>
        <n x="649"/>
        <n x="650"/>
      </t>
    </mdx>
    <mdx n="0" f="v">
      <t c="6" si="614">
        <n x="610"/>
        <n x="317"/>
        <n x="318"/>
        <n x="611" s="1"/>
        <n x="685"/>
        <n x="680"/>
      </t>
    </mdx>
    <mdx n="0" f="v">
      <t c="6" si="614">
        <n x="610"/>
        <n x="311"/>
        <n x="332"/>
        <n x="611" s="1"/>
        <n x="659"/>
        <n x="660"/>
      </t>
    </mdx>
    <mdx n="0" f="v">
      <t c="6" si="614">
        <n x="610"/>
        <n x="311"/>
        <n x="332"/>
        <n x="611" s="1"/>
        <n x="669"/>
        <n x="670"/>
      </t>
    </mdx>
    <mdx n="0" f="v">
      <t c="6" si="614">
        <n x="610"/>
        <n x="311"/>
        <n x="312"/>
        <n x="611" s="1"/>
        <n x="707"/>
        <n x="652"/>
      </t>
    </mdx>
    <mdx n="0" f="v">
      <t c="6" si="614">
        <n x="202"/>
        <n x="311"/>
        <n x="320"/>
        <n x="611" s="1"/>
        <n x="663"/>
        <n x="688"/>
      </t>
    </mdx>
    <mdx n="0" f="v">
      <t c="6" si="614">
        <n x="610"/>
        <n x="309"/>
        <n x="310"/>
        <n x="611" s="1"/>
        <n x="649"/>
        <n x="650"/>
      </t>
    </mdx>
    <mdx n="0" f="v">
      <t c="6" si="614">
        <n x="610"/>
        <n x="313"/>
        <n x="350"/>
        <n x="611" s="1"/>
        <n x="643"/>
        <n x="644"/>
      </t>
    </mdx>
    <mdx n="0" f="v">
      <t c="6" si="614">
        <n x="610"/>
        <n x="307"/>
        <n x="308"/>
        <n x="611" s="1"/>
        <n x="657"/>
        <n x="676"/>
      </t>
    </mdx>
    <mdx n="0" f="v">
      <t c="6" si="614">
        <n x="610"/>
        <n x="307"/>
        <n x="308"/>
        <n x="611" s="1"/>
        <n x="677"/>
        <n x="678"/>
      </t>
    </mdx>
    <mdx n="0" f="v">
      <t c="6" si="614">
        <n x="610"/>
        <n x="307"/>
        <n x="314"/>
        <n x="611" s="1"/>
        <n x="625"/>
        <n x="660"/>
      </t>
    </mdx>
    <mdx n="0" f="v">
      <t c="6" si="614">
        <n x="610"/>
        <n x="307"/>
        <n x="314"/>
        <n x="611" s="1"/>
        <n x="635"/>
        <n x="636"/>
      </t>
    </mdx>
    <mdx n="0" f="v">
      <t c="6" si="614">
        <n x="610"/>
        <n x="307"/>
        <n x="314"/>
        <n x="611" s="1"/>
        <n x="635"/>
        <n x="636"/>
      </t>
    </mdx>
    <mdx n="0" f="v">
      <t c="6" si="614">
        <n x="610"/>
        <n x="347"/>
        <n x="348"/>
        <n x="611" s="1"/>
        <n x="623"/>
        <n x="624"/>
      </t>
    </mdx>
    <mdx n="0" f="v">
      <t c="6" si="614">
        <n x="610"/>
        <n x="357"/>
        <n x="358"/>
        <n x="611" s="1"/>
        <n x="701"/>
        <n x="698"/>
      </t>
    </mdx>
    <mdx n="0" f="v">
      <t c="6" si="614">
        <n x="610"/>
        <n x="303"/>
        <n x="350"/>
        <n x="611" s="1"/>
        <n x="629"/>
        <n x="630"/>
      </t>
    </mdx>
    <mdx n="0" f="v">
      <t c="6" si="614">
        <n x="610"/>
        <n x="311"/>
        <n x="312"/>
        <n x="611" s="1"/>
        <n x="675"/>
        <n x="676"/>
      </t>
    </mdx>
    <mdx n="0" f="v">
      <t c="6" si="614">
        <n x="610"/>
        <n x="303"/>
        <n x="312"/>
        <n x="611" s="1"/>
        <n x="661"/>
        <n x="682"/>
      </t>
    </mdx>
    <mdx n="0" f="v">
      <t c="6" si="614">
        <n x="610"/>
        <n x="347"/>
        <n x="312"/>
        <n x="611" s="1"/>
        <n x="661"/>
        <n x="682"/>
      </t>
    </mdx>
    <mdx n="0" f="v">
      <t c="6" si="614">
        <n x="610"/>
        <n x="311"/>
        <n x="304"/>
        <n x="611" s="1"/>
        <n x="671"/>
        <n x="672"/>
      </t>
    </mdx>
    <mdx n="0" f="v">
      <t c="6" si="614">
        <n x="610"/>
        <n x="365"/>
        <n x="366"/>
        <n x="611" s="1"/>
        <n x="703"/>
        <n x="704"/>
      </t>
    </mdx>
    <mdx n="0" f="v">
      <t c="6" si="614">
        <n x="610"/>
        <n x="365"/>
        <n x="366"/>
        <n x="611" s="1"/>
        <n x="703"/>
        <n x="618"/>
      </t>
    </mdx>
    <mdx n="0" f="v">
      <t c="6" si="614">
        <n x="610"/>
        <n x="341"/>
        <n x="342"/>
        <n x="611" s="1"/>
        <n x="659"/>
        <n x="660"/>
      </t>
    </mdx>
    <mdx n="0" f="v">
      <t c="6" si="614">
        <n x="610"/>
        <n x="341"/>
        <n x="346"/>
        <n x="611" s="1"/>
        <n x="659"/>
        <n x="660"/>
      </t>
    </mdx>
    <mdx n="0" f="v">
      <t c="6" si="614">
        <n x="610"/>
        <n x="341"/>
        <n x="346"/>
        <n x="611" s="1"/>
        <n x="669"/>
        <n x="670"/>
      </t>
    </mdx>
    <mdx n="0" f="v">
      <t c="6" si="614">
        <n x="610"/>
        <n x="341"/>
        <n x="346"/>
        <n x="611" s="1"/>
        <n x="669"/>
        <n x="670"/>
      </t>
    </mdx>
    <mdx n="0" f="v">
      <t c="6" si="614">
        <n x="610"/>
        <n x="363"/>
        <n x="364"/>
        <n x="611" s="1"/>
        <n x="625"/>
        <n x="626"/>
      </t>
    </mdx>
    <mdx n="0" f="v">
      <t c="6" si="614">
        <n x="610"/>
        <n x="363"/>
        <n x="364"/>
        <n x="611" s="1"/>
        <n x="637"/>
        <n x="626"/>
      </t>
    </mdx>
    <mdx n="0" f="v">
      <t c="6" si="614">
        <n x="610"/>
        <n x="345"/>
        <n x="346"/>
        <n x="611" s="1"/>
        <n x="629"/>
        <n x="630"/>
      </t>
    </mdx>
    <mdx n="0" f="v">
      <t c="6" si="614">
        <n x="610"/>
        <n x="333"/>
        <n x="334"/>
        <n x="611" s="1"/>
        <n x="691"/>
        <n x="692"/>
      </t>
    </mdx>
    <mdx n="0" f="v">
      <t c="6" si="614">
        <n x="610"/>
        <n x="333"/>
        <n x="342"/>
        <n x="611" s="1"/>
        <n x="655"/>
        <n x="656"/>
      </t>
    </mdx>
    <mdx n="0" f="v">
      <t c="6" si="614">
        <n x="610"/>
        <n x="317"/>
        <n x="318"/>
        <n x="611" s="1"/>
        <n x="703"/>
        <n x="704"/>
      </t>
    </mdx>
    <mdx n="0" f="v">
      <t c="6" si="614">
        <n x="610"/>
        <n x="327"/>
        <n x="318"/>
        <n x="611" s="1"/>
        <n x="671"/>
        <n x="672"/>
      </t>
    </mdx>
    <mdx n="0" f="v">
      <t c="6" si="614">
        <n x="610"/>
        <n x="317"/>
        <n x="318"/>
        <n x="611" s="1"/>
        <n x="707"/>
        <n x="708"/>
      </t>
    </mdx>
    <mdx n="0" f="v">
      <t c="6" si="614">
        <n x="610"/>
        <n x="315"/>
        <n x="316"/>
        <n x="611" s="1"/>
        <n x="685"/>
        <n x="654"/>
      </t>
    </mdx>
    <mdx n="0" f="v">
      <t c="6" si="614">
        <n x="610"/>
        <n x="319"/>
        <n x="324"/>
        <n x="611" s="1"/>
        <n x="697"/>
        <n x="698"/>
      </t>
    </mdx>
    <mdx n="0" f="v">
      <t c="6" si="614">
        <n x="610"/>
        <n x="311"/>
        <n x="322"/>
        <n x="611" s="1"/>
        <n x="657"/>
        <n x="658"/>
      </t>
    </mdx>
    <mdx n="0" f="v">
      <t c="6" si="614">
        <n x="610"/>
        <n x="311"/>
        <n x="312"/>
        <n x="611" s="1"/>
        <n x="635"/>
        <n x="636"/>
      </t>
    </mdx>
    <mdx n="0" f="v">
      <t c="6" si="614">
        <n x="610"/>
        <n x="309"/>
        <n x="310"/>
        <n x="611" s="1"/>
        <n x="659"/>
        <n x="706"/>
      </t>
    </mdx>
    <mdx n="0" f="v">
      <t c="6" si="614">
        <n x="610"/>
        <n x="309"/>
        <n x="310"/>
        <n x="611" s="1"/>
        <n x="659"/>
        <n x="706"/>
      </t>
    </mdx>
    <mdx n="0" f="v">
      <t c="6" si="614">
        <n x="610"/>
        <n x="319"/>
        <n x="320"/>
        <n x="611" s="1"/>
        <n x="649"/>
        <n x="704"/>
      </t>
    </mdx>
    <mdx n="0" f="v">
      <t c="6" si="614">
        <n x="610"/>
        <n x="305"/>
        <n x="306"/>
        <n x="611" s="1"/>
        <n x="653"/>
        <n x="654"/>
      </t>
    </mdx>
    <mdx n="0" f="v">
      <t c="6" si="614">
        <n x="610"/>
        <n x="305"/>
        <n x="306"/>
        <n x="611" s="1"/>
        <n x="653"/>
        <n x="694"/>
      </t>
    </mdx>
    <mdx n="0" f="v">
      <t c="6" si="614">
        <n x="610"/>
        <n x="305"/>
        <n x="306"/>
        <n x="611" s="1"/>
        <n x="653"/>
        <n x="694"/>
      </t>
    </mdx>
    <mdx n="0" f="v">
      <t c="6" si="614">
        <n x="610"/>
        <n x="305"/>
        <n x="306"/>
        <n x="611" s="1"/>
        <n x="673"/>
        <n x="674"/>
      </t>
    </mdx>
    <mdx n="0" f="v">
      <t c="6" si="614">
        <n x="610"/>
        <n x="305"/>
        <n x="306"/>
        <n x="611" s="1"/>
        <n x="612"/>
        <n x="708"/>
      </t>
    </mdx>
    <mdx n="0" f="v">
      <t c="6" si="614">
        <n x="610"/>
        <n x="353"/>
        <n x="354"/>
        <n x="611" s="1"/>
        <n x="655"/>
        <n x="656"/>
      </t>
    </mdx>
    <mdx n="0" f="v">
      <t c="6" si="614">
        <n x="610"/>
        <n x="307"/>
        <n x="308"/>
        <n x="611" s="1"/>
        <n x="655"/>
        <n x="656"/>
      </t>
    </mdx>
    <mdx n="0" f="v">
      <t c="6" si="614">
        <n x="610"/>
        <n x="307"/>
        <n x="308"/>
        <n x="611" s="1"/>
        <n x="633"/>
        <n x="634"/>
      </t>
    </mdx>
    <mdx n="0" f="v">
      <t c="6" si="614">
        <n x="610"/>
        <n x="305"/>
        <n x="318"/>
        <n x="611" s="1"/>
        <n x="657"/>
        <n x="682"/>
      </t>
    </mdx>
    <mdx n="0" f="v">
      <t c="6" si="614">
        <n x="610"/>
        <n x="305"/>
        <n x="318"/>
        <n x="611" s="1"/>
        <n x="657"/>
        <n x="682"/>
      </t>
    </mdx>
    <mdx n="0" f="v">
      <t c="6" si="614">
        <n x="610"/>
        <n x="303"/>
        <n x="304"/>
        <n x="611" s="1"/>
        <n x="687"/>
        <n x="688"/>
      </t>
    </mdx>
    <mdx n="0" f="v">
      <t c="6" si="614">
        <n x="610"/>
        <n x="343"/>
        <n x="344"/>
        <n x="611" s="1"/>
        <n x="623"/>
        <n x="624"/>
      </t>
    </mdx>
    <mdx n="0" f="v">
      <t c="6" si="614">
        <n x="610"/>
        <n x="313"/>
        <n x="314"/>
        <n x="611" s="1"/>
        <n x="699"/>
        <n x="700"/>
      </t>
    </mdx>
    <mdx n="0" f="v">
      <t c="6" si="614">
        <n x="610"/>
        <n x="299"/>
        <n x="300"/>
        <n x="611" s="1"/>
        <n x="661"/>
        <n x="696"/>
      </t>
    </mdx>
    <mdx n="0" f="v">
      <t c="6" si="614">
        <n x="610"/>
        <n x="299"/>
        <n x="300"/>
        <n x="611" s="1"/>
        <n x="661"/>
        <n x="696"/>
      </t>
    </mdx>
    <mdx n="0" f="v">
      <t c="6" si="614">
        <n x="610"/>
        <n x="333"/>
        <n x="334"/>
        <n x="611" s="1"/>
        <n x="661"/>
        <n x="662"/>
      </t>
    </mdx>
    <mdx n="0" f="v">
      <t c="6" si="614">
        <n x="610"/>
        <n x="313"/>
        <n x="314"/>
        <n x="611" s="1"/>
        <n x="693"/>
        <n x="694"/>
      </t>
    </mdx>
    <mdx n="0" f="v">
      <t c="6" si="614">
        <n x="610"/>
        <n x="293"/>
        <n x="312"/>
        <n x="611" s="1"/>
        <n x="647"/>
        <n x="694"/>
      </t>
    </mdx>
    <mdx n="0" f="v">
      <t c="6" si="614">
        <n x="610"/>
        <n x="293"/>
        <n x="294"/>
        <n x="611" s="1"/>
        <n x="707"/>
        <n x="708"/>
      </t>
    </mdx>
    <mdx n="0" f="v">
      <t c="6" si="614">
        <n x="610"/>
        <n x="293"/>
        <n x="294"/>
        <n x="611" s="1"/>
        <n x="635"/>
        <n x="636"/>
      </t>
    </mdx>
    <mdx n="0" f="v">
      <t c="6" si="614">
        <n x="610"/>
        <n x="291"/>
        <n x="292"/>
        <n x="611" s="1"/>
        <n x="689"/>
        <n x="690"/>
      </t>
    </mdx>
    <mdx n="0" f="v">
      <t c="6" si="614">
        <n x="610"/>
        <n x="291"/>
        <n x="292"/>
        <n x="611" s="1"/>
        <n x="612"/>
        <n x="613"/>
      </t>
    </mdx>
    <mdx n="0" f="v">
      <t c="6" si="614">
        <n x="610"/>
        <n x="307"/>
        <n x="308"/>
        <n x="611" s="1"/>
        <n x="615"/>
        <n x="616"/>
      </t>
    </mdx>
    <mdx n="0" f="v">
      <t c="6" si="614">
        <n x="610"/>
        <n x="355"/>
        <n x="338"/>
        <n x="611" s="1"/>
        <n x="625"/>
        <n x="626"/>
      </t>
    </mdx>
    <mdx n="0" f="v">
      <t c="6" si="614">
        <n x="610"/>
        <n x="353"/>
        <n x="288"/>
        <n x="611" s="1"/>
        <n x="649"/>
        <n x="650"/>
      </t>
    </mdx>
    <mdx n="0" f="v">
      <t c="6" si="614">
        <n x="610"/>
        <n x="305"/>
        <n x="306"/>
        <n x="611" s="1"/>
        <n x="635"/>
        <n x="636"/>
      </t>
    </mdx>
    <mdx n="0" f="v">
      <t c="6" si="614">
        <n x="610"/>
        <n x="305"/>
        <n x="306"/>
        <n x="611" s="1"/>
        <n x="617"/>
        <n x="613"/>
      </t>
    </mdx>
    <mdx n="0" f="v">
      <t c="6" si="614">
        <n x="610"/>
        <n x="303"/>
        <n x="284"/>
        <n x="611" s="1"/>
        <n x="657"/>
        <n x="658"/>
      </t>
    </mdx>
    <mdx n="0" f="v">
      <t c="6" si="614">
        <n x="610"/>
        <n x="281"/>
        <n x="282"/>
        <n x="611" s="1"/>
        <n x="612"/>
        <n x="613"/>
      </t>
    </mdx>
    <mdx n="0" f="v">
      <t c="6" si="614">
        <n x="610"/>
        <n x="279"/>
        <n x="280"/>
        <n x="611" s="1"/>
        <n x="657"/>
        <n x="658"/>
      </t>
    </mdx>
    <mdx n="0" f="v">
      <t c="6" si="614">
        <n x="610"/>
        <n x="353"/>
        <n x="354"/>
        <n x="611" s="1"/>
        <n x="665"/>
        <n x="632"/>
      </t>
    </mdx>
    <mdx n="0" f="v">
      <t c="6" si="614">
        <n x="610"/>
        <n x="335"/>
        <n x="336"/>
        <n x="611" s="1"/>
        <n x="703"/>
        <n x="682"/>
      </t>
    </mdx>
    <mdx n="0" f="v">
      <t c="6" si="614">
        <n x="610"/>
        <n x="299"/>
        <n x="300"/>
        <n x="611" s="1"/>
        <n x="681"/>
        <n x="682"/>
      </t>
    </mdx>
    <mdx n="0" f="v">
      <t c="6" si="614">
        <n x="610"/>
        <n x="297"/>
        <n x="298"/>
        <n x="611" s="1"/>
        <n x="661"/>
        <n x="688"/>
      </t>
    </mdx>
    <mdx n="0" f="v">
      <t c="6" si="614">
        <n x="610"/>
        <n x="325"/>
        <n x="362"/>
        <n x="611" s="1"/>
        <n x="701"/>
        <n x="636"/>
      </t>
    </mdx>
    <mdx n="0" f="v">
      <t c="6" si="614">
        <n x="610"/>
        <n x="325"/>
        <n x="326"/>
        <n x="611" s="1"/>
        <n x="655"/>
        <n x="706"/>
      </t>
    </mdx>
    <mdx n="0" f="v">
      <t c="6" si="614">
        <n x="610"/>
        <n x="325"/>
        <n x="326"/>
        <n x="611" s="1"/>
        <n x="623"/>
        <n x="624"/>
      </t>
    </mdx>
    <mdx n="0" f="v">
      <t c="6" si="614">
        <n x="610"/>
        <n x="291"/>
        <n x="334"/>
        <n x="611" s="1"/>
        <n x="703"/>
        <n x="688"/>
      </t>
    </mdx>
    <mdx n="0" f="v">
      <t c="6" si="614">
        <n x="610"/>
        <n x="299"/>
        <n x="300"/>
        <n x="611" s="1"/>
        <n x="627"/>
        <n x="628"/>
      </t>
    </mdx>
    <mdx n="0" f="v">
      <t c="6" si="614">
        <n x="610"/>
        <n x="299"/>
        <n x="292"/>
        <n x="611" s="1"/>
        <n x="707"/>
        <n x="708"/>
      </t>
    </mdx>
    <mdx n="0" f="v">
      <t c="6" si="614">
        <n x="610"/>
        <n x="299"/>
        <n x="300"/>
        <n x="611" s="1"/>
        <n x="641"/>
        <n x="690"/>
      </t>
    </mdx>
    <mdx n="0" f="v">
      <t c="6" si="614">
        <n x="610"/>
        <n x="329"/>
        <n x="330"/>
        <n x="611" s="1"/>
        <n x="635"/>
        <n x="674"/>
      </t>
    </mdx>
    <mdx n="0" f="v">
      <t c="6" si="614">
        <n x="610"/>
        <n x="315"/>
        <n x="316"/>
        <n x="611" s="1"/>
        <n x="657"/>
        <n x="674"/>
      </t>
    </mdx>
    <mdx n="0" f="v">
      <t c="6" si="614">
        <n x="610"/>
        <n x="315"/>
        <n x="346"/>
        <n x="611" s="1"/>
        <n x="657"/>
        <n x="658"/>
      </t>
    </mdx>
    <mdx n="0" f="v">
      <t c="6" si="614">
        <n x="610"/>
        <n x="315"/>
        <n x="316"/>
        <n x="611" s="1"/>
        <n x="651"/>
        <n x="628"/>
      </t>
    </mdx>
    <mdx n="0" f="v">
      <t c="6" si="614">
        <n x="610"/>
        <n x="325"/>
        <n x="326"/>
        <n x="611" s="1"/>
        <n x="673"/>
        <n x="674"/>
      </t>
    </mdx>
    <mdx n="0" f="v">
      <t c="6" si="614">
        <n x="610"/>
        <n x="325"/>
        <n x="326"/>
        <n x="611" s="1"/>
        <n x="635"/>
        <n x="636"/>
      </t>
    </mdx>
    <mdx n="0" f="v">
      <t c="6" si="614">
        <n x="610"/>
        <n x="343"/>
        <n x="344"/>
        <n x="611" s="1"/>
        <n x="649"/>
        <n x="650"/>
      </t>
    </mdx>
    <mdx n="0" f="v">
      <t c="6" si="614">
        <n x="610"/>
        <n x="289"/>
        <n x="290"/>
        <n x="611" s="1"/>
        <n x="615"/>
        <n x="674"/>
      </t>
    </mdx>
    <mdx n="0" f="v">
      <t c="6" si="614">
        <n x="610"/>
        <n x="325"/>
        <n x="326"/>
        <n x="611" s="1"/>
        <n x="641"/>
        <n x="642"/>
      </t>
    </mdx>
    <mdx n="0" f="v">
      <t c="6" si="614">
        <n x="610"/>
        <n x="323"/>
        <n x="342"/>
        <n x="611" s="1"/>
        <n x="629"/>
        <n x="630"/>
      </t>
    </mdx>
    <mdx n="0" f="v">
      <t c="6" si="614">
        <n x="610"/>
        <n x="309"/>
        <n x="324"/>
        <n x="611" s="1"/>
        <n x="655"/>
        <n x="628"/>
      </t>
    </mdx>
    <mdx n="0" f="v">
      <t c="6" si="614">
        <n x="610"/>
        <n x="309"/>
        <n x="310"/>
        <n x="611" s="1"/>
        <n x="657"/>
        <n x="658"/>
      </t>
    </mdx>
    <mdx n="0" f="v">
      <t c="6" si="614">
        <n x="610"/>
        <n x="309"/>
        <n x="310"/>
        <n x="611" s="1"/>
        <n x="657"/>
        <n x="618"/>
      </t>
    </mdx>
    <mdx n="0" f="v">
      <t c="6" si="614">
        <n x="610"/>
        <n x="309"/>
        <n x="358"/>
        <n x="611" s="1"/>
        <n x="631"/>
        <n x="613"/>
      </t>
    </mdx>
    <mdx n="0" f="v">
      <t c="6" si="614">
        <n x="610"/>
        <n x="309"/>
        <n x="330"/>
        <n x="611" s="1"/>
        <n x="623"/>
        <n x="632"/>
      </t>
    </mdx>
    <mdx n="0" f="v">
      <t c="6" si="614">
        <n x="610"/>
        <n x="309"/>
        <n x="330"/>
        <n x="611" s="1"/>
        <n x="623"/>
        <n x="624"/>
      </t>
    </mdx>
    <mdx n="0" f="v">
      <t c="6" si="614">
        <n x="610"/>
        <n x="289"/>
        <n x="290"/>
        <n x="611" s="1"/>
        <n x="661"/>
        <n x="662"/>
      </t>
    </mdx>
    <mdx n="0" f="v">
      <t c="6" si="614">
        <n x="610"/>
        <n x="335"/>
        <n x="336"/>
        <n x="611" s="1"/>
        <n x="651"/>
        <n x="652"/>
      </t>
    </mdx>
    <mdx n="0" f="v">
      <t c="6" si="614">
        <n x="610"/>
        <n x="327"/>
        <n x="334"/>
        <n x="611" s="1"/>
        <n x="705"/>
        <n x="706"/>
      </t>
    </mdx>
    <mdx n="0" f="v">
      <t c="6" si="614">
        <n x="610"/>
        <n x="327"/>
        <n x="334"/>
        <n x="611" s="1"/>
        <n x="657"/>
        <n x="658"/>
      </t>
    </mdx>
    <mdx n="0" f="v">
      <t c="6" si="614">
        <n x="610"/>
        <n x="327"/>
        <n x="334"/>
        <n x="611" s="1"/>
        <n x="657"/>
        <n x="658"/>
      </t>
    </mdx>
    <mdx n="0" f="v">
      <t c="6" si="614">
        <n x="610"/>
        <n x="325"/>
        <n x="318"/>
        <n x="611" s="1"/>
        <n x="649"/>
        <n x="650"/>
      </t>
    </mdx>
    <mdx n="0" f="v">
      <t c="6" si="614">
        <n x="610"/>
        <n x="329"/>
        <n x="310"/>
        <n x="611" s="1"/>
        <n x="699"/>
        <n x="700"/>
      </t>
    </mdx>
    <mdx n="0" f="v">
      <t c="6" si="614">
        <n x="610"/>
        <n x="329"/>
        <n x="330"/>
        <n x="611" s="1"/>
        <n x="691"/>
        <n x="692"/>
      </t>
    </mdx>
    <mdx n="0" f="v">
      <t c="6" si="614">
        <n x="610"/>
        <n x="325"/>
        <n x="318"/>
        <n x="611" s="1"/>
        <n x="623"/>
        <n x="624"/>
      </t>
    </mdx>
    <mdx n="0" f="v">
      <t c="6" si="614">
        <n x="610"/>
        <n x="329"/>
        <n x="280"/>
        <n x="611" s="1"/>
        <n x="617"/>
        <n x="704"/>
      </t>
    </mdx>
    <mdx n="0" f="v">
      <t c="6" si="614">
        <n x="610"/>
        <n x="329"/>
        <n x="280"/>
        <n x="611" s="1"/>
        <n x="673"/>
        <n x="674"/>
      </t>
    </mdx>
    <mdx n="0" f="v">
      <t c="6" si="614">
        <n x="610"/>
        <n x="329"/>
        <n x="280"/>
        <n x="611" s="1"/>
        <n x="673"/>
        <n x="674"/>
      </t>
    </mdx>
    <mdx n="0" f="v">
      <t c="6" si="614">
        <n x="610"/>
        <n x="321"/>
        <n x="316"/>
        <n x="611" s="1"/>
        <n x="669"/>
        <n x="670"/>
      </t>
    </mdx>
    <mdx n="0" f="v">
      <t c="6" si="614">
        <n x="610"/>
        <n x="315"/>
        <n x="316"/>
        <n x="611" s="1"/>
        <n x="667"/>
        <n x="694"/>
      </t>
    </mdx>
    <mdx n="0" f="v">
      <t c="6" si="614">
        <n x="610"/>
        <n x="327"/>
        <n x="314"/>
        <n x="611" s="1"/>
        <n x="663"/>
        <n x="626"/>
      </t>
    </mdx>
    <mdx n="0" f="v">
      <t c="6" si="614">
        <n x="610"/>
        <n x="279"/>
        <n x="280"/>
        <n x="611" s="1"/>
        <n x="661"/>
        <n x="662"/>
      </t>
    </mdx>
    <mdx n="0" f="v">
      <t c="6" si="614">
        <n x="610"/>
        <n x="299"/>
        <n x="300"/>
        <n x="611" s="1"/>
        <n x="659"/>
        <n x="660"/>
      </t>
    </mdx>
    <mdx n="0" f="v">
      <t c="6" si="614">
        <n x="610"/>
        <n x="327"/>
        <n x="328"/>
        <n x="611" s="1"/>
        <n x="661"/>
        <n x="652"/>
      </t>
    </mdx>
    <mdx n="0" f="v">
      <t c="6" si="614">
        <n x="610"/>
        <n x="325"/>
        <n x="326"/>
        <n x="611" s="1"/>
        <n x="679"/>
        <n x="640"/>
      </t>
    </mdx>
    <mdx n="0" f="v">
      <t c="6" si="614">
        <n x="610"/>
        <n x="311"/>
        <n x="312"/>
        <n x="611" s="1"/>
        <n x="691"/>
        <n x="692"/>
      </t>
    </mdx>
    <mdx n="0" f="v">
      <t c="6" si="614">
        <n x="202"/>
        <n x="299"/>
        <n x="312"/>
        <n x="611" s="1"/>
        <n x="691"/>
        <n x="692"/>
      </t>
    </mdx>
    <mdx n="0" f="v">
      <t c="6" si="614">
        <n x="610"/>
        <n x="311"/>
        <n x="312"/>
        <n x="611" s="1"/>
        <n x="621"/>
        <n x="622"/>
      </t>
    </mdx>
    <mdx n="0" f="v">
      <t c="6" si="614">
        <n x="610"/>
        <n x="311"/>
        <n x="312"/>
        <n x="611" s="1"/>
        <n x="649"/>
        <n x="650"/>
      </t>
    </mdx>
    <mdx n="0" f="v">
      <t c="6" si="614">
        <n x="610"/>
        <n x="297"/>
        <n x="312"/>
        <n x="611" s="1"/>
        <n x="649"/>
        <n x="650"/>
      </t>
    </mdx>
    <mdx n="0" f="v">
      <t c="6" si="614">
        <n x="610"/>
        <n x="311"/>
        <n x="312"/>
        <n x="611" s="1"/>
        <n x="641"/>
        <n x="642"/>
      </t>
    </mdx>
    <mdx n="0" f="v">
      <t c="6" si="614">
        <n x="610"/>
        <n x="323"/>
        <n x="324"/>
        <n x="611" s="1"/>
        <n x="615"/>
        <n x="642"/>
      </t>
    </mdx>
    <mdx n="0" f="v">
      <t c="6" si="614">
        <n x="610"/>
        <n x="323"/>
        <n x="324"/>
        <n x="611" s="1"/>
        <n x="612"/>
        <n x="634"/>
      </t>
    </mdx>
    <mdx n="0" f="v">
      <t c="6" si="614">
        <n x="610"/>
        <n x="323"/>
        <n x="324"/>
        <n x="611" s="1"/>
        <n x="612"/>
        <n x="618"/>
      </t>
    </mdx>
    <mdx n="0" f="v">
      <t c="6" si="614">
        <n x="610"/>
        <n x="309"/>
        <n x="310"/>
        <n x="611" s="1"/>
        <n x="657"/>
        <n x="694"/>
      </t>
    </mdx>
    <mdx n="0" f="v">
      <t c="6" si="614">
        <n x="610"/>
        <n x="309"/>
        <n x="310"/>
        <n x="611" s="1"/>
        <n x="659"/>
        <n x="660"/>
      </t>
    </mdx>
    <mdx n="0" f="v">
      <t c="6" si="614">
        <n x="610"/>
        <n x="347"/>
        <n x="348"/>
        <n x="611" s="1"/>
        <n x="669"/>
        <n x="670"/>
      </t>
    </mdx>
    <mdx n="0" f="v">
      <t c="6" si="614">
        <n x="610"/>
        <n x="327"/>
        <n x="328"/>
        <n x="611" s="1"/>
        <n x="683"/>
        <n x="684"/>
      </t>
    </mdx>
    <mdx n="0" f="v">
      <t c="6" si="614">
        <n x="610"/>
        <n x="277"/>
        <n x="278"/>
        <n x="611" s="1"/>
        <n x="683"/>
        <n x="684"/>
      </t>
    </mdx>
    <mdx n="0" f="v">
      <t c="6" si="614">
        <n x="610"/>
        <n x="325"/>
        <n x="326"/>
        <n x="611" s="1"/>
        <n x="659"/>
        <n x="706"/>
      </t>
    </mdx>
    <mdx n="0" f="v">
      <t c="6" si="614">
        <n x="610"/>
        <n x="277"/>
        <n x="278"/>
        <n x="611" s="1"/>
        <n x="659"/>
        <n x="660"/>
      </t>
    </mdx>
    <mdx n="0" f="v">
      <t c="6" si="614">
        <n x="610"/>
        <n x="281"/>
        <n x="318"/>
        <n x="611" s="1"/>
        <n x="685"/>
        <n x="686"/>
      </t>
    </mdx>
    <mdx n="0" f="v">
      <t c="6" si="614">
        <n x="610"/>
        <n x="323"/>
        <n x="324"/>
        <n x="611" s="1"/>
        <n x="619"/>
        <n x="620"/>
      </t>
    </mdx>
    <mdx n="0" f="v">
      <t c="6" si="614">
        <n x="610"/>
        <n x="341"/>
        <n x="342"/>
        <n x="611" s="1"/>
        <n x="619"/>
        <n x="620"/>
      </t>
    </mdx>
    <mdx n="0" f="v">
      <t c="6" si="614">
        <n x="610"/>
        <n x="339"/>
        <n x="340"/>
        <n x="611" s="1"/>
        <n x="641"/>
        <n x="642"/>
      </t>
    </mdx>
    <mdx n="0" f="v">
      <t c="6" si="614">
        <n x="610"/>
        <n x="321"/>
        <n x="322"/>
        <n x="611" s="1"/>
        <n x="673"/>
        <n x="674"/>
      </t>
    </mdx>
    <mdx n="0" f="v">
      <t c="6" si="614">
        <n x="610"/>
        <n x="279"/>
        <n x="318"/>
        <n x="611" s="1"/>
        <n x="625"/>
        <n x="626"/>
      </t>
    </mdx>
    <mdx n="0" f="v">
      <t c="6" si="614">
        <n x="610"/>
        <n x="339"/>
        <n x="340"/>
        <n x="611" s="1"/>
        <n x="621"/>
        <n x="626"/>
      </t>
    </mdx>
    <mdx n="0" f="v">
      <t c="6" si="614">
        <n x="610"/>
        <n x="319"/>
        <n x="320"/>
        <n x="611" s="1"/>
        <n x="665"/>
        <n x="622"/>
      </t>
    </mdx>
    <mdx n="0" f="v">
      <t c="6" si="614">
        <n x="610"/>
        <n x="317"/>
        <n x="318"/>
        <n x="611" s="1"/>
        <n x="703"/>
        <n x="662"/>
      </t>
    </mdx>
    <mdx n="0" f="v">
      <t c="6" si="614">
        <n x="610"/>
        <n x="333"/>
        <n x="318"/>
        <n x="611" s="1"/>
        <n x="703"/>
        <n x="662"/>
      </t>
    </mdx>
    <mdx n="0" f="v">
      <t c="6" si="614">
        <n x="610"/>
        <n x="317"/>
        <n x="318"/>
        <n x="611" s="1"/>
        <n x="699"/>
        <n x="700"/>
      </t>
    </mdx>
    <mdx n="0" f="v">
      <t c="6" si="614">
        <n x="610"/>
        <n x="315"/>
        <n x="316"/>
        <n x="611" s="1"/>
        <n x="695"/>
        <n x="696"/>
      </t>
    </mdx>
    <mdx n="0" f="v">
      <t c="6" si="614">
        <n x="610"/>
        <n x="315"/>
        <n x="316"/>
        <n x="611" s="1"/>
        <n x="677"/>
        <n x="613"/>
      </t>
    </mdx>
    <mdx n="0" f="v">
      <t c="6" si="614">
        <n x="610"/>
        <n x="315"/>
        <n x="316"/>
        <n x="611" s="1"/>
        <n x="677"/>
        <n x="678"/>
      </t>
    </mdx>
    <mdx n="0" f="v">
      <t c="6" si="614">
        <n x="610"/>
        <n x="307"/>
        <n x="314"/>
        <n x="611" s="1"/>
        <n x="655"/>
        <n x="656"/>
      </t>
    </mdx>
    <mdx n="0" f="v">
      <t c="6" si="614">
        <n x="610"/>
        <n x="307"/>
        <n x="314"/>
        <n x="611" s="1"/>
        <n x="667"/>
        <n x="668"/>
      </t>
    </mdx>
    <mdx n="0" f="v">
      <t c="6" si="614">
        <n x="610"/>
        <n x="321"/>
        <n x="314"/>
        <n x="611" s="1"/>
        <n x="667"/>
        <n x="668"/>
      </t>
    </mdx>
    <mdx n="0" f="v">
      <t c="6" si="614">
        <n x="610"/>
        <n x="321"/>
        <n x="322"/>
        <n x="611" s="1"/>
        <n x="667"/>
        <n x="668"/>
      </t>
    </mdx>
    <mdx n="0" f="v">
      <t c="6" si="614">
        <n x="610"/>
        <n x="313"/>
        <n x="314"/>
        <n x="611" s="1"/>
        <n x="619"/>
        <n x="620"/>
      </t>
    </mdx>
    <mdx n="0" f="v">
      <t c="6" si="614">
        <n x="610"/>
        <n x="311"/>
        <n x="312"/>
        <n x="611" s="1"/>
        <n x="681"/>
        <n x="682"/>
      </t>
    </mdx>
    <mdx n="0" f="v">
      <t c="6" si="614">
        <n x="610"/>
        <n x="311"/>
        <n x="306"/>
        <n x="611" s="1"/>
        <n x="667"/>
        <n x="688"/>
      </t>
    </mdx>
    <mdx n="0" f="v">
      <t c="6" si="614">
        <n x="610"/>
        <n x="311"/>
        <n x="306"/>
        <n x="611" s="1"/>
        <n x="667"/>
        <n x="668"/>
      </t>
    </mdx>
    <mdx n="0" f="v">
      <t c="6" si="614">
        <n x="610"/>
        <n x="311"/>
        <n x="306"/>
        <n x="611" s="1"/>
        <n x="667"/>
        <n x="668"/>
      </t>
    </mdx>
    <mdx n="0" f="v">
      <t c="6" si="614">
        <n x="610"/>
        <n x="311"/>
        <n x="312"/>
        <n x="611" s="1"/>
        <n x="663"/>
        <n x="666"/>
      </t>
    </mdx>
    <mdx n="0" f="v">
      <t c="6" si="614">
        <n x="610"/>
        <n x="305"/>
        <n x="306"/>
        <n x="611" s="1"/>
        <n x="612"/>
        <n x="613"/>
      </t>
    </mdx>
    <mdx n="0" f="v">
      <t c="6" si="614">
        <n x="610"/>
        <n x="333"/>
        <n x="298"/>
        <n x="611" s="1"/>
        <n x="627"/>
        <n x="616"/>
      </t>
    </mdx>
    <mdx n="0" f="v">
      <t c="6" si="614">
        <n x="610"/>
        <n x="333"/>
        <n x="316"/>
        <n x="611" s="1"/>
        <n x="633"/>
        <n x="628"/>
      </t>
    </mdx>
    <mdx n="0" f="v">
      <t c="6" si="614">
        <n x="610"/>
        <n x="333"/>
        <n x="316"/>
        <n x="611" s="1"/>
        <n x="625"/>
        <n x="634"/>
      </t>
    </mdx>
    <mdx n="0" f="v">
      <t c="6" si="614">
        <n x="610"/>
        <n x="277"/>
        <n x="278"/>
        <n x="611" s="1"/>
        <n x="625"/>
        <n x="626"/>
      </t>
    </mdx>
    <mdx n="0" f="v">
      <t c="6" si="614">
        <n x="610"/>
        <n x="275"/>
        <n x="276"/>
        <n x="611" s="1"/>
        <n x="633"/>
        <n x="634"/>
      </t>
    </mdx>
    <mdx n="0" f="v">
      <t c="6" si="614">
        <n x="610"/>
        <n x="331"/>
        <n x="332"/>
        <n x="611" s="1"/>
        <n x="625"/>
        <n x="626"/>
      </t>
    </mdx>
    <mdx n="0" f="v">
      <t c="6" si="614">
        <n x="610"/>
        <n x="317"/>
        <n x="318"/>
        <n x="611" s="1"/>
        <n x="659"/>
        <n x="660"/>
      </t>
    </mdx>
    <mdx n="0" f="v">
      <t c="6" si="614">
        <n x="610"/>
        <n x="317"/>
        <n x="318"/>
        <n x="611" s="1"/>
        <n x="687"/>
        <n x="688"/>
      </t>
    </mdx>
    <mdx n="0" f="v">
      <t c="6" si="614">
        <n x="610"/>
        <n x="273"/>
        <n x="318"/>
        <n x="611" s="1"/>
        <n x="687"/>
        <n x="688"/>
      </t>
    </mdx>
    <mdx n="0" f="v">
      <t c="6" si="614">
        <n x="610"/>
        <n x="325"/>
        <n x="316"/>
        <n x="611" s="1"/>
        <n x="693"/>
        <n x="694"/>
      </t>
    </mdx>
    <mdx n="0" f="v">
      <t c="6" si="614">
        <n x="610"/>
        <n x="273"/>
        <n x="330"/>
        <n x="611" s="1"/>
        <n x="661"/>
        <n x="662"/>
      </t>
    </mdx>
    <mdx n="0" f="v">
      <t c="6" si="614">
        <n x="610"/>
        <n x="307"/>
        <n x="308"/>
        <n x="611" s="1"/>
        <n x="665"/>
        <n x="666"/>
      </t>
    </mdx>
    <mdx n="0" f="v">
      <t c="6" si="614">
        <n x="610"/>
        <n x="275"/>
        <n x="298"/>
        <n x="611" s="1"/>
        <n x="643"/>
        <n x="644"/>
      </t>
    </mdx>
    <mdx n="0" f="v">
      <t c="6" si="614">
        <n x="202"/>
        <n x="329"/>
        <n x="314"/>
        <n x="611" s="1"/>
        <n x="657"/>
        <n x="658"/>
      </t>
    </mdx>
    <mdx n="0" f="v">
      <t c="6" si="614">
        <n x="610"/>
        <n x="329"/>
        <n x="314"/>
        <n x="611" s="1"/>
        <n x="703"/>
        <n x="704"/>
      </t>
    </mdx>
    <mdx n="0" f="v">
      <t c="6" si="614">
        <n x="610"/>
        <n x="311"/>
        <n x="270"/>
        <n x="611" s="1"/>
        <n x="687"/>
        <n x="688"/>
      </t>
    </mdx>
    <mdx n="0" f="v">
      <t c="6" si="614">
        <n x="610"/>
        <n x="327"/>
        <n x="328"/>
        <n x="611" s="1"/>
        <n x="657"/>
        <n x="658"/>
      </t>
    </mdx>
    <mdx n="0" f="v">
      <t c="6" si="614">
        <n x="610"/>
        <n x="307"/>
        <n x="308"/>
        <n x="611" s="1"/>
        <n x="625"/>
        <n x="626"/>
      </t>
    </mdx>
    <mdx n="0" f="v">
      <t c="6" si="614">
        <n x="202"/>
        <n x="327"/>
        <n x="324"/>
        <n x="611" s="1"/>
        <n x="669"/>
        <n x="670"/>
      </t>
    </mdx>
    <mdx n="0" f="v">
      <t c="6" si="614">
        <n x="610"/>
        <n x="305"/>
        <n x="306"/>
        <n x="611" s="1"/>
        <n x="701"/>
        <n x="696"/>
      </t>
    </mdx>
    <mdx n="0" f="v">
      <t c="6" si="614">
        <n x="610"/>
        <n x="325"/>
        <n x="326"/>
        <n x="611" s="1"/>
        <n x="701"/>
        <n x="702"/>
      </t>
    </mdx>
    <mdx n="0" f="v">
      <t c="6" si="614">
        <n x="610"/>
        <n x="273"/>
        <n x="326"/>
        <n x="611" s="1"/>
        <n x="681"/>
        <n x="682"/>
      </t>
    </mdx>
    <mdx n="0" f="v">
      <t c="6" si="614">
        <n x="610"/>
        <n x="325"/>
        <n x="274"/>
        <n x="611" s="1"/>
        <n x="697"/>
        <n x="698"/>
      </t>
    </mdx>
    <mdx n="0" f="v">
      <t c="6" si="614">
        <n x="610"/>
        <n x="325"/>
        <n x="274"/>
        <n x="611" s="1"/>
        <n x="663"/>
        <n x="698"/>
      </t>
    </mdx>
    <mdx n="0" f="v">
      <t c="6" si="614">
        <n x="610"/>
        <n x="325"/>
        <n x="274"/>
        <n x="611" s="1"/>
        <n x="685"/>
        <n x="686"/>
      </t>
    </mdx>
    <mdx n="0" f="v">
      <t c="6" si="614">
        <n x="610"/>
        <n x="325"/>
        <n x="326"/>
        <n x="611" s="1"/>
        <n x="643"/>
        <n x="676"/>
      </t>
    </mdx>
    <mdx n="0" f="v">
      <t c="6" si="614">
        <n x="610"/>
        <n x="323"/>
        <n x="324"/>
        <n x="611" s="1"/>
        <n x="657"/>
        <n x="658"/>
      </t>
    </mdx>
    <mdx n="0" f="v">
      <t c="6" si="614">
        <n x="610"/>
        <n x="315"/>
        <n x="324"/>
        <n x="611" s="1"/>
        <n x="703"/>
        <n x="638"/>
      </t>
    </mdx>
    <mdx n="0" f="v">
      <t c="6" si="614">
        <n x="610"/>
        <n x="315"/>
        <n x="316"/>
        <n x="611" s="1"/>
        <n x="621"/>
        <n x="704"/>
      </t>
    </mdx>
    <mdx n="0" f="v">
      <t c="6" si="614">
        <n x="610"/>
        <n x="321"/>
        <n x="272"/>
        <n x="611" s="1"/>
        <n x="689"/>
        <n x="706"/>
      </t>
    </mdx>
    <mdx n="0" f="v">
      <t c="6" si="614">
        <n x="610"/>
        <n x="303"/>
        <n x="322"/>
        <n x="611" s="1"/>
        <n x="657"/>
        <n x="616"/>
      </t>
    </mdx>
    <mdx n="0" f="v">
      <t c="6" si="614">
        <n x="610"/>
        <n x="271"/>
        <n x="272"/>
        <n x="611" s="1"/>
        <n x="657"/>
        <n x="658"/>
      </t>
    </mdx>
    <mdx n="0" f="v">
      <t c="6" si="614">
        <n x="610"/>
        <n x="321"/>
        <n x="304"/>
        <n x="611" s="1"/>
        <n x="663"/>
        <n x="640"/>
      </t>
    </mdx>
    <mdx n="0" f="v">
      <t c="6" si="614">
        <n x="610"/>
        <n x="321"/>
        <n x="322"/>
        <n x="611" s="1"/>
        <n x="619"/>
        <n x="620"/>
      </t>
    </mdx>
    <mdx n="0" f="v">
      <t c="6" si="614">
        <n x="610"/>
        <n x="319"/>
        <n x="320"/>
        <n x="611" s="1"/>
        <n x="627"/>
        <n x="628"/>
      </t>
    </mdx>
    <mdx n="0" f="v">
      <t c="6" si="614">
        <n x="610"/>
        <n x="319"/>
        <n x="310"/>
        <n x="611" s="1"/>
        <n x="673"/>
        <n x="674"/>
      </t>
    </mdx>
    <mdx n="0" f="v">
      <t c="6" si="614">
        <n x="610"/>
        <n x="313"/>
        <n x="302"/>
        <n x="611" s="1"/>
        <n x="701"/>
        <n x="702"/>
      </t>
    </mdx>
    <mdx n="0" f="v">
      <t c="6" si="614">
        <n x="610"/>
        <n x="301"/>
        <n x="302"/>
        <n x="611" s="1"/>
        <n x="687"/>
        <n x="688"/>
      </t>
    </mdx>
    <mdx n="0" f="v">
      <t c="6" si="614">
        <n x="610"/>
        <n x="319"/>
        <n x="302"/>
        <n x="611" s="1"/>
        <n x="687"/>
        <n x="688"/>
      </t>
    </mdx>
    <mdx n="0" f="v">
      <t c="6" si="614">
        <n x="610"/>
        <n x="311"/>
        <n x="312"/>
        <n x="611" s="1"/>
        <n x="627"/>
        <n x="628"/>
      </t>
    </mdx>
    <mdx n="0" f="v">
      <t c="6" si="614">
        <n x="610"/>
        <n x="301"/>
        <n x="302"/>
        <n x="611" s="1"/>
        <n x="627"/>
        <n x="628"/>
      </t>
    </mdx>
    <mdx n="0" f="v">
      <t c="6" si="614">
        <n x="610"/>
        <n x="331"/>
        <n x="332"/>
        <n x="611" s="1"/>
        <n x="657"/>
        <n x="628"/>
      </t>
    </mdx>
    <mdx n="0" f="v">
      <t c="6" si="614">
        <n x="610"/>
        <n x="317"/>
        <n x="318"/>
        <n x="611" s="1"/>
        <n x="657"/>
        <n x="658"/>
      </t>
    </mdx>
    <mdx n="0" f="v">
      <t c="6" si="614">
        <n x="610"/>
        <n x="299"/>
        <n x="300"/>
        <n x="611" s="1"/>
        <n x="663"/>
        <n x="664"/>
      </t>
    </mdx>
    <mdx n="0" f="v">
      <t c="6" si="614">
        <n x="610"/>
        <n x="317"/>
        <n x="318"/>
        <n x="611" s="1"/>
        <n x="695"/>
        <n x="696"/>
      </t>
    </mdx>
    <mdx n="0" f="v">
      <t c="6" si="614">
        <n x="610"/>
        <n x="317"/>
        <n x="270"/>
        <n x="611" s="1"/>
        <n x="643"/>
        <n x="696"/>
      </t>
    </mdx>
    <mdx n="0" f="v">
      <t c="6" si="614">
        <n x="610"/>
        <n x="317"/>
        <n x="270"/>
        <n x="611" s="1"/>
        <n x="669"/>
        <n x="670"/>
      </t>
    </mdx>
    <mdx n="0" f="v">
      <t c="6" si="614">
        <n x="610"/>
        <n x="317"/>
        <n x="270"/>
        <n x="611" s="1"/>
        <n x="669"/>
        <n x="670"/>
      </t>
    </mdx>
    <mdx n="0" f="v">
      <t c="6" si="614">
        <n x="610"/>
        <n x="299"/>
        <n x="300"/>
        <n x="611" s="1"/>
        <n x="663"/>
        <n x="664"/>
      </t>
    </mdx>
    <mdx n="0" f="v">
      <t c="6" si="614">
        <n x="610"/>
        <n x="315"/>
        <n x="316"/>
        <n x="611" s="1"/>
        <n x="663"/>
        <n x="664"/>
      </t>
    </mdx>
    <mdx n="0" f="v">
      <t c="6" si="614">
        <n x="610"/>
        <n x="315"/>
        <n x="316"/>
        <n x="611" s="1"/>
        <n x="699"/>
        <n x="700"/>
      </t>
    </mdx>
    <mdx n="0" f="v">
      <t c="6" si="614">
        <n x="610"/>
        <n x="269"/>
        <n x="270"/>
        <n x="611" s="1"/>
        <n x="633"/>
        <n x="674"/>
      </t>
    </mdx>
    <mdx n="0" f="v">
      <t c="6" si="614">
        <n x="610"/>
        <n x="311"/>
        <n x="298"/>
        <n x="611" s="1"/>
        <n x="683"/>
        <n x="680"/>
      </t>
    </mdx>
    <mdx n="0" f="v">
      <t c="6" si="614">
        <n x="610"/>
        <n x="313"/>
        <n x="314"/>
        <n x="611" s="1"/>
        <n x="675"/>
        <n x="676"/>
      </t>
    </mdx>
    <mdx n="0" f="v">
      <t c="6" si="614">
        <n x="610"/>
        <n x="317"/>
        <n x="332"/>
        <n x="611" s="1"/>
        <n x="707"/>
        <n x="708"/>
      </t>
    </mdx>
    <mdx n="0" f="v">
      <t c="6" si="614">
        <n x="610"/>
        <n x="301"/>
        <n x="332"/>
        <n x="611" s="1"/>
        <n x="699"/>
        <n x="662"/>
      </t>
    </mdx>
    <mdx n="0" f="v">
      <t c="6" si="614">
        <n x="610"/>
        <n x="301"/>
        <n x="332"/>
        <n x="611" s="1"/>
        <n x="641"/>
        <n x="684"/>
      </t>
    </mdx>
    <mdx n="0" f="v">
      <t c="6" si="614">
        <n x="610"/>
        <n x="301"/>
        <n x="302"/>
        <n x="611" s="1"/>
        <n x="641"/>
        <n x="642"/>
      </t>
    </mdx>
    <mdx n="0" f="v">
      <t c="6" si="614">
        <n x="610"/>
        <n x="315"/>
        <n x="320"/>
        <n x="611" s="1"/>
        <n x="629"/>
        <n x="618"/>
      </t>
    </mdx>
    <mdx n="0" f="v">
      <t c="6" si="614">
        <n x="610"/>
        <n x="315"/>
        <n x="320"/>
        <n x="611" s="1"/>
        <n x="705"/>
        <n x="706"/>
      </t>
    </mdx>
    <mdx n="0" f="v">
      <t c="6" si="614">
        <n x="610"/>
        <n x="309"/>
        <n x="310"/>
        <n x="611" s="1"/>
        <n x="657"/>
        <n x="658"/>
      </t>
    </mdx>
    <mdx n="0" f="v">
      <t c="6" si="614">
        <n x="610"/>
        <n x="309"/>
        <n x="310"/>
        <n x="611" s="1"/>
        <n x="657"/>
        <n x="650"/>
      </t>
    </mdx>
    <mdx n="0" f="v">
      <t c="6" si="614">
        <n x="610"/>
        <n x="307"/>
        <n x="308"/>
        <n x="611" s="1"/>
        <n x="697"/>
        <n x="698"/>
      </t>
    </mdx>
    <mdx n="0" f="v">
      <t c="6" si="614">
        <n x="610"/>
        <n x="305"/>
        <n x="306"/>
        <n x="611" s="1"/>
        <n x="689"/>
        <n x="704"/>
      </t>
    </mdx>
    <mdx n="0" f="v">
      <t c="6" si="614">
        <n x="610"/>
        <n x="307"/>
        <n x="302"/>
        <n x="611" s="1"/>
        <n x="705"/>
        <n x="706"/>
      </t>
    </mdx>
    <mdx n="0" f="v">
      <t c="6" si="614">
        <n x="610"/>
        <n x="301"/>
        <n x="302"/>
        <n x="611" s="1"/>
        <n x="649"/>
        <n x="650"/>
      </t>
    </mdx>
    <mdx n="0" f="v">
      <t c="6" si="614">
        <n x="610"/>
        <n x="303"/>
        <n x="304"/>
        <n x="611" s="1"/>
        <n x="649"/>
        <n x="650"/>
      </t>
    </mdx>
    <mdx n="0" f="v">
      <t c="6" si="614">
        <n x="610"/>
        <n x="305"/>
        <n x="302"/>
        <n x="611" s="1"/>
        <n x="641"/>
        <n x="642"/>
      </t>
    </mdx>
    <mdx n="0" f="v">
      <t c="6" si="614">
        <n x="610"/>
        <n x="297"/>
        <n x="298"/>
        <n x="611" s="1"/>
        <n x="653"/>
        <n x="666"/>
      </t>
    </mdx>
    <mdx n="0" f="v">
      <t c="6" si="614">
        <n x="610"/>
        <n x="315"/>
        <n x="316"/>
        <n x="611" s="1"/>
        <n x="655"/>
        <n x="656"/>
      </t>
    </mdx>
    <mdx n="0" f="v">
      <t c="6" si="614">
        <n x="610"/>
        <n x="311"/>
        <n x="312"/>
        <n x="611" s="1"/>
        <n x="657"/>
        <n x="664"/>
      </t>
    </mdx>
    <mdx n="0" f="v">
      <t c="6" si="614">
        <n x="610"/>
        <n x="309"/>
        <n x="310"/>
        <n x="611" s="1"/>
        <n x="657"/>
        <n x="658"/>
      </t>
    </mdx>
    <mdx n="0" f="v">
      <t c="6" si="614">
        <n x="610"/>
        <n x="297"/>
        <n x="304"/>
        <n x="611" s="1"/>
        <n x="635"/>
        <n x="628"/>
      </t>
    </mdx>
    <mdx n="0" f="v">
      <t c="6" si="614">
        <n x="610"/>
        <n x="297"/>
        <n x="304"/>
        <n x="611" s="1"/>
        <n x="643"/>
        <n x="644"/>
      </t>
    </mdx>
    <mdx n="0" f="v">
      <t c="6" si="614">
        <n x="610"/>
        <n x="297"/>
        <n x="304"/>
        <n x="611" s="1"/>
        <n x="643"/>
        <n x="644"/>
      </t>
    </mdx>
    <mdx n="0" f="v">
      <t c="6" si="614">
        <n x="610"/>
        <n x="301"/>
        <n x="302"/>
        <n x="611" s="1"/>
        <n x="701"/>
        <n x="702"/>
      </t>
    </mdx>
    <mdx n="0" f="v">
      <t c="6" si="614">
        <n x="610"/>
        <n x="295"/>
        <n x="296"/>
        <n x="611" s="1"/>
        <n x="695"/>
        <n x="696"/>
      </t>
    </mdx>
    <mdx n="0" f="v">
      <t c="6" si="614">
        <n x="610"/>
        <n x="301"/>
        <n x="312"/>
        <n x="611" s="1"/>
        <n x="615"/>
        <n x="616"/>
      </t>
    </mdx>
    <mdx n="0" f="v">
      <t c="6" si="614">
        <n x="610"/>
        <n x="297"/>
        <n x="298"/>
        <n x="611" s="1"/>
        <n x="627"/>
        <n x="628"/>
      </t>
    </mdx>
    <mdx n="0" f="v">
      <t c="6" si="614">
        <n x="610"/>
        <n x="309"/>
        <n x="310"/>
        <n x="611" s="1"/>
        <n x="685"/>
        <n x="686"/>
      </t>
    </mdx>
    <mdx n="0" f="v">
      <t c="6" si="614">
        <n x="610"/>
        <n x="293"/>
        <n x="294"/>
        <n x="611" s="1"/>
        <n x="639"/>
        <n x="640"/>
      </t>
    </mdx>
    <mdx n="0" f="v">
      <t c="6" si="614">
        <n x="202"/>
        <n x="297"/>
        <n x="294"/>
        <n x="611" s="1"/>
        <n x="639"/>
        <n x="644"/>
      </t>
    </mdx>
    <mdx n="0" f="v">
      <t c="6" si="614">
        <n x="610"/>
        <n x="293"/>
        <n x="294"/>
        <n x="611" s="1"/>
        <n x="615"/>
        <n x="616"/>
      </t>
    </mdx>
    <mdx n="0" f="v">
      <t c="6" si="614">
        <n x="610"/>
        <n x="303"/>
        <n x="304"/>
        <n x="611" s="1"/>
        <n x="625"/>
        <n x="626"/>
      </t>
    </mdx>
    <mdx n="0" f="v">
      <t c="6" si="614">
        <n x="202"/>
        <n x="291"/>
        <n x="292"/>
        <n x="611" s="1"/>
        <n x="669"/>
        <n x="634"/>
      </t>
    </mdx>
    <mdx n="0" f="v">
      <t c="6" si="614">
        <n x="610"/>
        <n x="289"/>
        <n x="290"/>
        <n x="611" s="1"/>
        <n x="669"/>
        <n x="670"/>
      </t>
    </mdx>
    <mdx n="0" f="v">
      <t c="6" si="614">
        <n x="610"/>
        <n x="289"/>
        <n x="290"/>
        <n x="611" s="1"/>
        <n x="691"/>
        <n x="682"/>
      </t>
    </mdx>
    <mdx n="0" f="v">
      <t c="6" si="614">
        <n x="610"/>
        <n x="289"/>
        <n x="296"/>
        <n x="611" s="1"/>
        <n x="671"/>
        <n x="692"/>
      </t>
    </mdx>
    <mdx n="0" f="v">
      <t c="6" si="614">
        <n x="610"/>
        <n x="289"/>
        <n x="296"/>
        <n x="611" s="1"/>
        <n x="671"/>
        <n x="672"/>
      </t>
    </mdx>
    <mdx n="0" f="v">
      <t c="6" si="614">
        <n x="610"/>
        <n x="289"/>
        <n x="290"/>
        <n x="611" s="1"/>
        <n x="687"/>
        <n x="672"/>
      </t>
    </mdx>
    <mdx n="0" f="v">
      <t c="6" si="614">
        <n x="610"/>
        <n x="289"/>
        <n x="290"/>
        <n x="611" s="1"/>
        <n x="675"/>
        <n x="650"/>
      </t>
    </mdx>
    <mdx n="0" f="v">
      <t c="6" si="614">
        <n x="610"/>
        <n x="289"/>
        <n x="290"/>
        <n x="611" s="1"/>
        <n x="701"/>
        <n x="702"/>
      </t>
    </mdx>
    <mdx n="0" f="v">
      <t c="6" si="614">
        <n x="610"/>
        <n x="289"/>
        <n x="290"/>
        <n x="611" s="1"/>
        <n x="627"/>
        <n x="628"/>
      </t>
    </mdx>
    <mdx n="0" f="v">
      <t c="6" si="614">
        <n x="610"/>
        <n x="289"/>
        <n x="306"/>
        <n x="611" s="1"/>
        <n x="679"/>
        <n x="680"/>
      </t>
    </mdx>
    <mdx n="0" f="v">
      <t c="6" si="614">
        <n x="610"/>
        <n x="287"/>
        <n x="320"/>
        <n x="611" s="1"/>
        <n x="699"/>
        <n x="700"/>
      </t>
    </mdx>
    <mdx n="0" f="v">
      <t c="6" si="614">
        <n x="610"/>
        <n x="305"/>
        <n x="302"/>
        <n x="611" s="1"/>
        <n x="657"/>
        <n x="658"/>
      </t>
    </mdx>
    <mdx n="0" f="v">
      <t c="6" si="614">
        <n x="610"/>
        <n x="305"/>
        <n x="306"/>
        <n x="611" s="1"/>
        <n x="651"/>
        <n x="652"/>
      </t>
    </mdx>
    <mdx n="0" f="v">
      <t c="6" si="614">
        <n x="610"/>
        <n x="301"/>
        <n x="302"/>
        <n x="611" s="1"/>
        <n x="669"/>
        <n x="670"/>
      </t>
    </mdx>
    <mdx n="0" f="v">
      <t c="6" si="614">
        <n x="610"/>
        <n x="289"/>
        <n x="290"/>
        <n x="611" s="1"/>
        <n x="659"/>
        <n x="636"/>
      </t>
    </mdx>
    <mdx n="0" f="v">
      <t c="6" si="614">
        <n x="610"/>
        <n x="313"/>
        <n x="314"/>
        <n x="611" s="1"/>
        <n x="661"/>
        <n x="662"/>
      </t>
    </mdx>
    <mdx n="0" f="v">
      <t c="6" si="614">
        <n x="610"/>
        <n x="287"/>
        <n x="314"/>
        <n x="611" s="1"/>
        <n x="661"/>
        <n x="662"/>
      </t>
    </mdx>
    <mdx n="0" f="v">
      <t c="6" si="614">
        <n x="610"/>
        <n x="287"/>
        <n x="310"/>
        <n x="611" s="1"/>
        <n x="635"/>
        <n x="636"/>
      </t>
    </mdx>
    <mdx n="0" f="v">
      <t c="6" si="614">
        <n x="610"/>
        <n x="285"/>
        <n x="286"/>
        <n x="611" s="1"/>
        <n x="701"/>
        <n x="702"/>
      </t>
    </mdx>
    <mdx n="0" f="v">
      <t c="6" si="614">
        <n x="610"/>
        <n x="285"/>
        <n x="286"/>
        <n x="611" s="1"/>
        <n x="612"/>
        <n x="613"/>
      </t>
    </mdx>
    <mdx n="0" f="v">
      <t c="6" si="614">
        <n x="610"/>
        <n x="285"/>
        <n x="296"/>
        <n x="611" s="1"/>
        <n x="687"/>
        <n x="688"/>
      </t>
    </mdx>
    <mdx n="0" f="v">
      <t c="6" si="614">
        <n x="610"/>
        <n x="307"/>
        <n x="308"/>
        <n x="611" s="1"/>
        <n x="627"/>
        <n x="644"/>
      </t>
    </mdx>
    <mdx n="0" f="v">
      <t c="6" si="614">
        <n x="610"/>
        <n x="307"/>
        <n x="296"/>
        <n x="611" s="1"/>
        <n x="619"/>
        <n x="632"/>
      </t>
    </mdx>
    <mdx n="0" f="v">
      <t c="6" si="614">
        <n x="610"/>
        <n x="307"/>
        <n x="308"/>
        <n x="611" s="1"/>
        <n x="655"/>
        <n x="620"/>
      </t>
    </mdx>
    <mdx n="0" f="v">
      <t c="6" si="614">
        <n x="610"/>
        <n x="285"/>
        <n x="308"/>
        <n x="611" s="1"/>
        <n x="655"/>
        <n x="662"/>
      </t>
    </mdx>
    <mdx n="0" f="v">
      <t c="6" si="614">
        <n x="610"/>
        <n x="285"/>
        <n x="286"/>
        <n x="611" s="1"/>
        <n x="623"/>
        <n x="624"/>
      </t>
    </mdx>
    <mdx n="0" f="v">
      <t c="6" si="614">
        <n x="610"/>
        <n x="283"/>
        <n x="310"/>
        <n x="611" s="1"/>
        <n x="707"/>
        <n x="708"/>
      </t>
    </mdx>
    <mdx n="0" f="v">
      <t c="6" si="614">
        <n x="610"/>
        <n x="283"/>
        <n x="284"/>
        <n x="611" s="1"/>
        <n x="707"/>
        <n x="708"/>
      </t>
    </mdx>
    <mdx n="0" f="v">
      <t c="6" si="614">
        <n x="610"/>
        <n x="283"/>
        <n x="284"/>
        <n x="611" s="1"/>
        <n x="623"/>
        <n x="624"/>
      </t>
    </mdx>
    <mdx n="0" f="v">
      <t c="6" si="614">
        <n x="610"/>
        <n x="301"/>
        <n x="284"/>
        <n x="611" s="1"/>
        <n x="623"/>
        <n x="624"/>
      </t>
    </mdx>
    <mdx n="0" f="v">
      <t c="6" si="614">
        <n x="610"/>
        <n x="309"/>
        <n x="302"/>
        <n x="611" s="1"/>
        <n x="689"/>
        <n x="690"/>
      </t>
    </mdx>
    <mdx n="0" f="v">
      <t c="6" si="614">
        <n x="610"/>
        <n x="283"/>
        <n x="284"/>
        <n x="611" s="1"/>
        <n x="643"/>
        <n x="644"/>
      </t>
    </mdx>
    <mdx n="0" f="v">
      <t c="6" si="614">
        <n x="610"/>
        <n x="283"/>
        <n x="302"/>
        <n x="611" s="1"/>
        <n x="629"/>
        <n x="636"/>
      </t>
    </mdx>
    <mdx n="0" f="v">
      <t c="6" si="614">
        <n x="610"/>
        <n x="283"/>
        <n x="302"/>
        <n x="611" s="1"/>
        <n x="629"/>
        <n x="636"/>
      </t>
    </mdx>
    <mdx n="0" f="v">
      <t c="6" si="614">
        <n x="610"/>
        <n x="295"/>
        <n x="284"/>
        <n x="611" s="1"/>
        <n x="625"/>
        <n x="630"/>
      </t>
    </mdx>
    <mdx n="0" f="v">
      <t c="6" si="614">
        <n x="610"/>
        <n x="311"/>
        <n x="312"/>
        <n x="611" s="1"/>
        <n x="619"/>
        <n x="676"/>
      </t>
    </mdx>
    <mdx n="0" f="v">
      <t c="6" si="614">
        <n x="610"/>
        <n x="311"/>
        <n x="312"/>
        <n x="611" s="1"/>
        <n x="627"/>
        <n x="620"/>
      </t>
    </mdx>
    <mdx n="0" f="v">
      <t c="6" si="614">
        <n x="610"/>
        <n x="279"/>
        <n x="280"/>
        <n x="611" s="1"/>
        <n x="689"/>
        <n x="658"/>
      </t>
    </mdx>
    <mdx n="0" f="v">
      <t c="6" si="614">
        <n x="610"/>
        <n x="279"/>
        <n x="280"/>
        <n x="611" s="1"/>
        <n x="689"/>
        <n x="658"/>
      </t>
    </mdx>
    <mdx n="0" f="v">
      <t c="6" si="614">
        <n x="610"/>
        <n x="305"/>
        <n x="306"/>
        <n x="611" s="1"/>
        <n x="689"/>
        <n x="642"/>
      </t>
    </mdx>
    <mdx n="0" f="v">
      <t c="6" si="614">
        <n x="610"/>
        <n x="279"/>
        <n x="280"/>
        <n x="611" s="1"/>
        <n x="691"/>
        <n x="692"/>
      </t>
    </mdx>
    <mdx n="0" f="v">
      <t c="6" si="614">
        <n x="610"/>
        <n x="279"/>
        <n x="280"/>
        <n x="611" s="1"/>
        <n x="669"/>
        <n x="670"/>
      </t>
    </mdx>
    <mdx n="0" f="v">
      <t c="6" si="614">
        <n x="610"/>
        <n x="303"/>
        <n x="294"/>
        <n x="611" s="1"/>
        <n x="673"/>
        <n x="674"/>
      </t>
    </mdx>
    <mdx n="0" f="v">
      <t c="6" si="614">
        <n x="610"/>
        <n x="293"/>
        <n x="304"/>
        <n x="611" s="1"/>
        <n x="649"/>
        <n x="650"/>
      </t>
    </mdx>
    <mdx n="0" f="v">
      <t c="6" si="614">
        <n x="610"/>
        <n x="293"/>
        <n x="280"/>
        <n x="611" s="1"/>
        <n x="635"/>
        <n x="636"/>
      </t>
    </mdx>
    <mdx n="0" f="v">
      <t c="6" si="614">
        <n x="610"/>
        <n x="293"/>
        <n x="294"/>
        <n x="611" s="1"/>
        <n x="635"/>
        <n x="636"/>
      </t>
    </mdx>
    <mdx n="0" f="v">
      <t c="6" si="614">
        <n x="610"/>
        <n x="303"/>
        <n x="304"/>
        <n x="611" s="1"/>
        <n x="619"/>
        <n x="620"/>
      </t>
    </mdx>
    <mdx n="0" f="v">
      <t c="6" si="614">
        <n x="610"/>
        <n x="293"/>
        <n x="294"/>
        <n x="611" s="1"/>
        <n x="699"/>
        <n x="700"/>
      </t>
    </mdx>
    <mdx n="0" f="v">
      <t c="6" si="614">
        <n x="610"/>
        <n x="307"/>
        <n x="302"/>
        <n x="611" s="1"/>
        <n x="667"/>
        <n x="700"/>
      </t>
    </mdx>
    <mdx n="0" f="v">
      <t c="6" si="614">
        <n x="610"/>
        <n x="277"/>
        <n x="278"/>
        <n x="611" s="1"/>
        <n x="667"/>
        <n x="700"/>
      </t>
    </mdx>
    <mdx n="0" f="v">
      <t c="6" si="614">
        <n x="610"/>
        <n x="301"/>
        <n x="302"/>
        <n x="611" s="1"/>
        <n x="619"/>
        <n x="620"/>
      </t>
    </mdx>
    <mdx n="0" f="v">
      <t c="6" si="614">
        <n x="610"/>
        <n x="287"/>
        <n x="276"/>
        <n x="611" s="1"/>
        <n x="657"/>
        <n x="658"/>
      </t>
    </mdx>
    <mdx n="0" f="v">
      <t c="6" si="614">
        <n x="610"/>
        <n x="287"/>
        <n x="288"/>
        <n x="611" s="1"/>
        <n x="675"/>
        <n x="684"/>
      </t>
    </mdx>
    <mdx n="0" f="v">
      <t c="6" si="614">
        <n x="610"/>
        <n x="303"/>
        <n x="294"/>
        <n x="611" s="1"/>
        <n x="697"/>
        <n x="698"/>
      </t>
    </mdx>
    <mdx n="0" f="v">
      <t c="6" si="614">
        <n x="610"/>
        <n x="295"/>
        <n x="294"/>
        <n x="611" s="1"/>
        <n x="633"/>
        <n x="634"/>
      </t>
    </mdx>
    <mdx n="0" f="v">
      <t c="6" si="614">
        <n x="610"/>
        <n x="299"/>
        <n x="300"/>
        <n x="611" s="1"/>
        <n x="635"/>
        <n x="686"/>
      </t>
    </mdx>
    <mdx n="0" f="v">
      <t c="6" si="614">
        <n x="610"/>
        <n x="301"/>
        <n x="302"/>
        <n x="611" s="1"/>
        <n x="643"/>
        <n x="690"/>
      </t>
    </mdx>
    <mdx n="0" f="v">
      <t c="6" si="614">
        <n x="610"/>
        <n x="305"/>
        <n x="306"/>
        <n x="611" s="1"/>
        <n x="687"/>
        <n x="668"/>
      </t>
    </mdx>
    <mdx n="0" f="v">
      <t c="6" si="614">
        <n x="610"/>
        <n x="307"/>
        <n x="308"/>
        <n x="611" s="1"/>
        <n x="703"/>
        <n x="688"/>
      </t>
    </mdx>
    <mdx n="0" f="v">
      <t c="6" si="614">
        <n x="610"/>
        <n x="307"/>
        <n x="300"/>
        <n x="611" s="1"/>
        <n x="661"/>
        <n x="704"/>
      </t>
    </mdx>
    <mdx n="0" f="v">
      <t c="6" si="614">
        <n x="610"/>
        <n x="307"/>
        <n x="300"/>
        <n x="611" s="1"/>
        <n x="691"/>
        <n x="662"/>
      </t>
    </mdx>
    <mdx n="0" f="v">
      <t c="6" si="614">
        <n x="610"/>
        <n x="307"/>
        <n x="300"/>
        <n x="611" s="1"/>
        <n x="691"/>
        <n x="692"/>
      </t>
    </mdx>
    <mdx n="0" f="v">
      <t c="6" si="614">
        <n x="610"/>
        <n x="307"/>
        <n x="300"/>
        <n x="611" s="1"/>
        <n x="661"/>
        <n x="662"/>
      </t>
    </mdx>
    <mdx n="0" f="v">
      <t c="6" si="614">
        <n x="610"/>
        <n x="307"/>
        <n x="308"/>
        <n x="611" s="1"/>
        <n x="641"/>
        <n x="622"/>
      </t>
    </mdx>
    <mdx n="0" f="v">
      <t c="6" si="614">
        <n x="610"/>
        <n x="303"/>
        <n x="304"/>
        <n x="611" s="1"/>
        <n x="657"/>
        <n x="642"/>
      </t>
    </mdx>
    <mdx n="0" f="v">
      <t c="6" si="614">
        <n x="610"/>
        <n x="299"/>
        <n x="300"/>
        <n x="611" s="1"/>
        <n x="625"/>
        <n x="626"/>
      </t>
    </mdx>
    <mdx n="0" f="v">
      <t c="6" si="614">
        <n x="610"/>
        <n x="301"/>
        <n x="306"/>
        <n x="611" s="1"/>
        <n x="657"/>
        <n x="658"/>
      </t>
    </mdx>
    <mdx n="0" f="v">
      <t c="6" si="614">
        <n x="610"/>
        <n x="303"/>
        <n x="304"/>
        <n x="611" s="1"/>
        <n x="615"/>
        <n x="700"/>
      </t>
    </mdx>
    <mdx n="0" f="v">
      <t c="6" si="614">
        <n x="610"/>
        <n x="291"/>
        <n x="292"/>
        <n x="611" s="1"/>
        <n x="643"/>
        <n x="644"/>
      </t>
    </mdx>
    <mdx n="0" f="v">
      <t c="6" si="614">
        <n x="610"/>
        <n x="295"/>
        <n x="296"/>
        <n x="611" s="1"/>
        <n x="675"/>
        <n x="676"/>
      </t>
    </mdx>
    <mdx n="0" f="v">
      <t c="6" si="614">
        <n x="610"/>
        <n x="301"/>
        <n x="302"/>
        <n x="611" s="1"/>
        <n x="703"/>
        <n x="704"/>
      </t>
    </mdx>
    <mdx n="0" f="v">
      <t c="6" si="614">
        <n x="610"/>
        <n x="291"/>
        <n x="300"/>
        <n x="611" s="1"/>
        <n x="683"/>
        <n x="684"/>
      </t>
    </mdx>
    <mdx n="0" f="v">
      <t c="6" si="614">
        <n x="610"/>
        <n x="291"/>
        <n x="300"/>
        <n x="611" s="1"/>
        <n x="671"/>
        <n x="672"/>
      </t>
    </mdx>
    <mdx n="0" f="v">
      <t c="6" si="614">
        <n x="610"/>
        <n x="289"/>
        <n x="290"/>
        <n x="611" s="1"/>
        <n x="653"/>
        <n x="654"/>
      </t>
    </mdx>
    <mdx n="0" f="v">
      <t c="6" si="614">
        <n x="610"/>
        <n x="289"/>
        <n x="290"/>
        <n x="611" s="1"/>
        <n x="693"/>
        <n x="694"/>
      </t>
    </mdx>
    <mdx n="0" f="v">
      <t c="6" si="614">
        <n x="610"/>
        <n x="289"/>
        <n x="290"/>
        <n x="611" s="1"/>
        <n x="657"/>
        <n x="658"/>
      </t>
    </mdx>
    <mdx n="0" f="v">
      <t c="6" si="614">
        <n x="610"/>
        <n x="289"/>
        <n x="290"/>
        <n x="611" s="1"/>
        <n x="669"/>
        <n x="680"/>
      </t>
    </mdx>
    <mdx n="0" f="v">
      <t c="6" si="614">
        <n x="610"/>
        <n x="295"/>
        <n x="296"/>
        <n x="611" s="1"/>
        <n x="671"/>
        <n x="708"/>
      </t>
    </mdx>
    <mdx n="0" f="v">
      <t c="6" si="614">
        <n x="610"/>
        <n x="293"/>
        <n x="286"/>
        <n x="611" s="1"/>
        <n x="645"/>
        <n x="646"/>
      </t>
    </mdx>
    <mdx n="0" f="v">
      <t c="6" si="614">
        <n x="610"/>
        <n x="293"/>
        <n x="294"/>
        <n x="611" s="1"/>
        <n x="645"/>
        <n x="646"/>
      </t>
    </mdx>
    <mdx n="0" f="v">
      <t c="6" si="614">
        <n x="610"/>
        <n x="283"/>
        <n x="284"/>
        <n x="611" s="1"/>
        <n x="653"/>
        <n x="654"/>
      </t>
    </mdx>
    <mdx n="0" f="v">
      <t c="6" si="614">
        <n x="610"/>
        <n x="285"/>
        <n x="286"/>
        <n x="611" s="1"/>
        <n x="657"/>
        <n x="628"/>
      </t>
    </mdx>
    <mdx n="0" f="v">
      <t c="6" si="614">
        <n x="610"/>
        <n x="303"/>
        <n x="304"/>
        <n x="611" s="1"/>
        <n x="651"/>
        <n x="652"/>
      </t>
    </mdx>
    <mdx n="0" f="v">
      <t c="6" si="614">
        <n x="610"/>
        <n x="277"/>
        <n x="278"/>
        <n x="611" s="1"/>
        <n x="649"/>
        <n x="682"/>
      </t>
    </mdx>
    <mdx n="0" f="v">
      <t c="6" si="614">
        <n x="610"/>
        <n x="277"/>
        <n x="278"/>
        <n x="611" s="1"/>
        <n x="621"/>
        <n x="650"/>
      </t>
    </mdx>
    <mdx n="0" f="v">
      <t c="6" si="614">
        <n x="610"/>
        <n x="275"/>
        <n x="276"/>
        <n x="611" s="1"/>
        <n x="647"/>
        <n x="648"/>
      </t>
    </mdx>
    <mdx n="0" f="v">
      <t c="6" si="614">
        <n x="610"/>
        <n x="275"/>
        <n x="276"/>
        <n x="611" s="1"/>
        <n x="629"/>
        <n x="648"/>
      </t>
    </mdx>
    <mdx n="0" f="v">
      <t c="6" si="614">
        <n x="610"/>
        <n x="275"/>
        <n x="276"/>
        <n x="611" s="1"/>
        <n x="633"/>
        <n x="634"/>
      </t>
    </mdx>
    <mdx n="0" f="v">
      <t c="6" si="614">
        <n x="610"/>
        <n x="275"/>
        <n x="276"/>
        <n x="611" s="1"/>
        <n x="621"/>
        <n x="622"/>
      </t>
    </mdx>
    <mdx n="0" f="v">
      <t c="6" si="614">
        <n x="610"/>
        <n x="275"/>
        <n x="276"/>
        <n x="611" s="1"/>
        <n x="651"/>
        <n x="622"/>
      </t>
    </mdx>
    <mdx n="0" f="v">
      <t c="6" si="614">
        <n x="610"/>
        <n x="291"/>
        <n x="274"/>
        <n x="611" s="1"/>
        <n x="675"/>
        <n x="676"/>
      </t>
    </mdx>
    <mdx n="0" f="v">
      <t c="6" si="614">
        <n x="610"/>
        <n x="291"/>
        <n x="274"/>
        <n x="611" s="1"/>
        <n x="669"/>
        <n x="670"/>
      </t>
    </mdx>
    <mdx n="0" f="v">
      <t c="6" si="614">
        <n x="610"/>
        <n x="273"/>
        <n x="306"/>
        <n x="611" s="1"/>
        <n x="635"/>
        <n x="636"/>
      </t>
    </mdx>
    <mdx n="0" f="v">
      <t c="6" si="614">
        <n x="610"/>
        <n x="291"/>
        <n x="292"/>
        <n x="611" s="1"/>
        <n x="635"/>
        <n x="636"/>
      </t>
    </mdx>
    <mdx n="0" f="v">
      <t c="6" si="614">
        <n x="610"/>
        <n x="291"/>
        <n x="292"/>
        <n x="611" s="1"/>
        <n x="627"/>
        <n x="628"/>
      </t>
    </mdx>
    <mdx n="0" f="v">
      <t c="6" si="614">
        <n x="610"/>
        <n x="285"/>
        <n x="286"/>
        <n x="611" s="1"/>
        <n x="651"/>
        <n x="652"/>
      </t>
    </mdx>
    <mdx n="0" f="v">
      <t c="6" si="614">
        <n x="610"/>
        <n x="289"/>
        <n x="290"/>
        <n x="611" s="1"/>
        <n x="673"/>
        <n x="674"/>
      </t>
    </mdx>
    <mdx n="0" f="v">
      <t c="6" si="614">
        <n x="610"/>
        <n x="285"/>
        <n x="286"/>
        <n x="611" s="1"/>
        <n x="657"/>
        <n x="658"/>
      </t>
    </mdx>
    <mdx n="0" f="v">
      <t c="6" si="614">
        <n x="610"/>
        <n x="289"/>
        <n x="290"/>
        <n x="611" s="1"/>
        <n x="657"/>
        <n x="658"/>
      </t>
    </mdx>
    <mdx n="0" f="v">
      <t c="6" si="614">
        <n x="610"/>
        <n x="283"/>
        <n x="284"/>
        <n x="611" s="1"/>
        <n x="689"/>
        <n x="613"/>
      </t>
    </mdx>
    <mdx n="0" f="v">
      <t c="6" si="614">
        <n x="610"/>
        <n x="289"/>
        <n x="290"/>
        <n x="611" s="1"/>
        <n x="635"/>
        <n x="636"/>
      </t>
    </mdx>
    <mdx n="0" f="v">
      <t c="6" si="614">
        <n x="610"/>
        <n x="271"/>
        <n x="272"/>
        <n x="611" s="1"/>
        <n x="635"/>
        <n x="636"/>
      </t>
    </mdx>
    <mdx n="0" f="v">
      <t c="6" si="614">
        <n x="610"/>
        <n x="271"/>
        <n x="272"/>
        <n x="611" s="1"/>
        <n x="625"/>
        <n x="626"/>
      </t>
    </mdx>
    <mdx n="0" f="v">
      <t c="6" si="614">
        <n x="610"/>
        <n x="287"/>
        <n x="288"/>
        <n x="611" s="1"/>
        <n x="659"/>
        <n x="662"/>
      </t>
    </mdx>
    <mdx n="0" f="v">
      <t c="6" si="614">
        <n x="610"/>
        <n x="269"/>
        <n x="270"/>
        <n x="611" s="1"/>
        <n x="679"/>
        <n x="680"/>
      </t>
    </mdx>
    <mdx n="0" f="v">
      <t c="6" si="614">
        <n x="610"/>
        <n x="303"/>
        <n x="304"/>
        <n x="611" s="1"/>
        <n x="679"/>
        <n x="680"/>
      </t>
    </mdx>
    <mdx n="0" f="v">
      <t c="6" si="614">
        <n x="610"/>
        <n x="269"/>
        <n x="288"/>
        <n x="611" s="1"/>
        <n x="647"/>
        <n x="648"/>
      </t>
    </mdx>
    <mdx n="0" f="v">
      <t c="6" si="614">
        <n x="610"/>
        <n x="297"/>
        <n x="270"/>
        <n x="611" s="1"/>
        <n x="657"/>
        <n x="658"/>
      </t>
    </mdx>
    <mdx n="0" f="v">
      <t c="6" si="614">
        <n x="610"/>
        <n x="301"/>
        <n x="302"/>
        <n x="611" s="1"/>
        <n x="633"/>
        <n x="634"/>
      </t>
    </mdx>
    <mdx n="0" f="v">
      <t c="6" si="614">
        <n x="610"/>
        <n x="283"/>
        <n x="284"/>
        <n x="611" s="1"/>
        <n x="612"/>
        <n x="613"/>
      </t>
    </mdx>
    <mdx n="0" f="v">
      <t c="6" si="614">
        <n x="610"/>
        <n x="283"/>
        <n x="284"/>
        <n x="611" s="1"/>
        <n x="629"/>
        <n x="630"/>
      </t>
    </mdx>
    <mdx n="0" f="v">
      <t c="6" si="614">
        <n x="610"/>
        <n x="305"/>
        <n x="306"/>
        <n x="611" s="1"/>
        <n x="635"/>
        <n x="636"/>
      </t>
    </mdx>
    <mdx n="0" f="v">
      <t c="6" si="614">
        <n x="610"/>
        <n x="305"/>
        <n x="306"/>
        <n x="611" s="1"/>
        <n x="635"/>
        <n x="670"/>
      </t>
    </mdx>
    <mdx n="0" f="v">
      <t c="6" si="614">
        <n x="610"/>
        <n x="305"/>
        <n x="306"/>
        <n x="611" s="1"/>
        <n x="669"/>
        <n x="670"/>
      </t>
    </mdx>
    <mdx n="0" f="v">
      <t c="6" si="614">
        <n x="610"/>
        <n x="297"/>
        <n x="268"/>
        <n x="611" s="1"/>
        <n x="627"/>
        <n x="628"/>
      </t>
    </mdx>
    <mdx n="0" f="v">
      <t c="6" si="614">
        <n x="610"/>
        <n x="297"/>
        <n x="298"/>
        <n x="611" s="1"/>
        <n x="651"/>
        <n x="652"/>
      </t>
    </mdx>
    <mdx n="0" f="v">
      <t c="6" si="614">
        <n x="610"/>
        <n x="297"/>
        <n x="298"/>
        <n x="611" s="1"/>
        <n x="651"/>
        <n x="616"/>
      </t>
    </mdx>
    <mdx n="0" f="v">
      <t c="6" si="614">
        <n x="610"/>
        <n x="297"/>
        <n x="298"/>
        <n x="611" s="1"/>
        <n x="651"/>
        <n x="616"/>
      </t>
    </mdx>
    <mdx n="0" f="v">
      <t c="6" si="614">
        <n x="610"/>
        <n x="295"/>
        <n x="296"/>
        <n x="611" s="1"/>
        <n x="679"/>
        <n x="666"/>
      </t>
    </mdx>
    <mdx n="0" f="v">
      <t c="6" si="614">
        <n x="610"/>
        <n x="267"/>
        <n x="268"/>
        <n x="611" s="1"/>
        <n x="623"/>
        <n x="624"/>
      </t>
    </mdx>
    <mdx n="0" f="v">
      <t c="6" si="614">
        <n x="610"/>
        <n x="289"/>
        <n x="266"/>
        <n x="611" s="1"/>
        <n x="685"/>
        <n x="684"/>
      </t>
    </mdx>
    <mdx n="0" f="v">
      <t c="6" si="614">
        <n x="202"/>
        <n x="289"/>
        <n x="288"/>
        <n x="611" s="1"/>
        <n x="621"/>
        <n x="622"/>
      </t>
    </mdx>
    <mdx n="0" f="v">
      <t c="6" si="614">
        <n x="610"/>
        <n x="287"/>
        <n x="288"/>
        <n x="611" s="1"/>
        <n x="669"/>
        <n x="670"/>
      </t>
    </mdx>
    <mdx n="0" f="v">
      <t c="6" si="614">
        <n x="610"/>
        <n x="263"/>
        <n x="286"/>
        <n x="611" s="1"/>
        <n x="689"/>
        <n x="620"/>
      </t>
    </mdx>
    <mdx n="0" f="v">
      <t c="6" si="614">
        <n x="610"/>
        <n x="263"/>
        <n x="264"/>
        <n x="611" s="1"/>
        <n x="687"/>
        <n x="688"/>
      </t>
    </mdx>
    <mdx n="0" f="v">
      <t c="6" si="614">
        <n x="610"/>
        <n x="285"/>
        <n x="286"/>
        <n x="611" s="1"/>
        <n x="687"/>
        <n x="688"/>
      </t>
    </mdx>
    <mdx n="0" f="v">
      <t c="6" si="614">
        <n x="610"/>
        <n x="263"/>
        <n x="286"/>
        <n x="611" s="1"/>
        <n x="665"/>
        <n x="666"/>
      </t>
    </mdx>
    <mdx n="0" f="v">
      <t c="6" si="614">
        <n x="610"/>
        <n x="285"/>
        <n x="296"/>
        <n x="611" s="1"/>
        <n x="647"/>
        <n x="648"/>
      </t>
    </mdx>
    <mdx n="0" f="v">
      <t c="6" si="614">
        <n x="610"/>
        <n x="285"/>
        <n x="286"/>
        <n x="611" s="1"/>
        <n x="645"/>
        <n x="646"/>
      </t>
    </mdx>
    <mdx n="0" f="v">
      <t c="6" si="614">
        <n x="610"/>
        <n x="283"/>
        <n x="284"/>
        <n x="611" s="1"/>
        <n x="633"/>
        <n x="634"/>
      </t>
    </mdx>
    <mdx n="0" f="v">
      <t c="6" si="614">
        <n x="610"/>
        <n x="281"/>
        <n x="282"/>
        <n x="611" s="1"/>
        <n x="659"/>
        <n x="660"/>
      </t>
    </mdx>
    <mdx n="0" f="v">
      <t c="6" si="614">
        <n x="610"/>
        <n x="281"/>
        <n x="282"/>
        <n x="611" s="1"/>
        <n x="681"/>
        <n x="646"/>
      </t>
    </mdx>
    <mdx n="0" f="v">
      <t c="6" si="614">
        <n x="610"/>
        <n x="285"/>
        <n x="290"/>
        <n x="611" s="1"/>
        <n x="635"/>
        <n x="636"/>
      </t>
    </mdx>
    <mdx n="0" f="v">
      <t c="6" si="614">
        <n x="610"/>
        <n x="285"/>
        <n x="286"/>
        <n x="611" s="1"/>
        <n x="635"/>
        <n x="682"/>
      </t>
    </mdx>
    <mdx n="0" f="v">
      <t c="6" si="614">
        <n x="610"/>
        <n x="261"/>
        <n x="262"/>
        <n x="611" s="1"/>
        <n x="619"/>
        <n x="670"/>
      </t>
    </mdx>
    <mdx n="0" f="v">
      <t c="6" si="614">
        <n x="610"/>
        <n x="279"/>
        <n x="260"/>
        <n x="611" s="1"/>
        <n x="665"/>
        <n x="666"/>
      </t>
    </mdx>
    <mdx n="0" f="v">
      <t c="6" si="614">
        <n x="610"/>
        <n x="259"/>
        <n x="260"/>
        <n x="611" s="1"/>
        <n x="631"/>
        <n x="632"/>
      </t>
    </mdx>
    <mdx n="0" f="v">
      <t c="6" si="614">
        <n x="610"/>
        <n x="285"/>
        <n x="286"/>
        <n x="611" s="1"/>
        <n x="641"/>
        <n x="688"/>
      </t>
    </mdx>
    <mdx n="0" f="v">
      <t c="6" si="614">
        <n x="610"/>
        <n x="299"/>
        <n x="292"/>
        <n x="611" s="1"/>
        <n x="697"/>
        <n x="650"/>
      </t>
    </mdx>
    <mdx n="0" f="v">
      <t c="6" si="614">
        <n x="610"/>
        <n x="277"/>
        <n x="292"/>
        <n x="611" s="1"/>
        <n x="617"/>
        <n x="618"/>
      </t>
    </mdx>
    <mdx n="0" f="v">
      <t c="6" si="614">
        <n x="610"/>
        <n x="283"/>
        <n x="284"/>
        <n x="611" s="1"/>
        <n x="635"/>
        <n x="696"/>
      </t>
    </mdx>
    <mdx n="0" f="v">
      <t c="6" si="614">
        <n x="610"/>
        <n x="277"/>
        <n x="260"/>
        <n x="611" s="1"/>
        <n x="617"/>
        <n x="618"/>
      </t>
    </mdx>
    <mdx n="0" f="v">
      <t c="6" si="614">
        <n x="610"/>
        <n x="301"/>
        <n x="302"/>
        <n x="611" s="1"/>
        <n x="625"/>
        <n x="626"/>
      </t>
    </mdx>
    <mdx n="0" f="v">
      <t c="6" si="614">
        <n x="610"/>
        <n x="257"/>
        <n x="258"/>
        <n x="611" s="1"/>
        <n x="639"/>
        <n x="626"/>
      </t>
    </mdx>
    <mdx n="0" f="v">
      <t c="6" si="614">
        <n x="610"/>
        <n x="257"/>
        <n x="258"/>
        <n x="611" s="1"/>
        <n x="657"/>
        <n x="658"/>
      </t>
    </mdx>
    <mdx n="0" f="v">
      <t c="6" si="614">
        <n x="610"/>
        <n x="273"/>
        <n x="274"/>
        <n x="611" s="1"/>
        <n x="647"/>
        <n x="682"/>
      </t>
    </mdx>
    <mdx n="0" f="v">
      <t c="6" si="614">
        <n x="610"/>
        <n x="283"/>
        <n x="274"/>
        <n x="611" s="1"/>
        <n x="643"/>
        <n x="648"/>
      </t>
    </mdx>
    <mdx n="0" f="v">
      <t c="6" si="614">
        <n x="610"/>
        <n x="279"/>
        <n x="284"/>
        <n x="611" s="1"/>
        <n x="643"/>
        <n x="644"/>
      </t>
    </mdx>
    <mdx n="0" f="v">
      <t c="6" si="614">
        <n x="610"/>
        <n x="255"/>
        <n x="256"/>
        <n x="611" s="1"/>
        <n x="643"/>
        <n x="644"/>
      </t>
    </mdx>
    <mdx n="0" f="v">
      <t c="6" si="614">
        <n x="610"/>
        <n x="255"/>
        <n x="256"/>
        <n x="611" s="1"/>
        <n x="615"/>
        <n x="680"/>
      </t>
    </mdx>
    <mdx n="0" f="v">
      <t c="6" si="614">
        <n x="610"/>
        <n x="285"/>
        <n x="286"/>
        <n x="611" s="1"/>
        <n x="615"/>
        <n x="680"/>
      </t>
    </mdx>
    <mdx n="0" f="v">
      <t c="6" si="614">
        <n x="610"/>
        <n x="299"/>
        <n x="300"/>
        <n x="611" s="1"/>
        <n x="699"/>
        <n x="700"/>
      </t>
    </mdx>
    <mdx n="0" f="v">
      <t c="6" si="614">
        <n x="610"/>
        <n x="253"/>
        <n x="254"/>
        <n x="611" s="1"/>
        <n x="687"/>
        <n x="708"/>
      </t>
    </mdx>
    <mdx n="0" f="v">
      <t c="6" si="614">
        <n x="610"/>
        <n x="287"/>
        <n x="282"/>
        <n x="611" s="1"/>
        <n x="657"/>
        <n x="688"/>
      </t>
    </mdx>
    <mdx n="0" f="v">
      <t c="6" si="614">
        <n x="610"/>
        <n x="287"/>
        <n x="288"/>
        <n x="611" s="1"/>
        <n x="657"/>
        <n x="658"/>
      </t>
    </mdx>
    <mdx n="0" f="v">
      <t c="6" si="614">
        <n x="610"/>
        <n x="287"/>
        <n x="288"/>
        <n x="611" s="1"/>
        <n x="655"/>
        <n x="656"/>
      </t>
    </mdx>
    <mdx n="0" f="v">
      <t c="6" si="614">
        <n x="610"/>
        <n x="285"/>
        <n x="286"/>
        <n x="611" s="1"/>
        <n x="621"/>
        <n x="622"/>
      </t>
    </mdx>
    <mdx n="0" f="v">
      <t c="6" si="614">
        <n x="610"/>
        <n x="273"/>
        <n x="274"/>
        <n x="611" s="1"/>
        <n x="675"/>
        <n x="644"/>
      </t>
    </mdx>
    <mdx n="0" f="v">
      <t c="6" si="614">
        <n x="610"/>
        <n x="279"/>
        <n x="280"/>
        <n x="611" s="1"/>
        <n x="665"/>
        <n x="660"/>
      </t>
    </mdx>
    <mdx n="0" f="v">
      <t c="6" si="614">
        <n x="610"/>
        <n x="299"/>
        <n x="272"/>
        <n x="611" s="1"/>
        <n x="647"/>
        <n x="664"/>
      </t>
    </mdx>
    <mdx n="0" f="v">
      <t c="6" si="614">
        <n x="610"/>
        <n x="283"/>
        <n x="284"/>
        <n x="611" s="1"/>
        <n x="623"/>
        <n x="680"/>
      </t>
    </mdx>
    <mdx n="0" f="v">
      <t c="6" si="614">
        <n x="610"/>
        <n x="271"/>
        <n x="272"/>
        <n x="611" s="1"/>
        <n x="637"/>
        <n x="638"/>
      </t>
    </mdx>
    <mdx n="0" f="v">
      <t c="6" si="614">
        <n x="610"/>
        <n x="279"/>
        <n x="280"/>
        <n x="611" s="1"/>
        <n x="681"/>
        <n x="682"/>
      </t>
    </mdx>
    <mdx n="0" f="v">
      <t c="6" si="614">
        <n x="610"/>
        <n x="283"/>
        <n x="284"/>
        <n x="611" s="1"/>
        <n x="659"/>
        <n x="618"/>
      </t>
    </mdx>
    <mdx n="0" f="v">
      <t c="6" si="614">
        <n x="610"/>
        <n x="277"/>
        <n x="278"/>
        <n x="611" s="1"/>
        <n x="677"/>
        <n x="678"/>
      </t>
    </mdx>
    <mdx n="0" f="v">
      <t c="6" si="614">
        <n x="610"/>
        <n x="283"/>
        <n x="278"/>
        <n x="611" s="1"/>
        <n x="677"/>
        <n x="678"/>
      </t>
    </mdx>
    <mdx n="0" f="v">
      <t c="6" si="614">
        <n x="610"/>
        <n x="279"/>
        <n x="278"/>
        <n x="611" s="1"/>
        <n x="657"/>
        <n x="652"/>
      </t>
    </mdx>
    <mdx n="0" f="v">
      <t c="6" si="614">
        <n x="610"/>
        <n x="277"/>
        <n x="278"/>
        <n x="611" s="1"/>
        <n x="635"/>
        <n x="620"/>
      </t>
    </mdx>
    <mdx n="0" f="v">
      <t c="6" si="614">
        <n x="610"/>
        <n x="281"/>
        <n x="282"/>
        <n x="611" s="1"/>
        <n x="629"/>
        <n x="630"/>
      </t>
    </mdx>
    <mdx n="0" f="v">
      <t c="6" si="614">
        <n x="610"/>
        <n x="271"/>
        <n x="272"/>
        <n x="611" s="1"/>
        <n x="635"/>
        <n x="636"/>
      </t>
    </mdx>
    <mdx n="0" f="v">
      <t c="6" si="614">
        <n x="610"/>
        <n x="277"/>
        <n x="278"/>
        <n x="611" s="1"/>
        <n x="657"/>
        <n x="670"/>
      </t>
    </mdx>
    <mdx n="0" f="v">
      <t c="6" si="614">
        <n x="610"/>
        <n x="293"/>
        <n x="278"/>
        <n x="611" s="1"/>
        <n x="612"/>
        <n x="696"/>
      </t>
    </mdx>
    <mdx n="0" f="v">
      <t c="6" si="614">
        <n x="610"/>
        <n x="277"/>
        <n x="278"/>
        <n x="611" s="1"/>
        <n x="699"/>
        <n x="700"/>
      </t>
    </mdx>
    <mdx n="0" f="v">
      <t c="6" si="614">
        <n x="610"/>
        <n x="277"/>
        <n x="278"/>
        <n x="611" s="1"/>
        <n x="671"/>
        <n x="672"/>
      </t>
    </mdx>
    <mdx n="0" f="v">
      <t c="6" si="614">
        <n x="610"/>
        <n x="289"/>
        <n x="290"/>
        <n x="611" s="1"/>
        <n x="657"/>
        <n x="700"/>
      </t>
    </mdx>
    <mdx n="0" f="v">
      <t c="6" si="614">
        <n x="610"/>
        <n x="289"/>
        <n x="290"/>
        <n x="611" s="1"/>
        <n x="619"/>
        <n x="696"/>
      </t>
    </mdx>
    <mdx n="0" f="v">
      <t c="6" si="614">
        <n x="610"/>
        <n x="269"/>
        <n x="270"/>
        <n x="611" s="1"/>
        <n x="683"/>
        <n x="684"/>
      </t>
    </mdx>
    <mdx n="0" f="v">
      <t c="6" si="614">
        <n x="610"/>
        <n x="283"/>
        <n x="284"/>
        <n x="611" s="1"/>
        <n x="639"/>
        <n x="640"/>
      </t>
    </mdx>
    <mdx n="0" f="v">
      <t c="6" si="614">
        <n x="610"/>
        <n x="297"/>
        <n x="298"/>
        <n x="611" s="1"/>
        <n x="639"/>
        <n x="700"/>
      </t>
    </mdx>
    <mdx n="0" f="v">
      <t c="6" si="614">
        <n x="610"/>
        <n x="281"/>
        <n x="286"/>
        <n x="611" s="1"/>
        <n x="631"/>
        <n x="632"/>
      </t>
    </mdx>
    <mdx n="0" f="v">
      <t c="6" si="614">
        <n x="610"/>
        <n x="285"/>
        <n x="286"/>
        <n x="611" s="1"/>
        <n x="629"/>
        <n x="630"/>
      </t>
    </mdx>
    <mdx n="0" f="v">
      <t c="6" si="614">
        <n x="610"/>
        <n x="279"/>
        <n x="280"/>
        <n x="611" s="1"/>
        <n x="679"/>
        <n x="680"/>
      </t>
    </mdx>
    <mdx n="0" f="v">
      <t c="6" si="614">
        <n x="610"/>
        <n x="273"/>
        <n x="284"/>
        <n x="611" s="1"/>
        <n x="663"/>
        <n x="664"/>
      </t>
    </mdx>
    <mdx n="0" f="v">
      <t c="6" si="614">
        <n x="610"/>
        <n x="273"/>
        <n x="274"/>
        <n x="611" s="1"/>
        <n x="649"/>
        <n x="664"/>
      </t>
    </mdx>
    <mdx n="0" f="v">
      <t c="6" si="614">
        <n x="610"/>
        <n x="273"/>
        <n x="274"/>
        <n x="611" s="1"/>
        <n x="657"/>
        <n x="658"/>
      </t>
    </mdx>
    <mdx n="0" f="v">
      <t c="6" si="614">
        <n x="610"/>
        <n x="273"/>
        <n x="274"/>
        <n x="611" s="1"/>
        <n x="612"/>
        <n x="656"/>
      </t>
    </mdx>
    <mdx n="0" f="v">
      <t c="6" si="614">
        <n x="610"/>
        <n x="275"/>
        <n x="274"/>
        <n x="611" s="1"/>
        <n x="612"/>
        <n x="656"/>
      </t>
    </mdx>
    <mdx n="0" f="v">
      <t c="6" si="614">
        <n x="610"/>
        <n x="273"/>
        <n x="274"/>
        <n x="611" s="1"/>
        <n x="627"/>
        <n x="618"/>
      </t>
    </mdx>
    <mdx n="0" f="v">
      <t c="6" si="614">
        <n x="610"/>
        <n x="273"/>
        <n x="274"/>
        <n x="611" s="1"/>
        <n x="629"/>
        <n x="628"/>
      </t>
    </mdx>
    <mdx n="0" f="v">
      <t c="6" si="614">
        <n x="610"/>
        <n x="271"/>
        <n x="272"/>
        <n x="611" s="1"/>
        <n x="699"/>
        <n x="700"/>
      </t>
    </mdx>
    <mdx n="0" f="v">
      <t c="6" si="614">
        <n x="610"/>
        <n x="291"/>
        <n x="292"/>
        <n x="611" s="1"/>
        <n x="685"/>
        <n x="686"/>
      </t>
    </mdx>
    <mdx n="0" f="v">
      <t c="6" si="614">
        <n x="610"/>
        <n x="291"/>
        <n x="292"/>
        <n x="611" s="1"/>
        <n x="699"/>
        <n x="686"/>
      </t>
    </mdx>
    <mdx n="0" f="v">
      <t c="6" si="614">
        <n x="610"/>
        <n x="253"/>
        <n x="272"/>
        <n x="611" s="1"/>
        <n x="673"/>
        <n x="674"/>
      </t>
    </mdx>
    <mdx n="0" f="v">
      <t c="6" si="614">
        <n x="610"/>
        <n x="273"/>
        <n x="272"/>
        <n x="611" s="1"/>
        <n x="673"/>
        <n x="646"/>
      </t>
    </mdx>
    <mdx n="0" f="v">
      <t c="6" si="614">
        <n x="610"/>
        <n x="287"/>
        <n x="290"/>
        <n x="611" s="1"/>
        <n x="703"/>
        <n x="704"/>
      </t>
    </mdx>
    <mdx n="0" f="v">
      <t c="6" si="614">
        <n x="610"/>
        <n x="289"/>
        <n x="274"/>
        <n x="611" s="1"/>
        <n x="621"/>
        <n x="688"/>
      </t>
    </mdx>
    <mdx n="0" f="v">
      <t c="6" si="614">
        <n x="610"/>
        <n x="269"/>
        <n x="270"/>
        <n x="611" s="1"/>
        <n x="621"/>
        <n x="622"/>
      </t>
    </mdx>
    <mdx n="0" f="v">
      <t c="6" si="614">
        <n x="610"/>
        <n x="269"/>
        <n x="270"/>
        <n x="611" s="1"/>
        <n x="621"/>
        <n x="622"/>
      </t>
    </mdx>
    <mdx n="0" f="v">
      <t c="6" si="614">
        <n x="610"/>
        <n x="269"/>
        <n x="270"/>
        <n x="611" s="1"/>
        <n x="627"/>
        <n x="613"/>
      </t>
    </mdx>
    <mdx n="0" f="v">
      <t c="6" si="614">
        <n x="610"/>
        <n x="269"/>
        <n x="270"/>
        <n x="611" s="1"/>
        <n x="661"/>
        <n x="656"/>
      </t>
    </mdx>
    <mdx n="0" f="v">
      <t c="6" si="614">
        <n x="610"/>
        <n x="277"/>
        <n x="270"/>
        <n x="611" s="1"/>
        <n x="612"/>
        <n x="613"/>
      </t>
    </mdx>
    <mdx n="0" f="v">
      <t c="6" si="614">
        <n x="610"/>
        <n x="269"/>
        <n x="270"/>
        <n x="611" s="1"/>
        <n x="707"/>
        <n x="628"/>
      </t>
    </mdx>
    <mdx n="0" f="v">
      <t c="6" si="614">
        <n x="610"/>
        <n x="269"/>
        <n x="270"/>
        <n x="611" s="1"/>
        <n x="689"/>
        <n x="620"/>
      </t>
    </mdx>
    <mdx n="0" f="v">
      <t c="6" si="614">
        <n x="610"/>
        <n x="267"/>
        <n x="268"/>
        <n x="611" s="1"/>
        <n x="693"/>
        <n x="662"/>
      </t>
    </mdx>
    <mdx n="0" f="v">
      <t c="6" si="614">
        <n x="610"/>
        <n x="267"/>
        <n x="268"/>
        <n x="611" s="1"/>
        <n x="657"/>
        <n x="694"/>
      </t>
    </mdx>
    <mdx n="0" f="v">
      <t c="6" si="614">
        <n x="610"/>
        <n x="295"/>
        <n x="268"/>
        <n x="611" s="1"/>
        <n x="612"/>
        <n x="613"/>
      </t>
    </mdx>
    <mdx n="0" f="v">
      <t c="6" si="614">
        <n x="610"/>
        <n x="287"/>
        <n x="288"/>
        <n x="611" s="1"/>
        <n x="679"/>
        <n x="682"/>
      </t>
    </mdx>
    <mdx n="0" f="v">
      <t c="6" si="614">
        <n x="610"/>
        <n x="287"/>
        <n x="288"/>
        <n x="611" s="1"/>
        <n x="625"/>
        <n x="626"/>
      </t>
    </mdx>
    <mdx n="0" f="v">
      <t c="6" si="614">
        <n x="610"/>
        <n x="285"/>
        <n x="288"/>
        <n x="611" s="1"/>
        <n x="625"/>
        <n x="626"/>
      </t>
    </mdx>
    <mdx n="0" f="v">
      <t c="6" si="614">
        <n x="610"/>
        <n x="267"/>
        <n x="268"/>
        <n x="611" s="1"/>
        <n x="661"/>
        <n x="662"/>
      </t>
    </mdx>
    <mdx n="0" f="v">
      <t c="6" si="614">
        <n x="610"/>
        <n x="271"/>
        <n x="286"/>
        <n x="611" s="1"/>
        <n x="693"/>
        <n x="694"/>
      </t>
    </mdx>
    <mdx n="0" f="v">
      <t c="6" si="614">
        <n x="610"/>
        <n x="267"/>
        <n x="268"/>
        <n x="611" s="1"/>
        <n x="623"/>
        <n x="632"/>
      </t>
    </mdx>
    <mdx n="0" f="v">
      <t c="6" si="614">
        <n x="610"/>
        <n x="267"/>
        <n x="286"/>
        <n x="611" s="1"/>
        <n x="657"/>
        <n x="658"/>
      </t>
    </mdx>
    <mdx n="0" f="v">
      <t c="6" si="614">
        <n x="610"/>
        <n x="267"/>
        <n x="268"/>
        <n x="611" s="1"/>
        <n x="623"/>
        <n x="670"/>
      </t>
    </mdx>
    <mdx n="0" f="v">
      <t c="6" si="614">
        <n x="610"/>
        <n x="285"/>
        <n x="282"/>
        <n x="611" s="1"/>
        <n x="612"/>
        <n x="628"/>
      </t>
    </mdx>
    <mdx n="0" f="v">
      <t c="6" si="614">
        <n x="610"/>
        <n x="277"/>
        <n x="278"/>
        <n x="611" s="1"/>
        <n x="612"/>
        <n x="628"/>
      </t>
    </mdx>
    <mdx n="0" f="v">
      <t c="6" si="614">
        <n x="610"/>
        <n x="265"/>
        <n x="278"/>
        <n x="611" s="1"/>
        <n x="612"/>
        <n x="628"/>
      </t>
    </mdx>
    <mdx n="0" f="v">
      <t c="6" si="614">
        <n x="610"/>
        <n x="283"/>
        <n x="276"/>
        <n x="611" s="1"/>
        <n x="631"/>
        <n x="632"/>
      </t>
    </mdx>
    <mdx n="0" f="v">
      <t c="6" si="614">
        <n x="610"/>
        <n x="265"/>
        <n x="266"/>
        <n x="611" s="1"/>
        <n x="671"/>
        <n x="672"/>
      </t>
    </mdx>
    <mdx n="0" f="v">
      <t c="6" si="614">
        <n x="610"/>
        <n x="283"/>
        <n x="266"/>
        <n x="611" s="1"/>
        <n x="671"/>
        <n x="672"/>
      </t>
    </mdx>
    <mdx n="0" f="v">
      <t c="6" si="614">
        <n x="610"/>
        <n x="265"/>
        <n x="266"/>
        <n x="611" s="1"/>
        <n x="627"/>
        <n x="628"/>
      </t>
    </mdx>
    <mdx n="0" f="v">
      <t c="6" si="614">
        <n x="610"/>
        <n x="293"/>
        <n x="266"/>
        <n x="611" s="1"/>
        <n x="627"/>
        <n x="628"/>
      </t>
    </mdx>
    <mdx n="0" f="v">
      <t c="6" si="614">
        <n x="610"/>
        <n x="279"/>
        <n x="280"/>
        <n x="611" s="1"/>
        <n x="681"/>
        <n x="682"/>
      </t>
    </mdx>
    <mdx n="0" f="v">
      <t c="6" si="614">
        <n x="610"/>
        <n x="263"/>
        <n x="264"/>
        <n x="611" s="1"/>
        <n x="691"/>
        <n x="692"/>
      </t>
    </mdx>
    <mdx n="0" f="v">
      <t c="6" si="614">
        <n x="610"/>
        <n x="251"/>
        <n x="294"/>
        <n x="611" s="1"/>
        <n x="675"/>
        <n x="676"/>
      </t>
    </mdx>
    <mdx n="0" f="v">
      <t c="6" si="614">
        <n x="610"/>
        <n x="263"/>
        <n x="264"/>
        <n x="611" s="1"/>
        <n x="701"/>
        <n x="680"/>
      </t>
    </mdx>
    <mdx n="0" f="v">
      <t c="6" si="614">
        <n x="610"/>
        <n x="271"/>
        <n x="264"/>
        <n x="611" s="1"/>
        <n x="701"/>
        <n x="702"/>
      </t>
    </mdx>
    <mdx n="0" f="v">
      <t c="6" si="614">
        <n x="610"/>
        <n x="271"/>
        <n x="264"/>
        <n x="611" s="1"/>
        <n x="671"/>
        <n x="672"/>
      </t>
    </mdx>
    <mdx n="0" f="v">
      <t c="6" si="614">
        <n x="610"/>
        <n x="275"/>
        <n x="282"/>
        <n x="611" s="1"/>
        <n x="685"/>
        <n x="686"/>
      </t>
    </mdx>
    <mdx n="0" f="v">
      <t c="6" si="614">
        <n x="610"/>
        <n x="275"/>
        <n x="282"/>
        <n x="611" s="1"/>
        <n x="685"/>
        <n x="686"/>
      </t>
    </mdx>
    <mdx n="0" f="v">
      <t c="6" si="614">
        <n x="610"/>
        <n x="281"/>
        <n x="282"/>
        <n x="611" s="1"/>
        <n x="655"/>
        <n x="690"/>
      </t>
    </mdx>
    <mdx n="0" f="v">
      <t c="6" si="614">
        <n x="610"/>
        <n x="281"/>
        <n x="282"/>
        <n x="611" s="1"/>
        <n x="655"/>
        <n x="654"/>
      </t>
    </mdx>
    <mdx n="0" f="v">
      <t c="6" si="614">
        <n x="610"/>
        <n x="281"/>
        <n x="282"/>
        <n x="611" s="1"/>
        <n x="655"/>
        <n x="654"/>
      </t>
    </mdx>
    <mdx n="0" f="v">
      <t c="6" si="614">
        <n x="610"/>
        <n x="281"/>
        <n x="282"/>
        <n x="611" s="1"/>
        <n x="655"/>
        <n x="654"/>
      </t>
    </mdx>
    <mdx n="0" f="v">
      <t c="6" si="614">
        <n x="610"/>
        <n x="285"/>
        <n x="282"/>
        <n x="611" s="1"/>
        <n x="667"/>
        <n x="668"/>
      </t>
    </mdx>
    <mdx n="0" f="v">
      <t c="6" si="614">
        <n x="610"/>
        <n x="279"/>
        <n x="280"/>
        <n x="611" s="1"/>
        <n x="651"/>
        <n x="652"/>
      </t>
    </mdx>
    <mdx n="0" f="v">
      <t c="6" si="614">
        <n x="610"/>
        <n x="269"/>
        <n x="280"/>
        <n x="611" s="1"/>
        <n x="653"/>
        <n x="654"/>
      </t>
    </mdx>
    <mdx n="0" f="v">
      <t c="6" si="614">
        <n x="610"/>
        <n x="277"/>
        <n x="264"/>
        <n x="611" s="1"/>
        <n x="651"/>
        <n x="652"/>
      </t>
    </mdx>
    <mdx n="0" f="v">
      <t c="6" si="614">
        <n x="610"/>
        <n x="277"/>
        <n x="278"/>
        <n x="611" s="1"/>
        <n x="653"/>
        <n x="652"/>
      </t>
    </mdx>
    <mdx n="0" f="v">
      <t c="6" si="614">
        <n x="610"/>
        <n x="271"/>
        <n x="272"/>
        <n x="611" s="1"/>
        <n x="655"/>
        <n x="656"/>
      </t>
    </mdx>
    <mdx n="0" f="v">
      <t c="6" si="614">
        <n x="610"/>
        <n x="271"/>
        <n x="270"/>
        <n x="611" s="1"/>
        <n x="617"/>
        <n x="618"/>
      </t>
    </mdx>
    <mdx n="0" f="v">
      <t c="6" si="614">
        <n x="610"/>
        <n x="275"/>
        <n x="284"/>
        <n x="611" s="1"/>
        <n x="665"/>
        <n x="666"/>
      </t>
    </mdx>
    <mdx n="0" f="v">
      <t c="6" si="614">
        <n x="610"/>
        <n x="269"/>
        <n x="270"/>
        <n x="611" s="1"/>
        <n x="615"/>
        <n x="702"/>
      </t>
    </mdx>
    <mdx n="0" f="v">
      <t c="6" si="614">
        <n x="610"/>
        <n x="269"/>
        <n x="270"/>
        <n x="611" s="1"/>
        <n x="615"/>
        <n x="702"/>
      </t>
    </mdx>
    <mdx n="0" f="v">
      <t c="6" si="614">
        <n x="610"/>
        <n x="269"/>
        <n x="270"/>
        <n x="611" s="1"/>
        <n x="615"/>
        <n x="702"/>
      </t>
    </mdx>
    <mdx n="0" f="v">
      <t c="6" si="614">
        <n x="610"/>
        <n x="273"/>
        <n x="274"/>
        <n x="611" s="1"/>
        <n x="659"/>
        <n x="702"/>
      </t>
    </mdx>
    <mdx n="0" f="v">
      <t c="6" si="614">
        <n x="610"/>
        <n x="277"/>
        <n x="278"/>
        <n x="611" s="1"/>
        <n x="629"/>
        <n x="630"/>
      </t>
    </mdx>
    <mdx n="0" f="v">
      <t c="6" si="614">
        <n x="610"/>
        <n x="265"/>
        <n x="266"/>
        <n x="611" s="1"/>
        <n x="659"/>
        <n x="630"/>
      </t>
    </mdx>
    <mdx n="0" f="v">
      <t c="6" si="614">
        <n x="610"/>
        <n x="269"/>
        <n x="270"/>
        <n x="611" s="1"/>
        <n x="612"/>
        <n x="618"/>
      </t>
    </mdx>
    <mdx n="0" f="v">
      <t c="6" si="614">
        <n x="610"/>
        <n x="269"/>
        <n x="270"/>
        <n x="611" s="1"/>
        <n x="671"/>
        <n x="672"/>
      </t>
    </mdx>
    <mdx n="0" f="v">
      <t c="6" si="614">
        <n x="610"/>
        <n x="269"/>
        <n x="270"/>
        <n x="611" s="1"/>
        <n x="649"/>
        <n x="650"/>
      </t>
    </mdx>
    <mdx n="0" f="v">
      <t c="6" si="614">
        <n x="610"/>
        <n x="283"/>
        <n x="264"/>
        <n x="611" s="1"/>
        <n x="673"/>
        <n x="674"/>
      </t>
    </mdx>
    <mdx n="0" f="v">
      <t c="6" si="614">
        <n x="610"/>
        <n x="267"/>
        <n x="268"/>
        <n x="611" s="1"/>
        <n x="687"/>
        <n x="660"/>
      </t>
    </mdx>
    <mdx n="0" f="v">
      <t c="6" si="614">
        <n x="610"/>
        <n x="275"/>
        <n x="268"/>
        <n x="611" s="1"/>
        <n x="687"/>
        <n x="704"/>
      </t>
    </mdx>
    <mdx n="0" f="v">
      <t c="6" si="614">
        <n x="610"/>
        <n x="275"/>
        <n x="276"/>
        <n x="611" s="1"/>
        <n x="697"/>
        <n x="640"/>
      </t>
    </mdx>
    <mdx n="0" f="v">
      <t c="6" si="614">
        <n x="610"/>
        <n x="263"/>
        <n x="264"/>
        <n x="611" s="1"/>
        <n x="663"/>
        <n x="664"/>
      </t>
    </mdx>
    <mdx n="0" f="v">
      <t c="6" si="614">
        <n x="610"/>
        <n x="275"/>
        <n x="266"/>
        <n x="611" s="1"/>
        <n x="647"/>
        <n x="648"/>
      </t>
    </mdx>
    <mdx n="0" f="v">
      <t c="6" si="614">
        <n x="610"/>
        <n x="263"/>
        <n x="268"/>
        <n x="611" s="1"/>
        <n x="657"/>
        <n x="636"/>
      </t>
    </mdx>
    <mdx n="0" f="v">
      <t c="6" si="614">
        <n x="610"/>
        <n x="277"/>
        <n x="268"/>
        <n x="611" s="1"/>
        <n x="657"/>
        <n x="658"/>
      </t>
    </mdx>
    <mdx n="0" f="v">
      <t c="6" si="614">
        <n x="610"/>
        <n x="267"/>
        <n x="276"/>
        <n x="611" s="1"/>
        <n x="623"/>
        <n x="624"/>
      </t>
    </mdx>
    <mdx n="0" f="v">
      <t c="6" si="614">
        <n x="610"/>
        <n x="277"/>
        <n x="278"/>
        <n x="611" s="1"/>
        <n x="679"/>
        <n x="680"/>
      </t>
    </mdx>
    <mdx n="0" f="v">
      <t c="6" si="614">
        <n x="610"/>
        <n x="277"/>
        <n x="278"/>
        <n x="611" s="1"/>
        <n x="651"/>
        <n x="688"/>
      </t>
    </mdx>
    <mdx n="0" f="v">
      <t c="6" si="614">
        <n x="610"/>
        <n x="265"/>
        <n x="266"/>
        <n x="611" s="1"/>
        <n x="701"/>
        <n x="702"/>
      </t>
    </mdx>
    <mdx n="0" f="v">
      <t c="6" si="614">
        <n x="610"/>
        <n x="261"/>
        <n x="292"/>
        <n x="611" s="1"/>
        <n x="683"/>
        <n x="684"/>
      </t>
    </mdx>
    <mdx n="0" f="v">
      <t c="6" si="614">
        <n x="610"/>
        <n x="261"/>
        <n x="292"/>
        <n x="611" s="1"/>
        <n x="675"/>
        <n x="684"/>
      </t>
    </mdx>
    <mdx n="0" f="v">
      <t c="6" si="614">
        <n x="610"/>
        <n x="261"/>
        <n x="292"/>
        <n x="611" s="1"/>
        <n x="675"/>
        <n x="676"/>
      </t>
    </mdx>
    <mdx n="0" f="v">
      <t c="6" si="614">
        <n x="610"/>
        <n x="265"/>
        <n x="266"/>
        <n x="611" s="1"/>
        <n x="629"/>
        <n x="630"/>
      </t>
    </mdx>
    <mdx n="0" f="v">
      <t c="6" si="614">
        <n x="610"/>
        <n x="265"/>
        <n x="262"/>
        <n x="611" s="1"/>
        <n x="647"/>
        <n x="648"/>
      </t>
    </mdx>
    <mdx n="0" f="v">
      <t c="6" si="614">
        <n x="610"/>
        <n x="265"/>
        <n x="262"/>
        <n x="611" s="1"/>
        <n x="647"/>
        <n x="648"/>
      </t>
    </mdx>
    <mdx n="0" f="v">
      <t c="6" si="614">
        <n x="610"/>
        <n x="265"/>
        <n x="262"/>
        <n x="611" s="1"/>
        <n x="657"/>
        <n x="658"/>
      </t>
    </mdx>
    <mdx n="0" f="v">
      <t c="6" si="614">
        <n x="610"/>
        <n x="263"/>
        <n x="264"/>
        <n x="611" s="1"/>
        <n x="619"/>
        <n x="620"/>
      </t>
    </mdx>
    <mdx n="0" f="v">
      <t c="6" si="614">
        <n x="610"/>
        <n x="259"/>
        <n x="260"/>
        <n x="611" s="1"/>
        <n x="619"/>
        <n x="620"/>
      </t>
    </mdx>
    <mdx n="0" f="v">
      <t c="6" si="614">
        <n x="610"/>
        <n x="259"/>
        <n x="260"/>
        <n x="611" s="1"/>
        <n x="665"/>
        <n x="666"/>
      </t>
    </mdx>
    <mdx n="0" f="v">
      <t c="6" si="614">
        <n x="610"/>
        <n x="259"/>
        <n x="260"/>
        <n x="611" s="1"/>
        <n x="665"/>
        <n x="704"/>
      </t>
    </mdx>
    <mdx n="0" f="v">
      <t c="6" si="614">
        <n x="610"/>
        <n x="261"/>
        <n x="262"/>
        <n x="611" s="1"/>
        <n x="665"/>
        <n x="704"/>
      </t>
    </mdx>
    <mdx n="0" f="v">
      <t c="6" si="614">
        <n x="610"/>
        <n x="261"/>
        <n x="264"/>
        <n x="611" s="1"/>
        <n x="705"/>
        <n x="613"/>
      </t>
    </mdx>
    <mdx n="0" f="v">
      <t c="6" si="614">
        <n x="610"/>
        <n x="261"/>
        <n x="264"/>
        <n x="611" s="1"/>
        <n x="705"/>
        <n x="706"/>
      </t>
    </mdx>
    <mdx n="0" f="v">
      <t c="6" si="614">
        <n x="610"/>
        <n x="261"/>
        <n x="264"/>
        <n x="611" s="1"/>
        <n x="623"/>
        <n x="624"/>
      </t>
    </mdx>
    <mdx n="0" f="v">
      <t c="6" si="614">
        <n x="610"/>
        <n x="275"/>
        <n x="276"/>
        <n x="611" s="1"/>
        <n x="617"/>
        <n x="618"/>
      </t>
    </mdx>
    <mdx n="0" f="v">
      <t c="6" si="614">
        <n x="610"/>
        <n x="249"/>
        <n x="250"/>
        <n x="611" s="1"/>
        <n x="671"/>
        <n x="690"/>
      </t>
    </mdx>
    <mdx n="0" f="v">
      <t c="6" si="614">
        <n x="610"/>
        <n x="261"/>
        <n x="262"/>
        <n x="611" s="1"/>
        <n x="693"/>
        <n x="690"/>
      </t>
    </mdx>
    <mdx n="0" f="v">
      <t c="6" si="614">
        <n x="610"/>
        <n x="261"/>
        <n x="256"/>
        <n x="611" s="1"/>
        <n x="657"/>
        <n x="692"/>
      </t>
    </mdx>
    <mdx n="0" f="v">
      <t c="6" si="614">
        <n x="610"/>
        <n x="255"/>
        <n x="256"/>
        <n x="611" s="1"/>
        <n x="639"/>
        <n x="640"/>
      </t>
    </mdx>
    <mdx n="0" f="v">
      <t c="6" si="614">
        <n x="610"/>
        <n x="259"/>
        <n x="256"/>
        <n x="611" s="1"/>
        <n x="655"/>
        <n x="640"/>
      </t>
    </mdx>
    <mdx n="0" f="v">
      <t c="6" si="614">
        <n x="610"/>
        <n x="255"/>
        <n x="266"/>
        <n x="611" s="1"/>
        <n x="633"/>
        <n x="634"/>
      </t>
    </mdx>
    <mdx n="0" f="v">
      <t c="6" si="614">
        <n x="610"/>
        <n x="255"/>
        <n x="266"/>
        <n x="611" s="1"/>
        <n x="677"/>
        <n x="634"/>
      </t>
    </mdx>
    <mdx n="0" f="v">
      <t c="6" si="614">
        <n x="610"/>
        <n x="273"/>
        <n x="260"/>
        <n x="611" s="1"/>
        <n x="651"/>
        <n x="652"/>
      </t>
    </mdx>
    <mdx n="0" f="v">
      <t c="6" si="614">
        <n x="610"/>
        <n x="253"/>
        <n x="254"/>
        <n x="611" s="1"/>
        <n x="707"/>
        <n x="658"/>
      </t>
    </mdx>
    <mdx n="0" f="v">
      <t c="6" si="614">
        <n x="610"/>
        <n x="253"/>
        <n x="254"/>
        <n x="611" s="1"/>
        <n x="689"/>
        <n x="690"/>
      </t>
    </mdx>
    <mdx n="0" f="v">
      <t c="6" si="614">
        <n x="610"/>
        <n x="259"/>
        <n x="260"/>
        <n x="611" s="1"/>
        <n x="689"/>
        <n x="690"/>
      </t>
    </mdx>
    <mdx n="0" f="v">
      <t c="6" si="614">
        <n x="610"/>
        <n x="253"/>
        <n x="254"/>
        <n x="611" s="1"/>
        <n x="671"/>
        <n x="672"/>
      </t>
    </mdx>
    <mdx n="0" f="v">
      <t c="6" si="614">
        <n x="610"/>
        <n x="259"/>
        <n x="260"/>
        <n x="611" s="1"/>
        <n x="612"/>
        <n x="613"/>
      </t>
    </mdx>
    <mdx n="0" f="v">
      <t c="6" si="614">
        <n x="610"/>
        <n x="249"/>
        <n x="250"/>
        <n x="611" s="1"/>
        <n x="631"/>
        <n x="632"/>
      </t>
    </mdx>
    <mdx n="0" f="v">
      <t c="6" si="614">
        <n x="610"/>
        <n x="253"/>
        <n x="254"/>
        <n x="611" s="1"/>
        <n x="647"/>
        <n x="648"/>
      </t>
    </mdx>
    <mdx n="0" f="v">
      <t c="6" si="614">
        <n x="610"/>
        <n x="257"/>
        <n x="258"/>
        <n x="611" s="1"/>
        <n x="629"/>
        <n x="630"/>
      </t>
    </mdx>
    <mdx n="0" f="v">
      <t c="6" si="614">
        <n x="610"/>
        <n x="251"/>
        <n x="274"/>
        <n x="611" s="1"/>
        <n x="685"/>
        <n x="686"/>
      </t>
    </mdx>
    <mdx n="0" f="v">
      <t c="6" si="614">
        <n x="610"/>
        <n x="251"/>
        <n x="252"/>
        <n x="611" s="1"/>
        <n x="663"/>
        <n x="650"/>
      </t>
    </mdx>
    <mdx n="0" f="v">
      <t c="6" si="614">
        <n x="610"/>
        <n x="251"/>
        <n x="252"/>
        <n x="611" s="1"/>
        <n x="663"/>
        <n x="664"/>
      </t>
    </mdx>
    <mdx n="0" f="v">
      <t c="6" si="614">
        <n x="610"/>
        <n x="251"/>
        <n x="252"/>
        <n x="611" s="1"/>
        <n x="663"/>
        <n x="660"/>
      </t>
    </mdx>
    <mdx n="0" f="v">
      <t c="6" si="614">
        <n x="202"/>
        <n x="257"/>
        <n x="258"/>
        <n x="611" s="1"/>
        <n x="621"/>
        <n x="708"/>
      </t>
    </mdx>
    <mdx n="0" f="v">
      <t c="6" si="614">
        <n x="610"/>
        <n x="257"/>
        <n x="258"/>
        <n x="611" s="1"/>
        <n x="621"/>
        <n x="708"/>
      </t>
    </mdx>
    <mdx n="0" f="v">
      <t c="6" si="614">
        <n x="610"/>
        <n x="255"/>
        <n x="256"/>
        <n x="611" s="1"/>
        <n x="677"/>
        <n x="702"/>
      </t>
    </mdx>
    <mdx n="0" f="v">
      <t c="6" si="614">
        <n x="610"/>
        <n x="259"/>
        <n x="260"/>
        <n x="611" s="1"/>
        <n x="667"/>
        <n x="706"/>
      </t>
    </mdx>
    <mdx n="0" f="v">
      <t c="6" si="614">
        <n x="610"/>
        <n x="259"/>
        <n x="260"/>
        <n x="611" s="1"/>
        <n x="629"/>
        <n x="694"/>
      </t>
    </mdx>
    <mdx n="0" f="v">
      <t c="6" si="614">
        <n x="610"/>
        <n x="251"/>
        <n x="260"/>
        <n x="611" s="1"/>
        <n x="629"/>
        <n x="630"/>
      </t>
    </mdx>
    <mdx n="0" f="v">
      <t c="6" si="614">
        <n x="610"/>
        <n x="259"/>
        <n x="260"/>
        <n x="611" s="1"/>
        <n x="629"/>
        <n x="662"/>
      </t>
    </mdx>
    <mdx n="0" f="v">
      <t c="6" si="614">
        <n x="610"/>
        <n x="257"/>
        <n x="248"/>
        <n x="611" s="1"/>
        <n x="627"/>
        <n x="628"/>
      </t>
    </mdx>
    <mdx n="0" f="v">
      <t c="6" si="614">
        <n x="610"/>
        <n x="257"/>
        <n x="258"/>
        <n x="611" s="1"/>
        <n x="647"/>
        <n x="658"/>
      </t>
    </mdx>
    <mdx n="0" f="v">
      <t c="6" si="614">
        <n x="610"/>
        <n x="257"/>
        <n x="258"/>
        <n x="611" s="1"/>
        <n x="647"/>
        <n x="658"/>
      </t>
    </mdx>
    <mdx n="0" f="v">
      <t c="6" si="614">
        <n x="610"/>
        <n x="255"/>
        <n x="248"/>
        <n x="611" s="1"/>
        <n x="635"/>
        <n x="636"/>
      </t>
    </mdx>
    <mdx n="0" f="v">
      <t c="6" si="614">
        <n x="610"/>
        <n x="247"/>
        <n x="258"/>
        <n x="611" s="1"/>
        <n x="683"/>
        <n x="684"/>
      </t>
    </mdx>
    <mdx n="0" f="v">
      <t c="6" si="614">
        <n x="610"/>
        <n x="247"/>
        <n x="258"/>
        <n x="611" s="1"/>
        <n x="659"/>
        <n x="660"/>
      </t>
    </mdx>
    <mdx n="0" f="v">
      <t c="6" si="614">
        <n x="610"/>
        <n x="247"/>
        <n x="258"/>
        <n x="611" s="1"/>
        <n x="659"/>
        <n x="660"/>
      </t>
    </mdx>
    <mdx n="0" f="v">
      <t c="6" si="614">
        <n x="610"/>
        <n x="255"/>
        <n x="258"/>
        <n x="611" s="1"/>
        <n x="659"/>
        <n x="660"/>
      </t>
    </mdx>
    <mdx n="0" f="v">
      <t c="6" si="614">
        <n x="610"/>
        <n x="265"/>
        <n x="266"/>
        <n x="611" s="1"/>
        <n x="645"/>
        <n x="646"/>
      </t>
    </mdx>
    <mdx n="0" f="v">
      <t c="6" si="614">
        <n x="610"/>
        <n x="265"/>
        <n x="266"/>
        <n x="611" s="1"/>
        <n x="687"/>
        <n x="688"/>
      </t>
    </mdx>
    <mdx n="0" f="v">
      <t c="6" si="614">
        <n x="610"/>
        <n x="271"/>
        <n x="272"/>
        <n x="611" s="1"/>
        <n x="687"/>
        <n x="688"/>
      </t>
    </mdx>
    <mdx n="0" f="v">
      <t c="6" si="614">
        <n x="610"/>
        <n x="255"/>
        <n x="272"/>
        <n x="611" s="1"/>
        <n x="697"/>
        <n x="698"/>
      </t>
    </mdx>
    <mdx n="0" f="v">
      <t c="6" si="614">
        <n x="610"/>
        <n x="271"/>
        <n x="272"/>
        <n x="611" s="1"/>
        <n x="667"/>
        <n x="668"/>
      </t>
    </mdx>
    <mdx n="0" f="v">
      <t c="6" si="614">
        <n x="610"/>
        <n x="251"/>
        <n x="248"/>
        <n x="611" s="1"/>
        <n x="693"/>
        <n x="694"/>
      </t>
    </mdx>
    <mdx n="0" f="v">
      <t c="6" si="614">
        <n x="610"/>
        <n x="251"/>
        <n x="252"/>
        <n x="611" s="1"/>
        <n x="681"/>
        <n x="650"/>
      </t>
    </mdx>
    <mdx n="0" f="v">
      <t c="6" si="614">
        <n x="610"/>
        <n x="251"/>
        <n x="252"/>
        <n x="611" s="1"/>
        <n x="681"/>
        <n x="650"/>
      </t>
    </mdx>
    <mdx n="0" f="v">
      <t c="6" si="614">
        <n x="610"/>
        <n x="269"/>
        <n x="270"/>
        <n x="611" s="1"/>
        <n x="673"/>
        <n x="674"/>
      </t>
    </mdx>
    <mdx n="0" f="v">
      <t c="6" si="614">
        <n x="610"/>
        <n x="273"/>
        <n x="270"/>
        <n x="611" s="1"/>
        <n x="647"/>
        <n x="648"/>
      </t>
    </mdx>
    <mdx n="0" f="v">
      <t c="6" si="614">
        <n x="610"/>
        <n x="273"/>
        <n x="274"/>
        <n x="611" s="1"/>
        <n x="673"/>
        <n x="674"/>
      </t>
    </mdx>
    <mdx n="0" f="v">
      <t c="6" si="614">
        <n x="610"/>
        <n x="255"/>
        <n x="256"/>
        <n x="611" s="1"/>
        <n x="635"/>
        <n x="636"/>
      </t>
    </mdx>
    <mdx n="0" f="v">
      <t c="6" si="614">
        <n x="610"/>
        <n x="255"/>
        <n x="256"/>
        <n x="611" s="1"/>
        <n x="675"/>
        <n x="638"/>
      </t>
    </mdx>
    <mdx n="0" f="v">
      <t c="6" si="614">
        <n x="610"/>
        <n x="255"/>
        <n x="256"/>
        <n x="611" s="1"/>
        <n x="699"/>
        <n x="700"/>
      </t>
    </mdx>
    <mdx n="0" f="v">
      <t c="6" si="614">
        <n x="610"/>
        <n x="279"/>
        <n x="280"/>
        <n x="611" s="1"/>
        <n x="679"/>
        <n x="698"/>
      </t>
    </mdx>
    <mdx n="0" f="v">
      <t c="6" si="614">
        <n x="610"/>
        <n x="287"/>
        <n x="288"/>
        <n x="611" s="1"/>
        <n x="657"/>
        <n x="658"/>
      </t>
    </mdx>
    <mdx n="0" f="v">
      <t c="6" si="614">
        <n x="610"/>
        <n x="249"/>
        <n x="250"/>
        <n x="611" s="1"/>
        <n x="687"/>
        <n x="642"/>
      </t>
    </mdx>
    <mdx n="0" f="v">
      <t c="6" si="614">
        <n x="610"/>
        <n x="249"/>
        <n x="250"/>
        <n x="611" s="1"/>
        <n x="679"/>
        <n x="680"/>
      </t>
    </mdx>
    <mdx n="0" f="v">
      <t c="6" si="614">
        <n x="610"/>
        <n x="255"/>
        <n x="256"/>
        <n x="611" s="1"/>
        <n x="612"/>
        <n x="613"/>
      </t>
    </mdx>
    <mdx n="0" f="v">
      <t c="6" si="614">
        <n x="610"/>
        <n x="249"/>
        <n x="256"/>
        <n x="611" s="1"/>
        <n x="657"/>
        <n x="658"/>
      </t>
    </mdx>
    <mdx n="0" f="v">
      <t c="6" si="614">
        <n x="610"/>
        <n x="249"/>
        <n x="250"/>
        <n x="611" s="1"/>
        <n x="619"/>
        <n x="620"/>
      </t>
    </mdx>
    <mdx n="0" f="v">
      <t c="6" si="614">
        <n x="610"/>
        <n x="249"/>
        <n x="250"/>
        <n x="611" s="1"/>
        <n x="639"/>
        <n x="640"/>
      </t>
    </mdx>
    <mdx n="0" f="v">
      <t c="6" si="614">
        <n x="610"/>
        <n x="247"/>
        <n x="248"/>
        <n x="611" s="1"/>
        <n x="675"/>
        <n x="676"/>
      </t>
    </mdx>
    <mdx n="0" f="v">
      <t c="6" si="614">
        <n x="610"/>
        <n x="245"/>
        <n x="268"/>
        <n x="611" s="1"/>
        <n x="695"/>
        <n x="662"/>
      </t>
    </mdx>
    <mdx n="0" f="v">
      <t c="6" si="614">
        <n x="610"/>
        <n x="245"/>
        <n x="268"/>
        <n x="611" s="1"/>
        <n x="695"/>
        <n x="662"/>
      </t>
    </mdx>
    <mdx n="0" f="v">
      <t c="6" si="614">
        <n x="610"/>
        <n x="249"/>
        <n x="268"/>
        <n x="611" s="1"/>
        <n x="695"/>
        <n x="696"/>
      </t>
    </mdx>
    <mdx n="0" f="v">
      <t c="6" si="614">
        <n x="610"/>
        <n x="247"/>
        <n x="250"/>
        <n x="611" s="1"/>
        <n x="629"/>
        <n x="630"/>
      </t>
    </mdx>
    <mdx n="0" f="v">
      <t c="6" si="614">
        <n x="610"/>
        <n x="247"/>
        <n x="268"/>
        <n x="611" s="1"/>
        <n x="612"/>
        <n x="638"/>
      </t>
    </mdx>
    <mdx n="0" f="v">
      <t c="6" si="614">
        <n x="610"/>
        <n x="265"/>
        <n x="266"/>
        <n x="611" s="1"/>
        <n x="625"/>
        <n x="628"/>
      </t>
    </mdx>
    <mdx n="0" f="v">
      <t c="6" si="614">
        <n x="610"/>
        <n x="287"/>
        <n x="248"/>
        <n x="611" s="1"/>
        <n x="631"/>
        <n x="632"/>
      </t>
    </mdx>
    <mdx n="0" f="v">
      <t c="6" si="614">
        <n x="610"/>
        <n x="273"/>
        <n x="274"/>
        <n x="611" s="1"/>
        <n x="659"/>
        <n x="648"/>
      </t>
    </mdx>
    <mdx n="0" f="v">
      <t c="6" si="614">
        <n x="610"/>
        <n x="253"/>
        <n x="274"/>
        <n x="611" s="1"/>
        <n x="659"/>
        <n x="648"/>
      </t>
    </mdx>
    <mdx n="0" f="v">
      <t c="6" si="614">
        <n x="610"/>
        <n x="245"/>
        <n x="246"/>
        <n x="611" s="1"/>
        <n x="612"/>
        <n x="613"/>
      </t>
    </mdx>
    <mdx n="0" f="v">
      <t c="6" si="614">
        <n x="610"/>
        <n x="273"/>
        <n x="274"/>
        <n x="611" s="1"/>
        <n x="689"/>
        <n x="690"/>
      </t>
    </mdx>
    <mdx n="0" f="v">
      <t c="6" si="614">
        <n x="610"/>
        <n x="273"/>
        <n x="274"/>
        <n x="611" s="1"/>
        <n x="645"/>
        <n x="646"/>
      </t>
    </mdx>
    <mdx n="0" f="v">
      <t c="6" si="614">
        <n x="610"/>
        <n x="245"/>
        <n x="264"/>
        <n x="611" s="1"/>
        <n x="697"/>
        <n x="698"/>
      </t>
    </mdx>
    <mdx n="0" f="v">
      <t c="6" si="614">
        <n x="610"/>
        <n x="245"/>
        <n x="246"/>
        <n x="611" s="1"/>
        <n x="639"/>
        <n x="670"/>
      </t>
    </mdx>
    <mdx n="0" f="v">
      <t c="6" si="614">
        <n x="610"/>
        <n x="279"/>
        <n x="280"/>
        <n x="611" s="1"/>
        <n x="683"/>
        <n x="613"/>
      </t>
    </mdx>
    <mdx n="0" f="v">
      <t c="6" si="614">
        <n x="610"/>
        <n x="279"/>
        <n x="244"/>
        <n x="611" s="1"/>
        <n x="707"/>
        <n x="708"/>
      </t>
    </mdx>
    <mdx n="0" f="v">
      <t c="6" si="614">
        <n x="610"/>
        <n x="243"/>
        <n x="244"/>
        <n x="611" s="1"/>
        <n x="681"/>
        <n x="704"/>
      </t>
    </mdx>
    <mdx n="0" f="v">
      <t c="6" si="614">
        <n x="610"/>
        <n x="285"/>
        <n x="286"/>
        <n x="611" s="1"/>
        <n x="635"/>
        <n x="638"/>
      </t>
    </mdx>
    <mdx n="0" f="v">
      <t c="6" si="614">
        <n x="610"/>
        <n x="283"/>
        <n x="284"/>
        <n x="611" s="1"/>
        <n x="659"/>
        <n x="660"/>
      </t>
    </mdx>
    <mdx n="0" f="v">
      <t c="6" si="614">
        <n x="610"/>
        <n x="263"/>
        <n x="264"/>
        <n x="611" s="1"/>
        <n x="653"/>
        <n x="670"/>
      </t>
    </mdx>
    <mdx n="0" f="v">
      <t c="6" si="614">
        <n x="610"/>
        <n x="283"/>
        <n x="268"/>
        <n x="611" s="1"/>
        <n x="667"/>
        <n x="668"/>
      </t>
    </mdx>
    <mdx n="0" f="v">
      <t c="6" si="614">
        <n x="610"/>
        <n x="281"/>
        <n x="282"/>
        <n x="611" s="1"/>
        <n x="617"/>
        <n x="630"/>
      </t>
    </mdx>
    <mdx n="0" f="v">
      <t c="6" si="614">
        <n x="610"/>
        <n x="281"/>
        <n x="282"/>
        <n x="611" s="1"/>
        <n x="617"/>
        <n x="700"/>
      </t>
    </mdx>
    <mdx n="0" f="v">
      <t c="6" si="614">
        <n x="610"/>
        <n x="243"/>
        <n x="282"/>
        <n x="611" s="1"/>
        <n x="617"/>
        <n x="700"/>
      </t>
    </mdx>
    <mdx n="0" f="v">
      <t c="6" si="614">
        <n x="610"/>
        <n x="249"/>
        <n x="244"/>
        <n x="611" s="1"/>
        <n x="617"/>
        <n x="618"/>
      </t>
    </mdx>
    <mdx n="0" f="r">
      <t c="2">
        <n x="610"/>
        <n x="277"/>
      </t>
    </mdx>
    <mdx n="0" f="v">
      <t c="6" si="614">
        <n x="610"/>
        <n x="279"/>
        <n x="268"/>
        <n x="611" s="1"/>
        <n x="645"/>
        <n x="622"/>
      </t>
    </mdx>
    <mdx n="0" f="v">
      <t c="6" si="614">
        <n x="610"/>
        <n x="249"/>
        <n x="280"/>
        <n x="611" s="1"/>
        <n x="707"/>
        <n x="708"/>
      </t>
    </mdx>
    <mdx n="0" f="v">
      <t c="6" si="614">
        <n x="610"/>
        <n x="265"/>
        <n x="266"/>
        <n x="611" s="1"/>
        <n x="701"/>
        <n x="702"/>
      </t>
    </mdx>
    <mdx n="0" f="v">
      <t c="6" si="614">
        <n x="610"/>
        <n x="247"/>
        <n x="264"/>
        <n x="611" s="1"/>
        <n x="665"/>
        <n x="668"/>
      </t>
    </mdx>
    <mdx n="0" f="v">
      <t c="6" si="614">
        <n x="610"/>
        <n x="247"/>
        <n x="264"/>
        <n x="611" s="1"/>
        <n x="697"/>
        <n x="666"/>
      </t>
    </mdx>
    <mdx n="0" f="v">
      <t c="6" si="614">
        <n x="610"/>
        <n x="241"/>
        <n x="264"/>
        <n x="611" s="1"/>
        <n x="697"/>
        <n x="666"/>
      </t>
    </mdx>
    <mdx n="0" f="v">
      <t c="6" si="614">
        <n x="610"/>
        <n x="275"/>
        <n x="264"/>
        <n x="611" s="1"/>
        <n x="617"/>
        <n x="622"/>
      </t>
    </mdx>
    <mdx n="0" f="v">
      <t c="6" si="614">
        <n x="610"/>
        <n x="247"/>
        <n x="248"/>
        <n x="611" s="1"/>
        <n x="677"/>
        <n x="678"/>
      </t>
    </mdx>
    <mdx n="0" f="v">
      <t c="6" si="614">
        <n x="610"/>
        <n x="261"/>
        <n x="262"/>
        <n x="611" s="1"/>
        <n x="701"/>
        <n x="702"/>
      </t>
    </mdx>
    <mdx n="0" f="v">
      <t c="6" si="614">
        <n x="610"/>
        <n x="261"/>
        <n x="276"/>
        <n x="611" s="1"/>
        <n x="669"/>
        <n x="670"/>
      </t>
    </mdx>
    <mdx n="0" f="v">
      <t c="6" si="614">
        <n x="610"/>
        <n x="241"/>
        <n x="242"/>
        <n x="611" s="1"/>
        <n x="685"/>
        <n x="686"/>
      </t>
    </mdx>
    <mdx n="0" f="v">
      <t c="6" si="614">
        <n x="610"/>
        <n x="273"/>
        <n x="274"/>
        <n x="611" s="1"/>
        <n x="703"/>
        <n x="704"/>
      </t>
    </mdx>
    <mdx n="0" f="v">
      <t c="6" si="614">
        <n x="610"/>
        <n x="241"/>
        <n x="262"/>
        <n x="611" s="1"/>
        <n x="685"/>
        <n x="622"/>
      </t>
    </mdx>
    <mdx n="0" f="v">
      <t c="6" si="614">
        <n x="610"/>
        <n x="241"/>
        <n x="262"/>
        <n x="611" s="1"/>
        <n x="705"/>
        <n x="706"/>
      </t>
    </mdx>
    <mdx n="0" f="v">
      <t c="6" si="614">
        <n x="610"/>
        <n x="241"/>
        <n x="242"/>
        <n x="611" s="1"/>
        <n x="699"/>
        <n x="700"/>
      </t>
    </mdx>
    <mdx n="0" f="v">
      <t c="6" si="614">
        <n x="610"/>
        <n x="259"/>
        <n x="248"/>
        <n x="611" s="1"/>
        <n x="701"/>
        <n x="702"/>
      </t>
    </mdx>
    <mdx n="0" f="v">
      <t c="6" si="614">
        <n x="610"/>
        <n x="241"/>
        <n x="248"/>
        <n x="611" s="1"/>
        <n x="663"/>
        <n x="664"/>
      </t>
    </mdx>
    <mdx n="0" f="v">
      <t c="6" si="614">
        <n x="610"/>
        <n x="259"/>
        <n x="248"/>
        <n x="611" s="1"/>
        <n x="667"/>
        <n x="628"/>
      </t>
    </mdx>
    <mdx n="0" f="v">
      <t c="6" si="614">
        <n x="610"/>
        <n x="259"/>
        <n x="248"/>
        <n x="611" s="1"/>
        <n x="617"/>
        <n x="618"/>
      </t>
    </mdx>
    <mdx n="0" f="v">
      <t c="6" si="614">
        <n x="610"/>
        <n x="259"/>
        <n x="248"/>
        <n x="611" s="1"/>
        <n x="617"/>
        <n x="698"/>
      </t>
    </mdx>
    <mdx n="0" f="v">
      <t c="6" si="614">
        <n x="610"/>
        <n x="275"/>
        <n x="242"/>
        <n x="611" s="1"/>
        <n x="687"/>
        <n x="688"/>
      </t>
    </mdx>
    <mdx n="0" f="v">
      <t c="6" si="614">
        <n x="610"/>
        <n x="275"/>
        <n x="242"/>
        <n x="611" s="1"/>
        <n x="615"/>
        <n x="636"/>
      </t>
    </mdx>
    <mdx n="0" f="v">
      <t c="6" si="614">
        <n x="610"/>
        <n x="275"/>
        <n x="276"/>
        <n x="611" s="1"/>
        <n x="629"/>
        <n x="636"/>
      </t>
    </mdx>
    <mdx n="0" f="v">
      <t c="6" si="614">
        <n x="610"/>
        <n x="247"/>
        <n x="276"/>
        <n x="611" s="1"/>
        <n x="629"/>
        <n x="630"/>
      </t>
    </mdx>
    <mdx n="0" f="v">
      <t c="6" si="614">
        <n x="610"/>
        <n x="271"/>
        <n x="260"/>
        <n x="611" s="1"/>
        <n x="617"/>
        <n x="618"/>
      </t>
    </mdx>
    <mdx n="0" f="v">
      <t c="6" si="614">
        <n x="610"/>
        <n x="271"/>
        <n x="274"/>
        <n x="611" s="1"/>
        <n x="707"/>
        <n x="702"/>
      </t>
    </mdx>
    <mdx n="0" f="v">
      <t c="6" si="614">
        <n x="610"/>
        <n x="243"/>
        <n x="244"/>
        <n x="611" s="1"/>
        <n x="635"/>
        <n x="616"/>
      </t>
    </mdx>
    <mdx n="0" f="v">
      <t c="6" si="614">
        <n x="610"/>
        <n x="261"/>
        <n x="244"/>
        <n x="611" s="1"/>
        <n x="635"/>
        <n x="636"/>
      </t>
    </mdx>
    <mdx n="0" f="v">
      <t c="6" si="614">
        <n x="610"/>
        <n x="261"/>
        <n x="262"/>
        <n x="611" s="1"/>
        <n x="635"/>
        <n x="636"/>
      </t>
    </mdx>
    <mdx n="0" f="v">
      <t c="6" si="614">
        <n x="610"/>
        <n x="261"/>
        <n x="262"/>
        <n x="611" s="1"/>
        <n x="645"/>
        <n x="668"/>
      </t>
    </mdx>
    <mdx n="0" f="v">
      <t c="6" si="614">
        <n x="610"/>
        <n x="243"/>
        <n x="244"/>
        <n x="611" s="1"/>
        <n x="645"/>
        <n x="668"/>
      </t>
    </mdx>
    <mdx n="0" f="v">
      <t c="6" si="614">
        <n x="610"/>
        <n x="267"/>
        <n x="260"/>
        <n x="611" s="1"/>
        <n x="657"/>
        <n x="658"/>
      </t>
    </mdx>
    <mdx n="0" f="v">
      <t c="6" si="614">
        <n x="610"/>
        <n x="267"/>
        <n x="268"/>
        <n x="611" s="1"/>
        <n x="657"/>
        <n x="658"/>
      </t>
    </mdx>
    <mdx n="0" f="v">
      <t c="6" si="614">
        <n x="610"/>
        <n x="245"/>
        <n x="246"/>
        <n x="611" s="1"/>
        <n x="661"/>
        <n x="626"/>
      </t>
    </mdx>
    <mdx n="0" f="v">
      <t c="6" si="614">
        <n x="610"/>
        <n x="265"/>
        <n x="266"/>
        <n x="611" s="1"/>
        <n x="685"/>
        <n x="686"/>
      </t>
    </mdx>
    <mdx n="0" f="v">
      <t c="6" si="614">
        <n x="610"/>
        <n x="273"/>
        <n x="266"/>
        <n x="611" s="1"/>
        <n x="681"/>
        <n x="682"/>
      </t>
    </mdx>
    <mdx n="0" f="v">
      <t c="6" si="614">
        <n x="610"/>
        <n x="253"/>
        <n x="254"/>
        <n x="611" s="1"/>
        <n x="667"/>
        <n x="674"/>
      </t>
    </mdx>
    <mdx n="0" f="v">
      <t c="6" si="614">
        <n x="610"/>
        <n x="241"/>
        <n x="242"/>
        <n x="611" s="1"/>
        <n x="667"/>
        <n x="668"/>
      </t>
    </mdx>
    <mdx n="0" f="v">
      <t c="6" si="614">
        <n x="610"/>
        <n x="259"/>
        <n x="260"/>
        <n x="611" s="1"/>
        <n x="675"/>
        <n x="676"/>
      </t>
    </mdx>
    <mdx n="0" f="v">
      <t c="6" si="614">
        <n x="610"/>
        <n x="241"/>
        <n x="242"/>
        <n x="611" s="1"/>
        <n x="671"/>
        <n x="672"/>
      </t>
    </mdx>
    <mdx n="0" f="v">
      <t c="6" si="614">
        <n x="610"/>
        <n x="259"/>
        <n x="260"/>
        <n x="611" s="1"/>
        <n x="651"/>
        <n x="622"/>
      </t>
    </mdx>
    <mdx n="0" f="v">
      <t c="6" si="614">
        <n x="610"/>
        <n x="259"/>
        <n x="272"/>
        <n x="611" s="1"/>
        <n x="651"/>
        <n x="652"/>
      </t>
    </mdx>
    <mdx n="0" f="v">
      <t c="6" si="614">
        <n x="610"/>
        <n x="259"/>
        <n x="272"/>
        <n x="611" s="1"/>
        <n x="663"/>
        <n x="664"/>
      </t>
    </mdx>
    <mdx n="0" f="v">
      <t c="6" si="614">
        <n x="610"/>
        <n x="257"/>
        <n x="246"/>
        <n x="611" s="1"/>
        <n x="621"/>
        <n x="622"/>
      </t>
    </mdx>
    <mdx n="0" f="v">
      <t c="6" si="614">
        <n x="610"/>
        <n x="263"/>
        <n x="258"/>
        <n x="611" s="1"/>
        <n x="673"/>
        <n x="674"/>
      </t>
    </mdx>
    <mdx n="0" f="v">
      <t c="6" si="614">
        <n x="610"/>
        <n x="273"/>
        <n x="240"/>
        <n x="611" s="1"/>
        <n x="693"/>
        <n x="694"/>
      </t>
    </mdx>
    <mdx n="0" f="v">
      <t c="6" si="614">
        <n x="610"/>
        <n x="243"/>
        <n x="258"/>
        <n x="611" s="1"/>
        <n x="612"/>
        <n x="613"/>
      </t>
    </mdx>
    <mdx n="0" f="v">
      <t c="6" si="614">
        <n x="610"/>
        <n x="255"/>
        <n x="256"/>
        <n x="611" s="1"/>
        <n x="703"/>
        <n x="658"/>
      </t>
    </mdx>
    <mdx n="0" f="v">
      <t c="6" si="614">
        <n x="610"/>
        <n x="255"/>
        <n x="256"/>
        <n x="611" s="1"/>
        <n x="703"/>
        <n x="684"/>
      </t>
    </mdx>
    <mdx n="0" f="v">
      <t c="6" si="614">
        <n x="610"/>
        <n x="255"/>
        <n x="256"/>
        <n x="611" s="1"/>
        <n x="703"/>
        <n x="684"/>
      </t>
    </mdx>
    <mdx n="0" f="v">
      <t c="6" si="614">
        <n x="610"/>
        <n x="255"/>
        <n x="256"/>
        <n x="611" s="1"/>
        <n x="661"/>
        <n x="704"/>
      </t>
    </mdx>
    <mdx n="0" f="v">
      <t c="6" si="614">
        <n x="610"/>
        <n x="239"/>
        <n x="240"/>
        <n x="611" s="1"/>
        <n x="651"/>
        <n x="646"/>
      </t>
    </mdx>
    <mdx n="0" f="v">
      <t c="6" si="614">
        <n x="610"/>
        <n x="255"/>
        <n x="256"/>
        <n x="611" s="1"/>
        <n x="697"/>
        <n x="652"/>
      </t>
    </mdx>
    <mdx n="0" f="v">
      <t c="6" si="614">
        <n x="610"/>
        <n x="251"/>
        <n x="256"/>
        <n x="611" s="1"/>
        <n x="697"/>
        <n x="698"/>
      </t>
    </mdx>
    <mdx n="0" f="v">
      <t c="6" si="614">
        <n x="610"/>
        <n x="251"/>
        <n x="252"/>
        <n x="611" s="1"/>
        <n x="657"/>
        <n x="698"/>
      </t>
    </mdx>
    <mdx n="0" f="v">
      <t c="6" si="614">
        <n x="610"/>
        <n x="255"/>
        <n x="256"/>
        <n x="611" s="1"/>
        <n x="627"/>
        <n x="628"/>
      </t>
    </mdx>
    <mdx n="0" f="v">
      <t c="6" si="614">
        <n x="610"/>
        <n x="271"/>
        <n x="272"/>
        <n x="611" s="1"/>
        <n x="627"/>
        <n x="628"/>
      </t>
    </mdx>
    <mdx n="0" f="v">
      <t c="6" si="614">
        <n x="202"/>
        <n x="255"/>
        <n x="252"/>
        <n x="611" s="1"/>
        <n x="629"/>
        <n x="630"/>
      </t>
    </mdx>
    <mdx n="0" f="v">
      <t c="6" si="614">
        <n x="610"/>
        <n x="239"/>
        <n x="240"/>
        <n x="611" s="1"/>
        <n x="671"/>
        <n x="672"/>
      </t>
    </mdx>
    <mdx n="0" f="v">
      <t c="6" si="614">
        <n x="610"/>
        <n x="241"/>
        <n x="244"/>
        <n x="611" s="1"/>
        <n x="612"/>
        <n x="613"/>
      </t>
    </mdx>
    <mdx n="0" f="v">
      <t c="6" si="614">
        <n x="610"/>
        <n x="253"/>
        <n x="266"/>
        <n x="611" s="1"/>
        <n x="629"/>
        <n x="662"/>
      </t>
    </mdx>
    <mdx n="0" f="v">
      <t c="6" si="614">
        <n x="610"/>
        <n x="253"/>
        <n x="266"/>
        <n x="611" s="1"/>
        <n x="629"/>
        <n x="630"/>
      </t>
    </mdx>
    <mdx n="0" f="v">
      <t c="6" si="614">
        <n x="610"/>
        <n x="239"/>
        <n x="266"/>
        <n x="611" s="1"/>
        <n x="641"/>
        <n x="642"/>
      </t>
    </mdx>
    <mdx n="0" f="v">
      <t c="6" si="614">
        <n x="610"/>
        <n x="253"/>
        <n x="254"/>
        <n x="611" s="1"/>
        <n x="621"/>
        <n x="622"/>
      </t>
    </mdx>
    <mdx n="0" f="v">
      <t c="6" si="614">
        <n x="610"/>
        <n x="273"/>
        <n x="254"/>
        <n x="611" s="1"/>
        <n x="695"/>
        <n x="622"/>
      </t>
    </mdx>
    <mdx n="0" f="v">
      <t c="6" si="614">
        <n x="610"/>
        <n x="255"/>
        <n x="264"/>
        <n x="611" s="1"/>
        <n x="659"/>
        <n x="660"/>
      </t>
    </mdx>
    <mdx n="0" f="v">
      <t c="6" si="614">
        <n x="610"/>
        <n x="237"/>
        <n x="254"/>
        <n x="611" s="1"/>
        <n x="683"/>
        <n x="684"/>
      </t>
    </mdx>
    <mdx n="0" f="v">
      <t c="6" si="614">
        <n x="610"/>
        <n x="241"/>
        <n x="242"/>
        <n x="611" s="1"/>
        <n x="691"/>
        <n x="692"/>
      </t>
    </mdx>
    <mdx n="0" f="v">
      <t c="6" si="614">
        <n x="610"/>
        <n x="261"/>
        <n x="262"/>
        <n x="611" s="1"/>
        <n x="659"/>
        <n x="660"/>
      </t>
    </mdx>
    <mdx n="0" f="v">
      <t c="6" si="614">
        <n x="610"/>
        <n x="255"/>
        <n x="254"/>
        <n x="611" s="1"/>
        <n x="669"/>
        <n x="670"/>
      </t>
    </mdx>
    <mdx n="0" f="v">
      <t c="6" si="614">
        <n x="610"/>
        <n x="261"/>
        <n x="256"/>
        <n x="611" s="1"/>
        <n x="629"/>
        <n x="630"/>
      </t>
    </mdx>
    <mdx n="0" f="v">
      <t c="6" si="614">
        <n x="610"/>
        <n x="253"/>
        <n x="254"/>
        <n x="611" s="1"/>
        <n x="707"/>
        <n x="648"/>
      </t>
    </mdx>
    <mdx n="0" f="v">
      <t c="6" si="614">
        <n x="610"/>
        <n x="261"/>
        <n x="262"/>
        <n x="611" s="1"/>
        <n x="707"/>
        <n x="648"/>
      </t>
    </mdx>
    <mdx n="0" f="v">
      <t c="6" si="614">
        <n x="610"/>
        <n x="261"/>
        <n x="262"/>
        <n x="611" s="1"/>
        <n x="653"/>
        <n x="708"/>
      </t>
    </mdx>
    <mdx n="0" f="v">
      <t c="6" si="614">
        <n x="610"/>
        <n x="253"/>
        <n x="254"/>
        <n x="611" s="1"/>
        <n x="701"/>
        <n x="654"/>
      </t>
    </mdx>
    <mdx n="0" f="v">
      <t c="6" si="614">
        <n x="610"/>
        <n x="253"/>
        <n x="254"/>
        <n x="611" s="1"/>
        <n x="635"/>
        <n x="692"/>
      </t>
    </mdx>
    <mdx n="0" f="v">
      <t c="6" si="614">
        <n x="610"/>
        <n x="251"/>
        <n x="252"/>
        <n x="611" s="1"/>
        <n x="669"/>
        <n x="674"/>
      </t>
    </mdx>
    <mdx n="0" f="v">
      <t c="6" si="614">
        <n x="610"/>
        <n x="271"/>
        <n x="272"/>
        <n x="611" s="1"/>
        <n x="629"/>
        <n x="630"/>
      </t>
    </mdx>
    <mdx n="0" f="v">
      <t c="6" si="614">
        <n x="610"/>
        <n x="271"/>
        <n x="272"/>
        <n x="611" s="1"/>
        <n x="629"/>
        <n x="630"/>
      </t>
    </mdx>
    <mdx n="0" f="v">
      <t c="6" si="614">
        <n x="610"/>
        <n x="251"/>
        <n x="238"/>
        <n x="611" s="1"/>
        <n x="673"/>
        <n x="620"/>
      </t>
    </mdx>
    <mdx n="0" f="v">
      <t c="6" si="614">
        <n x="610"/>
        <n x="251"/>
        <n x="238"/>
        <n x="611" s="1"/>
        <n x="673"/>
        <n x="680"/>
      </t>
    </mdx>
    <mdx n="0" f="v">
      <t c="6" si="614">
        <n x="610"/>
        <n x="263"/>
        <n x="272"/>
        <n x="611" s="1"/>
        <n x="627"/>
        <n x="628"/>
      </t>
    </mdx>
    <mdx n="0" f="v">
      <t c="6" si="614">
        <n x="610"/>
        <n x="263"/>
        <n x="264"/>
        <n x="611" s="1"/>
        <n x="669"/>
        <n x="670"/>
      </t>
    </mdx>
    <mdx n="0" f="v">
      <t c="6" si="614">
        <n x="610"/>
        <n x="237"/>
        <n x="238"/>
        <n x="611" s="1"/>
        <n x="621"/>
        <n x="634"/>
      </t>
    </mdx>
    <mdx n="0" f="v">
      <t c="6" si="614">
        <n x="610"/>
        <n x="263"/>
        <n x="264"/>
        <n x="611" s="1"/>
        <n x="625"/>
        <n x="626"/>
      </t>
    </mdx>
    <mdx n="0" f="v">
      <t c="6" si="614">
        <n x="610"/>
        <n x="241"/>
        <n x="242"/>
        <n x="611" s="1"/>
        <n x="707"/>
        <n x="658"/>
      </t>
    </mdx>
    <mdx n="0" f="v">
      <t c="6" si="614">
        <n x="610"/>
        <n x="269"/>
        <n x="242"/>
        <n x="611" s="1"/>
        <n x="633"/>
        <n x="708"/>
      </t>
    </mdx>
    <mdx n="0" f="v">
      <t c="6" si="614">
        <n x="610"/>
        <n x="259"/>
        <n x="260"/>
        <n x="611" s="1"/>
        <n x="627"/>
        <n x="674"/>
      </t>
    </mdx>
    <mdx n="0" f="v">
      <t c="6" si="614">
        <n x="610"/>
        <n x="269"/>
        <n x="238"/>
        <n x="611" s="1"/>
        <n x="623"/>
        <n x="624"/>
      </t>
    </mdx>
    <mdx n="0" f="v">
      <t c="6" si="614">
        <n x="610"/>
        <n x="267"/>
        <n x="270"/>
        <n x="611" s="1"/>
        <n x="701"/>
        <n x="702"/>
      </t>
    </mdx>
    <mdx n="0" f="v">
      <t c="6" si="614">
        <n x="610"/>
        <n x="267"/>
        <n x="270"/>
        <n x="611" s="1"/>
        <n x="673"/>
        <n x="674"/>
      </t>
    </mdx>
    <mdx n="0" f="v">
      <t c="6" si="614">
        <n x="610"/>
        <n x="267"/>
        <n x="248"/>
        <n x="611" s="1"/>
        <n x="685"/>
        <n x="686"/>
      </t>
    </mdx>
    <mdx n="0" f="v">
      <t c="6" si="614">
        <n x="610"/>
        <n x="267"/>
        <n x="248"/>
        <n x="611" s="1"/>
        <n x="651"/>
        <n x="652"/>
      </t>
    </mdx>
    <mdx n="0" f="v">
      <t c="6" si="614">
        <n x="610"/>
        <n x="267"/>
        <n x="268"/>
        <n x="611" s="1"/>
        <n x="663"/>
        <n x="628"/>
      </t>
    </mdx>
    <mdx n="0" f="v">
      <t c="6" si="614">
        <n x="610"/>
        <n x="247"/>
        <n x="268"/>
        <n x="611" s="1"/>
        <n x="629"/>
        <n x="670"/>
      </t>
    </mdx>
    <mdx n="0" f="v">
      <t c="6" si="614">
        <n x="610"/>
        <n x="237"/>
        <n x="248"/>
        <n x="611" s="1"/>
        <n x="643"/>
        <n x="644"/>
      </t>
    </mdx>
    <mdx n="0" f="v">
      <t c="6" si="614">
        <n x="610"/>
        <n x="267"/>
        <n x="238"/>
        <n x="611" s="1"/>
        <n x="612"/>
        <n x="652"/>
      </t>
    </mdx>
    <mdx n="0" f="v">
      <t c="6" si="614">
        <n x="610"/>
        <n x="267"/>
        <n x="238"/>
        <n x="611" s="1"/>
        <n x="671"/>
        <n x="672"/>
      </t>
    </mdx>
    <mdx n="0" f="v">
      <t c="6" si="614">
        <n x="610"/>
        <n x="267"/>
        <n x="238"/>
        <n x="611" s="1"/>
        <n x="671"/>
        <n x="666"/>
      </t>
    </mdx>
    <mdx n="0" f="v">
      <t c="6" si="614">
        <n x="610"/>
        <n x="267"/>
        <n x="238"/>
        <n x="611" s="1"/>
        <n x="671"/>
        <n x="666"/>
      </t>
    </mdx>
    <mdx n="0" f="v">
      <t c="6" si="614">
        <n x="610"/>
        <n x="259"/>
        <n x="260"/>
        <n x="611" s="1"/>
        <n x="631"/>
        <n x="688"/>
      </t>
    </mdx>
    <mdx n="0" f="v">
      <t c="6" si="614">
        <n x="610"/>
        <n x="259"/>
        <n x="260"/>
        <n x="611" s="1"/>
        <n x="631"/>
        <n x="688"/>
      </t>
    </mdx>
    <mdx n="0" f="v">
      <t c="6" si="614">
        <n x="610"/>
        <n x="237"/>
        <n x="238"/>
        <n x="611" s="1"/>
        <n x="691"/>
        <n x="704"/>
      </t>
    </mdx>
    <mdx n="0" f="v">
      <t c="6" si="614">
        <n x="610"/>
        <n x="267"/>
        <n x="268"/>
        <n x="611" s="1"/>
        <n x="699"/>
        <n x="682"/>
      </t>
    </mdx>
    <mdx n="0" f="v">
      <t c="6" si="614">
        <n x="610"/>
        <n x="255"/>
        <n x="240"/>
        <n x="611" s="1"/>
        <n x="667"/>
        <n x="668"/>
      </t>
    </mdx>
    <mdx n="0" f="v">
      <t c="6" si="614">
        <n x="610"/>
        <n x="255"/>
        <n x="256"/>
        <n x="611" s="1"/>
        <n x="687"/>
        <n x="616"/>
      </t>
    </mdx>
    <mdx n="0" f="v">
      <t c="6" si="614">
        <n x="610"/>
        <n x="255"/>
        <n x="268"/>
        <n x="611" s="1"/>
        <n x="687"/>
        <n x="616"/>
      </t>
    </mdx>
    <mdx n="0" f="v">
      <t c="6" si="614">
        <n x="610"/>
        <n x="255"/>
        <n x="268"/>
        <n x="611" s="1"/>
        <n x="641"/>
        <n x="642"/>
      </t>
    </mdx>
    <mdx n="0" f="v">
      <t c="6" si="614">
        <n x="610"/>
        <n x="235"/>
        <n x="236"/>
        <n x="611" s="1"/>
        <n x="699"/>
        <n x="700"/>
      </t>
    </mdx>
    <mdx n="0" f="v">
      <t c="6" si="614">
        <n x="610"/>
        <n x="253"/>
        <n x="254"/>
        <n x="611" s="1"/>
        <n x="685"/>
        <n x="630"/>
      </t>
    </mdx>
    <mdx n="0" f="v">
      <t c="6" si="614">
        <n x="610"/>
        <n x="253"/>
        <n x="254"/>
        <n x="611" s="1"/>
        <n x="685"/>
        <n x="686"/>
      </t>
    </mdx>
    <mdx n="0" f="v">
      <t c="6" si="614">
        <n x="610"/>
        <n x="251"/>
        <n x="254"/>
        <n x="611" s="1"/>
        <n x="623"/>
        <n x="624"/>
      </t>
    </mdx>
    <mdx n="0" f="v">
      <t c="6" si="614">
        <n x="610"/>
        <n x="239"/>
        <n x="234"/>
        <n x="611" s="1"/>
        <n x="707"/>
        <n x="708"/>
      </t>
    </mdx>
    <mdx n="0" f="v">
      <t c="6" si="614">
        <n x="610"/>
        <n x="239"/>
        <n x="240"/>
        <n x="611" s="1"/>
        <n x="707"/>
        <n x="708"/>
      </t>
    </mdx>
    <mdx n="0" f="v">
      <t c="6" si="614">
        <n x="610"/>
        <n x="233"/>
        <n x="234"/>
        <n x="611" s="1"/>
        <n x="693"/>
        <n x="694"/>
      </t>
    </mdx>
    <mdx n="0" f="v">
      <t c="6" si="614">
        <n x="610"/>
        <n x="233"/>
        <n x="234"/>
        <n x="611" s="1"/>
        <n x="641"/>
        <n x="642"/>
      </t>
    </mdx>
    <mdx n="0" f="v">
      <t c="6" si="614">
        <n x="610"/>
        <n x="245"/>
        <n x="246"/>
        <n x="611" s="1"/>
        <n x="623"/>
        <n x="642"/>
      </t>
    </mdx>
    <mdx n="0" f="v">
      <t c="6" si="614">
        <n x="610"/>
        <n x="247"/>
        <n x="252"/>
        <n x="611" s="1"/>
        <n x="612"/>
        <n x="682"/>
      </t>
    </mdx>
    <mdx n="0" f="v">
      <t c="6" si="614">
        <n x="610"/>
        <n x="243"/>
        <n x="244"/>
        <n x="611" s="1"/>
        <n x="689"/>
        <n x="662"/>
      </t>
    </mdx>
    <mdx n="0" f="v">
      <t c="6" si="614">
        <n x="610"/>
        <n x="243"/>
        <n x="244"/>
        <n x="611" s="1"/>
        <n x="689"/>
        <n x="690"/>
      </t>
    </mdx>
    <mdx n="0" f="v">
      <t c="6" si="614">
        <n x="610"/>
        <n x="247"/>
        <n x="248"/>
        <n x="611" s="1"/>
        <n x="689"/>
        <n x="690"/>
      </t>
    </mdx>
    <mdx n="0" f="v">
      <t c="6" si="614">
        <n x="610"/>
        <n x="243"/>
        <n x="240"/>
        <n x="611" s="1"/>
        <n x="657"/>
        <n x="658"/>
      </t>
    </mdx>
    <mdx n="0" f="v">
      <t c="6" si="614">
        <n x="610"/>
        <n x="243"/>
        <n x="238"/>
        <n x="611" s="1"/>
        <n x="705"/>
        <n x="706"/>
      </t>
    </mdx>
    <mdx n="0" f="v">
      <t c="6" si="614">
        <n x="610"/>
        <n x="243"/>
        <n x="238"/>
        <n x="611" s="1"/>
        <n x="705"/>
        <n x="613"/>
      </t>
    </mdx>
    <mdx n="0" f="v">
      <t c="6" si="614">
        <n x="610"/>
        <n x="243"/>
        <n x="238"/>
        <n x="611" s="1"/>
        <n x="705"/>
        <n x="613"/>
      </t>
    </mdx>
    <mdx n="0" f="v">
      <t c="6" si="614">
        <n x="610"/>
        <n x="247"/>
        <n x="234"/>
        <n x="611" s="1"/>
        <n x="617"/>
        <n x="646"/>
      </t>
    </mdx>
    <mdx n="0" f="v">
      <t c="6" si="614">
        <n x="610"/>
        <n x="247"/>
        <n x="234"/>
        <n x="611" s="1"/>
        <n x="617"/>
        <n x="618"/>
      </t>
    </mdx>
    <mdx n="0" f="v">
      <t c="6" si="614">
        <n x="610"/>
        <n x="245"/>
        <n x="246"/>
        <n x="611" s="1"/>
        <n x="669"/>
        <n x="680"/>
      </t>
    </mdx>
    <mdx n="0" f="v">
      <t c="6" si="614">
        <n x="610"/>
        <n x="233"/>
        <n x="234"/>
        <n x="611" s="1"/>
        <n x="695"/>
        <n x="696"/>
      </t>
    </mdx>
    <mdx n="0" f="v">
      <t c="6" si="614">
        <n x="610"/>
        <n x="251"/>
        <n x="246"/>
        <n x="611" s="1"/>
        <n x="653"/>
        <n x="654"/>
      </t>
    </mdx>
    <mdx n="0" f="v">
      <t c="6" si="614">
        <n x="610"/>
        <n x="243"/>
        <n x="244"/>
        <n x="611" s="1"/>
        <n x="657"/>
        <n x="636"/>
      </t>
    </mdx>
    <mdx n="0" f="v">
      <t c="6" si="614">
        <n x="610"/>
        <n x="243"/>
        <n x="244"/>
        <n x="611" s="1"/>
        <n x="659"/>
        <n x="658"/>
      </t>
    </mdx>
    <mdx n="0" f="v">
      <t c="6" si="614">
        <n x="610"/>
        <n x="267"/>
        <n x="230"/>
        <n x="611" s="1"/>
        <n x="655"/>
        <n x="656"/>
      </t>
    </mdx>
    <mdx n="0" f="v">
      <t c="6" si="614">
        <n x="610"/>
        <n x="229"/>
        <n x="244"/>
        <n x="611" s="1"/>
        <n x="669"/>
        <n x="670"/>
      </t>
    </mdx>
    <mdx n="0" f="v">
      <t c="6" si="614">
        <n x="610"/>
        <n x="251"/>
        <n x="230"/>
        <n x="611" s="1"/>
        <n x="627"/>
        <n x="628"/>
      </t>
    </mdx>
    <mdx n="0" f="v">
      <t c="6" si="614">
        <n x="610"/>
        <n x="241"/>
        <n x="242"/>
        <n x="611" s="1"/>
        <n x="623"/>
        <n x="624"/>
      </t>
    </mdx>
    <mdx n="0" f="v">
      <t c="6" si="614">
        <n x="610"/>
        <n x="241"/>
        <n x="242"/>
        <n x="611" s="1"/>
        <n x="707"/>
        <n x="708"/>
      </t>
    </mdx>
    <mdx n="0" f="v">
      <t c="6" si="614">
        <n x="610"/>
        <n x="233"/>
        <n x="234"/>
        <n x="611" s="1"/>
        <n x="669"/>
        <n x="708"/>
      </t>
    </mdx>
    <mdx n="0" f="v">
      <t c="6" si="614">
        <n x="610"/>
        <n x="227"/>
        <n x="242"/>
        <n x="611" s="1"/>
        <n x="693"/>
        <n x="694"/>
      </t>
    </mdx>
    <mdx n="0" f="v">
      <t c="6" si="614">
        <n x="610"/>
        <n x="241"/>
        <n x="242"/>
        <n x="611" s="1"/>
        <n x="681"/>
        <n x="690"/>
      </t>
    </mdx>
    <mdx n="0" f="v">
      <t c="6" si="614">
        <n x="610"/>
        <n x="241"/>
        <n x="242"/>
        <n x="611" s="1"/>
        <n x="612"/>
        <n x="682"/>
      </t>
    </mdx>
    <mdx n="0" f="v">
      <t c="6" si="614">
        <n x="610"/>
        <n x="237"/>
        <n x="238"/>
        <n x="611" s="1"/>
        <n x="612"/>
        <n x="613"/>
      </t>
    </mdx>
    <mdx n="0" f="v">
      <t c="6" si="614">
        <n x="610"/>
        <n x="227"/>
        <n x="228"/>
        <n x="611" s="1"/>
        <n x="617"/>
        <n x="662"/>
      </t>
    </mdx>
    <mdx n="0" f="v">
      <t c="6" si="614">
        <n x="610"/>
        <n x="237"/>
        <n x="234"/>
        <n x="611" s="1"/>
        <n x="635"/>
        <n x="636"/>
      </t>
    </mdx>
    <mdx n="0" f="v">
      <t c="6" si="614">
        <n x="610"/>
        <n x="263"/>
        <n x="234"/>
        <n x="611" s="1"/>
        <n x="635"/>
        <n x="636"/>
      </t>
    </mdx>
    <mdx n="0" f="v">
      <t c="6" si="614">
        <n x="610"/>
        <n x="259"/>
        <n x="264"/>
        <n x="611" s="1"/>
        <n x="669"/>
        <n x="654"/>
      </t>
    </mdx>
    <mdx n="0" f="v">
      <t c="6" si="614">
        <n x="610"/>
        <n x="259"/>
        <n x="266"/>
        <n x="611" s="1"/>
        <n x="683"/>
        <n x="684"/>
      </t>
    </mdx>
    <mdx n="0" f="v">
      <t c="6" si="614">
        <n x="610"/>
        <n x="263"/>
        <n x="264"/>
        <n x="611" s="1"/>
        <n x="661"/>
        <n x="662"/>
      </t>
    </mdx>
    <mdx n="0" f="v">
      <t c="6" si="614">
        <n x="610"/>
        <n x="259"/>
        <n x="260"/>
        <n x="611" s="1"/>
        <n x="675"/>
        <n x="630"/>
      </t>
    </mdx>
    <mdx n="0" f="v">
      <t c="6" si="614">
        <n x="610"/>
        <n x="259"/>
        <n x="260"/>
        <n x="611" s="1"/>
        <n x="695"/>
        <n x="696"/>
      </t>
    </mdx>
    <mdx n="0" f="v">
      <t c="6" si="614">
        <n x="610"/>
        <n x="263"/>
        <n x="264"/>
        <n x="611" s="1"/>
        <n x="617"/>
        <n x="618"/>
      </t>
    </mdx>
    <mdx n="0" f="v">
      <t c="6" si="614">
        <n x="610"/>
        <n x="263"/>
        <n x="264"/>
        <n x="611" s="1"/>
        <n x="651"/>
        <n x="652"/>
      </t>
    </mdx>
    <mdx n="0" f="v">
      <t c="6" si="614">
        <n x="610"/>
        <n x="233"/>
        <n x="264"/>
        <n x="611" s="1"/>
        <n x="651"/>
        <n x="652"/>
      </t>
    </mdx>
    <mdx n="0" f="v">
      <t c="6" si="614">
        <n x="610"/>
        <n x="233"/>
        <n x="234"/>
        <n x="611" s="1"/>
        <n x="637"/>
        <n x="652"/>
      </t>
    </mdx>
    <mdx n="0" f="v">
      <t c="6" si="614">
        <n x="610"/>
        <n x="259"/>
        <n x="260"/>
        <n x="611" s="1"/>
        <n x="659"/>
        <n x="660"/>
      </t>
    </mdx>
    <mdx n="0" f="v">
      <t c="6" si="614">
        <n x="610"/>
        <n x="263"/>
        <n x="264"/>
        <n x="611" s="1"/>
        <n x="659"/>
        <n x="660"/>
      </t>
    </mdx>
    <mdx n="0" f="v">
      <t c="6" si="614">
        <n x="610"/>
        <n x="259"/>
        <n x="260"/>
        <n x="611" s="1"/>
        <n x="695"/>
        <n x="696"/>
      </t>
    </mdx>
    <mdx n="0" f="v">
      <t c="6" si="614">
        <n x="610"/>
        <n x="255"/>
        <n x="256"/>
        <n x="611" s="1"/>
        <n x="663"/>
        <n x="664"/>
      </t>
    </mdx>
    <mdx n="0" f="v">
      <t c="6" si="614">
        <n x="610"/>
        <n x="251"/>
        <n x="252"/>
        <n x="611" s="1"/>
        <n x="677"/>
        <n x="678"/>
      </t>
    </mdx>
    <mdx n="0" f="v">
      <t c="6" si="614">
        <n x="610"/>
        <n x="247"/>
        <n x="248"/>
        <n x="611" s="1"/>
        <n x="661"/>
        <n x="662"/>
      </t>
    </mdx>
    <mdx n="0" f="v">
      <t c="6" si="614">
        <n x="610"/>
        <n x="245"/>
        <n x="246"/>
        <n x="611" s="1"/>
        <n x="695"/>
        <n x="682"/>
      </t>
    </mdx>
    <mdx n="0" f="v">
      <t c="6" si="614">
        <n x="610"/>
        <n x="245"/>
        <n x="246"/>
        <n x="611" s="1"/>
        <n x="699"/>
        <n x="700"/>
      </t>
    </mdx>
    <mdx n="0" f="v">
      <t c="6" si="614">
        <n x="610"/>
        <n x="265"/>
        <n x="260"/>
        <n x="611" s="1"/>
        <n x="685"/>
        <n x="686"/>
      </t>
    </mdx>
    <mdx n="0" f="v">
      <t c="6" si="614">
        <n x="610"/>
        <n x="241"/>
        <n x="242"/>
        <n x="611" s="1"/>
        <n x="657"/>
        <n x="658"/>
      </t>
    </mdx>
    <mdx n="0" f="v">
      <t c="6" si="614">
        <n x="610"/>
        <n x="243"/>
        <n x="244"/>
        <n x="611" s="1"/>
        <n x="657"/>
        <n x="658"/>
      </t>
    </mdx>
    <mdx n="0" f="v">
      <t c="6" si="614">
        <n x="610"/>
        <n x="259"/>
        <n x="260"/>
        <n x="611" s="1"/>
        <n x="659"/>
        <n x="660"/>
      </t>
    </mdx>
    <mdx n="0" f="v">
      <t c="6" si="614">
        <n x="610"/>
        <n x="261"/>
        <n x="262"/>
        <n x="611" s="1"/>
        <n x="687"/>
        <n x="662"/>
      </t>
    </mdx>
    <mdx n="0" f="v">
      <t c="6" si="614">
        <n x="610"/>
        <n x="261"/>
        <n x="262"/>
        <n x="611" s="1"/>
        <n x="687"/>
        <n x="662"/>
      </t>
    </mdx>
    <mdx n="0" f="v">
      <t c="6" si="614">
        <n x="610"/>
        <n x="243"/>
        <n x="244"/>
        <n x="611" s="1"/>
        <n x="689"/>
        <n x="690"/>
      </t>
    </mdx>
    <mdx n="0" f="v">
      <t c="6" si="614">
        <n x="610"/>
        <n x="243"/>
        <n x="244"/>
        <n x="611" s="1"/>
        <n x="635"/>
        <n x="636"/>
      </t>
    </mdx>
    <mdx n="0" f="v">
      <t c="6" si="614">
        <n x="610"/>
        <n x="259"/>
        <n x="260"/>
        <n x="611" s="1"/>
        <n x="691"/>
        <n x="692"/>
      </t>
    </mdx>
    <mdx n="0" f="v">
      <t c="6" si="614">
        <n x="610"/>
        <n x="257"/>
        <n x="240"/>
        <n x="611" s="1"/>
        <n x="659"/>
        <n x="660"/>
      </t>
    </mdx>
    <mdx n="0" f="v">
      <t c="6" si="614">
        <n x="610"/>
        <n x="239"/>
        <n x="240"/>
        <n x="611" s="1"/>
        <n x="679"/>
        <n x="680"/>
      </t>
    </mdx>
    <mdx n="0" f="v">
      <t c="6" si="614">
        <n x="610"/>
        <n x="249"/>
        <n x="234"/>
        <n x="611" s="1"/>
        <n x="679"/>
        <n x="680"/>
      </t>
    </mdx>
    <mdx n="0" f="v">
      <t c="6" si="614">
        <n x="610"/>
        <n x="233"/>
        <n x="234"/>
        <n x="611" s="1"/>
        <n x="657"/>
        <n x="658"/>
      </t>
    </mdx>
    <mdx n="0" f="v">
      <t c="6" si="614">
        <n x="610"/>
        <n x="233"/>
        <n x="248"/>
        <n x="611" s="1"/>
        <n x="689"/>
        <n x="690"/>
      </t>
    </mdx>
    <mdx n="0" f="v">
      <t c="6" si="614">
        <n x="610"/>
        <n x="251"/>
        <n x="252"/>
        <n x="611" s="1"/>
        <n x="689"/>
        <n x="690"/>
      </t>
    </mdx>
    <mdx n="0" f="v">
      <t c="6" si="614">
        <n x="610"/>
        <n x="231"/>
        <n x="232"/>
        <n x="611" s="1"/>
        <n x="615"/>
        <n x="616"/>
      </t>
    </mdx>
    <mdx n="0" f="v">
      <t c="6" si="614">
        <n x="610"/>
        <n x="261"/>
        <n x="232"/>
        <n x="611" s="1"/>
        <n x="645"/>
        <n x="646"/>
      </t>
    </mdx>
    <mdx n="0" f="v">
      <t c="6" si="614">
        <n x="610"/>
        <n x="249"/>
        <n x="254"/>
        <n x="611" s="1"/>
        <n x="615"/>
        <n x="688"/>
      </t>
    </mdx>
    <mdx n="0" f="v">
      <t c="6" si="614">
        <n x="610"/>
        <n x="229"/>
        <n x="230"/>
        <n x="611" s="1"/>
        <n x="645"/>
        <n x="646"/>
      </t>
    </mdx>
    <mdx n="0" f="v">
      <t c="6" si="614">
        <n x="610"/>
        <n x="251"/>
        <n x="260"/>
        <n x="611" s="1"/>
        <n x="669"/>
        <n x="670"/>
      </t>
    </mdx>
    <mdx n="0" f="v">
      <t c="6" si="614">
        <n x="610"/>
        <n x="229"/>
        <n x="230"/>
        <n x="611" s="1"/>
        <n x="705"/>
        <n x="706"/>
      </t>
    </mdx>
    <mdx n="0" f="v">
      <t c="6" si="614">
        <n x="610"/>
        <n x="229"/>
        <n x="230"/>
        <n x="611" s="1"/>
        <n x="649"/>
        <n x="650"/>
      </t>
    </mdx>
    <mdx n="0" f="v">
      <t c="6" si="614">
        <n x="610"/>
        <n x="229"/>
        <n x="230"/>
        <n x="611" s="1"/>
        <n x="635"/>
        <n x="636"/>
      </t>
    </mdx>
    <mdx n="0" f="v">
      <t c="6" si="614">
        <n x="610"/>
        <n x="245"/>
        <n x="246"/>
        <n x="611" s="1"/>
        <n x="705"/>
        <n x="680"/>
      </t>
    </mdx>
    <mdx n="0" f="v">
      <t c="6" si="614">
        <n x="610"/>
        <n x="249"/>
        <n x="250"/>
        <n x="611" s="1"/>
        <n x="705"/>
        <n x="706"/>
      </t>
    </mdx>
    <mdx n="0" f="v">
      <t c="6" si="614">
        <n x="610"/>
        <n x="227"/>
        <n x="228"/>
        <n x="611" s="1"/>
        <n x="653"/>
        <n x="670"/>
      </t>
    </mdx>
    <mdx n="0" f="v">
      <t c="6" si="614">
        <n x="610"/>
        <n x="253"/>
        <n x="254"/>
        <n x="611" s="1"/>
        <n x="669"/>
        <n x="654"/>
      </t>
    </mdx>
    <mdx n="0" f="v">
      <t c="6" si="614">
        <n x="610"/>
        <n x="227"/>
        <n x="228"/>
        <n x="611" s="1"/>
        <n x="669"/>
        <n x="654"/>
      </t>
    </mdx>
    <mdx n="0" f="v">
      <t c="6" si="614">
        <n x="610"/>
        <n x="251"/>
        <n x="252"/>
        <n x="611" s="1"/>
        <n x="661"/>
        <n x="670"/>
      </t>
    </mdx>
    <mdx n="0" f="v">
      <t c="6" si="614">
        <n x="610"/>
        <n x="249"/>
        <n x="250"/>
        <n x="611" s="1"/>
        <n x="653"/>
        <n x="620"/>
      </t>
    </mdx>
    <mdx n="0" f="v">
      <t c="6" si="614">
        <n x="610"/>
        <n x="241"/>
        <n x="248"/>
        <n x="611" s="1"/>
        <n x="673"/>
        <n x="628"/>
      </t>
    </mdx>
    <mdx n="0" f="v">
      <t c="6" si="614">
        <n x="610"/>
        <n x="241"/>
        <n x="248"/>
        <n x="611" s="1"/>
        <n x="673"/>
        <n x="674"/>
      </t>
    </mdx>
    <mdx n="0" f="v">
      <t c="6" si="614">
        <n x="610"/>
        <n x="245"/>
        <n x="264"/>
        <n x="611" s="1"/>
        <n x="643"/>
        <n x="644"/>
      </t>
    </mdx>
    <mdx n="0" f="v">
      <t c="6" si="614">
        <n x="610"/>
        <n x="245"/>
        <n x="246"/>
        <n x="611" s="1"/>
        <n x="703"/>
        <n x="704"/>
      </t>
    </mdx>
    <mdx n="0" f="v">
      <t c="6" si="614">
        <n x="610"/>
        <n x="245"/>
        <n x="246"/>
        <n x="611" s="1"/>
        <n x="651"/>
        <n x="652"/>
      </t>
    </mdx>
    <mdx n="0" f="v">
      <t c="6" si="614">
        <n x="610"/>
        <n x="255"/>
        <n x="262"/>
        <n x="611" s="1"/>
        <n x="635"/>
        <n x="636"/>
      </t>
    </mdx>
    <mdx n="0" f="v">
      <t c="6" si="614">
        <n x="610"/>
        <n x="241"/>
        <n x="242"/>
        <n x="611" s="1"/>
        <n x="659"/>
        <n x="672"/>
      </t>
    </mdx>
    <mdx n="0" f="v">
      <t c="6" si="614">
        <n x="610"/>
        <n x="255"/>
        <n x="256"/>
        <n x="611" s="1"/>
        <n x="669"/>
        <n x="670"/>
      </t>
    </mdx>
    <mdx n="0" f="v">
      <t c="6" si="614">
        <n x="610"/>
        <n x="241"/>
        <n x="242"/>
        <n x="611" s="1"/>
        <n x="663"/>
        <n x="630"/>
      </t>
    </mdx>
    <mdx n="0" f="v">
      <t c="6" si="614">
        <n x="610"/>
        <n x="257"/>
        <n x="258"/>
        <n x="611" s="1"/>
        <n x="663"/>
        <n x="664"/>
      </t>
    </mdx>
    <mdx n="0" f="v">
      <t c="6" si="614">
        <n x="610"/>
        <n x="241"/>
        <n x="242"/>
        <n x="611" s="1"/>
        <n x="655"/>
        <n x="686"/>
      </t>
    </mdx>
    <mdx n="0" f="v">
      <t c="6" si="614">
        <n x="202"/>
        <n x="257"/>
        <n x="258"/>
        <n x="611" s="1"/>
        <n x="623"/>
        <n x="624"/>
      </t>
    </mdx>
    <mdx n="0" f="v">
      <t c="6" si="614">
        <n x="610"/>
        <n x="239"/>
        <n x="242"/>
        <n x="611" s="1"/>
        <n x="643"/>
        <n x="644"/>
      </t>
    </mdx>
    <mdx n="0" f="v">
      <t c="6" si="614">
        <n x="610"/>
        <n x="239"/>
        <n x="256"/>
        <n x="611" s="1"/>
        <n x="657"/>
        <n x="658"/>
      </t>
    </mdx>
    <mdx n="0" f="v">
      <t c="6" si="614">
        <n x="610"/>
        <n x="239"/>
        <n x="240"/>
        <n x="611" s="1"/>
        <n x="657"/>
        <n x="658"/>
      </t>
    </mdx>
    <mdx n="0" f="v">
      <t c="6" si="614">
        <n x="610"/>
        <n x="251"/>
        <n x="258"/>
        <n x="611" s="1"/>
        <n x="645"/>
        <n x="646"/>
      </t>
    </mdx>
    <mdx n="0" f="v">
      <t c="6" si="614">
        <n x="610"/>
        <n x="237"/>
        <n x="238"/>
        <n x="611" s="1"/>
        <n x="659"/>
        <n x="656"/>
      </t>
    </mdx>
    <mdx n="0" f="v">
      <t c="6" si="614">
        <n x="610"/>
        <n x="253"/>
        <n x="254"/>
        <n x="611" s="1"/>
        <n x="659"/>
        <n x="656"/>
      </t>
    </mdx>
    <mdx n="0" f="v">
      <t c="6" si="614">
        <n x="610"/>
        <n x="251"/>
        <n x="252"/>
        <n x="611" s="1"/>
        <n x="617"/>
        <n x="618"/>
      </t>
    </mdx>
    <mdx n="0" f="v">
      <t c="6" si="614">
        <n x="610"/>
        <n x="255"/>
        <n x="252"/>
        <n x="611" s="1"/>
        <n x="659"/>
        <n x="660"/>
      </t>
    </mdx>
    <mdx n="0" f="v">
      <t c="6" si="614">
        <n x="610"/>
        <n x="235"/>
        <n x="236"/>
        <n x="611" s="1"/>
        <n x="657"/>
        <n x="658"/>
      </t>
    </mdx>
    <mdx n="0" f="v">
      <t c="6" si="614">
        <n x="610"/>
        <n x="251"/>
        <n x="236"/>
        <n x="611" s="1"/>
        <n x="657"/>
        <n x="658"/>
      </t>
    </mdx>
    <mdx n="0" f="v">
      <t c="6" si="614">
        <n x="610"/>
        <n x="249"/>
        <n x="250"/>
        <n x="611" s="1"/>
        <n x="681"/>
        <n x="682"/>
      </t>
    </mdx>
    <mdx n="0" f="v">
      <t c="6" si="614">
        <n x="610"/>
        <n x="253"/>
        <n x="236"/>
        <n x="611" s="1"/>
        <n x="627"/>
        <n x="628"/>
      </t>
    </mdx>
    <mdx n="0" f="v">
      <t c="6" si="614">
        <n x="610"/>
        <n x="253"/>
        <n x="236"/>
        <n x="611" s="1"/>
        <n x="627"/>
        <n x="628"/>
      </t>
    </mdx>
    <mdx n="0" f="v">
      <t c="6" si="614">
        <n x="610"/>
        <n x="233"/>
        <n x="234"/>
        <n x="611" s="1"/>
        <n x="637"/>
        <n x="640"/>
      </t>
    </mdx>
    <mdx n="0" f="v">
      <t c="6" si="614">
        <n x="610"/>
        <n x="241"/>
        <n x="242"/>
        <n x="611" s="1"/>
        <n x="625"/>
        <n x="626"/>
      </t>
    </mdx>
    <mdx n="0" f="v">
      <t c="6" si="614">
        <n x="610"/>
        <n x="243"/>
        <n x="244"/>
        <n x="611" s="1"/>
        <n x="641"/>
        <n x="636"/>
      </t>
    </mdx>
    <mdx n="0" f="v">
      <t c="6" si="614">
        <n x="610"/>
        <n x="247"/>
        <n x="244"/>
        <n x="611" s="1"/>
        <n x="659"/>
        <n x="660"/>
      </t>
    </mdx>
    <mdx n="0" f="v">
      <t c="6" si="614">
        <n x="610"/>
        <n x="231"/>
        <n x="232"/>
        <n x="611" s="1"/>
        <n x="697"/>
        <n x="680"/>
      </t>
    </mdx>
    <mdx n="0" f="v">
      <t c="6" si="614">
        <n x="610"/>
        <n x="239"/>
        <n x="240"/>
        <n x="611" s="1"/>
        <n x="697"/>
        <n x="698"/>
      </t>
    </mdx>
    <mdx n="0" f="v">
      <t c="6" si="614">
        <n x="610"/>
        <n x="231"/>
        <n x="242"/>
        <n x="611" s="1"/>
        <n x="647"/>
        <n x="648"/>
      </t>
    </mdx>
    <mdx n="0" f="v">
      <t c="6" si="614">
        <n x="610"/>
        <n x="231"/>
        <n x="232"/>
        <n x="611" s="1"/>
        <n x="649"/>
        <n x="682"/>
      </t>
    </mdx>
    <mdx n="0" f="v">
      <t c="6" si="614">
        <n x="610"/>
        <n x="231"/>
        <n x="232"/>
        <n x="611" s="1"/>
        <n x="629"/>
        <n x="682"/>
      </t>
    </mdx>
    <mdx n="0" f="v">
      <t c="6" si="614">
        <n x="610"/>
        <n x="231"/>
        <n x="232"/>
        <n x="611" s="1"/>
        <n x="629"/>
        <n x="630"/>
      </t>
    </mdx>
    <mdx n="0" f="v">
      <t c="6" si="614">
        <n x="610"/>
        <n x="229"/>
        <n x="240"/>
        <n x="611" s="1"/>
        <n x="633"/>
        <n x="634"/>
      </t>
    </mdx>
    <mdx n="0" f="v">
      <t c="6" si="614">
        <n x="610"/>
        <n x="229"/>
        <n x="230"/>
        <n x="611" s="1"/>
        <n x="633"/>
        <n x="634"/>
      </t>
    </mdx>
    <mdx n="0" f="v">
      <t c="6" si="614">
        <n x="610"/>
        <n x="237"/>
        <n x="238"/>
        <n x="611" s="1"/>
        <n x="647"/>
        <n x="696"/>
      </t>
    </mdx>
    <mdx n="0" f="v">
      <t c="6" si="614">
        <n x="610"/>
        <n x="237"/>
        <n x="238"/>
        <n x="611" s="1"/>
        <n x="647"/>
        <n x="696"/>
      </t>
    </mdx>
    <mdx n="0" f="v">
      <t c="6" si="614">
        <n x="610"/>
        <n x="237"/>
        <n x="230"/>
        <n x="611" s="1"/>
        <n x="641"/>
        <n x="642"/>
      </t>
    </mdx>
    <mdx n="0" f="v">
      <t c="6" si="614">
        <n x="610"/>
        <n x="237"/>
        <n x="248"/>
        <n x="611" s="1"/>
        <n x="683"/>
        <n x="684"/>
      </t>
    </mdx>
    <mdx n="0" f="v">
      <t c="6" si="614">
        <n x="610"/>
        <n x="229"/>
        <n x="236"/>
        <n x="611" s="1"/>
        <n x="705"/>
        <n x="706"/>
      </t>
    </mdx>
    <mdx n="0" f="v">
      <t c="6" si="614">
        <n x="610"/>
        <n x="245"/>
        <n x="246"/>
        <n x="611" s="1"/>
        <n x="697"/>
        <n x="652"/>
      </t>
    </mdx>
    <mdx n="0" f="v">
      <t c="6" si="614">
        <n x="610"/>
        <n x="245"/>
        <n x="246"/>
        <n x="611" s="1"/>
        <n x="697"/>
        <n x="678"/>
      </t>
    </mdx>
    <mdx n="0" f="v">
      <t c="6" si="614">
        <n x="610"/>
        <n x="239"/>
        <n x="236"/>
        <n x="611" s="1"/>
        <n x="621"/>
        <n x="622"/>
      </t>
    </mdx>
    <mdx n="0" f="v">
      <t c="6" si="614">
        <n x="610"/>
        <n x="241"/>
        <n x="234"/>
        <n x="611" s="1"/>
        <n x="703"/>
        <n x="704"/>
      </t>
    </mdx>
    <mdx n="0" f="v">
      <t c="6" si="614">
        <n x="610"/>
        <n x="241"/>
        <n x="234"/>
        <n x="611" s="1"/>
        <n x="703"/>
        <n x="704"/>
      </t>
    </mdx>
    <mdx n="0" f="v">
      <t c="6" si="614">
        <n x="610"/>
        <n x="233"/>
        <n x="238"/>
        <n x="611" s="1"/>
        <n x="639"/>
        <n x="624"/>
      </t>
    </mdx>
    <mdx n="0" f="v">
      <t c="6" si="614">
        <n x="610"/>
        <n x="233"/>
        <n x="238"/>
        <n x="611" s="1"/>
        <n x="639"/>
        <n x="640"/>
      </t>
    </mdx>
    <mdx n="0" f="v">
      <t c="6" si="614">
        <n x="610"/>
        <n x="233"/>
        <n x="234"/>
        <n x="611" s="1"/>
        <n x="675"/>
        <n x="688"/>
      </t>
    </mdx>
    <mdx n="0" f="v">
      <t c="6" si="614">
        <n x="610"/>
        <n x="233"/>
        <n x="234"/>
        <n x="611" s="1"/>
        <n x="675"/>
        <n x="676"/>
      </t>
    </mdx>
    <mdx n="0" f="v">
      <t c="6" si="614">
        <n x="610"/>
        <n x="237"/>
        <n x="238"/>
        <n x="611" s="1"/>
        <n x="675"/>
        <n x="676"/>
      </t>
    </mdx>
    <mdx n="0" f="v">
      <t c="6" si="614">
        <n x="610"/>
        <n x="259"/>
        <n x="260"/>
        <n x="611" s="1"/>
        <n x="695"/>
        <n x="696"/>
      </t>
    </mdx>
    <mdx n="0" f="v">
      <t c="6" si="614">
        <n x="202"/>
        <n x="249"/>
        <n x="260"/>
        <n x="611" s="1"/>
        <n x="695"/>
        <n x="696"/>
      </t>
    </mdx>
    <mdx n="0" f="v">
      <t c="6" si="614">
        <n x="610"/>
        <n x="225"/>
        <n x="246"/>
        <n x="611" s="1"/>
        <n x="695"/>
        <n x="688"/>
      </t>
    </mdx>
    <mdx n="0" f="v">
      <t c="6" si="614">
        <n x="610"/>
        <n x="225"/>
        <n x="246"/>
        <n x="611" s="1"/>
        <n x="695"/>
        <n x="696"/>
      </t>
    </mdx>
    <mdx n="0" f="v">
      <t c="6" si="614">
        <n x="610"/>
        <n x="245"/>
        <n x="226"/>
        <n x="611" s="1"/>
        <n x="669"/>
        <n x="670"/>
      </t>
    </mdx>
    <mdx n="0" f="v">
      <t c="6" si="614">
        <n x="610"/>
        <n x="231"/>
        <n x="232"/>
        <n x="611" s="1"/>
        <n x="659"/>
        <n x="660"/>
      </t>
    </mdx>
    <mdx n="0" f="v">
      <t c="6" si="614">
        <n x="610"/>
        <n x="225"/>
        <n x="226"/>
        <n x="611" s="1"/>
        <n x="659"/>
        <n x="660"/>
      </t>
    </mdx>
    <mdx n="0" f="v">
      <t c="6" si="614">
        <n x="610"/>
        <n x="225"/>
        <n x="226"/>
        <n x="611" s="1"/>
        <n x="641"/>
        <n x="642"/>
      </t>
    </mdx>
    <mdx n="0" f="v">
      <t c="6" si="614">
        <n x="610"/>
        <n x="225"/>
        <n x="226"/>
        <n x="611" s="1"/>
        <n x="635"/>
        <n x="636"/>
      </t>
    </mdx>
    <mdx n="0" f="v">
      <t c="6" si="614">
        <n x="610"/>
        <n x="225"/>
        <n x="240"/>
        <n x="611" s="1"/>
        <n x="653"/>
        <n x="654"/>
      </t>
    </mdx>
    <mdx n="0" f="v">
      <t c="6" si="614">
        <n x="610"/>
        <n x="247"/>
        <n x="248"/>
        <n x="611" s="1"/>
        <n x="653"/>
        <n x="654"/>
      </t>
    </mdx>
    <mdx n="0" f="v">
      <t c="6" si="614">
        <n x="610"/>
        <n x="237"/>
        <n x="238"/>
        <n x="611" s="1"/>
        <n x="701"/>
        <n x="644"/>
      </t>
    </mdx>
    <mdx n="0" f="v">
      <t c="6" si="614">
        <n x="610"/>
        <n x="243"/>
        <n x="244"/>
        <n x="611" s="1"/>
        <n x="703"/>
        <n x="704"/>
      </t>
    </mdx>
    <mdx n="0" f="v">
      <t c="6" si="614">
        <n x="610"/>
        <n x="239"/>
        <n x="240"/>
        <n x="611" s="1"/>
        <n x="691"/>
        <n x="692"/>
      </t>
    </mdx>
    <mdx n="0" f="v">
      <t c="6" si="614">
        <n x="610"/>
        <n x="241"/>
        <n x="242"/>
        <n x="611" s="1"/>
        <n x="681"/>
        <n x="682"/>
      </t>
    </mdx>
    <mdx n="0" f="v">
      <t c="6" si="614">
        <n x="610"/>
        <n x="241"/>
        <n x="242"/>
        <n x="611" s="1"/>
        <n x="665"/>
        <n x="666"/>
      </t>
    </mdx>
    <mdx n="0" f="v">
      <t c="6" si="614">
        <n x="610"/>
        <n x="237"/>
        <n x="238"/>
        <n x="611" s="1"/>
        <n x="665"/>
        <n x="666"/>
      </t>
    </mdx>
    <mdx n="0" f="v">
      <t c="6" si="614">
        <n x="610"/>
        <n x="235"/>
        <n x="236"/>
        <n x="611" s="1"/>
        <n x="663"/>
        <n x="664"/>
      </t>
    </mdx>
    <mdx n="0" f="v">
      <t c="6" si="614">
        <n x="610"/>
        <n x="241"/>
        <n x="242"/>
        <n x="611" s="1"/>
        <n x="627"/>
        <n x="628"/>
      </t>
    </mdx>
    <mdx n="0" f="v">
      <t c="6" si="614">
        <n x="610"/>
        <n x="237"/>
        <n x="238"/>
        <n x="611" s="1"/>
        <n x="649"/>
        <n x="650"/>
      </t>
    </mdx>
    <mdx n="0" f="v">
      <t c="6" si="614">
        <n x="610"/>
        <n x="235"/>
        <n x="236"/>
        <n x="611" s="1"/>
        <n x="631"/>
        <n x="632"/>
      </t>
    </mdx>
    <mdx n="0" f="v">
      <t c="6" si="614">
        <n x="610"/>
        <n x="223"/>
        <n x="224"/>
        <n x="611" s="1"/>
        <n x="693"/>
        <n x="694"/>
      </t>
    </mdx>
    <mdx n="0" f="v">
      <t c="6" si="614">
        <n x="610"/>
        <n x="223"/>
        <n x="240"/>
        <n x="611" s="1"/>
        <n x="631"/>
        <n x="632"/>
      </t>
    </mdx>
    <mdx n="0" f="v">
      <t c="6" si="614">
        <n x="610"/>
        <n x="223"/>
        <n x="240"/>
        <n x="611" s="1"/>
        <n x="667"/>
        <n x="668"/>
      </t>
    </mdx>
    <mdx n="0" f="v">
      <t c="6" si="614">
        <n x="202"/>
        <n x="223"/>
        <n x="240"/>
        <n x="611" s="1"/>
        <n x="641"/>
        <n x="628"/>
      </t>
    </mdx>
    <mdx n="0" f="v">
      <t c="6" si="614">
        <n x="202"/>
        <n x="223"/>
        <n x="240"/>
        <n x="611" s="1"/>
        <n x="641"/>
        <n x="642"/>
      </t>
    </mdx>
    <mdx n="0" f="v">
      <t c="6" si="614">
        <n x="610"/>
        <n x="223"/>
        <n x="240"/>
        <n x="611" s="1"/>
        <n x="641"/>
        <n x="642"/>
      </t>
    </mdx>
    <mdx n="0" f="v">
      <t c="6" si="614">
        <n x="610"/>
        <n x="243"/>
        <n x="222"/>
        <n x="611" s="1"/>
        <n x="703"/>
        <n x="704"/>
      </t>
    </mdx>
    <mdx n="0" f="v">
      <t c="6" si="614">
        <n x="610"/>
        <n x="233"/>
        <n x="240"/>
        <n x="611" s="1"/>
        <n x="643"/>
        <n x="644"/>
      </t>
    </mdx>
    <mdx n="0" f="v">
      <t c="6" si="614">
        <n x="610"/>
        <n x="229"/>
        <n x="230"/>
        <n x="611" s="1"/>
        <n x="705"/>
        <n x="706"/>
      </t>
    </mdx>
    <mdx n="0" f="v">
      <t c="6" si="614">
        <n x="610"/>
        <n x="237"/>
        <n x="234"/>
        <n x="611" s="1"/>
        <n x="677"/>
        <n x="678"/>
      </t>
    </mdx>
    <mdx n="0" f="v">
      <t c="6" si="614">
        <n x="610"/>
        <n x="219"/>
        <n x="238"/>
        <n x="611" s="1"/>
        <n x="689"/>
        <n x="690"/>
      </t>
    </mdx>
    <mdx n="0" f="v">
      <t c="6" si="614">
        <n x="610"/>
        <n x="229"/>
        <n x="220"/>
        <n x="611" s="1"/>
        <n x="657"/>
        <n x="658"/>
      </t>
    </mdx>
    <mdx n="0" f="v">
      <t c="6" si="614">
        <n x="610"/>
        <n x="237"/>
        <n x="220"/>
        <n x="611" s="1"/>
        <n x="657"/>
        <n x="658"/>
      </t>
    </mdx>
    <mdx n="0" f="v">
      <t c="6" si="614">
        <n x="610"/>
        <n x="237"/>
        <n x="236"/>
        <n x="611" s="1"/>
        <n x="612"/>
        <n x="613"/>
      </t>
    </mdx>
    <mdx n="0" f="v">
      <t c="6" si="614">
        <n x="610"/>
        <n x="241"/>
        <n x="242"/>
        <n x="611" s="1"/>
        <n x="612"/>
        <n x="613"/>
      </t>
    </mdx>
    <mdx n="0" f="v">
      <t c="6" si="614">
        <n x="610"/>
        <n x="235"/>
        <n x="242"/>
        <n x="611" s="1"/>
        <n x="631"/>
        <n x="632"/>
      </t>
    </mdx>
    <mdx n="0" f="v">
      <t c="6" si="614">
        <n x="610"/>
        <n x="235"/>
        <n x="242"/>
        <n x="611" s="1"/>
        <n x="631"/>
        <n x="632"/>
      </t>
    </mdx>
    <mdx n="0" f="v">
      <t c="6" si="614">
        <n x="610"/>
        <n x="241"/>
        <n x="242"/>
        <n x="611" s="1"/>
        <n x="657"/>
        <n x="620"/>
      </t>
    </mdx>
    <mdx n="0" f="v">
      <t c="6" si="614">
        <n x="610"/>
        <n x="239"/>
        <n x="246"/>
        <n x="611" s="1"/>
        <n x="669"/>
        <n x="670"/>
      </t>
    </mdx>
    <mdx n="0" f="v">
      <t c="6" si="614">
        <n x="610"/>
        <n x="239"/>
        <n x="236"/>
        <n x="611" s="1"/>
        <n x="671"/>
        <n x="672"/>
      </t>
    </mdx>
    <mdx n="0" f="v">
      <t c="6" si="614">
        <n x="610"/>
        <n x="239"/>
        <n x="236"/>
        <n x="611" s="1"/>
        <n x="705"/>
        <n x="658"/>
      </t>
    </mdx>
    <mdx n="0" f="v">
      <t c="6" si="614">
        <n x="610"/>
        <n x="239"/>
        <n x="236"/>
        <n x="611" s="1"/>
        <n x="705"/>
        <n x="706"/>
      </t>
    </mdx>
    <mdx n="0" f="v">
      <t c="6" si="614">
        <n x="610"/>
        <n x="239"/>
        <n x="240"/>
        <n x="611" s="1"/>
        <n x="657"/>
        <n x="658"/>
      </t>
    </mdx>
    <mdx n="0" f="v">
      <t c="6" si="614">
        <n x="610"/>
        <n x="219"/>
        <n x="258"/>
        <n x="611" s="1"/>
        <n x="661"/>
        <n x="646"/>
      </t>
    </mdx>
    <mdx n="0" f="v">
      <t c="6" si="614">
        <n x="610"/>
        <n x="219"/>
        <n x="258"/>
        <n x="611" s="1"/>
        <n x="661"/>
        <n x="662"/>
      </t>
    </mdx>
    <mdx n="0" f="v">
      <t c="6" si="614">
        <n x="610"/>
        <n x="237"/>
        <n x="238"/>
        <n x="611" s="1"/>
        <n x="679"/>
        <n x="624"/>
      </t>
    </mdx>
    <mdx n="0" f="v">
      <t c="6" si="614">
        <n x="610"/>
        <n x="237"/>
        <n x="234"/>
        <n x="611" s="1"/>
        <n x="679"/>
        <n x="624"/>
      </t>
    </mdx>
    <mdx n="0" f="v">
      <t c="6" si="614">
        <n x="610"/>
        <n x="243"/>
        <n x="244"/>
        <n x="611" s="1"/>
        <n x="693"/>
        <n x="694"/>
      </t>
    </mdx>
    <mdx n="0" f="v">
      <t c="6" si="614">
        <n x="610"/>
        <n x="237"/>
        <n x="238"/>
        <n x="611" s="1"/>
        <n x="612"/>
        <n x="694"/>
      </t>
    </mdx>
    <mdx n="0" f="v">
      <t c="6" si="614">
        <n x="610"/>
        <n x="219"/>
        <n x="220"/>
        <n x="611" s="1"/>
        <n x="671"/>
        <n x="672"/>
      </t>
    </mdx>
    <mdx n="0" f="v">
      <t c="6" si="614">
        <n x="610"/>
        <n x="241"/>
        <n x="242"/>
        <n x="611" s="1"/>
        <n x="675"/>
        <n x="686"/>
      </t>
    </mdx>
    <mdx n="0" f="v">
      <t c="6" si="614">
        <n x="610"/>
        <n x="233"/>
        <n x="234"/>
        <n x="611" s="1"/>
        <n x="627"/>
        <n x="660"/>
      </t>
    </mdx>
    <mdx n="0" f="v">
      <t c="6" si="614">
        <n x="610"/>
        <n x="239"/>
        <n x="238"/>
        <n x="611" s="1"/>
        <n x="633"/>
        <n x="634"/>
      </t>
    </mdx>
    <mdx n="0" f="v">
      <t c="6" si="614">
        <n x="610"/>
        <n x="245"/>
        <n x="238"/>
        <n x="611" s="1"/>
        <n x="629"/>
        <n x="630"/>
      </t>
    </mdx>
    <mdx n="0" f="v">
      <t c="6" si="614">
        <n x="610"/>
        <n x="237"/>
        <n x="238"/>
        <n x="611" s="1"/>
        <n x="707"/>
        <n x="650"/>
      </t>
    </mdx>
    <mdx n="0" f="v">
      <t c="6" si="614">
        <n x="610"/>
        <n x="231"/>
        <n x="232"/>
        <n x="611" s="1"/>
        <n x="681"/>
        <n x="682"/>
      </t>
    </mdx>
    <mdx n="0" f="v">
      <t c="6" si="614">
        <n x="610"/>
        <n x="231"/>
        <n x="232"/>
        <n x="611" s="1"/>
        <n x="681"/>
        <n x="676"/>
      </t>
    </mdx>
    <mdx n="0" f="v">
      <t c="6" si="614">
        <n x="610"/>
        <n x="231"/>
        <n x="238"/>
        <n x="611" s="1"/>
        <n x="623"/>
        <n x="624"/>
      </t>
    </mdx>
    <mdx n="0" f="v">
      <t c="6" si="614">
        <n x="610"/>
        <n x="237"/>
        <n x="232"/>
        <n x="611" s="1"/>
        <n x="627"/>
        <n x="628"/>
      </t>
    </mdx>
    <mdx n="0" f="v">
      <t c="6" si="614">
        <n x="610"/>
        <n x="231"/>
        <n x="258"/>
        <n x="611" s="1"/>
        <n x="661"/>
        <n x="682"/>
      </t>
    </mdx>
    <mdx n="0" f="v">
      <t c="6" si="614">
        <n x="610"/>
        <n x="231"/>
        <n x="258"/>
        <n x="611" s="1"/>
        <n x="641"/>
        <n x="642"/>
      </t>
    </mdx>
    <mdx n="0" f="v">
      <t c="6" si="614">
        <n x="610"/>
        <n x="231"/>
        <n x="238"/>
        <n x="611" s="1"/>
        <n x="612"/>
        <n x="613"/>
      </t>
    </mdx>
    <mdx n="0" f="v">
      <t c="6" si="614">
        <n x="610"/>
        <n x="231"/>
        <n x="238"/>
        <n x="611" s="1"/>
        <n x="671"/>
        <n x="672"/>
      </t>
    </mdx>
    <mdx n="0" f="v">
      <t c="6" si="614">
        <n x="610"/>
        <n x="237"/>
        <n x="236"/>
        <n x="611" s="1"/>
        <n x="627"/>
        <n x="628"/>
      </t>
    </mdx>
    <mdx n="0" f="v">
      <t c="6" si="614">
        <n x="610"/>
        <n x="237"/>
        <n x="256"/>
        <n x="611" s="1"/>
        <n x="697"/>
        <n x="698"/>
      </t>
    </mdx>
    <mdx n="0" f="v">
      <t c="6" si="614">
        <n x="610"/>
        <n x="229"/>
        <n x="246"/>
        <n x="611" s="1"/>
        <n x="697"/>
        <n x="698"/>
      </t>
    </mdx>
    <mdx n="0" f="v">
      <t c="6" si="614">
        <n x="610"/>
        <n x="229"/>
        <n x="246"/>
        <n x="611" s="1"/>
        <n x="655"/>
        <n x="656"/>
      </t>
    </mdx>
    <mdx n="0" f="v">
      <t c="6" si="614">
        <n x="610"/>
        <n x="229"/>
        <n x="246"/>
        <n x="611" s="1"/>
        <n x="635"/>
        <n x="656"/>
      </t>
    </mdx>
    <mdx n="0" f="v">
      <t c="6" si="614">
        <n x="610"/>
        <n x="229"/>
        <n x="246"/>
        <n x="611" s="1"/>
        <n x="635"/>
        <n x="636"/>
      </t>
    </mdx>
    <mdx n="0" f="v">
      <t c="6" si="614">
        <n x="610"/>
        <n x="251"/>
        <n x="230"/>
        <n x="611" s="1"/>
        <n x="657"/>
        <n x="658"/>
      </t>
    </mdx>
    <mdx n="0" f="v">
      <t c="6" si="614">
        <n x="610"/>
        <n x="251"/>
        <n x="252"/>
        <n x="611" s="1"/>
        <n x="612"/>
        <n x="658"/>
      </t>
    </mdx>
    <mdx n="0" f="v">
      <t c="6" si="614">
        <n x="610"/>
        <n x="229"/>
        <n x="230"/>
        <n x="611" s="1"/>
        <n x="637"/>
        <n x="646"/>
      </t>
    </mdx>
    <mdx n="0" f="v">
      <t c="6" si="614">
        <n x="610"/>
        <n x="243"/>
        <n x="230"/>
        <n x="611" s="1"/>
        <n x="631"/>
        <n x="632"/>
      </t>
    </mdx>
    <mdx n="0" f="v">
      <t c="6" si="614">
        <n x="610"/>
        <n x="235"/>
        <n x="236"/>
        <n x="611" s="1"/>
        <n x="627"/>
        <n x="628"/>
      </t>
    </mdx>
    <mdx n="0" f="v">
      <t c="6" si="614">
        <n x="610"/>
        <n x="237"/>
        <n x="238"/>
        <n x="611" s="1"/>
        <n x="619"/>
        <n x="620"/>
      </t>
    </mdx>
    <mdx n="0" f="v">
      <t c="6" si="614">
        <n x="610"/>
        <n x="227"/>
        <n x="228"/>
        <n x="611" s="1"/>
        <n x="683"/>
        <n x="684"/>
      </t>
    </mdx>
    <mdx n="0" f="v">
      <t c="6" si="614">
        <n x="610"/>
        <n x="219"/>
        <n x="220"/>
        <n x="611" s="1"/>
        <n x="621"/>
        <n x="622"/>
      </t>
    </mdx>
    <mdx n="0" f="v">
      <t c="6" si="614">
        <n x="610"/>
        <n x="249"/>
        <n x="250"/>
        <n x="611" s="1"/>
        <n x="635"/>
        <n x="636"/>
      </t>
    </mdx>
    <mdx n="0" f="v">
      <t c="6" si="614">
        <n x="610"/>
        <n x="239"/>
        <n x="236"/>
        <n x="611" s="1"/>
        <n x="635"/>
        <n x="636"/>
      </t>
    </mdx>
    <mdx n="0" f="v">
      <t c="6" si="614">
        <n x="610"/>
        <n x="239"/>
        <n x="240"/>
        <n x="611" s="1"/>
        <n x="671"/>
        <n x="698"/>
      </t>
    </mdx>
    <mdx n="0" f="v">
      <t c="6" si="614">
        <n x="610"/>
        <n x="227"/>
        <n x="240"/>
        <n x="611" s="1"/>
        <n x="671"/>
        <n x="698"/>
      </t>
    </mdx>
    <mdx n="0" f="v">
      <t c="6" si="614">
        <n x="610"/>
        <n x="235"/>
        <n x="228"/>
        <n x="611" s="1"/>
        <n x="671"/>
        <n x="698"/>
      </t>
    </mdx>
    <mdx n="0" f="v">
      <t c="6" si="614">
        <n x="610"/>
        <n x="239"/>
        <n x="236"/>
        <n x="611" s="1"/>
        <n x="619"/>
        <n x="620"/>
      </t>
    </mdx>
    <mdx n="0" f="v">
      <t c="6" si="614">
        <n x="610"/>
        <n x="221"/>
        <n x="236"/>
        <n x="611" s="1"/>
        <n x="659"/>
        <n x="660"/>
      </t>
    </mdx>
    <mdx n="0" f="v">
      <t c="6" si="614">
        <n x="610"/>
        <n x="239"/>
        <n x="240"/>
        <n x="611" s="1"/>
        <n x="655"/>
        <n x="662"/>
      </t>
    </mdx>
    <mdx n="0" f="v">
      <t c="6" si="614">
        <n x="202"/>
        <n x="239"/>
        <n x="240"/>
        <n x="611" s="1"/>
        <n x="643"/>
        <n x="662"/>
      </t>
    </mdx>
    <mdx n="0" f="v">
      <t c="6" si="614">
        <n x="202"/>
        <n x="235"/>
        <n x="236"/>
        <n x="611" s="1"/>
        <n x="643"/>
        <n x="644"/>
      </t>
    </mdx>
    <mdx n="0" f="v">
      <t c="6" si="614">
        <n x="202"/>
        <n x="235"/>
        <n x="236"/>
        <n x="611" s="1"/>
        <n x="689"/>
        <n x="690"/>
      </t>
    </mdx>
    <mdx n="0" f="v">
      <t c="6" si="614">
        <n x="610"/>
        <n x="223"/>
        <n x="240"/>
        <n x="611" s="1"/>
        <n x="635"/>
        <n x="636"/>
      </t>
    </mdx>
    <mdx n="0" f="v">
      <t c="6" si="614">
        <n x="610"/>
        <n x="223"/>
        <n x="240"/>
        <n x="611" s="1"/>
        <n x="635"/>
        <n x="636"/>
      </t>
    </mdx>
    <mdx n="0" f="v">
      <t c="6" si="614">
        <n x="610"/>
        <n x="239"/>
        <n x="234"/>
        <n x="611" s="1"/>
        <n x="629"/>
        <n x="616"/>
      </t>
    </mdx>
    <mdx n="0" f="v">
      <t c="6" si="614">
        <n x="610"/>
        <n x="239"/>
        <n x="240"/>
        <n x="611" s="1"/>
        <n x="659"/>
        <n x="616"/>
      </t>
    </mdx>
    <mdx n="0" f="v">
      <t c="6" si="614">
        <n x="610"/>
        <n x="239"/>
        <n x="240"/>
        <n x="611" s="1"/>
        <n x="659"/>
        <n x="628"/>
      </t>
    </mdx>
    <mdx n="0" f="v">
      <t c="6" si="614">
        <n x="610"/>
        <n x="235"/>
        <n x="224"/>
        <n x="611" s="1"/>
        <n x="669"/>
        <n x="670"/>
      </t>
    </mdx>
    <mdx n="0" f="v">
      <t c="6" si="614">
        <n x="610"/>
        <n x="237"/>
        <n x="238"/>
        <n x="611" s="1"/>
        <n x="655"/>
        <n x="656"/>
      </t>
    </mdx>
    <mdx n="0" f="v">
      <t c="6" si="614">
        <n x="610"/>
        <n x="223"/>
        <n x="222"/>
        <n x="611" s="1"/>
        <n x="677"/>
        <n x="678"/>
      </t>
    </mdx>
    <mdx n="0" f="v">
      <t c="6" si="614">
        <n x="610"/>
        <n x="223"/>
        <n x="224"/>
        <n x="611" s="1"/>
        <n x="651"/>
        <n x="672"/>
      </t>
    </mdx>
    <mdx n="0" f="v">
      <t c="6" si="614">
        <n x="610"/>
        <n x="223"/>
        <n x="232"/>
        <n x="611" s="1"/>
        <n x="651"/>
        <n x="652"/>
      </t>
    </mdx>
    <mdx n="0" f="v">
      <t c="6" si="614">
        <n x="610"/>
        <n x="223"/>
        <n x="224"/>
        <n x="611" s="1"/>
        <n x="659"/>
        <n x="660"/>
      </t>
    </mdx>
    <mdx n="0" f="v">
      <t c="6" si="614">
        <n x="610"/>
        <n x="219"/>
        <n x="224"/>
        <n x="611" s="1"/>
        <n x="627"/>
        <n x="628"/>
      </t>
    </mdx>
    <mdx n="0" f="v">
      <t c="6" si="614">
        <n x="610"/>
        <n x="233"/>
        <n x="224"/>
        <n x="611" s="1"/>
        <n x="612"/>
        <n x="613"/>
      </t>
    </mdx>
    <mdx n="0" f="v">
      <t c="6" si="614">
        <n x="610"/>
        <n x="235"/>
        <n x="224"/>
        <n x="611" s="1"/>
        <n x="645"/>
        <n x="622"/>
      </t>
    </mdx>
    <mdx n="0" f="v">
      <t c="6" si="614">
        <n x="610"/>
        <n x="235"/>
        <n x="236"/>
        <n x="611" s="1"/>
        <n x="707"/>
        <n x="646"/>
      </t>
    </mdx>
    <mdx n="0" f="v">
      <t c="6" si="614">
        <n x="610"/>
        <n x="233"/>
        <n x="236"/>
        <n x="611" s="1"/>
        <n x="707"/>
        <n x="708"/>
      </t>
    </mdx>
    <mdx n="0" f="v">
      <t c="6" si="614">
        <n x="610"/>
        <n x="235"/>
        <n x="236"/>
        <n x="611" s="1"/>
        <n x="621"/>
        <n x="680"/>
      </t>
    </mdx>
    <mdx n="0" f="v">
      <t c="6" si="614">
        <n x="610"/>
        <n x="235"/>
        <n x="236"/>
        <n x="611" s="1"/>
        <n x="621"/>
        <n x="684"/>
      </t>
    </mdx>
    <mdx n="0" f="v">
      <t c="6" si="614">
        <n x="610"/>
        <n x="219"/>
        <n x="220"/>
        <n x="611" s="1"/>
        <n x="683"/>
        <n x="638"/>
      </t>
    </mdx>
    <mdx n="0" f="v">
      <t c="6" si="614">
        <n x="610"/>
        <n x="247"/>
        <n x="232"/>
        <n x="611" s="1"/>
        <n x="625"/>
        <n x="626"/>
      </t>
    </mdx>
    <mdx n="0" f="v">
      <t c="6" si="614">
        <n x="610"/>
        <n x="233"/>
        <n x="234"/>
        <n x="611" s="1"/>
        <n x="645"/>
        <n x="646"/>
      </t>
    </mdx>
    <mdx n="0" f="v">
      <t c="6" si="614">
        <n x="610"/>
        <n x="227"/>
        <n x="228"/>
        <n x="611" s="1"/>
        <n x="627"/>
        <n x="628"/>
      </t>
    </mdx>
    <mdx n="0" f="v">
      <t c="6" si="614">
        <n x="610"/>
        <n x="219"/>
        <n x="228"/>
        <n x="611" s="1"/>
        <n x="641"/>
        <n x="688"/>
      </t>
    </mdx>
    <mdx n="0" f="v">
      <t c="6" si="614">
        <n x="610"/>
        <n x="233"/>
        <n x="234"/>
        <n x="611" s="1"/>
        <n x="665"/>
        <n x="670"/>
      </t>
    </mdx>
    <mdx n="0" f="v">
      <t c="6" si="614">
        <n x="610"/>
        <n x="227"/>
        <n x="228"/>
        <n x="611" s="1"/>
        <n x="665"/>
        <n x="666"/>
      </t>
    </mdx>
    <mdx n="0" f="v">
      <t c="6" si="614">
        <n x="610"/>
        <n x="231"/>
        <n x="232"/>
        <n x="611" s="1"/>
        <n x="653"/>
        <n x="632"/>
      </t>
    </mdx>
    <mdx n="0" f="v">
      <t c="6" si="614">
        <n x="610"/>
        <n x="225"/>
        <n x="226"/>
        <n x="611" s="1"/>
        <n x="627"/>
        <n x="628"/>
      </t>
    </mdx>
    <mdx n="0" f="v">
      <t c="6" si="614">
        <n x="610"/>
        <n x="225"/>
        <n x="226"/>
        <n x="611" s="1"/>
        <n x="673"/>
        <n x="678"/>
      </t>
    </mdx>
    <mdx n="0" f="v">
      <t c="6" si="614">
        <n x="610"/>
        <n x="231"/>
        <n x="232"/>
        <n x="611" s="1"/>
        <n x="635"/>
        <n x="662"/>
      </t>
    </mdx>
    <mdx n="0" f="v">
      <t c="6" si="614">
        <n x="610"/>
        <n x="231"/>
        <n x="220"/>
        <n x="611" s="1"/>
        <n x="641"/>
        <n x="642"/>
      </t>
    </mdx>
    <mdx n="0" f="v">
      <t c="6" si="614">
        <n x="610"/>
        <n x="225"/>
        <n x="220"/>
        <n x="611" s="1"/>
        <n x="635"/>
        <n x="636"/>
      </t>
    </mdx>
    <mdx n="0" f="v">
      <t c="6" si="614">
        <n x="610"/>
        <n x="233"/>
        <n x="234"/>
        <n x="611" s="1"/>
        <n x="647"/>
        <n x="648"/>
      </t>
    </mdx>
    <mdx n="0" f="v">
      <t c="6" si="614">
        <n x="610"/>
        <n x="223"/>
        <n x="224"/>
        <n x="611" s="1"/>
        <n x="659"/>
        <n x="632"/>
      </t>
    </mdx>
    <mdx n="0" f="v">
      <t c="6" si="614">
        <n x="610"/>
        <n x="231"/>
        <n x="232"/>
        <n x="611" s="1"/>
        <n x="699"/>
        <n x="700"/>
      </t>
    </mdx>
    <mdx n="0" f="v">
      <t c="6" si="614">
        <n x="610"/>
        <n x="221"/>
        <n x="222"/>
        <n x="611" s="1"/>
        <n x="699"/>
        <n x="700"/>
      </t>
    </mdx>
    <mdx n="0" f="v">
      <t c="6" si="614">
        <n x="202"/>
        <n x="221"/>
        <n x="222"/>
        <n x="611" s="1"/>
        <n x="629"/>
        <n x="613"/>
      </t>
    </mdx>
    <mdx n="0" f="v">
      <t c="6" si="614">
        <n x="610"/>
        <n x="227"/>
        <n x="234"/>
        <n x="611" s="1"/>
        <n x="689"/>
        <n x="690"/>
      </t>
    </mdx>
    <mdx n="0" f="v">
      <t c="6" si="614">
        <n x="610"/>
        <n x="229"/>
        <n x="234"/>
        <n x="611" s="1"/>
        <n x="639"/>
        <n x="640"/>
      </t>
    </mdx>
    <mdx n="0" f="v">
      <t c="6" si="614">
        <n x="610"/>
        <n x="233"/>
        <n x="248"/>
        <n x="611" s="1"/>
        <n x="667"/>
        <n x="668"/>
      </t>
    </mdx>
    <mdx n="0" f="v">
      <t c="6" si="614">
        <n x="610"/>
        <n x="233"/>
        <n x="248"/>
        <n x="611" s="1"/>
        <n x="667"/>
        <n x="668"/>
      </t>
    </mdx>
    <mdx n="0" f="v">
      <t c="6" si="614">
        <n x="610"/>
        <n x="233"/>
        <n x="234"/>
        <n x="611" s="1"/>
        <n x="663"/>
        <n x="668"/>
      </t>
    </mdx>
    <mdx n="0" f="v">
      <t c="6" si="614">
        <n x="610"/>
        <n x="233"/>
        <n x="234"/>
        <n x="611" s="1"/>
        <n x="635"/>
        <n x="636"/>
      </t>
    </mdx>
    <mdx n="0" f="v">
      <t c="6" si="614">
        <n x="610"/>
        <n x="231"/>
        <n x="232"/>
        <n x="611" s="1"/>
        <n x="705"/>
        <n x="636"/>
      </t>
    </mdx>
    <mdx n="0" f="v">
      <t c="6" si="614">
        <n x="610"/>
        <n x="231"/>
        <n x="232"/>
        <n x="611" s="1"/>
        <n x="687"/>
        <n x="688"/>
      </t>
    </mdx>
    <mdx n="0" f="v">
      <t c="6" si="614">
        <n x="610"/>
        <n x="229"/>
        <n x="232"/>
        <n x="611" s="1"/>
        <n x="675"/>
        <n x="676"/>
      </t>
    </mdx>
    <mdx n="0" f="v">
      <t c="6" si="614">
        <n x="610"/>
        <n x="229"/>
        <n x="232"/>
        <n x="611" s="1"/>
        <n x="651"/>
        <n x="652"/>
      </t>
    </mdx>
    <mdx n="0" f="v">
      <t c="6" si="614">
        <n x="610"/>
        <n x="229"/>
        <n x="230"/>
        <n x="611" s="1"/>
        <n x="673"/>
        <n x="674"/>
      </t>
    </mdx>
    <mdx n="0" f="v">
      <t c="6" si="614">
        <n x="610"/>
        <n x="229"/>
        <n x="230"/>
        <n x="611" s="1"/>
        <n x="697"/>
        <n x="674"/>
      </t>
    </mdx>
    <mdx n="0" f="v">
      <t c="6" si="614">
        <n x="202"/>
        <n x="247"/>
        <n x="230"/>
        <n x="611" s="1"/>
        <n x="685"/>
        <n x="686"/>
      </t>
    </mdx>
    <mdx n="0" f="v">
      <t c="6" si="614">
        <n x="610"/>
        <n x="227"/>
        <n x="228"/>
        <n x="611" s="1"/>
        <n x="681"/>
        <n x="658"/>
      </t>
    </mdx>
    <mdx n="0" f="v">
      <t c="6" si="614">
        <n x="610"/>
        <n x="227"/>
        <n x="228"/>
        <n x="611" s="1"/>
        <n x="633"/>
        <n x="682"/>
      </t>
    </mdx>
    <mdx n="0" f="v">
      <t c="6" si="614">
        <n x="610"/>
        <n x="215"/>
        <n x="226"/>
        <n x="611" s="1"/>
        <n x="663"/>
        <n x="664"/>
      </t>
    </mdx>
    <mdx n="0" f="v">
      <t c="6" si="614">
        <n x="610"/>
        <n x="215"/>
        <n x="226"/>
        <n x="611" s="1"/>
        <n x="659"/>
        <n x="670"/>
      </t>
    </mdx>
    <mdx n="0" f="v">
      <t c="6" si="614">
        <n x="610"/>
        <n x="227"/>
        <n x="216"/>
        <n x="611" s="1"/>
        <n x="649"/>
        <n x="650"/>
      </t>
    </mdx>
    <mdx n="0" f="v">
      <t c="6" si="614">
        <n x="610"/>
        <n x="227"/>
        <n x="216"/>
        <n x="611" s="1"/>
        <n x="661"/>
        <n x="650"/>
      </t>
    </mdx>
    <mdx n="0" f="v">
      <t c="6" si="614">
        <n x="610"/>
        <n x="227"/>
        <n x="216"/>
        <n x="611" s="1"/>
        <n x="661"/>
        <n x="662"/>
      </t>
    </mdx>
    <mdx n="0" f="v">
      <t c="6" si="614">
        <n x="610"/>
        <n x="221"/>
        <n x="228"/>
        <n x="611" s="1"/>
        <n x="631"/>
        <n x="632"/>
      </t>
    </mdx>
    <mdx n="0" f="v">
      <t c="6" si="614">
        <n x="610"/>
        <n x="215"/>
        <n x="216"/>
        <n x="611" s="1"/>
        <n x="625"/>
        <n x="626"/>
      </t>
    </mdx>
    <mdx n="0" f="v">
      <t c="6" si="614">
        <n x="610"/>
        <n x="215"/>
        <n x="216"/>
        <n x="611" s="1"/>
        <n x="631"/>
        <n x="632"/>
      </t>
    </mdx>
    <mdx n="0" f="v">
      <t c="6" si="614">
        <n x="610"/>
        <n x="217"/>
        <n x="220"/>
        <n x="611" s="1"/>
        <n x="631"/>
        <n x="632"/>
      </t>
    </mdx>
    <mdx n="0" f="v">
      <t c="6" si="614">
        <n x="610"/>
        <n x="227"/>
        <n x="222"/>
        <n x="611" s="1"/>
        <n x="612"/>
        <n x="660"/>
      </t>
    </mdx>
    <mdx n="0" f="v">
      <t c="6" si="614">
        <n x="610"/>
        <n x="227"/>
        <n x="222"/>
        <n x="611" s="1"/>
        <n x="612"/>
        <n x="613"/>
      </t>
    </mdx>
    <mdx n="0" f="v">
      <t c="6" si="614">
        <n x="610"/>
        <n x="227"/>
        <n x="222"/>
        <n x="611" s="1"/>
        <n x="612"/>
        <n x="613"/>
      </t>
    </mdx>
    <mdx n="0" f="v">
      <t c="6" si="614">
        <n x="610"/>
        <n x="227"/>
        <n x="228"/>
        <n x="611" s="1"/>
        <n x="661"/>
        <n x="638"/>
      </t>
    </mdx>
    <mdx n="0" f="v">
      <t c="6" si="614">
        <n x="610"/>
        <n x="219"/>
        <n x="220"/>
        <n x="611" s="1"/>
        <n x="633"/>
        <n x="702"/>
      </t>
    </mdx>
    <mdx n="0" f="v">
      <t c="6" si="614">
        <n x="610"/>
        <n x="225"/>
        <n x="218"/>
        <n x="611" s="1"/>
        <n x="689"/>
        <n x="690"/>
      </t>
    </mdx>
    <mdx n="0" f="v">
      <t c="6" si="614">
        <n x="610"/>
        <n x="217"/>
        <n x="218"/>
        <n x="611" s="1"/>
        <n x="679"/>
        <n x="680"/>
      </t>
    </mdx>
    <mdx n="0" f="v">
      <t c="6" si="614">
        <n x="610"/>
        <n x="217"/>
        <n x="218"/>
        <n x="611" s="1"/>
        <n x="679"/>
        <n x="680"/>
      </t>
    </mdx>
    <mdx n="0" f="v">
      <t c="6" si="614">
        <n x="610"/>
        <n x="229"/>
        <n x="230"/>
        <n x="611" s="1"/>
        <n x="679"/>
        <n x="680"/>
      </t>
    </mdx>
    <mdx n="0" f="v">
      <t c="6" si="614">
        <n x="202"/>
        <n x="217"/>
        <n x="218"/>
        <n x="611" s="1"/>
        <n x="661"/>
        <n x="662"/>
      </t>
    </mdx>
    <mdx n="0" f="v">
      <t c="6" si="614">
        <n x="610"/>
        <n x="217"/>
        <n x="218"/>
        <n x="611" s="1"/>
        <n x="629"/>
        <n x="630"/>
      </t>
    </mdx>
    <mdx n="0" f="v">
      <t c="6" si="614">
        <n x="610"/>
        <n x="217"/>
        <n x="218"/>
        <n x="611" s="1"/>
        <n x="699"/>
        <n x="704"/>
      </t>
    </mdx>
    <mdx n="0" f="v">
      <t c="6" si="614">
        <n x="610"/>
        <n x="227"/>
        <n x="218"/>
        <n x="611" s="1"/>
        <n x="699"/>
        <n x="704"/>
      </t>
    </mdx>
    <mdx n="0" f="v">
      <t c="6" si="614">
        <n x="610"/>
        <n x="215"/>
        <n x="216"/>
        <n x="611" s="1"/>
        <n x="615"/>
        <n x="616"/>
      </t>
    </mdx>
    <mdx n="0" f="v">
      <t c="6" si="614">
        <n x="610"/>
        <n x="215"/>
        <n x="216"/>
        <n x="611" s="1"/>
        <n x="623"/>
        <n x="670"/>
      </t>
    </mdx>
    <mdx n="0" f="v">
      <t c="6" si="614">
        <n x="610"/>
        <n x="223"/>
        <n x="224"/>
        <n x="611" s="1"/>
        <n x="623"/>
        <n x="624"/>
      </t>
    </mdx>
    <mdx n="0" f="v">
      <t c="6" si="614">
        <n x="610"/>
        <n x="227"/>
        <n x="228"/>
        <n x="611" s="1"/>
        <n x="659"/>
        <n x="660"/>
      </t>
    </mdx>
    <mdx n="0" f="v">
      <t c="6" si="614">
        <n x="610"/>
        <n x="215"/>
        <n x="214"/>
        <n x="611" s="1"/>
        <n x="657"/>
        <n x="658"/>
      </t>
    </mdx>
    <mdx n="0" f="v">
      <t c="6" si="614">
        <n x="610"/>
        <n x="215"/>
        <n x="228"/>
        <n x="611" s="1"/>
        <n x="657"/>
        <n x="620"/>
      </t>
    </mdx>
    <mdx n="0" f="v">
      <t c="6" si="614">
        <n x="610"/>
        <n x="215"/>
        <n x="228"/>
        <n x="611" s="1"/>
        <n x="699"/>
        <n x="620"/>
      </t>
    </mdx>
    <mdx n="0" f="v">
      <t c="6" si="614">
        <n x="610"/>
        <n x="215"/>
        <n x="228"/>
        <n x="611" s="1"/>
        <n x="699"/>
        <n x="700"/>
      </t>
    </mdx>
    <mdx n="0" f="v">
      <t c="6" si="614">
        <n x="610"/>
        <n x="243"/>
        <n x="244"/>
        <n x="611" s="1"/>
        <n x="663"/>
        <n x="660"/>
      </t>
    </mdx>
    <mdx n="0" f="v">
      <t c="6" si="614">
        <n x="610"/>
        <n x="243"/>
        <n x="244"/>
        <n x="611" s="1"/>
        <n x="663"/>
        <n x="616"/>
      </t>
    </mdx>
    <mdx n="0" f="v">
      <t c="6" si="614">
        <n x="610"/>
        <n x="243"/>
        <n x="244"/>
        <n x="611" s="1"/>
        <n x="663"/>
        <n x="616"/>
      </t>
    </mdx>
    <mdx n="0" f="v">
      <t c="6" si="614">
        <n x="610"/>
        <n x="227"/>
        <n x="214"/>
        <n x="611" s="1"/>
        <n x="707"/>
        <n x="708"/>
      </t>
    </mdx>
    <mdx n="0" f="v">
      <t c="6" si="614">
        <n x="610"/>
        <n x="227"/>
        <n x="228"/>
        <n x="611" s="1"/>
        <n x="663"/>
        <n x="708"/>
      </t>
    </mdx>
    <mdx n="0" f="v">
      <t c="6" si="614">
        <n x="610"/>
        <n x="227"/>
        <n x="228"/>
        <n x="611" s="1"/>
        <n x="663"/>
        <n x="664"/>
      </t>
    </mdx>
    <mdx n="0" f="v">
      <t c="6" si="614">
        <n x="610"/>
        <n x="227"/>
        <n x="230"/>
        <n x="611" s="1"/>
        <n x="627"/>
        <n x="694"/>
      </t>
    </mdx>
    <mdx n="0" f="v">
      <t c="6" si="614">
        <n x="610"/>
        <n x="227"/>
        <n x="230"/>
        <n x="611" s="1"/>
        <n x="629"/>
        <n x="630"/>
      </t>
    </mdx>
    <mdx n="0" f="v">
      <t c="6" si="614">
        <n x="610"/>
        <n x="227"/>
        <n x="228"/>
        <n x="611" s="1"/>
        <n x="612"/>
        <n x="613"/>
      </t>
    </mdx>
    <mdx n="0" f="v">
      <t c="6" si="614">
        <n x="610"/>
        <n x="213"/>
        <n x="212"/>
        <n x="611" s="1"/>
        <n x="691"/>
        <n x="652"/>
      </t>
    </mdx>
    <mdx n="0" f="v">
      <t c="6" si="614">
        <n x="610"/>
        <n x="225"/>
        <n x="226"/>
        <n x="611" s="1"/>
        <n x="681"/>
        <n x="682"/>
      </t>
    </mdx>
    <mdx n="0" f="v">
      <t c="6" si="614">
        <n x="610"/>
        <n x="211"/>
        <n x="212"/>
        <n x="611" s="1"/>
        <n x="657"/>
        <n x="658"/>
      </t>
    </mdx>
    <mdx n="0" f="v">
      <t c="6" si="614">
        <n x="610"/>
        <n x="213"/>
        <n x="214"/>
        <n x="611" s="1"/>
        <n x="612"/>
        <n x="613"/>
      </t>
    </mdx>
    <mdx n="0" f="v">
      <t c="6" si="614">
        <n x="610"/>
        <n x="225"/>
        <n x="212"/>
        <n x="611" s="1"/>
        <n x="657"/>
        <n x="628"/>
      </t>
    </mdx>
    <mdx n="0" f="v">
      <t c="6" si="614">
        <n x="610"/>
        <n x="225"/>
        <n x="228"/>
        <n x="611" s="1"/>
        <n x="639"/>
        <n x="640"/>
      </t>
    </mdx>
    <mdx n="0" f="v">
      <t c="6" si="614">
        <n x="610"/>
        <n x="227"/>
        <n x="228"/>
        <n x="611" s="1"/>
        <n x="693"/>
        <n x="694"/>
      </t>
    </mdx>
    <mdx n="0" f="v">
      <t c="6" si="614">
        <n x="610"/>
        <n x="207"/>
        <n x="208"/>
        <n x="611" s="1"/>
        <n x="661"/>
        <n x="662"/>
      </t>
    </mdx>
    <mdx n="0" f="v">
      <t c="6" si="614">
        <n x="610"/>
        <n x="207"/>
        <n x="208"/>
        <n x="611" s="1"/>
        <n x="661"/>
        <n x="640"/>
      </t>
    </mdx>
    <mdx n="0" f="v">
      <t c="6" si="614">
        <n x="610"/>
        <n x="207"/>
        <n x="226"/>
        <n x="611" s="1"/>
        <n x="631"/>
        <n x="700"/>
      </t>
    </mdx>
    <mdx n="0" f="v">
      <t c="6" si="614">
        <n x="610"/>
        <n x="217"/>
        <n x="226"/>
        <n x="611" s="1"/>
        <n x="631"/>
        <n x="632"/>
      </t>
    </mdx>
    <mdx n="0" f="v">
      <t c="6" si="614">
        <n x="610"/>
        <n x="207"/>
        <n x="208"/>
        <n x="611" s="1"/>
        <n x="669"/>
        <n x="626"/>
      </t>
    </mdx>
    <mdx n="0" f="v">
      <t c="6" si="614">
        <n x="610"/>
        <n x="227"/>
        <n x="208"/>
        <n x="611" s="1"/>
        <n x="669"/>
        <n x="670"/>
      </t>
    </mdx>
    <mdx n="0" f="v">
      <t c="6" si="614">
        <n x="610"/>
        <n x="207"/>
        <n x="208"/>
        <n x="611" s="1"/>
        <n x="677"/>
        <n x="630"/>
      </t>
    </mdx>
    <mdx n="0" f="v">
      <t c="6" si="614">
        <n x="610"/>
        <n x="207"/>
        <n x="208"/>
        <n x="611" s="1"/>
        <n x="639"/>
        <n x="640"/>
      </t>
    </mdx>
    <mdx n="0" f="v">
      <t c="6" si="614">
        <n x="610"/>
        <n x="213"/>
        <n x="208"/>
        <n x="611" s="1"/>
        <n x="671"/>
        <n x="672"/>
      </t>
    </mdx>
    <mdx n="0" f="v">
      <t c="6" si="614">
        <n x="610"/>
        <n x="207"/>
        <n x="208"/>
        <n x="611" s="1"/>
        <n x="659"/>
        <n x="706"/>
      </t>
    </mdx>
    <mdx n="0" f="v">
      <t c="6" si="614">
        <n x="610"/>
        <n x="221"/>
        <n x="222"/>
        <n x="611" s="1"/>
        <n x="627"/>
        <n x="658"/>
      </t>
    </mdx>
    <mdx n="0" f="v">
      <t c="6" si="614">
        <n x="610"/>
        <n x="227"/>
        <n x="222"/>
        <n x="611" s="1"/>
        <n x="657"/>
        <n x="658"/>
      </t>
    </mdx>
    <mdx n="0" f="v">
      <t c="6" si="614">
        <n x="610"/>
        <n x="207"/>
        <n x="208"/>
        <n x="611" s="1"/>
        <n x="612"/>
        <n x="618"/>
      </t>
    </mdx>
    <mdx n="0" f="v">
      <t c="6" si="614">
        <n x="610"/>
        <n x="211"/>
        <n x="212"/>
        <n x="611" s="1"/>
        <n x="697"/>
        <n x="698"/>
      </t>
    </mdx>
    <mdx n="0" f="v">
      <t c="6" si="614">
        <n x="610"/>
        <n x="207"/>
        <n x="212"/>
        <n x="611" s="1"/>
        <n x="697"/>
        <n x="698"/>
      </t>
    </mdx>
    <mdx n="0" f="v">
      <t c="6" si="614">
        <n x="610"/>
        <n x="221"/>
        <n x="222"/>
        <n x="611" s="1"/>
        <n x="612"/>
        <n x="613"/>
      </t>
    </mdx>
    <mdx n="0" f="v">
      <t c="6" si="614">
        <n x="610"/>
        <n x="223"/>
        <n x="226"/>
        <n x="611" s="1"/>
        <n x="651"/>
        <n x="652"/>
      </t>
    </mdx>
    <mdx n="0" f="v">
      <t c="6" si="614">
        <n x="610"/>
        <n x="203"/>
        <n x="204"/>
        <n x="611" s="1"/>
        <n x="683"/>
        <n x="662"/>
      </t>
    </mdx>
    <mdx n="0" f="v">
      <t c="6" si="614">
        <n x="610"/>
        <n x="227"/>
        <n x="226"/>
        <n x="611" s="1"/>
        <n x="685"/>
        <n x="686"/>
      </t>
    </mdx>
    <mdx n="0" f="v">
      <t c="6" si="614">
        <n x="610"/>
        <n x="221"/>
        <n x="222"/>
        <n x="611" s="1"/>
        <n x="615"/>
        <n x="616"/>
      </t>
    </mdx>
    <mdx n="0" f="v">
      <t c="6" si="614">
        <n x="610"/>
        <n x="225"/>
        <n x="226"/>
        <n x="611" s="1"/>
        <n x="685"/>
        <n x="686"/>
      </t>
    </mdx>
    <mdx n="0" f="v">
      <t c="6" si="614">
        <n x="610"/>
        <n x="209"/>
        <n x="226"/>
        <n x="611" s="1"/>
        <n x="619"/>
        <n x="620"/>
      </t>
    </mdx>
    <mdx n="0" f="v">
      <t c="6" si="614">
        <n x="610"/>
        <n x="209"/>
        <n x="226"/>
        <n x="611" s="1"/>
        <n x="619"/>
        <n x="670"/>
      </t>
    </mdx>
    <mdx n="0" f="v">
      <t c="6" si="614">
        <n x="610"/>
        <n x="209"/>
        <n x="210"/>
        <n x="611" s="1"/>
        <n x="701"/>
        <n x="702"/>
      </t>
    </mdx>
    <mdx n="0" f="v">
      <t c="6" si="614">
        <n x="610"/>
        <n x="225"/>
        <n x="226"/>
        <n x="611" s="1"/>
        <n x="669"/>
        <n x="670"/>
      </t>
    </mdx>
    <mdx n="0" f="v">
      <t c="6" si="614">
        <n x="610"/>
        <n x="225"/>
        <n x="224"/>
        <n x="611" s="1"/>
        <n x="677"/>
        <n x="678"/>
      </t>
    </mdx>
    <mdx n="0" f="v">
      <t c="6" si="614">
        <n x="610"/>
        <n x="217"/>
        <n x="224"/>
        <n x="611" s="1"/>
        <n x="683"/>
        <n x="684"/>
      </t>
    </mdx>
    <mdx n="0" f="v">
      <t c="6" si="614">
        <n x="610"/>
        <n x="225"/>
        <n x="226"/>
        <n x="611" s="1"/>
        <n x="681"/>
        <n x="682"/>
      </t>
    </mdx>
    <mdx n="0" f="v">
      <t c="6" si="614">
        <n x="610"/>
        <n x="223"/>
        <n x="224"/>
        <n x="611" s="1"/>
        <n x="671"/>
        <n x="672"/>
      </t>
    </mdx>
    <mdx n="0" f="v">
      <t c="6" si="614">
        <n x="610"/>
        <n x="225"/>
        <n x="210"/>
        <n x="611" s="1"/>
        <n x="689"/>
        <n x="690"/>
      </t>
    </mdx>
    <mdx n="0" f="v">
      <t c="6" si="614">
        <n x="610"/>
        <n x="221"/>
        <n x="218"/>
        <n x="611" s="1"/>
        <n x="649"/>
        <n x="702"/>
      </t>
    </mdx>
    <mdx n="0" f="v">
      <t c="6" si="614">
        <n x="610"/>
        <n x="209"/>
        <n x="210"/>
        <n x="611" s="1"/>
        <n x="629"/>
        <n x="650"/>
      </t>
    </mdx>
    <mdx n="0" f="v">
      <t c="6" si="614">
        <n x="610"/>
        <n x="221"/>
        <n x="222"/>
        <n x="611" s="1"/>
        <n x="679"/>
        <n x="630"/>
      </t>
    </mdx>
    <mdx n="0" f="v">
      <t c="6" si="614">
        <n x="610"/>
        <n x="217"/>
        <n x="218"/>
        <n x="611" s="1"/>
        <n x="643"/>
        <n x="690"/>
      </t>
    </mdx>
    <mdx n="0" f="v">
      <t c="6" si="614">
        <n x="610"/>
        <n x="223"/>
        <n x="222"/>
        <n x="611" s="1"/>
        <n x="657"/>
        <n x="658"/>
      </t>
    </mdx>
    <mdx n="0" f="v">
      <t c="6" si="614">
        <n x="610"/>
        <n x="223"/>
        <n x="222"/>
        <n x="611" s="1"/>
        <n x="679"/>
        <n x="680"/>
      </t>
    </mdx>
    <mdx n="0" f="v">
      <t c="6" si="614">
        <n x="610"/>
        <n x="221"/>
        <n x="222"/>
        <n x="611" s="1"/>
        <n x="673"/>
        <n x="632"/>
      </t>
    </mdx>
    <mdx n="0" f="v">
      <t c="6" si="614">
        <n x="610"/>
        <n x="239"/>
        <n x="240"/>
        <n x="611" s="1"/>
        <n x="669"/>
        <n x="670"/>
      </t>
    </mdx>
    <mdx n="0" f="v">
      <t c="6" si="614">
        <n x="610"/>
        <n x="239"/>
        <n x="228"/>
        <n x="611" s="1"/>
        <n x="665"/>
        <n x="666"/>
      </t>
    </mdx>
    <mdx n="0" f="v">
      <t c="6" si="614">
        <n x="610"/>
        <n x="239"/>
        <n x="228"/>
        <n x="611" s="1"/>
        <n x="665"/>
        <n x="666"/>
      </t>
    </mdx>
    <mdx n="0" f="v">
      <t c="6" si="614">
        <n x="610"/>
        <n x="227"/>
        <n x="228"/>
        <n x="611" s="1"/>
        <n x="657"/>
        <n x="658"/>
      </t>
    </mdx>
    <mdx n="0" f="v">
      <t c="6" si="614">
        <n x="610"/>
        <n x="217"/>
        <n x="218"/>
        <n x="611" s="1"/>
        <n x="655"/>
        <n x="618"/>
      </t>
    </mdx>
    <mdx n="0" f="v">
      <t c="6" si="614">
        <n x="610"/>
        <n x="217"/>
        <n x="218"/>
        <n x="611" s="1"/>
        <n x="655"/>
        <n x="656"/>
      </t>
    </mdx>
    <mdx n="0" f="v">
      <t c="6" si="614">
        <n x="610"/>
        <n x="225"/>
        <n x="226"/>
        <n x="611" s="1"/>
        <n x="673"/>
        <n x="674"/>
      </t>
    </mdx>
    <mdx n="0" f="v">
      <t c="6" si="614">
        <n x="610"/>
        <n x="221"/>
        <n x="222"/>
        <n x="611" s="1"/>
        <n x="651"/>
        <n x="652"/>
      </t>
    </mdx>
    <mdx n="0" f="v">
      <t c="6" si="614">
        <n x="610"/>
        <n x="225"/>
        <n x="226"/>
        <n x="611" s="1"/>
        <n x="665"/>
        <n x="666"/>
      </t>
    </mdx>
    <mdx n="0" f="v">
      <t c="6" si="614">
        <n x="610"/>
        <n x="225"/>
        <n x="226"/>
        <n x="611" s="1"/>
        <n x="651"/>
        <n x="620"/>
      </t>
    </mdx>
    <mdx n="0" f="v">
      <t c="6" si="614">
        <n x="610"/>
        <n x="225"/>
        <n x="226"/>
        <n x="611" s="1"/>
        <n x="651"/>
        <n x="620"/>
      </t>
    </mdx>
    <mdx n="0" f="v">
      <t c="6" si="614">
        <n x="610"/>
        <n x="223"/>
        <n x="226"/>
        <n x="611" s="1"/>
        <n x="689"/>
        <n x="690"/>
      </t>
    </mdx>
    <mdx n="0" f="v">
      <t c="6" si="614">
        <n x="610"/>
        <n x="217"/>
        <n x="218"/>
        <n x="611" s="1"/>
        <n x="645"/>
        <n x="646"/>
      </t>
    </mdx>
    <mdx n="0" f="v">
      <t c="6" si="614">
        <n x="610"/>
        <n x="223"/>
        <n x="224"/>
        <n x="611" s="1"/>
        <n x="619"/>
        <n x="620"/>
      </t>
    </mdx>
    <mdx n="0" f="v">
      <t c="6" si="614">
        <n x="610"/>
        <n x="223"/>
        <n x="226"/>
        <n x="611" s="1"/>
        <n x="647"/>
        <n x="680"/>
      </t>
    </mdx>
    <mdx n="0" f="v">
      <t c="6" si="614">
        <n x="610"/>
        <n x="223"/>
        <n x="226"/>
        <n x="611" s="1"/>
        <n x="641"/>
        <n x="648"/>
      </t>
    </mdx>
    <mdx n="0" f="v">
      <t c="6" si="614">
        <n x="610"/>
        <n x="223"/>
        <n x="226"/>
        <n x="611" s="1"/>
        <n x="641"/>
        <n x="642"/>
      </t>
    </mdx>
    <mdx n="0" f="v">
      <t c="6" si="614">
        <n x="610"/>
        <n x="239"/>
        <n x="212"/>
        <n x="611" s="1"/>
        <n x="627"/>
        <n x="636"/>
      </t>
    </mdx>
    <mdx n="0" f="v">
      <t c="6" si="614">
        <n x="610"/>
        <n x="225"/>
        <n x="226"/>
        <n x="611" s="1"/>
        <n x="627"/>
        <n x="628"/>
      </t>
    </mdx>
    <mdx n="0" f="v">
      <t c="6" si="614">
        <n x="610"/>
        <n x="221"/>
        <n x="240"/>
        <n x="611" s="1"/>
        <n x="627"/>
        <n x="628"/>
      </t>
    </mdx>
    <mdx n="0" f="v">
      <t c="6" si="614">
        <n x="610"/>
        <n x="209"/>
        <n x="210"/>
        <n x="611" s="1"/>
        <n x="635"/>
        <n x="690"/>
      </t>
    </mdx>
    <mdx n="0" f="v">
      <t c="6" si="614">
        <n x="610"/>
        <n x="209"/>
        <n x="210"/>
        <n x="611" s="1"/>
        <n x="635"/>
        <n x="690"/>
      </t>
    </mdx>
    <mdx n="0" f="v">
      <t c="6" si="614">
        <n x="610"/>
        <n x="209"/>
        <n x="210"/>
        <n x="611" s="1"/>
        <n x="635"/>
        <n x="690"/>
      </t>
    </mdx>
    <mdx n="0" f="v">
      <t c="6" si="614">
        <n x="202"/>
        <n x="217"/>
        <n x="220"/>
        <n x="611" s="1"/>
        <n x="623"/>
        <n x="613"/>
      </t>
    </mdx>
    <mdx n="0" f="v">
      <t c="6" si="614">
        <n x="202"/>
        <n x="221"/>
        <n x="220"/>
        <n x="611" s="1"/>
        <n x="623"/>
        <n x="613"/>
      </t>
    </mdx>
    <mdx n="0" f="v">
      <t c="6" si="614">
        <n x="202"/>
        <n x="221"/>
        <n x="222"/>
        <n x="611" s="1"/>
        <n x="647"/>
        <n x="648"/>
      </t>
    </mdx>
    <mdx n="0" f="v">
      <t c="6" si="614">
        <n x="202"/>
        <n x="221"/>
        <n x="222"/>
        <n x="611" s="1"/>
        <n x="673"/>
        <n x="674"/>
      </t>
    </mdx>
    <mdx n="0" f="v">
      <t c="6" si="614">
        <n x="202"/>
        <n x="221"/>
        <n x="222"/>
        <n x="611" s="1"/>
        <n x="673"/>
        <n x="674"/>
      </t>
    </mdx>
    <mdx n="0" f="v">
      <t c="6" si="614">
        <n x="610"/>
        <n x="223"/>
        <n x="224"/>
        <n x="611" s="1"/>
        <n x="635"/>
        <n x="636"/>
      </t>
    </mdx>
    <mdx n="0" f="v">
      <t c="6" si="614">
        <n x="610"/>
        <n x="223"/>
        <n x="224"/>
        <n x="611" s="1"/>
        <n x="635"/>
        <n x="682"/>
      </t>
    </mdx>
    <mdx n="0" f="v">
      <t c="6" si="614">
        <n x="610"/>
        <n x="223"/>
        <n x="224"/>
        <n x="611" s="1"/>
        <n x="659"/>
        <n x="660"/>
      </t>
    </mdx>
    <mdx n="0" f="v">
      <t c="6" si="614">
        <n x="610"/>
        <n x="219"/>
        <n x="220"/>
        <n x="611" s="1"/>
        <n x="627"/>
        <n x="628"/>
      </t>
    </mdx>
    <mdx n="0" f="v">
      <t c="6" si="614">
        <n x="610"/>
        <n x="223"/>
        <n x="210"/>
        <n x="611" s="1"/>
        <n x="683"/>
        <n x="684"/>
      </t>
    </mdx>
    <mdx n="0" f="v">
      <t c="6" si="614">
        <n x="610"/>
        <n x="237"/>
        <n x="224"/>
        <n x="611" s="1"/>
        <n x="639"/>
        <n x="684"/>
      </t>
    </mdx>
    <mdx n="0" f="v">
      <t c="6" si="614">
        <n x="610"/>
        <n x="209"/>
        <n x="210"/>
        <n x="611" s="1"/>
        <n x="673"/>
        <n x="674"/>
      </t>
    </mdx>
    <mdx n="0" f="v">
      <t c="6" si="614">
        <n x="610"/>
        <n x="237"/>
        <n x="238"/>
        <n x="611" s="1"/>
        <n x="703"/>
        <n x="704"/>
      </t>
    </mdx>
    <mdx n="0" f="v">
      <t c="6" si="614">
        <n x="610"/>
        <n x="237"/>
        <n x="238"/>
        <n x="611" s="1"/>
        <n x="677"/>
        <n x="678"/>
      </t>
    </mdx>
    <mdx n="0" f="v">
      <t c="6" si="614">
        <n x="610"/>
        <n x="223"/>
        <n x="224"/>
        <n x="611" s="1"/>
        <n x="619"/>
        <n x="620"/>
      </t>
    </mdx>
    <mdx n="0" f="v">
      <t c="6" si="614">
        <n x="610"/>
        <n x="233"/>
        <n x="234"/>
        <n x="611" s="1"/>
        <n x="683"/>
        <n x="684"/>
      </t>
    </mdx>
    <mdx n="0" f="v">
      <t c="6" si="614">
        <n x="610"/>
        <n x="231"/>
        <n x="232"/>
        <n x="611" s="1"/>
        <n x="641"/>
        <n x="642"/>
      </t>
    </mdx>
    <mdx n="0" f="v">
      <t c="6" si="614">
        <n x="610"/>
        <n x="219"/>
        <n x="220"/>
        <n x="611" s="1"/>
        <n x="615"/>
        <n x="613"/>
      </t>
    </mdx>
    <mdx n="0" f="v">
      <t c="6" si="614">
        <n x="610"/>
        <n x="219"/>
        <n x="220"/>
        <n x="611" s="1"/>
        <n x="687"/>
        <n x="616"/>
      </t>
    </mdx>
    <mdx n="0" f="v">
      <t c="6" si="614">
        <n x="610"/>
        <n x="223"/>
        <n x="224"/>
        <n x="611" s="1"/>
        <n x="647"/>
        <n x="648"/>
      </t>
    </mdx>
    <mdx n="0" f="v">
      <t c="6" si="614">
        <n x="610"/>
        <n x="223"/>
        <n x="224"/>
        <n x="611" s="1"/>
        <n x="685"/>
        <n x="686"/>
      </t>
    </mdx>
    <mdx n="0" f="v">
      <t c="6" si="614">
        <n x="610"/>
        <n x="223"/>
        <n x="224"/>
        <n x="611" s="1"/>
        <n x="627"/>
        <n x="628"/>
      </t>
    </mdx>
    <mdx n="0" f="v">
      <t c="6" si="614">
        <n x="610"/>
        <n x="217"/>
        <n x="218"/>
        <n x="611" s="1"/>
        <n x="629"/>
        <n x="630"/>
      </t>
    </mdx>
    <mdx n="0" f="v">
      <t c="6" si="614">
        <n x="610"/>
        <n x="215"/>
        <n x="216"/>
        <n x="611" s="1"/>
        <n x="671"/>
        <n x="672"/>
      </t>
    </mdx>
    <mdx n="0" f="v">
      <t c="6" si="614">
        <n x="610"/>
        <n x="219"/>
        <n x="220"/>
        <n x="611" s="1"/>
        <n x="671"/>
        <n x="648"/>
      </t>
    </mdx>
    <mdx n="0" f="v">
      <t c="6" si="614">
        <n x="610"/>
        <n x="213"/>
        <n x="220"/>
        <n x="611" s="1"/>
        <n x="671"/>
        <n x="672"/>
      </t>
    </mdx>
    <mdx n="0" f="v">
      <t c="6" si="614">
        <n x="610"/>
        <n x="213"/>
        <n x="214"/>
        <n x="611" s="1"/>
        <n x="625"/>
        <n x="626"/>
      </t>
    </mdx>
    <mdx n="0" f="v">
      <t c="6" si="614">
        <n x="610"/>
        <n x="217"/>
        <n x="218"/>
        <n x="611" s="1"/>
        <n x="633"/>
        <n x="634"/>
      </t>
    </mdx>
    <mdx n="0" f="v">
      <t c="6" si="614">
        <n x="610"/>
        <n x="215"/>
        <n x="216"/>
        <n x="611" s="1"/>
        <n x="657"/>
        <n x="658"/>
      </t>
    </mdx>
    <mdx n="0" f="v">
      <t c="6" si="614">
        <n x="610"/>
        <n x="211"/>
        <n x="238"/>
        <n x="611" s="1"/>
        <n x="612"/>
        <n x="613"/>
      </t>
    </mdx>
    <mdx n="0" f="v">
      <t c="6" si="614">
        <n x="610"/>
        <n x="211"/>
        <n x="238"/>
        <n x="611" s="1"/>
        <n x="633"/>
        <n x="670"/>
      </t>
    </mdx>
    <mdx n="0" f="v">
      <t c="6" si="614">
        <n x="610"/>
        <n x="231"/>
        <n x="214"/>
        <n x="611" s="1"/>
        <n x="673"/>
        <n x="674"/>
      </t>
    </mdx>
    <mdx n="0" f="v">
      <t c="6" si="614">
        <n x="610"/>
        <n x="209"/>
        <n x="210"/>
        <n x="611" s="1"/>
        <n x="671"/>
        <n x="674"/>
      </t>
    </mdx>
    <mdx n="0" f="v">
      <t c="6" si="614">
        <n x="610"/>
        <n x="213"/>
        <n x="214"/>
        <n x="611" s="1"/>
        <n x="669"/>
        <n x="670"/>
      </t>
    </mdx>
    <mdx n="0" f="v">
      <t c="6" si="614">
        <n x="610"/>
        <n x="217"/>
        <n x="214"/>
        <n x="611" s="1"/>
        <n x="643"/>
        <n x="644"/>
      </t>
    </mdx>
    <mdx n="0" f="v">
      <t c="6" si="614">
        <n x="610"/>
        <n x="209"/>
        <n x="210"/>
        <n x="611" s="1"/>
        <n x="651"/>
        <n x="652"/>
      </t>
    </mdx>
    <mdx n="0" f="v">
      <t c="6" si="614">
        <n x="610"/>
        <n x="211"/>
        <n x="212"/>
        <n x="611" s="1"/>
        <n x="671"/>
        <n x="660"/>
      </t>
    </mdx>
    <mdx n="0" f="v">
      <t c="6" si="614">
        <n x="610"/>
        <n x="211"/>
        <n x="222"/>
        <n x="611" s="1"/>
        <n x="615"/>
        <n x="616"/>
      </t>
    </mdx>
    <mdx n="0" f="v">
      <t c="6" si="614">
        <n x="610"/>
        <n x="205"/>
        <n x="206"/>
        <n x="611" s="1"/>
        <n x="705"/>
        <n x="632"/>
      </t>
    </mdx>
    <mdx n="0" f="v">
      <t c="6" si="614">
        <n x="610"/>
        <n x="207"/>
        <n x="206"/>
        <n x="611" s="1"/>
        <n x="691"/>
        <n x="692"/>
      </t>
    </mdx>
    <mdx n="0" f="v">
      <t c="6" si="614">
        <n x="610"/>
        <n x="215"/>
        <n x="212"/>
        <n x="611" s="1"/>
        <n x="623"/>
        <n x="624"/>
      </t>
    </mdx>
    <mdx n="0" f="v">
      <t c="6" si="614">
        <n x="610"/>
        <n x="231"/>
        <n x="210"/>
        <n x="611" s="1"/>
        <n x="703"/>
        <n x="704"/>
      </t>
    </mdx>
    <mdx n="0" f="v">
      <t c="6" si="614">
        <n x="610"/>
        <n x="231"/>
        <n x="210"/>
        <n x="611" s="1"/>
        <n x="615"/>
        <n x="616"/>
      </t>
    </mdx>
    <mdx n="0" f="v">
      <t c="6" si="614">
        <n x="610"/>
        <n x="215"/>
        <n x="216"/>
        <n x="611" s="1"/>
        <n x="615"/>
        <n x="624"/>
      </t>
    </mdx>
    <mdx n="0" f="v">
      <t c="6" si="614">
        <n x="610"/>
        <n x="209"/>
        <n x="210"/>
        <n x="611" s="1"/>
        <n x="691"/>
        <n x="692"/>
      </t>
    </mdx>
    <mdx n="0" f="v">
      <t c="6" si="614">
        <n x="610"/>
        <n x="211"/>
        <n x="212"/>
        <n x="611" s="1"/>
        <n x="627"/>
        <n x="628"/>
      </t>
    </mdx>
    <mdx n="0" f="v">
      <t c="6" si="614">
        <n x="610"/>
        <n x="225"/>
        <n x="226"/>
        <n x="611" s="1"/>
        <n x="621"/>
        <n x="622"/>
      </t>
    </mdx>
    <mdx n="0" f="v">
      <t c="6" si="614">
        <n x="610"/>
        <n x="209"/>
        <n x="210"/>
        <n x="611" s="1"/>
        <n x="641"/>
        <n x="642"/>
      </t>
    </mdx>
    <mdx n="0" f="v">
      <t c="6" si="614">
        <n x="610"/>
        <n x="219"/>
        <n x="220"/>
        <n x="611" s="1"/>
        <n x="671"/>
        <n x="672"/>
      </t>
    </mdx>
    <mdx n="0" f="v">
      <t c="6" si="614">
        <n x="610"/>
        <n x="205"/>
        <n x="206"/>
        <n x="611" s="1"/>
        <n x="683"/>
        <n x="684"/>
      </t>
    </mdx>
    <mdx n="0" f="v">
      <t c="6" si="614">
        <n x="610"/>
        <n x="207"/>
        <n x="208"/>
        <n x="611" s="1"/>
        <n x="683"/>
        <n x="622"/>
      </t>
    </mdx>
    <mdx n="0" f="v">
      <t c="6" si="614">
        <n x="610"/>
        <n x="215"/>
        <n x="216"/>
        <n x="611" s="1"/>
        <n x="647"/>
        <n x="648"/>
      </t>
    </mdx>
    <mdx n="0" f="v">
      <t c="6" si="614">
        <n x="610"/>
        <n x="209"/>
        <n x="210"/>
        <n x="611" s="1"/>
        <n x="659"/>
        <n x="660"/>
      </t>
    </mdx>
    <mdx n="0" f="v">
      <t c="6" si="614">
        <n x="610"/>
        <n x="215"/>
        <n x="216"/>
        <n x="611" s="1"/>
        <n x="665"/>
        <n x="666"/>
      </t>
    </mdx>
    <mdx n="0" f="v">
      <t c="6" si="614">
        <n x="610"/>
        <n x="209"/>
        <n x="210"/>
        <n x="611" s="1"/>
        <n x="635"/>
        <n x="636"/>
      </t>
    </mdx>
    <mdx n="0" f="v">
      <t c="6" si="614">
        <n x="610"/>
        <n x="209"/>
        <n x="210"/>
        <n x="611" s="1"/>
        <n x="655"/>
        <n x="652"/>
      </t>
    </mdx>
    <mdx n="0" f="v">
      <t c="6" si="614">
        <n x="610"/>
        <n x="205"/>
        <n x="210"/>
        <n x="611" s="1"/>
        <n x="677"/>
        <n x="678"/>
      </t>
    </mdx>
    <mdx n="0" f="v">
      <t c="6" si="614">
        <n x="610"/>
        <n x="217"/>
        <n x="220"/>
        <n x="611" s="1"/>
        <n x="663"/>
        <n x="664"/>
      </t>
    </mdx>
    <mdx n="0" f="v">
      <t c="6" si="614">
        <n x="610"/>
        <n x="217"/>
        <n x="220"/>
        <n x="611" s="1"/>
        <n x="663"/>
        <n x="664"/>
      </t>
    </mdx>
    <mdx n="0" f="v">
      <t c="6" si="614">
        <n x="610"/>
        <n x="215"/>
        <n x="216"/>
        <n x="611" s="1"/>
        <n x="701"/>
        <n x="702"/>
      </t>
    </mdx>
    <mdx n="0" f="v">
      <t c="6" si="614">
        <n x="610"/>
        <n x="219"/>
        <n x="236"/>
        <n x="611" s="1"/>
        <n x="639"/>
        <n x="640"/>
      </t>
    </mdx>
    <mdx n="0" f="v">
      <t c="6" si="614">
        <n x="610"/>
        <n x="207"/>
        <n x="218"/>
        <n x="611" s="1"/>
        <n x="631"/>
        <n x="674"/>
      </t>
    </mdx>
    <mdx n="0" f="v">
      <t c="6" si="614">
        <n x="610"/>
        <n x="209"/>
        <n x="220"/>
        <n x="611" s="1"/>
        <n x="631"/>
        <n x="632"/>
      </t>
    </mdx>
    <mdx n="0" f="v">
      <t c="6" si="614">
        <n x="610"/>
        <n x="215"/>
        <n x="216"/>
        <n x="611" s="1"/>
        <n x="667"/>
        <n x="668"/>
      </t>
    </mdx>
    <mdx n="0" f="v">
      <t c="6" si="614">
        <n x="610"/>
        <n x="233"/>
        <n x="214"/>
        <n x="611" s="1"/>
        <n x="655"/>
        <n x="656"/>
      </t>
    </mdx>
    <mdx n="0" f="v">
      <t c="6" si="614">
        <n x="610"/>
        <n x="215"/>
        <n x="216"/>
        <n x="611" s="1"/>
        <n x="663"/>
        <n x="688"/>
      </t>
    </mdx>
    <mdx n="0" f="v">
      <t c="6" si="614">
        <n x="610"/>
        <n x="215"/>
        <n x="216"/>
        <n x="611" s="1"/>
        <n x="663"/>
        <n x="664"/>
      </t>
    </mdx>
    <mdx n="0" f="v">
      <t c="6" si="614">
        <n x="610"/>
        <n x="215"/>
        <n x="216"/>
        <n x="611" s="1"/>
        <n x="707"/>
        <n x="708"/>
      </t>
    </mdx>
    <mdx n="0" f="v">
      <t c="6" si="614">
        <n x="610"/>
        <n x="205"/>
        <n x="216"/>
        <n x="611" s="1"/>
        <n x="629"/>
        <n x="630"/>
      </t>
    </mdx>
    <mdx n="0" f="v">
      <t c="6" si="614">
        <n x="610"/>
        <n x="223"/>
        <n x="224"/>
        <n x="611" s="1"/>
        <n x="703"/>
        <n x="628"/>
      </t>
    </mdx>
    <mdx n="0" f="v">
      <t c="6" si="614">
        <n x="610"/>
        <n x="215"/>
        <n x="216"/>
        <n x="611" s="1"/>
        <n x="653"/>
        <n x="654"/>
      </t>
    </mdx>
    <mdx n="0" f="v">
      <t c="6" si="614">
        <n x="610"/>
        <n x="209"/>
        <n x="210"/>
        <n x="611" s="1"/>
        <n x="633"/>
        <n x="678"/>
      </t>
    </mdx>
    <mdx n="0" f="v">
      <t c="6" si="614">
        <n x="610"/>
        <n x="217"/>
        <n x="214"/>
        <n x="611" s="1"/>
        <n x="633"/>
        <n x="634"/>
      </t>
    </mdx>
    <mdx n="0" f="v">
      <t c="6" si="614">
        <n x="610"/>
        <n x="207"/>
        <n x="208"/>
        <n x="611" s="1"/>
        <n x="659"/>
        <n x="658"/>
      </t>
    </mdx>
    <mdx n="0" f="v">
      <t c="6" si="614">
        <n x="610"/>
        <n x="207"/>
        <n x="208"/>
        <n x="611" s="1"/>
        <n x="659"/>
        <n x="658"/>
      </t>
    </mdx>
    <mdx n="0" f="v">
      <t c="6" si="614">
        <n x="610"/>
        <n x="215"/>
        <n x="216"/>
        <n x="611" s="1"/>
        <n x="633"/>
        <n x="634"/>
      </t>
    </mdx>
    <mdx n="0" f="v">
      <t c="6" si="614">
        <n x="610"/>
        <n x="213"/>
        <n x="208"/>
        <n x="611" s="1"/>
        <n x="687"/>
        <n x="694"/>
      </t>
    </mdx>
    <mdx n="0" f="v">
      <t c="6" si="614">
        <n x="610"/>
        <n x="213"/>
        <n x="208"/>
        <n x="611" s="1"/>
        <n x="687"/>
        <n x="688"/>
      </t>
    </mdx>
    <mdx n="0" f="v">
      <t c="6" si="614">
        <n x="610"/>
        <n x="207"/>
        <n x="208"/>
        <n x="611" s="1"/>
        <n x="681"/>
        <n x="698"/>
      </t>
    </mdx>
    <mdx n="0" f="v">
      <t c="6" si="614">
        <n x="610"/>
        <n x="207"/>
        <n x="208"/>
        <n x="611" s="1"/>
        <n x="669"/>
        <n x="682"/>
      </t>
    </mdx>
    <mdx n="0" f="v">
      <t c="6" si="614">
        <n x="610"/>
        <n x="203"/>
        <n x="208"/>
        <n x="611" s="1"/>
        <n x="683"/>
        <n x="684"/>
      </t>
    </mdx>
    <mdx n="0" f="v">
      <t c="6" si="614">
        <n x="610"/>
        <n x="203"/>
        <n x="208"/>
        <n x="611" s="1"/>
        <n x="683"/>
        <n x="684"/>
      </t>
    </mdx>
    <mdx n="0" f="v">
      <t c="6" si="614">
        <n x="610"/>
        <n x="207"/>
        <n x="208"/>
        <n x="611" s="1"/>
        <n x="671"/>
        <n x="672"/>
      </t>
    </mdx>
    <mdx n="0" f="v">
      <t c="6" si="614">
        <n x="610"/>
        <n x="207"/>
        <n x="214"/>
        <n x="611" s="1"/>
        <n x="657"/>
        <n x="658"/>
      </t>
    </mdx>
    <mdx n="0" f="v">
      <t c="6" si="614">
        <n x="610"/>
        <n x="207"/>
        <n x="208"/>
        <n x="611" s="1"/>
        <n x="637"/>
        <n x="656"/>
      </t>
    </mdx>
    <mdx n="0" f="v">
      <t c="6" si="614">
        <n x="610"/>
        <n x="211"/>
        <n x="212"/>
        <n x="611" s="1"/>
        <n x="679"/>
        <n x="613"/>
      </t>
    </mdx>
    <mdx n="0" f="v">
      <t c="6" si="614">
        <n x="610"/>
        <n x="207"/>
        <n x="212"/>
        <n x="611" s="1"/>
        <n x="627"/>
        <n x="628"/>
      </t>
    </mdx>
    <mdx n="0" f="v">
      <t c="6" si="614">
        <n x="610"/>
        <n x="211"/>
        <n x="206"/>
        <n x="611" s="1"/>
        <n x="673"/>
        <n x="674"/>
      </t>
    </mdx>
    <mdx n="0" f="v">
      <t c="6" si="614">
        <n x="610"/>
        <n x="200"/>
        <n x="206"/>
        <n x="611" s="1"/>
        <n x="619"/>
        <n x="620"/>
      </t>
    </mdx>
    <mdx n="0" f="v">
      <t c="6" si="614">
        <n x="610"/>
        <n x="207"/>
        <n x="214"/>
        <n x="611" s="1"/>
        <n x="627"/>
        <n x="660"/>
      </t>
    </mdx>
    <mdx n="0" f="v">
      <t c="6" si="614">
        <n x="610"/>
        <n x="207"/>
        <n x="214"/>
        <n x="611" s="1"/>
        <n x="657"/>
        <n x="660"/>
      </t>
    </mdx>
    <mdx n="0" f="v">
      <t c="6" si="614">
        <n x="610"/>
        <n x="205"/>
        <n x="212"/>
        <n x="611" s="1"/>
        <n x="617"/>
        <n x="618"/>
      </t>
    </mdx>
    <mdx n="0" f="v">
      <t c="6" si="614">
        <n x="610"/>
        <n x="211"/>
        <n x="212"/>
        <n x="611" s="1"/>
        <n x="661"/>
        <n x="662"/>
      </t>
    </mdx>
    <mdx n="0" f="v">
      <t c="6" si="614">
        <n x="610"/>
        <n x="205"/>
        <n x="206"/>
        <n x="611" s="1"/>
        <n x="693"/>
        <n x="694"/>
      </t>
    </mdx>
    <mdx n="0" f="v">
      <t c="6" si="614">
        <n x="610"/>
        <n x="200"/>
        <n x="206"/>
        <n x="611" s="1"/>
        <n x="653"/>
        <n x="630"/>
      </t>
    </mdx>
    <mdx n="0" f="v">
      <t c="6" si="614">
        <n x="610"/>
        <n x="205"/>
        <n x="206"/>
        <n x="611" s="1"/>
        <n x="635"/>
        <n x="698"/>
      </t>
    </mdx>
    <mdx n="0" f="v">
      <t c="6" si="614">
        <n x="610"/>
        <n x="203"/>
        <n x="204"/>
        <n x="611" s="1"/>
        <n x="685"/>
        <n x="686"/>
      </t>
    </mdx>
    <mdx n="0" f="v">
      <t c="6" si="614">
        <n x="610"/>
        <n x="203"/>
        <n x="204"/>
        <n x="611" s="1"/>
        <n x="663"/>
        <n x="654"/>
      </t>
    </mdx>
    <mdx n="0" f="v">
      <t c="6" si="614">
        <n x="610"/>
        <n x="203"/>
        <n x="204"/>
        <n x="611" s="1"/>
        <n x="683"/>
        <n x="628"/>
      </t>
    </mdx>
    <mdx n="0" f="v">
      <t c="6" si="614">
        <n x="610"/>
        <n x="200"/>
        <n x="210"/>
        <n x="611" s="1"/>
        <n x="647"/>
        <n x="648"/>
      </t>
    </mdx>
    <mdx n="0" f="v">
      <t c="6" si="614">
        <n x="610"/>
        <n x="200"/>
        <n x="201"/>
        <n x="611" s="1"/>
        <n x="619"/>
        <n x="620"/>
      </t>
    </mdx>
    <mdx n="0" f="v">
      <t c="6" si="614">
        <n x="610"/>
        <n x="203"/>
        <n x="220"/>
        <n x="611" s="1"/>
        <n x="612"/>
        <n x="613"/>
      </t>
    </mdx>
    <mdx n="0" f="v">
      <t c="6" si="614">
        <n x="610"/>
        <n x="203"/>
        <n x="220"/>
        <n x="611" s="1"/>
        <n x="612"/>
        <n x="613"/>
      </t>
    </mdx>
    <mdx n="0" f="v">
      <t c="6" si="614">
        <n x="610"/>
        <n x="203"/>
        <n x="208"/>
        <n x="611" s="1"/>
        <n x="675"/>
        <n x="662"/>
      </t>
    </mdx>
    <mdx n="0" f="v">
      <t c="6" si="614">
        <n x="610"/>
        <n x="221"/>
        <n x="222"/>
        <n x="611" s="1"/>
        <n x="679"/>
        <n x="660"/>
      </t>
    </mdx>
    <mdx n="0" f="v">
      <t c="6" si="614">
        <n x="610"/>
        <n x="205"/>
        <n x="222"/>
        <n x="611" s="1"/>
        <n x="651"/>
        <n x="652"/>
      </t>
    </mdx>
    <mdx n="0" f="v">
      <t c="6" si="614">
        <n x="610"/>
        <n x="213"/>
        <n x="214"/>
        <n x="611" s="1"/>
        <n x="635"/>
        <n x="634"/>
      </t>
    </mdx>
    <mdx n="0" f="v">
      <t c="6" si="614">
        <n x="610"/>
        <n x="207"/>
        <n x="208"/>
        <n x="611" s="1"/>
        <n x="661"/>
        <n x="662"/>
      </t>
    </mdx>
    <mdx n="0" f="v">
      <t c="6" si="614">
        <n x="610"/>
        <n x="207"/>
        <n x="208"/>
        <n x="611" s="1"/>
        <n x="631"/>
        <n x="632"/>
      </t>
    </mdx>
    <mdx n="0" f="v">
      <t c="6" si="614">
        <n x="610"/>
        <n x="207"/>
        <n x="208"/>
        <n x="611" s="1"/>
        <n x="685"/>
        <n x="668"/>
      </t>
    </mdx>
    <mdx n="0" f="v">
      <t c="6" si="614">
        <n x="610"/>
        <n x="203"/>
        <n x="222"/>
        <n x="611" s="1"/>
        <n x="635"/>
        <n x="636"/>
      </t>
    </mdx>
    <mdx n="0" f="v">
      <t c="6" si="614">
        <n x="610"/>
        <n x="205"/>
        <n x="222"/>
        <n x="611" s="1"/>
        <n x="635"/>
        <n x="636"/>
      </t>
    </mdx>
    <mdx n="0" f="v">
      <t c="6" si="614">
        <n x="610"/>
        <n x="205"/>
        <n x="208"/>
        <n x="611" s="1"/>
        <n x="687"/>
        <n x="626"/>
      </t>
    </mdx>
    <mdx n="0" f="v">
      <t c="6" si="614">
        <n x="610"/>
        <n x="205"/>
        <n x="208"/>
        <n x="611" s="1"/>
        <n x="687"/>
        <n x="688"/>
      </t>
    </mdx>
    <mdx n="0" f="v">
      <t c="6" si="614">
        <n x="610"/>
        <n x="207"/>
        <n x="208"/>
        <n x="611" s="1"/>
        <n x="615"/>
        <n x="616"/>
      </t>
    </mdx>
    <mdx n="0" f="v">
      <t c="6" si="614">
        <n x="610"/>
        <n x="217"/>
        <n x="220"/>
        <n x="611" s="1"/>
        <n x="617"/>
        <n x="618"/>
      </t>
    </mdx>
    <mdx n="0" f="v">
      <t c="6" si="614">
        <n x="610"/>
        <n x="215"/>
        <n x="216"/>
        <n x="611" s="1"/>
        <n x="643"/>
        <n x="618"/>
      </t>
    </mdx>
    <mdx n="0" f="v">
      <t c="6" si="614">
        <n x="610"/>
        <n x="219"/>
        <n x="214"/>
        <n x="611" s="1"/>
        <n x="619"/>
        <n x="620"/>
      </t>
    </mdx>
    <mdx n="0" f="v">
      <t c="6" si="614">
        <n x="610"/>
        <n x="207"/>
        <n x="206"/>
        <n x="611" s="1"/>
        <n x="629"/>
        <n x="644"/>
      </t>
    </mdx>
    <mdx n="0" f="v">
      <t c="6" si="614">
        <n x="610"/>
        <n x="211"/>
        <n x="206"/>
        <n x="611" s="1"/>
        <n x="659"/>
        <n x="660"/>
      </t>
    </mdx>
    <mdx n="0" f="v">
      <t c="6" si="614">
        <n x="610"/>
        <n x="213"/>
        <n x="214"/>
        <n x="611" s="1"/>
        <n x="631"/>
        <n x="632"/>
      </t>
    </mdx>
    <mdx n="0" f="v">
      <t c="6" si="614">
        <n x="610"/>
        <n x="209"/>
        <n x="210"/>
        <n x="611" s="1"/>
        <n x="687"/>
        <n x="688"/>
      </t>
    </mdx>
    <mdx n="0" f="v">
      <t c="6" si="614">
        <n x="610"/>
        <n x="207"/>
        <n x="208"/>
        <n x="611" s="1"/>
        <n x="665"/>
        <n x="666"/>
      </t>
    </mdx>
    <mdx n="0" f="v">
      <t c="6" si="614">
        <n x="610"/>
        <n x="207"/>
        <n x="208"/>
        <n x="611" s="1"/>
        <n x="663"/>
        <n x="628"/>
      </t>
    </mdx>
    <mdx n="0" f="m">
      <t c="2">
        <n x="709"/>
        <n x="710"/>
      </t>
    </mdx>
    <mdx n="0" f="m">
      <t c="2">
        <n x="711"/>
        <n x="712"/>
      </t>
    </mdx>
    <mdx n="0" f="m">
      <t c="2">
        <n x="713"/>
        <n x="714"/>
      </t>
    </mdx>
    <mdx n="0" f="m">
      <t c="2">
        <n x="715"/>
        <n x="716"/>
      </t>
    </mdx>
    <mdx n="0" f="m">
      <t c="2">
        <n x="717"/>
        <n x="718"/>
      </t>
    </mdx>
    <mdx n="0" f="m">
      <t c="2">
        <n x="719"/>
        <n x="720"/>
      </t>
    </mdx>
    <mdx n="0" f="m">
      <t c="2">
        <n x="721"/>
        <n x="722"/>
      </t>
    </mdx>
    <mdx n="0" f="m">
      <t c="2">
        <n x="723"/>
        <n x="724"/>
      </t>
    </mdx>
    <mdx n="0" f="m">
      <t c="2">
        <n x="725"/>
        <n x="726"/>
      </t>
    </mdx>
    <mdx n="0" f="m">
      <t c="2">
        <n x="727"/>
        <n x="728"/>
      </t>
    </mdx>
    <mdx n="0" f="m">
      <t c="2">
        <n x="729"/>
        <n x="730"/>
      </t>
    </mdx>
    <mdx n="0" f="m">
      <t c="2">
        <n x="731"/>
        <n x="732"/>
      </t>
    </mdx>
    <mdx n="0" f="m">
      <t c="2">
        <n x="733"/>
        <n x="734"/>
      </t>
    </mdx>
    <mdx n="0" f="m">
      <t c="2">
        <n x="735"/>
        <n x="736"/>
      </t>
    </mdx>
    <mdx n="0" f="m">
      <t c="2">
        <n x="737"/>
        <n x="738"/>
      </t>
    </mdx>
    <mdx n="0" f="m">
      <t c="2">
        <n x="739"/>
        <n x="740"/>
      </t>
    </mdx>
    <mdx n="0" f="m">
      <t c="2">
        <n x="741"/>
        <n x="742"/>
      </t>
    </mdx>
    <mdx n="0" f="m">
      <t c="2">
        <n x="743"/>
        <n x="744"/>
      </t>
    </mdx>
    <mdx n="0" f="m">
      <t c="2">
        <n x="745"/>
        <n x="746"/>
      </t>
    </mdx>
    <mdx n="0" f="m">
      <t c="2">
        <n x="747"/>
        <n x="748"/>
      </t>
    </mdx>
    <mdx n="0" f="m">
      <t c="2">
        <n x="749"/>
        <n x="750"/>
      </t>
    </mdx>
    <mdx n="0" f="m">
      <t c="2">
        <n x="751"/>
        <n x="752"/>
      </t>
    </mdx>
    <mdx n="0" f="m">
      <t c="2">
        <n x="753"/>
        <n x="754"/>
      </t>
    </mdx>
    <mdx n="0" f="m">
      <t c="2">
        <n x="755"/>
        <n x="756"/>
      </t>
    </mdx>
    <mdx n="0" f="m">
      <t c="2">
        <n x="757"/>
        <n x="758"/>
      </t>
    </mdx>
    <mdx n="0" f="m">
      <t c="2">
        <n x="759"/>
        <n x="760"/>
      </t>
    </mdx>
    <mdx n="0" f="m">
      <t c="2">
        <n x="761"/>
        <n x="762"/>
      </t>
    </mdx>
    <mdx n="0" f="m">
      <t c="2">
        <n x="763"/>
        <n x="764"/>
      </t>
    </mdx>
    <mdx n="0" f="m">
      <t c="2">
        <n x="765"/>
        <n x="766"/>
      </t>
    </mdx>
    <mdx n="0" f="m">
      <t c="2">
        <n x="767"/>
        <n x="768"/>
      </t>
    </mdx>
    <mdx n="0" f="m">
      <t c="2">
        <n x="769"/>
        <n x="770"/>
      </t>
    </mdx>
    <mdx n="0" f="m">
      <t c="2">
        <n x="771"/>
        <n x="772"/>
      </t>
    </mdx>
    <mdx n="0" f="m">
      <t c="2">
        <n x="773"/>
        <n x="774"/>
      </t>
    </mdx>
    <mdx n="0" f="m">
      <t c="2">
        <n x="775"/>
        <n x="776"/>
      </t>
    </mdx>
    <mdx n="0" f="m">
      <t c="2">
        <n x="777"/>
        <n x="778"/>
      </t>
    </mdx>
    <mdx n="0" f="m">
      <t c="2">
        <n x="779"/>
        <n x="780"/>
      </t>
    </mdx>
    <mdx n="0" f="m">
      <t c="2">
        <n x="781"/>
        <n x="782"/>
      </t>
    </mdx>
    <mdx n="0" f="m">
      <t c="2">
        <n x="783"/>
        <n x="784"/>
      </t>
    </mdx>
    <mdx n="0" f="m">
      <t c="2">
        <n x="785"/>
        <n x="786"/>
      </t>
    </mdx>
    <mdx n="0" f="m">
      <t c="2">
        <n x="787"/>
        <n x="788"/>
      </t>
    </mdx>
    <mdx n="0" f="m">
      <t c="2">
        <n x="789"/>
        <n x="790"/>
      </t>
    </mdx>
    <mdx n="0" f="m">
      <t c="2">
        <n x="791"/>
        <n x="792"/>
      </t>
    </mdx>
    <mdx n="0" f="m">
      <t c="2">
        <n x="795"/>
        <n x="796"/>
      </t>
    </mdx>
    <mdx n="0" f="m">
      <t c="2">
        <n x="797"/>
        <n x="798"/>
      </t>
    </mdx>
    <mdx n="0" f="r">
      <t c="2">
        <n x="799"/>
        <n x="285"/>
      </t>
    </mdx>
    <mdx n="0" f="r">
      <t c="2">
        <n x="799"/>
        <n x="723"/>
      </t>
    </mdx>
    <mdx n="0" f="r">
      <t c="2">
        <n x="799"/>
        <n x="557"/>
      </t>
    </mdx>
    <mdx n="0" f="r">
      <t c="2">
        <n x="799"/>
        <n x="495"/>
      </t>
    </mdx>
    <mdx n="0" f="r">
      <t c="2">
        <n x="799"/>
        <n x="363"/>
      </t>
    </mdx>
    <mdx n="0" f="r">
      <t c="2">
        <n x="799"/>
        <n x="281"/>
      </t>
    </mdx>
    <mdx n="0" f="r">
      <t c="2">
        <n x="799"/>
        <n x="743"/>
      </t>
    </mdx>
    <mdx n="0" f="r">
      <t c="2">
        <n x="799"/>
        <n x="437"/>
      </t>
    </mdx>
    <mdx n="0" f="r">
      <t c="2">
        <n x="799"/>
        <n x="751"/>
      </t>
    </mdx>
    <mdx n="0" f="r">
      <t c="2">
        <n x="799"/>
        <n x="471"/>
      </t>
    </mdx>
    <mdx n="0" f="r">
      <t c="2">
        <n x="799"/>
        <n x="233"/>
      </t>
    </mdx>
    <mdx n="0" f="r">
      <t c="2">
        <n x="799"/>
        <n x="273"/>
      </t>
    </mdx>
    <mdx n="0" f="r">
      <t c="2">
        <n x="799"/>
        <n x="553"/>
      </t>
    </mdx>
    <mdx n="0" f="r">
      <t c="2">
        <n x="799"/>
        <n x="247"/>
      </t>
    </mdx>
    <mdx n="0" f="r">
      <t c="2">
        <n x="799"/>
        <n x="357"/>
      </t>
    </mdx>
    <mdx n="0" f="r">
      <t c="2">
        <n x="799"/>
        <n x="533"/>
      </t>
    </mdx>
    <mdx n="0" f="r">
      <t c="2">
        <n x="799"/>
        <n x="581"/>
      </t>
    </mdx>
    <mdx n="0" f="r">
      <t c="2">
        <n x="799"/>
        <n x="521"/>
      </t>
    </mdx>
    <mdx n="0" f="r">
      <t c="2">
        <n x="799"/>
        <n x="791"/>
      </t>
    </mdx>
    <mdx n="0" f="r">
      <t c="2">
        <n x="799"/>
        <n x="303"/>
      </t>
    </mdx>
    <mdx n="0" f="r">
      <t c="2">
        <n x="799"/>
        <n x="217"/>
      </t>
    </mdx>
    <mdx n="0" f="r">
      <t c="2">
        <n x="799"/>
        <n x="315"/>
      </t>
    </mdx>
    <mdx n="0" f="r">
      <t c="2">
        <n x="799"/>
        <n x="721"/>
      </t>
    </mdx>
    <mdx n="0" f="r">
      <t c="2">
        <n x="799"/>
        <n x="379"/>
      </t>
    </mdx>
    <mdx n="0" f="r">
      <t c="2">
        <n x="799"/>
        <n x="459"/>
      </t>
    </mdx>
    <mdx n="0" f="r">
      <t c="2">
        <n x="799"/>
        <n x="601"/>
      </t>
    </mdx>
    <mdx n="0" f="r">
      <t c="2">
        <n x="799"/>
        <n x="237"/>
      </t>
    </mdx>
    <mdx n="0" f="r">
      <t c="2">
        <n x="799"/>
        <n x="733"/>
      </t>
    </mdx>
    <mdx n="0" f="r">
      <t c="2">
        <n x="799"/>
        <n x="319"/>
      </t>
    </mdx>
    <mdx n="0" f="r">
      <t c="2">
        <n x="799"/>
        <n x="741"/>
      </t>
    </mdx>
    <mdx n="0" f="r">
      <t c="2">
        <n x="799"/>
        <n x="393"/>
      </t>
    </mdx>
    <mdx n="0" f="r">
      <t c="2">
        <n x="799"/>
        <n x="605"/>
      </t>
    </mdx>
    <mdx n="0" f="r">
      <t c="2">
        <n x="799"/>
        <n x="295"/>
      </t>
    </mdx>
    <mdx n="0" f="r">
      <t c="2">
        <n x="799"/>
        <n x="339"/>
      </t>
    </mdx>
    <mdx n="0" f="r">
      <t c="2">
        <n x="799"/>
        <n x="551"/>
      </t>
    </mdx>
    <mdx n="0" f="r">
      <t c="2">
        <n x="799"/>
        <n x="409"/>
      </t>
    </mdx>
    <mdx n="0" f="r">
      <t c="2">
        <n x="799"/>
        <n x="469"/>
      </t>
    </mdx>
    <mdx n="0" f="r">
      <t c="2">
        <n x="799"/>
        <n x="777"/>
      </t>
    </mdx>
    <mdx n="0" f="r">
      <t c="2">
        <n x="799"/>
        <n x="535"/>
      </t>
    </mdx>
    <mdx n="0" f="r">
      <t c="2">
        <n x="799"/>
        <n x="565"/>
      </t>
    </mdx>
    <mdx n="0" f="r">
      <t c="2">
        <n x="799"/>
        <n x="473"/>
      </t>
    </mdx>
    <mdx n="0" f="r">
      <t c="2">
        <n x="799"/>
        <n x="213"/>
      </t>
    </mdx>
    <mdx n="0" f="r">
      <t c="2">
        <n x="799"/>
        <n x="463"/>
      </t>
    </mdx>
    <mdx n="0" f="r">
      <t c="2">
        <n x="799"/>
        <n x="563"/>
      </t>
    </mdx>
    <mdx n="0" f="r">
      <t c="2">
        <n x="799"/>
        <n x="597"/>
      </t>
    </mdx>
    <mdx n="0" f="r">
      <t c="2">
        <n x="799"/>
        <n x="727"/>
      </t>
    </mdx>
    <mdx n="0" f="r">
      <t c="2">
        <n x="799"/>
        <n x="731"/>
      </t>
    </mdx>
    <mdx n="0" f="r">
      <t c="2">
        <n x="799"/>
        <n x="243"/>
      </t>
    </mdx>
    <mdx n="0" f="r">
      <t c="2">
        <n x="799"/>
        <n x="261"/>
      </t>
    </mdx>
    <mdx n="0" f="r">
      <t c="2">
        <n x="799"/>
        <n x="561"/>
      </t>
    </mdx>
    <mdx n="0" f="r">
      <t c="2">
        <n x="799"/>
        <n x="753"/>
      </t>
    </mdx>
    <mdx n="0" f="r">
      <t c="2">
        <n x="799"/>
        <n x="289"/>
      </t>
    </mdx>
    <mdx n="0" f="r">
      <t c="2">
        <n x="799"/>
        <n x="757"/>
      </t>
    </mdx>
    <mdx n="0" f="r">
      <t c="2">
        <n x="799"/>
        <n x="467"/>
      </t>
    </mdx>
    <mdx n="0" f="r">
      <t c="2">
        <n x="799"/>
        <n x="769"/>
      </t>
    </mdx>
    <mdx n="0" f="r">
      <t c="2">
        <n x="799"/>
        <n x="509"/>
      </t>
    </mdx>
    <mdx n="0" f="r">
      <t c="2">
        <n x="799"/>
        <n x="381"/>
      </t>
    </mdx>
    <mdx n="0" f="r">
      <t c="2">
        <n x="799"/>
        <n x="529"/>
      </t>
    </mdx>
    <mdx n="0" f="r">
      <t c="2">
        <n x="799"/>
        <n x="527"/>
      </t>
    </mdx>
    <mdx n="0" f="r">
      <t c="2">
        <n x="799"/>
        <n x="431"/>
      </t>
    </mdx>
    <mdx n="0" f="r">
      <t c="2">
        <n x="799"/>
        <n x="297"/>
      </t>
    </mdx>
    <mdx n="0" f="r">
      <t c="2">
        <n x="799"/>
        <n x="423"/>
      </t>
    </mdx>
    <mdx n="0" f="r">
      <t c="2">
        <n x="799"/>
        <n x="331"/>
      </t>
    </mdx>
    <mdx n="0" f="r">
      <t c="2">
        <n x="799"/>
        <n x="211"/>
      </t>
    </mdx>
    <mdx n="0" f="r">
      <t c="2">
        <n x="799"/>
        <n x="275"/>
      </t>
    </mdx>
    <mdx n="0" f="r">
      <t c="2">
        <n x="799"/>
        <n x="377"/>
      </t>
    </mdx>
    <mdx n="0" f="r">
      <t c="2">
        <n x="799"/>
        <n x="725"/>
      </t>
    </mdx>
    <mdx n="0" f="r">
      <t c="2">
        <n x="799"/>
        <n x="541"/>
      </t>
    </mdx>
    <mdx n="0" f="r">
      <t c="2">
        <n x="799"/>
        <n x="389"/>
      </t>
    </mdx>
    <mdx n="0" f="r">
      <t c="2">
        <n x="799"/>
        <n x="525"/>
      </t>
    </mdx>
    <mdx n="0" f="r">
      <t c="2">
        <n x="799"/>
        <n x="591"/>
      </t>
    </mdx>
    <mdx n="0" f="r">
      <t c="2">
        <n x="799"/>
        <n x="513"/>
      </t>
    </mdx>
    <mdx n="0" f="r">
      <t c="2">
        <n x="799"/>
        <n x="755"/>
      </t>
    </mdx>
    <mdx n="0" f="r">
      <t c="2">
        <n x="799"/>
        <n x="759"/>
      </t>
    </mdx>
    <mdx n="0" f="r">
      <t c="2">
        <n x="799"/>
        <n x="549"/>
      </t>
    </mdx>
    <mdx n="0" f="r">
      <t c="2">
        <n x="799"/>
        <n x="511"/>
      </t>
    </mdx>
    <mdx n="0" f="r">
      <t c="2">
        <n x="799"/>
        <n x="515"/>
      </t>
    </mdx>
    <mdx n="0" f="r">
      <t c="2">
        <n x="799"/>
        <n x="249"/>
      </t>
    </mdx>
    <mdx n="0" f="r">
      <t c="2">
        <n x="799"/>
        <n x="787"/>
      </t>
    </mdx>
    <mdx n="0" f="r">
      <t c="2">
        <n x="799"/>
        <n x="545"/>
      </t>
    </mdx>
    <mdx n="0" f="r">
      <t c="2">
        <n x="799"/>
        <n x="789"/>
      </t>
    </mdx>
    <mdx n="0" f="r">
      <t c="2">
        <n x="799"/>
        <n x="291"/>
      </t>
    </mdx>
    <mdx n="0" f="r">
      <t c="2">
        <n x="799"/>
        <n x="717"/>
      </t>
    </mdx>
    <mdx n="0" f="r">
      <t c="2">
        <n x="799"/>
        <n x="461"/>
      </t>
    </mdx>
    <mdx n="0" f="r">
      <t c="2">
        <n x="799"/>
        <n x="367"/>
      </t>
    </mdx>
    <mdx n="0" f="r">
      <t c="2">
        <n x="799"/>
        <n x="603"/>
      </t>
    </mdx>
    <mdx n="0" f="r">
      <t c="2">
        <n x="799"/>
        <n x="413"/>
      </t>
    </mdx>
    <mdx n="0" f="r">
      <t c="2">
        <n x="799"/>
        <n x="271"/>
      </t>
    </mdx>
    <mdx n="0" f="r">
      <t c="2">
        <n x="799"/>
        <n x="387"/>
      </t>
    </mdx>
    <mdx n="0" f="r">
      <t c="2">
        <n x="799"/>
        <n x="241"/>
      </t>
    </mdx>
    <mdx n="0" f="r">
      <t c="2">
        <n x="799"/>
        <n x="447"/>
      </t>
    </mdx>
    <mdx n="0" f="r">
      <t c="2">
        <n x="799"/>
        <n x="321"/>
      </t>
    </mdx>
    <mdx n="0" f="r">
      <t c="2">
        <n x="799"/>
        <n x="761"/>
      </t>
    </mdx>
    <mdx n="0" f="r">
      <t c="2">
        <n x="799"/>
        <n x="255"/>
      </t>
    </mdx>
    <mdx n="0" f="r">
      <t c="2">
        <n x="799"/>
        <n x="403"/>
      </t>
    </mdx>
    <mdx n="0" f="r">
      <t c="2">
        <n x="799"/>
        <n x="427"/>
      </t>
    </mdx>
    <mdx n="0" f="r">
      <t c="2">
        <n x="799"/>
        <n x="445"/>
      </t>
    </mdx>
    <mdx n="0" f="r">
      <t c="2">
        <n x="799"/>
        <n x="773"/>
      </t>
    </mdx>
    <mdx n="0" f="r">
      <t c="2">
        <n x="799"/>
        <n x="583"/>
      </t>
    </mdx>
    <mdx n="0" f="r">
      <t c="2">
        <n x="799"/>
        <n x="311"/>
      </t>
    </mdx>
    <mdx n="0" f="r">
      <t c="2">
        <n x="799"/>
        <n x="797"/>
      </t>
    </mdx>
    <mdx n="0" f="r">
      <t c="2">
        <n x="799"/>
        <n x="571"/>
      </t>
    </mdx>
    <mdx n="0" f="r">
      <t c="2">
        <n x="799"/>
        <n x="585"/>
      </t>
    </mdx>
    <mdx n="0" f="r">
      <t c="2">
        <n x="799"/>
        <n x="397"/>
      </t>
    </mdx>
    <mdx n="0" f="r">
      <t c="2">
        <n x="799"/>
        <n x="607"/>
      </t>
    </mdx>
    <mdx n="0" f="r">
      <t c="2">
        <n x="799"/>
        <n x="235"/>
      </t>
    </mdx>
    <mdx n="0" f="r">
      <t c="2">
        <n x="799"/>
        <n x="735"/>
      </t>
    </mdx>
    <mdx n="0" f="r">
      <t c="2">
        <n x="799"/>
        <n x="257"/>
      </t>
    </mdx>
    <mdx n="0" f="r">
      <t c="2">
        <n x="799"/>
        <n x="745"/>
      </t>
    </mdx>
    <mdx n="0" f="r">
      <t c="2">
        <n x="799"/>
        <n x="593"/>
      </t>
    </mdx>
    <mdx n="0" f="r">
      <t c="2">
        <n x="799"/>
        <n x="577"/>
      </t>
    </mdx>
    <mdx n="0" f="r">
      <t c="2">
        <n x="799"/>
        <n x="361"/>
      </t>
    </mdx>
    <mdx n="0" f="r">
      <t c="2">
        <n x="799"/>
        <n x="507"/>
      </t>
    </mdx>
    <mdx n="0" f="r">
      <t c="2">
        <n x="799"/>
        <n x="771"/>
      </t>
    </mdx>
    <mdx n="0" f="r">
      <t c="2">
        <n x="799"/>
        <n x="775"/>
      </t>
    </mdx>
    <mdx n="0" f="r">
      <t c="2">
        <n x="799"/>
        <n x="351"/>
      </t>
    </mdx>
    <mdx n="0" f="r">
      <t c="2">
        <n x="799"/>
        <n x="305"/>
      </t>
    </mdx>
    <mdx n="0" f="r">
      <t c="2">
        <n x="799"/>
        <n x="709"/>
      </t>
    </mdx>
    <mdx n="0" f="r">
      <t c="2">
        <n x="799"/>
        <n x="711"/>
      </t>
    </mdx>
    <mdx n="0" f="r">
      <t c="2">
        <n x="799"/>
        <n x="287"/>
      </t>
    </mdx>
    <mdx n="0" f="r">
      <t c="2">
        <n x="799"/>
        <n x="579"/>
      </t>
    </mdx>
    <mdx n="0" f="r">
      <t c="2">
        <n x="799"/>
        <n x="457"/>
      </t>
    </mdx>
    <mdx n="0" f="r">
      <t c="2">
        <n x="799"/>
        <n x="313"/>
      </t>
    </mdx>
    <mdx n="0" f="v">
      <t c="6" si="614">
        <n x="610"/>
        <n x="709"/>
        <n x="710"/>
        <n x="800" s="1"/>
        <n x="617"/>
        <n x="618"/>
      </t>
    </mdx>
    <mdx n="0" f="v">
      <t c="6" si="614">
        <n x="610"/>
        <n x="397"/>
        <n x="398"/>
        <n x="800" s="1"/>
        <n x="617"/>
        <n x="618"/>
      </t>
    </mdx>
    <mdx n="0" f="v">
      <t c="6" si="614">
        <n x="610"/>
        <n x="555"/>
        <n x="556"/>
        <n x="800" s="1"/>
        <n x="617"/>
        <n x="618"/>
      </t>
    </mdx>
    <mdx n="0" f="v">
      <t c="6" si="614">
        <n x="610"/>
        <n x="607"/>
        <n x="608"/>
        <n x="800" s="1"/>
        <n x="617"/>
        <n x="618"/>
      </t>
    </mdx>
    <mdx n="0" f="v">
      <t c="6" si="614">
        <n x="610"/>
        <n x="235"/>
        <n x="236"/>
        <n x="800" s="1"/>
        <n x="617"/>
        <n x="618"/>
      </t>
    </mdx>
    <mdx n="0" f="v">
      <t c="6" si="614">
        <n x="610"/>
        <n x="735"/>
        <n x="736"/>
        <n x="800" s="1"/>
        <n x="617"/>
        <n x="618"/>
      </t>
    </mdx>
    <mdx n="0" f="v">
      <t c="6" si="614">
        <n x="610"/>
        <n x="739"/>
        <n x="740"/>
        <n x="800" s="1"/>
        <n x="617"/>
        <n x="618"/>
      </t>
    </mdx>
    <mdx n="0" f="v">
      <t c="6" si="614">
        <n x="610"/>
        <n x="537"/>
        <n x="538"/>
        <n x="800" s="1"/>
        <n x="617"/>
        <n x="618"/>
      </t>
    </mdx>
    <mdx n="0" f="v">
      <t c="6" si="614">
        <n x="610"/>
        <n x="259"/>
        <n x="260"/>
        <n x="800" s="1"/>
        <n x="617"/>
        <n x="618"/>
      </t>
    </mdx>
    <mdx n="0" f="v">
      <t c="6" si="614">
        <n x="610"/>
        <n x="593"/>
        <n x="594"/>
        <n x="800" s="1"/>
        <n x="617"/>
        <n x="618"/>
      </t>
    </mdx>
    <mdx n="0" f="v">
      <t c="6" si="614">
        <n x="610"/>
        <n x="507"/>
        <n x="508"/>
        <n x="800" s="1"/>
        <n x="617"/>
        <n x="618"/>
      </t>
    </mdx>
    <mdx n="0" f="v">
      <t c="6" si="614">
        <n x="610"/>
        <n x="349"/>
        <n x="350"/>
        <n x="800" s="1"/>
        <n x="617"/>
        <n x="618"/>
      </t>
    </mdx>
    <mdx n="0" f="v">
      <t c="6" si="614">
        <n x="610"/>
        <n x="411"/>
        <n x="412"/>
        <n x="800" s="1"/>
        <n x="617"/>
        <n x="618"/>
      </t>
    </mdx>
    <mdx n="0" f="v">
      <t c="6" si="614">
        <n x="610"/>
        <n x="775"/>
        <n x="776"/>
        <n x="800" s="1"/>
        <n x="617"/>
        <n x="618"/>
      </t>
    </mdx>
    <mdx n="0" f="v">
      <t c="6" si="614">
        <n x="610"/>
        <n x="783"/>
        <n x="784"/>
        <n x="800" s="1"/>
        <n x="617"/>
        <n x="618"/>
      </t>
    </mdx>
    <mdx n="0" f="v">
      <t c="6" si="614">
        <n x="610"/>
        <n x="451"/>
        <n x="452"/>
        <n x="800" s="1"/>
        <n x="617"/>
        <n x="618"/>
      </t>
    </mdx>
    <mdx n="0" f="v">
      <t c="6" si="614">
        <n x="610"/>
        <n x="351"/>
        <n x="352"/>
        <n x="800" s="1"/>
        <n x="617"/>
        <n x="618"/>
      </t>
    </mdx>
    <mdx n="0" f="v">
      <t c="6" si="614">
        <n x="610"/>
        <n x="795"/>
        <n x="796"/>
        <n x="800" s="1"/>
        <n x="617"/>
        <n x="618"/>
      </t>
    </mdx>
    <mdx n="0" f="v">
      <t c="6" si="614">
        <n x="610"/>
        <n x="305"/>
        <n x="306"/>
        <n x="800" s="1"/>
        <n x="617"/>
        <n x="618"/>
      </t>
    </mdx>
    <mdx n="0" f="v">
      <t c="6" si="614">
        <n x="610"/>
        <n x="711"/>
        <n x="712"/>
        <n x="800" s="1"/>
        <n x="617"/>
        <n x="618"/>
      </t>
    </mdx>
    <mdx n="0" f="v">
      <t c="6" si="614">
        <n x="610"/>
        <n x="721"/>
        <n x="722"/>
        <n x="800" s="1"/>
        <n x="617"/>
        <n x="618"/>
      </t>
    </mdx>
    <mdx n="0" f="v">
      <t c="6" si="614">
        <n x="610"/>
        <n x="601"/>
        <n x="602"/>
        <n x="800" s="1"/>
        <n x="617"/>
        <n x="618"/>
      </t>
    </mdx>
    <mdx n="0" f="v">
      <t c="6" si="614">
        <n x="610"/>
        <n x="237"/>
        <n x="238"/>
        <n x="800" s="1"/>
        <n x="617"/>
        <n x="618"/>
      </t>
    </mdx>
    <mdx n="0" f="v">
      <t c="6" si="614">
        <n x="610"/>
        <n x="339"/>
        <n x="340"/>
        <n x="800" s="1"/>
        <n x="617"/>
        <n x="618"/>
      </t>
    </mdx>
    <mdx n="0" f="v">
      <t c="6" si="614">
        <n x="610"/>
        <n x="399"/>
        <n x="400"/>
        <n x="800" s="1"/>
        <n x="617"/>
        <n x="618"/>
      </t>
    </mdx>
    <mdx n="0" f="v">
      <t c="6" si="614">
        <n x="610"/>
        <n x="767"/>
        <n x="768"/>
        <n x="800" s="1"/>
        <n x="617"/>
        <n x="618"/>
      </t>
    </mdx>
    <mdx n="0" f="v">
      <t c="6" si="614">
        <n x="610"/>
        <n x="485"/>
        <n x="486"/>
        <n x="800" s="1"/>
        <n x="617"/>
        <n x="618"/>
      </t>
    </mdx>
    <mdx n="0" f="v">
      <t c="6" si="614">
        <n x="610"/>
        <n x="535"/>
        <n x="536"/>
        <n x="800" s="1"/>
        <n x="617"/>
        <n x="618"/>
      </t>
    </mdx>
    <mdx n="0" f="v">
      <t c="6" si="614">
        <n x="610"/>
        <n x="563"/>
        <n x="564"/>
        <n x="800" s="1"/>
        <n x="617"/>
        <n x="618"/>
      </t>
    </mdx>
    <mdx n="0" f="v">
      <t c="6" si="614">
        <n x="610"/>
        <n x="713"/>
        <n x="714"/>
        <n x="800" s="1"/>
        <n x="617"/>
        <n x="618"/>
      </t>
    </mdx>
    <mdx n="0" f="v">
      <t c="6" si="614">
        <n x="610"/>
        <n x="285"/>
        <n x="286"/>
        <n x="800" s="1"/>
        <n x="617"/>
        <n x="618"/>
      </t>
    </mdx>
    <mdx n="0" f="v">
      <t c="6" si="614">
        <n x="610"/>
        <n x="747"/>
        <n x="748"/>
        <n x="800" s="1"/>
        <n x="617"/>
        <n x="618"/>
      </t>
    </mdx>
    <mdx n="0" f="v">
      <t c="6" si="614">
        <n x="610"/>
        <n x="553"/>
        <n x="554"/>
        <n x="800" s="1"/>
        <n x="617"/>
        <n x="618"/>
      </t>
    </mdx>
    <mdx n="0" f="v">
      <t c="6" si="614">
        <n x="610"/>
        <n x="523"/>
        <n x="524"/>
        <n x="800" s="1"/>
        <n x="617"/>
        <n x="618"/>
      </t>
    </mdx>
    <mdx n="0" f="v">
      <t c="6" si="614">
        <n x="610"/>
        <n x="715"/>
        <n x="716"/>
        <n x="800" s="1"/>
        <n x="617"/>
        <n x="618"/>
      </t>
    </mdx>
    <mdx n="0" f="v">
      <t c="6" si="614">
        <n x="610"/>
        <n x="463"/>
        <n x="464"/>
        <n x="800" s="1"/>
        <n x="617"/>
        <n x="618"/>
      </t>
    </mdx>
    <mdx n="0" f="v">
      <t c="6" si="614">
        <n x="610"/>
        <n x="597"/>
        <n x="598"/>
        <n x="800" s="1"/>
        <n x="617"/>
        <n x="618"/>
      </t>
    </mdx>
    <mdx n="0" f="v">
      <t c="6" si="614">
        <n x="610"/>
        <n x="731"/>
        <n x="732"/>
        <n x="800" s="1"/>
        <n x="617"/>
        <n x="618"/>
      </t>
    </mdx>
    <mdx n="0" f="v">
      <t c="6" si="614">
        <n x="610"/>
        <n x="243"/>
        <n x="244"/>
        <n x="800" s="1"/>
        <n x="617"/>
        <n x="618"/>
      </t>
    </mdx>
    <mdx n="0" f="v">
      <t c="6" si="614">
        <n x="610"/>
        <n x="443"/>
        <n x="444"/>
        <n x="800" s="1"/>
        <n x="617"/>
        <n x="618"/>
      </t>
    </mdx>
    <mdx n="0" f="v">
      <t c="6" si="614">
        <n x="610"/>
        <n x="499"/>
        <n x="500"/>
        <n x="800" s="1"/>
        <n x="617"/>
        <n x="618"/>
      </t>
    </mdx>
    <mdx n="0" f="v">
      <t c="6" si="614">
        <n x="610"/>
        <n x="381"/>
        <n x="382"/>
        <n x="800" s="1"/>
        <n x="617"/>
        <n x="618"/>
      </t>
    </mdx>
    <mdx n="0" f="v">
      <t c="6" si="614">
        <n x="610"/>
        <n x="423"/>
        <n x="424"/>
        <n x="800" s="1"/>
        <n x="617"/>
        <n x="618"/>
      </t>
    </mdx>
    <mdx n="0" f="v">
      <t c="6" si="614">
        <n x="610"/>
        <n x="331"/>
        <n x="332"/>
        <n x="800" s="1"/>
        <n x="617"/>
        <n x="618"/>
      </t>
    </mdx>
    <mdx n="0" f="v">
      <t c="6" si="614">
        <n x="610"/>
        <n x="211"/>
        <n x="212"/>
        <n x="800" s="1"/>
        <n x="617"/>
        <n x="618"/>
      </t>
    </mdx>
    <mdx n="0" f="v">
      <t c="6" si="614">
        <n x="610"/>
        <n x="317"/>
        <n x="318"/>
        <n x="800" s="1"/>
        <n x="617"/>
        <n x="618"/>
      </t>
    </mdx>
    <mdx n="0" f="v">
      <t c="6" si="614">
        <n x="610"/>
        <n x="725"/>
        <n x="726"/>
        <n x="800" s="1"/>
        <n x="617"/>
        <n x="618"/>
      </t>
    </mdx>
    <mdx n="0" f="v">
      <t c="6" si="614">
        <n x="610"/>
        <n x="541"/>
        <n x="542"/>
        <n x="800" s="1"/>
        <n x="617"/>
        <n x="618"/>
      </t>
    </mdx>
    <mdx n="0" f="v">
      <t c="6" si="614">
        <n x="610"/>
        <n x="513"/>
        <n x="514"/>
        <n x="800" s="1"/>
        <n x="617"/>
        <n x="618"/>
      </t>
    </mdx>
    <mdx n="0" f="v">
      <t c="6" si="614">
        <n x="610"/>
        <n x="345"/>
        <n x="346"/>
        <n x="800" s="1"/>
        <n x="617"/>
        <n x="618"/>
      </t>
    </mdx>
    <mdx n="0" f="v">
      <t c="6" si="614">
        <n x="610"/>
        <n x="489"/>
        <n x="490"/>
        <n x="800" s="1"/>
        <n x="617"/>
        <n x="618"/>
      </t>
    </mdx>
    <mdx n="0" f="v">
      <t c="6" si="614">
        <n x="610"/>
        <n x="493"/>
        <n x="494"/>
        <n x="800" s="1"/>
        <n x="617"/>
        <n x="618"/>
      </t>
    </mdx>
    <mdx n="0" f="v">
      <t c="6" si="614">
        <n x="610"/>
        <n x="549"/>
        <n x="550"/>
        <n x="800" s="1"/>
        <n x="617"/>
        <n x="618"/>
      </t>
    </mdx>
    <mdx n="0" f="v">
      <t c="6" si="614">
        <n x="610"/>
        <n x="287"/>
        <n x="288"/>
        <n x="800" s="1"/>
        <n x="617"/>
        <n x="618"/>
      </t>
    </mdx>
    <mdx n="0" f="v">
      <t c="6" si="614">
        <n x="610"/>
        <n x="359"/>
        <n x="360"/>
        <n x="800" s="1"/>
        <n x="617"/>
        <n x="618"/>
      </t>
    </mdx>
    <mdx n="0" f="v">
      <t c="6" si="614">
        <n x="610"/>
        <n x="511"/>
        <n x="512"/>
        <n x="800" s="1"/>
        <n x="617"/>
        <n x="618"/>
      </t>
    </mdx>
    <mdx n="0" f="v">
      <t c="6" si="614">
        <n x="610"/>
        <n x="227"/>
        <n x="228"/>
        <n x="800" s="1"/>
        <n x="617"/>
        <n x="618"/>
      </t>
    </mdx>
    <mdx n="0" f="v">
      <t c="6" si="614">
        <n x="610"/>
        <n x="719"/>
        <n x="720"/>
        <n x="800" s="1"/>
        <n x="617"/>
        <n x="618"/>
      </t>
    </mdx>
    <mdx n="0" f="v">
      <t c="6" si="614">
        <n x="610"/>
        <n x="461"/>
        <n x="462"/>
        <n x="800" s="1"/>
        <n x="617"/>
        <n x="618"/>
      </t>
    </mdx>
    <mdx n="0" f="v">
      <t c="6" si="614">
        <n x="610"/>
        <n x="367"/>
        <n x="368"/>
        <n x="800" s="1"/>
        <n x="617"/>
        <n x="618"/>
      </t>
    </mdx>
    <mdx n="0" f="v">
      <t c="6" si="614">
        <n x="610"/>
        <n x="271"/>
        <n x="272"/>
        <n x="800" s="1"/>
        <n x="617"/>
        <n x="618"/>
      </t>
    </mdx>
    <mdx n="0" f="v">
      <t c="6" si="614">
        <n x="610"/>
        <n x="433"/>
        <n x="434"/>
        <n x="800" s="1"/>
        <n x="617"/>
        <n x="618"/>
      </t>
    </mdx>
    <mdx n="0" f="v">
      <t c="6" si="614">
        <n x="610"/>
        <n x="321"/>
        <n x="322"/>
        <n x="800" s="1"/>
        <n x="617"/>
        <n x="618"/>
      </t>
    </mdx>
    <mdx n="0" f="v">
      <t c="6" si="614">
        <n x="610"/>
        <n x="763"/>
        <n x="764"/>
        <n x="800" s="1"/>
        <n x="617"/>
        <n x="618"/>
      </t>
    </mdx>
    <mdx n="0" f="v">
      <t c="6" si="614">
        <n x="610"/>
        <n x="427"/>
        <n x="428"/>
        <n x="800" s="1"/>
        <n x="617"/>
        <n x="618"/>
      </t>
    </mdx>
    <mdx n="0" f="v">
      <t c="6" si="614">
        <n x="610"/>
        <n x="445"/>
        <n x="446"/>
        <n x="800" s="1"/>
        <n x="617"/>
        <n x="618"/>
      </t>
    </mdx>
    <mdx n="0" f="v">
      <t c="6" si="614">
        <n x="610"/>
        <n x="311"/>
        <n x="312"/>
        <n x="800" s="1"/>
        <n x="617"/>
        <n x="618"/>
      </t>
    </mdx>
    <mdx n="0" f="v">
      <t c="6" si="614">
        <n x="610"/>
        <n x="797"/>
        <n x="798"/>
        <n x="800" s="1"/>
        <n x="617"/>
        <n x="618"/>
      </t>
    </mdx>
    <mdx n="0" f="v">
      <t c="6" si="614">
        <n x="610"/>
        <n x="363"/>
        <n x="364"/>
        <n x="800" s="1"/>
        <n x="617"/>
        <n x="618"/>
      </t>
    </mdx>
    <mdx n="0" f="v">
      <t c="6" si="614">
        <n x="610"/>
        <n x="277"/>
        <n x="278"/>
        <n x="800" s="1"/>
        <n x="617"/>
        <n x="618"/>
      </t>
    </mdx>
    <mdx n="0" f="v">
      <t c="6" si="614">
        <n x="610"/>
        <n x="273"/>
        <n x="274"/>
        <n x="800" s="1"/>
        <n x="617"/>
        <n x="618"/>
      </t>
    </mdx>
    <mdx n="0" f="v">
      <t c="6" si="614">
        <n x="610"/>
        <n x="521"/>
        <n x="522"/>
        <n x="800" s="1"/>
        <n x="617"/>
        <n x="618"/>
      </t>
    </mdx>
    <mdx n="0" f="v">
      <t c="6" si="614">
        <n x="610"/>
        <n x="561"/>
        <n x="562"/>
        <n x="800" s="1"/>
        <n x="617"/>
        <n x="618"/>
      </t>
    </mdx>
    <mdx n="0" f="v">
      <t c="6" si="614">
        <n x="610"/>
        <n x="467"/>
        <n x="468"/>
        <n x="800" s="1"/>
        <n x="617"/>
        <n x="618"/>
      </t>
    </mdx>
    <mdx n="0" f="v">
      <t c="6" si="614">
        <n x="610"/>
        <n x="769"/>
        <n x="770"/>
        <n x="800" s="1"/>
        <n x="617"/>
        <n x="618"/>
      </t>
    </mdx>
    <mdx n="0" f="v">
      <t c="6" si="614">
        <n x="610"/>
        <n x="221"/>
        <n x="222"/>
        <n x="800" s="1"/>
        <n x="617"/>
        <n x="618"/>
      </t>
    </mdx>
    <mdx n="0" f="v">
      <t c="6" si="614">
        <n x="610"/>
        <n x="319"/>
        <n x="320"/>
        <n x="800" s="1"/>
        <n x="617"/>
        <n x="618"/>
      </t>
    </mdx>
    <mdx n="0" f="v">
      <t c="6" si="614">
        <n x="610"/>
        <n x="777"/>
        <n x="778"/>
        <n x="800" s="1"/>
        <n x="617"/>
        <n x="618"/>
      </t>
    </mdx>
    <mdx n="0" f="v">
      <t c="6" si="614">
        <n x="610"/>
        <n x="439"/>
        <n x="440"/>
        <n x="800" s="1"/>
        <n x="617"/>
        <n x="618"/>
      </t>
    </mdx>
    <mdx n="0" f="v">
      <t c="6" si="614">
        <n x="610"/>
        <n x="717"/>
        <n x="718"/>
        <n x="800" s="1"/>
        <n x="617"/>
        <n x="618"/>
      </t>
    </mdx>
    <mdx n="0" f="v">
      <t c="6" si="614">
        <n x="610"/>
        <n x="603"/>
        <n x="604"/>
        <n x="800" s="1"/>
        <n x="617"/>
        <n x="618"/>
      </t>
    </mdx>
    <mdx n="0" f="v">
      <t c="6" si="614">
        <n x="610"/>
        <n x="569"/>
        <n x="570"/>
        <n x="800" s="1"/>
        <n x="617"/>
        <n x="618"/>
      </t>
    </mdx>
    <mdx n="0" f="v">
      <t c="6" si="614">
        <n x="610"/>
        <n x="403"/>
        <n x="404"/>
        <n x="800" s="1"/>
        <n x="617"/>
        <n x="618"/>
      </t>
    </mdx>
    <mdx n="0" f="v">
      <t c="6" si="614">
        <n x="610"/>
        <n x="575"/>
        <n x="576"/>
        <n x="800" s="1"/>
        <n x="617"/>
        <n x="618"/>
      </t>
    </mdx>
    <mdx n="0" f="v">
      <t c="6" si="614">
        <n x="610"/>
        <n x="709"/>
        <n x="710"/>
        <n x="800" s="1"/>
        <n x="619"/>
        <n x="620"/>
      </t>
    </mdx>
    <mdx n="0" f="v">
      <t c="6" si="614">
        <n x="610"/>
        <n x="709"/>
        <n x="710"/>
        <n x="800" s="1"/>
        <n x="625"/>
        <n x="626"/>
      </t>
    </mdx>
    <mdx n="0" f="v">
      <t c="6" si="614">
        <n x="610"/>
        <n x="715"/>
        <n x="716"/>
        <n x="800" s="1"/>
        <n x="621"/>
        <n x="622"/>
      </t>
    </mdx>
    <mdx n="0" f="v">
      <t c="6" si="614">
        <n x="610"/>
        <n x="317"/>
        <n x="318"/>
        <n x="800" s="1"/>
        <n x="623"/>
        <n x="624"/>
      </t>
    </mdx>
    <mdx n="0" f="v">
      <t c="6" si="614">
        <n x="610"/>
        <n x="717"/>
        <n x="718"/>
        <n x="800" s="1"/>
        <n x="625"/>
        <n x="626"/>
      </t>
    </mdx>
    <mdx n="0" f="v">
      <t c="6" si="614">
        <n x="610"/>
        <n x="275"/>
        <n x="276"/>
        <n x="800" s="1"/>
        <n x="623"/>
        <n x="624"/>
      </t>
    </mdx>
    <mdx n="0" f="v">
      <t c="6" si="614">
        <n x="610"/>
        <n x="723"/>
        <n x="724"/>
        <n x="800" s="1"/>
        <n x="619"/>
        <n x="620"/>
      </t>
    </mdx>
    <mdx n="0" f="v">
      <t c="6" si="614">
        <n x="610"/>
        <n x="377"/>
        <n x="378"/>
        <n x="800" s="1"/>
        <n x="623"/>
        <n x="624"/>
      </t>
    </mdx>
    <mdx n="0" f="v">
      <t c="6" si="614">
        <n x="610"/>
        <n x="391"/>
        <n x="392"/>
        <n x="800" s="1"/>
        <n x="625"/>
        <n x="626"/>
      </t>
    </mdx>
    <mdx n="0" f="v">
      <t c="6" si="614">
        <n x="610"/>
        <n x="239"/>
        <n x="240"/>
        <n x="800" s="1"/>
        <n x="619"/>
        <n x="620"/>
      </t>
    </mdx>
    <mdx n="0" f="v">
      <t c="6" si="614">
        <n x="610"/>
        <n x="547"/>
        <n x="548"/>
        <n x="800" s="1"/>
        <n x="619"/>
        <n x="620"/>
      </t>
    </mdx>
    <mdx n="0" f="v">
      <t c="6" si="614">
        <n x="610"/>
        <n x="597"/>
        <n x="598"/>
        <n x="800" s="1"/>
        <n x="621"/>
        <n x="622"/>
      </t>
    </mdx>
    <mdx n="0" f="v">
      <t c="6" si="614">
        <n x="610"/>
        <n x="457"/>
        <n x="458"/>
        <n x="800" s="1"/>
        <n x="625"/>
        <n x="626"/>
      </t>
    </mdx>
    <mdx n="0" f="v">
      <t c="6" si="614">
        <n x="610"/>
        <n x="367"/>
        <n x="368"/>
        <n x="800" s="1"/>
        <n x="625"/>
        <n x="626"/>
      </t>
    </mdx>
    <mdx n="0" f="v">
      <t c="6" si="614">
        <n x="610"/>
        <n x="731"/>
        <n x="732"/>
        <n x="800" s="1"/>
        <n x="621"/>
        <n x="622"/>
      </t>
    </mdx>
    <mdx n="0" f="v">
      <t c="6" si="614">
        <n x="610"/>
        <n x="603"/>
        <n x="604"/>
        <n x="800" s="1"/>
        <n x="625"/>
        <n x="626"/>
      </t>
    </mdx>
    <mdx n="0" f="v">
      <t c="6" si="614">
        <n x="610"/>
        <n x="595"/>
        <n x="596"/>
        <n x="800" s="1"/>
        <n x="623"/>
        <n x="624"/>
      </t>
    </mdx>
    <mdx n="0" f="v">
      <t c="6" si="614">
        <n x="610"/>
        <n x="243"/>
        <n x="244"/>
        <n x="800" s="1"/>
        <n x="621"/>
        <n x="622"/>
      </t>
    </mdx>
    <mdx n="0" f="v">
      <t c="6" si="614">
        <n x="610"/>
        <n x="389"/>
        <n x="390"/>
        <n x="800" s="1"/>
        <n x="623"/>
        <n x="624"/>
      </t>
    </mdx>
    <mdx n="0" f="v">
      <t c="6" si="614">
        <n x="610"/>
        <n x="525"/>
        <n x="526"/>
        <n x="800" s="1"/>
        <n x="623"/>
        <n x="624"/>
      </t>
    </mdx>
    <mdx n="0" f="v">
      <t c="6" si="614">
        <n x="610"/>
        <n x="387"/>
        <n x="388"/>
        <n x="800" s="1"/>
        <n x="625"/>
        <n x="626"/>
      </t>
    </mdx>
    <mdx n="0" f="v">
      <t c="6" si="614">
        <n x="610"/>
        <n x="737"/>
        <n x="738"/>
        <n x="800" s="1"/>
        <n x="625"/>
        <n x="626"/>
      </t>
    </mdx>
    <mdx n="0" f="v">
      <t c="6" si="614">
        <n x="610"/>
        <n x="435"/>
        <n x="436"/>
        <n x="800" s="1"/>
        <n x="619"/>
        <n x="620"/>
      </t>
    </mdx>
    <mdx n="0" f="v">
      <t c="6" si="614">
        <n x="610"/>
        <n x="455"/>
        <n x="456"/>
        <n x="800" s="1"/>
        <n x="623"/>
        <n x="624"/>
      </t>
    </mdx>
    <mdx n="0" f="v">
      <t c="6" si="614">
        <n x="610"/>
        <n x="743"/>
        <n x="744"/>
        <n x="800" s="1"/>
        <n x="619"/>
        <n x="620"/>
      </t>
    </mdx>
    <mdx n="0" f="v">
      <t c="6" si="614">
        <n x="610"/>
        <n x="561"/>
        <n x="562"/>
        <n x="800" s="1"/>
        <n x="621"/>
        <n x="622"/>
      </t>
    </mdx>
    <mdx n="0" f="v">
      <t c="6" si="614">
        <n x="610"/>
        <n x="433"/>
        <n x="434"/>
        <n x="800" s="1"/>
        <n x="625"/>
        <n x="626"/>
      </t>
    </mdx>
    <mdx n="0" f="v">
      <t c="6" si="614">
        <n x="610"/>
        <n x="437"/>
        <n x="438"/>
        <n x="800" s="1"/>
        <n x="619"/>
        <n x="620"/>
      </t>
    </mdx>
    <mdx n="0" f="v">
      <t c="6" si="614">
        <n x="610"/>
        <n x="345"/>
        <n x="346"/>
        <n x="800" s="1"/>
        <n x="623"/>
        <n x="624"/>
      </t>
    </mdx>
    <mdx n="0" f="v">
      <t c="6" si="614">
        <n x="610"/>
        <n x="569"/>
        <n x="570"/>
        <n x="800" s="1"/>
        <n x="625"/>
        <n x="626"/>
      </t>
    </mdx>
    <mdx n="0" f="v">
      <t c="6" si="614">
        <n x="610"/>
        <n x="241"/>
        <n x="242"/>
        <n x="800" s="1"/>
        <n x="625"/>
        <n x="626"/>
      </t>
    </mdx>
    <mdx n="0" f="v">
      <t c="6" si="614">
        <n x="610"/>
        <n x="753"/>
        <n x="754"/>
        <n x="800" s="1"/>
        <n x="621"/>
        <n x="622"/>
      </t>
    </mdx>
    <mdx n="0" f="v">
      <t c="6" si="614">
        <n x="610"/>
        <n x="755"/>
        <n x="756"/>
        <n x="800" s="1"/>
        <n x="623"/>
        <n x="624"/>
      </t>
    </mdx>
    <mdx n="0" f="v">
      <t c="6" si="614">
        <n x="610"/>
        <n x="447"/>
        <n x="448"/>
        <n x="800" s="1"/>
        <n x="625"/>
        <n x="626"/>
      </t>
    </mdx>
    <mdx n="0" f="v">
      <t c="6" si="614">
        <n x="610"/>
        <n x="471"/>
        <n x="472"/>
        <n x="800" s="1"/>
        <n x="619"/>
        <n x="620"/>
      </t>
    </mdx>
    <mdx n="0" f="v">
      <t c="6" si="614">
        <n x="610"/>
        <n x="407"/>
        <n x="408"/>
        <n x="800" s="1"/>
        <n x="623"/>
        <n x="624"/>
      </t>
    </mdx>
    <mdx n="0" f="v">
      <t c="6" si="614">
        <n x="610"/>
        <n x="289"/>
        <n x="290"/>
        <n x="800" s="1"/>
        <n x="621"/>
        <n x="622"/>
      </t>
    </mdx>
    <mdx n="0" f="v">
      <t c="6" si="614">
        <n x="610"/>
        <n x="493"/>
        <n x="494"/>
        <n x="800" s="1"/>
        <n x="623"/>
        <n x="624"/>
      </t>
    </mdx>
    <mdx n="0" f="v">
      <t c="6" si="614">
        <n x="610"/>
        <n x="207"/>
        <n x="208"/>
        <n x="800" s="1"/>
        <n x="625"/>
        <n x="626"/>
      </t>
    </mdx>
    <mdx n="0" f="v">
      <t c="6" si="614">
        <n x="610"/>
        <n x="273"/>
        <n x="274"/>
        <n x="800" s="1"/>
        <n x="619"/>
        <n x="620"/>
      </t>
    </mdx>
    <mdx n="0" f="v">
      <t c="6" si="614">
        <n x="610"/>
        <n x="761"/>
        <n x="762"/>
        <n x="800" s="1"/>
        <n x="625"/>
        <n x="626"/>
      </t>
    </mdx>
    <mdx n="0" f="v">
      <t c="6" si="614">
        <n x="610"/>
        <n x="245"/>
        <n x="246"/>
        <n x="800" s="1"/>
        <n x="621"/>
        <n x="622"/>
      </t>
    </mdx>
    <mdx n="0" f="v">
      <t c="6" si="614">
        <n x="610"/>
        <n x="247"/>
        <n x="248"/>
        <n x="800" s="1"/>
        <n x="619"/>
        <n x="620"/>
      </t>
    </mdx>
    <mdx n="0" f="v">
      <t c="6" si="614">
        <n x="610"/>
        <n x="467"/>
        <n x="468"/>
        <n x="800" s="1"/>
        <n x="621"/>
        <n x="622"/>
      </t>
    </mdx>
    <mdx n="0" f="v">
      <t c="6" si="614">
        <n x="610"/>
        <n x="763"/>
        <n x="764"/>
        <n x="800" s="1"/>
        <n x="625"/>
        <n x="626"/>
      </t>
    </mdx>
    <mdx n="0" f="v">
      <t c="6" si="614">
        <n x="610"/>
        <n x="765"/>
        <n x="766"/>
        <n x="800" s="1"/>
        <n x="619"/>
        <n x="620"/>
      </t>
    </mdx>
    <mdx n="0" f="v">
      <t c="6" si="614">
        <n x="610"/>
        <n x="509"/>
        <n x="510"/>
        <n x="800" s="1"/>
        <n x="621"/>
        <n x="622"/>
      </t>
    </mdx>
    <mdx n="0" f="v">
      <t c="6" si="614">
        <n x="610"/>
        <n x="293"/>
        <n x="294"/>
        <n x="800" s="1"/>
        <n x="619"/>
        <n x="620"/>
      </t>
    </mdx>
    <mdx n="0" f="v">
      <t c="6" si="614">
        <n x="610"/>
        <n x="529"/>
        <n x="530"/>
        <n x="800" s="1"/>
        <n x="621"/>
        <n x="622"/>
      </t>
    </mdx>
    <mdx n="0" f="v">
      <t c="6" si="614">
        <n x="610"/>
        <n x="773"/>
        <n x="774"/>
        <n x="800" s="1"/>
        <n x="625"/>
        <n x="626"/>
      </t>
    </mdx>
    <mdx n="0" f="v">
      <t c="6" si="614">
        <n x="610"/>
        <n x="357"/>
        <n x="358"/>
        <n x="800" s="1"/>
        <n x="619"/>
        <n x="620"/>
      </t>
    </mdx>
    <mdx n="0" f="v">
      <t c="6" si="614">
        <n x="610"/>
        <n x="381"/>
        <n x="382"/>
        <n x="800" s="1"/>
        <n x="621"/>
        <n x="622"/>
      </t>
    </mdx>
    <mdx n="0" f="v">
      <t c="6" si="614">
        <n x="610"/>
        <n x="445"/>
        <n x="446"/>
        <n x="800" s="1"/>
        <n x="625"/>
        <n x="626"/>
      </t>
    </mdx>
    <mdx n="0" f="v">
      <t c="6" si="614">
        <n x="610"/>
        <n x="527"/>
        <n x="528"/>
        <n x="800" s="1"/>
        <n x="621"/>
        <n x="622"/>
      </t>
    </mdx>
    <mdx n="0" f="v">
      <t c="6" si="614">
        <n x="610"/>
        <n x="375"/>
        <n x="376"/>
        <n x="800" s="1"/>
        <n x="625"/>
        <n x="626"/>
      </t>
    </mdx>
    <mdx n="0" f="v">
      <t c="6" si="614">
        <n x="610"/>
        <n x="355"/>
        <n x="356"/>
        <n x="800" s="1"/>
        <n x="619"/>
        <n x="620"/>
      </t>
    </mdx>
    <mdx n="0" f="v">
      <t c="6" si="614">
        <n x="610"/>
        <n x="787"/>
        <n x="788"/>
        <n x="800" s="1"/>
        <n x="623"/>
        <n x="624"/>
      </t>
    </mdx>
    <mdx n="0" f="v">
      <t c="6" si="614">
        <n x="610"/>
        <n x="583"/>
        <n x="584"/>
        <n x="800" s="1"/>
        <n x="625"/>
        <n x="626"/>
      </t>
    </mdx>
    <mdx n="0" f="v">
      <t c="6" si="614">
        <n x="610"/>
        <n x="431"/>
        <n x="432"/>
        <n x="800" s="1"/>
        <n x="621"/>
        <n x="622"/>
      </t>
    </mdx>
    <mdx n="0" f="v">
      <t c="6" si="614">
        <n x="610"/>
        <n x="545"/>
        <n x="546"/>
        <n x="800" s="1"/>
        <n x="623"/>
        <n x="624"/>
      </t>
    </mdx>
    <mdx n="0" f="v">
      <t c="6" si="614">
        <n x="610"/>
        <n x="579"/>
        <n x="580"/>
        <n x="800" s="1"/>
        <n x="623"/>
        <n x="624"/>
      </t>
    </mdx>
    <mdx n="0" f="v">
      <t c="6" si="614">
        <n x="610"/>
        <n x="791"/>
        <n x="792"/>
        <n x="800" s="1"/>
        <n x="619"/>
        <n x="620"/>
      </t>
    </mdx>
    <mdx n="0" f="v">
      <t c="6" si="614">
        <n x="610"/>
        <n x="303"/>
        <n x="304"/>
        <n x="800" s="1"/>
        <n x="619"/>
        <n x="620"/>
      </t>
    </mdx>
    <mdx n="0" f="v">
      <t c="6" si="614">
        <n x="610"/>
        <n x="211"/>
        <n x="212"/>
        <n x="800" s="1"/>
        <n x="621"/>
        <n x="622"/>
      </t>
    </mdx>
    <mdx n="0" f="v">
      <t c="6" si="614">
        <n x="610"/>
        <n x="439"/>
        <n x="440"/>
        <n x="800" s="1"/>
        <n x="623"/>
        <n x="624"/>
      </t>
    </mdx>
    <mdx n="0" f="v">
      <t c="6" si="614">
        <n x="610"/>
        <n x="225"/>
        <n x="226"/>
        <n x="800" s="1"/>
        <n x="619"/>
        <n x="620"/>
      </t>
    </mdx>
    <mdx n="0" f="v">
      <t c="6" si="614">
        <n x="610"/>
        <n x="797"/>
        <n x="798"/>
        <n x="800" s="1"/>
        <n x="625"/>
        <n x="626"/>
      </t>
    </mdx>
    <mdx n="0" f="v">
      <t c="6" si="614">
        <n x="610"/>
        <n x="711"/>
        <n x="712"/>
        <n x="800" s="1"/>
        <n x="619"/>
        <n x="620"/>
      </t>
    </mdx>
    <mdx n="0" f="v">
      <t c="6" si="614">
        <n x="610"/>
        <n x="715"/>
        <n x="716"/>
        <n x="800" s="1"/>
        <n x="623"/>
        <n x="624"/>
      </t>
    </mdx>
    <mdx n="0" f="v">
      <t c="6" si="614">
        <n x="610"/>
        <n x="285"/>
        <n x="286"/>
        <n x="800" s="1"/>
        <n x="621"/>
        <n x="622"/>
      </t>
    </mdx>
    <mdx n="0" f="v">
      <t c="6" si="614">
        <n x="610"/>
        <n x="261"/>
        <n x="262"/>
        <n x="800" s="1"/>
        <n x="623"/>
        <n x="624"/>
      </t>
    </mdx>
    <mdx n="0" f="v">
      <t c="6" si="614">
        <n x="610"/>
        <n x="275"/>
        <n x="276"/>
        <n x="800" s="1"/>
        <n x="625"/>
        <n x="626"/>
      </t>
    </mdx>
    <mdx n="0" f="v">
      <t c="6" si="614">
        <n x="610"/>
        <n x="721"/>
        <n x="722"/>
        <n x="800" s="1"/>
        <n x="619"/>
        <n x="620"/>
      </t>
    </mdx>
    <mdx n="0" f="v">
      <t c="6" si="614">
        <n x="610"/>
        <n x="723"/>
        <n x="724"/>
        <n x="800" s="1"/>
        <n x="621"/>
        <n x="622"/>
      </t>
    </mdx>
    <mdx n="0" f="v">
      <t c="6" si="614">
        <n x="610"/>
        <n x="377"/>
        <n x="378"/>
        <n x="800" s="1"/>
        <n x="625"/>
        <n x="626"/>
      </t>
    </mdx>
    <mdx n="0" f="v">
      <t c="6" si="614">
        <n x="610"/>
        <n x="239"/>
        <n x="240"/>
        <n x="800" s="1"/>
        <n x="621"/>
        <n x="622"/>
      </t>
    </mdx>
    <mdx n="0" f="v">
      <t c="6" si="614">
        <n x="610"/>
        <n x="221"/>
        <n x="222"/>
        <n x="800" s="1"/>
        <n x="625"/>
        <n x="626"/>
      </t>
    </mdx>
    <mdx n="0" f="v">
      <t c="6" si="614">
        <n x="610"/>
        <n x="557"/>
        <n x="558"/>
        <n x="800" s="1"/>
        <n x="621"/>
        <n x="622"/>
      </t>
    </mdx>
    <mdx n="0" f="v">
      <t c="6" si="614">
        <n x="610"/>
        <n x="237"/>
        <n x="238"/>
        <n x="800" s="1"/>
        <n x="619"/>
        <n x="620"/>
      </t>
    </mdx>
    <mdx n="0" f="v">
      <t c="6" si="614">
        <n x="610"/>
        <n x="495"/>
        <n x="496"/>
        <n x="800" s="1"/>
        <n x="621"/>
        <n x="622"/>
      </t>
    </mdx>
    <mdx n="0" f="v">
      <t c="6" si="614">
        <n x="610"/>
        <n x="595"/>
        <n x="596"/>
        <n x="800" s="1"/>
        <n x="625"/>
        <n x="626"/>
      </t>
    </mdx>
    <mdx n="0" f="v">
      <t c="6" si="614">
        <n x="610"/>
        <n x="733"/>
        <n x="734"/>
        <n x="800" s="1"/>
        <n x="619"/>
        <n x="620"/>
      </t>
    </mdx>
    <mdx n="0" f="v">
      <t c="6" si="614">
        <n x="610"/>
        <n x="389"/>
        <n x="390"/>
        <n x="800" s="1"/>
        <n x="625"/>
        <n x="626"/>
      </t>
    </mdx>
    <mdx n="0" f="v">
      <t c="6" si="614">
        <n x="610"/>
        <n x="283"/>
        <n x="284"/>
        <n x="800" s="1"/>
        <n x="619"/>
        <n x="620"/>
      </t>
    </mdx>
    <mdx n="0" f="v">
      <t c="6" si="614">
        <n x="610"/>
        <n x="277"/>
        <n x="278"/>
        <n x="800" s="1"/>
        <n x="621"/>
        <n x="622"/>
      </t>
    </mdx>
    <mdx n="0" f="v">
      <t c="6" si="614">
        <n x="610"/>
        <n x="443"/>
        <n x="444"/>
        <n x="800" s="1"/>
        <n x="623"/>
        <n x="624"/>
      </t>
    </mdx>
    <mdx n="0" f="v">
      <t c="6" si="614">
        <n x="610"/>
        <n x="525"/>
        <n x="526"/>
        <n x="800" s="1"/>
        <n x="625"/>
        <n x="626"/>
      </t>
    </mdx>
    <mdx n="0" f="v">
      <t c="6" si="614">
        <n x="610"/>
        <n x="319"/>
        <n x="320"/>
        <n x="800" s="1"/>
        <n x="619"/>
        <n x="620"/>
      </t>
    </mdx>
    <mdx n="0" f="v">
      <t c="6" si="614">
        <n x="610"/>
        <n x="591"/>
        <n x="592"/>
        <n x="800" s="1"/>
        <n x="625"/>
        <n x="626"/>
      </t>
    </mdx>
    <mdx n="0" f="v">
      <t c="6" si="614">
        <n x="610"/>
        <n x="455"/>
        <n x="456"/>
        <n x="800" s="1"/>
        <n x="625"/>
        <n x="626"/>
      </t>
    </mdx>
    <mdx n="0" f="v">
      <t c="6" si="614">
        <n x="610"/>
        <n x="503"/>
        <n x="504"/>
        <n x="800" s="1"/>
        <n x="623"/>
        <n x="624"/>
      </t>
    </mdx>
    <mdx n="0" f="v">
      <t c="6" si="614">
        <n x="610"/>
        <n x="295"/>
        <n x="296"/>
        <n x="800" s="1"/>
        <n x="619"/>
        <n x="620"/>
      </t>
    </mdx>
    <mdx n="0" f="v">
      <t c="6" si="614">
        <n x="610"/>
        <n x="747"/>
        <n x="748"/>
        <n x="800" s="1"/>
        <n x="621"/>
        <n x="622"/>
      </t>
    </mdx>
    <mdx n="0" f="v">
      <t c="6" si="614">
        <n x="610"/>
        <n x="749"/>
        <n x="750"/>
        <n x="800" s="1"/>
        <n x="621"/>
        <n x="622"/>
      </t>
    </mdx>
    <mdx n="0" f="v">
      <t c="6" si="614">
        <n x="610"/>
        <n x="419"/>
        <n x="420"/>
        <n x="800" s="1"/>
        <n x="623"/>
        <n x="624"/>
      </t>
    </mdx>
    <mdx n="0" f="v">
      <t c="6" si="614">
        <n x="610"/>
        <n x="489"/>
        <n x="490"/>
        <n x="800" s="1"/>
        <n x="625"/>
        <n x="626"/>
      </t>
    </mdx>
    <mdx n="0" f="v">
      <t c="6" si="614">
        <n x="610"/>
        <n x="229"/>
        <n x="230"/>
        <n x="800" s="1"/>
        <n x="619"/>
        <n x="620"/>
      </t>
    </mdx>
    <mdx n="0" f="v">
      <t c="6" si="614">
        <n x="610"/>
        <n x="755"/>
        <n x="756"/>
        <n x="800" s="1"/>
        <n x="625"/>
        <n x="626"/>
      </t>
    </mdx>
    <mdx n="0" f="v">
      <t c="6" si="614">
        <n x="610"/>
        <n x="471"/>
        <n x="472"/>
        <n x="800" s="1"/>
        <n x="621"/>
        <n x="622"/>
      </t>
    </mdx>
    <mdx n="0" f="v">
      <t c="6" si="614">
        <n x="610"/>
        <n x="233"/>
        <n x="234"/>
        <n x="800" s="1"/>
        <n x="621"/>
        <n x="622"/>
      </t>
    </mdx>
    <mdx n="0" f="v">
      <t c="6" si="614">
        <n x="610"/>
        <n x="289"/>
        <n x="290"/>
        <n x="800" s="1"/>
        <n x="623"/>
        <n x="624"/>
      </t>
    </mdx>
    <mdx n="0" f="v">
      <t c="6" si="614">
        <n x="610"/>
        <n x="493"/>
        <n x="494"/>
        <n x="800" s="1"/>
        <n x="625"/>
        <n x="626"/>
      </t>
    </mdx>
    <mdx n="0" f="v">
      <t c="6" si="614">
        <n x="610"/>
        <n x="551"/>
        <n x="552"/>
        <n x="800" s="1"/>
        <n x="619"/>
        <n x="620"/>
      </t>
    </mdx>
    <mdx n="0" f="v">
      <t c="6" si="614">
        <n x="610"/>
        <n x="757"/>
        <n x="758"/>
        <n x="800" s="1"/>
        <n x="623"/>
        <n x="624"/>
      </t>
    </mdx>
    <mdx n="0" f="v">
      <t c="6" si="614">
        <n x="610"/>
        <n x="549"/>
        <n x="550"/>
        <n x="800" s="1"/>
        <n x="625"/>
        <n x="626"/>
      </t>
    </mdx>
    <mdx n="0" f="v">
      <t c="6" si="614">
        <n x="610"/>
        <n x="467"/>
        <n x="468"/>
        <n x="800" s="1"/>
        <n x="623"/>
        <n x="624"/>
      </t>
    </mdx>
    <mdx n="0" f="v">
      <t c="6" si="614">
        <n x="610"/>
        <n x="287"/>
        <n x="288"/>
        <n x="800" s="1"/>
        <n x="625"/>
        <n x="626"/>
      </t>
    </mdx>
    <mdx n="0" f="v">
      <t c="6" si="614">
        <n x="610"/>
        <n x="539"/>
        <n x="540"/>
        <n x="800" s="1"/>
        <n x="619"/>
        <n x="620"/>
      </t>
    </mdx>
    <mdx n="0" f="v">
      <t c="6" si="614">
        <n x="610"/>
        <n x="509"/>
        <n x="510"/>
        <n x="800" s="1"/>
        <n x="623"/>
        <n x="624"/>
      </t>
    </mdx>
    <mdx n="0" f="v">
      <t c="6" si="614">
        <n x="610"/>
        <n x="767"/>
        <n x="768"/>
        <n x="800" s="1"/>
        <n x="619"/>
        <n x="620"/>
      </t>
    </mdx>
    <mdx n="0" f="v">
      <t c="6" si="614">
        <n x="610"/>
        <n x="777"/>
        <n x="778"/>
        <n x="800" s="1"/>
        <n x="619"/>
        <n x="620"/>
      </t>
    </mdx>
    <mdx n="0" f="v">
      <t c="6" si="614">
        <n x="610"/>
        <n x="357"/>
        <n x="358"/>
        <n x="800" s="1"/>
        <n x="621"/>
        <n x="622"/>
      </t>
    </mdx>
    <mdx n="0" f="v">
      <t c="6" si="614">
        <n x="610"/>
        <n x="515"/>
        <n x="516"/>
        <n x="800" s="1"/>
        <n x="625"/>
        <n x="626"/>
      </t>
    </mdx>
    <mdx n="0" f="v">
      <t c="6" si="614">
        <n x="610"/>
        <n x="535"/>
        <n x="536"/>
        <n x="800" s="1"/>
        <n x="619"/>
        <n x="620"/>
      </t>
    </mdx>
    <mdx n="0" f="v">
      <t c="6" si="614">
        <n x="610"/>
        <n x="787"/>
        <n x="788"/>
        <n x="800" s="1"/>
        <n x="625"/>
        <n x="626"/>
      </t>
    </mdx>
    <mdx n="0" f="v">
      <t c="6" si="614">
        <n x="610"/>
        <n x="431"/>
        <n x="432"/>
        <n x="800" s="1"/>
        <n x="623"/>
        <n x="624"/>
      </t>
    </mdx>
    <mdx n="0" f="v">
      <t c="6" si="614">
        <n x="610"/>
        <n x="565"/>
        <n x="566"/>
        <n x="800" s="1"/>
        <n x="619"/>
        <n x="620"/>
      </t>
    </mdx>
    <mdx n="0" f="v">
      <t c="6" si="614">
        <n x="610"/>
        <n x="579"/>
        <n x="580"/>
        <n x="800" s="1"/>
        <n x="625"/>
        <n x="626"/>
      </t>
    </mdx>
    <mdx n="0" f="v">
      <t c="6" si="614">
        <n x="610"/>
        <n x="791"/>
        <n x="792"/>
        <n x="800" s="1"/>
        <n x="621"/>
        <n x="622"/>
      </t>
    </mdx>
    <mdx n="0" f="v">
      <t c="6" si="614">
        <n x="610"/>
        <n x="331"/>
        <n x="332"/>
        <n x="800" s="1"/>
        <n x="623"/>
        <n x="624"/>
      </t>
    </mdx>
    <mdx n="0" f="v">
      <t c="6" si="614">
        <n x="610"/>
        <n x="465"/>
        <n x="466"/>
        <n x="800" s="1"/>
        <n x="619"/>
        <n x="620"/>
      </t>
    </mdx>
    <mdx n="0" f="v">
      <t c="6" si="614">
        <n x="610"/>
        <n x="303"/>
        <n x="304"/>
        <n x="800" s="1"/>
        <n x="621"/>
        <n x="622"/>
      </t>
    </mdx>
    <mdx n="0" f="v">
      <t c="6" si="614">
        <n x="610"/>
        <n x="211"/>
        <n x="212"/>
        <n x="800" s="1"/>
        <n x="623"/>
        <n x="624"/>
      </t>
    </mdx>
    <mdx n="0" f="v">
      <t c="6" si="614">
        <n x="610"/>
        <n x="439"/>
        <n x="440"/>
        <n x="800" s="1"/>
        <n x="625"/>
        <n x="626"/>
      </t>
    </mdx>
    <mdx n="0" f="v">
      <t c="6" si="614">
        <n x="610"/>
        <n x="291"/>
        <n x="292"/>
        <n x="800" s="1"/>
        <n x="625"/>
        <n x="626"/>
      </t>
    </mdx>
    <mdx n="0" f="v">
      <t c="6" si="614">
        <n x="610"/>
        <n x="711"/>
        <n x="712"/>
        <n x="800" s="1"/>
        <n x="621"/>
        <n x="622"/>
      </t>
    </mdx>
    <mdx n="0" f="v">
      <t c="6" si="614">
        <n x="610"/>
        <n x="713"/>
        <n x="714"/>
        <n x="800" s="1"/>
        <n x="623"/>
        <n x="624"/>
      </t>
    </mdx>
    <mdx n="0" f="v">
      <t c="6" si="614">
        <n x="610"/>
        <n x="715"/>
        <n x="716"/>
        <n x="800" s="1"/>
        <n x="625"/>
        <n x="626"/>
      </t>
    </mdx>
    <mdx n="0" f="v">
      <t c="6" si="614">
        <n x="610"/>
        <n x="217"/>
        <n x="218"/>
        <n x="800" s="1"/>
        <n x="621"/>
        <n x="622"/>
      </t>
    </mdx>
    <mdx n="0" f="v">
      <t c="6" si="614">
        <n x="610"/>
        <n x="261"/>
        <n x="262"/>
        <n x="800" s="1"/>
        <n x="625"/>
        <n x="626"/>
      </t>
    </mdx>
    <mdx n="0" f="v">
      <t c="6" si="614">
        <n x="610"/>
        <n x="379"/>
        <n x="380"/>
        <n x="800" s="1"/>
        <n x="621"/>
        <n x="622"/>
      </t>
    </mdx>
    <mdx n="0" f="v">
      <t c="6" si="614">
        <n x="610"/>
        <n x="397"/>
        <n x="398"/>
        <n x="800" s="1"/>
        <n x="619"/>
        <n x="620"/>
      </t>
    </mdx>
    <mdx n="0" f="v">
      <t c="6" si="614">
        <n x="610"/>
        <n x="459"/>
        <n x="460"/>
        <n x="800" s="1"/>
        <n x="621"/>
        <n x="622"/>
      </t>
    </mdx>
    <mdx n="0" f="v">
      <t c="6" si="614">
        <n x="610"/>
        <n x="547"/>
        <n x="548"/>
        <n x="800" s="1"/>
        <n x="623"/>
        <n x="624"/>
      </t>
    </mdx>
    <mdx n="0" f="v">
      <t c="6" si="614">
        <n x="610"/>
        <n x="597"/>
        <n x="598"/>
        <n x="800" s="1"/>
        <n x="625"/>
        <n x="626"/>
      </t>
    </mdx>
    <mdx n="0" f="v">
      <t c="6" si="614">
        <n x="610"/>
        <n x="231"/>
        <n x="232"/>
        <n x="800" s="1"/>
        <n x="619"/>
        <n x="620"/>
      </t>
    </mdx>
    <mdx n="0" f="v">
      <t c="6" si="614">
        <n x="610"/>
        <n x="601"/>
        <n x="602"/>
        <n x="800" s="1"/>
        <n x="621"/>
        <n x="622"/>
      </t>
    </mdx>
    <mdx n="0" f="v">
      <t c="6" si="614">
        <n x="610"/>
        <n x="727"/>
        <n x="728"/>
        <n x="800" s="1"/>
        <n x="625"/>
        <n x="626"/>
      </t>
    </mdx>
    <mdx n="0" f="v">
      <t c="6" si="614">
        <n x="610"/>
        <n x="555"/>
        <n x="556"/>
        <n x="800" s="1"/>
        <n x="619"/>
        <n x="620"/>
      </t>
    </mdx>
    <mdx n="0" f="v">
      <t c="6" si="614">
        <n x="610"/>
        <n x="607"/>
        <n x="608"/>
        <n x="800" s="1"/>
        <n x="619"/>
        <n x="620"/>
      </t>
    </mdx>
    <mdx n="0" f="v">
      <t c="6" si="614">
        <n x="610"/>
        <n x="363"/>
        <n x="364"/>
        <n x="800" s="1"/>
        <n x="623"/>
        <n x="624"/>
      </t>
    </mdx>
    <mdx n="0" f="v">
      <t c="6" si="614">
        <n x="610"/>
        <n x="281"/>
        <n x="282"/>
        <n x="800" s="1"/>
        <n x="623"/>
        <n x="624"/>
      </t>
    </mdx>
    <mdx n="0" f="v">
      <t c="6" si="614">
        <n x="610"/>
        <n x="243"/>
        <n x="244"/>
        <n x="800" s="1"/>
        <n x="625"/>
        <n x="626"/>
      </t>
    </mdx>
    <mdx n="0" f="v">
      <t c="6" si="614">
        <n x="610"/>
        <n x="277"/>
        <n x="278"/>
        <n x="800" s="1"/>
        <n x="623"/>
        <n x="624"/>
      </t>
    </mdx>
    <mdx n="0" f="v">
      <t c="6" si="614">
        <n x="610"/>
        <n x="387"/>
        <n x="388"/>
        <n x="800" s="1"/>
        <n x="617"/>
        <n x="618"/>
      </t>
    </mdx>
    <mdx n="0" f="v">
      <t c="6" si="614">
        <n x="610"/>
        <n x="295"/>
        <n x="296"/>
        <n x="800" s="1"/>
        <n x="621"/>
        <n x="622"/>
      </t>
    </mdx>
    <mdx n="0" f="v">
      <t c="6" si="614">
        <n x="610"/>
        <n x="747"/>
        <n x="748"/>
        <n x="800" s="1"/>
        <n x="623"/>
        <n x="624"/>
      </t>
    </mdx>
    <mdx n="0" f="v">
      <t c="6" si="614">
        <n x="610"/>
        <n x="299"/>
        <n x="300"/>
        <n x="800" s="1"/>
        <n x="621"/>
        <n x="622"/>
      </t>
    </mdx>
    <mdx n="0" f="v">
      <t c="6" si="614">
        <n x="610"/>
        <n x="419"/>
        <n x="420"/>
        <n x="800" s="1"/>
        <n x="625"/>
        <n x="626"/>
      </t>
    </mdx>
    <mdx n="0" f="v">
      <t c="6" si="614">
        <n x="610"/>
        <n x="447"/>
        <n x="448"/>
        <n x="800" s="1"/>
        <n x="617"/>
        <n x="618"/>
      </t>
    </mdx>
    <mdx n="0" f="v">
      <t c="6" si="614">
        <n x="610"/>
        <n x="577"/>
        <n x="578"/>
        <n x="800" s="1"/>
        <n x="619"/>
        <n x="620"/>
      </t>
    </mdx>
    <mdx n="0" f="v">
      <t c="6" si="614">
        <n x="610"/>
        <n x="233"/>
        <n x="234"/>
        <n x="800" s="1"/>
        <n x="623"/>
        <n x="624"/>
      </t>
    </mdx>
    <mdx n="0" f="v">
      <t c="6" si="614">
        <n x="610"/>
        <n x="289"/>
        <n x="290"/>
        <n x="800" s="1"/>
        <n x="625"/>
        <n x="626"/>
      </t>
    </mdx>
    <mdx n="0" f="v">
      <t c="6" si="614">
        <n x="610"/>
        <n x="361"/>
        <n x="362"/>
        <n x="800" s="1"/>
        <n x="619"/>
        <n x="620"/>
      </t>
    </mdx>
    <mdx n="0" f="v">
      <t c="6" si="614">
        <n x="610"/>
        <n x="325"/>
        <n x="326"/>
        <n x="800" s="1"/>
        <n x="619"/>
        <n x="620"/>
      </t>
    </mdx>
    <mdx n="0" f="v">
      <t c="6" si="614">
        <n x="610"/>
        <n x="409"/>
        <n x="410"/>
        <n x="800" s="1"/>
        <n x="621"/>
        <n x="622"/>
      </t>
    </mdx>
    <mdx n="0" f="v">
      <t c="6" si="614">
        <n x="610"/>
        <n x="553"/>
        <n x="554"/>
        <n x="800" s="1"/>
        <n x="623"/>
        <n x="624"/>
      </t>
    </mdx>
    <mdx n="0" f="v">
      <t c="6" si="614">
        <n x="610"/>
        <n x="245"/>
        <n x="246"/>
        <n x="800" s="1"/>
        <n x="625"/>
        <n x="626"/>
      </t>
    </mdx>
    <mdx n="0" f="v">
      <t c="6" si="614">
        <n x="610"/>
        <n x="507"/>
        <n x="508"/>
        <n x="800" s="1"/>
        <n x="619"/>
        <n x="620"/>
      </t>
    </mdx>
    <mdx n="0" f="v">
      <t c="6" si="614">
        <n x="610"/>
        <n x="469"/>
        <n x="470"/>
        <n x="800" s="1"/>
        <n x="621"/>
        <n x="622"/>
      </t>
    </mdx>
    <mdx n="0" f="v">
      <t c="6" si="614">
        <n x="610"/>
        <n x="539"/>
        <n x="540"/>
        <n x="800" s="1"/>
        <n x="621"/>
        <n x="622"/>
      </t>
    </mdx>
    <mdx n="0" f="v">
      <t c="6" si="614">
        <n x="610"/>
        <n x="769"/>
        <n x="770"/>
        <n x="800" s="1"/>
        <n x="625"/>
        <n x="626"/>
      </t>
    </mdx>
    <mdx n="0" f="v">
      <t c="6" si="614">
        <n x="610"/>
        <n x="293"/>
        <n x="294"/>
        <n x="800" s="1"/>
        <n x="623"/>
        <n x="624"/>
      </t>
    </mdx>
    <mdx n="0" f="v">
      <t c="6" si="614">
        <n x="610"/>
        <n x="773"/>
        <n x="774"/>
        <n x="800" s="1"/>
        <n x="617"/>
        <n x="618"/>
      </t>
    </mdx>
    <mdx n="0" f="v">
      <t c="6" si="614">
        <n x="610"/>
        <n x="775"/>
        <n x="776"/>
        <n x="800" s="1"/>
        <n x="619"/>
        <n x="620"/>
      </t>
    </mdx>
    <mdx n="0" f="v">
      <t c="6" si="614">
        <n x="610"/>
        <n x="269"/>
        <n x="270"/>
        <n x="800" s="1"/>
        <n x="621"/>
        <n x="622"/>
      </t>
    </mdx>
    <mdx n="0" f="v">
      <t c="6" si="614">
        <n x="610"/>
        <n x="527"/>
        <n x="528"/>
        <n x="800" s="1"/>
        <n x="625"/>
        <n x="626"/>
      </t>
    </mdx>
    <mdx n="0" f="v">
      <t c="6" si="614">
        <n x="610"/>
        <n x="783"/>
        <n x="784"/>
        <n x="800" s="1"/>
        <n x="619"/>
        <n x="620"/>
      </t>
    </mdx>
    <mdx n="0" f="v">
      <t c="6" si="614">
        <n x="610"/>
        <n x="355"/>
        <n x="356"/>
        <n x="800" s="1"/>
        <n x="623"/>
        <n x="624"/>
      </t>
    </mdx>
    <mdx n="0" f="v">
      <t c="6" si="614">
        <n x="610"/>
        <n x="785"/>
        <n x="786"/>
        <n x="800" s="1"/>
        <n x="625"/>
        <n x="626"/>
      </t>
    </mdx>
    <mdx n="0" f="v">
      <t c="6" si="614">
        <n x="610"/>
        <n x="431"/>
        <n x="432"/>
        <n x="800" s="1"/>
        <n x="625"/>
        <n x="626"/>
      </t>
    </mdx>
    <mdx n="0" f="v">
      <t c="6" si="614">
        <n x="610"/>
        <n x="531"/>
        <n x="532"/>
        <n x="800" s="1"/>
        <n x="619"/>
        <n x="620"/>
      </t>
    </mdx>
    <mdx n="0" f="v">
      <t c="6" si="614">
        <n x="610"/>
        <n x="521"/>
        <n x="522"/>
        <n x="800" s="1"/>
        <n x="623"/>
        <n x="624"/>
      </t>
    </mdx>
    <mdx n="0" f="v">
      <t c="6" si="614">
        <n x="610"/>
        <n x="423"/>
        <n x="424"/>
        <n x="800" s="1"/>
        <n x="625"/>
        <n x="626"/>
      </t>
    </mdx>
    <mdx n="0" f="v">
      <t c="6" si="614">
        <n x="610"/>
        <n x="451"/>
        <n x="452"/>
        <n x="800" s="1"/>
        <n x="619"/>
        <n x="620"/>
      </t>
    </mdx>
    <mdx n="0" f="v">
      <t c="6" si="614">
        <n x="610"/>
        <n x="297"/>
        <n x="298"/>
        <n x="800" s="1"/>
        <n x="625"/>
        <n x="626"/>
      </t>
    </mdx>
    <mdx n="0" f="v">
      <t c="6" si="614">
        <n x="610"/>
        <n x="331"/>
        <n x="332"/>
        <n x="800" s="1"/>
        <n x="625"/>
        <n x="626"/>
      </t>
    </mdx>
    <mdx n="0" f="v">
      <t c="6" si="614">
        <n x="610"/>
        <n x="795"/>
        <n x="796"/>
        <n x="800" s="1"/>
        <n x="619"/>
        <n x="620"/>
      </t>
    </mdx>
    <mdx n="0" f="v">
      <t c="6" si="614">
        <n x="610"/>
        <n x="465"/>
        <n x="466"/>
        <n x="800" s="1"/>
        <n x="621"/>
        <n x="622"/>
      </t>
    </mdx>
    <mdx n="0" f="v">
      <t c="6" si="614">
        <n x="610"/>
        <n x="303"/>
        <n x="304"/>
        <n x="800" s="1"/>
        <n x="623"/>
        <n x="624"/>
      </t>
    </mdx>
    <mdx n="0" f="v">
      <t c="6" si="614">
        <n x="610"/>
        <n x="279"/>
        <n x="280"/>
        <n x="800" s="1"/>
        <n x="625"/>
        <n x="626"/>
      </t>
    </mdx>
    <mdx n="0" f="v">
      <t c="6" si="614">
        <n x="610"/>
        <n x="357"/>
        <n x="358"/>
        <n x="800" s="1"/>
        <n x="623"/>
        <n x="624"/>
      </t>
    </mdx>
    <mdx n="0" f="v">
      <t c="6" si="614">
        <n x="610"/>
        <n x="713"/>
        <n x="714"/>
        <n x="800" s="1"/>
        <n x="625"/>
        <n x="626"/>
      </t>
    </mdx>
    <mdx n="0" f="v">
      <t c="6" si="614">
        <n x="610"/>
        <n x="717"/>
        <n x="718"/>
        <n x="800" s="1"/>
        <n x="619"/>
        <n x="620"/>
      </t>
    </mdx>
    <mdx n="0" f="v">
      <t c="6" si="614">
        <n x="610"/>
        <n x="285"/>
        <n x="286"/>
        <n x="800" s="1"/>
        <n x="625"/>
        <n x="626"/>
      </t>
    </mdx>
    <mdx n="0" f="v">
      <t c="6" si="614">
        <n x="610"/>
        <n x="719"/>
        <n x="720"/>
        <n x="800" s="1"/>
        <n x="619"/>
        <n x="620"/>
      </t>
    </mdx>
    <mdx n="0" f="v">
      <t c="6" si="614">
        <n x="610"/>
        <n x="391"/>
        <n x="392"/>
        <n x="800" s="1"/>
        <n x="619"/>
        <n x="620"/>
      </t>
    </mdx>
    <mdx n="0" f="v">
      <t c="6" si="614">
        <n x="610"/>
        <n x="200"/>
        <n x="201"/>
        <n x="800" s="1"/>
        <n x="621"/>
        <n x="622"/>
      </t>
    </mdx>
    <mdx n="0" f="v">
      <t c="6" si="614">
        <n x="610"/>
        <n x="397"/>
        <n x="398"/>
        <n x="800" s="1"/>
        <n x="621"/>
        <n x="622"/>
      </t>
    </mdx>
    <mdx n="0" f="v">
      <t c="6" si="614">
        <n x="610"/>
        <n x="459"/>
        <n x="460"/>
        <n x="800" s="1"/>
        <n x="623"/>
        <n x="624"/>
      </t>
    </mdx>
    <mdx n="0" f="v">
      <t c="6" si="614">
        <n x="610"/>
        <n x="729"/>
        <n x="730"/>
        <n x="800" s="1"/>
        <n x="617"/>
        <n x="618"/>
      </t>
    </mdx>
    <mdx n="0" f="v">
      <t c="6" si="614">
        <n x="610"/>
        <n x="367"/>
        <n x="368"/>
        <n x="800" s="1"/>
        <n x="619"/>
        <n x="620"/>
      </t>
    </mdx>
    <mdx n="0" f="v">
      <t c="6" si="614">
        <n x="610"/>
        <n x="555"/>
        <n x="556"/>
        <n x="800" s="1"/>
        <n x="621"/>
        <n x="622"/>
      </t>
    </mdx>
    <mdx n="0" f="v">
      <t c="6" si="614">
        <n x="610"/>
        <n x="237"/>
        <n x="238"/>
        <n x="800" s="1"/>
        <n x="623"/>
        <n x="624"/>
      </t>
    </mdx>
    <mdx n="0" f="v">
      <t c="6" si="614">
        <n x="610"/>
        <n x="235"/>
        <n x="236"/>
        <n x="800" s="1"/>
        <n x="621"/>
        <n x="622"/>
      </t>
    </mdx>
    <mdx n="0" f="v">
      <t c="6" si="614">
        <n x="610"/>
        <n x="281"/>
        <n x="282"/>
        <n x="800" s="1"/>
        <n x="625"/>
        <n x="626"/>
      </t>
    </mdx>
    <mdx n="0" f="v">
      <t c="6" si="614">
        <n x="610"/>
        <n x="735"/>
        <n x="736"/>
        <n x="800" s="1"/>
        <n x="621"/>
        <n x="622"/>
      </t>
    </mdx>
    <mdx n="0" f="v">
      <t c="6" si="614">
        <n x="610"/>
        <n x="283"/>
        <n x="284"/>
        <n x="800" s="1"/>
        <n x="623"/>
        <n x="624"/>
      </t>
    </mdx>
    <mdx n="0" f="v">
      <t c="6" si="614">
        <n x="610"/>
        <n x="525"/>
        <n x="526"/>
        <n x="800" s="1"/>
        <n x="617"/>
        <n x="618"/>
      </t>
    </mdx>
    <mdx n="0" f="v">
      <t c="6" si="614">
        <n x="610"/>
        <n x="401"/>
        <n x="402"/>
        <n x="800" s="1"/>
        <n x="625"/>
        <n x="626"/>
      </t>
    </mdx>
    <mdx n="0" f="v">
      <t c="6" si="614">
        <n x="610"/>
        <n x="737"/>
        <n x="738"/>
        <n x="800" s="1"/>
        <n x="619"/>
        <n x="620"/>
      </t>
    </mdx>
    <mdx n="0" f="v">
      <t c="6" si="614">
        <n x="610"/>
        <n x="435"/>
        <n x="436"/>
        <n x="800" s="1"/>
        <n x="625"/>
        <n x="626"/>
      </t>
    </mdx>
    <mdx n="0" f="v">
      <t c="6" si="614">
        <n x="610"/>
        <n x="393"/>
        <n x="394"/>
        <n x="800" s="1"/>
        <n x="623"/>
        <n x="624"/>
      </t>
    </mdx>
    <mdx n="0" f="v">
      <t c="6" si="614">
        <n x="610"/>
        <n x="743"/>
        <n x="744"/>
        <n x="800" s="1"/>
        <n x="625"/>
        <n x="626"/>
      </t>
    </mdx>
    <mdx n="0" f="v">
      <t c="6" si="614">
        <n x="610"/>
        <n x="605"/>
        <n x="606"/>
        <n x="800" s="1"/>
        <n x="623"/>
        <n x="624"/>
      </t>
    </mdx>
    <mdx n="0" f="v">
      <t c="6" si="614">
        <n x="610"/>
        <n x="745"/>
        <n x="746"/>
        <n x="800" s="1"/>
        <n x="621"/>
        <n x="622"/>
      </t>
    </mdx>
    <mdx n="0" f="v">
      <t c="6" si="614">
        <n x="610"/>
        <n x="295"/>
        <n x="296"/>
        <n x="800" s="1"/>
        <n x="623"/>
        <n x="624"/>
      </t>
    </mdx>
    <mdx n="0" f="v">
      <t c="6" si="614">
        <n x="610"/>
        <n x="241"/>
        <n x="242"/>
        <n x="800" s="1"/>
        <n x="619"/>
        <n x="620"/>
      </t>
    </mdx>
    <mdx n="0" f="v">
      <t c="6" si="614">
        <n x="610"/>
        <n x="229"/>
        <n x="230"/>
        <n x="800" s="1"/>
        <n x="623"/>
        <n x="624"/>
      </t>
    </mdx>
    <mdx n="0" f="v">
      <t c="6" si="614">
        <n x="610"/>
        <n x="751"/>
        <n x="752"/>
        <n x="800" s="1"/>
        <n x="625"/>
        <n x="626"/>
      </t>
    </mdx>
    <mdx n="0" f="v">
      <t c="6" si="614">
        <n x="610"/>
        <n x="471"/>
        <n x="472"/>
        <n x="800" s="1"/>
        <n x="625"/>
        <n x="626"/>
      </t>
    </mdx>
    <mdx n="0" f="v">
      <t c="6" si="614">
        <n x="610"/>
        <n x="577"/>
        <n x="578"/>
        <n x="800" s="1"/>
        <n x="621"/>
        <n x="622"/>
      </t>
    </mdx>
    <mdx n="0" f="v">
      <t c="6" si="614">
        <n x="610"/>
        <n x="233"/>
        <n x="234"/>
        <n x="800" s="1"/>
        <n x="625"/>
        <n x="626"/>
      </t>
    </mdx>
    <mdx n="0" f="v">
      <t c="6" si="614">
        <n x="610"/>
        <n x="361"/>
        <n x="362"/>
        <n x="800" s="1"/>
        <n x="621"/>
        <n x="622"/>
      </t>
    </mdx>
    <mdx n="0" f="v">
      <t c="6" si="614">
        <n x="610"/>
        <n x="469"/>
        <n x="470"/>
        <n x="800" s="1"/>
        <n x="623"/>
        <n x="624"/>
      </t>
    </mdx>
    <mdx n="0" f="v">
      <t c="6" si="614">
        <n x="610"/>
        <n x="763"/>
        <n x="764"/>
        <n x="800" s="1"/>
        <n x="619"/>
        <n x="620"/>
      </t>
    </mdx>
    <mdx n="0" f="v">
      <t c="6" si="614">
        <n x="610"/>
        <n x="349"/>
        <n x="350"/>
        <n x="800" s="1"/>
        <n x="621"/>
        <n x="622"/>
      </t>
    </mdx>
    <mdx n="0" f="v">
      <t c="6" si="614">
        <n x="610"/>
        <n x="381"/>
        <n x="382"/>
        <n x="800" s="1"/>
        <n x="619"/>
        <n x="620"/>
      </t>
    </mdx>
    <mdx n="0" f="v">
      <t c="6" si="614">
        <n x="610"/>
        <n x="381"/>
        <n x="382"/>
        <n x="800" s="1"/>
        <n x="625"/>
        <n x="626"/>
      </t>
    </mdx>
    <mdx n="0" f="v">
      <t c="6" si="614">
        <n x="610"/>
        <n x="411"/>
        <n x="412"/>
        <n x="800" s="1"/>
        <n x="621"/>
        <n x="622"/>
      </t>
    </mdx>
    <mdx n="0" f="v">
      <t c="6" si="614">
        <n x="610"/>
        <n x="315"/>
        <n x="316"/>
        <n x="800" s="1"/>
        <n x="625"/>
        <n x="626"/>
      </t>
    </mdx>
    <mdx n="0" f="v">
      <t c="6" si="614">
        <n x="610"/>
        <n x="771"/>
        <n x="772"/>
        <n x="800" s="1"/>
        <n x="621"/>
        <n x="622"/>
      </t>
    </mdx>
    <mdx n="0" f="v">
      <t c="6" si="614">
        <n x="610"/>
        <n x="293"/>
        <n x="294"/>
        <n x="800" s="1"/>
        <n x="625"/>
        <n x="626"/>
      </t>
    </mdx>
    <mdx n="0" f="v">
      <t c="6" si="614">
        <n x="610"/>
        <n x="773"/>
        <n x="774"/>
        <n x="800" s="1"/>
        <n x="619"/>
        <n x="620"/>
      </t>
    </mdx>
    <mdx n="0" f="v">
      <t c="6" si="614">
        <n x="610"/>
        <n x="445"/>
        <n x="446"/>
        <n x="800" s="1"/>
        <n x="619"/>
        <n x="620"/>
      </t>
    </mdx>
    <mdx n="0" f="v">
      <t c="6" si="614">
        <n x="610"/>
        <n x="533"/>
        <n x="534"/>
        <n x="800" s="1"/>
        <n x="625"/>
        <n x="626"/>
      </t>
    </mdx>
    <mdx n="0" f="v">
      <t c="6" si="614">
        <n x="610"/>
        <n x="535"/>
        <n x="536"/>
        <n x="800" s="1"/>
        <n x="623"/>
        <n x="624"/>
      </t>
    </mdx>
    <mdx n="0" f="v">
      <t c="6" si="614">
        <n x="610"/>
        <n x="583"/>
        <n x="584"/>
        <n x="800" s="1"/>
        <n x="619"/>
        <n x="620"/>
      </t>
    </mdx>
    <mdx n="0" f="v">
      <t c="6" si="614">
        <n x="610"/>
        <n x="581"/>
        <n x="582"/>
        <n x="800" s="1"/>
        <n x="625"/>
        <n x="626"/>
      </t>
    </mdx>
    <mdx n="0" f="v">
      <t c="6" si="614">
        <n x="610"/>
        <n x="523"/>
        <n x="524"/>
        <n x="800" s="1"/>
        <n x="625"/>
        <n x="626"/>
      </t>
    </mdx>
    <mdx n="0" f="v">
      <t c="6" si="614">
        <n x="610"/>
        <n x="351"/>
        <n x="352"/>
        <n x="800" s="1"/>
        <n x="621"/>
        <n x="622"/>
      </t>
    </mdx>
    <mdx n="0" f="v">
      <t c="6" si="614">
        <n x="610"/>
        <n x="793"/>
        <n x="794"/>
        <n x="800" s="1"/>
        <n x="619"/>
        <n x="620"/>
      </t>
    </mdx>
    <mdx n="0" f="v">
      <t c="6" si="614">
        <n x="610"/>
        <n x="465"/>
        <n x="466"/>
        <n x="800" s="1"/>
        <n x="623"/>
        <n x="624"/>
      </t>
    </mdx>
    <mdx n="0" f="v">
      <t c="6" si="614">
        <n x="610"/>
        <n x="303"/>
        <n x="304"/>
        <n x="800" s="1"/>
        <n x="625"/>
        <n x="626"/>
      </t>
    </mdx>
    <mdx n="0" f="v">
      <t c="6" si="614">
        <n x="610"/>
        <n x="305"/>
        <n x="306"/>
        <n x="800" s="1"/>
        <n x="621"/>
        <n x="622"/>
      </t>
    </mdx>
    <mdx n="0" f="v">
      <t c="6" si="614">
        <n x="610"/>
        <n x="717"/>
        <n x="718"/>
        <n x="800" s="1"/>
        <n x="621"/>
        <n x="622"/>
      </t>
    </mdx>
    <mdx n="0" f="v">
      <t c="6" si="614">
        <n x="610"/>
        <n x="599"/>
        <n x="600"/>
        <n x="800" s="1"/>
        <n x="623"/>
        <n x="624"/>
      </t>
    </mdx>
    <mdx n="0" f="v">
      <t c="6" si="614">
        <n x="610"/>
        <n x="275"/>
        <n x="276"/>
        <n x="800" s="1"/>
        <n x="619"/>
        <n x="620"/>
      </t>
    </mdx>
    <mdx n="0" f="v">
      <t c="6" si="614">
        <n x="610"/>
        <n x="721"/>
        <n x="722"/>
        <n x="800" s="1"/>
        <n x="625"/>
        <n x="626"/>
      </t>
    </mdx>
    <mdx n="0" f="v">
      <t c="6" si="614">
        <n x="610"/>
        <n x="377"/>
        <n x="378"/>
        <n x="800" s="1"/>
        <n x="619"/>
        <n x="620"/>
      </t>
    </mdx>
    <mdx n="0" f="v">
      <t c="6" si="614">
        <n x="610"/>
        <n x="379"/>
        <n x="380"/>
        <n x="800" s="1"/>
        <n x="625"/>
        <n x="626"/>
      </t>
    </mdx>
    <mdx n="0" f="v">
      <t c="6" si="614">
        <n x="610"/>
        <n x="221"/>
        <n x="222"/>
        <n x="800" s="1"/>
        <n x="619"/>
        <n x="620"/>
      </t>
    </mdx>
    <mdx n="0" f="v">
      <t c="6" si="614">
        <n x="610"/>
        <n x="459"/>
        <n x="460"/>
        <n x="800" s="1"/>
        <n x="625"/>
        <n x="626"/>
      </t>
    </mdx>
    <mdx n="0" f="v">
      <t c="6" si="614">
        <n x="610"/>
        <n x="729"/>
        <n x="730"/>
        <n x="800" s="1"/>
        <n x="619"/>
        <n x="620"/>
      </t>
    </mdx>
    <mdx n="0" f="v">
      <t c="6" si="614">
        <n x="610"/>
        <n x="603"/>
        <n x="604"/>
        <n x="800" s="1"/>
        <n x="621"/>
        <n x="622"/>
      </t>
    </mdx>
    <mdx n="0" f="v">
      <t c="6" si="614">
        <n x="610"/>
        <n x="607"/>
        <n x="608"/>
        <n x="800" s="1"/>
        <n x="623"/>
        <n x="624"/>
      </t>
    </mdx>
    <mdx n="0" f="v">
      <t c="6" si="614">
        <n x="610"/>
        <n x="595"/>
        <n x="596"/>
        <n x="800" s="1"/>
        <n x="619"/>
        <n x="620"/>
      </t>
    </mdx>
    <mdx n="0" f="v">
      <t c="6" si="614">
        <n x="610"/>
        <n x="733"/>
        <n x="734"/>
        <n x="800" s="1"/>
        <n x="625"/>
        <n x="626"/>
      </t>
    </mdx>
    <mdx n="0" f="v">
      <t c="6" si="614">
        <n x="610"/>
        <n x="257"/>
        <n x="258"/>
        <n x="800" s="1"/>
        <n x="623"/>
        <n x="624"/>
      </t>
    </mdx>
    <mdx n="0" f="v">
      <t c="6" si="614">
        <n x="610"/>
        <n x="739"/>
        <n x="740"/>
        <n x="800" s="1"/>
        <n x="623"/>
        <n x="624"/>
      </t>
    </mdx>
    <mdx n="0" f="v">
      <t c="6" si="614">
        <n x="610"/>
        <n x="429"/>
        <n x="430"/>
        <n x="800" s="1"/>
        <n x="621"/>
        <n x="622"/>
      </t>
    </mdx>
    <mdx n="0" f="v">
      <t c="6" si="614">
        <n x="610"/>
        <n x="393"/>
        <n x="394"/>
        <n x="800" s="1"/>
        <n x="625"/>
        <n x="626"/>
      </t>
    </mdx>
    <mdx n="0" f="v">
      <t c="6" si="614">
        <n x="610"/>
        <n x="513"/>
        <n x="514"/>
        <n x="800" s="1"/>
        <n x="619"/>
        <n x="620"/>
      </t>
    </mdx>
    <mdx n="0" f="v">
      <t c="6" si="614">
        <n x="610"/>
        <n x="345"/>
        <n x="346"/>
        <n x="800" s="1"/>
        <n x="619"/>
        <n x="620"/>
      </t>
    </mdx>
    <mdx n="0" f="v">
      <t c="6" si="614">
        <n x="610"/>
        <n x="299"/>
        <n x="300"/>
        <n x="800" s="1"/>
        <n x="625"/>
        <n x="626"/>
      </t>
    </mdx>
    <mdx n="0" f="v">
      <t c="6" si="614">
        <n x="610"/>
        <n x="593"/>
        <n x="594"/>
        <n x="800" s="1"/>
        <n x="623"/>
        <n x="624"/>
      </t>
    </mdx>
    <mdx n="0" f="v">
      <t c="6" si="614">
        <n x="610"/>
        <n x="223"/>
        <n x="224"/>
        <n x="800" s="1"/>
        <n x="623"/>
        <n x="624"/>
      </t>
    </mdx>
    <mdx n="0" f="v">
      <t c="6" si="614">
        <n x="610"/>
        <n x="399"/>
        <n x="400"/>
        <n x="800" s="1"/>
        <n x="625"/>
        <n x="626"/>
      </t>
    </mdx>
    <mdx n="0" f="v">
      <t c="6" si="614">
        <n x="610"/>
        <n x="493"/>
        <n x="494"/>
        <n x="800" s="1"/>
        <n x="619"/>
        <n x="620"/>
      </t>
    </mdx>
    <mdx n="0" f="v">
      <t c="6" si="614">
        <n x="610"/>
        <n x="361"/>
        <n x="362"/>
        <n x="800" s="1"/>
        <n x="623"/>
        <n x="624"/>
      </t>
    </mdx>
    <mdx n="0" f="v">
      <t c="6" si="614">
        <n x="610"/>
        <n x="551"/>
        <n x="552"/>
        <n x="800" s="1"/>
        <n x="625"/>
        <n x="626"/>
      </t>
    </mdx>
    <mdx n="0" f="v">
      <t c="6" si="614">
        <n x="610"/>
        <n x="759"/>
        <n x="760"/>
        <n x="800" s="1"/>
        <n x="619"/>
        <n x="620"/>
      </t>
    </mdx>
    <mdx n="0" f="v">
      <t c="6" si="614">
        <n x="610"/>
        <n x="325"/>
        <n x="326"/>
        <n x="800" s="1"/>
        <n x="623"/>
        <n x="624"/>
      </t>
    </mdx>
    <mdx n="0" f="v">
      <t c="6" si="614">
        <n x="610"/>
        <n x="287"/>
        <n x="288"/>
        <n x="800" s="1"/>
        <n x="619"/>
        <n x="620"/>
      </t>
    </mdx>
    <mdx n="0" f="v">
      <t c="6" si="614">
        <n x="610"/>
        <n x="359"/>
        <n x="360"/>
        <n x="800" s="1"/>
        <n x="619"/>
        <n x="620"/>
      </t>
    </mdx>
    <mdx n="0" f="v">
      <t c="6" si="614">
        <n x="610"/>
        <n x="411"/>
        <n x="412"/>
        <n x="800" s="1"/>
        <n x="623"/>
        <n x="624"/>
      </t>
    </mdx>
    <mdx n="0" f="v">
      <t c="6" si="614">
        <n x="610"/>
        <n x="427"/>
        <n x="428"/>
        <n x="800" s="1"/>
        <n x="621"/>
        <n x="622"/>
      </t>
    </mdx>
    <mdx n="0" f="v">
      <t c="6" si="614">
        <n x="610"/>
        <n x="777"/>
        <n x="778"/>
        <n x="800" s="1"/>
        <n x="625"/>
        <n x="626"/>
      </t>
    </mdx>
    <mdx n="0" f="v">
      <t c="6" si="614">
        <n x="610"/>
        <n x="269"/>
        <n x="270"/>
        <n x="800" s="1"/>
        <n x="625"/>
        <n x="626"/>
      </t>
    </mdx>
    <mdx n="0" f="v">
      <t c="6" si="614">
        <n x="610"/>
        <n x="783"/>
        <n x="784"/>
        <n x="800" s="1"/>
        <n x="623"/>
        <n x="624"/>
      </t>
    </mdx>
    <mdx n="0" f="v">
      <t c="6" si="614">
        <n x="610"/>
        <n x="535"/>
        <n x="536"/>
        <n x="800" s="1"/>
        <n x="625"/>
        <n x="626"/>
      </t>
    </mdx>
    <mdx n="0" f="v">
      <t c="6" si="614">
        <n x="610"/>
        <n x="787"/>
        <n x="788"/>
        <n x="800" s="1"/>
        <n x="619"/>
        <n x="620"/>
      </t>
    </mdx>
    <mdx n="0" f="v">
      <t c="6" si="614">
        <n x="610"/>
        <n x="311"/>
        <n x="312"/>
        <n x="800" s="1"/>
        <n x="621"/>
        <n x="622"/>
      </t>
    </mdx>
    <mdx n="0" f="v">
      <t c="6" si="614">
        <n x="610"/>
        <n x="545"/>
        <n x="546"/>
        <n x="800" s="1"/>
        <n x="619"/>
        <n x="620"/>
      </t>
    </mdx>
    <mdx n="0" f="v">
      <t c="6" si="614">
        <n x="610"/>
        <n x="575"/>
        <n x="576"/>
        <n x="800" s="1"/>
        <n x="621"/>
        <n x="622"/>
      </t>
    </mdx>
    <mdx n="0" f="v">
      <t c="6" si="614">
        <n x="610"/>
        <n x="451"/>
        <n x="452"/>
        <n x="800" s="1"/>
        <n x="623"/>
        <n x="624"/>
      </t>
    </mdx>
    <mdx n="0" f="v">
      <t c="6" si="614">
        <n x="610"/>
        <n x="473"/>
        <n x="474"/>
        <n x="800" s="1"/>
        <n x="625"/>
        <n x="626"/>
      </t>
    </mdx>
    <mdx n="0" f="v">
      <t c="6" si="614">
        <n x="610"/>
        <n x="313"/>
        <n x="314"/>
        <n x="800" s="1"/>
        <n x="621"/>
        <n x="622"/>
      </t>
    </mdx>
    <mdx n="0" f="v">
      <t c="6" si="614">
        <n x="610"/>
        <n x="275"/>
        <n x="276"/>
        <n x="800" s="1"/>
        <n x="621"/>
        <n x="622"/>
      </t>
    </mdx>
    <mdx n="0" f="v">
      <t c="6" si="614">
        <n x="610"/>
        <n x="719"/>
        <n x="720"/>
        <n x="800" s="1"/>
        <n x="623"/>
        <n x="624"/>
      </t>
    </mdx>
    <mdx n="0" f="v">
      <t c="6" si="614">
        <n x="610"/>
        <n x="377"/>
        <n x="378"/>
        <n x="800" s="1"/>
        <n x="621"/>
        <n x="622"/>
      </t>
    </mdx>
    <mdx n="0" f="v">
      <t c="6" si="614">
        <n x="610"/>
        <n x="391"/>
        <n x="392"/>
        <n x="800" s="1"/>
        <n x="623"/>
        <n x="624"/>
      </t>
    </mdx>
    <mdx n="0" f="v">
      <t c="6" si="614">
        <n x="610"/>
        <n x="221"/>
        <n x="222"/>
        <n x="800" s="1"/>
        <n x="621"/>
        <n x="622"/>
      </t>
    </mdx>
    <mdx n="0" f="v">
      <t c="6" si="614">
        <n x="610"/>
        <n x="397"/>
        <n x="398"/>
        <n x="800" s="1"/>
        <n x="625"/>
        <n x="626"/>
      </t>
    </mdx>
    <mdx n="0" f="v">
      <t c="6" si="614">
        <n x="610"/>
        <n x="727"/>
        <n x="728"/>
        <n x="800" s="1"/>
        <n x="619"/>
        <n x="620"/>
      </t>
    </mdx>
    <mdx n="0" f="v">
      <t c="6" si="614">
        <n x="610"/>
        <n x="367"/>
        <n x="368"/>
        <n x="800" s="1"/>
        <n x="623"/>
        <n x="624"/>
      </t>
    </mdx>
    <mdx n="0" f="v">
      <t c="6" si="614">
        <n x="610"/>
        <n x="603"/>
        <n x="604"/>
        <n x="800" s="1"/>
        <n x="623"/>
        <n x="624"/>
      </t>
    </mdx>
    <mdx n="0" f="v">
      <t c="6" si="614">
        <n x="610"/>
        <n x="443"/>
        <n x="444"/>
        <n x="800" s="1"/>
        <n x="619"/>
        <n x="620"/>
      </t>
    </mdx>
    <mdx n="0" f="v">
      <t c="6" si="614">
        <n x="610"/>
        <n x="737"/>
        <n x="738"/>
        <n x="800" s="1"/>
        <n x="623"/>
        <n x="624"/>
      </t>
    </mdx>
    <mdx n="0" f="v">
      <t c="6" si="614">
        <n x="610"/>
        <n x="455"/>
        <n x="456"/>
        <n x="800" s="1"/>
        <n x="621"/>
        <n x="622"/>
      </t>
    </mdx>
    <mdx n="0" f="v">
      <t c="6" si="614">
        <n x="610"/>
        <n x="429"/>
        <n x="430"/>
        <n x="800" s="1"/>
        <n x="623"/>
        <n x="624"/>
      </t>
    </mdx>
    <mdx n="0" f="v">
      <t c="6" si="614">
        <n x="610"/>
        <n x="433"/>
        <n x="434"/>
        <n x="800" s="1"/>
        <n x="623"/>
        <n x="624"/>
      </t>
    </mdx>
    <mdx n="0" f="v">
      <t c="6" si="614">
        <n x="610"/>
        <n x="513"/>
        <n x="514"/>
        <n x="800" s="1"/>
        <n x="621"/>
        <n x="622"/>
      </t>
    </mdx>
    <mdx n="0" f="v">
      <t c="6" si="614">
        <n x="610"/>
        <n x="441"/>
        <n x="442"/>
        <n x="800" s="1"/>
        <n x="619"/>
        <n x="620"/>
      </t>
    </mdx>
    <mdx n="0" f="v">
      <t c="6" si="614">
        <n x="610"/>
        <n x="569"/>
        <n x="570"/>
        <n x="800" s="1"/>
        <n x="623"/>
        <n x="624"/>
      </t>
    </mdx>
    <mdx n="0" f="v">
      <t c="6" si="614">
        <n x="610"/>
        <n x="419"/>
        <n x="420"/>
        <n x="800" s="1"/>
        <n x="619"/>
        <n x="620"/>
      </t>
    </mdx>
    <mdx n="0" f="v">
      <t c="6" si="614">
        <n x="610"/>
        <n x="241"/>
        <n x="242"/>
        <n x="800" s="1"/>
        <n x="623"/>
        <n x="624"/>
      </t>
    </mdx>
    <mdx n="0" f="v">
      <t c="6" si="614">
        <n x="610"/>
        <n x="593"/>
        <n x="594"/>
        <n x="800" s="1"/>
        <n x="625"/>
        <n x="626"/>
      </t>
    </mdx>
    <mdx n="0" f="v">
      <t c="6" si="614">
        <n x="610"/>
        <n x="755"/>
        <n x="756"/>
        <n x="800" s="1"/>
        <n x="621"/>
        <n x="622"/>
      </t>
    </mdx>
    <mdx n="0" f="v">
      <t c="6" si="614">
        <n x="610"/>
        <n x="361"/>
        <n x="362"/>
        <n x="800" s="1"/>
        <n x="625"/>
        <n x="626"/>
      </t>
    </mdx>
    <mdx n="0" f="v">
      <t c="6" si="614">
        <n x="610"/>
        <n x="757"/>
        <n x="758"/>
        <n x="800" s="1"/>
        <n x="619"/>
        <n x="620"/>
      </t>
    </mdx>
    <mdx n="0" f="v">
      <t c="6" si="614">
        <n x="610"/>
        <n x="759"/>
        <n x="760"/>
        <n x="800" s="1"/>
        <n x="621"/>
        <n x="622"/>
      </t>
    </mdx>
    <mdx n="0" f="v">
      <t c="6" si="614">
        <n x="610"/>
        <n x="245"/>
        <n x="246"/>
        <n x="800" s="1"/>
        <n x="619"/>
        <n x="620"/>
      </t>
    </mdx>
    <mdx n="0" f="v">
      <t c="6" si="614">
        <n x="610"/>
        <n x="403"/>
        <n x="404"/>
        <n x="800" s="1"/>
        <n x="623"/>
        <n x="624"/>
      </t>
    </mdx>
    <mdx n="0" f="v">
      <t c="6" si="614">
        <n x="610"/>
        <n x="411"/>
        <n x="412"/>
        <n x="800" s="1"/>
        <n x="625"/>
        <n x="626"/>
      </t>
    </mdx>
    <mdx n="0" f="v">
      <t c="6" si="614">
        <n x="610"/>
        <n x="775"/>
        <n x="776"/>
        <n x="800" s="1"/>
        <n x="625"/>
        <n x="626"/>
      </t>
    </mdx>
    <mdx n="0" f="v">
      <t c="6" si="614">
        <n x="610"/>
        <n x="445"/>
        <n x="446"/>
        <n x="800" s="1"/>
        <n x="623"/>
        <n x="624"/>
      </t>
    </mdx>
    <mdx n="0" f="v">
      <t c="6" si="614">
        <n x="610"/>
        <n x="785"/>
        <n x="786"/>
        <n x="800" s="1"/>
        <n x="619"/>
        <n x="620"/>
      </t>
    </mdx>
    <mdx n="0" f="v">
      <t c="6" si="614">
        <n x="610"/>
        <n x="583"/>
        <n x="584"/>
        <n x="800" s="1"/>
        <n x="623"/>
        <n x="624"/>
      </t>
    </mdx>
    <mdx n="0" f="v">
      <t c="6" si="614">
        <n x="610"/>
        <n x="531"/>
        <n x="532"/>
        <n x="800" s="1"/>
        <n x="625"/>
        <n x="626"/>
      </t>
    </mdx>
    <mdx n="0" f="v">
      <t c="6" si="614">
        <n x="610"/>
        <n x="423"/>
        <n x="424"/>
        <n x="800" s="1"/>
        <n x="619"/>
        <n x="620"/>
      </t>
    </mdx>
    <mdx n="0" f="v">
      <t c="6" si="614">
        <n x="610"/>
        <n x="575"/>
        <n x="576"/>
        <n x="800" s="1"/>
        <n x="623"/>
        <n x="624"/>
      </t>
    </mdx>
    <mdx n="0" f="v">
      <t c="6" si="614">
        <n x="610"/>
        <n x="451"/>
        <n x="452"/>
        <n x="800" s="1"/>
        <n x="625"/>
        <n x="626"/>
      </t>
    </mdx>
    <mdx n="0" f="v">
      <t c="6" si="614">
        <n x="610"/>
        <n x="331"/>
        <n x="332"/>
        <n x="800" s="1"/>
        <n x="619"/>
        <n x="620"/>
      </t>
    </mdx>
    <mdx n="0" f="v">
      <t c="6" si="614">
        <n x="610"/>
        <n x="711"/>
        <n x="712"/>
        <n x="800" s="1"/>
        <n x="625"/>
        <n x="626"/>
      </t>
    </mdx>
    <mdx n="0" f="v">
      <t c="6" si="614">
        <n x="610"/>
        <n x="227"/>
        <n x="228"/>
        <n x="800" s="1"/>
        <n x="621"/>
        <n x="622"/>
      </t>
    </mdx>
    <mdx n="0" f="v">
      <t c="6" si="614">
        <n x="610"/>
        <n x="577"/>
        <n x="578"/>
        <n x="800" s="1"/>
        <n x="625"/>
        <n x="626"/>
      </t>
    </mdx>
    <mdx n="0" f="v">
      <t c="6" si="614">
        <n x="610"/>
        <n x="595"/>
        <n x="596"/>
        <n x="800" s="1"/>
        <n x="621"/>
        <n x="622"/>
      </t>
    </mdx>
    <mdx n="0" f="v">
      <t c="6" si="614">
        <n x="610"/>
        <n x="787"/>
        <n x="788"/>
        <n x="800" s="1"/>
        <n x="617"/>
        <n x="618"/>
      </t>
    </mdx>
    <mdx n="0" f="v">
      <t c="6" si="614">
        <n x="610"/>
        <n x="763"/>
        <n x="764"/>
        <n x="800" s="1"/>
        <n x="623"/>
        <n x="624"/>
      </t>
    </mdx>
    <mdx n="0" f="v">
      <t c="6" si="614">
        <n x="610"/>
        <n x="447"/>
        <n x="448"/>
        <n x="800" s="1"/>
        <n x="619"/>
        <n x="620"/>
      </t>
    </mdx>
    <mdx n="0" f="v">
      <t c="6" si="614">
        <n x="610"/>
        <n x="597"/>
        <n x="598"/>
        <n x="800" s="1"/>
        <n x="619"/>
        <n x="620"/>
      </t>
    </mdx>
    <mdx n="0" f="v">
      <t c="6" si="614">
        <n x="610"/>
        <n x="231"/>
        <n x="232"/>
        <n x="800" s="1"/>
        <n x="625"/>
        <n x="626"/>
      </t>
    </mdx>
    <mdx n="0" f="v">
      <t c="6" si="614">
        <n x="610"/>
        <n x="545"/>
        <n x="546"/>
        <n x="800" s="1"/>
        <n x="621"/>
        <n x="622"/>
      </t>
    </mdx>
    <mdx n="0" f="v">
      <t c="6" si="614">
        <n x="610"/>
        <n x="399"/>
        <n x="400"/>
        <n x="800" s="1"/>
        <n x="623"/>
        <n x="624"/>
      </t>
    </mdx>
    <mdx n="0" f="v">
      <t c="6" si="614">
        <n x="610"/>
        <n x="527"/>
        <n x="528"/>
        <n x="800" s="1"/>
        <n x="619"/>
        <n x="620"/>
      </t>
    </mdx>
    <mdx n="0" f="v">
      <t c="6" si="614">
        <n x="610"/>
        <n x="271"/>
        <n x="272"/>
        <n x="800" s="1"/>
        <n x="621"/>
        <n x="622"/>
      </t>
    </mdx>
    <mdx n="0" f="v">
      <t c="6" si="614">
        <n x="610"/>
        <n x="467"/>
        <n x="468"/>
        <n x="800" s="1"/>
        <n x="619"/>
        <n x="620"/>
      </t>
    </mdx>
    <mdx n="0" f="v">
      <t c="6" si="614">
        <n x="610"/>
        <n x="767"/>
        <n x="768"/>
        <n x="800" s="1"/>
        <n x="625"/>
        <n x="626"/>
      </t>
    </mdx>
    <mdx n="0" f="v">
      <t c="6" si="614">
        <n x="610"/>
        <n x="569"/>
        <n x="570"/>
        <n x="800" s="1"/>
        <n x="621"/>
        <n x="622"/>
      </t>
    </mdx>
    <mdx n="0" f="v">
      <t c="6" si="614">
        <n x="610"/>
        <n x="593"/>
        <n x="594"/>
        <n x="800" s="1"/>
        <n x="621"/>
        <n x="622"/>
      </t>
    </mdx>
    <mdx n="0" f="v">
      <t c="6" si="614">
        <n x="610"/>
        <n x="753"/>
        <n x="754"/>
        <n x="800" s="1"/>
        <n x="619"/>
        <n x="620"/>
      </t>
    </mdx>
    <mdx n="0" f="v">
      <t c="6" si="614">
        <n x="610"/>
        <n x="763"/>
        <n x="764"/>
        <n x="800" s="1"/>
        <n x="621"/>
        <n x="622"/>
      </t>
    </mdx>
    <mdx n="0" f="v">
      <t c="6" si="614">
        <n x="610"/>
        <n x="291"/>
        <n x="292"/>
        <n x="800" s="1"/>
        <n x="621"/>
        <n x="622"/>
      </t>
    </mdx>
    <mdx n="0" f="v">
      <t c="6" si="614">
        <n x="610"/>
        <n x="237"/>
        <n x="238"/>
        <n x="800" s="1"/>
        <n x="625"/>
        <n x="626"/>
      </t>
    </mdx>
    <mdx n="0" f="v">
      <t c="6" si="614">
        <n x="610"/>
        <n x="235"/>
        <n x="236"/>
        <n x="800" s="1"/>
        <n x="625"/>
        <n x="626"/>
      </t>
    </mdx>
    <mdx n="0" f="v">
      <t c="6" si="614">
        <n x="610"/>
        <n x="539"/>
        <n x="540"/>
        <n x="800" s="1"/>
        <n x="625"/>
        <n x="626"/>
      </t>
    </mdx>
    <mdx n="0" f="v">
      <t c="6" si="614">
        <n x="610"/>
        <n x="231"/>
        <n x="232"/>
        <n x="800" s="1"/>
        <n x="623"/>
        <n x="624"/>
      </t>
    </mdx>
    <mdx n="0" f="v">
      <t c="6" si="614">
        <n x="610"/>
        <n x="317"/>
        <n x="318"/>
        <n x="800" s="1"/>
        <n x="621"/>
        <n x="622"/>
      </t>
    </mdx>
    <mdx n="0" f="v">
      <t c="6" si="614">
        <n x="610"/>
        <n x="507"/>
        <n x="508"/>
        <n x="800" s="1"/>
        <n x="625"/>
        <n x="626"/>
      </t>
    </mdx>
    <mdx n="0" f="v">
      <t c="6" si="614">
        <n x="610"/>
        <n x="339"/>
        <n x="340"/>
        <n x="800" s="1"/>
        <n x="623"/>
        <n x="624"/>
      </t>
    </mdx>
    <mdx n="0" f="v">
      <t c="6" si="614">
        <n x="610"/>
        <n x="207"/>
        <n x="208"/>
        <n x="800" s="1"/>
        <n x="621"/>
        <n x="622"/>
      </t>
    </mdx>
    <mdx n="0" f="v">
      <t c="6" si="614">
        <n x="610"/>
        <n x="491"/>
        <n x="492"/>
        <n x="800" s="1"/>
        <n x="625"/>
        <n x="626"/>
      </t>
    </mdx>
    <mdx n="0" f="v">
      <t c="6" si="614">
        <n x="610"/>
        <n x="531"/>
        <n x="532"/>
        <n x="800" s="1"/>
        <n x="621"/>
        <n x="622"/>
      </t>
    </mdx>
    <mdx n="0" f="v">
      <t c="6" si="614">
        <n x="610"/>
        <n x="795"/>
        <n x="796"/>
        <n x="800" s="1"/>
        <n x="625"/>
        <n x="626"/>
      </t>
    </mdx>
    <mdx n="0" f="v">
      <t c="6" si="614">
        <n x="610"/>
        <n x="589"/>
        <n x="590"/>
        <n x="800" s="1"/>
        <n x="623"/>
        <n x="624"/>
      </t>
    </mdx>
    <mdx n="0" f="v">
      <t c="6" si="614">
        <n x="610"/>
        <n x="259"/>
        <n x="260"/>
        <n x="800" s="1"/>
        <n x="621"/>
        <n x="622"/>
      </t>
    </mdx>
    <mdx n="0" f="v">
      <t c="6" si="614">
        <n x="610"/>
        <n x="203"/>
        <n x="204"/>
        <n x="800" s="1"/>
        <n x="621"/>
        <n x="622"/>
      </t>
    </mdx>
    <mdx n="0" f="v">
      <t c="6" si="614">
        <n x="610"/>
        <n x="321"/>
        <n x="322"/>
        <n x="800" s="1"/>
        <n x="621"/>
        <n x="622"/>
      </t>
    </mdx>
    <mdx n="0" f="v">
      <t c="6" si="614">
        <n x="610"/>
        <n x="489"/>
        <n x="490"/>
        <n x="800" s="1"/>
        <n x="619"/>
        <n x="620"/>
      </t>
    </mdx>
    <mdx n="0" f="v">
      <t c="6" si="614">
        <n x="610"/>
        <n x="765"/>
        <n x="766"/>
        <n x="800" s="1"/>
        <n x="625"/>
        <n x="626"/>
      </t>
    </mdx>
    <mdx n="0" f="v">
      <t c="6" si="614">
        <n x="610"/>
        <n x="461"/>
        <n x="462"/>
        <n x="800" s="1"/>
        <n x="623"/>
        <n x="624"/>
      </t>
    </mdx>
    <mdx n="0" f="v">
      <t c="6" si="614">
        <n x="610"/>
        <n x="227"/>
        <n x="228"/>
        <n x="800" s="1"/>
        <n x="625"/>
        <n x="626"/>
      </t>
    </mdx>
    <mdx n="0" f="v">
      <t c="6" si="614">
        <n x="610"/>
        <n x="339"/>
        <n x="340"/>
        <n x="800" s="1"/>
        <n x="625"/>
        <n x="626"/>
      </t>
    </mdx>
    <mdx n="0" f="v">
      <t c="6" si="614">
        <n x="610"/>
        <n x="287"/>
        <n x="288"/>
        <n x="800" s="1"/>
        <n x="617"/>
        <n x="618"/>
      </t>
    </mdx>
    <mdx n="0" f="v">
      <t c="6" si="614">
        <n x="610"/>
        <n x="763"/>
        <n x="764"/>
        <n x="800" s="1"/>
        <n x="625"/>
        <n x="626"/>
      </t>
    </mdx>
    <mdx n="0" f="v">
      <t c="6" si="614">
        <n x="610"/>
        <n x="397"/>
        <n x="398"/>
        <n x="800" s="1"/>
        <n x="621"/>
        <n x="624"/>
      </t>
    </mdx>
    <mdx n="0" f="v">
      <t c="6" si="614">
        <n x="610"/>
        <n x="787"/>
        <n x="788"/>
        <n x="800" s="1"/>
        <n x="621"/>
        <n x="622"/>
      </t>
    </mdx>
    <mdx n="0" f="v">
      <t c="6" si="614">
        <n x="610"/>
        <n x="237"/>
        <n x="238"/>
        <n x="800" s="1"/>
        <n x="617"/>
        <n x="618"/>
      </t>
    </mdx>
    <mdx n="0" f="v">
      <t c="6" si="614">
        <n x="610"/>
        <n x="737"/>
        <n x="738"/>
        <n x="800" s="1"/>
        <n x="623"/>
        <n x="624"/>
      </t>
    </mdx>
    <mdx n="0" f="v">
      <t c="6" si="614">
        <n x="610"/>
        <n x="521"/>
        <n x="522"/>
        <n x="800" s="1"/>
        <n x="623"/>
        <n x="624"/>
      </t>
    </mdx>
    <mdx n="0" f="v">
      <t c="6" si="614">
        <n x="610"/>
        <n x="439"/>
        <n x="512"/>
        <n x="800" s="1"/>
        <n x="625"/>
        <n x="626"/>
      </t>
    </mdx>
    <mdx n="0" f="r">
      <t c="2">
        <n x="799"/>
        <n x="359"/>
      </t>
    </mdx>
    <mdx n="0" f="m">
      <t c="2">
        <n x="801"/>
        <n x="802"/>
      </t>
    </mdx>
    <mdx n="0" f="m">
      <t c="2">
        <n x="803"/>
        <n x="804"/>
      </t>
    </mdx>
    <mdx n="0" f="m">
      <t c="2">
        <n x="805"/>
        <n x="806"/>
      </t>
    </mdx>
    <mdx n="0" f="r">
      <t c="2">
        <n x="610"/>
        <n x="765"/>
      </t>
    </mdx>
    <mdx n="0" f="r">
      <t c="2">
        <n x="610"/>
        <n x="259"/>
      </t>
    </mdx>
    <mdx n="0" f="r">
      <t c="2">
        <n x="610"/>
        <n x="283"/>
      </t>
    </mdx>
    <mdx n="0" f="r">
      <t c="2">
        <n x="610"/>
        <n x="455"/>
      </t>
    </mdx>
    <mdx n="0" f="v">
      <t c="6" si="614">
        <n x="799"/>
        <n x="599"/>
        <n x="600"/>
        <n x="800" s="1"/>
        <n x="625"/>
        <n x="626"/>
      </t>
    </mdx>
    <mdx n="0" f="r">
      <t c="2">
        <n x="610"/>
        <n x="299"/>
      </t>
    </mdx>
    <mdx n="0" f="r">
      <t c="2">
        <n x="610"/>
        <n x="795"/>
      </t>
    </mdx>
    <mdx n="0" f="r">
      <t c="2">
        <n x="799"/>
        <n x="251"/>
      </t>
    </mdx>
    <mdx n="0" f="r">
      <t c="2">
        <n x="799"/>
        <n x="327"/>
      </t>
    </mdx>
    <mdx n="0" f="r">
      <t c="2">
        <n x="799"/>
        <n x="369"/>
      </t>
    </mdx>
    <mdx n="0" f="r">
      <t c="2">
        <n x="799"/>
        <n x="587"/>
      </t>
    </mdx>
    <mdx n="0" f="r">
      <t c="2">
        <n x="799"/>
        <n x="497"/>
      </t>
    </mdx>
    <mdx n="0" f="v">
      <t c="6" si="614">
        <n x="610"/>
        <n x="327"/>
        <n x="328"/>
        <n x="800" s="1"/>
        <n x="623"/>
        <n x="624"/>
      </t>
    </mdx>
    <mdx n="0" f="r">
      <t c="2">
        <n x="799"/>
        <n x="371"/>
      </t>
    </mdx>
    <mdx n="0" f="r">
      <t c="2">
        <n x="799"/>
        <n x="477"/>
      </t>
    </mdx>
    <mdx n="0" f="r">
      <t c="2">
        <n x="799"/>
        <n x="449"/>
      </t>
    </mdx>
    <mdx n="0" f="v">
      <t c="6" si="614">
        <n x="610"/>
        <n x="337"/>
        <n x="338"/>
        <n x="800" s="1"/>
        <n x="625"/>
        <n x="626"/>
      </t>
    </mdx>
    <mdx n="0" f="r">
      <t c="2">
        <n x="799"/>
        <n x="329"/>
      </t>
    </mdx>
    <mdx n="0" f="v">
      <t c="6" si="614">
        <n x="610"/>
        <n x="449"/>
        <n x="450"/>
        <n x="800" s="1"/>
        <n x="625"/>
        <n x="626"/>
      </t>
    </mdx>
    <mdx n="0" f="v">
      <t c="6" si="614">
        <n x="610"/>
        <n x="559"/>
        <n x="560"/>
        <n x="800" s="1"/>
        <n x="617"/>
        <n x="618"/>
      </t>
    </mdx>
    <mdx n="0" f="r">
      <t c="2">
        <n x="799"/>
        <n x="263"/>
      </t>
    </mdx>
    <mdx n="0" f="r">
      <t c="2">
        <n x="799"/>
        <n x="567"/>
      </t>
    </mdx>
    <mdx n="0" f="r">
      <t c="2">
        <n x="799"/>
        <n x="267"/>
      </t>
    </mdx>
    <mdx n="0" f="v">
      <t c="6" si="614">
        <n x="610"/>
        <n x="805"/>
        <n x="806"/>
        <n x="800" s="1"/>
        <n x="619"/>
        <n x="620"/>
      </t>
    </mdx>
    <mdx n="0" f="v">
      <t c="6" si="614">
        <n x="610"/>
        <n x="517"/>
        <n x="518"/>
        <n x="800" s="1"/>
        <n x="621"/>
        <n x="622"/>
      </t>
    </mdx>
    <mdx n="0" f="r">
      <t c="2">
        <n x="799"/>
        <n x="425"/>
      </t>
    </mdx>
    <mdx n="0" f="v">
      <t c="6" si="614">
        <n x="610"/>
        <n x="215"/>
        <n x="216"/>
        <n x="800" s="1"/>
        <n x="617"/>
        <n x="618"/>
      </t>
    </mdx>
    <mdx n="0" f="r">
      <t c="2">
        <n x="799"/>
        <n x="475"/>
      </t>
    </mdx>
    <mdx n="0" f="v">
      <t c="6" si="614">
        <n x="610"/>
        <n x="519"/>
        <n x="520"/>
        <n x="800" s="1"/>
        <n x="619"/>
        <n x="620"/>
      </t>
    </mdx>
    <mdx n="0" f="v">
      <t c="6" si="614">
        <n x="610"/>
        <n x="251"/>
        <n x="252"/>
        <n x="800" s="1"/>
        <n x="625"/>
        <n x="626"/>
      </t>
    </mdx>
    <mdx n="0" f="v">
      <t c="6" si="614">
        <n x="610"/>
        <n x="805"/>
        <n x="806"/>
        <n x="800" s="1"/>
        <n x="617"/>
        <n x="618"/>
      </t>
    </mdx>
    <mdx n="0" f="v">
      <t c="6" si="614">
        <n x="610"/>
        <n x="373"/>
        <n x="374"/>
        <n x="800" s="1"/>
        <n x="619"/>
        <n x="620"/>
      </t>
    </mdx>
    <mdx n="0" f="v">
      <t c="6" si="614">
        <n x="610"/>
        <n x="449"/>
        <n x="450"/>
        <n x="800" s="1"/>
        <n x="619"/>
        <n x="620"/>
      </t>
    </mdx>
    <mdx n="0" f="r">
      <t c="2">
        <n x="610"/>
        <n x="435"/>
      </t>
    </mdx>
    <mdx n="0" f="v">
      <t c="6" si="614">
        <n x="610"/>
        <n x="323"/>
        <n x="324"/>
        <n x="800" s="1"/>
        <n x="617"/>
        <n x="618"/>
      </t>
    </mdx>
    <mdx n="0" f="v">
      <t c="6" si="614">
        <n x="610"/>
        <n x="371"/>
        <n x="372"/>
        <n x="800" s="1"/>
        <n x="623"/>
        <n x="624"/>
      </t>
    </mdx>
    <mdx n="0" f="v">
      <t c="6" si="614">
        <n x="610"/>
        <n x="491"/>
        <n x="492"/>
        <n x="800" s="1"/>
        <n x="617"/>
        <n x="618"/>
      </t>
    </mdx>
    <mdx n="0" f="r">
      <t c="2">
        <n x="610"/>
        <n x="269"/>
      </t>
    </mdx>
    <mdx n="0" f="v">
      <t c="6" si="614">
        <n x="610"/>
        <n x="421"/>
        <n x="422"/>
        <n x="800" s="1"/>
        <n x="617"/>
        <n x="618"/>
      </t>
    </mdx>
    <mdx n="0" f="v">
      <t c="6" si="614">
        <n x="610"/>
        <n x="587"/>
        <n x="588"/>
        <n x="800" s="1"/>
        <n x="623"/>
        <n x="624"/>
      </t>
    </mdx>
    <mdx n="0" f="v">
      <t c="6" si="614">
        <n x="610"/>
        <n x="421"/>
        <n x="422"/>
        <n x="800" s="1"/>
        <n x="625"/>
        <n x="626"/>
      </t>
    </mdx>
    <mdx n="0" f="r">
      <t c="2">
        <n x="610"/>
        <n x="569"/>
      </t>
    </mdx>
    <mdx n="0" f="r">
      <t c="2">
        <n x="610"/>
        <n x="783"/>
      </t>
    </mdx>
    <mdx n="0" f="v">
      <t c="6" si="614">
        <n x="610"/>
        <n x="475"/>
        <n x="476"/>
        <n x="800" s="1"/>
        <n x="625"/>
        <n x="626"/>
      </t>
    </mdx>
    <mdx n="0" f="r">
      <t c="2">
        <n x="610"/>
        <n x="337"/>
      </t>
    </mdx>
    <mdx n="0" f="r">
      <t c="2">
        <n x="610"/>
        <n x="323"/>
      </t>
    </mdx>
    <mdx n="0" f="v">
      <t c="6" si="614">
        <n x="610"/>
        <n x="263"/>
        <n x="264"/>
        <n x="800" s="1"/>
        <n x="625"/>
        <n x="626"/>
      </t>
    </mdx>
    <mdx n="0" f="v">
      <t c="6" si="614">
        <n x="610"/>
        <n x="709"/>
        <n x="710"/>
        <n x="800" s="1"/>
        <n x="627"/>
        <n x="628"/>
      </t>
    </mdx>
    <mdx n="0" f="v">
      <t c="6" si="614">
        <n x="610"/>
        <n x="599"/>
        <n x="600"/>
        <n x="800" s="1"/>
        <n x="627"/>
        <n x="628"/>
      </t>
    </mdx>
    <mdx n="0" f="v">
      <t c="6" si="614">
        <n x="610"/>
        <n x="585"/>
        <n x="586"/>
        <n x="800" s="1"/>
        <n x="627"/>
        <n x="628"/>
      </t>
    </mdx>
    <mdx n="0" f="v">
      <t c="6" si="614">
        <n x="610"/>
        <n x="397"/>
        <n x="398"/>
        <n x="800" s="1"/>
        <n x="627"/>
        <n x="628"/>
      </t>
    </mdx>
    <mdx n="0" f="v">
      <t c="6" si="614">
        <n x="610"/>
        <n x="231"/>
        <n x="232"/>
        <n x="800" s="1"/>
        <n x="627"/>
        <n x="628"/>
      </t>
    </mdx>
    <mdx n="0" f="v">
      <t c="6" si="614">
        <n x="610"/>
        <n x="555"/>
        <n x="556"/>
        <n x="800" s="1"/>
        <n x="627"/>
        <n x="628"/>
      </t>
    </mdx>
    <mdx n="0" f="v">
      <t c="6" si="614">
        <n x="610"/>
        <n x="607"/>
        <n x="608"/>
        <n x="800" s="1"/>
        <n x="627"/>
        <n x="628"/>
      </t>
    </mdx>
    <mdx n="0" f="v">
      <t c="6" si="614">
        <n x="610"/>
        <n x="735"/>
        <n x="736"/>
        <n x="800" s="1"/>
        <n x="627"/>
        <n x="628"/>
      </t>
    </mdx>
    <mdx n="0" f="v">
      <t c="6" si="614">
        <n x="610"/>
        <n x="257"/>
        <n x="258"/>
        <n x="800" s="1"/>
        <n x="627"/>
        <n x="628"/>
      </t>
    </mdx>
    <mdx n="0" f="v">
      <t c="6" si="614">
        <n x="610"/>
        <n x="739"/>
        <n x="740"/>
        <n x="800" s="1"/>
        <n x="627"/>
        <n x="628"/>
      </t>
    </mdx>
    <mdx n="0" f="v">
      <t c="6" si="614">
        <n x="610"/>
        <n x="537"/>
        <n x="538"/>
        <n x="800" s="1"/>
        <n x="627"/>
        <n x="628"/>
      </t>
    </mdx>
    <mdx n="0" f="v">
      <t c="6" si="614">
        <n x="610"/>
        <n x="589"/>
        <n x="590"/>
        <n x="800" s="1"/>
        <n x="627"/>
        <n x="628"/>
      </t>
    </mdx>
    <mdx n="0" f="v">
      <t c="6" si="614">
        <n x="610"/>
        <n x="745"/>
        <n x="746"/>
        <n x="800" s="1"/>
        <n x="627"/>
        <n x="628"/>
      </t>
    </mdx>
    <mdx n="0" f="v">
      <t c="6" si="614">
        <n x="610"/>
        <n x="379"/>
        <n x="380"/>
        <n x="800" s="1"/>
        <n x="627"/>
        <n x="628"/>
      </t>
    </mdx>
    <mdx n="0" f="v">
      <t c="6" si="614">
        <n x="610"/>
        <n x="601"/>
        <n x="602"/>
        <n x="800" s="1"/>
        <n x="627"/>
        <n x="628"/>
      </t>
    </mdx>
    <mdx n="0" f="v">
      <t c="6" si="614">
        <n x="610"/>
        <n x="283"/>
        <n x="284"/>
        <n x="800" s="1"/>
        <n x="627"/>
        <n x="628"/>
      </t>
    </mdx>
    <mdx n="0" f="v">
      <t c="6" si="614">
        <n x="610"/>
        <n x="741"/>
        <n x="742"/>
        <n x="800" s="1"/>
        <n x="627"/>
        <n x="628"/>
      </t>
    </mdx>
    <mdx n="0" f="v">
      <t c="6" si="614">
        <n x="610"/>
        <n x="605"/>
        <n x="606"/>
        <n x="800" s="1"/>
        <n x="627"/>
        <n x="628"/>
      </t>
    </mdx>
    <mdx n="0" f="v">
      <t c="6" si="614">
        <n x="610"/>
        <n x="299"/>
        <n x="300"/>
        <n x="800" s="1"/>
        <n x="627"/>
        <n x="628"/>
      </t>
    </mdx>
    <mdx n="0" f="v">
      <t c="6" si="614">
        <n x="610"/>
        <n x="339"/>
        <n x="340"/>
        <n x="800" s="1"/>
        <n x="627"/>
        <n x="628"/>
      </t>
    </mdx>
    <mdx n="0" f="v">
      <t c="6" si="614">
        <n x="610"/>
        <n x="551"/>
        <n x="552"/>
        <n x="800" s="1"/>
        <n x="627"/>
        <n x="628"/>
      </t>
    </mdx>
    <mdx n="0" f="v">
      <t c="6" si="614">
        <n x="610"/>
        <n x="409"/>
        <n x="410"/>
        <n x="800" s="1"/>
        <n x="627"/>
        <n x="628"/>
      </t>
    </mdx>
    <mdx n="0" f="v">
      <t c="6" si="614">
        <n x="610"/>
        <n x="469"/>
        <n x="470"/>
        <n x="800" s="1"/>
        <n x="627"/>
        <n x="628"/>
      </t>
    </mdx>
    <mdx n="0" f="v">
      <t c="6" si="614">
        <n x="610"/>
        <n x="539"/>
        <n x="540"/>
        <n x="800" s="1"/>
        <n x="627"/>
        <n x="628"/>
      </t>
    </mdx>
    <mdx n="0" f="v">
      <t c="6" si="614">
        <n x="610"/>
        <n x="767"/>
        <n x="768"/>
        <n x="800" s="1"/>
        <n x="627"/>
        <n x="628"/>
      </t>
    </mdx>
    <mdx n="0" f="v">
      <t c="6" si="614">
        <n x="610"/>
        <n x="485"/>
        <n x="486"/>
        <n x="800" s="1"/>
        <n x="627"/>
        <n x="628"/>
      </t>
    </mdx>
    <mdx n="0" f="v">
      <t c="6" si="614">
        <n x="610"/>
        <n x="777"/>
        <n x="778"/>
        <n x="800" s="1"/>
        <n x="627"/>
        <n x="628"/>
      </t>
    </mdx>
    <mdx n="0" f="v">
      <t c="6" si="614">
        <n x="610"/>
        <n x="269"/>
        <n x="270"/>
        <n x="800" s="1"/>
        <n x="627"/>
        <n x="628"/>
      </t>
    </mdx>
    <mdx n="0" f="v">
      <t c="6" si="614">
        <n x="610"/>
        <n x="473"/>
        <n x="474"/>
        <n x="800" s="1"/>
        <n x="627"/>
        <n x="628"/>
      </t>
    </mdx>
    <mdx n="0" f="v">
      <t c="6" si="614">
        <n x="610"/>
        <n x="465"/>
        <n x="466"/>
        <n x="800" s="1"/>
        <n x="627"/>
        <n x="628"/>
      </t>
    </mdx>
    <mdx n="0" f="v">
      <t c="6" si="614">
        <n x="610"/>
        <n x="329"/>
        <n x="330"/>
        <n x="800" s="1"/>
        <n x="627"/>
        <n x="628"/>
      </t>
    </mdx>
    <mdx n="0" f="v">
      <t c="6" si="614">
        <n x="610"/>
        <n x="323"/>
        <n x="324"/>
        <n x="800" s="1"/>
        <n x="627"/>
        <n x="628"/>
      </t>
    </mdx>
    <mdx n="0" f="v">
      <t c="6" si="614">
        <n x="610"/>
        <n x="371"/>
        <n x="372"/>
        <n x="800" s="1"/>
        <n x="627"/>
        <n x="628"/>
      </t>
    </mdx>
    <mdx n="0" f="v">
      <t c="6" si="614">
        <n x="610"/>
        <n x="285"/>
        <n x="286"/>
        <n x="800" s="1"/>
        <n x="627"/>
        <n x="628"/>
      </t>
    </mdx>
    <mdx n="0" f="v">
      <t c="6" si="614">
        <n x="610"/>
        <n x="723"/>
        <n x="724"/>
        <n x="800" s="1"/>
        <n x="627"/>
        <n x="628"/>
      </t>
    </mdx>
    <mdx n="0" f="v">
      <t c="6" si="614">
        <n x="610"/>
        <n x="239"/>
        <n x="240"/>
        <n x="800" s="1"/>
        <n x="627"/>
        <n x="628"/>
      </t>
    </mdx>
    <mdx n="0" f="v">
      <t c="6" si="614">
        <n x="610"/>
        <n x="547"/>
        <n x="548"/>
        <n x="800" s="1"/>
        <n x="627"/>
        <n x="628"/>
      </t>
    </mdx>
    <mdx n="0" f="v">
      <t c="6" si="614">
        <n x="610"/>
        <n x="495"/>
        <n x="496"/>
        <n x="800" s="1"/>
        <n x="627"/>
        <n x="628"/>
      </t>
    </mdx>
    <mdx n="0" f="v">
      <t c="6" si="614">
        <n x="610"/>
        <n x="363"/>
        <n x="364"/>
        <n x="800" s="1"/>
        <n x="627"/>
        <n x="628"/>
      </t>
    </mdx>
    <mdx n="0" f="v">
      <t c="6" si="614">
        <n x="610"/>
        <n x="281"/>
        <n x="282"/>
        <n x="800" s="1"/>
        <n x="627"/>
        <n x="628"/>
      </t>
    </mdx>
    <mdx n="0" f="v">
      <t c="6" si="614">
        <n x="610"/>
        <n x="277"/>
        <n x="278"/>
        <n x="800" s="1"/>
        <n x="627"/>
        <n x="628"/>
      </t>
    </mdx>
    <mdx n="0" f="v">
      <t c="6" si="614">
        <n x="610"/>
        <n x="401"/>
        <n x="402"/>
        <n x="800" s="1"/>
        <n x="627"/>
        <n x="628"/>
      </t>
    </mdx>
    <mdx n="0" f="v">
      <t c="6" si="614">
        <n x="610"/>
        <n x="743"/>
        <n x="744"/>
        <n x="800" s="1"/>
        <n x="627"/>
        <n x="628"/>
      </t>
    </mdx>
    <mdx n="0" f="v">
      <t c="6" si="614">
        <n x="610"/>
        <n x="437"/>
        <n x="438"/>
        <n x="800" s="1"/>
        <n x="627"/>
        <n x="628"/>
      </t>
    </mdx>
    <mdx n="0" f="v">
      <t c="6" si="614">
        <n x="610"/>
        <n x="751"/>
        <n x="752"/>
        <n x="800" s="1"/>
        <n x="627"/>
        <n x="628"/>
      </t>
    </mdx>
    <mdx n="0" f="v">
      <t c="6" si="614">
        <n x="610"/>
        <n x="233"/>
        <n x="234"/>
        <n x="800" s="1"/>
        <n x="627"/>
        <n x="628"/>
      </t>
    </mdx>
    <mdx n="0" f="v">
      <t c="6" si="614">
        <n x="610"/>
        <n x="553"/>
        <n x="554"/>
        <n x="800" s="1"/>
        <n x="627"/>
        <n x="628"/>
      </t>
    </mdx>
    <mdx n="0" f="v">
      <t c="6" si="614">
        <n x="610"/>
        <n x="315"/>
        <n x="316"/>
        <n x="800" s="1"/>
        <n x="627"/>
        <n x="628"/>
      </t>
    </mdx>
    <mdx n="0" f="v">
      <t c="6" si="614">
        <n x="610"/>
        <n x="357"/>
        <n x="358"/>
        <n x="800" s="1"/>
        <n x="627"/>
        <n x="628"/>
      </t>
    </mdx>
    <mdx n="0" f="v">
      <t c="6" si="614">
        <n x="610"/>
        <n x="355"/>
        <n x="356"/>
        <n x="800" s="1"/>
        <n x="627"/>
        <n x="628"/>
      </t>
    </mdx>
    <mdx n="0" f="v">
      <t c="6" si="614">
        <n x="610"/>
        <n x="521"/>
        <n x="522"/>
        <n x="800" s="1"/>
        <n x="627"/>
        <n x="628"/>
      </t>
    </mdx>
    <mdx n="0" f="v">
      <t c="6" si="614">
        <n x="610"/>
        <n x="225"/>
        <n x="226"/>
        <n x="800" s="1"/>
        <n x="627"/>
        <n x="628"/>
      </t>
    </mdx>
    <mdx n="0" f="v">
      <t c="6" si="614">
        <n x="610"/>
        <n x="449"/>
        <n x="450"/>
        <n x="800" s="1"/>
        <n x="627"/>
        <n x="628"/>
      </t>
    </mdx>
    <mdx n="0" f="v">
      <t c="6" si="614">
        <n x="610"/>
        <n x="421"/>
        <n x="422"/>
        <n x="800" s="1"/>
        <n x="627"/>
        <n x="628"/>
      </t>
    </mdx>
    <mdx n="0" f="v">
      <t c="6" si="614">
        <n x="610"/>
        <n x="497"/>
        <n x="498"/>
        <n x="800" s="1"/>
        <n x="627"/>
        <n x="628"/>
      </t>
    </mdx>
    <mdx n="0" f="v">
      <t c="6" si="614">
        <n x="610"/>
        <n x="519"/>
        <n x="520"/>
        <n x="800" s="1"/>
        <n x="627"/>
        <n x="628"/>
      </t>
    </mdx>
    <mdx n="0" f="v">
      <t c="6" si="614">
        <n x="610"/>
        <n x="805"/>
        <n x="806"/>
        <n x="800" s="1"/>
        <n x="627"/>
        <n x="628"/>
      </t>
    </mdx>
    <mdx n="0" f="v">
      <t c="6" si="614">
        <n x="610"/>
        <n x="715"/>
        <n x="716"/>
        <n x="800" s="1"/>
        <n x="627"/>
        <n x="628"/>
      </t>
    </mdx>
    <mdx n="0" f="v">
      <t c="6" si="614">
        <n x="610"/>
        <n x="463"/>
        <n x="464"/>
        <n x="800" s="1"/>
        <n x="627"/>
        <n x="628"/>
      </t>
    </mdx>
    <mdx n="0" f="v">
      <t c="6" si="614">
        <n x="610"/>
        <n x="597"/>
        <n x="598"/>
        <n x="800" s="1"/>
        <n x="627"/>
        <n x="628"/>
      </t>
    </mdx>
    <mdx n="0" f="v">
      <t c="6" si="614">
        <n x="610"/>
        <n x="727"/>
        <n x="728"/>
        <n x="800" s="1"/>
        <n x="627"/>
        <n x="628"/>
      </t>
    </mdx>
    <mdx n="0" f="v">
      <t c="6" si="614">
        <n x="610"/>
        <n x="731"/>
        <n x="732"/>
        <n x="800" s="1"/>
        <n x="627"/>
        <n x="628"/>
      </t>
    </mdx>
    <mdx n="0" f="v">
      <t c="6" si="614">
        <n x="610"/>
        <n x="265"/>
        <n x="266"/>
        <n x="800" s="1"/>
        <n x="627"/>
        <n x="628"/>
      </t>
    </mdx>
    <mdx n="0" f="v">
      <t c="6" si="614">
        <n x="610"/>
        <n x="243"/>
        <n x="244"/>
        <n x="800" s="1"/>
        <n x="627"/>
        <n x="628"/>
      </t>
    </mdx>
    <mdx n="0" f="v">
      <t c="6" si="614">
        <n x="610"/>
        <n x="443"/>
        <n x="444"/>
        <n x="800" s="1"/>
        <n x="627"/>
        <n x="628"/>
      </t>
    </mdx>
    <mdx n="0" f="v">
      <t c="6" si="614">
        <n x="610"/>
        <n x="245"/>
        <n x="246"/>
        <n x="800" s="1"/>
        <n x="627"/>
        <n x="628"/>
      </t>
    </mdx>
    <mdx n="0" f="v">
      <t c="6" si="614">
        <n x="610"/>
        <n x="467"/>
        <n x="468"/>
        <n x="800" s="1"/>
        <n x="627"/>
        <n x="628"/>
      </t>
    </mdx>
    <mdx n="0" f="v">
      <t c="6" si="614">
        <n x="610"/>
        <n x="509"/>
        <n x="510"/>
        <n x="800" s="1"/>
        <n x="627"/>
        <n x="628"/>
      </t>
    </mdx>
    <mdx n="0" f="v">
      <t c="6" si="614">
        <n x="610"/>
        <n x="769"/>
        <n x="770"/>
        <n x="800" s="1"/>
        <n x="627"/>
        <n x="628"/>
      </t>
    </mdx>
    <mdx n="0" f="v">
      <t c="6" si="614">
        <n x="610"/>
        <n x="529"/>
        <n x="530"/>
        <n x="800" s="1"/>
        <n x="627"/>
        <n x="628"/>
      </t>
    </mdx>
    <mdx n="0" f="v">
      <t c="6" si="614">
        <n x="610"/>
        <n x="381"/>
        <n x="382"/>
        <n x="800" s="1"/>
        <n x="627"/>
        <n x="628"/>
      </t>
    </mdx>
    <mdx n="0" f="v">
      <t c="6" si="614">
        <n x="610"/>
        <n x="431"/>
        <n x="432"/>
        <n x="800" s="1"/>
        <n x="627"/>
        <n x="628"/>
      </t>
    </mdx>
    <mdx n="0" f="v">
      <t c="6" si="614">
        <n x="610"/>
        <n x="423"/>
        <n x="424"/>
        <n x="800" s="1"/>
        <n x="627"/>
        <n x="628"/>
      </t>
    </mdx>
    <mdx n="0" f="v">
      <t c="6" si="614">
        <n x="610"/>
        <n x="801"/>
        <n x="802"/>
        <n x="800" s="1"/>
        <n x="627"/>
        <n x="628"/>
      </t>
    </mdx>
    <mdx n="0" f="v">
      <t c="6" si="614">
        <n x="610"/>
        <n x="573"/>
        <n x="574"/>
        <n x="800" s="1"/>
        <n x="627"/>
        <n x="628"/>
      </t>
    </mdx>
    <mdx n="0" f="v">
      <t c="6" si="614">
        <n x="610"/>
        <n x="317"/>
        <n x="318"/>
        <n x="800" s="1"/>
        <n x="627"/>
        <n x="628"/>
      </t>
    </mdx>
    <mdx n="0" f="v">
      <t c="6" si="614">
        <n x="610"/>
        <n x="377"/>
        <n x="378"/>
        <n x="800" s="1"/>
        <n x="627"/>
        <n x="628"/>
      </t>
    </mdx>
    <mdx n="0" f="v">
      <t c="6" si="614">
        <n x="610"/>
        <n x="221"/>
        <n x="222"/>
        <n x="800" s="1"/>
        <n x="627"/>
        <n x="628"/>
      </t>
    </mdx>
    <mdx n="0" f="v">
      <t c="6" si="614">
        <n x="610"/>
        <n x="725"/>
        <n x="726"/>
        <n x="800" s="1"/>
        <n x="627"/>
        <n x="628"/>
      </t>
    </mdx>
    <mdx n="0" f="v">
      <t c="6" si="614">
        <n x="610"/>
        <n x="729"/>
        <n x="730"/>
        <n x="800" s="1"/>
        <n x="627"/>
        <n x="628"/>
      </t>
    </mdx>
    <mdx n="0" f="v">
      <t c="6" si="614">
        <n x="610"/>
        <n x="541"/>
        <n x="542"/>
        <n x="800" s="1"/>
        <n x="627"/>
        <n x="628"/>
      </t>
    </mdx>
    <mdx n="0" f="v">
      <t c="6" si="614">
        <n x="610"/>
        <n x="595"/>
        <n x="596"/>
        <n x="800" s="1"/>
        <n x="627"/>
        <n x="628"/>
      </t>
    </mdx>
    <mdx n="0" f="v">
      <t c="6" si="614">
        <n x="610"/>
        <n x="455"/>
        <n x="456"/>
        <n x="800" s="1"/>
        <n x="627"/>
        <n x="628"/>
      </t>
    </mdx>
    <mdx n="0" f="v">
      <t c="6" si="614">
        <n x="610"/>
        <n x="513"/>
        <n x="514"/>
        <n x="800" s="1"/>
        <n x="627"/>
        <n x="628"/>
      </t>
    </mdx>
    <mdx n="0" f="v">
      <t c="6" si="614">
        <n x="610"/>
        <n x="759"/>
        <n x="760"/>
        <n x="800" s="1"/>
        <n x="627"/>
        <n x="628"/>
      </t>
    </mdx>
    <mdx n="0" f="v">
      <t c="6" si="614">
        <n x="610"/>
        <n x="287"/>
        <n x="288"/>
        <n x="800" s="1"/>
        <n x="627"/>
        <n x="628"/>
      </t>
    </mdx>
    <mdx n="0" f="v">
      <t c="6" si="614">
        <n x="610"/>
        <n x="511"/>
        <n x="512"/>
        <n x="800" s="1"/>
        <n x="627"/>
        <n x="628"/>
      </t>
    </mdx>
    <mdx n="0" f="v">
      <t c="6" si="614">
        <n x="610"/>
        <n x="515"/>
        <n x="516"/>
        <n x="800" s="1"/>
        <n x="627"/>
        <n x="628"/>
      </t>
    </mdx>
    <mdx n="0" f="v">
      <t c="6" si="614">
        <n x="610"/>
        <n x="787"/>
        <n x="788"/>
        <n x="800" s="1"/>
        <n x="627"/>
        <n x="628"/>
      </t>
    </mdx>
    <mdx n="0" f="v">
      <t c="6" si="614">
        <n x="610"/>
        <n x="545"/>
        <n x="546"/>
        <n x="800" s="1"/>
        <n x="627"/>
        <n x="628"/>
      </t>
    </mdx>
    <mdx n="0" f="v">
      <t c="6" si="614">
        <n x="610"/>
        <n x="291"/>
        <n x="292"/>
        <n x="800" s="1"/>
        <n x="627"/>
        <n x="628"/>
      </t>
    </mdx>
    <mdx n="0" f="v">
      <t c="6" si="614">
        <n x="610"/>
        <n x="477"/>
        <n x="478"/>
        <n x="800" s="1"/>
        <n x="627"/>
        <n x="628"/>
      </t>
    </mdx>
    <mdx n="0" f="v">
      <t c="6" si="614">
        <n x="610"/>
        <n x="253"/>
        <n x="254"/>
        <n x="800" s="1"/>
        <n x="627"/>
        <n x="628"/>
      </t>
    </mdx>
    <mdx n="0" f="v">
      <t c="6" si="614">
        <n x="610"/>
        <n x="717"/>
        <n x="718"/>
        <n x="800" s="1"/>
        <n x="627"/>
        <n x="628"/>
      </t>
    </mdx>
    <mdx n="0" f="v">
      <t c="6" si="614">
        <n x="610"/>
        <n x="461"/>
        <n x="462"/>
        <n x="800" s="1"/>
        <n x="627"/>
        <n x="628"/>
      </t>
    </mdx>
    <mdx n="0" f="v">
      <t c="6" si="614">
        <n x="610"/>
        <n x="457"/>
        <n x="458"/>
        <n x="800" s="1"/>
        <n x="627"/>
        <n x="628"/>
      </t>
    </mdx>
    <mdx n="0" f="v">
      <t c="6" si="614">
        <n x="610"/>
        <n x="367"/>
        <n x="368"/>
        <n x="800" s="1"/>
        <n x="627"/>
        <n x="628"/>
      </t>
    </mdx>
    <mdx n="0" f="v">
      <t c="6" si="614">
        <n x="610"/>
        <n x="429"/>
        <n x="430"/>
        <n x="800" s="1"/>
        <n x="627"/>
        <n x="628"/>
      </t>
    </mdx>
    <mdx n="0" f="v">
      <t c="6" si="614">
        <n x="610"/>
        <n x="241"/>
        <n x="242"/>
        <n x="800" s="1"/>
        <n x="627"/>
        <n x="628"/>
      </t>
    </mdx>
    <mdx n="0" f="v">
      <t c="6" si="614">
        <n x="610"/>
        <n x="321"/>
        <n x="322"/>
        <n x="800" s="1"/>
        <n x="627"/>
        <n x="628"/>
      </t>
    </mdx>
    <mdx n="0" f="v">
      <t c="6" si="614">
        <n x="610"/>
        <n x="761"/>
        <n x="762"/>
        <n x="800" s="1"/>
        <n x="627"/>
        <n x="628"/>
      </t>
    </mdx>
    <mdx n="0" f="v">
      <t c="6" si="614">
        <n x="610"/>
        <n x="255"/>
        <n x="256"/>
        <n x="800" s="1"/>
        <n x="627"/>
        <n x="628"/>
      </t>
    </mdx>
    <mdx n="0" f="v">
      <t c="6" si="614">
        <n x="610"/>
        <n x="763"/>
        <n x="764"/>
        <n x="800" s="1"/>
        <n x="627"/>
        <n x="628"/>
      </t>
    </mdx>
    <mdx n="0" f="v">
      <t c="6" si="614">
        <n x="610"/>
        <n x="427"/>
        <n x="428"/>
        <n x="800" s="1"/>
        <n x="627"/>
        <n x="628"/>
      </t>
    </mdx>
    <mdx n="0" f="v">
      <t c="6" si="614">
        <n x="610"/>
        <n x="773"/>
        <n x="774"/>
        <n x="800" s="1"/>
        <n x="627"/>
        <n x="628"/>
      </t>
    </mdx>
    <mdx n="0" f="v">
      <t c="6" si="614">
        <n x="610"/>
        <n x="375"/>
        <n x="376"/>
        <n x="800" s="1"/>
        <n x="627"/>
        <n x="628"/>
      </t>
    </mdx>
    <mdx n="0" f="v">
      <t c="6" si="614">
        <n x="610"/>
        <n x="311"/>
        <n x="312"/>
        <n x="800" s="1"/>
        <n x="627"/>
        <n x="628"/>
      </t>
    </mdx>
    <mdx n="0" f="v">
      <t c="6" si="614">
        <n x="610"/>
        <n x="575"/>
        <n x="576"/>
        <n x="800" s="1"/>
        <n x="627"/>
        <n x="628"/>
      </t>
    </mdx>
    <mdx n="0" f="v">
      <t c="6" si="614">
        <n x="610"/>
        <n x="313"/>
        <n x="314"/>
        <n x="800" s="1"/>
        <n x="627"/>
        <n x="628"/>
      </t>
    </mdx>
    <mdx n="0" f="v">
      <t c="6" si="614">
        <n x="610"/>
        <n x="571"/>
        <n x="572"/>
        <n x="800" s="1"/>
        <n x="627"/>
        <n x="628"/>
      </t>
    </mdx>
    <mdx n="0" f="v">
      <t c="6" si="614">
        <n x="610"/>
        <n x="797"/>
        <n x="798"/>
        <n x="800" s="1"/>
        <n x="627"/>
        <n x="628"/>
      </t>
    </mdx>
    <mdx n="0" f="v">
      <t c="6" si="614">
        <n x="610"/>
        <n x="259"/>
        <n x="260"/>
        <n x="800" s="1"/>
        <n x="627"/>
        <n x="628"/>
      </t>
    </mdx>
    <mdx n="0" f="v">
      <t c="6" si="614">
        <n x="610"/>
        <n x="223"/>
        <n x="224"/>
        <n x="800" s="1"/>
        <n x="627"/>
        <n x="628"/>
      </t>
    </mdx>
    <mdx n="0" f="v">
      <t c="6" si="614">
        <n x="610"/>
        <n x="577"/>
        <n x="578"/>
        <n x="800" s="1"/>
        <n x="627"/>
        <n x="628"/>
      </t>
    </mdx>
    <mdx n="0" f="v">
      <t c="6" si="614">
        <n x="610"/>
        <n x="361"/>
        <n x="362"/>
        <n x="800" s="1"/>
        <n x="627"/>
        <n x="628"/>
      </t>
    </mdx>
    <mdx n="0" f="v">
      <t c="6" si="614">
        <n x="610"/>
        <n x="325"/>
        <n x="326"/>
        <n x="800" s="1"/>
        <n x="627"/>
        <n x="628"/>
      </t>
    </mdx>
    <mdx n="0" f="v">
      <t c="6" si="614">
        <n x="610"/>
        <n x="507"/>
        <n x="508"/>
        <n x="800" s="1"/>
        <n x="627"/>
        <n x="628"/>
      </t>
    </mdx>
    <mdx n="0" f="v">
      <t c="6" si="614">
        <n x="610"/>
        <n x="349"/>
        <n x="350"/>
        <n x="800" s="1"/>
        <n x="627"/>
        <n x="628"/>
      </t>
    </mdx>
    <mdx n="0" f="v">
      <t c="6" si="614">
        <n x="610"/>
        <n x="771"/>
        <n x="772"/>
        <n x="800" s="1"/>
        <n x="627"/>
        <n x="628"/>
      </t>
    </mdx>
    <mdx n="0" f="v">
      <t c="6" si="614">
        <n x="610"/>
        <n x="779"/>
        <n x="780"/>
        <n x="800" s="1"/>
        <n x="627"/>
        <n x="628"/>
      </t>
    </mdx>
    <mdx n="0" f="v">
      <t c="6" si="614">
        <n x="610"/>
        <n x="451"/>
        <n x="452"/>
        <n x="800" s="1"/>
        <n x="627"/>
        <n x="628"/>
      </t>
    </mdx>
    <mdx n="0" f="v">
      <t c="6" si="614">
        <n x="610"/>
        <n x="351"/>
        <n x="352"/>
        <n x="800" s="1"/>
        <n x="627"/>
        <n x="628"/>
      </t>
    </mdx>
    <mdx n="0" f="v">
      <t c="6" si="614">
        <n x="610"/>
        <n x="373"/>
        <n x="374"/>
        <n x="800" s="1"/>
        <n x="627"/>
        <n x="628"/>
      </t>
    </mdx>
    <mdx n="0" f="v">
      <t c="6" si="614">
        <n x="610"/>
        <n x="337"/>
        <n x="338"/>
        <n x="800" s="1"/>
        <n x="627"/>
        <n x="628"/>
      </t>
    </mdx>
    <mdx n="0" f="v">
      <t c="6" si="614">
        <n x="610"/>
        <n x="369"/>
        <n x="370"/>
        <n x="800" s="1"/>
        <n x="627"/>
        <n x="628"/>
      </t>
    </mdx>
    <mdx n="0" f="v">
      <t c="6" si="614">
        <n x="610"/>
        <n x="337"/>
        <n x="338"/>
        <n x="800" s="1"/>
        <n x="617"/>
        <n x="618"/>
      </t>
    </mdx>
    <mdx n="0" f="v">
      <t c="6" si="614">
        <n x="610"/>
        <n x="425"/>
        <n x="426"/>
        <n x="800" s="1"/>
        <n x="617"/>
        <n x="618"/>
      </t>
    </mdx>
    <mdx n="0" f="v">
      <t c="6" si="614">
        <n x="610"/>
        <n x="369"/>
        <n x="370"/>
        <n x="800" s="1"/>
        <n x="617"/>
        <n x="618"/>
      </t>
    </mdx>
    <mdx n="0" f="v">
      <t c="6" si="614">
        <n x="610"/>
        <n x="371"/>
        <n x="372"/>
        <n x="800" s="1"/>
        <n x="617"/>
        <n x="618"/>
      </t>
    </mdx>
    <mdx n="0" f="v">
      <t c="6" si="614">
        <n x="610"/>
        <n x="519"/>
        <n x="520"/>
        <n x="800" s="1"/>
        <n x="617"/>
        <n x="618"/>
      </t>
    </mdx>
    <mdx n="0" f="v">
      <t c="6" si="614">
        <n x="610"/>
        <n x="263"/>
        <n x="264"/>
        <n x="800" s="1"/>
        <n x="617"/>
        <n x="618"/>
      </t>
    </mdx>
    <mdx n="0" f="v">
      <t c="6" si="614">
        <n x="610"/>
        <n x="573"/>
        <n x="574"/>
        <n x="800" s="1"/>
        <n x="617"/>
        <n x="618"/>
      </t>
    </mdx>
    <mdx n="0" f="v">
      <t c="6" si="614">
        <n x="610"/>
        <n x="251"/>
        <n x="252"/>
        <n x="800" s="1"/>
        <n x="617"/>
        <n x="618"/>
      </t>
    </mdx>
    <mdx n="0" f="v">
      <t c="6" si="614">
        <n x="610"/>
        <n x="253"/>
        <n x="254"/>
        <n x="800" s="1"/>
        <n x="617"/>
        <n x="618"/>
      </t>
    </mdx>
    <mdx n="0" f="v">
      <t c="6" si="614">
        <n x="610"/>
        <n x="711"/>
        <n x="712"/>
        <n x="800" s="1"/>
        <n x="627"/>
        <n x="628"/>
      </t>
    </mdx>
    <mdx n="0" f="v">
      <t c="6" si="614">
        <n x="610"/>
        <n x="459"/>
        <n x="460"/>
        <n x="800" s="1"/>
        <n x="627"/>
        <n x="628"/>
      </t>
    </mdx>
    <mdx n="0" f="v">
      <t c="6" si="614">
        <n x="610"/>
        <n x="237"/>
        <n x="238"/>
        <n x="800" s="1"/>
        <n x="627"/>
        <n x="628"/>
      </t>
    </mdx>
    <mdx n="0" f="v">
      <t c="6" si="614">
        <n x="610"/>
        <n x="295"/>
        <n x="296"/>
        <n x="800" s="1"/>
        <n x="627"/>
        <n x="628"/>
      </t>
    </mdx>
    <mdx n="0" f="v">
      <t c="6" si="614">
        <n x="610"/>
        <n x="435"/>
        <n x="436"/>
        <n x="800" s="1"/>
        <n x="627"/>
        <n x="628"/>
      </t>
    </mdx>
    <mdx n="0" f="v">
      <t c="6" si="614">
        <n x="610"/>
        <n x="749"/>
        <n x="750"/>
        <n x="800" s="1"/>
        <n x="627"/>
        <n x="628"/>
      </t>
    </mdx>
    <mdx n="0" f="v">
      <t c="6" si="614">
        <n x="610"/>
        <n x="471"/>
        <n x="472"/>
        <n x="800" s="1"/>
        <n x="627"/>
        <n x="628"/>
      </t>
    </mdx>
    <mdx n="0" f="v">
      <t c="6" si="614">
        <n x="610"/>
        <n x="273"/>
        <n x="274"/>
        <n x="800" s="1"/>
        <n x="627"/>
        <n x="628"/>
      </t>
    </mdx>
    <mdx n="0" f="v">
      <t c="6" si="614">
        <n x="610"/>
        <n x="247"/>
        <n x="248"/>
        <n x="800" s="1"/>
        <n x="627"/>
        <n x="628"/>
      </t>
    </mdx>
    <mdx n="0" f="v">
      <t c="6" si="614">
        <n x="610"/>
        <n x="791"/>
        <n x="792"/>
        <n x="800" s="1"/>
        <n x="627"/>
        <n x="628"/>
      </t>
    </mdx>
    <mdx n="0" f="v">
      <t c="6" si="614">
        <n x="610"/>
        <n x="365"/>
        <n x="366"/>
        <n x="800" s="1"/>
        <n x="627"/>
        <n x="628"/>
      </t>
    </mdx>
    <mdx n="0" f="v">
      <t c="6" si="614">
        <n x="610"/>
        <n x="209"/>
        <n x="210"/>
        <n x="800" s="1"/>
        <n x="627"/>
        <n x="628"/>
      </t>
    </mdx>
    <mdx n="0" f="v">
      <t c="6" si="614">
        <n x="610"/>
        <n x="561"/>
        <n x="562"/>
        <n x="800" s="1"/>
        <n x="627"/>
        <n x="628"/>
      </t>
    </mdx>
    <mdx n="0" f="v">
      <t c="6" si="614">
        <n x="610"/>
        <n x="517"/>
        <n x="518"/>
        <n x="800" s="1"/>
        <n x="627"/>
        <n x="628"/>
      </t>
    </mdx>
    <mdx n="0" f="v">
      <t c="6" si="614">
        <n x="610"/>
        <n x="275"/>
        <n x="276"/>
        <n x="800" s="1"/>
        <n x="627"/>
        <n x="628"/>
      </t>
    </mdx>
    <mdx n="0" f="v">
      <t c="6" si="614">
        <n x="610"/>
        <n x="525"/>
        <n x="526"/>
        <n x="800" s="1"/>
        <n x="627"/>
        <n x="628"/>
      </t>
    </mdx>
    <mdx n="0" f="v">
      <t c="6" si="614">
        <n x="610"/>
        <n x="345"/>
        <n x="346"/>
        <n x="800" s="1"/>
        <n x="627"/>
        <n x="628"/>
      </t>
    </mdx>
    <mdx n="0" f="v">
      <t c="6" si="614">
        <n x="610"/>
        <n x="493"/>
        <n x="494"/>
        <n x="800" s="1"/>
        <n x="627"/>
        <n x="628"/>
      </t>
    </mdx>
    <mdx n="0" f="v">
      <t c="6" si="614">
        <n x="610"/>
        <n x="579"/>
        <n x="580"/>
        <n x="800" s="1"/>
        <n x="627"/>
        <n x="628"/>
      </t>
    </mdx>
    <mdx n="0" f="v">
      <t c="6" si="614">
        <n x="610"/>
        <n x="719"/>
        <n x="720"/>
        <n x="800" s="1"/>
        <n x="627"/>
        <n x="628"/>
      </t>
    </mdx>
    <mdx n="0" f="v">
      <t c="6" si="614">
        <n x="610"/>
        <n x="203"/>
        <n x="434"/>
        <n x="800" s="1"/>
        <n x="627"/>
        <n x="628"/>
      </t>
    </mdx>
    <mdx n="0" f="v">
      <t c="6" si="614">
        <n x="610"/>
        <n x="475"/>
        <n x="476"/>
        <n x="800" s="1"/>
        <n x="627"/>
        <n x="628"/>
      </t>
    </mdx>
    <mdx n="0" f="v">
      <t c="6" si="614">
        <n x="610"/>
        <n x="593"/>
        <n x="594"/>
        <n x="800" s="1"/>
        <n x="627"/>
        <n x="628"/>
      </t>
    </mdx>
    <mdx n="0" f="v">
      <t c="6" si="614">
        <n x="610"/>
        <n x="411"/>
        <n x="412"/>
        <n x="800" s="1"/>
        <n x="627"/>
        <n x="628"/>
      </t>
    </mdx>
    <mdx n="0" f="v">
      <t c="6" si="614">
        <n x="610"/>
        <n x="795"/>
        <n x="796"/>
        <n x="800" s="1"/>
        <n x="627"/>
        <n x="628"/>
      </t>
    </mdx>
    <mdx n="0" f="v">
      <t c="6" si="614">
        <n x="610"/>
        <n x="305"/>
        <n x="306"/>
        <n x="800" s="1"/>
        <n x="627"/>
        <n x="628"/>
      </t>
    </mdx>
    <mdx n="0" f="v">
      <t c="6" si="614">
        <n x="610"/>
        <n x="803"/>
        <n x="804"/>
        <n x="800" s="1"/>
        <n x="627"/>
        <n x="628"/>
      </t>
    </mdx>
    <mdx n="0" f="v">
      <t c="6" si="614">
        <n x="610"/>
        <n x="213"/>
        <n x="214"/>
        <n x="800" s="1"/>
        <n x="627"/>
        <n x="628"/>
      </t>
    </mdx>
    <mdx n="0" f="v">
      <t c="6" si="614">
        <n x="610"/>
        <n x="587"/>
        <n x="588"/>
        <n x="800" s="1"/>
        <n x="627"/>
        <n x="628"/>
      </t>
    </mdx>
    <mdx n="0" f="v">
      <t c="6" si="614">
        <n x="610"/>
        <n x="559"/>
        <n x="560"/>
        <n x="800" s="1"/>
        <n x="627"/>
        <n x="628"/>
      </t>
    </mdx>
    <mdx n="0" f="v">
      <t c="6" si="614">
        <n x="610"/>
        <n x="373"/>
        <n x="374"/>
        <n x="800" s="1"/>
        <n x="625"/>
        <n x="626"/>
      </t>
    </mdx>
    <mdx n="0" f="v">
      <t c="6" si="614">
        <n x="610"/>
        <n x="803"/>
        <n x="804"/>
        <n x="800" s="1"/>
        <n x="625"/>
        <n x="626"/>
      </t>
    </mdx>
    <mdx n="0" f="v">
      <t c="6" si="614">
        <n x="610"/>
        <n x="425"/>
        <n x="426"/>
        <n x="800" s="1"/>
        <n x="625"/>
        <n x="626"/>
      </t>
    </mdx>
    <mdx n="0" f="v">
      <t c="6" si="614">
        <n x="610"/>
        <n x="369"/>
        <n x="370"/>
        <n x="800" s="1"/>
        <n x="625"/>
        <n x="626"/>
      </t>
    </mdx>
    <mdx n="0" f="v">
      <t c="6" si="614">
        <n x="610"/>
        <n x="329"/>
        <n x="330"/>
        <n x="800" s="1"/>
        <n x="625"/>
        <n x="626"/>
      </t>
    </mdx>
    <mdx n="0" f="v">
      <t c="6" si="614">
        <n x="610"/>
        <n x="371"/>
        <n x="372"/>
        <n x="800" s="1"/>
        <n x="625"/>
        <n x="626"/>
      </t>
    </mdx>
    <mdx n="0" f="v">
      <t c="6" si="614">
        <n x="610"/>
        <n x="517"/>
        <n x="518"/>
        <n x="800" s="1"/>
        <n x="625"/>
        <n x="626"/>
      </t>
    </mdx>
    <mdx n="0" f="v">
      <t c="6" si="614">
        <n x="610"/>
        <n x="267"/>
        <n x="268"/>
        <n x="800" s="1"/>
        <n x="625"/>
        <n x="626"/>
      </t>
    </mdx>
    <mdx n="0" f="v">
      <t c="6" si="614">
        <n x="610"/>
        <n x="775"/>
        <n x="776"/>
        <n x="800" s="1"/>
        <n x="627"/>
        <n x="628"/>
      </t>
    </mdx>
    <mdx n="0" f="v">
      <t c="6" si="614">
        <n x="610"/>
        <n x="531"/>
        <n x="532"/>
        <n x="800" s="1"/>
        <n x="627"/>
        <n x="628"/>
      </t>
    </mdx>
    <mdx n="0" f="v">
      <t c="6" si="614">
        <n x="610"/>
        <n x="425"/>
        <n x="426"/>
        <n x="800" s="1"/>
        <n x="627"/>
        <n x="628"/>
      </t>
    </mdx>
    <mdx n="0" f="v">
      <t c="6" si="614">
        <n x="610"/>
        <n x="393"/>
        <n x="394"/>
        <n x="800" s="1"/>
        <n x="627"/>
        <n x="628"/>
      </t>
    </mdx>
    <mdx n="0" f="v">
      <t c="6" si="614">
        <n x="610"/>
        <n x="563"/>
        <n x="564"/>
        <n x="800" s="1"/>
        <n x="627"/>
        <n x="628"/>
      </t>
    </mdx>
    <mdx n="0" f="v">
      <t c="6" si="614">
        <n x="610"/>
        <n x="557"/>
        <n x="558"/>
        <n x="800" s="1"/>
        <n x="627"/>
        <n x="628"/>
      </t>
    </mdx>
    <mdx n="0" f="v">
      <t c="6" si="614">
        <n x="610"/>
        <n x="747"/>
        <n x="748"/>
        <n x="800" s="1"/>
        <n x="627"/>
        <n x="628"/>
      </t>
    </mdx>
    <mdx n="0" f="v">
      <t c="6" si="614">
        <n x="610"/>
        <n x="765"/>
        <n x="766"/>
        <n x="800" s="1"/>
        <n x="627"/>
        <n x="628"/>
      </t>
    </mdx>
    <mdx n="0" f="v">
      <t c="6" si="614">
        <n x="610"/>
        <n x="293"/>
        <n x="294"/>
        <n x="800" s="1"/>
        <n x="627"/>
        <n x="628"/>
      </t>
    </mdx>
    <mdx n="0" f="v">
      <t c="6" si="614">
        <n x="610"/>
        <n x="533"/>
        <n x="534"/>
        <n x="800" s="1"/>
        <n x="627"/>
        <n x="628"/>
      </t>
    </mdx>
    <mdx n="0" f="v">
      <t c="6" si="614">
        <n x="610"/>
        <n x="581"/>
        <n x="582"/>
        <n x="800" s="1"/>
        <n x="627"/>
        <n x="628"/>
      </t>
    </mdx>
    <mdx n="0" f="v">
      <t c="6" si="614">
        <n x="610"/>
        <n x="523"/>
        <n x="524"/>
        <n x="800" s="1"/>
        <n x="627"/>
        <n x="628"/>
      </t>
    </mdx>
    <mdx n="0" f="v">
      <t c="6" si="614">
        <n x="610"/>
        <n x="303"/>
        <n x="304"/>
        <n x="800" s="1"/>
        <n x="627"/>
        <n x="628"/>
      </t>
    </mdx>
    <mdx n="0" f="v">
      <t c="6" si="614">
        <n x="610"/>
        <n x="441"/>
        <n x="442"/>
        <n x="800" s="1"/>
        <n x="627"/>
        <n x="628"/>
      </t>
    </mdx>
    <mdx n="0" f="v">
      <t c="6" si="614">
        <n x="610"/>
        <n x="753"/>
        <n x="754"/>
        <n x="800" s="1"/>
        <n x="627"/>
        <n x="628"/>
      </t>
    </mdx>
    <mdx n="0" f="v">
      <t c="6" si="614">
        <n x="610"/>
        <n x="527"/>
        <n x="528"/>
        <n x="800" s="1"/>
        <n x="627"/>
        <n x="628"/>
      </t>
    </mdx>
    <mdx n="0" f="v">
      <t c="6" si="614">
        <n x="610"/>
        <n x="211"/>
        <n x="212"/>
        <n x="800" s="1"/>
        <n x="627"/>
        <n x="628"/>
      </t>
    </mdx>
    <mdx n="0" f="v">
      <t c="6" si="614">
        <n x="610"/>
        <n x="491"/>
        <n x="492"/>
        <n x="800" s="1"/>
        <n x="627"/>
        <n x="628"/>
      </t>
    </mdx>
    <mdx n="0" f="v">
      <t c="6" si="614">
        <n x="610"/>
        <n x="549"/>
        <n x="550"/>
        <n x="800" s="1"/>
        <n x="627"/>
        <n x="628"/>
      </t>
    </mdx>
    <mdx n="0" f="v">
      <t c="6" si="614">
        <n x="610"/>
        <n x="359"/>
        <n x="360"/>
        <n x="800" s="1"/>
        <n x="627"/>
        <n x="628"/>
      </t>
    </mdx>
    <mdx n="0" f="v">
      <t c="6" si="614">
        <n x="610"/>
        <n x="249"/>
        <n x="250"/>
        <n x="800" s="1"/>
        <n x="627"/>
        <n x="628"/>
      </t>
    </mdx>
    <mdx n="0" f="v">
      <t c="6" si="614">
        <n x="610"/>
        <n x="781"/>
        <n x="782"/>
        <n x="800" s="1"/>
        <n x="627"/>
        <n x="628"/>
      </t>
    </mdx>
    <mdx n="0" f="v">
      <t c="6" si="614">
        <n x="610"/>
        <n x="789"/>
        <n x="790"/>
        <n x="800" s="1"/>
        <n x="627"/>
        <n x="628"/>
      </t>
    </mdx>
    <mdx n="0" f="v">
      <t c="6" si="614">
        <n x="610"/>
        <n x="251"/>
        <n x="252"/>
        <n x="800" s="1"/>
        <n x="627"/>
        <n x="628"/>
      </t>
    </mdx>
    <mdx n="0" f="v">
      <t c="6" si="614">
        <n x="610"/>
        <n x="387"/>
        <n x="388"/>
        <n x="800" s="1"/>
        <n x="627"/>
        <n x="628"/>
      </t>
    </mdx>
    <mdx n="0" f="v">
      <t c="6" si="614">
        <n x="610"/>
        <n x="433"/>
        <n x="434"/>
        <n x="800" s="1"/>
        <n x="627"/>
        <n x="628"/>
      </t>
    </mdx>
    <mdx n="0" f="v">
      <t c="6" si="614">
        <n x="610"/>
        <n x="447"/>
        <n x="448"/>
        <n x="800" s="1"/>
        <n x="627"/>
        <n x="628"/>
      </t>
    </mdx>
    <mdx n="0" f="v">
      <t c="6" si="614">
        <n x="610"/>
        <n x="207"/>
        <n x="208"/>
        <n x="800" s="1"/>
        <n x="627"/>
        <n x="628"/>
      </t>
    </mdx>
    <mdx n="0" f="v">
      <t c="6" si="614">
        <n x="610"/>
        <n x="709"/>
        <n x="710"/>
        <n x="800" s="1"/>
        <n x="629"/>
        <n x="630"/>
      </t>
    </mdx>
    <mdx n="0" f="v">
      <t c="6" si="614">
        <n x="610"/>
        <n x="217"/>
        <n x="218"/>
        <n x="800" s="1"/>
        <n x="629"/>
        <n x="630"/>
      </t>
    </mdx>
    <mdx n="0" f="v">
      <t c="6" si="614">
        <n x="610"/>
        <n x="721"/>
        <n x="722"/>
        <n x="800" s="1"/>
        <n x="629"/>
        <n x="630"/>
      </t>
    </mdx>
    <mdx n="0" f="v">
      <t c="6" si="614">
        <n x="610"/>
        <n x="379"/>
        <n x="380"/>
        <n x="800" s="1"/>
        <n x="629"/>
        <n x="630"/>
      </t>
    </mdx>
    <mdx n="0" f="v">
      <t c="6" si="614">
        <n x="610"/>
        <n x="459"/>
        <n x="460"/>
        <n x="800" s="1"/>
        <n x="629"/>
        <n x="630"/>
      </t>
    </mdx>
    <mdx n="0" f="v">
      <t c="6" si="614">
        <n x="610"/>
        <n x="601"/>
        <n x="602"/>
        <n x="800" s="1"/>
        <n x="629"/>
        <n x="630"/>
      </t>
    </mdx>
    <mdx n="0" f="v">
      <t c="6" si="614">
        <n x="610"/>
        <n x="237"/>
        <n x="238"/>
        <n x="800" s="1"/>
        <n x="629"/>
        <n x="630"/>
      </t>
    </mdx>
    <mdx n="0" f="v">
      <t c="6" si="614">
        <n x="610"/>
        <n x="453"/>
        <n x="454"/>
        <n x="800" s="1"/>
        <n x="629"/>
        <n x="630"/>
      </t>
    </mdx>
    <mdx n="0" f="v">
      <t c="6" si="614">
        <n x="610"/>
        <n x="283"/>
        <n x="284"/>
        <n x="800" s="1"/>
        <n x="629"/>
        <n x="630"/>
      </t>
    </mdx>
    <mdx n="0" f="v">
      <t c="6" si="614">
        <n x="610"/>
        <n x="393"/>
        <n x="394"/>
        <n x="800" s="1"/>
        <n x="629"/>
        <n x="630"/>
      </t>
    </mdx>
    <mdx n="0" f="v">
      <t c="6" si="614">
        <n x="610"/>
        <n x="605"/>
        <n x="606"/>
        <n x="800" s="1"/>
        <n x="629"/>
        <n x="630"/>
      </t>
    </mdx>
    <mdx n="0" f="v">
      <t c="6" si="614">
        <n x="610"/>
        <n x="295"/>
        <n x="296"/>
        <n x="800" s="1"/>
        <n x="629"/>
        <n x="630"/>
      </t>
    </mdx>
    <mdx n="0" f="v">
      <t c="6" si="614">
        <n x="610"/>
        <n x="299"/>
        <n x="300"/>
        <n x="800" s="1"/>
        <n x="629"/>
        <n x="630"/>
      </t>
    </mdx>
    <mdx n="0" f="v">
      <t c="6" si="614">
        <n x="610"/>
        <n x="229"/>
        <n x="230"/>
        <n x="800" s="1"/>
        <n x="629"/>
        <n x="630"/>
      </t>
    </mdx>
    <mdx n="0" f="v">
      <t c="6" si="614">
        <n x="610"/>
        <n x="339"/>
        <n x="340"/>
        <n x="800" s="1"/>
        <n x="629"/>
        <n x="630"/>
      </t>
    </mdx>
    <mdx n="0" f="v">
      <t c="6" si="614">
        <n x="610"/>
        <n x="551"/>
        <n x="552"/>
        <n x="800" s="1"/>
        <n x="629"/>
        <n x="630"/>
      </t>
    </mdx>
    <mdx n="0" f="v">
      <t c="6" si="614">
        <n x="610"/>
        <n x="409"/>
        <n x="410"/>
        <n x="800" s="1"/>
        <n x="629"/>
        <n x="630"/>
      </t>
    </mdx>
    <mdx n="0" f="v">
      <t c="6" si="614">
        <n x="610"/>
        <n x="469"/>
        <n x="470"/>
        <n x="800" s="1"/>
        <n x="629"/>
        <n x="630"/>
      </t>
    </mdx>
    <mdx n="0" f="v">
      <t c="6" si="614">
        <n x="610"/>
        <n x="767"/>
        <n x="768"/>
        <n x="800" s="1"/>
        <n x="629"/>
        <n x="630"/>
      </t>
    </mdx>
    <mdx n="0" f="v">
      <t c="6" si="614">
        <n x="610"/>
        <n x="777"/>
        <n x="778"/>
        <n x="800" s="1"/>
        <n x="629"/>
        <n x="630"/>
      </t>
    </mdx>
    <mdx n="0" f="v">
      <t c="6" si="614">
        <n x="610"/>
        <n x="269"/>
        <n x="270"/>
        <n x="800" s="1"/>
        <n x="629"/>
        <n x="630"/>
      </t>
    </mdx>
    <mdx n="0" f="v">
      <t c="6" si="614">
        <n x="610"/>
        <n x="535"/>
        <n x="536"/>
        <n x="800" s="1"/>
        <n x="629"/>
        <n x="630"/>
      </t>
    </mdx>
    <mdx n="0" f="v">
      <t c="6" si="614">
        <n x="610"/>
        <n x="565"/>
        <n x="566"/>
        <n x="800" s="1"/>
        <n x="629"/>
        <n x="630"/>
      </t>
    </mdx>
    <mdx n="0" f="v">
      <t c="6" si="614">
        <n x="610"/>
        <n x="285"/>
        <n x="286"/>
        <n x="800" s="1"/>
        <n x="629"/>
        <n x="630"/>
      </t>
    </mdx>
    <mdx n="0" f="v">
      <t c="6" si="614">
        <n x="610"/>
        <n x="723"/>
        <n x="724"/>
        <n x="800" s="1"/>
        <n x="629"/>
        <n x="630"/>
      </t>
    </mdx>
    <mdx n="0" f="v">
      <t c="6" si="614">
        <n x="610"/>
        <n x="239"/>
        <n x="240"/>
        <n x="800" s="1"/>
        <n x="629"/>
        <n x="630"/>
      </t>
    </mdx>
    <mdx n="0" f="v">
      <t c="6" si="614">
        <n x="610"/>
        <n x="281"/>
        <n x="282"/>
        <n x="800" s="1"/>
        <n x="629"/>
        <n x="630"/>
      </t>
    </mdx>
    <mdx n="0" f="v">
      <t c="6" si="614">
        <n x="610"/>
        <n x="401"/>
        <n x="402"/>
        <n x="800" s="1"/>
        <n x="629"/>
        <n x="630"/>
      </t>
    </mdx>
    <mdx n="0" f="v">
      <t c="6" si="614">
        <n x="610"/>
        <n x="749"/>
        <n x="750"/>
        <n x="800" s="1"/>
        <n x="629"/>
        <n x="630"/>
      </t>
    </mdx>
    <mdx n="0" f="v">
      <t c="6" si="614">
        <n x="610"/>
        <n x="553"/>
        <n x="554"/>
        <n x="800" s="1"/>
        <n x="629"/>
        <n x="630"/>
      </t>
    </mdx>
    <mdx n="0" f="v">
      <t c="6" si="614">
        <n x="610"/>
        <n x="765"/>
        <n x="766"/>
        <n x="800" s="1"/>
        <n x="629"/>
        <n x="630"/>
      </t>
    </mdx>
    <mdx n="0" f="v">
      <t c="6" si="614">
        <n x="610"/>
        <n x="315"/>
        <n x="316"/>
        <n x="800" s="1"/>
        <n x="629"/>
        <n x="630"/>
      </t>
    </mdx>
    <mdx n="0" f="v">
      <t c="6" si="614">
        <n x="610"/>
        <n x="355"/>
        <n x="356"/>
        <n x="800" s="1"/>
        <n x="629"/>
        <n x="630"/>
      </t>
    </mdx>
    <mdx n="0" f="v">
      <t c="6" si="614">
        <n x="610"/>
        <n x="581"/>
        <n x="582"/>
        <n x="800" s="1"/>
        <n x="629"/>
        <n x="630"/>
      </t>
    </mdx>
    <mdx n="0" f="v">
      <t c="6" si="614">
        <n x="610"/>
        <n x="521"/>
        <n x="522"/>
        <n x="800" s="1"/>
        <n x="629"/>
        <n x="630"/>
      </t>
    </mdx>
    <mdx n="0" f="v">
      <t c="6" si="614">
        <n x="610"/>
        <n x="303"/>
        <n x="304"/>
        <n x="800" s="1"/>
        <n x="629"/>
        <n x="630"/>
      </t>
    </mdx>
    <mdx n="0" f="v">
      <t c="6" si="614">
        <n x="610"/>
        <n x="449"/>
        <n x="450"/>
        <n x="800" s="1"/>
        <n x="629"/>
        <n x="630"/>
      </t>
    </mdx>
    <mdx n="0" f="v">
      <t c="6" si="614">
        <n x="610"/>
        <n x="519"/>
        <n x="520"/>
        <n x="800" s="1"/>
        <n x="629"/>
        <n x="630"/>
      </t>
    </mdx>
    <mdx n="0" f="v">
      <t c="6" si="614">
        <n x="610"/>
        <n x="805"/>
        <n x="806"/>
        <n x="800" s="1"/>
        <n x="629"/>
        <n x="630"/>
      </t>
    </mdx>
    <mdx n="0" f="v">
      <t c="6" si="614">
        <n x="610"/>
        <n x="261"/>
        <n x="262"/>
        <n x="800" s="1"/>
        <n x="629"/>
        <n x="630"/>
      </t>
    </mdx>
    <mdx n="0" f="v">
      <t c="6" si="614">
        <n x="610"/>
        <n x="463"/>
        <n x="464"/>
        <n x="800" s="1"/>
        <n x="629"/>
        <n x="630"/>
      </t>
    </mdx>
    <mdx n="0" f="v">
      <t c="6" si="614">
        <n x="610"/>
        <n x="731"/>
        <n x="732"/>
        <n x="800" s="1"/>
        <n x="629"/>
        <n x="630"/>
      </t>
    </mdx>
    <mdx n="0" f="v">
      <t c="6" si="614">
        <n x="610"/>
        <n x="265"/>
        <n x="266"/>
        <n x="800" s="1"/>
        <n x="629"/>
        <n x="630"/>
      </t>
    </mdx>
    <mdx n="0" f="v">
      <t c="6" si="614">
        <n x="610"/>
        <n x="243"/>
        <n x="244"/>
        <n x="800" s="1"/>
        <n x="629"/>
        <n x="630"/>
      </t>
    </mdx>
    <mdx n="0" f="v">
      <t c="6" si="614">
        <n x="610"/>
        <n x="245"/>
        <n x="246"/>
        <n x="800" s="1"/>
        <n x="629"/>
        <n x="630"/>
      </t>
    </mdx>
    <mdx n="0" f="v">
      <t c="6" si="614">
        <n x="610"/>
        <n x="529"/>
        <n x="530"/>
        <n x="800" s="1"/>
        <n x="629"/>
        <n x="630"/>
      </t>
    </mdx>
    <mdx n="0" f="v">
      <t c="6" si="614">
        <n x="610"/>
        <n x="527"/>
        <n x="528"/>
        <n x="800" s="1"/>
        <n x="629"/>
        <n x="630"/>
      </t>
    </mdx>
    <mdx n="0" f="v">
      <t c="6" si="614">
        <n x="610"/>
        <n x="423"/>
        <n x="424"/>
        <n x="800" s="1"/>
        <n x="629"/>
        <n x="630"/>
      </t>
    </mdx>
    <mdx n="0" f="v">
      <t c="6" si="614">
        <n x="610"/>
        <n x="279"/>
        <n x="280"/>
        <n x="800" s="1"/>
        <n x="629"/>
        <n x="630"/>
      </t>
    </mdx>
    <mdx n="0" f="v">
      <t c="6" si="614">
        <n x="610"/>
        <n x="517"/>
        <n x="518"/>
        <n x="800" s="1"/>
        <n x="629"/>
        <n x="630"/>
      </t>
    </mdx>
    <mdx n="0" f="v">
      <t c="6" si="614">
        <n x="610"/>
        <n x="275"/>
        <n x="276"/>
        <n x="800" s="1"/>
        <n x="629"/>
        <n x="630"/>
      </t>
    </mdx>
    <mdx n="0" f="v">
      <t c="6" si="614">
        <n x="610"/>
        <n x="729"/>
        <n x="730"/>
        <n x="800" s="1"/>
        <n x="629"/>
        <n x="630"/>
      </t>
    </mdx>
    <mdx n="0" f="v">
      <t c="6" si="614">
        <n x="610"/>
        <n x="595"/>
        <n x="596"/>
        <n x="800" s="1"/>
        <n x="629"/>
        <n x="630"/>
      </t>
    </mdx>
    <mdx n="0" f="v">
      <t c="6" si="614">
        <n x="610"/>
        <n x="591"/>
        <n x="592"/>
        <n x="800" s="1"/>
        <n x="629"/>
        <n x="630"/>
      </t>
    </mdx>
    <mdx n="0" f="v">
      <t c="6" si="614">
        <n x="610"/>
        <n x="491"/>
        <n x="492"/>
        <n x="800" s="1"/>
        <n x="629"/>
        <n x="630"/>
      </t>
    </mdx>
    <mdx n="0" f="v">
      <t c="6" si="614">
        <n x="610"/>
        <n x="513"/>
        <n x="514"/>
        <n x="800" s="1"/>
        <n x="629"/>
        <n x="630"/>
      </t>
    </mdx>
    <mdx n="0" f="v">
      <t c="6" si="614">
        <n x="610"/>
        <n x="489"/>
        <n x="490"/>
        <n x="800" s="1"/>
        <n x="629"/>
        <n x="630"/>
      </t>
    </mdx>
    <mdx n="0" f="v">
      <t c="6" si="614">
        <n x="610"/>
        <n x="407"/>
        <n x="408"/>
        <n x="800" s="1"/>
        <n x="629"/>
        <n x="630"/>
      </t>
    </mdx>
    <mdx n="0" f="v">
      <t c="6" si="614">
        <n x="610"/>
        <n x="549"/>
        <n x="550"/>
        <n x="800" s="1"/>
        <n x="629"/>
        <n x="630"/>
      </t>
    </mdx>
    <mdx n="0" f="v">
      <t c="6" si="614">
        <n x="610"/>
        <n x="359"/>
        <n x="360"/>
        <n x="800" s="1"/>
        <n x="629"/>
        <n x="630"/>
      </t>
    </mdx>
    <mdx n="0" f="v">
      <t c="6" si="614">
        <n x="610"/>
        <n x="511"/>
        <n x="512"/>
        <n x="800" s="1"/>
        <n x="629"/>
        <n x="630"/>
      </t>
    </mdx>
    <mdx n="0" f="v">
      <t c="6" si="614">
        <n x="610"/>
        <n x="249"/>
        <n x="250"/>
        <n x="800" s="1"/>
        <n x="629"/>
        <n x="630"/>
      </t>
    </mdx>
    <mdx n="0" f="v">
      <t c="6" si="614">
        <n x="610"/>
        <n x="789"/>
        <n x="790"/>
        <n x="800" s="1"/>
        <n x="629"/>
        <n x="630"/>
      </t>
    </mdx>
    <mdx n="0" f="v">
      <t c="6" si="614">
        <n x="610"/>
        <n x="227"/>
        <n x="228"/>
        <n x="800" s="1"/>
        <n x="629"/>
        <n x="630"/>
      </t>
    </mdx>
    <mdx n="0" f="v">
      <t c="6" si="614">
        <n x="610"/>
        <n x="477"/>
        <n x="478"/>
        <n x="800" s="1"/>
        <n x="629"/>
        <n x="630"/>
      </t>
    </mdx>
    <mdx n="0" f="v">
      <t c="6" si="614">
        <n x="610"/>
        <n x="253"/>
        <n x="254"/>
        <n x="800" s="1"/>
        <n x="629"/>
        <n x="630"/>
      </t>
    </mdx>
    <mdx n="0" f="v">
      <t c="6" si="614">
        <n x="610"/>
        <n x="717"/>
        <n x="718"/>
        <n x="800" s="1"/>
        <n x="629"/>
        <n x="630"/>
      </t>
    </mdx>
    <mdx n="0" f="v">
      <t c="6" si="614">
        <n x="610"/>
        <n x="367"/>
        <n x="368"/>
        <n x="800" s="1"/>
        <n x="629"/>
        <n x="630"/>
      </t>
    </mdx>
    <mdx n="0" f="v">
      <t c="6" si="614">
        <n x="610"/>
        <n x="413"/>
        <n x="414"/>
        <n x="800" s="1"/>
        <n x="629"/>
        <n x="630"/>
      </t>
    </mdx>
    <mdx n="0" f="v">
      <t c="6" si="614">
        <n x="610"/>
        <n x="271"/>
        <n x="272"/>
        <n x="800" s="1"/>
        <n x="629"/>
        <n x="630"/>
      </t>
    </mdx>
    <mdx n="0" f="v">
      <t c="6" si="614">
        <n x="610"/>
        <n x="737"/>
        <n x="738"/>
        <n x="800" s="1"/>
        <n x="629"/>
        <n x="630"/>
      </t>
    </mdx>
    <mdx n="0" f="v">
      <t c="6" si="614">
        <n x="610"/>
        <n x="433"/>
        <n x="434"/>
        <n x="800" s="1"/>
        <n x="629"/>
        <n x="630"/>
      </t>
    </mdx>
    <mdx n="0" f="v">
      <t c="6" si="614">
        <n x="610"/>
        <n x="569"/>
        <n x="570"/>
        <n x="800" s="1"/>
        <n x="629"/>
        <n x="630"/>
      </t>
    </mdx>
    <mdx n="0" f="v">
      <t c="6" si="614">
        <n x="610"/>
        <n x="241"/>
        <n x="242"/>
        <n x="800" s="1"/>
        <n x="629"/>
        <n x="630"/>
      </t>
    </mdx>
    <mdx n="0" f="v">
      <t c="6" si="614">
        <n x="610"/>
        <n x="761"/>
        <n x="762"/>
        <n x="800" s="1"/>
        <n x="629"/>
        <n x="630"/>
      </t>
    </mdx>
    <mdx n="0" f="v">
      <t c="6" si="614">
        <n x="610"/>
        <n x="255"/>
        <n x="256"/>
        <n x="800" s="1"/>
        <n x="629"/>
        <n x="630"/>
      </t>
    </mdx>
    <mdx n="0" f="v">
      <t c="6" si="614">
        <n x="610"/>
        <n x="583"/>
        <n x="584"/>
        <n x="800" s="1"/>
        <n x="629"/>
        <n x="630"/>
      </t>
    </mdx>
    <mdx n="0" f="v">
      <t c="6" si="614">
        <n x="610"/>
        <n x="311"/>
        <n x="312"/>
        <n x="800" s="1"/>
        <n x="629"/>
        <n x="630"/>
      </t>
    </mdx>
    <mdx n="0" f="v">
      <t c="6" si="614">
        <n x="610"/>
        <n x="571"/>
        <n x="572"/>
        <n x="800" s="1"/>
        <n x="629"/>
        <n x="630"/>
      </t>
    </mdx>
    <mdx n="0" f="v">
      <t c="6" si="614">
        <n x="610"/>
        <n x="215"/>
        <n x="216"/>
        <n x="800" s="1"/>
        <n x="629"/>
        <n x="630"/>
      </t>
    </mdx>
    <mdx n="0" f="v">
      <t c="6" si="614">
        <n x="610"/>
        <n x="267"/>
        <n x="268"/>
        <n x="800" s="1"/>
        <n x="629"/>
        <n x="630"/>
      </t>
    </mdx>
    <mdx n="0" f="v">
      <t c="6" si="614">
        <n x="610"/>
        <n x="567"/>
        <n x="568"/>
        <n x="800" s="1"/>
        <n x="629"/>
        <n x="630"/>
      </t>
    </mdx>
    <mdx n="0" f="v">
      <t c="6" si="614">
        <n x="610"/>
        <n x="585"/>
        <n x="586"/>
        <n x="800" s="1"/>
        <n x="629"/>
        <n x="630"/>
      </t>
    </mdx>
    <mdx n="0" f="v">
      <t c="6" si="614">
        <n x="610"/>
        <n x="599"/>
        <n x="600"/>
        <n x="800" s="1"/>
        <n x="629"/>
        <n x="630"/>
      </t>
    </mdx>
    <mdx n="0" f="v">
      <t c="6" si="614">
        <n x="610"/>
        <n x="397"/>
        <n x="398"/>
        <n x="800" s="1"/>
        <n x="629"/>
        <n x="630"/>
      </t>
    </mdx>
    <mdx n="0" f="v">
      <t c="6" si="614">
        <n x="610"/>
        <n x="607"/>
        <n x="608"/>
        <n x="800" s="1"/>
        <n x="629"/>
        <n x="630"/>
      </t>
    </mdx>
    <mdx n="0" f="v">
      <t c="6" si="614">
        <n x="610"/>
        <n x="589"/>
        <n x="590"/>
        <n x="800" s="1"/>
        <n x="629"/>
        <n x="630"/>
      </t>
    </mdx>
    <mdx n="0" f="v">
      <t c="6" si="614">
        <n x="610"/>
        <n x="259"/>
        <n x="260"/>
        <n x="800" s="1"/>
        <n x="629"/>
        <n x="630"/>
      </t>
    </mdx>
    <mdx n="0" f="v">
      <t c="6" si="614">
        <n x="610"/>
        <n x="223"/>
        <n x="224"/>
        <n x="800" s="1"/>
        <n x="629"/>
        <n x="630"/>
      </t>
    </mdx>
    <mdx n="0" f="v">
      <t c="6" si="614">
        <n x="610"/>
        <n x="361"/>
        <n x="362"/>
        <n x="800" s="1"/>
        <n x="629"/>
        <n x="630"/>
      </t>
    </mdx>
    <mdx n="0" f="v">
      <t c="6" si="614">
        <n x="610"/>
        <n x="349"/>
        <n x="350"/>
        <n x="800" s="1"/>
        <n x="629"/>
        <n x="630"/>
      </t>
    </mdx>
    <mdx n="0" f="v">
      <t c="6" si="614">
        <n x="610"/>
        <n x="771"/>
        <n x="772"/>
        <n x="800" s="1"/>
        <n x="629"/>
        <n x="630"/>
      </t>
    </mdx>
    <mdx n="0" f="v">
      <t c="6" si="614">
        <n x="610"/>
        <n x="783"/>
        <n x="784"/>
        <n x="800" s="1"/>
        <n x="629"/>
        <n x="630"/>
      </t>
    </mdx>
    <mdx n="0" f="v">
      <t c="6" si="614">
        <n x="610"/>
        <n x="531"/>
        <n x="532"/>
        <n x="800" s="1"/>
        <n x="629"/>
        <n x="630"/>
      </t>
    </mdx>
    <mdx n="0" f="v">
      <t c="6" si="614">
        <n x="610"/>
        <n x="351"/>
        <n x="352"/>
        <n x="800" s="1"/>
        <n x="629"/>
        <n x="630"/>
      </t>
    </mdx>
    <mdx n="0" f="v">
      <t c="6" si="614">
        <n x="610"/>
        <n x="351"/>
        <n x="352"/>
        <n x="800" s="1"/>
        <n x="629"/>
        <n x="630"/>
      </t>
    </mdx>
    <mdx n="0" f="v">
      <t c="6" si="614">
        <n x="610"/>
        <n x="795"/>
        <n x="796"/>
        <n x="800" s="1"/>
        <n x="629"/>
        <n x="630"/>
      </t>
    </mdx>
    <mdx n="0" f="v">
      <t c="6" si="614">
        <n x="610"/>
        <n x="305"/>
        <n x="306"/>
        <n x="800" s="1"/>
        <n x="629"/>
        <n x="630"/>
      </t>
    </mdx>
    <mdx n="0" f="v">
      <t c="6" si="614">
        <n x="610"/>
        <n x="369"/>
        <n x="370"/>
        <n x="800" s="1"/>
        <n x="629"/>
        <n x="630"/>
      </t>
    </mdx>
    <mdx n="0" f="v">
      <t c="6" si="614">
        <n x="610"/>
        <n x="473"/>
        <n x="474"/>
        <n x="800" s="1"/>
        <n x="629"/>
        <n x="630"/>
      </t>
    </mdx>
    <mdx n="0" f="v">
      <t c="6" si="614">
        <n x="610"/>
        <n x="213"/>
        <n x="214"/>
        <n x="800" s="1"/>
        <n x="629"/>
        <n x="630"/>
      </t>
    </mdx>
    <mdx n="0" f="v">
      <t c="6" si="614">
        <n x="610"/>
        <n x="563"/>
        <n x="564"/>
        <n x="800" s="1"/>
        <n x="629"/>
        <n x="630"/>
      </t>
    </mdx>
    <mdx n="0" f="v">
      <t c="6" si="614">
        <n x="610"/>
        <n x="329"/>
        <n x="330"/>
        <n x="800" s="1"/>
        <n x="629"/>
        <n x="630"/>
      </t>
    </mdx>
    <mdx n="0" f="v">
      <t c="6" si="614">
        <n x="610"/>
        <n x="587"/>
        <n x="588"/>
        <n x="800" s="1"/>
        <n x="629"/>
        <n x="630"/>
      </t>
    </mdx>
    <mdx n="0" f="v">
      <t c="6" si="614">
        <n x="610"/>
        <n x="559"/>
        <n x="560"/>
        <n x="800" s="1"/>
        <n x="629"/>
        <n x="630"/>
      </t>
    </mdx>
    <mdx n="0" f="v">
      <t c="6" si="614">
        <n x="610"/>
        <n x="371"/>
        <n x="372"/>
        <n x="800" s="1"/>
        <n x="629"/>
        <n x="630"/>
      </t>
    </mdx>
    <mdx n="0" f="v">
      <t c="6" si="614">
        <n x="610"/>
        <n x="327"/>
        <n x="328"/>
        <n x="800" s="1"/>
        <n x="621"/>
        <n x="622"/>
      </t>
    </mdx>
    <mdx n="0" f="v">
      <t c="6" si="614">
        <n x="610"/>
        <n x="411"/>
        <n x="412"/>
        <n x="800" s="1"/>
        <n x="629"/>
        <n x="630"/>
      </t>
    </mdx>
    <mdx n="0" f="v">
      <t c="6" si="614">
        <n x="610"/>
        <n x="565"/>
        <n x="566"/>
        <n x="800" s="1"/>
        <n x="629"/>
        <n x="618"/>
      </t>
    </mdx>
    <mdx n="0" f="v">
      <t c="6" si="614">
        <n x="610"/>
        <n x="313"/>
        <n x="314"/>
        <n x="800" s="1"/>
        <n x="629"/>
        <n x="630"/>
      </t>
    </mdx>
    <mdx n="0" f="v">
      <t c="6" si="614">
        <n x="610"/>
        <n x="231"/>
        <n x="232"/>
        <n x="800" s="1"/>
        <n x="629"/>
        <n x="630"/>
      </t>
    </mdx>
    <mdx n="0" f="v">
      <t c="6" si="614">
        <n x="610"/>
        <n x="291"/>
        <n x="292"/>
        <n x="800" s="1"/>
        <n x="629"/>
        <n x="630"/>
      </t>
    </mdx>
    <mdx n="0" f="v">
      <t c="6" si="614">
        <n x="610"/>
        <n x="451"/>
        <n x="452"/>
        <n x="800" s="1"/>
        <n x="629"/>
        <n x="630"/>
      </t>
    </mdx>
    <mdx n="0" f="v">
      <t c="6" si="614">
        <n x="610"/>
        <n x="477"/>
        <n x="478"/>
        <n x="800" s="1"/>
        <n x="619"/>
        <n x="620"/>
      </t>
    </mdx>
    <mdx n="0" f="v">
      <t c="6" si="614">
        <n x="610"/>
        <n x="421"/>
        <n x="422"/>
        <n x="800" s="1"/>
        <n x="621"/>
        <n x="622"/>
      </t>
    </mdx>
    <mdx n="0" f="v">
      <t c="6" si="614">
        <n x="610"/>
        <n x="323"/>
        <n x="324"/>
        <n x="800" s="1"/>
        <n x="621"/>
        <n x="622"/>
      </t>
    </mdx>
    <mdx n="0" f="v">
      <t c="6" si="614">
        <n x="610"/>
        <n x="787"/>
        <n x="788"/>
        <n x="800" s="1"/>
        <n x="621"/>
        <n x="622"/>
      </t>
    </mdx>
    <mdx n="0" f="v">
      <t c="6" si="614">
        <n x="610"/>
        <n x="267"/>
        <n x="268"/>
        <n x="800" s="1"/>
        <n x="621"/>
        <n x="622"/>
      </t>
    </mdx>
    <mdx n="0" f="r">
      <t c="2">
        <n x="610"/>
        <n x="785"/>
      </t>
    </mdx>
    <mdx n="0" f="v">
      <t c="6" si="614">
        <n x="610"/>
        <n x="263"/>
        <n x="264"/>
        <n x="800" s="1"/>
        <n x="621"/>
        <n x="622"/>
      </t>
    </mdx>
    <mdx n="0" f="r">
      <t c="2">
        <n x="610"/>
        <n x="439"/>
      </t>
    </mdx>
    <mdx n="0" f="v">
      <t c="6" si="614">
        <n x="610"/>
        <n x="475"/>
        <n x="476"/>
        <n x="800" s="1"/>
        <n x="619"/>
        <n x="620"/>
      </t>
    </mdx>
    <mdx n="0" f="v">
      <t c="6" si="614">
        <n x="610"/>
        <n x="475"/>
        <n x="476"/>
        <n x="800" s="1"/>
        <n x="621"/>
        <n x="622"/>
      </t>
    </mdx>
    <mdx n="0" f="v">
      <t c="6" si="614">
        <n x="610"/>
        <n x="757"/>
        <n x="298"/>
        <n x="800" s="1"/>
        <n x="623"/>
        <n x="624"/>
      </t>
    </mdx>
    <mdx n="0" f="v">
      <t c="6" si="614">
        <n x="610"/>
        <n x="559"/>
        <n x="560"/>
        <n x="800" s="1"/>
        <n x="619"/>
        <n x="620"/>
      </t>
    </mdx>
    <mdx n="0" f="v">
      <t c="6" si="614">
        <n x="610"/>
        <n x="365"/>
        <n x="366"/>
        <n x="800" s="1"/>
        <n x="621"/>
        <n x="622"/>
      </t>
    </mdx>
    <mdx n="0" f="v">
      <t c="6" si="614">
        <n x="610"/>
        <n x="573"/>
        <n x="574"/>
        <n x="800" s="1"/>
        <n x="621"/>
        <n x="622"/>
      </t>
    </mdx>
    <mdx n="0" f="v">
      <t c="6" si="614">
        <n x="610"/>
        <n x="403"/>
        <n x="404"/>
        <n x="800" s="1"/>
        <n x="619"/>
        <n x="620"/>
      </t>
    </mdx>
    <mdx n="0" f="v">
      <t c="6" si="614">
        <n x="799"/>
        <n x="761"/>
        <n x="404"/>
        <n x="800" s="1"/>
        <n x="619"/>
        <n x="620"/>
      </t>
    </mdx>
    <mdx n="0" f="v">
      <t c="6" si="614">
        <n x="799"/>
        <n x="761"/>
        <n x="404"/>
        <n x="800" s="1"/>
        <n x="619"/>
        <n x="620"/>
      </t>
    </mdx>
    <mdx n="0" f="v">
      <t c="6" si="614">
        <n x="799"/>
        <n x="761"/>
        <n x="404"/>
        <n x="800" s="1"/>
        <n x="619"/>
        <n x="620"/>
      </t>
    </mdx>
    <mdx n="0" f="v">
      <t c="6" si="614">
        <n x="610"/>
        <n x="723"/>
        <n x="724"/>
        <n x="800" s="1"/>
        <n x="619"/>
        <n x="620"/>
      </t>
    </mdx>
    <mdx n="0" f="v">
      <t c="6" si="614">
        <n x="610"/>
        <n x="779"/>
        <n x="780"/>
        <n x="800" s="1"/>
        <n x="623"/>
        <n x="624"/>
      </t>
    </mdx>
    <mdx n="0" f="r">
      <t c="2">
        <n x="610"/>
        <n x="331"/>
      </t>
    </mdx>
    <mdx n="0" f="v">
      <t c="6" si="614">
        <n x="610"/>
        <n x="331"/>
        <n x="332"/>
        <n x="800" s="1"/>
        <n x="623"/>
        <n x="624"/>
      </t>
    </mdx>
    <mdx n="0" f="v">
      <t c="6" si="614">
        <n x="610"/>
        <n x="331"/>
        <n x="332"/>
        <n x="800" s="1"/>
        <n x="623"/>
        <n x="624"/>
      </t>
    </mdx>
    <mdx n="0" f="v">
      <t c="6" si="614">
        <n x="610"/>
        <n x="365"/>
        <n x="366"/>
        <n x="800" s="1"/>
        <n x="629"/>
        <n x="630"/>
      </t>
    </mdx>
    <mdx n="0" f="v">
      <t c="6" si="614">
        <n x="610"/>
        <n x="547"/>
        <n x="548"/>
        <n x="800" s="1"/>
        <n x="629"/>
        <n x="630"/>
      </t>
    </mdx>
    <mdx n="0" f="v">
      <t c="6" si="614">
        <n x="610"/>
        <n x="411"/>
        <n x="412"/>
        <n x="800" s="1"/>
        <n x="629"/>
        <n x="630"/>
      </t>
    </mdx>
    <mdx n="0" f="v">
      <t c="6" si="614">
        <n x="610"/>
        <n x="285"/>
        <n x="286"/>
        <n x="800" s="1"/>
        <n x="629"/>
        <n x="630"/>
      </t>
    </mdx>
    <mdx n="0" f="v">
      <t c="6" si="614">
        <n x="610"/>
        <n x="409"/>
        <n x="410"/>
        <n x="800" s="1"/>
        <n x="617"/>
        <n x="618"/>
      </t>
    </mdx>
    <mdx n="0" f="r">
      <t c="2">
        <n x="610"/>
        <n x="533"/>
      </t>
    </mdx>
    <mdx n="0" f="v">
      <t c="6" si="614">
        <n x="610"/>
        <n x="409"/>
        <n x="410"/>
        <n x="800" s="1"/>
        <n x="627"/>
        <n x="618"/>
      </t>
    </mdx>
    <mdx n="0" f="v">
      <t c="6" si="614">
        <n x="610"/>
        <n x="447"/>
        <n x="448"/>
        <n x="800" s="1"/>
        <n x="629"/>
        <n x="630"/>
      </t>
    </mdx>
    <mdx n="0" f="v">
      <t c="6" si="614">
        <n x="610"/>
        <n x="365"/>
        <n x="366"/>
        <n x="800" s="1"/>
        <n x="627"/>
        <n x="628"/>
      </t>
    </mdx>
    <mdx n="0" f="v">
      <t c="6" si="614">
        <n x="610"/>
        <n x="375"/>
        <n x="376"/>
        <n x="800" s="1"/>
        <n x="629"/>
        <n x="630"/>
      </t>
    </mdx>
    <mdx n="0" f="v">
      <t c="6" si="614">
        <n x="610"/>
        <n x="729"/>
        <n x="294"/>
        <n x="800" s="1"/>
        <n x="617"/>
        <n x="618"/>
      </t>
    </mdx>
    <mdx n="0" f="v">
      <t c="6" si="614">
        <n x="610"/>
        <n x="287"/>
        <n x="288"/>
        <n x="800" s="1"/>
        <n x="629"/>
        <n x="630"/>
      </t>
    </mdx>
    <mdx n="0" f="v">
      <t c="6" si="614">
        <n x="610"/>
        <n x="225"/>
        <n x="226"/>
        <n x="800" s="1"/>
        <n x="629"/>
        <n x="630"/>
      </t>
    </mdx>
    <mdx n="0" f="v">
      <t c="6" si="614">
        <n x="610"/>
        <n x="293"/>
        <n x="294"/>
        <n x="800" s="1"/>
        <n x="625"/>
        <n x="618"/>
      </t>
    </mdx>
    <mdx n="0" f="v">
      <t c="6" si="614">
        <n x="610"/>
        <n x="393"/>
        <n x="394"/>
        <n x="800" s="1"/>
        <n x="629"/>
        <n x="630"/>
      </t>
    </mdx>
    <mdx n="0" f="v">
      <t c="6" si="614">
        <n x="610"/>
        <n x="423"/>
        <n x="424"/>
        <n x="800" s="1"/>
        <n x="627"/>
        <n x="628"/>
      </t>
    </mdx>
    <mdx n="0" f="v">
      <t c="6" si="614">
        <n x="610"/>
        <n x="251"/>
        <n x="252"/>
        <n x="800" s="1"/>
        <n x="629"/>
        <n x="630"/>
      </t>
    </mdx>
    <mdx n="0" f="v">
      <t c="6" si="614">
        <n x="610"/>
        <n x="465"/>
        <n x="466"/>
        <n x="800" s="1"/>
        <n x="629"/>
        <n x="630"/>
      </t>
    </mdx>
    <mdx n="0" f="v">
      <t c="6" si="614">
        <n x="610"/>
        <n x="765"/>
        <n x="766"/>
        <n x="800" s="1"/>
        <n x="627"/>
        <n x="628"/>
      </t>
    </mdx>
    <mdx n="0" f="v">
      <t c="6" si="614">
        <n x="610"/>
        <n x="595"/>
        <n x="596"/>
        <n x="800" s="1"/>
        <n x="625"/>
        <n x="626"/>
      </t>
    </mdx>
    <mdx n="0" f="v">
      <t c="6" si="614">
        <n x="610"/>
        <n x="423"/>
        <n x="424"/>
        <n x="800" s="1"/>
        <n x="625"/>
        <n x="626"/>
      </t>
    </mdx>
    <mdx n="0" f="v">
      <t c="6" si="614">
        <n x="610"/>
        <n x="251"/>
        <n x="252"/>
        <n x="800" s="1"/>
        <n x="625"/>
        <n x="626"/>
      </t>
    </mdx>
    <mdx n="0" f="v">
      <t c="6" si="614">
        <n x="610"/>
        <n x="795"/>
        <n x="796"/>
        <n x="800" s="1"/>
        <n x="617"/>
        <n x="618"/>
      </t>
    </mdx>
    <mdx n="0" f="v">
      <t c="6" si="614">
        <n x="610"/>
        <n x="399"/>
        <n x="400"/>
        <n x="800" s="1"/>
        <n x="625"/>
        <n x="626"/>
      </t>
    </mdx>
    <mdx n="0" f="v">
      <t c="6" si="614">
        <n x="610"/>
        <n x="709"/>
        <n x="710"/>
        <n x="800" s="1"/>
        <n x="617"/>
        <n x="618"/>
      </t>
    </mdx>
    <mdx n="0" f="v">
      <t c="6" si="614">
        <n x="610"/>
        <n x="439"/>
        <n x="440"/>
        <n x="800" s="1"/>
        <n x="625"/>
        <n x="626"/>
      </t>
    </mdx>
    <mdx n="0" f="v">
      <t c="6" si="614">
        <n x="610"/>
        <n x="403"/>
        <n x="404"/>
        <n x="800" s="1"/>
        <n x="617"/>
        <n x="618"/>
      </t>
    </mdx>
    <mdx n="0" f="v">
      <t c="6" si="614">
        <n x="610"/>
        <n x="387"/>
        <n x="388"/>
        <n x="800" s="1"/>
        <n x="627"/>
        <n x="628"/>
      </t>
    </mdx>
    <mdx n="0" f="v">
      <t c="6" si="614">
        <n x="610"/>
        <n x="243"/>
        <n x="244"/>
        <n x="800" s="1"/>
        <n x="627"/>
        <n x="628"/>
      </t>
    </mdx>
    <mdx n="0" f="v">
      <t c="6" si="614">
        <n x="610"/>
        <n x="549"/>
        <n x="550"/>
        <n x="800" s="1"/>
        <n x="629"/>
        <n x="630"/>
      </t>
    </mdx>
    <mdx n="0" f="v">
      <t c="6" si="614">
        <n x="610"/>
        <n x="471"/>
        <n x="472"/>
        <n x="800" s="1"/>
        <n x="617"/>
        <n x="618"/>
      </t>
    </mdx>
    <mdx n="0" f="v">
      <t c="6" si="614">
        <n x="610"/>
        <n x="763"/>
        <n x="764"/>
        <n x="800" s="1"/>
        <n x="627"/>
        <n x="628"/>
      </t>
    </mdx>
    <mdx n="0" f="v">
      <t c="6" si="614">
        <n x="610"/>
        <n x="493"/>
        <n x="494"/>
        <n x="800" s="1"/>
        <n x="617"/>
        <n x="618"/>
      </t>
    </mdx>
    <mdx n="0" f="v">
      <t c="6" si="614">
        <n x="610"/>
        <n x="379"/>
        <n x="380"/>
        <n x="800" s="1"/>
        <n x="625"/>
        <n x="626"/>
      </t>
    </mdx>
    <mdx n="0" f="v">
      <t c="6" si="614">
        <n x="610"/>
        <n x="781"/>
        <n x="782"/>
        <n x="800" s="1"/>
        <n x="627"/>
        <n x="628"/>
      </t>
    </mdx>
    <mdx n="0" f="v">
      <t c="6" si="614">
        <n x="610"/>
        <n x="719"/>
        <n x="720"/>
        <n x="800" s="1"/>
        <n x="617"/>
        <n x="618"/>
      </t>
    </mdx>
    <mdx n="0" f="v">
      <t c="6" si="614">
        <n x="610"/>
        <n x="379"/>
        <n x="380"/>
        <n x="800" s="1"/>
        <n x="621"/>
        <n x="630"/>
      </t>
    </mdx>
    <mdx n="0" f="v">
      <t c="6" si="614">
        <n x="610"/>
        <n x="369"/>
        <n x="522"/>
        <n x="800" s="1"/>
        <n x="625"/>
        <n x="626"/>
      </t>
    </mdx>
    <mdx n="0" f="v">
      <t c="6" si="614">
        <n x="610"/>
        <n x="227"/>
        <n x="228"/>
        <n x="800" s="1"/>
        <n x="617"/>
        <n x="630"/>
      </t>
    </mdx>
    <mdx n="0" f="v">
      <t c="6" si="614">
        <n x="610"/>
        <n x="735"/>
        <n x="736"/>
        <n x="800" s="1"/>
        <n x="627"/>
        <n x="628"/>
      </t>
    </mdx>
    <mdx n="0" f="v">
      <t c="6" si="614">
        <n x="610"/>
        <n x="735"/>
        <n x="736"/>
        <n x="800" s="1"/>
        <n x="627"/>
        <n x="628"/>
      </t>
    </mdx>
    <mdx n="0" f="v">
      <t c="6" si="614">
        <n x="610"/>
        <n x="739"/>
        <n x="740"/>
        <n x="800" s="1"/>
        <n x="617"/>
        <n x="618"/>
      </t>
    </mdx>
    <mdx n="0" f="v">
      <t c="6" si="614">
        <n x="610"/>
        <n x="235"/>
        <n x="236"/>
        <n x="800" s="1"/>
        <n x="625"/>
        <n x="626"/>
      </t>
    </mdx>
    <mdx n="0" f="v">
      <t c="6" si="614">
        <n x="610"/>
        <n x="579"/>
        <n x="580"/>
        <n x="800" s="1"/>
        <n x="629"/>
        <n x="630"/>
      </t>
    </mdx>
    <mdx n="0" f="v">
      <t c="6" si="614">
        <n x="610"/>
        <n x="775"/>
        <n x="776"/>
        <n x="800" s="1"/>
        <n x="617"/>
        <n x="618"/>
      </t>
    </mdx>
    <mdx n="0" f="r">
      <t c="2">
        <n x="610"/>
        <n x="493"/>
      </t>
    </mdx>
    <mdx n="0" f="v">
      <t c="6" si="614">
        <n x="610"/>
        <n x="371"/>
        <n x="372"/>
        <n x="800" s="1"/>
        <n x="623"/>
        <n x="624"/>
      </t>
    </mdx>
    <mdx n="0" f="v">
      <t c="6" si="614">
        <n x="610"/>
        <n x="767"/>
        <n x="768"/>
        <n x="800" s="1"/>
        <n x="623"/>
        <n x="624"/>
      </t>
    </mdx>
    <mdx n="0" f="v">
      <t c="6" si="614">
        <n x="610"/>
        <n x="711"/>
        <n x="712"/>
        <n x="800" s="1"/>
        <n x="621"/>
        <n x="622"/>
      </t>
    </mdx>
    <mdx n="0" f="v">
      <t c="6" si="614">
        <n x="799"/>
        <n x="449"/>
        <n x="434"/>
        <n x="800" s="1"/>
        <n x="629"/>
        <n x="630"/>
      </t>
    </mdx>
    <mdx n="0" f="v">
      <t c="6" si="614">
        <n x="610"/>
        <n x="755"/>
        <n x="756"/>
        <n x="800" s="1"/>
        <n x="629"/>
        <n x="630"/>
      </t>
    </mdx>
    <mdx n="0" f="v">
      <t c="6" si="614">
        <n x="610"/>
        <n x="367"/>
        <n x="368"/>
        <n x="800" s="1"/>
        <n x="619"/>
        <n x="620"/>
      </t>
    </mdx>
    <mdx n="0" f="v">
      <t c="6" si="614">
        <n x="610"/>
        <n x="235"/>
        <n x="236"/>
        <n x="800" s="1"/>
        <n x="627"/>
        <n x="628"/>
      </t>
    </mdx>
    <mdx n="0" f="v">
      <t c="6" si="614">
        <n x="610"/>
        <n x="369"/>
        <n x="370"/>
        <n x="800" s="1"/>
        <n x="623"/>
        <n x="624"/>
      </t>
    </mdx>
    <mdx n="0" f="v">
      <t c="6" si="614">
        <n x="610"/>
        <n x="473"/>
        <n x="474"/>
        <n x="800" s="1"/>
        <n x="625"/>
        <n x="624"/>
      </t>
    </mdx>
    <mdx n="0" f="v">
      <t c="6" si="614">
        <n x="799"/>
        <n x="579"/>
        <n x="218"/>
        <n x="800" s="1"/>
        <n x="627"/>
        <n x="628"/>
      </t>
    </mdx>
    <mdx n="0" f="r">
      <t c="2">
        <n x="610"/>
        <n x="401"/>
      </t>
    </mdx>
    <mdx n="0" f="v">
      <t c="6" si="614">
        <n x="610"/>
        <n x="569"/>
        <n x="570"/>
        <n x="800" s="1"/>
        <n x="621"/>
        <n x="622"/>
      </t>
    </mdx>
    <mdx n="0" f="v">
      <t c="6" si="614">
        <n x="610"/>
        <n x="517"/>
        <n x="518"/>
        <n x="800" s="1"/>
        <n x="621"/>
        <n x="622"/>
      </t>
    </mdx>
    <mdx n="0" f="v">
      <t c="6" si="614">
        <n x="610"/>
        <n x="349"/>
        <n x="350"/>
        <n x="800" s="1"/>
        <n x="621"/>
        <n x="622"/>
      </t>
    </mdx>
    <mdx n="0" f="v">
      <t c="6" si="614">
        <n x="799"/>
        <n x="473"/>
        <n x="314"/>
        <n x="800" s="1"/>
        <n x="625"/>
        <n x="626"/>
      </t>
    </mdx>
    <mdx n="0" f="v">
      <t c="6" si="614">
        <n x="610"/>
        <n x="749"/>
        <n x="750"/>
        <n x="800" s="1"/>
        <n x="621"/>
        <n x="622"/>
      </t>
    </mdx>
    <mdx n="0" f="v">
      <t c="6" si="614">
        <n x="610"/>
        <n x="371"/>
        <n x="372"/>
        <n x="800" s="1"/>
        <n x="627"/>
        <n x="628"/>
      </t>
    </mdx>
    <mdx n="0" f="v">
      <t c="6" si="614">
        <n x="610"/>
        <n x="773"/>
        <n x="756"/>
        <n x="800" s="1"/>
        <n x="627"/>
        <n x="628"/>
      </t>
    </mdx>
    <mdx n="0" f="v">
      <t c="6" si="614">
        <n x="610"/>
        <n x="485"/>
        <n x="486"/>
        <n x="800" s="1"/>
        <n x="627"/>
        <n x="628"/>
      </t>
    </mdx>
    <mdx n="0" f="v">
      <t c="6" si="614">
        <n x="610"/>
        <n x="735"/>
        <n x="736"/>
        <n x="800" s="1"/>
        <n x="617"/>
        <n x="618"/>
      </t>
    </mdx>
    <mdx n="0" f="v">
      <t c="6" si="614">
        <n x="610"/>
        <n x="389"/>
        <n x="390"/>
        <n x="800" s="1"/>
        <n x="625"/>
        <n x="626"/>
      </t>
    </mdx>
    <mdx n="0" f="v">
      <t c="6" si="614">
        <n x="610"/>
        <n x="489"/>
        <n x="490"/>
        <n x="800" s="1"/>
        <n x="617"/>
        <n x="630"/>
      </t>
    </mdx>
    <mdx n="0" f="v">
      <t c="6" si="614">
        <n x="610"/>
        <n x="591"/>
        <n x="592"/>
        <n x="800" s="1"/>
        <n x="625"/>
        <n x="626"/>
      </t>
    </mdx>
    <mdx n="0" f="v">
      <t c="6" si="614">
        <n x="610"/>
        <n x="747"/>
        <n x="748"/>
        <n x="800" s="1"/>
        <n x="629"/>
        <n x="630"/>
      </t>
    </mdx>
    <mdx n="0" f="v">
      <t c="6" si="614">
        <n x="610"/>
        <n x="355"/>
        <n x="356"/>
        <n x="800" s="1"/>
        <n x="617"/>
        <n x="618"/>
      </t>
    </mdx>
    <mdx n="0" f="v">
      <t c="6" si="614">
        <n x="610"/>
        <n x="259"/>
        <n x="260"/>
        <n x="800" s="1"/>
        <n x="617"/>
        <n x="618"/>
      </t>
    </mdx>
    <mdx n="0" f="v">
      <t c="6" si="614">
        <n x="610"/>
        <n x="203"/>
        <n x="204"/>
        <n x="800" s="1"/>
        <n x="627"/>
        <n x="628"/>
      </t>
    </mdx>
    <mdx n="0" f="v">
      <t c="6" si="614">
        <n x="610"/>
        <n x="773"/>
        <n x="774"/>
        <n x="800" s="1"/>
        <n x="629"/>
        <n x="630"/>
      </t>
    </mdx>
    <mdx n="0" f="v">
      <t c="6" si="614">
        <n x="610"/>
        <n x="777"/>
        <n x="778"/>
        <n x="800" s="1"/>
        <n x="617"/>
        <n x="618"/>
      </t>
    </mdx>
    <mdx n="0" f="v">
      <t c="6" si="614">
        <n x="610"/>
        <n x="337"/>
        <n x="338"/>
        <n x="800" s="1"/>
        <n x="625"/>
        <n x="626"/>
      </t>
    </mdx>
    <mdx n="0" f="v">
      <t c="6" si="614">
        <n x="610"/>
        <n x="467"/>
        <n x="468"/>
        <n x="800" s="1"/>
        <n x="617"/>
        <n x="618"/>
      </t>
    </mdx>
    <mdx n="0" f="v">
      <t c="6" si="614">
        <n x="610"/>
        <n x="757"/>
        <n x="758"/>
        <n x="800" s="1"/>
        <n x="627"/>
        <n x="628"/>
      </t>
    </mdx>
    <mdx n="0" f="v">
      <t c="6" si="614">
        <n x="610"/>
        <n x="457"/>
        <n x="458"/>
        <n x="800" s="1"/>
        <n x="629"/>
        <n x="630"/>
      </t>
    </mdx>
    <mdx n="0" f="v">
      <t c="6" si="614">
        <n x="610"/>
        <n x="573"/>
        <n x="574"/>
        <n x="800" s="1"/>
        <n x="629"/>
        <n x="626"/>
      </t>
    </mdx>
    <mdx n="0" f="v">
      <t c="6" si="614">
        <n x="610"/>
        <n x="381"/>
        <n x="382"/>
        <n x="800" s="1"/>
        <n x="629"/>
        <n x="630"/>
      </t>
    </mdx>
    <mdx n="0" f="v">
      <t c="6" si="614">
        <n x="610"/>
        <n x="369"/>
        <n x="414"/>
        <n x="800" s="1"/>
        <n x="619"/>
        <n x="620"/>
      </t>
    </mdx>
    <mdx n="0" f="v">
      <t c="6" si="614">
        <n x="610"/>
        <n x="731"/>
        <n x="732"/>
        <n x="800" s="1"/>
        <n x="627"/>
        <n x="628"/>
      </t>
    </mdx>
    <mdx n="0" f="v">
      <t c="6" si="614">
        <n x="610"/>
        <n x="241"/>
        <n x="242"/>
        <n x="800" s="1"/>
        <n x="627"/>
        <n x="628"/>
      </t>
    </mdx>
    <mdx n="0" f="v">
      <t c="6" si="614">
        <n x="610"/>
        <n x="721"/>
        <n x="722"/>
        <n x="800" s="1"/>
        <n x="617"/>
        <n x="618"/>
      </t>
    </mdx>
    <mdx n="0" f="v">
      <t c="6" si="614">
        <n x="610"/>
        <n x="401"/>
        <n x="402"/>
        <n x="800" s="1"/>
        <n x="617"/>
        <n x="618"/>
      </t>
    </mdx>
    <mdx n="0" f="v">
      <t c="6" si="614">
        <n x="610"/>
        <n x="401"/>
        <n x="402"/>
        <n x="800" s="1"/>
        <n x="617"/>
        <n x="618"/>
      </t>
    </mdx>
    <mdx n="0" f="v">
      <t c="6" si="614">
        <n x="610"/>
        <n x="327"/>
        <n x="328"/>
        <n x="800" s="1"/>
        <n x="623"/>
        <n x="628"/>
      </t>
    </mdx>
    <mdx n="0" f="v">
      <t c="6" si="614">
        <n x="610"/>
        <n x="349"/>
        <n x="350"/>
        <n x="800" s="1"/>
        <n x="629"/>
        <n x="630"/>
      </t>
    </mdx>
    <mdx n="0" f="r">
      <t c="2">
        <n x="610"/>
        <n x="475"/>
      </t>
    </mdx>
    <mdx n="0" f="v">
      <t c="6" si="614">
        <n x="799"/>
        <n x="331"/>
        <n x="516"/>
        <n x="800" s="1"/>
        <n x="629"/>
        <n x="630"/>
      </t>
    </mdx>
    <mdx n="0" f="v">
      <t c="6" si="614">
        <n x="610"/>
        <n x="497"/>
        <n x="438"/>
        <n x="800" s="1"/>
        <n x="617"/>
        <n x="618"/>
      </t>
    </mdx>
    <mdx n="0" f="v">
      <t c="6" si="614">
        <n x="610"/>
        <n x="497"/>
        <n x="498"/>
        <n x="800" s="1"/>
        <n x="619"/>
        <n x="620"/>
      </t>
    </mdx>
    <mdx n="0" f="v">
      <t c="6" si="614">
        <n x="610"/>
        <n x="595"/>
        <n x="596"/>
        <n x="800" s="1"/>
        <n x="623"/>
        <n x="624"/>
      </t>
    </mdx>
    <mdx n="0" f="r">
      <t c="2">
        <n x="610"/>
        <n x="433"/>
      </t>
    </mdx>
    <mdx n="0" f="v">
      <t c="6" si="614">
        <n x="799"/>
        <n x="205"/>
        <n x="368"/>
        <n x="800" s="1"/>
        <n x="627"/>
        <n x="628"/>
      </t>
    </mdx>
    <mdx n="0" f="v">
      <t c="6" si="614">
        <n x="610"/>
        <n x="311"/>
        <n x="312"/>
        <n x="800" s="1"/>
        <n x="621"/>
        <n x="622"/>
      </t>
    </mdx>
    <mdx n="0" f="r">
      <t c="2">
        <n x="610"/>
        <n x="317"/>
      </t>
    </mdx>
    <mdx n="0" f="v">
      <t c="6" si="614">
        <n x="610"/>
        <n x="287"/>
        <n x="382"/>
        <n x="800" s="1"/>
        <n x="625"/>
        <n x="626"/>
      </t>
    </mdx>
    <mdx n="0" f="v">
      <t c="6" si="614">
        <n x="799"/>
        <n x="369"/>
        <n x="370"/>
        <n x="800" s="1"/>
        <n x="627"/>
        <n x="628"/>
      </t>
    </mdx>
    <mdx n="0" f="v">
      <t c="6" si="614">
        <n x="799"/>
        <n x="361"/>
        <n x="474"/>
        <n x="800" s="1"/>
        <n x="617"/>
        <n x="618"/>
      </t>
    </mdx>
    <mdx n="0" f="r">
      <t c="2">
        <n x="610"/>
        <n x="241"/>
      </t>
    </mdx>
    <mdx n="0" f="v">
      <t c="6" si="614">
        <n x="610"/>
        <n x="403"/>
        <n x="404"/>
        <n x="800" s="1"/>
        <n x="623"/>
        <n x="624"/>
      </t>
    </mdx>
    <mdx n="0" f="v">
      <t c="6" si="614">
        <n x="610"/>
        <n x="503"/>
        <n x="504"/>
        <n x="800" s="1"/>
        <n x="623"/>
        <n x="626"/>
      </t>
    </mdx>
    <mdx n="0" f="v">
      <t c="6" si="614">
        <n x="610"/>
        <n x="401"/>
        <n x="402"/>
        <n x="800" s="1"/>
        <n x="625"/>
        <n x="626"/>
      </t>
    </mdx>
    <mdx n="0" f="v">
      <t c="6" si="614">
        <n x="610"/>
        <n x="373"/>
        <n x="374"/>
        <n x="800" s="1"/>
        <n x="619"/>
        <n x="628"/>
      </t>
    </mdx>
    <mdx n="0" f="v">
      <t c="6" si="614">
        <n x="610"/>
        <n x="803"/>
        <n x="804"/>
        <n x="800" s="1"/>
        <n x="629"/>
        <n x="630"/>
      </t>
    </mdx>
    <mdx n="0" f="v">
      <t c="6" si="614">
        <n x="610"/>
        <n x="459"/>
        <n x="460"/>
        <n x="800" s="1"/>
        <n x="621"/>
        <n x="622"/>
      </t>
    </mdx>
    <mdx n="0" f="v">
      <t c="6" si="614">
        <n x="610"/>
        <n x="355"/>
        <n x="356"/>
        <n x="800" s="1"/>
        <n x="623"/>
        <n x="626"/>
      </t>
    </mdx>
    <mdx n="0" f="v">
      <t c="6" si="614">
        <n x="799"/>
        <n x="281"/>
        <n x="760"/>
        <n x="800" s="1"/>
        <n x="627"/>
        <n x="628"/>
      </t>
    </mdx>
    <mdx n="0" f="v">
      <t c="6" si="614">
        <n x="610"/>
        <n x="313"/>
        <n x="314"/>
        <n x="800" s="1"/>
        <n x="629"/>
        <n x="630"/>
      </t>
    </mdx>
    <mdx n="0" f="r">
      <t c="2">
        <n x="799"/>
        <n x="365"/>
      </t>
    </mdx>
    <mdx n="0" f="v">
      <t c="6" si="614">
        <n x="799"/>
        <n x="365"/>
        <n x="314"/>
        <n x="800" s="1"/>
        <n x="629"/>
        <n x="630"/>
      </t>
    </mdx>
    <mdx n="0" f="v">
      <t c="6" si="614">
        <n x="610"/>
        <n x="425"/>
        <n x="426"/>
        <n x="800" s="1"/>
        <n x="623"/>
        <n x="624"/>
      </t>
    </mdx>
    <mdx n="0" f="v">
      <t c="6" si="614">
        <n x="610"/>
        <n x="317"/>
        <n x="318"/>
        <n x="800" s="1"/>
        <n x="621"/>
        <n x="622"/>
      </t>
    </mdx>
    <mdx n="0" f="v">
      <t c="6" si="614">
        <n x="610"/>
        <n x="215"/>
        <n x="216"/>
        <n x="800" s="1"/>
        <n x="621"/>
        <n x="622"/>
      </t>
    </mdx>
    <mdx n="0" f="v">
      <t c="6" si="614">
        <n x="799"/>
        <n x="787"/>
        <n x="516"/>
        <n x="800" s="1"/>
        <n x="617"/>
        <n x="618"/>
      </t>
    </mdx>
    <mdx n="0" f="v">
      <t c="6" si="614">
        <n x="610"/>
        <n x="455"/>
        <n x="456"/>
        <n x="800" s="1"/>
        <n x="621"/>
        <n x="622"/>
      </t>
    </mdx>
    <mdx n="0" f="v">
      <t c="6" si="614">
        <n x="610"/>
        <n x="489"/>
        <n x="490"/>
        <n x="800" s="1"/>
        <n x="619"/>
        <n x="620"/>
      </t>
    </mdx>
    <mdx n="0" f="v">
      <t c="6" si="614">
        <n x="610"/>
        <n x="345"/>
        <n x="346"/>
        <n x="800" s="1"/>
        <n x="623"/>
        <n x="624"/>
      </t>
    </mdx>
    <mdx n="0" f="v">
      <t c="6" si="614">
        <n x="799"/>
        <n x="717"/>
        <n x="600"/>
        <n x="800" s="1"/>
        <n x="619"/>
        <n x="620"/>
      </t>
    </mdx>
    <mdx n="0" f="v">
      <t c="6" si="614">
        <n x="799"/>
        <n x="789"/>
        <n x="258"/>
        <n x="800" s="1"/>
        <n x="625"/>
        <n x="626"/>
      </t>
    </mdx>
    <mdx n="0" f="v">
      <t c="6" si="614">
        <n x="610"/>
        <n x="593"/>
        <n x="594"/>
        <n x="800" s="1"/>
        <n x="623"/>
        <n x="624"/>
      </t>
    </mdx>
    <mdx n="0" f="v">
      <t c="6" si="614">
        <n x="610"/>
        <n x="267"/>
        <n x="268"/>
        <n x="800" s="1"/>
        <n x="623"/>
        <n x="624"/>
      </t>
    </mdx>
    <mdx n="0" f="v">
      <t c="6" si="614">
        <n x="610"/>
        <n x="361"/>
        <n x="362"/>
        <n x="800" s="1"/>
        <n x="621"/>
        <n x="622"/>
      </t>
    </mdx>
    <mdx n="0" f="v">
      <t c="6" si="614">
        <n x="610"/>
        <n x="351"/>
        <n x="352"/>
        <n x="800" s="1"/>
        <n x="621"/>
        <n x="622"/>
      </t>
    </mdx>
    <mdx n="0" f="v">
      <t c="6" si="614">
        <n x="610"/>
        <n x="303"/>
        <n x="304"/>
        <n x="800" s="1"/>
        <n x="621"/>
        <n x="622"/>
      </t>
    </mdx>
    <mdx n="0" f="v">
      <t c="6" si="614">
        <n x="610"/>
        <n x="331"/>
        <n x="332"/>
        <n x="800" s="1"/>
        <n x="617"/>
        <n x="618"/>
      </t>
    </mdx>
    <mdx n="0" f="v">
      <t c="6" si="614">
        <n x="610"/>
        <n x="793"/>
        <n x="794"/>
        <n x="800" s="1"/>
        <n x="625"/>
        <n x="626"/>
      </t>
    </mdx>
    <mdx n="0" f="v">
      <t c="6" si="614">
        <n x="610"/>
        <n x="545"/>
        <n x="546"/>
        <n x="800" s="1"/>
        <n x="629"/>
        <n x="630"/>
      </t>
    </mdx>
    <mdx n="0" f="v">
      <t c="6" si="614">
        <n x="610"/>
        <n x="275"/>
        <n x="276"/>
        <n x="800" s="1"/>
        <n x="627"/>
        <n x="628"/>
      </t>
    </mdx>
    <mdx n="0" f="v">
      <t c="6" si="614">
        <n x="610"/>
        <n x="263"/>
        <n x="720"/>
        <n x="800" s="1"/>
        <n x="625"/>
        <n x="626"/>
      </t>
    </mdx>
    <mdx n="0" f="v">
      <t c="6" si="614">
        <n x="610"/>
        <n x="263"/>
        <n x="720"/>
        <n x="800" s="1"/>
        <n x="625"/>
        <n x="626"/>
      </t>
    </mdx>
    <mdx n="0" f="v">
      <t c="6" si="614">
        <n x="610"/>
        <n x="587"/>
        <n x="790"/>
        <n x="800" s="1"/>
        <n x="627"/>
        <n x="628"/>
      </t>
    </mdx>
    <mdx n="0" f="v">
      <t c="6" si="614">
        <n x="610"/>
        <n x="507"/>
        <n x="508"/>
        <n x="800" s="1"/>
        <n x="627"/>
        <n x="628"/>
      </t>
    </mdx>
    <mdx n="0" f="v">
      <t c="6" si="614">
        <n x="610"/>
        <n x="507"/>
        <n x="508"/>
        <n x="800" s="1"/>
        <n x="629"/>
        <n x="630"/>
      </t>
    </mdx>
    <mdx n="0" f="v">
      <t c="6" si="614">
        <n x="610"/>
        <n x="725"/>
        <n x="726"/>
        <n x="800" s="1"/>
        <n x="617"/>
        <n x="618"/>
      </t>
    </mdx>
    <mdx n="0" f="v">
      <t c="6" si="614">
        <n x="610"/>
        <n x="559"/>
        <n x="560"/>
        <n x="800" s="1"/>
        <n x="627"/>
        <n x="628"/>
      </t>
    </mdx>
    <mdx n="0" f="v">
      <t c="6" si="614">
        <n x="610"/>
        <n x="797"/>
        <n x="468"/>
        <n x="800" s="1"/>
        <n x="629"/>
        <n x="630"/>
      </t>
    </mdx>
    <mdx n="0" f="v">
      <t c="6" si="614">
        <n x="610"/>
        <n x="711"/>
        <n x="712"/>
        <n x="800" s="1"/>
        <n x="617"/>
        <n x="618"/>
      </t>
    </mdx>
    <mdx n="0" f="v">
      <t c="6" si="614">
        <n x="610"/>
        <n x="579"/>
        <n x="580"/>
        <n x="800" s="1"/>
        <n x="627"/>
        <n x="628"/>
      </t>
    </mdx>
    <mdx n="0" f="v">
      <t c="6" si="614">
        <n x="610"/>
        <n x="575"/>
        <n x="576"/>
        <n x="800" s="1"/>
        <n x="629"/>
        <n x="630"/>
      </t>
    </mdx>
    <mdx n="0" f="v">
      <t c="6" si="614">
        <n x="610"/>
        <n x="451"/>
        <n x="452"/>
        <n x="800" s="1"/>
        <n x="627"/>
        <n x="628"/>
      </t>
    </mdx>
    <mdx n="0" f="r">
      <t c="2">
        <n x="610"/>
        <n x="569"/>
      </t>
    </mdx>
    <mdx n="0" f="r">
      <t c="2">
        <n x="610"/>
        <n x="721"/>
      </t>
    </mdx>
    <mdx n="0" f="v">
      <t c="6" si="614">
        <n x="610"/>
        <n x="535"/>
        <n x="536"/>
        <n x="800" s="1"/>
        <n x="617"/>
        <n x="618"/>
      </t>
    </mdx>
    <mdx n="0" f="v">
      <t c="6" si="614">
        <n x="610"/>
        <n x="711"/>
        <n x="712"/>
        <n x="800" s="1"/>
        <n x="619"/>
        <n x="620"/>
      </t>
    </mdx>
    <mdx n="0" f="v">
      <t c="6" si="614">
        <n x="610"/>
        <n x="431"/>
        <n x="432"/>
        <n x="800" s="1"/>
        <n x="621"/>
        <n x="622"/>
      </t>
    </mdx>
    <mdx n="0" f="v">
      <t c="6" si="614">
        <n x="610"/>
        <n x="729"/>
        <n x="730"/>
        <n x="800" s="1"/>
        <n x="619"/>
        <n x="620"/>
      </t>
    </mdx>
    <mdx n="0" f="r">
      <t c="2">
        <n x="610"/>
        <n x="441"/>
      </t>
    </mdx>
    <mdx n="0" f="r">
      <t c="2">
        <n x="610"/>
        <n x="295"/>
      </t>
    </mdx>
    <mdx n="0" f="v">
      <t c="6" si="614">
        <n x="610"/>
        <n x="421"/>
        <n x="422"/>
        <n x="800" s="1"/>
        <n x="619"/>
        <n x="624"/>
      </t>
    </mdx>
    <mdx n="0" f="v">
      <t c="6" si="614">
        <n x="610"/>
        <n x="421"/>
        <n x="422"/>
        <n x="800" s="1"/>
        <n x="619"/>
        <n x="620"/>
      </t>
    </mdx>
    <mdx n="0" f="v">
      <t c="6" si="614">
        <n x="610"/>
        <n x="253"/>
        <n x="254"/>
        <n x="800" s="1"/>
        <n x="621"/>
        <n x="622"/>
      </t>
    </mdx>
    <mdx n="0" f="v">
      <t c="6" si="614">
        <n x="799"/>
        <n x="533"/>
        <n x="262"/>
        <n x="800" s="1"/>
        <n x="619"/>
        <n x="620"/>
      </t>
    </mdx>
    <mdx n="0" f="v">
      <t c="6" si="614">
        <n x="610"/>
        <n x="765"/>
        <n x="766"/>
        <n x="800" s="1"/>
        <n x="621"/>
        <n x="622"/>
      </t>
    </mdx>
    <mdx n="0" f="v">
      <t c="6" si="614">
        <n x="610"/>
        <n x="273"/>
        <n x="468"/>
        <n x="800" s="1"/>
        <n x="619"/>
        <n x="620"/>
      </t>
    </mdx>
    <mdx n="0" f="v">
      <t c="6" si="614">
        <n x="610"/>
        <n x="339"/>
        <n x="388"/>
        <n x="800" s="1"/>
        <n x="623"/>
        <n x="624"/>
      </t>
    </mdx>
    <mdx n="0" f="v">
      <t c="6" si="614">
        <n x="610"/>
        <n x="493"/>
        <n x="494"/>
        <n x="800" s="1"/>
        <n x="619"/>
        <n x="620"/>
      </t>
    </mdx>
    <mdx n="0" f="v">
      <t c="6" si="614">
        <n x="610"/>
        <n x="535"/>
        <n x="536"/>
        <n x="800" s="1"/>
        <n x="623"/>
        <n x="624"/>
      </t>
    </mdx>
    <mdx n="0" f="r">
      <t c="2">
        <n x="799"/>
        <n x="419"/>
      </t>
    </mdx>
    <mdx n="0" f="v">
      <t c="6" si="614">
        <n x="610"/>
        <n x="423"/>
        <n x="424"/>
        <n x="800" s="1"/>
        <n x="619"/>
        <n x="620"/>
      </t>
    </mdx>
    <mdx n="0" f="v">
      <t c="6" si="614">
        <n x="610"/>
        <n x="251"/>
        <n x="252"/>
        <n x="800" s="1"/>
        <n x="617"/>
        <n x="618"/>
      </t>
    </mdx>
    <mdx n="0" f="v">
      <t c="6" si="614">
        <n x="610"/>
        <n x="795"/>
        <n x="798"/>
        <n x="800" s="1"/>
        <n x="623"/>
        <n x="624"/>
      </t>
    </mdx>
    <mdx n="0" f="v">
      <t c="6" si="614">
        <n x="610"/>
        <n x="763"/>
        <n x="764"/>
        <n x="800" s="1"/>
        <n x="623"/>
        <n x="624"/>
      </t>
    </mdx>
    <mdx n="0" f="v">
      <t c="6" si="614">
        <n x="610"/>
        <n x="271"/>
        <n x="272"/>
        <n x="800" s="1"/>
        <n x="617"/>
        <n x="618"/>
      </t>
    </mdx>
    <mdx n="0" f="v">
      <t c="6" si="614">
        <n x="610"/>
        <n x="765"/>
        <n x="426"/>
        <n x="800" s="1"/>
        <n x="621"/>
        <n x="622"/>
      </t>
    </mdx>
    <mdx n="0" f="v">
      <t c="6" si="614">
        <n x="610"/>
        <n x="787"/>
        <n x="788"/>
        <n x="800" s="1"/>
        <n x="623"/>
        <n x="624"/>
      </t>
    </mdx>
    <mdx n="0" f="v">
      <t c="6" si="614">
        <n x="610"/>
        <n x="475"/>
        <n x="476"/>
        <n x="800" s="1"/>
        <n x="621"/>
        <n x="622"/>
      </t>
    </mdx>
    <mdx n="0" f="v">
      <t c="6" si="614">
        <n x="610"/>
        <n x="431"/>
        <n x="432"/>
        <n x="800" s="1"/>
        <n x="625"/>
        <n x="624"/>
      </t>
    </mdx>
    <mdx n="0" f="v">
      <t c="6" si="614">
        <n x="610"/>
        <n x="259"/>
        <n x="260"/>
        <n x="800" s="1"/>
        <n x="623"/>
        <n x="624"/>
      </t>
    </mdx>
    <mdx n="0" f="v">
      <t c="6" si="614">
        <n x="610"/>
        <n x="505"/>
        <n x="506"/>
        <n x="800" s="1"/>
        <n x="621"/>
        <n x="622"/>
      </t>
    </mdx>
    <mdx n="0" f="v">
      <t c="6" si="614">
        <n x="610"/>
        <n x="200"/>
        <n x="201"/>
        <n x="800" s="1"/>
        <n x="629"/>
        <n x="630"/>
      </t>
    </mdx>
    <mdx n="0" f="r">
      <t c="2">
        <n x="610"/>
        <n x="345"/>
      </t>
    </mdx>
    <mdx n="0" f="v">
      <t c="6" si="614">
        <n x="610"/>
        <n x="445"/>
        <n x="446"/>
        <n x="800" s="1"/>
        <n x="629"/>
        <n x="630"/>
      </t>
    </mdx>
    <mdx n="0" f="v">
      <t c="6" si="614">
        <n x="799"/>
        <n x="267"/>
        <n x="446"/>
        <n x="800" s="1"/>
        <n x="629"/>
        <n x="630"/>
      </t>
    </mdx>
    <mdx n="0" f="v">
      <t c="6" si="614">
        <n x="610"/>
        <n x="369"/>
        <n x="370"/>
        <n x="800" s="1"/>
        <n x="621"/>
        <n x="622"/>
      </t>
    </mdx>
    <mdx n="0" f="r">
      <t c="2">
        <n x="610"/>
        <n x="711"/>
      </t>
    </mdx>
    <mdx n="0" f="v">
      <t c="6" si="614">
        <n x="610"/>
        <n x="207"/>
        <n x="208"/>
        <n x="800" s="1"/>
        <n x="625"/>
        <n x="626"/>
      </t>
    </mdx>
    <mdx n="0" f="v">
      <t c="6" si="614">
        <n x="610"/>
        <n x="605"/>
        <n x="606"/>
        <n x="800" s="1"/>
        <n x="627"/>
        <n x="630"/>
      </t>
    </mdx>
    <mdx n="0" f="v">
      <t c="6" si="614">
        <n x="610"/>
        <n x="509"/>
        <n x="510"/>
        <n x="800" s="1"/>
        <n x="627"/>
        <n x="628"/>
      </t>
    </mdx>
    <mdx n="0" f="v">
      <t c="6" si="614">
        <n x="610"/>
        <n x="223"/>
        <n x="224"/>
        <n x="800" s="1"/>
        <n x="627"/>
        <n x="628"/>
      </t>
    </mdx>
    <mdx n="0" f="v">
      <t c="6" si="614">
        <n x="610"/>
        <n x="431"/>
        <n x="432"/>
        <n x="800" s="1"/>
        <n x="623"/>
        <n x="620"/>
      </t>
    </mdx>
    <mdx n="0" f="r">
      <t c="2">
        <n x="610"/>
        <n x="735"/>
      </t>
    </mdx>
    <mdx n="0" f="v">
      <t c="6" si="614">
        <n x="610"/>
        <n x="747"/>
        <n x="748"/>
        <n x="800" s="1"/>
        <n x="619"/>
        <n x="620"/>
      </t>
    </mdx>
    <mdx n="0" f="v">
      <t c="6" si="614">
        <n x="610"/>
        <n x="753"/>
        <n x="754"/>
        <n x="800" s="1"/>
        <n x="621"/>
        <n x="622"/>
      </t>
    </mdx>
    <mdx n="0" f="v">
      <t c="6" si="614">
        <n x="610"/>
        <n x="753"/>
        <n x="754"/>
        <n x="800" s="1"/>
        <n x="621"/>
        <n x="622"/>
      </t>
    </mdx>
    <mdx n="0" f="v">
      <t c="6" si="614">
        <n x="610"/>
        <n x="373"/>
        <n x="374"/>
        <n x="800" s="1"/>
        <n x="621"/>
        <n x="622"/>
      </t>
    </mdx>
    <mdx n="0" f="v">
      <t c="6" si="614">
        <n x="610"/>
        <n x="373"/>
        <n x="374"/>
        <n x="800" s="1"/>
        <n x="621"/>
        <n x="622"/>
      </t>
    </mdx>
    <mdx n="0" f="r">
      <t c="2">
        <n x="610"/>
        <n x="801"/>
      </t>
    </mdx>
    <mdx n="0" f="v">
      <t c="6" si="614">
        <n x="610"/>
        <n x="745"/>
        <n x="746"/>
        <n x="800" s="1"/>
        <n x="621"/>
        <n x="622"/>
      </t>
    </mdx>
    <mdx n="0" f="v">
      <t c="6" si="614">
        <n x="799"/>
        <n x="427"/>
        <n x="746"/>
        <n x="800" s="1"/>
        <n x="621"/>
        <n x="622"/>
      </t>
    </mdx>
    <mdx n="0" f="r">
      <t c="2">
        <n x="610"/>
        <n x="741"/>
      </t>
    </mdx>
    <mdx n="0" f="v">
      <t c="6" si="614">
        <n x="799"/>
        <n x="741"/>
        <n x="742"/>
        <n x="800" s="1"/>
        <n x="621"/>
        <n x="622"/>
      </t>
    </mdx>
    <mdx n="0" f="r">
      <t c="2">
        <n x="610"/>
        <n x="533"/>
      </t>
    </mdx>
    <mdx n="0" f="v">
      <t c="6" si="614">
        <n x="610"/>
        <n x="761"/>
        <n x="762"/>
        <n x="800" s="1"/>
        <n x="619"/>
        <n x="620"/>
      </t>
    </mdx>
    <mdx n="0" f="v">
      <t c="6" si="614">
        <n x="799"/>
        <n x="227"/>
        <n x="762"/>
        <n x="800" s="1"/>
        <n x="619"/>
        <n x="620"/>
      </t>
    </mdx>
    <mdx n="0" f="r">
      <t c="2">
        <n x="610"/>
        <n x="771"/>
      </t>
    </mdx>
    <mdx n="0" f="r">
      <t c="2">
        <n x="610"/>
        <n x="595"/>
      </t>
    </mdx>
    <mdx n="0" f="r">
      <t c="2">
        <n x="610"/>
        <n x="795"/>
      </t>
    </mdx>
    <mdx n="0" f="v">
      <t c="6" si="614">
        <n x="799"/>
        <n x="795"/>
        <n x="796"/>
        <n x="800" s="1"/>
        <n x="621"/>
        <n x="622"/>
      </t>
    </mdx>
    <mdx n="0" f="v">
      <t c="6" si="614">
        <n x="610"/>
        <n x="337"/>
        <n x="602"/>
        <n x="800" s="1"/>
        <n x="623"/>
        <n x="624"/>
      </t>
    </mdx>
    <mdx n="0" f="v">
      <t c="6" si="614">
        <n x="610"/>
        <n x="377"/>
        <n x="378"/>
        <n x="800" s="1"/>
        <n x="623"/>
        <n x="624"/>
      </t>
    </mdx>
    <mdx n="0" f="v">
      <t c="6" si="614">
        <n x="799"/>
        <n x="200"/>
        <n x="338"/>
        <n x="800" s="1"/>
        <n x="619"/>
        <n x="620"/>
      </t>
    </mdx>
    <mdx n="0" f="r">
      <t c="2">
        <n x="610"/>
        <n x="577"/>
      </t>
    </mdx>
    <mdx n="0" f="v">
      <t c="6" si="614">
        <n x="610"/>
        <n x="547"/>
        <n x="548"/>
        <n x="800" s="1"/>
        <n x="621"/>
        <n x="622"/>
      </t>
    </mdx>
    <mdx n="0" f="v">
      <t c="6" si="614">
        <n x="610"/>
        <n x="411"/>
        <n x="412"/>
        <n x="800" s="1"/>
        <n x="623"/>
        <n x="624"/>
      </t>
    </mdx>
    <mdx n="0" f="v">
      <t c="6" si="614">
        <n x="610"/>
        <n x="247"/>
        <n x="248"/>
        <n x="800" s="1"/>
        <n x="623"/>
        <n x="624"/>
      </t>
    </mdx>
    <mdx n="0" f="v">
      <t c="6" si="614">
        <n x="610"/>
        <n x="803"/>
        <n x="804"/>
        <n x="800" s="1"/>
        <n x="625"/>
        <n x="626"/>
      </t>
    </mdx>
    <mdx n="0" f="v">
      <t c="6" si="614">
        <n x="610"/>
        <n x="491"/>
        <n x="492"/>
        <n x="800" s="1"/>
        <n x="619"/>
        <n x="620"/>
      </t>
    </mdx>
    <mdx n="0" f="r">
      <t c="2">
        <n x="799"/>
        <n x="355"/>
      </t>
    </mdx>
    <mdx n="0" f="r">
      <t c="2">
        <n x="610"/>
        <n x="303"/>
      </t>
    </mdx>
    <mdx n="0" f="v">
      <t c="6" si="614">
        <n x="610"/>
        <n x="277"/>
        <n x="278"/>
        <n x="800" s="1"/>
        <n x="617"/>
        <n x="630"/>
      </t>
    </mdx>
    <mdx n="0" f="v">
      <t c="6" si="614">
        <n x="610"/>
        <n x="507"/>
        <n x="508"/>
        <n x="800" s="1"/>
        <n x="619"/>
        <n x="618"/>
      </t>
    </mdx>
    <mdx n="0" f="v">
      <t c="6" si="614">
        <n x="610"/>
        <n x="375"/>
        <n x="508"/>
        <n x="800" s="1"/>
        <n x="619"/>
        <n x="620"/>
      </t>
    </mdx>
    <mdx n="0" f="v">
      <t c="6" si="614">
        <n x="610"/>
        <n x="763"/>
        <n x="764"/>
        <n x="800" s="1"/>
        <n x="621"/>
        <n x="622"/>
      </t>
    </mdx>
    <mdx n="0" f="r">
      <t c="2">
        <n x="610"/>
        <n x="731"/>
      </t>
    </mdx>
    <mdx n="0" f="v">
      <t c="6" si="614">
        <n x="610"/>
        <n x="731"/>
        <n x="732"/>
        <n x="800" s="1"/>
        <n x="623"/>
        <n x="624"/>
      </t>
    </mdx>
    <mdx n="0" f="v">
      <t c="6" si="614">
        <n x="610"/>
        <n x="731"/>
        <n x="732"/>
        <n x="800" s="1"/>
        <n x="623"/>
        <n x="624"/>
      </t>
    </mdx>
    <mdx n="0" f="r">
      <t c="2">
        <n x="610"/>
        <n x="729"/>
      </t>
    </mdx>
    <mdx n="0" f="v">
      <t c="6" si="614">
        <n x="610"/>
        <n x="729"/>
        <n x="426"/>
        <n x="800" s="1"/>
        <n x="619"/>
        <n x="620"/>
      </t>
    </mdx>
    <mdx n="0" f="v">
      <t c="6" si="614">
        <n x="610"/>
        <n x="729"/>
        <n x="426"/>
        <n x="800" s="1"/>
        <n x="619"/>
        <n x="620"/>
      </t>
    </mdx>
    <mdx n="0" f="v">
      <t c="6" si="614">
        <n x="610"/>
        <n x="785"/>
        <n x="784"/>
        <n x="800" s="1"/>
        <n x="621"/>
        <n x="622"/>
      </t>
    </mdx>
    <mdx n="0" f="r">
      <t c="2">
        <n x="610"/>
        <n x="391"/>
      </t>
    </mdx>
    <mdx n="0" f="v">
      <t c="6" si="614">
        <n x="610"/>
        <n x="475"/>
        <n x="320"/>
        <n x="800" s="1"/>
        <n x="627"/>
        <n x="628"/>
      </t>
    </mdx>
    <mdx n="0" f="v">
      <t c="6" si="614">
        <n x="610"/>
        <n x="475"/>
        <n x="476"/>
        <n x="800" s="1"/>
        <n x="623"/>
        <n x="624"/>
      </t>
    </mdx>
    <mdx n="0" f="v">
      <t c="6" si="614">
        <n x="610"/>
        <n x="215"/>
        <n x="216"/>
        <n x="800" s="1"/>
        <n x="617"/>
        <n x="618"/>
      </t>
    </mdx>
    <mdx n="0" f="v">
      <t c="6" si="614">
        <n x="610"/>
        <n x="283"/>
        <n x="760"/>
        <n x="800" s="1"/>
        <n x="625"/>
        <n x="626"/>
      </t>
    </mdx>
    <mdx n="0" f="v">
      <t c="6" si="614">
        <n x="610"/>
        <n x="283"/>
        <n x="284"/>
        <n x="800" s="1"/>
        <n x="625"/>
        <n x="626"/>
      </t>
    </mdx>
    <mdx n="0" f="v">
      <t c="6" si="614">
        <n x="610"/>
        <n x="283"/>
        <n x="284"/>
        <n x="800" s="1"/>
        <n x="617"/>
        <n x="618"/>
      </t>
    </mdx>
    <mdx n="0" f="v">
      <t c="6" si="614">
        <n x="799"/>
        <n x="725"/>
        <n x="314"/>
        <n x="800" s="1"/>
        <n x="617"/>
        <n x="618"/>
      </t>
    </mdx>
    <mdx n="0" f="v">
      <t c="6" si="614">
        <n x="610"/>
        <n x="259"/>
        <n x="260"/>
        <n x="800" s="1"/>
        <n x="617"/>
        <n x="618"/>
      </t>
    </mdx>
    <mdx n="0" f="v">
      <t c="6" si="614">
        <n x="610"/>
        <n x="259"/>
        <n x="304"/>
        <n x="800" s="1"/>
        <n x="617"/>
        <n x="624"/>
      </t>
    </mdx>
    <mdx n="0" f="v">
      <t c="6" si="614">
        <n x="610"/>
        <n x="259"/>
        <n x="304"/>
        <n x="800" s="1"/>
        <n x="617"/>
        <n x="618"/>
      </t>
    </mdx>
    <mdx n="0" f="v">
      <t c="6" si="614">
        <n x="610"/>
        <n x="259"/>
        <n x="304"/>
        <n x="800" s="1"/>
        <n x="617"/>
        <n x="618"/>
      </t>
    </mdx>
    <mdx n="0" f="v">
      <t c="6" si="614">
        <n x="799"/>
        <n x="505"/>
        <n x="556"/>
        <n x="800" s="1"/>
        <n x="623"/>
        <n x="618"/>
      </t>
    </mdx>
    <mdx n="0" f="v">
      <t c="6" si="614">
        <n x="799"/>
        <n x="505"/>
        <n x="556"/>
        <n x="800" s="1"/>
        <n x="623"/>
        <n x="624"/>
      </t>
    </mdx>
    <mdx n="0" f="v">
      <t c="6" si="614">
        <n x="799"/>
        <n x="505"/>
        <n x="556"/>
        <n x="800" s="1"/>
        <n x="623"/>
        <n x="624"/>
      </t>
    </mdx>
    <mdx n="0" f="v">
      <t c="6" si="614">
        <n x="610"/>
        <n x="287"/>
        <n x="288"/>
        <n x="800" s="1"/>
        <n x="623"/>
        <n x="624"/>
      </t>
    </mdx>
    <mdx n="0" f="v">
      <t c="6" si="614">
        <n x="610"/>
        <n x="599"/>
        <n x="600"/>
        <n x="800" s="1"/>
        <n x="617"/>
        <n x="618"/>
      </t>
    </mdx>
    <mdx n="0" f="v">
      <t c="6" si="614">
        <n x="610"/>
        <n x="751"/>
        <n x="600"/>
        <n x="800" s="1"/>
        <n x="621"/>
        <n x="622"/>
      </t>
    </mdx>
    <mdx n="0" f="v">
      <t c="6" si="614">
        <n x="610"/>
        <n x="237"/>
        <n x="226"/>
        <n x="800" s="1"/>
        <n x="625"/>
        <n x="628"/>
      </t>
    </mdx>
    <mdx n="0" f="v">
      <t c="6" si="614">
        <n x="610"/>
        <n x="237"/>
        <n x="238"/>
        <n x="800" s="1"/>
        <n x="625"/>
        <n x="626"/>
      </t>
    </mdx>
    <mdx n="0" f="v">
      <t c="6" si="614">
        <n x="610"/>
        <n x="237"/>
        <n x="238"/>
        <n x="800" s="1"/>
        <n x="623"/>
        <n x="624"/>
      </t>
    </mdx>
    <mdx n="0" f="v">
      <t c="6" si="614">
        <n x="610"/>
        <n x="709"/>
        <n x="710"/>
        <n x="800" s="1"/>
        <n x="619"/>
        <n x="626"/>
      </t>
    </mdx>
    <mdx n="0" f="v">
      <t c="6" si="614">
        <n x="610"/>
        <n x="709"/>
        <n x="710"/>
        <n x="800" s="1"/>
        <n x="619"/>
        <n x="620"/>
      </t>
    </mdx>
    <mdx n="0" f="r">
      <t c="2">
        <n x="610"/>
        <n x="531"/>
      </t>
    </mdx>
    <mdx n="0" f="v">
      <t c="6" si="614">
        <n x="610"/>
        <n x="391"/>
        <n x="270"/>
        <n x="800" s="1"/>
        <n x="617"/>
        <n x="618"/>
      </t>
    </mdx>
    <mdx n="0" f="v">
      <t c="6" si="614">
        <n x="610"/>
        <n x="515"/>
        <n x="438"/>
        <n x="800" s="1"/>
        <n x="623"/>
        <n x="624"/>
      </t>
    </mdx>
    <mdx n="0" f="v">
      <t c="6" si="614">
        <n x="610"/>
        <n x="515"/>
        <n x="516"/>
        <n x="800" s="1"/>
        <n x="623"/>
        <n x="630"/>
      </t>
    </mdx>
    <mdx n="0" f="r">
      <t c="2">
        <n x="610"/>
        <n x="245"/>
      </t>
    </mdx>
    <mdx n="0" f="v">
      <t c="6" si="614">
        <n x="610"/>
        <n x="735"/>
        <n x="760"/>
        <n x="800" s="1"/>
        <n x="623"/>
        <n x="624"/>
      </t>
    </mdx>
    <mdx n="0" f="v">
      <t c="6" si="614">
        <n x="610"/>
        <n x="287"/>
        <n x="288"/>
        <n x="800" s="1"/>
        <n x="627"/>
        <n x="628"/>
      </t>
    </mdx>
    <mdx n="0" f="v">
      <t c="6" si="614">
        <n x="610"/>
        <n x="287"/>
        <n x="288"/>
        <n x="800" s="1"/>
        <n x="617"/>
        <n x="618"/>
      </t>
    </mdx>
    <mdx n="0" f="v">
      <t c="6" si="614">
        <n x="610"/>
        <n x="715"/>
        <n x="466"/>
        <n x="800" s="1"/>
        <n x="617"/>
        <n x="618"/>
      </t>
    </mdx>
    <mdx n="0" f="r">
      <t c="2">
        <n x="610"/>
        <n x="417"/>
      </t>
    </mdx>
    <mdx n="0" f="v">
      <t c="6" si="614">
        <n x="610"/>
        <n x="417"/>
        <n x="572"/>
        <n x="800" s="1"/>
        <n x="625"/>
        <n x="626"/>
      </t>
    </mdx>
    <mdx n="0" f="v">
      <t c="6" si="614">
        <n x="610"/>
        <n x="787"/>
        <n x="296"/>
        <n x="800" s="1"/>
        <n x="619"/>
        <n x="620"/>
      </t>
    </mdx>
    <mdx n="0" f="v">
      <t c="6" si="614">
        <n x="610"/>
        <n x="787"/>
        <n x="788"/>
        <n x="800" s="1"/>
        <n x="625"/>
        <n x="620"/>
      </t>
    </mdx>
    <mdx n="0" f="v">
      <t c="6" si="614">
        <n x="610"/>
        <n x="727"/>
        <n x="728"/>
        <n x="800" s="1"/>
        <n x="625"/>
        <n x="620"/>
      </t>
    </mdx>
    <mdx n="0" f="v">
      <t c="6" si="614">
        <n x="610"/>
        <n x="727"/>
        <n x="728"/>
        <n x="800" s="1"/>
        <n x="619"/>
        <n x="620"/>
      </t>
    </mdx>
    <mdx n="0" f="v">
      <t c="6" si="614">
        <n x="610"/>
        <n x="565"/>
        <n x="566"/>
        <n x="800" s="1"/>
        <n x="629"/>
        <n x="630"/>
      </t>
    </mdx>
    <mdx n="0" f="v">
      <t c="6" si="614">
        <n x="610"/>
        <n x="565"/>
        <n x="566"/>
        <n x="800" s="1"/>
        <n x="629"/>
        <n x="618"/>
      </t>
    </mdx>
    <mdx n="0" f="v">
      <t c="6" si="614">
        <n x="610"/>
        <n x="743"/>
        <n x="590"/>
        <n x="800" s="1"/>
        <n x="627"/>
        <n x="628"/>
      </t>
    </mdx>
    <mdx n="0" f="v">
      <t c="6" si="614">
        <n x="610"/>
        <n x="743"/>
        <n x="744"/>
        <n x="800" s="1"/>
        <n x="625"/>
        <n x="622"/>
      </t>
    </mdx>
    <mdx n="0" f="v">
      <t c="6" si="614">
        <n x="610"/>
        <n x="743"/>
        <n x="744"/>
        <n x="800" s="1"/>
        <n x="625"/>
        <n x="626"/>
      </t>
    </mdx>
    <mdx n="0" f="v">
      <t c="6" si="614">
        <n x="610"/>
        <n x="435"/>
        <n x="436"/>
        <n x="800" s="1"/>
        <n x="629"/>
        <n x="626"/>
      </t>
    </mdx>
    <mdx n="0" f="v">
      <t c="6" si="614">
        <n x="610"/>
        <n x="417"/>
        <n x="418"/>
        <n x="800" s="1"/>
        <n x="629"/>
        <n x="630"/>
      </t>
    </mdx>
    <mdx n="0" f="v">
      <t c="6" si="614">
        <n x="610"/>
        <n x="261"/>
        <n x="546"/>
        <n x="800" s="1"/>
        <n x="621"/>
        <n x="618"/>
      </t>
    </mdx>
    <mdx n="0" f="v">
      <t c="6" si="614">
        <n x="610"/>
        <n x="269"/>
        <n x="270"/>
        <n x="800" s="1"/>
        <n x="621"/>
        <n x="622"/>
      </t>
    </mdx>
    <mdx n="0" f="v">
      <t c="6" si="614">
        <n x="610"/>
        <n x="369"/>
        <n x="370"/>
        <n x="800" s="1"/>
        <n x="623"/>
        <n x="618"/>
      </t>
    </mdx>
    <mdx n="0" f="v">
      <t c="6" si="614">
        <n x="610"/>
        <n x="525"/>
        <n x="370"/>
        <n x="800" s="1"/>
        <n x="623"/>
        <n x="618"/>
      </t>
    </mdx>
    <mdx n="0" f="v">
      <t c="6" si="614">
        <n x="610"/>
        <n x="305"/>
        <n x="306"/>
        <n x="800" s="1"/>
        <n x="617"/>
        <n x="618"/>
      </t>
    </mdx>
    <mdx n="0" f="v">
      <t c="6" si="614">
        <n x="610"/>
        <n x="563"/>
        <n x="564"/>
        <n x="800" s="1"/>
        <n x="621"/>
        <n x="630"/>
      </t>
    </mdx>
    <mdx n="0" f="v">
      <t c="6" si="614">
        <n x="610"/>
        <n x="295"/>
        <n x="564"/>
        <n x="800" s="1"/>
        <n x="621"/>
        <n x="622"/>
      </t>
    </mdx>
    <mdx n="0" f="v">
      <t c="6" si="614">
        <n x="610"/>
        <n x="507"/>
        <n x="508"/>
        <n x="800" s="1"/>
        <n x="617"/>
        <n x="618"/>
      </t>
    </mdx>
    <mdx n="0" f="v">
      <t c="6" si="614">
        <n x="610"/>
        <n x="711"/>
        <n x="260"/>
        <n x="800" s="1"/>
        <n x="625"/>
        <n x="626"/>
      </t>
    </mdx>
    <mdx n="0" f="v">
      <t c="6" si="614">
        <n x="610"/>
        <n x="207"/>
        <n x="208"/>
        <n x="800" s="1"/>
        <n x="625"/>
        <n x="626"/>
      </t>
    </mdx>
    <mdx n="0" f="v">
      <t c="6" si="614">
        <n x="610"/>
        <n x="339"/>
        <n x="340"/>
        <n x="800" s="1"/>
        <n x="617"/>
        <n x="618"/>
      </t>
    </mdx>
    <mdx n="0" f="v">
      <t c="6" si="614">
        <n x="610"/>
        <n x="463"/>
        <n x="574"/>
        <n x="800" s="1"/>
        <n x="625"/>
        <n x="626"/>
      </t>
    </mdx>
    <mdx n="0" f="v">
      <t c="6" si="614">
        <n x="610"/>
        <n x="413"/>
        <n x="248"/>
        <n x="800" s="1"/>
        <n x="617"/>
        <n x="618"/>
      </t>
    </mdx>
    <mdx n="0" f="v">
      <t c="6" si="614">
        <n x="610"/>
        <n x="761"/>
        <n x="762"/>
        <n x="800" s="1"/>
        <n x="627"/>
        <n x="628"/>
      </t>
    </mdx>
    <mdx n="0" f="v">
      <t c="6" si="614">
        <n x="610"/>
        <n x="507"/>
        <n x="508"/>
        <n x="800" s="1"/>
        <n x="625"/>
        <n x="626"/>
      </t>
    </mdx>
    <mdx n="0" f="v">
      <t c="6" si="614">
        <n x="610"/>
        <n x="377"/>
        <n x="378"/>
        <n x="800" s="1"/>
        <n x="627"/>
        <n x="628"/>
      </t>
    </mdx>
    <mdx n="0" f="v">
      <t c="6" si="614">
        <n x="610"/>
        <n x="485"/>
        <n x="486"/>
        <n x="800" s="1"/>
        <n x="625"/>
        <n x="626"/>
      </t>
    </mdx>
    <mdx n="0" f="v">
      <t c="6" si="614">
        <n x="610"/>
        <n x="605"/>
        <n x="606"/>
        <n x="800" s="1"/>
        <n x="625"/>
        <n x="626"/>
      </t>
    </mdx>
    <mdx n="0" f="v">
      <t c="6" si="614">
        <n x="799"/>
        <n x="513"/>
        <n x="746"/>
        <n x="800" s="1"/>
        <n x="619"/>
        <n x="620"/>
      </t>
    </mdx>
    <mdx n="0" f="v">
      <t c="6" si="614">
        <n x="610"/>
        <n x="363"/>
        <n x="418"/>
        <n x="800" s="1"/>
        <n x="621"/>
        <n x="618"/>
      </t>
    </mdx>
    <mdx n="0" f="v">
      <t c="6" si="614">
        <n x="610"/>
        <n x="561"/>
        <n x="546"/>
        <n x="800" s="1"/>
        <n x="623"/>
        <n x="624"/>
      </t>
    </mdx>
    <mdx n="0" f="v">
      <t c="6" si="614">
        <n x="610"/>
        <n x="425"/>
        <n x="426"/>
        <n x="800" s="1"/>
        <n x="625"/>
        <n x="626"/>
      </t>
    </mdx>
    <mdx n="0" f="v">
      <t c="6" si="614">
        <n x="610"/>
        <n x="389"/>
        <n x="390"/>
        <n x="800" s="1"/>
        <n x="625"/>
        <n x="626"/>
      </t>
    </mdx>
    <mdx n="0" f="v">
      <t c="6" si="614">
        <n x="610"/>
        <n x="389"/>
        <n x="390"/>
        <n x="800" s="1"/>
        <n x="629"/>
        <n x="630"/>
      </t>
    </mdx>
    <mdx n="0" f="v">
      <t c="6" si="614">
        <n x="610"/>
        <n x="389"/>
        <n x="390"/>
        <n x="800" s="1"/>
        <n x="629"/>
        <n x="630"/>
      </t>
    </mdx>
    <mdx n="0" f="v">
      <t c="6" si="614">
        <n x="610"/>
        <n x="741"/>
        <n x="742"/>
        <n x="800" s="1"/>
        <n x="629"/>
        <n x="630"/>
      </t>
    </mdx>
    <mdx n="0" f="v">
      <t c="6" si="614">
        <n x="610"/>
        <n x="463"/>
        <n x="742"/>
        <n x="800" s="1"/>
        <n x="617"/>
        <n x="618"/>
      </t>
    </mdx>
    <mdx n="0" f="v">
      <t c="6" si="614">
        <n x="610"/>
        <n x="261"/>
        <n x="262"/>
        <n x="800" s="1"/>
        <n x="629"/>
        <n x="630"/>
      </t>
    </mdx>
    <mdx n="0" f="v">
      <t c="6" si="614">
        <n x="610"/>
        <n x="435"/>
        <n x="436"/>
        <n x="800" s="1"/>
        <n x="625"/>
        <n x="626"/>
      </t>
    </mdx>
    <mdx n="0" f="v">
      <t c="6" si="614">
        <n x="610"/>
        <n x="247"/>
        <n x="442"/>
        <n x="800" s="1"/>
        <n x="627"/>
        <n x="628"/>
      </t>
    </mdx>
    <mdx n="0" f="v">
      <t c="6" si="614">
        <n x="610"/>
        <n x="247"/>
        <n x="248"/>
        <n x="800" s="1"/>
        <n x="625"/>
        <n x="628"/>
      </t>
    </mdx>
    <mdx n="0" f="v">
      <t c="6" si="614">
        <n x="610"/>
        <n x="287"/>
        <n x="602"/>
        <n x="800" s="1"/>
        <n x="627"/>
        <n x="630"/>
      </t>
    </mdx>
    <mdx n="0" f="v">
      <t c="6" si="614">
        <n x="610"/>
        <n x="287"/>
        <n x="288"/>
        <n x="800" s="1"/>
        <n x="619"/>
        <n x="620"/>
      </t>
    </mdx>
    <mdx n="0" f="v">
      <t c="6" si="614">
        <n x="610"/>
        <n x="793"/>
        <n x="766"/>
        <n x="800" s="1"/>
        <n x="627"/>
        <n x="624"/>
      </t>
    </mdx>
    <mdx n="0" f="v">
      <t c="6" si="614">
        <n x="610"/>
        <n x="225"/>
        <n x="794"/>
        <n x="800" s="1"/>
        <n x="627"/>
        <n x="628"/>
      </t>
    </mdx>
    <mdx n="0" f="v">
      <t c="6" si="614">
        <n x="610"/>
        <n x="469"/>
        <n x="728"/>
        <n x="800" s="1"/>
        <n x="619"/>
        <n x="620"/>
      </t>
    </mdx>
    <mdx n="0" f="v">
      <t c="6" si="614">
        <n x="610"/>
        <n x="521"/>
        <n x="522"/>
        <n x="800" s="1"/>
        <n x="625"/>
        <n x="626"/>
      </t>
    </mdx>
    <mdx n="0" f="v">
      <t c="6" si="614">
        <n x="610"/>
        <n x="539"/>
        <n x="540"/>
        <n x="800" s="1"/>
        <n x="621"/>
        <n x="618"/>
      </t>
    </mdx>
    <mdx n="0" f="v">
      <t c="6" si="614">
        <n x="610"/>
        <n x="751"/>
        <n x="752"/>
        <n x="800" s="1"/>
        <n x="621"/>
        <n x="622"/>
      </t>
    </mdx>
    <mdx n="0" f="v">
      <t c="6" si="614">
        <n x="610"/>
        <n x="537"/>
        <n x="752"/>
        <n x="800" s="1"/>
        <n x="621"/>
        <n x="622"/>
      </t>
    </mdx>
    <mdx n="0" f="v">
      <t c="6" si="614">
        <n x="610"/>
        <n x="773"/>
        <n x="201"/>
        <n x="800" s="1"/>
        <n x="625"/>
        <n x="626"/>
      </t>
    </mdx>
    <mdx n="0" f="v">
      <t c="6" si="614">
        <n x="610"/>
        <n x="549"/>
        <n x="550"/>
        <n x="800" s="1"/>
        <n x="623"/>
        <n x="626"/>
      </t>
    </mdx>
    <mdx n="0" f="v">
      <t c="6" si="614">
        <n x="610"/>
        <n x="549"/>
        <n x="550"/>
        <n x="800" s="1"/>
        <n x="625"/>
        <n x="626"/>
      </t>
    </mdx>
    <mdx n="0" f="v">
      <t c="6" si="614">
        <n x="610"/>
        <n x="761"/>
        <n x="356"/>
        <n x="800" s="1"/>
        <n x="617"/>
        <n x="618"/>
      </t>
    </mdx>
    <mdx n="0" f="v">
      <t c="6" si="614">
        <n x="610"/>
        <n x="761"/>
        <n x="762"/>
        <n x="800" s="1"/>
        <n x="625"/>
        <n x="618"/>
      </t>
    </mdx>
    <mdx n="0" f="v">
      <t c="6" si="614">
        <n x="610"/>
        <n x="241"/>
        <n x="242"/>
        <n x="800" s="1"/>
        <n x="625"/>
        <n x="626"/>
      </t>
    </mdx>
    <mdx n="0" f="v">
      <t c="6" si="614">
        <n x="610"/>
        <n x="275"/>
        <n x="276"/>
        <n x="800" s="1"/>
        <n x="627"/>
        <n x="622"/>
      </t>
    </mdx>
    <mdx n="0" f="v">
      <t c="6" si="614">
        <n x="610"/>
        <n x="265"/>
        <n x="276"/>
        <n x="800" s="1"/>
        <n x="627"/>
        <n x="628"/>
      </t>
    </mdx>
    <mdx n="0" f="v">
      <t c="6" si="614">
        <n x="610"/>
        <n x="555"/>
        <n x="556"/>
        <n x="800" s="1"/>
        <n x="621"/>
        <n x="622"/>
      </t>
    </mdx>
    <mdx n="0" f="v">
      <t c="6" si="614">
        <n x="610"/>
        <n x="249"/>
        <n x="250"/>
        <n x="800" s="1"/>
        <n x="629"/>
        <n x="630"/>
      </t>
    </mdx>
    <mdx n="0" f="v">
      <t c="6" si="614">
        <n x="610"/>
        <n x="249"/>
        <n x="250"/>
        <n x="800" s="1"/>
        <n x="621"/>
        <n x="630"/>
      </t>
    </mdx>
    <mdx n="0" f="v">
      <t c="6" si="614">
        <n x="610"/>
        <n x="249"/>
        <n x="250"/>
        <n x="800" s="1"/>
        <n x="629"/>
        <n x="622"/>
      </t>
    </mdx>
    <mdx n="0" f="v">
      <t c="6" si="614">
        <n x="610"/>
        <n x="375"/>
        <n x="376"/>
        <n x="800" s="1"/>
        <n x="623"/>
        <n x="624"/>
      </t>
    </mdx>
    <mdx n="0" f="v">
      <t c="6" si="614">
        <n x="610"/>
        <n x="375"/>
        <n x="376"/>
        <n x="800" s="1"/>
        <n x="629"/>
        <n x="630"/>
      </t>
    </mdx>
    <mdx n="0" f="v">
      <t c="6" si="614">
        <n x="610"/>
        <n x="789"/>
        <n x="542"/>
        <n x="800" s="1"/>
        <n x="621"/>
        <n x="622"/>
      </t>
    </mdx>
    <mdx n="0" f="v">
      <t c="6" si="614">
        <n x="610"/>
        <n x="805"/>
        <n x="806"/>
        <n x="800" s="1"/>
        <n x="623"/>
        <n x="624"/>
      </t>
    </mdx>
    <mdx n="0" f="v">
      <t c="6" si="614">
        <n x="610"/>
        <n x="497"/>
        <n x="758"/>
        <n x="800" s="1"/>
        <n x="627"/>
        <n x="624"/>
      </t>
    </mdx>
    <mdx n="0" f="v">
      <t c="6" si="614">
        <n x="610"/>
        <n x="371"/>
        <n x="372"/>
        <n x="800" s="1"/>
        <n x="623"/>
        <n x="624"/>
      </t>
    </mdx>
    <mdx n="0" f="v">
      <t c="6" si="614">
        <n x="799"/>
        <n x="493"/>
        <n x="372"/>
        <n x="800" s="1"/>
        <n x="623"/>
        <n x="624"/>
      </t>
    </mdx>
    <mdx n="0" f="r">
      <t c="2">
        <n x="610"/>
        <n x="493"/>
      </t>
    </mdx>
    <mdx n="0" f="v">
      <t c="6" si="614">
        <n x="799"/>
        <n x="200"/>
        <n x="201"/>
        <n x="800" s="1"/>
        <n x="617"/>
        <n x="618"/>
      </t>
    </mdx>
    <mdx n="0" f="v">
      <t c="6" si="614">
        <n x="799"/>
        <n x="207"/>
        <n x="208"/>
        <n x="800" s="1"/>
        <n x="617"/>
        <n x="622"/>
      </t>
    </mdx>
    <mdx n="0" f="r">
      <t c="2">
        <n x="610"/>
        <n x="367"/>
      </t>
    </mdx>
    <mdx n="0" f="v">
      <t c="6" si="614">
        <n x="610"/>
        <n x="493"/>
        <n x="494"/>
        <n x="800" s="1"/>
        <n x="621"/>
        <n x="622"/>
      </t>
    </mdx>
    <mdx n="0" f="v">
      <t c="6" si="614">
        <n x="610"/>
        <n x="267"/>
        <n x="268"/>
        <n x="800" s="1"/>
        <n x="621"/>
        <n x="622"/>
      </t>
    </mdx>
    <mdx n="0" f="v">
      <t c="6" si="614">
        <n x="610"/>
        <n x="491"/>
        <n x="492"/>
        <n x="800" s="1"/>
        <n x="621"/>
        <n x="624"/>
      </t>
    </mdx>
    <mdx n="0" f="v">
      <t c="6" si="614">
        <n x="799"/>
        <n x="265"/>
        <n x="266"/>
        <n x="800" s="1"/>
        <n x="617"/>
        <n x="618"/>
      </t>
    </mdx>
    <mdx n="0" f="v">
      <t c="6" si="614">
        <n x="799"/>
        <n x="555"/>
        <n x="266"/>
        <n x="800" s="1"/>
        <n x="617"/>
        <n x="618"/>
      </t>
    </mdx>
    <mdx n="0" f="r">
      <t c="2">
        <n x="610"/>
        <n x="449"/>
      </t>
    </mdx>
    <mdx n="0" f="v">
      <t c="6" si="614">
        <n x="610"/>
        <n x="399"/>
        <n x="400"/>
        <n x="800" s="1"/>
        <n x="621"/>
        <n x="622"/>
      </t>
    </mdx>
    <mdx n="0" f="v">
      <t c="6" si="614">
        <n x="610"/>
        <n x="399"/>
        <n x="400"/>
        <n x="800" s="1"/>
        <n x="621"/>
        <n x="618"/>
      </t>
    </mdx>
    <mdx n="0" f="v">
      <t c="6" si="614">
        <n x="610"/>
        <n x="255"/>
        <n x="400"/>
        <n x="800" s="1"/>
        <n x="621"/>
        <n x="618"/>
      </t>
    </mdx>
    <mdx n="0" f="v">
      <t c="6" si="614">
        <n x="610"/>
        <n x="217"/>
        <n x="256"/>
        <n x="800" s="1"/>
        <n x="621"/>
        <n x="622"/>
      </t>
    </mdx>
    <mdx n="0" f="v">
      <t c="6" si="614">
        <n x="799"/>
        <n x="507"/>
        <n x="508"/>
        <n x="800" s="1"/>
        <n x="623"/>
        <n x="622"/>
      </t>
    </mdx>
    <mdx n="0" f="v">
      <t c="6" si="614">
        <n x="799"/>
        <n x="791"/>
        <n x="508"/>
        <n x="800" s="1"/>
        <n x="623"/>
        <n x="624"/>
      </t>
    </mdx>
    <mdx n="0" f="v">
      <t c="6" si="614">
        <n x="610"/>
        <n x="505"/>
        <n x="506"/>
        <n x="800" s="1"/>
        <n x="623"/>
        <n x="624"/>
      </t>
    </mdx>
    <mdx n="0" f="v">
      <t c="6" si="614">
        <n x="610"/>
        <n x="763"/>
        <n x="764"/>
        <n x="800" s="1"/>
        <n x="623"/>
        <n x="620"/>
      </t>
    </mdx>
    <mdx n="0" f="v">
      <t c="6" si="614">
        <n x="610"/>
        <n x="763"/>
        <n x="764"/>
        <n x="800" s="1"/>
        <n x="621"/>
        <n x="622"/>
      </t>
    </mdx>
    <mdx n="0" f="v">
      <t c="6" si="614">
        <n x="610"/>
        <n x="763"/>
        <n x="764"/>
        <n x="800" s="1"/>
        <n x="619"/>
        <n x="620"/>
      </t>
    </mdx>
    <mdx n="0" f="v">
      <t c="6" si="614">
        <n x="610"/>
        <n x="439"/>
        <n x="224"/>
        <n x="800" s="1"/>
        <n x="621"/>
        <n x="622"/>
      </t>
    </mdx>
    <mdx n="0" f="v">
      <t c="6" si="614">
        <n x="610"/>
        <n x="391"/>
        <n x="582"/>
        <n x="800" s="1"/>
        <n x="623"/>
        <n x="624"/>
      </t>
    </mdx>
    <mdx n="0" f="v">
      <t c="6" si="614">
        <n x="610"/>
        <n x="391"/>
        <n x="392"/>
        <n x="800" s="1"/>
        <n x="621"/>
        <n x="622"/>
      </t>
    </mdx>
    <mdx n="0" f="v">
      <t c="6" si="614">
        <n x="610"/>
        <n x="391"/>
        <n x="392"/>
        <n x="800" s="1"/>
        <n x="623"/>
        <n x="624"/>
      </t>
    </mdx>
    <mdx n="0" f="v">
      <t c="6" si="614">
        <n x="610"/>
        <n x="587"/>
        <n x="588"/>
        <n x="800" s="1"/>
        <n x="623"/>
        <n x="622"/>
      </t>
    </mdx>
    <mdx n="0" f="v">
      <t c="6" si="614">
        <n x="610"/>
        <n x="587"/>
        <n x="588"/>
        <n x="800" s="1"/>
        <n x="623"/>
        <n x="628"/>
      </t>
    </mdx>
    <mdx n="0" f="v">
      <t c="6" si="614">
        <n x="799"/>
        <n x="207"/>
        <n x="806"/>
        <n x="800" s="1"/>
        <n x="627"/>
        <n x="628"/>
      </t>
    </mdx>
    <mdx n="0" f="v">
      <t c="6" si="614">
        <n x="610"/>
        <n x="771"/>
        <n x="360"/>
        <n x="800" s="1"/>
        <n x="623"/>
        <n x="624"/>
      </t>
    </mdx>
    <mdx n="0" f="v">
      <t c="6" si="614">
        <n x="610"/>
        <n x="243"/>
        <n x="496"/>
        <n x="800" s="1"/>
        <n x="617"/>
        <n x="618"/>
      </t>
    </mdx>
    <mdx n="0" f="r">
      <t c="2">
        <n x="610"/>
        <n x="243"/>
      </t>
    </mdx>
    <mdx n="0" f="v">
      <t c="6" si="614">
        <n x="610"/>
        <n x="243"/>
        <n x="530"/>
        <n x="800" s="1"/>
        <n x="619"/>
        <n x="620"/>
      </t>
    </mdx>
    <mdx n="0" f="r">
      <t c="2">
        <n x="610"/>
        <n x="607"/>
      </t>
    </mdx>
    <mdx n="0" f="v">
      <t c="6" si="614">
        <n x="610"/>
        <n x="237"/>
        <n x="238"/>
        <n x="800" s="1"/>
        <n x="617"/>
        <n x="618"/>
      </t>
    </mdx>
    <mdx n="0" f="v">
      <t c="6" si="614">
        <n x="610"/>
        <n x="511"/>
        <n x="512"/>
        <n x="800" s="1"/>
        <n x="629"/>
        <n x="630"/>
      </t>
    </mdx>
    <mdx n="0" f="r">
      <t c="2">
        <n x="610"/>
        <n x="293"/>
      </t>
    </mdx>
    <mdx n="0" f="v">
      <t c="6" si="614">
        <n x="610"/>
        <n x="709"/>
        <n x="710"/>
        <n x="800" s="1"/>
        <n x="627"/>
        <n x="620"/>
      </t>
    </mdx>
    <mdx n="0" f="v">
      <t c="6" si="614">
        <n x="610"/>
        <n x="709"/>
        <n x="710"/>
        <n x="800" s="1"/>
        <n x="621"/>
        <n x="622"/>
      </t>
    </mdx>
    <mdx n="0" f="v">
      <t c="6" si="614">
        <n x="610"/>
        <n x="709"/>
        <n x="710"/>
        <n x="800" s="1"/>
        <n x="621"/>
        <n x="630"/>
      </t>
    </mdx>
    <mdx n="0" f="v">
      <t c="6" si="614">
        <n x="799"/>
        <n x="583"/>
        <n x="710"/>
        <n x="800" s="1"/>
        <n x="621"/>
        <n x="630"/>
      </t>
    </mdx>
    <mdx n="0" f="v">
      <t c="6" si="614">
        <n x="610"/>
        <n x="511"/>
        <n x="786"/>
        <n x="800" s="1"/>
        <n x="627"/>
        <n x="628"/>
      </t>
    </mdx>
    <mdx n="0" f="v">
      <t c="6" si="614">
        <n x="610"/>
        <n x="739"/>
        <n x="228"/>
        <n x="800" s="1"/>
        <n x="627"/>
        <n x="628"/>
      </t>
    </mdx>
    <mdx n="0" f="v">
      <t c="6" si="614">
        <n x="610"/>
        <n x="739"/>
        <n x="740"/>
        <n x="800" s="1"/>
        <n x="623"/>
        <n x="626"/>
      </t>
    </mdx>
    <mdx n="0" f="v">
      <t c="6" si="614">
        <n x="610"/>
        <n x="797"/>
        <n x="798"/>
        <n x="800" s="1"/>
        <n x="625"/>
        <n x="626"/>
      </t>
    </mdx>
    <mdx n="0" f="v">
      <t c="6" si="614">
        <n x="610"/>
        <n x="357"/>
        <n x="358"/>
        <n x="800" s="1"/>
        <n x="625"/>
        <n x="626"/>
      </t>
    </mdx>
    <mdx n="0" f="v">
      <t c="6" si="614">
        <n x="610"/>
        <n x="513"/>
        <n x="514"/>
        <n x="800" s="1"/>
        <n x="623"/>
        <n x="624"/>
      </t>
    </mdx>
    <mdx n="0" f="v">
      <t c="6" si="614">
        <n x="610"/>
        <n x="713"/>
        <n x="280"/>
        <n x="800" s="1"/>
        <n x="629"/>
        <n x="630"/>
      </t>
    </mdx>
    <mdx n="0" f="v">
      <t c="6" si="614">
        <n x="610"/>
        <n x="357"/>
        <n x="714"/>
        <n x="800" s="1"/>
        <n x="627"/>
        <n x="628"/>
      </t>
    </mdx>
    <mdx n="0" f="v">
      <t c="6" si="614">
        <n x="610"/>
        <n x="461"/>
        <n x="358"/>
        <n x="800" s="1"/>
        <n x="621"/>
        <n x="622"/>
      </t>
    </mdx>
    <mdx n="0" f="v">
      <t c="6" si="614">
        <n x="610"/>
        <n x="775"/>
        <n x="776"/>
        <n x="800" s="1"/>
        <n x="623"/>
        <n x="628"/>
      </t>
    </mdx>
    <mdx n="0" f="v">
      <t c="6" si="614">
        <n x="610"/>
        <n x="371"/>
        <n x="372"/>
        <n x="800" s="1"/>
        <n x="623"/>
        <n x="624"/>
      </t>
    </mdx>
    <mdx n="0" f="v">
      <t c="6" si="614">
        <n x="610"/>
        <n x="269"/>
        <n x="518"/>
        <n x="800" s="1"/>
        <n x="627"/>
        <n x="628"/>
      </t>
    </mdx>
    <mdx n="0" f="v">
      <t c="6" si="614">
        <n x="610"/>
        <n x="803"/>
        <n x="804"/>
        <n x="800" s="1"/>
        <n x="627"/>
        <n x="628"/>
      </t>
    </mdx>
    <mdx n="0" f="v">
      <t c="6" si="614">
        <n x="610"/>
        <n x="359"/>
        <n x="804"/>
        <n x="800" s="1"/>
        <n x="619"/>
        <n x="620"/>
      </t>
    </mdx>
    <mdx n="0" f="v">
      <t c="6" si="614">
        <n x="610"/>
        <n x="257"/>
        <n x="716"/>
        <n x="800" s="1"/>
        <n x="617"/>
        <n x="618"/>
      </t>
    </mdx>
    <mdx n="0" f="v">
      <t c="6" si="614">
        <n x="610"/>
        <n x="359"/>
        <n x="360"/>
        <n x="800" s="1"/>
        <n x="617"/>
        <n x="618"/>
      </t>
    </mdx>
    <mdx n="0" f="v">
      <t c="6" si="614">
        <n x="610"/>
        <n x="497"/>
        <n x="576"/>
        <n x="800" s="1"/>
        <n x="627"/>
        <n x="628"/>
      </t>
    </mdx>
    <mdx n="0" f="v">
      <t c="6" si="614">
        <n x="610"/>
        <n x="399"/>
        <n x="400"/>
        <n x="800" s="1"/>
        <n x="629"/>
        <n x="630"/>
      </t>
    </mdx>
    <mdx n="0" f="v">
      <t c="6" si="614">
        <n x="610"/>
        <n x="545"/>
        <n x="710"/>
        <n x="800" s="1"/>
        <n x="627"/>
        <n x="628"/>
      </t>
    </mdx>
    <mdx n="0" f="v">
      <t c="6" si="614">
        <n x="610"/>
        <n x="297"/>
        <n x="298"/>
        <n x="800" s="1"/>
        <n x="621"/>
        <n x="622"/>
      </t>
    </mdx>
    <mdx n="0" f="v">
      <t c="6" si="614">
        <n x="610"/>
        <n x="439"/>
        <n x="440"/>
        <n x="800" s="1"/>
        <n x="621"/>
        <n x="626"/>
      </t>
    </mdx>
    <mdx n="0" f="v">
      <t c="6" si="614">
        <n x="610"/>
        <n x="439"/>
        <n x="440"/>
        <n x="800" s="1"/>
        <n x="629"/>
        <n x="630"/>
      </t>
    </mdx>
    <mdx n="0" f="v">
      <t c="6" si="614">
        <n x="610"/>
        <n x="225"/>
        <n x="464"/>
        <n x="800" s="1"/>
        <n x="621"/>
        <n x="622"/>
      </t>
    </mdx>
    <mdx n="0" f="v">
      <t c="6" si="614">
        <n x="610"/>
        <n x="519"/>
        <n x="520"/>
        <n x="800" s="1"/>
        <n x="621"/>
        <n x="630"/>
      </t>
    </mdx>
    <mdx n="0" f="v">
      <t c="6" si="614">
        <n x="799"/>
        <n x="743"/>
        <n x="292"/>
        <n x="800" s="1"/>
        <n x="629"/>
        <n x="630"/>
      </t>
    </mdx>
    <mdx n="0" f="v">
      <t c="6" si="614">
        <n x="799"/>
        <n x="767"/>
        <n x="292"/>
        <n x="800" s="1"/>
        <n x="629"/>
        <n x="630"/>
      </t>
    </mdx>
    <mdx n="0" f="v">
      <t c="6" si="614">
        <n x="610"/>
        <n x="413"/>
        <n x="414"/>
        <n x="800" s="1"/>
        <n x="617"/>
        <n x="618"/>
      </t>
    </mdx>
    <mdx n="0" f="v">
      <t c="6" si="614">
        <n x="799"/>
        <n x="303"/>
        <n x="322"/>
        <n x="800" s="1"/>
        <n x="617"/>
        <n x="618"/>
      </t>
    </mdx>
    <mdx n="0" f="v">
      <t c="6" si="614">
        <n x="610"/>
        <n x="303"/>
        <n x="322"/>
        <n x="800" s="1"/>
        <n x="625"/>
        <n x="626"/>
      </t>
    </mdx>
    <mdx n="0" f="v">
      <t c="6" si="614">
        <n x="610"/>
        <n x="291"/>
        <n x="292"/>
        <n x="800" s="1"/>
        <n x="625"/>
        <n x="626"/>
      </t>
    </mdx>
    <mdx n="0" f="v">
      <t c="6" si="614">
        <n x="610"/>
        <n x="291"/>
        <n x="292"/>
        <n x="800" s="1"/>
        <n x="627"/>
        <n x="628"/>
      </t>
    </mdx>
    <mdx n="0" f="v">
      <t c="6" si="614">
        <n x="610"/>
        <n x="499"/>
        <n x="316"/>
        <n x="800" s="1"/>
        <n x="617"/>
        <n x="618"/>
      </t>
    </mdx>
    <mdx n="0" f="r">
      <t c="2">
        <n x="610"/>
        <n x="499"/>
      </t>
    </mdx>
    <mdx n="0" f="v">
      <t c="6" si="614">
        <n x="610"/>
        <n x="281"/>
        <n x="214"/>
        <n x="800" s="1"/>
        <n x="627"/>
        <n x="628"/>
      </t>
    </mdx>
    <mdx n="0" f="v">
      <t c="6" si="614">
        <n x="610"/>
        <n x="281"/>
        <n x="282"/>
        <n x="800" s="1"/>
        <n x="629"/>
        <n x="630"/>
      </t>
    </mdx>
    <mdx n="0" f="v">
      <t c="6" si="614">
        <n x="610"/>
        <n x="605"/>
        <n x="282"/>
        <n x="800" s="1"/>
        <n x="629"/>
        <n x="630"/>
      </t>
    </mdx>
    <mdx n="0" f="v">
      <t c="6" si="614">
        <n x="610"/>
        <n x="745"/>
        <n x="564"/>
        <n x="800" s="1"/>
        <n x="629"/>
        <n x="628"/>
      </t>
    </mdx>
    <mdx n="0" f="v">
      <t c="6" si="614">
        <n x="610"/>
        <n x="745"/>
        <n x="564"/>
        <n x="800" s="1"/>
        <n x="629"/>
        <n x="628"/>
      </t>
    </mdx>
    <mdx n="0" f="v">
      <t c="6" si="614">
        <n x="610"/>
        <n x="589"/>
        <n x="590"/>
        <n x="800" s="1"/>
        <n x="629"/>
        <n x="628"/>
      </t>
    </mdx>
    <mdx n="0" f="v">
      <t c="6" si="614">
        <n x="610"/>
        <n x="727"/>
        <n x="590"/>
        <n x="800" s="1"/>
        <n x="625"/>
        <n x="626"/>
      </t>
    </mdx>
    <mdx n="0" f="v">
      <t c="6" si="614">
        <n x="610"/>
        <n x="441"/>
        <n x="442"/>
        <n x="800" s="1"/>
        <n x="627"/>
        <n x="624"/>
      </t>
    </mdx>
    <mdx n="0" f="v">
      <t c="6" si="614">
        <n x="610"/>
        <n x="601"/>
        <n x="602"/>
        <n x="800" s="1"/>
        <n x="625"/>
        <n x="624"/>
      </t>
    </mdx>
    <mdx n="0" f="r">
      <t c="2">
        <n x="610"/>
        <n x="525"/>
      </t>
    </mdx>
    <mdx n="0" f="v">
      <t c="6" si="614">
        <n x="799"/>
        <n x="287"/>
        <n x="526"/>
        <n x="800" s="1"/>
        <n x="619"/>
        <n x="620"/>
      </t>
    </mdx>
    <mdx n="0" f="v">
      <t c="6" si="614">
        <n x="799"/>
        <n x="311"/>
        <n x="288"/>
        <n x="800" s="1"/>
        <n x="621"/>
        <n x="622"/>
      </t>
    </mdx>
    <mdx n="0" f="v">
      <t c="6" si="614">
        <n x="610"/>
        <n x="597"/>
        <n x="724"/>
        <n x="800" s="1"/>
        <n x="619"/>
        <n x="620"/>
      </t>
    </mdx>
    <mdx n="0" f="v">
      <t c="6" si="614">
        <n x="610"/>
        <n x="523"/>
        <n x="724"/>
        <n x="800" s="1"/>
        <n x="623"/>
        <n x="624"/>
      </t>
    </mdx>
    <mdx n="0" f="v">
      <t c="6" si="614">
        <n x="799"/>
        <n x="241"/>
        <n x="264"/>
        <n x="800" s="1"/>
        <n x="621"/>
        <n x="622"/>
      </t>
    </mdx>
    <mdx n="0" f="v">
      <t c="6" si="614">
        <n x="610"/>
        <n x="241"/>
        <n x="264"/>
        <n x="800" s="1"/>
        <n x="621"/>
        <n x="622"/>
      </t>
    </mdx>
    <mdx n="0" f="v">
      <t c="6" si="614">
        <n x="610"/>
        <n x="565"/>
        <n x="566"/>
        <n x="800" s="1"/>
        <n x="619"/>
        <n x="620"/>
      </t>
    </mdx>
    <mdx n="0" f="v">
      <t c="6" si="614">
        <n x="610"/>
        <n x="591"/>
        <n x="592"/>
        <n x="800" s="1"/>
        <n x="621"/>
        <n x="622"/>
      </t>
    </mdx>
    <mdx n="0" f="v">
      <t c="6" si="614">
        <n x="610"/>
        <n x="591"/>
        <n x="592"/>
        <n x="800" s="1"/>
        <n x="623"/>
        <n x="624"/>
      </t>
    </mdx>
    <mdx n="0" f="v">
      <t c="6" si="614">
        <n x="610"/>
        <n x="389"/>
        <n x="598"/>
        <n x="800" s="1"/>
        <n x="623"/>
        <n x="624"/>
      </t>
    </mdx>
    <mdx n="0" f="v">
      <t c="6" si="614">
        <n x="610"/>
        <n x="389"/>
        <n x="598"/>
        <n x="800" s="1"/>
        <n x="621"/>
        <n x="622"/>
      </t>
    </mdx>
    <mdx n="0" f="v">
      <t c="6" si="614">
        <n x="799"/>
        <n x="339"/>
        <n x="332"/>
        <n x="800" s="1"/>
        <n x="621"/>
        <n x="630"/>
      </t>
    </mdx>
    <mdx n="0" f="v">
      <t c="6" si="614">
        <n x="610"/>
        <n x="313"/>
        <n x="314"/>
        <n x="800" s="1"/>
        <n x="619"/>
        <n x="620"/>
      </t>
    </mdx>
    <mdx n="0" f="v">
      <t c="6" si="614">
        <n x="610"/>
        <n x="239"/>
        <n x="314"/>
        <n x="800" s="1"/>
        <n x="619"/>
        <n x="620"/>
      </t>
    </mdx>
    <mdx n="0" f="v">
      <t c="6" si="614">
        <n x="610"/>
        <n x="239"/>
        <n x="240"/>
        <n x="800" s="1"/>
        <n x="621"/>
        <n x="620"/>
      </t>
    </mdx>
    <mdx n="0" f="v">
      <t c="6" si="614">
        <n x="610"/>
        <n x="549"/>
        <n x="550"/>
        <n x="800" s="1"/>
        <n x="625"/>
        <n x="626"/>
      </t>
    </mdx>
    <mdx n="0" f="v">
      <t c="6" si="614">
        <n x="610"/>
        <n x="389"/>
        <n x="550"/>
        <n x="800" s="1"/>
        <n x="623"/>
        <n x="626"/>
      </t>
    </mdx>
    <mdx n="0" f="v">
      <t c="6" si="614">
        <n x="610"/>
        <n x="325"/>
        <n x="326"/>
        <n x="800" s="1"/>
        <n x="617"/>
        <n x="618"/>
      </t>
    </mdx>
    <mdx n="0" f="v">
      <t c="6" si="614">
        <n x="799"/>
        <n x="767"/>
        <n x="768"/>
        <n x="800" s="1"/>
        <n x="623"/>
        <n x="624"/>
      </t>
    </mdx>
    <mdx n="0" f="v">
      <t c="6" si="614">
        <n x="610"/>
        <n x="547"/>
        <n x="402"/>
        <n x="800" s="1"/>
        <n x="619"/>
        <n x="620"/>
      </t>
    </mdx>
    <mdx n="0" f="r">
      <t c="2">
        <n x="610"/>
        <n x="473"/>
      </t>
    </mdx>
    <mdx n="0" f="v">
      <t c="6" si="614">
        <n x="610"/>
        <n x="473"/>
        <n x="474"/>
        <n x="800" s="1"/>
        <n x="623"/>
        <n x="624"/>
      </t>
    </mdx>
    <mdx n="0" f="v">
      <t c="6" si="614">
        <n x="610"/>
        <n x="585"/>
        <n x="586"/>
        <n x="800" s="1"/>
        <n x="621"/>
        <n x="622"/>
      </t>
    </mdx>
    <mdx n="0" f="v">
      <t c="6" si="614">
        <n x="610"/>
        <n x="797"/>
        <n x="726"/>
        <n x="800" s="1"/>
        <n x="627"/>
        <n x="628"/>
      </t>
    </mdx>
    <mdx n="0" f="v">
      <t c="6" si="614">
        <n x="610"/>
        <n x="213"/>
        <n x="214"/>
        <n x="800" s="1"/>
        <n x="623"/>
        <n x="624"/>
      </t>
    </mdx>
    <mdx n="0" f="v">
      <t c="6" si="614">
        <n x="610"/>
        <n x="791"/>
        <n x="792"/>
        <n x="800" s="1"/>
        <n x="617"/>
        <n x="624"/>
      </t>
    </mdx>
    <mdx n="0" f="v">
      <t c="6" si="614">
        <n x="610"/>
        <n x="791"/>
        <n x="568"/>
        <n x="800" s="1"/>
        <n x="617"/>
        <n x="618"/>
      </t>
    </mdx>
    <mdx n="0" f="v">
      <t c="6" si="614">
        <n x="610"/>
        <n x="485"/>
        <n x="568"/>
        <n x="800" s="1"/>
        <n x="617"/>
        <n x="618"/>
      </t>
    </mdx>
    <mdx n="0" f="r">
      <t c="2">
        <n x="799"/>
        <n x="763"/>
      </t>
    </mdx>
    <mdx n="0" f="r">
      <t c="2">
        <n x="610"/>
        <n x="401"/>
      </t>
    </mdx>
    <mdx n="0" f="v">
      <t c="6" si="614">
        <n x="610"/>
        <n x="401"/>
        <n x="402"/>
        <n x="800" s="1"/>
        <n x="627"/>
        <n x="628"/>
      </t>
    </mdx>
    <mdx n="0" f="v">
      <t c="6" si="614">
        <n x="610"/>
        <n x="267"/>
        <n x="268"/>
        <n x="800" s="1"/>
        <n x="617"/>
        <n x="618"/>
      </t>
    </mdx>
    <mdx n="0" f="v">
      <t c="6" si="614">
        <n x="610"/>
        <n x="267"/>
        <n x="268"/>
        <n x="800" s="1"/>
        <n x="619"/>
        <n x="620"/>
      </t>
    </mdx>
    <mdx n="0" f="v">
      <t c="6" si="614">
        <n x="610"/>
        <n x="497"/>
        <n x="330"/>
        <n x="800" s="1"/>
        <n x="619"/>
        <n x="620"/>
      </t>
    </mdx>
    <mdx n="0" f="v">
      <t c="6" si="614">
        <n x="610"/>
        <n x="497"/>
        <n x="498"/>
        <n x="800" s="1"/>
        <n x="617"/>
        <n x="618"/>
      </t>
    </mdx>
    <mdx n="0" f="v">
      <t c="6" si="614">
        <n x="610"/>
        <n x="785"/>
        <n x="786"/>
        <n x="800" s="1"/>
        <n x="617"/>
        <n x="618"/>
      </t>
    </mdx>
    <mdx n="0" f="v">
      <t c="6" si="614">
        <n x="610"/>
        <n x="567"/>
        <n x="568"/>
        <n x="800" s="1"/>
        <n x="621"/>
        <n x="622"/>
      </t>
    </mdx>
    <mdx n="0" f="v">
      <t c="6" si="614">
        <n x="610"/>
        <n x="427"/>
        <n x="428"/>
        <n x="800" s="1"/>
        <n x="625"/>
        <n x="626"/>
      </t>
    </mdx>
    <mdx n="0" f="v">
      <t c="6" si="614">
        <n x="610"/>
        <n x="391"/>
        <n x="392"/>
        <n x="800" s="1"/>
        <n x="625"/>
        <n x="626"/>
      </t>
    </mdx>
    <mdx n="0" f="v">
      <t c="6" si="614">
        <n x="610"/>
        <n x="391"/>
        <n x="392"/>
        <n x="800" s="1"/>
        <n x="619"/>
        <n x="620"/>
      </t>
    </mdx>
    <mdx n="0" f="v">
      <t c="6" si="614">
        <n x="610"/>
        <n x="323"/>
        <n x="324"/>
        <n x="800" s="1"/>
        <n x="623"/>
        <n x="630"/>
      </t>
    </mdx>
    <mdx n="0" f="v">
      <t c="6" si="614">
        <n x="610"/>
        <n x="781"/>
        <n x="324"/>
        <n x="800" s="1"/>
        <n x="619"/>
        <n x="620"/>
      </t>
    </mdx>
    <mdx n="0" f="v">
      <t c="6" si="614">
        <n x="610"/>
        <n x="527"/>
        <n x="782"/>
        <n x="800" s="1"/>
        <n x="619"/>
        <n x="620"/>
      </t>
    </mdx>
    <mdx n="0" f="v">
      <t c="6" si="614">
        <n x="610"/>
        <n x="527"/>
        <n x="528"/>
        <n x="800" s="1"/>
        <n x="617"/>
        <n x="618"/>
      </t>
    </mdx>
    <mdx n="0" f="v">
      <t c="6" si="614">
        <n x="610"/>
        <n x="731"/>
        <n x="732"/>
        <n x="800" s="1"/>
        <n x="621"/>
        <n x="618"/>
      </t>
    </mdx>
    <mdx n="0" f="v">
      <t c="6" si="614">
        <n x="610"/>
        <n x="557"/>
        <n x="284"/>
        <n x="800" s="1"/>
        <n x="625"/>
        <n x="626"/>
      </t>
    </mdx>
    <mdx n="0" f="v">
      <t c="6" si="614">
        <n x="610"/>
        <n x="751"/>
        <n x="454"/>
        <n x="800" s="1"/>
        <n x="625"/>
        <n x="626"/>
      </t>
    </mdx>
    <mdx n="0" f="v">
      <t c="6" si="614">
        <n x="610"/>
        <n x="751"/>
        <n x="752"/>
        <n x="800" s="1"/>
        <n x="629"/>
        <n x="620"/>
      </t>
    </mdx>
    <mdx n="0" f="v">
      <t c="6" si="614">
        <n x="610"/>
        <n x="751"/>
        <n x="752"/>
        <n x="800" s="1"/>
        <n x="629"/>
        <n x="630"/>
      </t>
    </mdx>
    <mdx n="0" f="v">
      <t c="6" si="614">
        <n x="610"/>
        <n x="423"/>
        <n x="424"/>
        <n x="800" s="1"/>
        <n x="625"/>
        <n x="624"/>
      </t>
    </mdx>
    <mdx n="0" f="v">
      <t c="6" si="614">
        <n x="610"/>
        <n x="423"/>
        <n x="424"/>
        <n x="800" s="1"/>
        <n x="619"/>
        <n x="620"/>
      </t>
    </mdx>
    <mdx n="0" f="v">
      <t c="6" si="614">
        <n x="610"/>
        <n x="505"/>
        <n x="506"/>
        <n x="800" s="1"/>
        <n x="617"/>
        <n x="618"/>
      </t>
    </mdx>
    <mdx n="0" f="v">
      <t c="6" si="614">
        <n x="610"/>
        <n x="747"/>
        <n x="748"/>
        <n x="800" s="1"/>
        <n x="621"/>
        <n x="622"/>
      </t>
    </mdx>
    <mdx n="0" f="v">
      <t c="6" si="614">
        <n x="610"/>
        <n x="583"/>
        <n x="584"/>
        <n x="800" s="1"/>
        <n x="621"/>
        <n x="622"/>
      </t>
    </mdx>
    <mdx n="0" f="v">
      <t c="6" si="614">
        <n x="799"/>
        <n x="325"/>
        <n x="584"/>
        <n x="800" s="1"/>
        <n x="621"/>
        <n x="622"/>
      </t>
    </mdx>
    <mdx n="0" f="r">
      <t c="2">
        <n x="610"/>
        <n x="323"/>
      </t>
    </mdx>
    <mdx n="0" f="v">
      <t c="6" si="614">
        <n x="610"/>
        <n x="245"/>
        <n x="246"/>
        <n x="800" s="1"/>
        <n x="619"/>
        <n x="620"/>
      </t>
    </mdx>
    <mdx n="0" f="r">
      <t c="2">
        <n x="610"/>
        <n x="713"/>
      </t>
    </mdx>
    <mdx n="0" f="v">
      <t c="6" si="614">
        <n x="610"/>
        <n x="587"/>
        <n x="588"/>
        <n x="800" s="1"/>
        <n x="619"/>
        <n x="622"/>
      </t>
    </mdx>
    <mdx n="0" f="v">
      <t c="6" si="614">
        <n x="610"/>
        <n x="587"/>
        <n x="588"/>
        <n x="800" s="1"/>
        <n x="623"/>
        <n x="624"/>
      </t>
    </mdx>
    <mdx n="0" f="v">
      <t c="6" si="614">
        <n x="610"/>
        <n x="413"/>
        <n x="414"/>
        <n x="800" s="1"/>
        <n x="623"/>
        <n x="622"/>
      </t>
    </mdx>
    <mdx n="0" f="v">
      <t c="6" si="614">
        <n x="610"/>
        <n x="715"/>
        <n x="414"/>
        <n x="800" s="1"/>
        <n x="623"/>
        <n x="622"/>
      </t>
    </mdx>
    <mdx n="0" f="v">
      <t c="6" si="614">
        <n x="799"/>
        <n x="715"/>
        <n x="716"/>
        <n x="800" s="1"/>
        <n x="623"/>
        <n x="622"/>
      </t>
    </mdx>
    <mdx n="0" f="v">
      <t c="6" si="614">
        <n x="799"/>
        <n x="461"/>
        <n x="588"/>
        <n x="800" s="1"/>
        <n x="625"/>
        <n x="624"/>
      </t>
    </mdx>
    <mdx n="0" f="v">
      <t c="6" si="614">
        <n x="799"/>
        <n x="461"/>
        <n x="588"/>
        <n x="800" s="1"/>
        <n x="625"/>
        <n x="626"/>
      </t>
    </mdx>
    <mdx n="0" f="v">
      <t c="6" si="614">
        <n x="799"/>
        <n x="581"/>
        <n x="588"/>
        <n x="800" s="1"/>
        <n x="625"/>
        <n x="626"/>
      </t>
    </mdx>
    <mdx n="0" f="v">
      <t c="6" si="614">
        <n x="610"/>
        <n x="255"/>
        <n x="804"/>
        <n x="800" s="1"/>
        <n x="625"/>
        <n x="618"/>
      </t>
    </mdx>
    <mdx n="0" f="v">
      <t c="6" si="614">
        <n x="610"/>
        <n x="491"/>
        <n x="804"/>
        <n x="800" s="1"/>
        <n x="625"/>
        <n x="626"/>
      </t>
    </mdx>
    <mdx n="0" f="v">
      <t c="6" si="614">
        <n x="799"/>
        <n x="423"/>
        <n x="492"/>
        <n x="800" s="1"/>
        <n x="625"/>
        <n x="626"/>
      </t>
    </mdx>
    <mdx n="0" f="v">
      <t c="6" si="614">
        <n x="610"/>
        <n x="231"/>
        <n x="232"/>
        <n x="800" s="1"/>
        <n x="617"/>
        <n x="630"/>
      </t>
    </mdx>
    <mdx n="0" f="v">
      <t c="6" si="614">
        <n x="610"/>
        <n x="599"/>
        <n x="294"/>
        <n x="800" s="1"/>
        <n x="621"/>
        <n x="622"/>
      </t>
    </mdx>
    <mdx n="0" f="v">
      <t c="6" si="614">
        <n x="799"/>
        <n x="521"/>
        <n x="600"/>
        <n x="800" s="1"/>
        <n x="625"/>
        <n x="626"/>
      </t>
    </mdx>
    <mdx n="0" f="v">
      <t c="6" si="614">
        <n x="610"/>
        <n x="337"/>
        <n x="338"/>
        <n x="800" s="1"/>
        <n x="623"/>
        <n x="624"/>
      </t>
    </mdx>
    <mdx n="0" f="v">
      <t c="6" si="614">
        <n x="610"/>
        <n x="599"/>
        <n x="266"/>
        <n x="800" s="1"/>
        <n x="627"/>
        <n x="628"/>
      </t>
    </mdx>
    <mdx n="0" f="v">
      <t c="6" si="614">
        <n x="610"/>
        <n x="759"/>
        <n x="266"/>
        <n x="800" s="1"/>
        <n x="619"/>
        <n x="620"/>
      </t>
    </mdx>
    <mdx n="0" f="v">
      <t c="6" si="614">
        <n x="610"/>
        <n x="759"/>
        <n x="256"/>
        <n x="800" s="1"/>
        <n x="625"/>
        <n x="626"/>
      </t>
    </mdx>
    <mdx n="0" f="v">
      <t c="6" si="614">
        <n x="610"/>
        <n x="759"/>
        <n x="256"/>
        <n x="800" s="1"/>
        <n x="625"/>
        <n x="626"/>
      </t>
    </mdx>
    <mdx n="0" f="v">
      <t c="6" si="614">
        <n x="610"/>
        <n x="299"/>
        <n x="300"/>
        <n x="800" s="1"/>
        <n x="625"/>
        <n x="626"/>
      </t>
    </mdx>
    <mdx n="0" f="v">
      <t c="6" si="614">
        <n x="610"/>
        <n x="313"/>
        <n x="314"/>
        <n x="800" s="1"/>
        <n x="627"/>
        <n x="628"/>
      </t>
    </mdx>
    <mdx n="0" f="v">
      <t c="6" si="614">
        <n x="610"/>
        <n x="207"/>
        <n x="208"/>
        <n x="800" s="1"/>
        <n x="627"/>
        <n x="628"/>
      </t>
    </mdx>
    <mdx n="0" f="v">
      <t c="6" si="614">
        <n x="610"/>
        <n x="243"/>
        <n x="478"/>
        <n x="800" s="1"/>
        <n x="629"/>
        <n x="618"/>
      </t>
    </mdx>
    <mdx n="0" f="v">
      <t c="6" si="614">
        <n x="610"/>
        <n x="243"/>
        <n x="244"/>
        <n x="800" s="1"/>
        <n x="629"/>
        <n x="630"/>
      </t>
    </mdx>
    <mdx n="0" f="v">
      <t c="6" si="614">
        <n x="610"/>
        <n x="771"/>
        <n x="446"/>
        <n x="800" s="1"/>
        <n x="627"/>
        <n x="628"/>
      </t>
    </mdx>
    <mdx n="0" f="v">
      <t c="6" si="614">
        <n x="610"/>
        <n x="771"/>
        <n x="446"/>
        <n x="800" s="1"/>
        <n x="627"/>
        <n x="618"/>
      </t>
    </mdx>
    <mdx n="0" f="v">
      <t c="6" si="614">
        <n x="610"/>
        <n x="771"/>
        <n x="446"/>
        <n x="800" s="1"/>
        <n x="627"/>
        <n x="618"/>
      </t>
    </mdx>
    <mdx n="0" f="v">
      <t c="6" si="614">
        <n x="610"/>
        <n x="391"/>
        <n x="446"/>
        <n x="800" s="1"/>
        <n x="627"/>
        <n x="618"/>
      </t>
    </mdx>
    <mdx n="0" f="v">
      <t c="6" si="614">
        <n x="610"/>
        <n x="295"/>
        <n x="762"/>
        <n x="800" s="1"/>
        <n x="617"/>
        <n x="618"/>
      </t>
    </mdx>
    <mdx n="0" f="v">
      <t c="6" si="614">
        <n x="610"/>
        <n x="295"/>
        <n x="296"/>
        <n x="800" s="1"/>
        <n x="627"/>
        <n x="628"/>
      </t>
    </mdx>
    <mdx n="0" f="v">
      <t c="6" si="614">
        <n x="610"/>
        <n x="761"/>
        <n x="762"/>
        <n x="800" s="1"/>
        <n x="629"/>
        <n x="630"/>
      </t>
    </mdx>
    <mdx n="0" f="v">
      <t c="6" si="614">
        <n x="610"/>
        <n x="761"/>
        <n x="762"/>
        <n x="800" s="1"/>
        <n x="627"/>
        <n x="628"/>
      </t>
    </mdx>
    <mdx n="0" f="v">
      <t c="6" si="614">
        <n x="610"/>
        <n x="379"/>
        <n x="380"/>
        <n x="800" s="1"/>
        <n x="627"/>
        <n x="628"/>
      </t>
    </mdx>
    <mdx n="0" f="r">
      <t c="2">
        <n x="610"/>
        <n x="229"/>
      </t>
    </mdx>
    <mdx n="0" f="v">
      <t c="6" si="614">
        <n x="610"/>
        <n x="379"/>
        <n x="296"/>
        <n x="800" s="1"/>
        <n x="627"/>
        <n x="618"/>
      </t>
    </mdx>
    <mdx n="0" f="v">
      <t c="6" si="614">
        <n x="610"/>
        <n x="379"/>
        <n x="296"/>
        <n x="800" s="1"/>
        <n x="627"/>
        <n x="618"/>
      </t>
    </mdx>
    <mdx n="0" f="v">
      <t c="6" si="614">
        <n x="610"/>
        <n x="463"/>
        <n x="782"/>
        <n x="800" s="1"/>
        <n x="627"/>
        <n x="628"/>
      </t>
    </mdx>
    <mdx n="0" f="v">
      <t c="6" si="614">
        <n x="610"/>
        <n x="247"/>
        <n x="464"/>
        <n x="800" s="1"/>
        <n x="625"/>
        <n x="626"/>
      </t>
    </mdx>
    <mdx n="0" f="v">
      <t c="6" si="614">
        <n x="610"/>
        <n x="247"/>
        <n x="248"/>
        <n x="800" s="1"/>
        <n x="625"/>
        <n x="626"/>
      </t>
    </mdx>
    <mdx n="0" f="v">
      <t c="6" si="614">
        <n x="610"/>
        <n x="407"/>
        <n x="794"/>
        <n x="800" s="1"/>
        <n x="629"/>
        <n x="630"/>
      </t>
    </mdx>
    <mdx n="0" f="v">
      <t c="6" si="614">
        <n x="610"/>
        <n x="733"/>
        <n x="734"/>
        <n x="800" s="1"/>
        <n x="627"/>
        <n x="630"/>
      </t>
    </mdx>
    <mdx n="0" f="v">
      <t c="6" si="614">
        <n x="610"/>
        <n x="305"/>
        <n x="306"/>
        <n x="800" s="1"/>
        <n x="627"/>
        <n x="628"/>
      </t>
    </mdx>
    <mdx n="0" f="v">
      <t c="6" si="614">
        <n x="610"/>
        <n x="305"/>
        <n x="316"/>
        <n x="800" s="1"/>
        <n x="619"/>
        <n x="628"/>
      </t>
    </mdx>
    <mdx n="0" f="v">
      <t c="6" si="614">
        <n x="610"/>
        <n x="581"/>
        <n x="522"/>
        <n x="800" s="1"/>
        <n x="629"/>
        <n x="630"/>
      </t>
    </mdx>
    <mdx n="0" f="v">
      <t c="6" si="614">
        <n x="610"/>
        <n x="537"/>
        <n x="522"/>
        <n x="800" s="1"/>
        <n x="629"/>
        <n x="630"/>
      </t>
    </mdx>
    <mdx n="0" f="v">
      <t c="6" si="614">
        <n x="610"/>
        <n x="537"/>
        <n x="538"/>
        <n x="800" s="1"/>
        <n x="627"/>
        <n x="628"/>
      </t>
    </mdx>
    <mdx n="0" f="v">
      <t c="6" si="614">
        <n x="610"/>
        <n x="345"/>
        <n x="346"/>
        <n x="800" s="1"/>
        <n x="623"/>
        <n x="624"/>
      </t>
    </mdx>
    <mdx n="0" f="v">
      <t c="6" si="614">
        <n x="610"/>
        <n x="345"/>
        <n x="346"/>
        <n x="800" s="1"/>
        <n x="627"/>
        <n x="628"/>
      </t>
    </mdx>
    <mdx n="0" f="v">
      <t c="6" si="614">
        <n x="610"/>
        <n x="537"/>
        <n x="780"/>
        <n x="800" s="1"/>
        <n x="625"/>
        <n x="618"/>
      </t>
    </mdx>
    <mdx n="0" f="v">
      <t c="6" si="614">
        <n x="610"/>
        <n x="425"/>
        <n x="780"/>
        <n x="800" s="1"/>
        <n x="627"/>
        <n x="628"/>
      </t>
    </mdx>
    <mdx n="0" f="r">
      <t c="2">
        <n x="610"/>
        <n x="407"/>
      </t>
    </mdx>
    <mdx n="0" f="v">
      <t c="6" si="614">
        <n x="610"/>
        <n x="227"/>
        <n x="228"/>
        <n x="800" s="1"/>
        <n x="627"/>
        <n x="618"/>
      </t>
    </mdx>
    <mdx n="0" f="v">
      <t c="6" si="614">
        <n x="610"/>
        <n x="469"/>
        <n x="470"/>
        <n x="800" s="1"/>
        <n x="629"/>
        <n x="630"/>
      </t>
    </mdx>
    <mdx n="0" f="v">
      <t c="6" si="614">
        <n x="610"/>
        <n x="469"/>
        <n x="470"/>
        <n x="800" s="1"/>
        <n x="619"/>
        <n x="620"/>
      </t>
    </mdx>
    <mdx n="0" f="v">
      <t c="6" si="614">
        <n x="610"/>
        <n x="469"/>
        <n x="470"/>
        <n x="800" s="1"/>
        <n x="627"/>
        <n x="628"/>
      </t>
    </mdx>
    <mdx n="0" f="v">
      <t c="6" si="614">
        <n x="610"/>
        <n x="779"/>
        <n x="470"/>
        <n x="800" s="1"/>
        <n x="627"/>
        <n x="628"/>
      </t>
    </mdx>
    <mdx n="0" f="v">
      <t c="6" si="614">
        <n x="610"/>
        <n x="213"/>
        <n x="214"/>
        <n x="800" s="1"/>
        <n x="617"/>
        <n x="626"/>
      </t>
    </mdx>
    <mdx n="0" f="v">
      <t c="6" si="614">
        <n x="610"/>
        <n x="745"/>
        <n x="746"/>
        <n x="800" s="1"/>
        <n x="629"/>
        <n x="630"/>
      </t>
    </mdx>
    <mdx n="0" f="v">
      <t c="6" si="614">
        <n x="799"/>
        <n x="429"/>
        <n x="728"/>
        <n x="800" s="1"/>
        <n x="625"/>
        <n x="626"/>
      </t>
    </mdx>
    <mdx n="0" f="r">
      <t c="2">
        <n x="610"/>
        <n x="539"/>
      </t>
    </mdx>
    <mdx n="0" f="v">
      <t c="6" si="614">
        <n x="610"/>
        <n x="551"/>
        <n x="552"/>
        <n x="800" s="1"/>
        <n x="629"/>
        <n x="624"/>
      </t>
    </mdx>
    <mdx n="0" f="v">
      <t c="6" si="614">
        <n x="610"/>
        <n x="551"/>
        <n x="552"/>
        <n x="800" s="1"/>
        <n x="625"/>
        <n x="626"/>
      </t>
    </mdx>
    <mdx n="0" f="v">
      <t c="6" si="614">
        <n x="610"/>
        <n x="345"/>
        <n x="346"/>
        <n x="800" s="1"/>
        <n x="627"/>
        <n x="618"/>
      </t>
    </mdx>
    <mdx n="0" f="v">
      <t c="6" si="614">
        <n x="610"/>
        <n x="469"/>
        <n x="712"/>
        <n x="800" s="1"/>
        <n x="625"/>
        <n x="624"/>
      </t>
    </mdx>
    <mdx n="0" f="v">
      <t c="6" si="614">
        <n x="610"/>
        <n x="469"/>
        <n x="712"/>
        <n x="800" s="1"/>
        <n x="621"/>
        <n x="624"/>
      </t>
    </mdx>
    <mdx n="0" f="v">
      <t c="6" si="614">
        <n x="610"/>
        <n x="469"/>
        <n x="712"/>
        <n x="800" s="1"/>
        <n x="621"/>
        <n x="622"/>
      </t>
    </mdx>
    <mdx n="0" f="v">
      <t c="6" si="614">
        <n x="610"/>
        <n x="441"/>
        <n x="288"/>
        <n x="800" s="1"/>
        <n x="621"/>
        <n x="622"/>
      </t>
    </mdx>
    <mdx n="0" f="v">
      <t c="6" si="614">
        <n x="799"/>
        <n x="441"/>
        <n x="442"/>
        <n x="800" s="1"/>
        <n x="621"/>
        <n x="622"/>
      </t>
    </mdx>
    <mdx n="0" f="v">
      <t c="6" si="614">
        <n x="610"/>
        <n x="607"/>
        <n x="740"/>
        <n x="800" s="1"/>
        <n x="617"/>
        <n x="618"/>
      </t>
    </mdx>
    <mdx n="0" f="v">
      <t c="6" si="614">
        <n x="610"/>
        <n x="447"/>
        <n x="608"/>
        <n x="800" s="1"/>
        <n x="621"/>
        <n x="628"/>
      </t>
    </mdx>
    <mdx n="0" f="v">
      <t c="6" si="614">
        <n x="610"/>
        <n x="447"/>
        <n x="448"/>
        <n x="800" s="1"/>
        <n x="621"/>
        <n x="628"/>
      </t>
    </mdx>
    <mdx n="0" f="v">
      <t c="6" si="614">
        <n x="799"/>
        <n x="447"/>
        <n x="448"/>
        <n x="800" s="1"/>
        <n x="621"/>
        <n x="622"/>
      </t>
    </mdx>
    <mdx n="0" f="v">
      <t c="6" si="614">
        <n x="610"/>
        <n x="283"/>
        <n x="284"/>
        <n x="800" s="1"/>
        <n x="617"/>
        <n x="618"/>
      </t>
    </mdx>
    <mdx n="0" f="v">
      <t c="6" si="614">
        <n x="610"/>
        <n x="283"/>
        <n x="284"/>
        <n x="800" s="1"/>
        <n x="623"/>
        <n x="624"/>
      </t>
    </mdx>
    <mdx n="0" f="v">
      <t c="6" si="614">
        <n x="610"/>
        <n x="283"/>
        <n x="284"/>
        <n x="800" s="1"/>
        <n x="623"/>
        <n x="618"/>
      </t>
    </mdx>
    <mdx n="0" f="v">
      <t c="6" si="614">
        <n x="799"/>
        <n x="447"/>
        <n x="470"/>
        <n x="800" s="1"/>
        <n x="619"/>
        <n x="622"/>
      </t>
    </mdx>
    <mdx n="0" f="v">
      <t c="6" si="614">
        <n x="799"/>
        <n x="447"/>
        <n x="470"/>
        <n x="800" s="1"/>
        <n x="619"/>
        <n x="622"/>
      </t>
    </mdx>
    <mdx n="0" f="r">
      <t c="2">
        <n x="610"/>
        <n x="737"/>
      </t>
    </mdx>
    <mdx n="0" f="v">
      <t c="6" si="614">
        <n x="799"/>
        <n x="795"/>
        <n x="578"/>
        <n x="800" s="1"/>
        <n x="629"/>
        <n x="630"/>
      </t>
    </mdx>
    <mdx n="0" f="v">
      <t c="6" si="614">
        <n x="610"/>
        <n x="235"/>
        <n x="578"/>
        <n x="800" s="1"/>
        <n x="623"/>
        <n x="624"/>
      </t>
    </mdx>
    <mdx n="0" f="r">
      <t c="2">
        <n x="610"/>
        <n x="469"/>
      </t>
    </mdx>
    <mdx n="0" f="v">
      <t c="6" si="614">
        <n x="610"/>
        <n x="469"/>
        <n x="470"/>
        <n x="800" s="1"/>
        <n x="625"/>
        <n x="630"/>
      </t>
    </mdx>
    <mdx n="0" f="v">
      <t c="6" si="614">
        <n x="610"/>
        <n x="469"/>
        <n x="470"/>
        <n x="800" s="1"/>
        <n x="623"/>
        <n x="624"/>
      </t>
    </mdx>
    <mdx n="0" f="v">
      <t c="6" si="614">
        <n x="610"/>
        <n x="549"/>
        <n x="518"/>
        <n x="800" s="1"/>
        <n x="627"/>
        <n x="628"/>
      </t>
    </mdx>
    <mdx n="0" f="v">
      <t c="6" si="614">
        <n x="610"/>
        <n x="549"/>
        <n x="550"/>
        <n x="800" s="1"/>
        <n x="623"/>
        <n x="624"/>
      </t>
    </mdx>
    <mdx n="0" f="v">
      <t c="6" si="614">
        <n x="610"/>
        <n x="429"/>
        <n x="550"/>
        <n x="800" s="1"/>
        <n x="621"/>
        <n x="624"/>
      </t>
    </mdx>
    <mdx n="0" f="v">
      <t c="6" si="614">
        <n x="610"/>
        <n x="473"/>
        <n x="454"/>
        <n x="800" s="1"/>
        <n x="627"/>
        <n x="628"/>
      </t>
    </mdx>
    <mdx n="0" f="v">
      <t c="6" si="614">
        <n x="610"/>
        <n x="745"/>
        <n x="746"/>
        <n x="800" s="1"/>
        <n x="619"/>
        <n x="620"/>
      </t>
    </mdx>
    <mdx n="0" f="v">
      <t c="6" si="614">
        <n x="799"/>
        <n x="411"/>
        <n x="746"/>
        <n x="800" s="1"/>
        <n x="629"/>
        <n x="630"/>
      </t>
    </mdx>
    <mdx n="0" f="v">
      <t c="6" si="614">
        <n x="799"/>
        <n x="411"/>
        <n x="746"/>
        <n x="800" s="1"/>
        <n x="629"/>
        <n x="630"/>
      </t>
    </mdx>
    <mdx n="0" f="r">
      <t c="2">
        <n x="610"/>
        <n x="591"/>
      </t>
    </mdx>
    <mdx n="0" f="v">
      <t c="6" si="614">
        <n x="610"/>
        <n x="283"/>
        <n x="592"/>
        <n x="800" s="1"/>
        <n x="627"/>
        <n x="628"/>
      </t>
    </mdx>
    <mdx n="0" f="v">
      <t c="6" si="614">
        <n x="610"/>
        <n x="209"/>
        <n x="210"/>
        <n x="800" s="1"/>
        <n x="619"/>
        <n x="620"/>
      </t>
    </mdx>
    <mdx n="0" f="v">
      <t c="6" si="614">
        <n x="610"/>
        <n x="209"/>
        <n x="210"/>
        <n x="800" s="1"/>
        <n x="623"/>
        <n x="624"/>
      </t>
    </mdx>
    <mdx n="0" f="r">
      <t c="2">
        <n x="610"/>
        <n x="291"/>
      </t>
    </mdx>
    <mdx n="0" f="v">
      <t c="6" si="614">
        <n x="799"/>
        <n x="291"/>
        <n x="292"/>
        <n x="800" s="1"/>
        <n x="629"/>
        <n x="630"/>
      </t>
    </mdx>
    <mdx n="0" f="v">
      <t c="6" si="614">
        <n x="799"/>
        <n x="797"/>
        <n x="292"/>
        <n x="800" s="1"/>
        <n x="629"/>
        <n x="630"/>
      </t>
    </mdx>
    <mdx n="0" f="v">
      <t c="6" si="614">
        <n x="610"/>
        <n x="753"/>
        <n x="558"/>
        <n x="800" s="1"/>
        <n x="629"/>
        <n x="630"/>
      </t>
    </mdx>
    <mdx n="0" f="v">
      <t c="6" si="614">
        <n x="610"/>
        <n x="585"/>
        <n x="558"/>
        <n x="800" s="1"/>
        <n x="629"/>
        <n x="630"/>
      </t>
    </mdx>
    <mdx n="0" f="v">
      <t c="6" si="614">
        <n x="610"/>
        <n x="519"/>
        <n x="520"/>
        <n x="800" s="1"/>
        <n x="619"/>
        <n x="620"/>
      </t>
    </mdx>
    <mdx n="0" f="v">
      <t c="6" si="614">
        <n x="610"/>
        <n x="329"/>
        <n x="330"/>
        <n x="800" s="1"/>
        <n x="623"/>
        <n x="624"/>
      </t>
    </mdx>
    <mdx n="0" f="v">
      <t c="6" si="614">
        <n x="610"/>
        <n x="577"/>
        <n x="330"/>
        <n x="800" s="1"/>
        <n x="621"/>
        <n x="620"/>
      </t>
    </mdx>
    <mdx n="0" f="v">
      <t c="6" si="614">
        <n x="610"/>
        <n x="265"/>
        <n x="330"/>
        <n x="800" s="1"/>
        <n x="621"/>
        <n x="620"/>
      </t>
    </mdx>
    <mdx n="0" f="v">
      <t c="6" si="614">
        <n x="610"/>
        <n x="265"/>
        <n x="540"/>
        <n x="800" s="1"/>
        <n x="621"/>
        <n x="622"/>
      </t>
    </mdx>
    <mdx n="0" f="v">
      <t c="6" si="614">
        <n x="610"/>
        <n x="391"/>
        <n x="392"/>
        <n x="800" s="1"/>
        <n x="621"/>
        <n x="622"/>
      </t>
    </mdx>
    <mdx n="0" f="v">
      <t c="6" si="614">
        <n x="610"/>
        <n x="279"/>
        <n x="210"/>
        <n x="800" s="1"/>
        <n x="623"/>
        <n x="624"/>
      </t>
    </mdx>
    <mdx n="0" f="v">
      <t c="6" si="614">
        <n x="610"/>
        <n x="409"/>
        <n x="410"/>
        <n x="800" s="1"/>
        <n x="623"/>
        <n x="624"/>
      </t>
    </mdx>
    <mdx n="0" f="v">
      <t c="6" si="614">
        <n x="610"/>
        <n x="409"/>
        <n x="410"/>
        <n x="800" s="1"/>
        <n x="621"/>
        <n x="622"/>
      </t>
    </mdx>
    <mdx n="0" f="v">
      <t c="6" si="614">
        <n x="799"/>
        <n x="515"/>
        <n x="516"/>
        <n x="800" s="1"/>
        <n x="621"/>
        <n x="622"/>
      </t>
    </mdx>
    <mdx n="0" f="v">
      <t c="6" si="614">
        <n x="610"/>
        <n x="735"/>
        <n x="562"/>
        <n x="800" s="1"/>
        <n x="619"/>
        <n x="620"/>
      </t>
    </mdx>
    <mdx n="0" f="v">
      <t c="6" si="614">
        <n x="610"/>
        <n x="521"/>
        <n x="562"/>
        <n x="800" s="1"/>
        <n x="619"/>
        <n x="620"/>
      </t>
    </mdx>
    <mdx n="0" f="v">
      <t c="6" si="614">
        <n x="610"/>
        <n x="725"/>
        <n x="726"/>
        <n x="800" s="1"/>
        <n x="619"/>
        <n x="622"/>
      </t>
    </mdx>
    <mdx n="0" f="v">
      <t c="6" si="614">
        <n x="610"/>
        <n x="449"/>
        <n x="450"/>
        <n x="800" s="1"/>
        <n x="619"/>
        <n x="620"/>
      </t>
    </mdx>
    <mdx n="0" f="v">
      <t c="6" si="614">
        <n x="610"/>
        <n x="453"/>
        <n x="756"/>
        <n x="800" s="1"/>
        <n x="619"/>
        <n x="620"/>
      </t>
    </mdx>
    <mdx n="0" f="v">
      <t c="6" si="614">
        <n x="610"/>
        <n x="453"/>
        <n x="578"/>
        <n x="800" s="1"/>
        <n x="623"/>
        <n x="622"/>
      </t>
    </mdx>
    <mdx n="0" f="v">
      <t c="6" si="614">
        <n x="610"/>
        <n x="453"/>
        <n x="578"/>
        <n x="800" s="1"/>
        <n x="629"/>
        <n x="624"/>
      </t>
    </mdx>
    <mdx n="0" f="v">
      <t c="6" si="614">
        <n x="610"/>
        <n x="747"/>
        <n x="428"/>
        <n x="800" s="1"/>
        <n x="619"/>
        <n x="620"/>
      </t>
    </mdx>
    <mdx n="0" f="v">
      <t c="6" si="614">
        <n x="610"/>
        <n x="751"/>
        <n x="752"/>
        <n x="800" s="1"/>
        <n x="623"/>
        <n x="624"/>
      </t>
    </mdx>
    <mdx n="0" f="v">
      <t c="6" si="614">
        <n x="610"/>
        <n x="435"/>
        <n x="436"/>
        <n x="800" s="1"/>
        <n x="623"/>
        <n x="624"/>
      </t>
    </mdx>
    <mdx n="0" f="v">
      <t c="6" si="614">
        <n x="610"/>
        <n x="507"/>
        <n x="720"/>
        <n x="800" s="1"/>
        <n x="619"/>
        <n x="620"/>
      </t>
    </mdx>
    <mdx n="0" f="v">
      <t c="6" si="614">
        <n x="610"/>
        <n x="785"/>
        <n x="236"/>
        <n x="800" s="1"/>
        <n x="619"/>
        <n x="620"/>
      </t>
    </mdx>
    <mdx n="0" f="v">
      <t c="6" si="614">
        <n x="610"/>
        <n x="785"/>
        <n x="786"/>
        <n x="800" s="1"/>
        <n x="619"/>
        <n x="620"/>
      </t>
    </mdx>
    <mdx n="0" f="r">
      <t c="2">
        <n x="610"/>
        <n x="729"/>
      </t>
    </mdx>
    <mdx n="0" f="r">
      <t c="2">
        <n x="610"/>
        <n x="737"/>
      </t>
    </mdx>
    <mdx n="0" f="v">
      <t c="6" si="614">
        <n x="610"/>
        <n x="737"/>
        <n x="738"/>
        <n x="800" s="1"/>
        <n x="623"/>
        <n x="622"/>
      </t>
    </mdx>
    <mdx n="0" f="v">
      <t c="6" si="614">
        <n x="799"/>
        <n x="551"/>
        <n x="272"/>
        <n x="800" s="1"/>
        <n x="623"/>
        <n x="620"/>
      </t>
    </mdx>
    <mdx n="0" f="v">
      <t c="6" si="614">
        <n x="610"/>
        <n x="447"/>
        <n x="212"/>
        <n x="800" s="1"/>
        <n x="623"/>
        <n x="624"/>
      </t>
    </mdx>
    <mdx n="0" f="v">
      <t c="6" si="614">
        <n x="610"/>
        <n x="583"/>
        <n x="584"/>
        <n x="800" s="1"/>
        <n x="623"/>
        <n x="624"/>
      </t>
    </mdx>
    <mdx n="0" f="v">
      <t c="6" si="614">
        <n x="610"/>
        <n x="573"/>
        <n x="584"/>
        <n x="800" s="1"/>
        <n x="623"/>
        <n x="624"/>
      </t>
    </mdx>
    <mdx n="0" f="r">
      <t c="2">
        <n x="610"/>
        <n x="443"/>
      </t>
    </mdx>
    <mdx n="0" f="v">
      <t c="6" si="614">
        <n x="610"/>
        <n x="227"/>
        <n x="228"/>
        <n x="800" s="1"/>
        <n x="623"/>
        <n x="624"/>
      </t>
    </mdx>
    <mdx n="0" f="v">
      <t c="6" si="614">
        <n x="610"/>
        <n x="349"/>
        <n x="228"/>
        <n x="800" s="1"/>
        <n x="623"/>
        <n x="624"/>
      </t>
    </mdx>
    <mdx n="0" f="v">
      <t c="6" si="614">
        <n x="610"/>
        <n x="767"/>
        <n x="768"/>
        <n x="800" s="1"/>
        <n x="621"/>
        <n x="620"/>
      </t>
    </mdx>
    <mdx n="0" f="v">
      <t c="6" si="614">
        <n x="610"/>
        <n x="713"/>
        <n x="768"/>
        <n x="800" s="1"/>
        <n x="621"/>
        <n x="622"/>
      </t>
    </mdx>
    <mdx n="0" f="v">
      <t c="6" si="614">
        <n x="610"/>
        <n x="593"/>
        <n x="594"/>
        <n x="800" s="1"/>
        <n x="623"/>
        <n x="620"/>
      </t>
    </mdx>
    <mdx n="0" f="v">
      <t c="6" si="614">
        <n x="610"/>
        <n x="803"/>
        <n x="372"/>
        <n x="800" s="1"/>
        <n x="619"/>
        <n x="620"/>
      </t>
    </mdx>
    <mdx n="0" f="v">
      <t c="6" si="614">
        <n x="610"/>
        <n x="803"/>
        <n x="804"/>
        <n x="800" s="1"/>
        <n x="619"/>
        <n x="620"/>
      </t>
    </mdx>
    <mdx n="0" f="v">
      <t c="6" si="614">
        <n x="610"/>
        <n x="237"/>
        <n x="804"/>
        <n x="800" s="1"/>
        <n x="621"/>
        <n x="622"/>
      </t>
    </mdx>
    <mdx n="0" f="r">
      <t c="2">
        <n x="799"/>
        <n x="355"/>
      </t>
    </mdx>
    <mdx n="0" f="v">
      <t c="6" si="614">
        <n x="799"/>
        <n x="213"/>
        <n x="356"/>
        <n x="800" s="1"/>
        <n x="625"/>
        <n x="626"/>
      </t>
    </mdx>
    <mdx n="0" f="v">
      <t c="6" si="614">
        <n x="610"/>
        <n x="477"/>
        <n x="478"/>
        <n x="800" s="1"/>
        <n x="623"/>
        <n x="624"/>
      </t>
    </mdx>
    <mdx n="0" f="v">
      <t c="6" si="614">
        <n x="610"/>
        <n x="731"/>
        <n x="732"/>
        <n x="800" s="1"/>
        <n x="625"/>
        <n x="620"/>
      </t>
    </mdx>
    <mdx n="0" f="v">
      <t c="6" si="614">
        <n x="610"/>
        <n x="731"/>
        <n x="732"/>
        <n x="800" s="1"/>
        <n x="625"/>
        <n x="620"/>
      </t>
    </mdx>
    <mdx n="0" f="v">
      <t c="6" si="614">
        <n x="610"/>
        <n x="731"/>
        <n x="256"/>
        <n x="800" s="1"/>
        <n x="623"/>
        <n x="624"/>
      </t>
    </mdx>
    <mdx n="0" f="v">
      <t c="6" si="614">
        <n x="610"/>
        <n x="275"/>
        <n x="276"/>
        <n x="800" s="1"/>
        <n x="625"/>
        <n x="626"/>
      </t>
    </mdx>
    <mdx n="0" f="v">
      <t c="6" si="614">
        <n x="610"/>
        <n x="275"/>
        <n x="276"/>
        <n x="800" s="1"/>
        <n x="619"/>
        <n x="620"/>
      </t>
    </mdx>
    <mdx n="0" f="v">
      <t c="6" si="614">
        <n x="610"/>
        <n x="253"/>
        <n x="254"/>
        <n x="800" s="1"/>
        <n x="623"/>
        <n x="624"/>
      </t>
    </mdx>
    <mdx n="0" f="v">
      <t c="6" si="614">
        <n x="799"/>
        <n x="211"/>
        <n x="240"/>
        <n x="800" s="1"/>
        <n x="625"/>
        <n x="626"/>
      </t>
    </mdx>
    <mdx n="0" f="v">
      <t c="6" si="614">
        <n x="610"/>
        <n x="769"/>
        <n x="564"/>
        <n x="800" s="1"/>
        <n x="619"/>
        <n x="620"/>
      </t>
    </mdx>
    <mdx n="0" f="v">
      <t c="6" si="614">
        <n x="610"/>
        <n x="319"/>
        <n x="320"/>
        <n x="800" s="1"/>
        <n x="619"/>
        <n x="620"/>
      </t>
    </mdx>
    <mdx n="0" f="v">
      <t c="6" si="614">
        <n x="799"/>
        <n x="431"/>
        <n x="432"/>
        <n x="800" s="1"/>
        <n x="619"/>
        <n x="620"/>
      </t>
    </mdx>
    <mdx n="0" f="v">
      <t c="6" si="614">
        <n x="610"/>
        <n x="517"/>
        <n x="518"/>
        <n x="800" s="1"/>
        <n x="619"/>
        <n x="620"/>
      </t>
    </mdx>
    <mdx n="0" f="v">
      <t c="6" si="614">
        <n x="799"/>
        <n x="549"/>
        <n x="518"/>
        <n x="800" s="1"/>
        <n x="619"/>
        <n x="620"/>
      </t>
    </mdx>
    <mdx n="0" f="v">
      <t c="6" si="614">
        <n x="610"/>
        <n x="419"/>
        <n x="420"/>
        <n x="800" s="1"/>
        <n x="621"/>
        <n x="622"/>
      </t>
    </mdx>
    <mdx n="0" f="v">
      <t c="6" si="614">
        <n x="799"/>
        <n x="605"/>
        <n x="722"/>
        <n x="800" s="1"/>
        <n x="621"/>
        <n x="622"/>
      </t>
    </mdx>
    <mdx n="0" f="v">
      <t c="6" si="614">
        <n x="610"/>
        <n x="503"/>
        <n x="500"/>
        <n x="800" s="1"/>
        <n x="619"/>
        <n x="620"/>
      </t>
    </mdx>
    <mdx n="0" f="v">
      <t c="6" si="614">
        <n x="610"/>
        <n x="503"/>
        <n x="504"/>
        <n x="800" s="1"/>
        <n x="627"/>
        <n x="628"/>
      </t>
    </mdx>
    <mdx n="0" f="v">
      <t c="6" si="614">
        <n x="610"/>
        <n x="329"/>
        <n x="790"/>
        <n x="800" s="1"/>
        <n x="629"/>
        <n x="630"/>
      </t>
    </mdx>
    <mdx n="0" f="v">
      <t c="6" si="614">
        <n x="610"/>
        <n x="329"/>
        <n x="330"/>
        <n x="800" s="1"/>
        <n x="619"/>
        <n x="620"/>
      </t>
    </mdx>
    <mdx n="0" f="v">
      <t c="6" si="614">
        <n x="610"/>
        <n x="731"/>
        <n x="330"/>
        <n x="800" s="1"/>
        <n x="621"/>
        <n x="622"/>
      </t>
    </mdx>
    <mdx n="0" f="v">
      <t c="6" si="614">
        <n x="610"/>
        <n x="725"/>
        <n x="726"/>
        <n x="800" s="1"/>
        <n x="619"/>
        <n x="620"/>
      </t>
    </mdx>
    <mdx n="0" f="v">
      <t c="6" si="614">
        <n x="799"/>
        <n x="453"/>
        <n x="726"/>
        <n x="800" s="1"/>
        <n x="623"/>
        <n x="620"/>
      </t>
    </mdx>
    <mdx n="0" f="r">
      <t c="2">
        <n x="610"/>
        <n x="527"/>
      </t>
    </mdx>
    <mdx n="0" f="v">
      <t c="6" si="614">
        <n x="610"/>
        <n x="513"/>
        <n x="514"/>
        <n x="800" s="1"/>
        <n x="619"/>
        <n x="620"/>
      </t>
    </mdx>
    <mdx n="0" f="v">
      <t c="6" si="614">
        <n x="610"/>
        <n x="741"/>
        <n x="742"/>
        <n x="800" s="1"/>
        <n x="623"/>
        <n x="620"/>
      </t>
    </mdx>
    <mdx n="0" f="v">
      <t c="6" si="614">
        <n x="610"/>
        <n x="741"/>
        <n x="738"/>
        <n x="800" s="1"/>
        <n x="619"/>
        <n x="620"/>
      </t>
    </mdx>
    <mdx n="0" f="v">
      <t c="6" si="614">
        <n x="610"/>
        <n x="761"/>
        <n x="762"/>
        <n x="800" s="1"/>
        <n x="621"/>
        <n x="622"/>
      </t>
    </mdx>
    <mdx n="0" f="v">
      <t c="6" si="614">
        <n x="610"/>
        <n x="753"/>
        <n x="524"/>
        <n x="800" s="1"/>
        <n x="619"/>
        <n x="624"/>
      </t>
    </mdx>
    <mdx n="0" f="v">
      <t c="6" si="614">
        <n x="610"/>
        <n x="433"/>
        <n x="362"/>
        <n x="800" s="1"/>
        <n x="619"/>
        <n x="620"/>
      </t>
    </mdx>
    <mdx n="0" f="v">
      <t c="6" si="614">
        <n x="799"/>
        <n x="433"/>
        <n x="434"/>
        <n x="800" s="1"/>
        <n x="621"/>
        <n x="622"/>
      </t>
    </mdx>
    <mdx n="0" f="r">
      <t c="2">
        <n x="799"/>
        <n x="229"/>
      </t>
    </mdx>
    <mdx n="0" f="v">
      <t c="6" si="614">
        <n x="610"/>
        <n x="773"/>
        <n x="434"/>
        <n x="800" s="1"/>
        <n x="621"/>
        <n x="624"/>
      </t>
    </mdx>
    <mdx n="0" f="v">
      <t c="6" si="614">
        <n x="610"/>
        <n x="327"/>
        <n x="590"/>
        <n x="800" s="1"/>
        <n x="619"/>
        <n x="624"/>
      </t>
    </mdx>
    <mdx n="0" f="v">
      <t c="6" si="614">
        <n x="610"/>
        <n x="327"/>
        <n x="328"/>
        <n x="800" s="1"/>
        <n x="625"/>
        <n x="626"/>
      </t>
    </mdx>
    <mdx n="0" f="v">
      <t c="6" si="614">
        <n x="610"/>
        <n x="803"/>
        <n x="328"/>
        <n x="800" s="1"/>
        <n x="625"/>
        <n x="626"/>
      </t>
    </mdx>
    <mdx n="0" f="v">
      <t c="6" si="614">
        <n x="610"/>
        <n x="351"/>
        <n x="352"/>
        <n x="800" s="1"/>
        <n x="621"/>
        <n x="624"/>
      </t>
    </mdx>
    <mdx n="0" f="r">
      <t c="2">
        <n x="610"/>
        <n x="293"/>
      </t>
    </mdx>
    <mdx n="0" f="v">
      <t c="6" si="614">
        <n x="610"/>
        <n x="293"/>
        <n x="294"/>
        <n x="800" s="1"/>
        <n x="623"/>
        <n x="624"/>
      </t>
    </mdx>
    <mdx n="0" f="v">
      <t c="6" si="614">
        <n x="610"/>
        <n x="539"/>
        <n x="540"/>
        <n x="800" s="1"/>
        <n x="623"/>
        <n x="630"/>
      </t>
    </mdx>
    <mdx n="0" f="v">
      <t c="6" si="614">
        <n x="610"/>
        <n x="461"/>
        <n x="292"/>
        <n x="800" s="1"/>
        <n x="623"/>
        <n x="624"/>
      </t>
    </mdx>
    <mdx n="0" f="v">
      <t c="6" si="614">
        <n x="799"/>
        <n x="571"/>
        <n x="572"/>
        <n x="800" s="1"/>
        <n x="629"/>
        <n x="630"/>
      </t>
    </mdx>
    <mdx n="0" f="v">
      <t c="6" si="614">
        <n x="799"/>
        <n x="527"/>
        <n x="572"/>
        <n x="800" s="1"/>
        <n x="621"/>
        <n x="622"/>
      </t>
    </mdx>
    <mdx n="0" f="v">
      <t c="6" si="614">
        <n x="610"/>
        <n x="375"/>
        <n x="222"/>
        <n x="800" s="1"/>
        <n x="617"/>
        <n x="624"/>
      </t>
    </mdx>
    <mdx n="0" f="v">
      <t c="6" si="614">
        <n x="610"/>
        <n x="203"/>
        <n x="222"/>
        <n x="800" s="1"/>
        <n x="617"/>
        <n x="618"/>
      </t>
    </mdx>
    <mdx n="0" f="v">
      <t c="6" si="614">
        <n x="610"/>
        <n x="203"/>
        <n x="204"/>
        <n x="800" s="1"/>
        <n x="621"/>
        <n x="622"/>
      </t>
    </mdx>
    <mdx n="0" f="v">
      <t c="6" si="614">
        <n x="610"/>
        <n x="393"/>
        <n x="394"/>
        <n x="800" s="1"/>
        <n x="619"/>
        <n x="620"/>
      </t>
    </mdx>
    <mdx n="0" f="v">
      <t c="6" si="614">
        <n x="799"/>
        <n x="721"/>
        <n x="722"/>
        <n x="800" s="1"/>
        <n x="627"/>
        <n x="628"/>
      </t>
    </mdx>
    <mdx n="0" f="r">
      <t c="2">
        <n x="610"/>
        <n x="299"/>
      </t>
    </mdx>
    <mdx n="0" f="v">
      <t c="6" si="614">
        <n x="610"/>
        <n x="757"/>
        <n x="300"/>
        <n x="800" s="1"/>
        <n x="623"/>
        <n x="624"/>
      </t>
    </mdx>
    <mdx n="0" f="v">
      <t c="6" si="614">
        <n x="610"/>
        <n x="757"/>
        <n x="758"/>
        <n x="800" s="1"/>
        <n x="623"/>
        <n x="624"/>
      </t>
    </mdx>
    <mdx n="0" f="v">
      <t c="6" si="614">
        <n x="610"/>
        <n x="379"/>
        <n x="380"/>
        <n x="800" s="1"/>
        <n x="623"/>
        <n x="624"/>
      </t>
    </mdx>
    <mdx n="0" f="v">
      <t c="6" si="614">
        <n x="610"/>
        <n x="337"/>
        <n x="380"/>
        <n x="800" s="1"/>
        <n x="619"/>
        <n x="620"/>
      </t>
    </mdx>
    <mdx n="0" f="v">
      <t c="6" si="614">
        <n x="610"/>
        <n x="337"/>
        <n x="338"/>
        <n x="800" s="1"/>
        <n x="617"/>
        <n x="618"/>
      </t>
    </mdx>
    <mdx n="0" f="v">
      <t c="6" si="614">
        <n x="610"/>
        <n x="321"/>
        <n x="322"/>
        <n x="800" s="1"/>
        <n x="625"/>
        <n x="626"/>
      </t>
    </mdx>
    <mdx n="0" f="v">
      <t c="6" si="614">
        <n x="610"/>
        <n x="315"/>
        <n x="316"/>
        <n x="800" s="1"/>
        <n x="625"/>
        <n x="624"/>
      </t>
    </mdx>
    <mdx n="0" f="v">
      <t c="6" si="614">
        <n x="610"/>
        <n x="315"/>
        <n x="316"/>
        <n x="800" s="1"/>
        <n x="625"/>
        <n x="626"/>
      </t>
    </mdx>
    <mdx n="0" f="v">
      <t c="6" si="614">
        <n x="610"/>
        <n x="315"/>
        <n x="316"/>
        <n x="800" s="1"/>
        <n x="629"/>
        <n x="630"/>
      </t>
    </mdx>
    <mdx n="0" f="v">
      <t c="6" si="614">
        <n x="610"/>
        <n x="513"/>
        <n x="514"/>
        <n x="800" s="1"/>
        <n x="619"/>
        <n x="620"/>
      </t>
    </mdx>
    <mdx n="0" f="v">
      <t c="6" si="614">
        <n x="610"/>
        <n x="337"/>
        <n x="520"/>
        <n x="800" s="1"/>
        <n x="623"/>
        <n x="620"/>
      </t>
    </mdx>
    <mdx n="0" f="v">
      <t c="6" si="614">
        <n x="610"/>
        <n x="337"/>
        <n x="520"/>
        <n x="800" s="1"/>
        <n x="623"/>
        <n x="624"/>
      </t>
    </mdx>
    <mdx n="0" f="r">
      <t c="2">
        <n x="799"/>
        <n x="393"/>
      </t>
    </mdx>
    <mdx n="0" f="v">
      <t c="6" si="614">
        <n x="799"/>
        <n x="393"/>
        <n x="414"/>
        <n x="800" s="1"/>
        <n x="621"/>
        <n x="622"/>
      </t>
    </mdx>
    <mdx n="0" f="v">
      <t c="6" si="614">
        <n x="799"/>
        <n x="559"/>
        <n x="542"/>
        <n x="800" s="1"/>
        <n x="623"/>
        <n x="624"/>
      </t>
    </mdx>
    <mdx n="0" f="v">
      <t c="6" si="614">
        <n x="610"/>
        <n x="601"/>
        <n x="364"/>
        <n x="800" s="1"/>
        <n x="619"/>
        <n x="620"/>
      </t>
    </mdx>
    <mdx n="0" f="v">
      <t c="6" si="614">
        <n x="610"/>
        <n x="601"/>
        <n x="602"/>
        <n x="800" s="1"/>
        <n x="619"/>
        <n x="620"/>
      </t>
    </mdx>
    <mdx n="0" f="v">
      <t c="6" si="614">
        <n x="799"/>
        <n x="445"/>
        <n x="602"/>
        <n x="800" s="1"/>
        <n x="619"/>
        <n x="620"/>
      </t>
    </mdx>
    <mdx n="0" f="v">
      <t c="6" si="614">
        <n x="799"/>
        <n x="349"/>
        <n x="234"/>
        <n x="800" s="1"/>
        <n x="623"/>
        <n x="624"/>
      </t>
    </mdx>
    <mdx n="0" f="v">
      <t c="6" si="614">
        <n x="610"/>
        <n x="767"/>
        <n x="768"/>
        <n x="800" s="1"/>
        <n x="623"/>
        <n x="624"/>
      </t>
    </mdx>
    <mdx n="0" f="v">
      <t c="6" si="614">
        <n x="799"/>
        <n x="593"/>
        <n x="768"/>
        <n x="800" s="1"/>
        <n x="621"/>
        <n x="622"/>
      </t>
    </mdx>
    <mdx n="0" f="r">
      <t c="2">
        <n x="610"/>
        <n x="373"/>
      </t>
    </mdx>
    <mdx n="0" f="v">
      <t c="6" si="614">
        <n x="799"/>
        <n x="247"/>
        <n x="338"/>
        <n x="800" s="1"/>
        <n x="617"/>
        <n x="624"/>
      </t>
    </mdx>
    <mdx n="0" f="v">
      <t c="6" si="614">
        <n x="610"/>
        <n x="247"/>
        <n x="338"/>
        <n x="800" s="1"/>
        <n x="617"/>
        <n x="618"/>
      </t>
    </mdx>
    <mdx n="0" f="r">
      <t c="2">
        <n x="610"/>
        <n x="417"/>
      </t>
    </mdx>
    <mdx n="0" f="v">
      <t c="6" si="614">
        <n x="610"/>
        <n x="443"/>
        <n x="328"/>
        <n x="800" s="1"/>
        <n x="621"/>
        <n x="622"/>
      </t>
    </mdx>
    <mdx n="0" f="v">
      <t c="6" si="614">
        <n x="610"/>
        <n x="433"/>
        <n x="434"/>
        <n x="800" s="1"/>
        <n x="619"/>
        <n x="620"/>
      </t>
    </mdx>
    <mdx n="0" f="v">
      <t c="6" si="614">
        <n x="610"/>
        <n x="377"/>
        <n x="378"/>
        <n x="800" s="1"/>
        <n x="619"/>
        <n x="620"/>
      </t>
    </mdx>
    <mdx n="0" f="v">
      <t c="6" si="614">
        <n x="610"/>
        <n x="377"/>
        <n x="378"/>
        <n x="800" s="1"/>
        <n x="621"/>
        <n x="622"/>
      </t>
    </mdx>
    <mdx n="0" f="v">
      <t c="6" si="614">
        <n x="610"/>
        <n x="567"/>
        <n x="568"/>
        <n x="800" s="1"/>
        <n x="623"/>
        <n x="622"/>
      </t>
    </mdx>
    <mdx n="0" f="r">
      <t c="2">
        <n x="610"/>
        <n x="787"/>
      </t>
    </mdx>
    <mdx n="0" f="v">
      <t c="6" si="614">
        <n x="610"/>
        <n x="455"/>
        <n x="554"/>
        <n x="800" s="1"/>
        <n x="621"/>
        <n x="622"/>
      </t>
    </mdx>
    <mdx n="0" f="v">
      <t c="6" si="614">
        <n x="610"/>
        <n x="455"/>
        <n x="374"/>
        <n x="800" s="1"/>
        <n x="623"/>
        <n x="620"/>
      </t>
    </mdx>
    <mdx n="0" f="v">
      <t c="6" si="614">
        <n x="799"/>
        <n x="575"/>
        <n x="444"/>
        <n x="800" s="1"/>
        <n x="627"/>
        <n x="628"/>
      </t>
    </mdx>
    <mdx n="0" f="v">
      <t c="6" si="614">
        <n x="610"/>
        <n x="575"/>
        <n x="444"/>
        <n x="800" s="1"/>
        <n x="627"/>
        <n x="620"/>
      </t>
    </mdx>
    <mdx n="0" f="v">
      <t c="6" si="614">
        <n x="610"/>
        <n x="531"/>
        <n x="592"/>
        <n x="800" s="1"/>
        <n x="627"/>
        <n x="620"/>
      </t>
    </mdx>
    <mdx n="0" f="r">
      <t c="2">
        <n x="610"/>
        <n x="457"/>
      </t>
    </mdx>
    <mdx n="0" f="v">
      <t c="6" si="614">
        <n x="799"/>
        <n x="557"/>
        <n x="458"/>
        <n x="800" s="1"/>
        <n x="619"/>
        <n x="620"/>
      </t>
    </mdx>
    <mdx n="0" f="r">
      <t c="2">
        <n x="610"/>
        <n x="263"/>
      </t>
    </mdx>
    <mdx n="0" f="v">
      <t c="6" si="614">
        <n x="610"/>
        <n x="213"/>
        <n x="274"/>
        <n x="800" s="1"/>
        <n x="619"/>
        <n x="620"/>
      </t>
    </mdx>
    <mdx n="0" f="v">
      <t c="6" si="614">
        <n x="610"/>
        <n x="213"/>
        <n x="214"/>
        <n x="800" s="1"/>
        <n x="623"/>
        <n x="620"/>
      </t>
    </mdx>
    <mdx n="0" f="v">
      <t c="6" si="614">
        <n x="610"/>
        <n x="213"/>
        <n x="214"/>
        <n x="800" s="1"/>
        <n x="621"/>
        <n x="624"/>
      </t>
    </mdx>
    <mdx n="0" f="v">
      <t c="6" si="614">
        <n x="610"/>
        <n x="299"/>
        <n x="214"/>
        <n x="800" s="1"/>
        <n x="621"/>
        <n x="622"/>
      </t>
    </mdx>
    <mdx n="0" f="v">
      <t c="6" si="614">
        <n x="799"/>
        <n x="601"/>
        <n x="300"/>
        <n x="800" s="1"/>
        <n x="619"/>
        <n x="620"/>
      </t>
    </mdx>
    <mdx n="0" f="v">
      <t c="6" si="614">
        <n x="799"/>
        <n x="315"/>
        <n x="252"/>
        <n x="800" s="1"/>
        <n x="621"/>
        <n x="622"/>
      </t>
    </mdx>
    <mdx n="0" f="v">
      <t c="6" si="614">
        <n x="610"/>
        <n x="467"/>
        <n x="468"/>
        <n x="800" s="1"/>
        <n x="619"/>
        <n x="630"/>
      </t>
    </mdx>
    <mdx n="0" f="v">
      <t c="6" si="614">
        <n x="610"/>
        <n x="467"/>
        <n x="468"/>
        <n x="800" s="1"/>
        <n x="619"/>
        <n x="620"/>
      </t>
    </mdx>
    <mdx n="0" f="v">
      <t c="6" si="614">
        <n x="610"/>
        <n x="453"/>
        <n x="454"/>
        <n x="800" s="1"/>
        <n x="629"/>
        <n x="630"/>
      </t>
    </mdx>
    <mdx n="0" f="v">
      <t c="6" si="614">
        <n x="610"/>
        <n x="397"/>
        <n x="452"/>
        <n x="800" s="1"/>
        <n x="617"/>
        <n x="618"/>
      </t>
    </mdx>
    <mdx n="0" f="v">
      <t c="6" si="614">
        <n x="610"/>
        <n x="731"/>
        <n x="398"/>
        <n x="800" s="1"/>
        <n x="625"/>
        <n x="626"/>
      </t>
    </mdx>
    <mdx n="0" f="v">
      <t c="6" si="614">
        <n x="799"/>
        <n x="397"/>
        <n x="206"/>
        <n x="800" s="1"/>
        <n x="617"/>
        <n x="630"/>
      </t>
    </mdx>
    <mdx n="0" f="v">
      <t c="6" si="614">
        <n x="610"/>
        <n x="721"/>
        <n x="722"/>
        <n x="800" s="1"/>
        <n x="629"/>
        <n x="624"/>
      </t>
    </mdx>
    <mdx n="0" f="v">
      <t c="6" si="614">
        <n x="799"/>
        <n x="297"/>
        <n x="298"/>
        <n x="800" s="1"/>
        <n x="623"/>
        <n x="624"/>
      </t>
    </mdx>
    <mdx n="0" f="v">
      <t c="6" si="614">
        <n x="610"/>
        <n x="571"/>
        <n x="572"/>
        <n x="800" s="1"/>
        <n x="617"/>
        <n x="618"/>
      </t>
    </mdx>
    <mdx n="0" f="v">
      <t c="6" si="614">
        <n x="610"/>
        <n x="769"/>
        <n x="770"/>
        <n x="800" s="1"/>
        <n x="623"/>
        <n x="624"/>
      </t>
    </mdx>
    <mdx n="0" f="v">
      <t c="6" si="614">
        <n x="799"/>
        <n x="769"/>
        <n x="316"/>
        <n x="800" s="1"/>
        <n x="621"/>
        <n x="622"/>
      </t>
    </mdx>
    <mdx n="0" f="r">
      <t c="2">
        <n x="610"/>
        <n x="587"/>
      </t>
    </mdx>
    <mdx n="0" f="v">
      <t c="6" si="614">
        <n x="610"/>
        <n x="587"/>
        <n x="588"/>
        <n x="800" s="1"/>
        <n x="617"/>
        <n x="618"/>
      </t>
    </mdx>
    <mdx n="0" f="v">
      <t c="6" si="614">
        <n x="799"/>
        <n x="723"/>
        <n x="588"/>
        <n x="800" s="1"/>
        <n x="617"/>
        <n x="618"/>
      </t>
    </mdx>
    <mdx n="0" f="v">
      <t c="6" si="614">
        <n x="610"/>
        <n x="525"/>
        <n x="328"/>
        <n x="800" s="1"/>
        <n x="619"/>
        <n x="620"/>
      </t>
    </mdx>
    <mdx n="0" f="v">
      <t c="6" si="614">
        <n x="610"/>
        <n x="205"/>
        <n x="328"/>
        <n x="800" s="1"/>
        <n x="621"/>
        <n x="622"/>
      </t>
    </mdx>
    <mdx n="0" f="v">
      <t c="6" si="614">
        <n x="799"/>
        <n x="561"/>
        <n x="534"/>
        <n x="800" s="1"/>
        <n x="623"/>
        <n x="624"/>
      </t>
    </mdx>
    <mdx n="0" f="r">
      <t c="2">
        <n x="610"/>
        <n x="767"/>
      </t>
    </mdx>
    <mdx n="0" f="v">
      <t c="6" si="614">
        <n x="610"/>
        <n x="233"/>
        <n x="234"/>
        <n x="800" s="1"/>
        <n x="619"/>
        <n x="620"/>
      </t>
    </mdx>
    <mdx n="0" f="v">
      <t c="6" si="614">
        <n x="610"/>
        <n x="233"/>
        <n x="234"/>
        <n x="800" s="1"/>
        <n x="621"/>
        <n x="622"/>
      </t>
    </mdx>
    <mdx n="0" f="r">
      <t c="2">
        <n x="610"/>
        <n x="215"/>
      </t>
    </mdx>
    <mdx n="0" f="v">
      <t c="6" si="614">
        <n x="610"/>
        <n x="215"/>
        <n x="216"/>
        <n x="800" s="1"/>
        <n x="619"/>
        <n x="620"/>
      </t>
    </mdx>
    <mdx n="0" f="v">
      <t c="6" si="614">
        <n x="610"/>
        <n x="305"/>
        <n x="306"/>
        <n x="800" s="1"/>
        <n x="627"/>
        <n x="628"/>
      </t>
    </mdx>
    <mdx n="0" f="v">
      <t c="6" si="614">
        <n x="610"/>
        <n x="553"/>
        <n x="306"/>
        <n x="800" s="1"/>
        <n x="619"/>
        <n x="620"/>
      </t>
    </mdx>
    <mdx n="0" f="v">
      <t c="6" si="614">
        <n x="610"/>
        <n x="455"/>
        <n x="528"/>
        <n x="800" s="1"/>
        <n x="623"/>
        <n x="624"/>
      </t>
    </mdx>
    <mdx n="0" f="v">
      <t c="6" si="614">
        <n x="610"/>
        <n x="455"/>
        <n x="456"/>
        <n x="800" s="1"/>
        <n x="623"/>
        <n x="624"/>
      </t>
    </mdx>
    <mdx n="0" f="r">
      <t c="2">
        <n x="610"/>
        <n x="569"/>
      </t>
    </mdx>
    <mdx n="0" f="v">
      <t c="6" si="614">
        <n x="610"/>
        <n x="575"/>
        <n x="576"/>
        <n x="800" s="1"/>
        <n x="619"/>
        <n x="620"/>
      </t>
    </mdx>
    <mdx n="0" f="r">
      <t c="2">
        <n x="610"/>
        <n x="229"/>
      </t>
    </mdx>
    <mdx n="0" f="v">
      <t c="6" si="614">
        <n x="610"/>
        <n x="267"/>
        <n x="268"/>
        <n x="800" s="1"/>
        <n x="619"/>
        <n x="620"/>
      </t>
    </mdx>
    <mdx n="0" f="v">
      <t c="6" si="614">
        <n x="610"/>
        <n x="297"/>
        <n x="298"/>
        <n x="800" s="1"/>
        <n x="621"/>
        <n x="622"/>
      </t>
    </mdx>
    <mdx n="0" f="v">
      <t c="6" si="614">
        <n x="799"/>
        <n x="775"/>
        <n x="758"/>
        <n x="800" s="1"/>
        <n x="621"/>
        <n x="622"/>
      </t>
    </mdx>
    <mdx n="0" f="v">
      <t c="6" si="614">
        <n x="610"/>
        <n x="251"/>
        <n x="592"/>
        <n x="800" s="1"/>
        <n x="619"/>
        <n x="620"/>
      </t>
    </mdx>
    <mdx n="0" f="v">
      <t c="6" si="614">
        <n x="610"/>
        <n x="251"/>
        <n x="252"/>
        <n x="800" s="1"/>
        <n x="619"/>
        <n x="620"/>
      </t>
    </mdx>
    <mdx n="0" f="v">
      <t c="6" si="614">
        <n x="610"/>
        <n x="787"/>
        <n x="788"/>
        <n x="800" s="1"/>
        <n x="621"/>
        <n x="624"/>
      </t>
    </mdx>
    <mdx n="0" f="v">
      <t c="6" si="614">
        <n x="610"/>
        <n x="787"/>
        <n x="788"/>
        <n x="800" s="1"/>
        <n x="619"/>
        <n x="620"/>
      </t>
    </mdx>
    <mdx n="0" f="v">
      <t c="6" si="614">
        <n x="610"/>
        <n x="713"/>
        <n x="714"/>
        <n x="800" s="1"/>
        <n x="631"/>
        <n x="632"/>
      </t>
    </mdx>
    <mdx n="0" f="v">
      <t c="6" si="614">
        <n x="610"/>
        <n x="285"/>
        <n x="286"/>
        <n x="800" s="1"/>
        <n x="631"/>
        <n x="632"/>
      </t>
    </mdx>
    <mdx n="0" f="v">
      <t c="6" si="614">
        <n x="610"/>
        <n x="723"/>
        <n x="724"/>
        <n x="800" s="1"/>
        <n x="631"/>
        <n x="632"/>
      </t>
    </mdx>
    <mdx n="0" f="v">
      <t c="6" si="614">
        <n x="610"/>
        <n x="239"/>
        <n x="240"/>
        <n x="800" s="1"/>
        <n x="631"/>
        <n x="632"/>
      </t>
    </mdx>
    <mdx n="0" f="v">
      <t c="6" si="614">
        <n x="610"/>
        <n x="547"/>
        <n x="548"/>
        <n x="800" s="1"/>
        <n x="631"/>
        <n x="632"/>
      </t>
    </mdx>
    <mdx n="0" f="v">
      <t c="6" si="614">
        <n x="610"/>
        <n x="557"/>
        <n x="558"/>
        <n x="800" s="1"/>
        <n x="631"/>
        <n x="632"/>
      </t>
    </mdx>
    <mdx n="0" f="v">
      <t c="6" si="614">
        <n x="610"/>
        <n x="495"/>
        <n x="496"/>
        <n x="800" s="1"/>
        <n x="631"/>
        <n x="632"/>
      </t>
    </mdx>
    <mdx n="0" f="v">
      <t c="6" si="614">
        <n x="610"/>
        <n x="363"/>
        <n x="364"/>
        <n x="800" s="1"/>
        <n x="631"/>
        <n x="632"/>
      </t>
    </mdx>
    <mdx n="0" f="v">
      <t c="6" si="614">
        <n x="610"/>
        <n x="281"/>
        <n x="282"/>
        <n x="800" s="1"/>
        <n x="631"/>
        <n x="632"/>
      </t>
    </mdx>
    <mdx n="0" f="v">
      <t c="6" si="614">
        <n x="610"/>
        <n x="277"/>
        <n x="278"/>
        <n x="800" s="1"/>
        <n x="631"/>
        <n x="632"/>
      </t>
    </mdx>
    <mdx n="0" f="v">
      <t c="6" si="614">
        <n x="610"/>
        <n x="401"/>
        <n x="402"/>
        <n x="800" s="1"/>
        <n x="631"/>
        <n x="632"/>
      </t>
    </mdx>
    <mdx n="0" f="v">
      <t c="6" si="614">
        <n x="610"/>
        <n x="435"/>
        <n x="436"/>
        <n x="800" s="1"/>
        <n x="631"/>
        <n x="632"/>
      </t>
    </mdx>
    <mdx n="0" f="v">
      <t c="6" si="614">
        <n x="610"/>
        <n x="743"/>
        <n x="744"/>
        <n x="800" s="1"/>
        <n x="631"/>
        <n x="632"/>
      </t>
    </mdx>
    <mdx n="0" f="v">
      <t c="6" si="614">
        <n x="610"/>
        <n x="437"/>
        <n x="438"/>
        <n x="800" s="1"/>
        <n x="631"/>
        <n x="632"/>
      </t>
    </mdx>
    <mdx n="0" f="v">
      <t c="6" si="614">
        <n x="610"/>
        <n x="747"/>
        <n x="748"/>
        <n x="800" s="1"/>
        <n x="631"/>
        <n x="632"/>
      </t>
    </mdx>
    <mdx n="0" f="v">
      <t c="6" si="614">
        <n x="610"/>
        <n x="749"/>
        <n x="750"/>
        <n x="800" s="1"/>
        <n x="631"/>
        <n x="632"/>
      </t>
    </mdx>
    <mdx n="0" f="v">
      <t c="6" si="614">
        <n x="610"/>
        <n x="751"/>
        <n x="752"/>
        <n x="800" s="1"/>
        <n x="631"/>
        <n x="632"/>
      </t>
    </mdx>
    <mdx n="0" f="v">
      <t c="6" si="614">
        <n x="610"/>
        <n x="471"/>
        <n x="472"/>
        <n x="800" s="1"/>
        <n x="631"/>
        <n x="632"/>
      </t>
    </mdx>
    <mdx n="0" f="v">
      <t c="6" si="614">
        <n x="610"/>
        <n x="233"/>
        <n x="234"/>
        <n x="800" s="1"/>
        <n x="631"/>
        <n x="632"/>
      </t>
    </mdx>
    <mdx n="0" f="v">
      <t c="6" si="614">
        <n x="610"/>
        <n x="273"/>
        <n x="274"/>
        <n x="800" s="1"/>
        <n x="631"/>
        <n x="632"/>
      </t>
    </mdx>
    <mdx n="0" f="v">
      <t c="6" si="614">
        <n x="610"/>
        <n x="553"/>
        <n x="554"/>
        <n x="800" s="1"/>
        <n x="631"/>
        <n x="632"/>
      </t>
    </mdx>
    <mdx n="0" f="v">
      <t c="6" si="614">
        <n x="610"/>
        <n x="247"/>
        <n x="248"/>
        <n x="800" s="1"/>
        <n x="631"/>
        <n x="632"/>
      </t>
    </mdx>
    <mdx n="0" f="v">
      <t c="6" si="614">
        <n x="610"/>
        <n x="765"/>
        <n x="766"/>
        <n x="800" s="1"/>
        <n x="631"/>
        <n x="632"/>
      </t>
    </mdx>
    <mdx n="0" f="v">
      <t c="6" si="614">
        <n x="610"/>
        <n x="315"/>
        <n x="316"/>
        <n x="800" s="1"/>
        <n x="631"/>
        <n x="632"/>
      </t>
    </mdx>
    <mdx n="0" f="v">
      <t c="6" si="614">
        <n x="610"/>
        <n x="293"/>
        <n x="294"/>
        <n x="800" s="1"/>
        <n x="631"/>
        <n x="632"/>
      </t>
    </mdx>
    <mdx n="0" f="v">
      <t c="6" si="614">
        <n x="610"/>
        <n x="357"/>
        <n x="358"/>
        <n x="800" s="1"/>
        <n x="631"/>
        <n x="632"/>
      </t>
    </mdx>
    <mdx n="0" f="v">
      <t c="6" si="614">
        <n x="610"/>
        <n x="533"/>
        <n x="534"/>
        <n x="800" s="1"/>
        <n x="631"/>
        <n x="632"/>
      </t>
    </mdx>
    <mdx n="0" f="v">
      <t c="6" si="614">
        <n x="610"/>
        <n x="355"/>
        <n x="356"/>
        <n x="800" s="1"/>
        <n x="631"/>
        <n x="632"/>
      </t>
    </mdx>
    <mdx n="0" f="v">
      <t c="6" si="614">
        <n x="610"/>
        <n x="581"/>
        <n x="582"/>
        <n x="800" s="1"/>
        <n x="631"/>
        <n x="632"/>
      </t>
    </mdx>
    <mdx n="0" f="v">
      <t c="6" si="614">
        <n x="610"/>
        <n x="521"/>
        <n x="522"/>
        <n x="800" s="1"/>
        <n x="631"/>
        <n x="632"/>
      </t>
    </mdx>
    <mdx n="0" f="v">
      <t c="6" si="614">
        <n x="610"/>
        <n x="523"/>
        <n x="524"/>
        <n x="800" s="1"/>
        <n x="631"/>
        <n x="632"/>
      </t>
    </mdx>
    <mdx n="0" f="v">
      <t c="6" si="614">
        <n x="610"/>
        <n x="791"/>
        <n x="792"/>
        <n x="800" s="1"/>
        <n x="631"/>
        <n x="632"/>
      </t>
    </mdx>
    <mdx n="0" f="v">
      <t c="6" si="614">
        <n x="610"/>
        <n x="303"/>
        <n x="304"/>
        <n x="800" s="1"/>
        <n x="631"/>
        <n x="632"/>
      </t>
    </mdx>
    <mdx n="0" f="v">
      <t c="6" si="614">
        <n x="610"/>
        <n x="225"/>
        <n x="226"/>
        <n x="800" s="1"/>
        <n x="631"/>
        <n x="632"/>
      </t>
    </mdx>
    <mdx n="0" f="v">
      <t c="6" si="614">
        <n x="610"/>
        <n x="449"/>
        <n x="450"/>
        <n x="800" s="1"/>
        <n x="631"/>
        <n x="632"/>
      </t>
    </mdx>
    <mdx n="0" f="v">
      <t c="6" si="614">
        <n x="610"/>
        <n x="421"/>
        <n x="422"/>
        <n x="800" s="1"/>
        <n x="631"/>
        <n x="632"/>
      </t>
    </mdx>
    <mdx n="0" f="v">
      <t c="6" si="614">
        <n x="610"/>
        <n x="497"/>
        <n x="498"/>
        <n x="800" s="1"/>
        <n x="631"/>
        <n x="632"/>
      </t>
    </mdx>
    <mdx n="0" f="v">
      <t c="6" si="614">
        <n x="610"/>
        <n x="519"/>
        <n x="520"/>
        <n x="800" s="1"/>
        <n x="631"/>
        <n x="632"/>
      </t>
    </mdx>
    <mdx n="0" f="v">
      <t c="6" si="614">
        <n x="610"/>
        <n x="805"/>
        <n x="806"/>
        <n x="800" s="1"/>
        <n x="631"/>
        <n x="632"/>
      </t>
    </mdx>
    <mdx n="0" f="v">
      <t c="6" si="614">
        <n x="610"/>
        <n x="711"/>
        <n x="712"/>
        <n x="800" s="1"/>
        <n x="631"/>
        <n x="632"/>
      </t>
    </mdx>
    <mdx n="0" f="v">
      <t c="6" si="614">
        <n x="610"/>
        <n x="217"/>
        <n x="218"/>
        <n x="800" s="1"/>
        <n x="631"/>
        <n x="632"/>
      </t>
    </mdx>
    <mdx n="0" f="v">
      <t c="6" si="614">
        <n x="610"/>
        <n x="721"/>
        <n x="722"/>
        <n x="800" s="1"/>
        <n x="631"/>
        <n x="632"/>
      </t>
    </mdx>
    <mdx n="0" f="v">
      <t c="6" si="614">
        <n x="610"/>
        <n x="379"/>
        <n x="380"/>
        <n x="800" s="1"/>
        <n x="631"/>
        <n x="632"/>
      </t>
    </mdx>
    <mdx n="0" f="v">
      <t c="6" si="614">
        <n x="610"/>
        <n x="459"/>
        <n x="460"/>
        <n x="800" s="1"/>
        <n x="631"/>
        <n x="632"/>
      </t>
    </mdx>
    <mdx n="0" f="v">
      <t c="6" si="614">
        <n x="610"/>
        <n x="601"/>
        <n x="602"/>
        <n x="800" s="1"/>
        <n x="631"/>
        <n x="632"/>
      </t>
    </mdx>
    <mdx n="0" f="v">
      <t c="6" si="614">
        <n x="610"/>
        <n x="237"/>
        <n x="238"/>
        <n x="800" s="1"/>
        <n x="631"/>
        <n x="632"/>
      </t>
    </mdx>
    <mdx n="0" f="v">
      <t c="6" si="614">
        <n x="610"/>
        <n x="453"/>
        <n x="454"/>
        <n x="800" s="1"/>
        <n x="631"/>
        <n x="632"/>
      </t>
    </mdx>
    <mdx n="0" f="v">
      <t c="6" si="614">
        <n x="610"/>
        <n x="733"/>
        <n x="734"/>
        <n x="800" s="1"/>
        <n x="631"/>
        <n x="632"/>
      </t>
    </mdx>
    <mdx n="0" f="v">
      <t c="6" si="614">
        <n x="610"/>
        <n x="283"/>
        <n x="716"/>
        <n x="800" s="1"/>
        <n x="631"/>
        <n x="632"/>
      </t>
    </mdx>
    <mdx n="0" f="v">
      <t c="6" si="614">
        <n x="610"/>
        <n x="283"/>
        <n x="284"/>
        <n x="800" s="1"/>
        <n x="631"/>
        <n x="632"/>
      </t>
    </mdx>
    <mdx n="0" f="v">
      <t c="6" si="614">
        <n x="610"/>
        <n x="319"/>
        <n x="320"/>
        <n x="800" s="1"/>
        <n x="631"/>
        <n x="632"/>
      </t>
    </mdx>
    <mdx n="0" f="v">
      <t c="6" si="614">
        <n x="610"/>
        <n x="319"/>
        <n x="320"/>
        <n x="800" s="1"/>
        <n x="631"/>
        <n x="632"/>
      </t>
    </mdx>
    <mdx n="0" f="v">
      <t c="6" si="614">
        <n x="610"/>
        <n x="741"/>
        <n x="464"/>
        <n x="800" s="1"/>
        <n x="631"/>
        <n x="632"/>
      </t>
    </mdx>
    <mdx n="0" f="v">
      <t c="6" si="614">
        <n x="610"/>
        <n x="741"/>
        <n x="742"/>
        <n x="800" s="1"/>
        <n x="631"/>
        <n x="632"/>
      </t>
    </mdx>
    <mdx n="0" f="v">
      <t c="6" si="614">
        <n x="610"/>
        <n x="365"/>
        <n x="366"/>
        <n x="800" s="1"/>
        <n x="631"/>
        <n x="632"/>
      </t>
    </mdx>
    <mdx n="0" f="v">
      <t c="6" si="614">
        <n x="610"/>
        <n x="393"/>
        <n x="394"/>
        <n x="800" s="1"/>
        <n x="631"/>
        <n x="632"/>
      </t>
    </mdx>
    <mdx n="0" f="v">
      <t c="6" si="614">
        <n x="610"/>
        <n x="605"/>
        <n x="598"/>
        <n x="800" s="1"/>
        <n x="631"/>
        <n x="632"/>
      </t>
    </mdx>
    <mdx n="0" f="v">
      <t c="6" si="614">
        <n x="610"/>
        <n x="605"/>
        <n x="606"/>
        <n x="800" s="1"/>
        <n x="631"/>
        <n x="632"/>
      </t>
    </mdx>
    <mdx n="0" f="v">
      <t c="6" si="614">
        <n x="610"/>
        <n x="295"/>
        <n x="296"/>
        <n x="800" s="1"/>
        <n x="631"/>
        <n x="632"/>
      </t>
    </mdx>
    <mdx n="0" f="v">
      <t c="6" si="614">
        <n x="610"/>
        <n x="299"/>
        <n x="300"/>
        <n x="800" s="1"/>
        <n x="631"/>
        <n x="632"/>
      </t>
    </mdx>
    <mdx n="0" f="v">
      <t c="6" si="614">
        <n x="610"/>
        <n x="229"/>
        <n x="230"/>
        <n x="800" s="1"/>
        <n x="631"/>
        <n x="632"/>
      </t>
    </mdx>
    <mdx n="0" f="v">
      <t c="6" si="614">
        <n x="610"/>
        <n x="243"/>
        <n x="244"/>
        <n x="800" s="1"/>
        <n x="631"/>
        <n x="632"/>
      </t>
    </mdx>
    <mdx n="0" f="v">
      <t c="6" si="614">
        <n x="610"/>
        <n x="399"/>
        <n x="400"/>
        <n x="800" s="1"/>
        <n x="631"/>
        <n x="632"/>
      </t>
    </mdx>
    <mdx n="0" f="v">
      <t c="6" si="614">
        <n x="610"/>
        <n x="551"/>
        <n x="552"/>
        <n x="800" s="1"/>
        <n x="631"/>
        <n x="632"/>
      </t>
    </mdx>
    <mdx n="0" f="v">
      <t c="6" si="614">
        <n x="610"/>
        <n x="409"/>
        <n x="410"/>
        <n x="800" s="1"/>
        <n x="631"/>
        <n x="632"/>
      </t>
    </mdx>
    <mdx n="0" f="v">
      <t c="6" si="614">
        <n x="610"/>
        <n x="469"/>
        <n x="470"/>
        <n x="800" s="1"/>
        <n x="631"/>
        <n x="632"/>
      </t>
    </mdx>
    <mdx n="0" f="v">
      <t c="6" si="614">
        <n x="610"/>
        <n x="539"/>
        <n x="504"/>
        <n x="800" s="1"/>
        <n x="631"/>
        <n x="632"/>
      </t>
    </mdx>
    <mdx n="0" f="v">
      <t c="6" si="614">
        <n x="610"/>
        <n x="767"/>
        <n x="768"/>
        <n x="800" s="1"/>
        <n x="631"/>
        <n x="632"/>
      </t>
    </mdx>
    <mdx n="0" f="v">
      <t c="6" si="614">
        <n x="610"/>
        <n x="485"/>
        <n x="486"/>
        <n x="800" s="1"/>
        <n x="631"/>
        <n x="632"/>
      </t>
    </mdx>
    <mdx n="0" f="v">
      <t c="6" si="614">
        <n x="610"/>
        <n x="777"/>
        <n x="778"/>
        <n x="800" s="1"/>
        <n x="631"/>
        <n x="632"/>
      </t>
    </mdx>
    <mdx n="0" f="v">
      <t c="6" si="614">
        <n x="610"/>
        <n x="269"/>
        <n x="270"/>
        <n x="800" s="1"/>
        <n x="631"/>
        <n x="632"/>
      </t>
    </mdx>
    <mdx n="0" f="v">
      <t c="6" si="614">
        <n x="610"/>
        <n x="289"/>
        <n x="290"/>
        <n x="800" s="1"/>
        <n x="631"/>
        <n x="632"/>
      </t>
    </mdx>
    <mdx n="0" f="v">
      <t c="6" si="614">
        <n x="610"/>
        <n x="757"/>
        <n x="758"/>
        <n x="800" s="1"/>
        <n x="631"/>
        <n x="632"/>
      </t>
    </mdx>
    <mdx n="0" f="v">
      <t c="6" si="614">
        <n x="610"/>
        <n x="245"/>
        <n x="246"/>
        <n x="800" s="1"/>
        <n x="631"/>
        <n x="632"/>
      </t>
    </mdx>
    <mdx n="0" f="v">
      <t c="6" si="614">
        <n x="610"/>
        <n x="467"/>
        <n x="468"/>
        <n x="800" s="1"/>
        <n x="631"/>
        <n x="632"/>
      </t>
    </mdx>
    <mdx n="0" f="v">
      <t c="6" si="614">
        <n x="610"/>
        <n x="213"/>
        <n x="214"/>
        <n x="800" s="1"/>
        <n x="631"/>
        <n x="632"/>
      </t>
    </mdx>
    <mdx n="0" f="v">
      <t c="6" si="614">
        <n x="610"/>
        <n x="465"/>
        <n x="466"/>
        <n x="800" s="1"/>
        <n x="631"/>
        <n x="632"/>
      </t>
    </mdx>
    <mdx n="0" f="v">
      <t c="6" si="614">
        <n x="610"/>
        <n x="563"/>
        <n x="564"/>
        <n x="800" s="1"/>
        <n x="631"/>
        <n x="632"/>
      </t>
    </mdx>
    <mdx n="0" f="v">
      <t c="6" si="614">
        <n x="610"/>
        <n x="381"/>
        <n x="382"/>
        <n x="800" s="1"/>
        <n x="631"/>
        <n x="632"/>
      </t>
    </mdx>
    <mdx n="0" f="v">
      <t c="6" si="614">
        <n x="610"/>
        <n x="527"/>
        <n x="528"/>
        <n x="800" s="1"/>
        <n x="631"/>
        <n x="632"/>
      </t>
    </mdx>
    <mdx n="0" f="v">
      <t c="6" si="614">
        <n x="610"/>
        <n x="587"/>
        <n x="588"/>
        <n x="800" s="1"/>
        <n x="631"/>
        <n x="632"/>
      </t>
    </mdx>
    <mdx n="0" f="v">
      <t c="6" si="614">
        <n x="610"/>
        <n x="323"/>
        <n x="324"/>
        <n x="800" s="1"/>
        <n x="631"/>
        <n x="632"/>
      </t>
    </mdx>
    <mdx n="0" f="v">
      <t c="6" si="614">
        <n x="610"/>
        <n x="559"/>
        <n x="560"/>
        <n x="800" s="1"/>
        <n x="631"/>
        <n x="632"/>
      </t>
    </mdx>
    <mdx n="0" f="v">
      <t c="6" si="614">
        <n x="610"/>
        <n x="371"/>
        <n x="372"/>
        <n x="800" s="1"/>
        <n x="631"/>
        <n x="632"/>
      </t>
    </mdx>
    <mdx n="0" f="v">
      <t c="6" si="614">
        <n x="610"/>
        <n x="331"/>
        <n x="332"/>
        <n x="800" s="1"/>
        <n x="631"/>
        <n x="632"/>
      </t>
    </mdx>
    <mdx n="0" f="v">
      <t c="6" si="614">
        <n x="610"/>
        <n x="211"/>
        <n x="212"/>
        <n x="800" s="1"/>
        <n x="631"/>
        <n x="632"/>
      </t>
    </mdx>
    <mdx n="0" f="v">
      <t c="6" si="614">
        <n x="610"/>
        <n x="279"/>
        <n x="280"/>
        <n x="800" s="1"/>
        <n x="631"/>
        <n x="632"/>
      </t>
    </mdx>
    <mdx n="0" f="v">
      <t c="6" si="614">
        <n x="610"/>
        <n x="801"/>
        <n x="802"/>
        <n x="800" s="1"/>
        <n x="631"/>
        <n x="632"/>
      </t>
    </mdx>
    <mdx n="0" f="v">
      <t c="6" si="614">
        <n x="610"/>
        <n x="263"/>
        <n x="264"/>
        <n x="800" s="1"/>
        <n x="631"/>
        <n x="632"/>
      </t>
    </mdx>
    <mdx n="0" f="v">
      <t c="6" si="614">
        <n x="610"/>
        <n x="517"/>
        <n x="518"/>
        <n x="800" s="1"/>
        <n x="631"/>
        <n x="632"/>
      </t>
    </mdx>
    <mdx n="0" f="v">
      <t c="6" si="614">
        <n x="610"/>
        <n x="573"/>
        <n x="574"/>
        <n x="800" s="1"/>
        <n x="631"/>
        <n x="632"/>
      </t>
    </mdx>
    <mdx n="0" f="v">
      <t c="6" si="614">
        <n x="610"/>
        <n x="317"/>
        <n x="318"/>
        <n x="800" s="1"/>
        <n x="631"/>
        <n x="632"/>
      </t>
    </mdx>
    <mdx n="0" f="v">
      <t c="6" si="614">
        <n x="610"/>
        <n x="377"/>
        <n x="378"/>
        <n x="800" s="1"/>
        <n x="631"/>
        <n x="632"/>
      </t>
    </mdx>
    <mdx n="0" f="v">
      <t c="6" si="614">
        <n x="610"/>
        <n x="221"/>
        <n x="222"/>
        <n x="800" s="1"/>
        <n x="631"/>
        <n x="632"/>
      </t>
    </mdx>
    <mdx n="0" f="v">
      <t c="6" si="614">
        <n x="610"/>
        <n x="729"/>
        <n x="730"/>
        <n x="800" s="1"/>
        <n x="631"/>
        <n x="632"/>
      </t>
    </mdx>
    <mdx n="0" f="v">
      <t c="6" si="614">
        <n x="610"/>
        <n x="595"/>
        <n x="596"/>
        <n x="800" s="1"/>
        <n x="631"/>
        <n x="632"/>
      </t>
    </mdx>
    <mdx n="0" f="v">
      <t c="6" si="614">
        <n x="610"/>
        <n x="525"/>
        <n x="526"/>
        <n x="800" s="1"/>
        <n x="631"/>
        <n x="632"/>
      </t>
    </mdx>
    <mdx n="0" f="v">
      <t c="6" si="614">
        <n x="610"/>
        <n x="455"/>
        <n x="456"/>
        <n x="800" s="1"/>
        <n x="631"/>
        <n x="632"/>
      </t>
    </mdx>
    <mdx n="0" f="v">
      <t c="6" si="614">
        <n x="610"/>
        <n x="513"/>
        <n x="514"/>
        <n x="800" s="1"/>
        <n x="631"/>
        <n x="632"/>
      </t>
    </mdx>
    <mdx n="0" f="v">
      <t c="6" si="614">
        <n x="610"/>
        <n x="345"/>
        <n x="346"/>
        <n x="800" s="1"/>
        <n x="631"/>
        <n x="632"/>
      </t>
    </mdx>
    <mdx n="0" f="v">
      <t c="6" si="614">
        <n x="610"/>
        <n x="755"/>
        <n x="756"/>
        <n x="800" s="1"/>
        <n x="631"/>
        <n x="632"/>
      </t>
    </mdx>
    <mdx n="0" f="v">
      <t c="6" si="614">
        <n x="610"/>
        <n x="759"/>
        <n x="760"/>
        <n x="800" s="1"/>
        <n x="631"/>
        <n x="632"/>
      </t>
    </mdx>
    <mdx n="0" f="v">
      <t c="6" si="614">
        <n x="610"/>
        <n x="287"/>
        <n x="288"/>
        <n x="800" s="1"/>
        <n x="631"/>
        <n x="632"/>
      </t>
    </mdx>
    <mdx n="0" f="v">
      <t c="6" si="614">
        <n x="610"/>
        <n x="511"/>
        <n x="512"/>
        <n x="800" s="1"/>
        <n x="631"/>
        <n x="632"/>
      </t>
    </mdx>
    <mdx n="0" f="v">
      <t c="6" si="614">
        <n x="610"/>
        <n x="515"/>
        <n x="516"/>
        <n x="800" s="1"/>
        <n x="631"/>
        <n x="632"/>
      </t>
    </mdx>
    <mdx n="0" f="v">
      <t c="6" si="614">
        <n x="610"/>
        <n x="787"/>
        <n x="788"/>
        <n x="800" s="1"/>
        <n x="631"/>
        <n x="632"/>
      </t>
    </mdx>
    <mdx n="0" f="v">
      <t c="6" si="614">
        <n x="610"/>
        <n x="789"/>
        <n x="790"/>
        <n x="800" s="1"/>
        <n x="631"/>
        <n x="632"/>
      </t>
    </mdx>
    <mdx n="0" f="v">
      <t c="6" si="614">
        <n x="610"/>
        <n x="227"/>
        <n x="228"/>
        <n x="800" s="1"/>
        <n x="631"/>
        <n x="632"/>
      </t>
    </mdx>
    <mdx n="0" f="v">
      <t c="6" si="614">
        <n x="610"/>
        <n x="291"/>
        <n x="292"/>
        <n x="800" s="1"/>
        <n x="631"/>
        <n x="632"/>
      </t>
    </mdx>
    <mdx n="0" f="v">
      <t c="6" si="614">
        <n x="610"/>
        <n x="477"/>
        <n x="478"/>
        <n x="800" s="1"/>
        <n x="631"/>
        <n x="632"/>
      </t>
    </mdx>
    <mdx n="0" f="v">
      <t c="6" si="614">
        <n x="610"/>
        <n x="253"/>
        <n x="254"/>
        <n x="800" s="1"/>
        <n x="631"/>
        <n x="632"/>
      </t>
    </mdx>
    <mdx n="0" f="v">
      <t c="6" si="614">
        <n x="610"/>
        <n x="719"/>
        <n x="720"/>
        <n x="800" s="1"/>
        <n x="631"/>
        <n x="632"/>
      </t>
    </mdx>
    <mdx n="0" f="v">
      <t c="6" si="614">
        <n x="610"/>
        <n x="461"/>
        <n x="462"/>
        <n x="800" s="1"/>
        <n x="631"/>
        <n x="632"/>
      </t>
    </mdx>
    <mdx n="0" f="v">
      <t c="6" si="614">
        <n x="610"/>
        <n x="367"/>
        <n x="368"/>
        <n x="800" s="1"/>
        <n x="631"/>
        <n x="632"/>
      </t>
    </mdx>
    <mdx n="0" f="v">
      <t c="6" si="614">
        <n x="610"/>
        <n x="413"/>
        <n x="414"/>
        <n x="800" s="1"/>
        <n x="631"/>
        <n x="632"/>
      </t>
    </mdx>
    <mdx n="0" f="v">
      <t c="6" si="614">
        <n x="610"/>
        <n x="387"/>
        <n x="388"/>
        <n x="800" s="1"/>
        <n x="631"/>
        <n x="632"/>
      </t>
    </mdx>
    <mdx n="0" f="v">
      <t c="6" si="614">
        <n x="610"/>
        <n x="429"/>
        <n x="430"/>
        <n x="800" s="1"/>
        <n x="631"/>
        <n x="632"/>
      </t>
    </mdx>
    <mdx n="0" f="v">
      <t c="6" si="614">
        <n x="610"/>
        <n x="203"/>
        <n x="204"/>
        <n x="800" s="1"/>
        <n x="631"/>
        <n x="632"/>
      </t>
    </mdx>
    <mdx n="0" f="v">
      <t c="6" si="614">
        <n x="610"/>
        <n x="241"/>
        <n x="242"/>
        <n x="800" s="1"/>
        <n x="631"/>
        <n x="632"/>
      </t>
    </mdx>
    <mdx n="0" f="v">
      <t c="6" si="614">
        <n x="610"/>
        <n x="321"/>
        <n x="322"/>
        <n x="800" s="1"/>
        <n x="631"/>
        <n x="632"/>
      </t>
    </mdx>
    <mdx n="0" f="v">
      <t c="6" si="614">
        <n x="610"/>
        <n x="761"/>
        <n x="762"/>
        <n x="800" s="1"/>
        <n x="631"/>
        <n x="632"/>
      </t>
    </mdx>
    <mdx n="0" f="v">
      <t c="6" si="614">
        <n x="610"/>
        <n x="763"/>
        <n x="764"/>
        <n x="800" s="1"/>
        <n x="631"/>
        <n x="632"/>
      </t>
    </mdx>
    <mdx n="0" f="v">
      <t c="6" si="614">
        <n x="610"/>
        <n x="427"/>
        <n x="428"/>
        <n x="800" s="1"/>
        <n x="631"/>
        <n x="632"/>
      </t>
    </mdx>
    <mdx n="0" f="v">
      <t c="6" si="614">
        <n x="610"/>
        <n x="445"/>
        <n x="446"/>
        <n x="800" s="1"/>
        <n x="631"/>
        <n x="632"/>
      </t>
    </mdx>
    <mdx n="0" f="v">
      <t c="6" si="614">
        <n x="610"/>
        <n x="583"/>
        <n x="584"/>
        <n x="800" s="1"/>
        <n x="631"/>
        <n x="632"/>
      </t>
    </mdx>
    <mdx n="0" f="v">
      <t c="6" si="614">
        <n x="610"/>
        <n x="311"/>
        <n x="312"/>
        <n x="800" s="1"/>
        <n x="631"/>
        <n x="632"/>
      </t>
    </mdx>
    <mdx n="0" f="v">
      <t c="6" si="614">
        <n x="610"/>
        <n x="793"/>
        <n x="794"/>
        <n x="800" s="1"/>
        <n x="631"/>
        <n x="632"/>
      </t>
    </mdx>
    <mdx n="0" f="v">
      <t c="6" si="614">
        <n x="610"/>
        <n x="571"/>
        <n x="572"/>
        <n x="800" s="1"/>
        <n x="631"/>
        <n x="632"/>
      </t>
    </mdx>
    <mdx n="0" f="v">
      <t c="6" si="614">
        <n x="610"/>
        <n x="267"/>
        <n x="268"/>
        <n x="800" s="1"/>
        <n x="631"/>
        <n x="632"/>
      </t>
    </mdx>
    <mdx n="0" f="v">
      <t c="6" si="614">
        <n x="610"/>
        <n x="475"/>
        <n x="476"/>
        <n x="800" s="1"/>
        <n x="631"/>
        <n x="632"/>
      </t>
    </mdx>
    <mdx n="0" f="v">
      <t c="6" si="614">
        <n x="610"/>
        <n x="599"/>
        <n x="600"/>
        <n x="800" s="1"/>
        <n x="631"/>
        <n x="632"/>
      </t>
    </mdx>
    <mdx n="0" f="v">
      <t c="6" si="614">
        <n x="610"/>
        <n x="397"/>
        <n x="398"/>
        <n x="800" s="1"/>
        <n x="631"/>
        <n x="632"/>
      </t>
    </mdx>
    <mdx n="0" f="v">
      <t c="6" si="614">
        <n x="610"/>
        <n x="231"/>
        <n x="232"/>
        <n x="800" s="1"/>
        <n x="631"/>
        <n x="632"/>
      </t>
    </mdx>
    <mdx n="0" f="v">
      <t c="6" si="614">
        <n x="610"/>
        <n x="235"/>
        <n x="236"/>
        <n x="800" s="1"/>
        <n x="631"/>
        <n x="632"/>
      </t>
    </mdx>
    <mdx n="0" f="v">
      <t c="6" si="614">
        <n x="610"/>
        <n x="235"/>
        <n x="236"/>
        <n x="800" s="1"/>
        <n x="631"/>
        <n x="632"/>
      </t>
    </mdx>
    <mdx n="0" f="v">
      <t c="6" si="614">
        <n x="610"/>
        <n x="257"/>
        <n x="258"/>
        <n x="800" s="1"/>
        <n x="631"/>
        <n x="632"/>
      </t>
    </mdx>
    <mdx n="0" f="v">
      <t c="6" si="614">
        <n x="610"/>
        <n x="257"/>
        <n x="258"/>
        <n x="800" s="1"/>
        <n x="631"/>
        <n x="632"/>
      </t>
    </mdx>
    <mdx n="0" f="v">
      <t c="6" si="614">
        <n x="610"/>
        <n x="537"/>
        <n x="538"/>
        <n x="800" s="1"/>
        <n x="631"/>
        <n x="632"/>
      </t>
    </mdx>
    <mdx n="0" f="v">
      <t c="6" si="614">
        <n x="610"/>
        <n x="745"/>
        <n x="746"/>
        <n x="800" s="1"/>
        <n x="631"/>
        <n x="632"/>
      </t>
    </mdx>
    <mdx n="0" f="v">
      <t c="6" si="614">
        <n x="610"/>
        <n x="593"/>
        <n x="594"/>
        <n x="800" s="1"/>
        <n x="631"/>
        <n x="632"/>
      </t>
    </mdx>
    <mdx n="0" f="v">
      <t c="6" si="614">
        <n x="610"/>
        <n x="577"/>
        <n x="578"/>
        <n x="800" s="1"/>
        <n x="631"/>
        <n x="632"/>
      </t>
    </mdx>
    <mdx n="0" f="v">
      <t c="6" si="614">
        <n x="610"/>
        <n x="325"/>
        <n x="326"/>
        <n x="800" s="1"/>
        <n x="631"/>
        <n x="632"/>
      </t>
    </mdx>
    <mdx n="0" f="v">
      <t c="6" si="614">
        <n x="610"/>
        <n x="507"/>
        <n x="508"/>
        <n x="800" s="1"/>
        <n x="631"/>
        <n x="632"/>
      </t>
    </mdx>
    <mdx n="0" f="v">
      <t c="6" si="614">
        <n x="610"/>
        <n x="771"/>
        <n x="772"/>
        <n x="800" s="1"/>
        <n x="631"/>
        <n x="632"/>
      </t>
    </mdx>
    <mdx n="0" f="v">
      <t c="6" si="614">
        <n x="610"/>
        <n x="779"/>
        <n x="780"/>
        <n x="800" s="1"/>
        <n x="631"/>
        <n x="632"/>
      </t>
    </mdx>
    <mdx n="0" f="v">
      <t c="6" si="614">
        <n x="610"/>
        <n x="783"/>
        <n x="784"/>
        <n x="800" s="1"/>
        <n x="631"/>
        <n x="632"/>
      </t>
    </mdx>
    <mdx n="0" f="v">
      <t c="6" si="614">
        <n x="610"/>
        <n x="451"/>
        <n x="452"/>
        <n x="800" s="1"/>
        <n x="631"/>
        <n x="632"/>
      </t>
    </mdx>
    <mdx n="0" f="v">
      <t c="6" si="614">
        <n x="610"/>
        <n x="351"/>
        <n x="352"/>
        <n x="800" s="1"/>
        <n x="631"/>
        <n x="632"/>
      </t>
    </mdx>
    <mdx n="0" f="v">
      <t c="6" si="614">
        <n x="610"/>
        <n x="373"/>
        <n x="374"/>
        <n x="800" s="1"/>
        <n x="631"/>
        <n x="632"/>
      </t>
    </mdx>
    <mdx n="0" f="v">
      <t c="6" si="614">
        <n x="610"/>
        <n x="337"/>
        <n x="338"/>
        <n x="800" s="1"/>
        <n x="631"/>
        <n x="632"/>
      </t>
    </mdx>
    <mdx n="0" f="v">
      <t c="6" si="614">
        <n x="610"/>
        <n x="369"/>
        <n x="370"/>
        <n x="800" s="1"/>
        <n x="631"/>
        <n x="632"/>
      </t>
    </mdx>
    <mdx n="0" f="v">
      <t c="6" si="614">
        <n x="610"/>
        <n x="709"/>
        <n x="710"/>
        <n x="800" s="1"/>
        <n x="631"/>
        <n x="632"/>
      </t>
    </mdx>
    <mdx n="0" f="v">
      <t c="6" si="614">
        <n x="610"/>
        <n x="709"/>
        <n x="710"/>
        <n x="800" s="1"/>
        <n x="631"/>
        <n x="632"/>
      </t>
    </mdx>
    <mdx n="0" f="v">
      <t c="6" si="614">
        <n x="610"/>
        <n x="709"/>
        <n x="710"/>
        <n x="800" s="1"/>
        <n x="633"/>
        <n x="634"/>
      </t>
    </mdx>
    <mdx n="0" f="v">
      <t c="6" si="614">
        <n x="610"/>
        <n x="217"/>
        <n x="218"/>
        <n x="800" s="1"/>
        <n x="633"/>
        <n x="634"/>
      </t>
    </mdx>
    <mdx n="0" f="v">
      <t c="6" si="614">
        <n x="610"/>
        <n x="721"/>
        <n x="722"/>
        <n x="800" s="1"/>
        <n x="633"/>
        <n x="634"/>
      </t>
    </mdx>
    <mdx n="0" f="v">
      <t c="6" si="614">
        <n x="610"/>
        <n x="379"/>
        <n x="380"/>
        <n x="800" s="1"/>
        <n x="633"/>
        <n x="634"/>
      </t>
    </mdx>
    <mdx n="0" f="v">
      <t c="6" si="614">
        <n x="610"/>
        <n x="601"/>
        <n x="602"/>
        <n x="800" s="1"/>
        <n x="633"/>
        <n x="634"/>
      </t>
    </mdx>
    <mdx n="0" f="v">
      <t c="6" si="614">
        <n x="610"/>
        <n x="453"/>
        <n x="454"/>
        <n x="800" s="1"/>
        <n x="633"/>
        <n x="634"/>
      </t>
    </mdx>
    <mdx n="0" f="v">
      <t c="6" si="614">
        <n x="610"/>
        <n x="283"/>
        <n x="284"/>
        <n x="800" s="1"/>
        <n x="633"/>
        <n x="634"/>
      </t>
    </mdx>
    <mdx n="0" f="v">
      <t c="6" si="614">
        <n x="610"/>
        <n x="319"/>
        <n x="320"/>
        <n x="800" s="1"/>
        <n x="633"/>
        <n x="634"/>
      </t>
    </mdx>
    <mdx n="0" f="v">
      <t c="6" si="614">
        <n x="610"/>
        <n x="393"/>
        <n x="394"/>
        <n x="800" s="1"/>
        <n x="633"/>
        <n x="634"/>
      </t>
    </mdx>
    <mdx n="0" f="v">
      <t c="6" si="614">
        <n x="610"/>
        <n x="605"/>
        <n x="606"/>
        <n x="800" s="1"/>
        <n x="633"/>
        <n x="634"/>
      </t>
    </mdx>
    <mdx n="0" f="v">
      <t c="6" si="614">
        <n x="610"/>
        <n x="295"/>
        <n x="296"/>
        <n x="800" s="1"/>
        <n x="633"/>
        <n x="634"/>
      </t>
    </mdx>
    <mdx n="0" f="v">
      <t c="6" si="614">
        <n x="610"/>
        <n x="299"/>
        <n x="300"/>
        <n x="800" s="1"/>
        <n x="633"/>
        <n x="634"/>
      </t>
    </mdx>
    <mdx n="0" f="v">
      <t c="6" si="614">
        <n x="610"/>
        <n x="229"/>
        <n x="230"/>
        <n x="800" s="1"/>
        <n x="633"/>
        <n x="634"/>
      </t>
    </mdx>
    <mdx n="0" f="v">
      <t c="6" si="614">
        <n x="610"/>
        <n x="339"/>
        <n x="340"/>
        <n x="800" s="1"/>
        <n x="633"/>
        <n x="634"/>
      </t>
    </mdx>
    <mdx n="0" f="v">
      <t c="6" si="614">
        <n x="610"/>
        <n x="409"/>
        <n x="410"/>
        <n x="800" s="1"/>
        <n x="633"/>
        <n x="634"/>
      </t>
    </mdx>
    <mdx n="0" f="v">
      <t c="6" si="614">
        <n x="610"/>
        <n x="539"/>
        <n x="540"/>
        <n x="800" s="1"/>
        <n x="633"/>
        <n x="634"/>
      </t>
    </mdx>
    <mdx n="0" f="v">
      <t c="6" si="614">
        <n x="610"/>
        <n x="767"/>
        <n x="768"/>
        <n x="800" s="1"/>
        <n x="633"/>
        <n x="634"/>
      </t>
    </mdx>
    <mdx n="0" f="v">
      <t c="6" si="614">
        <n x="610"/>
        <n x="485"/>
        <n x="486"/>
        <n x="800" s="1"/>
        <n x="633"/>
        <n x="634"/>
      </t>
    </mdx>
    <mdx n="0" f="v">
      <t c="6" si="614">
        <n x="610"/>
        <n x="269"/>
        <n x="270"/>
        <n x="800" s="1"/>
        <n x="633"/>
        <n x="634"/>
      </t>
    </mdx>
    <mdx n="0" f="v">
      <t c="6" si="614">
        <n x="610"/>
        <n x="565"/>
        <n x="566"/>
        <n x="800" s="1"/>
        <n x="633"/>
        <n x="634"/>
      </t>
    </mdx>
    <mdx n="0" f="v">
      <t c="6" si="614">
        <n x="610"/>
        <n x="473"/>
        <n x="474"/>
        <n x="800" s="1"/>
        <n x="633"/>
        <n x="634"/>
      </t>
    </mdx>
    <mdx n="0" f="v">
      <t c="6" si="614">
        <n x="610"/>
        <n x="213"/>
        <n x="214"/>
        <n x="800" s="1"/>
        <n x="633"/>
        <n x="634"/>
      </t>
    </mdx>
    <mdx n="0" f="v">
      <t c="6" si="614">
        <n x="610"/>
        <n x="563"/>
        <n x="564"/>
        <n x="800" s="1"/>
        <n x="633"/>
        <n x="634"/>
      </t>
    </mdx>
    <mdx n="0" f="v">
      <t c="6" si="614">
        <n x="610"/>
        <n x="329"/>
        <n x="330"/>
        <n x="800" s="1"/>
        <n x="633"/>
        <n x="634"/>
      </t>
    </mdx>
    <mdx n="0" f="v">
      <t c="6" si="614">
        <n x="610"/>
        <n x="587"/>
        <n x="588"/>
        <n x="800" s="1"/>
        <n x="633"/>
        <n x="634"/>
      </t>
    </mdx>
    <mdx n="0" f="v">
      <t c="6" si="614">
        <n x="610"/>
        <n x="323"/>
        <n x="324"/>
        <n x="800" s="1"/>
        <n x="633"/>
        <n x="634"/>
      </t>
    </mdx>
    <mdx n="0" f="v">
      <t c="6" si="614">
        <n x="610"/>
        <n x="559"/>
        <n x="560"/>
        <n x="800" s="1"/>
        <n x="633"/>
        <n x="634"/>
      </t>
    </mdx>
    <mdx n="0" f="v">
      <t c="6" si="614">
        <n x="610"/>
        <n x="239"/>
        <n x="240"/>
        <n x="800" s="1"/>
        <n x="633"/>
        <n x="634"/>
      </t>
    </mdx>
    <mdx n="0" f="v">
      <t c="6" si="614">
        <n x="610"/>
        <n x="557"/>
        <n x="558"/>
        <n x="800" s="1"/>
        <n x="633"/>
        <n x="634"/>
      </t>
    </mdx>
    <mdx n="0" f="v">
      <t c="6" si="614">
        <n x="610"/>
        <n x="363"/>
        <n x="364"/>
        <n x="800" s="1"/>
        <n x="633"/>
        <n x="634"/>
      </t>
    </mdx>
    <mdx n="0" f="v">
      <t c="6" si="614">
        <n x="610"/>
        <n x="281"/>
        <n x="282"/>
        <n x="800" s="1"/>
        <n x="633"/>
        <n x="634"/>
      </t>
    </mdx>
    <mdx n="0" f="v">
      <t c="6" si="614">
        <n x="610"/>
        <n x="277"/>
        <n x="278"/>
        <n x="800" s="1"/>
        <n x="633"/>
        <n x="634"/>
      </t>
    </mdx>
    <mdx n="0" f="v">
      <t c="6" si="614">
        <n x="610"/>
        <n x="435"/>
        <n x="436"/>
        <n x="800" s="1"/>
        <n x="633"/>
        <n x="634"/>
      </t>
    </mdx>
    <mdx n="0" f="v">
      <t c="6" si="614">
        <n x="610"/>
        <n x="743"/>
        <n x="744"/>
        <n x="800" s="1"/>
        <n x="633"/>
        <n x="634"/>
      </t>
    </mdx>
    <mdx n="0" f="v">
      <t c="6" si="614">
        <n x="610"/>
        <n x="437"/>
        <n x="438"/>
        <n x="800" s="1"/>
        <n x="633"/>
        <n x="634"/>
      </t>
    </mdx>
    <mdx n="0" f="v">
      <t c="6" si="614">
        <n x="610"/>
        <n x="747"/>
        <n x="748"/>
        <n x="800" s="1"/>
        <n x="633"/>
        <n x="634"/>
      </t>
    </mdx>
    <mdx n="0" f="v">
      <t c="6" si="614">
        <n x="610"/>
        <n x="749"/>
        <n x="750"/>
        <n x="800" s="1"/>
        <n x="633"/>
        <n x="634"/>
      </t>
    </mdx>
    <mdx n="0" f="v">
      <t c="6" si="614">
        <n x="610"/>
        <n x="751"/>
        <n x="752"/>
        <n x="800" s="1"/>
        <n x="633"/>
        <n x="634"/>
      </t>
    </mdx>
    <mdx n="0" f="v">
      <t c="6" si="614">
        <n x="610"/>
        <n x="471"/>
        <n x="472"/>
        <n x="800" s="1"/>
        <n x="633"/>
        <n x="634"/>
      </t>
    </mdx>
    <mdx n="0" f="v">
      <t c="6" si="614">
        <n x="610"/>
        <n x="233"/>
        <n x="234"/>
        <n x="800" s="1"/>
        <n x="633"/>
        <n x="634"/>
      </t>
    </mdx>
    <mdx n="0" f="v">
      <t c="6" si="614">
        <n x="610"/>
        <n x="553"/>
        <n x="554"/>
        <n x="800" s="1"/>
        <n x="633"/>
        <n x="634"/>
      </t>
    </mdx>
    <mdx n="0" f="v">
      <t c="6" si="614">
        <n x="610"/>
        <n x="247"/>
        <n x="248"/>
        <n x="800" s="1"/>
        <n x="633"/>
        <n x="634"/>
      </t>
    </mdx>
    <mdx n="0" f="v">
      <t c="6" si="614">
        <n x="610"/>
        <n x="765"/>
        <n x="766"/>
        <n x="800" s="1"/>
        <n x="633"/>
        <n x="634"/>
      </t>
    </mdx>
    <mdx n="0" f="v">
      <t c="6" si="614">
        <n x="610"/>
        <n x="243"/>
        <n x="244"/>
        <n x="800" s="1"/>
        <n x="633"/>
        <n x="634"/>
      </t>
    </mdx>
    <mdx n="0" f="v">
      <t c="6" si="614">
        <n x="610"/>
        <n x="443"/>
        <n x="444"/>
        <n x="800" s="1"/>
        <n x="633"/>
        <n x="634"/>
      </t>
    </mdx>
    <mdx n="0" f="v">
      <t c="6" si="614">
        <n x="610"/>
        <n x="533"/>
        <n x="534"/>
        <n x="800" s="1"/>
        <n x="633"/>
        <n x="634"/>
      </t>
    </mdx>
    <mdx n="0" f="v">
      <t c="6" si="614">
        <n x="610"/>
        <n x="355"/>
        <n x="356"/>
        <n x="800" s="1"/>
        <n x="633"/>
        <n x="634"/>
      </t>
    </mdx>
    <mdx n="0" f="v">
      <t c="6" si="614">
        <n x="610"/>
        <n x="581"/>
        <n x="582"/>
        <n x="800" s="1"/>
        <n x="633"/>
        <n x="634"/>
      </t>
    </mdx>
    <mdx n="0" f="v">
      <t c="6" si="614">
        <n x="610"/>
        <n x="521"/>
        <n x="522"/>
        <n x="800" s="1"/>
        <n x="633"/>
        <n x="634"/>
      </t>
    </mdx>
    <mdx n="0" f="v">
      <t c="6" si="614">
        <n x="610"/>
        <n x="303"/>
        <n x="304"/>
        <n x="800" s="1"/>
        <n x="633"/>
        <n x="634"/>
      </t>
    </mdx>
    <mdx n="0" f="v">
      <t c="6" si="614">
        <n x="610"/>
        <n x="225"/>
        <n x="226"/>
        <n x="800" s="1"/>
        <n x="633"/>
        <n x="634"/>
      </t>
    </mdx>
    <mdx n="0" f="v">
      <t c="6" si="614">
        <n x="610"/>
        <n x="449"/>
        <n x="450"/>
        <n x="800" s="1"/>
        <n x="633"/>
        <n x="634"/>
      </t>
    </mdx>
    <mdx n="0" f="v">
      <t c="6" si="614">
        <n x="610"/>
        <n x="421"/>
        <n x="422"/>
        <n x="800" s="1"/>
        <n x="633"/>
        <n x="634"/>
      </t>
    </mdx>
    <mdx n="0" f="v">
      <t c="6" si="614">
        <n x="610"/>
        <n x="497"/>
        <n x="498"/>
        <n x="800" s="1"/>
        <n x="633"/>
        <n x="634"/>
      </t>
    </mdx>
    <mdx n="0" f="v">
      <t c="6" si="614">
        <n x="610"/>
        <n x="519"/>
        <n x="520"/>
        <n x="800" s="1"/>
        <n x="633"/>
        <n x="634"/>
      </t>
    </mdx>
    <mdx n="0" f="v">
      <t c="6" si="614">
        <n x="610"/>
        <n x="805"/>
        <n x="806"/>
        <n x="800" s="1"/>
        <n x="633"/>
        <n x="634"/>
      </t>
    </mdx>
    <mdx n="0" f="v">
      <t c="6" si="614">
        <n x="610"/>
        <n x="529"/>
        <n x="530"/>
        <n x="800" s="1"/>
        <n x="633"/>
        <n x="634"/>
      </t>
    </mdx>
    <mdx n="0" f="v">
      <t c="6" si="614">
        <n x="610"/>
        <n x="527"/>
        <n x="528"/>
        <n x="800" s="1"/>
        <n x="633"/>
        <n x="634"/>
      </t>
    </mdx>
    <mdx n="0" f="v">
      <t c="6" si="614">
        <n x="610"/>
        <n x="785"/>
        <n x="786"/>
        <n x="800" s="1"/>
        <n x="633"/>
        <n x="634"/>
      </t>
    </mdx>
    <mdx n="0" f="v">
      <t c="6" si="614">
        <n x="610"/>
        <n x="431"/>
        <n x="432"/>
        <n x="800" s="1"/>
        <n x="633"/>
        <n x="634"/>
      </t>
    </mdx>
    <mdx n="0" f="v">
      <t c="6" si="614">
        <n x="610"/>
        <n x="423"/>
        <n x="424"/>
        <n x="800" s="1"/>
        <n x="633"/>
        <n x="634"/>
      </t>
    </mdx>
    <mdx n="0" f="v">
      <t c="6" si="614">
        <n x="610"/>
        <n x="331"/>
        <n x="332"/>
        <n x="800" s="1"/>
        <n x="633"/>
        <n x="634"/>
      </t>
    </mdx>
    <mdx n="0" f="v">
      <t c="6" si="614">
        <n x="610"/>
        <n x="211"/>
        <n x="212"/>
        <n x="800" s="1"/>
        <n x="633"/>
        <n x="634"/>
      </t>
    </mdx>
    <mdx n="0" f="v">
      <t c="6" si="614">
        <n x="610"/>
        <n x="279"/>
        <n x="280"/>
        <n x="800" s="1"/>
        <n x="633"/>
        <n x="634"/>
      </t>
    </mdx>
    <mdx n="0" f="v">
      <t c="6" si="614">
        <n x="610"/>
        <n x="263"/>
        <n x="264"/>
        <n x="800" s="1"/>
        <n x="633"/>
        <n x="634"/>
      </t>
    </mdx>
    <mdx n="0" f="v">
      <t c="6" si="614">
        <n x="610"/>
        <n x="517"/>
        <n x="518"/>
        <n x="800" s="1"/>
        <n x="633"/>
        <n x="634"/>
      </t>
    </mdx>
    <mdx n="0" f="v">
      <t c="6" si="614">
        <n x="610"/>
        <n x="317"/>
        <n x="318"/>
        <n x="800" s="1"/>
        <n x="633"/>
        <n x="634"/>
      </t>
    </mdx>
    <mdx n="0" f="v">
      <t c="6" si="614">
        <n x="610"/>
        <n x="377"/>
        <n x="378"/>
        <n x="800" s="1"/>
        <n x="633"/>
        <n x="634"/>
      </t>
    </mdx>
    <mdx n="0" f="v">
      <t c="6" si="614">
        <n x="610"/>
        <n x="729"/>
        <n x="730"/>
        <n x="800" s="1"/>
        <n x="633"/>
        <n x="634"/>
      </t>
    </mdx>
    <mdx n="0" f="v">
      <t c="6" si="614">
        <n x="610"/>
        <n x="455"/>
        <n x="456"/>
        <n x="800" s="1"/>
        <n x="633"/>
        <n x="634"/>
      </t>
    </mdx>
    <mdx n="0" f="v">
      <t c="6" si="614">
        <n x="610"/>
        <n x="513"/>
        <n x="514"/>
        <n x="800" s="1"/>
        <n x="633"/>
        <n x="634"/>
      </t>
    </mdx>
    <mdx n="0" f="v">
      <t c="6" si="614">
        <n x="610"/>
        <n x="345"/>
        <n x="346"/>
        <n x="800" s="1"/>
        <n x="633"/>
        <n x="634"/>
      </t>
    </mdx>
    <mdx n="0" f="v">
      <t c="6" si="614">
        <n x="610"/>
        <n x="407"/>
        <n x="408"/>
        <n x="800" s="1"/>
        <n x="633"/>
        <n x="634"/>
      </t>
    </mdx>
    <mdx n="0" f="v">
      <t c="6" si="614">
        <n x="610"/>
        <n x="759"/>
        <n x="760"/>
        <n x="800" s="1"/>
        <n x="633"/>
        <n x="634"/>
      </t>
    </mdx>
    <mdx n="0" f="v">
      <t c="6" si="614">
        <n x="610"/>
        <n x="287"/>
        <n x="288"/>
        <n x="800" s="1"/>
        <n x="633"/>
        <n x="634"/>
      </t>
    </mdx>
    <mdx n="0" f="v">
      <t c="6" si="614">
        <n x="610"/>
        <n x="511"/>
        <n x="512"/>
        <n x="800" s="1"/>
        <n x="633"/>
        <n x="634"/>
      </t>
    </mdx>
    <mdx n="0" f="v">
      <t c="6" si="614">
        <n x="610"/>
        <n x="515"/>
        <n x="516"/>
        <n x="800" s="1"/>
        <n x="633"/>
        <n x="634"/>
      </t>
    </mdx>
    <mdx n="0" f="v">
      <t c="6" si="614">
        <n x="610"/>
        <n x="787"/>
        <n x="788"/>
        <n x="800" s="1"/>
        <n x="633"/>
        <n x="634"/>
      </t>
    </mdx>
    <mdx n="0" f="v">
      <t c="6" si="614">
        <n x="610"/>
        <n x="789"/>
        <n x="790"/>
        <n x="800" s="1"/>
        <n x="633"/>
        <n x="634"/>
      </t>
    </mdx>
    <mdx n="0" f="v">
      <t c="6" si="614">
        <n x="610"/>
        <n x="477"/>
        <n x="478"/>
        <n x="800" s="1"/>
        <n x="633"/>
        <n x="634"/>
      </t>
    </mdx>
    <mdx n="0" f="v">
      <t c="6" si="614">
        <n x="610"/>
        <n x="251"/>
        <n x="252"/>
        <n x="800" s="1"/>
        <n x="633"/>
        <n x="634"/>
      </t>
    </mdx>
    <mdx n="0" f="v">
      <t c="6" si="614">
        <n x="610"/>
        <n x="717"/>
        <n x="718"/>
        <n x="800" s="1"/>
        <n x="633"/>
        <n x="634"/>
      </t>
    </mdx>
    <mdx n="0" f="v">
      <t c="6" si="614">
        <n x="610"/>
        <n x="457"/>
        <n x="458"/>
        <n x="800" s="1"/>
        <n x="633"/>
        <n x="634"/>
      </t>
    </mdx>
    <mdx n="0" f="v">
      <t c="6" si="614">
        <n x="610"/>
        <n x="367"/>
        <n x="368"/>
        <n x="800" s="1"/>
        <n x="633"/>
        <n x="634"/>
      </t>
    </mdx>
    <mdx n="0" f="v">
      <t c="6" si="614">
        <n x="610"/>
        <n x="413"/>
        <n x="414"/>
        <n x="800" s="1"/>
        <n x="633"/>
        <n x="634"/>
      </t>
    </mdx>
    <mdx n="0" f="v">
      <t c="6" si="614">
        <n x="610"/>
        <n x="387"/>
        <n x="388"/>
        <n x="800" s="1"/>
        <n x="633"/>
        <n x="634"/>
      </t>
    </mdx>
    <mdx n="0" f="v">
      <t c="6" si="614">
        <n x="610"/>
        <n x="737"/>
        <n x="738"/>
        <n x="800" s="1"/>
        <n x="633"/>
        <n x="634"/>
      </t>
    </mdx>
    <mdx n="0" f="v">
      <t c="6" si="614">
        <n x="610"/>
        <n x="433"/>
        <n x="434"/>
        <n x="800" s="1"/>
        <n x="633"/>
        <n x="634"/>
      </t>
    </mdx>
    <mdx n="0" f="v">
      <t c="6" si="614">
        <n x="610"/>
        <n x="241"/>
        <n x="242"/>
        <n x="800" s="1"/>
        <n x="633"/>
        <n x="634"/>
      </t>
    </mdx>
    <mdx n="0" f="v">
      <t c="6" si="614">
        <n x="610"/>
        <n x="321"/>
        <n x="322"/>
        <n x="800" s="1"/>
        <n x="633"/>
        <n x="634"/>
      </t>
    </mdx>
    <mdx n="0" f="v">
      <t c="6" si="614">
        <n x="610"/>
        <n x="761"/>
        <n x="762"/>
        <n x="800" s="1"/>
        <n x="633"/>
        <n x="634"/>
      </t>
    </mdx>
    <mdx n="0" f="v">
      <t c="6" si="614">
        <n x="610"/>
        <n x="255"/>
        <n x="256"/>
        <n x="800" s="1"/>
        <n x="633"/>
        <n x="634"/>
      </t>
    </mdx>
    <mdx n="0" f="v">
      <t c="6" si="614">
        <n x="610"/>
        <n x="427"/>
        <n x="428"/>
        <n x="800" s="1"/>
        <n x="633"/>
        <n x="634"/>
      </t>
    </mdx>
    <mdx n="0" f="v">
      <t c="6" si="614">
        <n x="610"/>
        <n x="445"/>
        <n x="446"/>
        <n x="800" s="1"/>
        <n x="633"/>
        <n x="634"/>
      </t>
    </mdx>
    <mdx n="0" f="v">
      <t c="6" si="614">
        <n x="610"/>
        <n x="583"/>
        <n x="584"/>
        <n x="800" s="1"/>
        <n x="633"/>
        <n x="634"/>
      </t>
    </mdx>
    <mdx n="0" f="v">
      <t c="6" si="614">
        <n x="610"/>
        <n x="311"/>
        <n x="312"/>
        <n x="800" s="1"/>
        <n x="633"/>
        <n x="634"/>
      </t>
    </mdx>
    <mdx n="0" f="v">
      <t c="6" si="614">
        <n x="610"/>
        <n x="313"/>
        <n x="314"/>
        <n x="800" s="1"/>
        <n x="633"/>
        <n x="634"/>
      </t>
    </mdx>
    <mdx n="0" f="v">
      <t c="6" si="614">
        <n x="610"/>
        <n x="571"/>
        <n x="572"/>
        <n x="800" s="1"/>
        <n x="633"/>
        <n x="634"/>
      </t>
    </mdx>
    <mdx n="0" f="v">
      <t c="6" si="614">
        <n x="610"/>
        <n x="475"/>
        <n x="476"/>
        <n x="800" s="1"/>
        <n x="633"/>
        <n x="634"/>
      </t>
    </mdx>
    <mdx n="0" f="v">
      <t c="6" si="614">
        <n x="610"/>
        <n x="599"/>
        <n x="600"/>
        <n x="800" s="1"/>
        <n x="633"/>
        <n x="634"/>
      </t>
    </mdx>
    <mdx n="0" f="v">
      <t c="6" si="614">
        <n x="610"/>
        <n x="397"/>
        <n x="398"/>
        <n x="800" s="1"/>
        <n x="633"/>
        <n x="634"/>
      </t>
    </mdx>
    <mdx n="0" f="v">
      <t c="6" si="614">
        <n x="610"/>
        <n x="555"/>
        <n x="556"/>
        <n x="800" s="1"/>
        <n x="633"/>
        <n x="634"/>
      </t>
    </mdx>
    <mdx n="0" f="v">
      <t c="6" si="614">
        <n x="610"/>
        <n x="235"/>
        <n x="236"/>
        <n x="800" s="1"/>
        <n x="633"/>
        <n x="634"/>
      </t>
    </mdx>
    <mdx n="0" f="v">
      <t c="6" si="614">
        <n x="610"/>
        <n x="257"/>
        <n x="258"/>
        <n x="800" s="1"/>
        <n x="633"/>
        <n x="634"/>
      </t>
    </mdx>
    <mdx n="0" f="v">
      <t c="6" si="614">
        <n x="610"/>
        <n x="589"/>
        <n x="590"/>
        <n x="800" s="1"/>
        <n x="633"/>
        <n x="634"/>
      </t>
    </mdx>
    <mdx n="0" f="v">
      <t c="6" si="614">
        <n x="610"/>
        <n x="593"/>
        <n x="594"/>
        <n x="800" s="1"/>
        <n x="633"/>
        <n x="634"/>
      </t>
    </mdx>
    <mdx n="0" f="v">
      <t c="6" si="614">
        <n x="610"/>
        <n x="577"/>
        <n x="578"/>
        <n x="800" s="1"/>
        <n x="633"/>
        <n x="634"/>
      </t>
    </mdx>
    <mdx n="0" f="v">
      <t c="6" si="614">
        <n x="610"/>
        <n x="349"/>
        <n x="350"/>
        <n x="800" s="1"/>
        <n x="633"/>
        <n x="634"/>
      </t>
    </mdx>
    <mdx n="0" f="v">
      <t c="6" si="614">
        <n x="610"/>
        <n x="771"/>
        <n x="772"/>
        <n x="800" s="1"/>
        <n x="633"/>
        <n x="634"/>
      </t>
    </mdx>
    <mdx n="0" f="v">
      <t c="6" si="614">
        <n x="610"/>
        <n x="779"/>
        <n x="780"/>
        <n x="800" s="1"/>
        <n x="633"/>
        <n x="634"/>
      </t>
    </mdx>
    <mdx n="0" f="v">
      <t c="6" si="614">
        <n x="610"/>
        <n x="505"/>
        <n x="506"/>
        <n x="800" s="1"/>
        <n x="633"/>
        <n x="634"/>
      </t>
    </mdx>
    <mdx n="0" f="v">
      <t c="6" si="614">
        <n x="610"/>
        <n x="531"/>
        <n x="532"/>
        <n x="800" s="1"/>
        <n x="633"/>
        <n x="634"/>
      </t>
    </mdx>
    <mdx n="0" f="v">
      <t c="6" si="614">
        <n x="610"/>
        <n x="795"/>
        <n x="796"/>
        <n x="800" s="1"/>
        <n x="633"/>
        <n x="634"/>
      </t>
    </mdx>
    <mdx n="0" f="v">
      <t c="6" si="614">
        <n x="610"/>
        <n x="373"/>
        <n x="374"/>
        <n x="800" s="1"/>
        <n x="633"/>
        <n x="634"/>
      </t>
    </mdx>
    <mdx n="0" f="v">
      <t c="6" si="614">
        <n x="610"/>
        <n x="369"/>
        <n x="370"/>
        <n x="800" s="1"/>
        <n x="633"/>
        <n x="634"/>
      </t>
    </mdx>
    <mdx n="0" f="v">
      <t c="6" si="614">
        <n x="610"/>
        <n x="369"/>
        <n x="370"/>
        <n x="800" s="1"/>
        <n x="633"/>
        <n x="634"/>
      </t>
    </mdx>
    <mdx n="0" f="v">
      <t c="6" si="614">
        <n x="610"/>
        <n x="369"/>
        <n x="370"/>
        <n x="800" s="1"/>
        <n x="633"/>
        <n x="634"/>
      </t>
    </mdx>
    <mdx n="0" f="v">
      <t c="6" si="614">
        <n x="610"/>
        <n x="709"/>
        <n x="710"/>
        <n x="800" s="1"/>
        <n x="612"/>
        <n x="613"/>
      </t>
    </mdx>
    <mdx n="0" f="v">
      <t c="6" si="614">
        <n x="610"/>
        <n x="599"/>
        <n x="600"/>
        <n x="800" s="1"/>
        <n x="612"/>
        <n x="613"/>
      </t>
    </mdx>
    <mdx n="0" f="v">
      <t c="6" si="614">
        <n x="610"/>
        <n x="585"/>
        <n x="586"/>
        <n x="800" s="1"/>
        <n x="612"/>
        <n x="613"/>
      </t>
    </mdx>
    <mdx n="0" f="v">
      <t c="6" si="614">
        <n x="610"/>
        <n x="397"/>
        <n x="398"/>
        <n x="800" s="1"/>
        <n x="612"/>
        <n x="613"/>
      </t>
    </mdx>
    <mdx n="0" f="v">
      <t c="6" si="614">
        <n x="610"/>
        <n x="231"/>
        <n x="232"/>
        <n x="800" s="1"/>
        <n x="612"/>
        <n x="613"/>
      </t>
    </mdx>
    <mdx n="0" f="v">
      <t c="6" si="614">
        <n x="610"/>
        <n x="555"/>
        <n x="556"/>
        <n x="800" s="1"/>
        <n x="612"/>
        <n x="613"/>
      </t>
    </mdx>
    <mdx n="0" f="v">
      <t c="6" si="614">
        <n x="610"/>
        <n x="607"/>
        <n x="608"/>
        <n x="800" s="1"/>
        <n x="612"/>
        <n x="613"/>
      </t>
    </mdx>
    <mdx n="0" f="v">
      <t c="6" si="614">
        <n x="610"/>
        <n x="235"/>
        <n x="236"/>
        <n x="800" s="1"/>
        <n x="612"/>
        <n x="613"/>
      </t>
    </mdx>
    <mdx n="0" f="v">
      <t c="6" si="614">
        <n x="610"/>
        <n x="735"/>
        <n x="736"/>
        <n x="800" s="1"/>
        <n x="612"/>
        <n x="613"/>
      </t>
    </mdx>
    <mdx n="0" f="v">
      <t c="6" si="614">
        <n x="610"/>
        <n x="257"/>
        <n x="258"/>
        <n x="800" s="1"/>
        <n x="612"/>
        <n x="613"/>
      </t>
    </mdx>
    <mdx n="0" f="v">
      <t c="6" si="614">
        <n x="610"/>
        <n x="713"/>
        <n x="714"/>
        <n x="800" s="1"/>
        <n x="612"/>
        <n x="613"/>
      </t>
    </mdx>
    <mdx n="0" f="v">
      <t c="6" si="614">
        <n x="610"/>
        <n x="285"/>
        <n x="286"/>
        <n x="800" s="1"/>
        <n x="612"/>
        <n x="613"/>
      </t>
    </mdx>
    <mdx n="0" f="v">
      <t c="6" si="614">
        <n x="610"/>
        <n x="723"/>
        <n x="724"/>
        <n x="800" s="1"/>
        <n x="612"/>
        <n x="613"/>
      </t>
    </mdx>
    <mdx n="0" f="v">
      <t c="6" si="614">
        <n x="610"/>
        <n x="723"/>
        <n x="724"/>
        <n x="800" s="1"/>
        <n x="612"/>
        <n x="613"/>
      </t>
    </mdx>
    <mdx n="0" f="v">
      <t c="6" si="614">
        <n x="610"/>
        <n x="239"/>
        <n x="240"/>
        <n x="800" s="1"/>
        <n x="612"/>
        <n x="613"/>
      </t>
    </mdx>
    <mdx n="0" f="v">
      <t c="6" si="614">
        <n x="610"/>
        <n x="547"/>
        <n x="548"/>
        <n x="800" s="1"/>
        <n x="612"/>
        <n x="613"/>
      </t>
    </mdx>
    <mdx n="0" f="v">
      <t c="6" si="614">
        <n x="610"/>
        <n x="557"/>
        <n x="558"/>
        <n x="800" s="1"/>
        <n x="612"/>
        <n x="613"/>
      </t>
    </mdx>
    <mdx n="0" f="v">
      <t c="6" si="614">
        <n x="610"/>
        <n x="495"/>
        <n x="496"/>
        <n x="800" s="1"/>
        <n x="612"/>
        <n x="613"/>
      </t>
    </mdx>
    <mdx n="0" f="v">
      <t c="6" si="614">
        <n x="610"/>
        <n x="363"/>
        <n x="364"/>
        <n x="800" s="1"/>
        <n x="612"/>
        <n x="613"/>
      </t>
    </mdx>
    <mdx n="0" f="v">
      <t c="6" si="614">
        <n x="610"/>
        <n x="277"/>
        <n x="278"/>
        <n x="800" s="1"/>
        <n x="612"/>
        <n x="613"/>
      </t>
    </mdx>
    <mdx n="0" f="v">
      <t c="6" si="614">
        <n x="610"/>
        <n x="401"/>
        <n x="402"/>
        <n x="800" s="1"/>
        <n x="612"/>
        <n x="613"/>
      </t>
    </mdx>
    <mdx n="0" f="v">
      <t c="6" si="614">
        <n x="610"/>
        <n x="435"/>
        <n x="436"/>
        <n x="800" s="1"/>
        <n x="612"/>
        <n x="613"/>
      </t>
    </mdx>
    <mdx n="0" f="v">
      <t c="6" si="614">
        <n x="610"/>
        <n x="743"/>
        <n x="744"/>
        <n x="800" s="1"/>
        <n x="612"/>
        <n x="613"/>
      </t>
    </mdx>
    <mdx n="0" f="v">
      <t c="6" si="614">
        <n x="610"/>
        <n x="437"/>
        <n x="438"/>
        <n x="800" s="1"/>
        <n x="612"/>
        <n x="613"/>
      </t>
    </mdx>
    <mdx n="0" f="v">
      <t c="6" si="614">
        <n x="610"/>
        <n x="747"/>
        <n x="748"/>
        <n x="800" s="1"/>
        <n x="612"/>
        <n x="613"/>
      </t>
    </mdx>
    <mdx n="0" f="v">
      <t c="6" si="614">
        <n x="610"/>
        <n x="749"/>
        <n x="750"/>
        <n x="800" s="1"/>
        <n x="612"/>
        <n x="613"/>
      </t>
    </mdx>
    <mdx n="0" f="v">
      <t c="6" si="614">
        <n x="610"/>
        <n x="261"/>
        <n x="262"/>
        <n x="800" s="1"/>
        <n x="612"/>
        <n x="613"/>
      </t>
    </mdx>
    <mdx n="0" f="v">
      <t c="6" si="614">
        <n x="610"/>
        <n x="261"/>
        <n x="262"/>
        <n x="800" s="1"/>
        <n x="612"/>
        <n x="613"/>
      </t>
    </mdx>
    <mdx n="0" f="v">
      <t c="6" si="614">
        <n x="610"/>
        <n x="751"/>
        <n x="752"/>
        <n x="800" s="1"/>
        <n x="612"/>
        <n x="613"/>
      </t>
    </mdx>
    <mdx n="0" f="v">
      <t c="6" si="614">
        <n x="610"/>
        <n x="463"/>
        <n x="464"/>
        <n x="800" s="1"/>
        <n x="612"/>
        <n x="613"/>
      </t>
    </mdx>
    <mdx n="0" f="v">
      <t c="6" si="614">
        <n x="610"/>
        <n x="365"/>
        <n x="366"/>
        <n x="800" s="1"/>
        <n x="612"/>
        <n x="613"/>
      </t>
    </mdx>
    <mdx n="0" f="v">
      <t c="6" si="614">
        <n x="610"/>
        <n x="597"/>
        <n x="234"/>
        <n x="800" s="1"/>
        <n x="612"/>
        <n x="613"/>
      </t>
    </mdx>
    <mdx n="0" f="v">
      <t c="6" si="614">
        <n x="610"/>
        <n x="317"/>
        <n x="728"/>
        <n x="800" s="1"/>
        <n x="612"/>
        <n x="613"/>
      </t>
    </mdx>
    <mdx n="0" f="v">
      <t c="6" si="614">
        <n x="610"/>
        <n x="731"/>
        <n x="732"/>
        <n x="800" s="1"/>
        <n x="612"/>
        <n x="613"/>
      </t>
    </mdx>
    <mdx n="0" f="v">
      <t c="6" si="614">
        <n x="610"/>
        <n x="731"/>
        <n x="732"/>
        <n x="800" s="1"/>
        <n x="612"/>
        <n x="613"/>
      </t>
    </mdx>
    <mdx n="0" f="v">
      <t c="6" si="614">
        <n x="610"/>
        <n x="553"/>
        <n x="732"/>
        <n x="800" s="1"/>
        <n x="612"/>
        <n x="613"/>
      </t>
    </mdx>
    <mdx n="0" f="v">
      <t c="6" si="614">
        <n x="610"/>
        <n x="553"/>
        <n x="554"/>
        <n x="800" s="1"/>
        <n x="612"/>
        <n x="613"/>
      </t>
    </mdx>
    <mdx n="0" f="v">
      <t c="6" si="614">
        <n x="610"/>
        <n x="377"/>
        <n x="378"/>
        <n x="800" s="1"/>
        <n x="612"/>
        <n x="613"/>
      </t>
    </mdx>
    <mdx n="0" f="v">
      <t c="6" si="614">
        <n x="610"/>
        <n x="247"/>
        <n x="378"/>
        <n x="800" s="1"/>
        <n x="612"/>
        <n x="613"/>
      </t>
    </mdx>
    <mdx n="0" f="v">
      <t c="6" si="614">
        <n x="610"/>
        <n x="221"/>
        <n x="244"/>
        <n x="800" s="1"/>
        <n x="612"/>
        <n x="613"/>
      </t>
    </mdx>
    <mdx n="0" f="v">
      <t c="6" si="614">
        <n x="610"/>
        <n x="765"/>
        <n x="222"/>
        <n x="800" s="1"/>
        <n x="612"/>
        <n x="613"/>
      </t>
    </mdx>
    <mdx n="0" f="v">
      <t c="6" si="614">
        <n x="610"/>
        <n x="443"/>
        <n x="444"/>
        <n x="800" s="1"/>
        <n x="612"/>
        <n x="613"/>
      </t>
    </mdx>
    <mdx n="0" f="v">
      <t c="6" si="614">
        <n x="610"/>
        <n x="725"/>
        <n x="444"/>
        <n x="800" s="1"/>
        <n x="612"/>
        <n x="613"/>
      </t>
    </mdx>
    <mdx n="0" f="v">
      <t c="6" si="614">
        <n x="610"/>
        <n x="209"/>
        <n x="276"/>
        <n x="800" s="1"/>
        <n x="612"/>
        <n x="613"/>
      </t>
    </mdx>
    <mdx n="0" f="v">
      <t c="6" si="614">
        <n x="610"/>
        <n x="209"/>
        <n x="210"/>
        <n x="800" s="1"/>
        <n x="612"/>
        <n x="613"/>
      </t>
    </mdx>
    <mdx n="0" f="v">
      <t c="6" si="614">
        <n x="610"/>
        <n x="729"/>
        <n x="730"/>
        <n x="800" s="1"/>
        <n x="612"/>
        <n x="613"/>
      </t>
    </mdx>
    <mdx n="0" f="v">
      <t c="6" si="614">
        <n x="610"/>
        <n x="499"/>
        <n x="500"/>
        <n x="800" s="1"/>
        <n x="612"/>
        <n x="613"/>
      </t>
    </mdx>
    <mdx n="0" f="v">
      <t c="6" si="614">
        <n x="610"/>
        <n x="541"/>
        <n x="500"/>
        <n x="800" s="1"/>
        <n x="612"/>
        <n x="613"/>
      </t>
    </mdx>
    <mdx n="0" f="v">
      <t c="6" si="614">
        <n x="610"/>
        <n x="541"/>
        <n x="542"/>
        <n x="800" s="1"/>
        <n x="612"/>
        <n x="613"/>
      </t>
    </mdx>
    <mdx n="0" f="v">
      <t c="6" si="614">
        <n x="610"/>
        <n x="595"/>
        <n x="562"/>
        <n x="800" s="1"/>
        <n x="612"/>
        <n x="613"/>
      </t>
    </mdx>
    <mdx n="0" f="v">
      <t c="6" si="614">
        <n x="610"/>
        <n x="595"/>
        <n x="596"/>
        <n x="800" s="1"/>
        <n x="612"/>
        <n x="613"/>
      </t>
    </mdx>
    <mdx n="0" f="v">
      <t c="6" si="614">
        <n x="610"/>
        <n x="533"/>
        <n x="534"/>
        <n x="800" s="1"/>
        <n x="612"/>
        <n x="613"/>
      </t>
    </mdx>
    <mdx n="0" f="v">
      <t c="6" si="614">
        <n x="610"/>
        <n x="717"/>
        <n x="718"/>
        <n x="800" s="1"/>
        <n x="612"/>
        <n x="613"/>
      </t>
    </mdx>
    <mdx n="0" f="v">
      <t c="6" si="614">
        <n x="610"/>
        <n x="717"/>
        <n x="718"/>
        <n x="800" s="1"/>
        <n x="612"/>
        <n x="613"/>
      </t>
    </mdx>
    <mdx n="0" f="v">
      <t c="6" si="614">
        <n x="610"/>
        <n x="581"/>
        <n x="582"/>
        <n x="800" s="1"/>
        <n x="612"/>
        <n x="613"/>
      </t>
    </mdx>
    <mdx n="0" f="v">
      <t c="6" si="614">
        <n x="610"/>
        <n x="521"/>
        <n x="522"/>
        <n x="800" s="1"/>
        <n x="612"/>
        <n x="613"/>
      </t>
    </mdx>
    <mdx n="0" f="v">
      <t c="6" si="614">
        <n x="610"/>
        <n x="521"/>
        <n x="522"/>
        <n x="800" s="1"/>
        <n x="612"/>
        <n x="613"/>
      </t>
    </mdx>
    <mdx n="0" f="v">
      <t c="6" si="614">
        <n x="610"/>
        <n x="523"/>
        <n x="524"/>
        <n x="800" s="1"/>
        <n x="612"/>
        <n x="613"/>
      </t>
    </mdx>
    <mdx n="0" f="v">
      <t c="6" si="614">
        <n x="610"/>
        <n x="457"/>
        <n x="792"/>
        <n x="800" s="1"/>
        <n x="612"/>
        <n x="613"/>
      </t>
    </mdx>
    <mdx n="0" f="v">
      <t c="6" si="614">
        <n x="610"/>
        <n x="457"/>
        <n x="458"/>
        <n x="800" s="1"/>
        <n x="612"/>
        <n x="613"/>
      </t>
    </mdx>
    <mdx n="0" f="v">
      <t c="6" si="614">
        <n x="610"/>
        <n x="739"/>
        <n x="740"/>
        <n x="800" s="1"/>
        <n x="612"/>
        <n x="613"/>
      </t>
    </mdx>
    <mdx n="0" f="v">
      <t c="6" si="614">
        <n x="610"/>
        <n x="739"/>
        <n x="740"/>
        <n x="800" s="1"/>
        <n x="612"/>
        <n x="613"/>
      </t>
    </mdx>
    <mdx n="0" f="v">
      <t c="6" si="614">
        <n x="610"/>
        <n x="225"/>
        <n x="226"/>
        <n x="800" s="1"/>
        <n x="612"/>
        <n x="613"/>
      </t>
    </mdx>
    <mdx n="0" f="v">
      <t c="6" si="614">
        <n x="610"/>
        <n x="225"/>
        <n x="226"/>
        <n x="800" s="1"/>
        <n x="612"/>
        <n x="613"/>
      </t>
    </mdx>
    <mdx n="0" f="v">
      <t c="6" si="614">
        <n x="610"/>
        <n x="449"/>
        <n x="450"/>
        <n x="800" s="1"/>
        <n x="612"/>
        <n x="613"/>
      </t>
    </mdx>
    <mdx n="0" f="v">
      <t c="6" si="614">
        <n x="610"/>
        <n x="421"/>
        <n x="450"/>
        <n x="800" s="1"/>
        <n x="612"/>
        <n x="613"/>
      </t>
    </mdx>
    <mdx n="0" f="v">
      <t c="6" si="614">
        <n x="610"/>
        <n x="537"/>
        <n x="422"/>
        <n x="800" s="1"/>
        <n x="612"/>
        <n x="613"/>
      </t>
    </mdx>
    <mdx n="0" f="v">
      <t c="6" si="614">
        <n x="610"/>
        <n x="715"/>
        <n x="498"/>
        <n x="800" s="1"/>
        <n x="612"/>
        <n x="613"/>
      </t>
    </mdx>
    <mdx n="0" f="v">
      <t c="6" si="614">
        <n x="610"/>
        <n x="589"/>
        <n x="716"/>
        <n x="800" s="1"/>
        <n x="612"/>
        <n x="613"/>
      </t>
    </mdx>
    <mdx n="0" f="v">
      <t c="6" si="614">
        <n x="610"/>
        <n x="601"/>
        <n x="602"/>
        <n x="800" s="1"/>
        <n x="612"/>
        <n x="613"/>
      </t>
    </mdx>
    <mdx n="0" f="v">
      <t c="6" si="614">
        <n x="610"/>
        <n x="805"/>
        <n x="806"/>
        <n x="800" s="1"/>
        <n x="612"/>
        <n x="613"/>
      </t>
    </mdx>
    <mdx n="0" f="v">
      <t c="6" si="614">
        <n x="610"/>
        <n x="745"/>
        <n x="746"/>
        <n x="800" s="1"/>
        <n x="612"/>
        <n x="613"/>
      </t>
    </mdx>
    <mdx n="0" f="v">
      <t c="6" si="614">
        <n x="610"/>
        <n x="745"/>
        <n x="746"/>
        <n x="800" s="1"/>
        <n x="612"/>
        <n x="613"/>
      </t>
    </mdx>
    <mdx n="0" f="v">
      <t c="6" si="614">
        <n x="610"/>
        <n x="389"/>
        <n x="390"/>
        <n x="800" s="1"/>
        <n x="612"/>
        <n x="613"/>
      </t>
    </mdx>
    <mdx n="0" f="v">
      <t c="6" si="614">
        <n x="610"/>
        <n x="237"/>
        <n x="238"/>
        <n x="800" s="1"/>
        <n x="612"/>
        <n x="613"/>
      </t>
    </mdx>
    <mdx n="0" f="v">
      <t c="6" si="614">
        <n x="610"/>
        <n x="593"/>
        <n x="594"/>
        <n x="800" s="1"/>
        <n x="612"/>
        <n x="613"/>
      </t>
    </mdx>
    <mdx n="0" f="v">
      <t c="6" si="614">
        <n x="610"/>
        <n x="223"/>
        <n x="224"/>
        <n x="800" s="1"/>
        <n x="612"/>
        <n x="613"/>
      </t>
    </mdx>
    <mdx n="0" f="v">
      <t c="6" si="614">
        <n x="610"/>
        <n x="577"/>
        <n x="456"/>
        <n x="800" s="1"/>
        <n x="612"/>
        <n x="613"/>
      </t>
    </mdx>
    <mdx n="0" f="v">
      <t c="6" si="614">
        <n x="610"/>
        <n x="577"/>
        <n x="456"/>
        <n x="800" s="1"/>
        <n x="612"/>
        <n x="613"/>
      </t>
    </mdx>
    <mdx n="0" f="v">
      <t c="6" si="614">
        <n x="610"/>
        <n x="577"/>
        <n x="456"/>
        <n x="800" s="1"/>
        <n x="612"/>
        <n x="613"/>
      </t>
    </mdx>
    <mdx n="0" f="v">
      <t c="6" si="614">
        <n x="610"/>
        <n x="325"/>
        <n x="326"/>
        <n x="800" s="1"/>
        <n x="612"/>
        <n x="613"/>
      </t>
    </mdx>
    <mdx n="0" f="v">
      <t c="6" si="614">
        <n x="610"/>
        <n x="733"/>
        <n x="326"/>
        <n x="800" s="1"/>
        <n x="612"/>
        <n x="613"/>
      </t>
    </mdx>
    <mdx n="0" f="v">
      <t c="6" si="614">
        <n x="610"/>
        <n x="419"/>
        <n x="350"/>
        <n x="800" s="1"/>
        <n x="612"/>
        <n x="613"/>
      </t>
    </mdx>
    <mdx n="0" f="v">
      <t c="6" si="614">
        <n x="610"/>
        <n x="419"/>
        <n x="350"/>
        <n x="800" s="1"/>
        <n x="612"/>
        <n x="613"/>
      </t>
    </mdx>
    <mdx n="0" f="v">
      <t c="6" si="614">
        <n x="610"/>
        <n x="413"/>
        <n x="350"/>
        <n x="800" s="1"/>
        <n x="612"/>
        <n x="613"/>
      </t>
    </mdx>
    <mdx n="0" f="v">
      <t c="6" si="614">
        <n x="610"/>
        <n x="753"/>
        <n x="520"/>
        <n x="800" s="1"/>
        <n x="612"/>
        <n x="613"/>
      </t>
    </mdx>
    <mdx n="0" f="v">
      <t c="6" si="614">
        <n x="610"/>
        <n x="205"/>
        <n x="206"/>
        <n x="800" s="1"/>
        <n x="612"/>
        <n x="613"/>
      </t>
    </mdx>
    <mdx n="0" f="v">
      <t c="6" si="614">
        <n x="610"/>
        <n x="757"/>
        <n x="758"/>
        <n x="800" s="1"/>
        <n x="612"/>
        <n x="613"/>
      </t>
    </mdx>
    <mdx n="0" f="v">
      <t c="6" si="614">
        <n x="610"/>
        <n x="245"/>
        <n x="246"/>
        <n x="800" s="1"/>
        <n x="612"/>
        <n x="613"/>
      </t>
    </mdx>
    <mdx n="0" f="v">
      <t c="6" si="614">
        <n x="610"/>
        <n x="491"/>
        <n x="492"/>
        <n x="800" s="1"/>
        <n x="612"/>
        <n x="613"/>
      </t>
    </mdx>
    <mdx n="0" f="v">
      <t c="6" si="614">
        <n x="610"/>
        <n x="783"/>
        <n x="784"/>
        <n x="800" s="1"/>
        <n x="612"/>
        <n x="613"/>
      </t>
    </mdx>
    <mdx n="0" f="v">
      <t c="6" si="614">
        <n x="610"/>
        <n x="509"/>
        <n x="784"/>
        <n x="800" s="1"/>
        <n x="612"/>
        <n x="613"/>
      </t>
    </mdx>
    <mdx n="0" f="v">
      <t c="6" si="614">
        <n x="610"/>
        <n x="509"/>
        <n x="510"/>
        <n x="800" s="1"/>
        <n x="612"/>
        <n x="613"/>
      </t>
    </mdx>
    <mdx n="0" f="v">
      <t c="6" si="614">
        <n x="610"/>
        <n x="769"/>
        <n x="770"/>
        <n x="800" s="1"/>
        <n x="612"/>
        <n x="613"/>
      </t>
    </mdx>
    <mdx n="0" f="v">
      <t c="6" si="614">
        <n x="610"/>
        <n x="531"/>
        <n x="532"/>
        <n x="800" s="1"/>
        <n x="612"/>
        <n x="613"/>
      </t>
    </mdx>
    <mdx n="0" f="v">
      <t c="6" si="614">
        <n x="610"/>
        <n x="451"/>
        <n x="346"/>
        <n x="800" s="1"/>
        <n x="612"/>
        <n x="613"/>
      </t>
    </mdx>
    <mdx n="0" f="v">
      <t c="6" si="614">
        <n x="610"/>
        <n x="451"/>
        <n x="452"/>
        <n x="800" s="1"/>
        <n x="612"/>
        <n x="613"/>
      </t>
    </mdx>
    <mdx n="0" f="v">
      <t c="6" si="614">
        <n x="610"/>
        <n x="453"/>
        <n x="454"/>
        <n x="800" s="1"/>
        <n x="612"/>
        <n x="613"/>
      </t>
    </mdx>
    <mdx n="0" f="v">
      <t c="6" si="614">
        <n x="610"/>
        <n x="527"/>
        <n x="528"/>
        <n x="800" s="1"/>
        <n x="612"/>
        <n x="613"/>
      </t>
    </mdx>
    <mdx n="0" f="v">
      <t c="6" si="614">
        <n x="610"/>
        <n x="527"/>
        <n x="528"/>
        <n x="800" s="1"/>
        <n x="612"/>
        <n x="613"/>
      </t>
    </mdx>
    <mdx n="0" f="v">
      <t c="6" si="614">
        <n x="610"/>
        <n x="785"/>
        <n x="786"/>
        <n x="800" s="1"/>
        <n x="612"/>
        <n x="613"/>
      </t>
    </mdx>
    <mdx n="0" f="v">
      <t c="6" si="614">
        <n x="610"/>
        <n x="507"/>
        <n x="306"/>
        <n x="800" s="1"/>
        <n x="612"/>
        <n x="613"/>
      </t>
    </mdx>
    <mdx n="0" f="v">
      <t c="6" si="614">
        <n x="610"/>
        <n x="507"/>
        <n x="508"/>
        <n x="800" s="1"/>
        <n x="612"/>
        <n x="613"/>
      </t>
    </mdx>
    <mdx n="0" f="v">
      <t c="6" si="614">
        <n x="610"/>
        <n x="373"/>
        <n x="374"/>
        <n x="800" s="1"/>
        <n x="612"/>
        <n x="613"/>
      </t>
    </mdx>
    <mdx n="0" f="v">
      <t c="6" si="614">
        <n x="610"/>
        <n x="337"/>
        <n x="338"/>
        <n x="800" s="1"/>
        <n x="612"/>
        <n x="613"/>
      </t>
    </mdx>
    <mdx n="0" f="v">
      <t c="6" si="614">
        <n x="610"/>
        <n x="337"/>
        <n x="338"/>
        <n x="800" s="1"/>
        <n x="612"/>
        <n x="613"/>
      </t>
    </mdx>
    <mdx n="0" f="v">
      <t c="6" si="614">
        <n x="610"/>
        <n x="369"/>
        <n x="426"/>
        <n x="800" s="1"/>
        <n x="612"/>
        <n x="613"/>
      </t>
    </mdx>
    <mdx n="0" f="v">
      <t c="6" si="614">
        <n x="610"/>
        <n x="369"/>
        <n x="370"/>
        <n x="800" s="1"/>
        <n x="612"/>
        <n x="613"/>
      </t>
    </mdx>
    <mdx n="0" f="v">
      <t c="6" si="614">
        <n x="610"/>
        <n x="755"/>
        <n x="756"/>
        <n x="800" s="1"/>
        <n x="612"/>
        <n x="613"/>
      </t>
    </mdx>
    <mdx n="0" f="v">
      <t c="6" si="614">
        <n x="610"/>
        <n x="407"/>
        <n x="408"/>
        <n x="800" s="1"/>
        <n x="612"/>
        <n x="613"/>
      </t>
    </mdx>
    <mdx n="0" f="v">
      <t c="6" si="614">
        <n x="610"/>
        <n x="407"/>
        <n x="408"/>
        <n x="800" s="1"/>
        <n x="612"/>
        <n x="613"/>
      </t>
    </mdx>
    <mdx n="0" f="v">
      <t c="6" si="614">
        <n x="610"/>
        <n x="211"/>
        <n x="212"/>
        <n x="800" s="1"/>
        <n x="612"/>
        <n x="613"/>
      </t>
    </mdx>
    <mdx n="0" f="v">
      <t c="6" si="614">
        <n x="610"/>
        <n x="493"/>
        <n x="494"/>
        <n x="800" s="1"/>
        <n x="612"/>
        <n x="613"/>
      </t>
    </mdx>
    <mdx n="0" f="v">
      <t c="6" si="614">
        <n x="610"/>
        <n x="279"/>
        <n x="280"/>
        <n x="800" s="1"/>
        <n x="612"/>
        <n x="613"/>
      </t>
    </mdx>
    <mdx n="0" f="v">
      <t c="6" si="614">
        <n x="610"/>
        <n x="759"/>
        <n x="760"/>
        <n x="800" s="1"/>
        <n x="612"/>
        <n x="613"/>
      </t>
    </mdx>
    <mdx n="0" f="v">
      <t c="6" si="614">
        <n x="610"/>
        <n x="549"/>
        <n x="550"/>
        <n x="800" s="1"/>
        <n x="612"/>
        <n x="613"/>
      </t>
    </mdx>
    <mdx n="0" f="v">
      <t c="6" si="614">
        <n x="610"/>
        <n x="549"/>
        <n x="550"/>
        <n x="800" s="1"/>
        <n x="612"/>
        <n x="613"/>
      </t>
    </mdx>
    <mdx n="0" f="v">
      <t c="6" si="614">
        <n x="610"/>
        <n x="287"/>
        <n x="288"/>
        <n x="800" s="1"/>
        <n x="612"/>
        <n x="613"/>
      </t>
    </mdx>
    <mdx n="0" f="v">
      <t c="6" si="614">
        <n x="610"/>
        <n x="287"/>
        <n x="288"/>
        <n x="800" s="1"/>
        <n x="612"/>
        <n x="613"/>
      </t>
    </mdx>
    <mdx n="0" f="v">
      <t c="6" si="614">
        <n x="610"/>
        <n x="517"/>
        <n x="518"/>
        <n x="800" s="1"/>
        <n x="612"/>
        <n x="613"/>
      </t>
    </mdx>
    <mdx n="0" f="v">
      <t c="6" si="614">
        <n x="610"/>
        <n x="359"/>
        <n x="360"/>
        <n x="800" s="1"/>
        <n x="612"/>
        <n x="613"/>
      </t>
    </mdx>
    <mdx n="0" f="v">
      <t c="6" si="614">
        <n x="610"/>
        <n x="393"/>
        <n x="606"/>
        <n x="800" s="1"/>
        <n x="612"/>
        <n x="613"/>
      </t>
    </mdx>
    <mdx n="0" f="v">
      <t c="6" si="614">
        <n x="610"/>
        <n x="299"/>
        <n x="300"/>
        <n x="800" s="1"/>
        <n x="612"/>
        <n x="613"/>
      </t>
    </mdx>
    <mdx n="0" f="v">
      <t c="6" si="614">
        <n x="610"/>
        <n x="229"/>
        <n x="230"/>
        <n x="800" s="1"/>
        <n x="612"/>
        <n x="613"/>
      </t>
    </mdx>
    <mdx n="0" f="v">
      <t c="6" si="614">
        <n x="610"/>
        <n x="399"/>
        <n x="400"/>
        <n x="800" s="1"/>
        <n x="612"/>
        <n x="613"/>
      </t>
    </mdx>
    <mdx n="0" f="v">
      <t c="6" si="614">
        <n x="610"/>
        <n x="399"/>
        <n x="400"/>
        <n x="800" s="1"/>
        <n x="612"/>
        <n x="613"/>
      </t>
    </mdx>
    <mdx n="0" f="v">
      <t c="6" si="614">
        <n x="610"/>
        <n x="469"/>
        <n x="470"/>
        <n x="800" s="1"/>
        <n x="612"/>
        <n x="613"/>
      </t>
    </mdx>
    <mdx n="0" f="v">
      <t c="6" si="614">
        <n x="610"/>
        <n x="551"/>
        <n x="552"/>
        <n x="800" s="1"/>
        <n x="612"/>
        <n x="613"/>
      </t>
    </mdx>
    <mdx n="0" f="v">
      <t c="6" si="614">
        <n x="610"/>
        <n x="539"/>
        <n x="540"/>
        <n x="800" s="1"/>
        <n x="612"/>
        <n x="613"/>
      </t>
    </mdx>
    <mdx n="0" f="v">
      <t c="6" si="614">
        <n x="610"/>
        <n x="767"/>
        <n x="768"/>
        <n x="800" s="1"/>
        <n x="612"/>
        <n x="613"/>
      </t>
    </mdx>
    <mdx n="0" f="v">
      <t c="6" si="614">
        <n x="610"/>
        <n x="297"/>
        <n x="298"/>
        <n x="800" s="1"/>
        <n x="612"/>
        <n x="613"/>
      </t>
    </mdx>
    <mdx n="0" f="v">
      <t c="6" si="614">
        <n x="610"/>
        <n x="485"/>
        <n x="486"/>
        <n x="800" s="1"/>
        <n x="612"/>
        <n x="613"/>
      </t>
    </mdx>
    <mdx n="0" f="v">
      <t c="6" si="614">
        <n x="610"/>
        <n x="485"/>
        <n x="486"/>
        <n x="800" s="1"/>
        <n x="612"/>
        <n x="613"/>
      </t>
    </mdx>
    <mdx n="0" f="v">
      <t c="6" si="614">
        <n x="610"/>
        <n x="777"/>
        <n x="778"/>
        <n x="800" s="1"/>
        <n x="612"/>
        <n x="613"/>
      </t>
    </mdx>
    <mdx n="0" f="v">
      <t c="6" si="614">
        <n x="610"/>
        <n x="269"/>
        <n x="270"/>
        <n x="800" s="1"/>
        <n x="612"/>
        <n x="613"/>
      </t>
    </mdx>
    <mdx n="0" f="v">
      <t c="6" si="614">
        <n x="610"/>
        <n x="535"/>
        <n x="536"/>
        <n x="800" s="1"/>
        <n x="612"/>
        <n x="613"/>
      </t>
    </mdx>
    <mdx n="0" f="v">
      <t c="6" si="614">
        <n x="610"/>
        <n x="565"/>
        <n x="566"/>
        <n x="800" s="1"/>
        <n x="612"/>
        <n x="613"/>
      </t>
    </mdx>
    <mdx n="0" f="v">
      <t c="6" si="614">
        <n x="610"/>
        <n x="473"/>
        <n x="474"/>
        <n x="800" s="1"/>
        <n x="612"/>
        <n x="613"/>
      </t>
    </mdx>
    <mdx n="0" f="v">
      <t c="6" si="614">
        <n x="610"/>
        <n x="465"/>
        <n x="214"/>
        <n x="800" s="1"/>
        <n x="612"/>
        <n x="613"/>
      </t>
    </mdx>
    <mdx n="0" f="v">
      <t c="6" si="614">
        <n x="610"/>
        <n x="465"/>
        <n x="466"/>
        <n x="800" s="1"/>
        <n x="612"/>
        <n x="613"/>
      </t>
    </mdx>
    <mdx n="0" f="v">
      <t c="6" si="614">
        <n x="610"/>
        <n x="329"/>
        <n x="330"/>
        <n x="800" s="1"/>
        <n x="612"/>
        <n x="613"/>
      </t>
    </mdx>
    <mdx n="0" f="v">
      <t c="6" si="614">
        <n x="610"/>
        <n x="323"/>
        <n x="324"/>
        <n x="800" s="1"/>
        <n x="612"/>
        <n x="613"/>
      </t>
    </mdx>
    <mdx n="0" f="v">
      <t c="6" si="614">
        <n x="610"/>
        <n x="371"/>
        <n x="372"/>
        <n x="800" s="1"/>
        <n x="612"/>
        <n x="613"/>
      </t>
    </mdx>
    <mdx n="0" f="v">
      <t c="6" si="614">
        <n x="610"/>
        <n x="249"/>
        <n x="250"/>
        <n x="800" s="1"/>
        <n x="612"/>
        <n x="613"/>
      </t>
    </mdx>
    <mdx n="0" f="v">
      <t c="6" si="614">
        <n x="610"/>
        <n x="781"/>
        <n x="782"/>
        <n x="800" s="1"/>
        <n x="612"/>
        <n x="613"/>
      </t>
    </mdx>
    <mdx n="0" f="v">
      <t c="6" si="614">
        <n x="610"/>
        <n x="781"/>
        <n x="782"/>
        <n x="800" s="1"/>
        <n x="612"/>
        <n x="613"/>
      </t>
    </mdx>
    <mdx n="0" f="v">
      <t c="6" si="614">
        <n x="610"/>
        <n x="789"/>
        <n x="790"/>
        <n x="800" s="1"/>
        <n x="612"/>
        <n x="613"/>
      </t>
    </mdx>
    <mdx n="0" f="v">
      <t c="6" si="614">
        <n x="610"/>
        <n x="439"/>
        <n x="440"/>
        <n x="800" s="1"/>
        <n x="612"/>
        <n x="613"/>
      </t>
    </mdx>
    <mdx n="0" f="v">
      <t c="6" si="614">
        <n x="610"/>
        <n x="511"/>
        <n x="512"/>
        <n x="800" s="1"/>
        <n x="612"/>
        <n x="613"/>
      </t>
    </mdx>
    <mdx n="0" f="v">
      <t c="6" si="614">
        <n x="610"/>
        <n x="545"/>
        <n x="272"/>
        <n x="800" s="1"/>
        <n x="612"/>
        <n x="613"/>
      </t>
    </mdx>
    <mdx n="0" f="v">
      <t c="6" si="614">
        <n x="610"/>
        <n x="477"/>
        <n x="478"/>
        <n x="800" s="1"/>
        <n x="612"/>
        <n x="613"/>
      </t>
    </mdx>
    <mdx n="0" f="v">
      <t c="6" si="614">
        <n x="610"/>
        <n x="253"/>
        <n x="254"/>
        <n x="800" s="1"/>
        <n x="612"/>
        <n x="613"/>
      </t>
    </mdx>
    <mdx n="0" f="v">
      <t c="6" si="614">
        <n x="610"/>
        <n x="489"/>
        <n x="254"/>
        <n x="800" s="1"/>
        <n x="612"/>
        <n x="613"/>
      </t>
    </mdx>
    <mdx n="0" f="v">
      <t c="6" si="614">
        <n x="610"/>
        <n x="489"/>
        <n x="490"/>
        <n x="800" s="1"/>
        <n x="612"/>
        <n x="613"/>
      </t>
    </mdx>
    <mdx n="0" f="v">
      <t c="6" si="614">
        <n x="610"/>
        <n x="433"/>
        <n x="434"/>
        <n x="800" s="1"/>
        <n x="612"/>
        <n x="613"/>
      </t>
    </mdx>
    <mdx n="0" f="v">
      <t c="6" si="614">
        <n x="610"/>
        <n x="447"/>
        <n x="448"/>
        <n x="800" s="1"/>
        <n x="612"/>
        <n x="613"/>
      </t>
    </mdx>
    <mdx n="0" f="v">
      <t c="6" si="614">
        <n x="610"/>
        <n x="207"/>
        <n x="208"/>
        <n x="800" s="1"/>
        <n x="612"/>
        <n x="613"/>
      </t>
    </mdx>
    <mdx n="0" f="v">
      <t c="6" si="614">
        <n x="610"/>
        <n x="569"/>
        <n x="204"/>
        <n x="800" s="1"/>
        <n x="612"/>
        <n x="613"/>
      </t>
    </mdx>
    <mdx n="0" f="v">
      <t c="6" si="614">
        <n x="610"/>
        <n x="339"/>
        <n x="762"/>
        <n x="800" s="1"/>
        <n x="612"/>
        <n x="613"/>
      </t>
    </mdx>
    <mdx n="0" f="v">
      <t c="6" si="614">
        <n x="610"/>
        <n x="339"/>
        <n x="340"/>
        <n x="800" s="1"/>
        <n x="612"/>
        <n x="613"/>
      </t>
    </mdx>
    <mdx n="0" f="v">
      <t c="6" si="614">
        <n x="610"/>
        <n x="763"/>
        <n x="404"/>
        <n x="800" s="1"/>
        <n x="612"/>
        <n x="613"/>
      </t>
    </mdx>
    <mdx n="0" f="v">
      <t c="6" si="614">
        <n x="610"/>
        <n x="763"/>
        <n x="764"/>
        <n x="800" s="1"/>
        <n x="612"/>
        <n x="613"/>
      </t>
    </mdx>
    <mdx n="0" f="v">
      <t c="6" si="614">
        <n x="610"/>
        <n x="445"/>
        <n x="774"/>
        <n x="800" s="1"/>
        <n x="612"/>
        <n x="613"/>
      </t>
    </mdx>
    <mdx n="0" f="v">
      <t c="6" si="614">
        <n x="610"/>
        <n x="375"/>
        <n x="376"/>
        <n x="800" s="1"/>
        <n x="612"/>
        <n x="613"/>
      </t>
    </mdx>
    <mdx n="0" f="v">
      <t c="6" si="614">
        <n x="610"/>
        <n x="311"/>
        <n x="312"/>
        <n x="800" s="1"/>
        <n x="612"/>
        <n x="613"/>
      </t>
    </mdx>
    <mdx n="0" f="v">
      <t c="6" si="614">
        <n x="610"/>
        <n x="793"/>
        <n x="794"/>
        <n x="800" s="1"/>
        <n x="612"/>
        <n x="613"/>
      </t>
    </mdx>
    <mdx n="0" f="v">
      <t c="6" si="614">
        <n x="610"/>
        <n x="571"/>
        <n x="572"/>
        <n x="800" s="1"/>
        <n x="612"/>
        <n x="613"/>
      </t>
    </mdx>
    <mdx n="0" f="v">
      <t c="6" si="614">
        <n x="610"/>
        <n x="797"/>
        <n x="572"/>
        <n x="800" s="1"/>
        <n x="612"/>
        <n x="613"/>
      </t>
    </mdx>
    <mdx n="0" f="v">
      <t c="6" si="614">
        <n x="610"/>
        <n x="215"/>
        <n x="216"/>
        <n x="800" s="1"/>
        <n x="612"/>
        <n x="613"/>
      </t>
    </mdx>
    <mdx n="0" f="v">
      <t c="6" si="614">
        <n x="610"/>
        <n x="267"/>
        <n x="216"/>
        <n x="800" s="1"/>
        <n x="612"/>
        <n x="613"/>
      </t>
    </mdx>
    <mdx n="0" f="v">
      <t c="6" si="614">
        <n x="610"/>
        <n x="567"/>
        <n x="568"/>
        <n x="800" s="1"/>
        <n x="612"/>
        <n x="613"/>
      </t>
    </mdx>
    <mdx n="0" f="v">
      <t c="6" si="614">
        <n x="610"/>
        <n x="575"/>
        <n x="576"/>
        <n x="800" s="1"/>
        <n x="612"/>
        <n x="613"/>
      </t>
    </mdx>
    <mdx n="0" f="v">
      <t c="6" si="614">
        <n x="610"/>
        <n x="575"/>
        <n x="576"/>
        <n x="800" s="1"/>
        <n x="612"/>
        <n x="613"/>
      </t>
    </mdx>
    <mdx n="0" f="v">
      <t c="6" si="614">
        <n x="610"/>
        <n x="575"/>
        <n x="328"/>
        <n x="800" s="1"/>
        <n x="612"/>
        <n x="613"/>
      </t>
    </mdx>
    <mdx n="0" f="v">
      <t c="6" si="614">
        <n x="610"/>
        <n x="709"/>
        <n x="710"/>
        <n x="800" s="1"/>
        <n x="635"/>
        <n x="636"/>
      </t>
    </mdx>
    <mdx n="0" f="v">
      <t c="6" si="614">
        <n x="610"/>
        <n x="599"/>
        <n x="600"/>
        <n x="800" s="1"/>
        <n x="635"/>
        <n x="636"/>
      </t>
    </mdx>
    <mdx n="0" f="v">
      <t c="6" si="614">
        <n x="610"/>
        <n x="713"/>
        <n x="714"/>
        <n x="800" s="1"/>
        <n x="635"/>
        <n x="636"/>
      </t>
    </mdx>
    <mdx n="0" f="v">
      <t c="6" si="614">
        <n x="610"/>
        <n x="585"/>
        <n x="586"/>
        <n x="800" s="1"/>
        <n x="635"/>
        <n x="636"/>
      </t>
    </mdx>
    <mdx n="0" f="v">
      <t c="6" si="614">
        <n x="610"/>
        <n x="200"/>
        <n x="201"/>
        <n x="800" s="1"/>
        <n x="635"/>
        <n x="636"/>
      </t>
    </mdx>
    <mdx n="0" f="v">
      <t c="6" si="614">
        <n x="610"/>
        <n x="397"/>
        <n x="398"/>
        <n x="800" s="1"/>
        <n x="635"/>
        <n x="636"/>
      </t>
    </mdx>
    <mdx n="0" f="v">
      <t c="6" si="614">
        <n x="610"/>
        <n x="217"/>
        <n x="218"/>
        <n x="800" s="1"/>
        <n x="635"/>
        <n x="636"/>
      </t>
    </mdx>
    <mdx n="0" f="v">
      <t c="6" si="614">
        <n x="610"/>
        <n x="217"/>
        <n x="218"/>
        <n x="800" s="1"/>
        <n x="635"/>
        <n x="636"/>
      </t>
    </mdx>
    <mdx n="0" f="v">
      <t c="6" si="614">
        <n x="610"/>
        <n x="261"/>
        <n x="262"/>
        <n x="800" s="1"/>
        <n x="635"/>
        <n x="636"/>
      </t>
    </mdx>
    <mdx n="0" f="v">
      <t c="6" si="614">
        <n x="610"/>
        <n x="463"/>
        <n x="722"/>
        <n x="800" s="1"/>
        <n x="635"/>
        <n x="636"/>
      </t>
    </mdx>
    <mdx n="0" f="v">
      <t c="6" si="614">
        <n x="610"/>
        <n x="463"/>
        <n x="464"/>
        <n x="800" s="1"/>
        <n x="635"/>
        <n x="636"/>
      </t>
    </mdx>
    <mdx n="0" f="v">
      <t c="6" si="614">
        <n x="610"/>
        <n x="365"/>
        <n x="366"/>
        <n x="800" s="1"/>
        <n x="635"/>
        <n x="636"/>
      </t>
    </mdx>
    <mdx n="0" f="v">
      <t c="6" si="614">
        <n x="610"/>
        <n x="365"/>
        <n x="366"/>
        <n x="800" s="1"/>
        <n x="635"/>
        <n x="636"/>
      </t>
    </mdx>
    <mdx n="0" f="v">
      <t c="6" si="614">
        <n x="610"/>
        <n x="459"/>
        <n x="460"/>
        <n x="800" s="1"/>
        <n x="635"/>
        <n x="636"/>
      </t>
    </mdx>
    <mdx n="0" f="v">
      <t c="6" si="614">
        <n x="610"/>
        <n x="601"/>
        <n x="598"/>
        <n x="800" s="1"/>
        <n x="635"/>
        <n x="636"/>
      </t>
    </mdx>
    <mdx n="0" f="v">
      <t c="6" si="614">
        <n x="610"/>
        <n x="601"/>
        <n x="602"/>
        <n x="800" s="1"/>
        <n x="635"/>
        <n x="636"/>
      </t>
    </mdx>
    <mdx n="0" f="v">
      <t c="6" si="614">
        <n x="610"/>
        <n x="237"/>
        <n x="238"/>
        <n x="800" s="1"/>
        <n x="635"/>
        <n x="636"/>
      </t>
    </mdx>
    <mdx n="0" f="v">
      <t c="6" si="614">
        <n x="610"/>
        <n x="731"/>
        <n x="732"/>
        <n x="800" s="1"/>
        <n x="635"/>
        <n x="636"/>
      </t>
    </mdx>
    <mdx n="0" f="v">
      <t c="6" si="614">
        <n x="610"/>
        <n x="265"/>
        <n x="266"/>
        <n x="800" s="1"/>
        <n x="635"/>
        <n x="636"/>
      </t>
    </mdx>
    <mdx n="0" f="v">
      <t c="6" si="614">
        <n x="610"/>
        <n x="283"/>
        <n x="284"/>
        <n x="800" s="1"/>
        <n x="635"/>
        <n x="636"/>
      </t>
    </mdx>
    <mdx n="0" f="v">
      <t c="6" si="614">
        <n x="610"/>
        <n x="319"/>
        <n x="320"/>
        <n x="800" s="1"/>
        <n x="635"/>
        <n x="636"/>
      </t>
    </mdx>
    <mdx n="0" f="v">
      <t c="6" si="614">
        <n x="610"/>
        <n x="741"/>
        <n x="742"/>
        <n x="800" s="1"/>
        <n x="635"/>
        <n x="636"/>
      </t>
    </mdx>
    <mdx n="0" f="v">
      <t c="6" si="614">
        <n x="610"/>
        <n x="393"/>
        <n x="394"/>
        <n x="800" s="1"/>
        <n x="635"/>
        <n x="636"/>
      </t>
    </mdx>
    <mdx n="0" f="v">
      <t c="6" si="614">
        <n x="610"/>
        <n x="605"/>
        <n x="606"/>
        <n x="800" s="1"/>
        <n x="635"/>
        <n x="636"/>
      </t>
    </mdx>
    <mdx n="0" f="v">
      <t c="6" si="614">
        <n x="610"/>
        <n x="239"/>
        <n x="240"/>
        <n x="800" s="1"/>
        <n x="635"/>
        <n x="636"/>
      </t>
    </mdx>
    <mdx n="0" f="v">
      <t c="6" si="614">
        <n x="610"/>
        <n x="299"/>
        <n x="300"/>
        <n x="800" s="1"/>
        <n x="635"/>
        <n x="636"/>
      </t>
    </mdx>
    <mdx n="0" f="v">
      <t c="6" si="614">
        <n x="610"/>
        <n x="547"/>
        <n x="300"/>
        <n x="800" s="1"/>
        <n x="635"/>
        <n x="636"/>
      </t>
    </mdx>
    <mdx n="0" f="v">
      <t c="6" si="614">
        <n x="610"/>
        <n x="547"/>
        <n x="548"/>
        <n x="800" s="1"/>
        <n x="635"/>
        <n x="636"/>
      </t>
    </mdx>
    <mdx n="0" f="v">
      <t c="6" si="614">
        <n x="610"/>
        <n x="229"/>
        <n x="230"/>
        <n x="800" s="1"/>
        <n x="635"/>
        <n x="636"/>
      </t>
    </mdx>
    <mdx n="0" f="v">
      <t c="6" si="614">
        <n x="610"/>
        <n x="557"/>
        <n x="558"/>
        <n x="800" s="1"/>
        <n x="635"/>
        <n x="636"/>
      </t>
    </mdx>
    <mdx n="0" f="v">
      <t c="6" si="614">
        <n x="610"/>
        <n x="339"/>
        <n x="340"/>
        <n x="800" s="1"/>
        <n x="635"/>
        <n x="636"/>
      </t>
    </mdx>
    <mdx n="0" f="v">
      <t c="6" si="614">
        <n x="610"/>
        <n x="399"/>
        <n x="400"/>
        <n x="800" s="1"/>
        <n x="635"/>
        <n x="636"/>
      </t>
    </mdx>
    <mdx n="0" f="v">
      <t c="6" si="614">
        <n x="610"/>
        <n x="551"/>
        <n x="552"/>
        <n x="800" s="1"/>
        <n x="635"/>
        <n x="636"/>
      </t>
    </mdx>
    <mdx n="0" f="v">
      <t c="6" si="614">
        <n x="610"/>
        <n x="409"/>
        <n x="410"/>
        <n x="800" s="1"/>
        <n x="635"/>
        <n x="636"/>
      </t>
    </mdx>
    <mdx n="0" f="v">
      <t c="6" si="614">
        <n x="610"/>
        <n x="469"/>
        <n x="470"/>
        <n x="800" s="1"/>
        <n x="635"/>
        <n x="636"/>
      </t>
    </mdx>
    <mdx n="0" f="v">
      <t c="6" si="614">
        <n x="610"/>
        <n x="539"/>
        <n x="540"/>
        <n x="800" s="1"/>
        <n x="635"/>
        <n x="636"/>
      </t>
    </mdx>
    <mdx n="0" f="v">
      <t c="6" si="614">
        <n x="610"/>
        <n x="767"/>
        <n x="768"/>
        <n x="800" s="1"/>
        <n x="635"/>
        <n x="636"/>
      </t>
    </mdx>
    <mdx n="0" f="v">
      <t c="6" si="614">
        <n x="610"/>
        <n x="485"/>
        <n x="486"/>
        <n x="800" s="1"/>
        <n x="635"/>
        <n x="636"/>
      </t>
    </mdx>
    <mdx n="0" f="v">
      <t c="6" si="614">
        <n x="610"/>
        <n x="777"/>
        <n x="778"/>
        <n x="800" s="1"/>
        <n x="635"/>
        <n x="636"/>
      </t>
    </mdx>
    <mdx n="0" f="v">
      <t c="6" si="614">
        <n x="610"/>
        <n x="269"/>
        <n x="720"/>
        <n x="800" s="1"/>
        <n x="635"/>
        <n x="636"/>
      </t>
    </mdx>
    <mdx n="0" f="v">
      <t c="6" si="614">
        <n x="610"/>
        <n x="269"/>
        <n x="720"/>
        <n x="800" s="1"/>
        <n x="635"/>
        <n x="636"/>
      </t>
    </mdx>
    <mdx n="0" f="v">
      <t c="6" si="614">
        <n x="610"/>
        <n x="535"/>
        <n x="536"/>
        <n x="800" s="1"/>
        <n x="635"/>
        <n x="636"/>
      </t>
    </mdx>
    <mdx n="0" f="v">
      <t c="6" si="614">
        <n x="610"/>
        <n x="417"/>
        <n x="418"/>
        <n x="800" s="1"/>
        <n x="635"/>
        <n x="636"/>
      </t>
    </mdx>
    <mdx n="0" f="v">
      <t c="6" si="614">
        <n x="610"/>
        <n x="473"/>
        <n x="474"/>
        <n x="800" s="1"/>
        <n x="635"/>
        <n x="636"/>
      </t>
    </mdx>
    <mdx n="0" f="v">
      <t c="6" si="614">
        <n x="610"/>
        <n x="473"/>
        <n x="474"/>
        <n x="800" s="1"/>
        <n x="635"/>
        <n x="636"/>
      </t>
    </mdx>
    <mdx n="0" f="v">
      <t c="6" si="614">
        <n x="610"/>
        <n x="473"/>
        <n x="474"/>
        <n x="800" s="1"/>
        <n x="635"/>
        <n x="636"/>
      </t>
    </mdx>
    <mdx n="0" f="v">
      <t c="6" si="614">
        <n x="610"/>
        <n x="457"/>
        <n x="458"/>
        <n x="800" s="1"/>
        <n x="635"/>
        <n x="636"/>
      </t>
    </mdx>
    <mdx n="0" f="v">
      <t c="6" si="614">
        <n x="610"/>
        <n x="363"/>
        <n x="444"/>
        <n x="800" s="1"/>
        <n x="635"/>
        <n x="636"/>
      </t>
    </mdx>
    <mdx n="0" f="v">
      <t c="6" si="614">
        <n x="610"/>
        <n x="209"/>
        <n x="210"/>
        <n x="800" s="1"/>
        <n x="635"/>
        <n x="636"/>
      </t>
    </mdx>
    <mdx n="0" f="v">
      <t c="6" si="614">
        <n x="610"/>
        <n x="209"/>
        <n x="210"/>
        <n x="800" s="1"/>
        <n x="635"/>
        <n x="636"/>
      </t>
    </mdx>
    <mdx n="0" f="v">
      <t c="6" si="614">
        <n x="610"/>
        <n x="499"/>
        <n x="500"/>
        <n x="800" s="1"/>
        <n x="635"/>
        <n x="636"/>
      </t>
    </mdx>
    <mdx n="0" f="v">
      <t c="6" si="614">
        <n x="610"/>
        <n x="603"/>
        <n x="604"/>
        <n x="800" s="1"/>
        <n x="635"/>
        <n x="636"/>
      </t>
    </mdx>
    <mdx n="0" f="v">
      <t c="6" si="614">
        <n x="610"/>
        <n x="221"/>
        <n x="222"/>
        <n x="800" s="1"/>
        <n x="635"/>
        <n x="636"/>
      </t>
    </mdx>
    <mdx n="0" f="v">
      <t c="6" si="614">
        <n x="610"/>
        <n x="725"/>
        <n x="726"/>
        <n x="800" s="1"/>
        <n x="635"/>
        <n x="636"/>
      </t>
    </mdx>
    <mdx n="0" f="v">
      <t c="6" si="614">
        <n x="610"/>
        <n x="317"/>
        <n x="726"/>
        <n x="800" s="1"/>
        <n x="635"/>
        <n x="636"/>
      </t>
    </mdx>
    <mdx n="0" f="v">
      <t c="6" si="614">
        <n x="610"/>
        <n x="317"/>
        <n x="726"/>
        <n x="800" s="1"/>
        <n x="635"/>
        <n x="636"/>
      </t>
    </mdx>
    <mdx n="0" f="v">
      <t c="6" si="614">
        <n x="610"/>
        <n x="729"/>
        <n x="730"/>
        <n x="800" s="1"/>
        <n x="635"/>
        <n x="636"/>
      </t>
    </mdx>
    <mdx n="0" f="v">
      <t c="6" si="614">
        <n x="610"/>
        <n x="563"/>
        <n x="730"/>
        <n x="800" s="1"/>
        <n x="635"/>
        <n x="636"/>
      </t>
    </mdx>
    <mdx n="0" f="v">
      <t c="6" si="614">
        <n x="610"/>
        <n x="555"/>
        <n x="556"/>
        <n x="800" s="1"/>
        <n x="635"/>
        <n x="636"/>
      </t>
    </mdx>
    <mdx n="0" f="v">
      <t c="6" si="614">
        <n x="610"/>
        <n x="495"/>
        <n x="596"/>
        <n x="800" s="1"/>
        <n x="635"/>
        <n x="636"/>
      </t>
    </mdx>
    <mdx n="0" f="v">
      <t c="6" si="614">
        <n x="610"/>
        <n x="587"/>
        <n x="496"/>
        <n x="800" s="1"/>
        <n x="635"/>
        <n x="636"/>
      </t>
    </mdx>
    <mdx n="0" f="v">
      <t c="6" si="614">
        <n x="610"/>
        <n x="389"/>
        <n x="390"/>
        <n x="800" s="1"/>
        <n x="635"/>
        <n x="636"/>
      </t>
    </mdx>
    <mdx n="0" f="v">
      <t c="6" si="614">
        <n x="610"/>
        <n x="441"/>
        <n x="390"/>
        <n x="800" s="1"/>
        <n x="635"/>
        <n x="636"/>
      </t>
    </mdx>
    <mdx n="0" f="v">
      <t c="6" si="614">
        <n x="610"/>
        <n x="441"/>
        <n x="442"/>
        <n x="800" s="1"/>
        <n x="635"/>
        <n x="636"/>
      </t>
    </mdx>
    <mdx n="0" f="v">
      <t c="6" si="614">
        <n x="610"/>
        <n x="525"/>
        <n x="526"/>
        <n x="800" s="1"/>
        <n x="635"/>
        <n x="636"/>
      </t>
    </mdx>
    <mdx n="0" f="v">
      <t c="6" si="614">
        <n x="610"/>
        <n x="525"/>
        <n x="318"/>
        <n x="800" s="1"/>
        <n x="635"/>
        <n x="636"/>
      </t>
    </mdx>
    <mdx n="0" f="v">
      <t c="6" si="614">
        <n x="610"/>
        <n x="559"/>
        <n x="560"/>
        <n x="800" s="1"/>
        <n x="635"/>
        <n x="636"/>
      </t>
    </mdx>
    <mdx n="0" f="v">
      <t c="6" si="614">
        <n x="610"/>
        <n x="281"/>
        <n x="456"/>
        <n x="800" s="1"/>
        <n x="635"/>
        <n x="636"/>
      </t>
    </mdx>
    <mdx n="0" f="v">
      <t c="6" si="614">
        <n x="610"/>
        <n x="491"/>
        <n x="492"/>
        <n x="800" s="1"/>
        <n x="635"/>
        <n x="636"/>
      </t>
    </mdx>
    <mdx n="0" f="v">
      <t c="6" si="614">
        <n x="610"/>
        <n x="513"/>
        <n x="514"/>
        <n x="800" s="1"/>
        <n x="635"/>
        <n x="636"/>
      </t>
    </mdx>
    <mdx n="0" f="v">
      <t c="6" si="614">
        <n x="610"/>
        <n x="345"/>
        <n x="346"/>
        <n x="800" s="1"/>
        <n x="635"/>
        <n x="636"/>
      </t>
    </mdx>
    <mdx n="0" f="v">
      <t c="6" si="614">
        <n x="610"/>
        <n x="489"/>
        <n x="490"/>
        <n x="800" s="1"/>
        <n x="635"/>
        <n x="636"/>
      </t>
    </mdx>
    <mdx n="0" f="v">
      <t c="6" si="614">
        <n x="610"/>
        <n x="755"/>
        <n x="756"/>
        <n x="800" s="1"/>
        <n x="635"/>
        <n x="636"/>
      </t>
    </mdx>
    <mdx n="0" f="v">
      <t c="6" si="614">
        <n x="610"/>
        <n x="743"/>
        <n x="744"/>
        <n x="800" s="1"/>
        <n x="635"/>
        <n x="636"/>
      </t>
    </mdx>
    <mdx n="0" f="v">
      <t c="6" si="614">
        <n x="610"/>
        <n x="407"/>
        <n x="408"/>
        <n x="800" s="1"/>
        <n x="635"/>
        <n x="636"/>
      </t>
    </mdx>
    <mdx n="0" f="v">
      <t c="6" si="614">
        <n x="610"/>
        <n x="271"/>
        <n x="272"/>
        <n x="800" s="1"/>
        <n x="635"/>
        <n x="636"/>
      </t>
    </mdx>
    <mdx n="0" f="v">
      <t c="6" si="614">
        <n x="610"/>
        <n x="387"/>
        <n x="388"/>
        <n x="800" s="1"/>
        <n x="635"/>
        <n x="636"/>
      </t>
    </mdx>
    <mdx n="0" f="v">
      <t c="6" si="614">
        <n x="610"/>
        <n x="387"/>
        <n x="388"/>
        <n x="800" s="1"/>
        <n x="635"/>
        <n x="636"/>
      </t>
    </mdx>
    <mdx n="0" f="v">
      <t c="6" si="614">
        <n x="610"/>
        <n x="759"/>
        <n x="388"/>
        <n x="800" s="1"/>
        <n x="635"/>
        <n x="636"/>
      </t>
    </mdx>
    <mdx n="0" f="v">
      <t c="6" si="614">
        <n x="610"/>
        <n x="759"/>
        <n x="760"/>
        <n x="800" s="1"/>
        <n x="635"/>
        <n x="636"/>
      </t>
    </mdx>
    <mdx n="0" f="v">
      <t c="6" si="614">
        <n x="610"/>
        <n x="747"/>
        <n x="738"/>
        <n x="800" s="1"/>
        <n x="635"/>
        <n x="636"/>
      </t>
    </mdx>
    <mdx n="0" f="v">
      <t c="6" si="614">
        <n x="610"/>
        <n x="747"/>
        <n x="748"/>
        <n x="800" s="1"/>
        <n x="635"/>
        <n x="636"/>
      </t>
    </mdx>
    <mdx n="0" f="v">
      <t c="6" si="614">
        <n x="610"/>
        <n x="747"/>
        <n x="748"/>
        <n x="800" s="1"/>
        <n x="635"/>
        <n x="636"/>
      </t>
    </mdx>
    <mdx n="0" f="v">
      <t c="6" si="614">
        <n x="610"/>
        <n x="607"/>
        <n x="608"/>
        <n x="800" s="1"/>
        <n x="635"/>
        <n x="636"/>
      </t>
    </mdx>
    <mdx n="0" f="v">
      <t c="6" si="614">
        <n x="610"/>
        <n x="751"/>
        <n x="752"/>
        <n x="800" s="1"/>
        <n x="635"/>
        <n x="636"/>
      </t>
    </mdx>
    <mdx n="0" f="v">
      <t c="6" si="614">
        <n x="610"/>
        <n x="433"/>
        <n x="434"/>
        <n x="800" s="1"/>
        <n x="635"/>
        <n x="636"/>
      </t>
    </mdx>
    <mdx n="0" f="v">
      <t c="6" si="614">
        <n x="610"/>
        <n x="235"/>
        <n x="434"/>
        <n x="800" s="1"/>
        <n x="635"/>
        <n x="636"/>
      </t>
    </mdx>
    <mdx n="0" f="v">
      <t c="6" si="614">
        <n x="610"/>
        <n x="235"/>
        <n x="236"/>
        <n x="800" s="1"/>
        <n x="635"/>
        <n x="636"/>
      </t>
    </mdx>
    <mdx n="0" f="v">
      <t c="6" si="614">
        <n x="610"/>
        <n x="735"/>
        <n x="204"/>
        <n x="800" s="1"/>
        <n x="635"/>
        <n x="636"/>
      </t>
    </mdx>
    <mdx n="0" f="v">
      <t c="6" si="614">
        <n x="610"/>
        <n x="735"/>
        <n x="204"/>
        <n x="800" s="1"/>
        <n x="635"/>
        <n x="636"/>
      </t>
    </mdx>
    <mdx n="0" f="v">
      <t c="6" si="614">
        <n x="610"/>
        <n x="749"/>
        <n x="750"/>
        <n x="800" s="1"/>
        <n x="635"/>
        <n x="636"/>
      </t>
    </mdx>
    <mdx n="0" f="v">
      <t c="6" si="614">
        <n x="610"/>
        <n x="371"/>
        <n x="740"/>
        <n x="800" s="1"/>
        <n x="635"/>
        <n x="636"/>
      </t>
    </mdx>
    <mdx n="0" f="v">
      <t c="6" si="614">
        <n x="610"/>
        <n x="371"/>
        <n x="740"/>
        <n x="800" s="1"/>
        <n x="635"/>
        <n x="636"/>
      </t>
    </mdx>
    <mdx n="0" f="v">
      <t c="6" si="614">
        <n x="610"/>
        <n x="447"/>
        <n x="448"/>
        <n x="800" s="1"/>
        <n x="635"/>
        <n x="636"/>
      </t>
    </mdx>
    <mdx n="0" f="v">
      <t c="6" si="614">
        <n x="610"/>
        <n x="589"/>
        <n x="590"/>
        <n x="800" s="1"/>
        <n x="635"/>
        <n x="636"/>
      </t>
    </mdx>
    <mdx n="0" f="v">
      <t c="6" si="614">
        <n x="610"/>
        <n x="207"/>
        <n x="208"/>
        <n x="800" s="1"/>
        <n x="635"/>
        <n x="636"/>
      </t>
    </mdx>
    <mdx n="0" f="v">
      <t c="6" si="614">
        <n x="610"/>
        <n x="761"/>
        <n x="762"/>
        <n x="800" s="1"/>
        <n x="635"/>
        <n x="636"/>
      </t>
    </mdx>
    <mdx n="0" f="v">
      <t c="6" si="614">
        <n x="610"/>
        <n x="255"/>
        <n x="206"/>
        <n x="800" s="1"/>
        <n x="635"/>
        <n x="636"/>
      </t>
    </mdx>
    <mdx n="0" f="v">
      <t c="6" si="614">
        <n x="610"/>
        <n x="593"/>
        <n x="206"/>
        <n x="800" s="1"/>
        <n x="635"/>
        <n x="636"/>
      </t>
    </mdx>
    <mdx n="0" f="v">
      <t c="6" si="614">
        <n x="610"/>
        <n x="593"/>
        <n x="594"/>
        <n x="800" s="1"/>
        <n x="635"/>
        <n x="636"/>
      </t>
    </mdx>
    <mdx n="0" f="v">
      <t c="6" si="614">
        <n x="610"/>
        <n x="763"/>
        <n x="372"/>
        <n x="800" s="1"/>
        <n x="635"/>
        <n x="636"/>
      </t>
    </mdx>
    <mdx n="0" f="v">
      <t c="6" si="614">
        <n x="610"/>
        <n x="403"/>
        <n x="372"/>
        <n x="800" s="1"/>
        <n x="635"/>
        <n x="636"/>
      </t>
    </mdx>
    <mdx n="0" f="v">
      <t c="6" si="614">
        <n x="610"/>
        <n x="403"/>
        <n x="404"/>
        <n x="800" s="1"/>
        <n x="635"/>
        <n x="636"/>
      </t>
    </mdx>
    <mdx n="0" f="v">
      <t c="6" si="614">
        <n x="610"/>
        <n x="277"/>
        <n x="278"/>
        <n x="800" s="1"/>
        <n x="635"/>
        <n x="636"/>
      </t>
    </mdx>
    <mdx n="0" f="v">
      <t c="6" si="614">
        <n x="610"/>
        <n x="361"/>
        <n x="362"/>
        <n x="800" s="1"/>
        <n x="635"/>
        <n x="636"/>
      </t>
    </mdx>
    <mdx n="0" f="v">
      <t c="6" si="614">
        <n x="610"/>
        <n x="325"/>
        <n x="446"/>
        <n x="800" s="1"/>
        <n x="635"/>
        <n x="636"/>
      </t>
    </mdx>
    <mdx n="0" f="v">
      <t c="6" si="614">
        <n x="610"/>
        <n x="325"/>
        <n x="326"/>
        <n x="800" s="1"/>
        <n x="635"/>
        <n x="636"/>
      </t>
    </mdx>
    <mdx n="0" f="v">
      <t c="6" si="614">
        <n x="610"/>
        <n x="507"/>
        <n x="508"/>
        <n x="800" s="1"/>
        <n x="635"/>
        <n x="636"/>
      </t>
    </mdx>
    <mdx n="0" f="v">
      <t c="6" si="614">
        <n x="610"/>
        <n x="583"/>
        <n x="584"/>
        <n x="800" s="1"/>
        <n x="635"/>
        <n x="636"/>
      </t>
    </mdx>
    <mdx n="0" f="v">
      <t c="6" si="614">
        <n x="610"/>
        <n x="349"/>
        <n x="350"/>
        <n x="800" s="1"/>
        <n x="635"/>
        <n x="636"/>
      </t>
    </mdx>
    <mdx n="0" f="v">
      <t c="6" si="614">
        <n x="610"/>
        <n x="793"/>
        <n x="794"/>
        <n x="800" s="1"/>
        <n x="635"/>
        <n x="636"/>
      </t>
    </mdx>
    <mdx n="0" f="v">
      <t c="6" si="614">
        <n x="610"/>
        <n x="793"/>
        <n x="274"/>
        <n x="800" s="1"/>
        <n x="635"/>
        <n x="636"/>
      </t>
    </mdx>
    <mdx n="0" f="v">
      <t c="6" si="614">
        <n x="610"/>
        <n x="771"/>
        <n x="772"/>
        <n x="800" s="1"/>
        <n x="635"/>
        <n x="636"/>
      </t>
    </mdx>
    <mdx n="0" f="v">
      <t c="6" si="614">
        <n x="610"/>
        <n x="771"/>
        <n x="772"/>
        <n x="800" s="1"/>
        <n x="635"/>
        <n x="636"/>
      </t>
    </mdx>
    <mdx n="0" f="v">
      <t c="6" si="614">
        <n x="610"/>
        <n x="511"/>
        <n x="512"/>
        <n x="800" s="1"/>
        <n x="635"/>
        <n x="636"/>
      </t>
    </mdx>
    <mdx n="0" f="v">
      <t c="6" si="614">
        <n x="610"/>
        <n x="249"/>
        <n x="234"/>
        <n x="800" s="1"/>
        <n x="635"/>
        <n x="636"/>
      </t>
    </mdx>
    <mdx n="0" f="v">
      <t c="6" si="614">
        <n x="610"/>
        <n x="567"/>
        <n x="568"/>
        <n x="800" s="1"/>
        <n x="635"/>
        <n x="636"/>
      </t>
    </mdx>
    <mdx n="0" f="v">
      <t c="6" si="614">
        <n x="610"/>
        <n x="475"/>
        <n x="476"/>
        <n x="800" s="1"/>
        <n x="635"/>
        <n x="636"/>
      </t>
    </mdx>
    <mdx n="0" f="v">
      <t c="6" si="614">
        <n x="610"/>
        <n x="553"/>
        <n x="476"/>
        <n x="800" s="1"/>
        <n x="635"/>
        <n x="636"/>
      </t>
    </mdx>
    <mdx n="0" f="v">
      <t c="6" si="614">
        <n x="610"/>
        <n x="293"/>
        <n x="294"/>
        <n x="800" s="1"/>
        <n x="635"/>
        <n x="636"/>
      </t>
    </mdx>
    <mdx n="0" f="v">
      <t c="6" si="614">
        <n x="610"/>
        <n x="357"/>
        <n x="358"/>
        <n x="800" s="1"/>
        <n x="635"/>
        <n x="636"/>
      </t>
    </mdx>
    <mdx n="0" f="v">
      <t c="6" si="614">
        <n x="610"/>
        <n x="533"/>
        <n x="534"/>
        <n x="800" s="1"/>
        <n x="635"/>
        <n x="636"/>
      </t>
    </mdx>
    <mdx n="0" f="v">
      <t c="6" si="614">
        <n x="610"/>
        <n x="355"/>
        <n x="356"/>
        <n x="800" s="1"/>
        <n x="635"/>
        <n x="636"/>
      </t>
    </mdx>
    <mdx n="0" f="v">
      <t c="6" si="614">
        <n x="610"/>
        <n x="521"/>
        <n x="522"/>
        <n x="800" s="1"/>
        <n x="635"/>
        <n x="636"/>
      </t>
    </mdx>
    <mdx n="0" f="v">
      <t c="6" si="614">
        <n x="610"/>
        <n x="315"/>
        <n x="524"/>
        <n x="800" s="1"/>
        <n x="635"/>
        <n x="636"/>
      </t>
    </mdx>
    <mdx n="0" f="v">
      <t c="6" si="614">
        <n x="610"/>
        <n x="791"/>
        <n x="758"/>
        <n x="800" s="1"/>
        <n x="635"/>
        <n x="636"/>
      </t>
    </mdx>
    <mdx n="0" f="v">
      <t c="6" si="614">
        <n x="610"/>
        <n x="303"/>
        <n x="304"/>
        <n x="800" s="1"/>
        <n x="635"/>
        <n x="636"/>
      </t>
    </mdx>
    <mdx n="0" f="v">
      <t c="6" si="614">
        <n x="610"/>
        <n x="225"/>
        <n x="226"/>
        <n x="800" s="1"/>
        <n x="635"/>
        <n x="636"/>
      </t>
    </mdx>
    <mdx n="0" f="v">
      <t c="6" si="614">
        <n x="610"/>
        <n x="509"/>
        <n x="510"/>
        <n x="800" s="1"/>
        <n x="635"/>
        <n x="636"/>
      </t>
    </mdx>
    <mdx n="0" f="v">
      <t c="6" si="614">
        <n x="610"/>
        <n x="509"/>
        <n x="510"/>
        <n x="800" s="1"/>
        <n x="635"/>
        <n x="636"/>
      </t>
    </mdx>
    <mdx n="0" f="v">
      <t c="6" si="614">
        <n x="610"/>
        <n x="421"/>
        <n x="784"/>
        <n x="800" s="1"/>
        <n x="635"/>
        <n x="636"/>
      </t>
    </mdx>
    <mdx n="0" f="v">
      <t c="6" si="614">
        <n x="610"/>
        <n x="505"/>
        <n x="506"/>
        <n x="800" s="1"/>
        <n x="635"/>
        <n x="636"/>
      </t>
    </mdx>
    <mdx n="0" f="v">
      <t c="6" si="614">
        <n x="610"/>
        <n x="497"/>
        <n x="532"/>
        <n x="800" s="1"/>
        <n x="635"/>
        <n x="636"/>
      </t>
    </mdx>
    <mdx n="0" f="v">
      <t c="6" si="614">
        <n x="610"/>
        <n x="497"/>
        <n x="498"/>
        <n x="800" s="1"/>
        <n x="635"/>
        <n x="636"/>
      </t>
    </mdx>
    <mdx n="0" f="v">
      <t c="6" si="614">
        <n x="610"/>
        <n x="529"/>
        <n x="452"/>
        <n x="800" s="1"/>
        <n x="635"/>
        <n x="636"/>
      </t>
    </mdx>
    <mdx n="0" f="v">
      <t c="6" si="614">
        <n x="610"/>
        <n x="529"/>
        <n x="530"/>
        <n x="800" s="1"/>
        <n x="635"/>
        <n x="636"/>
      </t>
    </mdx>
    <mdx n="0" f="v">
      <t c="6" si="614">
        <n x="610"/>
        <n x="351"/>
        <n x="352"/>
        <n x="800" s="1"/>
        <n x="635"/>
        <n x="636"/>
      </t>
    </mdx>
    <mdx n="0" f="v">
      <t c="6" si="614">
        <n x="610"/>
        <n x="305"/>
        <n x="306"/>
        <n x="800" s="1"/>
        <n x="635"/>
        <n x="636"/>
      </t>
    </mdx>
    <mdx n="0" f="v">
      <t c="6" si="614">
        <n x="610"/>
        <n x="373"/>
        <n x="374"/>
        <n x="800" s="1"/>
        <n x="635"/>
        <n x="636"/>
      </t>
    </mdx>
    <mdx n="0" f="v">
      <t c="6" si="614">
        <n x="610"/>
        <n x="781"/>
        <n x="374"/>
        <n x="800" s="1"/>
        <n x="635"/>
        <n x="636"/>
      </t>
    </mdx>
    <mdx n="0" f="v">
      <t c="6" si="614">
        <n x="610"/>
        <n x="781"/>
        <n x="782"/>
        <n x="800" s="1"/>
        <n x="635"/>
        <n x="636"/>
      </t>
    </mdx>
    <mdx n="0" f="v">
      <t c="6" si="614">
        <n x="610"/>
        <n x="527"/>
        <n x="528"/>
        <n x="800" s="1"/>
        <n x="635"/>
        <n x="636"/>
      </t>
    </mdx>
    <mdx n="0" f="v">
      <t c="6" si="614">
        <n x="610"/>
        <n x="789"/>
        <n x="790"/>
        <n x="800" s="1"/>
        <n x="635"/>
        <n x="636"/>
      </t>
    </mdx>
    <mdx n="0" f="v">
      <t c="6" si="614">
        <n x="610"/>
        <n x="369"/>
        <n x="370"/>
        <n x="800" s="1"/>
        <n x="635"/>
        <n x="636"/>
      </t>
    </mdx>
    <mdx n="0" f="v">
      <t c="6" si="614">
        <n x="610"/>
        <n x="579"/>
        <n x="580"/>
        <n x="800" s="1"/>
        <n x="635"/>
        <n x="636"/>
      </t>
    </mdx>
    <mdx n="0" f="v">
      <t c="6" si="614">
        <n x="610"/>
        <n x="227"/>
        <n x="228"/>
        <n x="800" s="1"/>
        <n x="635"/>
        <n x="636"/>
      </t>
    </mdx>
    <mdx n="0" f="v">
      <t c="6" si="614">
        <n x="610"/>
        <n x="439"/>
        <n x="440"/>
        <n x="800" s="1"/>
        <n x="635"/>
        <n x="636"/>
      </t>
    </mdx>
    <mdx n="0" f="v">
      <t c="6" si="614">
        <n x="610"/>
        <n x="291"/>
        <n x="292"/>
        <n x="800" s="1"/>
        <n x="635"/>
        <n x="636"/>
      </t>
    </mdx>
    <mdx n="0" f="v">
      <t c="6" si="614">
        <n x="610"/>
        <n x="327"/>
        <n x="328"/>
        <n x="800" s="1"/>
        <n x="635"/>
        <n x="636"/>
      </t>
    </mdx>
    <mdx n="0" f="v">
      <t c="6" si="614">
        <n x="610"/>
        <n x="477"/>
        <n x="478"/>
        <n x="800" s="1"/>
        <n x="635"/>
        <n x="636"/>
      </t>
    </mdx>
    <mdx n="0" f="v">
      <t c="6" si="614">
        <n x="610"/>
        <n x="251"/>
        <n x="252"/>
        <n x="800" s="1"/>
        <n x="635"/>
        <n x="636"/>
      </t>
    </mdx>
    <mdx n="0" f="v">
      <t c="6" si="614">
        <n x="610"/>
        <n x="253"/>
        <n x="254"/>
        <n x="800" s="1"/>
        <n x="635"/>
        <n x="636"/>
      </t>
    </mdx>
    <mdx n="0" f="v">
      <t c="6" si="614">
        <n x="610"/>
        <n x="431"/>
        <n x="432"/>
        <n x="800" s="1"/>
        <n x="635"/>
        <n x="636"/>
      </t>
    </mdx>
    <mdx n="0" f="v">
      <t c="6" si="614">
        <n x="610"/>
        <n x="331"/>
        <n x="332"/>
        <n x="800" s="1"/>
        <n x="635"/>
        <n x="636"/>
      </t>
    </mdx>
    <mdx n="0" f="v">
      <t c="6" si="614">
        <n x="610"/>
        <n x="423"/>
        <n x="280"/>
        <n x="800" s="1"/>
        <n x="635"/>
        <n x="636"/>
      </t>
    </mdx>
    <mdx n="0" f="v">
      <t c="6" si="614">
        <n x="610"/>
        <n x="423"/>
        <n x="424"/>
        <n x="800" s="1"/>
        <n x="635"/>
        <n x="636"/>
      </t>
    </mdx>
    <mdx n="0" f="v">
      <t c="6" si="614">
        <n x="610"/>
        <n x="263"/>
        <n x="516"/>
        <n x="800" s="1"/>
        <n x="635"/>
        <n x="636"/>
      </t>
    </mdx>
    <mdx n="0" f="v">
      <t c="6" si="614">
        <n x="610"/>
        <n x="297"/>
        <n x="298"/>
        <n x="800" s="1"/>
        <n x="635"/>
        <n x="636"/>
      </t>
    </mdx>
    <mdx n="0" f="v">
      <t c="6" si="614">
        <n x="610"/>
        <n x="211"/>
        <n x="212"/>
        <n x="800" s="1"/>
        <n x="635"/>
        <n x="636"/>
      </t>
    </mdx>
    <mdx n="0" f="v">
      <t c="6" si="614">
        <n x="610"/>
        <n x="573"/>
        <n x="574"/>
        <n x="800" s="1"/>
        <n x="635"/>
        <n x="636"/>
      </t>
    </mdx>
    <mdx n="0" f="v">
      <t c="6" si="614">
        <n x="610"/>
        <n x="805"/>
        <n x="806"/>
        <n x="800" s="1"/>
        <n x="635"/>
        <n x="636"/>
      </t>
    </mdx>
    <mdx n="0" f="v">
      <t c="6" si="614">
        <n x="610"/>
        <n x="805"/>
        <n x="806"/>
        <n x="800" s="1"/>
        <n x="635"/>
        <n x="636"/>
      </t>
    </mdx>
    <mdx n="0" f="v">
      <t c="6" si="614">
        <n x="610"/>
        <n x="785"/>
        <n x="786"/>
        <n x="800" s="1"/>
        <n x="635"/>
        <n x="636"/>
      </t>
    </mdx>
    <mdx n="0" f="v">
      <t c="6" si="614">
        <n x="610"/>
        <n x="785"/>
        <n x="786"/>
        <n x="800" s="1"/>
        <n x="635"/>
        <n x="636"/>
      </t>
    </mdx>
    <mdx n="0" f="v">
      <t c="6" si="614">
        <n x="610"/>
        <n x="785"/>
        <n x="786"/>
        <n x="800" s="1"/>
        <n x="635"/>
        <n x="636"/>
      </t>
    </mdx>
    <mdx n="0" f="v">
      <t c="6" si="614">
        <n x="610"/>
        <n x="709"/>
        <n x="710"/>
        <n x="800" s="1"/>
        <n x="637"/>
        <n x="638"/>
      </t>
    </mdx>
    <mdx n="0" f="v">
      <t c="6" si="614">
        <n x="610"/>
        <n x="599"/>
        <n x="600"/>
        <n x="800" s="1"/>
        <n x="637"/>
        <n x="638"/>
      </t>
    </mdx>
    <mdx n="0" f="v">
      <t c="6" si="614">
        <n x="610"/>
        <n x="585"/>
        <n x="586"/>
        <n x="800" s="1"/>
        <n x="637"/>
        <n x="638"/>
      </t>
    </mdx>
    <mdx n="0" f="v">
      <t c="6" si="614">
        <n x="610"/>
        <n x="397"/>
        <n x="398"/>
        <n x="800" s="1"/>
        <n x="637"/>
        <n x="638"/>
      </t>
    </mdx>
    <mdx n="0" f="v">
      <t c="6" si="614">
        <n x="610"/>
        <n x="231"/>
        <n x="232"/>
        <n x="800" s="1"/>
        <n x="637"/>
        <n x="638"/>
      </t>
    </mdx>
    <mdx n="0" f="v">
      <t c="6" si="614">
        <n x="610"/>
        <n x="555"/>
        <n x="556"/>
        <n x="800" s="1"/>
        <n x="637"/>
        <n x="638"/>
      </t>
    </mdx>
    <mdx n="0" f="v">
      <t c="6" si="614">
        <n x="610"/>
        <n x="607"/>
        <n x="608"/>
        <n x="800" s="1"/>
        <n x="637"/>
        <n x="638"/>
      </t>
    </mdx>
    <mdx n="0" f="v">
      <t c="6" si="614">
        <n x="610"/>
        <n x="235"/>
        <n x="236"/>
        <n x="800" s="1"/>
        <n x="637"/>
        <n x="638"/>
      </t>
    </mdx>
    <mdx n="0" f="v">
      <t c="6" si="614">
        <n x="610"/>
        <n x="589"/>
        <n x="590"/>
        <n x="800" s="1"/>
        <n x="637"/>
        <n x="638"/>
      </t>
    </mdx>
    <mdx n="0" f="v">
      <t c="6" si="614">
        <n x="610"/>
        <n x="745"/>
        <n x="746"/>
        <n x="800" s="1"/>
        <n x="637"/>
        <n x="638"/>
      </t>
    </mdx>
    <mdx n="0" f="v">
      <t c="6" si="614">
        <n x="610"/>
        <n x="259"/>
        <n x="260"/>
        <n x="800" s="1"/>
        <n x="637"/>
        <n x="638"/>
      </t>
    </mdx>
    <mdx n="0" f="v">
      <t c="6" si="614">
        <n x="610"/>
        <n x="593"/>
        <n x="594"/>
        <n x="800" s="1"/>
        <n x="637"/>
        <n x="638"/>
      </t>
    </mdx>
    <mdx n="0" f="v">
      <t c="6" si="614">
        <n x="610"/>
        <n x="223"/>
        <n x="224"/>
        <n x="800" s="1"/>
        <n x="637"/>
        <n x="638"/>
      </t>
    </mdx>
    <mdx n="0" f="v">
      <t c="6" si="614">
        <n x="610"/>
        <n x="507"/>
        <n x="508"/>
        <n x="800" s="1"/>
        <n x="637"/>
        <n x="638"/>
      </t>
    </mdx>
    <mdx n="0" f="v">
      <t c="6" si="614">
        <n x="610"/>
        <n x="349"/>
        <n x="350"/>
        <n x="800" s="1"/>
        <n x="637"/>
        <n x="638"/>
      </t>
    </mdx>
    <mdx n="0" f="v">
      <t c="6" si="614">
        <n x="610"/>
        <n x="775"/>
        <n x="776"/>
        <n x="800" s="1"/>
        <n x="637"/>
        <n x="638"/>
      </t>
    </mdx>
    <mdx n="0" f="v">
      <t c="6" si="614">
        <n x="610"/>
        <n x="779"/>
        <n x="780"/>
        <n x="800" s="1"/>
        <n x="637"/>
        <n x="638"/>
      </t>
    </mdx>
    <mdx n="0" f="v">
      <t c="6" si="614">
        <n x="610"/>
        <n x="783"/>
        <n x="784"/>
        <n x="800" s="1"/>
        <n x="637"/>
        <n x="638"/>
      </t>
    </mdx>
    <mdx n="0" f="v">
      <t c="6" si="614">
        <n x="610"/>
        <n x="531"/>
        <n x="532"/>
        <n x="800" s="1"/>
        <n x="637"/>
        <n x="638"/>
      </t>
    </mdx>
    <mdx n="0" f="v">
      <t c="6" si="614">
        <n x="610"/>
        <n x="451"/>
        <n x="452"/>
        <n x="800" s="1"/>
        <n x="637"/>
        <n x="638"/>
      </t>
    </mdx>
    <mdx n="0" f="v">
      <t c="6" si="614">
        <n x="610"/>
        <n x="351"/>
        <n x="352"/>
        <n x="800" s="1"/>
        <n x="637"/>
        <n x="638"/>
      </t>
    </mdx>
    <mdx n="0" f="v">
      <t c="6" si="614">
        <n x="610"/>
        <n x="795"/>
        <n x="796"/>
        <n x="800" s="1"/>
        <n x="637"/>
        <n x="638"/>
      </t>
    </mdx>
    <mdx n="0" f="v">
      <t c="6" si="614">
        <n x="610"/>
        <n x="305"/>
        <n x="306"/>
        <n x="800" s="1"/>
        <n x="637"/>
        <n x="638"/>
      </t>
    </mdx>
    <mdx n="0" f="v">
      <t c="6" si="614">
        <n x="610"/>
        <n x="711"/>
        <n x="712"/>
        <n x="800" s="1"/>
        <n x="637"/>
        <n x="638"/>
      </t>
    </mdx>
    <mdx n="0" f="v">
      <t c="6" si="614">
        <n x="610"/>
        <n x="217"/>
        <n x="218"/>
        <n x="800" s="1"/>
        <n x="637"/>
        <n x="638"/>
      </t>
    </mdx>
    <mdx n="0" f="v">
      <t c="6" si="614">
        <n x="610"/>
        <n x="721"/>
        <n x="722"/>
        <n x="800" s="1"/>
        <n x="637"/>
        <n x="638"/>
      </t>
    </mdx>
    <mdx n="0" f="v">
      <t c="6" si="614">
        <n x="610"/>
        <n x="379"/>
        <n x="380"/>
        <n x="800" s="1"/>
        <n x="637"/>
        <n x="638"/>
      </t>
    </mdx>
    <mdx n="0" f="v">
      <t c="6" si="614">
        <n x="610"/>
        <n x="601"/>
        <n x="602"/>
        <n x="800" s="1"/>
        <n x="637"/>
        <n x="638"/>
      </t>
    </mdx>
    <mdx n="0" f="v">
      <t c="6" si="614">
        <n x="610"/>
        <n x="237"/>
        <n x="238"/>
        <n x="800" s="1"/>
        <n x="637"/>
        <n x="638"/>
      </t>
    </mdx>
    <mdx n="0" f="v">
      <t c="6" si="614">
        <n x="610"/>
        <n x="453"/>
        <n x="454"/>
        <n x="800" s="1"/>
        <n x="637"/>
        <n x="638"/>
      </t>
    </mdx>
    <mdx n="0" f="v">
      <t c="6" si="614">
        <n x="610"/>
        <n x="283"/>
        <n x="284"/>
        <n x="800" s="1"/>
        <n x="637"/>
        <n x="638"/>
      </t>
    </mdx>
    <mdx n="0" f="v">
      <t c="6" si="614">
        <n x="610"/>
        <n x="319"/>
        <n x="320"/>
        <n x="800" s="1"/>
        <n x="637"/>
        <n x="638"/>
      </t>
    </mdx>
    <mdx n="0" f="v">
      <t c="6" si="614">
        <n x="610"/>
        <n x="393"/>
        <n x="394"/>
        <n x="800" s="1"/>
        <n x="637"/>
        <n x="638"/>
      </t>
    </mdx>
    <mdx n="0" f="v">
      <t c="6" si="614">
        <n x="610"/>
        <n x="605"/>
        <n x="606"/>
        <n x="800" s="1"/>
        <n x="637"/>
        <n x="638"/>
      </t>
    </mdx>
    <mdx n="0" f="v">
      <t c="6" si="614">
        <n x="610"/>
        <n x="295"/>
        <n x="296"/>
        <n x="800" s="1"/>
        <n x="637"/>
        <n x="638"/>
      </t>
    </mdx>
    <mdx n="0" f="v">
      <t c="6" si="614">
        <n x="610"/>
        <n x="299"/>
        <n x="300"/>
        <n x="800" s="1"/>
        <n x="637"/>
        <n x="638"/>
      </t>
    </mdx>
    <mdx n="0" f="v">
      <t c="6" si="614">
        <n x="610"/>
        <n x="229"/>
        <n x="230"/>
        <n x="800" s="1"/>
        <n x="637"/>
        <n x="638"/>
      </t>
    </mdx>
    <mdx n="0" f="v">
      <t c="6" si="614">
        <n x="610"/>
        <n x="409"/>
        <n x="410"/>
        <n x="800" s="1"/>
        <n x="637"/>
        <n x="638"/>
      </t>
    </mdx>
    <mdx n="0" f="v">
      <t c="6" si="614">
        <n x="610"/>
        <n x="767"/>
        <n x="768"/>
        <n x="800" s="1"/>
        <n x="637"/>
        <n x="638"/>
      </t>
    </mdx>
    <mdx n="0" f="v">
      <t c="6" si="614">
        <n x="610"/>
        <n x="485"/>
        <n x="486"/>
        <n x="800" s="1"/>
        <n x="637"/>
        <n x="638"/>
      </t>
    </mdx>
    <mdx n="0" f="v">
      <t c="6" si="614">
        <n x="610"/>
        <n x="777"/>
        <n x="778"/>
        <n x="800" s="1"/>
        <n x="637"/>
        <n x="638"/>
      </t>
    </mdx>
    <mdx n="0" f="v">
      <t c="6" si="614">
        <n x="610"/>
        <n x="269"/>
        <n x="270"/>
        <n x="800" s="1"/>
        <n x="637"/>
        <n x="638"/>
      </t>
    </mdx>
    <mdx n="0" f="v">
      <t c="6" si="614">
        <n x="610"/>
        <n x="565"/>
        <n x="566"/>
        <n x="800" s="1"/>
        <n x="637"/>
        <n x="638"/>
      </t>
    </mdx>
    <mdx n="0" f="v">
      <t c="6" si="614">
        <n x="610"/>
        <n x="473"/>
        <n x="474"/>
        <n x="800" s="1"/>
        <n x="637"/>
        <n x="638"/>
      </t>
    </mdx>
    <mdx n="0" f="v">
      <t c="6" si="614">
        <n x="610"/>
        <n x="213"/>
        <n x="214"/>
        <n x="800" s="1"/>
        <n x="637"/>
        <n x="638"/>
      </t>
    </mdx>
    <mdx n="0" f="v">
      <t c="6" si="614">
        <n x="610"/>
        <n x="329"/>
        <n x="330"/>
        <n x="800" s="1"/>
        <n x="637"/>
        <n x="638"/>
      </t>
    </mdx>
    <mdx n="0" f="v">
      <t c="6" si="614">
        <n x="610"/>
        <n x="329"/>
        <n x="330"/>
        <n x="800" s="1"/>
        <n x="637"/>
        <n x="638"/>
      </t>
    </mdx>
    <mdx n="0" f="v">
      <t c="6" si="614">
        <n x="610"/>
        <n x="323"/>
        <n x="324"/>
        <n x="800" s="1"/>
        <n x="637"/>
        <n x="638"/>
      </t>
    </mdx>
    <mdx n="0" f="v">
      <t c="6" si="614">
        <n x="610"/>
        <n x="323"/>
        <n x="324"/>
        <n x="800" s="1"/>
        <n x="637"/>
        <n x="638"/>
      </t>
    </mdx>
    <mdx n="0" f="v">
      <t c="6" si="614">
        <n x="610"/>
        <n x="371"/>
        <n x="372"/>
        <n x="800" s="1"/>
        <n x="637"/>
        <n x="638"/>
      </t>
    </mdx>
    <mdx n="0" f="v">
      <t c="6" si="614">
        <n x="610"/>
        <n x="285"/>
        <n x="286"/>
        <n x="800" s="1"/>
        <n x="637"/>
        <n x="638"/>
      </t>
    </mdx>
    <mdx n="0" f="v">
      <t c="6" si="614">
        <n x="610"/>
        <n x="723"/>
        <n x="724"/>
        <n x="800" s="1"/>
        <n x="637"/>
        <n x="638"/>
      </t>
    </mdx>
    <mdx n="0" f="v">
      <t c="6" si="614">
        <n x="610"/>
        <n x="239"/>
        <n x="240"/>
        <n x="800" s="1"/>
        <n x="637"/>
        <n x="638"/>
      </t>
    </mdx>
    <mdx n="0" f="v">
      <t c="6" si="614">
        <n x="610"/>
        <n x="557"/>
        <n x="558"/>
        <n x="800" s="1"/>
        <n x="637"/>
        <n x="638"/>
      </t>
    </mdx>
    <mdx n="0" f="v">
      <t c="6" si="614">
        <n x="610"/>
        <n x="281"/>
        <n x="282"/>
        <n x="800" s="1"/>
        <n x="637"/>
        <n x="638"/>
      </t>
    </mdx>
    <mdx n="0" f="v">
      <t c="6" si="614">
        <n x="610"/>
        <n x="281"/>
        <n x="282"/>
        <n x="800" s="1"/>
        <n x="637"/>
        <n x="638"/>
      </t>
    </mdx>
    <mdx n="0" f="v">
      <t c="6" si="614">
        <n x="610"/>
        <n x="401"/>
        <n x="402"/>
        <n x="800" s="1"/>
        <n x="637"/>
        <n x="638"/>
      </t>
    </mdx>
    <mdx n="0" f="v">
      <t c="6" si="614">
        <n x="610"/>
        <n x="401"/>
        <n x="402"/>
        <n x="800" s="1"/>
        <n x="637"/>
        <n x="638"/>
      </t>
    </mdx>
    <mdx n="0" f="v">
      <t c="6" si="614">
        <n x="610"/>
        <n x="743"/>
        <n x="744"/>
        <n x="800" s="1"/>
        <n x="637"/>
        <n x="638"/>
      </t>
    </mdx>
    <mdx n="0" f="v">
      <t c="6" si="614">
        <n x="610"/>
        <n x="743"/>
        <n x="744"/>
        <n x="800" s="1"/>
        <n x="637"/>
        <n x="638"/>
      </t>
    </mdx>
    <mdx n="0" f="v">
      <t c="6" si="614">
        <n x="610"/>
        <n x="747"/>
        <n x="748"/>
        <n x="800" s="1"/>
        <n x="637"/>
        <n x="638"/>
      </t>
    </mdx>
    <mdx n="0" f="v">
      <t c="6" si="614">
        <n x="610"/>
        <n x="747"/>
        <n x="748"/>
        <n x="800" s="1"/>
        <n x="637"/>
        <n x="638"/>
      </t>
    </mdx>
    <mdx n="0" f="v">
      <t c="6" si="614">
        <n x="610"/>
        <n x="751"/>
        <n x="752"/>
        <n x="800" s="1"/>
        <n x="637"/>
        <n x="638"/>
      </t>
    </mdx>
    <mdx n="0" f="v">
      <t c="6" si="614">
        <n x="610"/>
        <n x="233"/>
        <n x="234"/>
        <n x="800" s="1"/>
        <n x="637"/>
        <n x="638"/>
      </t>
    </mdx>
    <mdx n="0" f="v">
      <t c="6" si="614">
        <n x="610"/>
        <n x="273"/>
        <n x="274"/>
        <n x="800" s="1"/>
        <n x="637"/>
        <n x="638"/>
      </t>
    </mdx>
    <mdx n="0" f="v">
      <t c="6" si="614">
        <n x="610"/>
        <n x="765"/>
        <n x="766"/>
        <n x="800" s="1"/>
        <n x="637"/>
        <n x="638"/>
      </t>
    </mdx>
    <mdx n="0" f="v">
      <t c="6" si="614">
        <n x="610"/>
        <n x="293"/>
        <n x="294"/>
        <n x="800" s="1"/>
        <n x="637"/>
        <n x="638"/>
      </t>
    </mdx>
    <mdx n="0" f="v">
      <t c="6" si="614">
        <n x="610"/>
        <n x="355"/>
        <n x="356"/>
        <n x="800" s="1"/>
        <n x="637"/>
        <n x="638"/>
      </t>
    </mdx>
    <mdx n="0" f="v">
      <t c="6" si="614">
        <n x="610"/>
        <n x="521"/>
        <n x="524"/>
        <n x="800" s="1"/>
        <n x="637"/>
        <n x="638"/>
      </t>
    </mdx>
    <mdx n="0" f="v">
      <t c="6" si="614">
        <n x="610"/>
        <n x="791"/>
        <n x="792"/>
        <n x="800" s="1"/>
        <n x="637"/>
        <n x="638"/>
      </t>
    </mdx>
    <mdx n="0" f="v">
      <t c="6" si="614">
        <n x="610"/>
        <n x="449"/>
        <n x="226"/>
        <n x="800" s="1"/>
        <n x="637"/>
        <n x="638"/>
      </t>
    </mdx>
    <mdx n="0" f="v">
      <t c="6" si="614">
        <n x="610"/>
        <n x="497"/>
        <n x="498"/>
        <n x="800" s="1"/>
        <n x="637"/>
        <n x="638"/>
      </t>
    </mdx>
    <mdx n="0" f="v">
      <t c="6" si="614">
        <n x="610"/>
        <n x="805"/>
        <n x="806"/>
        <n x="800" s="1"/>
        <n x="637"/>
        <n x="638"/>
      </t>
    </mdx>
    <mdx n="0" f="v">
      <t c="6" si="614">
        <n x="610"/>
        <n x="261"/>
        <n x="262"/>
        <n x="800" s="1"/>
        <n x="637"/>
        <n x="638"/>
      </t>
    </mdx>
    <mdx n="0" f="v">
      <t c="6" si="614">
        <n x="610"/>
        <n x="365"/>
        <n x="366"/>
        <n x="800" s="1"/>
        <n x="637"/>
        <n x="638"/>
      </t>
    </mdx>
    <mdx n="0" f="v">
      <t c="6" si="614">
        <n x="610"/>
        <n x="727"/>
        <n x="728"/>
        <n x="800" s="1"/>
        <n x="637"/>
        <n x="638"/>
      </t>
    </mdx>
    <mdx n="0" f="v">
      <t c="6" si="614">
        <n x="610"/>
        <n x="265"/>
        <n x="266"/>
        <n x="800" s="1"/>
        <n x="637"/>
        <n x="638"/>
      </t>
    </mdx>
    <mdx n="0" f="v">
      <t c="6" si="614">
        <n x="610"/>
        <n x="499"/>
        <n x="500"/>
        <n x="800" s="1"/>
        <n x="637"/>
        <n x="638"/>
      </t>
    </mdx>
    <mdx n="0" f="v">
      <t c="6" si="614">
        <n x="610"/>
        <n x="503"/>
        <n x="504"/>
        <n x="800" s="1"/>
        <n x="637"/>
        <n x="638"/>
      </t>
    </mdx>
    <mdx n="0" f="v">
      <t c="6" si="614">
        <n x="610"/>
        <n x="419"/>
        <n x="420"/>
        <n x="800" s="1"/>
        <n x="637"/>
        <n x="638"/>
      </t>
    </mdx>
    <mdx n="0" f="v">
      <t c="6" si="614">
        <n x="610"/>
        <n x="757"/>
        <n x="758"/>
        <n x="800" s="1"/>
        <n x="637"/>
        <n x="638"/>
      </t>
    </mdx>
    <mdx n="0" f="v">
      <t c="6" si="614">
        <n x="610"/>
        <n x="467"/>
        <n x="468"/>
        <n x="800" s="1"/>
        <n x="637"/>
        <n x="638"/>
      </t>
    </mdx>
    <mdx n="0" f="v">
      <t c="6" si="614">
        <n x="610"/>
        <n x="509"/>
        <n x="510"/>
        <n x="800" s="1"/>
        <n x="637"/>
        <n x="638"/>
      </t>
    </mdx>
    <mdx n="0" f="v">
      <t c="6" si="614">
        <n x="610"/>
        <n x="785"/>
        <n x="786"/>
        <n x="800" s="1"/>
        <n x="637"/>
        <n x="638"/>
      </t>
    </mdx>
    <mdx n="0" f="v">
      <t c="6" si="614">
        <n x="610"/>
        <n x="423"/>
        <n x="424"/>
        <n x="800" s="1"/>
        <n x="637"/>
        <n x="638"/>
      </t>
    </mdx>
    <mdx n="0" f="v">
      <t c="6" si="614">
        <n x="610"/>
        <n x="331"/>
        <n x="332"/>
        <n x="800" s="1"/>
        <n x="637"/>
        <n x="638"/>
      </t>
    </mdx>
    <mdx n="0" f="v">
      <t c="6" si="614">
        <n x="610"/>
        <n x="279"/>
        <n x="280"/>
        <n x="800" s="1"/>
        <n x="637"/>
        <n x="638"/>
      </t>
    </mdx>
    <mdx n="0" f="v">
      <t c="6" si="614">
        <n x="610"/>
        <n x="801"/>
        <n x="802"/>
        <n x="800" s="1"/>
        <n x="637"/>
        <n x="638"/>
      </t>
    </mdx>
    <mdx n="0" f="v">
      <t c="6" si="614">
        <n x="610"/>
        <n x="573"/>
        <n x="574"/>
        <n x="800" s="1"/>
        <n x="637"/>
        <n x="638"/>
      </t>
    </mdx>
    <mdx n="0" f="v">
      <t c="6" si="614">
        <n x="610"/>
        <n x="317"/>
        <n x="318"/>
        <n x="800" s="1"/>
        <n x="637"/>
        <n x="638"/>
      </t>
    </mdx>
    <mdx n="0" f="v">
      <t c="6" si="614">
        <n x="610"/>
        <n x="221"/>
        <n x="222"/>
        <n x="800" s="1"/>
        <n x="637"/>
        <n x="638"/>
      </t>
    </mdx>
    <mdx n="0" f="v">
      <t c="6" si="614">
        <n x="610"/>
        <n x="729"/>
        <n x="730"/>
        <n x="800" s="1"/>
        <n x="637"/>
        <n x="638"/>
      </t>
    </mdx>
    <mdx n="0" f="v">
      <t c="6" si="614">
        <n x="610"/>
        <n x="455"/>
        <n x="456"/>
        <n x="800" s="1"/>
        <n x="637"/>
        <n x="638"/>
      </t>
    </mdx>
    <mdx n="0" f="v">
      <t c="6" si="614">
        <n x="610"/>
        <n x="513"/>
        <n x="514"/>
        <n x="800" s="1"/>
        <n x="637"/>
        <n x="638"/>
      </t>
    </mdx>
    <mdx n="0" f="v">
      <t c="6" si="614">
        <n x="610"/>
        <n x="489"/>
        <n x="490"/>
        <n x="800" s="1"/>
        <n x="637"/>
        <n x="638"/>
      </t>
    </mdx>
    <mdx n="0" f="v">
      <t c="6" si="614">
        <n x="610"/>
        <n x="407"/>
        <n x="408"/>
        <n x="800" s="1"/>
        <n x="637"/>
        <n x="638"/>
      </t>
    </mdx>
    <mdx n="0" f="v">
      <t c="6" si="614">
        <n x="610"/>
        <n x="493"/>
        <n x="494"/>
        <n x="800" s="1"/>
        <n x="637"/>
        <n x="638"/>
      </t>
    </mdx>
    <mdx n="0" f="v">
      <t c="6" si="614">
        <n x="610"/>
        <n x="287"/>
        <n x="288"/>
        <n x="800" s="1"/>
        <n x="637"/>
        <n x="638"/>
      </t>
    </mdx>
    <mdx n="0" f="v">
      <t c="6" si="614">
        <n x="610"/>
        <n x="511"/>
        <n x="512"/>
        <n x="800" s="1"/>
        <n x="637"/>
        <n x="638"/>
      </t>
    </mdx>
    <mdx n="0" f="v">
      <t c="6" si="614">
        <n x="610"/>
        <n x="515"/>
        <n x="516"/>
        <n x="800" s="1"/>
        <n x="637"/>
        <n x="638"/>
      </t>
    </mdx>
    <mdx n="0" f="v">
      <t c="6" si="614">
        <n x="610"/>
        <n x="787"/>
        <n x="788"/>
        <n x="800" s="1"/>
        <n x="637"/>
        <n x="638"/>
      </t>
    </mdx>
    <mdx n="0" f="v">
      <t c="6" si="614">
        <n x="610"/>
        <n x="545"/>
        <n x="546"/>
        <n x="800" s="1"/>
        <n x="637"/>
        <n x="638"/>
      </t>
    </mdx>
    <mdx n="0" f="v">
      <t c="6" si="614">
        <n x="610"/>
        <n x="327"/>
        <n x="328"/>
        <n x="800" s="1"/>
        <n x="637"/>
        <n x="638"/>
      </t>
    </mdx>
    <mdx n="0" f="v">
      <t c="6" si="614">
        <n x="610"/>
        <n x="253"/>
        <n x="254"/>
        <n x="800" s="1"/>
        <n x="637"/>
        <n x="638"/>
      </t>
    </mdx>
    <mdx n="0" f="v">
      <t c="6" si="614">
        <n x="610"/>
        <n x="717"/>
        <n x="718"/>
        <n x="800" s="1"/>
        <n x="637"/>
        <n x="638"/>
      </t>
    </mdx>
    <mdx n="0" f="v">
      <t c="6" si="614">
        <n x="610"/>
        <n x="367"/>
        <n x="368"/>
        <n x="800" s="1"/>
        <n x="637"/>
        <n x="638"/>
      </t>
    </mdx>
    <mdx n="0" f="v">
      <t c="6" si="614">
        <n x="610"/>
        <n x="413"/>
        <n x="414"/>
        <n x="800" s="1"/>
        <n x="637"/>
        <n x="638"/>
      </t>
    </mdx>
    <mdx n="0" f="v">
      <t c="6" si="614">
        <n x="610"/>
        <n x="387"/>
        <n x="388"/>
        <n x="800" s="1"/>
        <n x="637"/>
        <n x="638"/>
      </t>
    </mdx>
    <mdx n="0" f="v">
      <t c="6" si="614">
        <n x="610"/>
        <n x="429"/>
        <n x="430"/>
        <n x="800" s="1"/>
        <n x="637"/>
        <n x="638"/>
      </t>
    </mdx>
    <mdx n="0" f="v">
      <t c="6" si="614">
        <n x="610"/>
        <n x="203"/>
        <n x="204"/>
        <n x="800" s="1"/>
        <n x="637"/>
        <n x="638"/>
      </t>
    </mdx>
    <mdx n="0" f="v">
      <t c="6" si="614">
        <n x="610"/>
        <n x="241"/>
        <n x="242"/>
        <n x="800" s="1"/>
        <n x="637"/>
        <n x="638"/>
      </t>
    </mdx>
    <mdx n="0" f="v">
      <t c="6" si="614">
        <n x="610"/>
        <n x="321"/>
        <n x="322"/>
        <n x="800" s="1"/>
        <n x="637"/>
        <n x="638"/>
      </t>
    </mdx>
    <mdx n="0" f="v">
      <t c="6" si="614">
        <n x="610"/>
        <n x="761"/>
        <n x="762"/>
        <n x="800" s="1"/>
        <n x="637"/>
        <n x="638"/>
      </t>
    </mdx>
    <mdx n="0" f="v">
      <t c="6" si="614">
        <n x="610"/>
        <n x="255"/>
        <n x="256"/>
        <n x="800" s="1"/>
        <n x="637"/>
        <n x="638"/>
      </t>
    </mdx>
    <mdx n="0" f="v">
      <t c="6" si="614">
        <n x="610"/>
        <n x="427"/>
        <n x="428"/>
        <n x="800" s="1"/>
        <n x="637"/>
        <n x="638"/>
      </t>
    </mdx>
    <mdx n="0" f="v">
      <t c="6" si="614">
        <n x="610"/>
        <n x="445"/>
        <n x="446"/>
        <n x="800" s="1"/>
        <n x="637"/>
        <n x="638"/>
      </t>
    </mdx>
    <mdx n="0" f="v">
      <t c="6" si="614">
        <n x="610"/>
        <n x="583"/>
        <n x="584"/>
        <n x="800" s="1"/>
        <n x="637"/>
        <n x="638"/>
      </t>
    </mdx>
    <mdx n="0" f="v">
      <t c="6" si="614">
        <n x="610"/>
        <n x="313"/>
        <n x="314"/>
        <n x="800" s="1"/>
        <n x="637"/>
        <n x="638"/>
      </t>
    </mdx>
    <mdx n="0" f="v">
      <t c="6" si="614">
        <n x="610"/>
        <n x="797"/>
        <n x="798"/>
        <n x="800" s="1"/>
        <n x="637"/>
        <n x="638"/>
      </t>
    </mdx>
    <mdx n="0" f="v">
      <t c="6" si="614">
        <n x="610"/>
        <n x="475"/>
        <n x="476"/>
        <n x="800" s="1"/>
        <n x="637"/>
        <n x="638"/>
      </t>
    </mdx>
    <mdx n="0" f="v">
      <t c="6" si="614">
        <n x="610"/>
        <n x="709"/>
        <n x="710"/>
        <n x="800" s="1"/>
        <n x="639"/>
        <n x="640"/>
      </t>
    </mdx>
    <mdx n="0" f="v">
      <t c="6" si="614">
        <n x="610"/>
        <n x="709"/>
        <n x="710"/>
        <n x="800" s="1"/>
        <n x="641"/>
        <n x="642"/>
      </t>
    </mdx>
    <mdx n="0" f="v">
      <t c="6" si="614">
        <n x="610"/>
        <n x="711"/>
        <n x="712"/>
        <n x="800" s="1"/>
        <n x="639"/>
        <n x="640"/>
      </t>
    </mdx>
    <mdx n="0" f="v">
      <t c="6" si="614">
        <n x="610"/>
        <n x="217"/>
        <n x="218"/>
        <n x="800" s="1"/>
        <n x="639"/>
        <n x="640"/>
      </t>
    </mdx>
    <mdx n="0" f="v">
      <t c="6" si="614">
        <n x="610"/>
        <n x="275"/>
        <n x="276"/>
        <n x="800" s="1"/>
        <n x="639"/>
        <n x="640"/>
      </t>
    </mdx>
    <mdx n="0" f="v">
      <t c="6" si="614">
        <n x="610"/>
        <n x="377"/>
        <n x="378"/>
        <n x="800" s="1"/>
        <n x="639"/>
        <n x="640"/>
      </t>
    </mdx>
    <mdx n="0" f="v">
      <t c="6" si="614">
        <n x="610"/>
        <n x="379"/>
        <n x="380"/>
        <n x="800" s="1"/>
        <n x="639"/>
        <n x="640"/>
      </t>
    </mdx>
    <mdx n="0" f="v">
      <t c="6" si="614">
        <n x="610"/>
        <n x="459"/>
        <n x="460"/>
        <n x="800" s="1"/>
        <n x="639"/>
        <n x="640"/>
      </t>
    </mdx>
    <mdx n="0" f="v">
      <t c="6" si="614">
        <n x="610"/>
        <n x="601"/>
        <n x="602"/>
        <n x="800" s="1"/>
        <n x="639"/>
        <n x="640"/>
      </t>
    </mdx>
    <mdx n="0" f="v">
      <t c="6" si="614">
        <n x="610"/>
        <n x="729"/>
        <n x="730"/>
        <n x="800" s="1"/>
        <n x="639"/>
        <n x="640"/>
      </t>
    </mdx>
    <mdx n="0" f="v">
      <t c="6" si="614">
        <n x="610"/>
        <n x="453"/>
        <n x="454"/>
        <n x="800" s="1"/>
        <n x="639"/>
        <n x="640"/>
      </t>
    </mdx>
    <mdx n="0" f="v">
      <t c="6" si="614">
        <n x="610"/>
        <n x="733"/>
        <n x="734"/>
        <n x="800" s="1"/>
        <n x="639"/>
        <n x="640"/>
      </t>
    </mdx>
    <mdx n="0" f="v">
      <t c="6" si="614">
        <n x="610"/>
        <n x="283"/>
        <n x="284"/>
        <n x="800" s="1"/>
        <n x="639"/>
        <n x="640"/>
      </t>
    </mdx>
    <mdx n="0" f="v">
      <t c="6" si="614">
        <n x="610"/>
        <n x="319"/>
        <n x="320"/>
        <n x="800" s="1"/>
        <n x="639"/>
        <n x="640"/>
      </t>
    </mdx>
    <mdx n="0" f="v">
      <t c="6" si="614">
        <n x="610"/>
        <n x="591"/>
        <n x="592"/>
        <n x="800" s="1"/>
        <n x="639"/>
        <n x="640"/>
      </t>
    </mdx>
    <mdx n="0" f="v">
      <t c="6" si="614">
        <n x="610"/>
        <n x="741"/>
        <n x="742"/>
        <n x="800" s="1"/>
        <n x="639"/>
        <n x="640"/>
      </t>
    </mdx>
    <mdx n="0" f="v">
      <t c="6" si="614">
        <n x="610"/>
        <n x="455"/>
        <n x="456"/>
        <n x="800" s="1"/>
        <n x="639"/>
        <n x="640"/>
      </t>
    </mdx>
    <mdx n="0" f="v">
      <t c="6" si="614">
        <n x="610"/>
        <n x="393"/>
        <n x="394"/>
        <n x="800" s="1"/>
        <n x="639"/>
        <n x="640"/>
      </t>
    </mdx>
    <mdx n="0" f="v">
      <t c="6" si="614">
        <n x="610"/>
        <n x="605"/>
        <n x="606"/>
        <n x="800" s="1"/>
        <n x="639"/>
        <n x="640"/>
      </t>
    </mdx>
    <mdx n="0" f="v">
      <t c="6" si="614">
        <n x="610"/>
        <n x="513"/>
        <n x="514"/>
        <n x="800" s="1"/>
        <n x="639"/>
        <n x="640"/>
      </t>
    </mdx>
    <mdx n="0" f="v">
      <t c="6" si="614">
        <n x="610"/>
        <n x="295"/>
        <n x="296"/>
        <n x="800" s="1"/>
        <n x="639"/>
        <n x="640"/>
      </t>
    </mdx>
    <mdx n="0" f="v">
      <t c="6" si="614">
        <n x="610"/>
        <n x="489"/>
        <n x="490"/>
        <n x="800" s="1"/>
        <n x="639"/>
        <n x="640"/>
      </t>
    </mdx>
    <mdx n="0" f="v">
      <t c="6" si="614">
        <n x="610"/>
        <n x="229"/>
        <n x="230"/>
        <n x="800" s="1"/>
        <n x="639"/>
        <n x="640"/>
      </t>
    </mdx>
    <mdx n="0" f="v">
      <t c="6" si="614">
        <n x="610"/>
        <n x="339"/>
        <n x="340"/>
        <n x="800" s="1"/>
        <n x="639"/>
        <n x="640"/>
      </t>
    </mdx>
    <mdx n="0" f="v">
      <t c="6" si="614">
        <n x="610"/>
        <n x="407"/>
        <n x="408"/>
        <n x="800" s="1"/>
        <n x="639"/>
        <n x="640"/>
      </t>
    </mdx>
    <mdx n="0" f="v">
      <t c="6" si="614">
        <n x="610"/>
        <n x="409"/>
        <n x="410"/>
        <n x="800" s="1"/>
        <n x="639"/>
        <n x="640"/>
      </t>
    </mdx>
    <mdx n="0" f="v">
      <t c="6" si="614">
        <n x="610"/>
        <n x="549"/>
        <n x="550"/>
        <n x="800" s="1"/>
        <n x="639"/>
        <n x="640"/>
      </t>
    </mdx>
    <mdx n="0" f="v">
      <t c="6" si="614">
        <n x="610"/>
        <n x="469"/>
        <n x="470"/>
        <n x="800" s="1"/>
        <n x="641"/>
        <n x="642"/>
      </t>
    </mdx>
    <mdx n="0" f="v">
      <t c="6" si="614">
        <n x="610"/>
        <n x="539"/>
        <n x="540"/>
        <n x="800" s="1"/>
        <n x="639"/>
        <n x="640"/>
      </t>
    </mdx>
    <mdx n="0" f="v">
      <t c="6" si="614">
        <n x="610"/>
        <n x="359"/>
        <n x="218"/>
        <n x="800" s="1"/>
        <n x="641"/>
        <n x="642"/>
      </t>
    </mdx>
    <mdx n="0" f="v">
      <t c="6" si="614">
        <n x="610"/>
        <n x="359"/>
        <n x="360"/>
        <n x="800" s="1"/>
        <n x="639"/>
        <n x="640"/>
      </t>
    </mdx>
    <mdx n="0" f="v">
      <t c="6" si="614">
        <n x="610"/>
        <n x="275"/>
        <n x="276"/>
        <n x="800" s="1"/>
        <n x="641"/>
        <n x="642"/>
      </t>
    </mdx>
    <mdx n="0" f="v">
      <t c="6" si="614">
        <n x="610"/>
        <n x="721"/>
        <n x="722"/>
        <n x="800" s="1"/>
        <n x="641"/>
        <n x="642"/>
      </t>
    </mdx>
    <mdx n="0" f="v">
      <t c="6" si="614">
        <n x="610"/>
        <n x="721"/>
        <n x="722"/>
        <n x="800" s="1"/>
        <n x="641"/>
        <n x="642"/>
      </t>
    </mdx>
    <mdx n="0" f="v">
      <t c="6" si="614">
        <n x="610"/>
        <n x="511"/>
        <n x="512"/>
        <n x="800" s="1"/>
        <n x="639"/>
        <n x="640"/>
      </t>
    </mdx>
    <mdx n="0" f="v">
      <t c="6" si="614">
        <n x="610"/>
        <n x="511"/>
        <n x="512"/>
        <n x="800" s="1"/>
        <n x="639"/>
        <n x="640"/>
      </t>
    </mdx>
    <mdx n="0" f="v">
      <t c="6" si="614">
        <n x="610"/>
        <n x="485"/>
        <n x="380"/>
        <n x="800" s="1"/>
        <n x="641"/>
        <n x="642"/>
      </t>
    </mdx>
    <mdx n="0" f="v">
      <t c="6" si="614">
        <n x="610"/>
        <n x="459"/>
        <n x="460"/>
        <n x="800" s="1"/>
        <n x="641"/>
        <n x="642"/>
      </t>
    </mdx>
    <mdx n="0" f="v">
      <t c="6" si="614">
        <n x="610"/>
        <n x="777"/>
        <n x="726"/>
        <n x="800" s="1"/>
        <n x="641"/>
        <n x="642"/>
      </t>
    </mdx>
    <mdx n="0" f="v">
      <t c="6" si="614">
        <n x="610"/>
        <n x="601"/>
        <n x="602"/>
        <n x="800" s="1"/>
        <n x="641"/>
        <n x="642"/>
      </t>
    </mdx>
    <mdx n="0" f="v">
      <t c="6" si="614">
        <n x="610"/>
        <n x="729"/>
        <n x="730"/>
        <n x="800" s="1"/>
        <n x="641"/>
        <n x="642"/>
      </t>
    </mdx>
    <mdx n="0" f="v">
      <t c="6" si="614">
        <n x="610"/>
        <n x="269"/>
        <n x="270"/>
        <n x="800" s="1"/>
        <n x="641"/>
        <n x="642"/>
      </t>
    </mdx>
    <mdx n="0" f="v">
      <t c="6" si="614">
        <n x="610"/>
        <n x="269"/>
        <n x="270"/>
        <n x="800" s="1"/>
        <n x="639"/>
        <n x="640"/>
      </t>
    </mdx>
    <mdx n="0" f="v">
      <t c="6" si="614">
        <n x="610"/>
        <n x="541"/>
        <n x="542"/>
        <n x="800" s="1"/>
        <n x="641"/>
        <n x="642"/>
      </t>
    </mdx>
    <mdx n="0" f="v">
      <t c="6" si="614">
        <n x="610"/>
        <n x="453"/>
        <n x="454"/>
        <n x="800" s="1"/>
        <n x="641"/>
        <n x="642"/>
      </t>
    </mdx>
    <mdx n="0" f="v">
      <t c="6" si="614">
        <n x="610"/>
        <n x="733"/>
        <n x="734"/>
        <n x="800" s="1"/>
        <n x="641"/>
        <n x="642"/>
      </t>
    </mdx>
    <mdx n="0" f="v">
      <t c="6" si="614">
        <n x="610"/>
        <n x="417"/>
        <n x="418"/>
        <n x="800" s="1"/>
        <n x="639"/>
        <n x="640"/>
      </t>
    </mdx>
    <mdx n="0" f="v">
      <t c="6" si="614">
        <n x="610"/>
        <n x="319"/>
        <n x="320"/>
        <n x="800" s="1"/>
        <n x="639"/>
        <n x="640"/>
      </t>
    </mdx>
    <mdx n="0" f="v">
      <t c="6" si="614">
        <n x="610"/>
        <n x="319"/>
        <n x="320"/>
        <n x="800" s="1"/>
        <n x="641"/>
        <n x="642"/>
      </t>
    </mdx>
    <mdx n="0" f="v">
      <t c="6" si="614">
        <n x="610"/>
        <n x="565"/>
        <n x="592"/>
        <n x="800" s="1"/>
        <n x="641"/>
        <n x="642"/>
      </t>
    </mdx>
    <mdx n="0" f="v">
      <t c="6" si="614">
        <n x="610"/>
        <n x="565"/>
        <n x="566"/>
        <n x="800" s="1"/>
        <n x="639"/>
        <n x="640"/>
      </t>
    </mdx>
    <mdx n="0" f="v">
      <t c="6" si="614">
        <n x="610"/>
        <n x="455"/>
        <n x="456"/>
        <n x="800" s="1"/>
        <n x="641"/>
        <n x="642"/>
      </t>
    </mdx>
    <mdx n="0" f="v">
      <t c="6" si="614">
        <n x="610"/>
        <n x="393"/>
        <n x="394"/>
        <n x="800" s="1"/>
        <n x="641"/>
        <n x="642"/>
      </t>
    </mdx>
    <mdx n="0" f="v">
      <t c="6" si="614">
        <n x="610"/>
        <n x="473"/>
        <n x="474"/>
        <n x="800" s="1"/>
        <n x="639"/>
        <n x="640"/>
      </t>
    </mdx>
    <mdx n="0" f="v">
      <t c="6" si="614">
        <n x="610"/>
        <n x="491"/>
        <n x="492"/>
        <n x="800" s="1"/>
        <n x="641"/>
        <n x="642"/>
      </t>
    </mdx>
    <mdx n="0" f="v">
      <t c="6" si="614">
        <n x="610"/>
        <n x="579"/>
        <n x="580"/>
        <n x="800" s="1"/>
        <n x="639"/>
        <n x="640"/>
      </t>
    </mdx>
    <mdx n="0" f="v">
      <t c="6" si="614">
        <n x="610"/>
        <n x="513"/>
        <n x="514"/>
        <n x="800" s="1"/>
        <n x="641"/>
        <n x="642"/>
      </t>
    </mdx>
    <mdx n="0" f="v">
      <t c="6" si="614">
        <n x="610"/>
        <n x="295"/>
        <n x="214"/>
        <n x="800" s="1"/>
        <n x="639"/>
        <n x="640"/>
      </t>
    </mdx>
    <mdx n="0" f="v">
      <t c="6" si="614">
        <n x="610"/>
        <n x="295"/>
        <n x="296"/>
        <n x="800" s="1"/>
        <n x="641"/>
        <n x="642"/>
      </t>
    </mdx>
    <mdx n="0" f="v">
      <t c="6" si="614">
        <n x="610"/>
        <n x="227"/>
        <n x="228"/>
        <n x="800" s="1"/>
        <n x="639"/>
        <n x="640"/>
      </t>
    </mdx>
    <mdx n="0" f="v">
      <t c="6" si="614">
        <n x="610"/>
        <n x="299"/>
        <n x="300"/>
        <n x="800" s="1"/>
        <n x="641"/>
        <n x="642"/>
      </t>
    </mdx>
    <mdx n="0" f="v">
      <t c="6" si="614">
        <n x="610"/>
        <n x="489"/>
        <n x="490"/>
        <n x="800" s="1"/>
        <n x="641"/>
        <n x="642"/>
      </t>
    </mdx>
    <mdx n="0" f="v">
      <t c="6" si="614">
        <n x="610"/>
        <n x="439"/>
        <n x="440"/>
        <n x="800" s="1"/>
        <n x="639"/>
        <n x="640"/>
      </t>
    </mdx>
    <mdx n="0" f="v">
      <t c="6" si="614">
        <n x="610"/>
        <n x="755"/>
        <n x="756"/>
        <n x="800" s="1"/>
        <n x="641"/>
        <n x="642"/>
      </t>
    </mdx>
    <mdx n="0" f="v">
      <t c="6" si="614">
        <n x="610"/>
        <n x="339"/>
        <n x="340"/>
        <n x="800" s="1"/>
        <n x="641"/>
        <n x="642"/>
      </t>
    </mdx>
    <mdx n="0" f="v">
      <t c="6" si="614">
        <n x="610"/>
        <n x="339"/>
        <n x="340"/>
        <n x="800" s="1"/>
        <n x="641"/>
        <n x="642"/>
      </t>
    </mdx>
    <mdx n="0" f="v">
      <t c="6" si="614">
        <n x="610"/>
        <n x="291"/>
        <n x="408"/>
        <n x="800" s="1"/>
        <n x="641"/>
        <n x="642"/>
      </t>
    </mdx>
    <mdx n="0" f="v">
      <t c="6" si="614">
        <n x="610"/>
        <n x="493"/>
        <n x="494"/>
        <n x="800" s="1"/>
        <n x="641"/>
        <n x="642"/>
      </t>
    </mdx>
    <mdx n="0" f="v">
      <t c="6" si="614">
        <n x="610"/>
        <n x="551"/>
        <n x="552"/>
        <n x="800" s="1"/>
        <n x="641"/>
        <n x="642"/>
      </t>
    </mdx>
    <mdx n="0" f="v">
      <t c="6" si="614">
        <n x="610"/>
        <n x="551"/>
        <n x="552"/>
        <n x="800" s="1"/>
        <n x="641"/>
        <n x="642"/>
      </t>
    </mdx>
    <mdx n="0" f="v">
      <t c="6" si="614">
        <n x="610"/>
        <n x="759"/>
        <n x="760"/>
        <n x="800" s="1"/>
        <n x="641"/>
        <n x="642"/>
      </t>
    </mdx>
    <mdx n="0" f="v">
      <t c="6" si="614">
        <n x="610"/>
        <n x="587"/>
        <n x="410"/>
        <n x="800" s="1"/>
        <n x="641"/>
        <n x="642"/>
      </t>
    </mdx>
    <mdx n="0" f="v">
      <t c="6" si="614">
        <n x="610"/>
        <n x="587"/>
        <n x="588"/>
        <n x="800" s="1"/>
        <n x="639"/>
        <n x="640"/>
      </t>
    </mdx>
    <mdx n="0" f="v">
      <t c="6" si="614">
        <n x="610"/>
        <n x="549"/>
        <n x="550"/>
        <n x="800" s="1"/>
        <n x="641"/>
        <n x="642"/>
      </t>
    </mdx>
    <mdx n="0" f="v">
      <t c="6" si="614">
        <n x="610"/>
        <n x="469"/>
        <n x="470"/>
        <n x="800" s="1"/>
        <n x="641"/>
        <n x="642"/>
      </t>
    </mdx>
    <mdx n="0" f="v">
      <t c="6" si="614">
        <n x="610"/>
        <n x="323"/>
        <n x="324"/>
        <n x="800" s="1"/>
        <n x="641"/>
        <n x="642"/>
      </t>
    </mdx>
    <mdx n="0" f="v">
      <t c="6" si="614">
        <n x="610"/>
        <n x="323"/>
        <n x="324"/>
        <n x="800" s="1"/>
        <n x="639"/>
        <n x="640"/>
      </t>
    </mdx>
    <mdx n="0" f="v">
      <t c="6" si="614">
        <n x="610"/>
        <n x="359"/>
        <n x="360"/>
        <n x="800" s="1"/>
        <n x="639"/>
        <n x="640"/>
      </t>
    </mdx>
    <mdx n="0" f="v">
      <t c="6" si="614">
        <n x="610"/>
        <n x="359"/>
        <n x="360"/>
        <n x="800" s="1"/>
        <n x="641"/>
        <n x="642"/>
      </t>
    </mdx>
    <mdx n="0" f="v">
      <t c="6" si="614">
        <n x="610"/>
        <n x="767"/>
        <n x="768"/>
        <n x="800" s="1"/>
        <n x="641"/>
        <n x="642"/>
      </t>
    </mdx>
    <mdx n="0" f="v">
      <t c="6" si="614">
        <n x="610"/>
        <n x="253"/>
        <n x="254"/>
        <n x="800" s="1"/>
        <n x="639"/>
        <n x="640"/>
      </t>
    </mdx>
    <mdx n="0" f="v">
      <t c="6" si="614">
        <n x="610"/>
        <n x="249"/>
        <n x="250"/>
        <n x="800" s="1"/>
        <n x="641"/>
        <n x="642"/>
      </t>
    </mdx>
    <mdx n="0" f="v">
      <t c="6" si="614">
        <n x="610"/>
        <n x="777"/>
        <n x="778"/>
        <n x="800" s="1"/>
        <n x="641"/>
        <n x="642"/>
      </t>
    </mdx>
    <mdx n="0" f="v">
      <t c="6" si="614">
        <n x="610"/>
        <n x="781"/>
        <n x="782"/>
        <n x="800" s="1"/>
        <n x="641"/>
        <n x="642"/>
      </t>
    </mdx>
    <mdx n="0" f="v">
      <t c="6" si="614">
        <n x="610"/>
        <n x="535"/>
        <n x="536"/>
        <n x="800" s="1"/>
        <n x="641"/>
        <n x="642"/>
      </t>
    </mdx>
    <mdx n="0" f="v">
      <t c="6" si="614">
        <n x="610"/>
        <n x="787"/>
        <n x="788"/>
        <n x="800" s="1"/>
        <n x="641"/>
        <n x="642"/>
      </t>
    </mdx>
    <mdx n="0" f="v">
      <t c="6" si="614">
        <n x="610"/>
        <n x="789"/>
        <n x="790"/>
        <n x="800" s="1"/>
        <n x="641"/>
        <n x="642"/>
      </t>
    </mdx>
    <mdx n="0" f="v">
      <t c="6" si="614">
        <n x="610"/>
        <n x="565"/>
        <n x="566"/>
        <n x="800" s="1"/>
        <n x="641"/>
        <n x="642"/>
      </t>
    </mdx>
    <mdx n="0" f="v">
      <t c="6" si="614">
        <n x="610"/>
        <n x="545"/>
        <n x="546"/>
        <n x="800" s="1"/>
        <n x="641"/>
        <n x="642"/>
      </t>
    </mdx>
    <mdx n="0" f="v">
      <t c="6" si="614">
        <n x="610"/>
        <n x="473"/>
        <n x="474"/>
        <n x="800" s="1"/>
        <n x="641"/>
        <n x="642"/>
      </t>
    </mdx>
    <mdx n="0" f="v">
      <t c="6" si="614">
        <n x="610"/>
        <n x="579"/>
        <n x="580"/>
        <n x="800" s="1"/>
        <n x="641"/>
        <n x="642"/>
      </t>
    </mdx>
    <mdx n="0" f="v">
      <t c="6" si="614">
        <n x="610"/>
        <n x="213"/>
        <n x="214"/>
        <n x="800" s="1"/>
        <n x="641"/>
        <n x="642"/>
      </t>
    </mdx>
    <mdx n="0" f="v">
      <t c="6" si="614">
        <n x="610"/>
        <n x="439"/>
        <n x="440"/>
        <n x="800" s="1"/>
        <n x="641"/>
        <n x="642"/>
      </t>
    </mdx>
    <mdx n="0" f="v">
      <t c="6" si="614">
        <n x="610"/>
        <n x="563"/>
        <n x="564"/>
        <n x="800" s="1"/>
        <n x="641"/>
        <n x="642"/>
      </t>
    </mdx>
    <mdx n="0" f="v">
      <t c="6" si="614">
        <n x="610"/>
        <n x="329"/>
        <n x="330"/>
        <n x="800" s="1"/>
        <n x="641"/>
        <n x="642"/>
      </t>
    </mdx>
    <mdx n="0" f="v">
      <t c="6" si="614">
        <n x="610"/>
        <n x="327"/>
        <n x="328"/>
        <n x="800" s="1"/>
        <n x="641"/>
        <n x="642"/>
      </t>
    </mdx>
    <mdx n="0" f="v">
      <t c="6" si="614">
        <n x="610"/>
        <n x="587"/>
        <n x="588"/>
        <n x="800" s="1"/>
        <n x="641"/>
        <n x="642"/>
      </t>
    </mdx>
    <mdx n="0" f="v">
      <t c="6" si="614">
        <n x="610"/>
        <n x="477"/>
        <n x="478"/>
        <n x="800" s="1"/>
        <n x="641"/>
        <n x="642"/>
      </t>
    </mdx>
    <mdx n="0" f="v">
      <t c="6" si="614">
        <n x="610"/>
        <n x="251"/>
        <n x="252"/>
        <n x="800" s="1"/>
        <n x="641"/>
        <n x="642"/>
      </t>
    </mdx>
    <mdx n="0" f="v">
      <t c="6" si="614">
        <n x="610"/>
        <n x="559"/>
        <n x="560"/>
        <n x="800" s="1"/>
        <n x="641"/>
        <n x="642"/>
      </t>
    </mdx>
    <mdx n="0" f="v">
      <t c="6" si="614">
        <n x="610"/>
        <n x="253"/>
        <n x="254"/>
        <n x="800" s="1"/>
        <n x="641"/>
        <n x="642"/>
      </t>
    </mdx>
    <mdx n="0" f="v">
      <t c="6" si="614">
        <n x="610"/>
        <n x="717"/>
        <n x="718"/>
        <n x="800" s="1"/>
        <n x="639"/>
        <n x="640"/>
      </t>
    </mdx>
    <mdx n="0" f="v">
      <t c="6" si="614">
        <n x="610"/>
        <n x="713"/>
        <n x="714"/>
        <n x="800" s="1"/>
        <n x="639"/>
        <n x="640"/>
      </t>
    </mdx>
    <mdx n="0" f="v">
      <t c="6" si="614">
        <n x="610"/>
        <n x="391"/>
        <n x="392"/>
        <n x="800" s="1"/>
        <n x="639"/>
        <n x="640"/>
      </t>
    </mdx>
    <mdx n="0" f="v">
      <t c="6" si="614">
        <n x="610"/>
        <n x="461"/>
        <n x="462"/>
        <n x="800" s="1"/>
        <n x="639"/>
        <n x="640"/>
      </t>
    </mdx>
    <mdx n="0" f="v">
      <t c="6" si="614">
        <n x="610"/>
        <n x="457"/>
        <n x="458"/>
        <n x="800" s="1"/>
        <n x="639"/>
        <n x="640"/>
      </t>
    </mdx>
    <mdx n="0" f="v">
      <t c="6" si="614">
        <n x="610"/>
        <n x="557"/>
        <n x="558"/>
        <n x="800" s="1"/>
        <n x="639"/>
        <n x="640"/>
      </t>
    </mdx>
    <mdx n="0" f="v">
      <t c="6" si="614">
        <n x="610"/>
        <n x="495"/>
        <n x="368"/>
        <n x="800" s="1"/>
        <n x="639"/>
        <n x="640"/>
      </t>
    </mdx>
    <mdx n="0" f="v">
      <t c="6" si="614">
        <n x="610"/>
        <n x="363"/>
        <n x="364"/>
        <n x="800" s="1"/>
        <n x="639"/>
        <n x="640"/>
      </t>
    </mdx>
    <mdx n="0" f="v">
      <t c="6" si="614">
        <n x="610"/>
        <n x="413"/>
        <n x="414"/>
        <n x="800" s="1"/>
        <n x="639"/>
        <n x="640"/>
      </t>
    </mdx>
    <mdx n="0" f="v">
      <t c="6" si="614">
        <n x="610"/>
        <n x="277"/>
        <n x="278"/>
        <n x="800" s="1"/>
        <n x="639"/>
        <n x="640"/>
      </t>
    </mdx>
    <mdx n="0" f="v">
      <t c="6" si="614">
        <n x="610"/>
        <n x="387"/>
        <n x="388"/>
        <n x="800" s="1"/>
        <n x="639"/>
        <n x="640"/>
      </t>
    </mdx>
    <mdx n="0" f="v">
      <t c="6" si="614">
        <n x="610"/>
        <n x="737"/>
        <n x="738"/>
        <n x="800" s="1"/>
        <n x="639"/>
        <n x="640"/>
      </t>
    </mdx>
    <mdx n="0" f="v">
      <t c="6" si="614">
        <n x="610"/>
        <n x="429"/>
        <n x="430"/>
        <n x="800" s="1"/>
        <n x="639"/>
        <n x="640"/>
      </t>
    </mdx>
    <mdx n="0" f="v">
      <t c="6" si="614">
        <n x="610"/>
        <n x="743"/>
        <n x="744"/>
        <n x="800" s="1"/>
        <n x="639"/>
        <n x="640"/>
      </t>
    </mdx>
    <mdx n="0" f="v">
      <t c="6" si="614">
        <n x="610"/>
        <n x="437"/>
        <n x="438"/>
        <n x="800" s="1"/>
        <n x="639"/>
        <n x="640"/>
      </t>
    </mdx>
    <mdx n="0" f="v">
      <t c="6" si="614">
        <n x="610"/>
        <n x="747"/>
        <n x="748"/>
        <n x="800" s="1"/>
        <n x="639"/>
        <n x="640"/>
      </t>
    </mdx>
    <mdx n="0" f="v">
      <t c="6" si="614">
        <n x="610"/>
        <n x="749"/>
        <n x="750"/>
        <n x="800" s="1"/>
        <n x="639"/>
        <n x="640"/>
      </t>
    </mdx>
    <mdx n="0" f="v">
      <t c="6" si="614">
        <n x="610"/>
        <n x="751"/>
        <n x="242"/>
        <n x="800" s="1"/>
        <n x="639"/>
        <n x="640"/>
      </t>
    </mdx>
    <mdx n="0" f="v">
      <t c="6" si="614">
        <n x="610"/>
        <n x="321"/>
        <n x="322"/>
        <n x="800" s="1"/>
        <n x="639"/>
        <n x="640"/>
      </t>
    </mdx>
    <mdx n="0" f="v">
      <t c="6" si="614">
        <n x="610"/>
        <n x="207"/>
        <n x="208"/>
        <n x="800" s="1"/>
        <n x="639"/>
        <n x="640"/>
      </t>
    </mdx>
    <mdx n="0" f="v">
      <t c="6" si="614">
        <n x="610"/>
        <n x="761"/>
        <n x="762"/>
        <n x="800" s="1"/>
        <n x="639"/>
        <n x="640"/>
      </t>
    </mdx>
    <mdx n="0" f="v">
      <t c="6" si="614">
        <n x="610"/>
        <n x="553"/>
        <n x="554"/>
        <n x="800" s="1"/>
        <n x="639"/>
        <n x="640"/>
      </t>
    </mdx>
    <mdx n="0" f="v">
      <t c="6" si="614">
        <n x="610"/>
        <n x="255"/>
        <n x="256"/>
        <n x="800" s="1"/>
        <n x="639"/>
        <n x="640"/>
      </t>
    </mdx>
    <mdx n="0" f="v">
      <t c="6" si="614">
        <n x="610"/>
        <n x="765"/>
        <n x="766"/>
        <n x="800" s="1"/>
        <n x="639"/>
        <n x="640"/>
      </t>
    </mdx>
    <mdx n="0" f="v">
      <t c="6" si="614">
        <n x="610"/>
        <n x="403"/>
        <n x="404"/>
        <n x="800" s="1"/>
        <n x="639"/>
        <n x="640"/>
      </t>
    </mdx>
    <mdx n="0" f="v">
      <t c="6" si="614">
        <n x="610"/>
        <n x="293"/>
        <n x="294"/>
        <n x="800" s="1"/>
        <n x="639"/>
        <n x="640"/>
      </t>
    </mdx>
    <mdx n="0" f="v">
      <t c="6" si="614">
        <n x="610"/>
        <n x="773"/>
        <n x="774"/>
        <n x="800" s="1"/>
        <n x="639"/>
        <n x="640"/>
      </t>
    </mdx>
    <mdx n="0" f="v">
      <t c="6" si="614">
        <n x="610"/>
        <n x="375"/>
        <n x="376"/>
        <n x="800" s="1"/>
        <n x="639"/>
        <n x="640"/>
      </t>
    </mdx>
    <mdx n="0" f="v">
      <t c="6" si="614">
        <n x="610"/>
        <n x="355"/>
        <n x="356"/>
        <n x="800" s="1"/>
        <n x="639"/>
        <n x="640"/>
      </t>
    </mdx>
    <mdx n="0" f="v">
      <t c="6" si="614">
        <n x="610"/>
        <n x="581"/>
        <n x="582"/>
        <n x="800" s="1"/>
        <n x="639"/>
        <n x="640"/>
      </t>
    </mdx>
    <mdx n="0" f="v">
      <t c="6" si="614">
        <n x="610"/>
        <n x="521"/>
        <n x="522"/>
        <n x="800" s="1"/>
        <n x="639"/>
        <n x="640"/>
      </t>
    </mdx>
    <mdx n="0" f="v">
      <t c="6" si="614">
        <n x="610"/>
        <n x="313"/>
        <n x="314"/>
        <n x="800" s="1"/>
        <n x="639"/>
        <n x="640"/>
      </t>
    </mdx>
    <mdx n="0" f="v">
      <t c="6" si="614">
        <n x="610"/>
        <n x="303"/>
        <n x="304"/>
        <n x="800" s="1"/>
        <n x="639"/>
        <n x="640"/>
      </t>
    </mdx>
    <mdx n="0" f="v">
      <t c="6" si="614">
        <n x="610"/>
        <n x="571"/>
        <n x="572"/>
        <n x="800" s="1"/>
        <n x="639"/>
        <n x="640"/>
      </t>
    </mdx>
    <mdx n="0" f="v">
      <t c="6" si="614">
        <n x="610"/>
        <n x="449"/>
        <n x="450"/>
        <n x="800" s="1"/>
        <n x="639"/>
        <n x="640"/>
      </t>
    </mdx>
    <mdx n="0" f="v">
      <t c="6" si="614">
        <n x="610"/>
        <n x="567"/>
        <n x="568"/>
        <n x="800" s="1"/>
        <n x="639"/>
        <n x="640"/>
      </t>
    </mdx>
    <mdx n="0" f="v">
      <t c="6" si="614">
        <n x="610"/>
        <n x="805"/>
        <n x="806"/>
        <n x="800" s="1"/>
        <n x="639"/>
        <n x="640"/>
      </t>
    </mdx>
    <mdx n="0" f="v">
      <t c="6" si="614">
        <n x="610"/>
        <n x="717"/>
        <n x="718"/>
        <n x="800" s="1"/>
        <n x="641"/>
        <n x="642"/>
      </t>
    </mdx>
    <mdx n="0" f="v">
      <t c="6" si="614">
        <n x="610"/>
        <n x="285"/>
        <n x="286"/>
        <n x="800" s="1"/>
        <n x="641"/>
        <n x="642"/>
      </t>
    </mdx>
    <mdx n="0" f="v">
      <t c="6" si="614">
        <n x="610"/>
        <n x="723"/>
        <n x="724"/>
        <n x="800" s="1"/>
        <n x="641"/>
        <n x="642"/>
      </t>
    </mdx>
    <mdx n="0" f="v">
      <t c="6" si="614">
        <n x="610"/>
        <n x="239"/>
        <n x="240"/>
        <n x="800" s="1"/>
        <n x="641"/>
        <n x="642"/>
      </t>
    </mdx>
    <mdx n="0" f="v">
      <t c="6" si="614">
        <n x="610"/>
        <n x="461"/>
        <n x="462"/>
        <n x="800" s="1"/>
        <n x="641"/>
        <n x="642"/>
      </t>
    </mdx>
    <mdx n="0" f="v">
      <t c="6" si="614">
        <n x="610"/>
        <n x="547"/>
        <n x="548"/>
        <n x="800" s="1"/>
        <n x="641"/>
        <n x="642"/>
      </t>
    </mdx>
    <mdx n="0" f="v">
      <t c="6" si="614">
        <n x="610"/>
        <n x="457"/>
        <n x="458"/>
        <n x="800" s="1"/>
        <n x="641"/>
        <n x="642"/>
      </t>
    </mdx>
    <mdx n="0" f="v">
      <t c="6" si="614">
        <n x="610"/>
        <n x="557"/>
        <n x="558"/>
        <n x="800" s="1"/>
        <n x="641"/>
        <n x="642"/>
      </t>
    </mdx>
    <mdx n="0" f="v">
      <t c="6" si="614">
        <n x="610"/>
        <n x="495"/>
        <n x="496"/>
        <n x="800" s="1"/>
        <n x="641"/>
        <n x="642"/>
      </t>
    </mdx>
    <mdx n="0" f="v">
      <t c="6" si="614">
        <n x="610"/>
        <n x="603"/>
        <n x="604"/>
        <n x="800" s="1"/>
        <n x="641"/>
        <n x="642"/>
      </t>
    </mdx>
    <mdx n="0" f="v">
      <t c="6" si="614">
        <n x="610"/>
        <n x="413"/>
        <n x="414"/>
        <n x="800" s="1"/>
        <n x="641"/>
        <n x="642"/>
      </t>
    </mdx>
    <mdx n="0" f="v">
      <t c="6" si="614">
        <n x="610"/>
        <n x="281"/>
        <n x="282"/>
        <n x="800" s="1"/>
        <n x="641"/>
        <n x="642"/>
      </t>
    </mdx>
    <mdx n="0" f="v">
      <t c="6" si="614">
        <n x="610"/>
        <n x="271"/>
        <n x="272"/>
        <n x="800" s="1"/>
        <n x="641"/>
        <n x="642"/>
      </t>
    </mdx>
    <mdx n="0" f="v">
      <t c="6" si="614">
        <n x="610"/>
        <n x="277"/>
        <n x="278"/>
        <n x="800" s="1"/>
        <n x="641"/>
        <n x="642"/>
      </t>
    </mdx>
    <mdx n="0" f="v">
      <t c="6" si="614">
        <n x="610"/>
        <n x="387"/>
        <n x="388"/>
        <n x="800" s="1"/>
        <n x="641"/>
        <n x="642"/>
      </t>
    </mdx>
    <mdx n="0" f="v">
      <t c="6" si="614">
        <n x="610"/>
        <n x="737"/>
        <n x="738"/>
        <n x="800" s="1"/>
        <n x="641"/>
        <n x="642"/>
      </t>
    </mdx>
    <mdx n="0" f="v">
      <t c="6" si="614">
        <n x="610"/>
        <n x="429"/>
        <n x="436"/>
        <n x="800" s="1"/>
        <n x="641"/>
        <n x="642"/>
      </t>
    </mdx>
    <mdx n="0" f="v">
      <t c="6" si="614">
        <n x="610"/>
        <n x="743"/>
        <n x="744"/>
        <n x="800" s="1"/>
        <n x="641"/>
        <n x="642"/>
      </t>
    </mdx>
    <mdx n="0" f="v">
      <t c="6" si="614">
        <n x="610"/>
        <n x="433"/>
        <n x="434"/>
        <n x="800" s="1"/>
        <n x="641"/>
        <n x="642"/>
      </t>
    </mdx>
    <mdx n="0" f="v">
      <t c="6" si="614">
        <n x="610"/>
        <n x="437"/>
        <n x="438"/>
        <n x="800" s="1"/>
        <n x="641"/>
        <n x="642"/>
      </t>
    </mdx>
    <mdx n="0" f="v">
      <t c="6" si="614">
        <n x="610"/>
        <n x="747"/>
        <n x="748"/>
        <n x="800" s="1"/>
        <n x="641"/>
        <n x="642"/>
      </t>
    </mdx>
    <mdx n="0" f="v">
      <t c="6" si="614">
        <n x="610"/>
        <n x="569"/>
        <n x="570"/>
        <n x="800" s="1"/>
        <n x="641"/>
        <n x="642"/>
      </t>
    </mdx>
    <mdx n="0" f="v">
      <t c="6" si="614">
        <n x="610"/>
        <n x="241"/>
        <n x="242"/>
        <n x="800" s="1"/>
        <n x="641"/>
        <n x="642"/>
      </t>
    </mdx>
    <mdx n="0" f="v">
      <t c="6" si="614">
        <n x="610"/>
        <n x="447"/>
        <n x="448"/>
        <n x="800" s="1"/>
        <n x="641"/>
        <n x="642"/>
      </t>
    </mdx>
    <mdx n="0" f="v">
      <t c="6" si="614">
        <n x="610"/>
        <n x="471"/>
        <n x="472"/>
        <n x="800" s="1"/>
        <n x="641"/>
        <n x="642"/>
      </t>
    </mdx>
    <mdx n="0" f="v">
      <t c="6" si="614">
        <n x="610"/>
        <n x="233"/>
        <n x="234"/>
        <n x="800" s="1"/>
        <n x="641"/>
        <n x="642"/>
      </t>
    </mdx>
    <mdx n="0" f="v">
      <t c="6" si="614">
        <n x="610"/>
        <n x="207"/>
        <n x="208"/>
        <n x="800" s="1"/>
        <n x="641"/>
        <n x="642"/>
      </t>
    </mdx>
    <mdx n="0" f="v">
      <t c="6" si="614">
        <n x="610"/>
        <n x="553"/>
        <n x="554"/>
        <n x="800" s="1"/>
        <n x="641"/>
        <n x="642"/>
      </t>
    </mdx>
    <mdx n="0" f="v">
      <t c="6" si="614">
        <n x="610"/>
        <n x="255"/>
        <n x="256"/>
        <n x="800" s="1"/>
        <n x="641"/>
        <n x="642"/>
      </t>
    </mdx>
    <mdx n="0" f="v">
      <t c="6" si="614">
        <n x="610"/>
        <n x="247"/>
        <n x="248"/>
        <n x="800" s="1"/>
        <n x="641"/>
        <n x="642"/>
      </t>
    </mdx>
    <mdx n="0" f="v">
      <t c="6" si="614">
        <n x="610"/>
        <n x="763"/>
        <n x="764"/>
        <n x="800" s="1"/>
        <n x="641"/>
        <n x="642"/>
      </t>
    </mdx>
    <mdx n="0" f="v">
      <t c="6" si="614">
        <n x="610"/>
        <n x="403"/>
        <n x="404"/>
        <n x="800" s="1"/>
        <n x="641"/>
        <n x="642"/>
      </t>
    </mdx>
    <mdx n="0" f="v">
      <t c="6" si="614">
        <n x="610"/>
        <n x="315"/>
        <n x="316"/>
        <n x="800" s="1"/>
        <n x="641"/>
        <n x="642"/>
      </t>
    </mdx>
    <mdx n="0" f="v">
      <t c="6" si="614">
        <n x="610"/>
        <n x="293"/>
        <n x="294"/>
        <n x="800" s="1"/>
        <n x="641"/>
        <n x="642"/>
      </t>
    </mdx>
    <mdx n="0" f="v">
      <t c="6" si="614">
        <n x="610"/>
        <n x="357"/>
        <n x="358"/>
        <n x="800" s="1"/>
        <n x="641"/>
        <n x="642"/>
      </t>
    </mdx>
    <mdx n="0" f="v">
      <t c="6" si="614">
        <n x="610"/>
        <n x="533"/>
        <n x="534"/>
        <n x="800" s="1"/>
        <n x="641"/>
        <n x="642"/>
      </t>
    </mdx>
    <mdx n="0" f="v">
      <t c="6" si="614">
        <n x="610"/>
        <n x="375"/>
        <n x="376"/>
        <n x="800" s="1"/>
        <n x="641"/>
        <n x="642"/>
      </t>
    </mdx>
    <mdx n="0" f="v">
      <t c="6" si="614">
        <n x="610"/>
        <n x="583"/>
        <n x="584"/>
        <n x="800" s="1"/>
        <n x="641"/>
        <n x="642"/>
      </t>
    </mdx>
    <mdx n="0" f="v">
      <t c="6" si="614">
        <n x="610"/>
        <n x="583"/>
        <n x="584"/>
        <n x="800" s="1"/>
        <n x="641"/>
        <n x="642"/>
      </t>
    </mdx>
    <mdx n="0" f="v">
      <t c="6" si="614">
        <n x="610"/>
        <n x="311"/>
        <n x="312"/>
        <n x="800" s="1"/>
        <n x="641"/>
        <n x="642"/>
      </t>
    </mdx>
    <mdx n="0" f="v">
      <t c="6" si="614">
        <n x="610"/>
        <n x="521"/>
        <n x="522"/>
        <n x="800" s="1"/>
        <n x="641"/>
        <n x="642"/>
      </t>
    </mdx>
    <mdx n="0" f="v">
      <t c="6" si="614">
        <n x="610"/>
        <n x="791"/>
        <n x="792"/>
        <n x="800" s="1"/>
        <n x="641"/>
        <n x="642"/>
      </t>
    </mdx>
    <mdx n="0" f="v">
      <t c="6" si="614">
        <n x="610"/>
        <n x="303"/>
        <n x="304"/>
        <n x="800" s="1"/>
        <n x="641"/>
        <n x="642"/>
      </t>
    </mdx>
    <mdx n="0" f="v">
      <t c="6" si="614">
        <n x="610"/>
        <n x="571"/>
        <n x="572"/>
        <n x="800" s="1"/>
        <n x="641"/>
        <n x="642"/>
      </t>
    </mdx>
    <mdx n="0" f="v">
      <t c="6" si="614">
        <n x="610"/>
        <n x="797"/>
        <n x="798"/>
        <n x="800" s="1"/>
        <n x="641"/>
        <n x="642"/>
      </t>
    </mdx>
    <mdx n="0" f="v">
      <t c="6" si="614">
        <n x="610"/>
        <n x="215"/>
        <n x="216"/>
        <n x="800" s="1"/>
        <n x="641"/>
        <n x="642"/>
      </t>
    </mdx>
    <mdx n="0" f="v">
      <t c="6" si="614">
        <n x="610"/>
        <n x="421"/>
        <n x="422"/>
        <n x="800" s="1"/>
        <n x="641"/>
        <n x="642"/>
      </t>
    </mdx>
    <mdx n="0" f="v">
      <t c="6" si="614">
        <n x="610"/>
        <n x="497"/>
        <n x="498"/>
        <n x="800" s="1"/>
        <n x="641"/>
        <n x="642"/>
      </t>
    </mdx>
    <mdx n="0" f="v">
      <t c="6" si="614">
        <n x="610"/>
        <n x="567"/>
        <n x="568"/>
        <n x="800" s="1"/>
        <n x="641"/>
        <n x="642"/>
      </t>
    </mdx>
    <mdx n="0" f="v">
      <t c="6" si="614">
        <n x="610"/>
        <n x="519"/>
        <n x="520"/>
        <n x="800" s="1"/>
        <n x="641"/>
        <n x="642"/>
      </t>
    </mdx>
    <mdx n="0" f="v">
      <t c="6" si="614">
        <n x="610"/>
        <n x="805"/>
        <n x="806"/>
        <n x="800" s="1"/>
        <n x="641"/>
        <n x="642"/>
      </t>
    </mdx>
    <mdx n="0" f="v">
      <t c="6" si="614">
        <n x="610"/>
        <n x="599"/>
        <n x="600"/>
        <n x="800" s="1"/>
        <n x="639"/>
        <n x="640"/>
      </t>
    </mdx>
    <mdx n="0" f="v">
      <t c="6" si="614">
        <n x="610"/>
        <n x="261"/>
        <n x="262"/>
        <n x="800" s="1"/>
        <n x="639"/>
        <n x="640"/>
      </t>
    </mdx>
    <mdx n="0" f="v">
      <t c="6" si="614">
        <n x="610"/>
        <n x="585"/>
        <n x="586"/>
        <n x="800" s="1"/>
        <n x="639"/>
        <n x="640"/>
      </t>
    </mdx>
    <mdx n="0" f="v">
      <t c="6" si="614">
        <n x="610"/>
        <n x="463"/>
        <n x="464"/>
        <n x="800" s="1"/>
        <n x="639"/>
        <n x="640"/>
      </t>
    </mdx>
    <mdx n="0" f="v">
      <t c="6" si="614">
        <n x="610"/>
        <n x="397"/>
        <n x="398"/>
        <n x="800" s="1"/>
        <n x="639"/>
        <n x="640"/>
      </t>
    </mdx>
    <mdx n="0" f="v">
      <t c="6" si="614">
        <n x="610"/>
        <n x="727"/>
        <n x="232"/>
        <n x="800" s="1"/>
        <n x="639"/>
        <n x="640"/>
      </t>
    </mdx>
    <mdx n="0" f="v">
      <t c="6" si="614">
        <n x="610"/>
        <n x="727"/>
        <n x="728"/>
        <n x="800" s="1"/>
        <n x="639"/>
        <n x="640"/>
      </t>
    </mdx>
    <mdx n="0" f="v">
      <t c="6" si="614">
        <n x="610"/>
        <n x="731"/>
        <n x="732"/>
        <n x="800" s="1"/>
        <n x="639"/>
        <n x="640"/>
      </t>
    </mdx>
    <mdx n="0" f="v">
      <t c="6" si="614">
        <n x="610"/>
        <n x="265"/>
        <n x="608"/>
        <n x="800" s="1"/>
        <n x="639"/>
        <n x="640"/>
      </t>
    </mdx>
    <mdx n="0" f="v">
      <t c="6" si="614">
        <n x="610"/>
        <n x="265"/>
        <n x="266"/>
        <n x="800" s="1"/>
        <n x="639"/>
        <n x="640"/>
      </t>
    </mdx>
    <mdx n="0" f="v">
      <t c="6" si="614">
        <n x="610"/>
        <n x="235"/>
        <n x="236"/>
        <n x="800" s="1"/>
        <n x="639"/>
        <n x="640"/>
      </t>
    </mdx>
    <mdx n="0" f="v">
      <t c="6" si="614">
        <n x="610"/>
        <n x="735"/>
        <n x="736"/>
        <n x="800" s="1"/>
        <n x="639"/>
        <n x="640"/>
      </t>
    </mdx>
    <mdx n="0" f="v">
      <t c="6" si="614">
        <n x="610"/>
        <n x="499"/>
        <n x="500"/>
        <n x="800" s="1"/>
        <n x="639"/>
        <n x="640"/>
      </t>
    </mdx>
    <mdx n="0" f="v">
      <t c="6" si="614">
        <n x="610"/>
        <n x="589"/>
        <n x="590"/>
        <n x="800" s="1"/>
        <n x="639"/>
        <n x="640"/>
      </t>
    </mdx>
    <mdx n="0" f="v">
      <t c="6" si="614">
        <n x="610"/>
        <n x="745"/>
        <n x="746"/>
        <n x="800" s="1"/>
        <n x="639"/>
        <n x="640"/>
      </t>
    </mdx>
    <mdx n="0" f="v">
      <t c="6" si="614">
        <n x="610"/>
        <n x="441"/>
        <n x="442"/>
        <n x="800" s="1"/>
        <n x="639"/>
        <n x="640"/>
      </t>
    </mdx>
    <mdx n="0" f="v">
      <t c="6" si="614">
        <n x="610"/>
        <n x="593"/>
        <n x="594"/>
        <n x="800" s="1"/>
        <n x="639"/>
        <n x="640"/>
      </t>
    </mdx>
    <mdx n="0" f="v">
      <t c="6" si="614">
        <n x="610"/>
        <n x="223"/>
        <n x="224"/>
        <n x="800" s="1"/>
        <n x="639"/>
        <n x="640"/>
      </t>
    </mdx>
    <mdx n="0" f="v">
      <t c="6" si="614">
        <n x="610"/>
        <n x="289"/>
        <n x="290"/>
        <n x="800" s="1"/>
        <n x="639"/>
        <n x="640"/>
      </t>
    </mdx>
    <mdx n="0" f="v">
      <t c="6" si="614">
        <n x="610"/>
        <n x="507"/>
        <n x="246"/>
        <n x="800" s="1"/>
        <n x="639"/>
        <n x="640"/>
      </t>
    </mdx>
    <mdx n="0" f="v">
      <t c="6" si="614">
        <n x="610"/>
        <n x="507"/>
        <n x="508"/>
        <n x="800" s="1"/>
        <n x="639"/>
        <n x="640"/>
      </t>
    </mdx>
    <mdx n="0" f="v">
      <t c="6" si="614">
        <n x="610"/>
        <n x="467"/>
        <n x="468"/>
        <n x="800" s="1"/>
        <n x="639"/>
        <n x="640"/>
      </t>
    </mdx>
    <mdx n="0" f="v">
      <t c="6" si="614">
        <n x="610"/>
        <n x="509"/>
        <n x="510"/>
        <n x="800" s="1"/>
        <n x="639"/>
        <n x="640"/>
      </t>
    </mdx>
    <mdx n="0" f="v">
      <t c="6" si="614">
        <n x="610"/>
        <n x="775"/>
        <n x="776"/>
        <n x="800" s="1"/>
        <n x="639"/>
        <n x="640"/>
      </t>
    </mdx>
    <mdx n="0" f="v">
      <t c="6" si="614">
        <n x="610"/>
        <n x="381"/>
        <n x="780"/>
        <n x="800" s="1"/>
        <n x="639"/>
        <n x="640"/>
      </t>
    </mdx>
    <mdx n="0" f="v">
      <t c="6" si="614">
        <n x="610"/>
        <n x="527"/>
        <n x="528"/>
        <n x="800" s="1"/>
        <n x="639"/>
        <n x="640"/>
      </t>
    </mdx>
    <mdx n="0" f="v">
      <t c="6" si="614">
        <n x="610"/>
        <n x="785"/>
        <n x="786"/>
        <n x="800" s="1"/>
        <n x="639"/>
        <n x="640"/>
      </t>
    </mdx>
    <mdx n="0" f="v">
      <t c="6" si="614">
        <n x="610"/>
        <n x="431"/>
        <n x="432"/>
        <n x="800" s="1"/>
        <n x="639"/>
        <n x="640"/>
      </t>
    </mdx>
    <mdx n="0" f="v">
      <t c="6" si="614">
        <n x="610"/>
        <n x="531"/>
        <n x="532"/>
        <n x="800" s="1"/>
        <n x="639"/>
        <n x="640"/>
      </t>
    </mdx>
    <mdx n="0" f="v">
      <t c="6" si="614">
        <n x="610"/>
        <n x="451"/>
        <n x="452"/>
        <n x="800" s="1"/>
        <n x="639"/>
        <n x="640"/>
      </t>
    </mdx>
    <mdx n="0" f="v">
      <t c="6" si="614">
        <n x="610"/>
        <n x="297"/>
        <n x="298"/>
        <n x="800" s="1"/>
        <n x="639"/>
        <n x="640"/>
      </t>
    </mdx>
    <mdx n="0" f="v">
      <t c="6" si="614">
        <n x="610"/>
        <n x="331"/>
        <n x="332"/>
        <n x="800" s="1"/>
        <n x="639"/>
        <n x="640"/>
      </t>
    </mdx>
    <mdx n="0" f="v">
      <t c="6" si="614">
        <n x="610"/>
        <n x="211"/>
        <n x="796"/>
        <n x="800" s="1"/>
        <n x="639"/>
        <n x="640"/>
      </t>
    </mdx>
    <mdx n="0" f="v">
      <t c="6" si="614">
        <n x="610"/>
        <n x="279"/>
        <n x="280"/>
        <n x="800" s="1"/>
        <n x="639"/>
        <n x="640"/>
      </t>
    </mdx>
    <mdx n="0" f="v">
      <t c="6" si="614">
        <n x="610"/>
        <n x="373"/>
        <n x="374"/>
        <n x="800" s="1"/>
        <n x="639"/>
        <n x="640"/>
      </t>
    </mdx>
    <mdx n="0" f="v">
      <t c="6" si="614">
        <n x="610"/>
        <n x="263"/>
        <n x="264"/>
        <n x="800" s="1"/>
        <n x="639"/>
        <n x="640"/>
      </t>
    </mdx>
    <mdx n="0" f="v">
      <t c="6" si="614">
        <n x="610"/>
        <n x="425"/>
        <n x="426"/>
        <n x="800" s="1"/>
        <n x="639"/>
        <n x="640"/>
      </t>
    </mdx>
    <mdx n="0" f="v">
      <t c="6" si="614">
        <n x="610"/>
        <n x="573"/>
        <n x="574"/>
        <n x="800" s="1"/>
        <n x="639"/>
        <n x="640"/>
      </t>
    </mdx>
    <mdx n="0" f="v">
      <t c="6" si="614">
        <n x="610"/>
        <n x="599"/>
        <n x="600"/>
        <n x="800" s="1"/>
        <n x="641"/>
        <n x="642"/>
      </t>
    </mdx>
    <mdx n="0" f="v">
      <t c="6" si="614">
        <n x="610"/>
        <n x="261"/>
        <n x="262"/>
        <n x="800" s="1"/>
        <n x="641"/>
        <n x="642"/>
      </t>
    </mdx>
    <mdx n="0" f="v">
      <t c="6" si="614">
        <n x="610"/>
        <n x="585"/>
        <n x="586"/>
        <n x="800" s="1"/>
        <n x="641"/>
        <n x="642"/>
      </t>
    </mdx>
    <mdx n="0" f="v">
      <t c="6" si="614">
        <n x="610"/>
        <n x="585"/>
        <n x="586"/>
        <n x="800" s="1"/>
        <n x="641"/>
        <n x="642"/>
      </t>
    </mdx>
    <mdx n="0" f="v">
      <t c="6" si="614">
        <n x="610"/>
        <n x="463"/>
        <n x="464"/>
        <n x="800" s="1"/>
        <n x="641"/>
        <n x="642"/>
      </t>
    </mdx>
    <mdx n="0" f="v">
      <t c="6" si="614">
        <n x="610"/>
        <n x="397"/>
        <n x="398"/>
        <n x="800" s="1"/>
        <n x="641"/>
        <n x="642"/>
      </t>
    </mdx>
    <mdx n="0" f="v">
      <t c="6" si="614">
        <n x="610"/>
        <n x="727"/>
        <n x="728"/>
        <n x="800" s="1"/>
        <n x="641"/>
        <n x="642"/>
      </t>
    </mdx>
    <mdx n="0" f="v">
      <t c="6" si="614">
        <n x="610"/>
        <n x="555"/>
        <n x="556"/>
        <n x="800" s="1"/>
        <n x="641"/>
        <n x="642"/>
      </t>
    </mdx>
    <mdx n="0" f="v">
      <t c="6" si="614">
        <n x="610"/>
        <n x="607"/>
        <n x="608"/>
        <n x="800" s="1"/>
        <n x="641"/>
        <n x="642"/>
      </t>
    </mdx>
    <mdx n="0" f="v">
      <t c="6" si="614">
        <n x="610"/>
        <n x="235"/>
        <n x="236"/>
        <n x="800" s="1"/>
        <n x="641"/>
        <n x="642"/>
      </t>
    </mdx>
    <mdx n="0" f="v">
      <t c="6" si="614">
        <n x="610"/>
        <n x="243"/>
        <n x="244"/>
        <n x="800" s="1"/>
        <n x="641"/>
        <n x="642"/>
      </t>
    </mdx>
    <mdx n="0" f="v">
      <t c="6" si="614">
        <n x="610"/>
        <n x="209"/>
        <n x="210"/>
        <n x="800" s="1"/>
        <n x="641"/>
        <n x="642"/>
      </t>
    </mdx>
    <mdx n="0" f="v">
      <t c="6" si="614">
        <n x="610"/>
        <n x="499"/>
        <n x="500"/>
        <n x="800" s="1"/>
        <n x="641"/>
        <n x="642"/>
      </t>
    </mdx>
    <mdx n="0" f="v">
      <t c="6" si="614">
        <n x="610"/>
        <n x="589"/>
        <n x="562"/>
        <n x="800" s="1"/>
        <n x="641"/>
        <n x="642"/>
      </t>
    </mdx>
    <mdx n="0" f="v">
      <t c="6" si="614">
        <n x="610"/>
        <n x="589"/>
        <n x="590"/>
        <n x="800" s="1"/>
        <n x="641"/>
        <n x="642"/>
      </t>
    </mdx>
    <mdx n="0" f="v">
      <t c="6" si="614">
        <n x="610"/>
        <n x="745"/>
        <n x="746"/>
        <n x="800" s="1"/>
        <n x="641"/>
        <n x="642"/>
      </t>
    </mdx>
    <mdx n="0" f="v">
      <t c="6" si="614">
        <n x="610"/>
        <n x="441"/>
        <n x="442"/>
        <n x="800" s="1"/>
        <n x="641"/>
        <n x="642"/>
      </t>
    </mdx>
    <mdx n="0" f="v">
      <t c="6" si="614">
        <n x="610"/>
        <n x="593"/>
        <n x="594"/>
        <n x="800" s="1"/>
        <n x="641"/>
        <n x="642"/>
      </t>
    </mdx>
    <mdx n="0" f="v">
      <t c="6" si="614">
        <n x="610"/>
        <n x="205"/>
        <n x="206"/>
        <n x="800" s="1"/>
        <n x="641"/>
        <n x="642"/>
      </t>
    </mdx>
    <mdx n="0" f="v">
      <t c="6" si="614">
        <n x="610"/>
        <n x="577"/>
        <n x="578"/>
        <n x="800" s="1"/>
        <n x="641"/>
        <n x="642"/>
      </t>
    </mdx>
    <mdx n="0" f="v">
      <t c="6" si="614">
        <n x="610"/>
        <n x="757"/>
        <n x="758"/>
        <n x="800" s="1"/>
        <n x="641"/>
        <n x="642"/>
      </t>
    </mdx>
    <mdx n="0" f="v">
      <t c="6" si="614">
        <n x="610"/>
        <n x="245"/>
        <n x="326"/>
        <n x="800" s="1"/>
        <n x="641"/>
        <n x="642"/>
      </t>
    </mdx>
    <mdx n="0" f="v">
      <t c="6" si="614">
        <n x="610"/>
        <n x="245"/>
        <n x="246"/>
        <n x="800" s="1"/>
        <n x="641"/>
        <n x="642"/>
      </t>
    </mdx>
    <mdx n="0" f="v">
      <t c="6" si="614">
        <n x="610"/>
        <n x="507"/>
        <n x="508"/>
        <n x="800" s="1"/>
        <n x="641"/>
        <n x="642"/>
      </t>
    </mdx>
    <mdx n="0" f="v">
      <t c="6" si="614">
        <n x="610"/>
        <n x="349"/>
        <n x="350"/>
        <n x="800" s="1"/>
        <n x="641"/>
        <n x="642"/>
      </t>
    </mdx>
    <mdx n="0" f="v">
      <t c="6" si="614">
        <n x="610"/>
        <n x="769"/>
        <n x="770"/>
        <n x="800" s="1"/>
        <n x="641"/>
        <n x="642"/>
      </t>
    </mdx>
    <mdx n="0" f="v">
      <t c="6" si="614">
        <n x="610"/>
        <n x="529"/>
        <n x="530"/>
        <n x="800" s="1"/>
        <n x="641"/>
        <n x="642"/>
      </t>
    </mdx>
    <mdx n="0" f="v">
      <t c="6" si="614">
        <n x="610"/>
        <n x="381"/>
        <n x="776"/>
        <n x="800" s="1"/>
        <n x="641"/>
        <n x="642"/>
      </t>
    </mdx>
    <mdx n="0" f="v">
      <t c="6" si="614">
        <n x="610"/>
        <n x="779"/>
        <n x="780"/>
        <n x="800" s="1"/>
        <n x="641"/>
        <n x="642"/>
      </t>
    </mdx>
    <mdx n="0" f="v">
      <t c="6" si="614">
        <n x="610"/>
        <n x="783"/>
        <n x="784"/>
        <n x="800" s="1"/>
        <n x="641"/>
        <n x="642"/>
      </t>
    </mdx>
    <mdx n="0" f="v">
      <t c="6" si="614">
        <n x="610"/>
        <n x="431"/>
        <n x="432"/>
        <n x="800" s="1"/>
        <n x="641"/>
        <n x="642"/>
      </t>
    </mdx>
    <mdx n="0" f="v">
      <t c="6" si="614">
        <n x="610"/>
        <n x="423"/>
        <n x="424"/>
        <n x="800" s="1"/>
        <n x="641"/>
        <n x="642"/>
      </t>
    </mdx>
    <mdx n="0" f="v">
      <t c="6" si="614">
        <n x="610"/>
        <n x="297"/>
        <n x="298"/>
        <n x="800" s="1"/>
        <n x="641"/>
        <n x="642"/>
      </t>
    </mdx>
    <mdx n="0" f="v">
      <t c="6" si="614">
        <n x="610"/>
        <n x="331"/>
        <n x="352"/>
        <n x="800" s="1"/>
        <n x="641"/>
        <n x="642"/>
      </t>
    </mdx>
    <mdx n="0" f="v">
      <t c="6" si="614">
        <n x="610"/>
        <n x="795"/>
        <n x="796"/>
        <n x="800" s="1"/>
        <n x="641"/>
        <n x="642"/>
      </t>
    </mdx>
    <mdx n="0" f="v">
      <t c="6" si="614">
        <n x="610"/>
        <n x="305"/>
        <n x="306"/>
        <n x="800" s="1"/>
        <n x="641"/>
        <n x="642"/>
      </t>
    </mdx>
    <mdx n="0" f="v">
      <t c="6" si="614">
        <n x="610"/>
        <n x="373"/>
        <n x="280"/>
        <n x="800" s="1"/>
        <n x="641"/>
        <n x="642"/>
      </t>
    </mdx>
    <mdx n="0" f="v">
      <t c="6" si="614">
        <n x="610"/>
        <n x="373"/>
        <n x="374"/>
        <n x="800" s="1"/>
        <n x="641"/>
        <n x="642"/>
      </t>
    </mdx>
    <mdx n="0" f="v">
      <t c="6" si="614">
        <n x="610"/>
        <n x="801"/>
        <n x="802"/>
        <n x="800" s="1"/>
        <n x="641"/>
        <n x="642"/>
      </t>
    </mdx>
    <mdx n="0" f="v">
      <t c="6" si="614">
        <n x="610"/>
        <n x="263"/>
        <n x="264"/>
        <n x="800" s="1"/>
        <n x="641"/>
        <n x="642"/>
      </t>
    </mdx>
    <mdx n="0" f="v">
      <t c="6" si="614">
        <n x="610"/>
        <n x="337"/>
        <n x="338"/>
        <n x="800" s="1"/>
        <n x="641"/>
        <n x="642"/>
      </t>
    </mdx>
    <mdx n="0" f="v">
      <t c="6" si="614">
        <n x="610"/>
        <n x="337"/>
        <n x="338"/>
        <n x="800" s="1"/>
        <n x="641"/>
        <n x="642"/>
      </t>
    </mdx>
    <mdx n="0" f="v">
      <t c="6" si="614">
        <n x="610"/>
        <n x="369"/>
        <n x="370"/>
        <n x="800" s="1"/>
        <n x="641"/>
        <n x="642"/>
      </t>
    </mdx>
    <mdx n="0" f="v">
      <t c="6" si="614">
        <n x="610"/>
        <n x="369"/>
        <n x="370"/>
        <n x="800" s="1"/>
        <n x="641"/>
        <n x="642"/>
      </t>
    </mdx>
    <mdx n="0" f="v">
      <t c="6" si="614">
        <n x="610"/>
        <n x="369"/>
        <n x="370"/>
        <n x="800" s="1"/>
        <n x="641"/>
        <n x="642"/>
      </t>
    </mdx>
    <mdx n="0" f="v">
      <t c="6" si="614">
        <n x="610"/>
        <n x="537"/>
        <n x="538"/>
        <n x="800" s="1"/>
        <n x="612"/>
        <n x="613"/>
      </t>
    </mdx>
    <mdx n="0" f="v">
      <t c="6" si="614">
        <n x="610"/>
        <n x="589"/>
        <n x="590"/>
        <n x="800" s="1"/>
        <n x="612"/>
        <n x="613"/>
      </t>
    </mdx>
    <mdx n="0" f="v">
      <t c="6" si="614">
        <n x="610"/>
        <n x="259"/>
        <n x="260"/>
        <n x="800" s="1"/>
        <n x="612"/>
        <n x="613"/>
      </t>
    </mdx>
    <mdx n="0" f="v">
      <t c="6" si="614">
        <n x="610"/>
        <n x="577"/>
        <n x="578"/>
        <n x="800" s="1"/>
        <n x="612"/>
        <n x="613"/>
      </t>
    </mdx>
    <mdx n="0" f="v">
      <t c="6" si="614">
        <n x="610"/>
        <n x="361"/>
        <n x="362"/>
        <n x="800" s="1"/>
        <n x="612"/>
        <n x="613"/>
      </t>
    </mdx>
    <mdx n="0" f="v">
      <t c="6" si="614">
        <n x="610"/>
        <n x="349"/>
        <n x="350"/>
        <n x="800" s="1"/>
        <n x="612"/>
        <n x="613"/>
      </t>
    </mdx>
    <mdx n="0" f="v">
      <t c="6" si="614">
        <n x="610"/>
        <n x="411"/>
        <n x="412"/>
        <n x="800" s="1"/>
        <n x="612"/>
        <n x="613"/>
      </t>
    </mdx>
    <mdx n="0" f="v">
      <t c="6" si="614">
        <n x="610"/>
        <n x="771"/>
        <n x="772"/>
        <n x="800" s="1"/>
        <n x="612"/>
        <n x="613"/>
      </t>
    </mdx>
    <mdx n="0" f="v">
      <t c="6" si="614">
        <n x="610"/>
        <n x="775"/>
        <n x="776"/>
        <n x="800" s="1"/>
        <n x="612"/>
        <n x="613"/>
      </t>
    </mdx>
    <mdx n="0" f="v">
      <t c="6" si="614">
        <n x="610"/>
        <n x="779"/>
        <n x="780"/>
        <n x="800" s="1"/>
        <n x="612"/>
        <n x="613"/>
      </t>
    </mdx>
    <mdx n="0" f="v">
      <t c="6" si="614">
        <n x="610"/>
        <n x="351"/>
        <n x="352"/>
        <n x="800" s="1"/>
        <n x="612"/>
        <n x="613"/>
      </t>
    </mdx>
    <mdx n="0" f="v">
      <t c="6" si="614">
        <n x="610"/>
        <n x="795"/>
        <n x="796"/>
        <n x="800" s="1"/>
        <n x="612"/>
        <n x="613"/>
      </t>
    </mdx>
    <mdx n="0" f="v">
      <t c="6" si="614">
        <n x="610"/>
        <n x="305"/>
        <n x="306"/>
        <n x="800" s="1"/>
        <n x="612"/>
        <n x="613"/>
      </t>
    </mdx>
    <mdx n="0" f="v">
      <t c="6" si="614">
        <n x="610"/>
        <n x="803"/>
        <n x="804"/>
        <n x="800" s="1"/>
        <n x="612"/>
        <n x="613"/>
      </t>
    </mdx>
    <mdx n="0" f="v">
      <t c="6" si="614">
        <n x="610"/>
        <n x="425"/>
        <n x="426"/>
        <n x="800" s="1"/>
        <n x="612"/>
        <n x="613"/>
      </t>
    </mdx>
    <mdx n="0" f="v">
      <t c="6" si="614">
        <n x="610"/>
        <n x="281"/>
        <n x="282"/>
        <n x="800" s="1"/>
        <n x="612"/>
        <n x="613"/>
      </t>
    </mdx>
    <mdx n="0" f="v">
      <t c="6" si="614">
        <n x="610"/>
        <n x="471"/>
        <n x="472"/>
        <n x="800" s="1"/>
        <n x="612"/>
        <n x="613"/>
      </t>
    </mdx>
    <mdx n="0" f="v">
      <t c="6" si="614">
        <n x="610"/>
        <n x="233"/>
        <n x="234"/>
        <n x="800" s="1"/>
        <n x="612"/>
        <n x="613"/>
      </t>
    </mdx>
    <mdx n="0" f="v">
      <t c="6" si="614">
        <n x="610"/>
        <n x="273"/>
        <n x="274"/>
        <n x="800" s="1"/>
        <n x="612"/>
        <n x="613"/>
      </t>
    </mdx>
    <mdx n="0" f="v">
      <t c="6" si="614">
        <n x="610"/>
        <n x="247"/>
        <n x="248"/>
        <n x="800" s="1"/>
        <n x="612"/>
        <n x="613"/>
      </t>
    </mdx>
    <mdx n="0" f="v">
      <t c="6" si="614">
        <n x="610"/>
        <n x="765"/>
        <n x="766"/>
        <n x="800" s="1"/>
        <n x="612"/>
        <n x="613"/>
      </t>
    </mdx>
    <mdx n="0" f="v">
      <t c="6" si="614">
        <n x="610"/>
        <n x="315"/>
        <n x="316"/>
        <n x="800" s="1"/>
        <n x="612"/>
        <n x="613"/>
      </t>
    </mdx>
    <mdx n="0" f="v">
      <t c="6" si="614">
        <n x="610"/>
        <n x="293"/>
        <n x="294"/>
        <n x="800" s="1"/>
        <n x="612"/>
        <n x="613"/>
      </t>
    </mdx>
    <mdx n="0" f="v">
      <t c="6" si="614">
        <n x="610"/>
        <n x="357"/>
        <n x="358"/>
        <n x="800" s="1"/>
        <n x="612"/>
        <n x="613"/>
      </t>
    </mdx>
    <mdx n="0" f="v">
      <t c="6" si="614">
        <n x="610"/>
        <n x="355"/>
        <n x="356"/>
        <n x="800" s="1"/>
        <n x="612"/>
        <n x="613"/>
      </t>
    </mdx>
    <mdx n="0" f="v">
      <t c="6" si="614">
        <n x="610"/>
        <n x="791"/>
        <n x="792"/>
        <n x="800" s="1"/>
        <n x="612"/>
        <n x="613"/>
      </t>
    </mdx>
    <mdx n="0" f="v">
      <t c="6" si="614">
        <n x="610"/>
        <n x="303"/>
        <n x="304"/>
        <n x="800" s="1"/>
        <n x="612"/>
        <n x="613"/>
      </t>
    </mdx>
    <mdx n="0" f="v">
      <t c="6" si="614">
        <n x="610"/>
        <n x="421"/>
        <n x="422"/>
        <n x="800" s="1"/>
        <n x="612"/>
        <n x="613"/>
      </t>
    </mdx>
    <mdx n="0" f="v">
      <t c="6" si="614">
        <n x="610"/>
        <n x="497"/>
        <n x="498"/>
        <n x="800" s="1"/>
        <n x="612"/>
        <n x="613"/>
      </t>
    </mdx>
    <mdx n="0" f="v">
      <t c="6" si="614">
        <n x="610"/>
        <n x="519"/>
        <n x="520"/>
        <n x="800" s="1"/>
        <n x="612"/>
        <n x="613"/>
      </t>
    </mdx>
    <mdx n="0" f="v">
      <t c="6" si="614">
        <n x="610"/>
        <n x="805"/>
        <n x="806"/>
        <n x="800" s="1"/>
        <n x="612"/>
        <n x="613"/>
      </t>
    </mdx>
    <mdx n="0" f="v">
      <t c="6" si="614">
        <n x="610"/>
        <n x="711"/>
        <n x="712"/>
        <n x="800" s="1"/>
        <n x="612"/>
        <n x="613"/>
      </t>
    </mdx>
    <mdx n="0" f="v">
      <t c="6" si="614">
        <n x="610"/>
        <n x="217"/>
        <n x="218"/>
        <n x="800" s="1"/>
        <n x="612"/>
        <n x="613"/>
      </t>
    </mdx>
    <mdx n="0" f="v">
      <t c="6" si="614">
        <n x="610"/>
        <n x="721"/>
        <n x="722"/>
        <n x="800" s="1"/>
        <n x="612"/>
        <n x="613"/>
      </t>
    </mdx>
    <mdx n="0" f="v">
      <t c="6" si="614">
        <n x="610"/>
        <n x="379"/>
        <n x="380"/>
        <n x="800" s="1"/>
        <n x="612"/>
        <n x="613"/>
      </t>
    </mdx>
    <mdx n="0" f="v">
      <t c="6" si="614">
        <n x="610"/>
        <n x="459"/>
        <n x="460"/>
        <n x="800" s="1"/>
        <n x="612"/>
        <n x="613"/>
      </t>
    </mdx>
    <mdx n="0" f="v">
      <t c="6" si="614">
        <n x="610"/>
        <n x="601"/>
        <n x="602"/>
        <n x="800" s="1"/>
        <n x="612"/>
        <n x="613"/>
      </t>
    </mdx>
    <mdx n="0" f="v">
      <t c="6" si="614">
        <n x="610"/>
        <n x="733"/>
        <n x="734"/>
        <n x="800" s="1"/>
        <n x="612"/>
        <n x="613"/>
      </t>
    </mdx>
    <mdx n="0" f="v">
      <t c="6" si="614">
        <n x="610"/>
        <n x="283"/>
        <n x="284"/>
        <n x="800" s="1"/>
        <n x="612"/>
        <n x="613"/>
      </t>
    </mdx>
    <mdx n="0" f="v">
      <t c="6" si="614">
        <n x="610"/>
        <n x="319"/>
        <n x="320"/>
        <n x="800" s="1"/>
        <n x="612"/>
        <n x="613"/>
      </t>
    </mdx>
    <mdx n="0" f="v">
      <t c="6" si="614">
        <n x="610"/>
        <n x="741"/>
        <n x="742"/>
        <n x="800" s="1"/>
        <n x="612"/>
        <n x="613"/>
      </t>
    </mdx>
    <mdx n="0" f="v">
      <t c="6" si="614">
        <n x="610"/>
        <n x="393"/>
        <n x="394"/>
        <n x="800" s="1"/>
        <n x="612"/>
        <n x="613"/>
      </t>
    </mdx>
    <mdx n="0" f="v">
      <t c="6" si="614">
        <n x="610"/>
        <n x="605"/>
        <n x="606"/>
        <n x="800" s="1"/>
        <n x="612"/>
        <n x="613"/>
      </t>
    </mdx>
    <mdx n="0" f="v">
      <t c="6" si="614">
        <n x="610"/>
        <n x="295"/>
        <n x="296"/>
        <n x="800" s="1"/>
        <n x="612"/>
        <n x="613"/>
      </t>
    </mdx>
    <mdx n="0" f="v">
      <t c="6" si="614">
        <n x="610"/>
        <n x="597"/>
        <n x="598"/>
        <n x="800" s="1"/>
        <n x="612"/>
        <n x="613"/>
      </t>
    </mdx>
    <mdx n="0" f="v">
      <t c="6" si="614">
        <n x="610"/>
        <n x="727"/>
        <n x="728"/>
        <n x="800" s="1"/>
        <n x="612"/>
        <n x="613"/>
      </t>
    </mdx>
    <mdx n="0" f="v">
      <t c="6" si="614">
        <n x="610"/>
        <n x="265"/>
        <n x="266"/>
        <n x="800" s="1"/>
        <n x="612"/>
        <n x="613"/>
      </t>
    </mdx>
    <mdx n="0" f="v">
      <t c="6" si="614">
        <n x="610"/>
        <n x="243"/>
        <n x="244"/>
        <n x="800" s="1"/>
        <n x="612"/>
        <n x="613"/>
      </t>
    </mdx>
    <mdx n="0" f="v">
      <t c="6" si="614">
        <n x="610"/>
        <n x="561"/>
        <n x="562"/>
        <n x="800" s="1"/>
        <n x="612"/>
        <n x="613"/>
      </t>
    </mdx>
    <mdx n="0" f="v">
      <t c="6" si="614">
        <n x="610"/>
        <n x="441"/>
        <n x="442"/>
        <n x="800" s="1"/>
        <n x="612"/>
        <n x="613"/>
      </t>
    </mdx>
    <mdx n="0" f="v">
      <t c="6" si="614">
        <n x="610"/>
        <n x="419"/>
        <n x="340"/>
        <n x="800" s="1"/>
        <n x="612"/>
        <n x="613"/>
      </t>
    </mdx>
    <mdx n="0" f="v">
      <t c="6" si="614">
        <n x="610"/>
        <n x="289"/>
        <n x="290"/>
        <n x="800" s="1"/>
        <n x="612"/>
        <n x="613"/>
      </t>
    </mdx>
    <mdx n="0" f="v">
      <t c="6" si="614">
        <n x="610"/>
        <n x="467"/>
        <n x="468"/>
        <n x="800" s="1"/>
        <n x="612"/>
        <n x="613"/>
      </t>
    </mdx>
    <mdx n="0" f="v">
      <t c="6" si="614">
        <n x="610"/>
        <n x="529"/>
        <n x="530"/>
        <n x="800" s="1"/>
        <n x="612"/>
        <n x="613"/>
      </t>
    </mdx>
    <mdx n="0" f="v">
      <t c="6" si="614">
        <n x="610"/>
        <n x="381"/>
        <n x="382"/>
        <n x="800" s="1"/>
        <n x="612"/>
        <n x="613"/>
      </t>
    </mdx>
    <mdx n="0" f="v">
      <t c="6" si="614">
        <n x="610"/>
        <n x="431"/>
        <n x="432"/>
        <n x="800" s="1"/>
        <n x="612"/>
        <n x="613"/>
      </t>
    </mdx>
    <mdx n="0" f="v">
      <t c="6" si="614">
        <n x="610"/>
        <n x="423"/>
        <n x="424"/>
        <n x="800" s="1"/>
        <n x="612"/>
        <n x="613"/>
      </t>
    </mdx>
    <mdx n="0" f="v">
      <t c="6" si="614">
        <n x="610"/>
        <n x="297"/>
        <n x="298"/>
        <n x="800" s="1"/>
        <n x="612"/>
        <n x="613"/>
      </t>
    </mdx>
    <mdx n="0" f="v">
      <t c="6" si="614">
        <n x="610"/>
        <n x="331"/>
        <n x="332"/>
        <n x="800" s="1"/>
        <n x="612"/>
        <n x="613"/>
      </t>
    </mdx>
    <mdx n="0" f="v">
      <t c="6" si="614">
        <n x="610"/>
        <n x="801"/>
        <n x="802"/>
        <n x="800" s="1"/>
        <n x="612"/>
        <n x="613"/>
      </t>
    </mdx>
    <mdx n="0" f="v">
      <t c="6" si="614">
        <n x="610"/>
        <n x="263"/>
        <n x="264"/>
        <n x="800" s="1"/>
        <n x="612"/>
        <n x="613"/>
      </t>
    </mdx>
    <mdx n="0" f="v">
      <t c="6" si="614">
        <n x="610"/>
        <n x="409"/>
        <n x="410"/>
        <n x="800" s="1"/>
        <n x="612"/>
        <n x="613"/>
      </t>
    </mdx>
    <mdx n="0" f="v">
      <t c="6" si="614">
        <n x="610"/>
        <n x="469"/>
        <n x="470"/>
        <n x="800" s="1"/>
        <n x="612"/>
        <n x="613"/>
      </t>
    </mdx>
    <mdx n="0" f="v">
      <t c="6" si="614">
        <n x="610"/>
        <n x="539"/>
        <n x="540"/>
        <n x="800" s="1"/>
        <n x="612"/>
        <n x="613"/>
      </t>
    </mdx>
    <mdx n="0" f="v">
      <t c="6" si="614">
        <n x="610"/>
        <n x="767"/>
        <n x="768"/>
        <n x="800" s="1"/>
        <n x="612"/>
        <n x="613"/>
      </t>
    </mdx>
    <mdx n="0" f="v">
      <t c="6" si="614">
        <n x="610"/>
        <n x="213"/>
        <n x="214"/>
        <n x="800" s="1"/>
        <n x="612"/>
        <n x="613"/>
      </t>
    </mdx>
    <mdx n="0" f="v">
      <t c="6" si="614">
        <n x="610"/>
        <n x="563"/>
        <n x="564"/>
        <n x="800" s="1"/>
        <n x="612"/>
        <n x="613"/>
      </t>
    </mdx>
    <mdx n="0" f="v">
      <t c="6" si="614">
        <n x="610"/>
        <n x="587"/>
        <n x="588"/>
        <n x="800" s="1"/>
        <n x="612"/>
        <n x="613"/>
      </t>
    </mdx>
    <mdx n="0" f="v">
      <t c="6" si="614">
        <n x="610"/>
        <n x="559"/>
        <n x="560"/>
        <n x="800" s="1"/>
        <n x="612"/>
        <n x="613"/>
      </t>
    </mdx>
    <mdx n="0" f="v">
      <t c="6" si="614">
        <n x="610"/>
        <n x="317"/>
        <n x="318"/>
        <n x="800" s="1"/>
        <n x="612"/>
        <n x="613"/>
      </t>
    </mdx>
    <mdx n="0" f="v">
      <t c="6" si="614">
        <n x="610"/>
        <n x="275"/>
        <n x="276"/>
        <n x="800" s="1"/>
        <n x="612"/>
        <n x="613"/>
      </t>
    </mdx>
    <mdx n="0" f="v">
      <t c="6" si="614">
        <n x="610"/>
        <n x="221"/>
        <n x="222"/>
        <n x="800" s="1"/>
        <n x="612"/>
        <n x="613"/>
      </t>
    </mdx>
    <mdx n="0" f="v">
      <t c="6" si="614">
        <n x="610"/>
        <n x="725"/>
        <n x="726"/>
        <n x="800" s="1"/>
        <n x="612"/>
        <n x="613"/>
      </t>
    </mdx>
    <mdx n="0" f="v">
      <t c="6" si="614">
        <n x="610"/>
        <n x="525"/>
        <n x="526"/>
        <n x="800" s="1"/>
        <n x="612"/>
        <n x="613"/>
      </t>
    </mdx>
    <mdx n="0" f="v">
      <t c="6" si="614">
        <n x="610"/>
        <n x="591"/>
        <n x="592"/>
        <n x="800" s="1"/>
        <n x="612"/>
        <n x="613"/>
      </t>
    </mdx>
    <mdx n="0" f="v">
      <t c="6" si="614">
        <n x="610"/>
        <n x="455"/>
        <n x="456"/>
        <n x="800" s="1"/>
        <n x="612"/>
        <n x="613"/>
      </t>
    </mdx>
    <mdx n="0" f="v">
      <t c="6" si="614">
        <n x="610"/>
        <n x="513"/>
        <n x="514"/>
        <n x="800" s="1"/>
        <n x="612"/>
        <n x="613"/>
      </t>
    </mdx>
    <mdx n="0" f="v">
      <t c="6" si="614">
        <n x="610"/>
        <n x="345"/>
        <n x="346"/>
        <n x="800" s="1"/>
        <n x="612"/>
        <n x="613"/>
      </t>
    </mdx>
    <mdx n="0" f="v">
      <t c="6" si="614">
        <n x="610"/>
        <n x="491"/>
        <n x="492"/>
        <n x="800" s="1"/>
        <n x="612"/>
        <n x="613"/>
      </t>
    </mdx>
    <mdx n="0" f="v">
      <t c="6" si="614">
        <n x="610"/>
        <n x="511"/>
        <n x="360"/>
        <n x="800" s="1"/>
        <n x="612"/>
        <n x="613"/>
      </t>
    </mdx>
    <mdx n="0" f="v">
      <t c="6" si="614">
        <n x="610"/>
        <n x="515"/>
        <n x="516"/>
        <n x="800" s="1"/>
        <n x="612"/>
        <n x="613"/>
      </t>
    </mdx>
    <mdx n="0" f="v">
      <t c="6" si="614">
        <n x="610"/>
        <n x="787"/>
        <n x="788"/>
        <n x="800" s="1"/>
        <n x="612"/>
        <n x="613"/>
      </t>
    </mdx>
    <mdx n="0" f="v">
      <t c="6" si="614">
        <n x="610"/>
        <n x="227"/>
        <n x="228"/>
        <n x="800" s="1"/>
        <n x="612"/>
        <n x="613"/>
      </t>
    </mdx>
    <mdx n="0" f="v">
      <t c="6" si="614">
        <n x="610"/>
        <n x="291"/>
        <n x="292"/>
        <n x="800" s="1"/>
        <n x="612"/>
        <n x="613"/>
      </t>
    </mdx>
    <mdx n="0" f="v">
      <t c="6" si="614">
        <n x="610"/>
        <n x="251"/>
        <n x="252"/>
        <n x="800" s="1"/>
        <n x="612"/>
        <n x="613"/>
      </t>
    </mdx>
    <mdx n="0" f="v">
      <t c="6" si="614">
        <n x="610"/>
        <n x="719"/>
        <n x="720"/>
        <n x="800" s="1"/>
        <n x="612"/>
        <n x="613"/>
      </t>
    </mdx>
    <mdx n="0" f="v">
      <t c="6" si="614">
        <n x="610"/>
        <n x="461"/>
        <n x="462"/>
        <n x="800" s="1"/>
        <n x="612"/>
        <n x="613"/>
      </t>
    </mdx>
    <mdx n="0" f="v">
      <t c="6" si="614">
        <n x="610"/>
        <n x="461"/>
        <n x="462"/>
        <n x="800" s="1"/>
        <n x="612"/>
        <n x="613"/>
      </t>
    </mdx>
    <mdx n="0" f="v">
      <t c="6" si="614">
        <n x="610"/>
        <n x="367"/>
        <n x="368"/>
        <n x="800" s="1"/>
        <n x="612"/>
        <n x="613"/>
      </t>
    </mdx>
    <mdx n="0" f="v">
      <t c="6" si="614">
        <n x="610"/>
        <n x="413"/>
        <n x="604"/>
        <n x="800" s="1"/>
        <n x="612"/>
        <n x="613"/>
      </t>
    </mdx>
    <mdx n="0" f="v">
      <t c="6" si="614">
        <n x="610"/>
        <n x="413"/>
        <n x="414"/>
        <n x="800" s="1"/>
        <n x="612"/>
        <n x="613"/>
      </t>
    </mdx>
    <mdx n="0" f="v">
      <t c="6" si="614">
        <n x="610"/>
        <n x="271"/>
        <n x="272"/>
        <n x="800" s="1"/>
        <n x="612"/>
        <n x="613"/>
      </t>
    </mdx>
    <mdx n="0" f="v">
      <t c="6" si="614">
        <n x="610"/>
        <n x="387"/>
        <n x="388"/>
        <n x="800" s="1"/>
        <n x="612"/>
        <n x="613"/>
      </t>
    </mdx>
    <mdx n="0" f="v">
      <t c="6" si="614">
        <n x="610"/>
        <n x="737"/>
        <n x="738"/>
        <n x="800" s="1"/>
        <n x="612"/>
        <n x="613"/>
      </t>
    </mdx>
    <mdx n="0" f="v">
      <t c="6" si="614">
        <n x="610"/>
        <n x="433"/>
        <n x="434"/>
        <n x="800" s="1"/>
        <n x="612"/>
        <n x="613"/>
      </t>
    </mdx>
    <mdx n="0" f="v">
      <t c="6" si="614">
        <n x="610"/>
        <n x="241"/>
        <n x="242"/>
        <n x="800" s="1"/>
        <n x="612"/>
        <n x="613"/>
      </t>
    </mdx>
    <mdx n="0" f="v">
      <t c="6" si="614">
        <n x="610"/>
        <n x="241"/>
        <n x="242"/>
        <n x="800" s="1"/>
        <n x="612"/>
        <n x="613"/>
      </t>
    </mdx>
    <mdx n="0" f="v">
      <t c="6" si="614">
        <n x="610"/>
        <n x="321"/>
        <n x="322"/>
        <n x="800" s="1"/>
        <n x="612"/>
        <n x="613"/>
      </t>
    </mdx>
    <mdx n="0" f="v">
      <t c="6" si="614">
        <n x="610"/>
        <n x="321"/>
        <n x="322"/>
        <n x="800" s="1"/>
        <n x="612"/>
        <n x="613"/>
      </t>
    </mdx>
    <mdx n="0" f="v">
      <t c="6" si="614">
        <n x="610"/>
        <n x="761"/>
        <n x="762"/>
        <n x="800" s="1"/>
        <n x="612"/>
        <n x="613"/>
      </t>
    </mdx>
    <mdx n="0" f="v">
      <t c="6" si="614">
        <n x="610"/>
        <n x="763"/>
        <n x="256"/>
        <n x="800" s="1"/>
        <n x="612"/>
        <n x="613"/>
      </t>
    </mdx>
    <mdx n="0" f="v">
      <t c="6" si="614">
        <n x="610"/>
        <n x="427"/>
        <n x="428"/>
        <n x="800" s="1"/>
        <n x="612"/>
        <n x="613"/>
      </t>
    </mdx>
    <mdx n="0" f="v">
      <t c="6" si="614">
        <n x="610"/>
        <n x="445"/>
        <n x="446"/>
        <n x="800" s="1"/>
        <n x="612"/>
        <n x="613"/>
      </t>
    </mdx>
    <mdx n="0" f="v">
      <t c="6" si="614">
        <n x="610"/>
        <n x="583"/>
        <n x="584"/>
        <n x="800" s="1"/>
        <n x="612"/>
        <n x="613"/>
      </t>
    </mdx>
    <mdx n="0" f="v">
      <t c="6" si="614">
        <n x="610"/>
        <n x="311"/>
        <n x="576"/>
        <n x="800" s="1"/>
        <n x="612"/>
        <n x="613"/>
      </t>
    </mdx>
    <mdx n="0" f="v">
      <t c="6" si="614">
        <n x="610"/>
        <n x="793"/>
        <n x="794"/>
        <n x="800" s="1"/>
        <n x="612"/>
        <n x="613"/>
      </t>
    </mdx>
    <mdx n="0" f="v">
      <t c="6" si="614">
        <n x="610"/>
        <n x="267"/>
        <n x="268"/>
        <n x="800" s="1"/>
        <n x="612"/>
        <n x="613"/>
      </t>
    </mdx>
    <mdx n="0" f="v">
      <t c="6" si="614">
        <n x="610"/>
        <n x="475"/>
        <n x="476"/>
        <n x="800" s="1"/>
        <n x="612"/>
        <n x="613"/>
      </t>
    </mdx>
    <mdx n="0" f="v">
      <t c="6" si="614">
        <n x="610"/>
        <n x="709"/>
        <n x="710"/>
        <n x="800" s="1"/>
        <n x="643"/>
        <n x="644"/>
      </t>
    </mdx>
    <mdx n="0" f="v">
      <t c="6" si="614">
        <n x="610"/>
        <n x="709"/>
        <n x="710"/>
        <n x="800" s="1"/>
        <n x="645"/>
        <n x="646"/>
      </t>
    </mdx>
    <mdx n="0" f="v">
      <t c="6" si="614">
        <n x="610"/>
        <n x="711"/>
        <n x="712"/>
        <n x="800" s="1"/>
        <n x="643"/>
        <n x="644"/>
      </t>
    </mdx>
    <mdx n="0" f="v">
      <t c="6" si="614">
        <n x="610"/>
        <n x="715"/>
        <n x="716"/>
        <n x="800" s="1"/>
        <n x="643"/>
        <n x="644"/>
      </t>
    </mdx>
    <mdx n="0" f="v">
      <t c="6" si="614">
        <n x="610"/>
        <n x="717"/>
        <n x="718"/>
        <n x="800" s="1"/>
        <n x="643"/>
        <n x="644"/>
      </t>
    </mdx>
    <mdx n="0" f="v">
      <t c="6" si="614">
        <n x="610"/>
        <n x="217"/>
        <n x="218"/>
        <n x="800" s="1"/>
        <n x="643"/>
        <n x="644"/>
      </t>
    </mdx>
    <mdx n="0" f="v">
      <t c="6" si="614">
        <n x="610"/>
        <n x="261"/>
        <n x="262"/>
        <n x="800" s="1"/>
        <n x="643"/>
        <n x="644"/>
      </t>
    </mdx>
    <mdx n="0" f="v">
      <t c="6" si="614">
        <n x="610"/>
        <n x="719"/>
        <n x="720"/>
        <n x="800" s="1"/>
        <n x="643"/>
        <n x="644"/>
      </t>
    </mdx>
    <mdx n="0" f="v">
      <t c="6" si="614">
        <n x="610"/>
        <n x="721"/>
        <n x="722"/>
        <n x="800" s="1"/>
        <n x="643"/>
        <n x="644"/>
      </t>
    </mdx>
    <mdx n="0" f="v">
      <t c="6" si="614">
        <n x="610"/>
        <n x="463"/>
        <n x="464"/>
        <n x="800" s="1"/>
        <n x="643"/>
        <n x="644"/>
      </t>
    </mdx>
    <mdx n="0" f="v">
      <t c="6" si="614">
        <n x="610"/>
        <n x="391"/>
        <n x="392"/>
        <n x="800" s="1"/>
        <n x="643"/>
        <n x="644"/>
      </t>
    </mdx>
    <mdx n="0" f="v">
      <t c="6" si="614">
        <n x="610"/>
        <n x="379"/>
        <n x="380"/>
        <n x="800" s="1"/>
        <n x="643"/>
        <n x="644"/>
      </t>
    </mdx>
    <mdx n="0" f="v">
      <t c="6" si="614">
        <n x="610"/>
        <n x="365"/>
        <n x="366"/>
        <n x="800" s="1"/>
        <n x="643"/>
        <n x="644"/>
      </t>
    </mdx>
    <mdx n="0" f="v">
      <t c="6" si="614">
        <n x="610"/>
        <n x="461"/>
        <n x="462"/>
        <n x="800" s="1"/>
        <n x="643"/>
        <n x="644"/>
      </t>
    </mdx>
    <mdx n="0" f="v">
      <t c="6" si="614">
        <n x="610"/>
        <n x="459"/>
        <n x="460"/>
        <n x="800" s="1"/>
        <n x="643"/>
        <n x="644"/>
      </t>
    </mdx>
    <mdx n="0" f="v">
      <t c="6" si="614">
        <n x="610"/>
        <n x="597"/>
        <n x="598"/>
        <n x="800" s="1"/>
        <n x="643"/>
        <n x="644"/>
      </t>
    </mdx>
    <mdx n="0" f="v">
      <t c="6" si="614">
        <n x="610"/>
        <n x="457"/>
        <n x="458"/>
        <n x="800" s="1"/>
        <n x="643"/>
        <n x="644"/>
      </t>
    </mdx>
    <mdx n="0" f="v">
      <t c="6" si="614">
        <n x="610"/>
        <n x="601"/>
        <n x="602"/>
        <n x="800" s="1"/>
        <n x="643"/>
        <n x="644"/>
      </t>
    </mdx>
    <mdx n="0" f="v">
      <t c="6" si="614">
        <n x="610"/>
        <n x="727"/>
        <n x="728"/>
        <n x="800" s="1"/>
        <n x="643"/>
        <n x="644"/>
      </t>
    </mdx>
    <mdx n="0" f="v">
      <t c="6" si="614">
        <n x="610"/>
        <n x="367"/>
        <n x="368"/>
        <n x="800" s="1"/>
        <n x="643"/>
        <n x="644"/>
      </t>
    </mdx>
    <mdx n="0" f="v">
      <t c="6" si="614">
        <n x="610"/>
        <n x="237"/>
        <n x="238"/>
        <n x="800" s="1"/>
        <n x="643"/>
        <n x="644"/>
      </t>
    </mdx>
    <mdx n="0" f="v">
      <t c="6" si="614">
        <n x="610"/>
        <n x="731"/>
        <n x="732"/>
        <n x="800" s="1"/>
        <n x="643"/>
        <n x="644"/>
      </t>
    </mdx>
    <mdx n="0" f="v">
      <t c="6" si="614">
        <n x="610"/>
        <n x="603"/>
        <n x="604"/>
        <n x="800" s="1"/>
        <n x="643"/>
        <n x="644"/>
      </t>
    </mdx>
    <mdx n="0" f="v">
      <t c="6" si="614">
        <n x="610"/>
        <n x="453"/>
        <n x="454"/>
        <n x="800" s="1"/>
        <n x="643"/>
        <n x="644"/>
      </t>
    </mdx>
    <mdx n="0" f="v">
      <t c="6" si="614">
        <n x="610"/>
        <n x="265"/>
        <n x="266"/>
        <n x="800" s="1"/>
        <n x="643"/>
        <n x="644"/>
      </t>
    </mdx>
    <mdx n="0" f="v">
      <t c="6" si="614">
        <n x="610"/>
        <n x="413"/>
        <n x="414"/>
        <n x="800" s="1"/>
        <n x="643"/>
        <n x="644"/>
      </t>
    </mdx>
    <mdx n="0" f="v">
      <t c="6" si="614">
        <n x="610"/>
        <n x="733"/>
        <n x="734"/>
        <n x="800" s="1"/>
        <n x="643"/>
        <n x="644"/>
      </t>
    </mdx>
    <mdx n="0" f="v">
      <t c="6" si="614">
        <n x="610"/>
        <n x="243"/>
        <n x="244"/>
        <n x="800" s="1"/>
        <n x="643"/>
        <n x="644"/>
      </t>
    </mdx>
    <mdx n="0" f="v">
      <t c="6" si="614">
        <n x="610"/>
        <n x="271"/>
        <n x="272"/>
        <n x="800" s="1"/>
        <n x="643"/>
        <n x="644"/>
      </t>
    </mdx>
    <mdx n="0" f="v">
      <t c="6" si="614">
        <n x="610"/>
        <n x="283"/>
        <n x="284"/>
        <n x="800" s="1"/>
        <n x="643"/>
        <n x="644"/>
      </t>
    </mdx>
    <mdx n="0" f="v">
      <t c="6" si="614">
        <n x="610"/>
        <n x="443"/>
        <n x="444"/>
        <n x="800" s="1"/>
        <n x="643"/>
        <n x="644"/>
      </t>
    </mdx>
    <mdx n="0" f="v">
      <t c="6" si="614">
        <n x="610"/>
        <n x="387"/>
        <n x="388"/>
        <n x="800" s="1"/>
        <n x="643"/>
        <n x="644"/>
      </t>
    </mdx>
    <mdx n="0" f="v">
      <t c="6" si="614">
        <n x="610"/>
        <n x="319"/>
        <n x="320"/>
        <n x="800" s="1"/>
        <n x="643"/>
        <n x="644"/>
      </t>
    </mdx>
    <mdx n="0" f="v">
      <t c="6" si="614">
        <n x="610"/>
        <n x="209"/>
        <n x="210"/>
        <n x="800" s="1"/>
        <n x="643"/>
        <n x="644"/>
      </t>
    </mdx>
    <mdx n="0" f="v">
      <t c="6" si="614">
        <n x="610"/>
        <n x="737"/>
        <n x="738"/>
        <n x="800" s="1"/>
        <n x="643"/>
        <n x="644"/>
      </t>
    </mdx>
    <mdx n="0" f="v">
      <t c="6" si="614">
        <n x="610"/>
        <n x="741"/>
        <n x="742"/>
        <n x="800" s="1"/>
        <n x="643"/>
        <n x="644"/>
      </t>
    </mdx>
    <mdx n="0" f="v">
      <t c="6" si="614">
        <n x="610"/>
        <n x="499"/>
        <n x="500"/>
        <n x="800" s="1"/>
        <n x="643"/>
        <n x="644"/>
      </t>
    </mdx>
    <mdx n="0" f="v">
      <t c="6" si="614">
        <n x="610"/>
        <n x="429"/>
        <n x="430"/>
        <n x="800" s="1"/>
        <n x="643"/>
        <n x="644"/>
      </t>
    </mdx>
    <mdx n="0" f="v">
      <t c="6" si="614">
        <n x="610"/>
        <n x="393"/>
        <n x="394"/>
        <n x="800" s="1"/>
        <n x="643"/>
        <n x="644"/>
      </t>
    </mdx>
    <mdx n="0" f="v">
      <t c="6" si="614">
        <n x="610"/>
        <n x="561"/>
        <n x="562"/>
        <n x="800" s="1"/>
        <n x="643"/>
        <n x="644"/>
      </t>
    </mdx>
    <mdx n="0" f="v">
      <t c="6" si="614">
        <n x="610"/>
        <n x="433"/>
        <n x="434"/>
        <n x="800" s="1"/>
        <n x="643"/>
        <n x="644"/>
      </t>
    </mdx>
    <mdx n="0" f="v">
      <t c="6" si="614">
        <n x="610"/>
        <n x="605"/>
        <n x="606"/>
        <n x="800" s="1"/>
        <n x="643"/>
        <n x="644"/>
      </t>
    </mdx>
    <mdx n="0" f="v">
      <t c="6" si="614">
        <n x="610"/>
        <n x="295"/>
        <n x="296"/>
        <n x="800" s="1"/>
        <n x="643"/>
        <n x="644"/>
      </t>
    </mdx>
    <mdx n="0" f="v">
      <t c="6" si="614">
        <n x="610"/>
        <n x="441"/>
        <n x="442"/>
        <n x="800" s="1"/>
        <n x="643"/>
        <n x="644"/>
      </t>
    </mdx>
    <mdx n="0" f="v">
      <t c="6" si="614">
        <n x="610"/>
        <n x="569"/>
        <n x="570"/>
        <n x="800" s="1"/>
        <n x="643"/>
        <n x="644"/>
      </t>
    </mdx>
    <mdx n="0" f="v">
      <t c="6" si="614">
        <n x="610"/>
        <n x="299"/>
        <n x="300"/>
        <n x="800" s="1"/>
        <n x="643"/>
        <n x="644"/>
      </t>
    </mdx>
    <mdx n="0" f="v">
      <t c="6" si="614">
        <n x="610"/>
        <n x="419"/>
        <n x="420"/>
        <n x="800" s="1"/>
        <n x="643"/>
        <n x="644"/>
      </t>
    </mdx>
    <mdx n="0" f="v">
      <t c="6" si="614">
        <n x="610"/>
        <n x="241"/>
        <n x="242"/>
        <n x="800" s="1"/>
        <n x="643"/>
        <n x="644"/>
      </t>
    </mdx>
    <mdx n="0" f="v">
      <t c="6" si="614">
        <n x="610"/>
        <n x="229"/>
        <n x="230"/>
        <n x="800" s="1"/>
        <n x="643"/>
        <n x="644"/>
      </t>
    </mdx>
    <mdx n="0" f="v">
      <t c="6" si="614">
        <n x="610"/>
        <n x="753"/>
        <n x="754"/>
        <n x="800" s="1"/>
        <n x="643"/>
        <n x="644"/>
      </t>
    </mdx>
    <mdx n="0" f="v">
      <t c="6" si="614">
        <n x="610"/>
        <n x="447"/>
        <n x="448"/>
        <n x="800" s="1"/>
        <n x="643"/>
        <n x="644"/>
      </t>
    </mdx>
    <mdx n="0" f="v">
      <t c="6" si="614">
        <n x="610"/>
        <n x="339"/>
        <n x="340"/>
        <n x="800" s="1"/>
        <n x="643"/>
        <n x="644"/>
      </t>
    </mdx>
    <mdx n="0" f="v">
      <t c="6" si="614">
        <n x="610"/>
        <n x="321"/>
        <n x="322"/>
        <n x="800" s="1"/>
        <n x="643"/>
        <n x="644"/>
      </t>
    </mdx>
    <mdx n="0" f="v">
      <t c="6" si="614">
        <n x="610"/>
        <n x="399"/>
        <n x="400"/>
        <n x="800" s="1"/>
        <n x="643"/>
        <n x="644"/>
      </t>
    </mdx>
    <mdx n="0" f="v">
      <t c="6" si="614">
        <n x="610"/>
        <n x="289"/>
        <n x="290"/>
        <n x="800" s="1"/>
        <n x="643"/>
        <n x="644"/>
      </t>
    </mdx>
    <mdx n="0" f="v">
      <t c="6" si="614">
        <n x="610"/>
        <n x="207"/>
        <n x="208"/>
        <n x="800" s="1"/>
        <n x="643"/>
        <n x="644"/>
      </t>
    </mdx>
    <mdx n="0" f="v">
      <t c="6" si="614">
        <n x="610"/>
        <n x="551"/>
        <n x="552"/>
        <n x="800" s="1"/>
        <n x="643"/>
        <n x="644"/>
      </t>
    </mdx>
    <mdx n="0" f="v">
      <t c="6" si="614">
        <n x="610"/>
        <n x="757"/>
        <n x="758"/>
        <n x="800" s="1"/>
        <n x="643"/>
        <n x="644"/>
      </t>
    </mdx>
    <mdx n="0" f="v">
      <t c="6" si="614">
        <n x="610"/>
        <n x="761"/>
        <n x="762"/>
        <n x="800" s="1"/>
        <n x="643"/>
        <n x="644"/>
      </t>
    </mdx>
    <mdx n="0" f="v">
      <t c="6" si="614">
        <n x="610"/>
        <n x="409"/>
        <n x="410"/>
        <n x="800" s="1"/>
        <n x="643"/>
        <n x="644"/>
      </t>
    </mdx>
    <mdx n="0" f="v">
      <t c="6" si="614">
        <n x="610"/>
        <n x="245"/>
        <n x="246"/>
        <n x="800" s="1"/>
        <n x="643"/>
        <n x="644"/>
      </t>
    </mdx>
    <mdx n="0" f="v">
      <t c="6" si="614">
        <n x="610"/>
        <n x="255"/>
        <n x="256"/>
        <n x="800" s="1"/>
        <n x="643"/>
        <n x="644"/>
      </t>
    </mdx>
    <mdx n="0" f="v">
      <t c="6" si="614">
        <n x="610"/>
        <n x="469"/>
        <n x="470"/>
        <n x="800" s="1"/>
        <n x="643"/>
        <n x="644"/>
      </t>
    </mdx>
    <mdx n="0" f="v">
      <t c="6" si="614">
        <n x="610"/>
        <n x="467"/>
        <n x="468"/>
        <n x="800" s="1"/>
        <n x="643"/>
        <n x="644"/>
      </t>
    </mdx>
    <mdx n="0" f="v">
      <t c="6" si="614">
        <n x="610"/>
        <n x="763"/>
        <n x="764"/>
        <n x="800" s="1"/>
        <n x="643"/>
        <n x="644"/>
      </t>
    </mdx>
    <mdx n="0" f="v">
      <t c="6" si="614">
        <n x="610"/>
        <n x="539"/>
        <n x="540"/>
        <n x="800" s="1"/>
        <n x="643"/>
        <n x="644"/>
      </t>
    </mdx>
    <mdx n="0" f="v">
      <t c="6" si="614">
        <n x="610"/>
        <n x="509"/>
        <n x="510"/>
        <n x="800" s="1"/>
        <n x="643"/>
        <n x="644"/>
      </t>
    </mdx>
    <mdx n="0" f="v">
      <t c="6" si="614">
        <n x="610"/>
        <n x="403"/>
        <n x="404"/>
        <n x="800" s="1"/>
        <n x="643"/>
        <n x="644"/>
      </t>
    </mdx>
    <mdx n="0" f="v">
      <t c="6" si="614">
        <n x="610"/>
        <n x="767"/>
        <n x="768"/>
        <n x="800" s="1"/>
        <n x="643"/>
        <n x="644"/>
      </t>
    </mdx>
    <mdx n="0" f="v">
      <t c="6" si="614">
        <n x="610"/>
        <n x="769"/>
        <n x="770"/>
        <n x="800" s="1"/>
        <n x="643"/>
        <n x="644"/>
      </t>
    </mdx>
    <mdx n="0" f="v">
      <t c="6" si="614">
        <n x="610"/>
        <n x="427"/>
        <n x="428"/>
        <n x="800" s="1"/>
        <n x="643"/>
        <n x="644"/>
      </t>
    </mdx>
    <mdx n="0" f="v">
      <t c="6" si="614">
        <n x="610"/>
        <n x="485"/>
        <n x="486"/>
        <n x="800" s="1"/>
        <n x="643"/>
        <n x="644"/>
      </t>
    </mdx>
    <mdx n="0" f="v">
      <t c="6" si="614">
        <n x="610"/>
        <n x="529"/>
        <n x="530"/>
        <n x="800" s="1"/>
        <n x="643"/>
        <n x="644"/>
      </t>
    </mdx>
    <mdx n="0" f="v">
      <t c="6" si="614">
        <n x="610"/>
        <n x="773"/>
        <n x="774"/>
        <n x="800" s="1"/>
        <n x="643"/>
        <n x="644"/>
      </t>
    </mdx>
    <mdx n="0" f="v">
      <t c="6" si="614">
        <n x="610"/>
        <n x="777"/>
        <n x="778"/>
        <n x="800" s="1"/>
        <n x="643"/>
        <n x="644"/>
      </t>
    </mdx>
    <mdx n="0" f="v">
      <t c="6" si="614">
        <n x="610"/>
        <n x="381"/>
        <n x="382"/>
        <n x="800" s="1"/>
        <n x="643"/>
        <n x="644"/>
      </t>
    </mdx>
    <mdx n="0" f="v">
      <t c="6" si="614">
        <n x="610"/>
        <n x="445"/>
        <n x="446"/>
        <n x="800" s="1"/>
        <n x="643"/>
        <n x="644"/>
      </t>
    </mdx>
    <mdx n="0" f="v">
      <t c="6" si="614">
        <n x="610"/>
        <n x="269"/>
        <n x="270"/>
        <n x="800" s="1"/>
        <n x="643"/>
        <n x="644"/>
      </t>
    </mdx>
    <mdx n="0" f="v">
      <t c="6" si="614">
        <n x="610"/>
        <n x="527"/>
        <n x="528"/>
        <n x="800" s="1"/>
        <n x="643"/>
        <n x="644"/>
      </t>
    </mdx>
    <mdx n="0" f="v">
      <t c="6" si="614">
        <n x="610"/>
        <n x="375"/>
        <n x="376"/>
        <n x="800" s="1"/>
        <n x="643"/>
        <n x="644"/>
      </t>
    </mdx>
    <mdx n="0" f="v">
      <t c="6" si="614">
        <n x="610"/>
        <n x="535"/>
        <n x="536"/>
        <n x="800" s="1"/>
        <n x="643"/>
        <n x="644"/>
      </t>
    </mdx>
    <mdx n="0" f="v">
      <t c="6" si="614">
        <n x="610"/>
        <n x="785"/>
        <n x="786"/>
        <n x="800" s="1"/>
        <n x="643"/>
        <n x="644"/>
      </t>
    </mdx>
    <mdx n="0" f="v">
      <t c="6" si="614">
        <n x="610"/>
        <n x="583"/>
        <n x="584"/>
        <n x="800" s="1"/>
        <n x="643"/>
        <n x="644"/>
      </t>
    </mdx>
    <mdx n="0" f="v">
      <t c="6" si="614">
        <n x="610"/>
        <n x="431"/>
        <n x="432"/>
        <n x="800" s="1"/>
        <n x="643"/>
        <n x="644"/>
      </t>
    </mdx>
    <mdx n="0" f="v">
      <t c="6" si="614">
        <n x="610"/>
        <n x="311"/>
        <n x="312"/>
        <n x="800" s="1"/>
        <n x="643"/>
        <n x="644"/>
      </t>
    </mdx>
    <mdx n="0" f="v">
      <t c="6" si="614">
        <n x="610"/>
        <n x="565"/>
        <n x="566"/>
        <n x="800" s="1"/>
        <n x="643"/>
        <n x="644"/>
      </t>
    </mdx>
    <mdx n="0" f="v">
      <t c="6" si="614">
        <n x="610"/>
        <n x="423"/>
        <n x="424"/>
        <n x="800" s="1"/>
        <n x="643"/>
        <n x="644"/>
      </t>
    </mdx>
    <mdx n="0" f="v">
      <t c="6" si="614">
        <n x="610"/>
        <n x="575"/>
        <n x="576"/>
        <n x="800" s="1"/>
        <n x="643"/>
        <n x="644"/>
      </t>
    </mdx>
    <mdx n="0" f="v">
      <t c="6" si="614">
        <n x="610"/>
        <n x="473"/>
        <n x="474"/>
        <n x="800" s="1"/>
        <n x="643"/>
        <n x="644"/>
      </t>
    </mdx>
    <mdx n="0" f="v">
      <t c="6" si="614">
        <n x="610"/>
        <n x="297"/>
        <n x="298"/>
        <n x="800" s="1"/>
        <n x="643"/>
        <n x="644"/>
      </t>
    </mdx>
    <mdx n="0" f="v">
      <t c="6" si="614">
        <n x="610"/>
        <n x="313"/>
        <n x="314"/>
        <n x="800" s="1"/>
        <n x="643"/>
        <n x="644"/>
      </t>
    </mdx>
    <mdx n="0" f="v">
      <t c="6" si="614">
        <n x="610"/>
        <n x="213"/>
        <n x="214"/>
        <n x="800" s="1"/>
        <n x="643"/>
        <n x="644"/>
      </t>
    </mdx>
    <mdx n="0" f="v">
      <t c="6" si="614">
        <n x="610"/>
        <n x="331"/>
        <n x="332"/>
        <n x="800" s="1"/>
        <n x="643"/>
        <n x="644"/>
      </t>
    </mdx>
    <mdx n="0" f="v">
      <t c="6" si="614">
        <n x="610"/>
        <n x="465"/>
        <n x="466"/>
        <n x="800" s="1"/>
        <n x="643"/>
        <n x="644"/>
      </t>
    </mdx>
    <mdx n="0" f="v">
      <t c="6" si="614">
        <n x="610"/>
        <n x="211"/>
        <n x="212"/>
        <n x="800" s="1"/>
        <n x="643"/>
        <n x="644"/>
      </t>
    </mdx>
    <mdx n="0" f="v">
      <t c="6" si="614">
        <n x="610"/>
        <n x="571"/>
        <n x="572"/>
        <n x="800" s="1"/>
        <n x="643"/>
        <n x="644"/>
      </t>
    </mdx>
    <mdx n="0" f="v">
      <t c="6" si="614">
        <n x="610"/>
        <n x="563"/>
        <n x="564"/>
        <n x="800" s="1"/>
        <n x="643"/>
        <n x="644"/>
      </t>
    </mdx>
    <mdx n="0" f="v">
      <t c="6" si="614">
        <n x="610"/>
        <n x="279"/>
        <n x="280"/>
        <n x="800" s="1"/>
        <n x="643"/>
        <n x="644"/>
      </t>
    </mdx>
    <mdx n="0" f="v">
      <t c="6" si="614">
        <n x="610"/>
        <n x="797"/>
        <n x="798"/>
        <n x="800" s="1"/>
        <n x="643"/>
        <n x="644"/>
      </t>
    </mdx>
    <mdx n="0" f="v">
      <t c="6" si="614">
        <n x="610"/>
        <n x="329"/>
        <n x="330"/>
        <n x="800" s="1"/>
        <n x="643"/>
        <n x="644"/>
      </t>
    </mdx>
    <mdx n="0" f="v">
      <t c="6" si="614">
        <n x="610"/>
        <n x="801"/>
        <n x="802"/>
        <n x="800" s="1"/>
        <n x="643"/>
        <n x="644"/>
      </t>
    </mdx>
    <mdx n="0" f="v">
      <t c="6" si="614">
        <n x="610"/>
        <n x="215"/>
        <n x="216"/>
        <n x="800" s="1"/>
        <n x="643"/>
        <n x="644"/>
      </t>
    </mdx>
    <mdx n="0" f="v">
      <t c="6" si="614">
        <n x="610"/>
        <n x="587"/>
        <n x="588"/>
        <n x="800" s="1"/>
        <n x="643"/>
        <n x="644"/>
      </t>
    </mdx>
    <mdx n="0" f="v">
      <t c="6" si="614">
        <n x="610"/>
        <n x="263"/>
        <n x="264"/>
        <n x="800" s="1"/>
        <n x="643"/>
        <n x="644"/>
      </t>
    </mdx>
    <mdx n="0" f="v">
      <t c="6" si="614">
        <n x="610"/>
        <n x="267"/>
        <n x="268"/>
        <n x="800" s="1"/>
        <n x="643"/>
        <n x="644"/>
      </t>
    </mdx>
    <mdx n="0" f="v">
      <t c="6" si="614">
        <n x="610"/>
        <n x="323"/>
        <n x="324"/>
        <n x="800" s="1"/>
        <n x="643"/>
        <n x="644"/>
      </t>
    </mdx>
    <mdx n="0" f="v">
      <t c="6" si="614">
        <n x="610"/>
        <n x="517"/>
        <n x="518"/>
        <n x="800" s="1"/>
        <n x="643"/>
        <n x="644"/>
      </t>
    </mdx>
    <mdx n="0" f="v">
      <t c="6" si="614">
        <n x="610"/>
        <n x="567"/>
        <n x="568"/>
        <n x="800" s="1"/>
        <n x="643"/>
        <n x="644"/>
      </t>
    </mdx>
    <mdx n="0" f="v">
      <t c="6" si="614">
        <n x="610"/>
        <n x="559"/>
        <n x="560"/>
        <n x="800" s="1"/>
        <n x="643"/>
        <n x="644"/>
      </t>
    </mdx>
    <mdx n="0" f="v">
      <t c="6" si="614">
        <n x="610"/>
        <n x="573"/>
        <n x="574"/>
        <n x="800" s="1"/>
        <n x="643"/>
        <n x="644"/>
      </t>
    </mdx>
    <mdx n="0" f="v">
      <t c="6" si="614">
        <n x="610"/>
        <n x="475"/>
        <n x="476"/>
        <n x="800" s="1"/>
        <n x="643"/>
        <n x="644"/>
      </t>
    </mdx>
    <mdx n="0" f="v">
      <t c="6" si="614">
        <n x="610"/>
        <n x="371"/>
        <n x="372"/>
        <n x="800" s="1"/>
        <n x="643"/>
        <n x="644"/>
      </t>
    </mdx>
    <mdx n="0" f="v">
      <t c="6" si="614">
        <n x="610"/>
        <n x="711"/>
        <n x="712"/>
        <n x="800" s="1"/>
        <n x="635"/>
        <n x="636"/>
      </t>
    </mdx>
    <mdx n="0" f="v">
      <t c="6" si="614">
        <n x="610"/>
        <n x="717"/>
        <n x="718"/>
        <n x="800" s="1"/>
        <n x="635"/>
        <n x="636"/>
      </t>
    </mdx>
    <mdx n="0" f="v">
      <t c="6" si="614">
        <n x="610"/>
        <n x="719"/>
        <n x="720"/>
        <n x="800" s="1"/>
        <n x="635"/>
        <n x="636"/>
      </t>
    </mdx>
    <mdx n="0" f="v">
      <t c="6" si="614">
        <n x="610"/>
        <n x="715"/>
        <n x="716"/>
        <n x="800" s="1"/>
        <n x="635"/>
        <n x="636"/>
      </t>
    </mdx>
    <mdx n="0" f="v">
      <t c="6" si="614">
        <n x="610"/>
        <n x="391"/>
        <n x="392"/>
        <n x="800" s="1"/>
        <n x="635"/>
        <n x="636"/>
      </t>
    </mdx>
    <mdx n="0" f="v">
      <t c="6" si="614">
        <n x="610"/>
        <n x="379"/>
        <n x="380"/>
        <n x="800" s="1"/>
        <n x="635"/>
        <n x="636"/>
      </t>
    </mdx>
    <mdx n="0" f="v">
      <t c="6" si="614">
        <n x="610"/>
        <n x="457"/>
        <n x="458"/>
        <n x="800" s="1"/>
        <n x="635"/>
        <n x="636"/>
      </t>
    </mdx>
    <mdx n="0" f="v">
      <t c="6" si="614">
        <n x="610"/>
        <n x="367"/>
        <n x="368"/>
        <n x="800" s="1"/>
        <n x="635"/>
        <n x="636"/>
      </t>
    </mdx>
    <mdx n="0" f="v">
      <t c="6" si="614">
        <n x="610"/>
        <n x="367"/>
        <n x="368"/>
        <n x="800" s="1"/>
        <n x="635"/>
        <n x="636"/>
      </t>
    </mdx>
    <mdx n="0" f="v">
      <t c="6" si="614">
        <n x="610"/>
        <n x="453"/>
        <n x="604"/>
        <n x="800" s="1"/>
        <n x="635"/>
        <n x="636"/>
      </t>
    </mdx>
    <mdx n="0" f="v">
      <t c="6" si="614">
        <n x="610"/>
        <n x="453"/>
        <n x="454"/>
        <n x="800" s="1"/>
        <n x="635"/>
        <n x="636"/>
      </t>
    </mdx>
    <mdx n="0" f="v">
      <t c="6" si="614">
        <n x="610"/>
        <n x="413"/>
        <n x="266"/>
        <n x="800" s="1"/>
        <n x="635"/>
        <n x="636"/>
      </t>
    </mdx>
    <mdx n="0" f="v">
      <t c="6" si="614">
        <n x="610"/>
        <n x="413"/>
        <n x="414"/>
        <n x="800" s="1"/>
        <n x="635"/>
        <n x="636"/>
      </t>
    </mdx>
    <mdx n="0" f="v">
      <t c="6" si="614">
        <n x="610"/>
        <n x="733"/>
        <n x="734"/>
        <n x="800" s="1"/>
        <n x="635"/>
        <n x="636"/>
      </t>
    </mdx>
    <mdx n="0" f="v">
      <t c="6" si="614">
        <n x="610"/>
        <n x="271"/>
        <n x="272"/>
        <n x="800" s="1"/>
        <n x="635"/>
        <n x="636"/>
      </t>
    </mdx>
    <mdx n="0" f="v">
      <t c="6" si="614">
        <n x="610"/>
        <n x="443"/>
        <n x="444"/>
        <n x="800" s="1"/>
        <n x="635"/>
        <n x="636"/>
      </t>
    </mdx>
    <mdx n="0" f="v">
      <t c="6" si="614">
        <n x="610"/>
        <n x="737"/>
        <n x="738"/>
        <n x="800" s="1"/>
        <n x="635"/>
        <n x="636"/>
      </t>
    </mdx>
    <mdx n="0" f="v">
      <t c="6" si="614">
        <n x="610"/>
        <n x="499"/>
        <n x="500"/>
        <n x="800" s="1"/>
        <n x="635"/>
        <n x="636"/>
      </t>
    </mdx>
    <mdx n="0" f="v">
      <t c="6" si="614">
        <n x="610"/>
        <n x="429"/>
        <n x="430"/>
        <n x="800" s="1"/>
        <n x="635"/>
        <n x="636"/>
      </t>
    </mdx>
    <mdx n="0" f="v">
      <t c="6" si="614">
        <n x="610"/>
        <n x="561"/>
        <n x="562"/>
        <n x="800" s="1"/>
        <n x="635"/>
        <n x="636"/>
      </t>
    </mdx>
    <mdx n="0" f="v">
      <t c="6" si="614">
        <n x="610"/>
        <n x="569"/>
        <n x="570"/>
        <n x="800" s="1"/>
        <n x="635"/>
        <n x="636"/>
      </t>
    </mdx>
    <mdx n="0" f="v">
      <t c="6" si="614">
        <n x="610"/>
        <n x="419"/>
        <n x="420"/>
        <n x="800" s="1"/>
        <n x="635"/>
        <n x="636"/>
      </t>
    </mdx>
    <mdx n="0" f="v">
      <t c="6" si="614">
        <n x="610"/>
        <n x="419"/>
        <n x="420"/>
        <n x="800" s="1"/>
        <n x="635"/>
        <n x="636"/>
      </t>
    </mdx>
    <mdx n="0" f="v">
      <t c="6" si="614">
        <n x="610"/>
        <n x="205"/>
        <n x="206"/>
        <n x="800" s="1"/>
        <n x="635"/>
        <n x="636"/>
      </t>
    </mdx>
    <mdx n="0" f="v">
      <t c="6" si="614">
        <n x="610"/>
        <n x="761"/>
        <n x="758"/>
        <n x="800" s="1"/>
        <n x="635"/>
        <n x="636"/>
      </t>
    </mdx>
    <mdx n="0" f="v">
      <t c="6" si="614">
        <n x="610"/>
        <n x="245"/>
        <n x="246"/>
        <n x="800" s="1"/>
        <n x="635"/>
        <n x="636"/>
      </t>
    </mdx>
    <mdx n="0" f="v">
      <t c="6" si="614">
        <n x="610"/>
        <n x="255"/>
        <n x="256"/>
        <n x="800" s="1"/>
        <n x="635"/>
        <n x="636"/>
      </t>
    </mdx>
    <mdx n="0" f="v">
      <t c="6" si="614">
        <n x="610"/>
        <n x="467"/>
        <n x="256"/>
        <n x="800" s="1"/>
        <n x="635"/>
        <n x="636"/>
      </t>
    </mdx>
    <mdx n="0" f="v">
      <t c="6" si="614">
        <n x="610"/>
        <n x="467"/>
        <n x="468"/>
        <n x="800" s="1"/>
        <n x="635"/>
        <n x="636"/>
      </t>
    </mdx>
    <mdx n="0" f="v">
      <t c="6" si="614">
        <n x="610"/>
        <n x="509"/>
        <n x="510"/>
        <n x="800" s="1"/>
        <n x="635"/>
        <n x="636"/>
      </t>
    </mdx>
    <mdx n="0" f="v">
      <t c="6" si="614">
        <n x="610"/>
        <n x="427"/>
        <n x="428"/>
        <n x="800" s="1"/>
        <n x="635"/>
        <n x="636"/>
      </t>
    </mdx>
    <mdx n="0" f="v">
      <t c="6" si="614">
        <n x="610"/>
        <n x="529"/>
        <n x="486"/>
        <n x="800" s="1"/>
        <n x="635"/>
        <n x="636"/>
      </t>
    </mdx>
    <mdx n="0" f="v">
      <t c="6" si="614">
        <n x="610"/>
        <n x="773"/>
        <n x="774"/>
        <n x="800" s="1"/>
        <n x="635"/>
        <n x="636"/>
      </t>
    </mdx>
    <mdx n="0" f="v">
      <t c="6" si="614">
        <n x="610"/>
        <n x="381"/>
        <n x="382"/>
        <n x="800" s="1"/>
        <n x="635"/>
        <n x="636"/>
      </t>
    </mdx>
    <mdx n="0" f="v">
      <t c="6" si="614">
        <n x="610"/>
        <n x="269"/>
        <n x="270"/>
        <n x="800" s="1"/>
        <n x="635"/>
        <n x="636"/>
      </t>
    </mdx>
    <mdx n="0" f="v">
      <t c="6" si="614">
        <n x="610"/>
        <n x="269"/>
        <n x="270"/>
        <n x="800" s="1"/>
        <n x="635"/>
        <n x="636"/>
      </t>
    </mdx>
    <mdx n="0" f="v">
      <t c="6" si="614">
        <n x="610"/>
        <n x="375"/>
        <n x="376"/>
        <n x="800" s="1"/>
        <n x="635"/>
        <n x="636"/>
      </t>
    </mdx>
    <mdx n="0" f="v">
      <t c="6" si="614">
        <n x="610"/>
        <n x="565"/>
        <n x="566"/>
        <n x="800" s="1"/>
        <n x="635"/>
        <n x="636"/>
      </t>
    </mdx>
    <mdx n="0" f="v">
      <t c="6" si="614">
        <n x="610"/>
        <n x="565"/>
        <n x="566"/>
        <n x="800" s="1"/>
        <n x="635"/>
        <n x="636"/>
      </t>
    </mdx>
    <mdx n="0" f="v">
      <t c="6" si="614">
        <n x="610"/>
        <n x="575"/>
        <n x="576"/>
        <n x="800" s="1"/>
        <n x="635"/>
        <n x="636"/>
      </t>
    </mdx>
    <mdx n="0" f="v">
      <t c="6" si="614">
        <n x="610"/>
        <n x="313"/>
        <n x="314"/>
        <n x="800" s="1"/>
        <n x="635"/>
        <n x="636"/>
      </t>
    </mdx>
    <mdx n="0" f="v">
      <t c="6" si="614">
        <n x="610"/>
        <n x="213"/>
        <n x="214"/>
        <n x="800" s="1"/>
        <n x="635"/>
        <n x="636"/>
      </t>
    </mdx>
    <mdx n="0" f="v">
      <t c="6" si="614">
        <n x="610"/>
        <n x="465"/>
        <n x="466"/>
        <n x="800" s="1"/>
        <n x="635"/>
        <n x="636"/>
      </t>
    </mdx>
    <mdx n="0" f="v">
      <t c="6" si="614">
        <n x="610"/>
        <n x="571"/>
        <n x="572"/>
        <n x="800" s="1"/>
        <n x="635"/>
        <n x="636"/>
      </t>
    </mdx>
    <mdx n="0" f="v">
      <t c="6" si="614">
        <n x="610"/>
        <n x="279"/>
        <n x="280"/>
        <n x="800" s="1"/>
        <n x="635"/>
        <n x="636"/>
      </t>
    </mdx>
    <mdx n="0" f="v">
      <t c="6" si="614">
        <n x="610"/>
        <n x="329"/>
        <n x="330"/>
        <n x="800" s="1"/>
        <n x="635"/>
        <n x="636"/>
      </t>
    </mdx>
    <mdx n="0" f="v">
      <t c="6" si="614">
        <n x="610"/>
        <n x="215"/>
        <n x="216"/>
        <n x="800" s="1"/>
        <n x="635"/>
        <n x="636"/>
      </t>
    </mdx>
    <mdx n="0" f="v">
      <t c="6" si="614">
        <n x="610"/>
        <n x="587"/>
        <n x="264"/>
        <n x="800" s="1"/>
        <n x="635"/>
        <n x="636"/>
      </t>
    </mdx>
    <mdx n="0" f="v">
      <t c="6" si="614">
        <n x="610"/>
        <n x="323"/>
        <n x="268"/>
        <n x="800" s="1"/>
        <n x="635"/>
        <n x="636"/>
      </t>
    </mdx>
    <mdx n="0" f="v">
      <t c="6" si="614">
        <n x="610"/>
        <n x="517"/>
        <n x="324"/>
        <n x="800" s="1"/>
        <n x="635"/>
        <n x="636"/>
      </t>
    </mdx>
    <mdx n="0" f="v">
      <t c="6" si="614">
        <n x="610"/>
        <n x="517"/>
        <n x="518"/>
        <n x="800" s="1"/>
        <n x="635"/>
        <n x="636"/>
      </t>
    </mdx>
    <mdx n="0" f="v">
      <t c="6" si="614">
        <n x="610"/>
        <n x="567"/>
        <n x="568"/>
        <n x="800" s="1"/>
        <n x="635"/>
        <n x="636"/>
      </t>
    </mdx>
    <mdx n="0" f="v">
      <t c="6" si="614">
        <n x="610"/>
        <n x="475"/>
        <n x="476"/>
        <n x="800" s="1"/>
        <n x="635"/>
        <n x="636"/>
      </t>
    </mdx>
    <mdx n="0" f="v">
      <t c="6" si="614">
        <n x="610"/>
        <n x="371"/>
        <n x="372"/>
        <n x="800" s="1"/>
        <n x="635"/>
        <n x="636"/>
      </t>
    </mdx>
    <mdx n="0" f="v">
      <t c="6" si="614">
        <n x="610"/>
        <n x="711"/>
        <n x="712"/>
        <n x="800" s="1"/>
        <n x="645"/>
        <n x="646"/>
      </t>
    </mdx>
    <mdx n="0" f="v">
      <t c="6" si="614">
        <n x="610"/>
        <n x="715"/>
        <n x="716"/>
        <n x="800" s="1"/>
        <n x="645"/>
        <n x="646"/>
      </t>
    </mdx>
    <mdx n="0" f="v">
      <t c="6" si="614">
        <n x="610"/>
        <n x="717"/>
        <n x="718"/>
        <n x="800" s="1"/>
        <n x="645"/>
        <n x="646"/>
      </t>
    </mdx>
    <mdx n="0" f="v">
      <t c="6" si="614">
        <n x="610"/>
        <n x="217"/>
        <n x="218"/>
        <n x="800" s="1"/>
        <n x="645"/>
        <n x="646"/>
      </t>
    </mdx>
    <mdx n="0" f="v">
      <t c="6" si="614">
        <n x="610"/>
        <n x="719"/>
        <n x="720"/>
        <n x="800" s="1"/>
        <n x="645"/>
        <n x="646"/>
      </t>
    </mdx>
    <mdx n="0" f="v">
      <t c="6" si="614">
        <n x="610"/>
        <n x="721"/>
        <n x="722"/>
        <n x="800" s="1"/>
        <n x="645"/>
        <n x="646"/>
      </t>
    </mdx>
    <mdx n="0" f="v">
      <t c="6" si="614">
        <n x="610"/>
        <n x="463"/>
        <n x="464"/>
        <n x="800" s="1"/>
        <n x="645"/>
        <n x="646"/>
      </t>
    </mdx>
    <mdx n="0" f="v">
      <t c="6" si="614">
        <n x="610"/>
        <n x="391"/>
        <n x="392"/>
        <n x="800" s="1"/>
        <n x="645"/>
        <n x="646"/>
      </t>
    </mdx>
    <mdx n="0" f="v">
      <t c="6" si="614">
        <n x="610"/>
        <n x="379"/>
        <n x="380"/>
        <n x="800" s="1"/>
        <n x="645"/>
        <n x="646"/>
      </t>
    </mdx>
    <mdx n="0" f="v">
      <t c="6" si="614">
        <n x="610"/>
        <n x="365"/>
        <n x="366"/>
        <n x="800" s="1"/>
        <n x="645"/>
        <n x="646"/>
      </t>
    </mdx>
    <mdx n="0" f="v">
      <t c="6" si="614">
        <n x="610"/>
        <n x="461"/>
        <n x="462"/>
        <n x="800" s="1"/>
        <n x="645"/>
        <n x="646"/>
      </t>
    </mdx>
    <mdx n="0" f="v">
      <t c="6" si="614">
        <n x="610"/>
        <n x="459"/>
        <n x="460"/>
        <n x="800" s="1"/>
        <n x="645"/>
        <n x="646"/>
      </t>
    </mdx>
    <mdx n="0" f="v">
      <t c="6" si="614">
        <n x="610"/>
        <n x="597"/>
        <n x="598"/>
        <n x="800" s="1"/>
        <n x="645"/>
        <n x="646"/>
      </t>
    </mdx>
    <mdx n="0" f="v">
      <t c="6" si="614">
        <n x="610"/>
        <n x="457"/>
        <n x="458"/>
        <n x="800" s="1"/>
        <n x="645"/>
        <n x="646"/>
      </t>
    </mdx>
    <mdx n="0" f="v">
      <t c="6" si="614">
        <n x="610"/>
        <n x="601"/>
        <n x="602"/>
        <n x="800" s="1"/>
        <n x="645"/>
        <n x="646"/>
      </t>
    </mdx>
    <mdx n="0" f="v">
      <t c="6" si="614">
        <n x="610"/>
        <n x="727"/>
        <n x="728"/>
        <n x="800" s="1"/>
        <n x="645"/>
        <n x="646"/>
      </t>
    </mdx>
    <mdx n="0" f="v">
      <t c="6" si="614">
        <n x="610"/>
        <n x="367"/>
        <n x="368"/>
        <n x="800" s="1"/>
        <n x="645"/>
        <n x="646"/>
      </t>
    </mdx>
    <mdx n="0" f="v">
      <t c="6" si="614">
        <n x="610"/>
        <n x="237"/>
        <n x="238"/>
        <n x="800" s="1"/>
        <n x="645"/>
        <n x="646"/>
      </t>
    </mdx>
    <mdx n="0" f="v">
      <t c="6" si="614">
        <n x="610"/>
        <n x="731"/>
        <n x="732"/>
        <n x="800" s="1"/>
        <n x="645"/>
        <n x="646"/>
      </t>
    </mdx>
    <mdx n="0" f="v">
      <t c="6" si="614">
        <n x="610"/>
        <n x="603"/>
        <n x="604"/>
        <n x="800" s="1"/>
        <n x="645"/>
        <n x="646"/>
      </t>
    </mdx>
    <mdx n="0" f="v">
      <t c="6" si="614">
        <n x="610"/>
        <n x="453"/>
        <n x="454"/>
        <n x="800" s="1"/>
        <n x="645"/>
        <n x="646"/>
      </t>
    </mdx>
    <mdx n="0" f="v">
      <t c="6" si="614">
        <n x="610"/>
        <n x="413"/>
        <n x="414"/>
        <n x="800" s="1"/>
        <n x="645"/>
        <n x="646"/>
      </t>
    </mdx>
    <mdx n="0" f="v">
      <t c="6" si="614">
        <n x="610"/>
        <n x="733"/>
        <n x="734"/>
        <n x="800" s="1"/>
        <n x="645"/>
        <n x="646"/>
      </t>
    </mdx>
    <mdx n="0" f="v">
      <t c="6" si="614">
        <n x="610"/>
        <n x="733"/>
        <n x="734"/>
        <n x="800" s="1"/>
        <n x="645"/>
        <n x="646"/>
      </t>
    </mdx>
    <mdx n="0" f="v">
      <t c="6" si="614">
        <n x="610"/>
        <n x="271"/>
        <n x="272"/>
        <n x="800" s="1"/>
        <n x="645"/>
        <n x="646"/>
      </t>
    </mdx>
    <mdx n="0" f="v">
      <t c="6" si="614">
        <n x="610"/>
        <n x="443"/>
        <n x="444"/>
        <n x="800" s="1"/>
        <n x="645"/>
        <n x="646"/>
      </t>
    </mdx>
    <mdx n="0" f="v">
      <t c="6" si="614">
        <n x="610"/>
        <n x="319"/>
        <n x="388"/>
        <n x="800" s="1"/>
        <n x="645"/>
        <n x="646"/>
      </t>
    </mdx>
    <mdx n="0" f="v">
      <t c="6" si="614">
        <n x="610"/>
        <n x="319"/>
        <n x="320"/>
        <n x="800" s="1"/>
        <n x="645"/>
        <n x="646"/>
      </t>
    </mdx>
    <mdx n="0" f="v">
      <t c="6" si="614">
        <n x="610"/>
        <n x="209"/>
        <n x="210"/>
        <n x="800" s="1"/>
        <n x="645"/>
        <n x="646"/>
      </t>
    </mdx>
    <mdx n="0" f="v">
      <t c="6" si="614">
        <n x="610"/>
        <n x="741"/>
        <n x="742"/>
        <n x="800" s="1"/>
        <n x="645"/>
        <n x="646"/>
      </t>
    </mdx>
    <mdx n="0" f="v">
      <t c="6" si="614">
        <n x="610"/>
        <n x="499"/>
        <n x="430"/>
        <n x="800" s="1"/>
        <n x="645"/>
        <n x="646"/>
      </t>
    </mdx>
    <mdx n="0" f="v">
      <t c="6" si="614">
        <n x="610"/>
        <n x="499"/>
        <n x="500"/>
        <n x="800" s="1"/>
        <n x="645"/>
        <n x="646"/>
      </t>
    </mdx>
    <mdx n="0" f="v">
      <t c="6" si="614">
        <n x="610"/>
        <n x="393"/>
        <n x="394"/>
        <n x="800" s="1"/>
        <n x="645"/>
        <n x="646"/>
      </t>
    </mdx>
    <mdx n="0" f="v">
      <t c="6" si="614">
        <n x="610"/>
        <n x="433"/>
        <n x="562"/>
        <n x="800" s="1"/>
        <n x="645"/>
        <n x="646"/>
      </t>
    </mdx>
    <mdx n="0" f="v">
      <t c="6" si="614">
        <n x="610"/>
        <n x="433"/>
        <n x="434"/>
        <n x="800" s="1"/>
        <n x="645"/>
        <n x="646"/>
      </t>
    </mdx>
    <mdx n="0" f="v">
      <t c="6" si="614">
        <n x="610"/>
        <n x="503"/>
        <n x="504"/>
        <n x="800" s="1"/>
        <n x="645"/>
        <n x="646"/>
      </t>
    </mdx>
    <mdx n="0" f="v">
      <t c="6" si="614">
        <n x="610"/>
        <n x="203"/>
        <n x="204"/>
        <n x="800" s="1"/>
        <n x="645"/>
        <n x="646"/>
      </t>
    </mdx>
    <mdx n="0" f="v">
      <t c="6" si="614">
        <n x="610"/>
        <n x="569"/>
        <n x="442"/>
        <n x="800" s="1"/>
        <n x="645"/>
        <n x="646"/>
      </t>
    </mdx>
    <mdx n="0" f="v">
      <t c="6" si="614">
        <n x="610"/>
        <n x="569"/>
        <n x="570"/>
        <n x="800" s="1"/>
        <n x="645"/>
        <n x="646"/>
      </t>
    </mdx>
    <mdx n="0" f="v">
      <t c="6" si="614">
        <n x="610"/>
        <n x="299"/>
        <n x="300"/>
        <n x="800" s="1"/>
        <n x="645"/>
        <n x="646"/>
      </t>
    </mdx>
    <mdx n="0" f="v">
      <t c="6" si="614">
        <n x="610"/>
        <n x="419"/>
        <n x="420"/>
        <n x="800" s="1"/>
        <n x="645"/>
        <n x="646"/>
      </t>
    </mdx>
    <mdx n="0" f="v">
      <t c="6" si="614">
        <n x="610"/>
        <n x="241"/>
        <n x="242"/>
        <n x="800" s="1"/>
        <n x="645"/>
        <n x="646"/>
      </t>
    </mdx>
    <mdx n="0" f="v">
      <t c="6" si="614">
        <n x="610"/>
        <n x="753"/>
        <n x="754"/>
        <n x="800" s="1"/>
        <n x="645"/>
        <n x="646"/>
      </t>
    </mdx>
    <mdx n="0" f="v">
      <t c="6" si="614">
        <n x="610"/>
        <n x="339"/>
        <n x="448"/>
        <n x="800" s="1"/>
        <n x="645"/>
        <n x="646"/>
      </t>
    </mdx>
    <mdx n="0" f="v">
      <t c="6" si="614">
        <n x="610"/>
        <n x="321"/>
        <n x="322"/>
        <n x="800" s="1"/>
        <n x="645"/>
        <n x="646"/>
      </t>
    </mdx>
    <mdx n="0" f="v">
      <t c="6" si="614">
        <n x="610"/>
        <n x="399"/>
        <n x="400"/>
        <n x="800" s="1"/>
        <n x="645"/>
        <n x="646"/>
      </t>
    </mdx>
    <mdx n="0" f="v">
      <t c="6" si="614">
        <n x="610"/>
        <n x="289"/>
        <n x="290"/>
        <n x="800" s="1"/>
        <n x="645"/>
        <n x="646"/>
      </t>
    </mdx>
    <mdx n="0" f="v">
      <t c="6" si="614">
        <n x="610"/>
        <n x="207"/>
        <n x="208"/>
        <n x="800" s="1"/>
        <n x="645"/>
        <n x="646"/>
      </t>
    </mdx>
    <mdx n="0" f="v">
      <t c="6" si="614">
        <n x="610"/>
        <n x="757"/>
        <n x="758"/>
        <n x="800" s="1"/>
        <n x="645"/>
        <n x="646"/>
      </t>
    </mdx>
    <mdx n="0" f="v">
      <t c="6" si="614">
        <n x="610"/>
        <n x="757"/>
        <n x="758"/>
        <n x="800" s="1"/>
        <n x="645"/>
        <n x="646"/>
      </t>
    </mdx>
    <mdx n="0" f="v">
      <t c="6" si="614">
        <n x="610"/>
        <n x="409"/>
        <n x="762"/>
        <n x="800" s="1"/>
        <n x="645"/>
        <n x="646"/>
      </t>
    </mdx>
    <mdx n="0" f="v">
      <t c="6" si="614">
        <n x="610"/>
        <n x="255"/>
        <n x="246"/>
        <n x="800" s="1"/>
        <n x="645"/>
        <n x="646"/>
      </t>
    </mdx>
    <mdx n="0" f="v">
      <t c="6" si="614">
        <n x="610"/>
        <n x="255"/>
        <n x="256"/>
        <n x="800" s="1"/>
        <n x="645"/>
        <n x="646"/>
      </t>
    </mdx>
    <mdx n="0" f="v">
      <t c="6" si="614">
        <n x="610"/>
        <n x="469"/>
        <n x="470"/>
        <n x="800" s="1"/>
        <n x="645"/>
        <n x="646"/>
      </t>
    </mdx>
    <mdx n="0" f="v">
      <t c="6" si="614">
        <n x="610"/>
        <n x="467"/>
        <n x="468"/>
        <n x="800" s="1"/>
        <n x="645"/>
        <n x="646"/>
      </t>
    </mdx>
    <mdx n="0" f="v">
      <t c="6" si="614">
        <n x="610"/>
        <n x="539"/>
        <n x="540"/>
        <n x="800" s="1"/>
        <n x="645"/>
        <n x="646"/>
      </t>
    </mdx>
    <mdx n="0" f="v">
      <t c="6" si="614">
        <n x="610"/>
        <n x="509"/>
        <n x="510"/>
        <n x="800" s="1"/>
        <n x="645"/>
        <n x="646"/>
      </t>
    </mdx>
    <mdx n="0" f="v">
      <t c="6" si="614">
        <n x="610"/>
        <n x="403"/>
        <n x="404"/>
        <n x="800" s="1"/>
        <n x="645"/>
        <n x="646"/>
      </t>
    </mdx>
    <mdx n="0" f="v">
      <t c="6" si="614">
        <n x="610"/>
        <n x="767"/>
        <n x="768"/>
        <n x="800" s="1"/>
        <n x="645"/>
        <n x="646"/>
      </t>
    </mdx>
    <mdx n="0" f="v">
      <t c="6" si="614">
        <n x="610"/>
        <n x="769"/>
        <n x="770"/>
        <n x="800" s="1"/>
        <n x="645"/>
        <n x="646"/>
      </t>
    </mdx>
    <mdx n="0" f="v">
      <t c="6" si="614">
        <n x="610"/>
        <n x="427"/>
        <n x="428"/>
        <n x="800" s="1"/>
        <n x="645"/>
        <n x="646"/>
      </t>
    </mdx>
    <mdx n="0" f="v">
      <t c="6" si="614">
        <n x="610"/>
        <n x="485"/>
        <n x="486"/>
        <n x="800" s="1"/>
        <n x="645"/>
        <n x="646"/>
      </t>
    </mdx>
    <mdx n="0" f="v">
      <t c="6" si="614">
        <n x="610"/>
        <n x="529"/>
        <n x="530"/>
        <n x="800" s="1"/>
        <n x="645"/>
        <n x="646"/>
      </t>
    </mdx>
    <mdx n="0" f="v">
      <t c="6" si="614">
        <n x="610"/>
        <n x="777"/>
        <n x="778"/>
        <n x="800" s="1"/>
        <n x="645"/>
        <n x="646"/>
      </t>
    </mdx>
    <mdx n="0" f="v">
      <t c="6" si="614">
        <n x="610"/>
        <n x="381"/>
        <n x="382"/>
        <n x="800" s="1"/>
        <n x="645"/>
        <n x="646"/>
      </t>
    </mdx>
    <mdx n="0" f="v">
      <t c="6" si="614">
        <n x="610"/>
        <n x="445"/>
        <n x="446"/>
        <n x="800" s="1"/>
        <n x="645"/>
        <n x="646"/>
      </t>
    </mdx>
    <mdx n="0" f="v">
      <t c="6" si="614">
        <n x="610"/>
        <n x="269"/>
        <n x="270"/>
        <n x="800" s="1"/>
        <n x="645"/>
        <n x="646"/>
      </t>
    </mdx>
    <mdx n="0" f="v">
      <t c="6" si="614">
        <n x="610"/>
        <n x="527"/>
        <n x="528"/>
        <n x="800" s="1"/>
        <n x="645"/>
        <n x="646"/>
      </t>
    </mdx>
    <mdx n="0" f="v">
      <t c="6" si="614">
        <n x="610"/>
        <n x="375"/>
        <n x="376"/>
        <n x="800" s="1"/>
        <n x="645"/>
        <n x="646"/>
      </t>
    </mdx>
    <mdx n="0" f="v">
      <t c="6" si="614">
        <n x="610"/>
        <n x="535"/>
        <n x="536"/>
        <n x="800" s="1"/>
        <n x="645"/>
        <n x="646"/>
      </t>
    </mdx>
    <mdx n="0" f="v">
      <t c="6" si="614">
        <n x="610"/>
        <n x="785"/>
        <n x="786"/>
        <n x="800" s="1"/>
        <n x="645"/>
        <n x="646"/>
      </t>
    </mdx>
    <mdx n="0" f="v">
      <t c="6" si="614">
        <n x="610"/>
        <n x="583"/>
        <n x="584"/>
        <n x="800" s="1"/>
        <n x="645"/>
        <n x="646"/>
      </t>
    </mdx>
    <mdx n="0" f="v">
      <t c="6" si="614">
        <n x="610"/>
        <n x="417"/>
        <n x="418"/>
        <n x="800" s="1"/>
        <n x="645"/>
        <n x="646"/>
      </t>
    </mdx>
    <mdx n="0" f="v">
      <t c="6" si="614">
        <n x="610"/>
        <n x="311"/>
        <n x="312"/>
        <n x="800" s="1"/>
        <n x="645"/>
        <n x="646"/>
      </t>
    </mdx>
    <mdx n="0" f="v">
      <t c="6" si="614">
        <n x="610"/>
        <n x="423"/>
        <n x="424"/>
        <n x="800" s="1"/>
        <n x="645"/>
        <n x="646"/>
      </t>
    </mdx>
    <mdx n="0" f="v">
      <t c="6" si="614">
        <n x="610"/>
        <n x="423"/>
        <n x="424"/>
        <n x="800" s="1"/>
        <n x="645"/>
        <n x="646"/>
      </t>
    </mdx>
    <mdx n="0" f="v">
      <t c="6" si="614">
        <n x="610"/>
        <n x="575"/>
        <n x="576"/>
        <n x="800" s="1"/>
        <n x="645"/>
        <n x="646"/>
      </t>
    </mdx>
    <mdx n="0" f="v">
      <t c="6" si="614">
        <n x="610"/>
        <n x="473"/>
        <n x="474"/>
        <n x="800" s="1"/>
        <n x="645"/>
        <n x="646"/>
      </t>
    </mdx>
    <mdx n="0" f="v">
      <t c="6" si="614">
        <n x="610"/>
        <n x="297"/>
        <n x="298"/>
        <n x="800" s="1"/>
        <n x="645"/>
        <n x="646"/>
      </t>
    </mdx>
    <mdx n="0" f="v">
      <t c="6" si="614">
        <n x="610"/>
        <n x="313"/>
        <n x="314"/>
        <n x="800" s="1"/>
        <n x="645"/>
        <n x="646"/>
      </t>
    </mdx>
    <mdx n="0" f="v">
      <t c="6" si="614">
        <n x="610"/>
        <n x="213"/>
        <n x="214"/>
        <n x="800" s="1"/>
        <n x="645"/>
        <n x="646"/>
      </t>
    </mdx>
    <mdx n="0" f="v">
      <t c="6" si="614">
        <n x="610"/>
        <n x="793"/>
        <n x="794"/>
        <n x="800" s="1"/>
        <n x="645"/>
        <n x="646"/>
      </t>
    </mdx>
    <mdx n="0" f="v">
      <t c="6" si="614">
        <n x="610"/>
        <n x="211"/>
        <n x="212"/>
        <n x="800" s="1"/>
        <n x="645"/>
        <n x="646"/>
      </t>
    </mdx>
    <mdx n="0" f="v">
      <t c="6" si="614">
        <n x="610"/>
        <n x="571"/>
        <n x="572"/>
        <n x="800" s="1"/>
        <n x="645"/>
        <n x="646"/>
      </t>
    </mdx>
    <mdx n="0" f="v">
      <t c="6" si="614">
        <n x="610"/>
        <n x="563"/>
        <n x="564"/>
        <n x="800" s="1"/>
        <n x="645"/>
        <n x="646"/>
      </t>
    </mdx>
    <mdx n="0" f="v">
      <t c="6" si="614">
        <n x="610"/>
        <n x="279"/>
        <n x="280"/>
        <n x="800" s="1"/>
        <n x="645"/>
        <n x="646"/>
      </t>
    </mdx>
    <mdx n="0" f="v">
      <t c="6" si="614">
        <n x="610"/>
        <n x="329"/>
        <n x="330"/>
        <n x="800" s="1"/>
        <n x="645"/>
        <n x="646"/>
      </t>
    </mdx>
    <mdx n="0" f="v">
      <t c="6" si="614">
        <n x="610"/>
        <n x="801"/>
        <n x="802"/>
        <n x="800" s="1"/>
        <n x="645"/>
        <n x="646"/>
      </t>
    </mdx>
    <mdx n="0" f="v">
      <t c="6" si="614">
        <n x="610"/>
        <n x="587"/>
        <n x="588"/>
        <n x="800" s="1"/>
        <n x="645"/>
        <n x="646"/>
      </t>
    </mdx>
    <mdx n="0" f="v">
      <t c="6" si="614">
        <n x="610"/>
        <n x="263"/>
        <n x="264"/>
        <n x="800" s="1"/>
        <n x="645"/>
        <n x="646"/>
      </t>
    </mdx>
    <mdx n="0" f="v">
      <t c="6" si="614">
        <n x="610"/>
        <n x="267"/>
        <n x="268"/>
        <n x="800" s="1"/>
        <n x="645"/>
        <n x="646"/>
      </t>
    </mdx>
    <mdx n="0" f="v">
      <t c="6" si="614">
        <n x="610"/>
        <n x="517"/>
        <n x="324"/>
        <n x="800" s="1"/>
        <n x="645"/>
        <n x="646"/>
      </t>
    </mdx>
    <mdx n="0" f="v">
      <t c="6" si="614">
        <n x="610"/>
        <n x="517"/>
        <n x="518"/>
        <n x="800" s="1"/>
        <n x="645"/>
        <n x="646"/>
      </t>
    </mdx>
    <mdx n="0" f="v">
      <t c="6" si="614">
        <n x="610"/>
        <n x="559"/>
        <n x="568"/>
        <n x="800" s="1"/>
        <n x="645"/>
        <n x="646"/>
      </t>
    </mdx>
    <mdx n="0" f="v">
      <t c="6" si="614">
        <n x="610"/>
        <n x="573"/>
        <n x="574"/>
        <n x="800" s="1"/>
        <n x="645"/>
        <n x="646"/>
      </t>
    </mdx>
    <mdx n="0" f="v">
      <t c="6" si="614">
        <n x="610"/>
        <n x="475"/>
        <n x="476"/>
        <n x="800" s="1"/>
        <n x="645"/>
        <n x="646"/>
      </t>
    </mdx>
    <mdx n="0" f="v">
      <t c="6" si="614">
        <n x="610"/>
        <n x="371"/>
        <n x="372"/>
        <n x="800" s="1"/>
        <n x="645"/>
        <n x="646"/>
      </t>
    </mdx>
    <mdx n="0" f="v">
      <t c="6" si="614">
        <n x="610"/>
        <n x="713"/>
        <n x="714"/>
        <n x="800" s="1"/>
        <n x="643"/>
        <n x="644"/>
      </t>
    </mdx>
    <mdx n="0" f="v">
      <t c="6" si="614">
        <n x="610"/>
        <n x="317"/>
        <n x="318"/>
        <n x="800" s="1"/>
        <n x="643"/>
        <n x="644"/>
      </t>
    </mdx>
    <mdx n="0" f="v">
      <t c="6" si="614">
        <n x="610"/>
        <n x="599"/>
        <n x="600"/>
        <n x="800" s="1"/>
        <n x="643"/>
        <n x="644"/>
      </t>
    </mdx>
    <mdx n="0" f="v">
      <t c="6" si="614">
        <n x="610"/>
        <n x="285"/>
        <n x="286"/>
        <n x="800" s="1"/>
        <n x="643"/>
        <n x="644"/>
      </t>
    </mdx>
    <mdx n="0" f="v">
      <t c="6" si="614">
        <n x="610"/>
        <n x="275"/>
        <n x="276"/>
        <n x="800" s="1"/>
        <n x="643"/>
        <n x="644"/>
      </t>
    </mdx>
    <mdx n="0" f="v">
      <t c="6" si="614">
        <n x="610"/>
        <n x="723"/>
        <n x="724"/>
        <n x="800" s="1"/>
        <n x="643"/>
        <n x="644"/>
      </t>
    </mdx>
    <mdx n="0" f="v">
      <t c="6" si="614">
        <n x="610"/>
        <n x="377"/>
        <n x="378"/>
        <n x="800" s="1"/>
        <n x="643"/>
        <n x="644"/>
      </t>
    </mdx>
    <mdx n="0" f="v">
      <t c="6" si="614">
        <n x="610"/>
        <n x="239"/>
        <n x="240"/>
        <n x="800" s="1"/>
        <n x="643"/>
        <n x="644"/>
      </t>
    </mdx>
    <mdx n="0" f="v">
      <t c="6" si="614">
        <n x="610"/>
        <n x="221"/>
        <n x="222"/>
        <n x="800" s="1"/>
        <n x="643"/>
        <n x="644"/>
      </t>
    </mdx>
    <mdx n="0" f="v">
      <t c="6" si="614">
        <n x="610"/>
        <n x="397"/>
        <n x="398"/>
        <n x="800" s="1"/>
        <n x="643"/>
        <n x="644"/>
      </t>
    </mdx>
    <mdx n="0" f="v">
      <t c="6" si="614">
        <n x="610"/>
        <n x="547"/>
        <n x="548"/>
        <n x="800" s="1"/>
        <n x="643"/>
        <n x="644"/>
      </t>
    </mdx>
    <mdx n="0" f="v">
      <t c="6" si="614">
        <n x="610"/>
        <n x="725"/>
        <n x="726"/>
        <n x="800" s="1"/>
        <n x="643"/>
        <n x="644"/>
      </t>
    </mdx>
    <mdx n="0" f="v">
      <t c="6" si="614">
        <n x="610"/>
        <n x="231"/>
        <n x="232"/>
        <n x="800" s="1"/>
        <n x="643"/>
        <n x="644"/>
      </t>
    </mdx>
    <mdx n="0" f="v">
      <t c="6" si="614">
        <n x="610"/>
        <n x="557"/>
        <n x="558"/>
        <n x="800" s="1"/>
        <n x="643"/>
        <n x="644"/>
      </t>
    </mdx>
    <mdx n="0" f="v">
      <t c="6" si="614">
        <n x="610"/>
        <n x="729"/>
        <n x="730"/>
        <n x="800" s="1"/>
        <n x="643"/>
        <n x="644"/>
      </t>
    </mdx>
    <mdx n="0" f="v">
      <t c="6" si="614">
        <n x="610"/>
        <n x="555"/>
        <n x="586"/>
        <n x="800" s="1"/>
        <n x="643"/>
        <n x="644"/>
      </t>
    </mdx>
    <mdx n="0" f="v">
      <t c="6" si="614">
        <n x="610"/>
        <n x="555"/>
        <n x="556"/>
        <n x="800" s="1"/>
        <n x="643"/>
        <n x="644"/>
      </t>
    </mdx>
    <mdx n="0" f="v">
      <t c="6" si="614">
        <n x="610"/>
        <n x="495"/>
        <n x="496"/>
        <n x="800" s="1"/>
        <n x="643"/>
        <n x="644"/>
      </t>
    </mdx>
    <mdx n="0" f="v">
      <t c="6" si="614">
        <n x="610"/>
        <n x="363"/>
        <n x="364"/>
        <n x="800" s="1"/>
        <n x="643"/>
        <n x="644"/>
      </t>
    </mdx>
    <mdx n="0" f="v">
      <t c="6" si="614">
        <n x="610"/>
        <n x="363"/>
        <n x="364"/>
        <n x="800" s="1"/>
        <n x="643"/>
        <n x="644"/>
      </t>
    </mdx>
    <mdx n="0" f="v">
      <t c="6" si="614">
        <n x="610"/>
        <n x="595"/>
        <n x="596"/>
        <n x="800" s="1"/>
        <n x="643"/>
        <n x="644"/>
      </t>
    </mdx>
    <mdx n="0" f="v">
      <t c="6" si="614">
        <n x="610"/>
        <n x="281"/>
        <n x="282"/>
        <n x="800" s="1"/>
        <n x="643"/>
        <n x="644"/>
      </t>
    </mdx>
    <mdx n="0" f="v">
      <t c="6" si="614">
        <n x="610"/>
        <n x="281"/>
        <n x="282"/>
        <n x="800" s="1"/>
        <n x="643"/>
        <n x="644"/>
      </t>
    </mdx>
    <mdx n="0" f="v">
      <t c="6" si="614">
        <n x="610"/>
        <n x="735"/>
        <n x="736"/>
        <n x="800" s="1"/>
        <n x="643"/>
        <n x="644"/>
      </t>
    </mdx>
    <mdx n="0" f="v">
      <t c="6" si="614">
        <n x="610"/>
        <n x="525"/>
        <n x="278"/>
        <n x="800" s="1"/>
        <n x="643"/>
        <n x="644"/>
      </t>
    </mdx>
    <mdx n="0" f="v">
      <t c="6" si="614">
        <n x="610"/>
        <n x="401"/>
        <n x="258"/>
        <n x="800" s="1"/>
        <n x="643"/>
        <n x="644"/>
      </t>
    </mdx>
    <mdx n="0" f="v">
      <t c="6" si="614">
        <n x="610"/>
        <n x="401"/>
        <n x="402"/>
        <n x="800" s="1"/>
        <n x="643"/>
        <n x="644"/>
      </t>
    </mdx>
    <mdx n="0" f="v">
      <t c="6" si="614">
        <n x="610"/>
        <n x="739"/>
        <n x="592"/>
        <n x="800" s="1"/>
        <n x="643"/>
        <n x="644"/>
      </t>
    </mdx>
    <mdx n="0" f="v">
      <t c="6" si="614">
        <n x="610"/>
        <n x="739"/>
        <n x="740"/>
        <n x="800" s="1"/>
        <n x="643"/>
        <n x="644"/>
      </t>
    </mdx>
    <mdx n="0" f="v">
      <t c="6" si="614">
        <n x="610"/>
        <n x="435"/>
        <n x="436"/>
        <n x="800" s="1"/>
        <n x="643"/>
        <n x="644"/>
      </t>
    </mdx>
    <mdx n="0" f="v">
      <t c="6" si="614">
        <n x="610"/>
        <n x="455"/>
        <n x="456"/>
        <n x="800" s="1"/>
        <n x="643"/>
        <n x="644"/>
      </t>
    </mdx>
    <mdx n="0" f="v">
      <t c="6" si="614">
        <n x="610"/>
        <n x="537"/>
        <n x="538"/>
        <n x="800" s="1"/>
        <n x="643"/>
        <n x="644"/>
      </t>
    </mdx>
    <mdx n="0" f="v">
      <t c="6" si="614">
        <n x="610"/>
        <n x="491"/>
        <n x="744"/>
        <n x="800" s="1"/>
        <n x="643"/>
        <n x="644"/>
      </t>
    </mdx>
    <mdx n="0" f="v">
      <t c="6" si="614">
        <n x="610"/>
        <n x="491"/>
        <n x="492"/>
        <n x="800" s="1"/>
        <n x="643"/>
        <n x="644"/>
      </t>
    </mdx>
    <mdx n="0" f="v">
      <t c="6" si="614">
        <n x="610"/>
        <n x="437"/>
        <n x="438"/>
        <n x="800" s="1"/>
        <n x="643"/>
        <n x="644"/>
      </t>
    </mdx>
    <mdx n="0" f="v">
      <t c="6" si="614">
        <n x="610"/>
        <n x="745"/>
        <n x="746"/>
        <n x="800" s="1"/>
        <n x="643"/>
        <n x="644"/>
      </t>
    </mdx>
    <mdx n="0" f="v">
      <t c="6" si="614">
        <n x="610"/>
        <n x="345"/>
        <n x="748"/>
        <n x="800" s="1"/>
        <n x="643"/>
        <n x="644"/>
      </t>
    </mdx>
    <mdx n="0" f="v">
      <t c="6" si="614">
        <n x="610"/>
        <n x="345"/>
        <n x="346"/>
        <n x="800" s="1"/>
        <n x="643"/>
        <n x="644"/>
      </t>
    </mdx>
    <mdx n="0" f="v">
      <t c="6" si="614">
        <n x="610"/>
        <n x="259"/>
        <n x="260"/>
        <n x="800" s="1"/>
        <n x="643"/>
        <n x="644"/>
      </t>
    </mdx>
    <mdx n="0" f="v">
      <t c="6" si="614">
        <n x="610"/>
        <n x="489"/>
        <n x="490"/>
        <n x="800" s="1"/>
        <n x="643"/>
        <n x="644"/>
      </t>
    </mdx>
    <mdx n="0" f="v">
      <t c="6" si="614">
        <n x="610"/>
        <n x="751"/>
        <n x="752"/>
        <n x="800" s="1"/>
        <n x="643"/>
        <n x="644"/>
      </t>
    </mdx>
    <mdx n="0" f="v">
      <t c="6" si="614">
        <n x="610"/>
        <n x="223"/>
        <n x="756"/>
        <n x="800" s="1"/>
        <n x="643"/>
        <n x="644"/>
      </t>
    </mdx>
    <mdx n="0" f="v">
      <t c="6" si="614">
        <n x="610"/>
        <n x="223"/>
        <n x="224"/>
        <n x="800" s="1"/>
        <n x="643"/>
        <n x="644"/>
      </t>
    </mdx>
    <mdx n="0" f="v">
      <t c="6" si="614">
        <n x="610"/>
        <n x="471"/>
        <n x="472"/>
        <n x="800" s="1"/>
        <n x="643"/>
        <n x="644"/>
      </t>
    </mdx>
    <mdx n="0" f="v">
      <t c="6" si="614">
        <n x="610"/>
        <n x="577"/>
        <n x="578"/>
        <n x="800" s="1"/>
        <n x="643"/>
        <n x="644"/>
      </t>
    </mdx>
    <mdx n="0" f="v">
      <t c="6" si="614">
        <n x="610"/>
        <n x="577"/>
        <n x="578"/>
        <n x="800" s="1"/>
        <n x="643"/>
        <n x="644"/>
      </t>
    </mdx>
    <mdx n="0" f="v">
      <t c="6" si="614">
        <n x="610"/>
        <n x="493"/>
        <n x="494"/>
        <n x="800" s="1"/>
        <n x="643"/>
        <n x="644"/>
      </t>
    </mdx>
    <mdx n="0" f="v">
      <t c="6" si="614">
        <n x="610"/>
        <n x="273"/>
        <n x="362"/>
        <n x="800" s="1"/>
        <n x="643"/>
        <n x="644"/>
      </t>
    </mdx>
    <mdx n="0" f="v">
      <t c="6" si="614">
        <n x="610"/>
        <n x="325"/>
        <n x="760"/>
        <n x="800" s="1"/>
        <n x="643"/>
        <n x="644"/>
      </t>
    </mdx>
    <mdx n="0" f="v">
      <t c="6" si="614">
        <n x="610"/>
        <n x="325"/>
        <n x="326"/>
        <n x="800" s="1"/>
        <n x="643"/>
        <n x="644"/>
      </t>
    </mdx>
    <mdx n="0" f="v">
      <t c="6" si="614">
        <n x="610"/>
        <n x="553"/>
        <n x="554"/>
        <n x="800" s="1"/>
        <n x="643"/>
        <n x="644"/>
      </t>
    </mdx>
    <mdx n="0" f="v">
      <t c="6" si="614">
        <n x="610"/>
        <n x="507"/>
        <n x="508"/>
        <n x="800" s="1"/>
        <n x="643"/>
        <n x="644"/>
      </t>
    </mdx>
    <mdx n="0" f="v">
      <t c="6" si="614">
        <n x="610"/>
        <n x="247"/>
        <n x="248"/>
        <n x="800" s="1"/>
        <n x="643"/>
        <n x="644"/>
      </t>
    </mdx>
    <mdx n="0" f="v">
      <t c="6" si="614">
        <n x="610"/>
        <n x="247"/>
        <n x="248"/>
        <n x="800" s="1"/>
        <n x="643"/>
        <n x="644"/>
      </t>
    </mdx>
    <mdx n="0" f="v">
      <t c="6" si="614">
        <n x="610"/>
        <n x="349"/>
        <n x="350"/>
        <n x="800" s="1"/>
        <n x="643"/>
        <n x="644"/>
      </t>
    </mdx>
    <mdx n="0" f="v">
      <t c="6" si="614">
        <n x="610"/>
        <n x="765"/>
        <n x="766"/>
        <n x="800" s="1"/>
        <n x="643"/>
        <n x="644"/>
      </t>
    </mdx>
    <mdx n="0" f="v">
      <t c="6" si="614">
        <n x="610"/>
        <n x="359"/>
        <n x="360"/>
        <n x="800" s="1"/>
        <n x="643"/>
        <n x="644"/>
      </t>
    </mdx>
    <mdx n="0" f="v">
      <t c="6" si="614">
        <n x="610"/>
        <n x="315"/>
        <n x="412"/>
        <n x="800" s="1"/>
        <n x="643"/>
        <n x="644"/>
      </t>
    </mdx>
    <mdx n="0" f="v">
      <t c="6" si="614">
        <n x="610"/>
        <n x="315"/>
        <n x="316"/>
        <n x="800" s="1"/>
        <n x="643"/>
        <n x="644"/>
      </t>
    </mdx>
    <mdx n="0" f="v">
      <t c="6" si="614">
        <n x="610"/>
        <n x="771"/>
        <n x="772"/>
        <n x="800" s="1"/>
        <n x="643"/>
        <n x="644"/>
      </t>
    </mdx>
    <mdx n="0" f="v">
      <t c="6" si="614">
        <n x="610"/>
        <n x="293"/>
        <n x="294"/>
        <n x="800" s="1"/>
        <n x="643"/>
        <n x="644"/>
      </t>
    </mdx>
    <mdx n="0" f="v">
      <t c="6" si="614">
        <n x="610"/>
        <n x="775"/>
        <n x="776"/>
        <n x="800" s="1"/>
        <n x="643"/>
        <n x="644"/>
      </t>
    </mdx>
    <mdx n="0" f="v">
      <t c="6" si="614">
        <n x="610"/>
        <n x="357"/>
        <n x="358"/>
        <n x="800" s="1"/>
        <n x="643"/>
        <n x="644"/>
      </t>
    </mdx>
    <mdx n="0" f="v">
      <t c="6" si="614">
        <n x="610"/>
        <n x="515"/>
        <n x="516"/>
        <n x="800" s="1"/>
        <n x="643"/>
        <n x="644"/>
      </t>
    </mdx>
    <mdx n="0" f="v">
      <t c="6" si="614">
        <n x="610"/>
        <n x="533"/>
        <n x="534"/>
        <n x="800" s="1"/>
        <n x="643"/>
        <n x="644"/>
      </t>
    </mdx>
    <mdx n="0" f="v">
      <t c="6" si="614">
        <n x="610"/>
        <n x="783"/>
        <n x="782"/>
        <n x="800" s="1"/>
        <n x="643"/>
        <n x="644"/>
      </t>
    </mdx>
    <mdx n="0" f="v">
      <t c="6" si="614">
        <n x="610"/>
        <n x="783"/>
        <n x="784"/>
        <n x="800" s="1"/>
        <n x="643"/>
        <n x="644"/>
      </t>
    </mdx>
    <mdx n="0" f="v">
      <t c="6" si="614">
        <n x="610"/>
        <n x="355"/>
        <n x="356"/>
        <n x="800" s="1"/>
        <n x="643"/>
        <n x="644"/>
      </t>
    </mdx>
    <mdx n="0" f="v">
      <t c="6" si="614">
        <n x="610"/>
        <n x="787"/>
        <n x="788"/>
        <n x="800" s="1"/>
        <n x="643"/>
        <n x="644"/>
      </t>
    </mdx>
    <mdx n="0" f="v">
      <t c="6" si="614">
        <n x="610"/>
        <n x="789"/>
        <n x="790"/>
        <n x="800" s="1"/>
        <n x="643"/>
        <n x="644"/>
      </t>
    </mdx>
    <mdx n="0" f="v">
      <t c="6" si="614">
        <n x="610"/>
        <n x="789"/>
        <n x="790"/>
        <n x="800" s="1"/>
        <n x="643"/>
        <n x="644"/>
      </t>
    </mdx>
    <mdx n="0" f="v">
      <t c="6" si="614">
        <n x="610"/>
        <n x="521"/>
        <n x="522"/>
        <n x="800" s="1"/>
        <n x="643"/>
        <n x="644"/>
      </t>
    </mdx>
    <mdx n="0" f="v">
      <t c="6" si="614">
        <n x="610"/>
        <n x="545"/>
        <n x="546"/>
        <n x="800" s="1"/>
        <n x="643"/>
        <n x="644"/>
      </t>
    </mdx>
    <mdx n="0" f="v">
      <t c="6" si="614">
        <n x="610"/>
        <n x="451"/>
        <n x="452"/>
        <n x="800" s="1"/>
        <n x="643"/>
        <n x="644"/>
      </t>
    </mdx>
    <mdx n="0" f="v">
      <t c="6" si="614">
        <n x="610"/>
        <n x="523"/>
        <n x="524"/>
        <n x="800" s="1"/>
        <n x="643"/>
        <n x="644"/>
      </t>
    </mdx>
    <mdx n="0" f="v">
      <t c="6" si="614">
        <n x="610"/>
        <n x="351"/>
        <n x="352"/>
        <n x="800" s="1"/>
        <n x="643"/>
        <n x="644"/>
      </t>
    </mdx>
    <mdx n="0" f="v">
      <t c="6" si="614">
        <n x="610"/>
        <n x="227"/>
        <n x="228"/>
        <n x="800" s="1"/>
        <n x="643"/>
        <n x="644"/>
      </t>
    </mdx>
    <mdx n="0" f="v">
      <t c="6" si="614">
        <n x="610"/>
        <n x="795"/>
        <n x="796"/>
        <n x="800" s="1"/>
        <n x="643"/>
        <n x="644"/>
      </t>
    </mdx>
    <mdx n="0" f="v">
      <t c="6" si="614">
        <n x="610"/>
        <n x="303"/>
        <n x="304"/>
        <n x="800" s="1"/>
        <n x="643"/>
        <n x="644"/>
      </t>
    </mdx>
    <mdx n="0" f="v">
      <t c="6" si="614">
        <n x="610"/>
        <n x="439"/>
        <n x="440"/>
        <n x="800" s="1"/>
        <n x="643"/>
        <n x="644"/>
      </t>
    </mdx>
    <mdx n="0" f="v">
      <t c="6" si="614">
        <n x="610"/>
        <n x="225"/>
        <n x="226"/>
        <n x="800" s="1"/>
        <n x="643"/>
        <n x="644"/>
      </t>
    </mdx>
    <mdx n="0" f="v">
      <t c="6" si="614">
        <n x="610"/>
        <n x="373"/>
        <n x="374"/>
        <n x="800" s="1"/>
        <n x="643"/>
        <n x="644"/>
      </t>
    </mdx>
    <mdx n="0" f="v">
      <t c="6" si="614">
        <n x="610"/>
        <n x="327"/>
        <n x="328"/>
        <n x="800" s="1"/>
        <n x="643"/>
        <n x="644"/>
      </t>
    </mdx>
    <mdx n="0" f="v">
      <t c="6" si="614">
        <n x="610"/>
        <n x="327"/>
        <n x="328"/>
        <n x="800" s="1"/>
        <n x="643"/>
        <n x="644"/>
      </t>
    </mdx>
    <mdx n="0" f="v">
      <t c="6" si="614">
        <n x="610"/>
        <n x="421"/>
        <n x="804"/>
        <n x="800" s="1"/>
        <n x="643"/>
        <n x="644"/>
      </t>
    </mdx>
    <mdx n="0" f="v">
      <t c="6" si="614">
        <n x="610"/>
        <n x="421"/>
        <n x="422"/>
        <n x="800" s="1"/>
        <n x="643"/>
        <n x="644"/>
      </t>
    </mdx>
    <mdx n="0" f="v">
      <t c="6" si="614">
        <n x="610"/>
        <n x="477"/>
        <n x="478"/>
        <n x="800" s="1"/>
        <n x="643"/>
        <n x="644"/>
      </t>
    </mdx>
    <mdx n="0" f="v">
      <t c="6" si="614">
        <n x="610"/>
        <n x="497"/>
        <n x="498"/>
        <n x="800" s="1"/>
        <n x="643"/>
        <n x="644"/>
      </t>
    </mdx>
    <mdx n="0" f="v">
      <t c="6" si="614">
        <n x="610"/>
        <n x="497"/>
        <n x="498"/>
        <n x="800" s="1"/>
        <n x="643"/>
        <n x="644"/>
      </t>
    </mdx>
    <mdx n="0" f="v">
      <t c="6" si="614">
        <n x="610"/>
        <n x="251"/>
        <n x="252"/>
        <n x="800" s="1"/>
        <n x="643"/>
        <n x="644"/>
      </t>
    </mdx>
    <mdx n="0" f="v">
      <t c="6" si="614">
        <n x="610"/>
        <n x="425"/>
        <n x="426"/>
        <n x="800" s="1"/>
        <n x="643"/>
        <n x="644"/>
      </t>
    </mdx>
    <mdx n="0" f="v">
      <t c="6" si="614">
        <n x="610"/>
        <n x="519"/>
        <n x="520"/>
        <n x="800" s="1"/>
        <n x="643"/>
        <n x="644"/>
      </t>
    </mdx>
    <mdx n="0" f="v">
      <t c="6" si="614">
        <n x="610"/>
        <n x="253"/>
        <n x="254"/>
        <n x="800" s="1"/>
        <n x="643"/>
        <n x="644"/>
      </t>
    </mdx>
    <mdx n="0" f="v">
      <t c="6" si="614">
        <n x="610"/>
        <n x="805"/>
        <n x="806"/>
        <n x="800" s="1"/>
        <n x="643"/>
        <n x="644"/>
      </t>
    </mdx>
    <mdx n="0" f="v">
      <t c="6" si="614">
        <n x="610"/>
        <n x="805"/>
        <n x="806"/>
        <n x="800" s="1"/>
        <n x="643"/>
        <n x="644"/>
      </t>
    </mdx>
    <mdx n="0" f="v">
      <t c="6" si="614">
        <n x="610"/>
        <n x="285"/>
        <n x="286"/>
        <n x="800" s="1"/>
        <n x="635"/>
        <n x="636"/>
      </t>
    </mdx>
    <mdx n="0" f="v">
      <t c="6" si="614">
        <n x="610"/>
        <n x="275"/>
        <n x="276"/>
        <n x="800" s="1"/>
        <n x="635"/>
        <n x="636"/>
      </t>
    </mdx>
    <mdx n="0" f="v">
      <t c="6" si="614">
        <n x="610"/>
        <n x="723"/>
        <n x="724"/>
        <n x="800" s="1"/>
        <n x="635"/>
        <n x="636"/>
      </t>
    </mdx>
    <mdx n="0" f="v">
      <t c="6" si="614">
        <n x="610"/>
        <n x="377"/>
        <n x="378"/>
        <n x="800" s="1"/>
        <n x="635"/>
        <n x="636"/>
      </t>
    </mdx>
    <mdx n="0" f="v">
      <t c="6" si="614">
        <n x="610"/>
        <n x="397"/>
        <n x="398"/>
        <n x="800" s="1"/>
        <n x="635"/>
        <n x="636"/>
      </t>
    </mdx>
    <mdx n="0" f="v">
      <t c="6" si="614">
        <n x="610"/>
        <n x="317"/>
        <n x="318"/>
        <n x="800" s="1"/>
        <n x="635"/>
        <n x="636"/>
      </t>
    </mdx>
    <mdx n="0" f="v">
      <t c="6" si="614">
        <n x="610"/>
        <n x="557"/>
        <n x="558"/>
        <n x="800" s="1"/>
        <n x="635"/>
        <n x="636"/>
      </t>
    </mdx>
    <mdx n="0" f="v">
      <t c="6" si="614">
        <n x="610"/>
        <n x="495"/>
        <n x="496"/>
        <n x="800" s="1"/>
        <n x="635"/>
        <n x="636"/>
      </t>
    </mdx>
    <mdx n="0" f="v">
      <t c="6" si="614">
        <n x="610"/>
        <n x="541"/>
        <n x="542"/>
        <n x="800" s="1"/>
        <n x="635"/>
        <n x="636"/>
      </t>
    </mdx>
    <mdx n="0" f="v">
      <t c="6" si="614">
        <n x="610"/>
        <n x="363"/>
        <n x="364"/>
        <n x="800" s="1"/>
        <n x="635"/>
        <n x="636"/>
      </t>
    </mdx>
    <mdx n="0" f="v">
      <t c="6" si="614">
        <n x="610"/>
        <n x="595"/>
        <n x="596"/>
        <n x="800" s="1"/>
        <n x="635"/>
        <n x="636"/>
      </t>
    </mdx>
    <mdx n="0" f="v">
      <t c="6" si="614">
        <n x="610"/>
        <n x="281"/>
        <n x="282"/>
        <n x="800" s="1"/>
        <n x="635"/>
        <n x="636"/>
      </t>
    </mdx>
    <mdx n="0" f="v">
      <t c="6" si="614">
        <n x="610"/>
        <n x="735"/>
        <n x="736"/>
        <n x="800" s="1"/>
        <n x="635"/>
        <n x="636"/>
      </t>
    </mdx>
    <mdx n="0" f="v">
      <t c="6" si="614">
        <n x="610"/>
        <n x="525"/>
        <n x="526"/>
        <n x="800" s="1"/>
        <n x="635"/>
        <n x="636"/>
      </t>
    </mdx>
    <mdx n="0" f="v">
      <t c="6" si="614">
        <n x="610"/>
        <n x="401"/>
        <n x="402"/>
        <n x="800" s="1"/>
        <n x="635"/>
        <n x="636"/>
      </t>
    </mdx>
    <mdx n="0" f="v">
      <t c="6" si="614">
        <n x="610"/>
        <n x="401"/>
        <n x="402"/>
        <n x="800" s="1"/>
        <n x="635"/>
        <n x="636"/>
      </t>
    </mdx>
    <mdx n="0" f="v">
      <t c="6" si="614">
        <n x="610"/>
        <n x="591"/>
        <n x="592"/>
        <n x="800" s="1"/>
        <n x="635"/>
        <n x="636"/>
      </t>
    </mdx>
    <mdx n="0" f="v">
      <t c="6" si="614">
        <n x="610"/>
        <n x="739"/>
        <n x="740"/>
        <n x="800" s="1"/>
        <n x="635"/>
        <n x="636"/>
      </t>
    </mdx>
    <mdx n="0" f="v">
      <t c="6" si="614">
        <n x="610"/>
        <n x="435"/>
        <n x="436"/>
        <n x="800" s="1"/>
        <n x="635"/>
        <n x="636"/>
      </t>
    </mdx>
    <mdx n="0" f="v">
      <t c="6" si="614">
        <n x="610"/>
        <n x="537"/>
        <n x="538"/>
        <n x="800" s="1"/>
        <n x="635"/>
        <n x="636"/>
      </t>
    </mdx>
    <mdx n="0" f="v">
      <t c="6" si="614">
        <n x="610"/>
        <n x="491"/>
        <n x="492"/>
        <n x="800" s="1"/>
        <n x="635"/>
        <n x="636"/>
      </t>
    </mdx>
    <mdx n="0" f="v">
      <t c="6" si="614">
        <n x="610"/>
        <n x="437"/>
        <n x="438"/>
        <n x="800" s="1"/>
        <n x="635"/>
        <n x="636"/>
      </t>
    </mdx>
    <mdx n="0" f="v">
      <t c="6" si="614">
        <n x="610"/>
        <n x="437"/>
        <n x="438"/>
        <n x="800" s="1"/>
        <n x="635"/>
        <n x="636"/>
      </t>
    </mdx>
    <mdx n="0" f="v">
      <t c="6" si="614">
        <n x="610"/>
        <n x="747"/>
        <n x="746"/>
        <n x="800" s="1"/>
        <n x="635"/>
        <n x="636"/>
      </t>
    </mdx>
    <mdx n="0" f="v">
      <t c="6" si="614">
        <n x="610"/>
        <n x="259"/>
        <n x="260"/>
        <n x="800" s="1"/>
        <n x="635"/>
        <n x="636"/>
      </t>
    </mdx>
    <mdx n="0" f="v">
      <t c="6" si="614">
        <n x="610"/>
        <n x="223"/>
        <n x="224"/>
        <n x="800" s="1"/>
        <n x="635"/>
        <n x="636"/>
      </t>
    </mdx>
    <mdx n="0" f="v">
      <t c="6" si="614">
        <n x="610"/>
        <n x="471"/>
        <n x="472"/>
        <n x="800" s="1"/>
        <n x="635"/>
        <n x="636"/>
      </t>
    </mdx>
    <mdx n="0" f="v">
      <t c="6" si="614">
        <n x="610"/>
        <n x="577"/>
        <n x="578"/>
        <n x="800" s="1"/>
        <n x="635"/>
        <n x="636"/>
      </t>
    </mdx>
    <mdx n="0" f="v">
      <t c="6" si="614">
        <n x="610"/>
        <n x="493"/>
        <n x="494"/>
        <n x="800" s="1"/>
        <n x="635"/>
        <n x="636"/>
      </t>
    </mdx>
    <mdx n="0" f="v">
      <t c="6" si="614">
        <n x="610"/>
        <n x="273"/>
        <n x="274"/>
        <n x="800" s="1"/>
        <n x="635"/>
        <n x="636"/>
      </t>
    </mdx>
    <mdx n="0" f="v">
      <t c="6" si="614">
        <n x="610"/>
        <n x="549"/>
        <n x="550"/>
        <n x="800" s="1"/>
        <n x="635"/>
        <n x="636"/>
      </t>
    </mdx>
    <mdx n="0" f="v">
      <t c="6" si="614">
        <n x="610"/>
        <n x="247"/>
        <n x="248"/>
        <n x="800" s="1"/>
        <n x="635"/>
        <n x="636"/>
      </t>
    </mdx>
    <mdx n="0" f="v">
      <t c="6" si="614">
        <n x="610"/>
        <n x="359"/>
        <n x="766"/>
        <n x="800" s="1"/>
        <n x="635"/>
        <n x="636"/>
      </t>
    </mdx>
    <mdx n="0" f="v">
      <t c="6" si="614">
        <n x="610"/>
        <n x="359"/>
        <n x="360"/>
        <n x="800" s="1"/>
        <n x="635"/>
        <n x="636"/>
      </t>
    </mdx>
    <mdx n="0" f="v">
      <t c="6" si="614">
        <n x="610"/>
        <n x="411"/>
        <n x="412"/>
        <n x="800" s="1"/>
        <n x="635"/>
        <n x="636"/>
      </t>
    </mdx>
    <mdx n="0" f="v">
      <t c="6" si="614">
        <n x="610"/>
        <n x="511"/>
        <n x="316"/>
        <n x="800" s="1"/>
        <n x="635"/>
        <n x="636"/>
      </t>
    </mdx>
    <mdx n="0" f="v">
      <t c="6" si="614">
        <n x="610"/>
        <n x="249"/>
        <n x="250"/>
        <n x="800" s="1"/>
        <n x="635"/>
        <n x="636"/>
      </t>
    </mdx>
    <mdx n="0" f="v">
      <t c="6" si="614">
        <n x="610"/>
        <n x="515"/>
        <n x="516"/>
        <n x="800" s="1"/>
        <n x="635"/>
        <n x="636"/>
      </t>
    </mdx>
    <mdx n="0" f="v">
      <t c="6" si="614">
        <n x="610"/>
        <n x="779"/>
        <n x="780"/>
        <n x="800" s="1"/>
        <n x="635"/>
        <n x="636"/>
      </t>
    </mdx>
    <mdx n="0" f="v">
      <t c="6" si="614">
        <n x="610"/>
        <n x="355"/>
        <n x="784"/>
        <n x="800" s="1"/>
        <n x="635"/>
        <n x="636"/>
      </t>
    </mdx>
    <mdx n="0" f="v">
      <t c="6" si="614">
        <n x="610"/>
        <n x="787"/>
        <n x="788"/>
        <n x="800" s="1"/>
        <n x="635"/>
        <n x="636"/>
      </t>
    </mdx>
    <mdx n="0" f="v">
      <t c="6" si="614">
        <n x="610"/>
        <n x="531"/>
        <n x="532"/>
        <n x="800" s="1"/>
        <n x="635"/>
        <n x="636"/>
      </t>
    </mdx>
    <mdx n="0" f="v">
      <t c="6" si="614">
        <n x="610"/>
        <n x="451"/>
        <n x="452"/>
        <n x="800" s="1"/>
        <n x="635"/>
        <n x="636"/>
      </t>
    </mdx>
    <mdx n="0" f="v">
      <t c="6" si="614">
        <n x="610"/>
        <n x="795"/>
        <n x="796"/>
        <n x="800" s="1"/>
        <n x="635"/>
        <n x="636"/>
      </t>
    </mdx>
    <mdx n="0" f="v">
      <t c="6" si="614">
        <n x="610"/>
        <n x="225"/>
        <n x="226"/>
        <n x="800" s="1"/>
        <n x="635"/>
        <n x="636"/>
      </t>
    </mdx>
    <mdx n="0" f="v">
      <t c="6" si="614">
        <n x="610"/>
        <n x="449"/>
        <n x="450"/>
        <n x="800" s="1"/>
        <n x="635"/>
        <n x="636"/>
      </t>
    </mdx>
    <mdx n="0" f="v">
      <t c="6" si="614">
        <n x="610"/>
        <n x="449"/>
        <n x="450"/>
        <n x="800" s="1"/>
        <n x="635"/>
        <n x="636"/>
      </t>
    </mdx>
    <mdx n="0" f="v">
      <t c="6" si="614">
        <n x="610"/>
        <n x="803"/>
        <n x="804"/>
        <n x="800" s="1"/>
        <n x="635"/>
        <n x="636"/>
      </t>
    </mdx>
    <mdx n="0" f="v">
      <t c="6" si="614">
        <n x="610"/>
        <n x="477"/>
        <n x="422"/>
        <n x="800" s="1"/>
        <n x="635"/>
        <n x="636"/>
      </t>
    </mdx>
    <mdx n="0" f="v">
      <t c="6" si="614">
        <n x="610"/>
        <n x="497"/>
        <n x="338"/>
        <n x="800" s="1"/>
        <n x="635"/>
        <n x="636"/>
      </t>
    </mdx>
    <mdx n="0" f="v">
      <t c="6" si="614">
        <n x="610"/>
        <n x="519"/>
        <n x="426"/>
        <n x="800" s="1"/>
        <n x="635"/>
        <n x="636"/>
      </t>
    </mdx>
    <mdx n="0" f="v">
      <t c="6" si="614">
        <n x="610"/>
        <n x="519"/>
        <n x="520"/>
        <n x="800" s="1"/>
        <n x="635"/>
        <n x="636"/>
      </t>
    </mdx>
    <mdx n="0" f="v">
      <t c="6" si="614">
        <n x="610"/>
        <n x="369"/>
        <n x="370"/>
        <n x="800" s="1"/>
        <n x="635"/>
        <n x="636"/>
      </t>
    </mdx>
    <mdx n="0" f="v">
      <t c="6" si="614">
        <n x="610"/>
        <n x="713"/>
        <n x="714"/>
        <n x="800" s="1"/>
        <n x="645"/>
        <n x="646"/>
      </t>
    </mdx>
    <mdx n="0" f="v">
      <t c="6" si="614">
        <n x="610"/>
        <n x="599"/>
        <n x="600"/>
        <n x="800" s="1"/>
        <n x="645"/>
        <n x="646"/>
      </t>
    </mdx>
    <mdx n="0" f="v">
      <t c="6" si="614">
        <n x="610"/>
        <n x="285"/>
        <n x="286"/>
        <n x="800" s="1"/>
        <n x="645"/>
        <n x="646"/>
      </t>
    </mdx>
    <mdx n="0" f="v">
      <t c="6" si="614">
        <n x="610"/>
        <n x="275"/>
        <n x="276"/>
        <n x="800" s="1"/>
        <n x="645"/>
        <n x="646"/>
      </t>
    </mdx>
    <mdx n="0" f="v">
      <t c="6" si="614">
        <n x="610"/>
        <n x="585"/>
        <n x="586"/>
        <n x="800" s="1"/>
        <n x="645"/>
        <n x="646"/>
      </t>
    </mdx>
    <mdx n="0" f="v">
      <t c="6" si="614">
        <n x="610"/>
        <n x="723"/>
        <n x="724"/>
        <n x="800" s="1"/>
        <n x="645"/>
        <n x="646"/>
      </t>
    </mdx>
    <mdx n="0" f="v">
      <t c="6" si="614">
        <n x="610"/>
        <n x="377"/>
        <n x="378"/>
        <n x="800" s="1"/>
        <n x="645"/>
        <n x="646"/>
      </t>
    </mdx>
    <mdx n="0" f="v">
      <t c="6" si="614">
        <n x="610"/>
        <n x="239"/>
        <n x="240"/>
        <n x="800" s="1"/>
        <n x="645"/>
        <n x="646"/>
      </t>
    </mdx>
    <mdx n="0" f="v">
      <t c="6" si="614">
        <n x="610"/>
        <n x="221"/>
        <n x="222"/>
        <n x="800" s="1"/>
        <n x="645"/>
        <n x="646"/>
      </t>
    </mdx>
    <mdx n="0" f="v">
      <t c="6" si="614">
        <n x="610"/>
        <n x="397"/>
        <n x="398"/>
        <n x="800" s="1"/>
        <n x="645"/>
        <n x="646"/>
      </t>
    </mdx>
    <mdx n="0" f="v">
      <t c="6" si="614">
        <n x="610"/>
        <n x="547"/>
        <n x="548"/>
        <n x="800" s="1"/>
        <n x="645"/>
        <n x="646"/>
      </t>
    </mdx>
    <mdx n="0" f="v">
      <t c="6" si="614">
        <n x="610"/>
        <n x="725"/>
        <n x="726"/>
        <n x="800" s="1"/>
        <n x="645"/>
        <n x="646"/>
      </t>
    </mdx>
    <mdx n="0" f="v">
      <t c="6" si="614">
        <n x="610"/>
        <n x="231"/>
        <n x="232"/>
        <n x="800" s="1"/>
        <n x="645"/>
        <n x="646"/>
      </t>
    </mdx>
    <mdx n="0" f="v">
      <t c="6" si="614">
        <n x="610"/>
        <n x="557"/>
        <n x="558"/>
        <n x="800" s="1"/>
        <n x="645"/>
        <n x="646"/>
      </t>
    </mdx>
    <mdx n="0" f="v">
      <t c="6" si="614">
        <n x="610"/>
        <n x="555"/>
        <n x="556"/>
        <n x="800" s="1"/>
        <n x="645"/>
        <n x="646"/>
      </t>
    </mdx>
    <mdx n="0" f="v">
      <t c="6" si="614">
        <n x="610"/>
        <n x="555"/>
        <n x="556"/>
        <n x="800" s="1"/>
        <n x="645"/>
        <n x="646"/>
      </t>
    </mdx>
    <mdx n="0" f="v">
      <t c="6" si="614">
        <n x="610"/>
        <n x="541"/>
        <n x="542"/>
        <n x="800" s="1"/>
        <n x="645"/>
        <n x="646"/>
      </t>
    </mdx>
    <mdx n="0" f="v">
      <t c="6" si="614">
        <n x="610"/>
        <n x="363"/>
        <n x="608"/>
        <n x="800" s="1"/>
        <n x="645"/>
        <n x="646"/>
      </t>
    </mdx>
    <mdx n="0" f="v">
      <t c="6" si="614">
        <n x="610"/>
        <n x="235"/>
        <n x="236"/>
        <n x="800" s="1"/>
        <n x="645"/>
        <n x="646"/>
      </t>
    </mdx>
    <mdx n="0" f="v">
      <t c="6" si="614">
        <n x="610"/>
        <n x="389"/>
        <n x="390"/>
        <n x="800" s="1"/>
        <n x="645"/>
        <n x="646"/>
      </t>
    </mdx>
    <mdx n="0" f="v">
      <t c="6" si="614">
        <n x="610"/>
        <n x="277"/>
        <n x="278"/>
        <n x="800" s="1"/>
        <n x="645"/>
        <n x="646"/>
      </t>
    </mdx>
    <mdx n="0" f="v">
      <t c="6" si="614">
        <n x="610"/>
        <n x="257"/>
        <n x="258"/>
        <n x="800" s="1"/>
        <n x="645"/>
        <n x="646"/>
      </t>
    </mdx>
    <mdx n="0" f="v">
      <t c="6" si="614">
        <n x="610"/>
        <n x="591"/>
        <n x="592"/>
        <n x="800" s="1"/>
        <n x="645"/>
        <n x="646"/>
      </t>
    </mdx>
    <mdx n="0" f="v">
      <t c="6" si="614">
        <n x="610"/>
        <n x="435"/>
        <n x="436"/>
        <n x="800" s="1"/>
        <n x="645"/>
        <n x="646"/>
      </t>
    </mdx>
    <mdx n="0" f="v">
      <t c="6" si="614">
        <n x="610"/>
        <n x="537"/>
        <n x="538"/>
        <n x="800" s="1"/>
        <n x="645"/>
        <n x="646"/>
      </t>
    </mdx>
    <mdx n="0" f="v">
      <t c="6" si="614">
        <n x="610"/>
        <n x="491"/>
        <n x="492"/>
        <n x="800" s="1"/>
        <n x="645"/>
        <n x="646"/>
      </t>
    </mdx>
    <mdx n="0" f="v">
      <t c="6" si="614">
        <n x="610"/>
        <n x="491"/>
        <n x="492"/>
        <n x="800" s="1"/>
        <n x="645"/>
        <n x="646"/>
      </t>
    </mdx>
    <mdx n="0" f="v">
      <t c="6" si="614">
        <n x="610"/>
        <n x="437"/>
        <n x="590"/>
        <n x="800" s="1"/>
        <n x="645"/>
        <n x="646"/>
      </t>
    </mdx>
    <mdx n="0" f="v">
      <t c="6" si="614">
        <n x="610"/>
        <n x="437"/>
        <n x="438"/>
        <n x="800" s="1"/>
        <n x="645"/>
        <n x="646"/>
      </t>
    </mdx>
    <mdx n="0" f="v">
      <t c="6" si="614">
        <n x="610"/>
        <n x="513"/>
        <n x="514"/>
        <n x="800" s="1"/>
        <n x="645"/>
        <n x="646"/>
      </t>
    </mdx>
    <mdx n="0" f="v">
      <t c="6" si="614">
        <n x="610"/>
        <n x="745"/>
        <n x="746"/>
        <n x="800" s="1"/>
        <n x="645"/>
        <n x="646"/>
      </t>
    </mdx>
    <mdx n="0" f="v">
      <t c="6" si="614">
        <n x="610"/>
        <n x="747"/>
        <n x="748"/>
        <n x="800" s="1"/>
        <n x="645"/>
        <n x="646"/>
      </t>
    </mdx>
    <mdx n="0" f="v">
      <t c="6" si="614">
        <n x="610"/>
        <n x="345"/>
        <n x="346"/>
        <n x="800" s="1"/>
        <n x="645"/>
        <n x="646"/>
      </t>
    </mdx>
    <mdx n="0" f="v">
      <t c="6" si="614">
        <n x="610"/>
        <n x="259"/>
        <n x="260"/>
        <n x="800" s="1"/>
        <n x="645"/>
        <n x="646"/>
      </t>
    </mdx>
    <mdx n="0" f="v">
      <t c="6" si="614">
        <n x="610"/>
        <n x="489"/>
        <n x="490"/>
        <n x="800" s="1"/>
        <n x="645"/>
        <n x="646"/>
      </t>
    </mdx>
    <mdx n="0" f="v">
      <t c="6" si="614">
        <n x="610"/>
        <n x="593"/>
        <n x="594"/>
        <n x="800" s="1"/>
        <n x="645"/>
        <n x="646"/>
      </t>
    </mdx>
    <mdx n="0" f="v">
      <t c="6" si="614">
        <n x="610"/>
        <n x="223"/>
        <n x="224"/>
        <n x="800" s="1"/>
        <n x="645"/>
        <n x="646"/>
      </t>
    </mdx>
    <mdx n="0" f="v">
      <t c="6" si="614">
        <n x="610"/>
        <n x="471"/>
        <n x="472"/>
        <n x="800" s="1"/>
        <n x="645"/>
        <n x="646"/>
      </t>
    </mdx>
    <mdx n="0" f="v">
      <t c="6" si="614">
        <n x="610"/>
        <n x="577"/>
        <n x="578"/>
        <n x="800" s="1"/>
        <n x="645"/>
        <n x="646"/>
      </t>
    </mdx>
    <mdx n="0" f="v">
      <t c="6" si="614">
        <n x="610"/>
        <n x="361"/>
        <n x="362"/>
        <n x="800" s="1"/>
        <n x="645"/>
        <n x="646"/>
      </t>
    </mdx>
    <mdx n="0" f="v">
      <t c="6" si="614">
        <n x="610"/>
        <n x="759"/>
        <n x="760"/>
        <n x="800" s="1"/>
        <n x="645"/>
        <n x="646"/>
      </t>
    </mdx>
    <mdx n="0" f="v">
      <t c="6" si="614">
        <n x="610"/>
        <n x="553"/>
        <n x="554"/>
        <n x="800" s="1"/>
        <n x="645"/>
        <n x="646"/>
      </t>
    </mdx>
    <mdx n="0" f="v">
      <t c="6" si="614">
        <n x="610"/>
        <n x="507"/>
        <n x="550"/>
        <n x="800" s="1"/>
        <n x="645"/>
        <n x="646"/>
      </t>
    </mdx>
    <mdx n="0" f="v">
      <t c="6" si="614">
        <n x="610"/>
        <n x="287"/>
        <n x="288"/>
        <n x="800" s="1"/>
        <n x="645"/>
        <n x="646"/>
      </t>
    </mdx>
    <mdx n="0" f="v">
      <t c="6" si="614">
        <n x="610"/>
        <n x="765"/>
        <n x="766"/>
        <n x="800" s="1"/>
        <n x="645"/>
        <n x="646"/>
      </t>
    </mdx>
    <mdx n="0" f="v">
      <t c="6" si="614">
        <n x="610"/>
        <n x="411"/>
        <n x="412"/>
        <n x="800" s="1"/>
        <n x="645"/>
        <n x="646"/>
      </t>
    </mdx>
    <mdx n="0" f="v">
      <t c="6" si="614">
        <n x="610"/>
        <n x="511"/>
        <n x="512"/>
        <n x="800" s="1"/>
        <n x="645"/>
        <n x="646"/>
      </t>
    </mdx>
    <mdx n="0" f="v">
      <t c="6" si="614">
        <n x="610"/>
        <n x="293"/>
        <n x="294"/>
        <n x="800" s="1"/>
        <n x="645"/>
        <n x="646"/>
      </t>
    </mdx>
    <mdx n="0" f="v">
      <t c="6" si="614">
        <n x="610"/>
        <n x="775"/>
        <n x="776"/>
        <n x="800" s="1"/>
        <n x="645"/>
        <n x="646"/>
      </t>
    </mdx>
    <mdx n="0" f="v">
      <t c="6" si="614">
        <n x="610"/>
        <n x="515"/>
        <n x="516"/>
        <n x="800" s="1"/>
        <n x="645"/>
        <n x="646"/>
      </t>
    </mdx>
    <mdx n="0" f="v">
      <t c="6" si="614">
        <n x="610"/>
        <n x="779"/>
        <n x="780"/>
        <n x="800" s="1"/>
        <n x="645"/>
        <n x="646"/>
      </t>
    </mdx>
    <mdx n="0" f="v">
      <t c="6" si="614">
        <n x="610"/>
        <n x="533"/>
        <n x="534"/>
        <n x="800" s="1"/>
        <n x="645"/>
        <n x="646"/>
      </t>
    </mdx>
    <mdx n="0" f="v">
      <t c="6" si="614">
        <n x="610"/>
        <n x="781"/>
        <n x="782"/>
        <n x="800" s="1"/>
        <n x="645"/>
        <n x="646"/>
      </t>
    </mdx>
    <mdx n="0" f="v">
      <t c="6" si="614">
        <n x="610"/>
        <n x="783"/>
        <n x="784"/>
        <n x="800" s="1"/>
        <n x="645"/>
        <n x="646"/>
      </t>
    </mdx>
    <mdx n="0" f="v">
      <t c="6" si="614">
        <n x="610"/>
        <n x="355"/>
        <n x="356"/>
        <n x="800" s="1"/>
        <n x="645"/>
        <n x="646"/>
      </t>
    </mdx>
    <mdx n="0" f="v">
      <t c="6" si="614">
        <n x="610"/>
        <n x="787"/>
        <n x="788"/>
        <n x="800" s="1"/>
        <n x="645"/>
        <n x="646"/>
      </t>
    </mdx>
    <mdx n="0" f="v">
      <t c="6" si="614">
        <n x="610"/>
        <n x="789"/>
        <n x="790"/>
        <n x="800" s="1"/>
        <n x="645"/>
        <n x="646"/>
      </t>
    </mdx>
    <mdx n="0" f="v">
      <t c="6" si="614">
        <n x="610"/>
        <n x="531"/>
        <n x="532"/>
        <n x="800" s="1"/>
        <n x="645"/>
        <n x="646"/>
      </t>
    </mdx>
    <mdx n="0" f="v">
      <t c="6" si="614">
        <n x="610"/>
        <n x="545"/>
        <n x="546"/>
        <n x="800" s="1"/>
        <n x="645"/>
        <n x="646"/>
      </t>
    </mdx>
    <mdx n="0" f="v">
      <t c="6" si="614">
        <n x="610"/>
        <n x="451"/>
        <n x="452"/>
        <n x="800" s="1"/>
        <n x="645"/>
        <n x="646"/>
      </t>
    </mdx>
    <mdx n="0" f="v">
      <t c="6" si="614">
        <n x="610"/>
        <n x="523"/>
        <n x="524"/>
        <n x="800" s="1"/>
        <n x="645"/>
        <n x="646"/>
      </t>
    </mdx>
    <mdx n="0" f="v">
      <t c="6" si="614">
        <n x="610"/>
        <n x="351"/>
        <n x="352"/>
        <n x="800" s="1"/>
        <n x="645"/>
        <n x="646"/>
      </t>
    </mdx>
    <mdx n="0" f="v">
      <t c="6" si="614">
        <n x="610"/>
        <n x="351"/>
        <n x="352"/>
        <n x="800" s="1"/>
        <n x="645"/>
        <n x="646"/>
      </t>
    </mdx>
    <mdx n="0" f="v">
      <t c="6" si="614">
        <n x="610"/>
        <n x="227"/>
        <n x="228"/>
        <n x="800" s="1"/>
        <n x="645"/>
        <n x="646"/>
      </t>
    </mdx>
    <mdx n="0" f="v">
      <t c="6" si="614">
        <n x="610"/>
        <n x="795"/>
        <n x="796"/>
        <n x="800" s="1"/>
        <n x="645"/>
        <n x="646"/>
      </t>
    </mdx>
    <mdx n="0" f="v">
      <t c="6" si="614">
        <n x="610"/>
        <n x="305"/>
        <n x="306"/>
        <n x="800" s="1"/>
        <n x="645"/>
        <n x="646"/>
      </t>
    </mdx>
    <mdx n="0" f="v">
      <t c="6" si="614">
        <n x="610"/>
        <n x="291"/>
        <n x="292"/>
        <n x="800" s="1"/>
        <n x="645"/>
        <n x="646"/>
      </t>
    </mdx>
    <mdx n="0" f="v">
      <t c="6" si="614">
        <n x="610"/>
        <n x="449"/>
        <n x="450"/>
        <n x="800" s="1"/>
        <n x="645"/>
        <n x="646"/>
      </t>
    </mdx>
    <mdx n="0" f="v">
      <t c="6" si="614">
        <n x="610"/>
        <n x="803"/>
        <n x="804"/>
        <n x="800" s="1"/>
        <n x="645"/>
        <n x="646"/>
      </t>
    </mdx>
    <mdx n="0" f="v">
      <t c="6" si="614">
        <n x="610"/>
        <n x="803"/>
        <n x="804"/>
        <n x="800" s="1"/>
        <n x="645"/>
        <n x="646"/>
      </t>
    </mdx>
    <mdx n="0" f="v">
      <t c="6" si="614">
        <n x="610"/>
        <n x="421"/>
        <n x="422"/>
        <n x="800" s="1"/>
        <n x="645"/>
        <n x="646"/>
      </t>
    </mdx>
    <mdx n="0" f="v">
      <t c="6" si="614">
        <n x="610"/>
        <n x="477"/>
        <n x="478"/>
        <n x="800" s="1"/>
        <n x="645"/>
        <n x="646"/>
      </t>
    </mdx>
    <mdx n="0" f="v">
      <t c="6" si="614">
        <n x="610"/>
        <n x="337"/>
        <n x="338"/>
        <n x="800" s="1"/>
        <n x="645"/>
        <n x="646"/>
      </t>
    </mdx>
    <mdx n="0" f="v">
      <t c="6" si="614">
        <n x="610"/>
        <n x="251"/>
        <n x="252"/>
        <n x="800" s="1"/>
        <n x="645"/>
        <n x="646"/>
      </t>
    </mdx>
    <mdx n="0" f="v">
      <t c="6" si="614">
        <n x="610"/>
        <n x="251"/>
        <n x="252"/>
        <n x="800" s="1"/>
        <n x="645"/>
        <n x="646"/>
      </t>
    </mdx>
    <mdx n="0" f="v">
      <t c="6" si="614">
        <n x="610"/>
        <n x="519"/>
        <n x="520"/>
        <n x="800" s="1"/>
        <n x="645"/>
        <n x="646"/>
      </t>
    </mdx>
    <mdx n="0" f="v">
      <t c="6" si="614">
        <n x="610"/>
        <n x="369"/>
        <n x="254"/>
        <n x="800" s="1"/>
        <n x="645"/>
        <n x="646"/>
      </t>
    </mdx>
    <mdx n="0" f="v">
      <t c="6" si="614">
        <n x="610"/>
        <n x="805"/>
        <n x="806"/>
        <n x="800" s="1"/>
        <n x="645"/>
        <n x="646"/>
      </t>
    </mdx>
    <mdx n="0" f="v">
      <t c="6" si="614">
        <n x="610"/>
        <n x="805"/>
        <n x="806"/>
        <n x="800" s="1"/>
        <n x="645"/>
        <n x="646"/>
      </t>
    </mdx>
    <mdx n="0" f="v">
      <t c="6" si="614">
        <n x="610"/>
        <n x="805"/>
        <n x="806"/>
        <n x="800" s="1"/>
        <n x="645"/>
        <n x="646"/>
      </t>
    </mdx>
    <mdx n="0" f="v">
      <t c="6" si="614">
        <n x="610"/>
        <n x="709"/>
        <n x="710"/>
        <n x="800" s="1"/>
        <n x="647"/>
        <n x="648"/>
      </t>
    </mdx>
    <mdx n="0" f="v">
      <t c="6" si="614">
        <n x="610"/>
        <n x="599"/>
        <n x="600"/>
        <n x="800" s="1"/>
        <n x="647"/>
        <n x="648"/>
      </t>
    </mdx>
    <mdx n="0" f="v">
      <t c="6" si="614">
        <n x="610"/>
        <n x="585"/>
        <n x="586"/>
        <n x="800" s="1"/>
        <n x="647"/>
        <n x="648"/>
      </t>
    </mdx>
    <mdx n="0" f="v">
      <t c="6" si="614">
        <n x="610"/>
        <n x="397"/>
        <n x="398"/>
        <n x="800" s="1"/>
        <n x="647"/>
        <n x="648"/>
      </t>
    </mdx>
    <mdx n="0" f="v">
      <t c="6" si="614">
        <n x="610"/>
        <n x="231"/>
        <n x="232"/>
        <n x="800" s="1"/>
        <n x="647"/>
        <n x="648"/>
      </t>
    </mdx>
    <mdx n="0" f="v">
      <t c="6" si="614">
        <n x="610"/>
        <n x="607"/>
        <n x="608"/>
        <n x="800" s="1"/>
        <n x="647"/>
        <n x="648"/>
      </t>
    </mdx>
    <mdx n="0" f="v">
      <t c="6" si="614">
        <n x="610"/>
        <n x="235"/>
        <n x="236"/>
        <n x="800" s="1"/>
        <n x="647"/>
        <n x="648"/>
      </t>
    </mdx>
    <mdx n="0" f="v">
      <t c="6" si="614">
        <n x="610"/>
        <n x="735"/>
        <n x="736"/>
        <n x="800" s="1"/>
        <n x="647"/>
        <n x="648"/>
      </t>
    </mdx>
    <mdx n="0" f="v">
      <t c="6" si="614">
        <n x="610"/>
        <n x="257"/>
        <n x="258"/>
        <n x="800" s="1"/>
        <n x="647"/>
        <n x="648"/>
      </t>
    </mdx>
    <mdx n="0" f="v">
      <t c="6" si="614">
        <n x="610"/>
        <n x="537"/>
        <n x="538"/>
        <n x="800" s="1"/>
        <n x="647"/>
        <n x="648"/>
      </t>
    </mdx>
    <mdx n="0" f="v">
      <t c="6" si="614">
        <n x="610"/>
        <n x="589"/>
        <n x="590"/>
        <n x="800" s="1"/>
        <n x="647"/>
        <n x="648"/>
      </t>
    </mdx>
    <mdx n="0" f="v">
      <t c="6" si="614">
        <n x="610"/>
        <n x="745"/>
        <n x="746"/>
        <n x="800" s="1"/>
        <n x="647"/>
        <n x="648"/>
      </t>
    </mdx>
    <mdx n="0" f="v">
      <t c="6" si="614">
        <n x="610"/>
        <n x="259"/>
        <n x="260"/>
        <n x="800" s="1"/>
        <n x="647"/>
        <n x="648"/>
      </t>
    </mdx>
    <mdx n="0" f="v">
      <t c="6" si="614">
        <n x="610"/>
        <n x="593"/>
        <n x="594"/>
        <n x="800" s="1"/>
        <n x="647"/>
        <n x="648"/>
      </t>
    </mdx>
    <mdx n="0" f="v">
      <t c="6" si="614">
        <n x="610"/>
        <n x="223"/>
        <n x="224"/>
        <n x="800" s="1"/>
        <n x="647"/>
        <n x="648"/>
      </t>
    </mdx>
    <mdx n="0" f="v">
      <t c="6" si="614">
        <n x="610"/>
        <n x="325"/>
        <n x="326"/>
        <n x="800" s="1"/>
        <n x="647"/>
        <n x="648"/>
      </t>
    </mdx>
    <mdx n="0" f="v">
      <t c="6" si="614">
        <n x="610"/>
        <n x="507"/>
        <n x="508"/>
        <n x="800" s="1"/>
        <n x="647"/>
        <n x="648"/>
      </t>
    </mdx>
    <mdx n="0" f="v">
      <t c="6" si="614">
        <n x="610"/>
        <n x="349"/>
        <n x="350"/>
        <n x="800" s="1"/>
        <n x="647"/>
        <n x="648"/>
      </t>
    </mdx>
    <mdx n="0" f="v">
      <t c="6" si="614">
        <n x="610"/>
        <n x="411"/>
        <n x="412"/>
        <n x="800" s="1"/>
        <n x="647"/>
        <n x="648"/>
      </t>
    </mdx>
    <mdx n="0" f="v">
      <t c="6" si="614">
        <n x="610"/>
        <n x="771"/>
        <n x="772"/>
        <n x="800" s="1"/>
        <n x="647"/>
        <n x="648"/>
      </t>
    </mdx>
    <mdx n="0" f="v">
      <t c="6" si="614">
        <n x="610"/>
        <n x="775"/>
        <n x="776"/>
        <n x="800" s="1"/>
        <n x="647"/>
        <n x="648"/>
      </t>
    </mdx>
    <mdx n="0" f="v">
      <t c="6" si="614">
        <n x="610"/>
        <n x="779"/>
        <n x="780"/>
        <n x="800" s="1"/>
        <n x="647"/>
        <n x="648"/>
      </t>
    </mdx>
    <mdx n="0" f="v">
      <t c="6" si="614">
        <n x="610"/>
        <n x="783"/>
        <n x="784"/>
        <n x="800" s="1"/>
        <n x="647"/>
        <n x="648"/>
      </t>
    </mdx>
    <mdx n="0" f="v">
      <t c="6" si="614">
        <n x="610"/>
        <n x="531"/>
        <n x="532"/>
        <n x="800" s="1"/>
        <n x="647"/>
        <n x="648"/>
      </t>
    </mdx>
    <mdx n="0" f="v">
      <t c="6" si="614">
        <n x="610"/>
        <n x="451"/>
        <n x="452"/>
        <n x="800" s="1"/>
        <n x="647"/>
        <n x="648"/>
      </t>
    </mdx>
    <mdx n="0" f="v">
      <t c="6" si="614">
        <n x="610"/>
        <n x="351"/>
        <n x="352"/>
        <n x="800" s="1"/>
        <n x="647"/>
        <n x="648"/>
      </t>
    </mdx>
    <mdx n="0" f="v">
      <t c="6" si="614">
        <n x="610"/>
        <n x="795"/>
        <n x="796"/>
        <n x="800" s="1"/>
        <n x="647"/>
        <n x="648"/>
      </t>
    </mdx>
    <mdx n="0" f="v">
      <t c="6" si="614">
        <n x="610"/>
        <n x="305"/>
        <n x="306"/>
        <n x="800" s="1"/>
        <n x="647"/>
        <n x="648"/>
      </t>
    </mdx>
    <mdx n="0" f="v">
      <t c="6" si="614">
        <n x="610"/>
        <n x="803"/>
        <n x="804"/>
        <n x="800" s="1"/>
        <n x="647"/>
        <n x="648"/>
      </t>
    </mdx>
    <mdx n="0" f="v">
      <t c="6" si="614">
        <n x="610"/>
        <n x="337"/>
        <n x="338"/>
        <n x="800" s="1"/>
        <n x="647"/>
        <n x="648"/>
      </t>
    </mdx>
    <mdx n="0" f="v">
      <t c="6" si="614">
        <n x="610"/>
        <n x="369"/>
        <n x="370"/>
        <n x="800" s="1"/>
        <n x="647"/>
        <n x="648"/>
      </t>
    </mdx>
    <mdx n="0" f="v">
      <t c="6" si="614">
        <n x="610"/>
        <n x="711"/>
        <n x="712"/>
        <n x="800" s="1"/>
        <n x="647"/>
        <n x="648"/>
      </t>
    </mdx>
    <mdx n="0" f="v">
      <t c="6" si="614">
        <n x="610"/>
        <n x="721"/>
        <n x="722"/>
        <n x="800" s="1"/>
        <n x="647"/>
        <n x="648"/>
      </t>
    </mdx>
    <mdx n="0" f="v">
      <t c="6" si="614">
        <n x="610"/>
        <n x="379"/>
        <n x="380"/>
        <n x="800" s="1"/>
        <n x="647"/>
        <n x="648"/>
      </t>
    </mdx>
    <mdx n="0" f="v">
      <t c="6" si="614">
        <n x="610"/>
        <n x="217"/>
        <n x="460"/>
        <n x="800" s="1"/>
        <n x="647"/>
        <n x="648"/>
      </t>
    </mdx>
    <mdx n="0" f="v">
      <t c="6" si="614">
        <n x="610"/>
        <n x="217"/>
        <n x="218"/>
        <n x="800" s="1"/>
        <n x="647"/>
        <n x="648"/>
      </t>
    </mdx>
    <mdx n="0" f="v">
      <t c="6" si="614">
        <n x="610"/>
        <n x="601"/>
        <n x="602"/>
        <n x="800" s="1"/>
        <n x="647"/>
        <n x="648"/>
      </t>
    </mdx>
    <mdx n="0" f="v">
      <t c="6" si="614">
        <n x="610"/>
        <n x="453"/>
        <n x="238"/>
        <n x="800" s="1"/>
        <n x="647"/>
        <n x="648"/>
      </t>
    </mdx>
    <mdx n="0" f="v">
      <t c="6" si="614">
        <n x="610"/>
        <n x="453"/>
        <n x="454"/>
        <n x="800" s="1"/>
        <n x="647"/>
        <n x="648"/>
      </t>
    </mdx>
    <mdx n="0" f="v">
      <t c="6" si="614">
        <n x="610"/>
        <n x="283"/>
        <n x="284"/>
        <n x="800" s="1"/>
        <n x="647"/>
        <n x="648"/>
      </t>
    </mdx>
    <mdx n="0" f="v">
      <t c="6" si="614">
        <n x="610"/>
        <n x="741"/>
        <n x="742"/>
        <n x="800" s="1"/>
        <n x="647"/>
        <n x="648"/>
      </t>
    </mdx>
    <mdx n="0" f="v">
      <t c="6" si="614">
        <n x="610"/>
        <n x="605"/>
        <n x="606"/>
        <n x="800" s="1"/>
        <n x="647"/>
        <n x="648"/>
      </t>
    </mdx>
    <mdx n="0" f="v">
      <t c="6" si="614">
        <n x="610"/>
        <n x="299"/>
        <n x="300"/>
        <n x="800" s="1"/>
        <n x="647"/>
        <n x="648"/>
      </t>
    </mdx>
    <mdx n="0" f="v">
      <t c="6" si="614">
        <n x="610"/>
        <n x="229"/>
        <n x="230"/>
        <n x="800" s="1"/>
        <n x="647"/>
        <n x="648"/>
      </t>
    </mdx>
    <mdx n="0" f="v">
      <t c="6" si="614">
        <n x="610"/>
        <n x="399"/>
        <n x="400"/>
        <n x="800" s="1"/>
        <n x="647"/>
        <n x="648"/>
      </t>
    </mdx>
    <mdx n="0" f="v">
      <t c="6" si="614">
        <n x="610"/>
        <n x="469"/>
        <n x="470"/>
        <n x="800" s="1"/>
        <n x="647"/>
        <n x="648"/>
      </t>
    </mdx>
    <mdx n="0" f="v">
      <t c="6" si="614">
        <n x="610"/>
        <n x="539"/>
        <n x="540"/>
        <n x="800" s="1"/>
        <n x="647"/>
        <n x="648"/>
      </t>
    </mdx>
    <mdx n="0" f="v">
      <t c="6" si="614">
        <n x="610"/>
        <n x="777"/>
        <n x="778"/>
        <n x="800" s="1"/>
        <n x="647"/>
        <n x="648"/>
      </t>
    </mdx>
    <mdx n="0" f="v">
      <t c="6" si="614">
        <n x="610"/>
        <n x="269"/>
        <n x="270"/>
        <n x="800" s="1"/>
        <n x="647"/>
        <n x="648"/>
      </t>
    </mdx>
    <mdx n="0" f="v">
      <t c="6" si="614">
        <n x="610"/>
        <n x="565"/>
        <n x="566"/>
        <n x="800" s="1"/>
        <n x="647"/>
        <n x="648"/>
      </t>
    </mdx>
    <mdx n="0" f="v">
      <t c="6" si="614">
        <n x="610"/>
        <n x="213"/>
        <n x="214"/>
        <n x="800" s="1"/>
        <n x="647"/>
        <n x="648"/>
      </t>
    </mdx>
    <mdx n="0" f="v">
      <t c="6" si="614">
        <n x="610"/>
        <n x="563"/>
        <n x="564"/>
        <n x="800" s="1"/>
        <n x="647"/>
        <n x="648"/>
      </t>
    </mdx>
    <mdx n="0" f="v">
      <t c="6" si="614">
        <n x="610"/>
        <n x="587"/>
        <n x="588"/>
        <n x="800" s="1"/>
        <n x="647"/>
        <n x="648"/>
      </t>
    </mdx>
    <mdx n="0" f="v">
      <t c="6" si="614">
        <n x="610"/>
        <n x="559"/>
        <n x="560"/>
        <n x="800" s="1"/>
        <n x="647"/>
        <n x="648"/>
      </t>
    </mdx>
    <mdx n="0" f="v">
      <t c="6" si="614">
        <n x="610"/>
        <n x="371"/>
        <n x="372"/>
        <n x="800" s="1"/>
        <n x="647"/>
        <n x="648"/>
      </t>
    </mdx>
    <mdx n="0" f="v">
      <t c="6" si="614">
        <n x="610"/>
        <n x="723"/>
        <n x="724"/>
        <n x="800" s="1"/>
        <n x="647"/>
        <n x="648"/>
      </t>
    </mdx>
    <mdx n="0" f="v">
      <t c="6" si="614">
        <n x="610"/>
        <n x="239"/>
        <n x="286"/>
        <n x="800" s="1"/>
        <n x="647"/>
        <n x="648"/>
      </t>
    </mdx>
    <mdx n="0" f="v">
      <t c="6" si="614">
        <n x="610"/>
        <n x="239"/>
        <n x="240"/>
        <n x="800" s="1"/>
        <n x="647"/>
        <n x="648"/>
      </t>
    </mdx>
    <mdx n="0" f="v">
      <t c="6" si="614">
        <n x="610"/>
        <n x="557"/>
        <n x="558"/>
        <n x="800" s="1"/>
        <n x="647"/>
        <n x="648"/>
      </t>
    </mdx>
    <mdx n="0" f="v">
      <t c="6" si="614">
        <n x="610"/>
        <n x="363"/>
        <n x="364"/>
        <n x="800" s="1"/>
        <n x="647"/>
        <n x="648"/>
      </t>
    </mdx>
    <mdx n="0" f="v">
      <t c="6" si="614">
        <n x="610"/>
        <n x="277"/>
        <n x="278"/>
        <n x="800" s="1"/>
        <n x="647"/>
        <n x="648"/>
      </t>
    </mdx>
    <mdx n="0" f="v">
      <t c="6" si="614">
        <n x="610"/>
        <n x="435"/>
        <n x="436"/>
        <n x="800" s="1"/>
        <n x="647"/>
        <n x="648"/>
      </t>
    </mdx>
    <mdx n="0" f="v">
      <t c="6" si="614">
        <n x="610"/>
        <n x="437"/>
        <n x="438"/>
        <n x="800" s="1"/>
        <n x="647"/>
        <n x="648"/>
      </t>
    </mdx>
    <mdx n="0" f="v">
      <t c="6" si="614">
        <n x="610"/>
        <n x="749"/>
        <n x="750"/>
        <n x="800" s="1"/>
        <n x="647"/>
        <n x="648"/>
      </t>
    </mdx>
    <mdx n="0" f="v">
      <t c="6" si="614">
        <n x="610"/>
        <n x="751"/>
        <n x="752"/>
        <n x="800" s="1"/>
        <n x="647"/>
        <n x="648"/>
      </t>
    </mdx>
    <mdx n="0" f="v">
      <t c="6" si="614">
        <n x="610"/>
        <n x="273"/>
        <n x="274"/>
        <n x="800" s="1"/>
        <n x="647"/>
        <n x="648"/>
      </t>
    </mdx>
    <mdx n="0" f="v">
      <t c="6" si="614">
        <n x="610"/>
        <n x="553"/>
        <n x="554"/>
        <n x="800" s="1"/>
        <n x="647"/>
        <n x="648"/>
      </t>
    </mdx>
    <mdx n="0" f="v">
      <t c="6" si="614">
        <n x="610"/>
        <n x="315"/>
        <n x="316"/>
        <n x="800" s="1"/>
        <n x="647"/>
        <n x="648"/>
      </t>
    </mdx>
    <mdx n="0" f="v">
      <t c="6" si="614">
        <n x="610"/>
        <n x="315"/>
        <n x="316"/>
        <n x="800" s="1"/>
        <n x="647"/>
        <n x="648"/>
      </t>
    </mdx>
    <mdx n="0" f="v">
      <t c="6" si="614">
        <n x="610"/>
        <n x="357"/>
        <n x="358"/>
        <n x="800" s="1"/>
        <n x="647"/>
        <n x="648"/>
      </t>
    </mdx>
    <mdx n="0" f="v">
      <t c="6" si="614">
        <n x="610"/>
        <n x="357"/>
        <n x="358"/>
        <n x="800" s="1"/>
        <n x="647"/>
        <n x="648"/>
      </t>
    </mdx>
    <mdx n="0" f="v">
      <t c="6" si="614">
        <n x="610"/>
        <n x="533"/>
        <n x="534"/>
        <n x="800" s="1"/>
        <n x="647"/>
        <n x="648"/>
      </t>
    </mdx>
    <mdx n="0" f="v">
      <t c="6" si="614">
        <n x="610"/>
        <n x="355"/>
        <n x="356"/>
        <n x="800" s="1"/>
        <n x="647"/>
        <n x="648"/>
      </t>
    </mdx>
    <mdx n="0" f="v">
      <t c="6" si="614">
        <n x="610"/>
        <n x="581"/>
        <n x="582"/>
        <n x="800" s="1"/>
        <n x="647"/>
        <n x="648"/>
      </t>
    </mdx>
    <mdx n="0" f="v">
      <t c="6" si="614">
        <n x="610"/>
        <n x="521"/>
        <n x="522"/>
        <n x="800" s="1"/>
        <n x="647"/>
        <n x="648"/>
      </t>
    </mdx>
    <mdx n="0" f="v">
      <t c="6" si="614">
        <n x="610"/>
        <n x="523"/>
        <n x="524"/>
        <n x="800" s="1"/>
        <n x="647"/>
        <n x="648"/>
      </t>
    </mdx>
    <mdx n="0" f="v">
      <t c="6" si="614">
        <n x="610"/>
        <n x="791"/>
        <n x="792"/>
        <n x="800" s="1"/>
        <n x="647"/>
        <n x="648"/>
      </t>
    </mdx>
    <mdx n="0" f="v">
      <t c="6" si="614">
        <n x="610"/>
        <n x="303"/>
        <n x="304"/>
        <n x="800" s="1"/>
        <n x="647"/>
        <n x="648"/>
      </t>
    </mdx>
    <mdx n="0" f="v">
      <t c="6" si="614">
        <n x="610"/>
        <n x="449"/>
        <n x="226"/>
        <n x="800" s="1"/>
        <n x="647"/>
        <n x="648"/>
      </t>
    </mdx>
    <mdx n="0" f="v">
      <t c="6" si="614">
        <n x="610"/>
        <n x="449"/>
        <n x="450"/>
        <n x="800" s="1"/>
        <n x="647"/>
        <n x="648"/>
      </t>
    </mdx>
    <mdx n="0" f="v">
      <t c="6" si="614">
        <n x="610"/>
        <n x="421"/>
        <n x="422"/>
        <n x="800" s="1"/>
        <n x="647"/>
        <n x="648"/>
      </t>
    </mdx>
    <mdx n="0" f="v">
      <t c="6" si="614">
        <n x="610"/>
        <n x="519"/>
        <n x="520"/>
        <n x="800" s="1"/>
        <n x="647"/>
        <n x="648"/>
      </t>
    </mdx>
    <mdx n="0" f="v">
      <t c="6" si="614">
        <n x="610"/>
        <n x="519"/>
        <n x="520"/>
        <n x="800" s="1"/>
        <n x="647"/>
        <n x="648"/>
      </t>
    </mdx>
    <mdx n="0" f="v">
      <t c="6" si="614">
        <n x="610"/>
        <n x="805"/>
        <n x="806"/>
        <n x="800" s="1"/>
        <n x="647"/>
        <n x="648"/>
      </t>
    </mdx>
    <mdx n="0" f="v">
      <t c="6" si="614">
        <n x="610"/>
        <n x="715"/>
        <n x="716"/>
        <n x="800" s="1"/>
        <n x="647"/>
        <n x="648"/>
      </t>
    </mdx>
    <mdx n="0" f="v">
      <t c="6" si="614">
        <n x="610"/>
        <n x="463"/>
        <n x="464"/>
        <n x="800" s="1"/>
        <n x="647"/>
        <n x="648"/>
      </t>
    </mdx>
    <mdx n="0" f="v">
      <t c="6" si="614">
        <n x="610"/>
        <n x="597"/>
        <n x="598"/>
        <n x="800" s="1"/>
        <n x="647"/>
        <n x="648"/>
      </t>
    </mdx>
    <mdx n="0" f="v">
      <t c="6" si="614">
        <n x="610"/>
        <n x="731"/>
        <n x="728"/>
        <n x="800" s="1"/>
        <n x="647"/>
        <n x="648"/>
      </t>
    </mdx>
    <mdx n="0" f="v">
      <t c="6" si="614">
        <n x="610"/>
        <n x="243"/>
        <n x="244"/>
        <n x="800" s="1"/>
        <n x="647"/>
        <n x="648"/>
      </t>
    </mdx>
    <mdx n="0" f="v">
      <t c="6" si="614">
        <n x="610"/>
        <n x="443"/>
        <n x="444"/>
        <n x="800" s="1"/>
        <n x="647"/>
        <n x="648"/>
      </t>
    </mdx>
    <mdx n="0" f="v">
      <t c="6" si="614">
        <n x="610"/>
        <n x="561"/>
        <n x="562"/>
        <n x="800" s="1"/>
        <n x="647"/>
        <n x="648"/>
      </t>
    </mdx>
    <mdx n="0" f="v">
      <t c="6" si="614">
        <n x="610"/>
        <n x="441"/>
        <n x="442"/>
        <n x="800" s="1"/>
        <n x="647"/>
        <n x="648"/>
      </t>
    </mdx>
    <mdx n="0" f="v">
      <t c="6" si="614">
        <n x="610"/>
        <n x="753"/>
        <n x="754"/>
        <n x="800" s="1"/>
        <n x="647"/>
        <n x="648"/>
      </t>
    </mdx>
    <mdx n="0" f="v">
      <t c="6" si="614">
        <n x="610"/>
        <n x="289"/>
        <n x="290"/>
        <n x="800" s="1"/>
        <n x="647"/>
        <n x="648"/>
      </t>
    </mdx>
    <mdx n="0" f="v">
      <t c="6" si="614">
        <n x="610"/>
        <n x="245"/>
        <n x="758"/>
        <n x="800" s="1"/>
        <n x="647"/>
        <n x="648"/>
      </t>
    </mdx>
    <mdx n="0" f="v">
      <t c="6" si="614">
        <n x="610"/>
        <n x="509"/>
        <n x="510"/>
        <n x="800" s="1"/>
        <n x="647"/>
        <n x="648"/>
      </t>
    </mdx>
    <mdx n="0" f="v">
      <t c="6" si="614">
        <n x="610"/>
        <n x="529"/>
        <n x="530"/>
        <n x="800" s="1"/>
        <n x="647"/>
        <n x="648"/>
      </t>
    </mdx>
    <mdx n="0" f="v">
      <t c="6" si="614">
        <n x="610"/>
        <n x="527"/>
        <n x="528"/>
        <n x="800" s="1"/>
        <n x="647"/>
        <n x="648"/>
      </t>
    </mdx>
    <mdx n="0" f="v">
      <t c="6" si="614">
        <n x="610"/>
        <n x="785"/>
        <n x="786"/>
        <n x="800" s="1"/>
        <n x="647"/>
        <n x="648"/>
      </t>
    </mdx>
    <mdx n="0" f="v">
      <t c="6" si="614">
        <n x="610"/>
        <n x="297"/>
        <n x="298"/>
        <n x="800" s="1"/>
        <n x="647"/>
        <n x="648"/>
      </t>
    </mdx>
    <mdx n="0" f="v">
      <t c="6" si="614">
        <n x="610"/>
        <n x="211"/>
        <n x="332"/>
        <n x="800" s="1"/>
        <n x="647"/>
        <n x="648"/>
      </t>
    </mdx>
    <mdx n="0" f="v">
      <t c="6" si="614">
        <n x="610"/>
        <n x="801"/>
        <n x="802"/>
        <n x="800" s="1"/>
        <n x="647"/>
        <n x="648"/>
      </t>
    </mdx>
    <mdx n="0" f="v">
      <t c="6" si="614">
        <n x="610"/>
        <n x="263"/>
        <n x="264"/>
        <n x="800" s="1"/>
        <n x="647"/>
        <n x="648"/>
      </t>
    </mdx>
    <mdx n="0" f="v">
      <t c="6" si="614">
        <n x="610"/>
        <n x="573"/>
        <n x="574"/>
        <n x="800" s="1"/>
        <n x="647"/>
        <n x="648"/>
      </t>
    </mdx>
    <mdx n="0" f="v">
      <t c="6" si="614">
        <n x="610"/>
        <n x="317"/>
        <n x="318"/>
        <n x="800" s="1"/>
        <n x="647"/>
        <n x="648"/>
      </t>
    </mdx>
    <mdx n="0" f="v">
      <t c="6" si="614">
        <n x="610"/>
        <n x="275"/>
        <n x="276"/>
        <n x="800" s="1"/>
        <n x="647"/>
        <n x="648"/>
      </t>
    </mdx>
    <mdx n="0" f="v">
      <t c="6" si="614">
        <n x="610"/>
        <n x="275"/>
        <n x="276"/>
        <n x="800" s="1"/>
        <n x="647"/>
        <n x="648"/>
      </t>
    </mdx>
    <mdx n="0" f="v">
      <t c="6" si="614">
        <n x="610"/>
        <n x="725"/>
        <n x="222"/>
        <n x="800" s="1"/>
        <n x="647"/>
        <n x="648"/>
      </t>
    </mdx>
    <mdx n="0" f="v">
      <t c="6" si="614">
        <n x="610"/>
        <n x="725"/>
        <n x="726"/>
        <n x="800" s="1"/>
        <n x="647"/>
        <n x="648"/>
      </t>
    </mdx>
    <mdx n="0" f="v">
      <t c="6" si="614">
        <n x="610"/>
        <n x="541"/>
        <n x="542"/>
        <n x="800" s="1"/>
        <n x="647"/>
        <n x="648"/>
      </t>
    </mdx>
    <mdx n="0" f="v">
      <t c="6" si="614">
        <n x="610"/>
        <n x="389"/>
        <n x="390"/>
        <n x="800" s="1"/>
        <n x="647"/>
        <n x="648"/>
      </t>
    </mdx>
    <mdx n="0" f="v">
      <t c="6" si="614">
        <n x="610"/>
        <n x="591"/>
        <n x="592"/>
        <n x="800" s="1"/>
        <n x="647"/>
        <n x="648"/>
      </t>
    </mdx>
    <mdx n="0" f="v">
      <t c="6" si="614">
        <n x="610"/>
        <n x="455"/>
        <n x="456"/>
        <n x="800" s="1"/>
        <n x="647"/>
        <n x="648"/>
      </t>
    </mdx>
    <mdx n="0" f="v">
      <t c="6" si="614">
        <n x="610"/>
        <n x="513"/>
        <n x="514"/>
        <n x="800" s="1"/>
        <n x="647"/>
        <n x="648"/>
      </t>
    </mdx>
    <mdx n="0" f="v">
      <t c="6" si="614">
        <n x="610"/>
        <n x="513"/>
        <n x="514"/>
        <n x="800" s="1"/>
        <n x="647"/>
        <n x="648"/>
      </t>
    </mdx>
    <mdx n="0" f="v">
      <t c="6" si="614">
        <n x="610"/>
        <n x="345"/>
        <n x="346"/>
        <n x="800" s="1"/>
        <n x="647"/>
        <n x="648"/>
      </t>
    </mdx>
    <mdx n="0" f="v">
      <t c="6" si="614">
        <n x="610"/>
        <n x="489"/>
        <n x="490"/>
        <n x="800" s="1"/>
        <n x="647"/>
        <n x="648"/>
      </t>
    </mdx>
    <mdx n="0" f="v">
      <t c="6" si="614">
        <n x="610"/>
        <n x="407"/>
        <n x="408"/>
        <n x="800" s="1"/>
        <n x="647"/>
        <n x="648"/>
      </t>
    </mdx>
    <mdx n="0" f="v">
      <t c="6" si="614">
        <n x="610"/>
        <n x="493"/>
        <n x="494"/>
        <n x="800" s="1"/>
        <n x="647"/>
        <n x="648"/>
      </t>
    </mdx>
    <mdx n="0" f="v">
      <t c="6" si="614">
        <n x="610"/>
        <n x="549"/>
        <n x="550"/>
        <n x="800" s="1"/>
        <n x="647"/>
        <n x="648"/>
      </t>
    </mdx>
    <mdx n="0" f="v">
      <t c="6" si="614">
        <n x="610"/>
        <n x="359"/>
        <n x="288"/>
        <n x="800" s="1"/>
        <n x="647"/>
        <n x="648"/>
      </t>
    </mdx>
    <mdx n="0" f="v">
      <t c="6" si="614">
        <n x="610"/>
        <n x="359"/>
        <n x="360"/>
        <n x="800" s="1"/>
        <n x="647"/>
        <n x="648"/>
      </t>
    </mdx>
    <mdx n="0" f="v">
      <t c="6" si="614">
        <n x="610"/>
        <n x="511"/>
        <n x="512"/>
        <n x="800" s="1"/>
        <n x="647"/>
        <n x="648"/>
      </t>
    </mdx>
    <mdx n="0" f="v">
      <t c="6" si="614">
        <n x="610"/>
        <n x="249"/>
        <n x="250"/>
        <n x="800" s="1"/>
        <n x="647"/>
        <n x="648"/>
      </t>
    </mdx>
    <mdx n="0" f="v">
      <t c="6" si="614">
        <n x="610"/>
        <n x="515"/>
        <n x="516"/>
        <n x="800" s="1"/>
        <n x="647"/>
        <n x="648"/>
      </t>
    </mdx>
    <mdx n="0" f="v">
      <t c="6" si="614">
        <n x="610"/>
        <n x="787"/>
        <n x="788"/>
        <n x="800" s="1"/>
        <n x="647"/>
        <n x="648"/>
      </t>
    </mdx>
    <mdx n="0" f="v">
      <t c="6" si="614">
        <n x="610"/>
        <n x="789"/>
        <n x="790"/>
        <n x="800" s="1"/>
        <n x="647"/>
        <n x="648"/>
      </t>
    </mdx>
    <mdx n="0" f="v">
      <t c="6" si="614">
        <n x="610"/>
        <n x="545"/>
        <n x="546"/>
        <n x="800" s="1"/>
        <n x="647"/>
        <n x="648"/>
      </t>
    </mdx>
    <mdx n="0" f="v">
      <t c="6" si="614">
        <n x="610"/>
        <n x="227"/>
        <n x="580"/>
        <n x="800" s="1"/>
        <n x="647"/>
        <n x="648"/>
      </t>
    </mdx>
    <mdx n="0" f="v">
      <t c="6" si="614">
        <n x="610"/>
        <n x="439"/>
        <n x="440"/>
        <n x="800" s="1"/>
        <n x="647"/>
        <n x="648"/>
      </t>
    </mdx>
    <mdx n="0" f="v">
      <t c="6" si="614">
        <n x="610"/>
        <n x="291"/>
        <n x="292"/>
        <n x="800" s="1"/>
        <n x="647"/>
        <n x="648"/>
      </t>
    </mdx>
    <mdx n="0" f="v">
      <t c="6" si="614">
        <n x="610"/>
        <n x="477"/>
        <n x="478"/>
        <n x="800" s="1"/>
        <n x="647"/>
        <n x="648"/>
      </t>
    </mdx>
    <mdx n="0" f="v">
      <t c="6" si="614">
        <n x="610"/>
        <n x="253"/>
        <n x="254"/>
        <n x="800" s="1"/>
        <n x="647"/>
        <n x="648"/>
      </t>
    </mdx>
    <mdx n="0" f="v">
      <t c="6" si="614">
        <n x="610"/>
        <n x="717"/>
        <n x="720"/>
        <n x="800" s="1"/>
        <n x="647"/>
        <n x="648"/>
      </t>
    </mdx>
    <mdx n="0" f="v">
      <t c="6" si="614">
        <n x="610"/>
        <n x="461"/>
        <n x="462"/>
        <n x="800" s="1"/>
        <n x="647"/>
        <n x="648"/>
      </t>
    </mdx>
    <mdx n="0" f="v">
      <t c="6" si="614">
        <n x="610"/>
        <n x="367"/>
        <n x="368"/>
        <n x="800" s="1"/>
        <n x="647"/>
        <n x="648"/>
      </t>
    </mdx>
    <mdx n="0" f="v">
      <t c="6" si="614">
        <n x="610"/>
        <n x="413"/>
        <n x="414"/>
        <n x="800" s="1"/>
        <n x="647"/>
        <n x="648"/>
      </t>
    </mdx>
    <mdx n="0" f="v">
      <t c="6" si="614">
        <n x="610"/>
        <n x="387"/>
        <n x="388"/>
        <n x="800" s="1"/>
        <n x="647"/>
        <n x="648"/>
      </t>
    </mdx>
    <mdx n="0" f="v">
      <t c="6" si="614">
        <n x="610"/>
        <n x="429"/>
        <n x="430"/>
        <n x="800" s="1"/>
        <n x="647"/>
        <n x="648"/>
      </t>
    </mdx>
    <mdx n="0" f="v">
      <t c="6" si="614">
        <n x="610"/>
        <n x="203"/>
        <n x="204"/>
        <n x="800" s="1"/>
        <n x="647"/>
        <n x="648"/>
      </t>
    </mdx>
    <mdx n="0" f="v">
      <t c="6" si="614">
        <n x="610"/>
        <n x="241"/>
        <n x="242"/>
        <n x="800" s="1"/>
        <n x="647"/>
        <n x="648"/>
      </t>
    </mdx>
    <mdx n="0" f="v">
      <t c="6" si="614">
        <n x="610"/>
        <n x="321"/>
        <n x="322"/>
        <n x="800" s="1"/>
        <n x="647"/>
        <n x="648"/>
      </t>
    </mdx>
    <mdx n="0" f="v">
      <t c="6" si="614">
        <n x="610"/>
        <n x="761"/>
        <n x="762"/>
        <n x="800" s="1"/>
        <n x="647"/>
        <n x="648"/>
      </t>
    </mdx>
    <mdx n="0" f="v">
      <t c="6" si="614">
        <n x="610"/>
        <n x="255"/>
        <n x="256"/>
        <n x="800" s="1"/>
        <n x="647"/>
        <n x="648"/>
      </t>
    </mdx>
    <mdx n="0" f="v">
      <t c="6" si="614">
        <n x="610"/>
        <n x="427"/>
        <n x="428"/>
        <n x="800" s="1"/>
        <n x="647"/>
        <n x="648"/>
      </t>
    </mdx>
    <mdx n="0" f="v">
      <t c="6" si="614">
        <n x="610"/>
        <n x="445"/>
        <n x="446"/>
        <n x="800" s="1"/>
        <n x="647"/>
        <n x="648"/>
      </t>
    </mdx>
    <mdx n="0" f="v">
      <t c="6" si="614">
        <n x="610"/>
        <n x="583"/>
        <n x="584"/>
        <n x="800" s="1"/>
        <n x="647"/>
        <n x="648"/>
      </t>
    </mdx>
    <mdx n="0" f="v">
      <t c="6" si="614">
        <n x="610"/>
        <n x="311"/>
        <n x="312"/>
        <n x="800" s="1"/>
        <n x="647"/>
        <n x="648"/>
      </t>
    </mdx>
    <mdx n="0" f="v">
      <t c="6" si="614">
        <n x="610"/>
        <n x="793"/>
        <n x="794"/>
        <n x="800" s="1"/>
        <n x="647"/>
        <n x="648"/>
      </t>
    </mdx>
    <mdx n="0" f="v">
      <t c="6" si="614">
        <n x="610"/>
        <n x="797"/>
        <n x="798"/>
        <n x="800" s="1"/>
        <n x="647"/>
        <n x="648"/>
      </t>
    </mdx>
    <mdx n="0" f="v">
      <t c="6" si="614">
        <n x="610"/>
        <n x="215"/>
        <n x="216"/>
        <n x="800" s="1"/>
        <n x="647"/>
        <n x="648"/>
      </t>
    </mdx>
    <mdx n="0" f="v">
      <t c="6" si="614">
        <n x="610"/>
        <n x="475"/>
        <n x="476"/>
        <n x="800" s="1"/>
        <n x="647"/>
        <n x="648"/>
      </t>
    </mdx>
    <mdx n="0" f="v">
      <t c="6" si="614">
        <n x="610"/>
        <n x="709"/>
        <n x="710"/>
        <n x="800" s="1"/>
        <n x="649"/>
        <n x="650"/>
      </t>
    </mdx>
    <mdx n="0" f="v">
      <t c="6" si="614">
        <n x="610"/>
        <n x="709"/>
        <n x="710"/>
        <n x="800" s="1"/>
        <n x="651"/>
        <n x="652"/>
      </t>
    </mdx>
    <mdx n="0" f="v">
      <t c="6" si="614">
        <n x="610"/>
        <n x="709"/>
        <n x="710"/>
        <n x="800" s="1"/>
        <n x="653"/>
        <n x="654"/>
      </t>
    </mdx>
    <mdx n="0" f="v">
      <t c="6" si="614">
        <n x="610"/>
        <n x="709"/>
        <n x="710"/>
        <n x="800" s="1"/>
        <n x="655"/>
        <n x="656"/>
      </t>
    </mdx>
    <mdx n="0" f="v">
      <t c="6" si="614">
        <n x="610"/>
        <n x="711"/>
        <n x="712"/>
        <n x="800" s="1"/>
        <n x="649"/>
        <n x="650"/>
      </t>
    </mdx>
    <mdx n="0" f="v">
      <t c="6" si="614">
        <n x="610"/>
        <n x="317"/>
        <n x="318"/>
        <n x="800" s="1"/>
        <n x="649"/>
        <n x="650"/>
      </t>
    </mdx>
    <mdx n="0" f="v">
      <t c="6" si="614">
        <n x="610"/>
        <n x="717"/>
        <n x="718"/>
        <n x="800" s="1"/>
        <n x="653"/>
        <n x="654"/>
      </t>
    </mdx>
    <mdx n="0" f="v">
      <t c="6" si="614">
        <n x="610"/>
        <n x="217"/>
        <n x="218"/>
        <n x="800" s="1"/>
        <n x="649"/>
        <n x="650"/>
      </t>
    </mdx>
    <mdx n="0" f="v">
      <t c="6" si="614">
        <n x="610"/>
        <n x="285"/>
        <n x="286"/>
        <n x="800" s="1"/>
        <n x="653"/>
        <n x="654"/>
      </t>
    </mdx>
    <mdx n="0" f="v">
      <t c="6" si="614">
        <n x="610"/>
        <n x="275"/>
        <n x="276"/>
        <n x="800" s="1"/>
        <n x="649"/>
        <n x="650"/>
      </t>
    </mdx>
    <mdx n="0" f="v">
      <t c="6" si="614">
        <n x="610"/>
        <n x="721"/>
        <n x="722"/>
        <n x="800" s="1"/>
        <n x="649"/>
        <n x="650"/>
      </t>
    </mdx>
    <mdx n="0" f="v">
      <t c="6" si="614">
        <n x="610"/>
        <n x="723"/>
        <n x="724"/>
        <n x="800" s="1"/>
        <n x="653"/>
        <n x="654"/>
      </t>
    </mdx>
    <mdx n="0" f="v">
      <t c="6" si="614">
        <n x="610"/>
        <n x="377"/>
        <n x="378"/>
        <n x="800" s="1"/>
        <n x="649"/>
        <n x="650"/>
      </t>
    </mdx>
    <mdx n="0" f="v">
      <t c="6" si="614">
        <n x="610"/>
        <n x="391"/>
        <n x="392"/>
        <n x="800" s="1"/>
        <n x="653"/>
        <n x="654"/>
      </t>
    </mdx>
    <mdx n="0" f="v">
      <t c="6" si="614">
        <n x="610"/>
        <n x="379"/>
        <n x="380"/>
        <n x="800" s="1"/>
        <n x="649"/>
        <n x="650"/>
      </t>
    </mdx>
    <mdx n="0" f="v">
      <t c="6" si="614">
        <n x="610"/>
        <n x="221"/>
        <n x="222"/>
        <n x="800" s="1"/>
        <n x="649"/>
        <n x="650"/>
      </t>
    </mdx>
    <mdx n="0" f="v">
      <t c="6" si="614">
        <n x="610"/>
        <n x="459"/>
        <n x="460"/>
        <n x="800" s="1"/>
        <n x="649"/>
        <n x="650"/>
      </t>
    </mdx>
    <mdx n="0" f="v">
      <t c="6" si="614">
        <n x="610"/>
        <n x="725"/>
        <n x="726"/>
        <n x="800" s="1"/>
        <n x="649"/>
        <n x="650"/>
      </t>
    </mdx>
    <mdx n="0" f="v">
      <t c="6" si="614">
        <n x="610"/>
        <n x="457"/>
        <n x="458"/>
        <n x="800" s="1"/>
        <n x="653"/>
        <n x="654"/>
      </t>
    </mdx>
    <mdx n="0" f="v">
      <t c="6" si="614">
        <n x="610"/>
        <n x="601"/>
        <n x="602"/>
        <n x="800" s="1"/>
        <n x="649"/>
        <n x="650"/>
      </t>
    </mdx>
    <mdx n="0" f="v">
      <t c="6" si="614">
        <n x="610"/>
        <n x="557"/>
        <n x="558"/>
        <n x="800" s="1"/>
        <n x="653"/>
        <n x="654"/>
      </t>
    </mdx>
    <mdx n="0" f="v">
      <t c="6" si="614">
        <n x="610"/>
        <n x="729"/>
        <n x="730"/>
        <n x="800" s="1"/>
        <n x="649"/>
        <n x="650"/>
      </t>
    </mdx>
    <mdx n="0" f="v">
      <t c="6" si="614">
        <n x="610"/>
        <n x="367"/>
        <n x="368"/>
        <n x="800" s="1"/>
        <n x="653"/>
        <n x="654"/>
      </t>
    </mdx>
    <mdx n="0" f="v">
      <t c="6" si="614">
        <n x="610"/>
        <n x="237"/>
        <n x="238"/>
        <n x="800" s="1"/>
        <n x="649"/>
        <n x="650"/>
      </t>
    </mdx>
    <mdx n="0" f="v">
      <t c="6" si="614">
        <n x="610"/>
        <n x="541"/>
        <n x="542"/>
        <n x="800" s="1"/>
        <n x="649"/>
        <n x="650"/>
      </t>
    </mdx>
    <mdx n="0" f="v">
      <t c="6" si="614">
        <n x="610"/>
        <n x="453"/>
        <n x="454"/>
        <n x="800" s="1"/>
        <n x="649"/>
        <n x="650"/>
      </t>
    </mdx>
    <mdx n="0" f="v">
      <t c="6" si="614">
        <n x="610"/>
        <n x="363"/>
        <n x="364"/>
        <n x="800" s="1"/>
        <n x="653"/>
        <n x="654"/>
      </t>
    </mdx>
    <mdx n="0" f="v">
      <t c="6" si="614">
        <n x="610"/>
        <n x="595"/>
        <n x="596"/>
        <n x="800" s="1"/>
        <n x="649"/>
        <n x="650"/>
      </t>
    </mdx>
    <mdx n="0" f="v">
      <t c="6" si="614">
        <n x="610"/>
        <n x="413"/>
        <n x="414"/>
        <n x="800" s="1"/>
        <n x="653"/>
        <n x="654"/>
      </t>
    </mdx>
    <mdx n="0" f="v">
      <t c="6" si="614">
        <n x="610"/>
        <n x="733"/>
        <n x="734"/>
        <n x="800" s="1"/>
        <n x="649"/>
        <n x="650"/>
      </t>
    </mdx>
    <mdx n="0" f="v">
      <t c="6" si="614">
        <n x="610"/>
        <n x="281"/>
        <n x="282"/>
        <n x="800" s="1"/>
        <n x="653"/>
        <n x="654"/>
      </t>
    </mdx>
    <mdx n="0" f="v">
      <t c="6" si="614">
        <n x="610"/>
        <n x="389"/>
        <n x="390"/>
        <n x="800" s="1"/>
        <n x="649"/>
        <n x="650"/>
      </t>
    </mdx>
    <mdx n="0" f="v">
      <t c="6" si="614">
        <n x="610"/>
        <n x="283"/>
        <n x="284"/>
        <n x="800" s="1"/>
        <n x="649"/>
        <n x="650"/>
      </t>
    </mdx>
    <mdx n="0" f="v">
      <t c="6" si="614">
        <n x="610"/>
        <n x="277"/>
        <n x="278"/>
        <n x="800" s="1"/>
        <n x="653"/>
        <n x="654"/>
      </t>
    </mdx>
    <mdx n="0" f="v">
      <t c="6" si="614">
        <n x="610"/>
        <n x="525"/>
        <n x="526"/>
        <n x="800" s="1"/>
        <n x="649"/>
        <n x="650"/>
      </t>
    </mdx>
    <mdx n="0" f="v">
      <t c="6" si="614">
        <n x="610"/>
        <n x="387"/>
        <n x="388"/>
        <n x="800" s="1"/>
        <n x="653"/>
        <n x="654"/>
      </t>
    </mdx>
    <mdx n="0" f="v">
      <t c="6" si="614">
        <n x="610"/>
        <n x="319"/>
        <n x="320"/>
        <n x="800" s="1"/>
        <n x="649"/>
        <n x="650"/>
      </t>
    </mdx>
    <mdx n="0" f="v">
      <t c="6" si="614">
        <n x="610"/>
        <n x="401"/>
        <n x="402"/>
        <n x="800" s="1"/>
        <n x="653"/>
        <n x="654"/>
      </t>
    </mdx>
    <mdx n="0" f="v">
      <t c="6" si="614">
        <n x="610"/>
        <n x="591"/>
        <n x="592"/>
        <n x="800" s="1"/>
        <n x="649"/>
        <n x="650"/>
      </t>
    </mdx>
    <mdx n="0" f="v">
      <t c="6" si="614">
        <n x="610"/>
        <n x="737"/>
        <n x="738"/>
        <n x="800" s="1"/>
        <n x="653"/>
        <n x="654"/>
      </t>
    </mdx>
    <mdx n="0" f="v">
      <t c="6" si="614">
        <n x="610"/>
        <n x="435"/>
        <n x="436"/>
        <n x="800" s="1"/>
        <n x="653"/>
        <n x="654"/>
      </t>
    </mdx>
    <mdx n="0" f="v">
      <t c="6" si="614">
        <n x="610"/>
        <n x="455"/>
        <n x="456"/>
        <n x="800" s="1"/>
        <n x="649"/>
        <n x="650"/>
      </t>
    </mdx>
    <mdx n="0" f="v">
      <t c="6" si="614">
        <n x="610"/>
        <n x="393"/>
        <n x="394"/>
        <n x="800" s="1"/>
        <n x="649"/>
        <n x="650"/>
      </t>
    </mdx>
    <mdx n="0" f="v">
      <t c="6" si="614">
        <n x="610"/>
        <n x="743"/>
        <n x="744"/>
        <n x="800" s="1"/>
        <n x="653"/>
        <n x="654"/>
      </t>
    </mdx>
    <mdx n="0" f="v">
      <t c="6" si="614">
        <n x="610"/>
        <n x="491"/>
        <n x="492"/>
        <n x="800" s="1"/>
        <n x="649"/>
        <n x="650"/>
      </t>
    </mdx>
    <mdx n="0" f="v">
      <t c="6" si="614">
        <n x="610"/>
        <n x="433"/>
        <n x="434"/>
        <n x="800" s="1"/>
        <n x="653"/>
        <n x="654"/>
      </t>
    </mdx>
    <mdx n="0" f="v">
      <t c="6" si="614">
        <n x="610"/>
        <n x="605"/>
        <n x="606"/>
        <n x="800" s="1"/>
        <n x="649"/>
        <n x="650"/>
      </t>
    </mdx>
    <mdx n="0" f="v">
      <t c="6" si="614">
        <n x="610"/>
        <n x="437"/>
        <n x="438"/>
        <n x="800" s="1"/>
        <n x="653"/>
        <n x="654"/>
      </t>
    </mdx>
    <mdx n="0" f="v">
      <t c="6" si="614">
        <n x="610"/>
        <n x="513"/>
        <n x="514"/>
        <n x="800" s="1"/>
        <n x="649"/>
        <n x="650"/>
      </t>
    </mdx>
    <mdx n="0" f="v">
      <t c="6" si="614">
        <n x="610"/>
        <n x="295"/>
        <n x="296"/>
        <n x="800" s="1"/>
        <n x="649"/>
        <n x="650"/>
      </t>
    </mdx>
    <mdx n="0" f="v">
      <t c="6" si="614">
        <n x="610"/>
        <n x="747"/>
        <n x="748"/>
        <n x="800" s="1"/>
        <n x="653"/>
        <n x="654"/>
      </t>
    </mdx>
    <mdx n="0" f="v">
      <t c="6" si="614">
        <n x="610"/>
        <n x="345"/>
        <n x="346"/>
        <n x="800" s="1"/>
        <n x="649"/>
        <n x="650"/>
      </t>
    </mdx>
    <mdx n="0" f="v">
      <t c="6" si="614">
        <n x="610"/>
        <n x="569"/>
        <n x="570"/>
        <n x="800" s="1"/>
        <n x="653"/>
        <n x="654"/>
      </t>
    </mdx>
    <mdx n="0" f="v">
      <t c="6" si="614">
        <n x="610"/>
        <n x="299"/>
        <n x="300"/>
        <n x="800" s="1"/>
        <n x="649"/>
        <n x="650"/>
      </t>
    </mdx>
    <mdx n="0" f="v">
      <t c="6" si="614">
        <n x="610"/>
        <n x="749"/>
        <n x="750"/>
        <n x="800" s="1"/>
        <n x="653"/>
        <n x="654"/>
      </t>
    </mdx>
    <mdx n="0" f="v">
      <t c="6" si="614">
        <n x="610"/>
        <n x="489"/>
        <n x="490"/>
        <n x="800" s="1"/>
        <n x="649"/>
        <n x="650"/>
      </t>
    </mdx>
    <mdx n="0" f="v">
      <t c="6" si="614">
        <n x="610"/>
        <n x="241"/>
        <n x="242"/>
        <n x="800" s="1"/>
        <n x="653"/>
        <n x="654"/>
      </t>
    </mdx>
    <mdx n="0" f="v">
      <t c="6" si="614">
        <n x="610"/>
        <n x="229"/>
        <n x="230"/>
        <n x="800" s="1"/>
        <n x="649"/>
        <n x="650"/>
      </t>
    </mdx>
    <mdx n="0" f="v">
      <t c="6" si="614">
        <n x="610"/>
        <n x="751"/>
        <n x="752"/>
        <n x="800" s="1"/>
        <n x="653"/>
        <n x="654"/>
      </t>
    </mdx>
    <mdx n="0" f="v">
      <t c="6" si="614">
        <n x="610"/>
        <n x="339"/>
        <n x="340"/>
        <n x="800" s="1"/>
        <n x="649"/>
        <n x="650"/>
      </t>
    </mdx>
    <mdx n="0" f="v">
      <t c="6" si="614">
        <n x="610"/>
        <n x="407"/>
        <n x="408"/>
        <n x="800" s="1"/>
        <n x="649"/>
        <n x="650"/>
      </t>
    </mdx>
    <mdx n="0" f="v">
      <t c="6" si="614">
        <n x="610"/>
        <n x="321"/>
        <n x="322"/>
        <n x="800" s="1"/>
        <n x="653"/>
        <n x="654"/>
      </t>
    </mdx>
    <mdx n="0" f="v">
      <t c="6" si="614">
        <n x="610"/>
        <n x="399"/>
        <n x="400"/>
        <n x="800" s="1"/>
        <n x="649"/>
        <n x="650"/>
      </t>
    </mdx>
    <mdx n="0" f="v">
      <t c="6" si="614">
        <n x="610"/>
        <n x="233"/>
        <n x="234"/>
        <n x="800" s="1"/>
        <n x="653"/>
        <n x="654"/>
      </t>
    </mdx>
    <mdx n="0" f="v">
      <t c="6" si="614">
        <n x="610"/>
        <n x="493"/>
        <n x="494"/>
        <n x="800" s="1"/>
        <n x="649"/>
        <n x="650"/>
      </t>
    </mdx>
    <mdx n="0" f="v">
      <t c="6" si="614">
        <n x="610"/>
        <n x="551"/>
        <n x="552"/>
        <n x="800" s="1"/>
        <n x="649"/>
        <n x="650"/>
      </t>
    </mdx>
    <mdx n="0" f="v">
      <t c="6" si="614">
        <n x="610"/>
        <n x="759"/>
        <n x="760"/>
        <n x="800" s="1"/>
        <n x="649"/>
        <n x="650"/>
      </t>
    </mdx>
    <mdx n="0" f="v">
      <t c="6" si="614">
        <n x="610"/>
        <n x="761"/>
        <n x="762"/>
        <n x="800" s="1"/>
        <n x="653"/>
        <n x="654"/>
      </t>
    </mdx>
    <mdx n="0" f="v">
      <t c="6" si="614">
        <n x="610"/>
        <n x="409"/>
        <n x="410"/>
        <n x="800" s="1"/>
        <n x="649"/>
        <n x="650"/>
      </t>
    </mdx>
    <mdx n="0" f="v">
      <t c="6" si="614">
        <n x="610"/>
        <n x="553"/>
        <n x="554"/>
        <n x="800" s="1"/>
        <n x="653"/>
        <n x="654"/>
      </t>
    </mdx>
    <mdx n="0" f="v">
      <t c="6" si="614">
        <n x="610"/>
        <n x="549"/>
        <n x="550"/>
        <n x="800" s="1"/>
        <n x="649"/>
        <n x="650"/>
      </t>
    </mdx>
    <mdx n="0" f="v">
      <t c="6" si="614">
        <n x="610"/>
        <n x="255"/>
        <n x="256"/>
        <n x="800" s="1"/>
        <n x="653"/>
        <n x="654"/>
      </t>
    </mdx>
    <mdx n="0" f="v">
      <t c="6" si="614">
        <n x="610"/>
        <n x="469"/>
        <n x="470"/>
        <n x="800" s="1"/>
        <n x="649"/>
        <n x="650"/>
      </t>
    </mdx>
    <mdx n="0" f="v">
      <t c="6" si="614">
        <n x="610"/>
        <n x="287"/>
        <n x="288"/>
        <n x="800" s="1"/>
        <n x="649"/>
        <n x="650"/>
      </t>
    </mdx>
    <mdx n="0" f="v">
      <t c="6" si="614">
        <n x="610"/>
        <n x="763"/>
        <n x="764"/>
        <n x="800" s="1"/>
        <n x="653"/>
        <n x="654"/>
      </t>
    </mdx>
    <mdx n="0" f="v">
      <t c="6" si="614">
        <n x="610"/>
        <n x="539"/>
        <n x="540"/>
        <n x="800" s="1"/>
        <n x="649"/>
        <n x="650"/>
      </t>
    </mdx>
    <mdx n="0" f="v">
      <t c="6" si="614">
        <n x="610"/>
        <n x="765"/>
        <n x="766"/>
        <n x="800" s="1"/>
        <n x="653"/>
        <n x="654"/>
      </t>
    </mdx>
    <mdx n="0" f="v">
      <t c="6" si="614">
        <n x="610"/>
        <n x="359"/>
        <n x="360"/>
        <n x="800" s="1"/>
        <n x="649"/>
        <n x="650"/>
      </t>
    </mdx>
    <mdx n="0" f="v">
      <t c="6" si="614">
        <n x="610"/>
        <n x="767"/>
        <n x="768"/>
        <n x="800" s="1"/>
        <n x="649"/>
        <n x="650"/>
      </t>
    </mdx>
    <mdx n="0" f="v">
      <t c="6" si="614">
        <n x="610"/>
        <n x="315"/>
        <n x="316"/>
        <n x="800" s="1"/>
        <n x="653"/>
        <n x="654"/>
      </t>
    </mdx>
    <mdx n="0" f="v">
      <t c="6" si="614">
        <n x="610"/>
        <n x="511"/>
        <n x="512"/>
        <n x="800" s="1"/>
        <n x="649"/>
        <n x="650"/>
      </t>
    </mdx>
    <mdx n="0" f="v">
      <t c="6" si="614">
        <n x="610"/>
        <n x="485"/>
        <n x="486"/>
        <n x="800" s="1"/>
        <n x="649"/>
        <n x="650"/>
      </t>
    </mdx>
    <mdx n="0" f="v">
      <t c="6" si="614">
        <n x="610"/>
        <n x="293"/>
        <n x="294"/>
        <n x="800" s="1"/>
        <n x="653"/>
        <n x="654"/>
      </t>
    </mdx>
    <mdx n="0" f="v">
      <t c="6" si="614">
        <n x="610"/>
        <n x="249"/>
        <n x="250"/>
        <n x="800" s="1"/>
        <n x="649"/>
        <n x="650"/>
      </t>
    </mdx>
    <mdx n="0" f="v">
      <t c="6" si="614">
        <n x="610"/>
        <n x="773"/>
        <n x="774"/>
        <n x="800" s="1"/>
        <n x="653"/>
        <n x="654"/>
      </t>
    </mdx>
    <mdx n="0" f="v">
      <t c="6" si="614">
        <n x="610"/>
        <n x="777"/>
        <n x="778"/>
        <n x="800" s="1"/>
        <n x="649"/>
        <n x="650"/>
      </t>
    </mdx>
    <mdx n="0" f="v">
      <t c="6" si="614">
        <n x="610"/>
        <n x="515"/>
        <n x="516"/>
        <n x="800" s="1"/>
        <n x="649"/>
        <n x="650"/>
      </t>
    </mdx>
    <mdx n="0" f="v">
      <t c="6" si="614">
        <n x="610"/>
        <n x="269"/>
        <n x="270"/>
        <n x="800" s="1"/>
        <n x="649"/>
        <n x="650"/>
      </t>
    </mdx>
    <mdx n="0" f="v">
      <t c="6" si="614">
        <n x="610"/>
        <n x="533"/>
        <n x="534"/>
        <n x="800" s="1"/>
        <n x="653"/>
        <n x="654"/>
      </t>
    </mdx>
    <mdx n="0" f="v">
      <t c="6" si="614">
        <n x="610"/>
        <n x="535"/>
        <n x="536"/>
        <n x="800" s="1"/>
        <n x="649"/>
        <n x="650"/>
      </t>
    </mdx>
    <mdx n="0" f="v">
      <t c="6" si="614">
        <n x="610"/>
        <n x="355"/>
        <n x="356"/>
        <n x="800" s="1"/>
        <n x="653"/>
        <n x="654"/>
      </t>
    </mdx>
    <mdx n="0" f="v">
      <t c="6" si="614">
        <n x="610"/>
        <n x="787"/>
        <n x="788"/>
        <n x="800" s="1"/>
        <n x="649"/>
        <n x="650"/>
      </t>
    </mdx>
    <mdx n="0" f="v">
      <t c="6" si="614">
        <n x="610"/>
        <n x="583"/>
        <n x="584"/>
        <n x="800" s="1"/>
        <n x="653"/>
        <n x="654"/>
      </t>
    </mdx>
    <mdx n="0" f="v">
      <t c="6" si="614">
        <n x="610"/>
        <n x="581"/>
        <n x="582"/>
        <n x="800" s="1"/>
        <n x="653"/>
        <n x="654"/>
      </t>
    </mdx>
    <mdx n="0" f="v">
      <t c="6" si="614">
        <n x="610"/>
        <n x="789"/>
        <n x="790"/>
        <n x="800" s="1"/>
        <n x="649"/>
        <n x="650"/>
      </t>
    </mdx>
    <mdx n="0" f="v">
      <t c="6" si="614">
        <n x="610"/>
        <n x="311"/>
        <n x="312"/>
        <n x="800" s="1"/>
        <n x="653"/>
        <n x="654"/>
      </t>
    </mdx>
    <mdx n="0" f="v">
      <t c="6" si="614">
        <n x="610"/>
        <n x="565"/>
        <n x="566"/>
        <n x="800" s="1"/>
        <n x="649"/>
        <n x="650"/>
      </t>
    </mdx>
    <mdx n="0" f="v">
      <t c="6" si="614">
        <n x="610"/>
        <n x="521"/>
        <n x="522"/>
        <n x="800" s="1"/>
        <n x="653"/>
        <n x="654"/>
      </t>
    </mdx>
    <mdx n="0" f="v">
      <t c="6" si="614">
        <n x="610"/>
        <n x="545"/>
        <n x="546"/>
        <n x="800" s="1"/>
        <n x="649"/>
        <n x="650"/>
      </t>
    </mdx>
    <mdx n="0" f="v">
      <t c="6" si="614">
        <n x="610"/>
        <n x="575"/>
        <n x="576"/>
        <n x="800" s="1"/>
        <n x="653"/>
        <n x="654"/>
      </t>
    </mdx>
    <mdx n="0" f="v">
      <t c="6" si="614">
        <n x="610"/>
        <n x="473"/>
        <n x="474"/>
        <n x="800" s="1"/>
        <n x="649"/>
        <n x="650"/>
      </t>
    </mdx>
    <mdx n="0" f="v">
      <t c="6" si="614">
        <n x="610"/>
        <n x="579"/>
        <n x="580"/>
        <n x="800" s="1"/>
        <n x="649"/>
        <n x="650"/>
      </t>
    </mdx>
    <mdx n="0" f="v">
      <t c="6" si="614">
        <n x="610"/>
        <n x="313"/>
        <n x="314"/>
        <n x="800" s="1"/>
        <n x="653"/>
        <n x="654"/>
      </t>
    </mdx>
    <mdx n="0" f="v">
      <t c="6" si="614">
        <n x="610"/>
        <n x="213"/>
        <n x="214"/>
        <n x="800" s="1"/>
        <n x="649"/>
        <n x="650"/>
      </t>
    </mdx>
    <mdx n="0" f="v">
      <t c="6" si="614">
        <n x="610"/>
        <n x="465"/>
        <n x="466"/>
        <n x="800" s="1"/>
        <n x="649"/>
        <n x="650"/>
      </t>
    </mdx>
    <mdx n="0" f="v">
      <t c="6" si="614">
        <n x="610"/>
        <n x="303"/>
        <n x="304"/>
        <n x="800" s="1"/>
        <n x="653"/>
        <n x="654"/>
      </t>
    </mdx>
    <mdx n="0" f="v">
      <t c="6" si="614">
        <n x="610"/>
        <n x="439"/>
        <n x="440"/>
        <n x="800" s="1"/>
        <n x="649"/>
        <n x="650"/>
      </t>
    </mdx>
    <mdx n="0" f="v">
      <t c="6" si="614">
        <n x="610"/>
        <n x="571"/>
        <n x="572"/>
        <n x="800" s="1"/>
        <n x="653"/>
        <n x="654"/>
      </t>
    </mdx>
    <mdx n="0" f="v">
      <t c="6" si="614">
        <n x="610"/>
        <n x="563"/>
        <n x="564"/>
        <n x="800" s="1"/>
        <n x="649"/>
        <n x="650"/>
      </t>
    </mdx>
    <mdx n="0" f="v">
      <t c="6" si="614">
        <n x="610"/>
        <n x="291"/>
        <n x="292"/>
        <n x="800" s="1"/>
        <n x="649"/>
        <n x="650"/>
      </t>
    </mdx>
    <mdx n="0" f="v">
      <t c="6" si="614">
        <n x="610"/>
        <n x="329"/>
        <n x="330"/>
        <n x="800" s="1"/>
        <n x="649"/>
        <n x="650"/>
      </t>
    </mdx>
    <mdx n="0" f="v">
      <t c="6" si="614">
        <n x="610"/>
        <n x="449"/>
        <n x="450"/>
        <n x="800" s="1"/>
        <n x="653"/>
        <n x="654"/>
      </t>
    </mdx>
    <mdx n="0" f="v">
      <t c="6" si="614">
        <n x="610"/>
        <n x="327"/>
        <n x="328"/>
        <n x="800" s="1"/>
        <n x="649"/>
        <n x="650"/>
      </t>
    </mdx>
    <mdx n="0" f="v">
      <t c="6" si="614">
        <n x="610"/>
        <n x="587"/>
        <n x="588"/>
        <n x="800" s="1"/>
        <n x="649"/>
        <n x="650"/>
      </t>
    </mdx>
    <mdx n="0" f="v">
      <t c="6" si="614">
        <n x="610"/>
        <n x="477"/>
        <n x="478"/>
        <n x="800" s="1"/>
        <n x="649"/>
        <n x="650"/>
      </t>
    </mdx>
    <mdx n="0" f="v">
      <t c="6" si="614">
        <n x="610"/>
        <n x="323"/>
        <n x="324"/>
        <n x="800" s="1"/>
        <n x="649"/>
        <n x="650"/>
      </t>
    </mdx>
    <mdx n="0" f="v">
      <t c="6" si="614">
        <n x="610"/>
        <n x="497"/>
        <n x="498"/>
        <n x="800" s="1"/>
        <n x="653"/>
        <n x="654"/>
      </t>
    </mdx>
    <mdx n="0" f="v">
      <t c="6" si="614">
        <n x="610"/>
        <n x="251"/>
        <n x="252"/>
        <n x="800" s="1"/>
        <n x="649"/>
        <n x="650"/>
      </t>
    </mdx>
    <mdx n="0" f="v">
      <t c="6" si="614">
        <n x="610"/>
        <n x="567"/>
        <n x="568"/>
        <n x="800" s="1"/>
        <n x="653"/>
        <n x="654"/>
      </t>
    </mdx>
    <mdx n="0" f="v">
      <t c="6" si="614">
        <n x="610"/>
        <n x="559"/>
        <n x="560"/>
        <n x="800" s="1"/>
        <n x="649"/>
        <n x="650"/>
      </t>
    </mdx>
    <mdx n="0" f="v">
      <t c="6" si="614">
        <n x="610"/>
        <n x="519"/>
        <n x="520"/>
        <n x="800" s="1"/>
        <n x="653"/>
        <n x="654"/>
      </t>
    </mdx>
    <mdx n="0" f="v">
      <t c="6" si="614">
        <n x="610"/>
        <n x="253"/>
        <n x="254"/>
        <n x="800" s="1"/>
        <n x="649"/>
        <n x="650"/>
      </t>
    </mdx>
    <mdx n="0" f="v">
      <t c="6" si="614">
        <n x="610"/>
        <n x="371"/>
        <n x="372"/>
        <n x="800" s="1"/>
        <n x="649"/>
        <n x="650"/>
      </t>
    </mdx>
    <mdx n="0" f="v">
      <t c="6" si="614">
        <n x="610"/>
        <n x="805"/>
        <n x="806"/>
        <n x="800" s="1"/>
        <n x="653"/>
        <n x="654"/>
      </t>
    </mdx>
    <mdx n="0" f="v">
      <t c="6" si="614">
        <n x="610"/>
        <n x="711"/>
        <n x="712"/>
        <n x="800" s="1"/>
        <n x="651"/>
        <n x="652"/>
      </t>
    </mdx>
    <mdx n="0" f="v">
      <t c="6" si="614">
        <n x="610"/>
        <n x="317"/>
        <n x="318"/>
        <n x="800" s="1"/>
        <n x="651"/>
        <n x="652"/>
      </t>
    </mdx>
    <mdx n="0" f="v">
      <t c="6" si="614">
        <n x="610"/>
        <n x="717"/>
        <n x="718"/>
        <n x="800" s="1"/>
        <n x="655"/>
        <n x="656"/>
      </t>
    </mdx>
    <mdx n="0" f="v">
      <t c="6" si="614">
        <n x="610"/>
        <n x="217"/>
        <n x="218"/>
        <n x="800" s="1"/>
        <n x="651"/>
        <n x="652"/>
      </t>
    </mdx>
    <mdx n="0" f="v">
      <t c="6" si="614">
        <n x="610"/>
        <n x="285"/>
        <n x="286"/>
        <n x="800" s="1"/>
        <n x="655"/>
        <n x="656"/>
      </t>
    </mdx>
    <mdx n="0" f="v">
      <t c="6" si="614">
        <n x="610"/>
        <n x="275"/>
        <n x="276"/>
        <n x="800" s="1"/>
        <n x="651"/>
        <n x="652"/>
      </t>
    </mdx>
    <mdx n="0" f="v">
      <t c="6" si="614">
        <n x="610"/>
        <n x="721"/>
        <n x="722"/>
        <n x="800" s="1"/>
        <n x="651"/>
        <n x="652"/>
      </t>
    </mdx>
    <mdx n="0" f="v">
      <t c="6" si="614">
        <n x="610"/>
        <n x="723"/>
        <n x="724"/>
        <n x="800" s="1"/>
        <n x="655"/>
        <n x="656"/>
      </t>
    </mdx>
    <mdx n="0" f="v">
      <t c="6" si="614">
        <n x="610"/>
        <n x="377"/>
        <n x="378"/>
        <n x="800" s="1"/>
        <n x="651"/>
        <n x="652"/>
      </t>
    </mdx>
    <mdx n="0" f="v">
      <t c="6" si="614">
        <n x="610"/>
        <n x="391"/>
        <n x="392"/>
        <n x="800" s="1"/>
        <n x="655"/>
        <n x="656"/>
      </t>
    </mdx>
    <mdx n="0" f="v">
      <t c="6" si="614">
        <n x="610"/>
        <n x="379"/>
        <n x="380"/>
        <n x="800" s="1"/>
        <n x="651"/>
        <n x="652"/>
      </t>
    </mdx>
    <mdx n="0" f="v">
      <t c="6" si="614">
        <n x="610"/>
        <n x="239"/>
        <n x="240"/>
        <n x="800" s="1"/>
        <n x="655"/>
        <n x="656"/>
      </t>
    </mdx>
    <mdx n="0" f="v">
      <t c="6" si="614">
        <n x="610"/>
        <n x="221"/>
        <n x="222"/>
        <n x="800" s="1"/>
        <n x="651"/>
        <n x="652"/>
      </t>
    </mdx>
    <mdx n="0" f="v">
      <t c="6" si="614">
        <n x="610"/>
        <n x="547"/>
        <n x="548"/>
        <n x="800" s="1"/>
        <n x="655"/>
        <n x="656"/>
      </t>
    </mdx>
    <mdx n="0" f="v">
      <t c="6" si="614">
        <n x="610"/>
        <n x="547"/>
        <n x="548"/>
        <n x="800" s="1"/>
        <n x="655"/>
        <n x="656"/>
      </t>
    </mdx>
    <mdx n="0" f="v">
      <t c="6" si="614">
        <n x="610"/>
        <n x="457"/>
        <n x="458"/>
        <n x="800" s="1"/>
        <n x="655"/>
        <n x="656"/>
      </t>
    </mdx>
    <mdx n="0" f="v">
      <t c="6" si="614">
        <n x="610"/>
        <n x="457"/>
        <n x="458"/>
        <n x="800" s="1"/>
        <n x="655"/>
        <n x="656"/>
      </t>
    </mdx>
    <mdx n="0" f="v">
      <t c="6" si="614">
        <n x="610"/>
        <n x="557"/>
        <n x="558"/>
        <n x="800" s="1"/>
        <n x="655"/>
        <n x="656"/>
      </t>
    </mdx>
    <mdx n="0" f="v">
      <t c="6" si="614">
        <n x="610"/>
        <n x="367"/>
        <n x="368"/>
        <n x="800" s="1"/>
        <n x="655"/>
        <n x="652"/>
      </t>
    </mdx>
    <mdx n="0" f="v">
      <t c="6" si="614">
        <n x="610"/>
        <n x="367"/>
        <n x="368"/>
        <n x="800" s="1"/>
        <n x="655"/>
        <n x="656"/>
      </t>
    </mdx>
    <mdx n="0" f="v">
      <t c="6" si="614">
        <n x="610"/>
        <n x="237"/>
        <n x="238"/>
        <n x="800" s="1"/>
        <n x="651"/>
        <n x="652"/>
      </t>
    </mdx>
    <mdx n="0" f="v">
      <t c="6" si="614">
        <n x="610"/>
        <n x="453"/>
        <n x="454"/>
        <n x="800" s="1"/>
        <n x="655"/>
        <n x="656"/>
      </t>
    </mdx>
    <mdx n="0" f="v">
      <t c="6" si="614">
        <n x="610"/>
        <n x="413"/>
        <n x="414"/>
        <n x="800" s="1"/>
        <n x="649"/>
        <n x="650"/>
      </t>
    </mdx>
    <mdx n="0" f="v">
      <t c="6" si="614">
        <n x="610"/>
        <n x="281"/>
        <n x="282"/>
        <n x="800" s="1"/>
        <n x="651"/>
        <n x="652"/>
      </t>
    </mdx>
    <mdx n="0" f="v">
      <t c="6" si="614">
        <n x="610"/>
        <n x="277"/>
        <n x="278"/>
        <n x="800" s="1"/>
        <n x="655"/>
        <n x="656"/>
      </t>
    </mdx>
    <mdx n="0" f="v">
      <t c="6" si="614">
        <n x="610"/>
        <n x="319"/>
        <n x="320"/>
        <n x="800" s="1"/>
        <n x="655"/>
        <n x="656"/>
      </t>
    </mdx>
    <mdx n="0" f="v">
      <t c="6" si="614">
        <n x="610"/>
        <n x="737"/>
        <n x="738"/>
        <n x="800" s="1"/>
        <n x="649"/>
        <n x="650"/>
      </t>
    </mdx>
    <mdx n="0" f="v">
      <t c="6" si="614">
        <n x="610"/>
        <n x="435"/>
        <n x="436"/>
        <n x="800" s="1"/>
        <n x="651"/>
        <n x="652"/>
      </t>
    </mdx>
    <mdx n="0" f="v">
      <t c="6" si="614">
        <n x="610"/>
        <n x="743"/>
        <n x="744"/>
        <n x="800" s="1"/>
        <n x="655"/>
        <n x="656"/>
      </t>
    </mdx>
    <mdx n="0" f="v">
      <t c="6" si="614">
        <n x="610"/>
        <n x="491"/>
        <n x="492"/>
        <n x="800" s="1"/>
        <n x="653"/>
        <n x="654"/>
      </t>
    </mdx>
    <mdx n="0" f="v">
      <t c="6" si="614">
        <n x="610"/>
        <n x="605"/>
        <n x="606"/>
        <n x="800" s="1"/>
        <n x="655"/>
        <n x="656"/>
      </t>
    </mdx>
    <mdx n="0" f="v">
      <t c="6" si="614">
        <n x="610"/>
        <n x="747"/>
        <n x="748"/>
        <n x="800" s="1"/>
        <n x="651"/>
        <n x="652"/>
      </t>
    </mdx>
    <mdx n="0" f="v">
      <t c="6" si="614">
        <n x="610"/>
        <n x="749"/>
        <n x="750"/>
        <n x="800" s="1"/>
        <n x="655"/>
        <n x="656"/>
      </t>
    </mdx>
    <mdx n="0" f="v">
      <t c="6" si="614">
        <n x="610"/>
        <n x="489"/>
        <n x="490"/>
        <n x="800" s="1"/>
        <n x="653"/>
        <n x="654"/>
      </t>
    </mdx>
    <mdx n="0" f="v">
      <t c="6" si="614">
        <n x="610"/>
        <n x="229"/>
        <n x="230"/>
        <n x="800" s="1"/>
        <n x="655"/>
        <n x="656"/>
      </t>
    </mdx>
    <mdx n="0" f="v">
      <t c="6" si="614">
        <n x="610"/>
        <n x="447"/>
        <n x="448"/>
        <n x="800" s="1"/>
        <n x="649"/>
        <n x="650"/>
      </t>
    </mdx>
    <mdx n="0" f="v">
      <t c="6" si="614">
        <n x="610"/>
        <n x="471"/>
        <n x="472"/>
        <n x="800" s="1"/>
        <n x="651"/>
        <n x="652"/>
      </t>
    </mdx>
    <mdx n="0" f="v">
      <t c="6" si="614">
        <n x="610"/>
        <n x="233"/>
        <n x="234"/>
        <n x="800" s="1"/>
        <n x="655"/>
        <n x="656"/>
      </t>
    </mdx>
    <mdx n="0" f="v">
      <t c="6" si="614">
        <n x="610"/>
        <n x="551"/>
        <n x="552"/>
        <n x="800" s="1"/>
        <n x="655"/>
        <n x="656"/>
      </t>
    </mdx>
    <mdx n="0" f="v">
      <t c="6" si="614">
        <n x="610"/>
        <n x="761"/>
        <n x="762"/>
        <n x="800" s="1"/>
        <n x="649"/>
        <n x="650"/>
      </t>
    </mdx>
    <mdx n="0" f="v">
      <t c="6" si="614">
        <n x="610"/>
        <n x="325"/>
        <n x="326"/>
        <n x="800" s="1"/>
        <n x="655"/>
        <n x="656"/>
      </t>
    </mdx>
    <mdx n="0" f="v">
      <t c="6" si="614">
        <n x="610"/>
        <n x="549"/>
        <n x="550"/>
        <n x="800" s="1"/>
        <n x="653"/>
        <n x="654"/>
      </t>
    </mdx>
    <mdx n="0" f="v">
      <t c="6" si="614">
        <n x="610"/>
        <n x="507"/>
        <n x="508"/>
        <n x="800" s="1"/>
        <n x="651"/>
        <n x="652"/>
      </t>
    </mdx>
    <mdx n="0" f="v">
      <t c="6" si="614">
        <n x="610"/>
        <n x="247"/>
        <n x="248"/>
        <n x="800" s="1"/>
        <n x="649"/>
        <n x="650"/>
      </t>
    </mdx>
    <mdx n="0" f="v">
      <t c="6" si="614">
        <n x="610"/>
        <n x="467"/>
        <n x="468"/>
        <n x="800" s="1"/>
        <n x="655"/>
        <n x="656"/>
      </t>
    </mdx>
    <mdx n="0" f="v">
      <t c="6" si="614">
        <n x="610"/>
        <n x="509"/>
        <n x="510"/>
        <n x="800" s="1"/>
        <n x="651"/>
        <n x="652"/>
      </t>
    </mdx>
    <mdx n="0" f="v">
      <t c="6" si="614">
        <n x="610"/>
        <n x="403"/>
        <n x="404"/>
        <n x="800" s="1"/>
        <n x="649"/>
        <n x="650"/>
      </t>
    </mdx>
    <mdx n="0" f="v">
      <t c="6" si="614">
        <n x="610"/>
        <n x="511"/>
        <n x="512"/>
        <n x="800" s="1"/>
        <n x="653"/>
        <n x="654"/>
      </t>
    </mdx>
    <mdx n="0" f="v">
      <t c="6" si="614">
        <n x="610"/>
        <n x="771"/>
        <n x="772"/>
        <n x="800" s="1"/>
        <n x="651"/>
        <n x="652"/>
      </t>
    </mdx>
    <mdx n="0" f="v">
      <t c="6" si="614">
        <n x="610"/>
        <n x="293"/>
        <n x="294"/>
        <n x="800" s="1"/>
        <n x="649"/>
        <n x="650"/>
      </t>
    </mdx>
    <mdx n="0" f="v">
      <t c="6" si="614">
        <n x="610"/>
        <n x="381"/>
        <n x="382"/>
        <n x="800" s="1"/>
        <n x="651"/>
        <n x="652"/>
      </t>
    </mdx>
    <mdx n="0" f="v">
      <t c="6" si="614">
        <n x="610"/>
        <n x="445"/>
        <n x="446"/>
        <n x="800" s="1"/>
        <n x="649"/>
        <n x="650"/>
      </t>
    </mdx>
    <mdx n="0" f="v">
      <t c="6" si="614">
        <n x="610"/>
        <n x="779"/>
        <n x="780"/>
        <n x="800" s="1"/>
        <n x="655"/>
        <n x="656"/>
      </t>
    </mdx>
    <mdx n="0" f="v">
      <t c="6" si="614">
        <n x="610"/>
        <n x="783"/>
        <n x="784"/>
        <n x="800" s="1"/>
        <n x="651"/>
        <n x="652"/>
      </t>
    </mdx>
    <mdx n="0" f="v">
      <t c="6" si="614">
        <n x="610"/>
        <n x="311"/>
        <n x="312"/>
        <n x="800" s="1"/>
        <n x="655"/>
        <n x="656"/>
      </t>
    </mdx>
    <mdx n="0" f="v">
      <t c="6" si="614">
        <n x="610"/>
        <n x="423"/>
        <n x="424"/>
        <n x="800" s="1"/>
        <n x="649"/>
        <n x="650"/>
      </t>
    </mdx>
    <mdx n="0" f="v">
      <t c="6" si="614">
        <n x="610"/>
        <n x="451"/>
        <n x="452"/>
        <n x="800" s="1"/>
        <n x="651"/>
        <n x="652"/>
      </t>
    </mdx>
    <mdx n="0" f="v">
      <t c="6" si="614">
        <n x="610"/>
        <n x="351"/>
        <n x="352"/>
        <n x="800" s="1"/>
        <n x="655"/>
        <n x="656"/>
      </t>
    </mdx>
    <mdx n="0" f="v">
      <t c="6" si="614">
        <n x="610"/>
        <n x="305"/>
        <n x="306"/>
        <n x="800" s="1"/>
        <n x="651"/>
        <n x="652"/>
      </t>
    </mdx>
    <mdx n="0" f="v">
      <t c="6" si="614">
        <n x="610"/>
        <n x="279"/>
        <n x="280"/>
        <n x="800" s="1"/>
        <n x="653"/>
        <n x="654"/>
      </t>
    </mdx>
    <mdx n="0" f="v">
      <t c="6" si="614">
        <n x="610"/>
        <n x="263"/>
        <n x="264"/>
        <n x="800" s="1"/>
        <n x="649"/>
        <n x="650"/>
      </t>
    </mdx>
    <mdx n="0" f="v">
      <t c="6" si="614">
        <n x="610"/>
        <n x="337"/>
        <n x="338"/>
        <n x="800" s="1"/>
        <n x="651"/>
        <n x="652"/>
      </t>
    </mdx>
    <mdx n="0" f="v">
      <t c="6" si="614">
        <n x="610"/>
        <n x="517"/>
        <n x="518"/>
        <n x="800" s="1"/>
        <n x="653"/>
        <n x="654"/>
      </t>
    </mdx>
    <mdx n="0" f="v">
      <t c="6" si="614">
        <n x="610"/>
        <n x="731"/>
        <n x="732"/>
        <n x="800" s="1"/>
        <n x="649"/>
        <n x="650"/>
      </t>
    </mdx>
    <mdx n="0" f="v">
      <t c="6" si="614">
        <n x="610"/>
        <n x="607"/>
        <n x="608"/>
        <n x="800" s="1"/>
        <n x="651"/>
        <n x="652"/>
      </t>
    </mdx>
    <mdx n="0" f="v">
      <t c="6" si="614">
        <n x="610"/>
        <n x="265"/>
        <n x="266"/>
        <n x="800" s="1"/>
        <n x="653"/>
        <n x="654"/>
      </t>
    </mdx>
    <mdx n="0" f="v">
      <t c="6" si="614">
        <n x="610"/>
        <n x="235"/>
        <n x="236"/>
        <n x="800" s="1"/>
        <n x="655"/>
        <n x="656"/>
      </t>
    </mdx>
    <mdx n="0" f="v">
      <t c="6" si="614">
        <n x="610"/>
        <n x="283"/>
        <n x="284"/>
        <n x="800" s="1"/>
        <n x="651"/>
        <n x="652"/>
      </t>
    </mdx>
    <mdx n="0" f="v">
      <t c="6" si="614">
        <n x="610"/>
        <n x="443"/>
        <n x="444"/>
        <n x="800" s="1"/>
        <n x="649"/>
        <n x="650"/>
      </t>
    </mdx>
    <mdx n="0" f="v">
      <t c="6" si="614">
        <n x="610"/>
        <n x="257"/>
        <n x="258"/>
        <n x="800" s="1"/>
        <n x="651"/>
        <n x="652"/>
      </t>
    </mdx>
    <mdx n="0" f="v">
      <t c="6" si="614">
        <n x="610"/>
        <n x="393"/>
        <n x="394"/>
        <n x="800" s="1"/>
        <n x="651"/>
        <n x="652"/>
      </t>
    </mdx>
    <mdx n="0" f="v">
      <t c="6" si="614">
        <n x="610"/>
        <n x="561"/>
        <n x="562"/>
        <n x="800" s="1"/>
        <n x="649"/>
        <n x="650"/>
      </t>
    </mdx>
    <mdx n="0" f="v">
      <t c="6" si="614">
        <n x="610"/>
        <n x="589"/>
        <n x="590"/>
        <n x="800" s="1"/>
        <n x="651"/>
        <n x="652"/>
      </t>
    </mdx>
    <mdx n="0" f="v">
      <t c="6" si="614">
        <n x="610"/>
        <n x="745"/>
        <n x="746"/>
        <n x="800" s="1"/>
        <n x="655"/>
        <n x="656"/>
      </t>
    </mdx>
    <mdx n="0" f="v">
      <t c="6" si="614">
        <n x="610"/>
        <n x="299"/>
        <n x="300"/>
        <n x="800" s="1"/>
        <n x="651"/>
        <n x="652"/>
      </t>
    </mdx>
    <mdx n="0" f="v">
      <t c="6" si="614">
        <n x="610"/>
        <n x="593"/>
        <n x="594"/>
        <n x="800" s="1"/>
        <n x="651"/>
        <n x="652"/>
      </t>
    </mdx>
    <mdx n="0" f="v">
      <t c="6" si="614">
        <n x="610"/>
        <n x="753"/>
        <n x="754"/>
        <n x="800" s="1"/>
        <n x="653"/>
        <n x="654"/>
      </t>
    </mdx>
    <mdx n="0" f="v">
      <t c="6" si="614">
        <n x="610"/>
        <n x="223"/>
        <n x="224"/>
        <n x="800" s="1"/>
        <n x="655"/>
        <n x="656"/>
      </t>
    </mdx>
    <mdx n="0" f="v">
      <t c="6" si="614">
        <n x="610"/>
        <n x="399"/>
        <n x="400"/>
        <n x="800" s="1"/>
        <n x="651"/>
        <n x="652"/>
      </t>
    </mdx>
    <mdx n="0" f="v">
      <t c="6" si="614">
        <n x="610"/>
        <n x="289"/>
        <n x="290"/>
        <n x="800" s="1"/>
        <n x="649"/>
        <n x="650"/>
      </t>
    </mdx>
    <mdx n="0" f="v">
      <t c="6" si="614">
        <n x="610"/>
        <n x="361"/>
        <n x="362"/>
        <n x="800" s="1"/>
        <n x="651"/>
        <n x="652"/>
      </t>
    </mdx>
    <mdx n="0" f="v">
      <t c="6" si="614">
        <n x="610"/>
        <n x="553"/>
        <n x="554"/>
        <n x="800" s="1"/>
        <n x="655"/>
        <n x="656"/>
      </t>
    </mdx>
    <mdx n="0" f="v">
      <t c="6" si="614">
        <n x="610"/>
        <n x="763"/>
        <n x="764"/>
        <n x="800" s="1"/>
        <n x="655"/>
        <n x="656"/>
      </t>
    </mdx>
    <mdx n="0" f="v">
      <t c="6" si="614">
        <n x="610"/>
        <n x="315"/>
        <n x="316"/>
        <n x="800" s="1"/>
        <n x="655"/>
        <n x="656"/>
      </t>
    </mdx>
    <mdx n="0" f="v">
      <t c="6" si="614">
        <n x="610"/>
        <n x="773"/>
        <n x="774"/>
        <n x="800" s="1"/>
        <n x="655"/>
        <n x="656"/>
      </t>
    </mdx>
    <mdx n="0" f="v">
      <t c="6" si="614">
        <n x="610"/>
        <n x="533"/>
        <n x="534"/>
        <n x="800" s="1"/>
        <n x="655"/>
        <n x="656"/>
      </t>
    </mdx>
    <mdx n="0" f="v">
      <t c="6" si="614">
        <n x="610"/>
        <n x="355"/>
        <n x="356"/>
        <n x="800" s="1"/>
        <n x="649"/>
        <n x="650"/>
      </t>
    </mdx>
    <mdx n="0" f="v">
      <t c="6" si="614">
        <n x="610"/>
        <n x="583"/>
        <n x="584"/>
        <n x="800" s="1"/>
        <n x="651"/>
        <n x="652"/>
      </t>
    </mdx>
    <mdx n="0" f="v">
      <t c="6" si="614">
        <n x="610"/>
        <n x="789"/>
        <n x="790"/>
        <n x="800" s="1"/>
        <n x="651"/>
        <n x="652"/>
      </t>
    </mdx>
    <mdx n="0" f="v">
      <t c="6" si="614">
        <n x="610"/>
        <n x="565"/>
        <n x="566"/>
        <n x="800" s="1"/>
        <n x="653"/>
        <n x="654"/>
      </t>
    </mdx>
    <mdx n="0" f="v">
      <t c="6" si="614">
        <n x="610"/>
        <n x="545"/>
        <n x="546"/>
        <n x="800" s="1"/>
        <n x="655"/>
        <n x="656"/>
      </t>
    </mdx>
    <mdx n="0" f="v">
      <t c="6" si="614">
        <n x="610"/>
        <n x="523"/>
        <n x="524"/>
        <n x="800" s="1"/>
        <n x="649"/>
        <n x="650"/>
      </t>
    </mdx>
    <mdx n="0" f="v">
      <t c="6" si="614">
        <n x="610"/>
        <n x="313"/>
        <n x="314"/>
        <n x="800" s="1"/>
        <n x="651"/>
        <n x="652"/>
      </t>
    </mdx>
    <mdx n="0" f="v">
      <t c="6" si="614">
        <n x="610"/>
        <n x="227"/>
        <n x="228"/>
        <n x="800" s="1"/>
        <n x="651"/>
        <n x="652"/>
      </t>
    </mdx>
    <mdx n="0" f="v">
      <t c="6" si="614">
        <n x="610"/>
        <n x="225"/>
        <n x="226"/>
        <n x="800" s="1"/>
        <n x="649"/>
        <n x="650"/>
      </t>
    </mdx>
    <mdx n="0" f="v">
      <t c="6" si="614">
        <n x="610"/>
        <n x="797"/>
        <n x="798"/>
        <n x="800" s="1"/>
        <n x="651"/>
        <n x="652"/>
      </t>
    </mdx>
    <mdx n="0" f="v">
      <t c="6" si="614">
        <n x="610"/>
        <n x="327"/>
        <n x="328"/>
        <n x="800" s="1"/>
        <n x="651"/>
        <n x="652"/>
      </t>
    </mdx>
    <mdx n="0" f="v">
      <t c="6" si="614">
        <n x="610"/>
        <n x="587"/>
        <n x="588"/>
        <n x="800" s="1"/>
        <n x="653"/>
        <n x="654"/>
      </t>
    </mdx>
    <mdx n="0" f="v">
      <t c="6" si="614">
        <n x="610"/>
        <n x="477"/>
        <n x="478"/>
        <n x="800" s="1"/>
        <n x="655"/>
        <n x="656"/>
      </t>
    </mdx>
    <mdx n="0" f="v">
      <t c="6" si="614">
        <n x="610"/>
        <n x="497"/>
        <n x="498"/>
        <n x="800" s="1"/>
        <n x="649"/>
        <n x="650"/>
      </t>
    </mdx>
    <mdx n="0" f="v">
      <t c="6" si="614">
        <n x="610"/>
        <n x="567"/>
        <n x="568"/>
        <n x="800" s="1"/>
        <n x="651"/>
        <n x="652"/>
      </t>
    </mdx>
    <mdx n="0" f="v">
      <t c="6" si="614">
        <n x="610"/>
        <n x="253"/>
        <n x="254"/>
        <n x="800" s="1"/>
        <n x="651"/>
        <n x="652"/>
      </t>
    </mdx>
    <mdx n="0" f="v">
      <t c="6" si="614">
        <n x="610"/>
        <n x="371"/>
        <n x="372"/>
        <n x="800" s="1"/>
        <n x="653"/>
        <n x="654"/>
      </t>
    </mdx>
    <mdx n="0" f="v">
      <t c="6" si="614">
        <n x="610"/>
        <n x="237"/>
        <n x="238"/>
        <n x="800" s="1"/>
        <n x="653"/>
        <n x="654"/>
      </t>
    </mdx>
    <mdx n="0" f="v">
      <t c="6" si="614">
        <n x="610"/>
        <n x="363"/>
        <n x="364"/>
        <n x="800" s="1"/>
        <n x="649"/>
        <n x="650"/>
      </t>
    </mdx>
    <mdx n="0" f="v">
      <t c="6" si="614">
        <n x="610"/>
        <n x="413"/>
        <n x="414"/>
        <n x="800" s="1"/>
        <n x="651"/>
        <n x="652"/>
      </t>
    </mdx>
    <mdx n="0" f="v">
      <t c="6" si="614">
        <n x="610"/>
        <n x="283"/>
        <n x="284"/>
        <n x="800" s="1"/>
        <n x="653"/>
        <n x="654"/>
      </t>
    </mdx>
    <mdx n="0" f="v">
      <t c="6" si="614">
        <n x="610"/>
        <n x="401"/>
        <n x="402"/>
        <n x="800" s="1"/>
        <n x="649"/>
        <n x="650"/>
      </t>
    </mdx>
    <mdx n="0" f="v">
      <t c="6" si="614">
        <n x="610"/>
        <n x="737"/>
        <n x="738"/>
        <n x="800" s="1"/>
        <n x="651"/>
        <n x="652"/>
      </t>
    </mdx>
    <mdx n="0" f="v">
      <t c="6" si="614">
        <n x="610"/>
        <n x="393"/>
        <n x="394"/>
        <n x="800" s="1"/>
        <n x="653"/>
        <n x="654"/>
      </t>
    </mdx>
    <mdx n="0" f="v">
      <t c="6" si="614">
        <n x="610"/>
        <n x="491"/>
        <n x="492"/>
        <n x="800" s="1"/>
        <n x="655"/>
        <n x="656"/>
      </t>
    </mdx>
    <mdx n="0" f="v">
      <t c="6" si="614">
        <n x="610"/>
        <n x="437"/>
        <n x="438"/>
        <n x="800" s="1"/>
        <n x="649"/>
        <n x="650"/>
      </t>
    </mdx>
    <mdx n="0" f="v">
      <t c="6" si="614">
        <n x="610"/>
        <n x="569"/>
        <n x="570"/>
        <n x="800" s="1"/>
        <n x="655"/>
        <n x="656"/>
      </t>
    </mdx>
    <mdx n="0" f="v">
      <t c="6" si="614">
        <n x="610"/>
        <n x="299"/>
        <n x="300"/>
        <n x="800" s="1"/>
        <n x="653"/>
        <n x="654"/>
      </t>
    </mdx>
    <mdx n="0" f="v">
      <t c="6" si="614">
        <n x="610"/>
        <n x="489"/>
        <n x="490"/>
        <n x="800" s="1"/>
        <n x="655"/>
        <n x="656"/>
      </t>
    </mdx>
    <mdx n="0" f="v">
      <t c="6" si="614">
        <n x="610"/>
        <n x="447"/>
        <n x="448"/>
        <n x="800" s="1"/>
        <n x="651"/>
        <n x="652"/>
      </t>
    </mdx>
    <mdx n="0" f="v">
      <t c="6" si="614">
        <n x="610"/>
        <n x="321"/>
        <n x="322"/>
        <n x="800" s="1"/>
        <n x="655"/>
        <n x="656"/>
      </t>
    </mdx>
    <mdx n="0" f="v">
      <t c="6" si="614">
        <n x="610"/>
        <n x="273"/>
        <n x="274"/>
        <n x="800" s="1"/>
        <n x="649"/>
        <n x="650"/>
      </t>
    </mdx>
    <mdx n="0" f="v">
      <t c="6" si="614">
        <n x="610"/>
        <n x="761"/>
        <n x="762"/>
        <n x="800" s="1"/>
        <n x="651"/>
        <n x="652"/>
      </t>
    </mdx>
    <mdx n="0" f="v">
      <t c="6" si="614">
        <n x="610"/>
        <n x="245"/>
        <n x="246"/>
        <n x="800" s="1"/>
        <n x="649"/>
        <n x="650"/>
      </t>
    </mdx>
    <mdx n="0" f="v">
      <t c="6" si="614">
        <n x="610"/>
        <n x="549"/>
        <n x="550"/>
        <n x="800" s="1"/>
        <n x="655"/>
        <n x="656"/>
      </t>
    </mdx>
    <mdx n="0" f="v">
      <t c="6" si="614">
        <n x="610"/>
        <n x="507"/>
        <n x="508"/>
        <n x="800" s="1"/>
        <n x="653"/>
        <n x="654"/>
      </t>
    </mdx>
    <mdx n="0" f="v">
      <t c="6" si="614">
        <n x="610"/>
        <n x="247"/>
        <n x="248"/>
        <n x="800" s="1"/>
        <n x="651"/>
        <n x="652"/>
      </t>
    </mdx>
    <mdx n="0" f="v">
      <t c="6" si="614">
        <n x="610"/>
        <n x="349"/>
        <n x="350"/>
        <n x="800" s="1"/>
        <n x="649"/>
        <n x="650"/>
      </t>
    </mdx>
    <mdx n="0" f="v">
      <t c="6" si="614">
        <n x="610"/>
        <n x="403"/>
        <n x="404"/>
        <n x="800" s="1"/>
        <n x="651"/>
        <n x="652"/>
      </t>
    </mdx>
    <mdx n="0" f="v">
      <t c="6" si="614">
        <n x="610"/>
        <n x="769"/>
        <n x="770"/>
        <n x="800" s="1"/>
        <n x="649"/>
        <n x="650"/>
      </t>
    </mdx>
    <mdx n="0" f="v">
      <t c="6" si="614">
        <n x="610"/>
        <n x="293"/>
        <n x="294"/>
        <n x="800" s="1"/>
        <n x="651"/>
        <n x="652"/>
      </t>
    </mdx>
    <mdx n="0" f="v">
      <t c="6" si="614">
        <n x="610"/>
        <n x="775"/>
        <n x="776"/>
        <n x="800" s="1"/>
        <n x="649"/>
        <n x="650"/>
      </t>
    </mdx>
    <mdx n="0" f="v">
      <t c="6" si="614">
        <n x="610"/>
        <n x="445"/>
        <n x="446"/>
        <n x="800" s="1"/>
        <n x="651"/>
        <n x="652"/>
      </t>
    </mdx>
    <mdx n="0" f="v">
      <t c="6" si="614">
        <n x="610"/>
        <n x="527"/>
        <n x="528"/>
        <n x="800" s="1"/>
        <n x="649"/>
        <n x="650"/>
      </t>
    </mdx>
    <mdx n="0" f="v">
      <t c="6" si="614">
        <n x="610"/>
        <n x="581"/>
        <n x="582"/>
        <n x="800" s="1"/>
        <n x="655"/>
        <n x="656"/>
      </t>
    </mdx>
    <mdx n="0" f="v">
      <t c="6" si="614">
        <n x="610"/>
        <n x="531"/>
        <n x="532"/>
        <n x="800" s="1"/>
        <n x="649"/>
        <n x="650"/>
      </t>
    </mdx>
    <mdx n="0" f="v">
      <t c="6" si="614">
        <n x="610"/>
        <n x="423"/>
        <n x="424"/>
        <n x="800" s="1"/>
        <n x="651"/>
        <n x="652"/>
      </t>
    </mdx>
    <mdx n="0" f="v">
      <t c="6" si="614">
        <n x="610"/>
        <n x="451"/>
        <n x="452"/>
        <n x="800" s="1"/>
        <n x="653"/>
        <n x="654"/>
      </t>
    </mdx>
    <mdx n="0" f="v">
      <t c="6" si="614">
        <n x="610"/>
        <n x="795"/>
        <n x="796"/>
        <n x="800" s="1"/>
        <n x="649"/>
        <n x="650"/>
      </t>
    </mdx>
    <mdx n="0" f="v">
      <t c="6" si="614">
        <n x="610"/>
        <n x="211"/>
        <n x="212"/>
        <n x="800" s="1"/>
        <n x="651"/>
        <n x="652"/>
      </t>
    </mdx>
    <mdx n="0" f="v">
      <t c="6" si="614">
        <n x="610"/>
        <n x="279"/>
        <n x="280"/>
        <n x="800" s="1"/>
        <n x="655"/>
        <n x="656"/>
      </t>
    </mdx>
    <mdx n="0" f="v">
      <t c="6" si="614">
        <n x="610"/>
        <n x="449"/>
        <n x="450"/>
        <n x="800" s="1"/>
        <n x="655"/>
        <n x="656"/>
      </t>
    </mdx>
    <mdx n="0" f="v">
      <t c="6" si="614">
        <n x="610"/>
        <n x="803"/>
        <n x="804"/>
        <n x="800" s="1"/>
        <n x="649"/>
        <n x="650"/>
      </t>
    </mdx>
    <mdx n="0" f="v">
      <t c="6" si="614">
        <n x="610"/>
        <n x="263"/>
        <n x="264"/>
        <n x="800" s="1"/>
        <n x="651"/>
        <n x="652"/>
      </t>
    </mdx>
    <mdx n="0" f="v">
      <t c="6" si="614">
        <n x="610"/>
        <n x="517"/>
        <n x="518"/>
        <n x="800" s="1"/>
        <n x="655"/>
        <n x="656"/>
      </t>
    </mdx>
    <mdx n="0" f="v">
      <t c="6" si="614">
        <n x="610"/>
        <n x="519"/>
        <n x="520"/>
        <n x="800" s="1"/>
        <n x="655"/>
        <n x="656"/>
      </t>
    </mdx>
    <mdx n="0" f="v">
      <t c="6" si="614">
        <n x="610"/>
        <n x="369"/>
        <n x="370"/>
        <n x="800" s="1"/>
        <n x="649"/>
        <n x="650"/>
      </t>
    </mdx>
    <mdx n="0" f="v">
      <t c="6" si="614">
        <n x="610"/>
        <n x="555"/>
        <n x="556"/>
        <n x="800" s="1"/>
        <n x="649"/>
        <n x="650"/>
      </t>
    </mdx>
    <mdx n="0" f="v">
      <t c="6" si="614">
        <n x="610"/>
        <n x="731"/>
        <n x="732"/>
        <n x="800" s="1"/>
        <n x="651"/>
        <n x="652"/>
      </t>
    </mdx>
    <mdx n="0" f="v">
      <t c="6" si="614">
        <n x="610"/>
        <n x="607"/>
        <n x="608"/>
        <n x="800" s="1"/>
        <n x="653"/>
        <n x="654"/>
      </t>
    </mdx>
    <mdx n="0" f="v">
      <t c="6" si="614">
        <n x="610"/>
        <n x="265"/>
        <n x="266"/>
        <n x="800" s="1"/>
        <n x="655"/>
        <n x="656"/>
      </t>
    </mdx>
    <mdx n="0" f="v">
      <t c="6" si="614">
        <n x="610"/>
        <n x="389"/>
        <n x="390"/>
        <n x="800" s="1"/>
        <n x="651"/>
        <n x="652"/>
      </t>
    </mdx>
    <mdx n="0" f="v">
      <t c="6" si="614">
        <n x="610"/>
        <n x="735"/>
        <n x="736"/>
        <n x="800" s="1"/>
        <n x="649"/>
        <n x="650"/>
      </t>
    </mdx>
    <mdx n="0" f="v">
      <t c="6" si="614">
        <n x="610"/>
        <n x="443"/>
        <n x="444"/>
        <n x="800" s="1"/>
        <n x="651"/>
        <n x="652"/>
      </t>
    </mdx>
    <mdx n="0" f="v">
      <t c="6" si="614">
        <n x="610"/>
        <n x="455"/>
        <n x="456"/>
        <n x="800" s="1"/>
        <n x="651"/>
        <n x="652"/>
      </t>
    </mdx>
    <mdx n="0" f="v">
      <t c="6" si="614">
        <n x="610"/>
        <n x="537"/>
        <n x="538"/>
        <n x="800" s="1"/>
        <n x="649"/>
        <n x="650"/>
      </t>
    </mdx>
    <mdx n="0" f="v">
      <t c="6" si="614">
        <n x="610"/>
        <n x="561"/>
        <n x="562"/>
        <n x="800" s="1"/>
        <n x="651"/>
        <n x="652"/>
      </t>
    </mdx>
    <mdx n="0" f="v">
      <t c="6" si="614">
        <n x="610"/>
        <n x="589"/>
        <n x="590"/>
        <n x="800" s="1"/>
        <n x="653"/>
        <n x="654"/>
      </t>
    </mdx>
    <mdx n="0" f="v">
      <t c="6" si="614">
        <n x="610"/>
        <n x="345"/>
        <n x="346"/>
        <n x="800" s="1"/>
        <n x="651"/>
        <n x="652"/>
      </t>
    </mdx>
    <mdx n="0" f="v">
      <t c="6" si="614">
        <n x="610"/>
        <n x="259"/>
        <n x="260"/>
        <n x="800" s="1"/>
        <n x="649"/>
        <n x="650"/>
      </t>
    </mdx>
    <mdx n="0" f="v">
      <t c="6" si="614">
        <n x="610"/>
        <n x="419"/>
        <n x="420"/>
        <n x="800" s="1"/>
        <n x="651"/>
        <n x="652"/>
      </t>
    </mdx>
    <mdx n="0" f="v">
      <t c="6" si="614">
        <n x="610"/>
        <n x="593"/>
        <n x="594"/>
        <n x="800" s="1"/>
        <n x="653"/>
        <n x="654"/>
      </t>
    </mdx>
    <mdx n="0" f="v">
      <t c="6" si="614">
        <n x="610"/>
        <n x="753"/>
        <n x="754"/>
        <n x="800" s="1"/>
        <n x="655"/>
        <n x="656"/>
      </t>
    </mdx>
    <mdx n="0" f="v">
      <t c="6" si="614">
        <n x="610"/>
        <n x="407"/>
        <n x="408"/>
        <n x="800" s="1"/>
        <n x="651"/>
        <n x="652"/>
      </t>
    </mdx>
    <mdx n="0" f="v">
      <t c="6" si="614">
        <n x="610"/>
        <n x="577"/>
        <n x="578"/>
        <n x="800" s="1"/>
        <n x="649"/>
        <n x="650"/>
      </t>
    </mdx>
    <mdx n="0" f="v">
      <t c="6" si="614">
        <n x="610"/>
        <n x="289"/>
        <n x="290"/>
        <n x="800" s="1"/>
        <n x="651"/>
        <n x="652"/>
      </t>
    </mdx>
    <mdx n="0" f="v">
      <t c="6" si="614">
        <n x="610"/>
        <n x="409"/>
        <n x="410"/>
        <n x="800" s="1"/>
        <n x="651"/>
        <n x="652"/>
      </t>
    </mdx>
    <mdx n="0" f="v">
      <t c="6" si="614">
        <n x="610"/>
        <n x="287"/>
        <n x="288"/>
        <n x="800" s="1"/>
        <n x="651"/>
        <n x="652"/>
      </t>
    </mdx>
    <mdx n="0" f="v">
      <t c="6" si="614">
        <n x="610"/>
        <n x="767"/>
        <n x="768"/>
        <n x="800" s="1"/>
        <n x="651"/>
        <n x="652"/>
      </t>
    </mdx>
    <mdx n="0" f="v">
      <t c="6" si="614">
        <n x="610"/>
        <n x="249"/>
        <n x="250"/>
        <n x="800" s="1"/>
        <n x="651"/>
        <n x="652"/>
      </t>
    </mdx>
    <mdx n="0" f="v">
      <t c="6" si="614">
        <n x="610"/>
        <n x="269"/>
        <n x="270"/>
        <n x="800" s="1"/>
        <n x="651"/>
        <n x="652"/>
      </t>
    </mdx>
    <mdx n="0" f="v">
      <t c="6" si="614">
        <n x="610"/>
        <n x="355"/>
        <n x="356"/>
        <n x="800" s="1"/>
        <n x="651"/>
        <n x="652"/>
      </t>
    </mdx>
    <mdx n="0" f="v">
      <t c="6" si="614">
        <n x="610"/>
        <n x="789"/>
        <n x="790"/>
        <n x="800" s="1"/>
        <n x="653"/>
        <n x="654"/>
      </t>
    </mdx>
    <mdx n="0" f="v">
      <t c="6" si="614">
        <n x="610"/>
        <n x="565"/>
        <n x="566"/>
        <n x="800" s="1"/>
        <n x="655"/>
        <n x="656"/>
      </t>
    </mdx>
    <mdx n="0" f="v">
      <t c="6" si="614">
        <n x="610"/>
        <n x="575"/>
        <n x="576"/>
        <n x="800" s="1"/>
        <n x="649"/>
        <n x="650"/>
      </t>
    </mdx>
    <mdx n="0" f="v">
      <t c="6" si="614">
        <n x="610"/>
        <n x="523"/>
        <n x="524"/>
        <n x="800" s="1"/>
        <n x="651"/>
        <n x="652"/>
      </t>
    </mdx>
    <mdx n="0" f="v">
      <t c="6" si="614">
        <n x="610"/>
        <n x="213"/>
        <n x="214"/>
        <n x="800" s="1"/>
        <n x="651"/>
        <n x="652"/>
      </t>
    </mdx>
    <mdx n="0" f="v">
      <t c="6" si="614">
        <n x="610"/>
        <n x="571"/>
        <n x="572"/>
        <n x="800" s="1"/>
        <n x="649"/>
        <n x="650"/>
      </t>
    </mdx>
    <mdx n="0" f="v">
      <t c="6" si="614">
        <n x="610"/>
        <n x="225"/>
        <n x="226"/>
        <n x="800" s="1"/>
        <n x="651"/>
        <n x="652"/>
      </t>
    </mdx>
    <mdx n="0" f="v">
      <t c="6" si="614">
        <n x="610"/>
        <n x="329"/>
        <n x="330"/>
        <n x="800" s="1"/>
        <n x="651"/>
        <n x="652"/>
      </t>
    </mdx>
    <mdx n="0" f="v">
      <t c="6" si="614">
        <n x="610"/>
        <n x="327"/>
        <n x="328"/>
        <n x="800" s="1"/>
        <n x="653"/>
        <n x="654"/>
      </t>
    </mdx>
    <mdx n="0" f="v">
      <t c="6" si="614">
        <n x="610"/>
        <n x="587"/>
        <n x="588"/>
        <n x="800" s="1"/>
        <n x="655"/>
        <n x="656"/>
      </t>
    </mdx>
    <mdx n="0" f="v">
      <t c="6" si="614">
        <n x="610"/>
        <n x="267"/>
        <n x="268"/>
        <n x="800" s="1"/>
        <n x="649"/>
        <n x="650"/>
      </t>
    </mdx>
    <mdx n="0" f="v">
      <t c="6" si="614">
        <n x="610"/>
        <n x="497"/>
        <n x="498"/>
        <n x="800" s="1"/>
        <n x="651"/>
        <n x="652"/>
      </t>
    </mdx>
    <mdx n="0" f="v">
      <t c="6" si="614">
        <n x="610"/>
        <n x="559"/>
        <n x="560"/>
        <n x="800" s="1"/>
        <n x="651"/>
        <n x="652"/>
      </t>
    </mdx>
    <mdx n="0" f="v">
      <t c="6" si="614">
        <n x="610"/>
        <n x="253"/>
        <n x="254"/>
        <n x="800" s="1"/>
        <n x="653"/>
        <n x="654"/>
      </t>
    </mdx>
    <mdx n="0" f="v">
      <t c="6" si="614">
        <n x="610"/>
        <n x="599"/>
        <n x="600"/>
        <n x="800" s="1"/>
        <n x="649"/>
        <n x="650"/>
      </t>
    </mdx>
    <mdx n="0" f="v">
      <t c="6" si="614">
        <n x="610"/>
        <n x="217"/>
        <n x="218"/>
        <n x="800" s="1"/>
        <n x="653"/>
        <n x="654"/>
      </t>
    </mdx>
    <mdx n="0" f="v">
      <t c="6" si="614">
        <n x="610"/>
        <n x="261"/>
        <n x="262"/>
        <n x="800" s="1"/>
        <n x="649"/>
        <n x="650"/>
      </t>
    </mdx>
    <mdx n="0" f="v">
      <t c="6" si="614">
        <n x="610"/>
        <n x="275"/>
        <n x="276"/>
        <n x="800" s="1"/>
        <n x="653"/>
        <n x="654"/>
      </t>
    </mdx>
    <mdx n="0" f="v">
      <t c="6" si="614">
        <n x="610"/>
        <n x="721"/>
        <n x="586"/>
        <n x="800" s="1"/>
        <n x="649"/>
        <n x="650"/>
      </t>
    </mdx>
    <mdx n="0" f="v">
      <t c="6" si="614">
        <n x="610"/>
        <n x="721"/>
        <n x="722"/>
        <n x="800" s="1"/>
        <n x="653"/>
        <n x="654"/>
      </t>
    </mdx>
    <mdx n="0" f="v">
      <t c="6" si="614">
        <n x="610"/>
        <n x="377"/>
        <n x="378"/>
        <n x="800" s="1"/>
        <n x="653"/>
        <n x="654"/>
      </t>
    </mdx>
    <mdx n="0" f="v">
      <t c="6" si="614">
        <n x="610"/>
        <n x="200"/>
        <n x="201"/>
        <n x="800" s="1"/>
        <n x="649"/>
        <n x="650"/>
      </t>
    </mdx>
    <mdx n="0" f="v">
      <t c="6" si="614">
        <n x="610"/>
        <n x="221"/>
        <n x="222"/>
        <n x="800" s="1"/>
        <n x="653"/>
        <n x="654"/>
      </t>
    </mdx>
    <mdx n="0" f="v">
      <t c="6" si="614">
        <n x="610"/>
        <n x="459"/>
        <n x="460"/>
        <n x="800" s="1"/>
        <n x="653"/>
        <n x="654"/>
      </t>
    </mdx>
    <mdx n="0" f="v">
      <t c="6" si="614">
        <n x="610"/>
        <n x="725"/>
        <n x="726"/>
        <n x="800" s="1"/>
        <n x="653"/>
        <n x="654"/>
      </t>
    </mdx>
    <mdx n="0" f="v">
      <t c="6" si="614">
        <n x="610"/>
        <n x="601"/>
        <n x="602"/>
        <n x="800" s="1"/>
        <n x="653"/>
        <n x="654"/>
      </t>
    </mdx>
    <mdx n="0" f="v">
      <t c="6" si="614">
        <n x="610"/>
        <n x="601"/>
        <n x="602"/>
        <n x="800" s="1"/>
        <n x="653"/>
        <n x="654"/>
      </t>
    </mdx>
    <mdx n="0" f="v">
      <t c="6" si="614">
        <n x="610"/>
        <n x="729"/>
        <n x="730"/>
        <n x="800" s="1"/>
        <n x="653"/>
        <n x="654"/>
      </t>
    </mdx>
    <mdx n="0" f="v">
      <t c="6" si="614">
        <n x="610"/>
        <n x="603"/>
        <n x="604"/>
        <n x="800" s="1"/>
        <n x="655"/>
        <n x="656"/>
      </t>
    </mdx>
    <mdx n="0" f="v">
      <t c="6" si="614">
        <n x="610"/>
        <n x="603"/>
        <n x="604"/>
        <n x="800" s="1"/>
        <n x="649"/>
        <n x="650"/>
      </t>
    </mdx>
    <mdx n="0" f="v">
      <t c="6" si="614">
        <n x="610"/>
        <n x="281"/>
        <n x="282"/>
        <n x="800" s="1"/>
        <n x="655"/>
        <n x="656"/>
      </t>
    </mdx>
    <mdx n="0" f="v">
      <t c="6" si="614">
        <n x="610"/>
        <n x="281"/>
        <n x="282"/>
        <n x="800" s="1"/>
        <n x="655"/>
        <n x="656"/>
      </t>
    </mdx>
    <mdx n="0" f="v">
      <t c="6" si="614">
        <n x="610"/>
        <n x="283"/>
        <n x="284"/>
        <n x="800" s="1"/>
        <n x="655"/>
        <n x="656"/>
      </t>
    </mdx>
    <mdx n="0" f="v">
      <t c="6" si="614">
        <n x="610"/>
        <n x="401"/>
        <n x="402"/>
        <n x="800" s="1"/>
        <n x="651"/>
        <n x="652"/>
      </t>
    </mdx>
    <mdx n="0" f="v">
      <t c="6" si="614">
        <n x="610"/>
        <n x="455"/>
        <n x="456"/>
        <n x="800" s="1"/>
        <n x="653"/>
        <n x="654"/>
      </t>
    </mdx>
    <mdx n="0" f="v">
      <t c="6" si="614">
        <n x="610"/>
        <n x="433"/>
        <n x="434"/>
        <n x="800" s="1"/>
        <n x="655"/>
        <n x="656"/>
      </t>
    </mdx>
    <mdx n="0" f="v">
      <t c="6" si="614">
        <n x="610"/>
        <n x="437"/>
        <n x="438"/>
        <n x="800" s="1"/>
        <n x="651"/>
        <n x="652"/>
      </t>
    </mdx>
    <mdx n="0" f="v">
      <t c="6" si="614">
        <n x="610"/>
        <n x="747"/>
        <n x="748"/>
        <n x="800" s="1"/>
        <n x="655"/>
        <n x="656"/>
      </t>
    </mdx>
    <mdx n="0" f="v">
      <t c="6" si="614">
        <n x="610"/>
        <n x="299"/>
        <n x="300"/>
        <n x="800" s="1"/>
        <n x="655"/>
        <n x="656"/>
      </t>
    </mdx>
    <mdx n="0" f="v">
      <t c="6" si="614">
        <n x="610"/>
        <n x="241"/>
        <n x="242"/>
        <n x="800" s="1"/>
        <n x="649"/>
        <n x="650"/>
      </t>
    </mdx>
    <mdx n="0" f="v">
      <t c="6" si="614">
        <n x="610"/>
        <n x="751"/>
        <n x="752"/>
        <n x="800" s="1"/>
        <n x="651"/>
        <n x="652"/>
      </t>
    </mdx>
    <mdx n="0" f="v">
      <t c="6" si="614">
        <n x="610"/>
        <n x="407"/>
        <n x="408"/>
        <n x="800" s="1"/>
        <n x="653"/>
        <n x="654"/>
      </t>
    </mdx>
    <mdx n="0" f="v">
      <t c="6" si="614">
        <n x="610"/>
        <n x="207"/>
        <n x="208"/>
        <n x="800" s="1"/>
        <n x="649"/>
        <n x="650"/>
      </t>
    </mdx>
    <mdx n="0" f="v">
      <t c="6" si="614">
        <n x="610"/>
        <n x="273"/>
        <n x="274"/>
        <n x="800" s="1"/>
        <n x="651"/>
        <n x="652"/>
      </t>
    </mdx>
    <mdx n="0" f="v">
      <t c="6" si="614">
        <n x="610"/>
        <n x="409"/>
        <n x="410"/>
        <n x="800" s="1"/>
        <n x="653"/>
        <n x="654"/>
      </t>
    </mdx>
    <mdx n="0" f="v">
      <t c="6" si="614">
        <n x="610"/>
        <n x="245"/>
        <n x="246"/>
        <n x="800" s="1"/>
        <n x="651"/>
        <n x="652"/>
      </t>
    </mdx>
    <mdx n="0" f="v">
      <t c="6" si="614">
        <n x="610"/>
        <n x="255"/>
        <n x="256"/>
        <n x="800" s="1"/>
        <n x="649"/>
        <n x="650"/>
      </t>
    </mdx>
    <mdx n="0" f="v">
      <t c="6" si="614">
        <n x="610"/>
        <n x="349"/>
        <n x="350"/>
        <n x="800" s="1"/>
        <n x="651"/>
        <n x="652"/>
      </t>
    </mdx>
    <mdx n="0" f="v">
      <t c="6" si="614">
        <n x="610"/>
        <n x="765"/>
        <n x="766"/>
        <n x="800" s="1"/>
        <n x="649"/>
        <n x="650"/>
      </t>
    </mdx>
    <mdx n="0" f="v">
      <t c="6" si="614">
        <n x="610"/>
        <n x="767"/>
        <n x="768"/>
        <n x="800" s="1"/>
        <n x="653"/>
        <n x="654"/>
      </t>
    </mdx>
    <mdx n="0" f="v">
      <t c="6" si="614">
        <n x="610"/>
        <n x="769"/>
        <n x="770"/>
        <n x="800" s="1"/>
        <n x="651"/>
        <n x="652"/>
      </t>
    </mdx>
    <mdx n="0" f="v">
      <t c="6" si="614">
        <n x="610"/>
        <n x="427"/>
        <n x="428"/>
        <n x="800" s="1"/>
        <n x="649"/>
        <n x="650"/>
      </t>
    </mdx>
    <mdx n="0" f="v">
      <t c="6" si="614">
        <n x="610"/>
        <n x="249"/>
        <n x="250"/>
        <n x="800" s="1"/>
        <n x="653"/>
        <n x="654"/>
      </t>
    </mdx>
    <mdx n="0" f="v">
      <t c="6" si="614">
        <n x="610"/>
        <n x="775"/>
        <n x="776"/>
        <n x="800" s="1"/>
        <n x="651"/>
        <n x="652"/>
      </t>
    </mdx>
    <mdx n="0" f="v">
      <t c="6" si="614">
        <n x="610"/>
        <n x="357"/>
        <n x="358"/>
        <n x="800" s="1"/>
        <n x="649"/>
        <n x="650"/>
      </t>
    </mdx>
    <mdx n="0" f="v">
      <t c="6" si="614">
        <n x="610"/>
        <n x="269"/>
        <n x="270"/>
        <n x="800" s="1"/>
        <n x="653"/>
        <n x="654"/>
      </t>
    </mdx>
    <mdx n="0" f="v">
      <t c="6" si="614">
        <n x="610"/>
        <n x="527"/>
        <n x="528"/>
        <n x="800" s="1"/>
        <n x="651"/>
        <n x="652"/>
      </t>
    </mdx>
    <mdx n="0" f="v">
      <t c="6" si="614">
        <n x="610"/>
        <n x="527"/>
        <n x="528"/>
        <n x="800" s="1"/>
        <n x="651"/>
        <n x="652"/>
      </t>
    </mdx>
    <mdx n="0" f="v">
      <t c="6" si="614">
        <n x="610"/>
        <n x="375"/>
        <n x="376"/>
        <n x="800" s="1"/>
        <n x="649"/>
        <n x="650"/>
      </t>
    </mdx>
    <mdx n="0" f="v">
      <t c="6" si="614">
        <n x="610"/>
        <n x="431"/>
        <n x="432"/>
        <n x="800" s="1"/>
        <n x="649"/>
        <n x="650"/>
      </t>
    </mdx>
    <mdx n="0" f="v">
      <t c="6" si="614">
        <n x="610"/>
        <n x="431"/>
        <n x="432"/>
        <n x="800" s="1"/>
        <n x="649"/>
        <n x="650"/>
      </t>
    </mdx>
    <mdx n="0" f="v">
      <t c="6" si="614">
        <n x="610"/>
        <n x="423"/>
        <n x="424"/>
        <n x="800" s="1"/>
        <n x="653"/>
        <n x="654"/>
      </t>
    </mdx>
    <mdx n="0" f="v">
      <t c="6" si="614">
        <n x="610"/>
        <n x="313"/>
        <n x="314"/>
        <n x="800" s="1"/>
        <n x="655"/>
        <n x="656"/>
      </t>
    </mdx>
    <mdx n="0" f="v">
      <t c="6" si="614">
        <n x="610"/>
        <n x="795"/>
        <n x="796"/>
        <n x="800" s="1"/>
        <n x="651"/>
        <n x="652"/>
      </t>
    </mdx>
    <mdx n="0" f="v">
      <t c="6" si="614">
        <n x="610"/>
        <n x="801"/>
        <n x="802"/>
        <n x="800" s="1"/>
        <n x="649"/>
        <n x="650"/>
      </t>
    </mdx>
    <mdx n="0" f="v">
      <t c="6" si="614">
        <n x="610"/>
        <n x="263"/>
        <n x="264"/>
        <n x="800" s="1"/>
        <n x="653"/>
        <n x="654"/>
      </t>
    </mdx>
    <mdx n="0" f="v">
      <t c="6" si="614">
        <n x="610"/>
        <n x="567"/>
        <n x="568"/>
        <n x="800" s="1"/>
        <n x="655"/>
        <n x="656"/>
      </t>
    </mdx>
    <mdx n="0" f="v">
      <t c="6" si="614">
        <n x="610"/>
        <n x="369"/>
        <n x="370"/>
        <n x="800" s="1"/>
        <n x="651"/>
        <n x="652"/>
      </t>
    </mdx>
    <mdx n="0" f="v">
      <t c="6" si="614">
        <n x="610"/>
        <n x="555"/>
        <n x="556"/>
        <n x="800" s="1"/>
        <n x="651"/>
        <n x="652"/>
      </t>
    </mdx>
    <mdx n="0" f="v">
      <t c="6" si="614">
        <n x="610"/>
        <n x="731"/>
        <n x="732"/>
        <n x="800" s="1"/>
        <n x="653"/>
        <n x="654"/>
      </t>
    </mdx>
    <mdx n="0" f="v">
      <t c="6" si="614">
        <n x="610"/>
        <n x="607"/>
        <n x="608"/>
        <n x="800" s="1"/>
        <n x="655"/>
        <n x="656"/>
      </t>
    </mdx>
    <mdx n="0" f="v">
      <t c="6" si="614">
        <n x="610"/>
        <n x="243"/>
        <n x="244"/>
        <n x="800" s="1"/>
        <n x="649"/>
        <n x="650"/>
      </t>
    </mdx>
    <mdx n="0" f="v">
      <t c="6" si="614">
        <n x="610"/>
        <n x="243"/>
        <n x="244"/>
        <n x="800" s="1"/>
        <n x="649"/>
        <n x="650"/>
      </t>
    </mdx>
    <mdx n="0" f="v">
      <t c="6" si="614">
        <n x="610"/>
        <n x="443"/>
        <n x="444"/>
        <n x="800" s="1"/>
        <n x="653"/>
        <n x="654"/>
      </t>
    </mdx>
    <mdx n="0" f="v">
      <t c="6" si="614">
        <n x="610"/>
        <n x="741"/>
        <n x="742"/>
        <n x="800" s="1"/>
        <n x="651"/>
        <n x="652"/>
      </t>
    </mdx>
    <mdx n="0" f="v">
      <t c="6" si="614">
        <n x="610"/>
        <n x="741"/>
        <n x="742"/>
        <n x="800" s="1"/>
        <n x="651"/>
        <n x="652"/>
      </t>
    </mdx>
    <mdx n="0" f="v">
      <t c="6" si="614">
        <n x="610"/>
        <n x="537"/>
        <n x="538"/>
        <n x="800" s="1"/>
        <n x="651"/>
        <n x="652"/>
      </t>
    </mdx>
    <mdx n="0" f="v">
      <t c="6" si="614">
        <n x="610"/>
        <n x="561"/>
        <n x="562"/>
        <n x="800" s="1"/>
        <n x="653"/>
        <n x="654"/>
      </t>
    </mdx>
    <mdx n="0" f="v">
      <t c="6" si="614">
        <n x="610"/>
        <n x="589"/>
        <n x="590"/>
        <n x="800" s="1"/>
        <n x="655"/>
        <n x="656"/>
      </t>
    </mdx>
    <mdx n="0" f="v">
      <t c="6" si="614">
        <n x="610"/>
        <n x="295"/>
        <n x="296"/>
        <n x="800" s="1"/>
        <n x="651"/>
        <n x="652"/>
      </t>
    </mdx>
    <mdx n="0" f="v">
      <t c="6" si="614">
        <n x="610"/>
        <n x="441"/>
        <n x="442"/>
        <n x="800" s="1"/>
        <n x="649"/>
        <n x="650"/>
      </t>
    </mdx>
    <mdx n="0" f="v">
      <t c="6" si="614">
        <n x="610"/>
        <n x="259"/>
        <n x="260"/>
        <n x="800" s="1"/>
        <n x="651"/>
        <n x="652"/>
      </t>
    </mdx>
    <mdx n="0" f="v">
      <t c="6" si="614">
        <n x="610"/>
        <n x="593"/>
        <n x="594"/>
        <n x="800" s="1"/>
        <n x="655"/>
        <n x="656"/>
      </t>
    </mdx>
    <mdx n="0" f="v">
      <t c="6" si="614">
        <n x="610"/>
        <n x="205"/>
        <n x="206"/>
        <n x="800" s="1"/>
        <n x="649"/>
        <n x="650"/>
      </t>
    </mdx>
    <mdx n="0" f="v">
      <t c="6" si="614">
        <n x="610"/>
        <n x="289"/>
        <n x="290"/>
        <n x="800" s="1"/>
        <n x="653"/>
        <n x="654"/>
      </t>
    </mdx>
    <mdx n="0" f="v">
      <t c="6" si="614">
        <n x="610"/>
        <n x="289"/>
        <n x="290"/>
        <n x="800" s="1"/>
        <n x="653"/>
        <n x="654"/>
      </t>
    </mdx>
    <mdx n="0" f="v">
      <t c="6" si="614">
        <n x="610"/>
        <n x="761"/>
        <n x="762"/>
        <n x="800" s="1"/>
        <n x="655"/>
        <n x="656"/>
      </t>
    </mdx>
    <mdx n="0" f="v">
      <t c="6" si="614">
        <n x="610"/>
        <n x="417"/>
        <n x="418"/>
        <n x="800" s="1"/>
        <n x="653"/>
        <n x="652"/>
      </t>
    </mdx>
    <mdx n="0" f="v">
      <t c="6" si="614">
        <n x="610"/>
        <n x="521"/>
        <n x="522"/>
        <n x="800" s="1"/>
        <n x="649"/>
        <n x="650"/>
      </t>
    </mdx>
    <mdx n="0" f="v">
      <t c="6" si="614">
        <n x="610"/>
        <n x="579"/>
        <n x="580"/>
        <n x="800" s="1"/>
        <n x="651"/>
        <n x="652"/>
      </t>
    </mdx>
    <mdx n="0" f="v">
      <t c="6" si="614">
        <n x="610"/>
        <n x="227"/>
        <n x="228"/>
        <n x="800" s="1"/>
        <n x="655"/>
        <n x="656"/>
      </t>
    </mdx>
    <mdx n="0" f="v">
      <t c="6" si="614">
        <n x="610"/>
        <n x="571"/>
        <n x="572"/>
        <n x="800" s="1"/>
        <n x="651"/>
        <n x="652"/>
      </t>
    </mdx>
    <mdx n="0" f="v">
      <t c="6" si="614">
        <n x="610"/>
        <n x="291"/>
        <n x="292"/>
        <n x="800" s="1"/>
        <n x="651"/>
        <n x="652"/>
      </t>
    </mdx>
    <mdx n="0" f="v">
      <t c="6" si="614">
        <n x="610"/>
        <n x="421"/>
        <n x="422"/>
        <n x="800" s="1"/>
        <n x="649"/>
        <n x="650"/>
      </t>
    </mdx>
    <mdx n="0" f="v">
      <t c="6" si="614">
        <n x="610"/>
        <n x="421"/>
        <n x="422"/>
        <n x="800" s="1"/>
        <n x="649"/>
        <n x="650"/>
      </t>
    </mdx>
    <mdx n="0" f="v">
      <t c="6" si="614">
        <n x="610"/>
        <n x="251"/>
        <n x="252"/>
        <n x="800" s="1"/>
        <n x="651"/>
        <n x="652"/>
      </t>
    </mdx>
    <mdx n="0" f="v">
      <t c="6" si="614">
        <n x="610"/>
        <n x="559"/>
        <n x="560"/>
        <n x="800" s="1"/>
        <n x="653"/>
        <n x="654"/>
      </t>
    </mdx>
    <mdx n="0" f="v">
      <t c="6" si="614">
        <n x="610"/>
        <n x="805"/>
        <n x="806"/>
        <n x="800" s="1"/>
        <n x="649"/>
        <n x="650"/>
      </t>
    </mdx>
    <mdx n="0" f="v">
      <t c="6" si="614">
        <n x="610"/>
        <n x="715"/>
        <n x="716"/>
        <n x="800" s="1"/>
        <n x="651"/>
        <n x="652"/>
      </t>
    </mdx>
    <mdx n="0" f="v">
      <t c="6" si="614">
        <n x="610"/>
        <n x="599"/>
        <n x="600"/>
        <n x="800" s="1"/>
        <n x="651"/>
        <n x="652"/>
      </t>
    </mdx>
    <mdx n="0" f="v">
      <t c="6" si="614">
        <n x="610"/>
        <n x="261"/>
        <n x="262"/>
        <n x="800" s="1"/>
        <n x="651"/>
        <n x="652"/>
      </t>
    </mdx>
    <mdx n="0" f="v">
      <t c="6" si="614">
        <n x="610"/>
        <n x="261"/>
        <n x="262"/>
        <n x="800" s="1"/>
        <n x="651"/>
        <n x="652"/>
      </t>
    </mdx>
    <mdx n="0" f="v">
      <t c="6" si="614">
        <n x="610"/>
        <n x="585"/>
        <n x="586"/>
        <n x="800" s="1"/>
        <n x="651"/>
        <n x="652"/>
      </t>
    </mdx>
    <mdx n="0" f="v">
      <t c="6" si="614">
        <n x="610"/>
        <n x="463"/>
        <n x="464"/>
        <n x="800" s="1"/>
        <n x="651"/>
        <n x="652"/>
      </t>
    </mdx>
    <mdx n="0" f="v">
      <t c="6" si="614">
        <n x="610"/>
        <n x="200"/>
        <n x="201"/>
        <n x="800" s="1"/>
        <n x="651"/>
        <n x="652"/>
      </t>
    </mdx>
    <mdx n="0" f="v">
      <t c="6" si="614">
        <n x="610"/>
        <n x="365"/>
        <n x="366"/>
        <n x="800" s="1"/>
        <n x="651"/>
        <n x="652"/>
      </t>
    </mdx>
    <mdx n="0" f="v">
      <t c="6" si="614">
        <n x="610"/>
        <n x="365"/>
        <n x="366"/>
        <n x="800" s="1"/>
        <n x="651"/>
        <n x="652"/>
      </t>
    </mdx>
    <mdx n="0" f="v">
      <t c="6" si="614">
        <n x="610"/>
        <n x="397"/>
        <n x="398"/>
        <n x="800" s="1"/>
        <n x="651"/>
        <n x="652"/>
      </t>
    </mdx>
    <mdx n="0" f="v">
      <t c="6" si="614">
        <n x="610"/>
        <n x="597"/>
        <n x="598"/>
        <n x="800" s="1"/>
        <n x="651"/>
        <n x="652"/>
      </t>
    </mdx>
    <mdx n="0" f="v">
      <t c="6" si="614">
        <n x="610"/>
        <n x="597"/>
        <n x="598"/>
        <n x="800" s="1"/>
        <n x="651"/>
        <n x="652"/>
      </t>
    </mdx>
    <mdx n="0" f="v">
      <t c="6" si="614">
        <n x="610"/>
        <n x="231"/>
        <n x="232"/>
        <n x="800" s="1"/>
        <n x="651"/>
        <n x="652"/>
      </t>
    </mdx>
    <mdx n="0" f="v">
      <t c="6" si="614">
        <n x="610"/>
        <n x="727"/>
        <n x="728"/>
        <n x="800" s="1"/>
        <n x="651"/>
        <n x="652"/>
      </t>
    </mdx>
    <mdx n="0" f="v">
      <t c="6" si="614">
        <n x="610"/>
        <n x="727"/>
        <n x="728"/>
        <n x="800" s="1"/>
        <n x="651"/>
        <n x="652"/>
      </t>
    </mdx>
    <mdx n="0" f="v">
      <t c="6" si="614">
        <n x="610"/>
        <n x="495"/>
        <n x="496"/>
        <n x="800" s="1"/>
        <n x="649"/>
        <n x="650"/>
      </t>
    </mdx>
    <mdx n="0" f="v">
      <t c="6" si="614">
        <n x="610"/>
        <n x="495"/>
        <n x="496"/>
        <n x="800" s="1"/>
        <n x="649"/>
        <n x="650"/>
      </t>
    </mdx>
    <mdx n="0" f="v">
      <t c="6" si="614">
        <n x="610"/>
        <n x="413"/>
        <n x="604"/>
        <n x="800" s="1"/>
        <n x="651"/>
        <n x="652"/>
      </t>
    </mdx>
    <mdx n="0" f="v">
      <t c="6" si="614">
        <n x="610"/>
        <n x="413"/>
        <n x="414"/>
        <n x="800" s="1"/>
        <n x="655"/>
        <n x="656"/>
      </t>
    </mdx>
    <mdx n="0" f="v">
      <t c="6" si="614">
        <n x="610"/>
        <n x="387"/>
        <n x="278"/>
        <n x="800" s="1"/>
        <n x="649"/>
        <n x="650"/>
      </t>
    </mdx>
    <mdx n="0" f="v">
      <t c="6" si="614">
        <n x="610"/>
        <n x="387"/>
        <n x="388"/>
        <n x="800" s="1"/>
        <n x="651"/>
        <n x="652"/>
      </t>
    </mdx>
    <mdx n="0" f="v">
      <t c="6" si="614">
        <n x="610"/>
        <n x="737"/>
        <n x="738"/>
        <n x="800" s="1"/>
        <n x="655"/>
        <n x="656"/>
      </t>
    </mdx>
    <mdx n="0" f="v">
      <t c="6" si="614">
        <n x="610"/>
        <n x="741"/>
        <n x="742"/>
        <n x="800" s="1"/>
        <n x="653"/>
        <n x="654"/>
      </t>
    </mdx>
    <mdx n="0" f="v">
      <t c="6" si="614">
        <n x="610"/>
        <n x="455"/>
        <n x="456"/>
        <n x="800" s="1"/>
        <n x="655"/>
        <n x="656"/>
      </t>
    </mdx>
    <mdx n="0" f="v">
      <t c="6" si="614">
        <n x="610"/>
        <n x="743"/>
        <n x="744"/>
        <n x="800" s="1"/>
        <n x="649"/>
        <n x="650"/>
      </t>
    </mdx>
    <mdx n="0" f="v">
      <t c="6" si="614">
        <n x="610"/>
        <n x="433"/>
        <n x="434"/>
        <n x="800" s="1"/>
        <n x="651"/>
        <n x="652"/>
      </t>
    </mdx>
    <mdx n="0" f="v">
      <t c="6" si="614">
        <n x="610"/>
        <n x="295"/>
        <n x="296"/>
        <n x="800" s="1"/>
        <n x="653"/>
        <n x="654"/>
      </t>
    </mdx>
    <mdx n="0" f="v">
      <t c="6" si="614">
        <n x="610"/>
        <n x="749"/>
        <n x="750"/>
        <n x="800" s="1"/>
        <n x="649"/>
        <n x="650"/>
      </t>
    </mdx>
    <mdx n="0" f="v">
      <t c="6" si="614">
        <n x="610"/>
        <n x="241"/>
        <n x="242"/>
        <n x="800" s="1"/>
        <n x="651"/>
        <n x="652"/>
      </t>
    </mdx>
    <mdx n="0" f="v">
      <t c="6" si="614">
        <n x="610"/>
        <n x="339"/>
        <n x="340"/>
        <n x="800" s="1"/>
        <n x="653"/>
        <n x="654"/>
      </t>
    </mdx>
    <mdx n="0" f="v">
      <t c="6" si="614">
        <n x="610"/>
        <n x="407"/>
        <n x="408"/>
        <n x="800" s="1"/>
        <n x="655"/>
        <n x="656"/>
      </t>
    </mdx>
    <mdx n="0" f="v">
      <t c="6" si="614">
        <n x="610"/>
        <n x="207"/>
        <n x="208"/>
        <n x="800" s="1"/>
        <n x="649"/>
        <n x="650"/>
      </t>
    </mdx>
    <mdx n="0" f="v">
      <t c="6" si="614">
        <n x="610"/>
        <n x="207"/>
        <n x="208"/>
        <n x="800" s="1"/>
        <n x="651"/>
        <n x="652"/>
      </t>
    </mdx>
    <mdx n="0" f="v">
      <t c="6" si="614">
        <n x="610"/>
        <n x="409"/>
        <n x="410"/>
        <n x="800" s="1"/>
        <n x="655"/>
        <n x="650"/>
      </t>
    </mdx>
    <mdx n="0" f="v">
      <t c="6" si="614">
        <n x="610"/>
        <n x="409"/>
        <n x="410"/>
        <n x="800" s="1"/>
        <n x="655"/>
        <n x="656"/>
      </t>
    </mdx>
    <mdx n="0" f="v">
      <t c="6" si="614">
        <n x="610"/>
        <n x="255"/>
        <n x="256"/>
        <n x="800" s="1"/>
        <n x="651"/>
        <n x="652"/>
      </t>
    </mdx>
    <mdx n="0" f="v">
      <t c="6" si="614">
        <n x="610"/>
        <n x="467"/>
        <n x="468"/>
        <n x="800" s="1"/>
        <n x="649"/>
        <n x="650"/>
      </t>
    </mdx>
    <mdx n="0" f="v">
      <t c="6" si="614">
        <n x="610"/>
        <n x="765"/>
        <n x="766"/>
        <n x="800" s="1"/>
        <n x="651"/>
        <n x="652"/>
      </t>
    </mdx>
    <mdx n="0" f="v">
      <t c="6" si="614">
        <n x="610"/>
        <n x="767"/>
        <n x="768"/>
        <n x="800" s="1"/>
        <n x="655"/>
        <n x="656"/>
      </t>
    </mdx>
    <mdx n="0" f="v">
      <t c="6" si="614">
        <n x="610"/>
        <n x="427"/>
        <n x="428"/>
        <n x="800" s="1"/>
        <n x="651"/>
        <n x="652"/>
      </t>
    </mdx>
    <mdx n="0" f="v">
      <t c="6" si="614">
        <n x="610"/>
        <n x="427"/>
        <n x="428"/>
        <n x="800" s="1"/>
        <n x="651"/>
        <n x="652"/>
      </t>
    </mdx>
    <mdx n="0" f="v">
      <t c="6" si="614">
        <n x="610"/>
        <n x="249"/>
        <n x="250"/>
        <n x="800" s="1"/>
        <n x="655"/>
        <n x="656"/>
      </t>
    </mdx>
    <mdx n="0" f="v">
      <t c="6" si="614">
        <n x="610"/>
        <n x="775"/>
        <n x="776"/>
        <n x="800" s="1"/>
        <n x="653"/>
        <n x="654"/>
      </t>
    </mdx>
    <mdx n="0" f="v">
      <t c="6" si="614">
        <n x="610"/>
        <n x="779"/>
        <n x="780"/>
        <n x="800" s="1"/>
        <n x="649"/>
        <n x="650"/>
      </t>
    </mdx>
    <mdx n="0" f="v">
      <t c="6" si="614">
        <n x="610"/>
        <n x="269"/>
        <n x="270"/>
        <n x="800" s="1"/>
        <n x="655"/>
        <n x="656"/>
      </t>
    </mdx>
    <mdx n="0" f="v">
      <t c="6" si="614">
        <n x="610"/>
        <n x="527"/>
        <n x="528"/>
        <n x="800" s="1"/>
        <n x="653"/>
        <n x="654"/>
      </t>
    </mdx>
    <mdx n="0" f="v">
      <t c="6" si="614">
        <n x="610"/>
        <n x="375"/>
        <n x="376"/>
        <n x="800" s="1"/>
        <n x="651"/>
        <n x="652"/>
      </t>
    </mdx>
    <mdx n="0" f="v">
      <t c="6" si="614">
        <n x="610"/>
        <n x="355"/>
        <n x="356"/>
        <n x="800" s="1"/>
        <n x="655"/>
        <n x="656"/>
      </t>
    </mdx>
    <mdx n="0" f="v">
      <t c="6" si="614">
        <n x="610"/>
        <n x="431"/>
        <n x="432"/>
        <n x="800" s="1"/>
        <n x="651"/>
        <n x="652"/>
      </t>
    </mdx>
    <mdx n="0" f="v">
      <t c="6" si="614">
        <n x="610"/>
        <n x="531"/>
        <n x="532"/>
        <n x="800" s="1"/>
        <n x="653"/>
        <n x="654"/>
      </t>
    </mdx>
    <mdx n="0" f="v">
      <t c="6" si="614">
        <n x="610"/>
        <n x="423"/>
        <n x="424"/>
        <n x="800" s="1"/>
        <n x="655"/>
        <n x="656"/>
      </t>
    </mdx>
    <mdx n="0" f="v">
      <t c="6" si="614">
        <n x="610"/>
        <n x="351"/>
        <n x="352"/>
        <n x="800" s="1"/>
        <n x="649"/>
        <n x="650"/>
      </t>
    </mdx>
    <mdx n="0" f="v">
      <t c="6" si="614">
        <n x="610"/>
        <n x="331"/>
        <n x="332"/>
        <n x="800" s="1"/>
        <n x="651"/>
        <n x="652"/>
      </t>
    </mdx>
    <mdx n="0" f="v">
      <t c="6" si="614">
        <n x="610"/>
        <n x="795"/>
        <n x="796"/>
        <n x="800" s="1"/>
        <n x="653"/>
        <n x="654"/>
      </t>
    </mdx>
    <mdx n="0" f="v">
      <t c="6" si="614">
        <n x="610"/>
        <n x="373"/>
        <n x="374"/>
        <n x="800" s="1"/>
        <n x="649"/>
        <n x="650"/>
      </t>
    </mdx>
    <mdx n="0" f="v">
      <t c="6" si="614">
        <n x="610"/>
        <n x="373"/>
        <n x="374"/>
        <n x="800" s="1"/>
        <n x="649"/>
        <n x="650"/>
      </t>
    </mdx>
    <mdx n="0" f="v">
      <t c="6" si="614">
        <n x="610"/>
        <n x="801"/>
        <n x="802"/>
        <n x="800" s="1"/>
        <n x="651"/>
        <n x="652"/>
      </t>
    </mdx>
    <mdx n="0" f="v">
      <t c="6" si="614">
        <n x="610"/>
        <n x="263"/>
        <n x="264"/>
        <n x="800" s="1"/>
        <n x="655"/>
        <n x="656"/>
      </t>
    </mdx>
    <mdx n="0" f="v">
      <t c="6" si="614">
        <n x="610"/>
        <n x="263"/>
        <n x="264"/>
        <n x="800" s="1"/>
        <n x="655"/>
        <n x="656"/>
      </t>
    </mdx>
    <mdx n="0" f="v">
      <t c="6" si="614">
        <n x="610"/>
        <n x="497"/>
        <n x="498"/>
        <n x="800" s="1"/>
        <n x="655"/>
        <n x="656"/>
      </t>
    </mdx>
    <mdx n="0" f="v">
      <t c="6" si="614">
        <n x="610"/>
        <n x="369"/>
        <n x="370"/>
        <n x="800" s="1"/>
        <n x="653"/>
        <n x="654"/>
      </t>
    </mdx>
    <mdx n="0" f="v">
      <t c="6" si="614">
        <n x="610"/>
        <n x="731"/>
        <n x="732"/>
        <n x="800" s="1"/>
        <n x="655"/>
        <n x="656"/>
      </t>
    </mdx>
    <mdx n="0" f="v">
      <t c="6" si="614">
        <n x="610"/>
        <n x="235"/>
        <n x="236"/>
        <n x="800" s="1"/>
        <n x="649"/>
        <n x="650"/>
      </t>
    </mdx>
    <mdx n="0" f="v">
      <t c="6" si="614">
        <n x="610"/>
        <n x="735"/>
        <n x="736"/>
        <n x="800" s="1"/>
        <n x="653"/>
        <n x="654"/>
      </t>
    </mdx>
    <mdx n="0" f="v">
      <t c="6" si="614">
        <n x="610"/>
        <n x="591"/>
        <n x="592"/>
        <n x="800" s="1"/>
        <n x="651"/>
        <n x="652"/>
      </t>
    </mdx>
    <mdx n="0" f="v">
      <t c="6" si="614">
        <n x="610"/>
        <n x="499"/>
        <n x="500"/>
        <n x="800" s="1"/>
        <n x="651"/>
        <n x="652"/>
      </t>
    </mdx>
    <mdx n="0" f="v">
      <t c="6" si="614">
        <n x="610"/>
        <n x="561"/>
        <n x="562"/>
        <n x="800" s="1"/>
        <n x="655"/>
        <n x="656"/>
      </t>
    </mdx>
    <mdx n="0" f="v">
      <t c="6" si="614">
        <n x="610"/>
        <n x="745"/>
        <n x="746"/>
        <n x="800" s="1"/>
        <n x="649"/>
        <n x="650"/>
      </t>
    </mdx>
    <mdx n="0" f="v">
      <t c="6" si="614">
        <n x="610"/>
        <n x="259"/>
        <n x="260"/>
        <n x="800" s="1"/>
        <n x="653"/>
        <n x="654"/>
      </t>
    </mdx>
    <mdx n="0" f="v">
      <t c="6" si="614">
        <n x="610"/>
        <n x="755"/>
        <n x="756"/>
        <n x="800" s="1"/>
        <n x="651"/>
        <n x="652"/>
      </t>
    </mdx>
    <mdx n="0" f="v">
      <t c="6" si="614">
        <n x="610"/>
        <n x="205"/>
        <n x="206"/>
        <n x="800" s="1"/>
        <n x="651"/>
        <n x="652"/>
      </t>
    </mdx>
    <mdx n="0" f="v">
      <t c="6" si="614">
        <n x="610"/>
        <n x="289"/>
        <n x="290"/>
        <n x="800" s="1"/>
        <n x="655"/>
        <n x="656"/>
      </t>
    </mdx>
    <mdx n="0" f="v">
      <t c="6" si="614">
        <n x="610"/>
        <n x="469"/>
        <n x="470"/>
        <n x="800" s="1"/>
        <n x="651"/>
        <n x="652"/>
      </t>
    </mdx>
    <mdx n="0" f="v">
      <t c="6" si="614">
        <n x="610"/>
        <n x="485"/>
        <n x="486"/>
        <n x="800" s="1"/>
        <n x="651"/>
        <n x="652"/>
      </t>
    </mdx>
    <mdx n="0" f="v">
      <t c="6" si="614">
        <n x="610"/>
        <n x="535"/>
        <n x="536"/>
        <n x="800" s="1"/>
        <n x="651"/>
        <n x="652"/>
      </t>
    </mdx>
    <mdx n="0" f="v">
      <t c="6" si="614">
        <n x="610"/>
        <n x="417"/>
        <n x="418"/>
        <n x="800" s="1"/>
        <n x="655"/>
        <n x="656"/>
      </t>
    </mdx>
    <mdx n="0" f="v">
      <t c="6" si="614">
        <n x="610"/>
        <n x="521"/>
        <n x="522"/>
        <n x="800" s="1"/>
        <n x="651"/>
        <n x="652"/>
      </t>
    </mdx>
    <mdx n="0" f="v">
      <t c="6" si="614">
        <n x="610"/>
        <n x="579"/>
        <n x="580"/>
        <n x="800" s="1"/>
        <n x="653"/>
        <n x="654"/>
      </t>
    </mdx>
    <mdx n="0" f="v">
      <t c="6" si="614">
        <n x="610"/>
        <n x="793"/>
        <n x="794"/>
        <n x="800" s="1"/>
        <n x="649"/>
        <n x="650"/>
      </t>
    </mdx>
    <mdx n="0" f="v">
      <t c="6" si="614">
        <n x="610"/>
        <n x="563"/>
        <n x="564"/>
        <n x="800" s="1"/>
        <n x="651"/>
        <n x="652"/>
      </t>
    </mdx>
    <mdx n="0" f="v">
      <t c="6" si="614">
        <n x="610"/>
        <n x="329"/>
        <n x="330"/>
        <n x="800" s="1"/>
        <n x="655"/>
        <n x="656"/>
      </t>
    </mdx>
    <mdx n="0" f="v">
      <t c="6" si="614">
        <n x="610"/>
        <n x="329"/>
        <n x="330"/>
        <n x="800" s="1"/>
        <n x="655"/>
        <n x="656"/>
      </t>
    </mdx>
    <mdx n="0" f="v">
      <t c="6" si="614">
        <n x="610"/>
        <n x="421"/>
        <n x="422"/>
        <n x="800" s="1"/>
        <n x="651"/>
        <n x="652"/>
      </t>
    </mdx>
    <mdx n="0" f="v">
      <t c="6" si="614">
        <n x="610"/>
        <n x="421"/>
        <n x="422"/>
        <n x="800" s="1"/>
        <n x="651"/>
        <n x="652"/>
      </t>
    </mdx>
    <mdx n="0" f="v">
      <t c="6" si="614">
        <n x="610"/>
        <n x="251"/>
        <n x="252"/>
        <n x="800" s="1"/>
        <n x="653"/>
        <n x="654"/>
      </t>
    </mdx>
    <mdx n="0" f="v">
      <t c="6" si="614">
        <n x="610"/>
        <n x="475"/>
        <n x="476"/>
        <n x="800" s="1"/>
        <n x="649"/>
        <n x="650"/>
      </t>
    </mdx>
    <mdx n="0" f="v">
      <t c="6" si="614">
        <n x="610"/>
        <n x="805"/>
        <n x="806"/>
        <n x="800" s="1"/>
        <n x="651"/>
        <n x="652"/>
      </t>
    </mdx>
    <mdx n="0" f="v">
      <t c="6" si="614">
        <n x="610"/>
        <n x="713"/>
        <n x="714"/>
        <n x="800" s="1"/>
        <n x="649"/>
        <n x="650"/>
      </t>
    </mdx>
    <mdx n="0" f="v">
      <t c="6" si="614">
        <n x="610"/>
        <n x="715"/>
        <n x="718"/>
        <n x="800" s="1"/>
        <n x="649"/>
        <n x="650"/>
      </t>
    </mdx>
    <mdx n="0" f="v">
      <t c="6" si="614">
        <n x="610"/>
        <n x="715"/>
        <n x="716"/>
        <n x="800" s="1"/>
        <n x="653"/>
        <n x="654"/>
      </t>
    </mdx>
    <mdx n="0" f="v">
      <t c="6" si="614">
        <n x="610"/>
        <n x="285"/>
        <n x="600"/>
        <n x="800" s="1"/>
        <n x="653"/>
        <n x="654"/>
      </t>
    </mdx>
    <mdx n="0" f="v">
      <t c="6" si="614">
        <n x="610"/>
        <n x="285"/>
        <n x="286"/>
        <n x="800" s="1"/>
        <n x="649"/>
        <n x="650"/>
      </t>
    </mdx>
    <mdx n="0" f="v">
      <t c="6" si="614">
        <n x="610"/>
        <n x="261"/>
        <n x="262"/>
        <n x="800" s="1"/>
        <n x="653"/>
        <n x="654"/>
      </t>
    </mdx>
    <mdx n="0" f="v">
      <t c="6" si="614">
        <n x="610"/>
        <n x="719"/>
        <n x="720"/>
        <n x="800" s="1"/>
        <n x="649"/>
        <n x="650"/>
      </t>
    </mdx>
    <mdx n="0" f="v">
      <t c="6" si="614">
        <n x="610"/>
        <n x="585"/>
        <n x="586"/>
        <n x="800" s="1"/>
        <n x="653"/>
        <n x="654"/>
      </t>
    </mdx>
    <mdx n="0" f="v">
      <t c="6" si="614">
        <n x="610"/>
        <n x="463"/>
        <n x="464"/>
        <n x="800" s="1"/>
        <n x="649"/>
        <n x="650"/>
      </t>
    </mdx>
    <mdx n="0" f="v">
      <t c="6" si="614">
        <n x="610"/>
        <n x="463"/>
        <n x="464"/>
        <n x="800" s="1"/>
        <n x="653"/>
        <n x="654"/>
      </t>
    </mdx>
    <mdx n="0" f="v">
      <t c="6" si="614">
        <n x="610"/>
        <n x="365"/>
        <n x="366"/>
        <n x="800" s="1"/>
        <n x="653"/>
        <n x="654"/>
      </t>
    </mdx>
    <mdx n="0" f="v">
      <t c="6" si="614">
        <n x="610"/>
        <n x="397"/>
        <n x="398"/>
        <n x="800" s="1"/>
        <n x="653"/>
        <n x="654"/>
      </t>
    </mdx>
    <mdx n="0" f="v">
      <t c="6" si="614">
        <n x="610"/>
        <n x="547"/>
        <n x="548"/>
        <n x="800" s="1"/>
        <n x="649"/>
        <n x="650"/>
      </t>
    </mdx>
    <mdx n="0" f="v">
      <t c="6" si="614">
        <n x="610"/>
        <n x="231"/>
        <n x="232"/>
        <n x="800" s="1"/>
        <n x="653"/>
        <n x="654"/>
      </t>
    </mdx>
    <mdx n="0" f="v">
      <t c="6" si="614">
        <n x="610"/>
        <n x="727"/>
        <n x="728"/>
        <n x="800" s="1"/>
        <n x="653"/>
        <n x="654"/>
      </t>
    </mdx>
    <mdx n="0" f="v">
      <t c="6" si="614">
        <n x="610"/>
        <n x="495"/>
        <n x="496"/>
        <n x="800" s="1"/>
        <n x="651"/>
        <n x="650"/>
      </t>
    </mdx>
    <mdx n="0" f="v">
      <t c="6" si="614">
        <n x="610"/>
        <n x="495"/>
        <n x="496"/>
        <n x="800" s="1"/>
        <n x="651"/>
        <n x="652"/>
      </t>
    </mdx>
    <mdx n="0" f="v">
      <t c="6" si="614">
        <n x="610"/>
        <n x="595"/>
        <n x="596"/>
        <n x="800" s="1"/>
        <n x="653"/>
        <n x="656"/>
      </t>
    </mdx>
    <mdx n="0" f="v">
      <t c="6" si="614">
        <n x="610"/>
        <n x="595"/>
        <n x="596"/>
        <n x="800" s="1"/>
        <n x="653"/>
        <n x="654"/>
      </t>
    </mdx>
    <mdx n="0" f="v">
      <t c="6" si="614">
        <n x="610"/>
        <n x="271"/>
        <n x="272"/>
        <n x="800" s="1"/>
        <n x="649"/>
        <n x="650"/>
      </t>
    </mdx>
    <mdx n="0" f="v">
      <t c="6" si="614">
        <n x="610"/>
        <n x="401"/>
        <n x="402"/>
        <n x="800" s="1"/>
        <n x="651"/>
        <n x="652"/>
      </t>
    </mdx>
    <mdx n="0" f="v">
      <t c="6" si="614">
        <n x="610"/>
        <n x="401"/>
        <n x="402"/>
        <n x="800" s="1"/>
        <n x="655"/>
        <n x="656"/>
      </t>
    </mdx>
    <mdx n="0" f="v">
      <t c="6" si="614">
        <n x="610"/>
        <n x="591"/>
        <n x="592"/>
        <n x="800" s="1"/>
        <n x="653"/>
        <n x="654"/>
      </t>
    </mdx>
    <mdx n="0" f="v">
      <t c="6" si="614">
        <n x="610"/>
        <n x="743"/>
        <n x="430"/>
        <n x="800" s="1"/>
        <n x="649"/>
        <n x="650"/>
      </t>
    </mdx>
    <mdx n="0" f="v">
      <t c="6" si="614">
        <n x="610"/>
        <n x="743"/>
        <n x="744"/>
        <n x="800" s="1"/>
        <n x="651"/>
        <n x="652"/>
      </t>
    </mdx>
    <mdx n="0" f="v">
      <t c="6" si="614">
        <n x="610"/>
        <n x="437"/>
        <n x="438"/>
        <n x="800" s="1"/>
        <n x="655"/>
        <n x="656"/>
      </t>
    </mdx>
    <mdx n="0" f="v">
      <t c="6" si="614">
        <n x="610"/>
        <n x="513"/>
        <n x="514"/>
        <n x="800" s="1"/>
        <n x="653"/>
        <n x="654"/>
      </t>
    </mdx>
    <mdx n="0" f="v">
      <t c="6" si="614">
        <n x="610"/>
        <n x="295"/>
        <n x="296"/>
        <n x="800" s="1"/>
        <n x="655"/>
        <n x="656"/>
      </t>
    </mdx>
    <mdx n="0" f="v">
      <t c="6" si="614">
        <n x="610"/>
        <n x="749"/>
        <n x="750"/>
        <n x="800" s="1"/>
        <n x="651"/>
        <n x="652"/>
      </t>
    </mdx>
    <mdx n="0" f="v">
      <t c="6" si="614">
        <n x="610"/>
        <n x="755"/>
        <n x="756"/>
        <n x="800" s="1"/>
        <n x="653"/>
        <n x="654"/>
      </t>
    </mdx>
    <mdx n="0" f="v">
      <t c="6" si="614">
        <n x="610"/>
        <n x="321"/>
        <n x="322"/>
        <n x="800" s="1"/>
        <n x="649"/>
        <n x="650"/>
      </t>
    </mdx>
    <mdx n="0" f="v">
      <t c="6" si="614">
        <n x="610"/>
        <n x="321"/>
        <n x="322"/>
        <n x="800" s="1"/>
        <n x="649"/>
        <n x="650"/>
      </t>
    </mdx>
    <mdx n="0" f="v">
      <t c="6" si="614">
        <n x="610"/>
        <n x="325"/>
        <n x="326"/>
        <n x="800" s="1"/>
        <n x="651"/>
        <n x="652"/>
      </t>
    </mdx>
    <mdx n="0" f="v">
      <t c="6" si="614">
        <n x="610"/>
        <n x="325"/>
        <n x="326"/>
        <n x="800" s="1"/>
        <n x="651"/>
        <n x="652"/>
      </t>
    </mdx>
    <mdx n="0" f="v">
      <t c="6" si="614">
        <n x="610"/>
        <n x="245"/>
        <n x="246"/>
        <n x="800" s="1"/>
        <n x="655"/>
        <n x="656"/>
      </t>
    </mdx>
    <mdx n="0" f="v">
      <t c="6" si="614">
        <n x="610"/>
        <n x="467"/>
        <n x="468"/>
        <n x="800" s="1"/>
        <n x="651"/>
        <n x="652"/>
      </t>
    </mdx>
    <mdx n="0" f="v">
      <t c="6" si="614">
        <n x="610"/>
        <n x="763"/>
        <n x="764"/>
        <n x="800" s="1"/>
        <n x="649"/>
        <n x="650"/>
      </t>
    </mdx>
    <mdx n="0" f="v">
      <t c="6" si="614">
        <n x="610"/>
        <n x="411"/>
        <n x="412"/>
        <n x="800" s="1"/>
        <n x="651"/>
        <n x="652"/>
      </t>
    </mdx>
    <mdx n="0" f="v">
      <t c="6" si="614">
        <n x="610"/>
        <n x="315"/>
        <n x="316"/>
        <n x="800" s="1"/>
        <n x="649"/>
        <n x="650"/>
      </t>
    </mdx>
    <mdx n="0" f="v">
      <t c="6" si="614">
        <n x="610"/>
        <n x="529"/>
        <n x="530"/>
        <n x="800" s="1"/>
        <n x="651"/>
        <n x="652"/>
      </t>
    </mdx>
    <mdx n="0" f="v">
      <t c="6" si="614">
        <n x="610"/>
        <n x="773"/>
        <n x="774"/>
        <n x="800" s="1"/>
        <n x="649"/>
        <n x="650"/>
      </t>
    </mdx>
    <mdx n="0" f="v">
      <t c="6" si="614">
        <n x="610"/>
        <n x="779"/>
        <n x="780"/>
        <n x="800" s="1"/>
        <n x="651"/>
        <n x="654"/>
      </t>
    </mdx>
    <mdx n="0" f="v">
      <t c="6" si="614">
        <n x="610"/>
        <n x="779"/>
        <n x="780"/>
        <n x="800" s="1"/>
        <n x="651"/>
        <n x="652"/>
      </t>
    </mdx>
    <mdx n="0" f="v">
      <t c="6" si="614">
        <n x="610"/>
        <n x="527"/>
        <n x="528"/>
        <n x="800" s="1"/>
        <n x="655"/>
        <n x="656"/>
      </t>
    </mdx>
    <mdx n="0" f="v">
      <t c="6" si="614">
        <n x="610"/>
        <n x="505"/>
        <n x="506"/>
        <n x="800" s="1"/>
        <n x="651"/>
        <n x="652"/>
      </t>
    </mdx>
    <mdx n="0" f="v">
      <t c="6" si="614">
        <n x="610"/>
        <n x="531"/>
        <n x="532"/>
        <n x="800" s="1"/>
        <n x="655"/>
        <n x="656"/>
      </t>
    </mdx>
    <mdx n="0" f="v">
      <t c="6" si="614">
        <n x="610"/>
        <n x="297"/>
        <n x="298"/>
        <n x="800" s="1"/>
        <n x="649"/>
        <n x="656"/>
      </t>
    </mdx>
    <mdx n="0" f="v">
      <t c="6" si="614">
        <n x="610"/>
        <n x="297"/>
        <n x="298"/>
        <n x="800" s="1"/>
        <n x="649"/>
        <n x="650"/>
      </t>
    </mdx>
    <mdx n="0" f="v">
      <t c="6" si="614">
        <n x="610"/>
        <n x="331"/>
        <n x="332"/>
        <n x="800" s="1"/>
        <n x="653"/>
        <n x="654"/>
      </t>
    </mdx>
    <mdx n="0" f="v">
      <t c="6" si="614">
        <n x="610"/>
        <n x="571"/>
        <n x="572"/>
        <n x="800" s="1"/>
        <n x="655"/>
        <n x="656"/>
      </t>
    </mdx>
    <mdx n="0" f="v">
      <t c="6" si="614">
        <n x="610"/>
        <n x="279"/>
        <n x="280"/>
        <n x="800" s="1"/>
        <n x="649"/>
        <n x="650"/>
      </t>
    </mdx>
    <mdx n="0" f="v">
      <t c="6" si="614">
        <n x="610"/>
        <n x="803"/>
        <n x="804"/>
        <n x="800" s="1"/>
        <n x="655"/>
        <n x="656"/>
      </t>
    </mdx>
    <mdx n="0" f="v">
      <t c="6" si="614">
        <n x="610"/>
        <n x="517"/>
        <n x="518"/>
        <n x="800" s="1"/>
        <n x="649"/>
        <n x="650"/>
      </t>
    </mdx>
    <mdx n="0" f="v">
      <t c="6" si="614">
        <n x="610"/>
        <n x="573"/>
        <n x="574"/>
        <n x="800" s="1"/>
        <n x="653"/>
        <n x="652"/>
      </t>
    </mdx>
    <mdx n="0" f="v">
      <t c="6" si="614">
        <n x="610"/>
        <n x="369"/>
        <n x="370"/>
        <n x="800" s="1"/>
        <n x="655"/>
        <n x="656"/>
      </t>
    </mdx>
    <mdx n="0" f="v">
      <t c="6" si="614">
        <n x="610"/>
        <n x="265"/>
        <n x="266"/>
        <n x="800" s="1"/>
        <n x="649"/>
        <n x="650"/>
      </t>
    </mdx>
    <mdx n="0" f="v">
      <t c="6" si="614">
        <n x="610"/>
        <n x="265"/>
        <n x="266"/>
        <n x="800" s="1"/>
        <n x="649"/>
        <n x="650"/>
      </t>
    </mdx>
    <mdx n="0" f="v">
      <t c="6" si="614">
        <n x="610"/>
        <n x="243"/>
        <n x="244"/>
        <n x="800" s="1"/>
        <n x="653"/>
        <n x="654"/>
      </t>
    </mdx>
    <mdx n="0" f="v">
      <t c="6" si="614">
        <n x="610"/>
        <n x="319"/>
        <n x="320"/>
        <n x="800" s="1"/>
        <n x="651"/>
        <n x="652"/>
      </t>
    </mdx>
    <mdx n="0" f="v">
      <t c="6" si="614">
        <n x="610"/>
        <n x="739"/>
        <n x="740"/>
        <n x="800" s="1"/>
        <n x="651"/>
        <n x="652"/>
      </t>
    </mdx>
    <mdx n="0" f="v">
      <t c="6" si="614">
        <n x="610"/>
        <n x="503"/>
        <n x="504"/>
        <n x="800" s="1"/>
        <n x="649"/>
        <n x="650"/>
      </t>
    </mdx>
    <mdx n="0" f="v">
      <t c="6" si="614">
        <n x="610"/>
        <n x="441"/>
        <n x="442"/>
        <n x="800" s="1"/>
        <n x="653"/>
        <n x="652"/>
      </t>
    </mdx>
    <mdx n="0" f="v">
      <t c="6" si="614">
        <n x="610"/>
        <n x="441"/>
        <n x="442"/>
        <n x="800" s="1"/>
        <n x="653"/>
        <n x="654"/>
      </t>
    </mdx>
    <mdx n="0" f="v">
      <t c="6" si="614">
        <n x="610"/>
        <n x="229"/>
        <n x="230"/>
        <n x="800" s="1"/>
        <n x="651"/>
        <n x="652"/>
      </t>
    </mdx>
    <mdx n="0" f="v">
      <t c="6" si="614">
        <n x="610"/>
        <n x="223"/>
        <n x="224"/>
        <n x="800" s="1"/>
        <n x="651"/>
        <n x="650"/>
      </t>
    </mdx>
    <mdx n="0" f="v">
      <t c="6" si="614">
        <n x="610"/>
        <n x="223"/>
        <n x="224"/>
        <n x="800" s="1"/>
        <n x="651"/>
        <n x="652"/>
      </t>
    </mdx>
    <mdx n="0" f="v">
      <t c="6" si="614">
        <n x="610"/>
        <n x="757"/>
        <n x="758"/>
        <n x="800" s="1"/>
        <n x="649"/>
        <n x="650"/>
      </t>
    </mdx>
    <mdx n="0" f="v">
      <t c="6" si="614">
        <n x="610"/>
        <n x="757"/>
        <n x="758"/>
        <n x="800" s="1"/>
        <n x="649"/>
        <n x="650"/>
      </t>
    </mdx>
    <mdx n="0" f="v">
      <t c="6" si="614">
        <n x="610"/>
        <n x="765"/>
        <n x="766"/>
        <n x="800" s="1"/>
        <n x="655"/>
        <n x="656"/>
      </t>
    </mdx>
    <mdx n="0" f="v">
      <t c="6" si="614">
        <n x="610"/>
        <n x="535"/>
        <n x="536"/>
        <n x="800" s="1"/>
        <n x="653"/>
        <n x="654"/>
      </t>
    </mdx>
    <mdx n="0" f="v">
      <t c="6" si="614">
        <n x="610"/>
        <n x="581"/>
        <n x="582"/>
        <n x="800" s="1"/>
        <n x="649"/>
        <n x="650"/>
      </t>
    </mdx>
    <mdx n="0" f="v">
      <t c="6" si="614">
        <n x="610"/>
        <n x="545"/>
        <n x="546"/>
        <n x="800" s="1"/>
        <n x="651"/>
        <n x="652"/>
      </t>
    </mdx>
    <mdx n="0" f="v">
      <t c="6" si="614">
        <n x="610"/>
        <n x="579"/>
        <n x="580"/>
        <n x="800" s="1"/>
        <n x="655"/>
        <n x="656"/>
      </t>
    </mdx>
    <mdx n="0" f="v">
      <t c="6" si="614">
        <n x="610"/>
        <n x="793"/>
        <n x="794"/>
        <n x="800" s="1"/>
        <n x="651"/>
        <n x="652"/>
      </t>
    </mdx>
    <mdx n="0" f="v">
      <t c="6" si="614">
        <n x="610"/>
        <n x="563"/>
        <n x="564"/>
        <n x="800" s="1"/>
        <n x="653"/>
        <n x="654"/>
      </t>
    </mdx>
    <mdx n="0" f="v">
      <t c="6" si="614">
        <n x="610"/>
        <n x="563"/>
        <n x="564"/>
        <n x="800" s="1"/>
        <n x="653"/>
        <n x="654"/>
      </t>
    </mdx>
    <mdx n="0" f="v">
      <t c="6" si="614">
        <n x="610"/>
        <n x="449"/>
        <n x="292"/>
        <n x="800" s="1"/>
        <n x="655"/>
        <n x="656"/>
      </t>
    </mdx>
    <mdx n="0" f="v">
      <t c="6" si="614">
        <n x="610"/>
        <n x="449"/>
        <n x="450"/>
        <n x="800" s="1"/>
        <n x="649"/>
        <n x="650"/>
      </t>
    </mdx>
    <mdx n="0" f="v">
      <t c="6" si="614">
        <n x="610"/>
        <n x="215"/>
        <n x="216"/>
        <n x="800" s="1"/>
        <n x="651"/>
        <n x="652"/>
      </t>
    </mdx>
    <mdx n="0" f="v">
      <t c="6" si="614">
        <n x="610"/>
        <n x="477"/>
        <n x="478"/>
        <n x="800" s="1"/>
        <n x="651"/>
        <n x="652"/>
      </t>
    </mdx>
    <mdx n="0" f="v">
      <t c="6" si="614">
        <n x="610"/>
        <n x="323"/>
        <n x="324"/>
        <n x="800" s="1"/>
        <n x="653"/>
        <n x="654"/>
      </t>
    </mdx>
    <mdx n="0" f="v">
      <t c="6" si="614">
        <n x="610"/>
        <n x="251"/>
        <n x="252"/>
        <n x="800" s="1"/>
        <n x="655"/>
        <n x="656"/>
      </t>
    </mdx>
    <mdx n="0" f="v">
      <t c="6" si="614">
        <n x="610"/>
        <n x="519"/>
        <n x="520"/>
        <n x="800" s="1"/>
        <n x="649"/>
        <n x="650"/>
      </t>
    </mdx>
    <mdx n="0" f="v">
      <t c="6" si="614">
        <n x="610"/>
        <n x="475"/>
        <n x="476"/>
        <n x="800" s="1"/>
        <n x="651"/>
        <n x="652"/>
      </t>
    </mdx>
    <mdx n="0" f="v">
      <t c="6" si="614">
        <n x="610"/>
        <n x="713"/>
        <n x="714"/>
        <n x="800" s="1"/>
        <n x="651"/>
        <n x="652"/>
      </t>
    </mdx>
    <mdx n="0" f="v">
      <t c="6" si="614">
        <n x="610"/>
        <n x="717"/>
        <n x="718"/>
        <n x="800" s="1"/>
        <n x="651"/>
        <n x="652"/>
      </t>
    </mdx>
    <mdx n="0" f="v">
      <t c="6" si="614">
        <n x="610"/>
        <n x="285"/>
        <n x="286"/>
        <n x="800" s="1"/>
        <n x="655"/>
        <n x="656"/>
      </t>
    </mdx>
    <mdx n="0" f="v">
      <t c="6" si="614">
        <n x="610"/>
        <n x="285"/>
        <n x="286"/>
        <n x="800" s="1"/>
        <n x="651"/>
        <n x="652"/>
      </t>
    </mdx>
    <mdx n="0" f="v">
      <t c="6" si="614">
        <n x="610"/>
        <n x="261"/>
        <n x="262"/>
        <n x="800" s="1"/>
        <n x="655"/>
        <n x="656"/>
      </t>
    </mdx>
    <mdx n="0" f="v">
      <t c="6" si="614">
        <n x="610"/>
        <n x="719"/>
        <n x="720"/>
        <n x="800" s="1"/>
        <n x="651"/>
        <n x="652"/>
      </t>
    </mdx>
    <mdx n="0" f="v">
      <t c="6" si="614">
        <n x="610"/>
        <n x="585"/>
        <n x="586"/>
        <n x="800" s="1"/>
        <n x="655"/>
        <n x="656"/>
      </t>
    </mdx>
    <mdx n="0" f="v">
      <t c="6" si="614">
        <n x="610"/>
        <n x="723"/>
        <n x="724"/>
        <n x="800" s="1"/>
        <n x="651"/>
        <n x="652"/>
      </t>
    </mdx>
    <mdx n="0" f="v">
      <t c="6" si="614">
        <n x="610"/>
        <n x="391"/>
        <n x="464"/>
        <n x="800" s="1"/>
        <n x="655"/>
        <n x="656"/>
      </t>
    </mdx>
    <mdx n="0" f="v">
      <t c="6" si="614">
        <n x="610"/>
        <n x="391"/>
        <n x="392"/>
        <n x="800" s="1"/>
        <n x="651"/>
        <n x="652"/>
      </t>
    </mdx>
    <mdx n="0" f="v">
      <t c="6" si="614">
        <n x="610"/>
        <n x="239"/>
        <n x="240"/>
        <n x="800" s="1"/>
        <n x="651"/>
        <n x="652"/>
      </t>
    </mdx>
    <mdx n="0" f="v">
      <t c="6" si="614">
        <n x="610"/>
        <n x="461"/>
        <n x="462"/>
        <n x="800" s="1"/>
        <n x="651"/>
        <n x="652"/>
      </t>
    </mdx>
    <mdx n="0" f="v">
      <t c="6" si="614">
        <n x="610"/>
        <n x="397"/>
        <n x="398"/>
        <n x="800" s="1"/>
        <n x="655"/>
        <n x="656"/>
      </t>
    </mdx>
    <mdx n="0" f="v">
      <t c="6" si="614">
        <n x="610"/>
        <n x="597"/>
        <n x="548"/>
        <n x="800" s="1"/>
        <n x="651"/>
        <n x="652"/>
      </t>
    </mdx>
    <mdx n="0" f="v">
      <t c="6" si="614">
        <n x="610"/>
        <n x="231"/>
        <n x="232"/>
        <n x="800" s="1"/>
        <n x="651"/>
        <n x="652"/>
      </t>
    </mdx>
    <mdx n="0" f="v">
      <t c="6" si="614">
        <n x="610"/>
        <n x="231"/>
        <n x="232"/>
        <n x="800" s="1"/>
        <n x="655"/>
        <n x="656"/>
      </t>
    </mdx>
    <mdx n="0" f="v">
      <t c="6" si="614">
        <n x="610"/>
        <n x="557"/>
        <n x="558"/>
        <n x="800" s="1"/>
        <n x="651"/>
        <n x="652"/>
      </t>
    </mdx>
    <mdx n="0" f="v">
      <t c="6" si="614">
        <n x="610"/>
        <n x="367"/>
        <n x="368"/>
        <n x="800" s="1"/>
        <n x="651"/>
        <n x="652"/>
      </t>
    </mdx>
    <mdx n="0" f="v">
      <t c="6" si="614">
        <n x="610"/>
        <n x="595"/>
        <n x="454"/>
        <n x="800" s="1"/>
        <n x="653"/>
        <n x="654"/>
      </t>
    </mdx>
    <mdx n="0" f="v">
      <t c="6" si="614">
        <n x="610"/>
        <n x="595"/>
        <n x="596"/>
        <n x="800" s="1"/>
        <n x="655"/>
        <n x="656"/>
      </t>
    </mdx>
    <mdx n="0" f="v">
      <t c="6" si="614">
        <n x="610"/>
        <n x="271"/>
        <n x="282"/>
        <n x="800" s="1"/>
        <n x="649"/>
        <n x="650"/>
      </t>
    </mdx>
    <mdx n="0" f="v">
      <t c="6" si="614">
        <n x="610"/>
        <n x="271"/>
        <n x="272"/>
        <n x="800" s="1"/>
        <n x="651"/>
        <n x="652"/>
      </t>
    </mdx>
    <mdx n="0" f="v">
      <t c="6" si="614">
        <n x="610"/>
        <n x="319"/>
        <n x="320"/>
        <n x="800" s="1"/>
        <n x="655"/>
        <n x="656"/>
      </t>
    </mdx>
    <mdx n="0" f="v">
      <t c="6" si="614">
        <n x="610"/>
        <n x="319"/>
        <n x="320"/>
        <n x="800" s="1"/>
        <n x="653"/>
        <n x="654"/>
      </t>
    </mdx>
    <mdx n="0" f="v">
      <t c="6" si="614">
        <n x="610"/>
        <n x="435"/>
        <n x="436"/>
        <n x="800" s="1"/>
        <n x="655"/>
        <n x="656"/>
      </t>
    </mdx>
    <mdx n="0" f="v">
      <t c="6" si="614">
        <n x="610"/>
        <n x="435"/>
        <n x="436"/>
        <n x="800" s="1"/>
        <n x="649"/>
        <n x="650"/>
      </t>
    </mdx>
    <mdx n="0" f="v">
      <t c="6" si="614">
        <n x="610"/>
        <n x="429"/>
        <n x="430"/>
        <n x="800" s="1"/>
        <n x="651"/>
        <n x="652"/>
      </t>
    </mdx>
    <mdx n="0" f="v">
      <t c="6" si="614">
        <n x="610"/>
        <n x="513"/>
        <n x="606"/>
        <n x="800" s="1"/>
        <n x="653"/>
        <n x="654"/>
      </t>
    </mdx>
    <mdx n="0" f="v">
      <t c="6" si="614">
        <n x="610"/>
        <n x="513"/>
        <n x="514"/>
        <n x="800" s="1"/>
        <n x="655"/>
        <n x="656"/>
      </t>
    </mdx>
    <mdx n="0" f="v">
      <t c="6" si="614">
        <n x="610"/>
        <n x="569"/>
        <n x="748"/>
        <n x="800" s="1"/>
        <n x="649"/>
        <n x="650"/>
      </t>
    </mdx>
    <mdx n="0" f="v">
      <t c="6" si="614">
        <n x="610"/>
        <n x="569"/>
        <n x="570"/>
        <n x="800" s="1"/>
        <n x="651"/>
        <n x="652"/>
      </t>
    </mdx>
    <mdx n="0" f="v">
      <t c="6" si="614">
        <n x="610"/>
        <n x="229"/>
        <n x="230"/>
        <n x="800" s="1"/>
        <n x="653"/>
        <n x="654"/>
      </t>
    </mdx>
    <mdx n="0" f="v">
      <t c="6" si="614">
        <n x="610"/>
        <n x="471"/>
        <n x="472"/>
        <n x="800" s="1"/>
        <n x="649"/>
        <n x="650"/>
      </t>
    </mdx>
    <mdx n="0" f="v">
      <t c="6" si="614">
        <n x="610"/>
        <n x="207"/>
        <n x="208"/>
        <n x="800" s="1"/>
        <n x="655"/>
        <n x="656"/>
      </t>
    </mdx>
    <mdx n="0" f="v">
      <t c="6" si="614">
        <n x="610"/>
        <n x="759"/>
        <n x="760"/>
        <n x="800" s="1"/>
        <n x="655"/>
        <n x="656"/>
      </t>
    </mdx>
    <mdx n="0" f="v">
      <t c="6" si="614">
        <n x="610"/>
        <n x="553"/>
        <n x="554"/>
        <n x="800" s="1"/>
        <n x="651"/>
        <n x="652"/>
      </t>
    </mdx>
    <mdx n="0" f="v">
      <t c="6" si="614">
        <n x="610"/>
        <n x="553"/>
        <n x="554"/>
        <n x="800" s="1"/>
        <n x="651"/>
        <n x="652"/>
      </t>
    </mdx>
    <mdx n="0" f="v">
      <t c="6" si="614">
        <n x="610"/>
        <n x="507"/>
        <n x="508"/>
        <n x="800" s="1"/>
        <n x="649"/>
        <n x="650"/>
      </t>
    </mdx>
    <mdx n="0" f="v">
      <t c="6" si="614">
        <n x="610"/>
        <n x="763"/>
        <n x="764"/>
        <n x="800" s="1"/>
        <n x="651"/>
        <n x="654"/>
      </t>
    </mdx>
    <mdx n="0" f="v">
      <t c="6" si="614">
        <n x="610"/>
        <n x="763"/>
        <n x="764"/>
        <n x="800" s="1"/>
        <n x="651"/>
        <n x="652"/>
      </t>
    </mdx>
    <mdx n="0" f="v">
      <t c="6" si="614">
        <n x="610"/>
        <n x="359"/>
        <n x="360"/>
        <n x="800" s="1"/>
        <n x="655"/>
        <n x="656"/>
      </t>
    </mdx>
    <mdx n="0" f="v">
      <t c="6" si="614">
        <n x="610"/>
        <n x="315"/>
        <n x="316"/>
        <n x="800" s="1"/>
        <n x="651"/>
        <n x="652"/>
      </t>
    </mdx>
    <mdx n="0" f="v">
      <t c="6" si="614">
        <n x="610"/>
        <n x="485"/>
        <n x="486"/>
        <n x="800" s="1"/>
        <n x="655"/>
        <n x="656"/>
      </t>
    </mdx>
    <mdx n="0" f="v">
      <t c="6" si="614">
        <n x="610"/>
        <n x="773"/>
        <n x="774"/>
        <n x="800" s="1"/>
        <n x="651"/>
        <n x="652"/>
      </t>
    </mdx>
    <mdx n="0" f="v">
      <t c="6" si="614">
        <n x="610"/>
        <n x="515"/>
        <n x="516"/>
        <n x="800" s="1"/>
        <n x="655"/>
        <n x="656"/>
      </t>
    </mdx>
    <mdx n="0" f="v">
      <t c="6" si="614">
        <n x="610"/>
        <n x="779"/>
        <n x="780"/>
        <n x="800" s="1"/>
        <n x="653"/>
        <n x="654"/>
      </t>
    </mdx>
    <mdx n="0" f="v">
      <t c="6" si="614">
        <n x="610"/>
        <n x="785"/>
        <n x="786"/>
        <n x="800" s="1"/>
        <n x="651"/>
        <n x="652"/>
      </t>
    </mdx>
    <mdx n="0" f="v">
      <t c="6" si="614">
        <n x="610"/>
        <n x="431"/>
        <n x="432"/>
        <n x="800" s="1"/>
        <n x="655"/>
        <n x="656"/>
      </t>
    </mdx>
    <mdx n="0" f="v">
      <t c="6" si="614">
        <n x="610"/>
        <n x="451"/>
        <n x="452"/>
        <n x="800" s="1"/>
        <n x="649"/>
        <n x="650"/>
      </t>
    </mdx>
    <mdx n="0" f="v">
      <t c="6" si="614">
        <n x="610"/>
        <n x="451"/>
        <n x="452"/>
        <n x="800" s="1"/>
        <n x="649"/>
        <n x="650"/>
      </t>
    </mdx>
    <mdx n="0" f="v">
      <t c="6" si="614">
        <n x="610"/>
        <n x="351"/>
        <n x="352"/>
        <n x="800" s="1"/>
        <n x="653"/>
        <n x="654"/>
      </t>
    </mdx>
    <mdx n="0" f="v">
      <t c="6" si="614">
        <n x="610"/>
        <n x="303"/>
        <n x="304"/>
        <n x="800" s="1"/>
        <n x="655"/>
        <n x="656"/>
      </t>
    </mdx>
    <mdx n="0" f="v">
      <t c="6" si="614">
        <n x="610"/>
        <n x="279"/>
        <n x="280"/>
        <n x="800" s="1"/>
        <n x="651"/>
        <n x="652"/>
      </t>
    </mdx>
    <mdx n="0" f="v">
      <t c="6" si="614">
        <n x="610"/>
        <n x="337"/>
        <n x="338"/>
        <n x="800" s="1"/>
        <n x="649"/>
        <n x="650"/>
      </t>
    </mdx>
    <mdx n="0" f="v">
      <t c="6" si="614">
        <n x="610"/>
        <n x="425"/>
        <n x="426"/>
        <n x="800" s="1"/>
        <n x="653"/>
        <n x="654"/>
      </t>
    </mdx>
    <mdx n="0" f="v">
      <t c="6" si="614">
        <n x="610"/>
        <n x="805"/>
        <n x="806"/>
        <n x="800" s="1"/>
        <n x="655"/>
        <n x="656"/>
      </t>
    </mdx>
    <mdx n="0" f="v">
      <t c="6" si="614">
        <n x="610"/>
        <n x="607"/>
        <n x="542"/>
        <n x="800" s="1"/>
        <n x="651"/>
        <n x="652"/>
      </t>
    </mdx>
    <mdx n="0" f="v">
      <t c="6" si="614">
        <n x="610"/>
        <n x="607"/>
        <n x="608"/>
        <n x="800" s="1"/>
        <n x="649"/>
        <n x="650"/>
      </t>
    </mdx>
    <mdx n="0" f="v">
      <t c="6" si="614">
        <n x="610"/>
        <n x="235"/>
        <n x="236"/>
        <n x="800" s="1"/>
        <n x="651"/>
        <n x="652"/>
      </t>
    </mdx>
    <mdx n="0" f="v">
      <t c="6" si="614">
        <n x="610"/>
        <n x="235"/>
        <n x="236"/>
        <n x="800" s="1"/>
        <n x="653"/>
        <n x="654"/>
      </t>
    </mdx>
    <mdx n="0" f="v">
      <t c="6" si="614">
        <n x="610"/>
        <n x="525"/>
        <n x="526"/>
        <n x="800" s="1"/>
        <n x="651"/>
        <n x="652"/>
      </t>
    </mdx>
    <mdx n="0" f="v">
      <t c="6" si="614">
        <n x="610"/>
        <n x="257"/>
        <n x="258"/>
        <n x="800" s="1"/>
        <n x="649"/>
        <n x="650"/>
      </t>
    </mdx>
    <mdx n="0" f="v">
      <t c="6" si="614">
        <n x="610"/>
        <n x="209"/>
        <n x="210"/>
        <n x="800" s="1"/>
        <n x="651"/>
        <n x="652"/>
      </t>
    </mdx>
    <mdx n="0" f="v">
      <t c="6" si="614">
        <n x="610"/>
        <n x="739"/>
        <n x="740"/>
        <n x="800" s="1"/>
        <n x="653"/>
        <n x="654"/>
      </t>
    </mdx>
    <mdx n="0" f="v">
      <t c="6" si="614">
        <n x="610"/>
        <n x="589"/>
        <n x="492"/>
        <n x="800" s="1"/>
        <n x="651"/>
        <n x="652"/>
      </t>
    </mdx>
    <mdx n="0" f="v">
      <t c="6" si="614">
        <n x="610"/>
        <n x="589"/>
        <n x="590"/>
        <n x="800" s="1"/>
        <n x="649"/>
        <n x="650"/>
      </t>
    </mdx>
    <mdx n="0" f="v">
      <t c="6" si="614">
        <n x="610"/>
        <n x="745"/>
        <n x="746"/>
        <n x="800" s="1"/>
        <n x="653"/>
        <n x="654"/>
      </t>
    </mdx>
    <mdx n="0" f="v">
      <t c="6" si="614">
        <n x="610"/>
        <n x="441"/>
        <n x="442"/>
        <n x="800" s="1"/>
        <n x="655"/>
        <n x="656"/>
      </t>
    </mdx>
    <mdx n="0" f="v">
      <t c="6" si="614">
        <n x="610"/>
        <n x="489"/>
        <n x="490"/>
        <n x="800" s="1"/>
        <n x="651"/>
        <n x="652"/>
      </t>
    </mdx>
    <mdx n="0" f="v">
      <t c="6" si="614">
        <n x="610"/>
        <n x="593"/>
        <n x="594"/>
        <n x="800" s="1"/>
        <n x="649"/>
        <n x="650"/>
      </t>
    </mdx>
    <mdx n="0" f="v">
      <t c="6" si="614">
        <n x="610"/>
        <n x="753"/>
        <n x="754"/>
        <n x="800" s="1"/>
        <n x="651"/>
        <n x="652"/>
      </t>
    </mdx>
    <mdx n="0" f="v">
      <t c="6" si="614">
        <n x="610"/>
        <n x="223"/>
        <n x="224"/>
        <n x="800" s="1"/>
        <n x="653"/>
        <n x="654"/>
      </t>
    </mdx>
    <mdx n="0" f="v">
      <t c="6" si="614">
        <n x="610"/>
        <n x="493"/>
        <n x="494"/>
        <n x="800" s="1"/>
        <n x="651"/>
        <n x="652"/>
      </t>
    </mdx>
    <mdx n="0" f="v">
      <t c="6" si="614">
        <n x="610"/>
        <n x="361"/>
        <n x="362"/>
        <n x="800" s="1"/>
        <n x="649"/>
        <n x="650"/>
      </t>
    </mdx>
    <mdx n="0" f="v">
      <t c="6" si="614">
        <n x="610"/>
        <n x="757"/>
        <n x="758"/>
        <n x="800" s="1"/>
        <n x="651"/>
        <n x="652"/>
      </t>
    </mdx>
    <mdx n="0" f="v">
      <t c="6" si="614">
        <n x="610"/>
        <n x="549"/>
        <n x="550"/>
        <n x="800" s="1"/>
        <n x="651"/>
        <n x="652"/>
      </t>
    </mdx>
    <mdx n="0" f="v">
      <t c="6" si="614">
        <n x="610"/>
        <n x="539"/>
        <n x="540"/>
        <n x="800" s="1"/>
        <n x="651"/>
        <n x="652"/>
      </t>
    </mdx>
    <mdx n="0" f="v">
      <t c="6" si="614">
        <n x="610"/>
        <n x="511"/>
        <n x="512"/>
        <n x="800" s="1"/>
        <n x="651"/>
        <n x="652"/>
      </t>
    </mdx>
    <mdx n="0" f="v">
      <t c="6" si="614">
        <n x="610"/>
        <n x="777"/>
        <n x="778"/>
        <n x="800" s="1"/>
        <n x="651"/>
        <n x="652"/>
      </t>
    </mdx>
    <mdx n="0" f="v">
      <t c="6" si="614">
        <n x="610"/>
        <n x="781"/>
        <n x="782"/>
        <n x="800" s="1"/>
        <n x="651"/>
        <n x="652"/>
      </t>
    </mdx>
    <mdx n="0" f="v">
      <t c="6" si="614">
        <n x="610"/>
        <n x="583"/>
        <n x="584"/>
        <n x="800" s="1"/>
        <n x="649"/>
        <n x="650"/>
      </t>
    </mdx>
    <mdx n="0" f="v">
      <t c="6" si="614">
        <n x="610"/>
        <n x="581"/>
        <n x="582"/>
        <n x="800" s="1"/>
        <n x="651"/>
        <n x="652"/>
      </t>
    </mdx>
    <mdx n="0" f="v">
      <t c="6" si="614">
        <n x="610"/>
        <n x="565"/>
        <n x="566"/>
        <n x="800" s="1"/>
        <n x="651"/>
        <n x="652"/>
      </t>
    </mdx>
    <mdx n="0" f="v">
      <t c="6" si="614">
        <n x="610"/>
        <n x="473"/>
        <n x="474"/>
        <n x="800" s="1"/>
        <n x="655"/>
        <n x="656"/>
      </t>
    </mdx>
    <mdx n="0" f="v">
      <t c="6" si="614">
        <n x="610"/>
        <n x="473"/>
        <n x="474"/>
        <n x="800" s="1"/>
        <n x="655"/>
        <n x="656"/>
      </t>
    </mdx>
    <mdx n="0" f="v">
      <t c="6" si="614">
        <n x="610"/>
        <n x="791"/>
        <n x="792"/>
        <n x="800" s="1"/>
        <n x="651"/>
        <n x="650"/>
      </t>
    </mdx>
    <mdx n="0" f="v">
      <t c="6" si="614">
        <n x="610"/>
        <n x="791"/>
        <n x="792"/>
        <n x="800" s="1"/>
        <n x="651"/>
        <n x="652"/>
      </t>
    </mdx>
    <mdx n="0" f="v">
      <t c="6" si="614">
        <n x="610"/>
        <n x="439"/>
        <n x="440"/>
        <n x="800" s="1"/>
        <n x="653"/>
        <n x="654"/>
      </t>
    </mdx>
    <mdx n="0" f="v">
      <t c="6" si="614">
        <n x="610"/>
        <n x="797"/>
        <n x="798"/>
        <n x="800" s="1"/>
        <n x="649"/>
        <n x="650"/>
      </t>
    </mdx>
    <mdx n="0" f="v">
      <t c="6" si="614">
        <n x="610"/>
        <n x="587"/>
        <n x="588"/>
        <n x="800" s="1"/>
        <n x="651"/>
        <n x="652"/>
      </t>
    </mdx>
    <mdx n="0" f="v">
      <t c="6" si="614">
        <n x="610"/>
        <n x="323"/>
        <n x="324"/>
        <n x="800" s="1"/>
        <n x="655"/>
        <n x="656"/>
      </t>
    </mdx>
    <mdx n="0" f="v">
      <t c="6" si="614">
        <n x="610"/>
        <n x="519"/>
        <n x="520"/>
        <n x="800" s="1"/>
        <n x="651"/>
        <n x="652"/>
      </t>
    </mdx>
    <mdx n="0" f="v">
      <t c="6" si="614">
        <n x="610"/>
        <n x="519"/>
        <n x="520"/>
        <n x="800" s="1"/>
        <n x="651"/>
        <n x="652"/>
      </t>
    </mdx>
    <mdx n="0" f="v">
      <t c="6" si="614">
        <n x="610"/>
        <n x="371"/>
        <n x="372"/>
        <n x="800" s="1"/>
        <n x="651"/>
        <n x="652"/>
      </t>
    </mdx>
    <mdx n="0" f="v">
      <t c="6" si="614">
        <n x="610"/>
        <n x="607"/>
        <n x="608"/>
        <n x="800" s="1"/>
        <n x="627"/>
        <n x="628"/>
      </t>
    </mdx>
    <mdx n="0" f="v">
      <t c="6" si="614">
        <n x="610"/>
        <n x="217"/>
        <n x="218"/>
        <n x="800" s="1"/>
        <n x="627"/>
        <n x="628"/>
      </t>
    </mdx>
    <mdx n="0" f="v">
      <t c="6" si="614">
        <n x="610"/>
        <n x="723"/>
        <n x="724"/>
        <n x="800" s="1"/>
        <n x="627"/>
        <n x="628"/>
      </t>
    </mdx>
    <mdx n="0" f="v">
      <t c="6" si="614">
        <n x="610"/>
        <n x="239"/>
        <n x="240"/>
        <n x="800" s="1"/>
        <n x="627"/>
        <n x="628"/>
      </t>
    </mdx>
    <mdx n="0" f="v">
      <t c="6" si="614">
        <n x="610"/>
        <n x="601"/>
        <n x="716"/>
        <n x="800" s="1"/>
        <n x="627"/>
        <n x="628"/>
      </t>
    </mdx>
    <mdx n="0" f="v">
      <t c="6" si="614">
        <n x="610"/>
        <n x="365"/>
        <n x="366"/>
        <n x="800" s="1"/>
        <n x="627"/>
        <n x="628"/>
      </t>
    </mdx>
    <mdx n="0" f="v">
      <t c="6" si="614">
        <n x="610"/>
        <n x="243"/>
        <n x="244"/>
        <n x="800" s="1"/>
        <n x="627"/>
        <n x="628"/>
      </t>
    </mdx>
    <mdx n="0" f="v">
      <t c="6" si="614">
        <n x="610"/>
        <n x="443"/>
        <n x="444"/>
        <n x="800" s="1"/>
        <n x="627"/>
        <n x="628"/>
      </t>
    </mdx>
    <mdx n="0" f="v">
      <t c="6" si="614">
        <n x="610"/>
        <n x="299"/>
        <n x="300"/>
        <n x="800" s="1"/>
        <n x="627"/>
        <n x="628"/>
      </t>
    </mdx>
    <mdx n="0" f="v">
      <t c="6" si="614">
        <n x="610"/>
        <n x="503"/>
        <n x="230"/>
        <n x="800" s="1"/>
        <n x="627"/>
        <n x="628"/>
      </t>
    </mdx>
    <mdx n="0" f="v">
      <t c="6" si="614">
        <n x="610"/>
        <n x="441"/>
        <n x="340"/>
        <n x="800" s="1"/>
        <n x="627"/>
        <n x="628"/>
      </t>
    </mdx>
    <mdx n="0" f="v">
      <t c="6" si="614">
        <n x="610"/>
        <n x="419"/>
        <n x="754"/>
        <n x="800" s="1"/>
        <n x="627"/>
        <n x="628"/>
      </t>
    </mdx>
    <mdx n="0" f="v">
      <t c="6" si="614">
        <n x="610"/>
        <n x="419"/>
        <n x="420"/>
        <n x="800" s="1"/>
        <n x="627"/>
        <n x="628"/>
      </t>
    </mdx>
    <mdx n="0" f="v">
      <t c="6" si="614">
        <n x="610"/>
        <n x="205"/>
        <n x="206"/>
        <n x="800" s="1"/>
        <n x="627"/>
        <n x="628"/>
      </t>
    </mdx>
    <mdx n="0" f="v">
      <t c="6" si="614">
        <n x="610"/>
        <n x="289"/>
        <n x="552"/>
        <n x="800" s="1"/>
        <n x="627"/>
        <n x="628"/>
      </t>
    </mdx>
    <mdx n="0" f="v">
      <t c="6" si="614">
        <n x="610"/>
        <n x="289"/>
        <n x="552"/>
        <n x="800" s="1"/>
        <n x="627"/>
        <n x="628"/>
      </t>
    </mdx>
    <mdx n="0" f="v">
      <t c="6" si="614">
        <n x="610"/>
        <n x="757"/>
        <n x="758"/>
        <n x="800" s="1"/>
        <n x="627"/>
        <n x="628"/>
      </t>
    </mdx>
    <mdx n="0" f="v">
      <t c="6" si="614">
        <n x="610"/>
        <n x="509"/>
        <n x="510"/>
        <n x="800" s="1"/>
        <n x="627"/>
        <n x="628"/>
      </t>
    </mdx>
    <mdx n="0" f="v">
      <t c="6" si="614">
        <n x="610"/>
        <n x="769"/>
        <n x="770"/>
        <n x="800" s="1"/>
        <n x="627"/>
        <n x="628"/>
      </t>
    </mdx>
    <mdx n="0" f="v">
      <t c="6" si="614">
        <n x="610"/>
        <n x="785"/>
        <n x="786"/>
        <n x="800" s="1"/>
        <n x="627"/>
        <n x="628"/>
      </t>
    </mdx>
    <mdx n="0" f="v">
      <t c="6" si="614">
        <n x="610"/>
        <n x="297"/>
        <n x="424"/>
        <n x="800" s="1"/>
        <n x="627"/>
        <n x="628"/>
      </t>
    </mdx>
    <mdx n="0" f="v">
      <t c="6" si="614">
        <n x="610"/>
        <n x="331"/>
        <n x="332"/>
        <n x="800" s="1"/>
        <n x="627"/>
        <n x="628"/>
      </t>
    </mdx>
    <mdx n="0" f="v">
      <t c="6" si="614">
        <n x="610"/>
        <n x="211"/>
        <n x="212"/>
        <n x="800" s="1"/>
        <n x="627"/>
        <n x="628"/>
      </t>
    </mdx>
    <mdx n="0" f="v">
      <t c="6" si="614">
        <n x="610"/>
        <n x="801"/>
        <n x="802"/>
        <n x="800" s="1"/>
        <n x="627"/>
        <n x="628"/>
      </t>
    </mdx>
    <mdx n="0" f="v">
      <t c="6" si="614">
        <n x="610"/>
        <n x="595"/>
        <n x="390"/>
        <n x="800" s="1"/>
        <n x="627"/>
        <n x="628"/>
      </t>
    </mdx>
    <mdx n="0" f="v">
      <t c="6" si="614">
        <n x="610"/>
        <n x="755"/>
        <n x="270"/>
        <n x="800" s="1"/>
        <n x="627"/>
        <n x="628"/>
      </t>
    </mdx>
    <mdx n="0" f="v">
      <t c="6" si="614">
        <n x="610"/>
        <n x="755"/>
        <n x="270"/>
        <n x="800" s="1"/>
        <n x="627"/>
        <n x="628"/>
      </t>
    </mdx>
    <mdx n="0" f="v">
      <t c="6" si="614">
        <n x="610"/>
        <n x="417"/>
        <n x="418"/>
        <n x="800" s="1"/>
        <n x="627"/>
        <n x="628"/>
      </t>
    </mdx>
    <mdx n="0" f="v">
      <t c="6" si="614">
        <n x="610"/>
        <n x="759"/>
        <n x="760"/>
        <n x="800" s="1"/>
        <n x="627"/>
        <n x="628"/>
      </t>
    </mdx>
    <mdx n="0" f="v">
      <t c="6" si="614">
        <n x="610"/>
        <n x="439"/>
        <n x="490"/>
        <n x="800" s="1"/>
        <n x="627"/>
        <n x="628"/>
      </t>
    </mdx>
    <mdx n="0" f="v">
      <t c="6" si="614">
        <n x="610"/>
        <n x="359"/>
        <n x="360"/>
        <n x="800" s="1"/>
        <n x="627"/>
        <n x="628"/>
      </t>
    </mdx>
    <mdx n="0" f="v">
      <t c="6" si="614">
        <n x="610"/>
        <n x="391"/>
        <n x="458"/>
        <n x="800" s="1"/>
        <n x="627"/>
        <n x="628"/>
      </t>
    </mdx>
    <mdx n="0" f="v">
      <t c="6" si="614">
        <n x="610"/>
        <n x="413"/>
        <n x="604"/>
        <n x="800" s="1"/>
        <n x="627"/>
        <n x="628"/>
      </t>
    </mdx>
    <mdx n="0" f="v">
      <t c="6" si="614">
        <n x="610"/>
        <n x="447"/>
        <n x="448"/>
        <n x="800" s="1"/>
        <n x="627"/>
        <n x="628"/>
      </t>
    </mdx>
    <mdx n="0" f="v">
      <t c="6" si="614">
        <n x="610"/>
        <n x="321"/>
        <n x="322"/>
        <n x="800" s="1"/>
        <n x="627"/>
        <n x="628"/>
      </t>
    </mdx>
    <mdx n="0" f="v">
      <t c="6" si="614">
        <n x="610"/>
        <n x="375"/>
        <n x="376"/>
        <n x="800" s="1"/>
        <n x="627"/>
        <n x="628"/>
      </t>
    </mdx>
    <mdx n="0" f="v">
      <t c="6" si="614">
        <n x="610"/>
        <n x="311"/>
        <n x="584"/>
        <n x="800" s="1"/>
        <n x="627"/>
        <n x="628"/>
      </t>
    </mdx>
    <mdx n="0" f="v">
      <t c="6" si="614">
        <n x="610"/>
        <n x="567"/>
        <n x="268"/>
        <n x="800" s="1"/>
        <n x="627"/>
        <n x="628"/>
      </t>
    </mdx>
    <mdx n="0" f="v">
      <t c="6" si="614">
        <n x="610"/>
        <n x="207"/>
        <n x="208"/>
        <n x="800" s="1"/>
        <n x="627"/>
        <n x="628"/>
      </t>
    </mdx>
    <mdx n="0" f="v">
      <t c="6" si="614">
        <n x="610"/>
        <n x="717"/>
        <n x="718"/>
        <n x="800" s="1"/>
        <n x="627"/>
        <n x="628"/>
      </t>
    </mdx>
    <mdx n="0" f="v">
      <t c="6" si="614">
        <n x="610"/>
        <n x="323"/>
        <n x="324"/>
        <n x="800" s="1"/>
        <n x="629"/>
        <n x="630"/>
      </t>
    </mdx>
    <mdx n="0" f="v">
      <t c="6" si="614">
        <n x="610"/>
        <n x="557"/>
        <n x="558"/>
        <n x="800" s="1"/>
        <n x="629"/>
        <n x="630"/>
      </t>
    </mdx>
    <mdx n="0" f="v">
      <t c="6" si="614">
        <n x="610"/>
        <n x="363"/>
        <n x="364"/>
        <n x="800" s="1"/>
        <n x="629"/>
        <n x="630"/>
      </t>
    </mdx>
    <mdx n="0" f="v">
      <t c="6" si="614">
        <n x="610"/>
        <n x="743"/>
        <n x="744"/>
        <n x="800" s="1"/>
        <n x="629"/>
        <n x="630"/>
      </t>
    </mdx>
    <mdx n="0" f="v">
      <t c="6" si="614">
        <n x="610"/>
        <n x="747"/>
        <n x="438"/>
        <n x="800" s="1"/>
        <n x="629"/>
        <n x="630"/>
      </t>
    </mdx>
    <mdx n="0" f="v">
      <t c="6" si="614">
        <n x="610"/>
        <n x="273"/>
        <n x="274"/>
        <n x="800" s="1"/>
        <n x="629"/>
        <n x="630"/>
      </t>
    </mdx>
    <mdx n="0" f="v">
      <t c="6" si="614">
        <n x="610"/>
        <n x="209"/>
        <n x="210"/>
        <n x="800" s="1"/>
        <n x="629"/>
        <n x="630"/>
      </t>
    </mdx>
    <mdx n="0" f="v">
      <t c="6" si="614">
        <n x="610"/>
        <n x="499"/>
        <n x="500"/>
        <n x="800" s="1"/>
        <n x="629"/>
        <n x="630"/>
      </t>
    </mdx>
    <mdx n="0" f="v">
      <t c="6" si="614">
        <n x="610"/>
        <n x="441"/>
        <n x="442"/>
        <n x="800" s="1"/>
        <n x="629"/>
        <n x="630"/>
      </t>
    </mdx>
    <mdx n="0" f="v">
      <t c="6" si="614">
        <n x="610"/>
        <n x="205"/>
        <n x="206"/>
        <n x="800" s="1"/>
        <n x="629"/>
        <n x="630"/>
      </t>
    </mdx>
    <mdx n="0" f="v">
      <t c="6" si="614">
        <n x="610"/>
        <n x="757"/>
        <n x="758"/>
        <n x="800" s="1"/>
        <n x="629"/>
        <n x="630"/>
      </t>
    </mdx>
    <mdx n="0" f="v">
      <t c="6" si="614">
        <n x="610"/>
        <n x="509"/>
        <n x="510"/>
        <n x="800" s="1"/>
        <n x="629"/>
        <n x="630"/>
      </t>
    </mdx>
    <mdx n="0" f="v">
      <t c="6" si="614">
        <n x="610"/>
        <n x="423"/>
        <n x="424"/>
        <n x="800" s="1"/>
        <n x="629"/>
        <n x="630"/>
      </t>
    </mdx>
    <mdx n="0" f="v">
      <t c="6" si="614">
        <n x="610"/>
        <n x="297"/>
        <n x="298"/>
        <n x="800" s="1"/>
        <n x="629"/>
        <n x="630"/>
      </t>
    </mdx>
    <mdx n="0" f="v">
      <t c="6" si="614">
        <n x="610"/>
        <n x="263"/>
        <n x="264"/>
        <n x="800" s="1"/>
        <n x="629"/>
        <n x="630"/>
      </t>
    </mdx>
    <mdx n="0" f="v">
      <t c="6" si="614">
        <n x="610"/>
        <n x="455"/>
        <n x="456"/>
        <n x="800" s="1"/>
        <n x="629"/>
        <n x="630"/>
      </t>
    </mdx>
    <mdx n="0" f="v">
      <t c="6" si="614">
        <n x="610"/>
        <n x="253"/>
        <n x="254"/>
        <n x="800" s="1"/>
        <n x="629"/>
        <n x="630"/>
      </t>
    </mdx>
    <mdx n="0" f="v">
      <t c="6" si="614">
        <n x="610"/>
        <n x="719"/>
        <n x="720"/>
        <n x="800" s="1"/>
        <n x="629"/>
        <n x="630"/>
      </t>
    </mdx>
    <mdx n="0" f="v">
      <t c="6" si="614">
        <n x="610"/>
        <n x="241"/>
        <n x="242"/>
        <n x="800" s="1"/>
        <n x="629"/>
        <n x="630"/>
      </t>
    </mdx>
    <mdx n="0" f="v">
      <t c="6" si="614">
        <n x="610"/>
        <n x="321"/>
        <n x="322"/>
        <n x="800" s="1"/>
        <n x="629"/>
        <n x="630"/>
      </t>
    </mdx>
    <mdx n="0" f="v">
      <t c="6" si="614">
        <n x="610"/>
        <n x="763"/>
        <n x="764"/>
        <n x="800" s="1"/>
        <n x="629"/>
        <n x="630"/>
      </t>
    </mdx>
    <mdx n="0" f="v">
      <t c="6" si="614">
        <n x="610"/>
        <n x="313"/>
        <n x="314"/>
        <n x="800" s="1"/>
        <n x="629"/>
        <n x="630"/>
      </t>
    </mdx>
    <mdx n="0" f="v">
      <t c="6" si="614">
        <n x="610"/>
        <n x="475"/>
        <n x="476"/>
        <n x="800" s="1"/>
        <n x="629"/>
        <n x="630"/>
      </t>
    </mdx>
    <mdx n="0" f="v">
      <t c="6" si="614">
        <n x="610"/>
        <n x="235"/>
        <n x="236"/>
        <n x="800" s="1"/>
        <n x="629"/>
        <n x="630"/>
      </t>
    </mdx>
    <mdx n="0" f="v">
      <t c="6" si="614">
        <n x="610"/>
        <n x="259"/>
        <n x="260"/>
        <n x="800" s="1"/>
        <n x="629"/>
        <n x="630"/>
      </t>
    </mdx>
    <mdx n="0" f="v">
      <t c="6" si="614">
        <n x="610"/>
        <n x="593"/>
        <n x="594"/>
        <n x="800" s="1"/>
        <n x="629"/>
        <n x="630"/>
      </t>
    </mdx>
    <mdx n="0" f="v">
      <t c="6" si="614">
        <n x="610"/>
        <n x="779"/>
        <n x="776"/>
        <n x="800" s="1"/>
        <n x="629"/>
        <n x="630"/>
      </t>
    </mdx>
    <mdx n="0" f="v">
      <t c="6" si="614">
        <n x="610"/>
        <n x="373"/>
        <n x="374"/>
        <n x="800" s="1"/>
        <n x="629"/>
        <n x="630"/>
      </t>
    </mdx>
    <mdx n="0" f="v">
      <t c="6" si="614">
        <n x="610"/>
        <n x="369"/>
        <n x="370"/>
        <n x="800" s="1"/>
        <n x="629"/>
        <n x="630"/>
      </t>
    </mdx>
    <mdx n="0" f="v">
      <t c="6" si="614">
        <n x="610"/>
        <n x="369"/>
        <n x="370"/>
        <n x="800" s="1"/>
        <n x="629"/>
        <n x="630"/>
      </t>
    </mdx>
    <mdx n="0" f="v">
      <t c="6" si="614">
        <n x="610"/>
        <n x="369"/>
        <n x="370"/>
        <n x="800" s="1"/>
        <n x="629"/>
        <n x="630"/>
      </t>
    </mdx>
    <mdx n="0" f="v">
      <t c="6" si="614">
        <n x="610"/>
        <n x="369"/>
        <n x="370"/>
        <n x="800" s="1"/>
        <n x="629"/>
        <n x="630"/>
      </t>
    </mdx>
    <mdx n="0" f="v">
      <t c="6" si="614">
        <n x="610"/>
        <n x="709"/>
        <n x="710"/>
        <n x="800" s="1"/>
        <n x="657"/>
        <n x="658"/>
      </t>
    </mdx>
    <mdx n="0" f="v">
      <t c="6" si="614">
        <n x="610"/>
        <n x="599"/>
        <n x="600"/>
        <n x="800" s="1"/>
        <n x="657"/>
        <n x="658"/>
      </t>
    </mdx>
    <mdx n="0" f="v">
      <t c="6" si="614">
        <n x="610"/>
        <n x="585"/>
        <n x="586"/>
        <n x="800" s="1"/>
        <n x="657"/>
        <n x="658"/>
      </t>
    </mdx>
    <mdx n="0" f="v">
      <t c="6" si="614">
        <n x="610"/>
        <n x="397"/>
        <n x="398"/>
        <n x="800" s="1"/>
        <n x="657"/>
        <n x="658"/>
      </t>
    </mdx>
    <mdx n="0" f="v">
      <t c="6" si="614">
        <n x="610"/>
        <n x="231"/>
        <n x="232"/>
        <n x="800" s="1"/>
        <n x="657"/>
        <n x="658"/>
      </t>
    </mdx>
    <mdx n="0" f="v">
      <t c="6" si="614">
        <n x="610"/>
        <n x="555"/>
        <n x="556"/>
        <n x="800" s="1"/>
        <n x="657"/>
        <n x="658"/>
      </t>
    </mdx>
    <mdx n="0" f="v">
      <t c="6" si="614">
        <n x="610"/>
        <n x="607"/>
        <n x="608"/>
        <n x="800" s="1"/>
        <n x="657"/>
        <n x="658"/>
      </t>
    </mdx>
    <mdx n="0" f="v">
      <t c="6" si="614">
        <n x="610"/>
        <n x="235"/>
        <n x="236"/>
        <n x="800" s="1"/>
        <n x="657"/>
        <n x="658"/>
      </t>
    </mdx>
    <mdx n="0" f="v">
      <t c="6" si="614">
        <n x="610"/>
        <n x="735"/>
        <n x="736"/>
        <n x="800" s="1"/>
        <n x="657"/>
        <n x="658"/>
      </t>
    </mdx>
    <mdx n="0" f="v">
      <t c="6" si="614">
        <n x="610"/>
        <n x="257"/>
        <n x="258"/>
        <n x="800" s="1"/>
        <n x="657"/>
        <n x="658"/>
      </t>
    </mdx>
    <mdx n="0" f="v">
      <t c="6" si="614">
        <n x="610"/>
        <n x="739"/>
        <n x="740"/>
        <n x="800" s="1"/>
        <n x="657"/>
        <n x="658"/>
      </t>
    </mdx>
    <mdx n="0" f="v">
      <t c="6" si="614">
        <n x="610"/>
        <n x="537"/>
        <n x="538"/>
        <n x="800" s="1"/>
        <n x="657"/>
        <n x="658"/>
      </t>
    </mdx>
    <mdx n="0" f="v">
      <t c="6" si="614">
        <n x="610"/>
        <n x="589"/>
        <n x="590"/>
        <n x="800" s="1"/>
        <n x="657"/>
        <n x="658"/>
      </t>
    </mdx>
    <mdx n="0" f="v">
      <t c="6" si="614">
        <n x="610"/>
        <n x="745"/>
        <n x="746"/>
        <n x="800" s="1"/>
        <n x="657"/>
        <n x="658"/>
      </t>
    </mdx>
    <mdx n="0" f="v">
      <t c="6" si="614">
        <n x="610"/>
        <n x="259"/>
        <n x="260"/>
        <n x="800" s="1"/>
        <n x="657"/>
        <n x="658"/>
      </t>
    </mdx>
    <mdx n="0" f="v">
      <t c="6" si="614">
        <n x="610"/>
        <n x="593"/>
        <n x="594"/>
        <n x="800" s="1"/>
        <n x="657"/>
        <n x="658"/>
      </t>
    </mdx>
    <mdx n="0" f="v">
      <t c="6" si="614">
        <n x="610"/>
        <n x="223"/>
        <n x="224"/>
        <n x="800" s="1"/>
        <n x="657"/>
        <n x="658"/>
      </t>
    </mdx>
    <mdx n="0" f="v">
      <t c="6" si="614">
        <n x="610"/>
        <n x="577"/>
        <n x="578"/>
        <n x="800" s="1"/>
        <n x="657"/>
        <n x="658"/>
      </t>
    </mdx>
    <mdx n="0" f="v">
      <t c="6" si="614">
        <n x="610"/>
        <n x="361"/>
        <n x="362"/>
        <n x="800" s="1"/>
        <n x="657"/>
        <n x="658"/>
      </t>
    </mdx>
    <mdx n="0" f="v">
      <t c="6" si="614">
        <n x="610"/>
        <n x="325"/>
        <n x="326"/>
        <n x="800" s="1"/>
        <n x="657"/>
        <n x="658"/>
      </t>
    </mdx>
    <mdx n="0" f="v">
      <t c="6" si="614">
        <n x="610"/>
        <n x="507"/>
        <n x="508"/>
        <n x="800" s="1"/>
        <n x="657"/>
        <n x="658"/>
      </t>
    </mdx>
    <mdx n="0" f="v">
      <t c="6" si="614">
        <n x="610"/>
        <n x="349"/>
        <n x="350"/>
        <n x="800" s="1"/>
        <n x="657"/>
        <n x="658"/>
      </t>
    </mdx>
    <mdx n="0" f="v">
      <t c="6" si="614">
        <n x="610"/>
        <n x="411"/>
        <n x="412"/>
        <n x="800" s="1"/>
        <n x="657"/>
        <n x="658"/>
      </t>
    </mdx>
    <mdx n="0" f="v">
      <t c="6" si="614">
        <n x="610"/>
        <n x="771"/>
        <n x="772"/>
        <n x="800" s="1"/>
        <n x="657"/>
        <n x="658"/>
      </t>
    </mdx>
    <mdx n="0" f="v">
      <t c="6" si="614">
        <n x="610"/>
        <n x="775"/>
        <n x="776"/>
        <n x="800" s="1"/>
        <n x="657"/>
        <n x="658"/>
      </t>
    </mdx>
    <mdx n="0" f="v">
      <t c="6" si="614">
        <n x="610"/>
        <n x="779"/>
        <n x="780"/>
        <n x="800" s="1"/>
        <n x="657"/>
        <n x="658"/>
      </t>
    </mdx>
    <mdx n="0" f="v">
      <t c="6" si="614">
        <n x="610"/>
        <n x="783"/>
        <n x="784"/>
        <n x="800" s="1"/>
        <n x="657"/>
        <n x="658"/>
      </t>
    </mdx>
    <mdx n="0" f="v">
      <t c="6" si="614">
        <n x="610"/>
        <n x="531"/>
        <n x="532"/>
        <n x="800" s="1"/>
        <n x="657"/>
        <n x="658"/>
      </t>
    </mdx>
    <mdx n="0" f="v">
      <t c="6" si="614">
        <n x="610"/>
        <n x="451"/>
        <n x="452"/>
        <n x="800" s="1"/>
        <n x="657"/>
        <n x="658"/>
      </t>
    </mdx>
    <mdx n="0" f="v">
      <t c="6" si="614">
        <n x="610"/>
        <n x="351"/>
        <n x="352"/>
        <n x="800" s="1"/>
        <n x="657"/>
        <n x="658"/>
      </t>
    </mdx>
    <mdx n="0" f="v">
      <t c="6" si="614">
        <n x="610"/>
        <n x="795"/>
        <n x="796"/>
        <n x="800" s="1"/>
        <n x="657"/>
        <n x="658"/>
      </t>
    </mdx>
    <mdx n="0" f="v">
      <t c="6" si="614">
        <n x="610"/>
        <n x="305"/>
        <n x="306"/>
        <n x="800" s="1"/>
        <n x="657"/>
        <n x="658"/>
      </t>
    </mdx>
    <mdx n="0" f="v">
      <t c="6" si="614">
        <n x="610"/>
        <n x="373"/>
        <n x="374"/>
        <n x="800" s="1"/>
        <n x="657"/>
        <n x="658"/>
      </t>
    </mdx>
    <mdx n="0" f="v">
      <t c="6" si="614">
        <n x="610"/>
        <n x="803"/>
        <n x="804"/>
        <n x="800" s="1"/>
        <n x="657"/>
        <n x="658"/>
      </t>
    </mdx>
    <mdx n="0" f="v">
      <t c="6" si="614">
        <n x="610"/>
        <n x="337"/>
        <n x="338"/>
        <n x="800" s="1"/>
        <n x="657"/>
        <n x="658"/>
      </t>
    </mdx>
    <mdx n="0" f="v">
      <t c="6" si="614">
        <n x="610"/>
        <n x="425"/>
        <n x="426"/>
        <n x="800" s="1"/>
        <n x="657"/>
        <n x="658"/>
      </t>
    </mdx>
    <mdx n="0" f="v">
      <t c="6" si="614">
        <n x="610"/>
        <n x="369"/>
        <n x="370"/>
        <n x="800" s="1"/>
        <n x="657"/>
        <n x="658"/>
      </t>
    </mdx>
    <mdx n="0" f="v">
      <t c="6" si="614">
        <n x="610"/>
        <n x="711"/>
        <n x="712"/>
        <n x="800" s="1"/>
        <n x="657"/>
        <n x="658"/>
      </t>
    </mdx>
    <mdx n="0" f="v">
      <t c="6" si="614">
        <n x="610"/>
        <n x="721"/>
        <n x="722"/>
        <n x="800" s="1"/>
        <n x="657"/>
        <n x="658"/>
      </t>
    </mdx>
    <mdx n="0" f="v">
      <t c="6" si="614">
        <n x="610"/>
        <n x="379"/>
        <n x="380"/>
        <n x="800" s="1"/>
        <n x="657"/>
        <n x="658"/>
      </t>
    </mdx>
    <mdx n="0" f="v">
      <t c="6" si="614">
        <n x="610"/>
        <n x="459"/>
        <n x="218"/>
        <n x="800" s="1"/>
        <n x="657"/>
        <n x="658"/>
      </t>
    </mdx>
    <mdx n="0" f="v">
      <t c="6" si="614">
        <n x="610"/>
        <n x="459"/>
        <n x="460"/>
        <n x="800" s="1"/>
        <n x="657"/>
        <n x="658"/>
      </t>
    </mdx>
    <mdx n="0" f="v">
      <t c="6" si="614">
        <n x="610"/>
        <n x="237"/>
        <n x="238"/>
        <n x="800" s="1"/>
        <n x="657"/>
        <n x="658"/>
      </t>
    </mdx>
    <mdx n="0" f="v">
      <t c="6" si="614">
        <n x="610"/>
        <n x="237"/>
        <n x="238"/>
        <n x="800" s="1"/>
        <n x="657"/>
        <n x="658"/>
      </t>
    </mdx>
    <mdx n="0" f="v">
      <t c="6" si="614">
        <n x="610"/>
        <n x="453"/>
        <n x="454"/>
        <n x="800" s="1"/>
        <n x="657"/>
        <n x="658"/>
      </t>
    </mdx>
    <mdx n="0" f="v">
      <t c="6" si="614">
        <n x="610"/>
        <n x="733"/>
        <n x="734"/>
        <n x="800" s="1"/>
        <n x="657"/>
        <n x="658"/>
      </t>
    </mdx>
    <mdx n="0" f="v">
      <t c="6" si="614">
        <n x="610"/>
        <n x="283"/>
        <n x="284"/>
        <n x="800" s="1"/>
        <n x="657"/>
        <n x="658"/>
      </t>
    </mdx>
    <mdx n="0" f="v">
      <t c="6" si="614">
        <n x="610"/>
        <n x="741"/>
        <n x="742"/>
        <n x="800" s="1"/>
        <n x="657"/>
        <n x="658"/>
      </t>
    </mdx>
    <mdx n="0" f="v">
      <t c="6" si="614">
        <n x="610"/>
        <n x="741"/>
        <n x="742"/>
        <n x="800" s="1"/>
        <n x="657"/>
        <n x="658"/>
      </t>
    </mdx>
    <mdx n="0" f="v">
      <t c="6" si="614">
        <n x="610"/>
        <n x="393"/>
        <n x="394"/>
        <n x="800" s="1"/>
        <n x="657"/>
        <n x="658"/>
      </t>
    </mdx>
    <mdx n="0" f="v">
      <t c="6" si="614">
        <n x="610"/>
        <n x="605"/>
        <n x="606"/>
        <n x="800" s="1"/>
        <n x="657"/>
        <n x="658"/>
      </t>
    </mdx>
    <mdx n="0" f="v">
      <t c="6" si="614">
        <n x="610"/>
        <n x="299"/>
        <n x="300"/>
        <n x="800" s="1"/>
        <n x="657"/>
        <n x="658"/>
      </t>
    </mdx>
    <mdx n="0" f="v">
      <t c="6" si="614">
        <n x="610"/>
        <n x="299"/>
        <n x="300"/>
        <n x="800" s="1"/>
        <n x="657"/>
        <n x="658"/>
      </t>
    </mdx>
    <mdx n="0" f="v">
      <t c="6" si="614">
        <n x="610"/>
        <n x="339"/>
        <n x="340"/>
        <n x="800" s="1"/>
        <n x="657"/>
        <n x="658"/>
      </t>
    </mdx>
    <mdx n="0" f="v">
      <t c="6" si="614">
        <n x="610"/>
        <n x="399"/>
        <n x="400"/>
        <n x="800" s="1"/>
        <n x="657"/>
        <n x="658"/>
      </t>
    </mdx>
    <mdx n="0" f="v">
      <t c="6" si="614">
        <n x="610"/>
        <n x="469"/>
        <n x="470"/>
        <n x="800" s="1"/>
        <n x="657"/>
        <n x="658"/>
      </t>
    </mdx>
    <mdx n="0" f="v">
      <t c="6" si="614">
        <n x="610"/>
        <n x="767"/>
        <n x="768"/>
        <n x="800" s="1"/>
        <n x="657"/>
        <n x="658"/>
      </t>
    </mdx>
    <mdx n="0" f="v">
      <t c="6" si="614">
        <n x="610"/>
        <n x="777"/>
        <n x="778"/>
        <n x="800" s="1"/>
        <n x="657"/>
        <n x="658"/>
      </t>
    </mdx>
    <mdx n="0" f="v">
      <t c="6" si="614">
        <n x="610"/>
        <n x="269"/>
        <n x="270"/>
        <n x="800" s="1"/>
        <n x="657"/>
        <n x="658"/>
      </t>
    </mdx>
    <mdx n="0" f="v">
      <t c="6" si="614">
        <n x="610"/>
        <n x="535"/>
        <n x="536"/>
        <n x="800" s="1"/>
        <n x="657"/>
        <n x="658"/>
      </t>
    </mdx>
    <mdx n="0" f="v">
      <t c="6" si="614">
        <n x="610"/>
        <n x="565"/>
        <n x="566"/>
        <n x="800" s="1"/>
        <n x="657"/>
        <n x="658"/>
      </t>
    </mdx>
    <mdx n="0" f="v">
      <t c="6" si="614">
        <n x="610"/>
        <n x="473"/>
        <n x="474"/>
        <n x="800" s="1"/>
        <n x="657"/>
        <n x="658"/>
      </t>
    </mdx>
    <mdx n="0" f="v">
      <t c="6" si="614">
        <n x="610"/>
        <n x="213"/>
        <n x="214"/>
        <n x="800" s="1"/>
        <n x="657"/>
        <n x="658"/>
      </t>
    </mdx>
    <mdx n="0" f="v">
      <t c="6" si="614">
        <n x="610"/>
        <n x="465"/>
        <n x="466"/>
        <n x="800" s="1"/>
        <n x="657"/>
        <n x="658"/>
      </t>
    </mdx>
    <mdx n="0" f="v">
      <t c="6" si="614">
        <n x="610"/>
        <n x="563"/>
        <n x="564"/>
        <n x="800" s="1"/>
        <n x="657"/>
        <n x="658"/>
      </t>
    </mdx>
    <mdx n="0" f="v">
      <t c="6" si="614">
        <n x="610"/>
        <n x="329"/>
        <n x="330"/>
        <n x="800" s="1"/>
        <n x="657"/>
        <n x="658"/>
      </t>
    </mdx>
    <mdx n="0" f="v">
      <t c="6" si="614">
        <n x="610"/>
        <n x="587"/>
        <n x="588"/>
        <n x="800" s="1"/>
        <n x="657"/>
        <n x="658"/>
      </t>
    </mdx>
    <mdx n="0" f="v">
      <t c="6" si="614">
        <n x="610"/>
        <n x="323"/>
        <n x="324"/>
        <n x="800" s="1"/>
        <n x="657"/>
        <n x="658"/>
      </t>
    </mdx>
    <mdx n="0" f="v">
      <t c="6" si="614">
        <n x="610"/>
        <n x="559"/>
        <n x="560"/>
        <n x="800" s="1"/>
        <n x="657"/>
        <n x="658"/>
      </t>
    </mdx>
    <mdx n="0" f="v">
      <t c="6" si="614">
        <n x="610"/>
        <n x="371"/>
        <n x="372"/>
        <n x="800" s="1"/>
        <n x="657"/>
        <n x="658"/>
      </t>
    </mdx>
    <mdx n="0" f="v">
      <t c="6" si="614">
        <n x="610"/>
        <n x="285"/>
        <n x="286"/>
        <n x="800" s="1"/>
        <n x="657"/>
        <n x="658"/>
      </t>
    </mdx>
    <mdx n="0" f="v">
      <t c="6" si="614">
        <n x="610"/>
        <n x="723"/>
        <n x="724"/>
        <n x="800" s="1"/>
        <n x="657"/>
        <n x="658"/>
      </t>
    </mdx>
    <mdx n="0" f="v">
      <t c="6" si="614">
        <n x="610"/>
        <n x="239"/>
        <n x="240"/>
        <n x="800" s="1"/>
        <n x="657"/>
        <n x="658"/>
      </t>
    </mdx>
    <mdx n="0" f="v">
      <t c="6" si="614">
        <n x="610"/>
        <n x="547"/>
        <n x="548"/>
        <n x="800" s="1"/>
        <n x="657"/>
        <n x="658"/>
      </t>
    </mdx>
    <mdx n="0" f="v">
      <t c="6" si="614">
        <n x="610"/>
        <n x="557"/>
        <n x="558"/>
        <n x="800" s="1"/>
        <n x="657"/>
        <n x="658"/>
      </t>
    </mdx>
    <mdx n="0" f="v">
      <t c="6" si="614">
        <n x="610"/>
        <n x="495"/>
        <n x="496"/>
        <n x="800" s="1"/>
        <n x="657"/>
        <n x="658"/>
      </t>
    </mdx>
    <mdx n="0" f="v">
      <t c="6" si="614">
        <n x="610"/>
        <n x="363"/>
        <n x="364"/>
        <n x="800" s="1"/>
        <n x="657"/>
        <n x="658"/>
      </t>
    </mdx>
    <mdx n="0" f="v">
      <t c="6" si="614">
        <n x="610"/>
        <n x="281"/>
        <n x="282"/>
        <n x="800" s="1"/>
        <n x="657"/>
        <n x="658"/>
      </t>
    </mdx>
    <mdx n="0" f="v">
      <t c="6" si="614">
        <n x="610"/>
        <n x="277"/>
        <n x="278"/>
        <n x="800" s="1"/>
        <n x="657"/>
        <n x="658"/>
      </t>
    </mdx>
    <mdx n="0" f="v">
      <t c="6" si="614">
        <n x="610"/>
        <n x="401"/>
        <n x="402"/>
        <n x="800" s="1"/>
        <n x="657"/>
        <n x="658"/>
      </t>
    </mdx>
    <mdx n="0" f="v">
      <t c="6" si="614">
        <n x="610"/>
        <n x="435"/>
        <n x="436"/>
        <n x="800" s="1"/>
        <n x="657"/>
        <n x="658"/>
      </t>
    </mdx>
    <mdx n="0" f="v">
      <t c="6" si="614">
        <n x="610"/>
        <n x="743"/>
        <n x="744"/>
        <n x="800" s="1"/>
        <n x="657"/>
        <n x="658"/>
      </t>
    </mdx>
    <mdx n="0" f="v">
      <t c="6" si="614">
        <n x="610"/>
        <n x="437"/>
        <n x="438"/>
        <n x="800" s="1"/>
        <n x="657"/>
        <n x="658"/>
      </t>
    </mdx>
    <mdx n="0" f="v">
      <t c="6" si="614">
        <n x="610"/>
        <n x="747"/>
        <n x="748"/>
        <n x="800" s="1"/>
        <n x="657"/>
        <n x="658"/>
      </t>
    </mdx>
    <mdx n="0" f="v">
      <t c="6" si="614">
        <n x="610"/>
        <n x="749"/>
        <n x="750"/>
        <n x="800" s="1"/>
        <n x="657"/>
        <n x="658"/>
      </t>
    </mdx>
    <mdx n="0" f="v">
      <t c="6" si="614">
        <n x="610"/>
        <n x="751"/>
        <n x="752"/>
        <n x="800" s="1"/>
        <n x="657"/>
        <n x="658"/>
      </t>
    </mdx>
    <mdx n="0" f="v">
      <t c="6" si="614">
        <n x="610"/>
        <n x="471"/>
        <n x="472"/>
        <n x="800" s="1"/>
        <n x="657"/>
        <n x="658"/>
      </t>
    </mdx>
    <mdx n="0" f="v">
      <t c="6" si="614">
        <n x="610"/>
        <n x="233"/>
        <n x="234"/>
        <n x="800" s="1"/>
        <n x="657"/>
        <n x="658"/>
      </t>
    </mdx>
    <mdx n="0" f="v">
      <t c="6" si="614">
        <n x="610"/>
        <n x="273"/>
        <n x="274"/>
        <n x="800" s="1"/>
        <n x="657"/>
        <n x="658"/>
      </t>
    </mdx>
    <mdx n="0" f="v">
      <t c="6" si="614">
        <n x="610"/>
        <n x="553"/>
        <n x="554"/>
        <n x="800" s="1"/>
        <n x="657"/>
        <n x="658"/>
      </t>
    </mdx>
    <mdx n="0" f="v">
      <t c="6" si="614">
        <n x="610"/>
        <n x="247"/>
        <n x="248"/>
        <n x="800" s="1"/>
        <n x="657"/>
        <n x="658"/>
      </t>
    </mdx>
    <mdx n="0" f="v">
      <t c="6" si="614">
        <n x="610"/>
        <n x="765"/>
        <n x="766"/>
        <n x="800" s="1"/>
        <n x="657"/>
        <n x="658"/>
      </t>
    </mdx>
    <mdx n="0" f="v">
      <t c="6" si="614">
        <n x="610"/>
        <n x="315"/>
        <n x="316"/>
        <n x="800" s="1"/>
        <n x="657"/>
        <n x="658"/>
      </t>
    </mdx>
    <mdx n="0" f="v">
      <t c="6" si="614">
        <n x="610"/>
        <n x="293"/>
        <n x="294"/>
        <n x="800" s="1"/>
        <n x="657"/>
        <n x="658"/>
      </t>
    </mdx>
    <mdx n="0" f="v">
      <t c="6" si="614">
        <n x="610"/>
        <n x="357"/>
        <n x="358"/>
        <n x="800" s="1"/>
        <n x="657"/>
        <n x="658"/>
      </t>
    </mdx>
    <mdx n="0" f="v">
      <t c="6" si="614">
        <n x="610"/>
        <n x="533"/>
        <n x="534"/>
        <n x="800" s="1"/>
        <n x="657"/>
        <n x="658"/>
      </t>
    </mdx>
    <mdx n="0" f="v">
      <t c="6" si="614">
        <n x="610"/>
        <n x="355"/>
        <n x="356"/>
        <n x="800" s="1"/>
        <n x="657"/>
        <n x="658"/>
      </t>
    </mdx>
    <mdx n="0" f="v">
      <t c="6" si="614">
        <n x="610"/>
        <n x="581"/>
        <n x="582"/>
        <n x="800" s="1"/>
        <n x="657"/>
        <n x="658"/>
      </t>
    </mdx>
    <mdx n="0" f="v">
      <t c="6" si="614">
        <n x="610"/>
        <n x="521"/>
        <n x="522"/>
        <n x="800" s="1"/>
        <n x="657"/>
        <n x="658"/>
      </t>
    </mdx>
    <mdx n="0" f="v">
      <t c="6" si="614">
        <n x="610"/>
        <n x="523"/>
        <n x="524"/>
        <n x="800" s="1"/>
        <n x="657"/>
        <n x="658"/>
      </t>
    </mdx>
    <mdx n="0" f="v">
      <t c="6" si="614">
        <n x="610"/>
        <n x="791"/>
        <n x="792"/>
        <n x="800" s="1"/>
        <n x="657"/>
        <n x="658"/>
      </t>
    </mdx>
    <mdx n="0" f="v">
      <t c="6" si="614">
        <n x="610"/>
        <n x="303"/>
        <n x="304"/>
        <n x="800" s="1"/>
        <n x="657"/>
        <n x="658"/>
      </t>
    </mdx>
    <mdx n="0" f="v">
      <t c="6" si="614">
        <n x="610"/>
        <n x="225"/>
        <n x="226"/>
        <n x="800" s="1"/>
        <n x="657"/>
        <n x="658"/>
      </t>
    </mdx>
    <mdx n="0" f="v">
      <t c="6" si="614">
        <n x="610"/>
        <n x="449"/>
        <n x="450"/>
        <n x="800" s="1"/>
        <n x="657"/>
        <n x="658"/>
      </t>
    </mdx>
    <mdx n="0" f="v">
      <t c="6" si="614">
        <n x="610"/>
        <n x="421"/>
        <n x="422"/>
        <n x="800" s="1"/>
        <n x="657"/>
        <n x="658"/>
      </t>
    </mdx>
    <mdx n="0" f="v">
      <t c="6" si="614">
        <n x="610"/>
        <n x="497"/>
        <n x="498"/>
        <n x="800" s="1"/>
        <n x="657"/>
        <n x="658"/>
      </t>
    </mdx>
    <mdx n="0" f="v">
      <t c="6" si="614">
        <n x="610"/>
        <n x="519"/>
        <n x="520"/>
        <n x="800" s="1"/>
        <n x="657"/>
        <n x="658"/>
      </t>
    </mdx>
    <mdx n="0" f="v">
      <t c="6" si="614">
        <n x="610"/>
        <n x="805"/>
        <n x="806"/>
        <n x="800" s="1"/>
        <n x="657"/>
        <n x="658"/>
      </t>
    </mdx>
    <mdx n="0" f="v">
      <t c="6" si="614">
        <n x="610"/>
        <n x="715"/>
        <n x="716"/>
        <n x="800" s="1"/>
        <n x="657"/>
        <n x="658"/>
      </t>
    </mdx>
    <mdx n="0" f="v">
      <t c="6" si="614">
        <n x="610"/>
        <n x="463"/>
        <n x="464"/>
        <n x="800" s="1"/>
        <n x="657"/>
        <n x="658"/>
      </t>
    </mdx>
    <mdx n="0" f="v">
      <t c="6" si="614">
        <n x="610"/>
        <n x="365"/>
        <n x="366"/>
        <n x="800" s="1"/>
        <n x="657"/>
        <n x="658"/>
      </t>
    </mdx>
    <mdx n="0" f="v">
      <t c="6" si="614">
        <n x="610"/>
        <n x="597"/>
        <n x="598"/>
        <n x="800" s="1"/>
        <n x="657"/>
        <n x="658"/>
      </t>
    </mdx>
    <mdx n="0" f="v">
      <t c="6" si="614">
        <n x="610"/>
        <n x="727"/>
        <n x="728"/>
        <n x="800" s="1"/>
        <n x="657"/>
        <n x="658"/>
      </t>
    </mdx>
    <mdx n="0" f="v">
      <t c="6" si="614">
        <n x="610"/>
        <n x="731"/>
        <n x="732"/>
        <n x="800" s="1"/>
        <n x="657"/>
        <n x="658"/>
      </t>
    </mdx>
    <mdx n="0" f="v">
      <t c="6" si="614">
        <n x="610"/>
        <n x="265"/>
        <n x="266"/>
        <n x="800" s="1"/>
        <n x="657"/>
        <n x="658"/>
      </t>
    </mdx>
    <mdx n="0" f="v">
      <t c="6" si="614">
        <n x="610"/>
        <n x="243"/>
        <n x="244"/>
        <n x="800" s="1"/>
        <n x="657"/>
        <n x="658"/>
      </t>
    </mdx>
    <mdx n="0" f="v">
      <t c="6" si="614">
        <n x="610"/>
        <n x="443"/>
        <n x="444"/>
        <n x="800" s="1"/>
        <n x="657"/>
        <n x="658"/>
      </t>
    </mdx>
    <mdx n="0" f="v">
      <t c="6" si="614">
        <n x="610"/>
        <n x="209"/>
        <n x="210"/>
        <n x="800" s="1"/>
        <n x="657"/>
        <n x="658"/>
      </t>
    </mdx>
    <mdx n="0" f="v">
      <t c="6" si="614">
        <n x="610"/>
        <n x="499"/>
        <n x="500"/>
        <n x="800" s="1"/>
        <n x="657"/>
        <n x="658"/>
      </t>
    </mdx>
    <mdx n="0" f="v">
      <t c="6" si="614">
        <n x="610"/>
        <n x="261"/>
        <n x="262"/>
        <n x="800" s="1"/>
        <n x="657"/>
        <n x="658"/>
      </t>
    </mdx>
    <mdx n="0" f="v">
      <t c="6" si="614">
        <n x="610"/>
        <n x="419"/>
        <n x="420"/>
        <n x="800" s="1"/>
        <n x="657"/>
        <n x="658"/>
      </t>
    </mdx>
    <mdx n="0" f="v">
      <t c="6" si="614">
        <n x="610"/>
        <n x="205"/>
        <n x="206"/>
        <n x="800" s="1"/>
        <n x="657"/>
        <n x="658"/>
      </t>
    </mdx>
    <mdx n="0" f="v">
      <t c="6" si="614">
        <n x="610"/>
        <n x="757"/>
        <n x="758"/>
        <n x="800" s="1"/>
        <n x="657"/>
        <n x="658"/>
      </t>
    </mdx>
    <mdx n="0" f="v">
      <t c="6" si="614">
        <n x="610"/>
        <n x="467"/>
        <n x="468"/>
        <n x="800" s="1"/>
        <n x="657"/>
        <n x="658"/>
      </t>
    </mdx>
    <mdx n="0" f="v">
      <t c="6" si="614">
        <n x="610"/>
        <n x="769"/>
        <n x="770"/>
        <n x="800" s="1"/>
        <n x="657"/>
        <n x="658"/>
      </t>
    </mdx>
    <mdx n="0" f="v">
      <t c="6" si="614">
        <n x="610"/>
        <n x="381"/>
        <n x="382"/>
        <n x="800" s="1"/>
        <n x="657"/>
        <n x="658"/>
      </t>
    </mdx>
    <mdx n="0" f="v">
      <t c="6" si="614">
        <n x="610"/>
        <n x="785"/>
        <n x="786"/>
        <n x="800" s="1"/>
        <n x="657"/>
        <n x="658"/>
      </t>
    </mdx>
    <mdx n="0" f="v">
      <t c="6" si="614">
        <n x="610"/>
        <n x="423"/>
        <n x="424"/>
        <n x="800" s="1"/>
        <n x="657"/>
        <n x="658"/>
      </t>
    </mdx>
    <mdx n="0" f="v">
      <t c="6" si="614">
        <n x="610"/>
        <n x="331"/>
        <n x="332"/>
        <n x="800" s="1"/>
        <n x="657"/>
        <n x="658"/>
      </t>
    </mdx>
    <mdx n="0" f="v">
      <t c="6" si="614">
        <n x="610"/>
        <n x="211"/>
        <n x="212"/>
        <n x="800" s="1"/>
        <n x="657"/>
        <n x="658"/>
      </t>
    </mdx>
    <mdx n="0" f="v">
      <t c="6" si="614">
        <n x="610"/>
        <n x="263"/>
        <n x="264"/>
        <n x="800" s="1"/>
        <n x="657"/>
        <n x="658"/>
      </t>
    </mdx>
    <mdx n="0" f="v">
      <t c="6" si="614">
        <n x="610"/>
        <n x="573"/>
        <n x="518"/>
        <n x="800" s="1"/>
        <n x="657"/>
        <n x="658"/>
      </t>
    </mdx>
    <mdx n="0" f="v">
      <t c="6" si="614">
        <n x="610"/>
        <n x="317"/>
        <n x="318"/>
        <n x="800" s="1"/>
        <n x="657"/>
        <n x="658"/>
      </t>
    </mdx>
    <mdx n="0" f="v">
      <t c="6" si="614">
        <n x="610"/>
        <n x="275"/>
        <n x="276"/>
        <n x="800" s="1"/>
        <n x="657"/>
        <n x="658"/>
      </t>
    </mdx>
    <mdx n="0" f="v">
      <t c="6" si="614">
        <n x="610"/>
        <n x="377"/>
        <n x="378"/>
        <n x="800" s="1"/>
        <n x="657"/>
        <n x="658"/>
      </t>
    </mdx>
    <mdx n="0" f="v">
      <t c="6" si="614">
        <n x="610"/>
        <n x="221"/>
        <n x="222"/>
        <n x="800" s="1"/>
        <n x="657"/>
        <n x="658"/>
      </t>
    </mdx>
    <mdx n="0" f="v">
      <t c="6" si="614">
        <n x="610"/>
        <n x="725"/>
        <n x="726"/>
        <n x="800" s="1"/>
        <n x="657"/>
        <n x="658"/>
      </t>
    </mdx>
    <mdx n="0" f="v">
      <t c="6" si="614">
        <n x="610"/>
        <n x="729"/>
        <n x="730"/>
        <n x="800" s="1"/>
        <n x="657"/>
        <n x="658"/>
      </t>
    </mdx>
    <mdx n="0" f="v">
      <t c="6" si="614">
        <n x="610"/>
        <n x="541"/>
        <n x="542"/>
        <n x="800" s="1"/>
        <n x="657"/>
        <n x="658"/>
      </t>
    </mdx>
    <mdx n="0" f="v">
      <t c="6" si="614">
        <n x="610"/>
        <n x="389"/>
        <n x="390"/>
        <n x="800" s="1"/>
        <n x="657"/>
        <n x="658"/>
      </t>
    </mdx>
    <mdx n="0" f="v">
      <t c="6" si="614">
        <n x="610"/>
        <n x="525"/>
        <n x="526"/>
        <n x="800" s="1"/>
        <n x="657"/>
        <n x="658"/>
      </t>
    </mdx>
    <mdx n="0" f="v">
      <t c="6" si="614">
        <n x="610"/>
        <n x="591"/>
        <n x="592"/>
        <n x="800" s="1"/>
        <n x="657"/>
        <n x="658"/>
      </t>
    </mdx>
    <mdx n="0" f="v">
      <t c="6" si="614">
        <n x="610"/>
        <n x="455"/>
        <n x="456"/>
        <n x="800" s="1"/>
        <n x="657"/>
        <n x="658"/>
      </t>
    </mdx>
    <mdx n="0" f="v">
      <t c="6" si="614">
        <n x="610"/>
        <n x="491"/>
        <n x="492"/>
        <n x="800" s="1"/>
        <n x="657"/>
        <n x="658"/>
      </t>
    </mdx>
    <mdx n="0" f="v">
      <t c="6" si="614">
        <n x="610"/>
        <n x="513"/>
        <n x="514"/>
        <n x="800" s="1"/>
        <n x="657"/>
        <n x="658"/>
      </t>
    </mdx>
    <mdx n="0" f="v">
      <t c="6" si="614">
        <n x="610"/>
        <n x="345"/>
        <n x="346"/>
        <n x="800" s="1"/>
        <n x="657"/>
        <n x="658"/>
      </t>
    </mdx>
    <mdx n="0" f="v">
      <t c="6" si="614">
        <n x="610"/>
        <n x="489"/>
        <n x="490"/>
        <n x="800" s="1"/>
        <n x="657"/>
        <n x="658"/>
      </t>
    </mdx>
    <mdx n="0" f="v">
      <t c="6" si="614">
        <n x="610"/>
        <n x="755"/>
        <n x="756"/>
        <n x="800" s="1"/>
        <n x="657"/>
        <n x="658"/>
      </t>
    </mdx>
    <mdx n="0" f="v">
      <t c="6" si="614">
        <n x="610"/>
        <n x="407"/>
        <n x="408"/>
        <n x="800" s="1"/>
        <n x="657"/>
        <n x="658"/>
      </t>
    </mdx>
    <mdx n="0" f="v">
      <t c="6" si="614">
        <n x="610"/>
        <n x="493"/>
        <n x="494"/>
        <n x="800" s="1"/>
        <n x="657"/>
        <n x="658"/>
      </t>
    </mdx>
    <mdx n="0" f="v">
      <t c="6" si="614">
        <n x="610"/>
        <n x="759"/>
        <n x="760"/>
        <n x="800" s="1"/>
        <n x="657"/>
        <n x="658"/>
      </t>
    </mdx>
    <mdx n="0" f="v">
      <t c="6" si="614">
        <n x="610"/>
        <n x="549"/>
        <n x="550"/>
        <n x="800" s="1"/>
        <n x="657"/>
        <n x="658"/>
      </t>
    </mdx>
    <mdx n="0" f="v">
      <t c="6" si="614">
        <n x="610"/>
        <n x="287"/>
        <n x="288"/>
        <n x="800" s="1"/>
        <n x="657"/>
        <n x="658"/>
      </t>
    </mdx>
    <mdx n="0" f="v">
      <t c="6" si="614">
        <n x="610"/>
        <n x="359"/>
        <n x="360"/>
        <n x="800" s="1"/>
        <n x="657"/>
        <n x="658"/>
      </t>
    </mdx>
    <mdx n="0" f="v">
      <t c="6" si="614">
        <n x="610"/>
        <n x="511"/>
        <n x="512"/>
        <n x="800" s="1"/>
        <n x="657"/>
        <n x="658"/>
      </t>
    </mdx>
    <mdx n="0" f="v">
      <t c="6" si="614">
        <n x="610"/>
        <n x="595"/>
        <n x="596"/>
        <n x="800" s="1"/>
        <n x="657"/>
        <n x="658"/>
      </t>
    </mdx>
    <mdx n="0" f="v">
      <t c="6" si="614">
        <n x="610"/>
        <n x="515"/>
        <n x="516"/>
        <n x="800" s="1"/>
        <n x="657"/>
        <n x="658"/>
      </t>
    </mdx>
    <mdx n="0" f="v">
      <t c="6" si="614">
        <n x="610"/>
        <n x="787"/>
        <n x="788"/>
        <n x="800" s="1"/>
        <n x="657"/>
        <n x="658"/>
      </t>
    </mdx>
    <mdx n="0" f="v">
      <t c="6" si="614">
        <n x="610"/>
        <n x="789"/>
        <n x="790"/>
        <n x="800" s="1"/>
        <n x="657"/>
        <n x="658"/>
      </t>
    </mdx>
    <mdx n="0" f="v">
      <t c="6" si="614">
        <n x="610"/>
        <n x="227"/>
        <n x="228"/>
        <n x="800" s="1"/>
        <n x="657"/>
        <n x="658"/>
      </t>
    </mdx>
    <mdx n="0" f="v">
      <t c="6" si="614">
        <n x="610"/>
        <n x="291"/>
        <n x="292"/>
        <n x="800" s="1"/>
        <n x="657"/>
        <n x="658"/>
      </t>
    </mdx>
    <mdx n="0" f="v">
      <t c="6" si="614">
        <n x="610"/>
        <n x="477"/>
        <n x="478"/>
        <n x="800" s="1"/>
        <n x="657"/>
        <n x="658"/>
      </t>
    </mdx>
    <mdx n="0" f="v">
      <t c="6" si="614">
        <n x="610"/>
        <n x="253"/>
        <n x="254"/>
        <n x="800" s="1"/>
        <n x="657"/>
        <n x="658"/>
      </t>
    </mdx>
    <mdx n="0" f="v">
      <t c="6" si="614">
        <n x="610"/>
        <n x="717"/>
        <n x="718"/>
        <n x="800" s="1"/>
        <n x="657"/>
        <n x="658"/>
      </t>
    </mdx>
    <mdx n="0" f="v">
      <t c="6" si="614">
        <n x="610"/>
        <n x="391"/>
        <n x="392"/>
        <n x="800" s="1"/>
        <n x="657"/>
        <n x="658"/>
      </t>
    </mdx>
    <mdx n="0" f="v">
      <t c="6" si="614">
        <n x="610"/>
        <n x="461"/>
        <n x="462"/>
        <n x="800" s="1"/>
        <n x="657"/>
        <n x="658"/>
      </t>
    </mdx>
    <mdx n="0" f="v">
      <t c="6" si="614">
        <n x="610"/>
        <n x="457"/>
        <n x="458"/>
        <n x="800" s="1"/>
        <n x="657"/>
        <n x="658"/>
      </t>
    </mdx>
    <mdx n="0" f="v">
      <t c="6" si="614">
        <n x="610"/>
        <n x="367"/>
        <n x="368"/>
        <n x="800" s="1"/>
        <n x="657"/>
        <n x="658"/>
      </t>
    </mdx>
    <mdx n="0" f="v">
      <t c="6" si="614">
        <n x="610"/>
        <n x="603"/>
        <n x="604"/>
        <n x="800" s="1"/>
        <n x="657"/>
        <n x="658"/>
      </t>
    </mdx>
    <mdx n="0" f="v">
      <t c="6" si="614">
        <n x="610"/>
        <n x="413"/>
        <n x="414"/>
        <n x="800" s="1"/>
        <n x="657"/>
        <n x="658"/>
      </t>
    </mdx>
    <mdx n="0" f="v">
      <t c="6" si="614">
        <n x="610"/>
        <n x="271"/>
        <n x="272"/>
        <n x="800" s="1"/>
        <n x="657"/>
        <n x="658"/>
      </t>
    </mdx>
    <mdx n="0" f="v">
      <t c="6" si="614">
        <n x="610"/>
        <n x="387"/>
        <n x="388"/>
        <n x="800" s="1"/>
        <n x="657"/>
        <n x="658"/>
      </t>
    </mdx>
    <mdx n="0" f="v">
      <t c="6" si="614">
        <n x="610"/>
        <n x="737"/>
        <n x="738"/>
        <n x="800" s="1"/>
        <n x="657"/>
        <n x="658"/>
      </t>
    </mdx>
    <mdx n="0" f="v">
      <t c="6" si="614">
        <n x="610"/>
        <n x="429"/>
        <n x="430"/>
        <n x="800" s="1"/>
        <n x="657"/>
        <n x="658"/>
      </t>
    </mdx>
    <mdx n="0" f="v">
      <t c="6" si="614">
        <n x="610"/>
        <n x="433"/>
        <n x="434"/>
        <n x="800" s="1"/>
        <n x="657"/>
        <n x="658"/>
      </t>
    </mdx>
    <mdx n="0" f="v">
      <t c="6" si="614">
        <n x="610"/>
        <n x="203"/>
        <n x="204"/>
        <n x="800" s="1"/>
        <n x="657"/>
        <n x="658"/>
      </t>
    </mdx>
    <mdx n="0" f="v">
      <t c="6" si="614">
        <n x="610"/>
        <n x="569"/>
        <n x="570"/>
        <n x="800" s="1"/>
        <n x="657"/>
        <n x="658"/>
      </t>
    </mdx>
    <mdx n="0" f="v">
      <t c="6" si="614">
        <n x="610"/>
        <n x="241"/>
        <n x="242"/>
        <n x="800" s="1"/>
        <n x="657"/>
        <n x="658"/>
      </t>
    </mdx>
    <mdx n="0" f="v">
      <t c="6" si="614">
        <n x="610"/>
        <n x="447"/>
        <n x="448"/>
        <n x="800" s="1"/>
        <n x="657"/>
        <n x="658"/>
      </t>
    </mdx>
    <mdx n="0" f="v">
      <t c="6" si="614">
        <n x="610"/>
        <n x="321"/>
        <n x="322"/>
        <n x="800" s="1"/>
        <n x="657"/>
        <n x="658"/>
      </t>
    </mdx>
    <mdx n="0" f="v">
      <t c="6" si="614">
        <n x="610"/>
        <n x="761"/>
        <n x="762"/>
        <n x="800" s="1"/>
        <n x="657"/>
        <n x="658"/>
      </t>
    </mdx>
    <mdx n="0" f="v">
      <t c="6" si="614">
        <n x="610"/>
        <n x="255"/>
        <n x="256"/>
        <n x="800" s="1"/>
        <n x="657"/>
        <n x="658"/>
      </t>
    </mdx>
    <mdx n="0" f="v">
      <t c="6" si="614">
        <n x="610"/>
        <n x="763"/>
        <n x="764"/>
        <n x="800" s="1"/>
        <n x="657"/>
        <n x="658"/>
      </t>
    </mdx>
    <mdx n="0" f="v">
      <t c="6" si="614">
        <n x="610"/>
        <n x="403"/>
        <n x="404"/>
        <n x="800" s="1"/>
        <n x="657"/>
        <n x="658"/>
      </t>
    </mdx>
    <mdx n="0" f="v">
      <t c="6" si="614">
        <n x="610"/>
        <n x="427"/>
        <n x="428"/>
        <n x="800" s="1"/>
        <n x="657"/>
        <n x="658"/>
      </t>
    </mdx>
    <mdx n="0" f="v">
      <t c="6" si="614">
        <n x="610"/>
        <n x="773"/>
        <n x="774"/>
        <n x="800" s="1"/>
        <n x="657"/>
        <n x="658"/>
      </t>
    </mdx>
    <mdx n="0" f="v">
      <t c="6" si="614">
        <n x="610"/>
        <n x="445"/>
        <n x="446"/>
        <n x="800" s="1"/>
        <n x="657"/>
        <n x="658"/>
      </t>
    </mdx>
    <mdx n="0" f="v">
      <t c="6" si="614">
        <n x="610"/>
        <n x="375"/>
        <n x="376"/>
        <n x="800" s="1"/>
        <n x="657"/>
        <n x="658"/>
      </t>
    </mdx>
    <mdx n="0" f="v">
      <t c="6" si="614">
        <n x="610"/>
        <n x="583"/>
        <n x="584"/>
        <n x="800" s="1"/>
        <n x="657"/>
        <n x="658"/>
      </t>
    </mdx>
    <mdx n="0" f="v">
      <t c="6" si="614">
        <n x="610"/>
        <n x="311"/>
        <n x="312"/>
        <n x="800" s="1"/>
        <n x="657"/>
        <n x="658"/>
      </t>
    </mdx>
    <mdx n="0" f="v">
      <t c="6" si="614">
        <n x="610"/>
        <n x="575"/>
        <n x="576"/>
        <n x="800" s="1"/>
        <n x="657"/>
        <n x="658"/>
      </t>
    </mdx>
    <mdx n="0" f="v">
      <t c="6" si="614">
        <n x="610"/>
        <n x="313"/>
        <n x="314"/>
        <n x="800" s="1"/>
        <n x="657"/>
        <n x="658"/>
      </t>
    </mdx>
    <mdx n="0" f="v">
      <t c="6" si="614">
        <n x="610"/>
        <n x="793"/>
        <n x="794"/>
        <n x="800" s="1"/>
        <n x="657"/>
        <n x="658"/>
      </t>
    </mdx>
    <mdx n="0" f="v">
      <t c="6" si="614">
        <n x="610"/>
        <n x="207"/>
        <n x="208"/>
        <n x="800" s="1"/>
        <n x="657"/>
        <n x="658"/>
      </t>
    </mdx>
    <mdx n="0" f="v">
      <t c="6" si="614">
        <n x="610"/>
        <n x="797"/>
        <n x="798"/>
        <n x="800" s="1"/>
        <n x="657"/>
        <n x="658"/>
      </t>
    </mdx>
    <mdx n="0" f="v">
      <t c="6" si="614">
        <n x="610"/>
        <n x="215"/>
        <n x="216"/>
        <n x="800" s="1"/>
        <n x="657"/>
        <n x="658"/>
      </t>
    </mdx>
    <mdx n="0" f="v">
      <t c="6" si="614">
        <n x="610"/>
        <n x="267"/>
        <n x="268"/>
        <n x="800" s="1"/>
        <n x="657"/>
        <n x="658"/>
      </t>
    </mdx>
    <mdx n="0" f="v">
      <t c="6" si="614">
        <n x="610"/>
        <n x="567"/>
        <n x="568"/>
        <n x="800" s="1"/>
        <n x="657"/>
        <n x="658"/>
      </t>
    </mdx>
    <mdx n="0" f="v">
      <t c="6" si="614">
        <n x="610"/>
        <n x="475"/>
        <n x="476"/>
        <n x="800" s="1"/>
        <n x="657"/>
        <n x="658"/>
      </t>
    </mdx>
    <mdx n="0" f="v">
      <t c="6" si="614">
        <n x="610"/>
        <n x="475"/>
        <n x="476"/>
        <n x="800" s="1"/>
        <n x="657"/>
        <n x="658"/>
      </t>
    </mdx>
    <mdx n="0" f="v">
      <t c="6" si="614">
        <n x="610"/>
        <n x="485"/>
        <n x="486"/>
        <n x="800" s="1"/>
        <n x="657"/>
        <n x="658"/>
      </t>
    </mdx>
    <mdx n="0" f="v">
      <t c="6" si="614">
        <n x="610"/>
        <n x="713"/>
        <n x="714"/>
        <n x="800" s="1"/>
        <n x="657"/>
        <n x="658"/>
      </t>
    </mdx>
    <mdx n="0" f="v">
      <t c="6" si="614">
        <n x="610"/>
        <n x="709"/>
        <n x="710"/>
        <n x="800" s="1"/>
        <n x="661"/>
        <n x="662"/>
      </t>
    </mdx>
    <mdx n="0" f="v">
      <t c="6" si="614">
        <n x="610"/>
        <n x="709"/>
        <n x="710"/>
        <n x="800" s="1"/>
        <n x="659"/>
        <n x="660"/>
      </t>
    </mdx>
    <mdx n="0" f="v">
      <t c="6" si="614">
        <n x="610"/>
        <n x="709"/>
        <n x="710"/>
        <n x="800" s="1"/>
        <n x="671"/>
        <n x="672"/>
      </t>
    </mdx>
    <mdx n="0" f="v">
      <t c="6" si="614">
        <n x="610"/>
        <n x="709"/>
        <n x="710"/>
        <n x="800" s="1"/>
        <n x="663"/>
        <n x="664"/>
      </t>
    </mdx>
    <mdx n="0" f="v">
      <t c="6" si="614">
        <n x="610"/>
        <n x="709"/>
        <n x="710"/>
        <n x="800" s="1"/>
        <n x="665"/>
        <n x="666"/>
      </t>
    </mdx>
    <mdx n="0" f="v">
      <t c="6" si="614">
        <n x="610"/>
        <n x="709"/>
        <n x="710"/>
        <n x="800" s="1"/>
        <n x="667"/>
        <n x="668"/>
      </t>
    </mdx>
    <mdx n="0" f="v">
      <t c="6" si="614">
        <n x="610"/>
        <n x="709"/>
        <n x="710"/>
        <n x="800" s="1"/>
        <n x="669"/>
        <n x="670"/>
      </t>
    </mdx>
    <mdx n="0" f="v">
      <t c="6" si="614">
        <n x="610"/>
        <n x="711"/>
        <n x="712"/>
        <n x="800" s="1"/>
        <n x="659"/>
        <n x="660"/>
      </t>
    </mdx>
    <mdx n="0" f="v">
      <t c="6" si="614">
        <n x="610"/>
        <n x="711"/>
        <n x="712"/>
        <n x="800" s="1"/>
        <n x="671"/>
        <n x="672"/>
      </t>
    </mdx>
    <mdx n="0" f="v">
      <t c="6" si="614">
        <n x="610"/>
        <n x="713"/>
        <n x="714"/>
        <n x="800" s="1"/>
        <n x="669"/>
        <n x="670"/>
      </t>
    </mdx>
    <mdx n="0" f="v">
      <t c="6" si="614">
        <n x="610"/>
        <n x="715"/>
        <n x="716"/>
        <n x="800" s="1"/>
        <n x="667"/>
        <n x="668"/>
      </t>
    </mdx>
    <mdx n="0" f="v">
      <t c="6" si="614">
        <n x="610"/>
        <n x="317"/>
        <n x="318"/>
        <n x="800" s="1"/>
        <n x="665"/>
        <n x="666"/>
      </t>
    </mdx>
    <mdx n="0" f="v">
      <t c="6" si="614">
        <n x="610"/>
        <n x="717"/>
        <n x="718"/>
        <n x="800" s="1"/>
        <n x="663"/>
        <n x="664"/>
      </t>
    </mdx>
    <mdx n="0" f="v">
      <t c="6" si="614">
        <n x="610"/>
        <n x="599"/>
        <n x="600"/>
        <n x="800" s="1"/>
        <n x="661"/>
        <n x="662"/>
      </t>
    </mdx>
    <mdx n="0" f="v">
      <t c="6" si="614">
        <n x="610"/>
        <n x="217"/>
        <n x="218"/>
        <n x="800" s="1"/>
        <n x="659"/>
        <n x="660"/>
      </t>
    </mdx>
    <mdx n="0" f="v">
      <t c="6" si="614">
        <n x="610"/>
        <n x="217"/>
        <n x="218"/>
        <n x="800" s="1"/>
        <n x="671"/>
        <n x="672"/>
      </t>
    </mdx>
    <mdx n="0" f="v">
      <t c="6" si="614">
        <n x="610"/>
        <n x="285"/>
        <n x="286"/>
        <n x="800" s="1"/>
        <n x="669"/>
        <n x="670"/>
      </t>
    </mdx>
    <mdx n="0" f="v">
      <t c="6" si="614">
        <n x="610"/>
        <n x="261"/>
        <n x="262"/>
        <n x="800" s="1"/>
        <n x="667"/>
        <n x="668"/>
      </t>
    </mdx>
    <mdx n="0" f="v">
      <t c="6" si="614">
        <n x="610"/>
        <n x="275"/>
        <n x="276"/>
        <n x="800" s="1"/>
        <n x="665"/>
        <n x="666"/>
      </t>
    </mdx>
    <mdx n="0" f="v">
      <t c="6" si="614">
        <n x="610"/>
        <n x="719"/>
        <n x="720"/>
        <n x="800" s="1"/>
        <n x="663"/>
        <n x="664"/>
      </t>
    </mdx>
    <mdx n="0" f="v">
      <t c="6" si="614">
        <n x="610"/>
        <n x="585"/>
        <n x="586"/>
        <n x="800" s="1"/>
        <n x="661"/>
        <n x="662"/>
      </t>
    </mdx>
    <mdx n="0" f="v">
      <t c="6" si="614">
        <n x="610"/>
        <n x="721"/>
        <n x="722"/>
        <n x="800" s="1"/>
        <n x="659"/>
        <n x="660"/>
      </t>
    </mdx>
    <mdx n="0" f="v">
      <t c="6" si="614">
        <n x="610"/>
        <n x="721"/>
        <n x="722"/>
        <n x="800" s="1"/>
        <n x="671"/>
        <n x="672"/>
      </t>
    </mdx>
    <mdx n="0" f="v">
      <t c="6" si="614">
        <n x="610"/>
        <n x="723"/>
        <n x="724"/>
        <n x="800" s="1"/>
        <n x="669"/>
        <n x="670"/>
      </t>
    </mdx>
    <mdx n="0" f="v">
      <t c="6" si="614">
        <n x="610"/>
        <n x="463"/>
        <n x="464"/>
        <n x="800" s="1"/>
        <n x="667"/>
        <n x="668"/>
      </t>
    </mdx>
    <mdx n="0" f="v">
      <t c="6" si="614">
        <n x="610"/>
        <n x="377"/>
        <n x="378"/>
        <n x="800" s="1"/>
        <n x="665"/>
        <n x="666"/>
      </t>
    </mdx>
    <mdx n="0" f="v">
      <t c="6" si="614">
        <n x="610"/>
        <n x="391"/>
        <n x="392"/>
        <n x="800" s="1"/>
        <n x="663"/>
        <n x="664"/>
      </t>
    </mdx>
    <mdx n="0" f="v">
      <t c="6" si="614">
        <n x="610"/>
        <n x="379"/>
        <n x="380"/>
        <n x="800" s="1"/>
        <n x="659"/>
        <n x="660"/>
      </t>
    </mdx>
    <mdx n="0" f="v">
      <t c="6" si="614">
        <n x="610"/>
        <n x="379"/>
        <n x="380"/>
        <n x="800" s="1"/>
        <n x="671"/>
        <n x="672"/>
      </t>
    </mdx>
    <mdx n="0" f="v">
      <t c="6" si="614">
        <n x="610"/>
        <n x="239"/>
        <n x="240"/>
        <n x="800" s="1"/>
        <n x="669"/>
        <n x="670"/>
      </t>
    </mdx>
    <mdx n="0" f="v">
      <t c="6" si="614">
        <n x="610"/>
        <n x="365"/>
        <n x="366"/>
        <n x="800" s="1"/>
        <n x="667"/>
        <n x="668"/>
      </t>
    </mdx>
    <mdx n="0" f="v">
      <t c="6" si="614">
        <n x="610"/>
        <n x="221"/>
        <n x="222"/>
        <n x="800" s="1"/>
        <n x="665"/>
        <n x="666"/>
      </t>
    </mdx>
    <mdx n="0" f="v">
      <t c="6" si="614">
        <n x="610"/>
        <n x="461"/>
        <n x="462"/>
        <n x="800" s="1"/>
        <n x="663"/>
        <n x="664"/>
      </t>
    </mdx>
    <mdx n="0" f="v">
      <t c="6" si="614">
        <n x="610"/>
        <n x="397"/>
        <n x="398"/>
        <n x="800" s="1"/>
        <n x="661"/>
        <n x="662"/>
      </t>
    </mdx>
    <mdx n="0" f="v">
      <t c="6" si="614">
        <n x="610"/>
        <n x="459"/>
        <n x="460"/>
        <n x="800" s="1"/>
        <n x="659"/>
        <n x="660"/>
      </t>
    </mdx>
    <mdx n="0" f="v">
      <t c="6" si="614">
        <n x="610"/>
        <n x="459"/>
        <n x="460"/>
        <n x="800" s="1"/>
        <n x="671"/>
        <n x="672"/>
      </t>
    </mdx>
    <mdx n="0" f="v">
      <t c="6" si="614">
        <n x="610"/>
        <n x="547"/>
        <n x="548"/>
        <n x="800" s="1"/>
        <n x="669"/>
        <n x="670"/>
      </t>
    </mdx>
    <mdx n="0" f="v">
      <t c="6" si="614">
        <n x="610"/>
        <n x="597"/>
        <n x="598"/>
        <n x="800" s="1"/>
        <n x="667"/>
        <n x="668"/>
      </t>
    </mdx>
    <mdx n="0" f="v">
      <t c="6" si="614">
        <n x="610"/>
        <n x="725"/>
        <n x="726"/>
        <n x="800" s="1"/>
        <n x="665"/>
        <n x="666"/>
      </t>
    </mdx>
    <mdx n="0" f="v">
      <t c="6" si="614">
        <n x="610"/>
        <n x="457"/>
        <n x="458"/>
        <n x="800" s="1"/>
        <n x="663"/>
        <n x="664"/>
      </t>
    </mdx>
    <mdx n="0" f="v">
      <t c="6" si="614">
        <n x="610"/>
        <n x="231"/>
        <n x="232"/>
        <n x="800" s="1"/>
        <n x="661"/>
        <n x="662"/>
      </t>
    </mdx>
    <mdx n="0" f="v">
      <t c="6" si="614">
        <n x="610"/>
        <n x="601"/>
        <n x="602"/>
        <n x="800" s="1"/>
        <n x="659"/>
        <n x="660"/>
      </t>
    </mdx>
    <mdx n="0" f="v">
      <t c="6" si="614">
        <n x="610"/>
        <n x="601"/>
        <n x="602"/>
        <n x="800" s="1"/>
        <n x="671"/>
        <n x="672"/>
      </t>
    </mdx>
    <mdx n="0" f="v">
      <t c="6" si="614">
        <n x="610"/>
        <n x="557"/>
        <n x="558"/>
        <n x="800" s="1"/>
        <n x="669"/>
        <n x="670"/>
      </t>
    </mdx>
    <mdx n="0" f="v">
      <t c="6" si="614">
        <n x="610"/>
        <n x="727"/>
        <n x="728"/>
        <n x="800" s="1"/>
        <n x="667"/>
        <n x="668"/>
      </t>
    </mdx>
    <mdx n="0" f="v">
      <t c="6" si="614">
        <n x="610"/>
        <n x="729"/>
        <n x="730"/>
        <n x="800" s="1"/>
        <n x="665"/>
        <n x="666"/>
      </t>
    </mdx>
    <mdx n="0" f="v">
      <t c="6" si="614">
        <n x="610"/>
        <n x="367"/>
        <n x="368"/>
        <n x="800" s="1"/>
        <n x="663"/>
        <n x="664"/>
      </t>
    </mdx>
    <mdx n="0" f="v">
      <t c="6" si="614">
        <n x="610"/>
        <n x="237"/>
        <n x="238"/>
        <n x="800" s="1"/>
        <n x="659"/>
        <n x="660"/>
      </t>
    </mdx>
    <mdx n="0" f="v">
      <t c="6" si="614">
        <n x="610"/>
        <n x="237"/>
        <n x="238"/>
        <n x="800" s="1"/>
        <n x="671"/>
        <n x="672"/>
      </t>
    </mdx>
    <mdx n="0" f="v">
      <t c="6" si="614">
        <n x="610"/>
        <n x="495"/>
        <n x="496"/>
        <n x="800" s="1"/>
        <n x="669"/>
        <n x="670"/>
      </t>
    </mdx>
    <mdx n="0" f="v">
      <t c="6" si="614">
        <n x="610"/>
        <n x="731"/>
        <n x="732"/>
        <n x="800" s="1"/>
        <n x="667"/>
        <n x="668"/>
      </t>
    </mdx>
    <mdx n="0" f="v">
      <t c="6" si="614">
        <n x="610"/>
        <n x="541"/>
        <n x="542"/>
        <n x="800" s="1"/>
        <n x="665"/>
        <n x="666"/>
      </t>
    </mdx>
    <mdx n="0" f="v">
      <t c="6" si="614">
        <n x="610"/>
        <n x="603"/>
        <n x="604"/>
        <n x="800" s="1"/>
        <n x="663"/>
        <n x="664"/>
      </t>
    </mdx>
    <mdx n="0" f="v">
      <t c="6" si="614">
        <n x="610"/>
        <n x="607"/>
        <n x="608"/>
        <n x="800" s="1"/>
        <n x="661"/>
        <n x="662"/>
      </t>
    </mdx>
    <mdx n="0" f="v">
      <t c="6" si="614">
        <n x="610"/>
        <n x="453"/>
        <n x="454"/>
        <n x="800" s="1"/>
        <n x="659"/>
        <n x="660"/>
      </t>
    </mdx>
    <mdx n="0" f="v">
      <t c="6" si="614">
        <n x="610"/>
        <n x="453"/>
        <n x="454"/>
        <n x="800" s="1"/>
        <n x="671"/>
        <n x="672"/>
      </t>
    </mdx>
    <mdx n="0" f="v">
      <t c="6" si="614">
        <n x="610"/>
        <n x="363"/>
        <n x="364"/>
        <n x="800" s="1"/>
        <n x="669"/>
        <n x="670"/>
      </t>
    </mdx>
    <mdx n="0" f="v">
      <t c="6" si="614">
        <n x="610"/>
        <n x="265"/>
        <n x="266"/>
        <n x="800" s="1"/>
        <n x="667"/>
        <n x="668"/>
      </t>
    </mdx>
    <mdx n="0" f="v">
      <t c="6" si="614">
        <n x="610"/>
        <n x="595"/>
        <n x="596"/>
        <n x="800" s="1"/>
        <n x="665"/>
        <n x="666"/>
      </t>
    </mdx>
    <mdx n="0" f="v">
      <t c="6" si="614">
        <n x="610"/>
        <n x="413"/>
        <n x="414"/>
        <n x="800" s="1"/>
        <n x="663"/>
        <n x="664"/>
      </t>
    </mdx>
    <mdx n="0" f="v">
      <t c="6" si="614">
        <n x="610"/>
        <n x="235"/>
        <n x="236"/>
        <n x="800" s="1"/>
        <n x="661"/>
        <n x="662"/>
      </t>
    </mdx>
    <mdx n="0" f="v">
      <t c="6" si="614">
        <n x="610"/>
        <n x="733"/>
        <n x="734"/>
        <n x="800" s="1"/>
        <n x="659"/>
        <n x="660"/>
      </t>
    </mdx>
    <mdx n="0" f="v">
      <t c="6" si="614">
        <n x="610"/>
        <n x="733"/>
        <n x="734"/>
        <n x="800" s="1"/>
        <n x="671"/>
        <n x="672"/>
      </t>
    </mdx>
    <mdx n="0" f="v">
      <t c="6" si="614">
        <n x="610"/>
        <n x="281"/>
        <n x="282"/>
        <n x="800" s="1"/>
        <n x="669"/>
        <n x="670"/>
      </t>
    </mdx>
    <mdx n="0" f="v">
      <t c="6" si="614">
        <n x="610"/>
        <n x="243"/>
        <n x="244"/>
        <n x="800" s="1"/>
        <n x="667"/>
        <n x="668"/>
      </t>
    </mdx>
    <mdx n="0" f="v">
      <t c="6" si="614">
        <n x="610"/>
        <n x="389"/>
        <n x="390"/>
        <n x="800" s="1"/>
        <n x="665"/>
        <n x="666"/>
      </t>
    </mdx>
    <mdx n="0" f="v">
      <t c="6" si="614">
        <n x="610"/>
        <n x="271"/>
        <n x="272"/>
        <n x="800" s="1"/>
        <n x="663"/>
        <n x="664"/>
      </t>
    </mdx>
    <mdx n="0" f="v">
      <t c="6" si="614">
        <n x="610"/>
        <n x="283"/>
        <n x="284"/>
        <n x="800" s="1"/>
        <n x="659"/>
        <n x="660"/>
      </t>
    </mdx>
    <mdx n="0" f="v">
      <t c="6" si="614">
        <n x="610"/>
        <n x="283"/>
        <n x="284"/>
        <n x="800" s="1"/>
        <n x="671"/>
        <n x="672"/>
      </t>
    </mdx>
    <mdx n="0" f="v">
      <t c="6" si="614">
        <n x="610"/>
        <n x="277"/>
        <n x="278"/>
        <n x="800" s="1"/>
        <n x="669"/>
        <n x="670"/>
      </t>
    </mdx>
    <mdx n="0" f="v">
      <t c="6" si="614">
        <n x="610"/>
        <n x="443"/>
        <n x="444"/>
        <n x="800" s="1"/>
        <n x="667"/>
        <n x="668"/>
      </t>
    </mdx>
    <mdx n="0" f="v">
      <t c="6" si="614">
        <n x="610"/>
        <n x="525"/>
        <n x="526"/>
        <n x="800" s="1"/>
        <n x="665"/>
        <n x="666"/>
      </t>
    </mdx>
    <mdx n="0" f="v">
      <t c="6" si="614">
        <n x="610"/>
        <n x="387"/>
        <n x="388"/>
        <n x="800" s="1"/>
        <n x="663"/>
        <n x="664"/>
      </t>
    </mdx>
    <mdx n="0" f="v">
      <t c="6" si="614">
        <n x="610"/>
        <n x="319"/>
        <n x="320"/>
        <n x="800" s="1"/>
        <n x="659"/>
        <n x="660"/>
      </t>
    </mdx>
    <mdx n="0" f="v">
      <t c="6" si="614">
        <n x="610"/>
        <n x="319"/>
        <n x="320"/>
        <n x="800" s="1"/>
        <n x="671"/>
        <n x="672"/>
      </t>
    </mdx>
    <mdx n="0" f="v">
      <t c="6" si="614">
        <n x="610"/>
        <n x="401"/>
        <n x="402"/>
        <n x="800" s="1"/>
        <n x="669"/>
        <n x="670"/>
      </t>
    </mdx>
    <mdx n="0" f="v">
      <t c="6" si="614">
        <n x="610"/>
        <n x="209"/>
        <n x="210"/>
        <n x="800" s="1"/>
        <n x="667"/>
        <n x="668"/>
      </t>
    </mdx>
    <mdx n="0" f="v">
      <t c="6" si="614">
        <n x="610"/>
        <n x="591"/>
        <n x="592"/>
        <n x="800" s="1"/>
        <n x="665"/>
        <n x="666"/>
      </t>
    </mdx>
    <mdx n="0" f="v">
      <t c="6" si="614">
        <n x="610"/>
        <n x="737"/>
        <n x="738"/>
        <n x="800" s="1"/>
        <n x="663"/>
        <n x="664"/>
      </t>
    </mdx>
    <mdx n="0" f="v">
      <t c="6" si="614">
        <n x="610"/>
        <n x="739"/>
        <n x="740"/>
        <n x="800" s="1"/>
        <n x="661"/>
        <n x="662"/>
      </t>
    </mdx>
    <mdx n="0" f="v">
      <t c="6" si="614">
        <n x="610"/>
        <n x="741"/>
        <n x="742"/>
        <n x="800" s="1"/>
        <n x="659"/>
        <n x="660"/>
      </t>
    </mdx>
    <mdx n="0" f="v">
      <t c="6" si="614">
        <n x="610"/>
        <n x="741"/>
        <n x="742"/>
        <n x="800" s="1"/>
        <n x="671"/>
        <n x="672"/>
      </t>
    </mdx>
    <mdx n="0" f="v">
      <t c="6" si="614">
        <n x="610"/>
        <n x="435"/>
        <n x="436"/>
        <n x="800" s="1"/>
        <n x="669"/>
        <n x="670"/>
      </t>
    </mdx>
    <mdx n="0" f="v">
      <t c="6" si="614">
        <n x="610"/>
        <n x="499"/>
        <n x="500"/>
        <n x="800" s="1"/>
        <n x="667"/>
        <n x="668"/>
      </t>
    </mdx>
    <mdx n="0" f="v">
      <t c="6" si="614">
        <n x="610"/>
        <n x="455"/>
        <n x="456"/>
        <n x="800" s="1"/>
        <n x="665"/>
        <n x="666"/>
      </t>
    </mdx>
    <mdx n="0" f="v">
      <t c="6" si="614">
        <n x="610"/>
        <n x="429"/>
        <n x="430"/>
        <n x="800" s="1"/>
        <n x="663"/>
        <n x="664"/>
      </t>
    </mdx>
    <mdx n="0" f="v">
      <t c="6" si="614">
        <n x="610"/>
        <n x="393"/>
        <n x="394"/>
        <n x="800" s="1"/>
        <n x="659"/>
        <n x="660"/>
      </t>
    </mdx>
    <mdx n="0" f="v">
      <t c="6" si="614">
        <n x="610"/>
        <n x="393"/>
        <n x="394"/>
        <n x="800" s="1"/>
        <n x="671"/>
        <n x="672"/>
      </t>
    </mdx>
    <mdx n="0" f="v">
      <t c="6" si="614">
        <n x="610"/>
        <n x="743"/>
        <n x="744"/>
        <n x="800" s="1"/>
        <n x="669"/>
        <n x="670"/>
      </t>
    </mdx>
    <mdx n="0" f="v">
      <t c="6" si="614">
        <n x="610"/>
        <n x="561"/>
        <n x="562"/>
        <n x="800" s="1"/>
        <n x="667"/>
        <n x="668"/>
      </t>
    </mdx>
    <mdx n="0" f="v">
      <t c="6" si="614">
        <n x="610"/>
        <n x="491"/>
        <n x="492"/>
        <n x="800" s="1"/>
        <n x="665"/>
        <n x="666"/>
      </t>
    </mdx>
    <mdx n="0" f="v">
      <t c="6" si="614">
        <n x="610"/>
        <n x="433"/>
        <n x="434"/>
        <n x="800" s="1"/>
        <n x="663"/>
        <n x="664"/>
      </t>
    </mdx>
    <mdx n="0" f="v">
      <t c="6" si="614">
        <n x="610"/>
        <n x="589"/>
        <n x="590"/>
        <n x="800" s="1"/>
        <n x="661"/>
        <n x="662"/>
      </t>
    </mdx>
    <mdx n="0" f="v">
      <t c="6" si="614">
        <n x="610"/>
        <n x="605"/>
        <n x="606"/>
        <n x="800" s="1"/>
        <n x="659"/>
        <n x="660"/>
      </t>
    </mdx>
    <mdx n="0" f="v">
      <t c="6" si="614">
        <n x="610"/>
        <n x="605"/>
        <n x="606"/>
        <n x="800" s="1"/>
        <n x="671"/>
        <n x="672"/>
      </t>
    </mdx>
    <mdx n="0" f="v">
      <t c="6" si="614">
        <n x="610"/>
        <n x="437"/>
        <n x="438"/>
        <n x="800" s="1"/>
        <n x="669"/>
        <n x="670"/>
      </t>
    </mdx>
    <mdx n="0" f="v">
      <t c="6" si="614">
        <n x="610"/>
        <n x="513"/>
        <n x="514"/>
        <n x="800" s="1"/>
        <n x="665"/>
        <n x="666"/>
      </t>
    </mdx>
    <mdx n="0" f="v">
      <t c="6" si="614">
        <n x="610"/>
        <n x="745"/>
        <n x="746"/>
        <n x="800" s="1"/>
        <n x="661"/>
        <n x="662"/>
      </t>
    </mdx>
    <mdx n="0" f="v">
      <t c="6" si="614">
        <n x="610"/>
        <n x="295"/>
        <n x="296"/>
        <n x="800" s="1"/>
        <n x="659"/>
        <n x="660"/>
      </t>
    </mdx>
    <mdx n="0" f="v">
      <t c="6" si="614">
        <n x="610"/>
        <n x="295"/>
        <n x="296"/>
        <n x="800" s="1"/>
        <n x="671"/>
        <n x="672"/>
      </t>
    </mdx>
    <mdx n="0" f="v">
      <t c="6" si="614">
        <n x="610"/>
        <n x="747"/>
        <n x="748"/>
        <n x="800" s="1"/>
        <n x="669"/>
        <n x="670"/>
      </t>
    </mdx>
    <mdx n="0" f="v">
      <t c="6" si="614">
        <n x="610"/>
        <n x="441"/>
        <n x="442"/>
        <n x="800" s="1"/>
        <n x="667"/>
        <n x="668"/>
      </t>
    </mdx>
    <mdx n="0" f="v">
      <t c="6" si="614">
        <n x="610"/>
        <n x="345"/>
        <n x="346"/>
        <n x="800" s="1"/>
        <n x="665"/>
        <n x="666"/>
      </t>
    </mdx>
    <mdx n="0" f="v">
      <t c="6" si="614">
        <n x="610"/>
        <n x="569"/>
        <n x="570"/>
        <n x="800" s="1"/>
        <n x="663"/>
        <n x="664"/>
      </t>
    </mdx>
    <mdx n="0" f="v">
      <t c="6" si="614">
        <n x="610"/>
        <n x="259"/>
        <n x="260"/>
        <n x="800" s="1"/>
        <n x="661"/>
        <n x="662"/>
      </t>
    </mdx>
    <mdx n="0" f="v">
      <t c="6" si="614">
        <n x="610"/>
        <n x="299"/>
        <n x="300"/>
        <n x="800" s="1"/>
        <n x="659"/>
        <n x="660"/>
      </t>
    </mdx>
    <mdx n="0" f="v">
      <t c="6" si="614">
        <n x="610"/>
        <n x="299"/>
        <n x="300"/>
        <n x="800" s="1"/>
        <n x="671"/>
        <n x="672"/>
      </t>
    </mdx>
    <mdx n="0" f="v">
      <t c="6" si="614">
        <n x="610"/>
        <n x="749"/>
        <n x="750"/>
        <n x="800" s="1"/>
        <n x="669"/>
        <n x="670"/>
      </t>
    </mdx>
    <mdx n="0" f="v">
      <t c="6" si="614">
        <n x="610"/>
        <n x="419"/>
        <n x="420"/>
        <n x="800" s="1"/>
        <n x="667"/>
        <n x="668"/>
      </t>
    </mdx>
    <mdx n="0" f="v">
      <t c="6" si="614">
        <n x="610"/>
        <n x="489"/>
        <n x="490"/>
        <n x="800" s="1"/>
        <n x="665"/>
        <n x="666"/>
      </t>
    </mdx>
    <mdx n="0" f="v">
      <t c="6" si="614">
        <n x="610"/>
        <n x="241"/>
        <n x="242"/>
        <n x="800" s="1"/>
        <n x="663"/>
        <n x="664"/>
      </t>
    </mdx>
    <mdx n="0" f="v">
      <t c="6" si="614">
        <n x="610"/>
        <n x="593"/>
        <n x="594"/>
        <n x="800" s="1"/>
        <n x="661"/>
        <n x="662"/>
      </t>
    </mdx>
    <mdx n="0" f="v">
      <t c="6" si="614">
        <n x="610"/>
        <n x="229"/>
        <n x="230"/>
        <n x="800" s="1"/>
        <n x="659"/>
        <n x="660"/>
      </t>
    </mdx>
    <mdx n="0" f="v">
      <t c="6" si="614">
        <n x="610"/>
        <n x="229"/>
        <n x="230"/>
        <n x="800" s="1"/>
        <n x="671"/>
        <n x="672"/>
      </t>
    </mdx>
    <mdx n="0" f="v">
      <t c="6" si="614">
        <n x="610"/>
        <n x="751"/>
        <n x="752"/>
        <n x="800" s="1"/>
        <n x="669"/>
        <n x="670"/>
      </t>
    </mdx>
    <mdx n="0" f="v">
      <t c="6" si="614">
        <n x="610"/>
        <n x="753"/>
        <n x="754"/>
        <n x="800" s="1"/>
        <n x="667"/>
        <n x="668"/>
      </t>
    </mdx>
    <mdx n="0" f="v">
      <t c="6" si="614">
        <n x="610"/>
        <n x="755"/>
        <n x="756"/>
        <n x="800" s="1"/>
        <n x="665"/>
        <n x="666"/>
      </t>
    </mdx>
    <mdx n="0" f="v">
      <t c="6" si="614">
        <n x="610"/>
        <n x="447"/>
        <n x="448"/>
        <n x="800" s="1"/>
        <n x="663"/>
        <n x="664"/>
      </t>
    </mdx>
    <mdx n="0" f="v">
      <t c="6" si="614">
        <n x="610"/>
        <n x="223"/>
        <n x="224"/>
        <n x="800" s="1"/>
        <n x="661"/>
        <n x="662"/>
      </t>
    </mdx>
    <mdx n="0" f="v">
      <t c="6" si="614">
        <n x="610"/>
        <n x="339"/>
        <n x="340"/>
        <n x="800" s="1"/>
        <n x="659"/>
        <n x="660"/>
      </t>
    </mdx>
    <mdx n="0" f="v">
      <t c="6" si="614">
        <n x="610"/>
        <n x="339"/>
        <n x="340"/>
        <n x="800" s="1"/>
        <n x="671"/>
        <n x="672"/>
      </t>
    </mdx>
    <mdx n="0" f="v">
      <t c="6" si="614">
        <n x="610"/>
        <n x="471"/>
        <n x="472"/>
        <n x="800" s="1"/>
        <n x="669"/>
        <n x="670"/>
      </t>
    </mdx>
    <mdx n="0" f="v">
      <t c="6" si="614">
        <n x="610"/>
        <n x="407"/>
        <n x="408"/>
        <n x="800" s="1"/>
        <n x="665"/>
        <n x="666"/>
      </t>
    </mdx>
    <mdx n="0" f="v">
      <t c="6" si="614">
        <n x="610"/>
        <n x="321"/>
        <n x="322"/>
        <n x="800" s="1"/>
        <n x="663"/>
        <n x="664"/>
      </t>
    </mdx>
    <mdx n="0" f="v">
      <t c="6" si="614">
        <n x="610"/>
        <n x="577"/>
        <n x="578"/>
        <n x="800" s="1"/>
        <n x="661"/>
        <n x="662"/>
      </t>
    </mdx>
    <mdx n="0" f="v">
      <t c="6" si="614">
        <n x="610"/>
        <n x="399"/>
        <n x="400"/>
        <n x="800" s="1"/>
        <n x="659"/>
        <n x="660"/>
      </t>
    </mdx>
    <mdx n="0" f="v">
      <t c="6" si="614">
        <n x="610"/>
        <n x="399"/>
        <n x="400"/>
        <n x="800" s="1"/>
        <n x="671"/>
        <n x="672"/>
      </t>
    </mdx>
    <mdx n="0" f="v">
      <t c="6" si="614">
        <n x="610"/>
        <n x="233"/>
        <n x="234"/>
        <n x="800" s="1"/>
        <n x="669"/>
        <n x="670"/>
      </t>
    </mdx>
    <mdx n="0" f="v">
      <t c="6" si="614">
        <n x="610"/>
        <n x="289"/>
        <n x="290"/>
        <n x="800" s="1"/>
        <n x="667"/>
        <n x="668"/>
      </t>
    </mdx>
    <mdx n="0" f="v">
      <t c="6" si="614">
        <n x="610"/>
        <n x="493"/>
        <n x="494"/>
        <n x="800" s="1"/>
        <n x="665"/>
        <n x="666"/>
      </t>
    </mdx>
    <mdx n="0" f="v">
      <t c="6" si="614">
        <n x="610"/>
        <n x="207"/>
        <n x="208"/>
        <n x="800" s="1"/>
        <n x="663"/>
        <n x="664"/>
      </t>
    </mdx>
    <mdx n="0" f="v">
      <t c="6" si="614">
        <n x="610"/>
        <n x="361"/>
        <n x="362"/>
        <n x="800" s="1"/>
        <n x="661"/>
        <n x="662"/>
      </t>
    </mdx>
    <mdx n="0" f="v">
      <t c="6" si="614">
        <n x="610"/>
        <n x="551"/>
        <n x="552"/>
        <n x="800" s="1"/>
        <n x="659"/>
        <n x="660"/>
      </t>
    </mdx>
    <mdx n="0" f="v">
      <t c="6" si="614">
        <n x="610"/>
        <n x="551"/>
        <n x="552"/>
        <n x="800" s="1"/>
        <n x="671"/>
        <n x="672"/>
      </t>
    </mdx>
    <mdx n="0" f="v">
      <t c="6" si="614">
        <n x="610"/>
        <n x="273"/>
        <n x="274"/>
        <n x="800" s="1"/>
        <n x="669"/>
        <n x="670"/>
      </t>
    </mdx>
    <mdx n="0" f="v">
      <t c="6" si="614">
        <n x="610"/>
        <n x="757"/>
        <n x="758"/>
        <n x="800" s="1"/>
        <n x="667"/>
        <n x="668"/>
      </t>
    </mdx>
    <mdx n="0" f="v">
      <t c="6" si="614">
        <n x="610"/>
        <n x="759"/>
        <n x="760"/>
        <n x="800" s="1"/>
        <n x="665"/>
        <n x="666"/>
      </t>
    </mdx>
    <mdx n="0" f="v">
      <t c="6" si="614">
        <n x="610"/>
        <n x="761"/>
        <n x="762"/>
        <n x="800" s="1"/>
        <n x="663"/>
        <n x="664"/>
      </t>
    </mdx>
    <mdx n="0" f="v">
      <t c="6" si="614">
        <n x="610"/>
        <n x="409"/>
        <n x="410"/>
        <n x="800" s="1"/>
        <n x="659"/>
        <n x="660"/>
      </t>
    </mdx>
    <mdx n="0" f="v">
      <t c="6" si="614">
        <n x="610"/>
        <n x="409"/>
        <n x="410"/>
        <n x="800" s="1"/>
        <n x="671"/>
        <n x="672"/>
      </t>
    </mdx>
    <mdx n="0" f="v">
      <t c="6" si="614">
        <n x="610"/>
        <n x="553"/>
        <n x="554"/>
        <n x="800" s="1"/>
        <n x="669"/>
        <n x="670"/>
      </t>
    </mdx>
    <mdx n="0" f="v">
      <t c="6" si="614">
        <n x="610"/>
        <n x="245"/>
        <n x="246"/>
        <n x="800" s="1"/>
        <n x="667"/>
        <n x="668"/>
      </t>
    </mdx>
    <mdx n="0" f="v">
      <t c="6" si="614">
        <n x="610"/>
        <n x="549"/>
        <n x="550"/>
        <n x="800" s="1"/>
        <n x="665"/>
        <n x="666"/>
      </t>
    </mdx>
    <mdx n="0" f="v">
      <t c="6" si="614">
        <n x="610"/>
        <n x="255"/>
        <n x="256"/>
        <n x="800" s="1"/>
        <n x="663"/>
        <n x="664"/>
      </t>
    </mdx>
    <mdx n="0" f="v">
      <t c="6" si="614">
        <n x="610"/>
        <n x="507"/>
        <n x="508"/>
        <n x="800" s="1"/>
        <n x="661"/>
        <n x="662"/>
      </t>
    </mdx>
    <mdx n="0" f="v">
      <t c="6" si="614">
        <n x="610"/>
        <n x="469"/>
        <n x="470"/>
        <n x="800" s="1"/>
        <n x="659"/>
        <n x="660"/>
      </t>
    </mdx>
    <mdx n="0" f="v">
      <t c="6" si="614">
        <n x="610"/>
        <n x="469"/>
        <n x="470"/>
        <n x="800" s="1"/>
        <n x="671"/>
        <n x="672"/>
      </t>
    </mdx>
    <mdx n="0" f="v">
      <t c="6" si="614">
        <n x="610"/>
        <n x="247"/>
        <n x="248"/>
        <n x="800" s="1"/>
        <n x="669"/>
        <n x="670"/>
      </t>
    </mdx>
    <mdx n="0" f="v">
      <t c="6" si="614">
        <n x="610"/>
        <n x="467"/>
        <n x="468"/>
        <n x="800" s="1"/>
        <n x="667"/>
        <n x="668"/>
      </t>
    </mdx>
    <mdx n="0" f="v">
      <t c="6" si="614">
        <n x="610"/>
        <n x="287"/>
        <n x="288"/>
        <n x="800" s="1"/>
        <n x="665"/>
        <n x="666"/>
      </t>
    </mdx>
    <mdx n="0" f="v">
      <t c="6" si="614">
        <n x="610"/>
        <n x="763"/>
        <n x="764"/>
        <n x="800" s="1"/>
        <n x="663"/>
        <n x="664"/>
      </t>
    </mdx>
    <mdx n="0" f="v">
      <t c="6" si="614">
        <n x="610"/>
        <n x="349"/>
        <n x="350"/>
        <n x="800" s="1"/>
        <n x="661"/>
        <n x="662"/>
      </t>
    </mdx>
    <mdx n="0" f="v">
      <t c="6" si="614">
        <n x="610"/>
        <n x="539"/>
        <n x="540"/>
        <n x="800" s="1"/>
        <n x="659"/>
        <n x="660"/>
      </t>
    </mdx>
    <mdx n="0" f="v">
      <t c="6" si="614">
        <n x="610"/>
        <n x="539"/>
        <n x="540"/>
        <n x="800" s="1"/>
        <n x="671"/>
        <n x="672"/>
      </t>
    </mdx>
    <mdx n="0" f="v">
      <t c="6" si="614">
        <n x="610"/>
        <n x="765"/>
        <n x="766"/>
        <n x="800" s="1"/>
        <n x="669"/>
        <n x="670"/>
      </t>
    </mdx>
    <mdx n="0" f="v">
      <t c="6" si="614">
        <n x="610"/>
        <n x="509"/>
        <n x="510"/>
        <n x="800" s="1"/>
        <n x="667"/>
        <n x="668"/>
      </t>
    </mdx>
    <mdx n="0" f="v">
      <t c="6" si="614">
        <n x="610"/>
        <n x="359"/>
        <n x="360"/>
        <n x="800" s="1"/>
        <n x="665"/>
        <n x="666"/>
      </t>
    </mdx>
    <mdx n="0" f="v">
      <t c="6" si="614">
        <n x="610"/>
        <n x="403"/>
        <n x="404"/>
        <n x="800" s="1"/>
        <n x="663"/>
        <n x="664"/>
      </t>
    </mdx>
    <mdx n="0" f="v">
      <t c="6" si="614">
        <n x="610"/>
        <n x="767"/>
        <n x="768"/>
        <n x="800" s="1"/>
        <n x="659"/>
        <n x="660"/>
      </t>
    </mdx>
    <mdx n="0" f="v">
      <t c="6" si="614">
        <n x="610"/>
        <n x="767"/>
        <n x="768"/>
        <n x="800" s="1"/>
        <n x="671"/>
        <n x="672"/>
      </t>
    </mdx>
    <mdx n="0" f="v">
      <t c="6" si="614">
        <n x="610"/>
        <n x="315"/>
        <n x="316"/>
        <n x="800" s="1"/>
        <n x="669"/>
        <n x="670"/>
      </t>
    </mdx>
    <mdx n="0" f="v">
      <t c="6" si="614">
        <n x="610"/>
        <n x="769"/>
        <n x="770"/>
        <n x="800" s="1"/>
        <n x="667"/>
        <n x="668"/>
      </t>
    </mdx>
    <mdx n="0" f="v">
      <t c="6" si="614">
        <n x="610"/>
        <n x="511"/>
        <n x="512"/>
        <n x="800" s="1"/>
        <n x="665"/>
        <n x="666"/>
      </t>
    </mdx>
    <mdx n="0" f="v">
      <t c="6" si="614">
        <n x="610"/>
        <n x="427"/>
        <n x="428"/>
        <n x="800" s="1"/>
        <n x="663"/>
        <n x="664"/>
      </t>
    </mdx>
    <mdx n="0" f="v">
      <t c="6" si="614">
        <n x="610"/>
        <n x="485"/>
        <n x="486"/>
        <n x="800" s="1"/>
        <n x="659"/>
        <n x="660"/>
      </t>
    </mdx>
    <mdx n="0" f="v">
      <t c="6" si="614">
        <n x="610"/>
        <n x="485"/>
        <n x="486"/>
        <n x="800" s="1"/>
        <n x="671"/>
        <n x="672"/>
      </t>
    </mdx>
    <mdx n="0" f="v">
      <t c="6" si="614">
        <n x="610"/>
        <n x="293"/>
        <n x="294"/>
        <n x="800" s="1"/>
        <n x="669"/>
        <n x="670"/>
      </t>
    </mdx>
    <mdx n="0" f="v">
      <t c="6" si="614">
        <n x="610"/>
        <n x="529"/>
        <n x="530"/>
        <n x="800" s="1"/>
        <n x="667"/>
        <n x="668"/>
      </t>
    </mdx>
    <mdx n="0" f="v">
      <t c="6" si="614">
        <n x="610"/>
        <n x="249"/>
        <n x="250"/>
        <n x="800" s="1"/>
        <n x="665"/>
        <n x="666"/>
      </t>
    </mdx>
    <mdx n="0" f="v">
      <t c="6" si="614">
        <n x="610"/>
        <n x="773"/>
        <n x="774"/>
        <n x="800" s="1"/>
        <n x="663"/>
        <n x="664"/>
      </t>
    </mdx>
    <mdx n="0" f="v">
      <t c="6" si="614">
        <n x="610"/>
        <n x="775"/>
        <n x="776"/>
        <n x="800" s="1"/>
        <n x="661"/>
        <n x="662"/>
      </t>
    </mdx>
    <mdx n="0" f="v">
      <t c="6" si="614">
        <n x="610"/>
        <n x="777"/>
        <n x="778"/>
        <n x="800" s="1"/>
        <n x="659"/>
        <n x="660"/>
      </t>
    </mdx>
    <mdx n="0" f="v">
      <t c="6" si="614">
        <n x="610"/>
        <n x="777"/>
        <n x="778"/>
        <n x="800" s="1"/>
        <n x="671"/>
        <n x="672"/>
      </t>
    </mdx>
    <mdx n="0" f="v">
      <t c="6" si="614">
        <n x="610"/>
        <n x="357"/>
        <n x="358"/>
        <n x="800" s="1"/>
        <n x="669"/>
        <n x="670"/>
      </t>
    </mdx>
    <mdx n="0" f="v">
      <t c="6" si="614">
        <n x="610"/>
        <n x="381"/>
        <n x="382"/>
        <n x="800" s="1"/>
        <n x="667"/>
        <n x="668"/>
      </t>
    </mdx>
    <mdx n="0" f="v">
      <t c="6" si="614">
        <n x="610"/>
        <n x="515"/>
        <n x="516"/>
        <n x="800" s="1"/>
        <n x="665"/>
        <n x="666"/>
      </t>
    </mdx>
    <mdx n="0" f="v">
      <t c="6" si="614">
        <n x="610"/>
        <n x="445"/>
        <n x="446"/>
        <n x="800" s="1"/>
        <n x="663"/>
        <n x="664"/>
      </t>
    </mdx>
    <mdx n="0" f="v">
      <t c="6" si="614">
        <n x="610"/>
        <n x="779"/>
        <n x="780"/>
        <n x="800" s="1"/>
        <n x="661"/>
        <n x="662"/>
      </t>
    </mdx>
    <mdx n="0" f="v">
      <t c="6" si="614">
        <n x="610"/>
        <n x="269"/>
        <n x="270"/>
        <n x="800" s="1"/>
        <n x="659"/>
        <n x="660"/>
      </t>
    </mdx>
    <mdx n="0" f="v">
      <t c="6" si="614">
        <n x="610"/>
        <n x="269"/>
        <n x="270"/>
        <n x="800" s="1"/>
        <n x="671"/>
        <n x="672"/>
      </t>
    </mdx>
    <mdx n="0" f="v">
      <t c="6" si="614">
        <n x="610"/>
        <n x="533"/>
        <n x="534"/>
        <n x="800" s="1"/>
        <n x="669"/>
        <n x="670"/>
      </t>
    </mdx>
    <mdx n="0" f="v">
      <t c="6" si="614">
        <n x="610"/>
        <n x="527"/>
        <n x="528"/>
        <n x="800" s="1"/>
        <n x="667"/>
        <n x="668"/>
      </t>
    </mdx>
    <mdx n="0" f="v">
      <t c="6" si="614">
        <n x="610"/>
        <n x="781"/>
        <n x="782"/>
        <n x="800" s="1"/>
        <n x="665"/>
        <n x="666"/>
      </t>
    </mdx>
    <mdx n="0" f="v">
      <t c="6" si="614">
        <n x="610"/>
        <n x="375"/>
        <n x="376"/>
        <n x="800" s="1"/>
        <n x="663"/>
        <n x="664"/>
      </t>
    </mdx>
    <mdx n="0" f="v">
      <t c="6" si="614">
        <n x="610"/>
        <n x="783"/>
        <n x="784"/>
        <n x="800" s="1"/>
        <n x="661"/>
        <n x="662"/>
      </t>
    </mdx>
    <mdx n="0" f="v">
      <t c="6" si="614">
        <n x="610"/>
        <n x="535"/>
        <n x="536"/>
        <n x="800" s="1"/>
        <n x="659"/>
        <n x="660"/>
      </t>
    </mdx>
    <mdx n="0" f="v">
      <t c="6" si="614">
        <n x="610"/>
        <n x="535"/>
        <n x="536"/>
        <n x="800" s="1"/>
        <n x="671"/>
        <n x="672"/>
      </t>
    </mdx>
    <mdx n="0" f="v">
      <t c="6" si="614">
        <n x="610"/>
        <n x="355"/>
        <n x="356"/>
        <n x="800" s="1"/>
        <n x="669"/>
        <n x="670"/>
      </t>
    </mdx>
    <mdx n="0" f="v">
      <t c="6" si="614">
        <n x="610"/>
        <n x="785"/>
        <n x="786"/>
        <n x="800" s="1"/>
        <n x="667"/>
        <n x="668"/>
      </t>
    </mdx>
    <mdx n="0" f="v">
      <t c="6" si="614">
        <n x="610"/>
        <n x="787"/>
        <n x="788"/>
        <n x="800" s="1"/>
        <n x="665"/>
        <n x="666"/>
      </t>
    </mdx>
    <mdx n="0" f="v">
      <t c="6" si="614">
        <n x="610"/>
        <n x="583"/>
        <n x="584"/>
        <n x="800" s="1"/>
        <n x="663"/>
        <n x="664"/>
      </t>
    </mdx>
    <mdx n="0" f="v">
      <t c="6" si="614">
        <n x="610"/>
        <n x="581"/>
        <n x="582"/>
        <n x="800" s="1"/>
        <n x="669"/>
        <n x="670"/>
      </t>
    </mdx>
    <mdx n="0" f="v">
      <t c="6" si="614">
        <n x="610"/>
        <n x="431"/>
        <n x="432"/>
        <n x="800" s="1"/>
        <n x="667"/>
        <n x="668"/>
      </t>
    </mdx>
    <mdx n="0" f="v">
      <t c="6" si="614">
        <n x="610"/>
        <n x="789"/>
        <n x="790"/>
        <n x="800" s="1"/>
        <n x="665"/>
        <n x="666"/>
      </t>
    </mdx>
    <mdx n="0" f="v">
      <t c="6" si="614">
        <n x="610"/>
        <n x="311"/>
        <n x="312"/>
        <n x="800" s="1"/>
        <n x="663"/>
        <n x="664"/>
      </t>
    </mdx>
    <mdx n="0" f="v">
      <t c="6" si="614">
        <n x="610"/>
        <n x="531"/>
        <n x="532"/>
        <n x="800" s="1"/>
        <n x="661"/>
        <n x="662"/>
      </t>
    </mdx>
    <mdx n="0" f="v">
      <t c="6" si="614">
        <n x="610"/>
        <n x="565"/>
        <n x="566"/>
        <n x="800" s="1"/>
        <n x="659"/>
        <n x="660"/>
      </t>
    </mdx>
    <mdx n="0" f="v">
      <t c="6" si="614">
        <n x="610"/>
        <n x="565"/>
        <n x="566"/>
        <n x="800" s="1"/>
        <n x="671"/>
        <n x="672"/>
      </t>
    </mdx>
    <mdx n="0" f="v">
      <t c="6" si="614">
        <n x="610"/>
        <n x="521"/>
        <n x="522"/>
        <n x="800" s="1"/>
        <n x="669"/>
        <n x="670"/>
      </t>
    </mdx>
    <mdx n="0" f="v">
      <t c="6" si="614">
        <n x="610"/>
        <n x="423"/>
        <n x="424"/>
        <n x="800" s="1"/>
        <n x="667"/>
        <n x="668"/>
      </t>
    </mdx>
    <mdx n="0" f="v">
      <t c="6" si="614">
        <n x="610"/>
        <n x="545"/>
        <n x="546"/>
        <n x="800" s="1"/>
        <n x="665"/>
        <n x="666"/>
      </t>
    </mdx>
    <mdx n="0" f="v">
      <t c="6" si="614">
        <n x="610"/>
        <n x="575"/>
        <n x="576"/>
        <n x="800" s="1"/>
        <n x="663"/>
        <n x="664"/>
      </t>
    </mdx>
    <mdx n="0" f="v">
      <t c="6" si="614">
        <n x="610"/>
        <n x="451"/>
        <n x="452"/>
        <n x="800" s="1"/>
        <n x="661"/>
        <n x="662"/>
      </t>
    </mdx>
    <mdx n="0" f="v">
      <t c="6" si="614">
        <n x="610"/>
        <n x="473"/>
        <n x="474"/>
        <n x="800" s="1"/>
        <n x="659"/>
        <n x="660"/>
      </t>
    </mdx>
    <mdx n="0" f="v">
      <t c="6" si="614">
        <n x="610"/>
        <n x="473"/>
        <n x="474"/>
        <n x="800" s="1"/>
        <n x="671"/>
        <n x="672"/>
      </t>
    </mdx>
    <mdx n="0" f="v">
      <t c="6" si="614">
        <n x="610"/>
        <n x="523"/>
        <n x="524"/>
        <n x="800" s="1"/>
        <n x="669"/>
        <n x="670"/>
      </t>
    </mdx>
    <mdx n="0" f="v">
      <t c="6" si="614">
        <n x="610"/>
        <n x="297"/>
        <n x="298"/>
        <n x="800" s="1"/>
        <n x="667"/>
        <n x="668"/>
      </t>
    </mdx>
    <mdx n="0" f="v">
      <t c="6" si="614">
        <n x="610"/>
        <n x="579"/>
        <n x="580"/>
        <n x="800" s="1"/>
        <n x="665"/>
        <n x="666"/>
      </t>
    </mdx>
    <mdx n="0" f="v">
      <t c="6" si="614">
        <n x="610"/>
        <n x="313"/>
        <n x="314"/>
        <n x="800" s="1"/>
        <n x="663"/>
        <n x="664"/>
      </t>
    </mdx>
    <mdx n="0" f="v">
      <t c="6" si="614">
        <n x="610"/>
        <n x="351"/>
        <n x="352"/>
        <n x="800" s="1"/>
        <n x="661"/>
        <n x="662"/>
      </t>
    </mdx>
    <mdx n="0" f="v">
      <t c="6" si="614">
        <n x="610"/>
        <n x="213"/>
        <n x="214"/>
        <n x="800" s="1"/>
        <n x="659"/>
        <n x="660"/>
      </t>
    </mdx>
    <mdx n="0" f="v">
      <t c="6" si="614">
        <n x="610"/>
        <n x="213"/>
        <n x="214"/>
        <n x="800" s="1"/>
        <n x="671"/>
        <n x="672"/>
      </t>
    </mdx>
    <mdx n="0" f="v">
      <t c="6" si="614">
        <n x="610"/>
        <n x="791"/>
        <n x="792"/>
        <n x="800" s="1"/>
        <n x="669"/>
        <n x="670"/>
      </t>
    </mdx>
    <mdx n="0" f="v">
      <t c="6" si="614">
        <n x="610"/>
        <n x="331"/>
        <n x="332"/>
        <n x="800" s="1"/>
        <n x="667"/>
        <n x="668"/>
      </t>
    </mdx>
    <mdx n="0" f="v">
      <t c="6" si="614">
        <n x="610"/>
        <n x="227"/>
        <n x="228"/>
        <n x="800" s="1"/>
        <n x="665"/>
        <n x="666"/>
      </t>
    </mdx>
    <mdx n="0" f="v">
      <t c="6" si="614">
        <n x="610"/>
        <n x="795"/>
        <n x="796"/>
        <n x="800" s="1"/>
        <n x="661"/>
        <n x="662"/>
      </t>
    </mdx>
    <mdx n="0" f="v">
      <t c="6" si="614">
        <n x="610"/>
        <n x="465"/>
        <n x="466"/>
        <n x="800" s="1"/>
        <n x="659"/>
        <n x="660"/>
      </t>
    </mdx>
    <mdx n="0" f="v">
      <t c="6" si="614">
        <n x="610"/>
        <n x="465"/>
        <n x="466"/>
        <n x="800" s="1"/>
        <n x="671"/>
        <n x="672"/>
      </t>
    </mdx>
    <mdx n="0" f="v">
      <t c="6" si="614">
        <n x="610"/>
        <n x="303"/>
        <n x="304"/>
        <n x="800" s="1"/>
        <n x="669"/>
        <n x="670"/>
      </t>
    </mdx>
    <mdx n="0" f="v">
      <t c="6" si="614">
        <n x="610"/>
        <n x="211"/>
        <n x="212"/>
        <n x="800" s="1"/>
        <n x="667"/>
        <n x="668"/>
      </t>
    </mdx>
    <mdx n="0" f="v">
      <t c="6" si="614">
        <n x="610"/>
        <n x="439"/>
        <n x="440"/>
        <n x="800" s="1"/>
        <n x="665"/>
        <n x="666"/>
      </t>
    </mdx>
    <mdx n="0" f="v">
      <t c="6" si="614">
        <n x="610"/>
        <n x="571"/>
        <n x="572"/>
        <n x="800" s="1"/>
        <n x="663"/>
        <n x="664"/>
      </t>
    </mdx>
    <mdx n="0" f="v">
      <t c="6" si="614">
        <n x="610"/>
        <n x="305"/>
        <n x="306"/>
        <n x="800" s="1"/>
        <n x="661"/>
        <n x="662"/>
      </t>
    </mdx>
    <mdx n="0" f="v">
      <t c="6" si="614">
        <n x="610"/>
        <n x="563"/>
        <n x="564"/>
        <n x="800" s="1"/>
        <n x="659"/>
        <n x="660"/>
      </t>
    </mdx>
    <mdx n="0" f="v">
      <t c="6" si="614">
        <n x="610"/>
        <n x="563"/>
        <n x="564"/>
        <n x="800" s="1"/>
        <n x="671"/>
        <n x="672"/>
      </t>
    </mdx>
    <mdx n="0" f="v">
      <t c="6" si="614">
        <n x="610"/>
        <n x="225"/>
        <n x="226"/>
        <n x="800" s="1"/>
        <n x="669"/>
        <n x="670"/>
      </t>
    </mdx>
    <mdx n="0" f="v">
      <t c="6" si="614">
        <n x="610"/>
        <n x="279"/>
        <n x="280"/>
        <n x="800" s="1"/>
        <n x="667"/>
        <n x="668"/>
      </t>
    </mdx>
    <mdx n="0" f="v">
      <t c="6" si="614">
        <n x="610"/>
        <n x="291"/>
        <n x="292"/>
        <n x="800" s="1"/>
        <n x="665"/>
        <n x="666"/>
      </t>
    </mdx>
    <mdx n="0" f="v">
      <t c="6" si="614">
        <n x="610"/>
        <n x="797"/>
        <n x="798"/>
        <n x="800" s="1"/>
        <n x="663"/>
        <n x="664"/>
      </t>
    </mdx>
    <mdx n="0" f="v">
      <t c="6" si="614">
        <n x="610"/>
        <n x="373"/>
        <n x="374"/>
        <n x="800" s="1"/>
        <n x="661"/>
        <n x="662"/>
      </t>
    </mdx>
    <mdx n="0" f="v">
      <t c="6" si="614">
        <n x="610"/>
        <n x="329"/>
        <n x="330"/>
        <n x="800" s="1"/>
        <n x="659"/>
        <n x="660"/>
      </t>
    </mdx>
    <mdx n="0" f="v">
      <t c="6" si="614">
        <n x="610"/>
        <n x="329"/>
        <n x="330"/>
        <n x="800" s="1"/>
        <n x="671"/>
        <n x="672"/>
      </t>
    </mdx>
    <mdx n="0" f="v">
      <t c="6" si="614">
        <n x="610"/>
        <n x="449"/>
        <n x="450"/>
        <n x="800" s="1"/>
        <n x="669"/>
        <n x="670"/>
      </t>
    </mdx>
    <mdx n="0" f="v">
      <t c="6" si="614">
        <n x="610"/>
        <n x="801"/>
        <n x="802"/>
        <n x="800" s="1"/>
        <n x="667"/>
        <n x="668"/>
      </t>
    </mdx>
    <mdx n="0" f="v">
      <t c="6" si="614">
        <n x="610"/>
        <n x="327"/>
        <n x="328"/>
        <n x="800" s="1"/>
        <n x="665"/>
        <n x="666"/>
      </t>
    </mdx>
    <mdx n="0" f="v">
      <t c="6" si="614">
        <n x="610"/>
        <n x="215"/>
        <n x="216"/>
        <n x="800" s="1"/>
        <n x="663"/>
        <n x="664"/>
      </t>
    </mdx>
    <mdx n="0" f="v">
      <t c="6" si="614">
        <n x="610"/>
        <n x="803"/>
        <n x="804"/>
        <n x="800" s="1"/>
        <n x="661"/>
        <n x="662"/>
      </t>
    </mdx>
    <mdx n="0" f="v">
      <t c="6" si="614">
        <n x="610"/>
        <n x="587"/>
        <n x="588"/>
        <n x="800" s="1"/>
        <n x="659"/>
        <n x="660"/>
      </t>
    </mdx>
    <mdx n="0" f="v">
      <t c="6" si="614">
        <n x="610"/>
        <n x="587"/>
        <n x="588"/>
        <n x="800" s="1"/>
        <n x="671"/>
        <n x="672"/>
      </t>
    </mdx>
    <mdx n="0" f="v">
      <t c="6" si="614">
        <n x="610"/>
        <n x="421"/>
        <n x="422"/>
        <n x="800" s="1"/>
        <n x="669"/>
        <n x="670"/>
      </t>
    </mdx>
    <mdx n="0" f="v">
      <t c="6" si="614">
        <n x="610"/>
        <n x="263"/>
        <n x="264"/>
        <n x="800" s="1"/>
        <n x="667"/>
        <n x="668"/>
      </t>
    </mdx>
    <mdx n="0" f="v">
      <t c="6" si="614">
        <n x="610"/>
        <n x="477"/>
        <n x="478"/>
        <n x="800" s="1"/>
        <n x="665"/>
        <n x="666"/>
      </t>
    </mdx>
    <mdx n="0" f="v">
      <t c="6" si="614">
        <n x="610"/>
        <n x="267"/>
        <n x="268"/>
        <n x="800" s="1"/>
        <n x="663"/>
        <n x="664"/>
      </t>
    </mdx>
    <mdx n="0" f="v">
      <t c="6" si="614">
        <n x="610"/>
        <n x="323"/>
        <n x="324"/>
        <n x="800" s="1"/>
        <n x="659"/>
        <n x="660"/>
      </t>
    </mdx>
    <mdx n="0" f="v">
      <t c="6" si="614">
        <n x="610"/>
        <n x="323"/>
        <n x="324"/>
        <n x="800" s="1"/>
        <n x="671"/>
        <n x="672"/>
      </t>
    </mdx>
    <mdx n="0" f="v">
      <t c="6" si="614">
        <n x="610"/>
        <n x="497"/>
        <n x="498"/>
        <n x="800" s="1"/>
        <n x="669"/>
        <n x="670"/>
      </t>
    </mdx>
    <mdx n="0" f="v">
      <t c="6" si="614">
        <n x="610"/>
        <n x="517"/>
        <n x="518"/>
        <n x="800" s="1"/>
        <n x="667"/>
        <n x="668"/>
      </t>
    </mdx>
    <mdx n="0" f="v">
      <t c="6" si="614">
        <n x="610"/>
        <n x="251"/>
        <n x="252"/>
        <n x="800" s="1"/>
        <n x="665"/>
        <n x="666"/>
      </t>
    </mdx>
    <mdx n="0" f="v">
      <t c="6" si="614">
        <n x="610"/>
        <n x="567"/>
        <n x="568"/>
        <n x="800" s="1"/>
        <n x="663"/>
        <n x="664"/>
      </t>
    </mdx>
    <mdx n="0" f="v">
      <t c="6" si="614">
        <n x="610"/>
        <n x="559"/>
        <n x="560"/>
        <n x="800" s="1"/>
        <n x="659"/>
        <n x="660"/>
      </t>
    </mdx>
    <mdx n="0" f="v">
      <t c="6" si="614">
        <n x="610"/>
        <n x="559"/>
        <n x="560"/>
        <n x="800" s="1"/>
        <n x="671"/>
        <n x="672"/>
      </t>
    </mdx>
    <mdx n="0" f="v">
      <t c="6" si="614">
        <n x="610"/>
        <n x="519"/>
        <n x="520"/>
        <n x="800" s="1"/>
        <n x="669"/>
        <n x="670"/>
      </t>
    </mdx>
    <mdx n="0" f="v">
      <t c="6" si="614">
        <n x="610"/>
        <n x="573"/>
        <n x="574"/>
        <n x="800" s="1"/>
        <n x="667"/>
        <n x="668"/>
      </t>
    </mdx>
    <mdx n="0" f="v">
      <t c="6" si="614">
        <n x="610"/>
        <n x="253"/>
        <n x="254"/>
        <n x="800" s="1"/>
        <n x="665"/>
        <n x="666"/>
      </t>
    </mdx>
    <mdx n="0" f="v">
      <t c="6" si="614">
        <n x="610"/>
        <n x="475"/>
        <n x="476"/>
        <n x="800" s="1"/>
        <n x="663"/>
        <n x="664"/>
      </t>
    </mdx>
    <mdx n="0" f="v">
      <t c="6" si="614">
        <n x="610"/>
        <n x="369"/>
        <n x="370"/>
        <n x="800" s="1"/>
        <n x="661"/>
        <n x="662"/>
      </t>
    </mdx>
    <mdx n="0" f="v">
      <t c="6" si="614">
        <n x="610"/>
        <n x="371"/>
        <n x="372"/>
        <n x="800" s="1"/>
        <n x="659"/>
        <n x="660"/>
      </t>
    </mdx>
    <mdx n="0" f="v">
      <t c="6" si="614">
        <n x="610"/>
        <n x="371"/>
        <n x="372"/>
        <n x="800" s="1"/>
        <n x="671"/>
        <n x="672"/>
      </t>
    </mdx>
    <mdx n="0" f="v">
      <t c="6" si="614">
        <n x="610"/>
        <n x="805"/>
        <n x="806"/>
        <n x="800" s="1"/>
        <n x="669"/>
        <n x="670"/>
      </t>
    </mdx>
    <mdx n="0" f="v">
      <t c="6" si="614">
        <n x="610"/>
        <n x="713"/>
        <n x="714"/>
        <n x="800" s="1"/>
        <n x="659"/>
        <n x="660"/>
      </t>
    </mdx>
    <mdx n="0" f="v">
      <t c="6" si="614">
        <n x="610"/>
        <n x="713"/>
        <n x="714"/>
        <n x="800" s="1"/>
        <n x="671"/>
        <n x="672"/>
      </t>
    </mdx>
    <mdx n="0" f="v">
      <t c="6" si="614">
        <n x="610"/>
        <n x="715"/>
        <n x="716"/>
        <n x="800" s="1"/>
        <n x="669"/>
        <n x="670"/>
      </t>
    </mdx>
    <mdx n="0" f="v">
      <t c="6" si="614">
        <n x="610"/>
        <n x="317"/>
        <n x="318"/>
        <n x="800" s="1"/>
        <n x="667"/>
        <n x="668"/>
      </t>
    </mdx>
    <mdx n="0" f="v">
      <t c="6" si="614">
        <n x="610"/>
        <n x="717"/>
        <n x="718"/>
        <n x="800" s="1"/>
        <n x="665"/>
        <n x="666"/>
      </t>
    </mdx>
    <mdx n="0" f="v">
      <t c="6" si="614">
        <n x="610"/>
        <n x="599"/>
        <n x="600"/>
        <n x="800" s="1"/>
        <n x="663"/>
        <n x="664"/>
      </t>
    </mdx>
    <mdx n="0" f="v">
      <t c="6" si="614">
        <n x="610"/>
        <n x="217"/>
        <n x="218"/>
        <n x="800" s="1"/>
        <n x="661"/>
        <n x="662"/>
      </t>
    </mdx>
    <mdx n="0" f="v">
      <t c="6" si="614">
        <n x="610"/>
        <n x="285"/>
        <n x="286"/>
        <n x="800" s="1"/>
        <n x="659"/>
        <n x="660"/>
      </t>
    </mdx>
    <mdx n="0" f="v">
      <t c="6" si="614">
        <n x="610"/>
        <n x="285"/>
        <n x="286"/>
        <n x="800" s="1"/>
        <n x="671"/>
        <n x="672"/>
      </t>
    </mdx>
    <mdx n="0" f="v">
      <t c="6" si="614">
        <n x="610"/>
        <n x="261"/>
        <n x="262"/>
        <n x="800" s="1"/>
        <n x="669"/>
        <n x="670"/>
      </t>
    </mdx>
    <mdx n="0" f="v">
      <t c="6" si="614">
        <n x="610"/>
        <n x="275"/>
        <n x="276"/>
        <n x="800" s="1"/>
        <n x="667"/>
        <n x="668"/>
      </t>
    </mdx>
    <mdx n="0" f="v">
      <t c="6" si="614">
        <n x="610"/>
        <n x="719"/>
        <n x="720"/>
        <n x="800" s="1"/>
        <n x="665"/>
        <n x="666"/>
      </t>
    </mdx>
    <mdx n="0" f="v">
      <t c="6" si="614">
        <n x="610"/>
        <n x="585"/>
        <n x="586"/>
        <n x="800" s="1"/>
        <n x="663"/>
        <n x="664"/>
      </t>
    </mdx>
    <mdx n="0" f="v">
      <t c="6" si="614">
        <n x="610"/>
        <n x="721"/>
        <n x="722"/>
        <n x="800" s="1"/>
        <n x="661"/>
        <n x="662"/>
      </t>
    </mdx>
    <mdx n="0" f="v">
      <t c="6" si="614">
        <n x="610"/>
        <n x="723"/>
        <n x="724"/>
        <n x="800" s="1"/>
        <n x="659"/>
        <n x="660"/>
      </t>
    </mdx>
    <mdx n="0" f="v">
      <t c="6" si="614">
        <n x="610"/>
        <n x="723"/>
        <n x="724"/>
        <n x="800" s="1"/>
        <n x="671"/>
        <n x="672"/>
      </t>
    </mdx>
    <mdx n="0" f="v">
      <t c="6" si="614">
        <n x="610"/>
        <n x="463"/>
        <n x="464"/>
        <n x="800" s="1"/>
        <n x="669"/>
        <n x="670"/>
      </t>
    </mdx>
    <mdx n="0" f="v">
      <t c="6" si="614">
        <n x="610"/>
        <n x="377"/>
        <n x="378"/>
        <n x="800" s="1"/>
        <n x="667"/>
        <n x="668"/>
      </t>
    </mdx>
    <mdx n="0" f="v">
      <t c="6" si="614">
        <n x="610"/>
        <n x="391"/>
        <n x="392"/>
        <n x="800" s="1"/>
        <n x="665"/>
        <n x="666"/>
      </t>
    </mdx>
    <mdx n="0" f="v">
      <t c="6" si="614">
        <n x="610"/>
        <n x="379"/>
        <n x="380"/>
        <n x="800" s="1"/>
        <n x="661"/>
        <n x="662"/>
      </t>
    </mdx>
    <mdx n="0" f="v">
      <t c="6" si="614">
        <n x="610"/>
        <n x="239"/>
        <n x="240"/>
        <n x="800" s="1"/>
        <n x="659"/>
        <n x="660"/>
      </t>
    </mdx>
    <mdx n="0" f="v">
      <t c="6" si="614">
        <n x="610"/>
        <n x="239"/>
        <n x="240"/>
        <n x="800" s="1"/>
        <n x="671"/>
        <n x="672"/>
      </t>
    </mdx>
    <mdx n="0" f="v">
      <t c="6" si="614">
        <n x="610"/>
        <n x="365"/>
        <n x="366"/>
        <n x="800" s="1"/>
        <n x="669"/>
        <n x="670"/>
      </t>
    </mdx>
    <mdx n="0" f="v">
      <t c="6" si="614">
        <n x="610"/>
        <n x="221"/>
        <n x="222"/>
        <n x="800" s="1"/>
        <n x="667"/>
        <n x="668"/>
      </t>
    </mdx>
    <mdx n="0" f="v">
      <t c="6" si="614">
        <n x="610"/>
        <n x="461"/>
        <n x="462"/>
        <n x="800" s="1"/>
        <n x="665"/>
        <n x="666"/>
      </t>
    </mdx>
    <mdx n="0" f="v">
      <t c="6" si="614">
        <n x="610"/>
        <n x="397"/>
        <n x="398"/>
        <n x="800" s="1"/>
        <n x="663"/>
        <n x="664"/>
      </t>
    </mdx>
    <mdx n="0" f="v">
      <t c="6" si="614">
        <n x="610"/>
        <n x="459"/>
        <n x="460"/>
        <n x="800" s="1"/>
        <n x="661"/>
        <n x="662"/>
      </t>
    </mdx>
    <mdx n="0" f="v">
      <t c="6" si="614">
        <n x="610"/>
        <n x="547"/>
        <n x="548"/>
        <n x="800" s="1"/>
        <n x="659"/>
        <n x="660"/>
      </t>
    </mdx>
    <mdx n="0" f="v">
      <t c="6" si="614">
        <n x="610"/>
        <n x="547"/>
        <n x="548"/>
        <n x="800" s="1"/>
        <n x="671"/>
        <n x="672"/>
      </t>
    </mdx>
    <mdx n="0" f="v">
      <t c="6" si="614">
        <n x="610"/>
        <n x="597"/>
        <n x="598"/>
        <n x="800" s="1"/>
        <n x="669"/>
        <n x="670"/>
      </t>
    </mdx>
    <mdx n="0" f="v">
      <t c="6" si="614">
        <n x="610"/>
        <n x="725"/>
        <n x="726"/>
        <n x="800" s="1"/>
        <n x="667"/>
        <n x="668"/>
      </t>
    </mdx>
    <mdx n="0" f="v">
      <t c="6" si="614">
        <n x="610"/>
        <n x="457"/>
        <n x="458"/>
        <n x="800" s="1"/>
        <n x="665"/>
        <n x="666"/>
      </t>
    </mdx>
    <mdx n="0" f="v">
      <t c="6" si="614">
        <n x="610"/>
        <n x="231"/>
        <n x="232"/>
        <n x="800" s="1"/>
        <n x="663"/>
        <n x="664"/>
      </t>
    </mdx>
    <mdx n="0" f="v">
      <t c="6" si="614">
        <n x="610"/>
        <n x="601"/>
        <n x="602"/>
        <n x="800" s="1"/>
        <n x="661"/>
        <n x="662"/>
      </t>
    </mdx>
    <mdx n="0" f="v">
      <t c="6" si="614">
        <n x="610"/>
        <n x="557"/>
        <n x="558"/>
        <n x="800" s="1"/>
        <n x="659"/>
        <n x="660"/>
      </t>
    </mdx>
    <mdx n="0" f="v">
      <t c="6" si="614">
        <n x="610"/>
        <n x="557"/>
        <n x="558"/>
        <n x="800" s="1"/>
        <n x="671"/>
        <n x="672"/>
      </t>
    </mdx>
    <mdx n="0" f="v">
      <t c="6" si="614">
        <n x="610"/>
        <n x="727"/>
        <n x="728"/>
        <n x="800" s="1"/>
        <n x="669"/>
        <n x="670"/>
      </t>
    </mdx>
    <mdx n="0" f="v">
      <t c="6" si="614">
        <n x="610"/>
        <n x="729"/>
        <n x="730"/>
        <n x="800" s="1"/>
        <n x="667"/>
        <n x="668"/>
      </t>
    </mdx>
    <mdx n="0" f="v">
      <t c="6" si="614">
        <n x="610"/>
        <n x="367"/>
        <n x="368"/>
        <n x="800" s="1"/>
        <n x="665"/>
        <n x="666"/>
      </t>
    </mdx>
    <mdx n="0" f="v">
      <t c="6" si="614">
        <n x="610"/>
        <n x="555"/>
        <n x="556"/>
        <n x="800" s="1"/>
        <n x="663"/>
        <n x="664"/>
      </t>
    </mdx>
    <mdx n="0" f="v">
      <t c="6" si="614">
        <n x="610"/>
        <n x="237"/>
        <n x="238"/>
        <n x="800" s="1"/>
        <n x="661"/>
        <n x="662"/>
      </t>
    </mdx>
    <mdx n="0" f="v">
      <t c="6" si="614">
        <n x="610"/>
        <n x="495"/>
        <n x="496"/>
        <n x="800" s="1"/>
        <n x="659"/>
        <n x="660"/>
      </t>
    </mdx>
    <mdx n="0" f="v">
      <t c="6" si="614">
        <n x="610"/>
        <n x="495"/>
        <n x="496"/>
        <n x="800" s="1"/>
        <n x="671"/>
        <n x="672"/>
      </t>
    </mdx>
    <mdx n="0" f="v">
      <t c="6" si="614">
        <n x="610"/>
        <n x="731"/>
        <n x="732"/>
        <n x="800" s="1"/>
        <n x="669"/>
        <n x="670"/>
      </t>
    </mdx>
    <mdx n="0" f="v">
      <t c="6" si="614">
        <n x="610"/>
        <n x="541"/>
        <n x="542"/>
        <n x="800" s="1"/>
        <n x="667"/>
        <n x="668"/>
      </t>
    </mdx>
    <mdx n="0" f="v">
      <t c="6" si="614">
        <n x="610"/>
        <n x="603"/>
        <n x="604"/>
        <n x="800" s="1"/>
        <n x="665"/>
        <n x="666"/>
      </t>
    </mdx>
    <mdx n="0" f="v">
      <t c="6" si="614">
        <n x="610"/>
        <n x="607"/>
        <n x="608"/>
        <n x="800" s="1"/>
        <n x="663"/>
        <n x="664"/>
      </t>
    </mdx>
    <mdx n="0" f="v">
      <t c="6" si="614">
        <n x="610"/>
        <n x="453"/>
        <n x="454"/>
        <n x="800" s="1"/>
        <n x="661"/>
        <n x="662"/>
      </t>
    </mdx>
    <mdx n="0" f="v">
      <t c="6" si="614">
        <n x="610"/>
        <n x="363"/>
        <n x="364"/>
        <n x="800" s="1"/>
        <n x="659"/>
        <n x="660"/>
      </t>
    </mdx>
    <mdx n="0" f="v">
      <t c="6" si="614">
        <n x="610"/>
        <n x="363"/>
        <n x="364"/>
        <n x="800" s="1"/>
        <n x="671"/>
        <n x="672"/>
      </t>
    </mdx>
    <mdx n="0" f="v">
      <t c="6" si="614">
        <n x="610"/>
        <n x="265"/>
        <n x="266"/>
        <n x="800" s="1"/>
        <n x="669"/>
        <n x="670"/>
      </t>
    </mdx>
    <mdx n="0" f="v">
      <t c="6" si="614">
        <n x="610"/>
        <n x="595"/>
        <n x="596"/>
        <n x="800" s="1"/>
        <n x="667"/>
        <n x="668"/>
      </t>
    </mdx>
    <mdx n="0" f="v">
      <t c="6" si="614">
        <n x="610"/>
        <n x="413"/>
        <n x="414"/>
        <n x="800" s="1"/>
        <n x="665"/>
        <n x="666"/>
      </t>
    </mdx>
    <mdx n="0" f="v">
      <t c="6" si="614">
        <n x="610"/>
        <n x="235"/>
        <n x="236"/>
        <n x="800" s="1"/>
        <n x="663"/>
        <n x="664"/>
      </t>
    </mdx>
    <mdx n="0" f="v">
      <t c="6" si="614">
        <n x="610"/>
        <n x="281"/>
        <n x="282"/>
        <n x="800" s="1"/>
        <n x="659"/>
        <n x="660"/>
      </t>
    </mdx>
    <mdx n="0" f="v">
      <t c="6" si="614">
        <n x="610"/>
        <n x="281"/>
        <n x="282"/>
        <n x="800" s="1"/>
        <n x="671"/>
        <n x="672"/>
      </t>
    </mdx>
    <mdx n="0" f="v">
      <t c="6" si="614">
        <n x="610"/>
        <n x="243"/>
        <n x="244"/>
        <n x="800" s="1"/>
        <n x="669"/>
        <n x="670"/>
      </t>
    </mdx>
    <mdx n="0" f="v">
      <t c="6" si="614">
        <n x="610"/>
        <n x="389"/>
        <n x="390"/>
        <n x="800" s="1"/>
        <n x="667"/>
        <n x="668"/>
      </t>
    </mdx>
    <mdx n="0" f="v">
      <t c="6" si="614">
        <n x="610"/>
        <n x="271"/>
        <n x="272"/>
        <n x="800" s="1"/>
        <n x="665"/>
        <n x="666"/>
      </t>
    </mdx>
    <mdx n="0" f="v">
      <t c="6" si="614">
        <n x="610"/>
        <n x="735"/>
        <n x="736"/>
        <n x="800" s="1"/>
        <n x="663"/>
        <n x="664"/>
      </t>
    </mdx>
    <mdx n="0" f="v">
      <t c="6" si="614">
        <n x="610"/>
        <n x="283"/>
        <n x="284"/>
        <n x="800" s="1"/>
        <n x="661"/>
        <n x="662"/>
      </t>
    </mdx>
    <mdx n="0" f="v">
      <t c="6" si="614">
        <n x="610"/>
        <n x="277"/>
        <n x="278"/>
        <n x="800" s="1"/>
        <n x="659"/>
        <n x="660"/>
      </t>
    </mdx>
    <mdx n="0" f="v">
      <t c="6" si="614">
        <n x="610"/>
        <n x="277"/>
        <n x="278"/>
        <n x="800" s="1"/>
        <n x="671"/>
        <n x="672"/>
      </t>
    </mdx>
    <mdx n="0" f="v">
      <t c="6" si="614">
        <n x="610"/>
        <n x="443"/>
        <n x="444"/>
        <n x="800" s="1"/>
        <n x="669"/>
        <n x="670"/>
      </t>
    </mdx>
    <mdx n="0" f="v">
      <t c="6" si="614">
        <n x="610"/>
        <n x="525"/>
        <n x="526"/>
        <n x="800" s="1"/>
        <n x="667"/>
        <n x="668"/>
      </t>
    </mdx>
    <mdx n="0" f="v">
      <t c="6" si="614">
        <n x="610"/>
        <n x="387"/>
        <n x="388"/>
        <n x="800" s="1"/>
        <n x="665"/>
        <n x="666"/>
      </t>
    </mdx>
    <mdx n="0" f="v">
      <t c="6" si="614">
        <n x="610"/>
        <n x="257"/>
        <n x="258"/>
        <n x="800" s="1"/>
        <n x="663"/>
        <n x="664"/>
      </t>
    </mdx>
    <mdx n="0" f="v">
      <t c="6" si="614">
        <n x="610"/>
        <n x="319"/>
        <n x="320"/>
        <n x="800" s="1"/>
        <n x="661"/>
        <n x="662"/>
      </t>
    </mdx>
    <mdx n="0" f="v">
      <t c="6" si="614">
        <n x="610"/>
        <n x="401"/>
        <n x="402"/>
        <n x="800" s="1"/>
        <n x="659"/>
        <n x="660"/>
      </t>
    </mdx>
    <mdx n="0" f="v">
      <t c="6" si="614">
        <n x="610"/>
        <n x="401"/>
        <n x="402"/>
        <n x="800" s="1"/>
        <n x="671"/>
        <n x="672"/>
      </t>
    </mdx>
    <mdx n="0" f="v">
      <t c="6" si="614">
        <n x="610"/>
        <n x="209"/>
        <n x="210"/>
        <n x="800" s="1"/>
        <n x="669"/>
        <n x="670"/>
      </t>
    </mdx>
    <mdx n="0" f="v">
      <t c="6" si="614">
        <n x="610"/>
        <n x="591"/>
        <n x="592"/>
        <n x="800" s="1"/>
        <n x="667"/>
        <n x="668"/>
      </t>
    </mdx>
    <mdx n="0" f="v">
      <t c="6" si="614">
        <n x="610"/>
        <n x="737"/>
        <n x="738"/>
        <n x="800" s="1"/>
        <n x="665"/>
        <n x="666"/>
      </t>
    </mdx>
    <mdx n="0" f="v">
      <t c="6" si="614">
        <n x="610"/>
        <n x="739"/>
        <n x="740"/>
        <n x="800" s="1"/>
        <n x="663"/>
        <n x="664"/>
      </t>
    </mdx>
    <mdx n="0" f="v">
      <t c="6" si="614">
        <n x="610"/>
        <n x="435"/>
        <n x="436"/>
        <n x="800" s="1"/>
        <n x="659"/>
        <n x="660"/>
      </t>
    </mdx>
    <mdx n="0" f="v">
      <t c="6" si="614">
        <n x="610"/>
        <n x="435"/>
        <n x="436"/>
        <n x="800" s="1"/>
        <n x="671"/>
        <n x="672"/>
      </t>
    </mdx>
    <mdx n="0" f="v">
      <t c="6" si="614">
        <n x="610"/>
        <n x="499"/>
        <n x="500"/>
        <n x="800" s="1"/>
        <n x="669"/>
        <n x="670"/>
      </t>
    </mdx>
    <mdx n="0" f="v">
      <t c="6" si="614">
        <n x="610"/>
        <n x="455"/>
        <n x="456"/>
        <n x="800" s="1"/>
        <n x="667"/>
        <n x="668"/>
      </t>
    </mdx>
    <mdx n="0" f="v">
      <t c="6" si="614">
        <n x="610"/>
        <n x="429"/>
        <n x="430"/>
        <n x="800" s="1"/>
        <n x="665"/>
        <n x="666"/>
      </t>
    </mdx>
    <mdx n="0" f="v">
      <t c="6" si="614">
        <n x="610"/>
        <n x="537"/>
        <n x="538"/>
        <n x="800" s="1"/>
        <n x="663"/>
        <n x="664"/>
      </t>
    </mdx>
    <mdx n="0" f="v">
      <t c="6" si="614">
        <n x="610"/>
        <n x="393"/>
        <n x="394"/>
        <n x="800" s="1"/>
        <n x="661"/>
        <n x="662"/>
      </t>
    </mdx>
    <mdx n="0" f="v">
      <t c="6" si="614">
        <n x="610"/>
        <n x="743"/>
        <n x="744"/>
        <n x="800" s="1"/>
        <n x="659"/>
        <n x="660"/>
      </t>
    </mdx>
    <mdx n="0" f="v">
      <t c="6" si="614">
        <n x="610"/>
        <n x="743"/>
        <n x="744"/>
        <n x="800" s="1"/>
        <n x="671"/>
        <n x="672"/>
      </t>
    </mdx>
    <mdx n="0" f="v">
      <t c="6" si="614">
        <n x="610"/>
        <n x="561"/>
        <n x="562"/>
        <n x="800" s="1"/>
        <n x="669"/>
        <n x="670"/>
      </t>
    </mdx>
    <mdx n="0" f="v">
      <t c="6" si="614">
        <n x="610"/>
        <n x="491"/>
        <n x="492"/>
        <n x="800" s="1"/>
        <n x="667"/>
        <n x="668"/>
      </t>
    </mdx>
    <mdx n="0" f="v">
      <t c="6" si="614">
        <n x="610"/>
        <n x="433"/>
        <n x="434"/>
        <n x="800" s="1"/>
        <n x="665"/>
        <n x="666"/>
      </t>
    </mdx>
    <mdx n="0" f="v">
      <t c="6" si="614">
        <n x="610"/>
        <n x="589"/>
        <n x="590"/>
        <n x="800" s="1"/>
        <n x="663"/>
        <n x="664"/>
      </t>
    </mdx>
    <mdx n="0" f="v">
      <t c="6" si="614">
        <n x="610"/>
        <n x="605"/>
        <n x="606"/>
        <n x="800" s="1"/>
        <n x="661"/>
        <n x="662"/>
      </t>
    </mdx>
    <mdx n="0" f="v">
      <t c="6" si="614">
        <n x="610"/>
        <n x="437"/>
        <n x="438"/>
        <n x="800" s="1"/>
        <n x="659"/>
        <n x="660"/>
      </t>
    </mdx>
    <mdx n="0" f="v">
      <t c="6" si="614">
        <n x="610"/>
        <n x="437"/>
        <n x="438"/>
        <n x="800" s="1"/>
        <n x="671"/>
        <n x="672"/>
      </t>
    </mdx>
    <mdx n="0" f="v">
      <t c="6" si="614">
        <n x="610"/>
        <n x="503"/>
        <n x="504"/>
        <n x="800" s="1"/>
        <n x="669"/>
        <n x="670"/>
      </t>
    </mdx>
    <mdx n="0" f="v">
      <t c="6" si="614">
        <n x="610"/>
        <n x="513"/>
        <n x="514"/>
        <n x="800" s="1"/>
        <n x="667"/>
        <n x="668"/>
      </t>
    </mdx>
    <mdx n="0" f="v">
      <t c="6" si="614">
        <n x="610"/>
        <n x="745"/>
        <n x="746"/>
        <n x="800" s="1"/>
        <n x="663"/>
        <n x="664"/>
      </t>
    </mdx>
    <mdx n="0" f="v">
      <t c="6" si="614">
        <n x="610"/>
        <n x="295"/>
        <n x="296"/>
        <n x="800" s="1"/>
        <n x="661"/>
        <n x="662"/>
      </t>
    </mdx>
    <mdx n="0" f="v">
      <t c="6" si="614">
        <n x="610"/>
        <n x="747"/>
        <n x="748"/>
        <n x="800" s="1"/>
        <n x="659"/>
        <n x="660"/>
      </t>
    </mdx>
    <mdx n="0" f="v">
      <t c="6" si="614">
        <n x="610"/>
        <n x="747"/>
        <n x="748"/>
        <n x="800" s="1"/>
        <n x="671"/>
        <n x="672"/>
      </t>
    </mdx>
    <mdx n="0" f="v">
      <t c="6" si="614">
        <n x="610"/>
        <n x="441"/>
        <n x="442"/>
        <n x="800" s="1"/>
        <n x="669"/>
        <n x="670"/>
      </t>
    </mdx>
    <mdx n="0" f="v">
      <t c="6" si="614">
        <n x="610"/>
        <n x="345"/>
        <n x="346"/>
        <n x="800" s="1"/>
        <n x="667"/>
        <n x="668"/>
      </t>
    </mdx>
    <mdx n="0" f="v">
      <t c="6" si="614">
        <n x="610"/>
        <n x="569"/>
        <n x="570"/>
        <n x="800" s="1"/>
        <n x="665"/>
        <n x="666"/>
      </t>
    </mdx>
    <mdx n="0" f="v">
      <t c="6" si="614">
        <n x="610"/>
        <n x="259"/>
        <n x="260"/>
        <n x="800" s="1"/>
        <n x="663"/>
        <n x="664"/>
      </t>
    </mdx>
    <mdx n="0" f="v">
      <t c="6" si="614">
        <n x="610"/>
        <n x="299"/>
        <n x="300"/>
        <n x="800" s="1"/>
        <n x="661"/>
        <n x="662"/>
      </t>
    </mdx>
    <mdx n="0" f="v">
      <t c="6" si="614">
        <n x="610"/>
        <n x="749"/>
        <n x="750"/>
        <n x="800" s="1"/>
        <n x="659"/>
        <n x="660"/>
      </t>
    </mdx>
    <mdx n="0" f="v">
      <t c="6" si="614">
        <n x="610"/>
        <n x="749"/>
        <n x="750"/>
        <n x="800" s="1"/>
        <n x="671"/>
        <n x="672"/>
      </t>
    </mdx>
    <mdx n="0" f="v">
      <t c="6" si="614">
        <n x="610"/>
        <n x="419"/>
        <n x="420"/>
        <n x="800" s="1"/>
        <n x="669"/>
        <n x="670"/>
      </t>
    </mdx>
    <mdx n="0" f="v">
      <t c="6" si="614">
        <n x="610"/>
        <n x="489"/>
        <n x="490"/>
        <n x="800" s="1"/>
        <n x="667"/>
        <n x="668"/>
      </t>
    </mdx>
    <mdx n="0" f="v">
      <t c="6" si="614">
        <n x="610"/>
        <n x="241"/>
        <n x="242"/>
        <n x="800" s="1"/>
        <n x="665"/>
        <n x="666"/>
      </t>
    </mdx>
    <mdx n="0" f="v">
      <t c="6" si="614">
        <n x="610"/>
        <n x="593"/>
        <n x="594"/>
        <n x="800" s="1"/>
        <n x="663"/>
        <n x="664"/>
      </t>
    </mdx>
    <mdx n="0" f="v">
      <t c="6" si="614">
        <n x="610"/>
        <n x="229"/>
        <n x="230"/>
        <n x="800" s="1"/>
        <n x="661"/>
        <n x="662"/>
      </t>
    </mdx>
    <mdx n="0" f="v">
      <t c="6" si="614">
        <n x="610"/>
        <n x="751"/>
        <n x="752"/>
        <n x="800" s="1"/>
        <n x="659"/>
        <n x="660"/>
      </t>
    </mdx>
    <mdx n="0" f="v">
      <t c="6" si="614">
        <n x="610"/>
        <n x="751"/>
        <n x="752"/>
        <n x="800" s="1"/>
        <n x="671"/>
        <n x="672"/>
      </t>
    </mdx>
    <mdx n="0" f="v">
      <t c="6" si="614">
        <n x="610"/>
        <n x="753"/>
        <n x="754"/>
        <n x="800" s="1"/>
        <n x="669"/>
        <n x="670"/>
      </t>
    </mdx>
    <mdx n="0" f="v">
      <t c="6" si="614">
        <n x="610"/>
        <n x="755"/>
        <n x="756"/>
        <n x="800" s="1"/>
        <n x="667"/>
        <n x="668"/>
      </t>
    </mdx>
    <mdx n="0" f="v">
      <t c="6" si="614">
        <n x="610"/>
        <n x="447"/>
        <n x="448"/>
        <n x="800" s="1"/>
        <n x="665"/>
        <n x="666"/>
      </t>
    </mdx>
    <mdx n="0" f="v">
      <t c="6" si="614">
        <n x="610"/>
        <n x="223"/>
        <n x="224"/>
        <n x="800" s="1"/>
        <n x="663"/>
        <n x="664"/>
      </t>
    </mdx>
    <mdx n="0" f="v">
      <t c="6" si="614">
        <n x="610"/>
        <n x="339"/>
        <n x="340"/>
        <n x="800" s="1"/>
        <n x="661"/>
        <n x="662"/>
      </t>
    </mdx>
    <mdx n="0" f="v">
      <t c="6" si="614">
        <n x="610"/>
        <n x="471"/>
        <n x="472"/>
        <n x="800" s="1"/>
        <n x="659"/>
        <n x="660"/>
      </t>
    </mdx>
    <mdx n="0" f="v">
      <t c="6" si="614">
        <n x="610"/>
        <n x="471"/>
        <n x="472"/>
        <n x="800" s="1"/>
        <n x="671"/>
        <n x="672"/>
      </t>
    </mdx>
    <mdx n="0" f="v">
      <t c="6" si="614">
        <n x="610"/>
        <n x="407"/>
        <n x="408"/>
        <n x="800" s="1"/>
        <n x="667"/>
        <n x="668"/>
      </t>
    </mdx>
    <mdx n="0" f="v">
      <t c="6" si="614">
        <n x="610"/>
        <n x="321"/>
        <n x="322"/>
        <n x="800" s="1"/>
        <n x="665"/>
        <n x="666"/>
      </t>
    </mdx>
    <mdx n="0" f="v">
      <t c="6" si="614">
        <n x="610"/>
        <n x="577"/>
        <n x="578"/>
        <n x="800" s="1"/>
        <n x="663"/>
        <n x="664"/>
      </t>
    </mdx>
    <mdx n="0" f="v">
      <t c="6" si="614">
        <n x="610"/>
        <n x="233"/>
        <n x="234"/>
        <n x="800" s="1"/>
        <n x="659"/>
        <n x="660"/>
      </t>
    </mdx>
    <mdx n="0" f="v">
      <t c="6" si="614">
        <n x="610"/>
        <n x="233"/>
        <n x="234"/>
        <n x="800" s="1"/>
        <n x="671"/>
        <n x="672"/>
      </t>
    </mdx>
    <mdx n="0" f="v">
      <t c="6" si="614">
        <n x="610"/>
        <n x="289"/>
        <n x="290"/>
        <n x="800" s="1"/>
        <n x="669"/>
        <n x="670"/>
      </t>
    </mdx>
    <mdx n="0" f="v">
      <t c="6" si="614">
        <n x="610"/>
        <n x="493"/>
        <n x="494"/>
        <n x="800" s="1"/>
        <n x="667"/>
        <n x="668"/>
      </t>
    </mdx>
    <mdx n="0" f="v">
      <t c="6" si="614">
        <n x="610"/>
        <n x="207"/>
        <n x="208"/>
        <n x="800" s="1"/>
        <n x="665"/>
        <n x="666"/>
      </t>
    </mdx>
    <mdx n="0" f="v">
      <t c="6" si="614">
        <n x="610"/>
        <n x="361"/>
        <n x="362"/>
        <n x="800" s="1"/>
        <n x="663"/>
        <n x="664"/>
      </t>
    </mdx>
    <mdx n="0" f="v">
      <t c="6" si="614">
        <n x="610"/>
        <n x="551"/>
        <n x="552"/>
        <n x="800" s="1"/>
        <n x="661"/>
        <n x="662"/>
      </t>
    </mdx>
    <mdx n="0" f="v">
      <t c="6" si="614">
        <n x="610"/>
        <n x="273"/>
        <n x="274"/>
        <n x="800" s="1"/>
        <n x="659"/>
        <n x="660"/>
      </t>
    </mdx>
    <mdx n="0" f="v">
      <t c="6" si="614">
        <n x="610"/>
        <n x="273"/>
        <n x="274"/>
        <n x="800" s="1"/>
        <n x="671"/>
        <n x="672"/>
      </t>
    </mdx>
    <mdx n="0" f="v">
      <t c="6" si="614">
        <n x="610"/>
        <n x="757"/>
        <n x="758"/>
        <n x="800" s="1"/>
        <n x="669"/>
        <n x="670"/>
      </t>
    </mdx>
    <mdx n="0" f="v">
      <t c="6" si="614">
        <n x="610"/>
        <n x="759"/>
        <n x="760"/>
        <n x="800" s="1"/>
        <n x="667"/>
        <n x="668"/>
      </t>
    </mdx>
    <mdx n="0" f="v">
      <t c="6" si="614">
        <n x="610"/>
        <n x="761"/>
        <n x="762"/>
        <n x="800" s="1"/>
        <n x="665"/>
        <n x="666"/>
      </t>
    </mdx>
    <mdx n="0" f="v">
      <t c="6" si="614">
        <n x="610"/>
        <n x="325"/>
        <n x="326"/>
        <n x="800" s="1"/>
        <n x="663"/>
        <n x="664"/>
      </t>
    </mdx>
    <mdx n="0" f="v">
      <t c="6" si="614">
        <n x="610"/>
        <n x="409"/>
        <n x="410"/>
        <n x="800" s="1"/>
        <n x="661"/>
        <n x="662"/>
      </t>
    </mdx>
    <mdx n="0" f="v">
      <t c="6" si="614">
        <n x="610"/>
        <n x="553"/>
        <n x="554"/>
        <n x="800" s="1"/>
        <n x="659"/>
        <n x="660"/>
      </t>
    </mdx>
    <mdx n="0" f="v">
      <t c="6" si="614">
        <n x="610"/>
        <n x="553"/>
        <n x="554"/>
        <n x="800" s="1"/>
        <n x="671"/>
        <n x="672"/>
      </t>
    </mdx>
    <mdx n="0" f="v">
      <t c="6" si="614">
        <n x="610"/>
        <n x="245"/>
        <n x="246"/>
        <n x="800" s="1"/>
        <n x="669"/>
        <n x="670"/>
      </t>
    </mdx>
    <mdx n="0" f="v">
      <t c="6" si="614">
        <n x="610"/>
        <n x="549"/>
        <n x="550"/>
        <n x="800" s="1"/>
        <n x="667"/>
        <n x="668"/>
      </t>
    </mdx>
    <mdx n="0" f="v">
      <t c="6" si="614">
        <n x="610"/>
        <n x="255"/>
        <n x="256"/>
        <n x="800" s="1"/>
        <n x="665"/>
        <n x="666"/>
      </t>
    </mdx>
    <mdx n="0" f="v">
      <t c="6" si="614">
        <n x="610"/>
        <n x="507"/>
        <n x="508"/>
        <n x="800" s="1"/>
        <n x="663"/>
        <n x="664"/>
      </t>
    </mdx>
    <mdx n="0" f="v">
      <t c="6" si="614">
        <n x="610"/>
        <n x="469"/>
        <n x="470"/>
        <n x="800" s="1"/>
        <n x="661"/>
        <n x="662"/>
      </t>
    </mdx>
    <mdx n="0" f="v">
      <t c="6" si="614">
        <n x="610"/>
        <n x="247"/>
        <n x="248"/>
        <n x="800" s="1"/>
        <n x="659"/>
        <n x="660"/>
      </t>
    </mdx>
    <mdx n="0" f="v">
      <t c="6" si="614">
        <n x="610"/>
        <n x="247"/>
        <n x="248"/>
        <n x="800" s="1"/>
        <n x="671"/>
        <n x="672"/>
      </t>
    </mdx>
    <mdx n="0" f="v">
      <t c="6" si="614">
        <n x="610"/>
        <n x="467"/>
        <n x="468"/>
        <n x="800" s="1"/>
        <n x="669"/>
        <n x="670"/>
      </t>
    </mdx>
    <mdx n="0" f="v">
      <t c="6" si="614">
        <n x="610"/>
        <n x="287"/>
        <n x="288"/>
        <n x="800" s="1"/>
        <n x="667"/>
        <n x="668"/>
      </t>
    </mdx>
    <mdx n="0" f="v">
      <t c="6" si="614">
        <n x="610"/>
        <n x="763"/>
        <n x="764"/>
        <n x="800" s="1"/>
        <n x="665"/>
        <n x="666"/>
      </t>
    </mdx>
    <mdx n="0" f="v">
      <t c="6" si="614">
        <n x="610"/>
        <n x="349"/>
        <n x="350"/>
        <n x="800" s="1"/>
        <n x="663"/>
        <n x="664"/>
      </t>
    </mdx>
    <mdx n="0" f="v">
      <t c="6" si="614">
        <n x="610"/>
        <n x="765"/>
        <n x="766"/>
        <n x="800" s="1"/>
        <n x="659"/>
        <n x="660"/>
      </t>
    </mdx>
    <mdx n="0" f="v">
      <t c="6" si="614">
        <n x="610"/>
        <n x="765"/>
        <n x="766"/>
        <n x="800" s="1"/>
        <n x="671"/>
        <n x="672"/>
      </t>
    </mdx>
    <mdx n="0" f="v">
      <t c="6" si="614">
        <n x="610"/>
        <n x="509"/>
        <n x="510"/>
        <n x="800" s="1"/>
        <n x="669"/>
        <n x="670"/>
      </t>
    </mdx>
    <mdx n="0" f="v">
      <t c="6" si="614">
        <n x="610"/>
        <n x="359"/>
        <n x="360"/>
        <n x="800" s="1"/>
        <n x="667"/>
        <n x="668"/>
      </t>
    </mdx>
    <mdx n="0" f="v">
      <t c="6" si="614">
        <n x="610"/>
        <n x="403"/>
        <n x="404"/>
        <n x="800" s="1"/>
        <n x="665"/>
        <n x="666"/>
      </t>
    </mdx>
    <mdx n="0" f="v">
      <t c="6" si="614">
        <n x="610"/>
        <n x="411"/>
        <n x="412"/>
        <n x="800" s="1"/>
        <n x="663"/>
        <n x="664"/>
      </t>
    </mdx>
    <mdx n="0" f="v">
      <t c="6" si="614">
        <n x="610"/>
        <n x="767"/>
        <n x="768"/>
        <n x="800" s="1"/>
        <n x="661"/>
        <n x="662"/>
      </t>
    </mdx>
    <mdx n="0" f="v">
      <t c="6" si="614">
        <n x="610"/>
        <n x="315"/>
        <n x="316"/>
        <n x="800" s="1"/>
        <n x="659"/>
        <n x="660"/>
      </t>
    </mdx>
    <mdx n="0" f="v">
      <t c="6" si="614">
        <n x="610"/>
        <n x="315"/>
        <n x="316"/>
        <n x="800" s="1"/>
        <n x="671"/>
        <n x="672"/>
      </t>
    </mdx>
    <mdx n="0" f="v">
      <t c="6" si="614">
        <n x="610"/>
        <n x="769"/>
        <n x="770"/>
        <n x="800" s="1"/>
        <n x="669"/>
        <n x="670"/>
      </t>
    </mdx>
    <mdx n="0" f="v">
      <t c="6" si="614">
        <n x="610"/>
        <n x="511"/>
        <n x="512"/>
        <n x="800" s="1"/>
        <n x="667"/>
        <n x="668"/>
      </t>
    </mdx>
    <mdx n="0" f="v">
      <t c="6" si="614">
        <n x="610"/>
        <n x="427"/>
        <n x="428"/>
        <n x="800" s="1"/>
        <n x="665"/>
        <n x="666"/>
      </t>
    </mdx>
    <mdx n="0" f="v">
      <t c="6" si="614">
        <n x="610"/>
        <n x="771"/>
        <n x="772"/>
        <n x="800" s="1"/>
        <n x="663"/>
        <n x="664"/>
      </t>
    </mdx>
    <mdx n="0" f="v">
      <t c="6" si="614">
        <n x="610"/>
        <n x="485"/>
        <n x="486"/>
        <n x="800" s="1"/>
        <n x="661"/>
        <n x="662"/>
      </t>
    </mdx>
    <mdx n="0" f="v">
      <t c="6" si="614">
        <n x="610"/>
        <n x="293"/>
        <n x="294"/>
        <n x="800" s="1"/>
        <n x="659"/>
        <n x="660"/>
      </t>
    </mdx>
    <mdx n="0" f="v">
      <t c="6" si="614">
        <n x="610"/>
        <n x="293"/>
        <n x="294"/>
        <n x="800" s="1"/>
        <n x="671"/>
        <n x="672"/>
      </t>
    </mdx>
    <mdx n="0" f="v">
      <t c="6" si="614">
        <n x="610"/>
        <n x="529"/>
        <n x="530"/>
        <n x="800" s="1"/>
        <n x="669"/>
        <n x="670"/>
      </t>
    </mdx>
    <mdx n="0" f="v">
      <t c="6" si="614">
        <n x="610"/>
        <n x="249"/>
        <n x="250"/>
        <n x="800" s="1"/>
        <n x="667"/>
        <n x="668"/>
      </t>
    </mdx>
    <mdx n="0" f="v">
      <t c="6" si="614">
        <n x="610"/>
        <n x="773"/>
        <n x="774"/>
        <n x="800" s="1"/>
        <n x="665"/>
        <n x="666"/>
      </t>
    </mdx>
    <mdx n="0" f="v">
      <t c="6" si="614">
        <n x="610"/>
        <n x="775"/>
        <n x="776"/>
        <n x="800" s="1"/>
        <n x="663"/>
        <n x="664"/>
      </t>
    </mdx>
    <mdx n="0" f="v">
      <t c="6" si="614">
        <n x="610"/>
        <n x="777"/>
        <n x="778"/>
        <n x="800" s="1"/>
        <n x="661"/>
        <n x="662"/>
      </t>
    </mdx>
    <mdx n="0" f="v">
      <t c="6" si="614">
        <n x="610"/>
        <n x="357"/>
        <n x="358"/>
        <n x="800" s="1"/>
        <n x="659"/>
        <n x="660"/>
      </t>
    </mdx>
    <mdx n="0" f="v">
      <t c="6" si="614">
        <n x="610"/>
        <n x="357"/>
        <n x="358"/>
        <n x="800" s="1"/>
        <n x="671"/>
        <n x="672"/>
      </t>
    </mdx>
    <mdx n="0" f="v">
      <t c="6" si="614">
        <n x="610"/>
        <n x="381"/>
        <n x="382"/>
        <n x="800" s="1"/>
        <n x="669"/>
        <n x="670"/>
      </t>
    </mdx>
    <mdx n="0" f="v">
      <t c="6" si="614">
        <n x="610"/>
        <n x="515"/>
        <n x="516"/>
        <n x="800" s="1"/>
        <n x="667"/>
        <n x="668"/>
      </t>
    </mdx>
    <mdx n="0" f="v">
      <t c="6" si="614">
        <n x="610"/>
        <n x="445"/>
        <n x="446"/>
        <n x="800" s="1"/>
        <n x="665"/>
        <n x="666"/>
      </t>
    </mdx>
    <mdx n="0" f="v">
      <t c="6" si="614">
        <n x="610"/>
        <n x="779"/>
        <n x="780"/>
        <n x="800" s="1"/>
        <n x="663"/>
        <n x="664"/>
      </t>
    </mdx>
    <mdx n="0" f="v">
      <t c="6" si="614">
        <n x="610"/>
        <n x="269"/>
        <n x="270"/>
        <n x="800" s="1"/>
        <n x="661"/>
        <n x="662"/>
      </t>
    </mdx>
    <mdx n="0" f="v">
      <t c="6" si="614">
        <n x="610"/>
        <n x="533"/>
        <n x="534"/>
        <n x="800" s="1"/>
        <n x="659"/>
        <n x="660"/>
      </t>
    </mdx>
    <mdx n="0" f="v">
      <t c="6" si="614">
        <n x="610"/>
        <n x="533"/>
        <n x="534"/>
        <n x="800" s="1"/>
        <n x="671"/>
        <n x="672"/>
      </t>
    </mdx>
    <mdx n="0" f="v">
      <t c="6" si="614">
        <n x="610"/>
        <n x="527"/>
        <n x="528"/>
        <n x="800" s="1"/>
        <n x="669"/>
        <n x="670"/>
      </t>
    </mdx>
    <mdx n="0" f="v">
      <t c="6" si="614">
        <n x="610"/>
        <n x="781"/>
        <n x="782"/>
        <n x="800" s="1"/>
        <n x="667"/>
        <n x="668"/>
      </t>
    </mdx>
    <mdx n="0" f="v">
      <t c="6" si="614">
        <n x="610"/>
        <n x="375"/>
        <n x="376"/>
        <n x="800" s="1"/>
        <n x="665"/>
        <n x="666"/>
      </t>
    </mdx>
    <mdx n="0" f="v">
      <t c="6" si="614">
        <n x="610"/>
        <n x="783"/>
        <n x="784"/>
        <n x="800" s="1"/>
        <n x="663"/>
        <n x="664"/>
      </t>
    </mdx>
    <mdx n="0" f="v">
      <t c="6" si="614">
        <n x="610"/>
        <n x="355"/>
        <n x="356"/>
        <n x="800" s="1"/>
        <n x="659"/>
        <n x="660"/>
      </t>
    </mdx>
    <mdx n="0" f="v">
      <t c="6" si="614">
        <n x="610"/>
        <n x="355"/>
        <n x="356"/>
        <n x="800" s="1"/>
        <n x="671"/>
        <n x="672"/>
      </t>
    </mdx>
    <mdx n="0" f="v">
      <t c="6" si="614">
        <n x="610"/>
        <n x="785"/>
        <n x="786"/>
        <n x="800" s="1"/>
        <n x="669"/>
        <n x="670"/>
      </t>
    </mdx>
    <mdx n="0" f="v">
      <t c="6" si="614">
        <n x="610"/>
        <n x="787"/>
        <n x="788"/>
        <n x="800" s="1"/>
        <n x="667"/>
        <n x="668"/>
      </t>
    </mdx>
    <mdx n="0" f="v">
      <t c="6" si="614">
        <n x="610"/>
        <n x="583"/>
        <n x="584"/>
        <n x="800" s="1"/>
        <n x="665"/>
        <n x="666"/>
      </t>
    </mdx>
    <mdx n="0" f="v">
      <t c="6" si="614">
        <n x="610"/>
        <n x="581"/>
        <n x="582"/>
        <n x="800" s="1"/>
        <n x="659"/>
        <n x="660"/>
      </t>
    </mdx>
    <mdx n="0" f="v">
      <t c="6" si="614">
        <n x="610"/>
        <n x="581"/>
        <n x="582"/>
        <n x="800" s="1"/>
        <n x="671"/>
        <n x="672"/>
      </t>
    </mdx>
    <mdx n="0" f="v">
      <t c="6" si="614">
        <n x="610"/>
        <n x="431"/>
        <n x="432"/>
        <n x="800" s="1"/>
        <n x="669"/>
        <n x="670"/>
      </t>
    </mdx>
    <mdx n="0" f="v">
      <t c="6" si="614">
        <n x="610"/>
        <n x="789"/>
        <n x="790"/>
        <n x="800" s="1"/>
        <n x="667"/>
        <n x="668"/>
      </t>
    </mdx>
    <mdx n="0" f="v">
      <t c="6" si="614">
        <n x="610"/>
        <n x="311"/>
        <n x="312"/>
        <n x="800" s="1"/>
        <n x="665"/>
        <n x="666"/>
      </t>
    </mdx>
    <mdx n="0" f="v">
      <t c="6" si="614">
        <n x="610"/>
        <n x="531"/>
        <n x="532"/>
        <n x="800" s="1"/>
        <n x="663"/>
        <n x="664"/>
      </t>
    </mdx>
    <mdx n="0" f="v">
      <t c="6" si="614">
        <n x="610"/>
        <n x="565"/>
        <n x="566"/>
        <n x="800" s="1"/>
        <n x="661"/>
        <n x="662"/>
      </t>
    </mdx>
    <mdx n="0" f="v">
      <t c="6" si="614">
        <n x="610"/>
        <n x="521"/>
        <n x="522"/>
        <n x="800" s="1"/>
        <n x="659"/>
        <n x="660"/>
      </t>
    </mdx>
    <mdx n="0" f="v">
      <t c="6" si="614">
        <n x="610"/>
        <n x="521"/>
        <n x="522"/>
        <n x="800" s="1"/>
        <n x="671"/>
        <n x="672"/>
      </t>
    </mdx>
    <mdx n="0" f="v">
      <t c="6" si="614">
        <n x="610"/>
        <n x="423"/>
        <n x="424"/>
        <n x="800" s="1"/>
        <n x="669"/>
        <n x="670"/>
      </t>
    </mdx>
    <mdx n="0" f="v">
      <t c="6" si="614">
        <n x="610"/>
        <n x="545"/>
        <n x="546"/>
        <n x="800" s="1"/>
        <n x="667"/>
        <n x="668"/>
      </t>
    </mdx>
    <mdx n="0" f="v">
      <t c="6" si="614">
        <n x="610"/>
        <n x="575"/>
        <n x="576"/>
        <n x="800" s="1"/>
        <n x="665"/>
        <n x="666"/>
      </t>
    </mdx>
    <mdx n="0" f="v">
      <t c="6" si="614">
        <n x="610"/>
        <n x="451"/>
        <n x="452"/>
        <n x="800" s="1"/>
        <n x="663"/>
        <n x="664"/>
      </t>
    </mdx>
    <mdx n="0" f="v">
      <t c="6" si="614">
        <n x="610"/>
        <n x="473"/>
        <n x="474"/>
        <n x="800" s="1"/>
        <n x="661"/>
        <n x="662"/>
      </t>
    </mdx>
    <mdx n="0" f="v">
      <t c="6" si="614">
        <n x="610"/>
        <n x="523"/>
        <n x="524"/>
        <n x="800" s="1"/>
        <n x="659"/>
        <n x="660"/>
      </t>
    </mdx>
    <mdx n="0" f="v">
      <t c="6" si="614">
        <n x="610"/>
        <n x="523"/>
        <n x="524"/>
        <n x="800" s="1"/>
        <n x="671"/>
        <n x="672"/>
      </t>
    </mdx>
    <mdx n="0" f="v">
      <t c="6" si="614">
        <n x="610"/>
        <n x="297"/>
        <n x="298"/>
        <n x="800" s="1"/>
        <n x="669"/>
        <n x="670"/>
      </t>
    </mdx>
    <mdx n="0" f="v">
      <t c="6" si="614">
        <n x="610"/>
        <n x="579"/>
        <n x="580"/>
        <n x="800" s="1"/>
        <n x="667"/>
        <n x="668"/>
      </t>
    </mdx>
    <mdx n="0" f="v">
      <t c="6" si="614">
        <n x="610"/>
        <n x="313"/>
        <n x="314"/>
        <n x="800" s="1"/>
        <n x="665"/>
        <n x="666"/>
      </t>
    </mdx>
    <mdx n="0" f="v">
      <t c="6" si="614">
        <n x="610"/>
        <n x="351"/>
        <n x="352"/>
        <n x="800" s="1"/>
        <n x="663"/>
        <n x="664"/>
      </t>
    </mdx>
    <mdx n="0" f="v">
      <t c="6" si="614">
        <n x="610"/>
        <n x="213"/>
        <n x="214"/>
        <n x="800" s="1"/>
        <n x="661"/>
        <n x="662"/>
      </t>
    </mdx>
    <mdx n="0" f="v">
      <t c="6" si="614">
        <n x="610"/>
        <n x="791"/>
        <n x="792"/>
        <n x="800" s="1"/>
        <n x="659"/>
        <n x="660"/>
      </t>
    </mdx>
    <mdx n="0" f="v">
      <t c="6" si="614">
        <n x="610"/>
        <n x="791"/>
        <n x="792"/>
        <n x="800" s="1"/>
        <n x="671"/>
        <n x="672"/>
      </t>
    </mdx>
    <mdx n="0" f="v">
      <t c="6" si="614">
        <n x="610"/>
        <n x="331"/>
        <n x="332"/>
        <n x="800" s="1"/>
        <n x="669"/>
        <n x="670"/>
      </t>
    </mdx>
    <mdx n="0" f="v">
      <t c="6" si="614">
        <n x="610"/>
        <n x="227"/>
        <n x="228"/>
        <n x="800" s="1"/>
        <n x="667"/>
        <n x="668"/>
      </t>
    </mdx>
    <mdx n="0" f="v">
      <t c="6" si="614">
        <n x="610"/>
        <n x="795"/>
        <n x="796"/>
        <n x="800" s="1"/>
        <n x="663"/>
        <n x="664"/>
      </t>
    </mdx>
    <mdx n="0" f="v">
      <t c="6" si="614">
        <n x="610"/>
        <n x="465"/>
        <n x="466"/>
        <n x="800" s="1"/>
        <n x="661"/>
        <n x="662"/>
      </t>
    </mdx>
    <mdx n="0" f="v">
      <t c="6" si="614">
        <n x="610"/>
        <n x="303"/>
        <n x="304"/>
        <n x="800" s="1"/>
        <n x="659"/>
        <n x="660"/>
      </t>
    </mdx>
    <mdx n="0" f="v">
      <t c="6" si="614">
        <n x="610"/>
        <n x="303"/>
        <n x="304"/>
        <n x="800" s="1"/>
        <n x="671"/>
        <n x="672"/>
      </t>
    </mdx>
    <mdx n="0" f="v">
      <t c="6" si="614">
        <n x="610"/>
        <n x="211"/>
        <n x="212"/>
        <n x="800" s="1"/>
        <n x="669"/>
        <n x="670"/>
      </t>
    </mdx>
    <mdx n="0" f="v">
      <t c="6" si="614">
        <n x="610"/>
        <n x="439"/>
        <n x="440"/>
        <n x="800" s="1"/>
        <n x="667"/>
        <n x="668"/>
      </t>
    </mdx>
    <mdx n="0" f="v">
      <t c="6" si="614">
        <n x="610"/>
        <n x="571"/>
        <n x="572"/>
        <n x="800" s="1"/>
        <n x="665"/>
        <n x="666"/>
      </t>
    </mdx>
    <mdx n="0" f="v">
      <t c="6" si="614">
        <n x="610"/>
        <n x="305"/>
        <n x="306"/>
        <n x="800" s="1"/>
        <n x="663"/>
        <n x="664"/>
      </t>
    </mdx>
    <mdx n="0" f="v">
      <t c="6" si="614">
        <n x="610"/>
        <n x="563"/>
        <n x="564"/>
        <n x="800" s="1"/>
        <n x="661"/>
        <n x="662"/>
      </t>
    </mdx>
    <mdx n="0" f="v">
      <t c="6" si="614">
        <n x="610"/>
        <n x="225"/>
        <n x="226"/>
        <n x="800" s="1"/>
        <n x="671"/>
        <n x="672"/>
      </t>
    </mdx>
    <mdx n="0" f="v">
      <t c="6" si="614">
        <n x="610"/>
        <n x="279"/>
        <n x="280"/>
        <n x="800" s="1"/>
        <n x="669"/>
        <n x="670"/>
      </t>
    </mdx>
    <mdx n="0" f="v">
      <t c="6" si="614">
        <n x="610"/>
        <n x="291"/>
        <n x="292"/>
        <n x="800" s="1"/>
        <n x="667"/>
        <n x="668"/>
      </t>
    </mdx>
    <mdx n="0" f="v">
      <t c="6" si="614">
        <n x="610"/>
        <n x="797"/>
        <n x="798"/>
        <n x="800" s="1"/>
        <n x="665"/>
        <n x="666"/>
      </t>
    </mdx>
    <mdx n="0" f="v">
      <t c="6" si="614">
        <n x="610"/>
        <n x="373"/>
        <n x="374"/>
        <n x="800" s="1"/>
        <n x="663"/>
        <n x="664"/>
      </t>
    </mdx>
    <mdx n="0" f="v">
      <t c="6" si="614">
        <n x="610"/>
        <n x="329"/>
        <n x="330"/>
        <n x="800" s="1"/>
        <n x="661"/>
        <n x="662"/>
      </t>
    </mdx>
    <mdx n="0" f="v">
      <t c="6" si="614">
        <n x="610"/>
        <n x="449"/>
        <n x="450"/>
        <n x="800" s="1"/>
        <n x="659"/>
        <n x="660"/>
      </t>
    </mdx>
    <mdx n="0" f="v">
      <t c="6" si="614">
        <n x="610"/>
        <n x="449"/>
        <n x="450"/>
        <n x="800" s="1"/>
        <n x="671"/>
        <n x="672"/>
      </t>
    </mdx>
    <mdx n="0" f="v">
      <t c="6" si="614">
        <n x="610"/>
        <n x="801"/>
        <n x="802"/>
        <n x="800" s="1"/>
        <n x="669"/>
        <n x="670"/>
      </t>
    </mdx>
    <mdx n="0" f="v">
      <t c="6" si="614">
        <n x="610"/>
        <n x="327"/>
        <n x="328"/>
        <n x="800" s="1"/>
        <n x="667"/>
        <n x="668"/>
      </t>
    </mdx>
    <mdx n="0" f="v">
      <t c="6" si="614">
        <n x="610"/>
        <n x="587"/>
        <n x="588"/>
        <n x="800" s="1"/>
        <n x="661"/>
        <n x="662"/>
      </t>
    </mdx>
    <mdx n="0" f="v">
      <t c="6" si="614">
        <n x="610"/>
        <n x="421"/>
        <n x="422"/>
        <n x="800" s="1"/>
        <n x="659"/>
        <n x="660"/>
      </t>
    </mdx>
    <mdx n="0" f="v">
      <t c="6" si="614">
        <n x="610"/>
        <n x="421"/>
        <n x="422"/>
        <n x="800" s="1"/>
        <n x="671"/>
        <n x="672"/>
      </t>
    </mdx>
    <mdx n="0" f="v">
      <t c="6" si="614">
        <n x="610"/>
        <n x="263"/>
        <n x="264"/>
        <n x="800" s="1"/>
        <n x="669"/>
        <n x="670"/>
      </t>
    </mdx>
    <mdx n="0" f="v">
      <t c="6" si="614">
        <n x="610"/>
        <n x="477"/>
        <n x="478"/>
        <n x="800" s="1"/>
        <n x="667"/>
        <n x="668"/>
      </t>
    </mdx>
    <mdx n="0" f="v">
      <t c="6" si="614">
        <n x="610"/>
        <n x="267"/>
        <n x="268"/>
        <n x="800" s="1"/>
        <n x="665"/>
        <n x="666"/>
      </t>
    </mdx>
    <mdx n="0" f="v">
      <t c="6" si="614">
        <n x="610"/>
        <n x="337"/>
        <n x="338"/>
        <n x="800" s="1"/>
        <n x="663"/>
        <n x="664"/>
      </t>
    </mdx>
    <mdx n="0" f="v">
      <t c="6" si="614">
        <n x="610"/>
        <n x="323"/>
        <n x="324"/>
        <n x="800" s="1"/>
        <n x="661"/>
        <n x="662"/>
      </t>
    </mdx>
    <mdx n="0" f="v">
      <t c="6" si="614">
        <n x="610"/>
        <n x="497"/>
        <n x="498"/>
        <n x="800" s="1"/>
        <n x="659"/>
        <n x="660"/>
      </t>
    </mdx>
    <mdx n="0" f="v">
      <t c="6" si="614">
        <n x="610"/>
        <n x="497"/>
        <n x="498"/>
        <n x="800" s="1"/>
        <n x="671"/>
        <n x="672"/>
      </t>
    </mdx>
    <mdx n="0" f="v">
      <t c="6" si="614">
        <n x="610"/>
        <n x="517"/>
        <n x="518"/>
        <n x="800" s="1"/>
        <n x="669"/>
        <n x="670"/>
      </t>
    </mdx>
    <mdx n="0" f="v">
      <t c="6" si="614">
        <n x="610"/>
        <n x="251"/>
        <n x="252"/>
        <n x="800" s="1"/>
        <n x="667"/>
        <n x="668"/>
      </t>
    </mdx>
    <mdx n="0" f="v">
      <t c="6" si="614">
        <n x="610"/>
        <n x="567"/>
        <n x="568"/>
        <n x="800" s="1"/>
        <n x="665"/>
        <n x="666"/>
      </t>
    </mdx>
    <mdx n="0" f="v">
      <t c="6" si="614">
        <n x="610"/>
        <n x="425"/>
        <n x="426"/>
        <n x="800" s="1"/>
        <n x="663"/>
        <n x="664"/>
      </t>
    </mdx>
    <mdx n="0" f="v">
      <t c="6" si="614">
        <n x="610"/>
        <n x="559"/>
        <n x="560"/>
        <n x="800" s="1"/>
        <n x="661"/>
        <n x="662"/>
      </t>
    </mdx>
    <mdx n="0" f="v">
      <t c="6" si="614">
        <n x="610"/>
        <n x="519"/>
        <n x="520"/>
        <n x="800" s="1"/>
        <n x="659"/>
        <n x="660"/>
      </t>
    </mdx>
    <mdx n="0" f="v">
      <t c="6" si="614">
        <n x="610"/>
        <n x="519"/>
        <n x="520"/>
        <n x="800" s="1"/>
        <n x="671"/>
        <n x="672"/>
      </t>
    </mdx>
    <mdx n="0" f="v">
      <t c="6" si="614">
        <n x="610"/>
        <n x="573"/>
        <n x="574"/>
        <n x="800" s="1"/>
        <n x="669"/>
        <n x="670"/>
      </t>
    </mdx>
    <mdx n="0" f="v">
      <t c="6" si="614">
        <n x="610"/>
        <n x="253"/>
        <n x="254"/>
        <n x="800" s="1"/>
        <n x="667"/>
        <n x="668"/>
      </t>
    </mdx>
    <mdx n="0" f="v">
      <t c="6" si="614">
        <n x="610"/>
        <n x="475"/>
        <n x="476"/>
        <n x="800" s="1"/>
        <n x="665"/>
        <n x="666"/>
      </t>
    </mdx>
    <mdx n="0" f="v">
      <t c="6" si="614">
        <n x="610"/>
        <n x="369"/>
        <n x="370"/>
        <n x="800" s="1"/>
        <n x="663"/>
        <n x="664"/>
      </t>
    </mdx>
    <mdx n="0" f="v">
      <t c="6" si="614">
        <n x="610"/>
        <n x="805"/>
        <n x="806"/>
        <n x="800" s="1"/>
        <n x="659"/>
        <n x="660"/>
      </t>
    </mdx>
    <mdx n="0" f="v">
      <t c="6" si="614">
        <n x="610"/>
        <n x="805"/>
        <n x="806"/>
        <n x="800" s="1"/>
        <n x="671"/>
        <n x="672"/>
      </t>
    </mdx>
    <mdx n="0" f="v">
      <t c="6" si="614">
        <n x="610"/>
        <n x="715"/>
        <n x="716"/>
        <n x="800" s="1"/>
        <n x="659"/>
        <n x="660"/>
      </t>
    </mdx>
    <mdx n="0" f="v">
      <t c="6" si="614">
        <n x="610"/>
        <n x="715"/>
        <n x="716"/>
        <n x="800" s="1"/>
        <n x="671"/>
        <n x="672"/>
      </t>
    </mdx>
    <mdx n="0" f="v">
      <t c="6" si="614">
        <n x="610"/>
        <n x="317"/>
        <n x="318"/>
        <n x="800" s="1"/>
        <n x="669"/>
        <n x="670"/>
      </t>
    </mdx>
    <mdx n="0" f="v">
      <t c="6" si="614">
        <n x="610"/>
        <n x="717"/>
        <n x="718"/>
        <n x="800" s="1"/>
        <n x="667"/>
        <n x="668"/>
      </t>
    </mdx>
    <mdx n="0" f="v">
      <t c="6" si="614">
        <n x="610"/>
        <n x="599"/>
        <n x="600"/>
        <n x="800" s="1"/>
        <n x="665"/>
        <n x="666"/>
      </t>
    </mdx>
    <mdx n="0" f="v">
      <t c="6" si="614">
        <n x="610"/>
        <n x="217"/>
        <n x="218"/>
        <n x="800" s="1"/>
        <n x="663"/>
        <n x="664"/>
      </t>
    </mdx>
    <mdx n="0" f="v">
      <t c="6" si="614">
        <n x="610"/>
        <n x="285"/>
        <n x="286"/>
        <n x="800" s="1"/>
        <n x="661"/>
        <n x="662"/>
      </t>
    </mdx>
    <mdx n="0" f="v">
      <t c="6" si="614">
        <n x="610"/>
        <n x="261"/>
        <n x="262"/>
        <n x="800" s="1"/>
        <n x="659"/>
        <n x="660"/>
      </t>
    </mdx>
    <mdx n="0" f="v">
      <t c="6" si="614">
        <n x="610"/>
        <n x="261"/>
        <n x="262"/>
        <n x="800" s="1"/>
        <n x="671"/>
        <n x="672"/>
      </t>
    </mdx>
    <mdx n="0" f="v">
      <t c="6" si="614">
        <n x="610"/>
        <n x="275"/>
        <n x="276"/>
        <n x="800" s="1"/>
        <n x="669"/>
        <n x="670"/>
      </t>
    </mdx>
    <mdx n="0" f="v">
      <t c="6" si="614">
        <n x="610"/>
        <n x="719"/>
        <n x="720"/>
        <n x="800" s="1"/>
        <n x="667"/>
        <n x="668"/>
      </t>
    </mdx>
    <mdx n="0" f="v">
      <t c="6" si="614">
        <n x="610"/>
        <n x="585"/>
        <n x="586"/>
        <n x="800" s="1"/>
        <n x="665"/>
        <n x="666"/>
      </t>
    </mdx>
    <mdx n="0" f="v">
      <t c="6" si="614">
        <n x="610"/>
        <n x="721"/>
        <n x="722"/>
        <n x="800" s="1"/>
        <n x="663"/>
        <n x="664"/>
      </t>
    </mdx>
    <mdx n="0" f="v">
      <t c="6" si="614">
        <n x="610"/>
        <n x="723"/>
        <n x="724"/>
        <n x="800" s="1"/>
        <n x="661"/>
        <n x="662"/>
      </t>
    </mdx>
    <mdx n="0" f="v">
      <t c="6" si="614">
        <n x="610"/>
        <n x="463"/>
        <n x="464"/>
        <n x="800" s="1"/>
        <n x="659"/>
        <n x="660"/>
      </t>
    </mdx>
    <mdx n="0" f="v">
      <t c="6" si="614">
        <n x="610"/>
        <n x="463"/>
        <n x="464"/>
        <n x="800" s="1"/>
        <n x="671"/>
        <n x="672"/>
      </t>
    </mdx>
    <mdx n="0" f="v">
      <t c="6" si="614">
        <n x="610"/>
        <n x="377"/>
        <n x="378"/>
        <n x="800" s="1"/>
        <n x="669"/>
        <n x="670"/>
      </t>
    </mdx>
    <mdx n="0" f="v">
      <t c="6" si="614">
        <n x="610"/>
        <n x="391"/>
        <n x="392"/>
        <n x="800" s="1"/>
        <n x="667"/>
        <n x="668"/>
      </t>
    </mdx>
    <mdx n="0" f="v">
      <t c="6" si="614">
        <n x="610"/>
        <n x="379"/>
        <n x="380"/>
        <n x="800" s="1"/>
        <n x="663"/>
        <n x="664"/>
      </t>
    </mdx>
    <mdx n="0" f="v">
      <t c="6" si="614">
        <n x="610"/>
        <n x="239"/>
        <n x="240"/>
        <n x="800" s="1"/>
        <n x="661"/>
        <n x="662"/>
      </t>
    </mdx>
    <mdx n="0" f="v">
      <t c="6" si="614">
        <n x="610"/>
        <n x="365"/>
        <n x="366"/>
        <n x="800" s="1"/>
        <n x="659"/>
        <n x="660"/>
      </t>
    </mdx>
    <mdx n="0" f="v">
      <t c="6" si="614">
        <n x="610"/>
        <n x="365"/>
        <n x="366"/>
        <n x="800" s="1"/>
        <n x="671"/>
        <n x="672"/>
      </t>
    </mdx>
    <mdx n="0" f="v">
      <t c="6" si="614">
        <n x="610"/>
        <n x="221"/>
        <n x="222"/>
        <n x="800" s="1"/>
        <n x="669"/>
        <n x="670"/>
      </t>
    </mdx>
    <mdx n="0" f="v">
      <t c="6" si="614">
        <n x="610"/>
        <n x="461"/>
        <n x="462"/>
        <n x="800" s="1"/>
        <n x="667"/>
        <n x="668"/>
      </t>
    </mdx>
    <mdx n="0" f="v">
      <t c="6" si="614">
        <n x="610"/>
        <n x="397"/>
        <n x="398"/>
        <n x="800" s="1"/>
        <n x="665"/>
        <n x="666"/>
      </t>
    </mdx>
    <mdx n="0" f="v">
      <t c="6" si="614">
        <n x="610"/>
        <n x="459"/>
        <n x="460"/>
        <n x="800" s="1"/>
        <n x="663"/>
        <n x="664"/>
      </t>
    </mdx>
    <mdx n="0" f="v">
      <t c="6" si="614">
        <n x="610"/>
        <n x="597"/>
        <n x="598"/>
        <n x="800" s="1"/>
        <n x="659"/>
        <n x="660"/>
      </t>
    </mdx>
    <mdx n="0" f="v">
      <t c="6" si="614">
        <n x="610"/>
        <n x="597"/>
        <n x="598"/>
        <n x="800" s="1"/>
        <n x="671"/>
        <n x="672"/>
      </t>
    </mdx>
    <mdx n="0" f="v">
      <t c="6" si="614">
        <n x="610"/>
        <n x="725"/>
        <n x="726"/>
        <n x="800" s="1"/>
        <n x="669"/>
        <n x="670"/>
      </t>
    </mdx>
    <mdx n="0" f="v">
      <t c="6" si="614">
        <n x="610"/>
        <n x="457"/>
        <n x="458"/>
        <n x="800" s="1"/>
        <n x="667"/>
        <n x="668"/>
      </t>
    </mdx>
    <mdx n="0" f="v">
      <t c="6" si="614">
        <n x="610"/>
        <n x="231"/>
        <n x="232"/>
        <n x="800" s="1"/>
        <n x="665"/>
        <n x="666"/>
      </t>
    </mdx>
    <mdx n="0" f="v">
      <t c="6" si="614">
        <n x="610"/>
        <n x="601"/>
        <n x="602"/>
        <n x="800" s="1"/>
        <n x="663"/>
        <n x="664"/>
      </t>
    </mdx>
    <mdx n="0" f="v">
      <t c="6" si="614">
        <n x="610"/>
        <n x="557"/>
        <n x="558"/>
        <n x="800" s="1"/>
        <n x="661"/>
        <n x="662"/>
      </t>
    </mdx>
    <mdx n="0" f="v">
      <t c="6" si="614">
        <n x="610"/>
        <n x="727"/>
        <n x="728"/>
        <n x="800" s="1"/>
        <n x="659"/>
        <n x="660"/>
      </t>
    </mdx>
    <mdx n="0" f="v">
      <t c="6" si="614">
        <n x="610"/>
        <n x="727"/>
        <n x="728"/>
        <n x="800" s="1"/>
        <n x="671"/>
        <n x="672"/>
      </t>
    </mdx>
    <mdx n="0" f="v">
      <t c="6" si="614">
        <n x="610"/>
        <n x="729"/>
        <n x="730"/>
        <n x="800" s="1"/>
        <n x="669"/>
        <n x="670"/>
      </t>
    </mdx>
    <mdx n="0" f="v">
      <t c="6" si="614">
        <n x="610"/>
        <n x="367"/>
        <n x="368"/>
        <n x="800" s="1"/>
        <n x="667"/>
        <n x="668"/>
      </t>
    </mdx>
    <mdx n="0" f="v">
      <t c="6" si="614">
        <n x="610"/>
        <n x="555"/>
        <n x="556"/>
        <n x="800" s="1"/>
        <n x="665"/>
        <n x="666"/>
      </t>
    </mdx>
    <mdx n="0" f="v">
      <t c="6" si="614">
        <n x="610"/>
        <n x="237"/>
        <n x="238"/>
        <n x="800" s="1"/>
        <n x="663"/>
        <n x="664"/>
      </t>
    </mdx>
    <mdx n="0" f="v">
      <t c="6" si="614">
        <n x="610"/>
        <n x="731"/>
        <n x="732"/>
        <n x="800" s="1"/>
        <n x="659"/>
        <n x="660"/>
      </t>
    </mdx>
    <mdx n="0" f="v">
      <t c="6" si="614">
        <n x="610"/>
        <n x="731"/>
        <n x="732"/>
        <n x="800" s="1"/>
        <n x="671"/>
        <n x="672"/>
      </t>
    </mdx>
    <mdx n="0" f="v">
      <t c="6" si="614">
        <n x="610"/>
        <n x="541"/>
        <n x="542"/>
        <n x="800" s="1"/>
        <n x="669"/>
        <n x="670"/>
      </t>
    </mdx>
    <mdx n="0" f="v">
      <t c="6" si="614">
        <n x="610"/>
        <n x="603"/>
        <n x="604"/>
        <n x="800" s="1"/>
        <n x="667"/>
        <n x="668"/>
      </t>
    </mdx>
    <mdx n="0" f="v">
      <t c="6" si="614">
        <n x="610"/>
        <n x="607"/>
        <n x="608"/>
        <n x="800" s="1"/>
        <n x="665"/>
        <n x="666"/>
      </t>
    </mdx>
    <mdx n="0" f="v">
      <t c="6" si="614">
        <n x="610"/>
        <n x="453"/>
        <n x="454"/>
        <n x="800" s="1"/>
        <n x="663"/>
        <n x="664"/>
      </t>
    </mdx>
    <mdx n="0" f="v">
      <t c="6" si="614">
        <n x="610"/>
        <n x="363"/>
        <n x="364"/>
        <n x="800" s="1"/>
        <n x="661"/>
        <n x="662"/>
      </t>
    </mdx>
    <mdx n="0" f="v">
      <t c="6" si="614">
        <n x="610"/>
        <n x="265"/>
        <n x="266"/>
        <n x="800" s="1"/>
        <n x="659"/>
        <n x="660"/>
      </t>
    </mdx>
    <mdx n="0" f="v">
      <t c="6" si="614">
        <n x="610"/>
        <n x="265"/>
        <n x="266"/>
        <n x="800" s="1"/>
        <n x="671"/>
        <n x="672"/>
      </t>
    </mdx>
    <mdx n="0" f="v">
      <t c="6" si="614">
        <n x="610"/>
        <n x="595"/>
        <n x="596"/>
        <n x="800" s="1"/>
        <n x="669"/>
        <n x="670"/>
      </t>
    </mdx>
    <mdx n="0" f="v">
      <t c="6" si="614">
        <n x="610"/>
        <n x="413"/>
        <n x="414"/>
        <n x="800" s="1"/>
        <n x="667"/>
        <n x="668"/>
      </t>
    </mdx>
    <mdx n="0" f="v">
      <t c="6" si="614">
        <n x="610"/>
        <n x="235"/>
        <n x="236"/>
        <n x="800" s="1"/>
        <n x="665"/>
        <n x="666"/>
      </t>
    </mdx>
    <mdx n="0" f="v">
      <t c="6" si="614">
        <n x="610"/>
        <n x="733"/>
        <n x="734"/>
        <n x="800" s="1"/>
        <n x="663"/>
        <n x="664"/>
      </t>
    </mdx>
    <mdx n="0" f="v">
      <t c="6" si="614">
        <n x="610"/>
        <n x="281"/>
        <n x="282"/>
        <n x="800" s="1"/>
        <n x="661"/>
        <n x="662"/>
      </t>
    </mdx>
    <mdx n="0" f="v">
      <t c="6" si="614">
        <n x="610"/>
        <n x="243"/>
        <n x="244"/>
        <n x="800" s="1"/>
        <n x="659"/>
        <n x="660"/>
      </t>
    </mdx>
    <mdx n="0" f="v">
      <t c="6" si="614">
        <n x="610"/>
        <n x="243"/>
        <n x="244"/>
        <n x="800" s="1"/>
        <n x="671"/>
        <n x="672"/>
      </t>
    </mdx>
    <mdx n="0" f="v">
      <t c="6" si="614">
        <n x="610"/>
        <n x="389"/>
        <n x="390"/>
        <n x="800" s="1"/>
        <n x="669"/>
        <n x="670"/>
      </t>
    </mdx>
    <mdx n="0" f="v">
      <t c="6" si="614">
        <n x="610"/>
        <n x="271"/>
        <n x="272"/>
        <n x="800" s="1"/>
        <n x="667"/>
        <n x="668"/>
      </t>
    </mdx>
    <mdx n="0" f="v">
      <t c="6" si="614">
        <n x="610"/>
        <n x="735"/>
        <n x="736"/>
        <n x="800" s="1"/>
        <n x="665"/>
        <n x="666"/>
      </t>
    </mdx>
    <mdx n="0" f="v">
      <t c="6" si="614">
        <n x="610"/>
        <n x="283"/>
        <n x="284"/>
        <n x="800" s="1"/>
        <n x="663"/>
        <n x="664"/>
      </t>
    </mdx>
    <mdx n="0" f="v">
      <t c="6" si="614">
        <n x="610"/>
        <n x="277"/>
        <n x="278"/>
        <n x="800" s="1"/>
        <n x="661"/>
        <n x="662"/>
      </t>
    </mdx>
    <mdx n="0" f="v">
      <t c="6" si="614">
        <n x="610"/>
        <n x="443"/>
        <n x="444"/>
        <n x="800" s="1"/>
        <n x="659"/>
        <n x="660"/>
      </t>
    </mdx>
    <mdx n="0" f="v">
      <t c="6" si="614">
        <n x="610"/>
        <n x="443"/>
        <n x="444"/>
        <n x="800" s="1"/>
        <n x="671"/>
        <n x="672"/>
      </t>
    </mdx>
    <mdx n="0" f="v">
      <t c="6" si="614">
        <n x="610"/>
        <n x="525"/>
        <n x="526"/>
        <n x="800" s="1"/>
        <n x="669"/>
        <n x="670"/>
      </t>
    </mdx>
    <mdx n="0" f="v">
      <t c="6" si="614">
        <n x="610"/>
        <n x="387"/>
        <n x="388"/>
        <n x="800" s="1"/>
        <n x="667"/>
        <n x="668"/>
      </t>
    </mdx>
    <mdx n="0" f="v">
      <t c="6" si="614">
        <n x="610"/>
        <n x="257"/>
        <n x="258"/>
        <n x="800" s="1"/>
        <n x="665"/>
        <n x="666"/>
      </t>
    </mdx>
    <mdx n="0" f="v">
      <t c="6" si="614">
        <n x="610"/>
        <n x="319"/>
        <n x="320"/>
        <n x="800" s="1"/>
        <n x="663"/>
        <n x="664"/>
      </t>
    </mdx>
    <mdx n="0" f="v">
      <t c="6" si="614">
        <n x="610"/>
        <n x="401"/>
        <n x="402"/>
        <n x="800" s="1"/>
        <n x="661"/>
        <n x="662"/>
      </t>
    </mdx>
    <mdx n="0" f="v">
      <t c="6" si="614">
        <n x="610"/>
        <n x="209"/>
        <n x="210"/>
        <n x="800" s="1"/>
        <n x="671"/>
        <n x="672"/>
      </t>
    </mdx>
    <mdx n="0" f="v">
      <t c="6" si="614">
        <n x="610"/>
        <n x="591"/>
        <n x="592"/>
        <n x="800" s="1"/>
        <n x="669"/>
        <n x="670"/>
      </t>
    </mdx>
    <mdx n="0" f="v">
      <t c="6" si="614">
        <n x="610"/>
        <n x="737"/>
        <n x="738"/>
        <n x="800" s="1"/>
        <n x="667"/>
        <n x="668"/>
      </t>
    </mdx>
    <mdx n="0" f="v">
      <t c="6" si="614">
        <n x="610"/>
        <n x="739"/>
        <n x="740"/>
        <n x="800" s="1"/>
        <n x="665"/>
        <n x="666"/>
      </t>
    </mdx>
    <mdx n="0" f="v">
      <t c="6" si="614">
        <n x="610"/>
        <n x="741"/>
        <n x="742"/>
        <n x="800" s="1"/>
        <n x="663"/>
        <n x="664"/>
      </t>
    </mdx>
    <mdx n="0" f="v">
      <t c="6" si="614">
        <n x="610"/>
        <n x="435"/>
        <n x="436"/>
        <n x="800" s="1"/>
        <n x="661"/>
        <n x="662"/>
      </t>
    </mdx>
    <mdx n="0" f="v">
      <t c="6" si="614">
        <n x="610"/>
        <n x="499"/>
        <n x="500"/>
        <n x="800" s="1"/>
        <n x="659"/>
        <n x="660"/>
      </t>
    </mdx>
    <mdx n="0" f="v">
      <t c="6" si="614">
        <n x="610"/>
        <n x="499"/>
        <n x="500"/>
        <n x="800" s="1"/>
        <n x="671"/>
        <n x="672"/>
      </t>
    </mdx>
    <mdx n="0" f="v">
      <t c="6" si="614">
        <n x="610"/>
        <n x="455"/>
        <n x="456"/>
        <n x="800" s="1"/>
        <n x="669"/>
        <n x="670"/>
      </t>
    </mdx>
    <mdx n="0" f="v">
      <t c="6" si="614">
        <n x="610"/>
        <n x="429"/>
        <n x="430"/>
        <n x="800" s="1"/>
        <n x="667"/>
        <n x="668"/>
      </t>
    </mdx>
    <mdx n="0" f="v">
      <t c="6" si="614">
        <n x="610"/>
        <n x="537"/>
        <n x="538"/>
        <n x="800" s="1"/>
        <n x="665"/>
        <n x="666"/>
      </t>
    </mdx>
    <mdx n="0" f="v">
      <t c="6" si="614">
        <n x="610"/>
        <n x="393"/>
        <n x="394"/>
        <n x="800" s="1"/>
        <n x="663"/>
        <n x="664"/>
      </t>
    </mdx>
    <mdx n="0" f="v">
      <t c="6" si="614">
        <n x="610"/>
        <n x="743"/>
        <n x="744"/>
        <n x="800" s="1"/>
        <n x="661"/>
        <n x="662"/>
      </t>
    </mdx>
    <mdx n="0" f="v">
      <t c="6" si="614">
        <n x="610"/>
        <n x="561"/>
        <n x="562"/>
        <n x="800" s="1"/>
        <n x="659"/>
        <n x="660"/>
      </t>
    </mdx>
    <mdx n="0" f="v">
      <t c="6" si="614">
        <n x="610"/>
        <n x="561"/>
        <n x="562"/>
        <n x="800" s="1"/>
        <n x="671"/>
        <n x="672"/>
      </t>
    </mdx>
    <mdx n="0" f="v">
      <t c="6" si="614">
        <n x="610"/>
        <n x="491"/>
        <n x="492"/>
        <n x="800" s="1"/>
        <n x="669"/>
        <n x="670"/>
      </t>
    </mdx>
    <mdx n="0" f="v">
      <t c="6" si="614">
        <n x="610"/>
        <n x="433"/>
        <n x="434"/>
        <n x="800" s="1"/>
        <n x="667"/>
        <n x="668"/>
      </t>
    </mdx>
    <mdx n="0" f="v">
      <t c="6" si="614">
        <n x="610"/>
        <n x="589"/>
        <n x="590"/>
        <n x="800" s="1"/>
        <n x="665"/>
        <n x="666"/>
      </t>
    </mdx>
    <mdx n="0" f="v">
      <t c="6" si="614">
        <n x="610"/>
        <n x="605"/>
        <n x="606"/>
        <n x="800" s="1"/>
        <n x="663"/>
        <n x="664"/>
      </t>
    </mdx>
    <mdx n="0" f="v">
      <t c="6" si="614">
        <n x="610"/>
        <n x="437"/>
        <n x="438"/>
        <n x="800" s="1"/>
        <n x="661"/>
        <n x="662"/>
      </t>
    </mdx>
    <mdx n="0" f="v">
      <t c="6" si="614">
        <n x="610"/>
        <n x="513"/>
        <n x="514"/>
        <n x="800" s="1"/>
        <n x="669"/>
        <n x="670"/>
      </t>
    </mdx>
    <mdx n="0" f="v">
      <t c="6" si="614">
        <n x="610"/>
        <n x="745"/>
        <n x="746"/>
        <n x="800" s="1"/>
        <n x="665"/>
        <n x="666"/>
      </t>
    </mdx>
    <mdx n="0" f="v">
      <t c="6" si="614">
        <n x="610"/>
        <n x="295"/>
        <n x="296"/>
        <n x="800" s="1"/>
        <n x="663"/>
        <n x="664"/>
      </t>
    </mdx>
    <mdx n="0" f="v">
      <t c="6" si="614">
        <n x="610"/>
        <n x="747"/>
        <n x="748"/>
        <n x="800" s="1"/>
        <n x="661"/>
        <n x="662"/>
      </t>
    </mdx>
    <mdx n="0" f="v">
      <t c="6" si="614">
        <n x="610"/>
        <n x="441"/>
        <n x="442"/>
        <n x="800" s="1"/>
        <n x="659"/>
        <n x="660"/>
      </t>
    </mdx>
    <mdx n="0" f="v">
      <t c="6" si="614">
        <n x="610"/>
        <n x="441"/>
        <n x="442"/>
        <n x="800" s="1"/>
        <n x="671"/>
        <n x="672"/>
      </t>
    </mdx>
    <mdx n="0" f="v">
      <t c="6" si="614">
        <n x="610"/>
        <n x="345"/>
        <n x="346"/>
        <n x="800" s="1"/>
        <n x="669"/>
        <n x="670"/>
      </t>
    </mdx>
    <mdx n="0" f="v">
      <t c="6" si="614">
        <n x="610"/>
        <n x="569"/>
        <n x="570"/>
        <n x="800" s="1"/>
        <n x="667"/>
        <n x="668"/>
      </t>
    </mdx>
    <mdx n="0" f="v">
      <t c="6" si="614">
        <n x="610"/>
        <n x="259"/>
        <n x="260"/>
        <n x="800" s="1"/>
        <n x="665"/>
        <n x="666"/>
      </t>
    </mdx>
    <mdx n="0" f="v">
      <t c="6" si="614">
        <n x="610"/>
        <n x="299"/>
        <n x="300"/>
        <n x="800" s="1"/>
        <n x="663"/>
        <n x="664"/>
      </t>
    </mdx>
    <mdx n="0" f="v">
      <t c="6" si="614">
        <n x="610"/>
        <n x="749"/>
        <n x="750"/>
        <n x="800" s="1"/>
        <n x="661"/>
        <n x="662"/>
      </t>
    </mdx>
    <mdx n="0" f="v">
      <t c="6" si="614">
        <n x="610"/>
        <n x="419"/>
        <n x="420"/>
        <n x="800" s="1"/>
        <n x="671"/>
        <n x="672"/>
      </t>
    </mdx>
    <mdx n="0" f="v">
      <t c="6" si="614">
        <n x="610"/>
        <n x="489"/>
        <n x="490"/>
        <n x="800" s="1"/>
        <n x="669"/>
        <n x="670"/>
      </t>
    </mdx>
    <mdx n="0" f="v">
      <t c="6" si="614">
        <n x="610"/>
        <n x="241"/>
        <n x="242"/>
        <n x="800" s="1"/>
        <n x="667"/>
        <n x="668"/>
      </t>
    </mdx>
    <mdx n="0" f="v">
      <t c="6" si="614">
        <n x="610"/>
        <n x="593"/>
        <n x="594"/>
        <n x="800" s="1"/>
        <n x="665"/>
        <n x="666"/>
      </t>
    </mdx>
    <mdx n="0" f="v">
      <t c="6" si="614">
        <n x="610"/>
        <n x="229"/>
        <n x="230"/>
        <n x="800" s="1"/>
        <n x="663"/>
        <n x="664"/>
      </t>
    </mdx>
    <mdx n="0" f="v">
      <t c="6" si="614">
        <n x="610"/>
        <n x="753"/>
        <n x="754"/>
        <n x="800" s="1"/>
        <n x="659"/>
        <n x="660"/>
      </t>
    </mdx>
    <mdx n="0" f="v">
      <t c="6" si="614">
        <n x="610"/>
        <n x="753"/>
        <n x="754"/>
        <n x="800" s="1"/>
        <n x="671"/>
        <n x="672"/>
      </t>
    </mdx>
    <mdx n="0" f="v">
      <t c="6" si="614">
        <n x="610"/>
        <n x="755"/>
        <n x="756"/>
        <n x="800" s="1"/>
        <n x="669"/>
        <n x="670"/>
      </t>
    </mdx>
    <mdx n="0" f="v">
      <t c="6" si="614">
        <n x="610"/>
        <n x="447"/>
        <n x="448"/>
        <n x="800" s="1"/>
        <n x="667"/>
        <n x="668"/>
      </t>
    </mdx>
    <mdx n="0" f="v">
      <t c="6" si="614">
        <n x="610"/>
        <n x="223"/>
        <n x="224"/>
        <n x="800" s="1"/>
        <n x="665"/>
        <n x="666"/>
      </t>
    </mdx>
    <mdx n="0" f="v">
      <t c="6" si="614">
        <n x="610"/>
        <n x="339"/>
        <n x="340"/>
        <n x="800" s="1"/>
        <n x="663"/>
        <n x="664"/>
      </t>
    </mdx>
    <mdx n="0" f="v">
      <t c="6" si="614">
        <n x="610"/>
        <n x="471"/>
        <n x="472"/>
        <n x="800" s="1"/>
        <n x="661"/>
        <n x="662"/>
      </t>
    </mdx>
    <mdx n="0" f="v">
      <t c="6" si="614">
        <n x="610"/>
        <n x="407"/>
        <n x="408"/>
        <n x="800" s="1"/>
        <n x="669"/>
        <n x="670"/>
      </t>
    </mdx>
    <mdx n="0" f="v">
      <t c="6" si="614">
        <n x="610"/>
        <n x="321"/>
        <n x="322"/>
        <n x="800" s="1"/>
        <n x="667"/>
        <n x="668"/>
      </t>
    </mdx>
    <mdx n="0" f="v">
      <t c="6" si="614">
        <n x="610"/>
        <n x="577"/>
        <n x="578"/>
        <n x="800" s="1"/>
        <n x="665"/>
        <n x="666"/>
      </t>
    </mdx>
    <mdx n="0" f="v">
      <t c="6" si="614">
        <n x="610"/>
        <n x="399"/>
        <n x="400"/>
        <n x="800" s="1"/>
        <n x="663"/>
        <n x="664"/>
      </t>
    </mdx>
    <mdx n="0" f="v">
      <t c="6" si="614">
        <n x="610"/>
        <n x="233"/>
        <n x="234"/>
        <n x="800" s="1"/>
        <n x="661"/>
        <n x="662"/>
      </t>
    </mdx>
    <mdx n="0" f="v">
      <t c="6" si="614">
        <n x="610"/>
        <n x="289"/>
        <n x="290"/>
        <n x="800" s="1"/>
        <n x="659"/>
        <n x="660"/>
      </t>
    </mdx>
    <mdx n="0" f="v">
      <t c="6" si="614">
        <n x="610"/>
        <n x="289"/>
        <n x="290"/>
        <n x="800" s="1"/>
        <n x="671"/>
        <n x="672"/>
      </t>
    </mdx>
    <mdx n="0" f="v">
      <t c="6" si="614">
        <n x="610"/>
        <n x="493"/>
        <n x="494"/>
        <n x="800" s="1"/>
        <n x="669"/>
        <n x="670"/>
      </t>
    </mdx>
    <mdx n="0" f="v">
      <t c="6" si="614">
        <n x="610"/>
        <n x="207"/>
        <n x="208"/>
        <n x="800" s="1"/>
        <n x="667"/>
        <n x="668"/>
      </t>
    </mdx>
    <mdx n="0" f="v">
      <t c="6" si="614">
        <n x="610"/>
        <n x="361"/>
        <n x="362"/>
        <n x="800" s="1"/>
        <n x="665"/>
        <n x="666"/>
      </t>
    </mdx>
    <mdx n="0" f="v">
      <t c="6" si="614">
        <n x="610"/>
        <n x="551"/>
        <n x="552"/>
        <n x="800" s="1"/>
        <n x="663"/>
        <n x="664"/>
      </t>
    </mdx>
    <mdx n="0" f="v">
      <t c="6" si="614">
        <n x="610"/>
        <n x="757"/>
        <n x="758"/>
        <n x="800" s="1"/>
        <n x="659"/>
        <n x="660"/>
      </t>
    </mdx>
    <mdx n="0" f="v">
      <t c="6" si="614">
        <n x="610"/>
        <n x="757"/>
        <n x="758"/>
        <n x="800" s="1"/>
        <n x="671"/>
        <n x="672"/>
      </t>
    </mdx>
    <mdx n="0" f="v">
      <t c="6" si="614">
        <n x="610"/>
        <n x="759"/>
        <n x="760"/>
        <n x="800" s="1"/>
        <n x="669"/>
        <n x="670"/>
      </t>
    </mdx>
    <mdx n="0" f="v">
      <t c="6" si="614">
        <n x="610"/>
        <n x="761"/>
        <n x="762"/>
        <n x="800" s="1"/>
        <n x="667"/>
        <n x="668"/>
      </t>
    </mdx>
    <mdx n="0" f="v">
      <t c="6" si="614">
        <n x="610"/>
        <n x="325"/>
        <n x="326"/>
        <n x="800" s="1"/>
        <n x="665"/>
        <n x="666"/>
      </t>
    </mdx>
    <mdx n="0" f="v">
      <t c="6" si="614">
        <n x="610"/>
        <n x="409"/>
        <n x="410"/>
        <n x="800" s="1"/>
        <n x="663"/>
        <n x="664"/>
      </t>
    </mdx>
    <mdx n="0" f="v">
      <t c="6" si="614">
        <n x="610"/>
        <n x="553"/>
        <n x="554"/>
        <n x="800" s="1"/>
        <n x="661"/>
        <n x="662"/>
      </t>
    </mdx>
    <mdx n="0" f="v">
      <t c="6" si="614">
        <n x="610"/>
        <n x="245"/>
        <n x="246"/>
        <n x="800" s="1"/>
        <n x="659"/>
        <n x="660"/>
      </t>
    </mdx>
    <mdx n="0" f="v">
      <t c="6" si="614">
        <n x="610"/>
        <n x="245"/>
        <n x="246"/>
        <n x="800" s="1"/>
        <n x="671"/>
        <n x="672"/>
      </t>
    </mdx>
    <mdx n="0" f="v">
      <t c="6" si="614">
        <n x="610"/>
        <n x="549"/>
        <n x="550"/>
        <n x="800" s="1"/>
        <n x="669"/>
        <n x="670"/>
      </t>
    </mdx>
    <mdx n="0" f="v">
      <t c="6" si="614">
        <n x="610"/>
        <n x="255"/>
        <n x="256"/>
        <n x="800" s="1"/>
        <n x="667"/>
        <n x="668"/>
      </t>
    </mdx>
    <mdx n="0" f="v">
      <t c="6" si="614">
        <n x="610"/>
        <n x="507"/>
        <n x="508"/>
        <n x="800" s="1"/>
        <n x="665"/>
        <n x="666"/>
      </t>
    </mdx>
    <mdx n="0" f="v">
      <t c="6" si="614">
        <n x="610"/>
        <n x="469"/>
        <n x="470"/>
        <n x="800" s="1"/>
        <n x="663"/>
        <n x="664"/>
      </t>
    </mdx>
    <mdx n="0" f="v">
      <t c="6" si="614">
        <n x="610"/>
        <n x="467"/>
        <n x="468"/>
        <n x="800" s="1"/>
        <n x="659"/>
        <n x="660"/>
      </t>
    </mdx>
    <mdx n="0" f="v">
      <t c="6" si="614">
        <n x="610"/>
        <n x="467"/>
        <n x="468"/>
        <n x="800" s="1"/>
        <n x="671"/>
        <n x="672"/>
      </t>
    </mdx>
    <mdx n="0" f="v">
      <t c="6" si="614">
        <n x="610"/>
        <n x="287"/>
        <n x="288"/>
        <n x="800" s="1"/>
        <n x="669"/>
        <n x="670"/>
      </t>
    </mdx>
    <mdx n="0" f="v">
      <t c="6" si="614">
        <n x="610"/>
        <n x="763"/>
        <n x="764"/>
        <n x="800" s="1"/>
        <n x="667"/>
        <n x="668"/>
      </t>
    </mdx>
    <mdx n="0" f="v">
      <t c="6" si="614">
        <n x="610"/>
        <n x="349"/>
        <n x="350"/>
        <n x="800" s="1"/>
        <n x="665"/>
        <n x="666"/>
      </t>
    </mdx>
    <mdx n="0" f="v">
      <t c="6" si="614">
        <n x="610"/>
        <n x="539"/>
        <n x="540"/>
        <n x="800" s="1"/>
        <n x="663"/>
        <n x="664"/>
      </t>
    </mdx>
    <mdx n="0" f="v">
      <t c="6" si="614">
        <n x="610"/>
        <n x="765"/>
        <n x="766"/>
        <n x="800" s="1"/>
        <n x="661"/>
        <n x="662"/>
      </t>
    </mdx>
    <mdx n="0" f="v">
      <t c="6" si="614">
        <n x="610"/>
        <n x="509"/>
        <n x="510"/>
        <n x="800" s="1"/>
        <n x="659"/>
        <n x="660"/>
      </t>
    </mdx>
    <mdx n="0" f="v">
      <t c="6" si="614">
        <n x="610"/>
        <n x="509"/>
        <n x="510"/>
        <n x="800" s="1"/>
        <n x="671"/>
        <n x="672"/>
      </t>
    </mdx>
    <mdx n="0" f="v">
      <t c="6" si="614">
        <n x="610"/>
        <n x="359"/>
        <n x="360"/>
        <n x="800" s="1"/>
        <n x="669"/>
        <n x="670"/>
      </t>
    </mdx>
    <mdx n="0" f="v">
      <t c="6" si="614">
        <n x="610"/>
        <n x="403"/>
        <n x="404"/>
        <n x="800" s="1"/>
        <n x="667"/>
        <n x="668"/>
      </t>
    </mdx>
    <mdx n="0" f="v">
      <t c="6" si="614">
        <n x="610"/>
        <n x="411"/>
        <n x="412"/>
        <n x="800" s="1"/>
        <n x="665"/>
        <n x="666"/>
      </t>
    </mdx>
    <mdx n="0" f="v">
      <t c="6" si="614">
        <n x="610"/>
        <n x="767"/>
        <n x="768"/>
        <n x="800" s="1"/>
        <n x="663"/>
        <n x="664"/>
      </t>
    </mdx>
    <mdx n="0" f="v">
      <t c="6" si="614">
        <n x="610"/>
        <n x="315"/>
        <n x="316"/>
        <n x="800" s="1"/>
        <n x="661"/>
        <n x="662"/>
      </t>
    </mdx>
    <mdx n="0" f="v">
      <t c="6" si="614">
        <n x="610"/>
        <n x="769"/>
        <n x="770"/>
        <n x="800" s="1"/>
        <n x="659"/>
        <n x="660"/>
      </t>
    </mdx>
    <mdx n="0" f="v">
      <t c="6" si="614">
        <n x="610"/>
        <n x="769"/>
        <n x="770"/>
        <n x="800" s="1"/>
        <n x="671"/>
        <n x="672"/>
      </t>
    </mdx>
    <mdx n="0" f="v">
      <t c="6" si="614">
        <n x="610"/>
        <n x="511"/>
        <n x="512"/>
        <n x="800" s="1"/>
        <n x="669"/>
        <n x="670"/>
      </t>
    </mdx>
    <mdx n="0" f="v">
      <t c="6" si="614">
        <n x="610"/>
        <n x="427"/>
        <n x="428"/>
        <n x="800" s="1"/>
        <n x="667"/>
        <n x="668"/>
      </t>
    </mdx>
    <mdx n="0" f="v">
      <t c="6" si="614">
        <n x="610"/>
        <n x="771"/>
        <n x="772"/>
        <n x="800" s="1"/>
        <n x="665"/>
        <n x="666"/>
      </t>
    </mdx>
    <mdx n="0" f="v">
      <t c="6" si="614">
        <n x="610"/>
        <n x="485"/>
        <n x="486"/>
        <n x="800" s="1"/>
        <n x="663"/>
        <n x="664"/>
      </t>
    </mdx>
    <mdx n="0" f="v">
      <t c="6" si="614">
        <n x="610"/>
        <n x="529"/>
        <n x="530"/>
        <n x="800" s="1"/>
        <n x="659"/>
        <n x="660"/>
      </t>
    </mdx>
    <mdx n="0" f="v">
      <t c="6" si="614">
        <n x="610"/>
        <n x="529"/>
        <n x="530"/>
        <n x="800" s="1"/>
        <n x="671"/>
        <n x="672"/>
      </t>
    </mdx>
    <mdx n="0" f="v">
      <t c="6" si="614">
        <n x="610"/>
        <n x="249"/>
        <n x="250"/>
        <n x="800" s="1"/>
        <n x="669"/>
        <n x="670"/>
      </t>
    </mdx>
    <mdx n="0" f="v">
      <t c="6" si="614">
        <n x="610"/>
        <n x="773"/>
        <n x="774"/>
        <n x="800" s="1"/>
        <n x="667"/>
        <n x="668"/>
      </t>
    </mdx>
    <mdx n="0" f="v">
      <t c="6" si="614">
        <n x="610"/>
        <n x="775"/>
        <n x="776"/>
        <n x="800" s="1"/>
        <n x="665"/>
        <n x="666"/>
      </t>
    </mdx>
    <mdx n="0" f="v">
      <t c="6" si="614">
        <n x="610"/>
        <n x="777"/>
        <n x="778"/>
        <n x="800" s="1"/>
        <n x="663"/>
        <n x="664"/>
      </t>
    </mdx>
    <mdx n="0" f="v">
      <t c="6" si="614">
        <n x="610"/>
        <n x="381"/>
        <n x="382"/>
        <n x="800" s="1"/>
        <n x="659"/>
        <n x="660"/>
      </t>
    </mdx>
    <mdx n="0" f="v">
      <t c="6" si="614">
        <n x="610"/>
        <n x="381"/>
        <n x="382"/>
        <n x="800" s="1"/>
        <n x="671"/>
        <n x="672"/>
      </t>
    </mdx>
    <mdx n="0" f="v">
      <t c="6" si="614">
        <n x="610"/>
        <n x="515"/>
        <n x="516"/>
        <n x="800" s="1"/>
        <n x="669"/>
        <n x="670"/>
      </t>
    </mdx>
    <mdx n="0" f="v">
      <t c="6" si="614">
        <n x="610"/>
        <n x="445"/>
        <n x="446"/>
        <n x="800" s="1"/>
        <n x="667"/>
        <n x="668"/>
      </t>
    </mdx>
    <mdx n="0" f="v">
      <t c="6" si="614">
        <n x="610"/>
        <n x="779"/>
        <n x="780"/>
        <n x="800" s="1"/>
        <n x="665"/>
        <n x="666"/>
      </t>
    </mdx>
    <mdx n="0" f="v">
      <t c="6" si="614">
        <n x="610"/>
        <n x="269"/>
        <n x="270"/>
        <n x="800" s="1"/>
        <n x="663"/>
        <n x="664"/>
      </t>
    </mdx>
    <mdx n="0" f="v">
      <t c="6" si="614">
        <n x="610"/>
        <n x="533"/>
        <n x="534"/>
        <n x="800" s="1"/>
        <n x="661"/>
        <n x="662"/>
      </t>
    </mdx>
    <mdx n="0" f="v">
      <t c="6" si="614">
        <n x="610"/>
        <n x="527"/>
        <n x="528"/>
        <n x="800" s="1"/>
        <n x="659"/>
        <n x="660"/>
      </t>
    </mdx>
    <mdx n="0" f="v">
      <t c="6" si="614">
        <n x="610"/>
        <n x="527"/>
        <n x="528"/>
        <n x="800" s="1"/>
        <n x="671"/>
        <n x="672"/>
      </t>
    </mdx>
    <mdx n="0" f="v">
      <t c="6" si="614">
        <n x="610"/>
        <n x="781"/>
        <n x="782"/>
        <n x="800" s="1"/>
        <n x="669"/>
        <n x="670"/>
      </t>
    </mdx>
    <mdx n="0" f="v">
      <t c="6" si="614">
        <n x="610"/>
        <n x="375"/>
        <n x="376"/>
        <n x="800" s="1"/>
        <n x="667"/>
        <n x="668"/>
      </t>
    </mdx>
    <mdx n="0" f="v">
      <t c="6" si="614">
        <n x="610"/>
        <n x="783"/>
        <n x="784"/>
        <n x="800" s="1"/>
        <n x="665"/>
        <n x="666"/>
      </t>
    </mdx>
    <mdx n="0" f="v">
      <t c="6" si="614">
        <n x="610"/>
        <n x="535"/>
        <n x="536"/>
        <n x="800" s="1"/>
        <n x="663"/>
        <n x="664"/>
      </t>
    </mdx>
    <mdx n="0" f="v">
      <t c="6" si="614">
        <n x="610"/>
        <n x="355"/>
        <n x="356"/>
        <n x="800" s="1"/>
        <n x="661"/>
        <n x="662"/>
      </t>
    </mdx>
    <mdx n="0" f="v">
      <t c="6" si="614">
        <n x="610"/>
        <n x="785"/>
        <n x="786"/>
        <n x="800" s="1"/>
        <n x="659"/>
        <n x="660"/>
      </t>
    </mdx>
    <mdx n="0" f="v">
      <t c="6" si="614">
        <n x="610"/>
        <n x="785"/>
        <n x="786"/>
        <n x="800" s="1"/>
        <n x="671"/>
        <n x="672"/>
      </t>
    </mdx>
    <mdx n="0" f="v">
      <t c="6" si="614">
        <n x="610"/>
        <n x="787"/>
        <n x="788"/>
        <n x="800" s="1"/>
        <n x="669"/>
        <n x="670"/>
      </t>
    </mdx>
    <mdx n="0" f="v">
      <t c="6" si="614">
        <n x="610"/>
        <n x="583"/>
        <n x="584"/>
        <n x="800" s="1"/>
        <n x="667"/>
        <n x="668"/>
      </t>
    </mdx>
    <mdx n="0" f="v">
      <t c="6" si="614">
        <n x="610"/>
        <n x="431"/>
        <n x="432"/>
        <n x="800" s="1"/>
        <n x="659"/>
        <n x="660"/>
      </t>
    </mdx>
    <mdx n="0" f="v">
      <t c="6" si="614">
        <n x="610"/>
        <n x="431"/>
        <n x="432"/>
        <n x="800" s="1"/>
        <n x="671"/>
        <n x="672"/>
      </t>
    </mdx>
    <mdx n="0" f="v">
      <t c="6" si="614">
        <n x="610"/>
        <n x="789"/>
        <n x="790"/>
        <n x="800" s="1"/>
        <n x="669"/>
        <n x="670"/>
      </t>
    </mdx>
    <mdx n="0" f="v">
      <t c="6" si="614">
        <n x="610"/>
        <n x="311"/>
        <n x="312"/>
        <n x="800" s="1"/>
        <n x="667"/>
        <n x="668"/>
      </t>
    </mdx>
    <mdx n="0" f="v">
      <t c="6" si="614">
        <n x="610"/>
        <n x="531"/>
        <n x="532"/>
        <n x="800" s="1"/>
        <n x="665"/>
        <n x="666"/>
      </t>
    </mdx>
    <mdx n="0" f="v">
      <t c="6" si="614">
        <n x="610"/>
        <n x="565"/>
        <n x="566"/>
        <n x="800" s="1"/>
        <n x="663"/>
        <n x="664"/>
      </t>
    </mdx>
    <mdx n="0" f="v">
      <t c="6" si="614">
        <n x="610"/>
        <n x="521"/>
        <n x="522"/>
        <n x="800" s="1"/>
        <n x="661"/>
        <n x="662"/>
      </t>
    </mdx>
    <mdx n="0" f="v">
      <t c="6" si="614">
        <n x="610"/>
        <n x="423"/>
        <n x="424"/>
        <n x="800" s="1"/>
        <n x="659"/>
        <n x="660"/>
      </t>
    </mdx>
    <mdx n="0" f="v">
      <t c="6" si="614">
        <n x="610"/>
        <n x="423"/>
        <n x="424"/>
        <n x="800" s="1"/>
        <n x="671"/>
        <n x="672"/>
      </t>
    </mdx>
    <mdx n="0" f="v">
      <t c="6" si="614">
        <n x="610"/>
        <n x="545"/>
        <n x="546"/>
        <n x="800" s="1"/>
        <n x="669"/>
        <n x="670"/>
      </t>
    </mdx>
    <mdx n="0" f="v">
      <t c="6" si="614">
        <n x="610"/>
        <n x="575"/>
        <n x="576"/>
        <n x="800" s="1"/>
        <n x="667"/>
        <n x="668"/>
      </t>
    </mdx>
    <mdx n="0" f="v">
      <t c="6" si="614">
        <n x="610"/>
        <n x="451"/>
        <n x="452"/>
        <n x="800" s="1"/>
        <n x="665"/>
        <n x="666"/>
      </t>
    </mdx>
    <mdx n="0" f="v">
      <t c="6" si="614">
        <n x="610"/>
        <n x="473"/>
        <n x="474"/>
        <n x="800" s="1"/>
        <n x="663"/>
        <n x="664"/>
      </t>
    </mdx>
    <mdx n="0" f="v">
      <t c="6" si="614">
        <n x="610"/>
        <n x="297"/>
        <n x="298"/>
        <n x="800" s="1"/>
        <n x="659"/>
        <n x="660"/>
      </t>
    </mdx>
    <mdx n="0" f="v">
      <t c="6" si="614">
        <n x="610"/>
        <n x="297"/>
        <n x="298"/>
        <n x="800" s="1"/>
        <n x="671"/>
        <n x="672"/>
      </t>
    </mdx>
    <mdx n="0" f="v">
      <t c="6" si="614">
        <n x="610"/>
        <n x="579"/>
        <n x="580"/>
        <n x="800" s="1"/>
        <n x="669"/>
        <n x="670"/>
      </t>
    </mdx>
    <mdx n="0" f="v">
      <t c="6" si="614">
        <n x="610"/>
        <n x="313"/>
        <n x="314"/>
        <n x="800" s="1"/>
        <n x="667"/>
        <n x="668"/>
      </t>
    </mdx>
    <mdx n="0" f="v">
      <t c="6" si="614">
        <n x="610"/>
        <n x="351"/>
        <n x="352"/>
        <n x="800" s="1"/>
        <n x="665"/>
        <n x="666"/>
      </t>
    </mdx>
    <mdx n="0" f="v">
      <t c="6" si="614">
        <n x="610"/>
        <n x="213"/>
        <n x="214"/>
        <n x="800" s="1"/>
        <n x="663"/>
        <n x="664"/>
      </t>
    </mdx>
    <mdx n="0" f="v">
      <t c="6" si="614">
        <n x="610"/>
        <n x="331"/>
        <n x="332"/>
        <n x="800" s="1"/>
        <n x="659"/>
        <n x="660"/>
      </t>
    </mdx>
    <mdx n="0" f="v">
      <t c="6" si="614">
        <n x="610"/>
        <n x="331"/>
        <n x="332"/>
        <n x="800" s="1"/>
        <n x="671"/>
        <n x="672"/>
      </t>
    </mdx>
    <mdx n="0" f="v">
      <t c="6" si="614">
        <n x="610"/>
        <n x="227"/>
        <n x="228"/>
        <n x="800" s="1"/>
        <n x="669"/>
        <n x="670"/>
      </t>
    </mdx>
    <mdx n="0" f="v">
      <t c="6" si="614">
        <n x="610"/>
        <n x="795"/>
        <n x="796"/>
        <n x="800" s="1"/>
        <n x="665"/>
        <n x="666"/>
      </t>
    </mdx>
    <mdx n="0" f="v">
      <t c="6" si="614">
        <n x="610"/>
        <n x="465"/>
        <n x="466"/>
        <n x="800" s="1"/>
        <n x="663"/>
        <n x="664"/>
      </t>
    </mdx>
    <mdx n="0" f="v">
      <t c="6" si="614">
        <n x="610"/>
        <n x="303"/>
        <n x="304"/>
        <n x="800" s="1"/>
        <n x="661"/>
        <n x="662"/>
      </t>
    </mdx>
    <mdx n="0" f="v">
      <t c="6" si="614">
        <n x="610"/>
        <n x="211"/>
        <n x="212"/>
        <n x="800" s="1"/>
        <n x="659"/>
        <n x="660"/>
      </t>
    </mdx>
    <mdx n="0" f="v">
      <t c="6" si="614">
        <n x="610"/>
        <n x="211"/>
        <n x="212"/>
        <n x="800" s="1"/>
        <n x="671"/>
        <n x="672"/>
      </t>
    </mdx>
    <mdx n="0" f="v">
      <t c="6" si="614">
        <n x="610"/>
        <n x="439"/>
        <n x="440"/>
        <n x="800" s="1"/>
        <n x="669"/>
        <n x="670"/>
      </t>
    </mdx>
    <mdx n="0" f="v">
      <t c="6" si="614">
        <n x="610"/>
        <n x="571"/>
        <n x="572"/>
        <n x="800" s="1"/>
        <n x="667"/>
        <n x="668"/>
      </t>
    </mdx>
    <mdx n="0" f="v">
      <t c="6" si="614">
        <n x="610"/>
        <n x="305"/>
        <n x="306"/>
        <n x="800" s="1"/>
        <n x="665"/>
        <n x="666"/>
      </t>
    </mdx>
    <mdx n="0" f="v">
      <t c="6" si="614">
        <n x="610"/>
        <n x="563"/>
        <n x="564"/>
        <n x="800" s="1"/>
        <n x="663"/>
        <n x="664"/>
      </t>
    </mdx>
    <mdx n="0" f="v">
      <t c="6" si="614">
        <n x="610"/>
        <n x="279"/>
        <n x="280"/>
        <n x="800" s="1"/>
        <n x="659"/>
        <n x="660"/>
      </t>
    </mdx>
    <mdx n="0" f="v">
      <t c="6" si="614">
        <n x="610"/>
        <n x="279"/>
        <n x="280"/>
        <n x="800" s="1"/>
        <n x="671"/>
        <n x="672"/>
      </t>
    </mdx>
    <mdx n="0" f="v">
      <t c="6" si="614">
        <n x="610"/>
        <n x="291"/>
        <n x="292"/>
        <n x="800" s="1"/>
        <n x="669"/>
        <n x="670"/>
      </t>
    </mdx>
    <mdx n="0" f="v">
      <t c="6" si="614">
        <n x="610"/>
        <n x="797"/>
        <n x="798"/>
        <n x="800" s="1"/>
        <n x="667"/>
        <n x="668"/>
      </t>
    </mdx>
    <mdx n="0" f="v">
      <t c="6" si="614">
        <n x="610"/>
        <n x="373"/>
        <n x="374"/>
        <n x="800" s="1"/>
        <n x="665"/>
        <n x="666"/>
      </t>
    </mdx>
    <mdx n="0" f="v">
      <t c="6" si="614">
        <n x="610"/>
        <n x="329"/>
        <n x="330"/>
        <n x="800" s="1"/>
        <n x="663"/>
        <n x="664"/>
      </t>
    </mdx>
    <mdx n="0" f="v">
      <t c="6" si="614">
        <n x="610"/>
        <n x="449"/>
        <n x="450"/>
        <n x="800" s="1"/>
        <n x="661"/>
        <n x="662"/>
      </t>
    </mdx>
    <mdx n="0" f="v">
      <t c="6" si="614">
        <n x="610"/>
        <n x="801"/>
        <n x="802"/>
        <n x="800" s="1"/>
        <n x="659"/>
        <n x="660"/>
      </t>
    </mdx>
    <mdx n="0" f="v">
      <t c="6" si="614">
        <n x="610"/>
        <n x="801"/>
        <n x="802"/>
        <n x="800" s="1"/>
        <n x="671"/>
        <n x="672"/>
      </t>
    </mdx>
    <mdx n="0" f="v">
      <t c="6" si="614">
        <n x="610"/>
        <n x="327"/>
        <n x="328"/>
        <n x="800" s="1"/>
        <n x="669"/>
        <n x="670"/>
      </t>
    </mdx>
    <mdx n="0" f="v">
      <t c="6" si="614">
        <n x="610"/>
        <n x="215"/>
        <n x="216"/>
        <n x="800" s="1"/>
        <n x="667"/>
        <n x="668"/>
      </t>
    </mdx>
    <mdx n="0" f="v">
      <t c="6" si="614">
        <n x="610"/>
        <n x="803"/>
        <n x="804"/>
        <n x="800" s="1"/>
        <n x="665"/>
        <n x="666"/>
      </t>
    </mdx>
    <mdx n="0" f="v">
      <t c="6" si="614">
        <n x="610"/>
        <n x="587"/>
        <n x="588"/>
        <n x="800" s="1"/>
        <n x="663"/>
        <n x="664"/>
      </t>
    </mdx>
    <mdx n="0" f="v">
      <t c="6" si="614">
        <n x="610"/>
        <n x="263"/>
        <n x="264"/>
        <n x="800" s="1"/>
        <n x="659"/>
        <n x="660"/>
      </t>
    </mdx>
    <mdx n="0" f="v">
      <t c="6" si="614">
        <n x="610"/>
        <n x="263"/>
        <n x="264"/>
        <n x="800" s="1"/>
        <n x="671"/>
        <n x="672"/>
      </t>
    </mdx>
    <mdx n="0" f="v">
      <t c="6" si="614">
        <n x="610"/>
        <n x="477"/>
        <n x="478"/>
        <n x="800" s="1"/>
        <n x="669"/>
        <n x="670"/>
      </t>
    </mdx>
    <mdx n="0" f="v">
      <t c="6" si="614">
        <n x="610"/>
        <n x="267"/>
        <n x="268"/>
        <n x="800" s="1"/>
        <n x="667"/>
        <n x="668"/>
      </t>
    </mdx>
    <mdx n="0" f="v">
      <t c="6" si="614">
        <n x="610"/>
        <n x="337"/>
        <n x="338"/>
        <n x="800" s="1"/>
        <n x="665"/>
        <n x="666"/>
      </t>
    </mdx>
    <mdx n="0" f="v">
      <t c="6" si="614">
        <n x="610"/>
        <n x="323"/>
        <n x="324"/>
        <n x="800" s="1"/>
        <n x="663"/>
        <n x="664"/>
      </t>
    </mdx>
    <mdx n="0" f="v">
      <t c="6" si="614">
        <n x="610"/>
        <n x="497"/>
        <n x="498"/>
        <n x="800" s="1"/>
        <n x="661"/>
        <n x="662"/>
      </t>
    </mdx>
    <mdx n="0" f="v">
      <t c="6" si="614">
        <n x="610"/>
        <n x="517"/>
        <n x="518"/>
        <n x="800" s="1"/>
        <n x="659"/>
        <n x="660"/>
      </t>
    </mdx>
    <mdx n="0" f="v">
      <t c="6" si="614">
        <n x="610"/>
        <n x="517"/>
        <n x="518"/>
        <n x="800" s="1"/>
        <n x="671"/>
        <n x="672"/>
      </t>
    </mdx>
    <mdx n="0" f="v">
      <t c="6" si="614">
        <n x="610"/>
        <n x="251"/>
        <n x="252"/>
        <n x="800" s="1"/>
        <n x="669"/>
        <n x="670"/>
      </t>
    </mdx>
    <mdx n="0" f="v">
      <t c="6" si="614">
        <n x="610"/>
        <n x="567"/>
        <n x="568"/>
        <n x="800" s="1"/>
        <n x="667"/>
        <n x="668"/>
      </t>
    </mdx>
    <mdx n="0" f="v">
      <t c="6" si="614">
        <n x="610"/>
        <n x="425"/>
        <n x="426"/>
        <n x="800" s="1"/>
        <n x="665"/>
        <n x="666"/>
      </t>
    </mdx>
    <mdx n="0" f="v">
      <t c="6" si="614">
        <n x="610"/>
        <n x="559"/>
        <n x="560"/>
        <n x="800" s="1"/>
        <n x="663"/>
        <n x="664"/>
      </t>
    </mdx>
    <mdx n="0" f="v">
      <t c="6" si="614">
        <n x="610"/>
        <n x="519"/>
        <n x="520"/>
        <n x="800" s="1"/>
        <n x="661"/>
        <n x="662"/>
      </t>
    </mdx>
    <mdx n="0" f="v">
      <t c="6" si="614">
        <n x="610"/>
        <n x="573"/>
        <n x="574"/>
        <n x="800" s="1"/>
        <n x="659"/>
        <n x="660"/>
      </t>
    </mdx>
    <mdx n="0" f="v">
      <t c="6" si="614">
        <n x="610"/>
        <n x="573"/>
        <n x="574"/>
        <n x="800" s="1"/>
        <n x="671"/>
        <n x="672"/>
      </t>
    </mdx>
    <mdx n="0" f="v">
      <t c="6" si="614">
        <n x="610"/>
        <n x="253"/>
        <n x="254"/>
        <n x="800" s="1"/>
        <n x="669"/>
        <n x="670"/>
      </t>
    </mdx>
    <mdx n="0" f="v">
      <t c="6" si="614">
        <n x="610"/>
        <n x="475"/>
        <n x="476"/>
        <n x="800" s="1"/>
        <n x="667"/>
        <n x="668"/>
      </t>
    </mdx>
    <mdx n="0" f="v">
      <t c="6" si="614">
        <n x="610"/>
        <n x="369"/>
        <n x="370"/>
        <n x="800" s="1"/>
        <n x="665"/>
        <n x="666"/>
      </t>
    </mdx>
    <mdx n="0" f="v">
      <t c="6" si="614">
        <n x="610"/>
        <n x="371"/>
        <n x="372"/>
        <n x="800" s="1"/>
        <n x="663"/>
        <n x="664"/>
      </t>
    </mdx>
    <mdx n="0" f="v">
      <t c="6" si="614">
        <n x="610"/>
        <n x="805"/>
        <n x="806"/>
        <n x="800" s="1"/>
        <n x="661"/>
        <n x="662"/>
      </t>
    </mdx>
    <mdx n="0" f="v">
      <t c="6" si="614">
        <n x="610"/>
        <n x="713"/>
        <n x="714"/>
        <n x="800" s="1"/>
        <n x="663"/>
        <n x="664"/>
      </t>
    </mdx>
    <mdx n="0" f="v">
      <t c="6" si="614">
        <n x="610"/>
        <n x="317"/>
        <n x="318"/>
        <n x="800" s="1"/>
        <n x="659"/>
        <n x="660"/>
      </t>
    </mdx>
    <mdx n="0" f="v">
      <t c="6" si="614">
        <n x="610"/>
        <n x="317"/>
        <n x="318"/>
        <n x="800" s="1"/>
        <n x="671"/>
        <n x="672"/>
      </t>
    </mdx>
    <mdx n="0" f="v">
      <t c="6" si="614">
        <n x="610"/>
        <n x="717"/>
        <n x="718"/>
        <n x="800" s="1"/>
        <n x="669"/>
        <n x="670"/>
      </t>
    </mdx>
    <mdx n="0" f="v">
      <t c="6" si="614">
        <n x="610"/>
        <n x="599"/>
        <n x="600"/>
        <n x="800" s="1"/>
        <n x="667"/>
        <n x="668"/>
      </t>
    </mdx>
    <mdx n="0" f="v">
      <t c="6" si="614">
        <n x="610"/>
        <n x="217"/>
        <n x="218"/>
        <n x="800" s="1"/>
        <n x="665"/>
        <n x="666"/>
      </t>
    </mdx>
    <mdx n="0" f="v">
      <t c="6" si="614">
        <n x="610"/>
        <n x="285"/>
        <n x="286"/>
        <n x="800" s="1"/>
        <n x="663"/>
        <n x="664"/>
      </t>
    </mdx>
    <mdx n="0" f="v">
      <t c="6" si="614">
        <n x="610"/>
        <n x="261"/>
        <n x="262"/>
        <n x="800" s="1"/>
        <n x="661"/>
        <n x="662"/>
      </t>
    </mdx>
    <mdx n="0" f="v">
      <t c="6" si="614">
        <n x="610"/>
        <n x="275"/>
        <n x="276"/>
        <n x="800" s="1"/>
        <n x="659"/>
        <n x="660"/>
      </t>
    </mdx>
    <mdx n="0" f="v">
      <t c="6" si="614">
        <n x="610"/>
        <n x="275"/>
        <n x="276"/>
        <n x="800" s="1"/>
        <n x="671"/>
        <n x="672"/>
      </t>
    </mdx>
    <mdx n="0" f="v">
      <t c="6" si="614">
        <n x="610"/>
        <n x="719"/>
        <n x="720"/>
        <n x="800" s="1"/>
        <n x="669"/>
        <n x="670"/>
      </t>
    </mdx>
    <mdx n="0" f="v">
      <t c="6" si="614">
        <n x="610"/>
        <n x="585"/>
        <n x="586"/>
        <n x="800" s="1"/>
        <n x="667"/>
        <n x="668"/>
      </t>
    </mdx>
    <mdx n="0" f="v">
      <t c="6" si="614">
        <n x="610"/>
        <n x="721"/>
        <n x="722"/>
        <n x="800" s="1"/>
        <n x="665"/>
        <n x="666"/>
      </t>
    </mdx>
    <mdx n="0" f="v">
      <t c="6" si="614">
        <n x="610"/>
        <n x="723"/>
        <n x="724"/>
        <n x="800" s="1"/>
        <n x="663"/>
        <n x="664"/>
      </t>
    </mdx>
    <mdx n="0" f="v">
      <t c="6" si="614">
        <n x="610"/>
        <n x="463"/>
        <n x="464"/>
        <n x="800" s="1"/>
        <n x="661"/>
        <n x="662"/>
      </t>
    </mdx>
    <mdx n="0" f="v">
      <t c="6" si="614">
        <n x="610"/>
        <n x="377"/>
        <n x="378"/>
        <n x="800" s="1"/>
        <n x="659"/>
        <n x="660"/>
      </t>
    </mdx>
    <mdx n="0" f="v">
      <t c="6" si="614">
        <n x="610"/>
        <n x="377"/>
        <n x="378"/>
        <n x="800" s="1"/>
        <n x="671"/>
        <n x="672"/>
      </t>
    </mdx>
    <mdx n="0" f="v">
      <t c="6" si="614">
        <n x="610"/>
        <n x="391"/>
        <n x="392"/>
        <n x="800" s="1"/>
        <n x="669"/>
        <n x="670"/>
      </t>
    </mdx>
    <mdx n="0" f="v">
      <t c="6" si="614">
        <n x="610"/>
        <n x="379"/>
        <n x="380"/>
        <n x="800" s="1"/>
        <n x="665"/>
        <n x="666"/>
      </t>
    </mdx>
    <mdx n="0" f="v">
      <t c="6" si="614">
        <n x="610"/>
        <n x="239"/>
        <n x="240"/>
        <n x="800" s="1"/>
        <n x="663"/>
        <n x="664"/>
      </t>
    </mdx>
    <mdx n="0" f="v">
      <t c="6" si="614">
        <n x="610"/>
        <n x="365"/>
        <n x="366"/>
        <n x="800" s="1"/>
        <n x="661"/>
        <n x="662"/>
      </t>
    </mdx>
    <mdx n="0" f="v">
      <t c="6" si="614">
        <n x="610"/>
        <n x="221"/>
        <n x="222"/>
        <n x="800" s="1"/>
        <n x="659"/>
        <n x="660"/>
      </t>
    </mdx>
    <mdx n="0" f="v">
      <t c="6" si="614">
        <n x="610"/>
        <n x="221"/>
        <n x="222"/>
        <n x="800" s="1"/>
        <n x="671"/>
        <n x="672"/>
      </t>
    </mdx>
    <mdx n="0" f="v">
      <t c="6" si="614">
        <n x="610"/>
        <n x="461"/>
        <n x="462"/>
        <n x="800" s="1"/>
        <n x="669"/>
        <n x="670"/>
      </t>
    </mdx>
    <mdx n="0" f="v">
      <t c="6" si="614">
        <n x="610"/>
        <n x="397"/>
        <n x="398"/>
        <n x="800" s="1"/>
        <n x="667"/>
        <n x="668"/>
      </t>
    </mdx>
    <mdx n="0" f="v">
      <t c="6" si="614">
        <n x="610"/>
        <n x="459"/>
        <n x="460"/>
        <n x="800" s="1"/>
        <n x="665"/>
        <n x="666"/>
      </t>
    </mdx>
    <mdx n="0" f="v">
      <t c="6" si="614">
        <n x="610"/>
        <n x="547"/>
        <n x="548"/>
        <n x="800" s="1"/>
        <n x="663"/>
        <n x="664"/>
      </t>
    </mdx>
    <mdx n="0" f="v">
      <t c="6" si="614">
        <n x="610"/>
        <n x="725"/>
        <n x="726"/>
        <n x="800" s="1"/>
        <n x="659"/>
        <n x="660"/>
      </t>
    </mdx>
    <mdx n="0" f="v">
      <t c="6" si="614">
        <n x="610"/>
        <n x="725"/>
        <n x="726"/>
        <n x="800" s="1"/>
        <n x="671"/>
        <n x="672"/>
      </t>
    </mdx>
    <mdx n="0" f="v">
      <t c="6" si="614">
        <n x="610"/>
        <n x="457"/>
        <n x="458"/>
        <n x="800" s="1"/>
        <n x="669"/>
        <n x="670"/>
      </t>
    </mdx>
    <mdx n="0" f="v">
      <t c="6" si="614">
        <n x="610"/>
        <n x="231"/>
        <n x="232"/>
        <n x="800" s="1"/>
        <n x="667"/>
        <n x="668"/>
      </t>
    </mdx>
    <mdx n="0" f="v">
      <t c="6" si="614">
        <n x="610"/>
        <n x="601"/>
        <n x="602"/>
        <n x="800" s="1"/>
        <n x="665"/>
        <n x="666"/>
      </t>
    </mdx>
    <mdx n="0" f="v">
      <t c="6" si="614">
        <n x="610"/>
        <n x="557"/>
        <n x="558"/>
        <n x="800" s="1"/>
        <n x="663"/>
        <n x="664"/>
      </t>
    </mdx>
    <mdx n="0" f="v">
      <t c="6" si="614">
        <n x="610"/>
        <n x="729"/>
        <n x="730"/>
        <n x="800" s="1"/>
        <n x="659"/>
        <n x="660"/>
      </t>
    </mdx>
    <mdx n="0" f="v">
      <t c="6" si="614">
        <n x="610"/>
        <n x="729"/>
        <n x="730"/>
        <n x="800" s="1"/>
        <n x="671"/>
        <n x="672"/>
      </t>
    </mdx>
    <mdx n="0" f="v">
      <t c="6" si="614">
        <n x="610"/>
        <n x="367"/>
        <n x="368"/>
        <n x="800" s="1"/>
        <n x="669"/>
        <n x="670"/>
      </t>
    </mdx>
    <mdx n="0" f="v">
      <t c="6" si="614">
        <n x="610"/>
        <n x="555"/>
        <n x="556"/>
        <n x="800" s="1"/>
        <n x="667"/>
        <n x="668"/>
      </t>
    </mdx>
    <mdx n="0" f="v">
      <t c="6" si="614">
        <n x="610"/>
        <n x="237"/>
        <n x="238"/>
        <n x="800" s="1"/>
        <n x="665"/>
        <n x="666"/>
      </t>
    </mdx>
    <mdx n="0" f="v">
      <t c="6" si="614">
        <n x="610"/>
        <n x="495"/>
        <n x="496"/>
        <n x="800" s="1"/>
        <n x="663"/>
        <n x="664"/>
      </t>
    </mdx>
    <mdx n="0" f="v">
      <t c="6" si="614">
        <n x="610"/>
        <n x="731"/>
        <n x="732"/>
        <n x="800" s="1"/>
        <n x="661"/>
        <n x="662"/>
      </t>
    </mdx>
    <mdx n="0" f="v">
      <t c="6" si="614">
        <n x="610"/>
        <n x="541"/>
        <n x="542"/>
        <n x="800" s="1"/>
        <n x="659"/>
        <n x="660"/>
      </t>
    </mdx>
    <mdx n="0" f="v">
      <t c="6" si="614">
        <n x="610"/>
        <n x="541"/>
        <n x="542"/>
        <n x="800" s="1"/>
        <n x="671"/>
        <n x="672"/>
      </t>
    </mdx>
    <mdx n="0" f="v">
      <t c="6" si="614">
        <n x="610"/>
        <n x="603"/>
        <n x="604"/>
        <n x="800" s="1"/>
        <n x="669"/>
        <n x="670"/>
      </t>
    </mdx>
    <mdx n="0" f="v">
      <t c="6" si="614">
        <n x="610"/>
        <n x="607"/>
        <n x="608"/>
        <n x="800" s="1"/>
        <n x="667"/>
        <n x="668"/>
      </t>
    </mdx>
    <mdx n="0" f="v">
      <t c="6" si="614">
        <n x="610"/>
        <n x="453"/>
        <n x="454"/>
        <n x="800" s="1"/>
        <n x="665"/>
        <n x="666"/>
      </t>
    </mdx>
    <mdx n="0" f="v">
      <t c="6" si="614">
        <n x="610"/>
        <n x="363"/>
        <n x="364"/>
        <n x="800" s="1"/>
        <n x="663"/>
        <n x="664"/>
      </t>
    </mdx>
    <mdx n="0" f="v">
      <t c="6" si="614">
        <n x="610"/>
        <n x="265"/>
        <n x="266"/>
        <n x="800" s="1"/>
        <n x="661"/>
        <n x="662"/>
      </t>
    </mdx>
    <mdx n="0" f="v">
      <t c="6" si="614">
        <n x="610"/>
        <n x="595"/>
        <n x="596"/>
        <n x="800" s="1"/>
        <n x="659"/>
        <n x="660"/>
      </t>
    </mdx>
    <mdx n="0" f="v">
      <t c="6" si="614">
        <n x="610"/>
        <n x="595"/>
        <n x="596"/>
        <n x="800" s="1"/>
        <n x="671"/>
        <n x="672"/>
      </t>
    </mdx>
    <mdx n="0" f="v">
      <t c="6" si="614">
        <n x="610"/>
        <n x="413"/>
        <n x="414"/>
        <n x="800" s="1"/>
        <n x="669"/>
        <n x="670"/>
      </t>
    </mdx>
    <mdx n="0" f="v">
      <t c="6" si="614">
        <n x="610"/>
        <n x="235"/>
        <n x="236"/>
        <n x="800" s="1"/>
        <n x="667"/>
        <n x="668"/>
      </t>
    </mdx>
    <mdx n="0" f="v">
      <t c="6" si="614">
        <n x="610"/>
        <n x="733"/>
        <n x="734"/>
        <n x="800" s="1"/>
        <n x="665"/>
        <n x="666"/>
      </t>
    </mdx>
    <mdx n="0" f="v">
      <t c="6" si="614">
        <n x="610"/>
        <n x="281"/>
        <n x="282"/>
        <n x="800" s="1"/>
        <n x="663"/>
        <n x="664"/>
      </t>
    </mdx>
    <mdx n="0" f="v">
      <t c="6" si="614">
        <n x="610"/>
        <n x="243"/>
        <n x="244"/>
        <n x="800" s="1"/>
        <n x="661"/>
        <n x="662"/>
      </t>
    </mdx>
    <mdx n="0" f="v">
      <t c="6" si="614">
        <n x="610"/>
        <n x="389"/>
        <n x="390"/>
        <n x="800" s="1"/>
        <n x="659"/>
        <n x="660"/>
      </t>
    </mdx>
    <mdx n="0" f="v">
      <t c="6" si="614">
        <n x="610"/>
        <n x="389"/>
        <n x="390"/>
        <n x="800" s="1"/>
        <n x="671"/>
        <n x="672"/>
      </t>
    </mdx>
    <mdx n="0" f="v">
      <t c="6" si="614">
        <n x="610"/>
        <n x="271"/>
        <n x="272"/>
        <n x="800" s="1"/>
        <n x="669"/>
        <n x="670"/>
      </t>
    </mdx>
    <mdx n="0" f="v">
      <t c="6" si="614">
        <n x="610"/>
        <n x="735"/>
        <n x="736"/>
        <n x="800" s="1"/>
        <n x="667"/>
        <n x="668"/>
      </t>
    </mdx>
    <mdx n="0" f="v">
      <t c="6" si="614">
        <n x="610"/>
        <n x="283"/>
        <n x="284"/>
        <n x="800" s="1"/>
        <n x="665"/>
        <n x="666"/>
      </t>
    </mdx>
    <mdx n="0" f="v">
      <t c="6" si="614">
        <n x="610"/>
        <n x="277"/>
        <n x="278"/>
        <n x="800" s="1"/>
        <n x="663"/>
        <n x="664"/>
      </t>
    </mdx>
    <mdx n="0" f="v">
      <t c="6" si="614">
        <n x="610"/>
        <n x="525"/>
        <n x="526"/>
        <n x="800" s="1"/>
        <n x="659"/>
        <n x="660"/>
      </t>
    </mdx>
    <mdx n="0" f="v">
      <t c="6" si="614">
        <n x="610"/>
        <n x="525"/>
        <n x="526"/>
        <n x="800" s="1"/>
        <n x="671"/>
        <n x="672"/>
      </t>
    </mdx>
    <mdx n="0" f="v">
      <t c="6" si="614">
        <n x="610"/>
        <n x="387"/>
        <n x="388"/>
        <n x="800" s="1"/>
        <n x="669"/>
        <n x="670"/>
      </t>
    </mdx>
    <mdx n="0" f="v">
      <t c="6" si="614">
        <n x="610"/>
        <n x="257"/>
        <n x="258"/>
        <n x="800" s="1"/>
        <n x="667"/>
        <n x="668"/>
      </t>
    </mdx>
    <mdx n="0" f="v">
      <t c="6" si="614">
        <n x="610"/>
        <n x="319"/>
        <n x="320"/>
        <n x="800" s="1"/>
        <n x="665"/>
        <n x="666"/>
      </t>
    </mdx>
    <mdx n="0" f="v">
      <t c="6" si="614">
        <n x="610"/>
        <n x="401"/>
        <n x="402"/>
        <n x="800" s="1"/>
        <n x="663"/>
        <n x="664"/>
      </t>
    </mdx>
    <mdx n="0" f="v">
      <t c="6" si="614">
        <n x="610"/>
        <n x="591"/>
        <n x="592"/>
        <n x="800" s="1"/>
        <n x="659"/>
        <n x="660"/>
      </t>
    </mdx>
    <mdx n="0" f="v">
      <t c="6" si="614">
        <n x="610"/>
        <n x="591"/>
        <n x="592"/>
        <n x="800" s="1"/>
        <n x="671"/>
        <n x="672"/>
      </t>
    </mdx>
    <mdx n="0" f="v">
      <t c="6" si="614">
        <n x="610"/>
        <n x="737"/>
        <n x="738"/>
        <n x="800" s="1"/>
        <n x="669"/>
        <n x="670"/>
      </t>
    </mdx>
    <mdx n="0" f="v">
      <t c="6" si="614">
        <n x="610"/>
        <n x="739"/>
        <n x="740"/>
        <n x="800" s="1"/>
        <n x="667"/>
        <n x="668"/>
      </t>
    </mdx>
    <mdx n="0" f="v">
      <t c="6" si="614">
        <n x="610"/>
        <n x="741"/>
        <n x="742"/>
        <n x="800" s="1"/>
        <n x="665"/>
        <n x="666"/>
      </t>
    </mdx>
    <mdx n="0" f="v">
      <t c="6" si="614">
        <n x="610"/>
        <n x="435"/>
        <n x="436"/>
        <n x="800" s="1"/>
        <n x="663"/>
        <n x="664"/>
      </t>
    </mdx>
    <mdx n="0" f="v">
      <t c="6" si="614">
        <n x="610"/>
        <n x="499"/>
        <n x="500"/>
        <n x="800" s="1"/>
        <n x="661"/>
        <n x="662"/>
      </t>
    </mdx>
    <mdx n="0" f="v">
      <t c="6" si="614">
        <n x="610"/>
        <n x="455"/>
        <n x="456"/>
        <n x="800" s="1"/>
        <n x="659"/>
        <n x="660"/>
      </t>
    </mdx>
    <mdx n="0" f="v">
      <t c="6" si="614">
        <n x="610"/>
        <n x="455"/>
        <n x="456"/>
        <n x="800" s="1"/>
        <n x="671"/>
        <n x="672"/>
      </t>
    </mdx>
    <mdx n="0" f="v">
      <t c="6" si="614">
        <n x="610"/>
        <n x="429"/>
        <n x="430"/>
        <n x="800" s="1"/>
        <n x="669"/>
        <n x="670"/>
      </t>
    </mdx>
    <mdx n="0" f="v">
      <t c="6" si="614">
        <n x="610"/>
        <n x="537"/>
        <n x="538"/>
        <n x="800" s="1"/>
        <n x="667"/>
        <n x="668"/>
      </t>
    </mdx>
    <mdx n="0" f="v">
      <t c="6" si="614">
        <n x="610"/>
        <n x="393"/>
        <n x="394"/>
        <n x="800" s="1"/>
        <n x="665"/>
        <n x="666"/>
      </t>
    </mdx>
    <mdx n="0" f="v">
      <t c="6" si="614">
        <n x="610"/>
        <n x="743"/>
        <n x="744"/>
        <n x="800" s="1"/>
        <n x="663"/>
        <n x="664"/>
      </t>
    </mdx>
    <mdx n="0" f="v">
      <t c="6" si="614">
        <n x="610"/>
        <n x="561"/>
        <n x="562"/>
        <n x="800" s="1"/>
        <n x="661"/>
        <n x="662"/>
      </t>
    </mdx>
    <mdx n="0" f="v">
      <t c="6" si="614">
        <n x="610"/>
        <n x="491"/>
        <n x="492"/>
        <n x="800" s="1"/>
        <n x="659"/>
        <n x="660"/>
      </t>
    </mdx>
    <mdx n="0" f="v">
      <t c="6" si="614">
        <n x="610"/>
        <n x="491"/>
        <n x="492"/>
        <n x="800" s="1"/>
        <n x="671"/>
        <n x="672"/>
      </t>
    </mdx>
    <mdx n="0" f="v">
      <t c="6" si="614">
        <n x="610"/>
        <n x="433"/>
        <n x="434"/>
        <n x="800" s="1"/>
        <n x="669"/>
        <n x="670"/>
      </t>
    </mdx>
    <mdx n="0" f="v">
      <t c="6" si="614">
        <n x="610"/>
        <n x="589"/>
        <n x="590"/>
        <n x="800" s="1"/>
        <n x="667"/>
        <n x="668"/>
      </t>
    </mdx>
    <mdx n="0" f="v">
      <t c="6" si="614">
        <n x="610"/>
        <n x="605"/>
        <n x="606"/>
        <n x="800" s="1"/>
        <n x="665"/>
        <n x="666"/>
      </t>
    </mdx>
    <mdx n="0" f="v">
      <t c="6" si="614">
        <n x="610"/>
        <n x="437"/>
        <n x="438"/>
        <n x="800" s="1"/>
        <n x="663"/>
        <n x="664"/>
      </t>
    </mdx>
    <mdx n="0" f="v">
      <t c="6" si="614">
        <n x="610"/>
        <n x="513"/>
        <n x="514"/>
        <n x="800" s="1"/>
        <n x="659"/>
        <n x="660"/>
      </t>
    </mdx>
    <mdx n="0" f="v">
      <t c="6" si="614">
        <n x="610"/>
        <n x="513"/>
        <n x="514"/>
        <n x="800" s="1"/>
        <n x="671"/>
        <n x="672"/>
      </t>
    </mdx>
    <mdx n="0" f="v">
      <t c="6" si="614">
        <n x="610"/>
        <n x="745"/>
        <n x="746"/>
        <n x="800" s="1"/>
        <n x="667"/>
        <n x="668"/>
      </t>
    </mdx>
    <mdx n="0" f="v">
      <t c="6" si="614">
        <n x="610"/>
        <n x="295"/>
        <n x="296"/>
        <n x="800" s="1"/>
        <n x="665"/>
        <n x="666"/>
      </t>
    </mdx>
    <mdx n="0" f="v">
      <t c="6" si="614">
        <n x="610"/>
        <n x="747"/>
        <n x="748"/>
        <n x="800" s="1"/>
        <n x="663"/>
        <n x="664"/>
      </t>
    </mdx>
    <mdx n="0" f="v">
      <t c="6" si="614">
        <n x="610"/>
        <n x="441"/>
        <n x="442"/>
        <n x="800" s="1"/>
        <n x="661"/>
        <n x="662"/>
      </t>
    </mdx>
    <mdx n="0" f="v">
      <t c="6" si="614">
        <n x="610"/>
        <n x="345"/>
        <n x="346"/>
        <n x="800" s="1"/>
        <n x="659"/>
        <n x="660"/>
      </t>
    </mdx>
    <mdx n="0" f="v">
      <t c="6" si="614">
        <n x="610"/>
        <n x="345"/>
        <n x="346"/>
        <n x="800" s="1"/>
        <n x="671"/>
        <n x="672"/>
      </t>
    </mdx>
    <mdx n="0" f="v">
      <t c="6" si="614">
        <n x="610"/>
        <n x="569"/>
        <n x="570"/>
        <n x="800" s="1"/>
        <n x="669"/>
        <n x="670"/>
      </t>
    </mdx>
    <mdx n="0" f="v">
      <t c="6" si="614">
        <n x="610"/>
        <n x="259"/>
        <n x="260"/>
        <n x="800" s="1"/>
        <n x="667"/>
        <n x="668"/>
      </t>
    </mdx>
    <mdx n="0" f="v">
      <t c="6" si="614">
        <n x="610"/>
        <n x="299"/>
        <n x="300"/>
        <n x="800" s="1"/>
        <n x="665"/>
        <n x="666"/>
      </t>
    </mdx>
    <mdx n="0" f="v">
      <t c="6" si="614">
        <n x="610"/>
        <n x="749"/>
        <n x="750"/>
        <n x="800" s="1"/>
        <n x="663"/>
        <n x="664"/>
      </t>
    </mdx>
    <mdx n="0" f="v">
      <t c="6" si="614">
        <n x="610"/>
        <n x="489"/>
        <n x="490"/>
        <n x="800" s="1"/>
        <n x="659"/>
        <n x="660"/>
      </t>
    </mdx>
    <mdx n="0" f="v">
      <t c="6" si="614">
        <n x="610"/>
        <n x="489"/>
        <n x="490"/>
        <n x="800" s="1"/>
        <n x="671"/>
        <n x="672"/>
      </t>
    </mdx>
    <mdx n="0" f="v">
      <t c="6" si="614">
        <n x="610"/>
        <n x="241"/>
        <n x="242"/>
        <n x="800" s="1"/>
        <n x="669"/>
        <n x="670"/>
      </t>
    </mdx>
    <mdx n="0" f="v">
      <t c="6" si="614">
        <n x="610"/>
        <n x="593"/>
        <n x="594"/>
        <n x="800" s="1"/>
        <n x="667"/>
        <n x="668"/>
      </t>
    </mdx>
    <mdx n="0" f="v">
      <t c="6" si="614">
        <n x="610"/>
        <n x="229"/>
        <n x="230"/>
        <n x="800" s="1"/>
        <n x="665"/>
        <n x="666"/>
      </t>
    </mdx>
    <mdx n="0" f="v">
      <t c="6" si="614">
        <n x="610"/>
        <n x="751"/>
        <n x="752"/>
        <n x="800" s="1"/>
        <n x="663"/>
        <n x="664"/>
      </t>
    </mdx>
    <mdx n="0" f="v">
      <t c="6" si="614">
        <n x="610"/>
        <n x="753"/>
        <n x="754"/>
        <n x="800" s="1"/>
        <n x="661"/>
        <n x="662"/>
      </t>
    </mdx>
    <mdx n="0" f="v">
      <t c="6" si="614">
        <n x="610"/>
        <n x="755"/>
        <n x="756"/>
        <n x="800" s="1"/>
        <n x="659"/>
        <n x="660"/>
      </t>
    </mdx>
    <mdx n="0" f="v">
      <t c="6" si="614">
        <n x="610"/>
        <n x="755"/>
        <n x="756"/>
        <n x="800" s="1"/>
        <n x="671"/>
        <n x="672"/>
      </t>
    </mdx>
    <mdx n="0" f="v">
      <t c="6" si="614">
        <n x="610"/>
        <n x="447"/>
        <n x="448"/>
        <n x="800" s="1"/>
        <n x="669"/>
        <n x="670"/>
      </t>
    </mdx>
    <mdx n="0" f="v">
      <t c="6" si="614">
        <n x="610"/>
        <n x="223"/>
        <n x="224"/>
        <n x="800" s="1"/>
        <n x="667"/>
        <n x="668"/>
      </t>
    </mdx>
    <mdx n="0" f="v">
      <t c="6" si="614">
        <n x="610"/>
        <n x="339"/>
        <n x="340"/>
        <n x="800" s="1"/>
        <n x="665"/>
        <n x="666"/>
      </t>
    </mdx>
    <mdx n="0" f="v">
      <t c="6" si="614">
        <n x="610"/>
        <n x="471"/>
        <n x="472"/>
        <n x="800" s="1"/>
        <n x="663"/>
        <n x="664"/>
      </t>
    </mdx>
    <mdx n="0" f="v">
      <t c="6" si="614">
        <n x="610"/>
        <n x="407"/>
        <n x="408"/>
        <n x="800" s="1"/>
        <n x="659"/>
        <n x="660"/>
      </t>
    </mdx>
    <mdx n="0" f="v">
      <t c="6" si="614">
        <n x="610"/>
        <n x="407"/>
        <n x="408"/>
        <n x="800" s="1"/>
        <n x="671"/>
        <n x="672"/>
      </t>
    </mdx>
    <mdx n="0" f="v">
      <t c="6" si="614">
        <n x="610"/>
        <n x="321"/>
        <n x="322"/>
        <n x="800" s="1"/>
        <n x="669"/>
        <n x="670"/>
      </t>
    </mdx>
    <mdx n="0" f="v">
      <t c="6" si="614">
        <n x="610"/>
        <n x="577"/>
        <n x="578"/>
        <n x="800" s="1"/>
        <n x="667"/>
        <n x="668"/>
      </t>
    </mdx>
    <mdx n="0" f="v">
      <t c="6" si="614">
        <n x="610"/>
        <n x="399"/>
        <n x="400"/>
        <n x="800" s="1"/>
        <n x="665"/>
        <n x="666"/>
      </t>
    </mdx>
    <mdx n="0" f="v">
      <t c="6" si="614">
        <n x="610"/>
        <n x="233"/>
        <n x="234"/>
        <n x="800" s="1"/>
        <n x="663"/>
        <n x="664"/>
      </t>
    </mdx>
    <mdx n="0" f="v">
      <t c="6" si="614">
        <n x="610"/>
        <n x="289"/>
        <n x="290"/>
        <n x="800" s="1"/>
        <n x="661"/>
        <n x="662"/>
      </t>
    </mdx>
    <mdx n="0" f="v">
      <t c="6" si="614">
        <n x="610"/>
        <n x="493"/>
        <n x="494"/>
        <n x="800" s="1"/>
        <n x="659"/>
        <n x="660"/>
      </t>
    </mdx>
    <mdx n="0" f="v">
      <t c="6" si="614">
        <n x="610"/>
        <n x="493"/>
        <n x="494"/>
        <n x="800" s="1"/>
        <n x="671"/>
        <n x="672"/>
      </t>
    </mdx>
    <mdx n="0" f="v">
      <t c="6" si="614">
        <n x="610"/>
        <n x="207"/>
        <n x="208"/>
        <n x="800" s="1"/>
        <n x="669"/>
        <n x="670"/>
      </t>
    </mdx>
    <mdx n="0" f="v">
      <t c="6" si="614">
        <n x="610"/>
        <n x="361"/>
        <n x="362"/>
        <n x="800" s="1"/>
        <n x="667"/>
        <n x="668"/>
      </t>
    </mdx>
    <mdx n="0" f="v">
      <t c="6" si="614">
        <n x="610"/>
        <n x="551"/>
        <n x="552"/>
        <n x="800" s="1"/>
        <n x="665"/>
        <n x="666"/>
      </t>
    </mdx>
    <mdx n="0" f="v">
      <t c="6" si="614">
        <n x="610"/>
        <n x="273"/>
        <n x="274"/>
        <n x="800" s="1"/>
        <n x="663"/>
        <n x="664"/>
      </t>
    </mdx>
    <mdx n="0" f="v">
      <t c="6" si="614">
        <n x="610"/>
        <n x="759"/>
        <n x="760"/>
        <n x="800" s="1"/>
        <n x="659"/>
        <n x="660"/>
      </t>
    </mdx>
    <mdx n="0" f="v">
      <t c="6" si="614">
        <n x="610"/>
        <n x="759"/>
        <n x="760"/>
        <n x="800" s="1"/>
        <n x="671"/>
        <n x="672"/>
      </t>
    </mdx>
    <mdx n="0" f="v">
      <t c="6" si="614">
        <n x="610"/>
        <n x="761"/>
        <n x="762"/>
        <n x="800" s="1"/>
        <n x="669"/>
        <n x="670"/>
      </t>
    </mdx>
    <mdx n="0" f="v">
      <t c="6" si="614">
        <n x="610"/>
        <n x="325"/>
        <n x="326"/>
        <n x="800" s="1"/>
        <n x="667"/>
        <n x="668"/>
      </t>
    </mdx>
    <mdx n="0" f="v">
      <t c="6" si="614">
        <n x="610"/>
        <n x="409"/>
        <n x="410"/>
        <n x="800" s="1"/>
        <n x="665"/>
        <n x="666"/>
      </t>
    </mdx>
    <mdx n="0" f="v">
      <t c="6" si="614">
        <n x="610"/>
        <n x="553"/>
        <n x="554"/>
        <n x="800" s="1"/>
        <n x="663"/>
        <n x="664"/>
      </t>
    </mdx>
    <mdx n="0" f="v">
      <t c="6" si="614">
        <n x="610"/>
        <n x="245"/>
        <n x="246"/>
        <n x="800" s="1"/>
        <n x="661"/>
        <n x="662"/>
      </t>
    </mdx>
    <mdx n="0" f="v">
      <t c="6" si="614">
        <n x="610"/>
        <n x="549"/>
        <n x="550"/>
        <n x="800" s="1"/>
        <n x="659"/>
        <n x="660"/>
      </t>
    </mdx>
    <mdx n="0" f="v">
      <t c="6" si="614">
        <n x="610"/>
        <n x="549"/>
        <n x="550"/>
        <n x="800" s="1"/>
        <n x="671"/>
        <n x="672"/>
      </t>
    </mdx>
    <mdx n="0" f="v">
      <t c="6" si="614">
        <n x="610"/>
        <n x="255"/>
        <n x="256"/>
        <n x="800" s="1"/>
        <n x="669"/>
        <n x="670"/>
      </t>
    </mdx>
    <mdx n="0" f="v">
      <t c="6" si="614">
        <n x="610"/>
        <n x="507"/>
        <n x="508"/>
        <n x="800" s="1"/>
        <n x="667"/>
        <n x="668"/>
      </t>
    </mdx>
    <mdx n="0" f="v">
      <t c="6" si="614">
        <n x="610"/>
        <n x="469"/>
        <n x="470"/>
        <n x="800" s="1"/>
        <n x="665"/>
        <n x="666"/>
      </t>
    </mdx>
    <mdx n="0" f="v">
      <t c="6" si="614">
        <n x="610"/>
        <n x="247"/>
        <n x="248"/>
        <n x="800" s="1"/>
        <n x="663"/>
        <n x="664"/>
      </t>
    </mdx>
    <mdx n="0" f="v">
      <t c="6" si="614">
        <n x="610"/>
        <n x="467"/>
        <n x="468"/>
        <n x="800" s="1"/>
        <n x="661"/>
        <n x="662"/>
      </t>
    </mdx>
    <mdx n="0" f="v">
      <t c="6" si="614">
        <n x="610"/>
        <n x="287"/>
        <n x="288"/>
        <n x="800" s="1"/>
        <n x="659"/>
        <n x="660"/>
      </t>
    </mdx>
    <mdx n="0" f="v">
      <t c="6" si="614">
        <n x="610"/>
        <n x="287"/>
        <n x="288"/>
        <n x="800" s="1"/>
        <n x="671"/>
        <n x="672"/>
      </t>
    </mdx>
    <mdx n="0" f="v">
      <t c="6" si="614">
        <n x="610"/>
        <n x="763"/>
        <n x="764"/>
        <n x="800" s="1"/>
        <n x="669"/>
        <n x="670"/>
      </t>
    </mdx>
    <mdx n="0" f="v">
      <t c="6" si="614">
        <n x="610"/>
        <n x="349"/>
        <n x="350"/>
        <n x="800" s="1"/>
        <n x="667"/>
        <n x="668"/>
      </t>
    </mdx>
    <mdx n="0" f="v">
      <t c="6" si="614">
        <n x="610"/>
        <n x="539"/>
        <n x="540"/>
        <n x="800" s="1"/>
        <n x="665"/>
        <n x="666"/>
      </t>
    </mdx>
    <mdx n="0" f="v">
      <t c="6" si="614">
        <n x="610"/>
        <n x="765"/>
        <n x="766"/>
        <n x="800" s="1"/>
        <n x="663"/>
        <n x="664"/>
      </t>
    </mdx>
    <mdx n="0" f="v">
      <t c="6" si="614">
        <n x="610"/>
        <n x="359"/>
        <n x="360"/>
        <n x="800" s="1"/>
        <n x="659"/>
        <n x="660"/>
      </t>
    </mdx>
    <mdx n="0" f="v">
      <t c="6" si="614">
        <n x="610"/>
        <n x="359"/>
        <n x="360"/>
        <n x="800" s="1"/>
        <n x="671"/>
        <n x="672"/>
      </t>
    </mdx>
    <mdx n="0" f="v">
      <t c="6" si="614">
        <n x="610"/>
        <n x="403"/>
        <n x="404"/>
        <n x="800" s="1"/>
        <n x="669"/>
        <n x="670"/>
      </t>
    </mdx>
    <mdx n="0" f="v">
      <t c="6" si="614">
        <n x="610"/>
        <n x="411"/>
        <n x="412"/>
        <n x="800" s="1"/>
        <n x="667"/>
        <n x="668"/>
      </t>
    </mdx>
    <mdx n="0" f="v">
      <t c="6" si="614">
        <n x="610"/>
        <n x="767"/>
        <n x="768"/>
        <n x="800" s="1"/>
        <n x="665"/>
        <n x="666"/>
      </t>
    </mdx>
    <mdx n="0" f="v">
      <t c="6" si="614">
        <n x="610"/>
        <n x="315"/>
        <n x="316"/>
        <n x="800" s="1"/>
        <n x="663"/>
        <n x="664"/>
      </t>
    </mdx>
    <mdx n="0" f="v">
      <t c="6" si="614">
        <n x="610"/>
        <n x="769"/>
        <n x="770"/>
        <n x="800" s="1"/>
        <n x="661"/>
        <n x="662"/>
      </t>
    </mdx>
    <mdx n="0" f="v">
      <t c="6" si="614">
        <n x="610"/>
        <n x="511"/>
        <n x="512"/>
        <n x="800" s="1"/>
        <n x="659"/>
        <n x="660"/>
      </t>
    </mdx>
    <mdx n="0" f="v">
      <t c="6" si="614">
        <n x="610"/>
        <n x="511"/>
        <n x="512"/>
        <n x="800" s="1"/>
        <n x="671"/>
        <n x="672"/>
      </t>
    </mdx>
    <mdx n="0" f="v">
      <t c="6" si="614">
        <n x="610"/>
        <n x="427"/>
        <n x="428"/>
        <n x="800" s="1"/>
        <n x="669"/>
        <n x="670"/>
      </t>
    </mdx>
    <mdx n="0" f="v">
      <t c="6" si="614">
        <n x="610"/>
        <n x="771"/>
        <n x="772"/>
        <n x="800" s="1"/>
        <n x="667"/>
        <n x="668"/>
      </t>
    </mdx>
    <mdx n="0" f="v">
      <t c="6" si="614">
        <n x="610"/>
        <n x="485"/>
        <n x="486"/>
        <n x="800" s="1"/>
        <n x="665"/>
        <n x="666"/>
      </t>
    </mdx>
    <mdx n="0" f="v">
      <t c="6" si="614">
        <n x="610"/>
        <n x="293"/>
        <n x="294"/>
        <n x="800" s="1"/>
        <n x="663"/>
        <n x="664"/>
      </t>
    </mdx>
    <mdx n="0" f="v">
      <t c="6" si="614">
        <n x="610"/>
        <n x="249"/>
        <n x="250"/>
        <n x="800" s="1"/>
        <n x="671"/>
        <n x="672"/>
      </t>
    </mdx>
    <mdx n="0" f="v">
      <t c="6" si="614">
        <n x="610"/>
        <n x="773"/>
        <n x="774"/>
        <n x="800" s="1"/>
        <n x="669"/>
        <n x="670"/>
      </t>
    </mdx>
    <mdx n="0" f="v">
      <t c="6" si="614">
        <n x="610"/>
        <n x="775"/>
        <n x="776"/>
        <n x="800" s="1"/>
        <n x="667"/>
        <n x="668"/>
      </t>
    </mdx>
    <mdx n="0" f="v">
      <t c="6" si="614">
        <n x="610"/>
        <n x="777"/>
        <n x="778"/>
        <n x="800" s="1"/>
        <n x="665"/>
        <n x="666"/>
      </t>
    </mdx>
    <mdx n="0" f="v">
      <t c="6" si="614">
        <n x="610"/>
        <n x="357"/>
        <n x="358"/>
        <n x="800" s="1"/>
        <n x="663"/>
        <n x="664"/>
      </t>
    </mdx>
    <mdx n="0" f="v">
      <t c="6" si="614">
        <n x="610"/>
        <n x="381"/>
        <n x="382"/>
        <n x="800" s="1"/>
        <n x="661"/>
        <n x="662"/>
      </t>
    </mdx>
    <mdx n="0" f="v">
      <t c="6" si="614">
        <n x="610"/>
        <n x="515"/>
        <n x="516"/>
        <n x="800" s="1"/>
        <n x="659"/>
        <n x="660"/>
      </t>
    </mdx>
    <mdx n="0" f="v">
      <t c="6" si="614">
        <n x="610"/>
        <n x="515"/>
        <n x="516"/>
        <n x="800" s="1"/>
        <n x="671"/>
        <n x="672"/>
      </t>
    </mdx>
    <mdx n="0" f="v">
      <t c="6" si="614">
        <n x="610"/>
        <n x="445"/>
        <n x="446"/>
        <n x="800" s="1"/>
        <n x="669"/>
        <n x="670"/>
      </t>
    </mdx>
    <mdx n="0" f="v">
      <t c="6" si="614">
        <n x="610"/>
        <n x="779"/>
        <n x="780"/>
        <n x="800" s="1"/>
        <n x="667"/>
        <n x="668"/>
      </t>
    </mdx>
    <mdx n="0" f="v">
      <t c="6" si="614">
        <n x="610"/>
        <n x="269"/>
        <n x="270"/>
        <n x="800" s="1"/>
        <n x="665"/>
        <n x="666"/>
      </t>
    </mdx>
    <mdx n="0" f="v">
      <t c="6" si="614">
        <n x="610"/>
        <n x="533"/>
        <n x="534"/>
        <n x="800" s="1"/>
        <n x="663"/>
        <n x="664"/>
      </t>
    </mdx>
    <mdx n="0" f="v">
      <t c="6" si="614">
        <n x="610"/>
        <n x="527"/>
        <n x="528"/>
        <n x="800" s="1"/>
        <n x="661"/>
        <n x="662"/>
      </t>
    </mdx>
    <mdx n="0" f="v">
      <t c="6" si="614">
        <n x="610"/>
        <n x="781"/>
        <n x="782"/>
        <n x="800" s="1"/>
        <n x="659"/>
        <n x="660"/>
      </t>
    </mdx>
    <mdx n="0" f="v">
      <t c="6" si="614">
        <n x="610"/>
        <n x="781"/>
        <n x="782"/>
        <n x="800" s="1"/>
        <n x="671"/>
        <n x="672"/>
      </t>
    </mdx>
    <mdx n="0" f="v">
      <t c="6" si="614">
        <n x="610"/>
        <n x="375"/>
        <n x="376"/>
        <n x="800" s="1"/>
        <n x="669"/>
        <n x="670"/>
      </t>
    </mdx>
    <mdx n="0" f="v">
      <t c="6" si="614">
        <n x="610"/>
        <n x="783"/>
        <n x="784"/>
        <n x="800" s="1"/>
        <n x="667"/>
        <n x="668"/>
      </t>
    </mdx>
    <mdx n="0" f="v">
      <t c="6" si="614">
        <n x="610"/>
        <n x="535"/>
        <n x="536"/>
        <n x="800" s="1"/>
        <n x="665"/>
        <n x="666"/>
      </t>
    </mdx>
    <mdx n="0" f="v">
      <t c="6" si="614">
        <n x="610"/>
        <n x="355"/>
        <n x="356"/>
        <n x="800" s="1"/>
        <n x="663"/>
        <n x="664"/>
      </t>
    </mdx>
    <mdx n="0" f="v">
      <t c="6" si="614">
        <n x="610"/>
        <n x="785"/>
        <n x="786"/>
        <n x="800" s="1"/>
        <n x="661"/>
        <n x="662"/>
      </t>
    </mdx>
    <mdx n="0" f="v">
      <t c="6" si="614">
        <n x="610"/>
        <n x="787"/>
        <n x="788"/>
        <n x="800" s="1"/>
        <n x="659"/>
        <n x="660"/>
      </t>
    </mdx>
    <mdx n="0" f="v">
      <t c="6" si="614">
        <n x="610"/>
        <n x="787"/>
        <n x="788"/>
        <n x="800" s="1"/>
        <n x="671"/>
        <n x="672"/>
      </t>
    </mdx>
    <mdx n="0" f="v">
      <t c="6" si="614">
        <n x="610"/>
        <n x="583"/>
        <n x="584"/>
        <n x="800" s="1"/>
        <n x="669"/>
        <n x="670"/>
      </t>
    </mdx>
    <mdx n="0" f="v">
      <t c="6" si="614">
        <n x="610"/>
        <n x="581"/>
        <n x="582"/>
        <n x="800" s="1"/>
        <n x="663"/>
        <n x="664"/>
      </t>
    </mdx>
    <mdx n="0" f="v">
      <t c="6" si="614">
        <n x="610"/>
        <n x="431"/>
        <n x="432"/>
        <n x="800" s="1"/>
        <n x="661"/>
        <n x="662"/>
      </t>
    </mdx>
    <mdx n="0" f="v">
      <t c="6" si="614">
        <n x="610"/>
        <n x="789"/>
        <n x="790"/>
        <n x="800" s="1"/>
        <n x="659"/>
        <n x="660"/>
      </t>
    </mdx>
    <mdx n="0" f="v">
      <t c="6" si="614">
        <n x="610"/>
        <n x="789"/>
        <n x="790"/>
        <n x="800" s="1"/>
        <n x="671"/>
        <n x="672"/>
      </t>
    </mdx>
    <mdx n="0" f="v">
      <t c="6" si="614">
        <n x="610"/>
        <n x="311"/>
        <n x="312"/>
        <n x="800" s="1"/>
        <n x="669"/>
        <n x="670"/>
      </t>
    </mdx>
    <mdx n="0" f="v">
      <t c="6" si="614">
        <n x="610"/>
        <n x="531"/>
        <n x="532"/>
        <n x="800" s="1"/>
        <n x="667"/>
        <n x="668"/>
      </t>
    </mdx>
    <mdx n="0" f="v">
      <t c="6" si="614">
        <n x="610"/>
        <n x="565"/>
        <n x="566"/>
        <n x="800" s="1"/>
        <n x="665"/>
        <n x="666"/>
      </t>
    </mdx>
    <mdx n="0" f="v">
      <t c="6" si="614">
        <n x="610"/>
        <n x="521"/>
        <n x="522"/>
        <n x="800" s="1"/>
        <n x="663"/>
        <n x="664"/>
      </t>
    </mdx>
    <mdx n="0" f="v">
      <t c="6" si="614">
        <n x="610"/>
        <n x="423"/>
        <n x="424"/>
        <n x="800" s="1"/>
        <n x="661"/>
        <n x="662"/>
      </t>
    </mdx>
    <mdx n="0" f="v">
      <t c="6" si="614">
        <n x="610"/>
        <n x="545"/>
        <n x="546"/>
        <n x="800" s="1"/>
        <n x="659"/>
        <n x="660"/>
      </t>
    </mdx>
    <mdx n="0" f="v">
      <t c="6" si="614">
        <n x="610"/>
        <n x="545"/>
        <n x="546"/>
        <n x="800" s="1"/>
        <n x="671"/>
        <n x="672"/>
      </t>
    </mdx>
    <mdx n="0" f="v">
      <t c="6" si="614">
        <n x="610"/>
        <n x="575"/>
        <n x="576"/>
        <n x="800" s="1"/>
        <n x="669"/>
        <n x="670"/>
      </t>
    </mdx>
    <mdx n="0" f="v">
      <t c="6" si="614">
        <n x="610"/>
        <n x="451"/>
        <n x="452"/>
        <n x="800" s="1"/>
        <n x="667"/>
        <n x="668"/>
      </t>
    </mdx>
    <mdx n="0" f="v">
      <t c="6" si="614">
        <n x="610"/>
        <n x="473"/>
        <n x="474"/>
        <n x="800" s="1"/>
        <n x="665"/>
        <n x="666"/>
      </t>
    </mdx>
    <mdx n="0" f="v">
      <t c="6" si="614">
        <n x="610"/>
        <n x="523"/>
        <n x="524"/>
        <n x="800" s="1"/>
        <n x="663"/>
        <n x="664"/>
      </t>
    </mdx>
    <mdx n="0" f="v">
      <t c="6" si="614">
        <n x="610"/>
        <n x="579"/>
        <n x="580"/>
        <n x="800" s="1"/>
        <n x="659"/>
        <n x="660"/>
      </t>
    </mdx>
    <mdx n="0" f="v">
      <t c="6" si="614">
        <n x="610"/>
        <n x="579"/>
        <n x="580"/>
        <n x="800" s="1"/>
        <n x="671"/>
        <n x="672"/>
      </t>
    </mdx>
    <mdx n="0" f="v">
      <t c="6" si="614">
        <n x="610"/>
        <n x="313"/>
        <n x="314"/>
        <n x="800" s="1"/>
        <n x="669"/>
        <n x="670"/>
      </t>
    </mdx>
    <mdx n="0" f="v">
      <t c="6" si="614">
        <n x="610"/>
        <n x="351"/>
        <n x="352"/>
        <n x="800" s="1"/>
        <n x="667"/>
        <n x="668"/>
      </t>
    </mdx>
    <mdx n="0" f="v">
      <t c="6" si="614">
        <n x="610"/>
        <n x="213"/>
        <n x="214"/>
        <n x="800" s="1"/>
        <n x="665"/>
        <n x="666"/>
      </t>
    </mdx>
    <mdx n="0" f="v">
      <t c="6" si="614">
        <n x="610"/>
        <n x="791"/>
        <n x="792"/>
        <n x="800" s="1"/>
        <n x="663"/>
        <n x="664"/>
      </t>
    </mdx>
    <mdx n="0" f="v">
      <t c="6" si="614">
        <n x="610"/>
        <n x="227"/>
        <n x="228"/>
        <n x="800" s="1"/>
        <n x="671"/>
        <n x="672"/>
      </t>
    </mdx>
    <mdx n="0" f="v">
      <t c="6" si="614">
        <n x="610"/>
        <n x="215"/>
        <n x="216"/>
        <n x="800" s="1"/>
        <n x="665"/>
        <n x="666"/>
      </t>
    </mdx>
    <mdx n="0" f="v">
      <t c="6" si="614">
        <n x="610"/>
        <n x="803"/>
        <n x="804"/>
        <n x="800" s="1"/>
        <n x="663"/>
        <n x="664"/>
      </t>
    </mdx>
    <mdx n="0" f="v">
      <t c="6" si="614">
        <n x="610"/>
        <n x="711"/>
        <n x="712"/>
        <n x="800" s="1"/>
        <n x="663"/>
        <n x="664"/>
      </t>
    </mdx>
    <mdx n="0" f="v">
      <t c="6" si="614">
        <n x="610"/>
        <n x="711"/>
        <n x="712"/>
        <n x="800" s="1"/>
        <n x="665"/>
        <n x="666"/>
      </t>
    </mdx>
    <mdx n="0" f="v">
      <t c="6" si="614">
        <n x="610"/>
        <n x="711"/>
        <n x="712"/>
        <n x="800" s="1"/>
        <n x="667"/>
        <n x="668"/>
      </t>
    </mdx>
    <mdx n="0" f="v">
      <t c="6" si="614">
        <n x="610"/>
        <n x="711"/>
        <n x="712"/>
        <n x="800" s="1"/>
        <n x="669"/>
        <n x="670"/>
      </t>
    </mdx>
    <mdx n="0" f="v">
      <t c="6" si="614">
        <n x="610"/>
        <n x="439"/>
        <n x="440"/>
        <n x="800" s="1"/>
        <n x="671"/>
        <n x="672"/>
      </t>
    </mdx>
    <mdx n="0" f="v">
      <t c="6" si="614">
        <n x="610"/>
        <n x="571"/>
        <n x="572"/>
        <n x="800" s="1"/>
        <n x="669"/>
        <n x="670"/>
      </t>
    </mdx>
    <mdx n="0" f="v">
      <t c="6" si="614">
        <n x="610"/>
        <n x="305"/>
        <n x="306"/>
        <n x="800" s="1"/>
        <n x="667"/>
        <n x="668"/>
      </t>
    </mdx>
    <mdx n="0" f="v">
      <t c="6" si="614">
        <n x="610"/>
        <n x="563"/>
        <n x="564"/>
        <n x="800" s="1"/>
        <n x="665"/>
        <n x="666"/>
      </t>
    </mdx>
    <mdx n="0" f="v">
      <t c="6" si="614">
        <n x="610"/>
        <n x="225"/>
        <n x="226"/>
        <n x="800" s="1"/>
        <n x="663"/>
        <n x="664"/>
      </t>
    </mdx>
    <mdx n="0" f="v">
      <t c="6" si="614">
        <n x="610"/>
        <n x="279"/>
        <n x="280"/>
        <n x="800" s="1"/>
        <n x="661"/>
        <n x="662"/>
      </t>
    </mdx>
    <mdx n="0" f="v">
      <t c="6" si="614">
        <n x="610"/>
        <n x="291"/>
        <n x="292"/>
        <n x="800" s="1"/>
        <n x="659"/>
        <n x="660"/>
      </t>
    </mdx>
    <mdx n="0" f="v">
      <t c="6" si="614">
        <n x="610"/>
        <n x="291"/>
        <n x="292"/>
        <n x="800" s="1"/>
        <n x="671"/>
        <n x="672"/>
      </t>
    </mdx>
    <mdx n="0" f="v">
      <t c="6" si="614">
        <n x="610"/>
        <n x="797"/>
        <n x="798"/>
        <n x="800" s="1"/>
        <n x="669"/>
        <n x="670"/>
      </t>
    </mdx>
    <mdx n="0" f="v">
      <t c="6" si="614">
        <n x="610"/>
        <n x="373"/>
        <n x="374"/>
        <n x="800" s="1"/>
        <n x="667"/>
        <n x="668"/>
      </t>
    </mdx>
    <mdx n="0" f="v">
      <t c="6" si="614">
        <n x="610"/>
        <n x="329"/>
        <n x="330"/>
        <n x="800" s="1"/>
        <n x="665"/>
        <n x="666"/>
      </t>
    </mdx>
    <mdx n="0" f="v">
      <t c="6" si="614">
        <n x="610"/>
        <n x="449"/>
        <n x="450"/>
        <n x="800" s="1"/>
        <n x="663"/>
        <n x="664"/>
      </t>
    </mdx>
    <mdx n="0" f="v">
      <t c="6" si="614">
        <n x="610"/>
        <n x="327"/>
        <n x="328"/>
        <n x="800" s="1"/>
        <n x="659"/>
        <n x="660"/>
      </t>
    </mdx>
    <mdx n="0" f="v">
      <t c="6" si="614">
        <n x="610"/>
        <n x="327"/>
        <n x="328"/>
        <n x="800" s="1"/>
        <n x="671"/>
        <n x="672"/>
      </t>
    </mdx>
    <mdx n="0" f="v">
      <t c="6" si="614">
        <n x="610"/>
        <n x="215"/>
        <n x="216"/>
        <n x="800" s="1"/>
        <n x="669"/>
        <n x="670"/>
      </t>
    </mdx>
    <mdx n="0" f="v">
      <t c="6" si="614">
        <n x="610"/>
        <n x="803"/>
        <n x="804"/>
        <n x="800" s="1"/>
        <n x="667"/>
        <n x="668"/>
      </t>
    </mdx>
    <mdx n="0" f="v">
      <t c="6" si="614">
        <n x="610"/>
        <n x="587"/>
        <n x="588"/>
        <n x="800" s="1"/>
        <n x="665"/>
        <n x="666"/>
      </t>
    </mdx>
    <mdx n="0" f="v">
      <t c="6" si="614">
        <n x="610"/>
        <n x="421"/>
        <n x="422"/>
        <n x="800" s="1"/>
        <n x="663"/>
        <n x="664"/>
      </t>
    </mdx>
    <mdx n="0" f="v">
      <t c="6" si="614">
        <n x="610"/>
        <n x="263"/>
        <n x="264"/>
        <n x="800" s="1"/>
        <n x="661"/>
        <n x="662"/>
      </t>
    </mdx>
    <mdx n="0" f="v">
      <t c="6" si="614">
        <n x="610"/>
        <n x="477"/>
        <n x="478"/>
        <n x="800" s="1"/>
        <n x="659"/>
        <n x="660"/>
      </t>
    </mdx>
    <mdx n="0" f="v">
      <t c="6" si="614">
        <n x="610"/>
        <n x="477"/>
        <n x="478"/>
        <n x="800" s="1"/>
        <n x="671"/>
        <n x="672"/>
      </t>
    </mdx>
    <mdx n="0" f="v">
      <t c="6" si="614">
        <n x="610"/>
        <n x="267"/>
        <n x="268"/>
        <n x="800" s="1"/>
        <n x="669"/>
        <n x="670"/>
      </t>
    </mdx>
    <mdx n="0" f="v">
      <t c="6" si="614">
        <n x="610"/>
        <n x="337"/>
        <n x="338"/>
        <n x="800" s="1"/>
        <n x="667"/>
        <n x="668"/>
      </t>
    </mdx>
    <mdx n="0" f="v">
      <t c="6" si="614">
        <n x="610"/>
        <n x="323"/>
        <n x="324"/>
        <n x="800" s="1"/>
        <n x="665"/>
        <n x="666"/>
      </t>
    </mdx>
    <mdx n="0" f="v">
      <t c="6" si="614">
        <n x="610"/>
        <n x="497"/>
        <n x="498"/>
        <n x="800" s="1"/>
        <n x="663"/>
        <n x="664"/>
      </t>
    </mdx>
    <mdx n="0" f="v">
      <t c="6" si="614">
        <n x="610"/>
        <n x="517"/>
        <n x="518"/>
        <n x="800" s="1"/>
        <n x="661"/>
        <n x="662"/>
      </t>
    </mdx>
    <mdx n="0" f="v">
      <t c="6" si="614">
        <n x="610"/>
        <n x="251"/>
        <n x="252"/>
        <n x="800" s="1"/>
        <n x="659"/>
        <n x="660"/>
      </t>
    </mdx>
    <mdx n="0" f="v">
      <t c="6" si="614">
        <n x="610"/>
        <n x="251"/>
        <n x="252"/>
        <n x="800" s="1"/>
        <n x="671"/>
        <n x="672"/>
      </t>
    </mdx>
    <mdx n="0" f="v">
      <t c="6" si="614">
        <n x="610"/>
        <n x="567"/>
        <n x="568"/>
        <n x="800" s="1"/>
        <n x="669"/>
        <n x="670"/>
      </t>
    </mdx>
    <mdx n="0" f="v">
      <t c="6" si="614">
        <n x="610"/>
        <n x="425"/>
        <n x="426"/>
        <n x="800" s="1"/>
        <n x="667"/>
        <n x="668"/>
      </t>
    </mdx>
    <mdx n="0" f="v">
      <t c="6" si="614">
        <n x="610"/>
        <n x="559"/>
        <n x="560"/>
        <n x="800" s="1"/>
        <n x="665"/>
        <n x="666"/>
      </t>
    </mdx>
    <mdx n="0" f="v">
      <t c="6" si="614">
        <n x="610"/>
        <n x="519"/>
        <n x="520"/>
        <n x="800" s="1"/>
        <n x="663"/>
        <n x="664"/>
      </t>
    </mdx>
    <mdx n="0" f="v">
      <t c="6" si="614">
        <n x="610"/>
        <n x="253"/>
        <n x="254"/>
        <n x="800" s="1"/>
        <n x="659"/>
        <n x="660"/>
      </t>
    </mdx>
    <mdx n="0" f="v">
      <t c="6" si="614">
        <n x="610"/>
        <n x="253"/>
        <n x="254"/>
        <n x="800" s="1"/>
        <n x="671"/>
        <n x="672"/>
      </t>
    </mdx>
    <mdx n="0" f="v">
      <t c="6" si="614">
        <n x="610"/>
        <n x="475"/>
        <n x="476"/>
        <n x="800" s="1"/>
        <n x="669"/>
        <n x="670"/>
      </t>
    </mdx>
    <mdx n="0" f="v">
      <t c="6" si="614">
        <n x="610"/>
        <n x="369"/>
        <n x="370"/>
        <n x="800" s="1"/>
        <n x="667"/>
        <n x="668"/>
      </t>
    </mdx>
    <mdx n="0" f="v">
      <t c="6" si="614">
        <n x="610"/>
        <n x="371"/>
        <n x="372"/>
        <n x="800" s="1"/>
        <n x="665"/>
        <n x="666"/>
      </t>
    </mdx>
    <mdx n="0" f="v">
      <t c="6" si="614">
        <n x="610"/>
        <n x="805"/>
        <n x="806"/>
        <n x="800" s="1"/>
        <n x="663"/>
        <n x="664"/>
      </t>
    </mdx>
    <mdx n="0" f="v">
      <t c="6" si="614">
        <n x="610"/>
        <n x="715"/>
        <n x="716"/>
        <n x="800" s="1"/>
        <n x="663"/>
        <n x="664"/>
      </t>
    </mdx>
    <mdx n="0" f="v">
      <t c="6" si="614">
        <n x="610"/>
        <n x="317"/>
        <n x="318"/>
        <n x="800" s="1"/>
        <n x="661"/>
        <n x="662"/>
      </t>
    </mdx>
    <mdx n="0" f="v">
      <t c="6" si="614">
        <n x="610"/>
        <n x="717"/>
        <n x="718"/>
        <n x="800" s="1"/>
        <n x="659"/>
        <n x="660"/>
      </t>
    </mdx>
    <mdx n="0" f="v">
      <t c="6" si="614">
        <n x="610"/>
        <n x="717"/>
        <n x="718"/>
        <n x="800" s="1"/>
        <n x="671"/>
        <n x="672"/>
      </t>
    </mdx>
    <mdx n="0" f="v">
      <t c="6" si="614">
        <n x="610"/>
        <n x="599"/>
        <n x="600"/>
        <n x="800" s="1"/>
        <n x="669"/>
        <n x="670"/>
      </t>
    </mdx>
    <mdx n="0" f="v">
      <t c="6" si="614">
        <n x="610"/>
        <n x="217"/>
        <n x="218"/>
        <n x="800" s="1"/>
        <n x="667"/>
        <n x="668"/>
      </t>
    </mdx>
    <mdx n="0" f="v">
      <t c="6" si="614">
        <n x="610"/>
        <n x="285"/>
        <n x="286"/>
        <n x="800" s="1"/>
        <n x="665"/>
        <n x="666"/>
      </t>
    </mdx>
    <mdx n="0" f="v">
      <t c="6" si="614">
        <n x="610"/>
        <n x="261"/>
        <n x="262"/>
        <n x="800" s="1"/>
        <n x="663"/>
        <n x="664"/>
      </t>
    </mdx>
    <mdx n="0" f="v">
      <t c="6" si="614">
        <n x="610"/>
        <n x="275"/>
        <n x="276"/>
        <n x="800" s="1"/>
        <n x="661"/>
        <n x="662"/>
      </t>
    </mdx>
    <mdx n="0" f="v">
      <t c="6" si="614">
        <n x="610"/>
        <n x="719"/>
        <n x="720"/>
        <n x="800" s="1"/>
        <n x="659"/>
        <n x="660"/>
      </t>
    </mdx>
    <mdx n="0" f="v">
      <t c="6" si="614">
        <n x="610"/>
        <n x="719"/>
        <n x="720"/>
        <n x="800" s="1"/>
        <n x="671"/>
        <n x="672"/>
      </t>
    </mdx>
    <mdx n="0" f="v">
      <t c="6" si="614">
        <n x="610"/>
        <n x="585"/>
        <n x="586"/>
        <n x="800" s="1"/>
        <n x="669"/>
        <n x="670"/>
      </t>
    </mdx>
    <mdx n="0" f="v">
      <t c="6" si="614">
        <n x="610"/>
        <n x="721"/>
        <n x="722"/>
        <n x="800" s="1"/>
        <n x="667"/>
        <n x="668"/>
      </t>
    </mdx>
    <mdx n="0" f="v">
      <t c="6" si="614">
        <n x="610"/>
        <n x="723"/>
        <n x="724"/>
        <n x="800" s="1"/>
        <n x="665"/>
        <n x="666"/>
      </t>
    </mdx>
    <mdx n="0" f="v">
      <t c="6" si="614">
        <n x="610"/>
        <n x="463"/>
        <n x="464"/>
        <n x="800" s="1"/>
        <n x="663"/>
        <n x="664"/>
      </t>
    </mdx>
    <mdx n="0" f="v">
      <t c="6" si="614">
        <n x="610"/>
        <n x="377"/>
        <n x="378"/>
        <n x="800" s="1"/>
        <n x="661"/>
        <n x="662"/>
      </t>
    </mdx>
    <mdx n="0" f="v">
      <t c="6" si="614">
        <n x="610"/>
        <n x="391"/>
        <n x="392"/>
        <n x="800" s="1"/>
        <n x="659"/>
        <n x="660"/>
      </t>
    </mdx>
    <mdx n="0" f="v">
      <t c="6" si="614">
        <n x="610"/>
        <n x="391"/>
        <n x="392"/>
        <n x="800" s="1"/>
        <n x="671"/>
        <n x="672"/>
      </t>
    </mdx>
    <mdx n="0" f="v">
      <t c="6" si="614">
        <n x="610"/>
        <n x="200"/>
        <n x="201"/>
        <n x="800" s="1"/>
        <n x="669"/>
        <n x="670"/>
      </t>
    </mdx>
    <mdx n="0" f="v">
      <t c="6" si="614">
        <n x="610"/>
        <n x="379"/>
        <n x="380"/>
        <n x="800" s="1"/>
        <n x="667"/>
        <n x="668"/>
      </t>
    </mdx>
    <mdx n="0" f="v">
      <t c="6" si="614">
        <n x="610"/>
        <n x="239"/>
        <n x="240"/>
        <n x="800" s="1"/>
        <n x="665"/>
        <n x="666"/>
      </t>
    </mdx>
    <mdx n="0" f="v">
      <t c="6" si="614">
        <n x="610"/>
        <n x="365"/>
        <n x="366"/>
        <n x="800" s="1"/>
        <n x="663"/>
        <n x="664"/>
      </t>
    </mdx>
    <mdx n="0" f="v">
      <t c="6" si="614">
        <n x="610"/>
        <n x="221"/>
        <n x="222"/>
        <n x="800" s="1"/>
        <n x="661"/>
        <n x="662"/>
      </t>
    </mdx>
    <mdx n="0" f="v">
      <t c="6" si="614">
        <n x="610"/>
        <n x="461"/>
        <n x="462"/>
        <n x="800" s="1"/>
        <n x="659"/>
        <n x="660"/>
      </t>
    </mdx>
    <mdx n="0" f="v">
      <t c="6" si="614">
        <n x="610"/>
        <n x="461"/>
        <n x="462"/>
        <n x="800" s="1"/>
        <n x="671"/>
        <n x="672"/>
      </t>
    </mdx>
    <mdx n="0" f="v">
      <t c="6" si="614">
        <n x="610"/>
        <n x="397"/>
        <n x="398"/>
        <n x="800" s="1"/>
        <n x="669"/>
        <n x="670"/>
      </t>
    </mdx>
    <mdx n="0" f="v">
      <t c="6" si="614">
        <n x="610"/>
        <n x="459"/>
        <n x="460"/>
        <n x="800" s="1"/>
        <n x="667"/>
        <n x="668"/>
      </t>
    </mdx>
    <mdx n="0" f="v">
      <t c="6" si="614">
        <n x="610"/>
        <n x="547"/>
        <n x="548"/>
        <n x="800" s="1"/>
        <n x="665"/>
        <n x="666"/>
      </t>
    </mdx>
    <mdx n="0" f="v">
      <t c="6" si="614">
        <n x="610"/>
        <n x="597"/>
        <n x="598"/>
        <n x="800" s="1"/>
        <n x="663"/>
        <n x="664"/>
      </t>
    </mdx>
    <mdx n="0" f="v">
      <t c="6" si="614">
        <n x="610"/>
        <n x="457"/>
        <n x="458"/>
        <n x="800" s="1"/>
        <n x="659"/>
        <n x="660"/>
      </t>
    </mdx>
    <mdx n="0" f="v">
      <t c="6" si="614">
        <n x="610"/>
        <n x="457"/>
        <n x="458"/>
        <n x="800" s="1"/>
        <n x="671"/>
        <n x="672"/>
      </t>
    </mdx>
    <mdx n="0" f="v">
      <t c="6" si="614">
        <n x="610"/>
        <n x="231"/>
        <n x="232"/>
        <n x="800" s="1"/>
        <n x="669"/>
        <n x="670"/>
      </t>
    </mdx>
    <mdx n="0" f="v">
      <t c="6" si="614">
        <n x="610"/>
        <n x="601"/>
        <n x="602"/>
        <n x="800" s="1"/>
        <n x="667"/>
        <n x="668"/>
      </t>
    </mdx>
    <mdx n="0" f="v">
      <t c="6" si="614">
        <n x="610"/>
        <n x="557"/>
        <n x="558"/>
        <n x="800" s="1"/>
        <n x="665"/>
        <n x="666"/>
      </t>
    </mdx>
    <mdx n="0" f="v">
      <t c="6" si="614">
        <n x="610"/>
        <n x="727"/>
        <n x="728"/>
        <n x="800" s="1"/>
        <n x="663"/>
        <n x="664"/>
      </t>
    </mdx>
    <mdx n="0" f="v">
      <t c="6" si="614">
        <n x="610"/>
        <n x="729"/>
        <n x="730"/>
        <n x="800" s="1"/>
        <n x="661"/>
        <n x="662"/>
      </t>
    </mdx>
    <mdx n="0" f="v">
      <t c="6" si="614">
        <n x="610"/>
        <n x="367"/>
        <n x="368"/>
        <n x="800" s="1"/>
        <n x="659"/>
        <n x="660"/>
      </t>
    </mdx>
    <mdx n="0" f="v">
      <t c="6" si="614">
        <n x="610"/>
        <n x="367"/>
        <n x="368"/>
        <n x="800" s="1"/>
        <n x="671"/>
        <n x="672"/>
      </t>
    </mdx>
    <mdx n="0" f="v">
      <t c="6" si="614">
        <n x="610"/>
        <n x="555"/>
        <n x="556"/>
        <n x="800" s="1"/>
        <n x="669"/>
        <n x="670"/>
      </t>
    </mdx>
    <mdx n="0" f="v">
      <t c="6" si="614">
        <n x="610"/>
        <n x="237"/>
        <n x="238"/>
        <n x="800" s="1"/>
        <n x="667"/>
        <n x="668"/>
      </t>
    </mdx>
    <mdx n="0" f="v">
      <t c="6" si="614">
        <n x="610"/>
        <n x="495"/>
        <n x="496"/>
        <n x="800" s="1"/>
        <n x="665"/>
        <n x="666"/>
      </t>
    </mdx>
    <mdx n="0" f="v">
      <t c="6" si="614">
        <n x="610"/>
        <n x="731"/>
        <n x="732"/>
        <n x="800" s="1"/>
        <n x="663"/>
        <n x="664"/>
      </t>
    </mdx>
    <mdx n="0" f="v">
      <t c="6" si="614">
        <n x="610"/>
        <n x="603"/>
        <n x="604"/>
        <n x="800" s="1"/>
        <n x="659"/>
        <n x="660"/>
      </t>
    </mdx>
    <mdx n="0" f="v">
      <t c="6" si="614">
        <n x="610"/>
        <n x="603"/>
        <n x="604"/>
        <n x="800" s="1"/>
        <n x="671"/>
        <n x="672"/>
      </t>
    </mdx>
    <mdx n="0" f="v">
      <t c="6" si="614">
        <n x="610"/>
        <n x="607"/>
        <n x="608"/>
        <n x="800" s="1"/>
        <n x="669"/>
        <n x="670"/>
      </t>
    </mdx>
    <mdx n="0" f="v">
      <t c="6" si="614">
        <n x="610"/>
        <n x="453"/>
        <n x="454"/>
        <n x="800" s="1"/>
        <n x="667"/>
        <n x="668"/>
      </t>
    </mdx>
    <mdx n="0" f="v">
      <t c="6" si="614">
        <n x="610"/>
        <n x="363"/>
        <n x="364"/>
        <n x="800" s="1"/>
        <n x="665"/>
        <n x="666"/>
      </t>
    </mdx>
    <mdx n="0" f="v">
      <t c="6" si="614">
        <n x="610"/>
        <n x="265"/>
        <n x="266"/>
        <n x="800" s="1"/>
        <n x="663"/>
        <n x="664"/>
      </t>
    </mdx>
    <mdx n="0" f="v">
      <t c="6" si="614">
        <n x="610"/>
        <n x="595"/>
        <n x="596"/>
        <n x="800" s="1"/>
        <n x="661"/>
        <n x="662"/>
      </t>
    </mdx>
    <mdx n="0" f="v">
      <t c="6" si="614">
        <n x="610"/>
        <n x="413"/>
        <n x="414"/>
        <n x="800" s="1"/>
        <n x="659"/>
        <n x="660"/>
      </t>
    </mdx>
    <mdx n="0" f="v">
      <t c="6" si="614">
        <n x="610"/>
        <n x="413"/>
        <n x="414"/>
        <n x="800" s="1"/>
        <n x="671"/>
        <n x="672"/>
      </t>
    </mdx>
    <mdx n="0" f="v">
      <t c="6" si="614">
        <n x="610"/>
        <n x="235"/>
        <n x="236"/>
        <n x="800" s="1"/>
        <n x="669"/>
        <n x="670"/>
      </t>
    </mdx>
    <mdx n="0" f="v">
      <t c="6" si="614">
        <n x="610"/>
        <n x="733"/>
        <n x="734"/>
        <n x="800" s="1"/>
        <n x="667"/>
        <n x="668"/>
      </t>
    </mdx>
    <mdx n="0" f="v">
      <t c="6" si="614">
        <n x="610"/>
        <n x="281"/>
        <n x="282"/>
        <n x="800" s="1"/>
        <n x="665"/>
        <n x="666"/>
      </t>
    </mdx>
    <mdx n="0" f="v">
      <t c="6" si="614">
        <n x="610"/>
        <n x="243"/>
        <n x="244"/>
        <n x="800" s="1"/>
        <n x="663"/>
        <n x="664"/>
      </t>
    </mdx>
    <mdx n="0" f="v">
      <t c="6" si="614">
        <n x="610"/>
        <n x="389"/>
        <n x="390"/>
        <n x="800" s="1"/>
        <n x="661"/>
        <n x="662"/>
      </t>
    </mdx>
    <mdx n="0" f="v">
      <t c="6" si="614">
        <n x="610"/>
        <n x="271"/>
        <n x="272"/>
        <n x="800" s="1"/>
        <n x="659"/>
        <n x="660"/>
      </t>
    </mdx>
    <mdx n="0" f="v">
      <t c="6" si="614">
        <n x="610"/>
        <n x="271"/>
        <n x="272"/>
        <n x="800" s="1"/>
        <n x="671"/>
        <n x="672"/>
      </t>
    </mdx>
    <mdx n="0" f="v">
      <t c="6" si="614">
        <n x="610"/>
        <n x="735"/>
        <n x="736"/>
        <n x="800" s="1"/>
        <n x="669"/>
        <n x="670"/>
      </t>
    </mdx>
    <mdx n="0" f="v">
      <t c="6" si="614">
        <n x="610"/>
        <n x="283"/>
        <n x="284"/>
        <n x="800" s="1"/>
        <n x="667"/>
        <n x="668"/>
      </t>
    </mdx>
    <mdx n="0" f="v">
      <t c="6" si="614">
        <n x="610"/>
        <n x="277"/>
        <n x="278"/>
        <n x="800" s="1"/>
        <n x="665"/>
        <n x="666"/>
      </t>
    </mdx>
    <mdx n="0" f="v">
      <t c="6" si="614">
        <n x="610"/>
        <n x="443"/>
        <n x="444"/>
        <n x="800" s="1"/>
        <n x="663"/>
        <n x="664"/>
      </t>
    </mdx>
    <mdx n="0" f="v">
      <t c="6" si="614">
        <n x="610"/>
        <n x="387"/>
        <n x="388"/>
        <n x="800" s="1"/>
        <n x="659"/>
        <n x="660"/>
      </t>
    </mdx>
    <mdx n="0" f="v">
      <t c="6" si="614">
        <n x="610"/>
        <n x="387"/>
        <n x="388"/>
        <n x="800" s="1"/>
        <n x="671"/>
        <n x="672"/>
      </t>
    </mdx>
    <mdx n="0" f="v">
      <t c="6" si="614">
        <n x="610"/>
        <n x="257"/>
        <n x="258"/>
        <n x="800" s="1"/>
        <n x="669"/>
        <n x="670"/>
      </t>
    </mdx>
    <mdx n="0" f="v">
      <t c="6" si="614">
        <n x="610"/>
        <n x="319"/>
        <n x="320"/>
        <n x="800" s="1"/>
        <n x="667"/>
        <n x="668"/>
      </t>
    </mdx>
    <mdx n="0" f="v">
      <t c="6" si="614">
        <n x="610"/>
        <n x="401"/>
        <n x="402"/>
        <n x="800" s="1"/>
        <n x="665"/>
        <n x="666"/>
      </t>
    </mdx>
    <mdx n="0" f="v">
      <t c="6" si="614">
        <n x="610"/>
        <n x="209"/>
        <n x="210"/>
        <n x="800" s="1"/>
        <n x="663"/>
        <n x="664"/>
      </t>
    </mdx>
    <mdx n="0" f="v">
      <t c="6" si="614">
        <n x="610"/>
        <n x="591"/>
        <n x="592"/>
        <n x="800" s="1"/>
        <n x="661"/>
        <n x="662"/>
      </t>
    </mdx>
    <mdx n="0" f="v">
      <t c="6" si="614">
        <n x="610"/>
        <n x="737"/>
        <n x="738"/>
        <n x="800" s="1"/>
        <n x="659"/>
        <n x="660"/>
      </t>
    </mdx>
    <mdx n="0" f="v">
      <t c="6" si="614">
        <n x="610"/>
        <n x="737"/>
        <n x="738"/>
        <n x="800" s="1"/>
        <n x="671"/>
        <n x="672"/>
      </t>
    </mdx>
    <mdx n="0" f="v">
      <t c="6" si="614">
        <n x="610"/>
        <n x="739"/>
        <n x="740"/>
        <n x="800" s="1"/>
        <n x="669"/>
        <n x="670"/>
      </t>
    </mdx>
    <mdx n="0" f="v">
      <t c="6" si="614">
        <n x="610"/>
        <n x="741"/>
        <n x="742"/>
        <n x="800" s="1"/>
        <n x="667"/>
        <n x="668"/>
      </t>
    </mdx>
    <mdx n="0" f="v">
      <t c="6" si="614">
        <n x="610"/>
        <n x="435"/>
        <n x="436"/>
        <n x="800" s="1"/>
        <n x="665"/>
        <n x="666"/>
      </t>
    </mdx>
    <mdx n="0" f="v">
      <t c="6" si="614">
        <n x="610"/>
        <n x="499"/>
        <n x="500"/>
        <n x="800" s="1"/>
        <n x="663"/>
        <n x="664"/>
      </t>
    </mdx>
    <mdx n="0" f="v">
      <t c="6" si="614">
        <n x="610"/>
        <n x="455"/>
        <n x="456"/>
        <n x="800" s="1"/>
        <n x="661"/>
        <n x="662"/>
      </t>
    </mdx>
    <mdx n="0" f="v">
      <t c="6" si="614">
        <n x="610"/>
        <n x="429"/>
        <n x="430"/>
        <n x="800" s="1"/>
        <n x="659"/>
        <n x="660"/>
      </t>
    </mdx>
    <mdx n="0" f="v">
      <t c="6" si="614">
        <n x="610"/>
        <n x="429"/>
        <n x="430"/>
        <n x="800" s="1"/>
        <n x="671"/>
        <n x="672"/>
      </t>
    </mdx>
    <mdx n="0" f="v">
      <t c="6" si="614">
        <n x="610"/>
        <n x="537"/>
        <n x="538"/>
        <n x="800" s="1"/>
        <n x="669"/>
        <n x="670"/>
      </t>
    </mdx>
    <mdx n="0" f="v">
      <t c="6" si="614">
        <n x="610"/>
        <n x="393"/>
        <n x="394"/>
        <n x="800" s="1"/>
        <n x="667"/>
        <n x="668"/>
      </t>
    </mdx>
    <mdx n="0" f="v">
      <t c="6" si="614">
        <n x="610"/>
        <n x="743"/>
        <n x="744"/>
        <n x="800" s="1"/>
        <n x="665"/>
        <n x="666"/>
      </t>
    </mdx>
    <mdx n="0" f="v">
      <t c="6" si="614">
        <n x="610"/>
        <n x="561"/>
        <n x="562"/>
        <n x="800" s="1"/>
        <n x="663"/>
        <n x="664"/>
      </t>
    </mdx>
    <mdx n="0" f="v">
      <t c="6" si="614">
        <n x="610"/>
        <n x="491"/>
        <n x="492"/>
        <n x="800" s="1"/>
        <n x="661"/>
        <n x="662"/>
      </t>
    </mdx>
    <mdx n="0" f="v">
      <t c="6" si="614">
        <n x="610"/>
        <n x="433"/>
        <n x="434"/>
        <n x="800" s="1"/>
        <n x="659"/>
        <n x="660"/>
      </t>
    </mdx>
    <mdx n="0" f="v">
      <t c="6" si="614">
        <n x="610"/>
        <n x="433"/>
        <n x="434"/>
        <n x="800" s="1"/>
        <n x="671"/>
        <n x="672"/>
      </t>
    </mdx>
    <mdx n="0" f="v">
      <t c="6" si="614">
        <n x="610"/>
        <n x="589"/>
        <n x="590"/>
        <n x="800" s="1"/>
        <n x="669"/>
        <n x="670"/>
      </t>
    </mdx>
    <mdx n="0" f="v">
      <t c="6" si="614">
        <n x="610"/>
        <n x="605"/>
        <n x="606"/>
        <n x="800" s="1"/>
        <n x="667"/>
        <n x="668"/>
      </t>
    </mdx>
    <mdx n="0" f="v">
      <t c="6" si="614">
        <n x="610"/>
        <n x="437"/>
        <n x="438"/>
        <n x="800" s="1"/>
        <n x="665"/>
        <n x="666"/>
      </t>
    </mdx>
    <mdx n="0" f="v">
      <t c="6" si="614">
        <n x="610"/>
        <n x="513"/>
        <n x="514"/>
        <n x="800" s="1"/>
        <n x="661"/>
        <n x="662"/>
      </t>
    </mdx>
    <mdx n="0" f="v">
      <t c="6" si="614">
        <n x="610"/>
        <n x="745"/>
        <n x="746"/>
        <n x="800" s="1"/>
        <n x="669"/>
        <n x="670"/>
      </t>
    </mdx>
    <mdx n="0" f="v">
      <t c="6" si="614">
        <n x="610"/>
        <n x="295"/>
        <n x="296"/>
        <n x="800" s="1"/>
        <n x="667"/>
        <n x="668"/>
      </t>
    </mdx>
    <mdx n="0" f="v">
      <t c="6" si="614">
        <n x="610"/>
        <n x="747"/>
        <n x="748"/>
        <n x="800" s="1"/>
        <n x="665"/>
        <n x="666"/>
      </t>
    </mdx>
    <mdx n="0" f="v">
      <t c="6" si="614">
        <n x="610"/>
        <n x="441"/>
        <n x="442"/>
        <n x="800" s="1"/>
        <n x="663"/>
        <n x="664"/>
      </t>
    </mdx>
    <mdx n="0" f="v">
      <t c="6" si="614">
        <n x="610"/>
        <n x="569"/>
        <n x="570"/>
        <n x="800" s="1"/>
        <n x="659"/>
        <n x="660"/>
      </t>
    </mdx>
    <mdx n="0" f="v">
      <t c="6" si="614">
        <n x="610"/>
        <n x="569"/>
        <n x="570"/>
        <n x="800" s="1"/>
        <n x="671"/>
        <n x="672"/>
      </t>
    </mdx>
    <mdx n="0" f="v">
      <t c="6" si="614">
        <n x="610"/>
        <n x="259"/>
        <n x="260"/>
        <n x="800" s="1"/>
        <n x="669"/>
        <n x="670"/>
      </t>
    </mdx>
    <mdx n="0" f="v">
      <t c="6" si="614">
        <n x="610"/>
        <n x="299"/>
        <n x="300"/>
        <n x="800" s="1"/>
        <n x="667"/>
        <n x="668"/>
      </t>
    </mdx>
    <mdx n="0" f="v">
      <t c="6" si="614">
        <n x="610"/>
        <n x="749"/>
        <n x="750"/>
        <n x="800" s="1"/>
        <n x="665"/>
        <n x="666"/>
      </t>
    </mdx>
    <mdx n="0" f="v">
      <t c="6" si="614">
        <n x="610"/>
        <n x="419"/>
        <n x="420"/>
        <n x="800" s="1"/>
        <n x="663"/>
        <n x="664"/>
      </t>
    </mdx>
    <mdx n="0" f="v">
      <t c="6" si="614">
        <n x="610"/>
        <n x="489"/>
        <n x="490"/>
        <n x="800" s="1"/>
        <n x="661"/>
        <n x="662"/>
      </t>
    </mdx>
    <mdx n="0" f="v">
      <t c="6" si="614">
        <n x="610"/>
        <n x="241"/>
        <n x="242"/>
        <n x="800" s="1"/>
        <n x="659"/>
        <n x="660"/>
      </t>
    </mdx>
    <mdx n="0" f="v">
      <t c="6" si="614">
        <n x="610"/>
        <n x="241"/>
        <n x="242"/>
        <n x="800" s="1"/>
        <n x="671"/>
        <n x="672"/>
      </t>
    </mdx>
    <mdx n="0" f="v">
      <t c="6" si="614">
        <n x="610"/>
        <n x="593"/>
        <n x="594"/>
        <n x="800" s="1"/>
        <n x="669"/>
        <n x="670"/>
      </t>
    </mdx>
    <mdx n="0" f="v">
      <t c="6" si="614">
        <n x="610"/>
        <n x="229"/>
        <n x="230"/>
        <n x="800" s="1"/>
        <n x="667"/>
        <n x="668"/>
      </t>
    </mdx>
    <mdx n="0" f="v">
      <t c="6" si="614">
        <n x="610"/>
        <n x="751"/>
        <n x="752"/>
        <n x="800" s="1"/>
        <n x="665"/>
        <n x="666"/>
      </t>
    </mdx>
    <mdx n="0" f="v">
      <t c="6" si="614">
        <n x="610"/>
        <n x="753"/>
        <n x="754"/>
        <n x="800" s="1"/>
        <n x="663"/>
        <n x="664"/>
      </t>
    </mdx>
    <mdx n="0" f="v">
      <t c="6" si="614">
        <n x="610"/>
        <n x="755"/>
        <n x="756"/>
        <n x="800" s="1"/>
        <n x="661"/>
        <n x="662"/>
      </t>
    </mdx>
    <mdx n="0" f="v">
      <t c="6" si="614">
        <n x="610"/>
        <n x="447"/>
        <n x="448"/>
        <n x="800" s="1"/>
        <n x="659"/>
        <n x="660"/>
      </t>
    </mdx>
    <mdx n="0" f="v">
      <t c="6" si="614">
        <n x="610"/>
        <n x="447"/>
        <n x="448"/>
        <n x="800" s="1"/>
        <n x="671"/>
        <n x="672"/>
      </t>
    </mdx>
    <mdx n="0" f="v">
      <t c="6" si="614">
        <n x="610"/>
        <n x="223"/>
        <n x="224"/>
        <n x="800" s="1"/>
        <n x="669"/>
        <n x="670"/>
      </t>
    </mdx>
    <mdx n="0" f="v">
      <t c="6" si="614">
        <n x="610"/>
        <n x="339"/>
        <n x="340"/>
        <n x="800" s="1"/>
        <n x="667"/>
        <n x="668"/>
      </t>
    </mdx>
    <mdx n="0" f="v">
      <t c="6" si="614">
        <n x="610"/>
        <n x="471"/>
        <n x="472"/>
        <n x="800" s="1"/>
        <n x="665"/>
        <n x="666"/>
      </t>
    </mdx>
    <mdx n="0" f="v">
      <t c="6" si="614">
        <n x="610"/>
        <n x="407"/>
        <n x="408"/>
        <n x="800" s="1"/>
        <n x="661"/>
        <n x="662"/>
      </t>
    </mdx>
    <mdx n="0" f="v">
      <t c="6" si="614">
        <n x="610"/>
        <n x="321"/>
        <n x="322"/>
        <n x="800" s="1"/>
        <n x="659"/>
        <n x="660"/>
      </t>
    </mdx>
    <mdx n="0" f="v">
      <t c="6" si="614">
        <n x="610"/>
        <n x="321"/>
        <n x="322"/>
        <n x="800" s="1"/>
        <n x="671"/>
        <n x="672"/>
      </t>
    </mdx>
    <mdx n="0" f="v">
      <t c="6" si="614">
        <n x="610"/>
        <n x="577"/>
        <n x="578"/>
        <n x="800" s="1"/>
        <n x="669"/>
        <n x="670"/>
      </t>
    </mdx>
    <mdx n="0" f="v">
      <t c="6" si="614">
        <n x="610"/>
        <n x="399"/>
        <n x="400"/>
        <n x="800" s="1"/>
        <n x="667"/>
        <n x="668"/>
      </t>
    </mdx>
    <mdx n="0" f="v">
      <t c="6" si="614">
        <n x="610"/>
        <n x="233"/>
        <n x="234"/>
        <n x="800" s="1"/>
        <n x="665"/>
        <n x="666"/>
      </t>
    </mdx>
    <mdx n="0" f="v">
      <t c="6" si="614">
        <n x="610"/>
        <n x="289"/>
        <n x="290"/>
        <n x="800" s="1"/>
        <n x="663"/>
        <n x="664"/>
      </t>
    </mdx>
    <mdx n="0" f="v">
      <t c="6" si="614">
        <n x="610"/>
        <n x="493"/>
        <n x="494"/>
        <n x="800" s="1"/>
        <n x="661"/>
        <n x="662"/>
      </t>
    </mdx>
    <mdx n="0" f="v">
      <t c="6" si="614">
        <n x="610"/>
        <n x="207"/>
        <n x="208"/>
        <n x="800" s="1"/>
        <n x="659"/>
        <n x="660"/>
      </t>
    </mdx>
    <mdx n="0" f="v">
      <t c="6" si="614">
        <n x="610"/>
        <n x="207"/>
        <n x="208"/>
        <n x="800" s="1"/>
        <n x="671"/>
        <n x="672"/>
      </t>
    </mdx>
    <mdx n="0" f="v">
      <t c="6" si="614">
        <n x="610"/>
        <n x="361"/>
        <n x="362"/>
        <n x="800" s="1"/>
        <n x="669"/>
        <n x="670"/>
      </t>
    </mdx>
    <mdx n="0" f="v">
      <t c="6" si="614">
        <n x="610"/>
        <n x="551"/>
        <n x="552"/>
        <n x="800" s="1"/>
        <n x="667"/>
        <n x="668"/>
      </t>
    </mdx>
    <mdx n="0" f="v">
      <t c="6" si="614">
        <n x="610"/>
        <n x="273"/>
        <n x="274"/>
        <n x="800" s="1"/>
        <n x="665"/>
        <n x="666"/>
      </t>
    </mdx>
    <mdx n="0" f="v">
      <t c="6" si="614">
        <n x="610"/>
        <n x="757"/>
        <n x="758"/>
        <n x="800" s="1"/>
        <n x="663"/>
        <n x="664"/>
      </t>
    </mdx>
    <mdx n="0" f="v">
      <t c="6" si="614">
        <n x="610"/>
        <n x="761"/>
        <n x="762"/>
        <n x="800" s="1"/>
        <n x="659"/>
        <n x="660"/>
      </t>
    </mdx>
    <mdx n="0" f="v">
      <t c="6" si="614">
        <n x="610"/>
        <n x="761"/>
        <n x="762"/>
        <n x="800" s="1"/>
        <n x="671"/>
        <n x="672"/>
      </t>
    </mdx>
    <mdx n="0" f="v">
      <t c="6" si="614">
        <n x="610"/>
        <n x="325"/>
        <n x="326"/>
        <n x="800" s="1"/>
        <n x="669"/>
        <n x="670"/>
      </t>
    </mdx>
    <mdx n="0" f="v">
      <t c="6" si="614">
        <n x="610"/>
        <n x="409"/>
        <n x="410"/>
        <n x="800" s="1"/>
        <n x="667"/>
        <n x="668"/>
      </t>
    </mdx>
    <mdx n="0" f="v">
      <t c="6" si="614">
        <n x="610"/>
        <n x="553"/>
        <n x="554"/>
        <n x="800" s="1"/>
        <n x="665"/>
        <n x="666"/>
      </t>
    </mdx>
    <mdx n="0" f="v">
      <t c="6" si="614">
        <n x="610"/>
        <n x="245"/>
        <n x="246"/>
        <n x="800" s="1"/>
        <n x="663"/>
        <n x="664"/>
      </t>
    </mdx>
    <mdx n="0" f="v">
      <t c="6" si="614">
        <n x="610"/>
        <n x="549"/>
        <n x="550"/>
        <n x="800" s="1"/>
        <n x="661"/>
        <n x="662"/>
      </t>
    </mdx>
    <mdx n="0" f="v">
      <t c="6" si="614">
        <n x="610"/>
        <n x="255"/>
        <n x="256"/>
        <n x="800" s="1"/>
        <n x="659"/>
        <n x="660"/>
      </t>
    </mdx>
    <mdx n="0" f="v">
      <t c="6" si="614">
        <n x="610"/>
        <n x="255"/>
        <n x="256"/>
        <n x="800" s="1"/>
        <n x="671"/>
        <n x="672"/>
      </t>
    </mdx>
    <mdx n="0" f="v">
      <t c="6" si="614">
        <n x="610"/>
        <n x="507"/>
        <n x="508"/>
        <n x="800" s="1"/>
        <n x="669"/>
        <n x="670"/>
      </t>
    </mdx>
    <mdx n="0" f="v">
      <t c="6" si="614">
        <n x="610"/>
        <n x="469"/>
        <n x="470"/>
        <n x="800" s="1"/>
        <n x="667"/>
        <n x="668"/>
      </t>
    </mdx>
    <mdx n="0" f="v">
      <t c="6" si="614">
        <n x="610"/>
        <n x="247"/>
        <n x="248"/>
        <n x="800" s="1"/>
        <n x="665"/>
        <n x="666"/>
      </t>
    </mdx>
    <mdx n="0" f="v">
      <t c="6" si="614">
        <n x="610"/>
        <n x="467"/>
        <n x="468"/>
        <n x="800" s="1"/>
        <n x="663"/>
        <n x="664"/>
      </t>
    </mdx>
    <mdx n="0" f="v">
      <t c="6" si="614">
        <n x="610"/>
        <n x="763"/>
        <n x="764"/>
        <n x="800" s="1"/>
        <n x="659"/>
        <n x="660"/>
      </t>
    </mdx>
    <mdx n="0" f="v">
      <t c="6" si="614">
        <n x="610"/>
        <n x="763"/>
        <n x="764"/>
        <n x="800" s="1"/>
        <n x="671"/>
        <n x="672"/>
      </t>
    </mdx>
    <mdx n="0" f="v">
      <t c="6" si="614">
        <n x="610"/>
        <n x="349"/>
        <n x="350"/>
        <n x="800" s="1"/>
        <n x="669"/>
        <n x="670"/>
      </t>
    </mdx>
    <mdx n="0" f="v">
      <t c="6" si="614">
        <n x="610"/>
        <n x="539"/>
        <n x="540"/>
        <n x="800" s="1"/>
        <n x="667"/>
        <n x="668"/>
      </t>
    </mdx>
    <mdx n="0" f="v">
      <t c="6" si="614">
        <n x="610"/>
        <n x="765"/>
        <n x="766"/>
        <n x="800" s="1"/>
        <n x="665"/>
        <n x="666"/>
      </t>
    </mdx>
    <mdx n="0" f="v">
      <t c="6" si="614">
        <n x="610"/>
        <n x="509"/>
        <n x="510"/>
        <n x="800" s="1"/>
        <n x="663"/>
        <n x="664"/>
      </t>
    </mdx>
    <mdx n="0" f="v">
      <t c="6" si="614">
        <n x="610"/>
        <n x="359"/>
        <n x="360"/>
        <n x="800" s="1"/>
        <n x="661"/>
        <n x="662"/>
      </t>
    </mdx>
    <mdx n="0" f="v">
      <t c="6" si="614">
        <n x="610"/>
        <n x="403"/>
        <n x="404"/>
        <n x="800" s="1"/>
        <n x="659"/>
        <n x="660"/>
      </t>
    </mdx>
    <mdx n="0" f="v">
      <t c="6" si="614">
        <n x="610"/>
        <n x="403"/>
        <n x="404"/>
        <n x="800" s="1"/>
        <n x="671"/>
        <n x="672"/>
      </t>
    </mdx>
    <mdx n="0" f="v">
      <t c="6" si="614">
        <n x="610"/>
        <n x="411"/>
        <n x="412"/>
        <n x="800" s="1"/>
        <n x="669"/>
        <n x="670"/>
      </t>
    </mdx>
    <mdx n="0" f="v">
      <t c="6" si="614">
        <n x="610"/>
        <n x="767"/>
        <n x="768"/>
        <n x="800" s="1"/>
        <n x="667"/>
        <n x="668"/>
      </t>
    </mdx>
    <mdx n="0" f="v">
      <t c="6" si="614">
        <n x="610"/>
        <n x="315"/>
        <n x="316"/>
        <n x="800" s="1"/>
        <n x="665"/>
        <n x="666"/>
      </t>
    </mdx>
    <mdx n="0" f="v">
      <t c="6" si="614">
        <n x="610"/>
        <n x="769"/>
        <n x="770"/>
        <n x="800" s="1"/>
        <n x="663"/>
        <n x="664"/>
      </t>
    </mdx>
    <mdx n="0" f="v">
      <t c="6" si="614">
        <n x="610"/>
        <n x="427"/>
        <n x="428"/>
        <n x="800" s="1"/>
        <n x="659"/>
        <n x="660"/>
      </t>
    </mdx>
    <mdx n="0" f="v">
      <t c="6" si="614">
        <n x="610"/>
        <n x="427"/>
        <n x="428"/>
        <n x="800" s="1"/>
        <n x="671"/>
        <n x="672"/>
      </t>
    </mdx>
    <mdx n="0" f="v">
      <t c="6" si="614">
        <n x="610"/>
        <n x="771"/>
        <n x="772"/>
        <n x="800" s="1"/>
        <n x="669"/>
        <n x="670"/>
      </t>
    </mdx>
    <mdx n="0" f="v">
      <t c="6" si="614">
        <n x="610"/>
        <n x="485"/>
        <n x="486"/>
        <n x="800" s="1"/>
        <n x="667"/>
        <n x="668"/>
      </t>
    </mdx>
    <mdx n="0" f="v">
      <t c="6" si="614">
        <n x="610"/>
        <n x="293"/>
        <n x="294"/>
        <n x="800" s="1"/>
        <n x="665"/>
        <n x="666"/>
      </t>
    </mdx>
    <mdx n="0" f="v">
      <t c="6" si="614">
        <n x="610"/>
        <n x="529"/>
        <n x="530"/>
        <n x="800" s="1"/>
        <n x="663"/>
        <n x="664"/>
      </t>
    </mdx>
    <mdx n="0" f="v">
      <t c="6" si="614">
        <n x="610"/>
        <n x="249"/>
        <n x="250"/>
        <n x="800" s="1"/>
        <n x="661"/>
        <n x="662"/>
      </t>
    </mdx>
    <mdx n="0" f="v">
      <t c="6" si="614">
        <n x="610"/>
        <n x="773"/>
        <n x="774"/>
        <n x="800" s="1"/>
        <n x="659"/>
        <n x="660"/>
      </t>
    </mdx>
    <mdx n="0" f="v">
      <t c="6" si="614">
        <n x="610"/>
        <n x="773"/>
        <n x="774"/>
        <n x="800" s="1"/>
        <n x="671"/>
        <n x="672"/>
      </t>
    </mdx>
    <mdx n="0" f="v">
      <t c="6" si="614">
        <n x="610"/>
        <n x="775"/>
        <n x="776"/>
        <n x="800" s="1"/>
        <n x="669"/>
        <n x="670"/>
      </t>
    </mdx>
    <mdx n="0" f="v">
      <t c="6" si="614">
        <n x="610"/>
        <n x="777"/>
        <n x="778"/>
        <n x="800" s="1"/>
        <n x="667"/>
        <n x="668"/>
      </t>
    </mdx>
    <mdx n="0" f="v">
      <t c="6" si="614">
        <n x="610"/>
        <n x="357"/>
        <n x="358"/>
        <n x="800" s="1"/>
        <n x="665"/>
        <n x="666"/>
      </t>
    </mdx>
    <mdx n="0" f="v">
      <t c="6" si="614">
        <n x="610"/>
        <n x="381"/>
        <n x="382"/>
        <n x="800" s="1"/>
        <n x="663"/>
        <n x="664"/>
      </t>
    </mdx>
    <mdx n="0" f="v">
      <t c="6" si="614">
        <n x="610"/>
        <n x="515"/>
        <n x="516"/>
        <n x="800" s="1"/>
        <n x="661"/>
        <n x="662"/>
      </t>
    </mdx>
    <mdx n="0" f="v">
      <t c="6" si="614">
        <n x="610"/>
        <n x="445"/>
        <n x="446"/>
        <n x="800" s="1"/>
        <n x="659"/>
        <n x="660"/>
      </t>
    </mdx>
    <mdx n="0" f="v">
      <t c="6" si="614">
        <n x="610"/>
        <n x="445"/>
        <n x="446"/>
        <n x="800" s="1"/>
        <n x="671"/>
        <n x="672"/>
      </t>
    </mdx>
    <mdx n="0" f="v">
      <t c="6" si="614">
        <n x="610"/>
        <n x="779"/>
        <n x="780"/>
        <n x="800" s="1"/>
        <n x="669"/>
        <n x="670"/>
      </t>
    </mdx>
    <mdx n="0" f="v">
      <t c="6" si="614">
        <n x="610"/>
        <n x="269"/>
        <n x="270"/>
        <n x="800" s="1"/>
        <n x="667"/>
        <n x="668"/>
      </t>
    </mdx>
    <mdx n="0" f="v">
      <t c="6" si="614">
        <n x="610"/>
        <n x="533"/>
        <n x="534"/>
        <n x="800" s="1"/>
        <n x="665"/>
        <n x="666"/>
      </t>
    </mdx>
    <mdx n="0" f="v">
      <t c="6" si="614">
        <n x="610"/>
        <n x="527"/>
        <n x="528"/>
        <n x="800" s="1"/>
        <n x="663"/>
        <n x="664"/>
      </t>
    </mdx>
    <mdx n="0" f="v">
      <t c="6" si="614">
        <n x="610"/>
        <n x="375"/>
        <n x="376"/>
        <n x="800" s="1"/>
        <n x="659"/>
        <n x="660"/>
      </t>
    </mdx>
    <mdx n="0" f="v">
      <t c="6" si="614">
        <n x="610"/>
        <n x="375"/>
        <n x="376"/>
        <n x="800" s="1"/>
        <n x="671"/>
        <n x="672"/>
      </t>
    </mdx>
    <mdx n="0" f="v">
      <t c="6" si="614">
        <n x="610"/>
        <n x="783"/>
        <n x="784"/>
        <n x="800" s="1"/>
        <n x="669"/>
        <n x="670"/>
      </t>
    </mdx>
    <mdx n="0" f="v">
      <t c="6" si="614">
        <n x="610"/>
        <n x="535"/>
        <n x="536"/>
        <n x="800" s="1"/>
        <n x="667"/>
        <n x="668"/>
      </t>
    </mdx>
    <mdx n="0" f="v">
      <t c="6" si="614">
        <n x="610"/>
        <n x="355"/>
        <n x="356"/>
        <n x="800" s="1"/>
        <n x="665"/>
        <n x="666"/>
      </t>
    </mdx>
    <mdx n="0" f="v">
      <t c="6" si="614">
        <n x="610"/>
        <n x="785"/>
        <n x="786"/>
        <n x="800" s="1"/>
        <n x="663"/>
        <n x="664"/>
      </t>
    </mdx>
    <mdx n="0" f="v">
      <t c="6" si="614">
        <n x="610"/>
        <n x="583"/>
        <n x="584"/>
        <n x="800" s="1"/>
        <n x="659"/>
        <n x="660"/>
      </t>
    </mdx>
    <mdx n="0" f="v">
      <t c="6" si="614">
        <n x="610"/>
        <n x="583"/>
        <n x="584"/>
        <n x="800" s="1"/>
        <n x="671"/>
        <n x="672"/>
      </t>
    </mdx>
    <mdx n="0" f="v">
      <t c="6" si="614">
        <n x="610"/>
        <n x="581"/>
        <n x="582"/>
        <n x="800" s="1"/>
        <n x="665"/>
        <n x="666"/>
      </t>
    </mdx>
    <mdx n="0" f="v">
      <t c="6" si="614">
        <n x="610"/>
        <n x="431"/>
        <n x="432"/>
        <n x="800" s="1"/>
        <n x="663"/>
        <n x="664"/>
      </t>
    </mdx>
    <mdx n="0" f="v">
      <t c="6" si="614">
        <n x="610"/>
        <n x="789"/>
        <n x="790"/>
        <n x="800" s="1"/>
        <n x="661"/>
        <n x="662"/>
      </t>
    </mdx>
    <mdx n="0" f="v">
      <t c="6" si="614">
        <n x="610"/>
        <n x="311"/>
        <n x="312"/>
        <n x="800" s="1"/>
        <n x="659"/>
        <n x="660"/>
      </t>
    </mdx>
    <mdx n="0" f="v">
      <t c="6" si="614">
        <n x="610"/>
        <n x="311"/>
        <n x="312"/>
        <n x="800" s="1"/>
        <n x="671"/>
        <n x="672"/>
      </t>
    </mdx>
    <mdx n="0" f="v">
      <t c="6" si="614">
        <n x="610"/>
        <n x="531"/>
        <n x="532"/>
        <n x="800" s="1"/>
        <n x="669"/>
        <n x="670"/>
      </t>
    </mdx>
    <mdx n="0" f="v">
      <t c="6" si="614">
        <n x="610"/>
        <n x="565"/>
        <n x="566"/>
        <n x="800" s="1"/>
        <n x="667"/>
        <n x="668"/>
      </t>
    </mdx>
    <mdx n="0" f="v">
      <t c="6" si="614">
        <n x="610"/>
        <n x="521"/>
        <n x="522"/>
        <n x="800" s="1"/>
        <n x="665"/>
        <n x="666"/>
      </t>
    </mdx>
    <mdx n="0" f="v">
      <t c="6" si="614">
        <n x="610"/>
        <n x="423"/>
        <n x="424"/>
        <n x="800" s="1"/>
        <n x="663"/>
        <n x="664"/>
      </t>
    </mdx>
    <mdx n="0" f="v">
      <t c="6" si="614">
        <n x="610"/>
        <n x="545"/>
        <n x="546"/>
        <n x="800" s="1"/>
        <n x="661"/>
        <n x="662"/>
      </t>
    </mdx>
    <mdx n="0" f="v">
      <t c="6" si="614">
        <n x="610"/>
        <n x="575"/>
        <n x="576"/>
        <n x="800" s="1"/>
        <n x="659"/>
        <n x="660"/>
      </t>
    </mdx>
    <mdx n="0" f="v">
      <t c="6" si="614">
        <n x="610"/>
        <n x="575"/>
        <n x="576"/>
        <n x="800" s="1"/>
        <n x="671"/>
        <n x="672"/>
      </t>
    </mdx>
    <mdx n="0" f="v">
      <t c="6" si="614">
        <n x="610"/>
        <n x="451"/>
        <n x="452"/>
        <n x="800" s="1"/>
        <n x="669"/>
        <n x="670"/>
      </t>
    </mdx>
    <mdx n="0" f="v">
      <t c="6" si="614">
        <n x="610"/>
        <n x="473"/>
        <n x="474"/>
        <n x="800" s="1"/>
        <n x="667"/>
        <n x="668"/>
      </t>
    </mdx>
    <mdx n="0" f="v">
      <t c="6" si="614">
        <n x="610"/>
        <n x="523"/>
        <n x="524"/>
        <n x="800" s="1"/>
        <n x="665"/>
        <n x="666"/>
      </t>
    </mdx>
    <mdx n="0" f="v">
      <t c="6" si="614">
        <n x="610"/>
        <n x="297"/>
        <n x="298"/>
        <n x="800" s="1"/>
        <n x="663"/>
        <n x="664"/>
      </t>
    </mdx>
    <mdx n="0" f="v">
      <t c="6" si="614">
        <n x="610"/>
        <n x="313"/>
        <n x="314"/>
        <n x="800" s="1"/>
        <n x="659"/>
        <n x="660"/>
      </t>
    </mdx>
    <mdx n="0" f="v">
      <t c="6" si="614">
        <n x="610"/>
        <n x="313"/>
        <n x="314"/>
        <n x="800" s="1"/>
        <n x="671"/>
        <n x="672"/>
      </t>
    </mdx>
    <mdx n="0" f="v">
      <t c="6" si="614">
        <n x="610"/>
        <n x="351"/>
        <n x="352"/>
        <n x="800" s="1"/>
        <n x="669"/>
        <n x="670"/>
      </t>
    </mdx>
    <mdx n="0" f="v">
      <t c="6" si="614">
        <n x="610"/>
        <n x="213"/>
        <n x="214"/>
        <n x="800" s="1"/>
        <n x="667"/>
        <n x="668"/>
      </t>
    </mdx>
    <mdx n="0" f="v">
      <t c="6" si="614">
        <n x="610"/>
        <n x="791"/>
        <n x="792"/>
        <n x="800" s="1"/>
        <n x="665"/>
        <n x="666"/>
      </t>
    </mdx>
    <mdx n="0" f="v">
      <t c="6" si="614">
        <n x="610"/>
        <n x="331"/>
        <n x="332"/>
        <n x="800" s="1"/>
        <n x="663"/>
        <n x="664"/>
      </t>
    </mdx>
    <mdx n="0" f="v">
      <t c="6" si="614">
        <n x="610"/>
        <n x="795"/>
        <n x="796"/>
        <n x="800" s="1"/>
        <n x="669"/>
        <n x="670"/>
      </t>
    </mdx>
    <mdx n="0" f="v">
      <t c="6" si="614">
        <n x="610"/>
        <n x="465"/>
        <n x="466"/>
        <n x="800" s="1"/>
        <n x="667"/>
        <n x="668"/>
      </t>
    </mdx>
    <mdx n="0" f="v">
      <t c="6" si="614">
        <n x="610"/>
        <n x="303"/>
        <n x="304"/>
        <n x="800" s="1"/>
        <n x="665"/>
        <n x="666"/>
      </t>
    </mdx>
    <mdx n="0" f="v">
      <t c="6" si="614">
        <n x="610"/>
        <n x="211"/>
        <n x="212"/>
        <n x="800" s="1"/>
        <n x="663"/>
        <n x="664"/>
      </t>
    </mdx>
    <mdx n="0" f="v">
      <t c="6" si="614">
        <n x="610"/>
        <n x="571"/>
        <n x="572"/>
        <n x="800" s="1"/>
        <n x="659"/>
        <n x="660"/>
      </t>
    </mdx>
    <mdx n="0" f="v">
      <t c="6" si="614">
        <n x="610"/>
        <n x="571"/>
        <n x="572"/>
        <n x="800" s="1"/>
        <n x="671"/>
        <n x="672"/>
      </t>
    </mdx>
    <mdx n="0" f="v">
      <t c="6" si="614">
        <n x="610"/>
        <n x="305"/>
        <n x="306"/>
        <n x="800" s="1"/>
        <n x="669"/>
        <n x="670"/>
      </t>
    </mdx>
    <mdx n="0" f="v">
      <t c="6" si="614">
        <n x="610"/>
        <n x="563"/>
        <n x="564"/>
        <n x="800" s="1"/>
        <n x="667"/>
        <n x="668"/>
      </t>
    </mdx>
    <mdx n="0" f="v">
      <t c="6" si="614">
        <n x="610"/>
        <n x="225"/>
        <n x="226"/>
        <n x="800" s="1"/>
        <n x="665"/>
        <n x="666"/>
      </t>
    </mdx>
    <mdx n="0" f="v">
      <t c="6" si="614">
        <n x="610"/>
        <n x="279"/>
        <n x="280"/>
        <n x="800" s="1"/>
        <n x="663"/>
        <n x="664"/>
      </t>
    </mdx>
    <mdx n="0" f="v">
      <t c="6" si="614">
        <n x="610"/>
        <n x="797"/>
        <n x="798"/>
        <n x="800" s="1"/>
        <n x="659"/>
        <n x="660"/>
      </t>
    </mdx>
    <mdx n="0" f="v">
      <t c="6" si="614">
        <n x="610"/>
        <n x="797"/>
        <n x="798"/>
        <n x="800" s="1"/>
        <n x="671"/>
        <n x="672"/>
      </t>
    </mdx>
    <mdx n="0" f="v">
      <t c="6" si="614">
        <n x="610"/>
        <n x="373"/>
        <n x="374"/>
        <n x="800" s="1"/>
        <n x="669"/>
        <n x="670"/>
      </t>
    </mdx>
    <mdx n="0" f="v">
      <t c="6" si="614">
        <n x="610"/>
        <n x="329"/>
        <n x="330"/>
        <n x="800" s="1"/>
        <n x="667"/>
        <n x="668"/>
      </t>
    </mdx>
    <mdx n="0" f="v">
      <t c="6" si="614">
        <n x="610"/>
        <n x="449"/>
        <n x="450"/>
        <n x="800" s="1"/>
        <n x="665"/>
        <n x="666"/>
      </t>
    </mdx>
    <mdx n="0" f="v">
      <t c="6" si="614">
        <n x="610"/>
        <n x="801"/>
        <n x="802"/>
        <n x="800" s="1"/>
        <n x="663"/>
        <n x="664"/>
      </t>
    </mdx>
    <mdx n="0" f="v">
      <t c="6" si="614">
        <n x="610"/>
        <n x="327"/>
        <n x="328"/>
        <n x="800" s="1"/>
        <n x="661"/>
        <n x="662"/>
      </t>
    </mdx>
    <mdx n="0" f="v">
      <t c="6" si="614">
        <n x="610"/>
        <n x="215"/>
        <n x="216"/>
        <n x="800" s="1"/>
        <n x="659"/>
        <n x="660"/>
      </t>
    </mdx>
    <mdx n="0" f="v">
      <t c="6" si="614">
        <n x="610"/>
        <n x="215"/>
        <n x="216"/>
        <n x="800" s="1"/>
        <n x="671"/>
        <n x="672"/>
      </t>
    </mdx>
    <mdx n="0" f="v">
      <t c="6" si="614">
        <n x="610"/>
        <n x="803"/>
        <n x="804"/>
        <n x="800" s="1"/>
        <n x="669"/>
        <n x="670"/>
      </t>
    </mdx>
    <mdx n="0" f="v">
      <t c="6" si="614">
        <n x="610"/>
        <n x="587"/>
        <n x="588"/>
        <n x="800" s="1"/>
        <n x="667"/>
        <n x="668"/>
      </t>
    </mdx>
    <mdx n="0" f="v">
      <t c="6" si="614">
        <n x="610"/>
        <n x="421"/>
        <n x="422"/>
        <n x="800" s="1"/>
        <n x="665"/>
        <n x="666"/>
      </t>
    </mdx>
    <mdx n="0" f="v">
      <t c="6" si="614">
        <n x="610"/>
        <n x="263"/>
        <n x="264"/>
        <n x="800" s="1"/>
        <n x="663"/>
        <n x="664"/>
      </t>
    </mdx>
    <mdx n="0" f="v">
      <t c="6" si="614">
        <n x="610"/>
        <n x="477"/>
        <n x="478"/>
        <n x="800" s="1"/>
        <n x="661"/>
        <n x="662"/>
      </t>
    </mdx>
    <mdx n="0" f="v">
      <t c="6" si="614">
        <n x="610"/>
        <n x="267"/>
        <n x="268"/>
        <n x="800" s="1"/>
        <n x="659"/>
        <n x="660"/>
      </t>
    </mdx>
    <mdx n="0" f="v">
      <t c="6" si="614">
        <n x="610"/>
        <n x="267"/>
        <n x="268"/>
        <n x="800" s="1"/>
        <n x="671"/>
        <n x="672"/>
      </t>
    </mdx>
    <mdx n="0" f="v">
      <t c="6" si="614">
        <n x="610"/>
        <n x="337"/>
        <n x="338"/>
        <n x="800" s="1"/>
        <n x="669"/>
        <n x="670"/>
      </t>
    </mdx>
    <mdx n="0" f="v">
      <t c="6" si="614">
        <n x="610"/>
        <n x="323"/>
        <n x="324"/>
        <n x="800" s="1"/>
        <n x="667"/>
        <n x="668"/>
      </t>
    </mdx>
    <mdx n="0" f="v">
      <t c="6" si="614">
        <n x="610"/>
        <n x="497"/>
        <n x="498"/>
        <n x="800" s="1"/>
        <n x="665"/>
        <n x="666"/>
      </t>
    </mdx>
    <mdx n="0" f="v">
      <t c="6" si="614">
        <n x="610"/>
        <n x="517"/>
        <n x="518"/>
        <n x="800" s="1"/>
        <n x="663"/>
        <n x="664"/>
      </t>
    </mdx>
    <mdx n="0" f="v">
      <t c="6" si="614">
        <n x="610"/>
        <n x="251"/>
        <n x="252"/>
        <n x="800" s="1"/>
        <n x="661"/>
        <n x="662"/>
      </t>
    </mdx>
    <mdx n="0" f="v">
      <t c="6" si="614">
        <n x="610"/>
        <n x="567"/>
        <n x="568"/>
        <n x="800" s="1"/>
        <n x="659"/>
        <n x="660"/>
      </t>
    </mdx>
    <mdx n="0" f="v">
      <t c="6" si="614">
        <n x="610"/>
        <n x="567"/>
        <n x="568"/>
        <n x="800" s="1"/>
        <n x="671"/>
        <n x="672"/>
      </t>
    </mdx>
    <mdx n="0" f="v">
      <t c="6" si="614">
        <n x="610"/>
        <n x="425"/>
        <n x="426"/>
        <n x="800" s="1"/>
        <n x="669"/>
        <n x="670"/>
      </t>
    </mdx>
    <mdx n="0" f="v">
      <t c="6" si="614">
        <n x="610"/>
        <n x="559"/>
        <n x="560"/>
        <n x="800" s="1"/>
        <n x="667"/>
        <n x="668"/>
      </t>
    </mdx>
    <mdx n="0" f="v">
      <t c="6" si="614">
        <n x="610"/>
        <n x="519"/>
        <n x="520"/>
        <n x="800" s="1"/>
        <n x="665"/>
        <n x="666"/>
      </t>
    </mdx>
    <mdx n="0" f="v">
      <t c="6" si="614">
        <n x="610"/>
        <n x="573"/>
        <n x="574"/>
        <n x="800" s="1"/>
        <n x="663"/>
        <n x="664"/>
      </t>
    </mdx>
    <mdx n="0" f="v">
      <t c="6" si="614">
        <n x="610"/>
        <n x="253"/>
        <n x="254"/>
        <n x="800" s="1"/>
        <n x="661"/>
        <n x="662"/>
      </t>
    </mdx>
    <mdx n="0" f="v">
      <t c="6" si="614">
        <n x="610"/>
        <n x="475"/>
        <n x="476"/>
        <n x="800" s="1"/>
        <n x="659"/>
        <n x="660"/>
      </t>
    </mdx>
    <mdx n="0" f="v">
      <t c="6" si="614">
        <n x="610"/>
        <n x="475"/>
        <n x="476"/>
        <n x="800" s="1"/>
        <n x="671"/>
        <n x="672"/>
      </t>
    </mdx>
    <mdx n="0" f="v">
      <t c="6" si="614">
        <n x="610"/>
        <n x="369"/>
        <n x="370"/>
        <n x="800" s="1"/>
        <n x="669"/>
        <n x="670"/>
      </t>
    </mdx>
    <mdx n="0" f="v">
      <t c="6" si="614">
        <n x="610"/>
        <n x="371"/>
        <n x="372"/>
        <n x="800" s="1"/>
        <n x="667"/>
        <n x="668"/>
      </t>
    </mdx>
    <mdx n="0" f="v">
      <t c="6" si="614">
        <n x="610"/>
        <n x="805"/>
        <n x="806"/>
        <n x="800" s="1"/>
        <n x="665"/>
        <n x="666"/>
      </t>
    </mdx>
    <mdx n="0" f="v">
      <t c="6" si="614">
        <n x="610"/>
        <n x="715"/>
        <n x="716"/>
        <n x="800" s="1"/>
        <n x="665"/>
        <n x="666"/>
      </t>
    </mdx>
    <mdx n="0" f="v">
      <t c="6" si="614">
        <n x="610"/>
        <n x="317"/>
        <n x="318"/>
        <n x="800" s="1"/>
        <n x="663"/>
        <n x="664"/>
      </t>
    </mdx>
    <mdx n="0" f="v">
      <t c="6" si="614">
        <n x="610"/>
        <n x="717"/>
        <n x="718"/>
        <n x="800" s="1"/>
        <n x="661"/>
        <n x="662"/>
      </t>
    </mdx>
    <mdx n="0" f="v">
      <t c="6" si="614">
        <n x="610"/>
        <n x="599"/>
        <n x="600"/>
        <n x="800" s="1"/>
        <n x="659"/>
        <n x="660"/>
      </t>
    </mdx>
    <mdx n="0" f="v">
      <t c="6" si="614">
        <n x="610"/>
        <n x="599"/>
        <n x="600"/>
        <n x="800" s="1"/>
        <n x="671"/>
        <n x="672"/>
      </t>
    </mdx>
    <mdx n="0" f="v">
      <t c="6" si="614">
        <n x="610"/>
        <n x="217"/>
        <n x="218"/>
        <n x="800" s="1"/>
        <n x="669"/>
        <n x="670"/>
      </t>
    </mdx>
    <mdx n="0" f="v">
      <t c="6" si="614">
        <n x="610"/>
        <n x="285"/>
        <n x="286"/>
        <n x="800" s="1"/>
        <n x="667"/>
        <n x="668"/>
      </t>
    </mdx>
    <mdx n="0" f="v">
      <t c="6" si="614">
        <n x="610"/>
        <n x="261"/>
        <n x="262"/>
        <n x="800" s="1"/>
        <n x="665"/>
        <n x="666"/>
      </t>
    </mdx>
    <mdx n="0" f="v">
      <t c="6" si="614">
        <n x="610"/>
        <n x="275"/>
        <n x="276"/>
        <n x="800" s="1"/>
        <n x="663"/>
        <n x="664"/>
      </t>
    </mdx>
    <mdx n="0" f="v">
      <t c="6" si="614">
        <n x="610"/>
        <n x="585"/>
        <n x="586"/>
        <n x="800" s="1"/>
        <n x="659"/>
        <n x="660"/>
      </t>
    </mdx>
    <mdx n="0" f="v">
      <t c="6" si="614">
        <n x="610"/>
        <n x="585"/>
        <n x="586"/>
        <n x="800" s="1"/>
        <n x="671"/>
        <n x="672"/>
      </t>
    </mdx>
    <mdx n="0" f="v">
      <t c="6" si="614">
        <n x="610"/>
        <n x="721"/>
        <n x="722"/>
        <n x="800" s="1"/>
        <n x="669"/>
        <n x="670"/>
      </t>
    </mdx>
    <mdx n="0" f="v">
      <t c="6" si="614">
        <n x="610"/>
        <n x="723"/>
        <n x="724"/>
        <n x="800" s="1"/>
        <n x="667"/>
        <n x="668"/>
      </t>
    </mdx>
    <mdx n="0" f="v">
      <t c="6" si="614">
        <n x="610"/>
        <n x="463"/>
        <n x="464"/>
        <n x="800" s="1"/>
        <n x="665"/>
        <n x="666"/>
      </t>
    </mdx>
    <mdx n="0" f="v">
      <t c="6" si="614">
        <n x="610"/>
        <n x="377"/>
        <n x="378"/>
        <n x="800" s="1"/>
        <n x="663"/>
        <n x="664"/>
      </t>
    </mdx>
    <mdx n="0" f="v">
      <t c="6" si="614">
        <n x="610"/>
        <n x="391"/>
        <n x="392"/>
        <n x="800" s="1"/>
        <n x="661"/>
        <n x="662"/>
      </t>
    </mdx>
    <mdx n="0" f="v">
      <t c="6" si="614">
        <n x="610"/>
        <n x="379"/>
        <n x="380"/>
        <n x="800" s="1"/>
        <n x="669"/>
        <n x="670"/>
      </t>
    </mdx>
    <mdx n="0" f="v">
      <t c="6" si="614">
        <n x="610"/>
        <n x="239"/>
        <n x="240"/>
        <n x="800" s="1"/>
        <n x="667"/>
        <n x="668"/>
      </t>
    </mdx>
    <mdx n="0" f="v">
      <t c="6" si="614">
        <n x="610"/>
        <n x="365"/>
        <n x="366"/>
        <n x="800" s="1"/>
        <n x="665"/>
        <n x="666"/>
      </t>
    </mdx>
    <mdx n="0" f="v">
      <t c="6" si="614">
        <n x="610"/>
        <n x="221"/>
        <n x="222"/>
        <n x="800" s="1"/>
        <n x="663"/>
        <n x="664"/>
      </t>
    </mdx>
    <mdx n="0" f="v">
      <t c="6" si="614">
        <n x="610"/>
        <n x="461"/>
        <n x="462"/>
        <n x="800" s="1"/>
        <n x="661"/>
        <n x="662"/>
      </t>
    </mdx>
    <mdx n="0" f="v">
      <t c="6" si="614">
        <n x="610"/>
        <n x="397"/>
        <n x="398"/>
        <n x="800" s="1"/>
        <n x="659"/>
        <n x="660"/>
      </t>
    </mdx>
    <mdx n="0" f="v">
      <t c="6" si="614">
        <n x="610"/>
        <n x="397"/>
        <n x="398"/>
        <n x="800" s="1"/>
        <n x="671"/>
        <n x="672"/>
      </t>
    </mdx>
    <mdx n="0" f="v">
      <t c="6" si="614">
        <n x="610"/>
        <n x="459"/>
        <n x="460"/>
        <n x="800" s="1"/>
        <n x="669"/>
        <n x="670"/>
      </t>
    </mdx>
    <mdx n="0" f="v">
      <t c="6" si="614">
        <n x="610"/>
        <n x="547"/>
        <n x="548"/>
        <n x="800" s="1"/>
        <n x="667"/>
        <n x="668"/>
      </t>
    </mdx>
    <mdx n="0" f="v">
      <t c="6" si="614">
        <n x="610"/>
        <n x="597"/>
        <n x="598"/>
        <n x="800" s="1"/>
        <n x="665"/>
        <n x="666"/>
      </t>
    </mdx>
    <mdx n="0" f="v">
      <t c="6" si="614">
        <n x="610"/>
        <n x="725"/>
        <n x="726"/>
        <n x="800" s="1"/>
        <n x="663"/>
        <n x="664"/>
      </t>
    </mdx>
    <mdx n="0" f="v">
      <t c="6" si="614">
        <n x="610"/>
        <n x="457"/>
        <n x="458"/>
        <n x="800" s="1"/>
        <n x="661"/>
        <n x="662"/>
      </t>
    </mdx>
    <mdx n="0" f="v">
      <t c="6" si="614">
        <n x="610"/>
        <n x="231"/>
        <n x="232"/>
        <n x="800" s="1"/>
        <n x="659"/>
        <n x="660"/>
      </t>
    </mdx>
    <mdx n="0" f="v">
      <t c="6" si="614">
        <n x="610"/>
        <n x="231"/>
        <n x="232"/>
        <n x="800" s="1"/>
        <n x="671"/>
        <n x="672"/>
      </t>
    </mdx>
    <mdx n="0" f="v">
      <t c="6" si="614">
        <n x="610"/>
        <n x="601"/>
        <n x="602"/>
        <n x="800" s="1"/>
        <n x="669"/>
        <n x="670"/>
      </t>
    </mdx>
    <mdx n="0" f="v">
      <t c="6" si="614">
        <n x="610"/>
        <n x="557"/>
        <n x="558"/>
        <n x="800" s="1"/>
        <n x="667"/>
        <n x="668"/>
      </t>
    </mdx>
    <mdx n="0" f="v">
      <t c="6" si="614">
        <n x="610"/>
        <n x="727"/>
        <n x="728"/>
        <n x="800" s="1"/>
        <n x="665"/>
        <n x="666"/>
      </t>
    </mdx>
    <mdx n="0" f="v">
      <t c="6" si="614">
        <n x="610"/>
        <n x="729"/>
        <n x="730"/>
        <n x="800" s="1"/>
        <n x="663"/>
        <n x="664"/>
      </t>
    </mdx>
    <mdx n="0" f="v">
      <t c="6" si="614">
        <n x="610"/>
        <n x="555"/>
        <n x="556"/>
        <n x="800" s="1"/>
        <n x="659"/>
        <n x="660"/>
      </t>
    </mdx>
    <mdx n="0" f="v">
      <t c="6" si="614">
        <n x="610"/>
        <n x="555"/>
        <n x="556"/>
        <n x="800" s="1"/>
        <n x="671"/>
        <n x="672"/>
      </t>
    </mdx>
    <mdx n="0" f="v">
      <t c="6" si="614">
        <n x="610"/>
        <n x="237"/>
        <n x="238"/>
        <n x="800" s="1"/>
        <n x="669"/>
        <n x="670"/>
      </t>
    </mdx>
    <mdx n="0" f="v">
      <t c="6" si="614">
        <n x="610"/>
        <n x="495"/>
        <n x="496"/>
        <n x="800" s="1"/>
        <n x="667"/>
        <n x="668"/>
      </t>
    </mdx>
    <mdx n="0" f="v">
      <t c="6" si="614">
        <n x="610"/>
        <n x="731"/>
        <n x="732"/>
        <n x="800" s="1"/>
        <n x="665"/>
        <n x="666"/>
      </t>
    </mdx>
    <mdx n="0" f="v">
      <t c="6" si="614">
        <n x="610"/>
        <n x="541"/>
        <n x="542"/>
        <n x="800" s="1"/>
        <n x="663"/>
        <n x="664"/>
      </t>
    </mdx>
    <mdx n="0" f="v">
      <t c="6" si="614">
        <n x="610"/>
        <n x="603"/>
        <n x="604"/>
        <n x="800" s="1"/>
        <n x="661"/>
        <n x="662"/>
      </t>
    </mdx>
    <mdx n="0" f="v">
      <t c="6" si="614">
        <n x="610"/>
        <n x="607"/>
        <n x="608"/>
        <n x="800" s="1"/>
        <n x="659"/>
        <n x="660"/>
      </t>
    </mdx>
    <mdx n="0" f="v">
      <t c="6" si="614">
        <n x="610"/>
        <n x="607"/>
        <n x="608"/>
        <n x="800" s="1"/>
        <n x="671"/>
        <n x="672"/>
      </t>
    </mdx>
    <mdx n="0" f="v">
      <t c="6" si="614">
        <n x="610"/>
        <n x="453"/>
        <n x="454"/>
        <n x="800" s="1"/>
        <n x="669"/>
        <n x="670"/>
      </t>
    </mdx>
    <mdx n="0" f="v">
      <t c="6" si="614">
        <n x="610"/>
        <n x="363"/>
        <n x="364"/>
        <n x="800" s="1"/>
        <n x="667"/>
        <n x="668"/>
      </t>
    </mdx>
    <mdx n="0" f="v">
      <t c="6" si="614">
        <n x="610"/>
        <n x="265"/>
        <n x="266"/>
        <n x="800" s="1"/>
        <n x="665"/>
        <n x="666"/>
      </t>
    </mdx>
    <mdx n="0" f="v">
      <t c="6" si="614">
        <n x="610"/>
        <n x="595"/>
        <n x="596"/>
        <n x="800" s="1"/>
        <n x="663"/>
        <n x="664"/>
      </t>
    </mdx>
    <mdx n="0" f="v">
      <t c="6" si="614">
        <n x="610"/>
        <n x="413"/>
        <n x="414"/>
        <n x="800" s="1"/>
        <n x="661"/>
        <n x="662"/>
      </t>
    </mdx>
    <mdx n="0" f="v">
      <t c="6" si="614">
        <n x="610"/>
        <n x="235"/>
        <n x="236"/>
        <n x="800" s="1"/>
        <n x="659"/>
        <n x="660"/>
      </t>
    </mdx>
    <mdx n="0" f="v">
      <t c="6" si="614">
        <n x="610"/>
        <n x="235"/>
        <n x="236"/>
        <n x="800" s="1"/>
        <n x="671"/>
        <n x="672"/>
      </t>
    </mdx>
    <mdx n="0" f="v">
      <t c="6" si="614">
        <n x="610"/>
        <n x="733"/>
        <n x="734"/>
        <n x="800" s="1"/>
        <n x="669"/>
        <n x="670"/>
      </t>
    </mdx>
    <mdx n="0" f="v">
      <t c="6" si="614">
        <n x="610"/>
        <n x="281"/>
        <n x="282"/>
        <n x="800" s="1"/>
        <n x="667"/>
        <n x="668"/>
      </t>
    </mdx>
    <mdx n="0" f="v">
      <t c="6" si="614">
        <n x="610"/>
        <n x="243"/>
        <n x="244"/>
        <n x="800" s="1"/>
        <n x="665"/>
        <n x="666"/>
      </t>
    </mdx>
    <mdx n="0" f="v">
      <t c="6" si="614">
        <n x="610"/>
        <n x="389"/>
        <n x="390"/>
        <n x="800" s="1"/>
        <n x="663"/>
        <n x="664"/>
      </t>
    </mdx>
    <mdx n="0" f="v">
      <t c="6" si="614">
        <n x="610"/>
        <n x="735"/>
        <n x="736"/>
        <n x="800" s="1"/>
        <n x="659"/>
        <n x="660"/>
      </t>
    </mdx>
    <mdx n="0" f="v">
      <t c="6" si="614">
        <n x="610"/>
        <n x="735"/>
        <n x="736"/>
        <n x="800" s="1"/>
        <n x="671"/>
        <n x="672"/>
      </t>
    </mdx>
    <mdx n="0" f="v">
      <t c="6" si="614">
        <n x="610"/>
        <n x="283"/>
        <n x="284"/>
        <n x="800" s="1"/>
        <n x="669"/>
        <n x="670"/>
      </t>
    </mdx>
    <mdx n="0" f="v">
      <t c="6" si="614">
        <n x="610"/>
        <n x="277"/>
        <n x="278"/>
        <n x="800" s="1"/>
        <n x="667"/>
        <n x="668"/>
      </t>
    </mdx>
    <mdx n="0" f="v">
      <t c="6" si="614">
        <n x="610"/>
        <n x="443"/>
        <n x="444"/>
        <n x="800" s="1"/>
        <n x="665"/>
        <n x="666"/>
      </t>
    </mdx>
    <mdx n="0" f="v">
      <t c="6" si="614">
        <n x="610"/>
        <n x="525"/>
        <n x="526"/>
        <n x="800" s="1"/>
        <n x="663"/>
        <n x="664"/>
      </t>
    </mdx>
    <mdx n="0" f="v">
      <t c="6" si="614">
        <n x="610"/>
        <n x="387"/>
        <n x="388"/>
        <n x="800" s="1"/>
        <n x="661"/>
        <n x="662"/>
      </t>
    </mdx>
    <mdx n="0" f="v">
      <t c="6" si="614">
        <n x="610"/>
        <n x="257"/>
        <n x="258"/>
        <n x="800" s="1"/>
        <n x="659"/>
        <n x="660"/>
      </t>
    </mdx>
    <mdx n="0" f="v">
      <t c="6" si="614">
        <n x="610"/>
        <n x="257"/>
        <n x="258"/>
        <n x="800" s="1"/>
        <n x="671"/>
        <n x="672"/>
      </t>
    </mdx>
    <mdx n="0" f="v">
      <t c="6" si="614">
        <n x="610"/>
        <n x="319"/>
        <n x="320"/>
        <n x="800" s="1"/>
        <n x="669"/>
        <n x="670"/>
      </t>
    </mdx>
    <mdx n="0" f="v">
      <t c="6" si="614">
        <n x="610"/>
        <n x="401"/>
        <n x="402"/>
        <n x="800" s="1"/>
        <n x="667"/>
        <n x="668"/>
      </t>
    </mdx>
    <mdx n="0" f="v">
      <t c="6" si="614">
        <n x="610"/>
        <n x="209"/>
        <n x="210"/>
        <n x="800" s="1"/>
        <n x="665"/>
        <n x="666"/>
      </t>
    </mdx>
    <mdx n="0" f="v">
      <t c="6" si="614">
        <n x="610"/>
        <n x="591"/>
        <n x="592"/>
        <n x="800" s="1"/>
        <n x="663"/>
        <n x="664"/>
      </t>
    </mdx>
    <mdx n="0" f="v">
      <t c="6" si="614">
        <n x="610"/>
        <n x="737"/>
        <n x="738"/>
        <n x="800" s="1"/>
        <n x="661"/>
        <n x="662"/>
      </t>
    </mdx>
    <mdx n="0" f="v">
      <t c="6" si="614">
        <n x="610"/>
        <n x="739"/>
        <n x="740"/>
        <n x="800" s="1"/>
        <n x="659"/>
        <n x="660"/>
      </t>
    </mdx>
    <mdx n="0" f="v">
      <t c="6" si="614">
        <n x="610"/>
        <n x="739"/>
        <n x="740"/>
        <n x="800" s="1"/>
        <n x="671"/>
        <n x="672"/>
      </t>
    </mdx>
    <mdx n="0" f="v">
      <t c="6" si="614">
        <n x="610"/>
        <n x="741"/>
        <n x="742"/>
        <n x="800" s="1"/>
        <n x="669"/>
        <n x="670"/>
      </t>
    </mdx>
    <mdx n="0" f="v">
      <t c="6" si="614">
        <n x="610"/>
        <n x="435"/>
        <n x="436"/>
        <n x="800" s="1"/>
        <n x="667"/>
        <n x="668"/>
      </t>
    </mdx>
    <mdx n="0" f="v">
      <t c="6" si="614">
        <n x="610"/>
        <n x="499"/>
        <n x="500"/>
        <n x="800" s="1"/>
        <n x="665"/>
        <n x="666"/>
      </t>
    </mdx>
    <mdx n="0" f="v">
      <t c="6" si="614">
        <n x="610"/>
        <n x="455"/>
        <n x="456"/>
        <n x="800" s="1"/>
        <n x="663"/>
        <n x="664"/>
      </t>
    </mdx>
    <mdx n="0" f="v">
      <t c="6" si="614">
        <n x="610"/>
        <n x="429"/>
        <n x="430"/>
        <n x="800" s="1"/>
        <n x="661"/>
        <n x="662"/>
      </t>
    </mdx>
    <mdx n="0" f="v">
      <t c="6" si="614">
        <n x="610"/>
        <n x="537"/>
        <n x="538"/>
        <n x="800" s="1"/>
        <n x="659"/>
        <n x="660"/>
      </t>
    </mdx>
    <mdx n="0" f="v">
      <t c="6" si="614">
        <n x="610"/>
        <n x="537"/>
        <n x="538"/>
        <n x="800" s="1"/>
        <n x="671"/>
        <n x="672"/>
      </t>
    </mdx>
    <mdx n="0" f="v">
      <t c="6" si="614">
        <n x="610"/>
        <n x="393"/>
        <n x="394"/>
        <n x="800" s="1"/>
        <n x="669"/>
        <n x="670"/>
      </t>
    </mdx>
    <mdx n="0" f="v">
      <t c="6" si="614">
        <n x="610"/>
        <n x="743"/>
        <n x="744"/>
        <n x="800" s="1"/>
        <n x="667"/>
        <n x="668"/>
      </t>
    </mdx>
    <mdx n="0" f="v">
      <t c="6" si="614">
        <n x="610"/>
        <n x="561"/>
        <n x="562"/>
        <n x="800" s="1"/>
        <n x="665"/>
        <n x="666"/>
      </t>
    </mdx>
    <mdx n="0" f="v">
      <t c="6" si="614">
        <n x="610"/>
        <n x="491"/>
        <n x="492"/>
        <n x="800" s="1"/>
        <n x="663"/>
        <n x="664"/>
      </t>
    </mdx>
    <mdx n="0" f="v">
      <t c="6" si="614">
        <n x="610"/>
        <n x="433"/>
        <n x="434"/>
        <n x="800" s="1"/>
        <n x="661"/>
        <n x="662"/>
      </t>
    </mdx>
    <mdx n="0" f="v">
      <t c="6" si="614">
        <n x="610"/>
        <n x="589"/>
        <n x="590"/>
        <n x="800" s="1"/>
        <n x="659"/>
        <n x="660"/>
      </t>
    </mdx>
    <mdx n="0" f="v">
      <t c="6" si="614">
        <n x="610"/>
        <n x="589"/>
        <n x="590"/>
        <n x="800" s="1"/>
        <n x="671"/>
        <n x="672"/>
      </t>
    </mdx>
    <mdx n="0" f="v">
      <t c="6" si="614">
        <n x="610"/>
        <n x="605"/>
        <n x="606"/>
        <n x="800" s="1"/>
        <n x="669"/>
        <n x="670"/>
      </t>
    </mdx>
    <mdx n="0" f="v">
      <t c="6" si="614">
        <n x="610"/>
        <n x="437"/>
        <n x="438"/>
        <n x="800" s="1"/>
        <n x="667"/>
        <n x="668"/>
      </t>
    </mdx>
    <mdx n="0" f="v">
      <t c="6" si="614">
        <n x="610"/>
        <n x="513"/>
        <n x="514"/>
        <n x="800" s="1"/>
        <n x="663"/>
        <n x="664"/>
      </t>
    </mdx>
    <mdx n="0" f="v">
      <t c="6" si="614">
        <n x="610"/>
        <n x="745"/>
        <n x="746"/>
        <n x="800" s="1"/>
        <n x="659"/>
        <n x="660"/>
      </t>
    </mdx>
    <mdx n="0" f="v">
      <t c="6" si="614">
        <n x="610"/>
        <n x="745"/>
        <n x="746"/>
        <n x="800" s="1"/>
        <n x="671"/>
        <n x="672"/>
      </t>
    </mdx>
    <mdx n="0" f="v">
      <t c="6" si="614">
        <n x="610"/>
        <n x="295"/>
        <n x="296"/>
        <n x="800" s="1"/>
        <n x="669"/>
        <n x="670"/>
      </t>
    </mdx>
    <mdx n="0" f="v">
      <t c="6" si="614">
        <n x="610"/>
        <n x="747"/>
        <n x="748"/>
        <n x="800" s="1"/>
        <n x="667"/>
        <n x="668"/>
      </t>
    </mdx>
    <mdx n="0" f="v">
      <t c="6" si="614">
        <n x="610"/>
        <n x="441"/>
        <n x="442"/>
        <n x="800" s="1"/>
        <n x="665"/>
        <n x="666"/>
      </t>
    </mdx>
    <mdx n="0" f="v">
      <t c="6" si="614">
        <n x="610"/>
        <n x="345"/>
        <n x="346"/>
        <n x="800" s="1"/>
        <n x="663"/>
        <n x="664"/>
      </t>
    </mdx>
    <mdx n="0" f="v">
      <t c="6" si="614">
        <n x="610"/>
        <n x="569"/>
        <n x="570"/>
        <n x="800" s="1"/>
        <n x="661"/>
        <n x="662"/>
      </t>
    </mdx>
    <mdx n="0" f="v">
      <t c="6" si="614">
        <n x="610"/>
        <n x="259"/>
        <n x="260"/>
        <n x="800" s="1"/>
        <n x="659"/>
        <n x="660"/>
      </t>
    </mdx>
    <mdx n="0" f="v">
      <t c="6" si="614">
        <n x="610"/>
        <n x="259"/>
        <n x="260"/>
        <n x="800" s="1"/>
        <n x="671"/>
        <n x="672"/>
      </t>
    </mdx>
    <mdx n="0" f="v">
      <t c="6" si="614">
        <n x="610"/>
        <n x="299"/>
        <n x="300"/>
        <n x="800" s="1"/>
        <n x="669"/>
        <n x="670"/>
      </t>
    </mdx>
    <mdx n="0" f="v">
      <t c="6" si="614">
        <n x="610"/>
        <n x="749"/>
        <n x="750"/>
        <n x="800" s="1"/>
        <n x="667"/>
        <n x="668"/>
      </t>
    </mdx>
    <mdx n="0" f="v">
      <t c="6" si="614">
        <n x="610"/>
        <n x="419"/>
        <n x="420"/>
        <n x="800" s="1"/>
        <n x="665"/>
        <n x="666"/>
      </t>
    </mdx>
    <mdx n="0" f="v">
      <t c="6" si="614">
        <n x="610"/>
        <n x="489"/>
        <n x="490"/>
        <n x="800" s="1"/>
        <n x="663"/>
        <n x="664"/>
      </t>
    </mdx>
    <mdx n="0" f="v">
      <t c="6" si="614">
        <n x="610"/>
        <n x="241"/>
        <n x="242"/>
        <n x="800" s="1"/>
        <n x="661"/>
        <n x="662"/>
      </t>
    </mdx>
    <mdx n="0" f="v">
      <t c="6" si="614">
        <n x="610"/>
        <n x="593"/>
        <n x="594"/>
        <n x="800" s="1"/>
        <n x="659"/>
        <n x="660"/>
      </t>
    </mdx>
    <mdx n="0" f="v">
      <t c="6" si="614">
        <n x="610"/>
        <n x="593"/>
        <n x="594"/>
        <n x="800" s="1"/>
        <n x="671"/>
        <n x="672"/>
      </t>
    </mdx>
    <mdx n="0" f="v">
      <t c="6" si="614">
        <n x="610"/>
        <n x="229"/>
        <n x="230"/>
        <n x="800" s="1"/>
        <n x="669"/>
        <n x="670"/>
      </t>
    </mdx>
    <mdx n="0" f="v">
      <t c="6" si="614">
        <n x="610"/>
        <n x="751"/>
        <n x="752"/>
        <n x="800" s="1"/>
        <n x="667"/>
        <n x="668"/>
      </t>
    </mdx>
    <mdx n="0" f="v">
      <t c="6" si="614">
        <n x="610"/>
        <n x="753"/>
        <n x="754"/>
        <n x="800" s="1"/>
        <n x="665"/>
        <n x="666"/>
      </t>
    </mdx>
    <mdx n="0" f="v">
      <t c="6" si="614">
        <n x="610"/>
        <n x="755"/>
        <n x="756"/>
        <n x="800" s="1"/>
        <n x="663"/>
        <n x="664"/>
      </t>
    </mdx>
    <mdx n="0" f="v">
      <t c="6" si="614">
        <n x="610"/>
        <n x="223"/>
        <n x="224"/>
        <n x="800" s="1"/>
        <n x="659"/>
        <n x="660"/>
      </t>
    </mdx>
    <mdx n="0" f="v">
      <t c="6" si="614">
        <n x="610"/>
        <n x="223"/>
        <n x="224"/>
        <n x="800" s="1"/>
        <n x="671"/>
        <n x="672"/>
      </t>
    </mdx>
    <mdx n="0" f="v">
      <t c="6" si="614">
        <n x="610"/>
        <n x="339"/>
        <n x="340"/>
        <n x="800" s="1"/>
        <n x="669"/>
        <n x="670"/>
      </t>
    </mdx>
    <mdx n="0" f="v">
      <t c="6" si="614">
        <n x="610"/>
        <n x="471"/>
        <n x="472"/>
        <n x="800" s="1"/>
        <n x="667"/>
        <n x="668"/>
      </t>
    </mdx>
    <mdx n="0" f="v">
      <t c="6" si="614">
        <n x="610"/>
        <n x="407"/>
        <n x="408"/>
        <n x="800" s="1"/>
        <n x="663"/>
        <n x="664"/>
      </t>
    </mdx>
    <mdx n="0" f="v">
      <t c="6" si="614">
        <n x="610"/>
        <n x="321"/>
        <n x="322"/>
        <n x="800" s="1"/>
        <n x="661"/>
        <n x="662"/>
      </t>
    </mdx>
    <mdx n="0" f="v">
      <t c="6" si="614">
        <n x="610"/>
        <n x="577"/>
        <n x="578"/>
        <n x="800" s="1"/>
        <n x="659"/>
        <n x="660"/>
      </t>
    </mdx>
    <mdx n="0" f="v">
      <t c="6" si="614">
        <n x="610"/>
        <n x="577"/>
        <n x="578"/>
        <n x="800" s="1"/>
        <n x="671"/>
        <n x="672"/>
      </t>
    </mdx>
    <mdx n="0" f="v">
      <t c="6" si="614">
        <n x="610"/>
        <n x="399"/>
        <n x="400"/>
        <n x="800" s="1"/>
        <n x="669"/>
        <n x="670"/>
      </t>
    </mdx>
    <mdx n="0" f="v">
      <t c="6" si="614">
        <n x="610"/>
        <n x="233"/>
        <n x="234"/>
        <n x="800" s="1"/>
        <n x="667"/>
        <n x="668"/>
      </t>
    </mdx>
    <mdx n="0" f="v">
      <t c="6" si="614">
        <n x="610"/>
        <n x="289"/>
        <n x="290"/>
        <n x="800" s="1"/>
        <n x="665"/>
        <n x="666"/>
      </t>
    </mdx>
    <mdx n="0" f="v">
      <t c="6" si="614">
        <n x="610"/>
        <n x="493"/>
        <n x="494"/>
        <n x="800" s="1"/>
        <n x="663"/>
        <n x="664"/>
      </t>
    </mdx>
    <mdx n="0" f="v">
      <t c="6" si="614">
        <n x="610"/>
        <n x="207"/>
        <n x="208"/>
        <n x="800" s="1"/>
        <n x="661"/>
        <n x="662"/>
      </t>
    </mdx>
    <mdx n="0" f="v">
      <t c="6" si="614">
        <n x="610"/>
        <n x="361"/>
        <n x="362"/>
        <n x="800" s="1"/>
        <n x="659"/>
        <n x="660"/>
      </t>
    </mdx>
    <mdx n="0" f="v">
      <t c="6" si="614">
        <n x="610"/>
        <n x="361"/>
        <n x="362"/>
        <n x="800" s="1"/>
        <n x="671"/>
        <n x="672"/>
      </t>
    </mdx>
    <mdx n="0" f="v">
      <t c="6" si="614">
        <n x="610"/>
        <n x="551"/>
        <n x="552"/>
        <n x="800" s="1"/>
        <n x="669"/>
        <n x="670"/>
      </t>
    </mdx>
    <mdx n="0" f="v">
      <t c="6" si="614">
        <n x="610"/>
        <n x="273"/>
        <n x="274"/>
        <n x="800" s="1"/>
        <n x="667"/>
        <n x="668"/>
      </t>
    </mdx>
    <mdx n="0" f="v">
      <t c="6" si="614">
        <n x="610"/>
        <n x="757"/>
        <n x="758"/>
        <n x="800" s="1"/>
        <n x="665"/>
        <n x="666"/>
      </t>
    </mdx>
    <mdx n="0" f="v">
      <t c="6" si="614">
        <n x="610"/>
        <n x="759"/>
        <n x="760"/>
        <n x="800" s="1"/>
        <n x="663"/>
        <n x="664"/>
      </t>
    </mdx>
    <mdx n="0" f="v">
      <t c="6" si="614">
        <n x="610"/>
        <n x="761"/>
        <n x="762"/>
        <n x="800" s="1"/>
        <n x="661"/>
        <n x="662"/>
      </t>
    </mdx>
    <mdx n="0" f="v">
      <t c="6" si="614">
        <n x="610"/>
        <n x="325"/>
        <n x="326"/>
        <n x="800" s="1"/>
        <n x="659"/>
        <n x="660"/>
      </t>
    </mdx>
    <mdx n="0" f="v">
      <t c="6" si="614">
        <n x="610"/>
        <n x="325"/>
        <n x="326"/>
        <n x="800" s="1"/>
        <n x="671"/>
        <n x="672"/>
      </t>
    </mdx>
    <mdx n="0" f="v">
      <t c="6" si="614">
        <n x="610"/>
        <n x="409"/>
        <n x="410"/>
        <n x="800" s="1"/>
        <n x="669"/>
        <n x="670"/>
      </t>
    </mdx>
    <mdx n="0" f="v">
      <t c="6" si="614">
        <n x="610"/>
        <n x="553"/>
        <n x="554"/>
        <n x="800" s="1"/>
        <n x="667"/>
        <n x="668"/>
      </t>
    </mdx>
    <mdx n="0" f="v">
      <t c="6" si="614">
        <n x="610"/>
        <n x="245"/>
        <n x="246"/>
        <n x="800" s="1"/>
        <n x="665"/>
        <n x="666"/>
      </t>
    </mdx>
    <mdx n="0" f="v">
      <t c="6" si="614">
        <n x="610"/>
        <n x="549"/>
        <n x="550"/>
        <n x="800" s="1"/>
        <n x="663"/>
        <n x="664"/>
      </t>
    </mdx>
    <mdx n="0" f="v">
      <t c="6" si="614">
        <n x="610"/>
        <n x="255"/>
        <n x="256"/>
        <n x="800" s="1"/>
        <n x="661"/>
        <n x="662"/>
      </t>
    </mdx>
    <mdx n="0" f="v">
      <t c="6" si="614">
        <n x="610"/>
        <n x="507"/>
        <n x="508"/>
        <n x="800" s="1"/>
        <n x="659"/>
        <n x="660"/>
      </t>
    </mdx>
    <mdx n="0" f="v">
      <t c="6" si="614">
        <n x="610"/>
        <n x="507"/>
        <n x="508"/>
        <n x="800" s="1"/>
        <n x="671"/>
        <n x="672"/>
      </t>
    </mdx>
    <mdx n="0" f="v">
      <t c="6" si="614">
        <n x="610"/>
        <n x="469"/>
        <n x="470"/>
        <n x="800" s="1"/>
        <n x="669"/>
        <n x="670"/>
      </t>
    </mdx>
    <mdx n="0" f="v">
      <t c="6" si="614">
        <n x="610"/>
        <n x="467"/>
        <n x="468"/>
        <n x="800" s="1"/>
        <n x="665"/>
        <n x="666"/>
      </t>
    </mdx>
    <mdx n="0" f="v">
      <t c="6" si="614">
        <n x="610"/>
        <n x="287"/>
        <n x="288"/>
        <n x="800" s="1"/>
        <n x="663"/>
        <n x="664"/>
      </t>
    </mdx>
    <mdx n="0" f="v">
      <t c="6" si="614">
        <n x="610"/>
        <n x="763"/>
        <n x="764"/>
        <n x="800" s="1"/>
        <n x="661"/>
        <n x="662"/>
      </t>
    </mdx>
    <mdx n="0" f="v">
      <t c="6" si="614">
        <n x="610"/>
        <n x="349"/>
        <n x="350"/>
        <n x="800" s="1"/>
        <n x="659"/>
        <n x="660"/>
      </t>
    </mdx>
    <mdx n="0" f="v">
      <t c="6" si="614">
        <n x="610"/>
        <n x="349"/>
        <n x="350"/>
        <n x="800" s="1"/>
        <n x="671"/>
        <n x="672"/>
      </t>
    </mdx>
    <mdx n="0" f="v">
      <t c="6" si="614">
        <n x="610"/>
        <n x="539"/>
        <n x="540"/>
        <n x="800" s="1"/>
        <n x="669"/>
        <n x="670"/>
      </t>
    </mdx>
    <mdx n="0" f="v">
      <t c="6" si="614">
        <n x="610"/>
        <n x="765"/>
        <n x="766"/>
        <n x="800" s="1"/>
        <n x="667"/>
        <n x="668"/>
      </t>
    </mdx>
    <mdx n="0" f="v">
      <t c="6" si="614">
        <n x="610"/>
        <n x="509"/>
        <n x="510"/>
        <n x="800" s="1"/>
        <n x="665"/>
        <n x="666"/>
      </t>
    </mdx>
    <mdx n="0" f="v">
      <t c="6" si="614">
        <n x="610"/>
        <n x="359"/>
        <n x="360"/>
        <n x="800" s="1"/>
        <n x="663"/>
        <n x="664"/>
      </t>
    </mdx>
    <mdx n="0" f="v">
      <t c="6" si="614">
        <n x="610"/>
        <n x="403"/>
        <n x="404"/>
        <n x="800" s="1"/>
        <n x="661"/>
        <n x="662"/>
      </t>
    </mdx>
    <mdx n="0" f="v">
      <t c="6" si="614">
        <n x="610"/>
        <n x="411"/>
        <n x="412"/>
        <n x="800" s="1"/>
        <n x="659"/>
        <n x="660"/>
      </t>
    </mdx>
    <mdx n="0" f="v">
      <t c="6" si="614">
        <n x="610"/>
        <n x="411"/>
        <n x="412"/>
        <n x="800" s="1"/>
        <n x="671"/>
        <n x="672"/>
      </t>
    </mdx>
    <mdx n="0" f="v">
      <t c="6" si="614">
        <n x="610"/>
        <n x="767"/>
        <n x="768"/>
        <n x="800" s="1"/>
        <n x="669"/>
        <n x="670"/>
      </t>
    </mdx>
    <mdx n="0" f="v">
      <t c="6" si="614">
        <n x="610"/>
        <n x="315"/>
        <n x="316"/>
        <n x="800" s="1"/>
        <n x="667"/>
        <n x="668"/>
      </t>
    </mdx>
    <mdx n="0" f="v">
      <t c="6" si="614">
        <n x="610"/>
        <n x="769"/>
        <n x="770"/>
        <n x="800" s="1"/>
        <n x="665"/>
        <n x="666"/>
      </t>
    </mdx>
    <mdx n="0" f="v">
      <t c="6" si="614">
        <n x="610"/>
        <n x="511"/>
        <n x="512"/>
        <n x="800" s="1"/>
        <n x="663"/>
        <n x="664"/>
      </t>
    </mdx>
    <mdx n="0" f="v">
      <t c="6" si="614">
        <n x="610"/>
        <n x="771"/>
        <n x="772"/>
        <n x="800" s="1"/>
        <n x="659"/>
        <n x="660"/>
      </t>
    </mdx>
    <mdx n="0" f="v">
      <t c="6" si="614">
        <n x="610"/>
        <n x="771"/>
        <n x="772"/>
        <n x="800" s="1"/>
        <n x="671"/>
        <n x="672"/>
      </t>
    </mdx>
    <mdx n="0" f="v">
      <t c="6" si="614">
        <n x="610"/>
        <n x="485"/>
        <n x="486"/>
        <n x="800" s="1"/>
        <n x="669"/>
        <n x="670"/>
      </t>
    </mdx>
    <mdx n="0" f="v">
      <t c="6" si="614">
        <n x="610"/>
        <n x="293"/>
        <n x="294"/>
        <n x="800" s="1"/>
        <n x="667"/>
        <n x="668"/>
      </t>
    </mdx>
    <mdx n="0" f="v">
      <t c="6" si="614">
        <n x="610"/>
        <n x="529"/>
        <n x="530"/>
        <n x="800" s="1"/>
        <n x="665"/>
        <n x="666"/>
      </t>
    </mdx>
    <mdx n="0" f="v">
      <t c="6" si="614">
        <n x="610"/>
        <n x="249"/>
        <n x="250"/>
        <n x="800" s="1"/>
        <n x="663"/>
        <n x="664"/>
      </t>
    </mdx>
    <mdx n="0" f="v">
      <t c="6" si="614">
        <n x="610"/>
        <n x="773"/>
        <n x="774"/>
        <n x="800" s="1"/>
        <n x="661"/>
        <n x="662"/>
      </t>
    </mdx>
    <mdx n="0" f="v">
      <t c="6" si="614">
        <n x="610"/>
        <n x="775"/>
        <n x="776"/>
        <n x="800" s="1"/>
        <n x="659"/>
        <n x="660"/>
      </t>
    </mdx>
    <mdx n="0" f="v">
      <t c="6" si="614">
        <n x="610"/>
        <n x="775"/>
        <n x="776"/>
        <n x="800" s="1"/>
        <n x="671"/>
        <n x="672"/>
      </t>
    </mdx>
    <mdx n="0" f="v">
      <t c="6" si="614">
        <n x="610"/>
        <n x="777"/>
        <n x="778"/>
        <n x="800" s="1"/>
        <n x="669"/>
        <n x="670"/>
      </t>
    </mdx>
    <mdx n="0" f="v">
      <t c="6" si="614">
        <n x="610"/>
        <n x="357"/>
        <n x="358"/>
        <n x="800" s="1"/>
        <n x="667"/>
        <n x="668"/>
      </t>
    </mdx>
    <mdx n="0" f="v">
      <t c="6" si="614">
        <n x="610"/>
        <n x="381"/>
        <n x="382"/>
        <n x="800" s="1"/>
        <n x="665"/>
        <n x="666"/>
      </t>
    </mdx>
    <mdx n="0" f="v">
      <t c="6" si="614">
        <n x="610"/>
        <n x="515"/>
        <n x="516"/>
        <n x="800" s="1"/>
        <n x="663"/>
        <n x="664"/>
      </t>
    </mdx>
    <mdx n="0" f="v">
      <t c="6" si="614">
        <n x="610"/>
        <n x="779"/>
        <n x="780"/>
        <n x="800" s="1"/>
        <n x="659"/>
        <n x="660"/>
      </t>
    </mdx>
    <mdx n="0" f="v">
      <t c="6" si="614">
        <n x="610"/>
        <n x="779"/>
        <n x="780"/>
        <n x="800" s="1"/>
        <n x="671"/>
        <n x="672"/>
      </t>
    </mdx>
    <mdx n="0" f="v">
      <t c="6" si="614">
        <n x="610"/>
        <n x="269"/>
        <n x="270"/>
        <n x="800" s="1"/>
        <n x="669"/>
        <n x="670"/>
      </t>
    </mdx>
    <mdx n="0" f="v">
      <t c="6" si="614">
        <n x="610"/>
        <n x="533"/>
        <n x="534"/>
        <n x="800" s="1"/>
        <n x="667"/>
        <n x="668"/>
      </t>
    </mdx>
    <mdx n="0" f="v">
      <t c="6" si="614">
        <n x="610"/>
        <n x="527"/>
        <n x="528"/>
        <n x="800" s="1"/>
        <n x="665"/>
        <n x="666"/>
      </t>
    </mdx>
    <mdx n="0" f="v">
      <t c="6" si="614">
        <n x="610"/>
        <n x="781"/>
        <n x="782"/>
        <n x="800" s="1"/>
        <n x="663"/>
        <n x="664"/>
      </t>
    </mdx>
    <mdx n="0" f="v">
      <t c="6" si="614">
        <n x="610"/>
        <n x="783"/>
        <n x="784"/>
        <n x="800" s="1"/>
        <n x="671"/>
        <n x="672"/>
      </t>
    </mdx>
    <mdx n="0" f="v">
      <t c="6" si="614">
        <n x="610"/>
        <n x="535"/>
        <n x="536"/>
        <n x="800" s="1"/>
        <n x="669"/>
        <n x="670"/>
      </t>
    </mdx>
    <mdx n="0" f="v">
      <t c="6" si="614">
        <n x="610"/>
        <n x="355"/>
        <n x="356"/>
        <n x="800" s="1"/>
        <n x="667"/>
        <n x="668"/>
      </t>
    </mdx>
    <mdx n="0" f="v">
      <t c="6" si="614">
        <n x="610"/>
        <n x="785"/>
        <n x="786"/>
        <n x="800" s="1"/>
        <n x="665"/>
        <n x="666"/>
      </t>
    </mdx>
    <mdx n="0" f="v">
      <t c="6" si="614">
        <n x="610"/>
        <n x="787"/>
        <n x="788"/>
        <n x="800" s="1"/>
        <n x="663"/>
        <n x="664"/>
      </t>
    </mdx>
    <mdx n="0" f="v">
      <t c="6" si="614">
        <n x="610"/>
        <n x="583"/>
        <n x="584"/>
        <n x="800" s="1"/>
        <n x="661"/>
        <n x="662"/>
      </t>
    </mdx>
    <mdx n="0" f="v">
      <t c="6" si="614">
        <n x="610"/>
        <n x="581"/>
        <n x="582"/>
        <n x="800" s="1"/>
        <n x="667"/>
        <n x="668"/>
      </t>
    </mdx>
    <mdx n="0" f="v">
      <t c="6" si="614">
        <n x="610"/>
        <n x="431"/>
        <n x="432"/>
        <n x="800" s="1"/>
        <n x="665"/>
        <n x="666"/>
      </t>
    </mdx>
    <mdx n="0" f="v">
      <t c="6" si="614">
        <n x="610"/>
        <n x="789"/>
        <n x="790"/>
        <n x="800" s="1"/>
        <n x="663"/>
        <n x="664"/>
      </t>
    </mdx>
    <mdx n="0" f="v">
      <t c="6" si="614">
        <n x="610"/>
        <n x="311"/>
        <n x="312"/>
        <n x="800" s="1"/>
        <n x="661"/>
        <n x="662"/>
      </t>
    </mdx>
    <mdx n="0" f="v">
      <t c="6" si="614">
        <n x="610"/>
        <n x="531"/>
        <n x="532"/>
        <n x="800" s="1"/>
        <n x="659"/>
        <n x="660"/>
      </t>
    </mdx>
    <mdx n="0" f="v">
      <t c="6" si="614">
        <n x="610"/>
        <n x="531"/>
        <n x="532"/>
        <n x="800" s="1"/>
        <n x="671"/>
        <n x="672"/>
      </t>
    </mdx>
    <mdx n="0" f="v">
      <t c="6" si="614">
        <n x="610"/>
        <n x="565"/>
        <n x="566"/>
        <n x="800" s="1"/>
        <n x="669"/>
        <n x="670"/>
      </t>
    </mdx>
    <mdx n="0" f="v">
      <t c="6" si="614">
        <n x="610"/>
        <n x="521"/>
        <n x="522"/>
        <n x="800" s="1"/>
        <n x="667"/>
        <n x="668"/>
      </t>
    </mdx>
    <mdx n="0" f="v">
      <t c="6" si="614">
        <n x="610"/>
        <n x="423"/>
        <n x="424"/>
        <n x="800" s="1"/>
        <n x="665"/>
        <n x="666"/>
      </t>
    </mdx>
    <mdx n="0" f="v">
      <t c="6" si="614">
        <n x="610"/>
        <n x="545"/>
        <n x="546"/>
        <n x="800" s="1"/>
        <n x="663"/>
        <n x="664"/>
      </t>
    </mdx>
    <mdx n="0" f="v">
      <t c="6" si="614">
        <n x="610"/>
        <n x="575"/>
        <n x="576"/>
        <n x="800" s="1"/>
        <n x="661"/>
        <n x="662"/>
      </t>
    </mdx>
    <mdx n="0" f="v">
      <t c="6" si="614">
        <n x="610"/>
        <n x="795"/>
        <n x="796"/>
        <n x="800" s="1"/>
        <n x="667"/>
        <n x="668"/>
      </t>
    </mdx>
    <mdx n="0" f="v">
      <t c="6" si="614">
        <n x="610"/>
        <n x="465"/>
        <n x="466"/>
        <n x="800" s="1"/>
        <n x="665"/>
        <n x="666"/>
      </t>
    </mdx>
    <mdx n="0" f="v">
      <t c="6" si="614">
        <n x="610"/>
        <n x="303"/>
        <n x="304"/>
        <n x="800" s="1"/>
        <n x="663"/>
        <n x="664"/>
      </t>
    </mdx>
    <mdx n="0" f="v">
      <t c="6" si="614">
        <n x="610"/>
        <n x="211"/>
        <n x="212"/>
        <n x="800" s="1"/>
        <n x="661"/>
        <n x="662"/>
      </t>
    </mdx>
    <mdx n="0" f="v">
      <t c="6" si="614">
        <n x="610"/>
        <n x="439"/>
        <n x="440"/>
        <n x="800" s="1"/>
        <n x="659"/>
        <n x="660"/>
      </t>
    </mdx>
    <mdx n="0" f="v">
      <t c="6" si="614">
        <n x="610"/>
        <n x="713"/>
        <n x="714"/>
        <n x="800" s="1"/>
        <n x="665"/>
        <n x="666"/>
      </t>
    </mdx>
    <mdx n="0" f="v">
      <t c="6" si="614">
        <n x="610"/>
        <n x="713"/>
        <n x="714"/>
        <n x="800" s="1"/>
        <n x="667"/>
        <n x="668"/>
      </t>
    </mdx>
    <mdx n="0" f="v">
      <t c="6" si="614">
        <n x="610"/>
        <n x="791"/>
        <n x="792"/>
        <n x="800" s="1"/>
        <n x="667"/>
        <n x="668"/>
      </t>
    </mdx>
    <mdx n="0" f="v">
      <t c="6" si="614">
        <n x="610"/>
        <n x="331"/>
        <n x="332"/>
        <n x="800" s="1"/>
        <n x="665"/>
        <n x="666"/>
      </t>
    </mdx>
    <mdx n="0" f="v">
      <t c="6" si="614">
        <n x="610"/>
        <n x="227"/>
        <n x="228"/>
        <n x="800" s="1"/>
        <n x="663"/>
        <n x="664"/>
      </t>
    </mdx>
    <mdx n="0" f="v">
      <t c="6" si="614">
        <n x="610"/>
        <n x="795"/>
        <n x="796"/>
        <n x="800" s="1"/>
        <n x="659"/>
        <n x="660"/>
      </t>
    </mdx>
    <mdx n="0" f="v">
      <t c="6" si="614">
        <n x="610"/>
        <n x="795"/>
        <n x="796"/>
        <n x="800" s="1"/>
        <n x="671"/>
        <n x="672"/>
      </t>
    </mdx>
    <mdx n="0" f="v">
      <t c="6" si="614">
        <n x="610"/>
        <n x="465"/>
        <n x="466"/>
        <n x="800" s="1"/>
        <n x="669"/>
        <n x="670"/>
      </t>
    </mdx>
    <mdx n="0" f="v">
      <t c="6" si="614">
        <n x="610"/>
        <n x="303"/>
        <n x="304"/>
        <n x="800" s="1"/>
        <n x="667"/>
        <n x="668"/>
      </t>
    </mdx>
    <mdx n="0" f="v">
      <t c="6" si="614">
        <n x="610"/>
        <n x="211"/>
        <n x="212"/>
        <n x="800" s="1"/>
        <n x="665"/>
        <n x="666"/>
      </t>
    </mdx>
    <mdx n="0" f="v">
      <t c="6" si="614">
        <n x="610"/>
        <n x="439"/>
        <n x="440"/>
        <n x="800" s="1"/>
        <n x="663"/>
        <n x="664"/>
      </t>
    </mdx>
    <mdx n="0" f="v">
      <t c="6" si="614">
        <n x="610"/>
        <n x="571"/>
        <n x="572"/>
        <n x="800" s="1"/>
        <n x="661"/>
        <n x="662"/>
      </t>
    </mdx>
    <mdx n="0" f="v">
      <t c="6" si="614">
        <n x="610"/>
        <n x="305"/>
        <n x="306"/>
        <n x="800" s="1"/>
        <n x="659"/>
        <n x="660"/>
      </t>
    </mdx>
    <mdx n="0" f="v">
      <t c="6" si="614">
        <n x="610"/>
        <n x="305"/>
        <n x="306"/>
        <n x="800" s="1"/>
        <n x="671"/>
        <n x="672"/>
      </t>
    </mdx>
    <mdx n="0" f="v">
      <t c="6" si="614">
        <n x="610"/>
        <n x="563"/>
        <n x="564"/>
        <n x="800" s="1"/>
        <n x="669"/>
        <n x="670"/>
      </t>
    </mdx>
    <mdx n="0" f="v">
      <t c="6" si="614">
        <n x="610"/>
        <n x="225"/>
        <n x="226"/>
        <n x="800" s="1"/>
        <n x="667"/>
        <n x="668"/>
      </t>
    </mdx>
    <mdx n="0" f="v">
      <t c="6" si="614">
        <n x="610"/>
        <n x="279"/>
        <n x="280"/>
        <n x="800" s="1"/>
        <n x="665"/>
        <n x="666"/>
      </t>
    </mdx>
    <mdx n="0" f="v">
      <t c="6" si="614">
        <n x="610"/>
        <n x="291"/>
        <n x="292"/>
        <n x="800" s="1"/>
        <n x="663"/>
        <n x="664"/>
      </t>
    </mdx>
    <mdx n="0" f="v">
      <t c="6" si="614">
        <n x="610"/>
        <n x="797"/>
        <n x="798"/>
        <n x="800" s="1"/>
        <n x="661"/>
        <n x="662"/>
      </t>
    </mdx>
    <mdx n="0" f="v">
      <t c="6" si="614">
        <n x="610"/>
        <n x="373"/>
        <n x="374"/>
        <n x="800" s="1"/>
        <n x="659"/>
        <n x="660"/>
      </t>
    </mdx>
    <mdx n="0" f="v">
      <t c="6" si="614">
        <n x="610"/>
        <n x="373"/>
        <n x="374"/>
        <n x="800" s="1"/>
        <n x="671"/>
        <n x="672"/>
      </t>
    </mdx>
    <mdx n="0" f="v">
      <t c="6" si="614">
        <n x="610"/>
        <n x="329"/>
        <n x="330"/>
        <n x="800" s="1"/>
        <n x="669"/>
        <n x="670"/>
      </t>
    </mdx>
    <mdx n="0" f="v">
      <t c="6" si="614">
        <n x="610"/>
        <n x="449"/>
        <n x="450"/>
        <n x="800" s="1"/>
        <n x="667"/>
        <n x="668"/>
      </t>
    </mdx>
    <mdx n="0" f="v">
      <t c="6" si="614">
        <n x="610"/>
        <n x="801"/>
        <n x="802"/>
        <n x="800" s="1"/>
        <n x="665"/>
        <n x="666"/>
      </t>
    </mdx>
    <mdx n="0" f="v">
      <t c="6" si="614">
        <n x="610"/>
        <n x="327"/>
        <n x="328"/>
        <n x="800" s="1"/>
        <n x="663"/>
        <n x="664"/>
      </t>
    </mdx>
    <mdx n="0" f="v">
      <t c="6" si="614">
        <n x="610"/>
        <n x="803"/>
        <n x="804"/>
        <n x="800" s="1"/>
        <n x="659"/>
        <n x="660"/>
      </t>
    </mdx>
    <mdx n="0" f="v">
      <t c="6" si="614">
        <n x="610"/>
        <n x="803"/>
        <n x="804"/>
        <n x="800" s="1"/>
        <n x="671"/>
        <n x="672"/>
      </t>
    </mdx>
    <mdx n="0" f="v">
      <t c="6" si="614">
        <n x="610"/>
        <n x="587"/>
        <n x="588"/>
        <n x="800" s="1"/>
        <n x="669"/>
        <n x="670"/>
      </t>
    </mdx>
    <mdx n="0" f="v">
      <t c="6" si="614">
        <n x="610"/>
        <n x="421"/>
        <n x="422"/>
        <n x="800" s="1"/>
        <n x="667"/>
        <n x="668"/>
      </t>
    </mdx>
    <mdx n="0" f="v">
      <t c="6" si="614">
        <n x="610"/>
        <n x="263"/>
        <n x="264"/>
        <n x="800" s="1"/>
        <n x="665"/>
        <n x="666"/>
      </t>
    </mdx>
    <mdx n="0" f="v">
      <t c="6" si="614">
        <n x="610"/>
        <n x="477"/>
        <n x="478"/>
        <n x="800" s="1"/>
        <n x="663"/>
        <n x="664"/>
      </t>
    </mdx>
    <mdx n="0" f="v">
      <t c="6" si="614">
        <n x="610"/>
        <n x="337"/>
        <n x="338"/>
        <n x="800" s="1"/>
        <n x="659"/>
        <n x="660"/>
      </t>
    </mdx>
    <mdx n="0" f="v">
      <t c="6" si="614">
        <n x="610"/>
        <n x="337"/>
        <n x="338"/>
        <n x="800" s="1"/>
        <n x="671"/>
        <n x="672"/>
      </t>
    </mdx>
    <mdx n="0" f="v">
      <t c="6" si="614">
        <n x="610"/>
        <n x="323"/>
        <n x="324"/>
        <n x="800" s="1"/>
        <n x="669"/>
        <n x="670"/>
      </t>
    </mdx>
    <mdx n="0" f="v">
      <t c="6" si="614">
        <n x="610"/>
        <n x="497"/>
        <n x="498"/>
        <n x="800" s="1"/>
        <n x="667"/>
        <n x="668"/>
      </t>
    </mdx>
    <mdx n="0" f="v">
      <t c="6" si="614">
        <n x="610"/>
        <n x="517"/>
        <n x="518"/>
        <n x="800" s="1"/>
        <n x="665"/>
        <n x="666"/>
      </t>
    </mdx>
    <mdx n="0" f="v">
      <t c="6" si="614">
        <n x="610"/>
        <n x="251"/>
        <n x="252"/>
        <n x="800" s="1"/>
        <n x="663"/>
        <n x="664"/>
      </t>
    </mdx>
    <mdx n="0" f="v">
      <t c="6" si="614">
        <n x="610"/>
        <n x="567"/>
        <n x="568"/>
        <n x="800" s="1"/>
        <n x="661"/>
        <n x="662"/>
      </t>
    </mdx>
    <mdx n="0" f="v">
      <t c="6" si="614">
        <n x="610"/>
        <n x="425"/>
        <n x="426"/>
        <n x="800" s="1"/>
        <n x="659"/>
        <n x="660"/>
      </t>
    </mdx>
    <mdx n="0" f="v">
      <t c="6" si="614">
        <n x="610"/>
        <n x="425"/>
        <n x="426"/>
        <n x="800" s="1"/>
        <n x="671"/>
        <n x="672"/>
      </t>
    </mdx>
    <mdx n="0" f="v">
      <t c="6" si="614">
        <n x="610"/>
        <n x="559"/>
        <n x="560"/>
        <n x="800" s="1"/>
        <n x="669"/>
        <n x="670"/>
      </t>
    </mdx>
    <mdx n="0" f="v">
      <t c="6" si="614">
        <n x="610"/>
        <n x="519"/>
        <n x="520"/>
        <n x="800" s="1"/>
        <n x="667"/>
        <n x="668"/>
      </t>
    </mdx>
    <mdx n="0" f="v">
      <t c="6" si="614">
        <n x="610"/>
        <n x="573"/>
        <n x="574"/>
        <n x="800" s="1"/>
        <n x="665"/>
        <n x="666"/>
      </t>
    </mdx>
    <mdx n="0" f="v">
      <t c="6" si="614">
        <n x="610"/>
        <n x="253"/>
        <n x="254"/>
        <n x="800" s="1"/>
        <n x="663"/>
        <n x="664"/>
      </t>
    </mdx>
    <mdx n="0" f="v">
      <t c="6" si="614">
        <n x="610"/>
        <n x="475"/>
        <n x="476"/>
        <n x="800" s="1"/>
        <n x="661"/>
        <n x="662"/>
      </t>
    </mdx>
    <mdx n="0" f="v">
      <t c="6" si="614">
        <n x="610"/>
        <n x="369"/>
        <n x="370"/>
        <n x="800" s="1"/>
        <n x="659"/>
        <n x="660"/>
      </t>
    </mdx>
    <mdx n="0" f="v">
      <t c="6" si="614">
        <n x="610"/>
        <n x="369"/>
        <n x="370"/>
        <n x="800" s="1"/>
        <n x="671"/>
        <n x="672"/>
      </t>
    </mdx>
    <mdx n="0" f="v">
      <t c="6" si="614">
        <n x="610"/>
        <n x="371"/>
        <n x="372"/>
        <n x="800" s="1"/>
        <n x="669"/>
        <n x="670"/>
      </t>
    </mdx>
    <mdx n="0" f="v">
      <t c="6" si="614">
        <n x="610"/>
        <n x="805"/>
        <n x="806"/>
        <n x="800" s="1"/>
        <n x="667"/>
        <n x="668"/>
      </t>
    </mdx>
    <mdx n="0" f="v">
      <t c="6" si="614">
        <n x="610"/>
        <n x="451"/>
        <n x="452"/>
        <n x="800" s="1"/>
        <n x="659"/>
        <n x="660"/>
      </t>
    </mdx>
    <mdx n="0" f="v">
      <t c="6" si="614">
        <n x="610"/>
        <n x="451"/>
        <n x="452"/>
        <n x="800" s="1"/>
        <n x="671"/>
        <n x="672"/>
      </t>
    </mdx>
    <mdx n="0" f="v">
      <t c="6" si="614">
        <n x="610"/>
        <n x="473"/>
        <n x="474"/>
        <n x="800" s="1"/>
        <n x="669"/>
        <n x="670"/>
      </t>
    </mdx>
    <mdx n="0" f="v">
      <t c="6" si="614">
        <n x="610"/>
        <n x="523"/>
        <n x="524"/>
        <n x="800" s="1"/>
        <n x="667"/>
        <n x="668"/>
      </t>
    </mdx>
    <mdx n="0" f="v">
      <t c="6" si="614">
        <n x="610"/>
        <n x="297"/>
        <n x="298"/>
        <n x="800" s="1"/>
        <n x="665"/>
        <n x="666"/>
      </t>
    </mdx>
    <mdx n="0" f="v">
      <t c="6" si="614">
        <n x="610"/>
        <n x="579"/>
        <n x="580"/>
        <n x="800" s="1"/>
        <n x="663"/>
        <n x="664"/>
      </t>
    </mdx>
    <mdx n="0" f="v">
      <t c="6" si="614">
        <n x="610"/>
        <n x="313"/>
        <n x="314"/>
        <n x="800" s="1"/>
        <n x="661"/>
        <n x="662"/>
      </t>
    </mdx>
    <mdx n="0" f="v">
      <t c="6" si="614">
        <n x="610"/>
        <n x="351"/>
        <n x="352"/>
        <n x="800" s="1"/>
        <n x="659"/>
        <n x="660"/>
      </t>
    </mdx>
    <mdx n="0" f="v">
      <t c="6" si="614">
        <n x="610"/>
        <n x="351"/>
        <n x="352"/>
        <n x="800" s="1"/>
        <n x="671"/>
        <n x="672"/>
      </t>
    </mdx>
    <mdx n="0" f="v">
      <t c="6" si="614">
        <n x="610"/>
        <n x="213"/>
        <n x="214"/>
        <n x="800" s="1"/>
        <n x="669"/>
        <n x="670"/>
      </t>
    </mdx>
    <mdx n="0" f="v">
      <t c="6" si="614">
        <n x="610"/>
        <n x="217"/>
        <n x="218"/>
        <n x="800" s="1"/>
        <n x="657"/>
        <n x="658"/>
      </t>
    </mdx>
    <mdx n="0" f="v">
      <t c="6" si="614">
        <n x="610"/>
        <n x="601"/>
        <n x="602"/>
        <n x="800" s="1"/>
        <n x="657"/>
        <n x="658"/>
      </t>
    </mdx>
    <mdx n="0" f="v">
      <t c="6" si="614">
        <n x="610"/>
        <n x="551"/>
        <n x="552"/>
        <n x="800" s="1"/>
        <n x="657"/>
        <n x="658"/>
      </t>
    </mdx>
    <mdx n="0" f="v">
      <t c="6" si="614">
        <n x="610"/>
        <n x="539"/>
        <n x="540"/>
        <n x="800" s="1"/>
        <n x="657"/>
        <n x="658"/>
      </t>
    </mdx>
    <mdx n="0" f="v">
      <t c="6" si="614">
        <n x="610"/>
        <n x="753"/>
        <n x="754"/>
        <n x="800" s="1"/>
        <n x="657"/>
        <n x="658"/>
      </t>
    </mdx>
    <mdx n="0" f="v">
      <t c="6" si="614">
        <n x="610"/>
        <n x="289"/>
        <n x="290"/>
        <n x="800" s="1"/>
        <n x="657"/>
        <n x="658"/>
      </t>
    </mdx>
    <mdx n="0" f="v">
      <t c="6" si="614">
        <n x="610"/>
        <n x="529"/>
        <n x="530"/>
        <n x="800" s="1"/>
        <n x="657"/>
        <n x="658"/>
      </t>
    </mdx>
    <mdx n="0" f="v">
      <t c="6" si="614">
        <n x="610"/>
        <n x="527"/>
        <n x="528"/>
        <n x="800" s="1"/>
        <n x="657"/>
        <n x="658"/>
      </t>
    </mdx>
    <mdx n="0" f="v">
      <t c="6" si="614">
        <n x="610"/>
        <n x="245"/>
        <n x="246"/>
        <n x="800" s="1"/>
        <n x="657"/>
        <n x="658"/>
      </t>
    </mdx>
    <mdx n="0" f="v">
      <t c="6" si="614">
        <n x="610"/>
        <n x="279"/>
        <n x="280"/>
        <n x="800" s="1"/>
        <n x="657"/>
        <n x="658"/>
      </t>
    </mdx>
    <mdx n="0" f="v">
      <t c="6" si="614">
        <n x="610"/>
        <n x="573"/>
        <n x="574"/>
        <n x="800" s="1"/>
        <n x="657"/>
        <n x="658"/>
      </t>
    </mdx>
    <mdx n="0" f="v">
      <t c="6" si="614">
        <n x="610"/>
        <n x="579"/>
        <n x="580"/>
        <n x="800" s="1"/>
        <n x="657"/>
        <n x="658"/>
      </t>
    </mdx>
    <mdx n="0" f="v">
      <t c="6" si="614">
        <n x="610"/>
        <n x="251"/>
        <n x="252"/>
        <n x="800" s="1"/>
        <n x="657"/>
        <n x="658"/>
      </t>
    </mdx>
    <mdx n="0" f="v">
      <t c="6" si="614">
        <n x="610"/>
        <n x="711"/>
        <n x="712"/>
        <n x="800" s="1"/>
        <n x="673"/>
        <n x="674"/>
      </t>
    </mdx>
    <mdx n="0" f="v">
      <t c="6" si="614">
        <n x="610"/>
        <n x="217"/>
        <n x="218"/>
        <n x="800" s="1"/>
        <n x="673"/>
        <n x="674"/>
      </t>
    </mdx>
    <mdx n="0" f="v">
      <t c="6" si="614">
        <n x="610"/>
        <n x="721"/>
        <n x="722"/>
        <n x="800" s="1"/>
        <n x="673"/>
        <n x="674"/>
      </t>
    </mdx>
    <mdx n="0" f="v">
      <t c="6" si="614">
        <n x="610"/>
        <n x="379"/>
        <n x="380"/>
        <n x="800" s="1"/>
        <n x="673"/>
        <n x="674"/>
      </t>
    </mdx>
    <mdx n="0" f="v">
      <t c="6" si="614">
        <n x="610"/>
        <n x="459"/>
        <n x="460"/>
        <n x="800" s="1"/>
        <n x="673"/>
        <n x="674"/>
      </t>
    </mdx>
    <mdx n="0" f="v">
      <t c="6" si="614">
        <n x="610"/>
        <n x="601"/>
        <n x="602"/>
        <n x="800" s="1"/>
        <n x="673"/>
        <n x="674"/>
      </t>
    </mdx>
    <mdx n="0" f="v">
      <t c="6" si="614">
        <n x="610"/>
        <n x="709"/>
        <n x="710"/>
        <n x="800" s="1"/>
        <n x="673"/>
        <n x="674"/>
      </t>
    </mdx>
    <mdx n="0" f="v">
      <t c="6" si="614">
        <n x="610"/>
        <n x="709"/>
        <n x="710"/>
        <n x="800" s="1"/>
        <n x="673"/>
        <n x="674"/>
      </t>
    </mdx>
    <mdx n="0" f="v">
      <t c="6" si="614">
        <n x="610"/>
        <n x="453"/>
        <n x="454"/>
        <n x="800" s="1"/>
        <n x="673"/>
        <n x="674"/>
      </t>
    </mdx>
    <mdx n="0" f="v">
      <t c="6" si="614">
        <n x="610"/>
        <n x="733"/>
        <n x="734"/>
        <n x="800" s="1"/>
        <n x="673"/>
        <n x="674"/>
      </t>
    </mdx>
    <mdx n="0" f="v">
      <t c="6" si="614">
        <n x="610"/>
        <n x="283"/>
        <n x="284"/>
        <n x="800" s="1"/>
        <n x="673"/>
        <n x="674"/>
      </t>
    </mdx>
    <mdx n="0" f="v">
      <t c="6" si="614">
        <n x="610"/>
        <n x="319"/>
        <n x="320"/>
        <n x="800" s="1"/>
        <n x="673"/>
        <n x="674"/>
      </t>
    </mdx>
    <mdx n="0" f="v">
      <t c="6" si="614">
        <n x="610"/>
        <n x="397"/>
        <n x="398"/>
        <n x="800" s="1"/>
        <n x="673"/>
        <n x="674"/>
      </t>
    </mdx>
    <mdx n="0" f="v">
      <t c="6" si="614">
        <n x="610"/>
        <n x="397"/>
        <n x="398"/>
        <n x="800" s="1"/>
        <n x="673"/>
        <n x="674"/>
      </t>
    </mdx>
    <mdx n="0" f="v">
      <t c="6" si="614">
        <n x="610"/>
        <n x="605"/>
        <n x="606"/>
        <n x="800" s="1"/>
        <n x="673"/>
        <n x="674"/>
      </t>
    </mdx>
    <mdx n="0" f="v">
      <t c="6" si="614">
        <n x="610"/>
        <n x="295"/>
        <n x="296"/>
        <n x="800" s="1"/>
        <n x="673"/>
        <n x="674"/>
      </t>
    </mdx>
    <mdx n="0" f="v">
      <t c="6" si="614">
        <n x="610"/>
        <n x="295"/>
        <n x="296"/>
        <n x="800" s="1"/>
        <n x="673"/>
        <n x="674"/>
      </t>
    </mdx>
    <mdx n="0" f="v">
      <t c="6" si="614">
        <n x="610"/>
        <n x="299"/>
        <n x="300"/>
        <n x="800" s="1"/>
        <n x="673"/>
        <n x="674"/>
      </t>
    </mdx>
    <mdx n="0" f="v">
      <t c="6" si="614">
        <n x="610"/>
        <n x="607"/>
        <n x="608"/>
        <n x="800" s="1"/>
        <n x="673"/>
        <n x="674"/>
      </t>
    </mdx>
    <mdx n="0" f="v">
      <t c="6" si="614">
        <n x="610"/>
        <n x="235"/>
        <n x="236"/>
        <n x="800" s="1"/>
        <n x="673"/>
        <n x="674"/>
      </t>
    </mdx>
    <mdx n="0" f="v">
      <t c="6" si="614">
        <n x="610"/>
        <n x="235"/>
        <n x="236"/>
        <n x="800" s="1"/>
        <n x="673"/>
        <n x="674"/>
      </t>
    </mdx>
    <mdx n="0" f="v">
      <t c="6" si="614">
        <n x="610"/>
        <n x="551"/>
        <n x="736"/>
        <n x="800" s="1"/>
        <n x="673"/>
        <n x="674"/>
      </t>
    </mdx>
    <mdx n="0" f="v">
      <t c="6" si="614">
        <n x="610"/>
        <n x="551"/>
        <n x="552"/>
        <n x="800" s="1"/>
        <n x="673"/>
        <n x="674"/>
      </t>
    </mdx>
    <mdx n="0" f="v">
      <t c="6" si="614">
        <n x="610"/>
        <n x="409"/>
        <n x="410"/>
        <n x="800" s="1"/>
        <n x="673"/>
        <n x="674"/>
      </t>
    </mdx>
    <mdx n="0" f="v">
      <t c="6" si="614">
        <n x="610"/>
        <n x="739"/>
        <n x="740"/>
        <n x="800" s="1"/>
        <n x="673"/>
        <n x="674"/>
      </t>
    </mdx>
    <mdx n="0" f="v">
      <t c="6" si="614">
        <n x="610"/>
        <n x="537"/>
        <n x="540"/>
        <n x="800" s="1"/>
        <n x="673"/>
        <n x="674"/>
      </t>
    </mdx>
    <mdx n="0" f="v">
      <t c="6" si="614">
        <n x="610"/>
        <n x="537"/>
        <n x="538"/>
        <n x="800" s="1"/>
        <n x="673"/>
        <n x="674"/>
      </t>
    </mdx>
    <mdx n="0" f="v">
      <t c="6" si="614">
        <n x="610"/>
        <n x="767"/>
        <n x="768"/>
        <n x="800" s="1"/>
        <n x="673"/>
        <n x="674"/>
      </t>
    </mdx>
    <mdx n="0" f="v">
      <t c="6" si="614">
        <n x="610"/>
        <n x="485"/>
        <n x="486"/>
        <n x="800" s="1"/>
        <n x="673"/>
        <n x="674"/>
      </t>
    </mdx>
    <mdx n="0" f="v">
      <t c="6" si="614">
        <n x="610"/>
        <n x="485"/>
        <n x="486"/>
        <n x="800" s="1"/>
        <n x="673"/>
        <n x="674"/>
      </t>
    </mdx>
    <mdx n="0" f="v">
      <t c="6" si="614">
        <n x="610"/>
        <n x="777"/>
        <n x="778"/>
        <n x="800" s="1"/>
        <n x="673"/>
        <n x="674"/>
      </t>
    </mdx>
    <mdx n="0" f="v">
      <t c="6" si="614">
        <n x="610"/>
        <n x="259"/>
        <n x="260"/>
        <n x="800" s="1"/>
        <n x="673"/>
        <n x="674"/>
      </t>
    </mdx>
    <mdx n="0" f="v">
      <t c="6" si="614">
        <n x="610"/>
        <n x="593"/>
        <n x="594"/>
        <n x="800" s="1"/>
        <n x="673"/>
        <n x="674"/>
      </t>
    </mdx>
    <mdx n="0" f="v">
      <t c="6" si="614">
        <n x="610"/>
        <n x="223"/>
        <n x="224"/>
        <n x="800" s="1"/>
        <n x="673"/>
        <n x="674"/>
      </t>
    </mdx>
    <mdx n="0" f="v">
      <t c="6" si="614">
        <n x="610"/>
        <n x="577"/>
        <n x="578"/>
        <n x="800" s="1"/>
        <n x="673"/>
        <n x="674"/>
      </t>
    </mdx>
    <mdx n="0" f="v">
      <t c="6" si="614">
        <n x="610"/>
        <n x="473"/>
        <n x="474"/>
        <n x="800" s="1"/>
        <n x="673"/>
        <n x="674"/>
      </t>
    </mdx>
    <mdx n="0" f="v">
      <t c="6" si="614">
        <n x="610"/>
        <n x="213"/>
        <n x="214"/>
        <n x="800" s="1"/>
        <n x="673"/>
        <n x="674"/>
      </t>
    </mdx>
    <mdx n="0" f="v">
      <t c="6" si="614">
        <n x="610"/>
        <n x="465"/>
        <n x="466"/>
        <n x="800" s="1"/>
        <n x="673"/>
        <n x="674"/>
      </t>
    </mdx>
    <mdx n="0" f="v">
      <t c="6" si="614">
        <n x="610"/>
        <n x="563"/>
        <n x="564"/>
        <n x="800" s="1"/>
        <n x="673"/>
        <n x="674"/>
      </t>
    </mdx>
    <mdx n="0" f="v">
      <t c="6" si="614">
        <n x="610"/>
        <n x="329"/>
        <n x="330"/>
        <n x="800" s="1"/>
        <n x="673"/>
        <n x="674"/>
      </t>
    </mdx>
    <mdx n="0" f="v">
      <t c="6" si="614">
        <n x="610"/>
        <n x="587"/>
        <n x="588"/>
        <n x="800" s="1"/>
        <n x="673"/>
        <n x="674"/>
      </t>
    </mdx>
    <mdx n="0" f="v">
      <t c="6" si="614">
        <n x="610"/>
        <n x="323"/>
        <n x="324"/>
        <n x="800" s="1"/>
        <n x="673"/>
        <n x="674"/>
      </t>
    </mdx>
    <mdx n="0" f="v">
      <t c="6" si="614">
        <n x="610"/>
        <n x="559"/>
        <n x="560"/>
        <n x="800" s="1"/>
        <n x="673"/>
        <n x="674"/>
      </t>
    </mdx>
    <mdx n="0" f="v">
      <t c="6" si="614">
        <n x="610"/>
        <n x="371"/>
        <n x="372"/>
        <n x="800" s="1"/>
        <n x="673"/>
        <n x="674"/>
      </t>
    </mdx>
    <mdx n="0" f="v">
      <t c="6" si="614">
        <n x="610"/>
        <n x="713"/>
        <n x="714"/>
        <n x="800" s="1"/>
        <n x="673"/>
        <n x="674"/>
      </t>
    </mdx>
    <mdx n="0" f="v">
      <t c="6" si="614">
        <n x="610"/>
        <n x="723"/>
        <n x="724"/>
        <n x="800" s="1"/>
        <n x="673"/>
        <n x="674"/>
      </t>
    </mdx>
    <mdx n="0" f="v">
      <t c="6" si="614">
        <n x="610"/>
        <n x="557"/>
        <n x="558"/>
        <n x="800" s="1"/>
        <n x="673"/>
        <n x="674"/>
      </t>
    </mdx>
    <mdx n="0" f="v">
      <t c="6" si="614">
        <n x="610"/>
        <n x="557"/>
        <n x="558"/>
        <n x="800" s="1"/>
        <n x="673"/>
        <n x="674"/>
      </t>
    </mdx>
    <mdx n="0" f="v">
      <t c="6" si="614">
        <n x="610"/>
        <n x="363"/>
        <n x="496"/>
        <n x="800" s="1"/>
        <n x="673"/>
        <n x="674"/>
      </t>
    </mdx>
    <mdx n="0" f="v">
      <t c="6" si="614">
        <n x="610"/>
        <n x="363"/>
        <n x="364"/>
        <n x="800" s="1"/>
        <n x="673"/>
        <n x="674"/>
      </t>
    </mdx>
    <mdx n="0" f="v">
      <t c="6" si="614">
        <n x="610"/>
        <n x="281"/>
        <n x="282"/>
        <n x="800" s="1"/>
        <n x="673"/>
        <n x="674"/>
      </t>
    </mdx>
    <mdx n="0" f="v">
      <t c="6" si="614">
        <n x="610"/>
        <n x="401"/>
        <n x="278"/>
        <n x="800" s="1"/>
        <n x="673"/>
        <n x="674"/>
      </t>
    </mdx>
    <mdx n="0" f="v">
      <t c="6" si="614">
        <n x="610"/>
        <n x="743"/>
        <n x="744"/>
        <n x="800" s="1"/>
        <n x="673"/>
        <n x="674"/>
      </t>
    </mdx>
    <mdx n="0" f="v">
      <t c="6" si="614">
        <n x="610"/>
        <n x="437"/>
        <n x="438"/>
        <n x="800" s="1"/>
        <n x="673"/>
        <n x="674"/>
      </t>
    </mdx>
    <mdx n="0" f="v">
      <t c="6" si="614">
        <n x="610"/>
        <n x="751"/>
        <n x="752"/>
        <n x="800" s="1"/>
        <n x="673"/>
        <n x="674"/>
      </t>
    </mdx>
    <mdx n="0" f="v">
      <t c="6" si="614">
        <n x="610"/>
        <n x="751"/>
        <n x="752"/>
        <n x="800" s="1"/>
        <n x="673"/>
        <n x="674"/>
      </t>
    </mdx>
    <mdx n="0" f="v">
      <t c="6" si="614">
        <n x="610"/>
        <n x="233"/>
        <n x="234"/>
        <n x="800" s="1"/>
        <n x="673"/>
        <n x="674"/>
      </t>
    </mdx>
    <mdx n="0" f="v">
      <t c="6" si="614">
        <n x="610"/>
        <n x="553"/>
        <n x="554"/>
        <n x="800" s="1"/>
        <n x="673"/>
        <n x="674"/>
      </t>
    </mdx>
    <mdx n="0" f="v">
      <t c="6" si="614">
        <n x="610"/>
        <n x="247"/>
        <n x="248"/>
        <n x="800" s="1"/>
        <n x="673"/>
        <n x="674"/>
      </t>
    </mdx>
    <mdx n="0" f="v">
      <t c="6" si="614">
        <n x="610"/>
        <n x="293"/>
        <n x="294"/>
        <n x="800" s="1"/>
        <n x="673"/>
        <n x="674"/>
      </t>
    </mdx>
    <mdx n="0" f="v">
      <t c="6" si="614">
        <n x="610"/>
        <n x="533"/>
        <n x="534"/>
        <n x="800" s="1"/>
        <n x="673"/>
        <n x="674"/>
      </t>
    </mdx>
    <mdx n="0" f="v">
      <t c="6" si="614">
        <n x="610"/>
        <n x="581"/>
        <n x="582"/>
        <n x="800" s="1"/>
        <n x="673"/>
        <n x="674"/>
      </t>
    </mdx>
    <mdx n="0" f="v">
      <t c="6" si="614">
        <n x="610"/>
        <n x="523"/>
        <n x="524"/>
        <n x="800" s="1"/>
        <n x="673"/>
        <n x="674"/>
      </t>
    </mdx>
    <mdx n="0" f="v">
      <t c="6" si="614">
        <n x="610"/>
        <n x="791"/>
        <n x="792"/>
        <n x="800" s="1"/>
        <n x="673"/>
        <n x="674"/>
      </t>
    </mdx>
    <mdx n="0" f="v">
      <t c="6" si="614">
        <n x="610"/>
        <n x="449"/>
        <n x="450"/>
        <n x="800" s="1"/>
        <n x="673"/>
        <n x="674"/>
      </t>
    </mdx>
    <mdx n="0" f="v">
      <t c="6" si="614">
        <n x="610"/>
        <n x="497"/>
        <n x="498"/>
        <n x="800" s="1"/>
        <n x="673"/>
        <n x="674"/>
      </t>
    </mdx>
    <mdx n="0" f="v">
      <t c="6" si="614">
        <n x="610"/>
        <n x="805"/>
        <n x="806"/>
        <n x="800" s="1"/>
        <n x="673"/>
        <n x="674"/>
      </t>
    </mdx>
    <mdx n="0" f="v">
      <t c="6" si="614">
        <n x="610"/>
        <n x="715"/>
        <n x="716"/>
        <n x="800" s="1"/>
        <n x="673"/>
        <n x="674"/>
      </t>
    </mdx>
    <mdx n="0" f="v">
      <t c="6" si="614">
        <n x="610"/>
        <n x="261"/>
        <n x="262"/>
        <n x="800" s="1"/>
        <n x="673"/>
        <n x="674"/>
      </t>
    </mdx>
    <mdx n="0" f="v">
      <t c="6" si="614">
        <n x="610"/>
        <n x="463"/>
        <n x="464"/>
        <n x="800" s="1"/>
        <n x="673"/>
        <n x="674"/>
      </t>
    </mdx>
    <mdx n="0" f="v">
      <t c="6" si="614">
        <n x="610"/>
        <n x="597"/>
        <n x="598"/>
        <n x="800" s="1"/>
        <n x="673"/>
        <n x="674"/>
      </t>
    </mdx>
    <mdx n="0" f="v">
      <t c="6" si="614">
        <n x="610"/>
        <n x="727"/>
        <n x="728"/>
        <n x="800" s="1"/>
        <n x="673"/>
        <n x="674"/>
      </t>
    </mdx>
    <mdx n="0" f="v">
      <t c="6" si="614">
        <n x="610"/>
        <n x="731"/>
        <n x="732"/>
        <n x="800" s="1"/>
        <n x="673"/>
        <n x="674"/>
      </t>
    </mdx>
    <mdx n="0" f="v">
      <t c="6" si="614">
        <n x="610"/>
        <n x="265"/>
        <n x="266"/>
        <n x="800" s="1"/>
        <n x="673"/>
        <n x="674"/>
      </t>
    </mdx>
    <mdx n="0" f="v">
      <t c="6" si="614">
        <n x="610"/>
        <n x="499"/>
        <n x="500"/>
        <n x="800" s="1"/>
        <n x="673"/>
        <n x="674"/>
      </t>
    </mdx>
    <mdx n="0" f="v">
      <t c="6" si="614">
        <n x="610"/>
        <n x="561"/>
        <n x="562"/>
        <n x="800" s="1"/>
        <n x="673"/>
        <n x="674"/>
      </t>
    </mdx>
    <mdx n="0" f="v">
      <t c="6" si="614">
        <n x="610"/>
        <n x="441"/>
        <n x="442"/>
        <n x="800" s="1"/>
        <n x="673"/>
        <n x="674"/>
      </t>
    </mdx>
    <mdx n="0" f="v">
      <t c="6" si="614">
        <n x="610"/>
        <n x="753"/>
        <n x="754"/>
        <n x="800" s="1"/>
        <n x="673"/>
        <n x="674"/>
      </t>
    </mdx>
    <mdx n="0" f="v">
      <t c="6" si="614">
        <n x="610"/>
        <n x="289"/>
        <n x="290"/>
        <n x="800" s="1"/>
        <n x="673"/>
        <n x="674"/>
      </t>
    </mdx>
    <mdx n="0" f="v">
      <t c="6" si="614">
        <n x="610"/>
        <n x="245"/>
        <n x="246"/>
        <n x="800" s="1"/>
        <n x="673"/>
        <n x="674"/>
      </t>
    </mdx>
    <mdx n="0" f="v">
      <t c="6" si="614">
        <n x="610"/>
        <n x="467"/>
        <n x="468"/>
        <n x="800" s="1"/>
        <n x="673"/>
        <n x="674"/>
      </t>
    </mdx>
    <mdx n="0" f="v">
      <t c="6" si="614">
        <n x="610"/>
        <n x="509"/>
        <n x="510"/>
        <n x="800" s="1"/>
        <n x="673"/>
        <n x="674"/>
      </t>
    </mdx>
    <mdx n="0" f="v">
      <t c="6" si="614">
        <n x="610"/>
        <n x="769"/>
        <n x="770"/>
        <n x="800" s="1"/>
        <n x="673"/>
        <n x="674"/>
      </t>
    </mdx>
    <mdx n="0" f="v">
      <t c="6" si="614">
        <n x="610"/>
        <n x="209"/>
        <n x="210"/>
        <n x="800" s="1"/>
        <n x="673"/>
        <n x="674"/>
      </t>
    </mdx>
    <mdx n="0" f="v">
      <t c="6" si="614">
        <n x="610"/>
        <n x="381"/>
        <n x="382"/>
        <n x="800" s="1"/>
        <n x="673"/>
        <n x="674"/>
      </t>
    </mdx>
    <mdx n="0" f="v">
      <t c="6" si="614">
        <n x="610"/>
        <n x="317"/>
        <n x="318"/>
        <n x="800" s="1"/>
        <n x="673"/>
        <n x="674"/>
      </t>
    </mdx>
    <mdx n="0" f="v">
      <t c="6" si="614">
        <n x="610"/>
        <n x="317"/>
        <n x="318"/>
        <n x="800" s="1"/>
        <n x="673"/>
        <n x="674"/>
      </t>
    </mdx>
    <mdx n="0" f="v">
      <t c="6" si="614">
        <n x="610"/>
        <n x="423"/>
        <n x="424"/>
        <n x="800" s="1"/>
        <n x="673"/>
        <n x="674"/>
      </t>
    </mdx>
    <mdx n="0" f="v">
      <t c="6" si="614">
        <n x="610"/>
        <n x="297"/>
        <n x="298"/>
        <n x="800" s="1"/>
        <n x="673"/>
        <n x="674"/>
      </t>
    </mdx>
    <mdx n="0" f="v">
      <t c="6" si="614">
        <n x="610"/>
        <n x="297"/>
        <n x="298"/>
        <n x="800" s="1"/>
        <n x="673"/>
        <n x="674"/>
      </t>
    </mdx>
    <mdx n="0" f="v">
      <t c="6" si="614">
        <n x="610"/>
        <n x="331"/>
        <n x="332"/>
        <n x="800" s="1"/>
        <n x="673"/>
        <n x="674"/>
      </t>
    </mdx>
    <mdx n="0" f="v">
      <t c="6" si="614">
        <n x="610"/>
        <n x="279"/>
        <n x="280"/>
        <n x="800" s="1"/>
        <n x="673"/>
        <n x="674"/>
      </t>
    </mdx>
    <mdx n="0" f="v">
      <t c="6" si="614">
        <n x="610"/>
        <n x="725"/>
        <n x="726"/>
        <n x="800" s="1"/>
        <n x="673"/>
        <n x="674"/>
      </t>
    </mdx>
    <mdx n="0" f="v">
      <t c="6" si="614">
        <n x="610"/>
        <n x="801"/>
        <n x="802"/>
        <n x="800" s="1"/>
        <n x="673"/>
        <n x="674"/>
      </t>
    </mdx>
    <mdx n="0" f="v">
      <t c="6" si="614">
        <n x="610"/>
        <n x="263"/>
        <n x="264"/>
        <n x="800" s="1"/>
        <n x="673"/>
        <n x="674"/>
      </t>
    </mdx>
    <mdx n="0" f="v">
      <t c="6" si="614">
        <n x="610"/>
        <n x="541"/>
        <n x="542"/>
        <n x="800" s="1"/>
        <n x="673"/>
        <n x="674"/>
      </t>
    </mdx>
    <mdx n="0" f="v">
      <t c="6" si="614">
        <n x="610"/>
        <n x="573"/>
        <n x="574"/>
        <n x="800" s="1"/>
        <n x="673"/>
        <n x="674"/>
      </t>
    </mdx>
    <mdx n="0" f="v">
      <t c="6" si="614">
        <n x="610"/>
        <n x="595"/>
        <n x="596"/>
        <n x="800" s="1"/>
        <n x="673"/>
        <n x="674"/>
      </t>
    </mdx>
    <mdx n="0" f="v">
      <t c="6" si="614">
        <n x="610"/>
        <n x="389"/>
        <n x="390"/>
        <n x="800" s="1"/>
        <n x="673"/>
        <n x="674"/>
      </t>
    </mdx>
    <mdx n="0" f="v">
      <t c="6" si="614">
        <n x="610"/>
        <n x="525"/>
        <n x="526"/>
        <n x="800" s="1"/>
        <n x="673"/>
        <n x="674"/>
      </t>
    </mdx>
    <mdx n="0" f="v">
      <t c="6" si="614">
        <n x="610"/>
        <n x="591"/>
        <n x="592"/>
        <n x="800" s="1"/>
        <n x="673"/>
        <n x="674"/>
      </t>
    </mdx>
    <mdx n="0" f="v">
      <t c="6" si="614">
        <n x="610"/>
        <n x="491"/>
        <n x="492"/>
        <n x="800" s="1"/>
        <n x="673"/>
        <n x="674"/>
      </t>
    </mdx>
    <mdx n="0" f="v">
      <t c="6" si="614">
        <n x="610"/>
        <n x="513"/>
        <n x="514"/>
        <n x="800" s="1"/>
        <n x="673"/>
        <n x="674"/>
      </t>
    </mdx>
    <mdx n="0" f="v">
      <t c="6" si="614">
        <n x="610"/>
        <n x="345"/>
        <n x="346"/>
        <n x="800" s="1"/>
        <n x="673"/>
        <n x="674"/>
      </t>
    </mdx>
    <mdx n="0" f="v">
      <t c="6" si="614">
        <n x="610"/>
        <n x="489"/>
        <n x="490"/>
        <n x="800" s="1"/>
        <n x="673"/>
        <n x="674"/>
      </t>
    </mdx>
    <mdx n="0" f="v">
      <t c="6" si="614">
        <n x="610"/>
        <n x="755"/>
        <n x="756"/>
        <n x="800" s="1"/>
        <n x="673"/>
        <n x="674"/>
      </t>
    </mdx>
    <mdx n="0" f="v">
      <t c="6" si="614">
        <n x="610"/>
        <n x="407"/>
        <n x="408"/>
        <n x="800" s="1"/>
        <n x="673"/>
        <n x="674"/>
      </t>
    </mdx>
    <mdx n="0" f="v">
      <t c="6" si="614">
        <n x="610"/>
        <n x="493"/>
        <n x="494"/>
        <n x="800" s="1"/>
        <n x="673"/>
        <n x="674"/>
      </t>
    </mdx>
    <mdx n="0" f="v">
      <t c="6" si="614">
        <n x="610"/>
        <n x="759"/>
        <n x="760"/>
        <n x="800" s="1"/>
        <n x="673"/>
        <n x="674"/>
      </t>
    </mdx>
    <mdx n="0" f="v">
      <t c="6" si="614">
        <n x="610"/>
        <n x="549"/>
        <n x="550"/>
        <n x="800" s="1"/>
        <n x="673"/>
        <n x="674"/>
      </t>
    </mdx>
    <mdx n="0" f="v">
      <t c="6" si="614">
        <n x="610"/>
        <n x="287"/>
        <n x="288"/>
        <n x="800" s="1"/>
        <n x="673"/>
        <n x="674"/>
      </t>
    </mdx>
    <mdx n="0" f="v">
      <t c="6" si="614">
        <n x="610"/>
        <n x="359"/>
        <n x="360"/>
        <n x="800" s="1"/>
        <n x="673"/>
        <n x="674"/>
      </t>
    </mdx>
    <mdx n="0" f="v">
      <t c="6" si="614">
        <n x="610"/>
        <n x="511"/>
        <n x="512"/>
        <n x="800" s="1"/>
        <n x="673"/>
        <n x="674"/>
      </t>
    </mdx>
    <mdx n="0" f="v">
      <t c="6" si="614">
        <n x="610"/>
        <n x="515"/>
        <n x="516"/>
        <n x="800" s="1"/>
        <n x="673"/>
        <n x="674"/>
      </t>
    </mdx>
    <mdx n="0" f="v">
      <t c="6" si="614">
        <n x="610"/>
        <n x="787"/>
        <n x="788"/>
        <n x="800" s="1"/>
        <n x="673"/>
        <n x="674"/>
      </t>
    </mdx>
    <mdx n="0" f="v">
      <t c="6" si="614">
        <n x="610"/>
        <n x="789"/>
        <n x="790"/>
        <n x="800" s="1"/>
        <n x="673"/>
        <n x="674"/>
      </t>
    </mdx>
    <mdx n="0" f="v">
      <t c="6" si="614">
        <n x="610"/>
        <n x="545"/>
        <n x="456"/>
        <n x="800" s="1"/>
        <n x="673"/>
        <n x="674"/>
      </t>
    </mdx>
    <mdx n="0" f="v">
      <t c="6" si="614">
        <n x="610"/>
        <n x="545"/>
        <n x="546"/>
        <n x="800" s="1"/>
        <n x="673"/>
        <n x="674"/>
      </t>
    </mdx>
    <mdx n="0" f="v">
      <t c="6" si="614">
        <n x="610"/>
        <n x="227"/>
        <n x="228"/>
        <n x="800" s="1"/>
        <n x="673"/>
        <n x="674"/>
      </t>
    </mdx>
    <mdx n="0" f="v">
      <t c="6" si="614">
        <n x="610"/>
        <n x="291"/>
        <n x="292"/>
        <n x="800" s="1"/>
        <n x="673"/>
        <n x="674"/>
      </t>
    </mdx>
    <mdx n="0" f="v">
      <t c="6" si="614">
        <n x="610"/>
        <n x="477"/>
        <n x="478"/>
        <n x="800" s="1"/>
        <n x="673"/>
        <n x="674"/>
      </t>
    </mdx>
    <mdx n="0" f="v">
      <t c="6" si="614">
        <n x="610"/>
        <n x="477"/>
        <n x="478"/>
        <n x="800" s="1"/>
        <n x="673"/>
        <n x="674"/>
      </t>
    </mdx>
    <mdx n="0" f="v">
      <t c="6" si="614">
        <n x="610"/>
        <n x="251"/>
        <n x="252"/>
        <n x="800" s="1"/>
        <n x="673"/>
        <n x="674"/>
      </t>
    </mdx>
    <mdx n="0" f="v">
      <t c="6" si="614">
        <n x="610"/>
        <n x="253"/>
        <n x="254"/>
        <n x="800" s="1"/>
        <n x="673"/>
        <n x="674"/>
      </t>
    </mdx>
    <mdx n="0" f="v">
      <t c="6" si="614">
        <n x="610"/>
        <n x="249"/>
        <n x="250"/>
        <n x="800" s="1"/>
        <n x="673"/>
        <n x="674"/>
      </t>
    </mdx>
    <mdx n="0" f="v">
      <t c="6" si="614">
        <n x="610"/>
        <n x="717"/>
        <n x="718"/>
        <n x="800" s="1"/>
        <n x="673"/>
        <n x="674"/>
      </t>
    </mdx>
    <mdx n="0" f="v">
      <t c="6" si="614">
        <n x="610"/>
        <n x="457"/>
        <n x="458"/>
        <n x="800" s="1"/>
        <n x="673"/>
        <n x="674"/>
      </t>
    </mdx>
    <mdx n="0" f="v">
      <t c="6" si="614">
        <n x="610"/>
        <n x="603"/>
        <n x="604"/>
        <n x="800" s="1"/>
        <n x="673"/>
        <n x="674"/>
      </t>
    </mdx>
    <mdx n="0" f="v">
      <t c="6" si="614">
        <n x="610"/>
        <n x="391"/>
        <n x="392"/>
        <n x="800" s="1"/>
        <n x="673"/>
        <n x="674"/>
      </t>
    </mdx>
    <mdx n="0" f="v">
      <t c="6" si="614">
        <n x="610"/>
        <n x="271"/>
        <n x="272"/>
        <n x="800" s="1"/>
        <n x="673"/>
        <n x="674"/>
      </t>
    </mdx>
    <mdx n="0" f="v">
      <t c="6" si="614">
        <n x="610"/>
        <n x="387"/>
        <n x="388"/>
        <n x="800" s="1"/>
        <n x="673"/>
        <n x="674"/>
      </t>
    </mdx>
    <mdx n="0" f="v">
      <t c="6" si="614">
        <n x="610"/>
        <n x="429"/>
        <n x="430"/>
        <n x="800" s="1"/>
        <n x="673"/>
        <n x="674"/>
      </t>
    </mdx>
    <mdx n="0" f="v">
      <t c="6" si="614">
        <n x="610"/>
        <n x="203"/>
        <n x="434"/>
        <n x="800" s="1"/>
        <n x="673"/>
        <n x="674"/>
      </t>
    </mdx>
    <mdx n="0" f="v">
      <t c="6" si="614">
        <n x="610"/>
        <n x="241"/>
        <n x="242"/>
        <n x="800" s="1"/>
        <n x="673"/>
        <n x="674"/>
      </t>
    </mdx>
    <mdx n="0" f="v">
      <t c="6" si="614">
        <n x="610"/>
        <n x="241"/>
        <n x="242"/>
        <n x="800" s="1"/>
        <n x="673"/>
        <n x="674"/>
      </t>
    </mdx>
    <mdx n="0" f="v">
      <t c="6" si="614">
        <n x="610"/>
        <n x="321"/>
        <n x="322"/>
        <n x="800" s="1"/>
        <n x="673"/>
        <n x="674"/>
      </t>
    </mdx>
    <mdx n="0" f="v">
      <t c="6" si="614">
        <n x="610"/>
        <n x="207"/>
        <n x="208"/>
        <n x="800" s="1"/>
        <n x="673"/>
        <n x="674"/>
      </t>
    </mdx>
    <mdx n="0" f="v">
      <t c="6" si="614">
        <n x="610"/>
        <n x="761"/>
        <n x="762"/>
        <n x="800" s="1"/>
        <n x="673"/>
        <n x="674"/>
      </t>
    </mdx>
    <mdx n="0" f="v">
      <t c="6" si="614">
        <n x="610"/>
        <n x="255"/>
        <n x="256"/>
        <n x="800" s="1"/>
        <n x="673"/>
        <n x="674"/>
      </t>
    </mdx>
    <mdx n="0" f="v">
      <t c="6" si="614">
        <n x="610"/>
        <n x="427"/>
        <n x="764"/>
        <n x="800" s="1"/>
        <n x="673"/>
        <n x="674"/>
      </t>
    </mdx>
    <mdx n="0" f="v">
      <t c="6" si="614">
        <n x="610"/>
        <n x="427"/>
        <n x="428"/>
        <n x="800" s="1"/>
        <n x="673"/>
        <n x="674"/>
      </t>
    </mdx>
    <mdx n="0" f="v">
      <t c="6" si="614">
        <n x="610"/>
        <n x="773"/>
        <n x="774"/>
        <n x="800" s="1"/>
        <n x="673"/>
        <n x="674"/>
      </t>
    </mdx>
    <mdx n="0" f="v">
      <t c="6" si="614">
        <n x="610"/>
        <n x="583"/>
        <n x="584"/>
        <n x="800" s="1"/>
        <n x="673"/>
        <n x="674"/>
      </t>
    </mdx>
    <mdx n="0" f="v">
      <t c="6" si="614">
        <n x="610"/>
        <n x="583"/>
        <n x="584"/>
        <n x="800" s="1"/>
        <n x="673"/>
        <n x="674"/>
      </t>
    </mdx>
    <mdx n="0" f="v">
      <t c="6" si="614">
        <n x="610"/>
        <n x="575"/>
        <n x="576"/>
        <n x="800" s="1"/>
        <n x="673"/>
        <n x="674"/>
      </t>
    </mdx>
    <mdx n="0" f="v">
      <t c="6" si="614">
        <n x="610"/>
        <n x="793"/>
        <n x="794"/>
        <n x="800" s="1"/>
        <n x="673"/>
        <n x="674"/>
      </t>
    </mdx>
    <mdx n="0" f="v">
      <t c="6" si="614">
        <n x="610"/>
        <n x="571"/>
        <n x="572"/>
        <n x="800" s="1"/>
        <n x="673"/>
        <n x="674"/>
      </t>
    </mdx>
    <mdx n="0" f="v">
      <t c="6" si="614">
        <n x="610"/>
        <n x="567"/>
        <n x="568"/>
        <n x="800" s="1"/>
        <n x="673"/>
        <n x="674"/>
      </t>
    </mdx>
    <mdx n="0" f="v">
      <t c="6" si="614">
        <n x="610"/>
        <n x="349"/>
        <n x="350"/>
        <n x="800" s="1"/>
        <n x="673"/>
        <n x="674"/>
      </t>
    </mdx>
    <mdx n="0" f="v">
      <t c="6" si="614">
        <n x="610"/>
        <n x="771"/>
        <n x="772"/>
        <n x="800" s="1"/>
        <n x="673"/>
        <n x="674"/>
      </t>
    </mdx>
    <mdx n="0" f="v">
      <t c="6" si="614">
        <n x="610"/>
        <n x="775"/>
        <n x="776"/>
        <n x="800" s="1"/>
        <n x="673"/>
        <n x="674"/>
      </t>
    </mdx>
    <mdx n="0" f="v">
      <t c="6" si="614">
        <n x="610"/>
        <n x="779"/>
        <n x="780"/>
        <n x="800" s="1"/>
        <n x="673"/>
        <n x="674"/>
      </t>
    </mdx>
    <mdx n="0" f="v">
      <t c="6" si="614">
        <n x="610"/>
        <n x="783"/>
        <n x="784"/>
        <n x="800" s="1"/>
        <n x="673"/>
        <n x="674"/>
      </t>
    </mdx>
    <mdx n="0" f="v">
      <t c="6" si="614">
        <n x="610"/>
        <n x="451"/>
        <n x="452"/>
        <n x="800" s="1"/>
        <n x="673"/>
        <n x="674"/>
      </t>
    </mdx>
    <mdx n="0" f="v">
      <t c="6" si="614">
        <n x="610"/>
        <n x="351"/>
        <n x="352"/>
        <n x="800" s="1"/>
        <n x="673"/>
        <n x="674"/>
      </t>
    </mdx>
    <mdx n="0" f="v">
      <t c="6" si="614">
        <n x="610"/>
        <n x="795"/>
        <n x="796"/>
        <n x="800" s="1"/>
        <n x="673"/>
        <n x="674"/>
      </t>
    </mdx>
    <mdx n="0" f="v">
      <t c="6" si="614">
        <n x="610"/>
        <n x="305"/>
        <n x="306"/>
        <n x="800" s="1"/>
        <n x="673"/>
        <n x="674"/>
      </t>
    </mdx>
    <mdx n="0" f="v">
      <t c="6" si="614">
        <n x="610"/>
        <n x="373"/>
        <n x="374"/>
        <n x="800" s="1"/>
        <n x="673"/>
        <n x="674"/>
      </t>
    </mdx>
    <mdx n="0" f="v">
      <t c="6" si="614">
        <n x="610"/>
        <n x="337"/>
        <n x="338"/>
        <n x="800" s="1"/>
        <n x="673"/>
        <n x="674"/>
      </t>
    </mdx>
    <mdx n="0" f="v">
      <t c="6" si="614">
        <n x="610"/>
        <n x="369"/>
        <n x="370"/>
        <n x="800" s="1"/>
        <n x="673"/>
        <n x="674"/>
      </t>
    </mdx>
    <mdx n="0" f="v">
      <t c="6" si="614">
        <n x="610"/>
        <n x="369"/>
        <n x="370"/>
        <n x="800" s="1"/>
        <n x="673"/>
        <n x="674"/>
      </t>
    </mdx>
    <mdx n="0" f="v">
      <t c="6" si="614">
        <n x="610"/>
        <n x="369"/>
        <n x="370"/>
        <n x="800" s="1"/>
        <n x="673"/>
        <n x="674"/>
      </t>
    </mdx>
    <mdx n="0" f="v">
      <t c="6" si="614">
        <n x="610"/>
        <n x="369"/>
        <n x="370"/>
        <n x="800" s="1"/>
        <n x="673"/>
        <n x="674"/>
      </t>
    </mdx>
    <mdx n="0" f="v">
      <t c="6" si="614">
        <n x="610"/>
        <n x="785"/>
        <n x="786"/>
        <n x="800" s="1"/>
        <n x="673"/>
        <n x="674"/>
      </t>
    </mdx>
    <mdx n="0" f="v">
      <t c="6" si="614">
        <n x="610"/>
        <n x="785"/>
        <n x="786"/>
        <n x="800" s="1"/>
        <n x="673"/>
        <n x="674"/>
      </t>
    </mdx>
    <mdx n="0" f="v">
      <t c="6" si="614">
        <n x="610"/>
        <n x="507"/>
        <n x="508"/>
        <n x="800" s="1"/>
        <n x="673"/>
        <n x="674"/>
      </t>
    </mdx>
    <mdx n="0" f="v">
      <t c="6" si="614">
        <n x="610"/>
        <n x="709"/>
        <n x="710"/>
        <n x="800" s="1"/>
        <n x="675"/>
        <n x="676"/>
      </t>
    </mdx>
    <mdx n="0" f="v">
      <t c="6" si="614">
        <n x="610"/>
        <n x="711"/>
        <n x="712"/>
        <n x="800" s="1"/>
        <n x="675"/>
        <n x="676"/>
      </t>
    </mdx>
    <mdx n="0" f="v">
      <t c="6" si="614">
        <n x="610"/>
        <n x="217"/>
        <n x="218"/>
        <n x="800" s="1"/>
        <n x="675"/>
        <n x="676"/>
      </t>
    </mdx>
    <mdx n="0" f="v">
      <t c="6" si="614">
        <n x="610"/>
        <n x="721"/>
        <n x="722"/>
        <n x="800" s="1"/>
        <n x="675"/>
        <n x="676"/>
      </t>
    </mdx>
    <mdx n="0" f="v">
      <t c="6" si="614">
        <n x="610"/>
        <n x="379"/>
        <n x="380"/>
        <n x="800" s="1"/>
        <n x="675"/>
        <n x="676"/>
      </t>
    </mdx>
    <mdx n="0" f="v">
      <t c="6" si="614">
        <n x="610"/>
        <n x="459"/>
        <n x="460"/>
        <n x="800" s="1"/>
        <n x="675"/>
        <n x="676"/>
      </t>
    </mdx>
    <mdx n="0" f="v">
      <t c="6" si="614">
        <n x="610"/>
        <n x="601"/>
        <n x="602"/>
        <n x="800" s="1"/>
        <n x="675"/>
        <n x="676"/>
      </t>
    </mdx>
    <mdx n="0" f="v">
      <t c="6" si="614">
        <n x="610"/>
        <n x="237"/>
        <n x="238"/>
        <n x="800" s="1"/>
        <n x="675"/>
        <n x="676"/>
      </t>
    </mdx>
    <mdx n="0" f="v">
      <t c="6" si="614">
        <n x="610"/>
        <n x="453"/>
        <n x="454"/>
        <n x="800" s="1"/>
        <n x="675"/>
        <n x="676"/>
      </t>
    </mdx>
    <mdx n="0" f="v">
      <t c="6" si="614">
        <n x="610"/>
        <n x="733"/>
        <n x="734"/>
        <n x="800" s="1"/>
        <n x="675"/>
        <n x="676"/>
      </t>
    </mdx>
    <mdx n="0" f="v">
      <t c="6" si="614">
        <n x="610"/>
        <n x="283"/>
        <n x="284"/>
        <n x="800" s="1"/>
        <n x="675"/>
        <n x="676"/>
      </t>
    </mdx>
    <mdx n="0" f="v">
      <t c="6" si="614">
        <n x="610"/>
        <n x="319"/>
        <n x="320"/>
        <n x="800" s="1"/>
        <n x="675"/>
        <n x="676"/>
      </t>
    </mdx>
    <mdx n="0" f="v">
      <t c="6" si="614">
        <n x="610"/>
        <n x="741"/>
        <n x="742"/>
        <n x="800" s="1"/>
        <n x="675"/>
        <n x="676"/>
      </t>
    </mdx>
    <mdx n="0" f="v">
      <t c="6" si="614">
        <n x="610"/>
        <n x="393"/>
        <n x="394"/>
        <n x="800" s="1"/>
        <n x="675"/>
        <n x="676"/>
      </t>
    </mdx>
    <mdx n="0" f="v">
      <t c="6" si="614">
        <n x="610"/>
        <n x="605"/>
        <n x="606"/>
        <n x="800" s="1"/>
        <n x="675"/>
        <n x="676"/>
      </t>
    </mdx>
    <mdx n="0" f="v">
      <t c="6" si="614">
        <n x="610"/>
        <n x="295"/>
        <n x="296"/>
        <n x="800" s="1"/>
        <n x="675"/>
        <n x="676"/>
      </t>
    </mdx>
    <mdx n="0" f="v">
      <t c="6" si="614">
        <n x="610"/>
        <n x="299"/>
        <n x="300"/>
        <n x="800" s="1"/>
        <n x="675"/>
        <n x="676"/>
      </t>
    </mdx>
    <mdx n="0" f="v">
      <t c="6" si="614">
        <n x="610"/>
        <n x="229"/>
        <n x="230"/>
        <n x="800" s="1"/>
        <n x="675"/>
        <n x="676"/>
      </t>
    </mdx>
    <mdx n="0" f="v">
      <t c="6" si="614">
        <n x="610"/>
        <n x="339"/>
        <n x="340"/>
        <n x="800" s="1"/>
        <n x="675"/>
        <n x="676"/>
      </t>
    </mdx>
    <mdx n="0" f="v">
      <t c="6" si="614">
        <n x="610"/>
        <n x="399"/>
        <n x="400"/>
        <n x="800" s="1"/>
        <n x="675"/>
        <n x="676"/>
      </t>
    </mdx>
    <mdx n="0" f="v">
      <t c="6" si="614">
        <n x="610"/>
        <n x="551"/>
        <n x="552"/>
        <n x="800" s="1"/>
        <n x="675"/>
        <n x="676"/>
      </t>
    </mdx>
    <mdx n="0" f="v">
      <t c="6" si="614">
        <n x="610"/>
        <n x="409"/>
        <n x="410"/>
        <n x="800" s="1"/>
        <n x="675"/>
        <n x="676"/>
      </t>
    </mdx>
    <mdx n="0" f="v">
      <t c="6" si="614">
        <n x="610"/>
        <n x="469"/>
        <n x="470"/>
        <n x="800" s="1"/>
        <n x="675"/>
        <n x="676"/>
      </t>
    </mdx>
    <mdx n="0" f="v">
      <t c="6" si="614">
        <n x="610"/>
        <n x="539"/>
        <n x="540"/>
        <n x="800" s="1"/>
        <n x="675"/>
        <n x="676"/>
      </t>
    </mdx>
    <mdx n="0" f="v">
      <t c="6" si="614">
        <n x="610"/>
        <n x="767"/>
        <n x="768"/>
        <n x="800" s="1"/>
        <n x="675"/>
        <n x="676"/>
      </t>
    </mdx>
    <mdx n="0" f="v">
      <t c="6" si="614">
        <n x="610"/>
        <n x="485"/>
        <n x="486"/>
        <n x="800" s="1"/>
        <n x="675"/>
        <n x="676"/>
      </t>
    </mdx>
    <mdx n="0" f="v">
      <t c="6" si="614">
        <n x="610"/>
        <n x="777"/>
        <n x="778"/>
        <n x="800" s="1"/>
        <n x="675"/>
        <n x="676"/>
      </t>
    </mdx>
    <mdx n="0" f="v">
      <t c="6" si="614">
        <n x="610"/>
        <n x="269"/>
        <n x="270"/>
        <n x="800" s="1"/>
        <n x="675"/>
        <n x="676"/>
      </t>
    </mdx>
    <mdx n="0" f="v">
      <t c="6" si="614">
        <n x="610"/>
        <n x="535"/>
        <n x="536"/>
        <n x="800" s="1"/>
        <n x="675"/>
        <n x="676"/>
      </t>
    </mdx>
    <mdx n="0" f="v">
      <t c="6" si="614">
        <n x="610"/>
        <n x="565"/>
        <n x="566"/>
        <n x="800" s="1"/>
        <n x="675"/>
        <n x="676"/>
      </t>
    </mdx>
    <mdx n="0" f="v">
      <t c="6" si="614">
        <n x="610"/>
        <n x="473"/>
        <n x="474"/>
        <n x="800" s="1"/>
        <n x="675"/>
        <n x="676"/>
      </t>
    </mdx>
    <mdx n="0" f="v">
      <t c="6" si="614">
        <n x="610"/>
        <n x="213"/>
        <n x="214"/>
        <n x="800" s="1"/>
        <n x="675"/>
        <n x="676"/>
      </t>
    </mdx>
    <mdx n="0" f="v">
      <t c="6" si="614">
        <n x="610"/>
        <n x="465"/>
        <n x="466"/>
        <n x="800" s="1"/>
        <n x="675"/>
        <n x="676"/>
      </t>
    </mdx>
    <mdx n="0" f="v">
      <t c="6" si="614">
        <n x="610"/>
        <n x="563"/>
        <n x="564"/>
        <n x="800" s="1"/>
        <n x="675"/>
        <n x="676"/>
      </t>
    </mdx>
    <mdx n="0" f="v">
      <t c="6" si="614">
        <n x="610"/>
        <n x="329"/>
        <n x="330"/>
        <n x="800" s="1"/>
        <n x="675"/>
        <n x="676"/>
      </t>
    </mdx>
    <mdx n="0" f="v">
      <t c="6" si="614">
        <n x="610"/>
        <n x="587"/>
        <n x="588"/>
        <n x="800" s="1"/>
        <n x="675"/>
        <n x="676"/>
      </t>
    </mdx>
    <mdx n="0" f="v">
      <t c="6" si="614">
        <n x="610"/>
        <n x="323"/>
        <n x="324"/>
        <n x="800" s="1"/>
        <n x="675"/>
        <n x="676"/>
      </t>
    </mdx>
    <mdx n="0" f="v">
      <t c="6" si="614">
        <n x="610"/>
        <n x="559"/>
        <n x="560"/>
        <n x="800" s="1"/>
        <n x="675"/>
        <n x="676"/>
      </t>
    </mdx>
    <mdx n="0" f="v">
      <t c="6" si="614">
        <n x="610"/>
        <n x="371"/>
        <n x="372"/>
        <n x="800" s="1"/>
        <n x="675"/>
        <n x="676"/>
      </t>
    </mdx>
    <mdx n="0" f="v">
      <t c="6" si="614">
        <n x="610"/>
        <n x="713"/>
        <n x="714"/>
        <n x="800" s="1"/>
        <n x="675"/>
        <n x="676"/>
      </t>
    </mdx>
    <mdx n="0" f="v">
      <t c="6" si="614">
        <n x="610"/>
        <n x="723"/>
        <n x="724"/>
        <n x="800" s="1"/>
        <n x="675"/>
        <n x="676"/>
      </t>
    </mdx>
    <mdx n="0" f="v">
      <t c="6" si="614">
        <n x="610"/>
        <n x="239"/>
        <n x="240"/>
        <n x="800" s="1"/>
        <n x="675"/>
        <n x="676"/>
      </t>
    </mdx>
    <mdx n="0" f="v">
      <t c="6" si="614">
        <n x="610"/>
        <n x="547"/>
        <n x="548"/>
        <n x="800" s="1"/>
        <n x="675"/>
        <n x="676"/>
      </t>
    </mdx>
    <mdx n="0" f="v">
      <t c="6" si="614">
        <n x="610"/>
        <n x="557"/>
        <n x="558"/>
        <n x="800" s="1"/>
        <n x="675"/>
        <n x="676"/>
      </t>
    </mdx>
    <mdx n="0" f="v">
      <t c="6" si="614">
        <n x="610"/>
        <n x="495"/>
        <n x="496"/>
        <n x="800" s="1"/>
        <n x="675"/>
        <n x="676"/>
      </t>
    </mdx>
    <mdx n="0" f="v">
      <t c="6" si="614">
        <n x="610"/>
        <n x="363"/>
        <n x="364"/>
        <n x="800" s="1"/>
        <n x="675"/>
        <n x="676"/>
      </t>
    </mdx>
    <mdx n="0" f="v">
      <t c="6" si="614">
        <n x="610"/>
        <n x="281"/>
        <n x="282"/>
        <n x="800" s="1"/>
        <n x="675"/>
        <n x="676"/>
      </t>
    </mdx>
    <mdx n="0" f="v">
      <t c="6" si="614">
        <n x="610"/>
        <n x="277"/>
        <n x="278"/>
        <n x="800" s="1"/>
        <n x="675"/>
        <n x="676"/>
      </t>
    </mdx>
    <mdx n="0" f="v">
      <t c="6" si="614">
        <n x="610"/>
        <n x="401"/>
        <n x="402"/>
        <n x="800" s="1"/>
        <n x="675"/>
        <n x="676"/>
      </t>
    </mdx>
    <mdx n="0" f="v">
      <t c="6" si="614">
        <n x="610"/>
        <n x="435"/>
        <n x="436"/>
        <n x="800" s="1"/>
        <n x="675"/>
        <n x="676"/>
      </t>
    </mdx>
    <mdx n="0" f="v">
      <t c="6" si="614">
        <n x="610"/>
        <n x="437"/>
        <n x="438"/>
        <n x="800" s="1"/>
        <n x="675"/>
        <n x="676"/>
      </t>
    </mdx>
    <mdx n="0" f="v">
      <t c="6" si="614">
        <n x="610"/>
        <n x="437"/>
        <n x="438"/>
        <n x="800" s="1"/>
        <n x="675"/>
        <n x="676"/>
      </t>
    </mdx>
    <mdx n="0" f="v">
      <t c="6" si="614">
        <n x="610"/>
        <n x="747"/>
        <n x="748"/>
        <n x="800" s="1"/>
        <n x="675"/>
        <n x="676"/>
      </t>
    </mdx>
    <mdx n="0" f="v">
      <t c="6" si="614">
        <n x="610"/>
        <n x="749"/>
        <n x="750"/>
        <n x="800" s="1"/>
        <n x="675"/>
        <n x="676"/>
      </t>
    </mdx>
    <mdx n="0" f="v">
      <t c="6" si="614">
        <n x="610"/>
        <n x="751"/>
        <n x="752"/>
        <n x="800" s="1"/>
        <n x="675"/>
        <n x="676"/>
      </t>
    </mdx>
    <mdx n="0" f="v">
      <t c="6" si="614">
        <n x="610"/>
        <n x="471"/>
        <n x="472"/>
        <n x="800" s="1"/>
        <n x="675"/>
        <n x="676"/>
      </t>
    </mdx>
    <mdx n="0" f="v">
      <t c="6" si="614">
        <n x="610"/>
        <n x="273"/>
        <n x="274"/>
        <n x="800" s="1"/>
        <n x="675"/>
        <n x="676"/>
      </t>
    </mdx>
    <mdx n="0" f="v">
      <t c="6" si="614">
        <n x="610"/>
        <n x="553"/>
        <n x="554"/>
        <n x="800" s="1"/>
        <n x="675"/>
        <n x="676"/>
      </t>
    </mdx>
    <mdx n="0" f="v">
      <t c="6" si="614">
        <n x="610"/>
        <n x="553"/>
        <n x="554"/>
        <n x="800" s="1"/>
        <n x="675"/>
        <n x="676"/>
      </t>
    </mdx>
    <mdx n="0" f="v">
      <t c="6" si="614">
        <n x="610"/>
        <n x="765"/>
        <n x="766"/>
        <n x="800" s="1"/>
        <n x="675"/>
        <n x="676"/>
      </t>
    </mdx>
    <mdx n="0" f="v">
      <t c="6" si="614">
        <n x="610"/>
        <n x="293"/>
        <n x="316"/>
        <n x="800" s="1"/>
        <n x="675"/>
        <n x="676"/>
      </t>
    </mdx>
    <mdx n="0" f="v">
      <t c="6" si="614">
        <n x="610"/>
        <n x="293"/>
        <n x="294"/>
        <n x="800" s="1"/>
        <n x="675"/>
        <n x="676"/>
      </t>
    </mdx>
    <mdx n="0" f="v">
      <t c="6" si="614">
        <n x="610"/>
        <n x="533"/>
        <n x="534"/>
        <n x="800" s="1"/>
        <n x="675"/>
        <n x="676"/>
      </t>
    </mdx>
    <mdx n="0" f="v">
      <t c="6" si="614">
        <n x="610"/>
        <n x="355"/>
        <n x="356"/>
        <n x="800" s="1"/>
        <n x="675"/>
        <n x="676"/>
      </t>
    </mdx>
    <mdx n="0" f="v">
      <t c="6" si="614">
        <n x="610"/>
        <n x="523"/>
        <n x="524"/>
        <n x="800" s="1"/>
        <n x="675"/>
        <n x="676"/>
      </t>
    </mdx>
    <mdx n="0" f="v">
      <t c="6" si="614">
        <n x="610"/>
        <n x="303"/>
        <n x="304"/>
        <n x="800" s="1"/>
        <n x="675"/>
        <n x="676"/>
      </t>
    </mdx>
    <mdx n="0" f="v">
      <t c="6" si="614">
        <n x="610"/>
        <n x="449"/>
        <n x="450"/>
        <n x="800" s="1"/>
        <n x="675"/>
        <n x="676"/>
      </t>
    </mdx>
    <mdx n="0" f="v">
      <t c="6" si="614">
        <n x="610"/>
        <n x="449"/>
        <n x="450"/>
        <n x="800" s="1"/>
        <n x="675"/>
        <n x="676"/>
      </t>
    </mdx>
    <mdx n="0" f="v">
      <t c="6" si="614">
        <n x="610"/>
        <n x="421"/>
        <n x="422"/>
        <n x="800" s="1"/>
        <n x="675"/>
        <n x="676"/>
      </t>
    </mdx>
    <mdx n="0" f="v">
      <t c="6" si="614">
        <n x="610"/>
        <n x="519"/>
        <n x="520"/>
        <n x="800" s="1"/>
        <n x="675"/>
        <n x="676"/>
      </t>
    </mdx>
    <mdx n="0" f="v">
      <t c="6" si="614">
        <n x="610"/>
        <n x="519"/>
        <n x="520"/>
        <n x="800" s="1"/>
        <n x="675"/>
        <n x="676"/>
      </t>
    </mdx>
    <mdx n="0" f="v">
      <t c="6" si="614">
        <n x="610"/>
        <n x="805"/>
        <n x="806"/>
        <n x="800" s="1"/>
        <n x="675"/>
        <n x="676"/>
      </t>
    </mdx>
    <mdx n="0" f="v">
      <t c="6" si="614">
        <n x="610"/>
        <n x="715"/>
        <n x="716"/>
        <n x="800" s="1"/>
        <n x="675"/>
        <n x="676"/>
      </t>
    </mdx>
    <mdx n="0" f="v">
      <t c="6" si="614">
        <n x="610"/>
        <n x="365"/>
        <n x="464"/>
        <n x="800" s="1"/>
        <n x="675"/>
        <n x="676"/>
      </t>
    </mdx>
    <mdx n="0" f="v">
      <t c="6" si="614">
        <n x="610"/>
        <n x="365"/>
        <n x="366"/>
        <n x="800" s="1"/>
        <n x="675"/>
        <n x="676"/>
      </t>
    </mdx>
    <mdx n="0" f="v">
      <t c="6" si="614">
        <n x="610"/>
        <n x="597"/>
        <n x="598"/>
        <n x="800" s="1"/>
        <n x="675"/>
        <n x="676"/>
      </t>
    </mdx>
    <mdx n="0" f="v">
      <t c="6" si="614">
        <n x="610"/>
        <n x="727"/>
        <n x="728"/>
        <n x="800" s="1"/>
        <n x="675"/>
        <n x="676"/>
      </t>
    </mdx>
    <mdx n="0" f="v">
      <t c="6" si="614">
        <n x="610"/>
        <n x="731"/>
        <n x="732"/>
        <n x="800" s="1"/>
        <n x="675"/>
        <n x="676"/>
      </t>
    </mdx>
    <mdx n="0" f="v">
      <t c="6" si="614">
        <n x="610"/>
        <n x="243"/>
        <n x="244"/>
        <n x="800" s="1"/>
        <n x="675"/>
        <n x="676"/>
      </t>
    </mdx>
    <mdx n="0" f="v">
      <t c="6" si="614">
        <n x="610"/>
        <n x="443"/>
        <n x="444"/>
        <n x="800" s="1"/>
        <n x="675"/>
        <n x="676"/>
      </t>
    </mdx>
    <mdx n="0" f="v">
      <t c="6" si="614">
        <n x="610"/>
        <n x="499"/>
        <n x="500"/>
        <n x="800" s="1"/>
        <n x="675"/>
        <n x="676"/>
      </t>
    </mdx>
    <mdx n="0" f="v">
      <t c="6" si="614">
        <n x="610"/>
        <n x="503"/>
        <n x="562"/>
        <n x="800" s="1"/>
        <n x="675"/>
        <n x="676"/>
      </t>
    </mdx>
    <mdx n="0" f="v">
      <t c="6" si="614">
        <n x="610"/>
        <n x="441"/>
        <n x="442"/>
        <n x="800" s="1"/>
        <n x="675"/>
        <n x="676"/>
      </t>
    </mdx>
    <mdx n="0" f="v">
      <t c="6" si="614">
        <n x="610"/>
        <n x="205"/>
        <n x="754"/>
        <n x="800" s="1"/>
        <n x="675"/>
        <n x="676"/>
      </t>
    </mdx>
    <mdx n="0" f="v">
      <t c="6" si="614">
        <n x="610"/>
        <n x="289"/>
        <n x="290"/>
        <n x="800" s="1"/>
        <n x="675"/>
        <n x="676"/>
      </t>
    </mdx>
    <mdx n="0" f="v">
      <t c="6" si="614">
        <n x="610"/>
        <n x="245"/>
        <n x="246"/>
        <n x="800" s="1"/>
        <n x="675"/>
        <n x="676"/>
      </t>
    </mdx>
    <mdx n="0" f="v">
      <t c="6" si="614">
        <n x="610"/>
        <n x="467"/>
        <n x="510"/>
        <n x="800" s="1"/>
        <n x="675"/>
        <n x="676"/>
      </t>
    </mdx>
    <mdx n="0" f="v">
      <t c="6" si="614">
        <n x="610"/>
        <n x="467"/>
        <n x="468"/>
        <n x="800" s="1"/>
        <n x="675"/>
        <n x="676"/>
      </t>
    </mdx>
    <mdx n="0" f="v">
      <t c="6" si="614">
        <n x="610"/>
        <n x="769"/>
        <n x="770"/>
        <n x="800" s="1"/>
        <n x="675"/>
        <n x="676"/>
      </t>
    </mdx>
    <mdx n="0" f="v">
      <t c="6" si="614">
        <n x="610"/>
        <n x="381"/>
        <n x="530"/>
        <n x="800" s="1"/>
        <n x="675"/>
        <n x="676"/>
      </t>
    </mdx>
    <mdx n="0" f="v">
      <t c="6" si="614">
        <n x="610"/>
        <n x="381"/>
        <n x="382"/>
        <n x="800" s="1"/>
        <n x="675"/>
        <n x="676"/>
      </t>
    </mdx>
    <mdx n="0" f="v">
      <t c="6" si="614">
        <n x="610"/>
        <n x="785"/>
        <n x="786"/>
        <n x="800" s="1"/>
        <n x="675"/>
        <n x="676"/>
      </t>
    </mdx>
    <mdx n="0" f="v">
      <t c="6" si="614">
        <n x="610"/>
        <n x="431"/>
        <n x="432"/>
        <n x="800" s="1"/>
        <n x="675"/>
        <n x="676"/>
      </t>
    </mdx>
    <mdx n="0" f="v">
      <t c="6" si="614">
        <n x="610"/>
        <n x="297"/>
        <n x="298"/>
        <n x="800" s="1"/>
        <n x="675"/>
        <n x="676"/>
      </t>
    </mdx>
    <mdx n="0" f="v">
      <t c="6" si="614">
        <n x="610"/>
        <n x="331"/>
        <n x="332"/>
        <n x="800" s="1"/>
        <n x="675"/>
        <n x="676"/>
      </t>
    </mdx>
    <mdx n="0" f="v">
      <t c="6" si="614">
        <n x="610"/>
        <n x="211"/>
        <n x="212"/>
        <n x="800" s="1"/>
        <n x="675"/>
        <n x="676"/>
      </t>
    </mdx>
    <mdx n="0" f="v">
      <t c="6" si="614">
        <n x="610"/>
        <n x="801"/>
        <n x="802"/>
        <n x="800" s="1"/>
        <n x="675"/>
        <n x="676"/>
      </t>
    </mdx>
    <mdx n="0" f="v">
      <t c="6" si="614">
        <n x="610"/>
        <n x="263"/>
        <n x="264"/>
        <n x="800" s="1"/>
        <n x="675"/>
        <n x="676"/>
      </t>
    </mdx>
    <mdx n="0" f="v">
      <t c="6" si="614">
        <n x="610"/>
        <n x="573"/>
        <n x="574"/>
        <n x="800" s="1"/>
        <n x="675"/>
        <n x="676"/>
      </t>
    </mdx>
    <mdx n="0" f="v">
      <t c="6" si="614">
        <n x="610"/>
        <n x="275"/>
        <n x="276"/>
        <n x="800" s="1"/>
        <n x="675"/>
        <n x="676"/>
      </t>
    </mdx>
    <mdx n="0" f="v">
      <t c="6" si="614">
        <n x="610"/>
        <n x="377"/>
        <n x="378"/>
        <n x="800" s="1"/>
        <n x="675"/>
        <n x="676"/>
      </t>
    </mdx>
    <mdx n="0" f="v">
      <t c="6" si="614">
        <n x="610"/>
        <n x="221"/>
        <n x="222"/>
        <n x="800" s="1"/>
        <n x="675"/>
        <n x="676"/>
      </t>
    </mdx>
    <mdx n="0" f="v">
      <t c="6" si="614">
        <n x="610"/>
        <n x="725"/>
        <n x="726"/>
        <n x="800" s="1"/>
        <n x="675"/>
        <n x="676"/>
      </t>
    </mdx>
    <mdx n="0" f="v">
      <t c="6" si="614">
        <n x="610"/>
        <n x="729"/>
        <n x="730"/>
        <n x="800" s="1"/>
        <n x="675"/>
        <n x="676"/>
      </t>
    </mdx>
    <mdx n="0" f="v">
      <t c="6" si="614">
        <n x="610"/>
        <n x="541"/>
        <n x="542"/>
        <n x="800" s="1"/>
        <n x="675"/>
        <n x="676"/>
      </t>
    </mdx>
    <mdx n="0" f="v">
      <t c="6" si="614">
        <n x="610"/>
        <n x="595"/>
        <n x="596"/>
        <n x="800" s="1"/>
        <n x="675"/>
        <n x="676"/>
      </t>
    </mdx>
    <mdx n="0" f="v">
      <t c="6" si="614">
        <n x="610"/>
        <n x="389"/>
        <n x="390"/>
        <n x="800" s="1"/>
        <n x="675"/>
        <n x="676"/>
      </t>
    </mdx>
    <mdx n="0" f="v">
      <t c="6" si="614">
        <n x="610"/>
        <n x="525"/>
        <n x="526"/>
        <n x="800" s="1"/>
        <n x="675"/>
        <n x="676"/>
      </t>
    </mdx>
    <mdx n="0" f="v">
      <t c="6" si="614">
        <n x="610"/>
        <n x="591"/>
        <n x="592"/>
        <n x="800" s="1"/>
        <n x="675"/>
        <n x="676"/>
      </t>
    </mdx>
    <mdx n="0" f="v">
      <t c="6" si="614">
        <n x="610"/>
        <n x="455"/>
        <n x="456"/>
        <n x="800" s="1"/>
        <n x="675"/>
        <n x="676"/>
      </t>
    </mdx>
    <mdx n="0" f="v">
      <t c="6" si="614">
        <n x="610"/>
        <n x="491"/>
        <n x="492"/>
        <n x="800" s="1"/>
        <n x="675"/>
        <n x="676"/>
      </t>
    </mdx>
    <mdx n="0" f="v">
      <t c="6" si="614">
        <n x="610"/>
        <n x="513"/>
        <n x="514"/>
        <n x="800" s="1"/>
        <n x="675"/>
        <n x="676"/>
      </t>
    </mdx>
    <mdx n="0" f="v">
      <t c="6" si="614">
        <n x="610"/>
        <n x="345"/>
        <n x="346"/>
        <n x="800" s="1"/>
        <n x="675"/>
        <n x="676"/>
      </t>
    </mdx>
    <mdx n="0" f="v">
      <t c="6" si="614">
        <n x="610"/>
        <n x="489"/>
        <n x="490"/>
        <n x="800" s="1"/>
        <n x="675"/>
        <n x="676"/>
      </t>
    </mdx>
    <mdx n="0" f="v">
      <t c="6" si="614">
        <n x="610"/>
        <n x="755"/>
        <n x="756"/>
        <n x="800" s="1"/>
        <n x="675"/>
        <n x="676"/>
      </t>
    </mdx>
    <mdx n="0" f="v">
      <t c="6" si="614">
        <n x="610"/>
        <n x="407"/>
        <n x="408"/>
        <n x="800" s="1"/>
        <n x="675"/>
        <n x="676"/>
      </t>
    </mdx>
    <mdx n="0" f="v">
      <t c="6" si="614">
        <n x="610"/>
        <n x="493"/>
        <n x="494"/>
        <n x="800" s="1"/>
        <n x="675"/>
        <n x="676"/>
      </t>
    </mdx>
    <mdx n="0" f="v">
      <t c="6" si="614">
        <n x="610"/>
        <n x="759"/>
        <n x="760"/>
        <n x="800" s="1"/>
        <n x="675"/>
        <n x="676"/>
      </t>
    </mdx>
    <mdx n="0" f="v">
      <t c="6" si="614">
        <n x="610"/>
        <n x="549"/>
        <n x="550"/>
        <n x="800" s="1"/>
        <n x="675"/>
        <n x="676"/>
      </t>
    </mdx>
    <mdx n="0" f="v">
      <t c="6" si="614">
        <n x="610"/>
        <n x="287"/>
        <n x="288"/>
        <n x="800" s="1"/>
        <n x="675"/>
        <n x="676"/>
      </t>
    </mdx>
    <mdx n="0" f="v">
      <t c="6" si="614">
        <n x="610"/>
        <n x="359"/>
        <n x="360"/>
        <n x="800" s="1"/>
        <n x="675"/>
        <n x="676"/>
      </t>
    </mdx>
    <mdx n="0" f="v">
      <t c="6" si="614">
        <n x="610"/>
        <n x="511"/>
        <n x="512"/>
        <n x="800" s="1"/>
        <n x="675"/>
        <n x="676"/>
      </t>
    </mdx>
    <mdx n="0" f="v">
      <t c="6" si="614">
        <n x="610"/>
        <n x="249"/>
        <n x="250"/>
        <n x="800" s="1"/>
        <n x="675"/>
        <n x="676"/>
      </t>
    </mdx>
    <mdx n="0" f="v">
      <t c="6" si="614">
        <n x="610"/>
        <n x="515"/>
        <n x="516"/>
        <n x="800" s="1"/>
        <n x="675"/>
        <n x="676"/>
      </t>
    </mdx>
    <mdx n="0" f="v">
      <t c="6" si="614">
        <n x="610"/>
        <n x="781"/>
        <n x="782"/>
        <n x="800" s="1"/>
        <n x="675"/>
        <n x="676"/>
      </t>
    </mdx>
    <mdx n="0" f="v">
      <t c="6" si="614">
        <n x="610"/>
        <n x="787"/>
        <n x="788"/>
        <n x="800" s="1"/>
        <n x="675"/>
        <n x="676"/>
      </t>
    </mdx>
    <mdx n="0" f="v">
      <t c="6" si="614">
        <n x="610"/>
        <n x="789"/>
        <n x="790"/>
        <n x="800" s="1"/>
        <n x="675"/>
        <n x="676"/>
      </t>
    </mdx>
    <mdx n="0" f="v">
      <t c="6" si="614">
        <n x="610"/>
        <n x="579"/>
        <n x="580"/>
        <n x="800" s="1"/>
        <n x="675"/>
        <n x="676"/>
      </t>
    </mdx>
    <mdx n="0" f="v">
      <t c="6" si="614">
        <n x="610"/>
        <n x="227"/>
        <n x="228"/>
        <n x="800" s="1"/>
        <n x="675"/>
        <n x="676"/>
      </t>
    </mdx>
    <mdx n="0" f="v">
      <t c="6" si="614">
        <n x="610"/>
        <n x="439"/>
        <n x="440"/>
        <n x="800" s="1"/>
        <n x="675"/>
        <n x="676"/>
      </t>
    </mdx>
    <mdx n="0" f="v">
      <t c="6" si="614">
        <n x="610"/>
        <n x="291"/>
        <n x="292"/>
        <n x="800" s="1"/>
        <n x="675"/>
        <n x="676"/>
      </t>
    </mdx>
    <mdx n="0" f="v">
      <t c="6" si="614">
        <n x="610"/>
        <n x="327"/>
        <n x="328"/>
        <n x="800" s="1"/>
        <n x="675"/>
        <n x="676"/>
      </t>
    </mdx>
    <mdx n="0" f="v">
      <t c="6" si="614">
        <n x="610"/>
        <n x="477"/>
        <n x="478"/>
        <n x="800" s="1"/>
        <n x="675"/>
        <n x="676"/>
      </t>
    </mdx>
    <mdx n="0" f="v">
      <t c="6" si="614">
        <n x="610"/>
        <n x="251"/>
        <n x="252"/>
        <n x="800" s="1"/>
        <n x="675"/>
        <n x="676"/>
      </t>
    </mdx>
    <mdx n="0" f="v">
      <t c="6" si="614">
        <n x="610"/>
        <n x="253"/>
        <n x="254"/>
        <n x="800" s="1"/>
        <n x="675"/>
        <n x="676"/>
      </t>
    </mdx>
    <mdx n="0" f="v">
      <t c="6" si="614">
        <n x="610"/>
        <n x="545"/>
        <n x="546"/>
        <n x="800" s="1"/>
        <n x="675"/>
        <n x="676"/>
      </t>
    </mdx>
    <mdx n="0" f="v">
      <t c="6" si="614">
        <n x="610"/>
        <n x="717"/>
        <n x="718"/>
        <n x="800" s="1"/>
        <n x="675"/>
        <n x="676"/>
      </t>
    </mdx>
    <mdx n="0" f="v">
      <t c="6" si="614">
        <n x="610"/>
        <n x="391"/>
        <n x="392"/>
        <n x="800" s="1"/>
        <n x="675"/>
        <n x="676"/>
      </t>
    </mdx>
    <mdx n="0" f="v">
      <t c="6" si="614">
        <n x="610"/>
        <n x="461"/>
        <n x="462"/>
        <n x="800" s="1"/>
        <n x="675"/>
        <n x="676"/>
      </t>
    </mdx>
    <mdx n="0" f="v">
      <t c="6" si="614">
        <n x="610"/>
        <n x="457"/>
        <n x="458"/>
        <n x="800" s="1"/>
        <n x="675"/>
        <n x="676"/>
      </t>
    </mdx>
    <mdx n="0" f="v">
      <t c="6" si="614">
        <n x="610"/>
        <n x="367"/>
        <n x="368"/>
        <n x="800" s="1"/>
        <n x="675"/>
        <n x="676"/>
      </t>
    </mdx>
    <mdx n="0" f="v">
      <t c="6" si="614">
        <n x="610"/>
        <n x="603"/>
        <n x="604"/>
        <n x="800" s="1"/>
        <n x="675"/>
        <n x="676"/>
      </t>
    </mdx>
    <mdx n="0" f="v">
      <t c="6" si="614">
        <n x="610"/>
        <n x="413"/>
        <n x="414"/>
        <n x="800" s="1"/>
        <n x="675"/>
        <n x="676"/>
      </t>
    </mdx>
    <mdx n="0" f="v">
      <t c="6" si="614">
        <n x="610"/>
        <n x="271"/>
        <n x="272"/>
        <n x="800" s="1"/>
        <n x="675"/>
        <n x="676"/>
      </t>
    </mdx>
    <mdx n="0" f="v">
      <t c="6" si="614">
        <n x="610"/>
        <n x="387"/>
        <n x="388"/>
        <n x="800" s="1"/>
        <n x="675"/>
        <n x="676"/>
      </t>
    </mdx>
    <mdx n="0" f="v">
      <t c="6" si="614">
        <n x="610"/>
        <n x="737"/>
        <n x="738"/>
        <n x="800" s="1"/>
        <n x="675"/>
        <n x="676"/>
      </t>
    </mdx>
    <mdx n="0" f="v">
      <t c="6" si="614">
        <n x="610"/>
        <n x="429"/>
        <n x="430"/>
        <n x="800" s="1"/>
        <n x="675"/>
        <n x="676"/>
      </t>
    </mdx>
    <mdx n="0" f="v">
      <t c="6" si="614">
        <n x="610"/>
        <n x="433"/>
        <n x="434"/>
        <n x="800" s="1"/>
        <n x="675"/>
        <n x="676"/>
      </t>
    </mdx>
    <mdx n="0" f="v">
      <t c="6" si="614">
        <n x="610"/>
        <n x="719"/>
        <n x="720"/>
        <n x="800" s="1"/>
        <n x="675"/>
        <n x="676"/>
      </t>
    </mdx>
    <mdx n="0" f="v">
      <t c="6" si="614">
        <n x="610"/>
        <n x="241"/>
        <n x="242"/>
        <n x="800" s="1"/>
        <n x="675"/>
        <n x="676"/>
      </t>
    </mdx>
    <mdx n="0" f="v">
      <t c="6" si="614">
        <n x="610"/>
        <n x="447"/>
        <n x="448"/>
        <n x="800" s="1"/>
        <n x="675"/>
        <n x="676"/>
      </t>
    </mdx>
    <mdx n="0" f="v">
      <t c="6" si="614">
        <n x="610"/>
        <n x="321"/>
        <n x="208"/>
        <n x="800" s="1"/>
        <n x="675"/>
        <n x="676"/>
      </t>
    </mdx>
    <mdx n="0" f="v">
      <t c="6" si="614">
        <n x="610"/>
        <n x="321"/>
        <n x="322"/>
        <n x="800" s="1"/>
        <n x="675"/>
        <n x="676"/>
      </t>
    </mdx>
    <mdx n="0" f="v">
      <t c="6" si="614">
        <n x="610"/>
        <n x="761"/>
        <n x="762"/>
        <n x="800" s="1"/>
        <n x="675"/>
        <n x="676"/>
      </t>
    </mdx>
    <mdx n="0" f="v">
      <t c="6" si="614">
        <n x="610"/>
        <n x="763"/>
        <n x="764"/>
        <n x="800" s="1"/>
        <n x="675"/>
        <n x="676"/>
      </t>
    </mdx>
    <mdx n="0" f="v">
      <t c="6" si="614">
        <n x="610"/>
        <n x="403"/>
        <n x="404"/>
        <n x="800" s="1"/>
        <n x="675"/>
        <n x="676"/>
      </t>
    </mdx>
    <mdx n="0" f="v">
      <t c="6" si="614">
        <n x="610"/>
        <n x="773"/>
        <n x="774"/>
        <n x="800" s="1"/>
        <n x="675"/>
        <n x="676"/>
      </t>
    </mdx>
    <mdx n="0" f="v">
      <t c="6" si="614">
        <n x="610"/>
        <n x="445"/>
        <n x="446"/>
        <n x="800" s="1"/>
        <n x="675"/>
        <n x="676"/>
      </t>
    </mdx>
    <mdx n="0" f="v">
      <t c="6" si="614">
        <n x="610"/>
        <n x="375"/>
        <n x="376"/>
        <n x="800" s="1"/>
        <n x="675"/>
        <n x="676"/>
      </t>
    </mdx>
    <mdx n="0" f="v">
      <t c="6" si="614">
        <n x="610"/>
        <n x="583"/>
        <n x="584"/>
        <n x="800" s="1"/>
        <n x="675"/>
        <n x="676"/>
      </t>
    </mdx>
    <mdx n="0" f="v">
      <t c="6" si="614">
        <n x="610"/>
        <n x="311"/>
        <n x="312"/>
        <n x="800" s="1"/>
        <n x="675"/>
        <n x="676"/>
      </t>
    </mdx>
    <mdx n="0" f="v">
      <t c="6" si="614">
        <n x="610"/>
        <n x="575"/>
        <n x="576"/>
        <n x="800" s="1"/>
        <n x="675"/>
        <n x="676"/>
      </t>
    </mdx>
    <mdx n="0" f="v">
      <t c="6" si="614">
        <n x="610"/>
        <n x="313"/>
        <n x="314"/>
        <n x="800" s="1"/>
        <n x="675"/>
        <n x="676"/>
      </t>
    </mdx>
    <mdx n="0" f="v">
      <t c="6" si="614">
        <n x="610"/>
        <n x="571"/>
        <n x="572"/>
        <n x="800" s="1"/>
        <n x="675"/>
        <n x="676"/>
      </t>
    </mdx>
    <mdx n="0" f="v">
      <t c="6" si="614">
        <n x="610"/>
        <n x="797"/>
        <n x="798"/>
        <n x="800" s="1"/>
        <n x="675"/>
        <n x="676"/>
      </t>
    </mdx>
    <mdx n="0" f="v">
      <t c="6" si="614">
        <n x="610"/>
        <n x="215"/>
        <n x="216"/>
        <n x="800" s="1"/>
        <n x="675"/>
        <n x="676"/>
      </t>
    </mdx>
    <mdx n="0" f="v">
      <t c="6" si="614">
        <n x="610"/>
        <n x="267"/>
        <n x="268"/>
        <n x="800" s="1"/>
        <n x="675"/>
        <n x="676"/>
      </t>
    </mdx>
    <mdx n="0" f="v">
      <t c="6" si="614">
        <n x="610"/>
        <n x="567"/>
        <n x="568"/>
        <n x="800" s="1"/>
        <n x="675"/>
        <n x="676"/>
      </t>
    </mdx>
    <mdx n="0" f="v">
      <t c="6" si="614">
        <n x="610"/>
        <n x="475"/>
        <n x="476"/>
        <n x="800" s="1"/>
        <n x="675"/>
        <n x="676"/>
      </t>
    </mdx>
    <mdx n="0" f="v">
      <t c="6" si="614">
        <n x="610"/>
        <n x="599"/>
        <n x="600"/>
        <n x="800" s="1"/>
        <n x="675"/>
        <n x="676"/>
      </t>
    </mdx>
    <mdx n="0" f="v">
      <t c="6" si="614">
        <n x="610"/>
        <n x="397"/>
        <n x="398"/>
        <n x="800" s="1"/>
        <n x="675"/>
        <n x="676"/>
      </t>
    </mdx>
    <mdx n="0" f="v">
      <t c="6" si="614">
        <n x="610"/>
        <n x="231"/>
        <n x="232"/>
        <n x="800" s="1"/>
        <n x="675"/>
        <n x="676"/>
      </t>
    </mdx>
    <mdx n="0" f="v">
      <t c="6" si="614">
        <n x="610"/>
        <n x="555"/>
        <n x="556"/>
        <n x="800" s="1"/>
        <n x="675"/>
        <n x="676"/>
      </t>
    </mdx>
    <mdx n="0" f="v">
      <t c="6" si="614">
        <n x="610"/>
        <n x="235"/>
        <n x="236"/>
        <n x="800" s="1"/>
        <n x="675"/>
        <n x="676"/>
      </t>
    </mdx>
    <mdx n="0" f="v">
      <t c="6" si="614">
        <n x="610"/>
        <n x="235"/>
        <n x="236"/>
        <n x="800" s="1"/>
        <n x="675"/>
        <n x="676"/>
      </t>
    </mdx>
    <mdx n="0" f="v">
      <t c="6" si="614">
        <n x="610"/>
        <n x="257"/>
        <n x="258"/>
        <n x="800" s="1"/>
        <n x="675"/>
        <n x="676"/>
      </t>
    </mdx>
    <mdx n="0" f="v">
      <t c="6" si="614">
        <n x="610"/>
        <n x="537"/>
        <n x="740"/>
        <n x="800" s="1"/>
        <n x="675"/>
        <n x="676"/>
      </t>
    </mdx>
    <mdx n="0" f="v">
      <t c="6" si="614">
        <n x="610"/>
        <n x="537"/>
        <n x="538"/>
        <n x="800" s="1"/>
        <n x="675"/>
        <n x="676"/>
      </t>
    </mdx>
    <mdx n="0" f="v">
      <t c="6" si="614">
        <n x="610"/>
        <n x="589"/>
        <n x="590"/>
        <n x="800" s="1"/>
        <n x="675"/>
        <n x="676"/>
      </t>
    </mdx>
    <mdx n="0" f="v">
      <t c="6" si="614">
        <n x="610"/>
        <n x="259"/>
        <n x="260"/>
        <n x="800" s="1"/>
        <n x="675"/>
        <n x="676"/>
      </t>
    </mdx>
    <mdx n="0" f="v">
      <t c="6" si="614">
        <n x="610"/>
        <n x="593"/>
        <n x="594"/>
        <n x="800" s="1"/>
        <n x="675"/>
        <n x="676"/>
      </t>
    </mdx>
    <mdx n="0" f="v">
      <t c="6" si="614">
        <n x="610"/>
        <n x="223"/>
        <n x="224"/>
        <n x="800" s="1"/>
        <n x="675"/>
        <n x="676"/>
      </t>
    </mdx>
    <mdx n="0" f="v">
      <t c="6" si="614">
        <n x="610"/>
        <n x="577"/>
        <n x="578"/>
        <n x="800" s="1"/>
        <n x="675"/>
        <n x="676"/>
      </t>
    </mdx>
    <mdx n="0" f="v">
      <t c="6" si="614">
        <n x="610"/>
        <n x="325"/>
        <n x="326"/>
        <n x="800" s="1"/>
        <n x="675"/>
        <n x="676"/>
      </t>
    </mdx>
    <mdx n="0" f="v">
      <t c="6" si="614">
        <n x="610"/>
        <n x="507"/>
        <n x="508"/>
        <n x="800" s="1"/>
        <n x="675"/>
        <n x="676"/>
      </t>
    </mdx>
    <mdx n="0" f="v">
      <t c="6" si="614">
        <n x="610"/>
        <n x="349"/>
        <n x="350"/>
        <n x="800" s="1"/>
        <n x="675"/>
        <n x="676"/>
      </t>
    </mdx>
    <mdx n="0" f="v">
      <t c="6" si="614">
        <n x="610"/>
        <n x="411"/>
        <n x="412"/>
        <n x="800" s="1"/>
        <n x="675"/>
        <n x="676"/>
      </t>
    </mdx>
    <mdx n="0" f="v">
      <t c="6" si="614">
        <n x="610"/>
        <n x="775"/>
        <n x="776"/>
        <n x="800" s="1"/>
        <n x="675"/>
        <n x="676"/>
      </t>
    </mdx>
    <mdx n="0" f="v">
      <t c="6" si="614">
        <n x="610"/>
        <n x="779"/>
        <n x="780"/>
        <n x="800" s="1"/>
        <n x="675"/>
        <n x="676"/>
      </t>
    </mdx>
    <mdx n="0" f="v">
      <t c="6" si="614">
        <n x="610"/>
        <n x="783"/>
        <n x="784"/>
        <n x="800" s="1"/>
        <n x="675"/>
        <n x="676"/>
      </t>
    </mdx>
    <mdx n="0" f="v">
      <t c="6" si="614">
        <n x="610"/>
        <n x="451"/>
        <n x="452"/>
        <n x="800" s="1"/>
        <n x="675"/>
        <n x="676"/>
      </t>
    </mdx>
    <mdx n="0" f="v">
      <t c="6" si="614">
        <n x="610"/>
        <n x="351"/>
        <n x="352"/>
        <n x="800" s="1"/>
        <n x="675"/>
        <n x="676"/>
      </t>
    </mdx>
    <mdx n="0" f="v">
      <t c="6" si="614">
        <n x="610"/>
        <n x="795"/>
        <n x="796"/>
        <n x="800" s="1"/>
        <n x="675"/>
        <n x="676"/>
      </t>
    </mdx>
    <mdx n="0" f="v">
      <t c="6" si="614">
        <n x="610"/>
        <n x="305"/>
        <n x="306"/>
        <n x="800" s="1"/>
        <n x="675"/>
        <n x="676"/>
      </t>
    </mdx>
    <mdx n="0" f="v">
      <t c="6" si="614">
        <n x="610"/>
        <n x="803"/>
        <n x="804"/>
        <n x="800" s="1"/>
        <n x="675"/>
        <n x="676"/>
      </t>
    </mdx>
    <mdx n="0" f="v">
      <t c="6" si="614">
        <n x="610"/>
        <n x="337"/>
        <n x="338"/>
        <n x="800" s="1"/>
        <n x="675"/>
        <n x="676"/>
      </t>
    </mdx>
    <mdx n="0" f="v">
      <t c="6" si="614">
        <n x="610"/>
        <n x="337"/>
        <n x="338"/>
        <n x="800" s="1"/>
        <n x="675"/>
        <n x="676"/>
      </t>
    </mdx>
    <mdx n="0" f="v">
      <t c="6" si="614">
        <n x="610"/>
        <n x="369"/>
        <n x="370"/>
        <n x="800" s="1"/>
        <n x="675"/>
        <n x="676"/>
      </t>
    </mdx>
    <mdx n="0" f="v">
      <t c="6" si="614">
        <n x="610"/>
        <n x="369"/>
        <n x="370"/>
        <n x="800" s="1"/>
        <n x="675"/>
        <n x="676"/>
      </t>
    </mdx>
    <mdx n="0" f="v">
      <t c="6" si="614">
        <n x="610"/>
        <n x="711"/>
        <n x="712"/>
        <n x="800" s="1"/>
        <n x="677"/>
        <n x="678"/>
      </t>
    </mdx>
    <mdx n="0" f="v">
      <t c="6" si="614">
        <n x="610"/>
        <n x="713"/>
        <n x="714"/>
        <n x="800" s="1"/>
        <n x="677"/>
        <n x="678"/>
      </t>
    </mdx>
    <mdx n="0" f="v">
      <t c="6" si="614">
        <n x="610"/>
        <n x="217"/>
        <n x="218"/>
        <n x="800" s="1"/>
        <n x="677"/>
        <n x="678"/>
      </t>
    </mdx>
    <mdx n="0" f="v">
      <t c="6" si="614">
        <n x="610"/>
        <n x="723"/>
        <n x="724"/>
        <n x="800" s="1"/>
        <n x="677"/>
        <n x="678"/>
      </t>
    </mdx>
    <mdx n="0" f="v">
      <t c="6" si="614">
        <n x="610"/>
        <n x="459"/>
        <n x="460"/>
        <n x="800" s="1"/>
        <n x="677"/>
        <n x="678"/>
      </t>
    </mdx>
    <mdx n="0" f="v">
      <t c="6" si="614">
        <n x="610"/>
        <n x="237"/>
        <n x="238"/>
        <n x="800" s="1"/>
        <n x="677"/>
        <n x="678"/>
      </t>
    </mdx>
    <mdx n="0" f="v">
      <t c="6" si="614">
        <n x="610"/>
        <n x="453"/>
        <n x="454"/>
        <n x="800" s="1"/>
        <n x="677"/>
        <n x="678"/>
      </t>
    </mdx>
    <mdx n="0" f="v">
      <t c="6" si="614">
        <n x="610"/>
        <n x="733"/>
        <n x="734"/>
        <n x="800" s="1"/>
        <n x="677"/>
        <n x="678"/>
      </t>
    </mdx>
    <mdx n="0" f="v">
      <t c="6" si="614">
        <n x="610"/>
        <n x="283"/>
        <n x="284"/>
        <n x="800" s="1"/>
        <n x="677"/>
        <n x="678"/>
      </t>
    </mdx>
    <mdx n="0" f="v">
      <t c="6" si="614">
        <n x="610"/>
        <n x="741"/>
        <n x="742"/>
        <n x="800" s="1"/>
        <n x="677"/>
        <n x="678"/>
      </t>
    </mdx>
    <mdx n="0" f="v">
      <t c="6" si="614">
        <n x="610"/>
        <n x="393"/>
        <n x="394"/>
        <n x="800" s="1"/>
        <n x="677"/>
        <n x="678"/>
      </t>
    </mdx>
    <mdx n="0" f="v">
      <t c="6" si="614">
        <n x="610"/>
        <n x="299"/>
        <n x="300"/>
        <n x="800" s="1"/>
        <n x="677"/>
        <n x="678"/>
      </t>
    </mdx>
    <mdx n="0" f="v">
      <t c="6" si="614">
        <n x="610"/>
        <n x="229"/>
        <n x="230"/>
        <n x="800" s="1"/>
        <n x="677"/>
        <n x="678"/>
      </t>
    </mdx>
    <mdx n="0" f="v">
      <t c="6" si="614">
        <n x="610"/>
        <n x="339"/>
        <n x="340"/>
        <n x="800" s="1"/>
        <n x="677"/>
        <n x="678"/>
      </t>
    </mdx>
    <mdx n="0" f="v">
      <t c="6" si="614">
        <n x="610"/>
        <n x="551"/>
        <n x="552"/>
        <n x="800" s="1"/>
        <n x="677"/>
        <n x="678"/>
      </t>
    </mdx>
    <mdx n="0" f="v">
      <t c="6" si="614">
        <n x="610"/>
        <n x="409"/>
        <n x="410"/>
        <n x="800" s="1"/>
        <n x="677"/>
        <n x="678"/>
      </t>
    </mdx>
    <mdx n="0" f="v">
      <t c="6" si="614">
        <n x="610"/>
        <n x="469"/>
        <n x="470"/>
        <n x="800" s="1"/>
        <n x="677"/>
        <n x="678"/>
      </t>
    </mdx>
    <mdx n="0" f="v">
      <t c="6" si="614">
        <n x="610"/>
        <n x="539"/>
        <n x="540"/>
        <n x="800" s="1"/>
        <n x="677"/>
        <n x="678"/>
      </t>
    </mdx>
    <mdx n="0" f="v">
      <t c="6" si="614">
        <n x="610"/>
        <n x="767"/>
        <n x="768"/>
        <n x="800" s="1"/>
        <n x="677"/>
        <n x="678"/>
      </t>
    </mdx>
    <mdx n="0" f="v">
      <t c="6" si="614">
        <n x="610"/>
        <n x="485"/>
        <n x="486"/>
        <n x="800" s="1"/>
        <n x="677"/>
        <n x="678"/>
      </t>
    </mdx>
    <mdx n="0" f="v">
      <t c="6" si="614">
        <n x="610"/>
        <n x="535"/>
        <n x="536"/>
        <n x="800" s="1"/>
        <n x="677"/>
        <n x="678"/>
      </t>
    </mdx>
    <mdx n="0" f="v">
      <t c="6" si="614">
        <n x="610"/>
        <n x="565"/>
        <n x="566"/>
        <n x="800" s="1"/>
        <n x="677"/>
        <n x="678"/>
      </t>
    </mdx>
    <mdx n="0" f="v">
      <t c="6" si="614">
        <n x="610"/>
        <n x="465"/>
        <n x="466"/>
        <n x="800" s="1"/>
        <n x="677"/>
        <n x="678"/>
      </t>
    </mdx>
    <mdx n="0" f="v">
      <t c="6" si="614">
        <n x="610"/>
        <n x="563"/>
        <n x="564"/>
        <n x="800" s="1"/>
        <n x="677"/>
        <n x="678"/>
      </t>
    </mdx>
    <mdx n="0" f="v">
      <t c="6" si="614">
        <n x="610"/>
        <n x="329"/>
        <n x="330"/>
        <n x="800" s="1"/>
        <n x="677"/>
        <n x="678"/>
      </t>
    </mdx>
    <mdx n="0" f="v">
      <t c="6" si="614">
        <n x="610"/>
        <n x="587"/>
        <n x="588"/>
        <n x="800" s="1"/>
        <n x="677"/>
        <n x="678"/>
      </t>
    </mdx>
    <mdx n="0" f="v">
      <t c="6" si="614">
        <n x="610"/>
        <n x="323"/>
        <n x="324"/>
        <n x="800" s="1"/>
        <n x="677"/>
        <n x="678"/>
      </t>
    </mdx>
    <mdx n="0" f="v">
      <t c="6" si="614">
        <n x="610"/>
        <n x="559"/>
        <n x="560"/>
        <n x="800" s="1"/>
        <n x="677"/>
        <n x="678"/>
      </t>
    </mdx>
    <mdx n="0" f="v">
      <t c="6" si="614">
        <n x="610"/>
        <n x="401"/>
        <n x="402"/>
        <n x="800" s="1"/>
        <n x="677"/>
        <n x="678"/>
      </t>
    </mdx>
    <mdx n="0" f="v">
      <t c="6" si="614">
        <n x="610"/>
        <n x="275"/>
        <n x="276"/>
        <n x="800" s="1"/>
        <n x="677"/>
        <n x="678"/>
      </t>
    </mdx>
    <mdx n="0" f="v">
      <t c="6" si="614">
        <n x="610"/>
        <n x="729"/>
        <n x="730"/>
        <n x="800" s="1"/>
        <n x="677"/>
        <n x="678"/>
      </t>
    </mdx>
    <mdx n="0" f="v">
      <t c="6" si="614">
        <n x="610"/>
        <n x="765"/>
        <n x="766"/>
        <n x="800" s="1"/>
        <n x="677"/>
        <n x="678"/>
      </t>
    </mdx>
    <mdx n="0" f="v">
      <t c="6" si="614">
        <n x="610"/>
        <n x="315"/>
        <n x="316"/>
        <n x="800" s="1"/>
        <n x="677"/>
        <n x="678"/>
      </t>
    </mdx>
    <mdx n="0" f="v">
      <t c="6" si="614">
        <n x="610"/>
        <n x="595"/>
        <n x="596"/>
        <n x="800" s="1"/>
        <n x="677"/>
        <n x="678"/>
      </t>
    </mdx>
    <mdx n="0" f="v">
      <t c="6" si="614">
        <n x="610"/>
        <n x="533"/>
        <n x="534"/>
        <n x="800" s="1"/>
        <n x="677"/>
        <n x="678"/>
      </t>
    </mdx>
    <mdx n="0" f="v">
      <t c="6" si="614">
        <n x="610"/>
        <n x="591"/>
        <n x="592"/>
        <n x="800" s="1"/>
        <n x="677"/>
        <n x="678"/>
      </t>
    </mdx>
    <mdx n="0" f="v">
      <t c="6" si="614">
        <n x="610"/>
        <n x="581"/>
        <n x="582"/>
        <n x="800" s="1"/>
        <n x="677"/>
        <n x="678"/>
      </t>
    </mdx>
    <mdx n="0" f="v">
      <t c="6" si="614">
        <n x="610"/>
        <n x="521"/>
        <n x="522"/>
        <n x="800" s="1"/>
        <n x="677"/>
        <n x="678"/>
      </t>
    </mdx>
    <mdx n="0" f="v">
      <t c="6" si="614">
        <n x="610"/>
        <n x="491"/>
        <n x="492"/>
        <n x="800" s="1"/>
        <n x="677"/>
        <n x="678"/>
      </t>
    </mdx>
    <mdx n="0" f="v">
      <t c="6" si="614">
        <n x="610"/>
        <n x="791"/>
        <n x="792"/>
        <n x="800" s="1"/>
        <n x="677"/>
        <n x="678"/>
      </t>
    </mdx>
    <mdx n="0" f="v">
      <t c="6" si="614">
        <n x="610"/>
        <n x="449"/>
        <n x="450"/>
        <n x="800" s="1"/>
        <n x="677"/>
        <n x="678"/>
      </t>
    </mdx>
    <mdx n="0" f="v">
      <t c="6" si="614">
        <n x="610"/>
        <n x="421"/>
        <n x="422"/>
        <n x="800" s="1"/>
        <n x="677"/>
        <n x="678"/>
      </t>
    </mdx>
    <mdx n="0" f="v">
      <t c="6" si="614">
        <n x="610"/>
        <n x="497"/>
        <n x="498"/>
        <n x="800" s="1"/>
        <n x="677"/>
        <n x="678"/>
      </t>
    </mdx>
    <mdx n="0" f="v">
      <t c="6" si="614">
        <n x="610"/>
        <n x="755"/>
        <n x="756"/>
        <n x="800" s="1"/>
        <n x="677"/>
        <n x="678"/>
      </t>
    </mdx>
    <mdx n="0" f="v">
      <t c="6" si="614">
        <n x="610"/>
        <n x="519"/>
        <n x="520"/>
        <n x="800" s="1"/>
        <n x="677"/>
        <n x="678"/>
      </t>
    </mdx>
    <mdx n="0" f="v">
      <t c="6" si="614">
        <n x="610"/>
        <n x="719"/>
        <n x="720"/>
        <n x="800" s="1"/>
        <n x="677"/>
        <n x="678"/>
      </t>
    </mdx>
    <mdx n="0" f="v">
      <t c="6" si="614">
        <n x="610"/>
        <n x="391"/>
        <n x="392"/>
        <n x="800" s="1"/>
        <n x="677"/>
        <n x="678"/>
      </t>
    </mdx>
    <mdx n="0" f="v">
      <t c="6" si="614">
        <n x="610"/>
        <n x="461"/>
        <n x="462"/>
        <n x="800" s="1"/>
        <n x="677"/>
        <n x="678"/>
      </t>
    </mdx>
    <mdx n="0" f="v">
      <t c="6" si="614">
        <n x="610"/>
        <n x="457"/>
        <n x="458"/>
        <n x="800" s="1"/>
        <n x="677"/>
        <n x="678"/>
      </t>
    </mdx>
    <mdx n="0" f="v">
      <t c="6" si="614">
        <n x="610"/>
        <n x="367"/>
        <n x="368"/>
        <n x="800" s="1"/>
        <n x="677"/>
        <n x="678"/>
      </t>
    </mdx>
    <mdx n="0" f="v">
      <t c="6" si="614">
        <n x="610"/>
        <n x="525"/>
        <n x="526"/>
        <n x="800" s="1"/>
        <n x="677"/>
        <n x="678"/>
      </t>
    </mdx>
    <mdx n="0" f="v">
      <t c="6" si="614">
        <n x="610"/>
        <n x="717"/>
        <n x="718"/>
        <n x="800" s="1"/>
        <n x="677"/>
        <n x="678"/>
      </t>
    </mdx>
    <mdx n="0" f="v">
      <t c="6" si="614">
        <n x="610"/>
        <n x="271"/>
        <n x="272"/>
        <n x="800" s="1"/>
        <n x="677"/>
        <n x="678"/>
      </t>
    </mdx>
    <mdx n="0" f="v">
      <t c="6" si="614">
        <n x="610"/>
        <n x="387"/>
        <n x="388"/>
        <n x="800" s="1"/>
        <n x="677"/>
        <n x="678"/>
      </t>
    </mdx>
    <mdx n="0" f="v">
      <t c="6" si="614">
        <n x="610"/>
        <n x="737"/>
        <n x="738"/>
        <n x="800" s="1"/>
        <n x="677"/>
        <n x="678"/>
      </t>
    </mdx>
    <mdx n="0" f="v">
      <t c="6" si="614">
        <n x="610"/>
        <n x="429"/>
        <n x="430"/>
        <n x="800" s="1"/>
        <n x="677"/>
        <n x="678"/>
      </t>
    </mdx>
    <mdx n="0" f="v">
      <t c="6" si="614">
        <n x="610"/>
        <n x="241"/>
        <n x="242"/>
        <n x="800" s="1"/>
        <n x="677"/>
        <n x="678"/>
      </t>
    </mdx>
    <mdx n="0" f="v">
      <t c="6" si="614">
        <n x="610"/>
        <n x="709"/>
        <n x="710"/>
        <n x="800" s="1"/>
        <n x="677"/>
        <n x="678"/>
      </t>
    </mdx>
    <mdx n="0" f="v">
      <t c="6" si="614">
        <n x="610"/>
        <n x="249"/>
        <n x="250"/>
        <n x="800" s="1"/>
        <n x="677"/>
        <n x="678"/>
      </t>
    </mdx>
    <mdx n="0" f="v">
      <t c="6" si="614">
        <n x="610"/>
        <n x="585"/>
        <n x="586"/>
        <n x="800" s="1"/>
        <n x="677"/>
        <n x="678"/>
      </t>
    </mdx>
    <mdx n="0" f="v">
      <t c="6" si="614">
        <n x="610"/>
        <n x="781"/>
        <n x="782"/>
        <n x="800" s="1"/>
        <n x="677"/>
        <n x="678"/>
      </t>
    </mdx>
    <mdx n="0" f="v">
      <t c="6" si="614">
        <n x="610"/>
        <n x="555"/>
        <n x="556"/>
        <n x="800" s="1"/>
        <n x="677"/>
        <n x="678"/>
      </t>
    </mdx>
    <mdx n="0" f="v">
      <t c="6" si="614">
        <n x="610"/>
        <n x="607"/>
        <n x="608"/>
        <n x="800" s="1"/>
        <n x="677"/>
        <n x="678"/>
      </t>
    </mdx>
    <mdx n="0" f="v">
      <t c="6" si="614">
        <n x="610"/>
        <n x="789"/>
        <n x="790"/>
        <n x="800" s="1"/>
        <n x="677"/>
        <n x="678"/>
      </t>
    </mdx>
    <mdx n="0" f="v">
      <t c="6" si="614">
        <n x="610"/>
        <n x="545"/>
        <n x="546"/>
        <n x="800" s="1"/>
        <n x="677"/>
        <n x="678"/>
      </t>
    </mdx>
    <mdx n="0" f="v">
      <t c="6" si="614">
        <n x="610"/>
        <n x="257"/>
        <n x="258"/>
        <n x="800" s="1"/>
        <n x="677"/>
        <n x="678"/>
      </t>
    </mdx>
    <mdx n="0" f="v">
      <t c="6" si="614">
        <n x="610"/>
        <n x="739"/>
        <n x="740"/>
        <n x="800" s="1"/>
        <n x="677"/>
        <n x="678"/>
      </t>
    </mdx>
    <mdx n="0" f="v">
      <t c="6" si="614">
        <n x="610"/>
        <n x="439"/>
        <n x="440"/>
        <n x="800" s="1"/>
        <n x="677"/>
        <n x="678"/>
      </t>
    </mdx>
    <mdx n="0" f="v">
      <t c="6" si="614">
        <n x="610"/>
        <n x="499"/>
        <n x="500"/>
        <n x="800" s="1"/>
        <n x="677"/>
        <n x="678"/>
      </t>
    </mdx>
    <mdx n="0" f="v">
      <t c="6" si="614">
        <n x="610"/>
        <n x="327"/>
        <n x="328"/>
        <n x="800" s="1"/>
        <n x="677"/>
        <n x="678"/>
      </t>
    </mdx>
    <mdx n="0" f="v">
      <t c="6" si="614">
        <n x="610"/>
        <n x="251"/>
        <n x="252"/>
        <n x="800" s="1"/>
        <n x="677"/>
        <n x="678"/>
      </t>
    </mdx>
    <mdx n="0" f="v">
      <t c="6" si="614">
        <n x="610"/>
        <n x="753"/>
        <n x="754"/>
        <n x="800" s="1"/>
        <n x="677"/>
        <n x="678"/>
      </t>
    </mdx>
    <mdx n="0" f="v">
      <t c="6" si="614">
        <n x="610"/>
        <n x="289"/>
        <n x="290"/>
        <n x="800" s="1"/>
        <n x="677"/>
        <n x="678"/>
      </t>
    </mdx>
    <mdx n="0" f="v">
      <t c="6" si="614">
        <n x="610"/>
        <n x="757"/>
        <n x="758"/>
        <n x="800" s="1"/>
        <n x="677"/>
        <n x="678"/>
      </t>
    </mdx>
    <mdx n="0" f="v">
      <t c="6" si="614">
        <n x="610"/>
        <n x="509"/>
        <n x="510"/>
        <n x="800" s="1"/>
        <n x="677"/>
        <n x="678"/>
      </t>
    </mdx>
    <mdx n="0" f="v">
      <t c="6" si="614">
        <n x="610"/>
        <n x="381"/>
        <n x="382"/>
        <n x="800" s="1"/>
        <n x="677"/>
        <n x="678"/>
      </t>
    </mdx>
    <mdx n="0" f="v">
      <t c="6" si="614">
        <n x="610"/>
        <n x="785"/>
        <n x="786"/>
        <n x="800" s="1"/>
        <n x="677"/>
        <n x="678"/>
      </t>
    </mdx>
    <mdx n="0" f="v">
      <t c="6" si="614">
        <n x="610"/>
        <n x="431"/>
        <n x="432"/>
        <n x="800" s="1"/>
        <n x="677"/>
        <n x="678"/>
      </t>
    </mdx>
    <mdx n="0" f="v">
      <t c="6" si="614">
        <n x="610"/>
        <n x="423"/>
        <n x="424"/>
        <n x="800" s="1"/>
        <n x="677"/>
        <n x="678"/>
      </t>
    </mdx>
    <mdx n="0" f="v">
      <t c="6" si="614">
        <n x="610"/>
        <n x="211"/>
        <n x="212"/>
        <n x="800" s="1"/>
        <n x="677"/>
        <n x="678"/>
      </t>
    </mdx>
    <mdx n="0" f="v">
      <t c="6" si="614">
        <n x="610"/>
        <n x="279"/>
        <n x="280"/>
        <n x="800" s="1"/>
        <n x="677"/>
        <n x="678"/>
      </t>
    </mdx>
    <mdx n="0" f="v">
      <t c="6" si="614">
        <n x="610"/>
        <n x="263"/>
        <n x="264"/>
        <n x="800" s="1"/>
        <n x="677"/>
        <n x="678"/>
      </t>
    </mdx>
    <mdx n="0" f="v">
      <t c="6" si="614">
        <n x="610"/>
        <n x="517"/>
        <n x="518"/>
        <n x="800" s="1"/>
        <n x="677"/>
        <n x="678"/>
      </t>
    </mdx>
    <mdx n="0" f="v">
      <t c="6" si="614">
        <n x="610"/>
        <n x="411"/>
        <n x="412"/>
        <n x="800" s="1"/>
        <n x="677"/>
        <n x="678"/>
      </t>
    </mdx>
    <mdx n="0" f="v">
      <t c="6" si="614">
        <n x="610"/>
        <n x="771"/>
        <n x="772"/>
        <n x="800" s="1"/>
        <n x="677"/>
        <n x="678"/>
      </t>
    </mdx>
    <mdx n="0" f="v">
      <t c="6" si="614">
        <n x="610"/>
        <n x="775"/>
        <n x="776"/>
        <n x="800" s="1"/>
        <n x="677"/>
        <n x="678"/>
      </t>
    </mdx>
    <mdx n="0" f="v">
      <t c="6" si="614">
        <n x="610"/>
        <n x="779"/>
        <n x="780"/>
        <n x="800" s="1"/>
        <n x="677"/>
        <n x="678"/>
      </t>
    </mdx>
    <mdx n="0" f="v">
      <t c="6" si="614">
        <n x="610"/>
        <n x="531"/>
        <n x="532"/>
        <n x="800" s="1"/>
        <n x="677"/>
        <n x="678"/>
      </t>
    </mdx>
    <mdx n="0" f="v">
      <t c="6" si="614">
        <n x="610"/>
        <n x="451"/>
        <n x="452"/>
        <n x="800" s="1"/>
        <n x="677"/>
        <n x="678"/>
      </t>
    </mdx>
    <mdx n="0" f="v">
      <t c="6" si="614">
        <n x="610"/>
        <n x="351"/>
        <n x="352"/>
        <n x="800" s="1"/>
        <n x="677"/>
        <n x="678"/>
      </t>
    </mdx>
    <mdx n="0" f="v">
      <t c="6" si="614">
        <n x="610"/>
        <n x="801"/>
        <n x="802"/>
        <n x="800" s="1"/>
        <n x="677"/>
        <n x="678"/>
      </t>
    </mdx>
    <mdx n="0" f="v">
      <t c="6" si="614">
        <n x="610"/>
        <n x="373"/>
        <n x="374"/>
        <n x="800" s="1"/>
        <n x="677"/>
        <n x="678"/>
      </t>
    </mdx>
    <mdx n="0" f="v">
      <t c="6" si="614">
        <n x="610"/>
        <n x="803"/>
        <n x="804"/>
        <n x="800" s="1"/>
        <n x="677"/>
        <n x="678"/>
      </t>
    </mdx>
    <mdx n="0" f="v">
      <t c="6" si="614">
        <n x="610"/>
        <n x="337"/>
        <n x="338"/>
        <n x="800" s="1"/>
        <n x="677"/>
        <n x="678"/>
      </t>
    </mdx>
    <mdx n="0" f="v">
      <t c="6" si="614">
        <n x="610"/>
        <n x="425"/>
        <n x="426"/>
        <n x="800" s="1"/>
        <n x="677"/>
        <n x="678"/>
      </t>
    </mdx>
    <mdx n="0" f="v">
      <t c="6" si="614">
        <n x="610"/>
        <n x="369"/>
        <n x="370"/>
        <n x="800" s="1"/>
        <n x="677"/>
        <n x="678"/>
      </t>
    </mdx>
    <mdx n="0" f="v">
      <t c="6" si="614">
        <n x="610"/>
        <n x="403"/>
        <n x="404"/>
        <n x="800" s="1"/>
        <n x="677"/>
        <n x="678"/>
      </t>
    </mdx>
    <mdx n="0" f="v">
      <t c="6" si="614">
        <n x="610"/>
        <n x="773"/>
        <n x="774"/>
        <n x="800" s="1"/>
        <n x="677"/>
        <n x="678"/>
      </t>
    </mdx>
    <mdx n="0" f="v">
      <t c="6" si="614">
        <n x="610"/>
        <n x="311"/>
        <n x="312"/>
        <n x="800" s="1"/>
        <n x="677"/>
        <n x="678"/>
      </t>
    </mdx>
    <mdx n="0" f="v">
      <t c="6" si="614">
        <n x="610"/>
        <n x="313"/>
        <n x="314"/>
        <n x="800" s="1"/>
        <n x="677"/>
        <n x="678"/>
      </t>
    </mdx>
    <mdx n="0" f="v">
      <t c="6" si="614">
        <n x="610"/>
        <n x="797"/>
        <n x="798"/>
        <n x="800" s="1"/>
        <n x="677"/>
        <n x="678"/>
      </t>
    </mdx>
    <mdx n="0" f="v">
      <t c="6" si="614">
        <n x="610"/>
        <n x="567"/>
        <n x="568"/>
        <n x="800" s="1"/>
        <n x="677"/>
        <n x="678"/>
      </t>
    </mdx>
    <mdx n="0" f="v">
      <t c="6" si="614">
        <n x="610"/>
        <n x="427"/>
        <n x="428"/>
        <n x="800" s="1"/>
        <n x="677"/>
        <n x="678"/>
      </t>
    </mdx>
    <mdx n="0" f="v">
      <t c="6" si="614">
        <n x="610"/>
        <n x="277"/>
        <n x="278"/>
        <n x="800" s="1"/>
        <n x="677"/>
        <n x="678"/>
      </t>
    </mdx>
    <mdx n="0" f="v">
      <t c="6" si="614">
        <n x="610"/>
        <n x="243"/>
        <n x="244"/>
        <n x="800" s="1"/>
        <n x="677"/>
        <n x="678"/>
      </t>
    </mdx>
    <mdx n="0" f="v">
      <t c="6" si="614">
        <n x="610"/>
        <n x="709"/>
        <n x="710"/>
        <n x="800" s="1"/>
        <n x="683"/>
        <n x="684"/>
      </t>
    </mdx>
    <mdx n="0" f="v">
      <t c="6" si="614">
        <n x="610"/>
        <n x="709"/>
        <n x="710"/>
        <n x="800" s="1"/>
        <n x="691"/>
        <n x="692"/>
      </t>
    </mdx>
    <mdx n="0" f="v">
      <t c="6" si="614">
        <n x="610"/>
        <n x="709"/>
        <n x="710"/>
        <n x="800" s="1"/>
        <n x="679"/>
        <n x="680"/>
      </t>
    </mdx>
    <mdx n="0" f="v">
      <t c="6" si="614">
        <n x="610"/>
        <n x="709"/>
        <n x="710"/>
        <n x="800" s="1"/>
        <n x="689"/>
        <n x="690"/>
      </t>
    </mdx>
    <mdx n="0" f="v">
      <t c="6" si="614">
        <n x="610"/>
        <n x="709"/>
        <n x="710"/>
        <n x="800" s="1"/>
        <n x="697"/>
        <n x="698"/>
      </t>
    </mdx>
    <mdx n="0" f="v">
      <t c="6" si="614">
        <n x="610"/>
        <n x="709"/>
        <n x="710"/>
        <n x="800" s="1"/>
        <n x="685"/>
        <n x="686"/>
      </t>
    </mdx>
    <mdx n="0" f="v">
      <t c="6" si="614">
        <n x="610"/>
        <n x="709"/>
        <n x="710"/>
        <n x="800" s="1"/>
        <n x="693"/>
        <n x="694"/>
      </t>
    </mdx>
    <mdx n="0" f="v">
      <t c="6" si="614">
        <n x="610"/>
        <n x="709"/>
        <n x="710"/>
        <n x="800" s="1"/>
        <n x="687"/>
        <n x="688"/>
      </t>
    </mdx>
    <mdx n="0" f="v">
      <t c="6" si="614">
        <n x="610"/>
        <n x="709"/>
        <n x="710"/>
        <n x="800" s="1"/>
        <n x="695"/>
        <n x="696"/>
      </t>
    </mdx>
    <mdx n="0" f="v">
      <t c="6" si="614">
        <n x="610"/>
        <n x="711"/>
        <n x="712"/>
        <n x="800" s="1"/>
        <n x="681"/>
        <n x="682"/>
      </t>
    </mdx>
    <mdx n="0" f="v">
      <t c="6" si="614">
        <n x="610"/>
        <n x="711"/>
        <n x="712"/>
        <n x="800" s="1"/>
        <n x="697"/>
        <n x="698"/>
      </t>
    </mdx>
    <mdx n="0" f="v">
      <t c="6" si="614">
        <n x="610"/>
        <n x="713"/>
        <n x="714"/>
        <n x="800" s="1"/>
        <n x="681"/>
        <n x="682"/>
      </t>
    </mdx>
    <mdx n="0" f="v">
      <t c="6" si="614">
        <n x="610"/>
        <n x="715"/>
        <n x="716"/>
        <n x="800" s="1"/>
        <n x="681"/>
        <n x="682"/>
      </t>
    </mdx>
    <mdx n="0" f="v">
      <t c="6" si="614">
        <n x="610"/>
        <n x="715"/>
        <n x="716"/>
        <n x="800" s="1"/>
        <n x="697"/>
        <n x="698"/>
      </t>
    </mdx>
    <mdx n="0" f="v">
      <t c="6" si="614">
        <n x="610"/>
        <n x="317"/>
        <n x="318"/>
        <n x="800" s="1"/>
        <n x="681"/>
        <n x="682"/>
      </t>
    </mdx>
    <mdx n="0" f="v">
      <t c="6" si="614">
        <n x="610"/>
        <n x="317"/>
        <n x="318"/>
        <n x="800" s="1"/>
        <n x="697"/>
        <n x="698"/>
      </t>
    </mdx>
    <mdx n="0" f="v">
      <t c="6" si="614">
        <n x="610"/>
        <n x="717"/>
        <n x="718"/>
        <n x="800" s="1"/>
        <n x="681"/>
        <n x="682"/>
      </t>
    </mdx>
    <mdx n="0" f="v">
      <t c="6" si="614">
        <n x="610"/>
        <n x="717"/>
        <n x="718"/>
        <n x="800" s="1"/>
        <n x="697"/>
        <n x="698"/>
      </t>
    </mdx>
    <mdx n="0" f="v">
      <t c="6" si="614">
        <n x="610"/>
        <n x="599"/>
        <n x="600"/>
        <n x="800" s="1"/>
        <n x="681"/>
        <n x="682"/>
      </t>
    </mdx>
    <mdx n="0" f="v">
      <t c="6" si="614">
        <n x="610"/>
        <n x="599"/>
        <n x="600"/>
        <n x="800" s="1"/>
        <n x="697"/>
        <n x="698"/>
      </t>
    </mdx>
    <mdx n="0" f="v">
      <t c="6" si="614">
        <n x="610"/>
        <n x="217"/>
        <n x="218"/>
        <n x="800" s="1"/>
        <n x="681"/>
        <n x="682"/>
      </t>
    </mdx>
    <mdx n="0" f="v">
      <t c="6" si="614">
        <n x="610"/>
        <n x="285"/>
        <n x="286"/>
        <n x="800" s="1"/>
        <n x="681"/>
        <n x="682"/>
      </t>
    </mdx>
    <mdx n="0" f="v">
      <t c="6" si="614">
        <n x="610"/>
        <n x="715"/>
        <n x="716"/>
        <n x="800" s="1"/>
        <n x="677"/>
        <n x="678"/>
      </t>
    </mdx>
    <mdx n="0" f="v">
      <t c="6" si="614">
        <n x="610"/>
        <n x="317"/>
        <n x="318"/>
        <n x="800" s="1"/>
        <n x="677"/>
        <n x="678"/>
      </t>
    </mdx>
    <mdx n="0" f="v">
      <t c="6" si="614">
        <n x="610"/>
        <n x="713"/>
        <n x="714"/>
        <n x="800" s="1"/>
        <n x="691"/>
        <n x="692"/>
      </t>
    </mdx>
    <mdx n="0" f="v">
      <t c="6" si="614">
        <n x="610"/>
        <n x="715"/>
        <n x="716"/>
        <n x="800" s="1"/>
        <n x="693"/>
        <n x="694"/>
      </t>
    </mdx>
    <mdx n="0" f="v">
      <t c="6" si="614">
        <n x="610"/>
        <n x="317"/>
        <n x="318"/>
        <n x="800" s="1"/>
        <n x="695"/>
        <n x="696"/>
      </t>
    </mdx>
    <mdx n="0" f="v">
      <t c="6" si="614">
        <n x="610"/>
        <n x="599"/>
        <n x="600"/>
        <n x="800" s="1"/>
        <n x="677"/>
        <n x="678"/>
      </t>
    </mdx>
    <mdx n="0" f="v">
      <t c="6" si="614">
        <n x="610"/>
        <n x="599"/>
        <n x="600"/>
        <n x="800" s="1"/>
        <n x="689"/>
        <n x="690"/>
      </t>
    </mdx>
    <mdx n="0" f="v">
      <t c="6" si="614">
        <n x="610"/>
        <n x="285"/>
        <n x="286"/>
        <n x="800" s="1"/>
        <n x="691"/>
        <n x="692"/>
      </t>
    </mdx>
    <mdx n="0" f="v">
      <t c="6" si="614">
        <n x="610"/>
        <n x="261"/>
        <n x="262"/>
        <n x="800" s="1"/>
        <n x="693"/>
        <n x="694"/>
      </t>
    </mdx>
    <mdx n="0" f="v">
      <t c="6" si="614">
        <n x="610"/>
        <n x="275"/>
        <n x="276"/>
        <n x="800" s="1"/>
        <n x="695"/>
        <n x="696"/>
      </t>
    </mdx>
    <mdx n="0" f="v">
      <t c="6" si="614">
        <n x="610"/>
        <n x="585"/>
        <n x="586"/>
        <n x="800" s="1"/>
        <n x="689"/>
        <n x="690"/>
      </t>
    </mdx>
    <mdx n="0" f="v">
      <t c="6" si="614">
        <n x="610"/>
        <n x="317"/>
        <n x="318"/>
        <n x="800" s="1"/>
        <n x="691"/>
        <n x="698"/>
      </t>
    </mdx>
    <mdx n="0" f="v">
      <t c="6" si="614">
        <n x="610"/>
        <n x="723"/>
        <n x="714"/>
        <n x="800" s="1"/>
        <n x="679"/>
        <n x="680"/>
      </t>
    </mdx>
    <mdx n="0" f="v">
      <t c="6" si="614">
        <n x="610"/>
        <n x="723"/>
        <n x="724"/>
        <n x="800" s="1"/>
        <n x="691"/>
        <n x="692"/>
      </t>
    </mdx>
    <mdx n="0" f="v">
      <t c="6" si="614">
        <n x="610"/>
        <n x="317"/>
        <n x="318"/>
        <n x="800" s="1"/>
        <n x="683"/>
        <n x="684"/>
      </t>
    </mdx>
    <mdx n="0" f="v">
      <t c="6" si="614">
        <n x="610"/>
        <n x="717"/>
        <n x="718"/>
        <n x="800" s="1"/>
        <n x="693"/>
        <n x="694"/>
      </t>
    </mdx>
    <mdx n="0" f="v">
      <t c="6" si="614">
        <n x="610"/>
        <n x="717"/>
        <n x="718"/>
        <n x="800" s="1"/>
        <n x="685"/>
        <n x="686"/>
      </t>
    </mdx>
    <mdx n="0" f="v">
      <t c="6" si="614">
        <n x="610"/>
        <n x="599"/>
        <n x="600"/>
        <n x="800" s="1"/>
        <n x="687"/>
        <n x="696"/>
      </t>
    </mdx>
    <mdx n="0" f="v">
      <t c="6" si="614">
        <n x="610"/>
        <n x="599"/>
        <n x="600"/>
        <n x="800" s="1"/>
        <n x="687"/>
        <n x="688"/>
      </t>
    </mdx>
    <mdx n="0" f="v">
      <t c="6" si="614">
        <n x="610"/>
        <n x="200"/>
        <n x="201"/>
        <n x="800" s="1"/>
        <n x="677"/>
        <n x="678"/>
      </t>
    </mdx>
    <mdx n="0" f="v">
      <t c="6" si="614">
        <n x="610"/>
        <n x="285"/>
        <n x="286"/>
        <n x="800" s="1"/>
        <n x="679"/>
        <n x="680"/>
      </t>
    </mdx>
    <mdx n="0" f="v">
      <t c="6" si="614">
        <n x="610"/>
        <n x="261"/>
        <n x="262"/>
        <n x="800" s="1"/>
        <n x="681"/>
        <n x="682"/>
      </t>
    </mdx>
    <mdx n="0" f="v">
      <t c="6" si="614">
        <n x="610"/>
        <n x="275"/>
        <n x="276"/>
        <n x="800" s="1"/>
        <n x="697"/>
        <n x="698"/>
      </t>
    </mdx>
    <mdx n="0" f="v">
      <t c="6" si="614">
        <n x="610"/>
        <n x="275"/>
        <n x="276"/>
        <n x="800" s="1"/>
        <n x="683"/>
        <n x="684"/>
      </t>
    </mdx>
    <mdx n="0" f="v">
      <t c="6" si="614">
        <n x="610"/>
        <n x="719"/>
        <n x="720"/>
        <n x="800" s="1"/>
        <n x="685"/>
        <n x="686"/>
      </t>
    </mdx>
    <mdx n="0" f="v">
      <t c="6" si="614">
        <n x="610"/>
        <n x="719"/>
        <n x="720"/>
        <n x="800" s="1"/>
        <n x="685"/>
        <n x="686"/>
      </t>
    </mdx>
    <mdx n="0" f="v">
      <t c="6" si="614">
        <n x="610"/>
        <n x="365"/>
        <n x="366"/>
        <n x="800" s="1"/>
        <n x="693"/>
        <n x="694"/>
      </t>
    </mdx>
    <mdx n="0" f="v">
      <t c="6" si="614">
        <n x="610"/>
        <n x="221"/>
        <n x="222"/>
        <n x="800" s="1"/>
        <n x="695"/>
        <n x="696"/>
      </t>
    </mdx>
    <mdx n="0" f="v">
      <t c="6" si="614">
        <n x="610"/>
        <n x="723"/>
        <n x="724"/>
        <n x="800" s="1"/>
        <n x="679"/>
        <n x="680"/>
      </t>
    </mdx>
    <mdx n="0" f="v">
      <t c="6" si="614">
        <n x="610"/>
        <n x="463"/>
        <n x="464"/>
        <n x="800" s="1"/>
        <n x="677"/>
        <n x="678"/>
      </t>
    </mdx>
    <mdx n="0" f="v">
      <t c="6" si="614">
        <n x="610"/>
        <n x="463"/>
        <n x="464"/>
        <n x="800" s="1"/>
        <n x="681"/>
        <n x="682"/>
      </t>
    </mdx>
    <mdx n="0" f="v">
      <t c="6" si="614">
        <n x="610"/>
        <n x="377"/>
        <n x="378"/>
        <n x="800" s="1"/>
        <n x="689"/>
        <n x="690"/>
      </t>
    </mdx>
    <mdx n="0" f="v">
      <t c="6" si="614">
        <n x="610"/>
        <n x="377"/>
        <n x="378"/>
        <n x="800" s="1"/>
        <n x="683"/>
        <n x="684"/>
      </t>
    </mdx>
    <mdx n="0" f="v">
      <t c="6" si="614">
        <n x="610"/>
        <n x="391"/>
        <n x="392"/>
        <n x="800" s="1"/>
        <n x="685"/>
        <n x="686"/>
      </t>
    </mdx>
    <mdx n="0" f="v">
      <t c="6" si="614">
        <n x="610"/>
        <n x="391"/>
        <n x="392"/>
        <n x="800" s="1"/>
        <n x="685"/>
        <n x="686"/>
      </t>
    </mdx>
    <mdx n="0" f="v">
      <t c="6" si="614">
        <n x="610"/>
        <n x="547"/>
        <n x="548"/>
        <n x="800" s="1"/>
        <n x="691"/>
        <n x="692"/>
      </t>
    </mdx>
    <mdx n="0" f="v">
      <t c="6" si="614">
        <n x="610"/>
        <n x="597"/>
        <n x="598"/>
        <n x="800" s="1"/>
        <n x="693"/>
        <n x="694"/>
      </t>
    </mdx>
    <mdx n="0" f="v">
      <t c="6" si="614">
        <n x="610"/>
        <n x="725"/>
        <n x="726"/>
        <n x="800" s="1"/>
        <n x="695"/>
        <n x="696"/>
      </t>
    </mdx>
    <mdx n="0" f="v">
      <t c="6" si="614">
        <n x="610"/>
        <n x="725"/>
        <n x="726"/>
        <n x="800" s="1"/>
        <n x="695"/>
        <n x="696"/>
      </t>
    </mdx>
    <mdx n="0" f="v">
      <t c="6" si="614">
        <n x="610"/>
        <n x="365"/>
        <n x="366"/>
        <n x="800" s="1"/>
        <n x="681"/>
        <n x="682"/>
      </t>
    </mdx>
    <mdx n="0" f="v">
      <t c="6" si="614">
        <n x="610"/>
        <n x="221"/>
        <n x="222"/>
        <n x="800" s="1"/>
        <n x="683"/>
        <n x="684"/>
      </t>
    </mdx>
    <mdx n="0" f="v">
      <t c="6" si="614">
        <n x="610"/>
        <n x="221"/>
        <n x="222"/>
        <n x="800" s="1"/>
        <n x="683"/>
        <n x="684"/>
      </t>
    </mdx>
    <mdx n="0" f="v">
      <t c="6" si="614">
        <n x="610"/>
        <n x="461"/>
        <n x="462"/>
        <n x="800" s="1"/>
        <n x="685"/>
        <n x="686"/>
      </t>
    </mdx>
    <mdx n="0" f="v">
      <t c="6" si="614">
        <n x="610"/>
        <n x="461"/>
        <n x="462"/>
        <n x="800" s="1"/>
        <n x="685"/>
        <n x="686"/>
      </t>
    </mdx>
    <mdx n="0" f="v">
      <t c="6" si="614">
        <n x="610"/>
        <n x="397"/>
        <n x="398"/>
        <n x="800" s="1"/>
        <n x="697"/>
        <n x="698"/>
      </t>
    </mdx>
    <mdx n="0" f="v">
      <t c="6" si="614">
        <n x="610"/>
        <n x="397"/>
        <n x="398"/>
        <n x="800" s="1"/>
        <n x="697"/>
        <n x="698"/>
      </t>
    </mdx>
    <mdx n="0" f="v">
      <t c="6" si="614">
        <n x="610"/>
        <n x="557"/>
        <n x="558"/>
        <n x="800" s="1"/>
        <n x="669"/>
        <n x="670"/>
      </t>
    </mdx>
    <mdx n="0" f="v">
      <t c="6" si="614">
        <n x="610"/>
        <n x="547"/>
        <n x="548"/>
        <n x="800" s="1"/>
        <n x="691"/>
        <n x="692"/>
      </t>
    </mdx>
    <mdx n="0" f="v">
      <t c="6" si="614">
        <n x="610"/>
        <n x="547"/>
        <n x="548"/>
        <n x="800" s="1"/>
        <n x="679"/>
        <n x="680"/>
      </t>
    </mdx>
    <mdx n="0" f="v">
      <t c="6" si="614">
        <n x="610"/>
        <n x="597"/>
        <n x="598"/>
        <n x="800" s="1"/>
        <n x="681"/>
        <n x="682"/>
      </t>
    </mdx>
    <mdx n="0" f="v">
      <t c="6" si="614">
        <n x="610"/>
        <n x="729"/>
        <n x="730"/>
        <n x="800" s="1"/>
        <n x="695"/>
        <n x="696"/>
      </t>
    </mdx>
    <mdx n="0" f="v">
      <t c="6" si="614">
        <n x="610"/>
        <n x="555"/>
        <n x="556"/>
        <n x="800" s="1"/>
        <n x="677"/>
        <n x="678"/>
      </t>
    </mdx>
    <mdx n="0" f="v">
      <t c="6" si="614">
        <n x="610"/>
        <n x="555"/>
        <n x="556"/>
        <n x="800" s="1"/>
        <n x="689"/>
        <n x="690"/>
      </t>
    </mdx>
    <mdx n="0" f="v">
      <t c="6" si="614">
        <n x="610"/>
        <n x="555"/>
        <n x="556"/>
        <n x="800" s="1"/>
        <n x="689"/>
        <n x="690"/>
      </t>
    </mdx>
    <mdx n="0" f="v">
      <t c="6" si="614">
        <n x="610"/>
        <n x="237"/>
        <n x="238"/>
        <n x="800" s="1"/>
        <n x="669"/>
        <n x="670"/>
      </t>
    </mdx>
    <mdx n="0" f="v">
      <t c="6" si="614">
        <n x="610"/>
        <n x="237"/>
        <n x="238"/>
        <n x="800" s="1"/>
        <n x="697"/>
        <n x="698"/>
      </t>
    </mdx>
    <mdx n="0" f="v">
      <t c="6" si="614">
        <n x="610"/>
        <n x="557"/>
        <n x="558"/>
        <n x="800" s="1"/>
        <n x="679"/>
        <n x="680"/>
      </t>
    </mdx>
    <mdx n="0" f="v">
      <t c="6" si="614">
        <n x="610"/>
        <n x="727"/>
        <n x="728"/>
        <n x="800" s="1"/>
        <n x="681"/>
        <n x="682"/>
      </t>
    </mdx>
    <mdx n="0" f="v">
      <t c="6" si="614">
        <n x="610"/>
        <n x="731"/>
        <n x="732"/>
        <n x="800" s="1"/>
        <n x="693"/>
        <n x="694"/>
      </t>
    </mdx>
    <mdx n="0" f="v">
      <t c="6" si="614">
        <n x="610"/>
        <n x="541"/>
        <n x="542"/>
        <n x="800" s="1"/>
        <n x="685"/>
        <n x="686"/>
      </t>
    </mdx>
    <mdx n="0" f="v">
      <t c="6" si="614">
        <n x="610"/>
        <n x="555"/>
        <n x="556"/>
        <n x="800" s="1"/>
        <n x="687"/>
        <n x="688"/>
      </t>
    </mdx>
    <mdx n="0" f="v">
      <t c="6" si="614">
        <n x="610"/>
        <n x="607"/>
        <n x="608"/>
        <n x="800" s="1"/>
        <n x="689"/>
        <n x="670"/>
      </t>
    </mdx>
    <mdx n="0" f="v">
      <t c="6" si="614">
        <n x="610"/>
        <n x="607"/>
        <n x="608"/>
        <n x="800" s="1"/>
        <n x="689"/>
        <n x="690"/>
      </t>
    </mdx>
    <mdx n="0" f="v">
      <t c="6" si="614">
        <n x="610"/>
        <n x="495"/>
        <n x="496"/>
        <n x="800" s="1"/>
        <n x="679"/>
        <n x="680"/>
      </t>
    </mdx>
    <mdx n="0" f="v">
      <t c="6" si="614">
        <n x="610"/>
        <n x="731"/>
        <n x="454"/>
        <n x="800" s="1"/>
        <n x="697"/>
        <n x="698"/>
      </t>
    </mdx>
    <mdx n="0" f="v">
      <t c="6" si="614">
        <n x="610"/>
        <n x="731"/>
        <n x="732"/>
        <n x="800" s="1"/>
        <n x="681"/>
        <n x="682"/>
      </t>
    </mdx>
    <mdx n="0" f="v">
      <t c="6" si="614">
        <n x="610"/>
        <n x="541"/>
        <n x="542"/>
        <n x="800" s="1"/>
        <n x="683"/>
        <n x="684"/>
      </t>
    </mdx>
    <mdx n="0" f="v">
      <t c="6" si="614">
        <n x="610"/>
        <n x="603"/>
        <n x="604"/>
        <n x="800" s="1"/>
        <n x="685"/>
        <n x="686"/>
      </t>
    </mdx>
    <mdx n="0" f="v">
      <t c="6" si="614">
        <n x="610"/>
        <n x="607"/>
        <n x="608"/>
        <n x="800" s="1"/>
        <n x="687"/>
        <n x="688"/>
      </t>
    </mdx>
    <mdx n="0" f="v">
      <t c="6" si="614">
        <n x="610"/>
        <n x="363"/>
        <n x="364"/>
        <n x="800" s="1"/>
        <n x="679"/>
        <n x="680"/>
      </t>
    </mdx>
    <mdx n="0" f="v">
      <t c="6" si="614">
        <n x="610"/>
        <n x="363"/>
        <n x="364"/>
        <n x="800" s="1"/>
        <n x="689"/>
        <n x="690"/>
      </t>
    </mdx>
    <mdx n="0" f="v">
      <t c="6" si="614">
        <n x="610"/>
        <n x="363"/>
        <n x="364"/>
        <n x="800" s="1"/>
        <n x="689"/>
        <n x="690"/>
      </t>
    </mdx>
    <mdx n="0" f="v">
      <t c="6" si="614">
        <n x="610"/>
        <n x="715"/>
        <n x="716"/>
        <n x="800" s="1"/>
        <n x="691"/>
        <n x="692"/>
      </t>
    </mdx>
    <mdx n="0" f="v">
      <t c="6" si="614">
        <n x="610"/>
        <n x="217"/>
        <n x="218"/>
        <n x="800" s="1"/>
        <n x="693"/>
        <n x="694"/>
      </t>
    </mdx>
    <mdx n="0" f="v">
      <t c="6" si="614">
        <n x="610"/>
        <n x="261"/>
        <n x="262"/>
        <n x="800" s="1"/>
        <n x="689"/>
        <n x="690"/>
      </t>
    </mdx>
    <mdx n="0" f="v">
      <t c="6" si="614">
        <n x="610"/>
        <n x="275"/>
        <n x="276"/>
        <n x="800" s="1"/>
        <n x="681"/>
        <n x="682"/>
      </t>
    </mdx>
    <mdx n="0" f="v">
      <t c="6" si="614">
        <n x="610"/>
        <n x="275"/>
        <n x="276"/>
        <n x="800" s="1"/>
        <n x="691"/>
        <n x="692"/>
      </t>
    </mdx>
    <mdx n="0" f="v">
      <t c="6" si="614">
        <n x="610"/>
        <n x="721"/>
        <n x="722"/>
        <n x="800" s="1"/>
        <n x="681"/>
        <n x="682"/>
      </t>
    </mdx>
    <mdx n="0" f="v">
      <t c="6" si="614">
        <n x="610"/>
        <n x="377"/>
        <n x="378"/>
        <n x="800" s="1"/>
        <n x="679"/>
        <n x="680"/>
      </t>
    </mdx>
    <mdx n="0" f="v">
      <t c="6" si="614">
        <n x="610"/>
        <n x="377"/>
        <n x="378"/>
        <n x="800" s="1"/>
        <n x="697"/>
        <n x="698"/>
      </t>
    </mdx>
    <mdx n="0" f="v">
      <t c="6" si="614">
        <n x="610"/>
        <n x="391"/>
        <n x="392"/>
        <n x="800" s="1"/>
        <n x="683"/>
        <n x="684"/>
      </t>
    </mdx>
    <mdx n="0" f="v">
      <t c="6" si="614">
        <n x="610"/>
        <n x="391"/>
        <n x="392"/>
        <n x="800" s="1"/>
        <n x="693"/>
        <n x="694"/>
      </t>
    </mdx>
    <mdx n="0" f="v">
      <t c="6" si="614">
        <n x="610"/>
        <n x="379"/>
        <n x="380"/>
        <n x="800" s="1"/>
        <n x="677"/>
        <n x="678"/>
      </t>
    </mdx>
    <mdx n="0" f="v">
      <t c="6" si="614">
        <n x="610"/>
        <n x="239"/>
        <n x="240"/>
        <n x="800" s="1"/>
        <n x="681"/>
        <n x="682"/>
      </t>
    </mdx>
    <mdx n="0" f="v">
      <t c="6" si="614">
        <n x="610"/>
        <n x="221"/>
        <n x="222"/>
        <n x="800" s="1"/>
        <n x="689"/>
        <n x="690"/>
      </t>
    </mdx>
    <mdx n="0" f="v">
      <t c="6" si="614">
        <n x="610"/>
        <n x="461"/>
        <n x="462"/>
        <n x="800" s="1"/>
        <n x="681"/>
        <n x="682"/>
      </t>
    </mdx>
    <mdx n="0" f="v">
      <t c="6" si="614">
        <n x="610"/>
        <n x="397"/>
        <n x="398"/>
        <n x="800" s="1"/>
        <n x="685"/>
        <n x="686"/>
      </t>
    </mdx>
    <mdx n="0" f="v">
      <t c="6" si="614">
        <n x="610"/>
        <n x="597"/>
        <n x="598"/>
        <n x="800" s="1"/>
        <n x="683"/>
        <n x="684"/>
      </t>
    </mdx>
    <mdx n="0" f="v">
      <t c="6" si="614">
        <n x="610"/>
        <n x="457"/>
        <n x="458"/>
        <n x="800" s="1"/>
        <n x="679"/>
        <n x="680"/>
      </t>
    </mdx>
    <mdx n="0" f="v">
      <t c="6" si="614">
        <n x="610"/>
        <n x="457"/>
        <n x="458"/>
        <n x="800" s="1"/>
        <n x="697"/>
        <n x="698"/>
      </t>
    </mdx>
    <mdx n="0" f="v">
      <t c="6" si="614">
        <n x="610"/>
        <n x="231"/>
        <n x="232"/>
        <n x="800" s="1"/>
        <n x="683"/>
        <n x="684"/>
      </t>
    </mdx>
    <mdx n="0" f="v">
      <t c="6" si="614">
        <n x="610"/>
        <n x="601"/>
        <n x="602"/>
        <n x="800" s="1"/>
        <n x="687"/>
        <n x="688"/>
      </t>
    </mdx>
    <mdx n="0" f="v">
      <t c="6" si="614">
        <n x="610"/>
        <n x="557"/>
        <n x="558"/>
        <n x="800" s="1"/>
        <n x="689"/>
        <n x="690"/>
      </t>
    </mdx>
    <mdx n="0" f="v">
      <t c="6" si="614">
        <n x="610"/>
        <n x="729"/>
        <n x="730"/>
        <n x="800" s="1"/>
        <n x="685"/>
        <n x="686"/>
      </t>
    </mdx>
    <mdx n="0" f="v">
      <t c="6" si="614">
        <n x="610"/>
        <n x="367"/>
        <n x="368"/>
        <n x="800" s="1"/>
        <n x="689"/>
        <n x="690"/>
      </t>
    </mdx>
    <mdx n="0" f="v">
      <t c="6" si="614">
        <n x="610"/>
        <n x="555"/>
        <n x="556"/>
        <n x="800" s="1"/>
        <n x="681"/>
        <n x="682"/>
      </t>
    </mdx>
    <mdx n="0" f="v">
      <t c="6" si="614">
        <n x="610"/>
        <n x="237"/>
        <n x="238"/>
        <n x="800" s="1"/>
        <n x="685"/>
        <n x="686"/>
      </t>
    </mdx>
    <mdx n="0" f="v">
      <t c="6" si="614">
        <n x="610"/>
        <n x="731"/>
        <n x="732"/>
        <n x="800" s="1"/>
        <n x="679"/>
        <n x="680"/>
      </t>
    </mdx>
    <mdx n="0" f="v">
      <t c="6" si="614">
        <n x="610"/>
        <n x="731"/>
        <n x="732"/>
        <n x="800" s="1"/>
        <n x="697"/>
        <n x="698"/>
      </t>
    </mdx>
    <mdx n="0" f="v">
      <t c="6" si="614">
        <n x="610"/>
        <n x="603"/>
        <n x="604"/>
        <n x="800" s="1"/>
        <n x="687"/>
        <n x="688"/>
      </t>
    </mdx>
    <mdx n="0" f="v">
      <t c="6" si="614">
        <n x="610"/>
        <n x="607"/>
        <n x="608"/>
        <n x="800" s="1"/>
        <n x="679"/>
        <n x="680"/>
      </t>
    </mdx>
    <mdx n="0" f="v">
      <t c="6" si="614">
        <n x="610"/>
        <n x="453"/>
        <n x="454"/>
        <n x="800" s="1"/>
        <n x="683"/>
        <n x="684"/>
      </t>
    </mdx>
    <mdx n="0" f="v">
      <t c="6" si="614">
        <n x="610"/>
        <n x="363"/>
        <n x="364"/>
        <n x="800" s="1"/>
        <n x="695"/>
        <n x="696"/>
      </t>
    </mdx>
    <mdx n="0" f="v">
      <t c="6" si="614">
        <n x="610"/>
        <n x="413"/>
        <n x="414"/>
        <n x="800" s="1"/>
        <n x="679"/>
        <n x="680"/>
      </t>
    </mdx>
    <mdx n="0" f="v">
      <t c="6" si="614">
        <n x="610"/>
        <n x="235"/>
        <n x="236"/>
        <n x="800" s="1"/>
        <n x="681"/>
        <n x="682"/>
      </t>
    </mdx>
    <mdx n="0" f="v">
      <t c="6" si="614">
        <n x="610"/>
        <n x="235"/>
        <n x="236"/>
        <n x="800" s="1"/>
        <n x="691"/>
        <n x="692"/>
      </t>
    </mdx>
    <mdx n="0" f="v">
      <t c="6" si="614">
        <n x="610"/>
        <n x="281"/>
        <n x="282"/>
        <n x="800" s="1"/>
        <n x="695"/>
        <n x="696"/>
      </t>
    </mdx>
    <mdx n="0" f="v">
      <t c="6" si="614">
        <n x="610"/>
        <n x="389"/>
        <n x="390"/>
        <n x="800" s="1"/>
        <n x="677"/>
        <n x="678"/>
      </t>
    </mdx>
    <mdx n="0" f="v">
      <t c="6" si="614">
        <n x="610"/>
        <n x="271"/>
        <n x="272"/>
        <n x="800" s="1"/>
        <n x="679"/>
        <n x="680"/>
      </t>
    </mdx>
    <mdx n="0" f="v">
      <t c="6" si="614">
        <n x="610"/>
        <n x="735"/>
        <n x="736"/>
        <n x="800" s="1"/>
        <n x="681"/>
        <n x="682"/>
      </t>
    </mdx>
    <mdx n="0" f="v">
      <t c="6" si="614">
        <n x="610"/>
        <n x="283"/>
        <n x="284"/>
        <n x="800" s="1"/>
        <n x="693"/>
        <n x="694"/>
      </t>
    </mdx>
    <mdx n="0" f="v">
      <t c="6" si="614">
        <n x="610"/>
        <n x="277"/>
        <n x="278"/>
        <n x="800" s="1"/>
        <n x="695"/>
        <n x="696"/>
      </t>
    </mdx>
    <mdx n="0" f="v">
      <t c="6" si="614">
        <n x="610"/>
        <n x="387"/>
        <n x="388"/>
        <n x="800" s="1"/>
        <n x="679"/>
        <n x="680"/>
      </t>
    </mdx>
    <mdx n="0" f="v">
      <t c="6" si="614">
        <n x="610"/>
        <n x="257"/>
        <n x="258"/>
        <n x="800" s="1"/>
        <n x="681"/>
        <n x="682"/>
      </t>
    </mdx>
    <mdx n="0" f="v">
      <t c="6" si="614">
        <n x="610"/>
        <n x="401"/>
        <n x="402"/>
        <n x="800" s="1"/>
        <n x="695"/>
        <n x="696"/>
      </t>
    </mdx>
    <mdx n="0" f="v">
      <t c="6" si="614">
        <n x="610"/>
        <n x="737"/>
        <n x="738"/>
        <n x="800" s="1"/>
        <n x="679"/>
        <n x="680"/>
      </t>
    </mdx>
    <mdx n="0" f="v">
      <t c="6" si="614">
        <n x="610"/>
        <n x="739"/>
        <n x="740"/>
        <n x="800" s="1"/>
        <n x="681"/>
        <n x="682"/>
      </t>
    </mdx>
    <mdx n="0" f="v">
      <t c="6" si="614">
        <n x="610"/>
        <n x="741"/>
        <n x="318"/>
        <n x="800" s="1"/>
        <n x="685"/>
        <n x="686"/>
      </t>
    </mdx>
    <mdx n="0" f="v">
      <t c="6" si="614">
        <n x="610"/>
        <n x="435"/>
        <n x="436"/>
        <n x="800" s="1"/>
        <n x="695"/>
        <n x="696"/>
      </t>
    </mdx>
    <mdx n="0" f="v">
      <t c="6" si="614">
        <n x="610"/>
        <n x="435"/>
        <n x="436"/>
        <n x="800" s="1"/>
        <n x="695"/>
        <n x="696"/>
      </t>
    </mdx>
    <mdx n="0" f="v">
      <t c="6" si="614">
        <n x="610"/>
        <n x="217"/>
        <n x="218"/>
        <n x="800" s="1"/>
        <n x="685"/>
        <n x="686"/>
      </t>
    </mdx>
    <mdx n="0" f="v">
      <t c="6" si="614">
        <n x="610"/>
        <n x="455"/>
        <n x="456"/>
        <n x="800" s="1"/>
        <n x="677"/>
        <n x="678"/>
      </t>
    </mdx>
    <mdx n="0" f="v">
      <t c="6" si="614">
        <n x="610"/>
        <n x="285"/>
        <n x="286"/>
        <n x="800" s="1"/>
        <n x="687"/>
        <n x="688"/>
      </t>
    </mdx>
    <mdx n="0" f="v">
      <t c="6" si="614">
        <n x="610"/>
        <n x="261"/>
        <n x="262"/>
        <n x="800" s="1"/>
        <n x="677"/>
        <n x="678"/>
      </t>
    </mdx>
    <mdx n="0" f="v">
      <t c="6" si="614">
        <n x="610"/>
        <n x="275"/>
        <n x="276"/>
        <n x="800" s="1"/>
        <n x="693"/>
        <n x="694"/>
      </t>
    </mdx>
    <mdx n="0" f="v">
      <t c="6" si="614">
        <n x="610"/>
        <n x="721"/>
        <n x="722"/>
        <n x="800" s="1"/>
        <n x="691"/>
        <n x="692"/>
      </t>
    </mdx>
    <mdx n="0" f="v">
      <t c="6" si="614">
        <n x="610"/>
        <n x="723"/>
        <n x="724"/>
        <n x="800" s="1"/>
        <n x="685"/>
        <n x="686"/>
      </t>
    </mdx>
    <mdx n="0" f="v">
      <t c="6" si="614">
        <n x="610"/>
        <n x="723"/>
        <n x="724"/>
        <n x="800" s="1"/>
        <n x="685"/>
        <n x="686"/>
      </t>
    </mdx>
    <mdx n="0" f="v">
      <t c="6" si="614">
        <n x="610"/>
        <n x="723"/>
        <n x="724"/>
        <n x="800" s="1"/>
        <n x="695"/>
        <n x="696"/>
      </t>
    </mdx>
    <mdx n="0" f="v">
      <t c="6" si="614">
        <n x="610"/>
        <n x="723"/>
        <n x="724"/>
        <n x="800" s="1"/>
        <n x="695"/>
        <n x="696"/>
      </t>
    </mdx>
    <mdx n="0" f="v">
      <t c="6" si="614">
        <n x="610"/>
        <n x="393"/>
        <n x="394"/>
        <n x="800" s="1"/>
        <n x="695"/>
        <n x="696"/>
      </t>
    </mdx>
    <mdx n="0" f="v">
      <t c="6" si="614">
        <n x="610"/>
        <n x="379"/>
        <n x="380"/>
        <n x="800" s="1"/>
        <n x="679"/>
        <n x="680"/>
      </t>
    </mdx>
    <mdx n="0" f="v">
      <t c="6" si="614">
        <n x="610"/>
        <n x="239"/>
        <n x="240"/>
        <n x="800" s="1"/>
        <n x="683"/>
        <n x="684"/>
      </t>
    </mdx>
    <mdx n="0" f="v">
      <t c="6" si="614">
        <n x="610"/>
        <n x="239"/>
        <n x="240"/>
        <n x="800" s="1"/>
        <n x="683"/>
        <n x="684"/>
      </t>
    </mdx>
    <mdx n="0" f="v">
      <t c="6" si="614">
        <n x="610"/>
        <n x="239"/>
        <n x="240"/>
        <n x="800" s="1"/>
        <n x="669"/>
        <n x="670"/>
      </t>
    </mdx>
    <mdx n="0" f="v">
      <t c="6" si="614">
        <n x="610"/>
        <n x="365"/>
        <n x="366"/>
        <n x="800" s="1"/>
        <n x="687"/>
        <n x="688"/>
      </t>
    </mdx>
    <mdx n="0" f="v">
      <t c="6" si="614">
        <n x="610"/>
        <n x="221"/>
        <n x="222"/>
        <n x="800" s="1"/>
        <n x="677"/>
        <n x="678"/>
      </t>
    </mdx>
    <mdx n="0" f="v">
      <t c="6" si="614">
        <n x="610"/>
        <n x="397"/>
        <n x="398"/>
        <n x="800" s="1"/>
        <n x="695"/>
        <n x="696"/>
      </t>
    </mdx>
    <mdx n="0" f="v">
      <t c="6" si="614">
        <n x="610"/>
        <n x="397"/>
        <n x="398"/>
        <n x="800" s="1"/>
        <n x="695"/>
        <n x="696"/>
      </t>
    </mdx>
    <mdx n="0" f="v">
      <t c="6" si="614">
        <n x="610"/>
        <n x="491"/>
        <n x="492"/>
        <n x="800" s="1"/>
        <n x="685"/>
        <n x="686"/>
      </t>
    </mdx>
    <mdx n="0" f="v">
      <t c="6" si="614">
        <n x="610"/>
        <n x="597"/>
        <n x="598"/>
        <n x="800" s="1"/>
        <n x="695"/>
        <n x="696"/>
      </t>
    </mdx>
    <mdx n="0" f="v">
      <t c="6" si="614">
        <n x="610"/>
        <n x="597"/>
        <n x="598"/>
        <n x="800" s="1"/>
        <n x="695"/>
        <n x="696"/>
      </t>
    </mdx>
    <mdx n="0" f="v">
      <t c="6" si="614">
        <n x="610"/>
        <n x="725"/>
        <n x="726"/>
        <n x="800" s="1"/>
        <n x="669"/>
        <n x="670"/>
      </t>
    </mdx>
    <mdx n="0" f="v">
      <t c="6" si="614">
        <n x="610"/>
        <n x="231"/>
        <n x="232"/>
        <n x="800" s="1"/>
        <n x="669"/>
        <n x="670"/>
      </t>
    </mdx>
    <mdx n="0" f="v">
      <t c="6" si="614">
        <n x="610"/>
        <n x="231"/>
        <n x="232"/>
        <n x="800" s="1"/>
        <n x="693"/>
        <n x="694"/>
      </t>
    </mdx>
    <mdx n="0" f="v">
      <t c="6" si="614">
        <n x="610"/>
        <n x="557"/>
        <n x="558"/>
        <n x="800" s="1"/>
        <n x="677"/>
        <n x="678"/>
      </t>
    </mdx>
    <mdx n="0" f="v">
      <t c="6" si="614">
        <n x="610"/>
        <n x="557"/>
        <n x="558"/>
        <n x="800" s="1"/>
        <n x="697"/>
        <n x="698"/>
      </t>
    </mdx>
    <mdx n="0" f="v">
      <t c="6" si="614">
        <n x="610"/>
        <n x="729"/>
        <n x="730"/>
        <n x="800" s="1"/>
        <n x="687"/>
        <n x="688"/>
      </t>
    </mdx>
    <mdx n="0" f="v">
      <t c="6" si="614">
        <n x="610"/>
        <n x="555"/>
        <n x="556"/>
        <n x="800" s="1"/>
        <n x="691"/>
        <n x="692"/>
      </t>
    </mdx>
    <mdx n="0" f="v">
      <t c="6" si="614">
        <n x="610"/>
        <n x="437"/>
        <n x="438"/>
        <n x="800" s="1"/>
        <n x="677"/>
        <n x="678"/>
      </t>
    </mdx>
    <mdx n="0" f="v">
      <t c="6" si="614">
        <n x="610"/>
        <n x="437"/>
        <n x="438"/>
        <n x="800" s="1"/>
        <n x="677"/>
        <n x="678"/>
      </t>
    </mdx>
    <mdx n="0" f="v">
      <t c="6" si="614">
        <n x="610"/>
        <n x="437"/>
        <n x="438"/>
        <n x="800" s="1"/>
        <n x="669"/>
        <n x="670"/>
      </t>
    </mdx>
    <mdx n="0" f="v">
      <t c="6" si="614">
        <n x="610"/>
        <n x="731"/>
        <n x="732"/>
        <n x="800" s="1"/>
        <n x="691"/>
        <n x="692"/>
      </t>
    </mdx>
    <mdx n="0" f="v">
      <t c="6" si="614">
        <n x="610"/>
        <n x="513"/>
        <n x="514"/>
        <n x="800" s="1"/>
        <n x="693"/>
        <n x="694"/>
      </t>
    </mdx>
    <mdx n="0" f="v">
      <t c="6" si="614">
        <n x="610"/>
        <n x="513"/>
        <n x="514"/>
        <n x="800" s="1"/>
        <n x="677"/>
        <n x="678"/>
      </t>
    </mdx>
    <mdx n="0" f="v">
      <t c="6" si="614">
        <n x="610"/>
        <n x="363"/>
        <n x="364"/>
        <n x="800" s="1"/>
        <n x="687"/>
        <n x="688"/>
      </t>
    </mdx>
    <mdx n="0" f="v">
      <t c="6" si="614">
        <n x="610"/>
        <n x="595"/>
        <n x="596"/>
        <n x="800" s="1"/>
        <n x="689"/>
        <n x="690"/>
      </t>
    </mdx>
    <mdx n="0" f="v">
      <t c="6" si="614">
        <n x="610"/>
        <n x="413"/>
        <n x="414"/>
        <n x="800" s="1"/>
        <n x="697"/>
        <n x="698"/>
      </t>
    </mdx>
    <mdx n="0" f="v">
      <t c="6" si="614">
        <n x="610"/>
        <n x="235"/>
        <n x="236"/>
        <n x="800" s="1"/>
        <n x="683"/>
        <n x="684"/>
      </t>
    </mdx>
    <mdx n="0" f="v">
      <t c="6" si="614">
        <n x="610"/>
        <n x="235"/>
        <n x="236"/>
        <n x="800" s="1"/>
        <n x="683"/>
        <n x="684"/>
      </t>
    </mdx>
    <mdx n="0" f="v">
      <t c="6" si="614">
        <n x="610"/>
        <n x="733"/>
        <n x="734"/>
        <n x="800" s="1"/>
        <n x="685"/>
        <n x="686"/>
      </t>
    </mdx>
    <mdx n="0" f="v">
      <t c="6" si="614">
        <n x="610"/>
        <n x="733"/>
        <n x="734"/>
        <n x="800" s="1"/>
        <n x="685"/>
        <n x="686"/>
      </t>
    </mdx>
    <mdx n="0" f="v">
      <t c="6" si="614">
        <n x="610"/>
        <n x="281"/>
        <n x="282"/>
        <n x="800" s="1"/>
        <n x="687"/>
        <n x="688"/>
      </t>
    </mdx>
    <mdx n="0" f="v">
      <t c="6" si="614">
        <n x="610"/>
        <n x="281"/>
        <n x="282"/>
        <n x="800" s="1"/>
        <n x="687"/>
        <n x="688"/>
      </t>
    </mdx>
    <mdx n="0" f="v">
      <t c="6" si="614">
        <n x="610"/>
        <n x="747"/>
        <n x="748"/>
        <n x="800" s="1"/>
        <n x="689"/>
        <n x="690"/>
      </t>
    </mdx>
    <mdx n="0" f="v">
      <t c="6" si="614">
        <n x="610"/>
        <n x="747"/>
        <n x="748"/>
        <n x="800" s="1"/>
        <n x="677"/>
        <n x="678"/>
      </t>
    </mdx>
    <mdx n="0" f="v">
      <t c="6" si="614">
        <n x="610"/>
        <n x="271"/>
        <n x="272"/>
        <n x="800" s="1"/>
        <n x="697"/>
        <n x="698"/>
      </t>
    </mdx>
    <mdx n="0" f="v">
      <t c="6" si="614">
        <n x="610"/>
        <n x="735"/>
        <n x="736"/>
        <n x="800" s="1"/>
        <n x="683"/>
        <n x="684"/>
      </t>
    </mdx>
    <mdx n="0" f="v">
      <t c="6" si="614">
        <n x="610"/>
        <n x="283"/>
        <n x="284"/>
        <n x="800" s="1"/>
        <n x="685"/>
        <n x="686"/>
      </t>
    </mdx>
    <mdx n="0" f="v">
      <t c="6" si="614">
        <n x="610"/>
        <n x="277"/>
        <n x="278"/>
        <n x="800" s="1"/>
        <n x="687"/>
        <n x="688"/>
      </t>
    </mdx>
    <mdx n="0" f="v">
      <t c="6" si="614">
        <n x="610"/>
        <n x="443"/>
        <n x="444"/>
        <n x="800" s="1"/>
        <n x="669"/>
        <n x="670"/>
      </t>
    </mdx>
    <mdx n="0" f="v">
      <t c="6" si="614">
        <n x="610"/>
        <n x="525"/>
        <n x="526"/>
        <n x="800" s="1"/>
        <n x="689"/>
        <n x="690"/>
      </t>
    </mdx>
    <mdx n="0" f="v">
      <t c="6" si="614">
        <n x="610"/>
        <n x="525"/>
        <n x="526"/>
        <n x="800" s="1"/>
        <n x="689"/>
        <n x="690"/>
      </t>
    </mdx>
    <mdx n="0" f="v">
      <t c="6" si="614">
        <n x="610"/>
        <n x="387"/>
        <n x="388"/>
        <n x="800" s="1"/>
        <n x="697"/>
        <n x="698"/>
      </t>
    </mdx>
    <mdx n="0" f="v">
      <t c="6" si="614">
        <n x="610"/>
        <n x="257"/>
        <n x="258"/>
        <n x="800" s="1"/>
        <n x="683"/>
        <n x="684"/>
      </t>
    </mdx>
    <mdx n="0" f="v">
      <t c="6" si="614">
        <n x="610"/>
        <n x="319"/>
        <n x="320"/>
        <n x="800" s="1"/>
        <n x="685"/>
        <n x="686"/>
      </t>
    </mdx>
    <mdx n="0" f="v">
      <t c="6" si="614">
        <n x="610"/>
        <n x="401"/>
        <n x="402"/>
        <n x="800" s="1"/>
        <n x="687"/>
        <n x="688"/>
      </t>
    </mdx>
    <mdx n="0" f="v">
      <t c="6" si="614">
        <n x="610"/>
        <n x="299"/>
        <n x="300"/>
        <n x="800" s="1"/>
        <n x="677"/>
        <n x="678"/>
      </t>
    </mdx>
    <mdx n="0" f="v">
      <t c="6" si="614">
        <n x="610"/>
        <n x="299"/>
        <n x="300"/>
        <n x="800" s="1"/>
        <n x="689"/>
        <n x="690"/>
      </t>
    </mdx>
    <mdx n="0" f="v">
      <t c="6" si="614">
        <n x="610"/>
        <n x="737"/>
        <n x="738"/>
        <n x="800" s="1"/>
        <n x="697"/>
        <n x="698"/>
      </t>
    </mdx>
    <mdx n="0" f="v">
      <t c="6" si="614">
        <n x="610"/>
        <n x="739"/>
        <n x="740"/>
        <n x="800" s="1"/>
        <n x="683"/>
        <n x="684"/>
      </t>
    </mdx>
    <mdx n="0" f="v">
      <t c="6" si="614">
        <n x="610"/>
        <n x="739"/>
        <n x="740"/>
        <n x="800" s="1"/>
        <n x="683"/>
        <n x="684"/>
      </t>
    </mdx>
    <mdx n="0" f="v">
      <t c="6" si="614">
        <n x="610"/>
        <n x="741"/>
        <n x="742"/>
        <n x="800" s="1"/>
        <n x="685"/>
        <n x="686"/>
      </t>
    </mdx>
    <mdx n="0" f="v">
      <t c="6" si="614">
        <n x="610"/>
        <n x="741"/>
        <n x="742"/>
        <n x="800" s="1"/>
        <n x="685"/>
        <n x="686"/>
      </t>
    </mdx>
    <mdx n="0" f="v">
      <t c="6" si="614">
        <n x="610"/>
        <n x="435"/>
        <n x="436"/>
        <n x="800" s="1"/>
        <n x="687"/>
        <n x="678"/>
      </t>
    </mdx>
    <mdx n="0" f="v">
      <t c="6" si="614">
        <n x="610"/>
        <n x="435"/>
        <n x="436"/>
        <n x="800" s="1"/>
        <n x="687"/>
        <n x="688"/>
      </t>
    </mdx>
    <mdx n="0" f="v">
      <t c="6" si="614">
        <n x="610"/>
        <n x="489"/>
        <n x="490"/>
        <n x="800" s="1"/>
        <n x="677"/>
        <n x="678"/>
      </t>
    </mdx>
    <mdx n="0" f="v">
      <t c="6" si="614">
        <n x="610"/>
        <n x="593"/>
        <n x="594"/>
        <n x="800" s="1"/>
        <n x="677"/>
        <n x="678"/>
      </t>
    </mdx>
    <mdx n="0" f="v">
      <t c="6" si="614">
        <n x="610"/>
        <n x="751"/>
        <n x="752"/>
        <n x="800" s="1"/>
        <n x="677"/>
        <n x="678"/>
      </t>
    </mdx>
    <mdx n="0" f="v">
      <t c="6" si="614">
        <n x="610"/>
        <n x="447"/>
        <n x="448"/>
        <n x="800" s="1"/>
        <n x="677"/>
        <n x="678"/>
      </t>
    </mdx>
    <mdx n="0" f="v">
      <t c="6" si="614">
        <n x="610"/>
        <n x="223"/>
        <n x="224"/>
        <n x="800" s="1"/>
        <n x="677"/>
        <n x="678"/>
      </t>
    </mdx>
    <mdx n="0" f="v">
      <t c="6" si="614">
        <n x="610"/>
        <n x="715"/>
        <n x="716"/>
        <n x="800" s="1"/>
        <n x="695"/>
        <n x="696"/>
      </t>
    </mdx>
    <mdx n="0" f="v">
      <t c="6" si="614">
        <n x="610"/>
        <n x="599"/>
        <n x="600"/>
        <n x="800" s="1"/>
        <n x="695"/>
        <n x="696"/>
      </t>
    </mdx>
    <mdx n="0" f="v">
      <t c="6" si="614">
        <n x="610"/>
        <n x="599"/>
        <n x="600"/>
        <n x="800" s="1"/>
        <n x="685"/>
        <n x="686"/>
      </t>
    </mdx>
    <mdx n="0" f="v">
      <t c="6" si="614">
        <n x="610"/>
        <n x="217"/>
        <n x="218"/>
        <n x="800" s="1"/>
        <n x="689"/>
        <n x="690"/>
      </t>
    </mdx>
    <mdx n="0" f="v">
      <t c="6" si="614">
        <n x="610"/>
        <n x="275"/>
        <n x="276"/>
        <n x="800" s="1"/>
        <n x="689"/>
        <n x="690"/>
      </t>
    </mdx>
    <mdx n="0" f="v">
      <t c="6" si="614">
        <n x="610"/>
        <n x="275"/>
        <n x="276"/>
        <n x="800" s="1"/>
        <n x="689"/>
        <n x="690"/>
      </t>
    </mdx>
    <mdx n="0" f="v">
      <t c="6" si="614">
        <n x="610"/>
        <n x="719"/>
        <n x="720"/>
        <n x="800" s="1"/>
        <n x="681"/>
        <n x="690"/>
      </t>
    </mdx>
    <mdx n="0" f="v">
      <t c="6" si="614">
        <n x="610"/>
        <n x="719"/>
        <n x="720"/>
        <n x="800" s="1"/>
        <n x="681"/>
        <n x="682"/>
      </t>
    </mdx>
    <mdx n="0" f="v">
      <t c="6" si="614">
        <n x="610"/>
        <n x="719"/>
        <n x="720"/>
        <n x="800" s="1"/>
        <n x="691"/>
        <n x="692"/>
      </t>
    </mdx>
    <mdx n="0" f="v">
      <t c="6" si="614">
        <n x="610"/>
        <n x="585"/>
        <n x="586"/>
        <n x="800" s="1"/>
        <n x="695"/>
        <n x="696"/>
      </t>
    </mdx>
    <mdx n="0" f="v">
      <t c="6" si="614">
        <n x="610"/>
        <n x="721"/>
        <n x="722"/>
        <n x="800" s="1"/>
        <n x="689"/>
        <n x="690"/>
      </t>
    </mdx>
    <mdx n="0" f="v">
      <t c="6" si="614">
        <n x="610"/>
        <n x="463"/>
        <n x="464"/>
        <n x="800" s="1"/>
        <n x="687"/>
        <n x="688"/>
      </t>
    </mdx>
    <mdx n="0" f="v">
      <t c="6" si="614">
        <n x="610"/>
        <n x="461"/>
        <n x="462"/>
        <n x="800" s="1"/>
        <n x="695"/>
        <n x="696"/>
      </t>
    </mdx>
    <mdx n="0" f="v">
      <t c="6" si="614">
        <n x="610"/>
        <n x="379"/>
        <n x="460"/>
        <n x="800" s="1"/>
        <n x="681"/>
        <n x="682"/>
      </t>
    </mdx>
    <mdx n="0" f="v">
      <t c="6" si="614">
        <n x="610"/>
        <n x="379"/>
        <n x="380"/>
        <n x="800" s="1"/>
        <n x="687"/>
        <n x="688"/>
      </t>
    </mdx>
    <mdx n="0" f="v">
      <t c="6" si="614">
        <n x="610"/>
        <n x="239"/>
        <n x="240"/>
        <n x="800" s="1"/>
        <n x="677"/>
        <n x="696"/>
      </t>
    </mdx>
    <mdx n="0" f="v">
      <t c="6" si="614">
        <n x="610"/>
        <n x="239"/>
        <n x="240"/>
        <n x="800" s="1"/>
        <n x="677"/>
        <n x="678"/>
      </t>
    </mdx>
    <mdx n="0" f="v">
      <t c="6" si="614">
        <n x="610"/>
        <n x="239"/>
        <n x="240"/>
        <n x="800" s="1"/>
        <n x="697"/>
        <n x="698"/>
      </t>
    </mdx>
    <mdx n="0" f="v">
      <t c="6" si="614">
        <n x="610"/>
        <n x="221"/>
        <n x="222"/>
        <n x="800" s="1"/>
        <n x="691"/>
        <n x="692"/>
      </t>
    </mdx>
    <mdx n="0" f="v">
      <t c="6" si="614">
        <n x="610"/>
        <n x="397"/>
        <n x="398"/>
        <n x="800" s="1"/>
        <n x="669"/>
        <n x="670"/>
      </t>
    </mdx>
    <mdx n="0" f="v">
      <t c="6" si="614">
        <n x="610"/>
        <n x="397"/>
        <n x="398"/>
        <n x="800" s="1"/>
        <n x="693"/>
        <n x="694"/>
      </t>
    </mdx>
    <mdx n="0" f="v">
      <t c="6" si="614">
        <n x="610"/>
        <n x="725"/>
        <n x="726"/>
        <n x="800" s="1"/>
        <n x="691"/>
        <n x="692"/>
      </t>
    </mdx>
    <mdx n="0" f="v">
      <t c="6" si="614">
        <n x="610"/>
        <n x="725"/>
        <n x="726"/>
        <n x="800" s="1"/>
        <n x="689"/>
        <n x="690"/>
      </t>
    </mdx>
    <mdx n="0" f="v">
      <t c="6" si="614">
        <n x="610"/>
        <n x="727"/>
        <n x="728"/>
        <n x="800" s="1"/>
        <n x="689"/>
        <n x="690"/>
      </t>
    </mdx>
    <mdx n="0" f="v">
      <t c="6" si="614">
        <n x="610"/>
        <n x="457"/>
        <n x="458"/>
        <n x="800" s="1"/>
        <n x="691"/>
        <n x="692"/>
      </t>
    </mdx>
    <mdx n="0" f="v">
      <t c="6" si="614">
        <n x="610"/>
        <n x="729"/>
        <n x="730"/>
        <n x="800" s="1"/>
        <n x="693"/>
        <n x="694"/>
      </t>
    </mdx>
    <mdx n="0" f="v">
      <t c="6" si="614">
        <n x="610"/>
        <n x="231"/>
        <n x="232"/>
        <n x="800" s="1"/>
        <n x="685"/>
        <n x="686"/>
      </t>
    </mdx>
    <mdx n="0" f="v">
      <t c="6" si="614">
        <n x="610"/>
        <n x="231"/>
        <n x="232"/>
        <n x="800" s="1"/>
        <n x="695"/>
        <n x="696"/>
      </t>
    </mdx>
    <mdx n="0" f="v">
      <t c="6" si="614">
        <n x="610"/>
        <n x="231"/>
        <n x="232"/>
        <n x="800" s="1"/>
        <n x="695"/>
        <n x="696"/>
      </t>
    </mdx>
    <mdx n="0" f="v">
      <t c="6" si="614">
        <n x="610"/>
        <n x="601"/>
        <n x="602"/>
        <n x="800" s="1"/>
        <n x="689"/>
        <n x="690"/>
      </t>
    </mdx>
    <mdx n="0" f="v">
      <t c="6" si="614">
        <n x="610"/>
        <n x="363"/>
        <n x="558"/>
        <n x="800" s="1"/>
        <n x="681"/>
        <n x="682"/>
      </t>
    </mdx>
    <mdx n="0" f="v">
      <t c="6" si="614">
        <n x="610"/>
        <n x="595"/>
        <n x="596"/>
        <n x="800" s="1"/>
        <n x="681"/>
        <n x="682"/>
      </t>
    </mdx>
    <mdx n="0" f="v">
      <t c="6" si="614">
        <n x="610"/>
        <n x="413"/>
        <n x="414"/>
        <n x="800" s="1"/>
        <n x="685"/>
        <n x="686"/>
      </t>
    </mdx>
    <mdx n="0" f="v">
      <t c="6" si="614">
        <n x="610"/>
        <n x="495"/>
        <n x="496"/>
        <n x="800" s="1"/>
        <n x="683"/>
        <n x="684"/>
      </t>
    </mdx>
    <mdx n="0" f="v">
      <t c="6" si="614">
        <n x="610"/>
        <n x="413"/>
        <n x="414"/>
        <n x="800" s="1"/>
        <n x="695"/>
        <n x="696"/>
      </t>
    </mdx>
    <mdx n="0" f="v">
      <t c="6" si="614">
        <n x="610"/>
        <n x="541"/>
        <n x="542"/>
        <n x="800" s="1"/>
        <n x="679"/>
        <n x="680"/>
      </t>
    </mdx>
    <mdx n="0" f="v">
      <t c="6" si="614">
        <n x="610"/>
        <n x="541"/>
        <n x="542"/>
        <n x="800" s="1"/>
        <n x="697"/>
        <n x="698"/>
      </t>
    </mdx>
    <mdx n="0" f="v">
      <t c="6" si="614">
        <n x="610"/>
        <n x="733"/>
        <n x="734"/>
        <n x="800" s="1"/>
        <n x="689"/>
        <n x="690"/>
      </t>
    </mdx>
    <mdx n="0" f="v">
      <t c="6" si="614">
        <n x="610"/>
        <n x="603"/>
        <n x="604"/>
        <n x="800" s="1"/>
        <n x="695"/>
        <n x="696"/>
      </t>
    </mdx>
    <mdx n="0" f="v">
      <t c="6" si="614">
        <n x="610"/>
        <n x="281"/>
        <n x="282"/>
        <n x="800" s="1"/>
        <n x="691"/>
        <n x="692"/>
      </t>
    </mdx>
    <mdx n="0" f="v">
      <t c="6" si="614">
        <n x="610"/>
        <n x="453"/>
        <n x="454"/>
        <n x="800" s="1"/>
        <n x="679"/>
        <n x="680"/>
      </t>
    </mdx>
    <mdx n="0" f="v">
      <t c="6" si="614">
        <n x="610"/>
        <n x="389"/>
        <n x="390"/>
        <n x="800" s="1"/>
        <n x="687"/>
        <n x="688"/>
      </t>
    </mdx>
    <mdx n="0" f="v">
      <t c="6" si="614">
        <n x="610"/>
        <n x="271"/>
        <n x="272"/>
        <n x="800" s="1"/>
        <n x="687"/>
        <n x="688"/>
      </t>
    </mdx>
    <mdx n="0" f="v">
      <t c="6" si="614">
        <n x="610"/>
        <n x="413"/>
        <n x="414"/>
        <n x="800" s="1"/>
        <n x="691"/>
        <n x="692"/>
      </t>
    </mdx>
    <mdx n="0" f="v">
      <t c="6" si="614">
        <n x="610"/>
        <n x="735"/>
        <n x="736"/>
        <n x="800" s="1"/>
        <n x="697"/>
        <n x="698"/>
      </t>
    </mdx>
    <mdx n="0" f="v">
      <t c="6" si="614">
        <n x="610"/>
        <n x="235"/>
        <n x="236"/>
        <n x="800" s="1"/>
        <n x="693"/>
        <n x="694"/>
      </t>
    </mdx>
    <mdx n="0" f="v">
      <t c="6" si="614">
        <n x="610"/>
        <n x="283"/>
        <n x="284"/>
        <n x="800" s="1"/>
        <n x="683"/>
        <n x="684"/>
      </t>
    </mdx>
    <mdx n="0" f="v">
      <t c="6" si="614">
        <n x="610"/>
        <n x="733"/>
        <n x="734"/>
        <n x="800" s="1"/>
        <n x="687"/>
        <n x="688"/>
      </t>
    </mdx>
    <mdx n="0" f="v">
      <t c="6" si="614">
        <n x="610"/>
        <n x="525"/>
        <n x="526"/>
        <n x="800" s="1"/>
        <n x="679"/>
        <n x="680"/>
      </t>
    </mdx>
    <mdx n="0" f="v">
      <t c="6" si="614">
        <n x="610"/>
        <n x="525"/>
        <n x="526"/>
        <n x="800" s="1"/>
        <n x="679"/>
        <n x="680"/>
      </t>
    </mdx>
    <mdx n="0" f="v">
      <t c="6" si="614">
        <n x="610"/>
        <n x="243"/>
        <n x="244"/>
        <n x="800" s="1"/>
        <n x="697"/>
        <n x="698"/>
      </t>
    </mdx>
    <mdx n="0" f="v">
      <t c="6" si="614">
        <n x="610"/>
        <n x="389"/>
        <n x="388"/>
        <n x="800" s="1"/>
        <n x="683"/>
        <n x="684"/>
      </t>
    </mdx>
    <mdx n="0" f="v">
      <t c="6" si="614">
        <n x="610"/>
        <n x="389"/>
        <n x="390"/>
        <n x="800" s="1"/>
        <n x="683"/>
        <n x="684"/>
      </t>
    </mdx>
    <mdx n="0" f="v">
      <t c="6" si="614">
        <n x="610"/>
        <n x="389"/>
        <n x="390"/>
        <n x="800" s="1"/>
        <n x="693"/>
        <n x="694"/>
      </t>
    </mdx>
    <mdx n="0" f="v">
      <t c="6" si="614">
        <n x="610"/>
        <n x="257"/>
        <n x="258"/>
        <n x="800" s="1"/>
        <n x="695"/>
        <n x="670"/>
      </t>
    </mdx>
    <mdx n="0" f="v">
      <t c="6" si="614">
        <n x="610"/>
        <n x="319"/>
        <n x="320"/>
        <n x="800" s="1"/>
        <n x="669"/>
        <n x="682"/>
      </t>
    </mdx>
    <mdx n="0" f="v">
      <t c="6" si="614">
        <n x="610"/>
        <n x="443"/>
        <n x="444"/>
        <n x="800" s="1"/>
        <n x="685"/>
        <n x="686"/>
      </t>
    </mdx>
    <mdx n="0" f="v">
      <t c="6" si="614">
        <n x="610"/>
        <n x="443"/>
        <n x="444"/>
        <n x="800" s="1"/>
        <n x="681"/>
        <n x="682"/>
      </t>
    </mdx>
    <mdx n="0" f="v">
      <t c="6" si="614">
        <n x="610"/>
        <n x="443"/>
        <n x="444"/>
        <n x="800" s="1"/>
        <n x="695"/>
        <n x="696"/>
      </t>
    </mdx>
    <mdx n="0" f="v">
      <t c="6" si="614">
        <n x="610"/>
        <n x="387"/>
        <n x="388"/>
        <n x="800" s="1"/>
        <n x="689"/>
        <n x="690"/>
      </t>
    </mdx>
    <mdx n="0" f="v">
      <t c="6" si="614">
        <n x="610"/>
        <n x="209"/>
        <n x="210"/>
        <n x="800" s="1"/>
        <n x="695"/>
        <n x="696"/>
      </t>
    </mdx>
    <mdx n="0" f="v">
      <t c="6" si="614">
        <n x="610"/>
        <n x="209"/>
        <n x="210"/>
        <n x="800" s="1"/>
        <n x="677"/>
        <n x="678"/>
      </t>
    </mdx>
    <mdx n="0" f="v">
      <t c="6" si="614">
        <n x="610"/>
        <n x="739"/>
        <n x="740"/>
        <n x="800" s="1"/>
        <n x="689"/>
        <n x="690"/>
      </t>
    </mdx>
    <mdx n="0" f="v">
      <t c="6" si="614">
        <n x="610"/>
        <n x="209"/>
        <n x="210"/>
        <n x="800" s="1"/>
        <n x="689"/>
        <n x="690"/>
      </t>
    </mdx>
    <mdx n="0" f="v">
      <t c="6" si="614">
        <n x="610"/>
        <n x="591"/>
        <n x="592"/>
        <n x="800" s="1"/>
        <n x="691"/>
        <n x="692"/>
      </t>
    </mdx>
    <mdx n="0" f="v">
      <t c="6" si="614">
        <n x="610"/>
        <n x="499"/>
        <n x="500"/>
        <n x="800" s="1"/>
        <n x="687"/>
        <n x="688"/>
      </t>
    </mdx>
    <mdx n="0" f="v">
      <t c="6" si="614">
        <n x="610"/>
        <n x="435"/>
        <n x="436"/>
        <n x="800" s="1"/>
        <n x="679"/>
        <n x="680"/>
      </t>
    </mdx>
    <mdx n="0" f="v">
      <t c="6" si="614">
        <n x="610"/>
        <n x="241"/>
        <n x="242"/>
        <n x="800" s="1"/>
        <n x="689"/>
        <n x="698"/>
      </t>
    </mdx>
    <mdx n="0" f="v">
      <t c="6" si="614">
        <n x="610"/>
        <n x="241"/>
        <n x="242"/>
        <n x="800" s="1"/>
        <n x="689"/>
        <n x="690"/>
      </t>
    </mdx>
    <mdx n="0" f="v">
      <t c="6" si="614">
        <n x="610"/>
        <n x="593"/>
        <n x="594"/>
        <n x="800" s="1"/>
        <n x="697"/>
        <n x="698"/>
      </t>
    </mdx>
    <mdx n="0" f="v">
      <t c="6" si="614">
        <n x="610"/>
        <n x="229"/>
        <n x="230"/>
        <n x="800" s="1"/>
        <n x="691"/>
        <n x="692"/>
      </t>
    </mdx>
    <mdx n="0" f="v">
      <t c="6" si="614">
        <n x="610"/>
        <n x="751"/>
        <n x="752"/>
        <n x="800" s="1"/>
        <n x="693"/>
        <n x="694"/>
      </t>
    </mdx>
    <mdx n="0" f="v">
      <t c="6" si="614">
        <n x="610"/>
        <n x="455"/>
        <n x="456"/>
        <n x="800" s="1"/>
        <n x="693"/>
        <n x="694"/>
      </t>
    </mdx>
    <mdx n="0" f="v">
      <t c="6" si="614">
        <n x="610"/>
        <n x="753"/>
        <n x="754"/>
        <n x="800" s="1"/>
        <n x="695"/>
        <n x="696"/>
      </t>
    </mdx>
    <mdx n="0" f="v">
      <t c="6" si="614">
        <n x="610"/>
        <n x="429"/>
        <n x="430"/>
        <n x="800" s="1"/>
        <n x="685"/>
        <n x="686"/>
      </t>
    </mdx>
    <mdx n="0" f="v">
      <t c="6" si="614">
        <n x="610"/>
        <n x="429"/>
        <n x="430"/>
        <n x="800" s="1"/>
        <n x="689"/>
        <n x="690"/>
      </t>
    </mdx>
    <mdx n="0" f="v">
      <t c="6" si="614">
        <n x="610"/>
        <n x="537"/>
        <n x="538"/>
        <n x="800" s="1"/>
        <n x="685"/>
        <n x="698"/>
      </t>
    </mdx>
    <mdx n="0" f="v">
      <t c="6" si="614">
        <n x="610"/>
        <n x="537"/>
        <n x="538"/>
        <n x="800" s="1"/>
        <n x="685"/>
        <n x="686"/>
      </t>
    </mdx>
    <mdx n="0" f="v">
      <t c="6" si="614">
        <n x="610"/>
        <n x="339"/>
        <n x="340"/>
        <n x="800" s="1"/>
        <n x="691"/>
        <n x="692"/>
      </t>
    </mdx>
    <mdx n="0" f="v">
      <t c="6" si="614">
        <n x="610"/>
        <n x="471"/>
        <n x="472"/>
        <n x="800" s="1"/>
        <n x="693"/>
        <n x="686"/>
      </t>
    </mdx>
    <mdx n="0" f="v">
      <t c="6" si="614">
        <n x="610"/>
        <n x="393"/>
        <n x="394"/>
        <n x="800" s="1"/>
        <n x="693"/>
        <n x="694"/>
      </t>
    </mdx>
    <mdx n="0" f="v">
      <t c="6" si="614">
        <n x="610"/>
        <n x="743"/>
        <n x="744"/>
        <n x="800" s="1"/>
        <n x="685"/>
        <n x="686"/>
      </t>
    </mdx>
    <mdx n="0" f="v">
      <t c="6" si="614">
        <n x="610"/>
        <n x="743"/>
        <n x="744"/>
        <n x="800" s="1"/>
        <n x="693"/>
        <n x="694"/>
      </t>
    </mdx>
    <mdx n="0" f="v">
      <t c="6" si="614">
        <n x="610"/>
        <n x="743"/>
        <n x="744"/>
        <n x="800" s="1"/>
        <n x="693"/>
        <n x="694"/>
      </t>
    </mdx>
    <mdx n="0" f="v">
      <t c="6" si="614">
        <n x="610"/>
        <n x="561"/>
        <n x="562"/>
        <n x="800" s="1"/>
        <n x="685"/>
        <n x="686"/>
      </t>
    </mdx>
    <mdx n="0" f="v">
      <t c="6" si="614">
        <n x="610"/>
        <n x="561"/>
        <n x="562"/>
        <n x="800" s="1"/>
        <n x="685"/>
        <n x="686"/>
      </t>
    </mdx>
    <mdx n="0" f="v">
      <t c="6" si="614">
        <n x="610"/>
        <n x="561"/>
        <n x="562"/>
        <n x="800" s="1"/>
        <n x="693"/>
        <n x="694"/>
      </t>
    </mdx>
    <mdx n="0" f="v">
      <t c="6" si="614">
        <n x="610"/>
        <n x="491"/>
        <n x="492"/>
        <n x="800" s="1"/>
        <n x="693"/>
        <n x="694"/>
      </t>
    </mdx>
    <mdx n="0" f="v">
      <t c="6" si="614">
        <n x="610"/>
        <n x="233"/>
        <n x="234"/>
        <n x="800" s="1"/>
        <n x="693"/>
        <n x="694"/>
      </t>
    </mdx>
    <mdx n="0" f="v">
      <t c="6" si="614">
        <n x="610"/>
        <n x="433"/>
        <n x="434"/>
        <n x="800" s="1"/>
        <n x="693"/>
        <n x="694"/>
      </t>
    </mdx>
    <mdx n="0" f="v">
      <t c="6" si="614">
        <n x="610"/>
        <n x="589"/>
        <n x="290"/>
        <n x="800" s="1"/>
        <n x="695"/>
        <n x="696"/>
      </t>
    </mdx>
    <mdx n="0" f="v">
      <t c="6" si="614">
        <n x="610"/>
        <n x="589"/>
        <n x="590"/>
        <n x="800" s="1"/>
        <n x="685"/>
        <n x="686"/>
      </t>
    </mdx>
    <mdx n="0" f="v">
      <t c="6" si="614">
        <n x="610"/>
        <n x="589"/>
        <n x="590"/>
        <n x="800" s="1"/>
        <n x="693"/>
        <n x="678"/>
      </t>
    </mdx>
    <mdx n="0" f="v">
      <t c="6" si="614">
        <n x="610"/>
        <n x="589"/>
        <n x="590"/>
        <n x="800" s="1"/>
        <n x="693"/>
        <n x="694"/>
      </t>
    </mdx>
    <mdx n="0" f="v">
      <t c="6" si="614">
        <n x="610"/>
        <n x="207"/>
        <n x="208"/>
        <n x="800" s="1"/>
        <n x="689"/>
        <n x="690"/>
      </t>
    </mdx>
    <mdx n="0" f="v">
      <t c="6" si="614">
        <n x="610"/>
        <n x="361"/>
        <n x="362"/>
        <n x="800" s="1"/>
        <n x="693"/>
        <n x="694"/>
      </t>
    </mdx>
    <mdx n="0" f="v">
      <t c="6" si="614">
        <n x="610"/>
        <n x="437"/>
        <n x="438"/>
        <n x="800" s="1"/>
        <n x="685"/>
        <n x="686"/>
      </t>
    </mdx>
    <mdx n="0" f="v">
      <t c="6" si="614">
        <n x="610"/>
        <n x="437"/>
        <n x="438"/>
        <n x="800" s="1"/>
        <n x="691"/>
        <n x="692"/>
      </t>
    </mdx>
    <mdx n="0" f="v">
      <t c="6" si="614">
        <n x="610"/>
        <n x="437"/>
        <n x="438"/>
        <n x="800" s="1"/>
        <n x="693"/>
        <n x="694"/>
      </t>
    </mdx>
    <mdx n="0" f="v">
      <t c="6" si="614">
        <n x="610"/>
        <n x="273"/>
        <n x="274"/>
        <n x="800" s="1"/>
        <n x="693"/>
        <n x="694"/>
      </t>
    </mdx>
    <mdx n="0" f="v">
      <t c="6" si="614">
        <n x="610"/>
        <n x="757"/>
        <n x="758"/>
        <n x="800" s="1"/>
        <n x="695"/>
        <n x="696"/>
      </t>
    </mdx>
    <mdx n="0" f="v">
      <t c="6" si="614">
        <n x="610"/>
        <n x="513"/>
        <n x="514"/>
        <n x="800" s="1"/>
        <n x="685"/>
        <n x="686"/>
      </t>
    </mdx>
    <mdx n="0" f="v">
      <t c="6" si="614">
        <n x="610"/>
        <n x="513"/>
        <n x="514"/>
        <n x="800" s="1"/>
        <n x="693"/>
        <n x="678"/>
      </t>
    </mdx>
    <mdx n="0" f="v">
      <t c="6" si="614">
        <n x="610"/>
        <n x="203"/>
        <n x="204"/>
        <n x="800" s="1"/>
        <n x="685"/>
        <n x="686"/>
      </t>
    </mdx>
    <mdx n="0" f="v">
      <t c="6" si="614">
        <n x="610"/>
        <n x="745"/>
        <n x="746"/>
        <n x="800" s="1"/>
        <n x="685"/>
        <n x="686"/>
      </t>
    </mdx>
    <mdx n="0" f="v">
      <t c="6" si="614">
        <n x="610"/>
        <n x="745"/>
        <n x="746"/>
        <n x="800" s="1"/>
        <n x="693"/>
        <n x="694"/>
      </t>
    </mdx>
    <mdx n="0" f="v">
      <t c="6" si="614">
        <n x="610"/>
        <n x="745"/>
        <n x="746"/>
        <n x="800" s="1"/>
        <n x="693"/>
        <n x="694"/>
      </t>
    </mdx>
    <mdx n="0" f="v">
      <t c="6" si="614">
        <n x="610"/>
        <n x="553"/>
        <n x="554"/>
        <n x="800" s="1"/>
        <n x="693"/>
        <n x="694"/>
      </t>
    </mdx>
    <mdx n="0" f="v">
      <t c="6" si="614">
        <n x="610"/>
        <n x="553"/>
        <n x="554"/>
        <n x="800" s="1"/>
        <n x="693"/>
        <n x="694"/>
      </t>
    </mdx>
    <mdx n="0" f="v">
      <t c="6" si="614">
        <n x="610"/>
        <n x="295"/>
        <n x="296"/>
        <n x="800" s="1"/>
        <n x="693"/>
        <n x="694"/>
      </t>
    </mdx>
    <mdx n="0" f="v">
      <t c="6" si="614">
        <n x="610"/>
        <n x="245"/>
        <n x="246"/>
        <n x="800" s="1"/>
        <n x="695"/>
        <n x="696"/>
      </t>
    </mdx>
    <mdx n="0" f="v">
      <t c="6" si="614">
        <n x="610"/>
        <n x="747"/>
        <n x="748"/>
        <n x="800" s="1"/>
        <n x="685"/>
        <n x="686"/>
      </t>
    </mdx>
    <mdx n="0" f="v">
      <t c="6" si="614">
        <n x="610"/>
        <n x="747"/>
        <n x="748"/>
        <n x="800" s="1"/>
        <n x="693"/>
        <n x="694"/>
      </t>
    </mdx>
    <mdx n="0" f="v">
      <t c="6" si="614">
        <n x="610"/>
        <n x="747"/>
        <n x="748"/>
        <n x="800" s="1"/>
        <n x="693"/>
        <n x="694"/>
      </t>
    </mdx>
    <mdx n="0" f="v">
      <t c="6" si="614">
        <n x="610"/>
        <n x="441"/>
        <n x="442"/>
        <n x="800" s="1"/>
        <n x="689"/>
        <n x="690"/>
      </t>
    </mdx>
    <mdx n="0" f="v">
      <t c="6" si="614">
        <n x="610"/>
        <n x="441"/>
        <n x="442"/>
        <n x="800" s="1"/>
        <n x="685"/>
        <n x="686"/>
      </t>
    </mdx>
    <mdx n="0" f="v">
      <t c="6" si="614">
        <n x="610"/>
        <n x="441"/>
        <n x="442"/>
        <n x="800" s="1"/>
        <n x="693"/>
        <n x="694"/>
      </t>
    </mdx>
    <mdx n="0" f="v">
      <t c="6" si="614">
        <n x="610"/>
        <n x="469"/>
        <n x="470"/>
        <n x="800" s="1"/>
        <n x="685"/>
        <n x="686"/>
      </t>
    </mdx>
    <mdx n="0" f="v">
      <t c="6" si="614">
        <n x="610"/>
        <n x="469"/>
        <n x="470"/>
        <n x="800" s="1"/>
        <n x="691"/>
        <n x="692"/>
      </t>
    </mdx>
    <mdx n="0" f="v">
      <t c="6" si="614">
        <n x="610"/>
        <n x="569"/>
        <n x="570"/>
        <n x="800" s="1"/>
        <n x="685"/>
        <n x="686"/>
      </t>
    </mdx>
    <mdx n="0" f="v">
      <t c="6" si="614">
        <n x="610"/>
        <n x="259"/>
        <n x="260"/>
        <n x="800" s="1"/>
        <n x="685"/>
        <n x="686"/>
      </t>
    </mdx>
    <mdx n="0" f="v">
      <t c="6" si="614">
        <n x="610"/>
        <n x="259"/>
        <n x="260"/>
        <n x="800" s="1"/>
        <n x="685"/>
        <n x="686"/>
      </t>
    </mdx>
    <mdx n="0" f="v">
      <t c="6" si="614">
        <n x="610"/>
        <n x="259"/>
        <n x="260"/>
        <n x="800" s="1"/>
        <n x="693"/>
        <n x="694"/>
      </t>
    </mdx>
    <mdx n="0" f="v">
      <t c="6" si="614">
        <n x="610"/>
        <n x="299"/>
        <n x="764"/>
        <n x="800" s="1"/>
        <n x="677"/>
        <n x="678"/>
      </t>
    </mdx>
    <mdx n="0" f="v">
      <t c="6" si="614">
        <n x="610"/>
        <n x="299"/>
        <n x="300"/>
        <n x="800" s="1"/>
        <n x="685"/>
        <n x="686"/>
      </t>
    </mdx>
    <mdx n="0" f="v">
      <t c="6" si="614">
        <n x="610"/>
        <n x="299"/>
        <n x="300"/>
        <n x="800" s="1"/>
        <n x="693"/>
        <n x="694"/>
      </t>
    </mdx>
    <mdx n="0" f="v">
      <t c="6" si="614">
        <n x="610"/>
        <n x="349"/>
        <n x="350"/>
        <n x="800" s="1"/>
        <n x="685"/>
        <n x="686"/>
      </t>
    </mdx>
    <mdx n="0" f="v">
      <t c="6" si="614">
        <n x="610"/>
        <n x="349"/>
        <n x="350"/>
        <n x="800" s="1"/>
        <n x="697"/>
        <n x="698"/>
      </t>
    </mdx>
    <mdx n="0" f="v">
      <t c="6" si="614">
        <n x="610"/>
        <n x="749"/>
        <n x="750"/>
        <n x="800" s="1"/>
        <n x="693"/>
        <n x="694"/>
      </t>
    </mdx>
    <mdx n="0" f="v">
      <t c="6" si="614">
        <n x="610"/>
        <n x="419"/>
        <n x="420"/>
        <n x="800" s="1"/>
        <n x="685"/>
        <n x="686"/>
      </t>
    </mdx>
    <mdx n="0" f="v">
      <t c="6" si="614">
        <n x="610"/>
        <n x="419"/>
        <n x="420"/>
        <n x="800" s="1"/>
        <n x="685"/>
        <n x="686"/>
      </t>
    </mdx>
    <mdx n="0" f="v">
      <t c="6" si="614">
        <n x="610"/>
        <n x="489"/>
        <n x="490"/>
        <n x="800" s="1"/>
        <n x="693"/>
        <n x="694"/>
      </t>
    </mdx>
    <mdx n="0" f="v">
      <t c="6" si="614">
        <n x="610"/>
        <n x="489"/>
        <n x="490"/>
        <n x="800" s="1"/>
        <n x="685"/>
        <n x="686"/>
      </t>
    </mdx>
    <mdx n="0" f="v">
      <t c="6" si="614">
        <n x="610"/>
        <n x="509"/>
        <n x="510"/>
        <n x="800" s="1"/>
        <n x="695"/>
        <n x="696"/>
      </t>
    </mdx>
    <mdx n="0" f="v">
      <t c="6" si="614">
        <n x="610"/>
        <n x="509"/>
        <n x="510"/>
        <n x="800" s="1"/>
        <n x="695"/>
        <n x="696"/>
      </t>
    </mdx>
    <mdx n="0" f="v">
      <t c="6" si="614">
        <n x="610"/>
        <n x="241"/>
        <n x="242"/>
        <n x="800" s="1"/>
        <n x="695"/>
        <n x="696"/>
      </t>
    </mdx>
    <mdx n="0" f="v">
      <t c="6" si="614">
        <n x="610"/>
        <n x="229"/>
        <n x="230"/>
        <n x="800" s="1"/>
        <n x="689"/>
        <n x="690"/>
      </t>
    </mdx>
    <mdx n="0" f="v">
      <t c="6" si="614">
        <n x="610"/>
        <n x="751"/>
        <n x="752"/>
        <n x="800" s="1"/>
        <n x="697"/>
        <n x="698"/>
      </t>
    </mdx>
    <mdx n="0" f="v">
      <t c="6" si="614">
        <n x="610"/>
        <n x="411"/>
        <n x="412"/>
        <n x="800" s="1"/>
        <n x="697"/>
        <n x="698"/>
      </t>
    </mdx>
    <mdx n="0" f="v">
      <t c="6" si="614">
        <n x="610"/>
        <n x="767"/>
        <n x="768"/>
        <n x="800" s="1"/>
        <n x="693"/>
        <n x="694"/>
      </t>
    </mdx>
    <mdx n="0" f="v">
      <t c="6" si="614">
        <n x="610"/>
        <n x="767"/>
        <n x="768"/>
        <n x="800" s="1"/>
        <n x="691"/>
        <n x="692"/>
      </t>
    </mdx>
    <mdx n="0" f="v">
      <t c="6" si="614">
        <n x="610"/>
        <n x="315"/>
        <n x="448"/>
        <n x="800" s="1"/>
        <n x="695"/>
        <n x="696"/>
      </t>
    </mdx>
    <mdx n="0" f="v">
      <t c="6" si="614">
        <n x="610"/>
        <n x="315"/>
        <n x="316"/>
        <n x="800" s="1"/>
        <n x="693"/>
        <n x="694"/>
      </t>
    </mdx>
    <mdx n="0" f="v">
      <t c="6" si="614">
        <n x="610"/>
        <n x="339"/>
        <n x="340"/>
        <n x="800" s="1"/>
        <n x="695"/>
        <n x="696"/>
      </t>
    </mdx>
    <mdx n="0" f="v">
      <t c="6" si="614">
        <n x="610"/>
        <n x="339"/>
        <n x="340"/>
        <n x="800" s="1"/>
        <n x="689"/>
        <n x="690"/>
      </t>
    </mdx>
    <mdx n="0" f="v">
      <t c="6" si="614">
        <n x="610"/>
        <n x="427"/>
        <n x="428"/>
        <n x="800" s="1"/>
        <n x="689"/>
        <n x="690"/>
      </t>
    </mdx>
    <mdx n="0" f="v">
      <t c="6" si="614">
        <n x="610"/>
        <n x="771"/>
        <n x="772"/>
        <n x="800" s="1"/>
        <n x="697"/>
        <n x="694"/>
      </t>
    </mdx>
    <mdx n="0" f="v">
      <t c="6" si="614">
        <n x="610"/>
        <n x="771"/>
        <n x="772"/>
        <n x="800" s="1"/>
        <n x="697"/>
        <n x="698"/>
      </t>
    </mdx>
    <mdx n="0" f="v">
      <t c="6" si="614">
        <n x="610"/>
        <n x="485"/>
        <n x="486"/>
        <n x="800" s="1"/>
        <n x="695"/>
        <n x="696"/>
      </t>
    </mdx>
    <mdx n="0" f="v">
      <t c="6" si="614">
        <n x="610"/>
        <n x="485"/>
        <n x="486"/>
        <n x="800" s="1"/>
        <n x="691"/>
        <n x="692"/>
      </t>
    </mdx>
    <mdx n="0" f="v">
      <t c="6" si="614">
        <n x="610"/>
        <n x="293"/>
        <n x="400"/>
        <n x="800" s="1"/>
        <n x="677"/>
        <n x="678"/>
      </t>
    </mdx>
    <mdx n="0" f="v">
      <t c="6" si="614">
        <n x="610"/>
        <n x="399"/>
        <n x="400"/>
        <n x="800" s="1"/>
        <n x="689"/>
        <n x="690"/>
      </t>
    </mdx>
    <mdx n="0" f="v">
      <t c="6" si="614">
        <n x="610"/>
        <n x="233"/>
        <n x="234"/>
        <n x="800" s="1"/>
        <n x="697"/>
        <n x="698"/>
      </t>
    </mdx>
    <mdx n="0" f="v">
      <t c="6" si="614">
        <n x="610"/>
        <n x="773"/>
        <n x="774"/>
        <n x="800" s="1"/>
        <n x="677"/>
        <n x="678"/>
      </t>
    </mdx>
    <mdx n="0" f="v">
      <t c="6" si="614">
        <n x="610"/>
        <n x="773"/>
        <n x="774"/>
        <n x="800" s="1"/>
        <n x="693"/>
        <n x="694"/>
      </t>
    </mdx>
    <mdx n="0" f="v">
      <t c="6" si="614">
        <n x="610"/>
        <n x="773"/>
        <n x="774"/>
        <n x="800" s="1"/>
        <n x="689"/>
        <n x="690"/>
      </t>
    </mdx>
    <mdx n="0" f="v">
      <t c="6" si="614">
        <n x="610"/>
        <n x="775"/>
        <n x="776"/>
        <n x="800" s="1"/>
        <n x="697"/>
        <n x="698"/>
      </t>
    </mdx>
    <mdx n="0" f="v">
      <t c="6" si="614">
        <n x="610"/>
        <n x="777"/>
        <n x="778"/>
        <n x="800" s="1"/>
        <n x="691"/>
        <n x="690"/>
      </t>
    </mdx>
    <mdx n="0" f="v">
      <t c="6" si="614">
        <n x="610"/>
        <n x="777"/>
        <n x="778"/>
        <n x="800" s="1"/>
        <n x="691"/>
        <n x="692"/>
      </t>
    </mdx>
    <mdx n="0" f="v">
      <t c="6" si="614">
        <n x="610"/>
        <n x="357"/>
        <n x="358"/>
        <n x="800" s="1"/>
        <n x="693"/>
        <n x="694"/>
      </t>
    </mdx>
    <mdx n="0" f="v">
      <t c="6" si="614">
        <n x="610"/>
        <n x="381"/>
        <n x="382"/>
        <n x="800" s="1"/>
        <n x="695"/>
        <n x="696"/>
      </t>
    </mdx>
    <mdx n="0" f="v">
      <t c="6" si="614">
        <n x="610"/>
        <n x="761"/>
        <n x="762"/>
        <n x="800" s="1"/>
        <n x="695"/>
        <n x="696"/>
      </t>
    </mdx>
    <mdx n="0" f="v">
      <t c="6" si="614">
        <n x="610"/>
        <n x="761"/>
        <n x="762"/>
        <n x="800" s="1"/>
        <n x="695"/>
        <n x="696"/>
      </t>
    </mdx>
    <mdx n="0" f="v">
      <t c="6" si="614">
        <n x="610"/>
        <n x="409"/>
        <n x="410"/>
        <n x="800" s="1"/>
        <n x="677"/>
        <n x="678"/>
      </t>
    </mdx>
    <mdx n="0" f="v">
      <t c="6" si="614">
        <n x="610"/>
        <n x="779"/>
        <n x="780"/>
        <n x="800" s="1"/>
        <n x="697"/>
        <n x="698"/>
      </t>
    </mdx>
    <mdx n="0" f="v">
      <t c="6" si="614">
        <n x="610"/>
        <n x="269"/>
        <n x="270"/>
        <n x="800" s="1"/>
        <n x="697"/>
        <n x="698"/>
      </t>
    </mdx>
    <mdx n="0" f="v">
      <t c="6" si="614">
        <n x="610"/>
        <n x="269"/>
        <n x="270"/>
        <n x="800" s="1"/>
        <n x="691"/>
        <n x="692"/>
      </t>
    </mdx>
    <mdx n="0" f="v">
      <t c="6" si="614">
        <n x="610"/>
        <n x="533"/>
        <n x="534"/>
        <n x="800" s="1"/>
        <n x="691"/>
        <n x="692"/>
      </t>
    </mdx>
    <mdx n="0" f="v">
      <t c="6" si="614">
        <n x="610"/>
        <n x="533"/>
        <n x="534"/>
        <n x="800" s="1"/>
        <n x="693"/>
        <n x="694"/>
      </t>
    </mdx>
    <mdx n="0" f="v">
      <t c="6" si="614">
        <n x="610"/>
        <n x="527"/>
        <n x="550"/>
        <n x="800" s="1"/>
        <n x="693"/>
        <n x="694"/>
      </t>
    </mdx>
    <mdx n="0" f="v">
      <t c="6" si="614">
        <n x="610"/>
        <n x="527"/>
        <n x="528"/>
        <n x="800" s="1"/>
        <n x="695"/>
        <n x="696"/>
      </t>
    </mdx>
    <mdx n="0" f="v">
      <t c="6" si="614">
        <n x="610"/>
        <n x="469"/>
        <n x="470"/>
        <n x="800" s="1"/>
        <n x="689"/>
        <n x="690"/>
      </t>
    </mdx>
    <mdx n="0" f="v">
      <t c="6" si="614">
        <n x="610"/>
        <n x="783"/>
        <n x="784"/>
        <n x="800" s="1"/>
        <n x="697"/>
        <n x="698"/>
      </t>
    </mdx>
    <mdx n="0" f="v">
      <t c="6" si="614">
        <n x="610"/>
        <n x="535"/>
        <n x="536"/>
        <n x="800" s="1"/>
        <n x="691"/>
        <n x="692"/>
      </t>
    </mdx>
    <mdx n="0" f="v">
      <t c="6" si="614">
        <n x="610"/>
        <n x="355"/>
        <n x="356"/>
        <n x="800" s="1"/>
        <n x="693"/>
        <n x="694"/>
      </t>
    </mdx>
    <mdx n="0" f="v">
      <t c="6" si="614">
        <n x="610"/>
        <n x="763"/>
        <n x="764"/>
        <n x="800" s="1"/>
        <n x="695"/>
        <n x="696"/>
      </t>
    </mdx>
    <mdx n="0" f="v">
      <t c="6" si="614">
        <n x="610"/>
        <n x="785"/>
        <n x="786"/>
        <n x="800" s="1"/>
        <n x="695"/>
        <n x="696"/>
      </t>
    </mdx>
    <mdx n="0" f="v">
      <t c="6" si="614">
        <n x="610"/>
        <n x="539"/>
        <n x="540"/>
        <n x="800" s="1"/>
        <n x="689"/>
        <n x="690"/>
      </t>
    </mdx>
    <mdx n="0" f="v">
      <t c="6" si="614">
        <n x="610"/>
        <n x="765"/>
        <n x="766"/>
        <n x="800" s="1"/>
        <n x="697"/>
        <n x="698"/>
      </t>
    </mdx>
    <mdx n="0" f="v">
      <t c="6" si="614">
        <n x="610"/>
        <n x="765"/>
        <n x="766"/>
        <n x="800" s="1"/>
        <n x="697"/>
        <n x="698"/>
      </t>
    </mdx>
    <mdx n="0" f="v">
      <t c="6" si="614">
        <n x="610"/>
        <n x="417"/>
        <n x="418"/>
        <n x="800" s="1"/>
        <n x="691"/>
        <n x="692"/>
      </t>
    </mdx>
    <mdx n="0" f="v">
      <t c="6" si="614">
        <n x="610"/>
        <n x="581"/>
        <n x="582"/>
        <n x="800" s="1"/>
        <n x="693"/>
        <n x="694"/>
      </t>
    </mdx>
    <mdx n="0" f="v">
      <t c="6" si="614">
        <n x="610"/>
        <n x="767"/>
        <n x="768"/>
        <n x="800" s="1"/>
        <n x="695"/>
        <n x="696"/>
      </t>
    </mdx>
    <mdx n="0" f="v">
      <t c="6" si="614">
        <n x="610"/>
        <n x="767"/>
        <n x="768"/>
        <n x="800" s="1"/>
        <n x="689"/>
        <n x="690"/>
      </t>
    </mdx>
    <mdx n="0" f="v">
      <t c="6" si="614">
        <n x="610"/>
        <n x="311"/>
        <n x="312"/>
        <n x="800" s="1"/>
        <n x="677"/>
        <n x="678"/>
      </t>
    </mdx>
    <mdx n="0" f="v">
      <t c="6" si="614">
        <n x="610"/>
        <n x="311"/>
        <n x="312"/>
        <n x="800" s="1"/>
        <n x="689"/>
        <n x="690"/>
      </t>
    </mdx>
    <mdx n="0" f="v">
      <t c="6" si="614">
        <n x="610"/>
        <n x="511"/>
        <n x="512"/>
        <n x="800" s="1"/>
        <n x="693"/>
        <n x="694"/>
      </t>
    </mdx>
    <mdx n="0" f="v">
      <t c="6" si="614">
        <n x="610"/>
        <n x="427"/>
        <n x="532"/>
        <n x="800" s="1"/>
        <n x="697"/>
        <n x="698"/>
      </t>
    </mdx>
    <mdx n="0" f="v">
      <t c="6" si="614">
        <n x="610"/>
        <n x="427"/>
        <n x="428"/>
        <n x="800" s="1"/>
        <n x="695"/>
        <n x="696"/>
      </t>
    </mdx>
    <mdx n="0" f="v">
      <t c="6" si="614">
        <n x="610"/>
        <n x="521"/>
        <n x="522"/>
        <n x="800" s="1"/>
        <n x="689"/>
        <n x="690"/>
      </t>
    </mdx>
    <mdx n="0" f="v">
      <t c="6" si="614">
        <n x="610"/>
        <n x="521"/>
        <n x="522"/>
        <n x="800" s="1"/>
        <n x="693"/>
        <n x="694"/>
      </t>
    </mdx>
    <mdx n="0" f="v">
      <t c="6" si="614">
        <n x="610"/>
        <n x="293"/>
        <n x="294"/>
        <n x="800" s="1"/>
        <n x="697"/>
        <n x="698"/>
      </t>
    </mdx>
    <mdx n="0" f="v">
      <t c="6" si="614">
        <n x="610"/>
        <n x="423"/>
        <n x="424"/>
        <n x="800" s="1"/>
        <n x="695"/>
        <n x="696"/>
      </t>
    </mdx>
    <mdx n="0" f="v">
      <t c="6" si="614">
        <n x="610"/>
        <n x="529"/>
        <n x="530"/>
        <n x="800" s="1"/>
        <n x="691"/>
        <n x="692"/>
      </t>
    </mdx>
    <mdx n="0" f="v">
      <t c="6" si="614">
        <n x="610"/>
        <n x="249"/>
        <n x="250"/>
        <n x="800" s="1"/>
        <n x="693"/>
        <n x="694"/>
      </t>
    </mdx>
    <mdx n="0" f="v">
      <t c="6" si="614">
        <n x="610"/>
        <n x="773"/>
        <n x="774"/>
        <n x="800" s="1"/>
        <n x="695"/>
        <n x="696"/>
      </t>
    </mdx>
    <mdx n="0" f="v">
      <t c="6" si="614">
        <n x="610"/>
        <n x="451"/>
        <n x="452"/>
        <n x="800" s="1"/>
        <n x="679"/>
        <n x="680"/>
      </t>
    </mdx>
    <mdx n="0" f="v">
      <t c="6" si="614">
        <n x="610"/>
        <n x="451"/>
        <n x="452"/>
        <n x="800" s="1"/>
        <n x="689"/>
        <n x="690"/>
      </t>
    </mdx>
    <mdx n="0" f="v">
      <t c="6" si="614">
        <n x="610"/>
        <n x="473"/>
        <n x="474"/>
        <n x="800" s="1"/>
        <n x="697"/>
        <n x="698"/>
      </t>
    </mdx>
    <mdx n="0" f="v">
      <t c="6" si="614">
        <n x="610"/>
        <n x="473"/>
        <n x="474"/>
        <n x="800" s="1"/>
        <n x="679"/>
        <n x="680"/>
      </t>
    </mdx>
    <mdx n="0" f="v">
      <t c="6" si="614">
        <n x="610"/>
        <n x="381"/>
        <n x="382"/>
        <n x="800" s="1"/>
        <n x="691"/>
        <n x="692"/>
      </t>
    </mdx>
    <mdx n="0" f="v">
      <t c="6" si="614">
        <n x="610"/>
        <n x="473"/>
        <n x="474"/>
        <n x="800" s="1"/>
        <n x="689"/>
        <n x="690"/>
      </t>
    </mdx>
    <mdx n="0" f="v">
      <t c="6" si="614">
        <n x="610"/>
        <n x="523"/>
        <n x="524"/>
        <n x="800" s="1"/>
        <n x="679"/>
        <n x="680"/>
      </t>
    </mdx>
    <mdx n="0" f="v">
      <t c="6" si="614">
        <n x="610"/>
        <n x="445"/>
        <n x="446"/>
        <n x="800" s="1"/>
        <n x="695"/>
        <n x="696"/>
      </t>
    </mdx>
    <mdx n="0" f="v">
      <t c="6" si="614">
        <n x="610"/>
        <n x="523"/>
        <n x="524"/>
        <n x="800" s="1"/>
        <n x="689"/>
        <n x="690"/>
      </t>
    </mdx>
    <mdx n="0" f="v">
      <t c="6" si="614">
        <n x="610"/>
        <n x="715"/>
        <n x="716"/>
        <n x="800" s="1"/>
        <n x="683"/>
        <n x="684"/>
      </t>
    </mdx>
    <mdx n="0" f="v">
      <t c="6" si="614">
        <n x="610"/>
        <n x="715"/>
        <n x="716"/>
        <n x="800" s="1"/>
        <n x="687"/>
        <n x="688"/>
      </t>
    </mdx>
    <mdx n="0" f="v">
      <t c="6" si="614">
        <n x="610"/>
        <n x="261"/>
        <n x="262"/>
        <n x="800" s="1"/>
        <n x="685"/>
        <n x="686"/>
      </t>
    </mdx>
    <mdx n="0" f="v">
      <t c="6" si="614">
        <n x="610"/>
        <n x="275"/>
        <n x="276"/>
        <n x="800" s="1"/>
        <n x="679"/>
        <n x="680"/>
      </t>
    </mdx>
    <mdx n="0" f="v">
      <t c="6" si="614">
        <n x="610"/>
        <n x="275"/>
        <n x="276"/>
        <n x="800" s="1"/>
        <n x="679"/>
        <n x="680"/>
      </t>
    </mdx>
    <mdx n="0" f="v">
      <t c="6" si="614">
        <n x="610"/>
        <n x="217"/>
        <n x="276"/>
        <n x="800" s="1"/>
        <n x="697"/>
        <n x="698"/>
      </t>
    </mdx>
    <mdx n="0" f="v">
      <t c="6" si="614">
        <n x="610"/>
        <n x="217"/>
        <n x="218"/>
        <n x="800" s="1"/>
        <n x="679"/>
        <n x="680"/>
      </t>
    </mdx>
    <mdx n="0" f="v">
      <t c="6" si="614">
        <n x="610"/>
        <n x="719"/>
        <n x="720"/>
        <n x="800" s="1"/>
        <n x="683"/>
        <n x="684"/>
      </t>
    </mdx>
    <mdx n="0" f="v">
      <t c="6" si="614">
        <n x="610"/>
        <n x="285"/>
        <n x="286"/>
        <n x="800" s="1"/>
        <n x="683"/>
        <n x="684"/>
      </t>
    </mdx>
    <mdx n="0" f="v">
      <t c="6" si="614">
        <n x="610"/>
        <n x="723"/>
        <n x="724"/>
        <n x="800" s="1"/>
        <n x="687"/>
        <n x="688"/>
      </t>
    </mdx>
    <mdx n="0" f="v">
      <t c="6" si="614">
        <n x="610"/>
        <n x="721"/>
        <n x="722"/>
        <n x="800" s="1"/>
        <n x="687"/>
        <n x="680"/>
      </t>
    </mdx>
    <mdx n="0" f="v">
      <t c="6" si="614">
        <n x="610"/>
        <n x="721"/>
        <n x="722"/>
        <n x="800" s="1"/>
        <n x="687"/>
        <n x="688"/>
      </t>
    </mdx>
    <mdx n="0" f="v">
      <t c="6" si="614">
        <n x="610"/>
        <n x="463"/>
        <n x="464"/>
        <n x="800" s="1"/>
        <n x="691"/>
        <n x="692"/>
      </t>
    </mdx>
    <mdx n="0" f="v">
      <t c="6" si="614">
        <n x="610"/>
        <n x="723"/>
        <n x="724"/>
        <n x="800" s="1"/>
        <n x="697"/>
        <n x="698"/>
      </t>
    </mdx>
    <mdx n="0" f="v">
      <t c="6" si="614">
        <n x="610"/>
        <n x="463"/>
        <n x="464"/>
        <n x="800" s="1"/>
        <n x="689"/>
        <n x="690"/>
      </t>
    </mdx>
    <mdx n="0" f="v">
      <t c="6" si="614">
        <n x="610"/>
        <n x="463"/>
        <n x="464"/>
        <n x="800" s="1"/>
        <n x="683"/>
        <n x="684"/>
      </t>
    </mdx>
    <mdx n="0" f="v">
      <t c="6" si="614">
        <n x="610"/>
        <n x="463"/>
        <n x="464"/>
        <n x="800" s="1"/>
        <n x="695"/>
        <n x="696"/>
      </t>
    </mdx>
    <mdx n="0" f="v">
      <t c="6" si="614">
        <n x="610"/>
        <n x="377"/>
        <n x="378"/>
        <n x="800" s="1"/>
        <n x="689"/>
        <n x="690"/>
      </t>
    </mdx>
    <mdx n="0" f="v">
      <t c="6" si="614">
        <n x="610"/>
        <n x="391"/>
        <n x="392"/>
        <n x="800" s="1"/>
        <n x="681"/>
        <n x="682"/>
      </t>
    </mdx>
    <mdx n="0" f="v">
      <t c="6" si="614">
        <n x="610"/>
        <n x="391"/>
        <n x="392"/>
        <n x="800" s="1"/>
        <n x="691"/>
        <n x="692"/>
      </t>
    </mdx>
    <mdx n="0" f="v">
      <t c="6" si="614">
        <n x="610"/>
        <n x="200"/>
        <n x="201"/>
        <n x="800" s="1"/>
        <n x="685"/>
        <n x="686"/>
      </t>
    </mdx>
    <mdx n="0" f="v">
      <t c="6" si="614">
        <n x="610"/>
        <n x="379"/>
        <n x="380"/>
        <n x="800" s="1"/>
        <n x="689"/>
        <n x="682"/>
      </t>
    </mdx>
    <mdx n="0" f="v">
      <t c="6" si="614">
        <n x="610"/>
        <n x="379"/>
        <n x="380"/>
        <n x="800" s="1"/>
        <n x="689"/>
        <n x="690"/>
      </t>
    </mdx>
    <mdx n="0" f="v">
      <t c="6" si="614">
        <n x="610"/>
        <n x="221"/>
        <n x="222"/>
        <n x="800" s="1"/>
        <n x="679"/>
        <n x="680"/>
      </t>
    </mdx>
    <mdx n="0" f="v">
      <t c="6" si="614">
        <n x="610"/>
        <n x="221"/>
        <n x="222"/>
        <n x="800" s="1"/>
        <n x="679"/>
        <n x="680"/>
      </t>
    </mdx>
    <mdx n="0" f="v">
      <t c="6" si="614">
        <n x="610"/>
        <n x="731"/>
        <n x="732"/>
        <n x="800" s="1"/>
        <n x="683"/>
        <n x="684"/>
      </t>
    </mdx>
    <mdx n="0" f="v">
      <t c="6" si="614">
        <n x="610"/>
        <n x="461"/>
        <n x="462"/>
        <n x="800" s="1"/>
        <n x="687"/>
        <n x="688"/>
      </t>
    </mdx>
    <mdx n="0" f="v">
      <t c="6" si="614">
        <n x="610"/>
        <n x="731"/>
        <n x="732"/>
        <n x="800" s="1"/>
        <n x="695"/>
        <n x="696"/>
      </t>
    </mdx>
    <mdx n="0" f="v">
      <t c="6" si="614">
        <n x="610"/>
        <n x="547"/>
        <n x="548"/>
        <n x="800" s="1"/>
        <n x="681"/>
        <n x="682"/>
      </t>
    </mdx>
    <mdx n="0" f="v">
      <t c="6" si="614">
        <n x="610"/>
        <n x="547"/>
        <n x="548"/>
        <n x="800" s="1"/>
        <n x="689"/>
        <n x="690"/>
      </t>
    </mdx>
    <mdx n="0" f="v">
      <t c="6" si="614">
        <n x="610"/>
        <n x="607"/>
        <n x="608"/>
        <n x="800" s="1"/>
        <n x="695"/>
        <n x="696"/>
      </t>
    </mdx>
    <mdx n="0" f="v">
      <t c="6" si="614">
        <n x="610"/>
        <n x="453"/>
        <n x="454"/>
        <n x="800" s="1"/>
        <n x="683"/>
        <n x="684"/>
      </t>
    </mdx>
    <mdx n="0" f="v">
      <t c="6" si="614">
        <n x="610"/>
        <n x="453"/>
        <n x="454"/>
        <n x="800" s="1"/>
        <n x="689"/>
        <n x="690"/>
      </t>
    </mdx>
    <mdx n="0" f="v">
      <t c="6" si="614">
        <n x="610"/>
        <n x="363"/>
        <n x="364"/>
        <n x="800" s="1"/>
        <n x="681"/>
        <n x="682"/>
      </t>
    </mdx>
    <mdx n="0" f="v">
      <t c="6" si="614">
        <n x="610"/>
        <n x="495"/>
        <n x="496"/>
        <n x="800" s="1"/>
        <n x="681"/>
        <n x="682"/>
      </t>
    </mdx>
    <mdx n="0" f="v">
      <t c="6" si="614">
        <n x="610"/>
        <n x="495"/>
        <n x="496"/>
        <n x="800" s="1"/>
        <n x="681"/>
        <n x="682"/>
      </t>
    </mdx>
    <mdx n="0" f="v">
      <t c="6" si="614">
        <n x="610"/>
        <n x="495"/>
        <n x="596"/>
        <n x="800" s="1"/>
        <n x="679"/>
        <n x="680"/>
      </t>
    </mdx>
    <mdx n="0" f="v">
      <t c="6" si="614">
        <n x="610"/>
        <n x="495"/>
        <n x="496"/>
        <n x="800" s="1"/>
        <n x="693"/>
        <n x="694"/>
      </t>
    </mdx>
    <mdx n="0" f="v">
      <t c="6" si="614">
        <n x="610"/>
        <n x="235"/>
        <n x="236"/>
        <n x="800" s="1"/>
        <n x="687"/>
        <n x="688"/>
      </t>
    </mdx>
    <mdx n="0" f="v">
      <t c="6" si="614">
        <n x="610"/>
        <n x="453"/>
        <n x="454"/>
        <n x="800" s="1"/>
        <n x="691"/>
        <n x="692"/>
      </t>
    </mdx>
    <mdx n="0" f="v">
      <t c="6" si="614">
        <n x="610"/>
        <n x="265"/>
        <n x="266"/>
        <n x="800" s="1"/>
        <n x="679"/>
        <n x="680"/>
      </t>
    </mdx>
    <mdx n="0" f="v">
      <t c="6" si="614">
        <n x="610"/>
        <n x="265"/>
        <n x="266"/>
        <n x="800" s="1"/>
        <n x="697"/>
        <n x="698"/>
      </t>
    </mdx>
    <mdx n="0" f="v">
      <t c="6" si="614">
        <n x="610"/>
        <n x="265"/>
        <n x="266"/>
        <n x="800" s="1"/>
        <n x="691"/>
        <n x="692"/>
      </t>
    </mdx>
    <mdx n="0" f="v">
      <t c="6" si="614">
        <n x="610"/>
        <n x="595"/>
        <n x="596"/>
        <n x="800" s="1"/>
        <n x="683"/>
        <n x="684"/>
      </t>
    </mdx>
    <mdx n="0" f="v">
      <t c="6" si="614">
        <n x="610"/>
        <n x="595"/>
        <n x="596"/>
        <n x="800" s="1"/>
        <n x="695"/>
        <n x="696"/>
      </t>
    </mdx>
    <mdx n="0" f="v">
      <t c="6" si="614">
        <n x="610"/>
        <n x="271"/>
        <n x="272"/>
        <n x="800" s="1"/>
        <n x="695"/>
        <n x="696"/>
      </t>
    </mdx>
    <mdx n="0" f="v">
      <t c="6" si="614">
        <n x="610"/>
        <n x="277"/>
        <n x="278"/>
        <n x="800" s="1"/>
        <n x="681"/>
        <n x="682"/>
      </t>
    </mdx>
    <mdx n="0" f="v">
      <t c="6" si="614">
        <n x="610"/>
        <n x="277"/>
        <n x="278"/>
        <n x="800" s="1"/>
        <n x="685"/>
        <n x="686"/>
      </t>
    </mdx>
    <mdx n="0" f="v">
      <t c="6" si="614">
        <n x="610"/>
        <n x="387"/>
        <n x="388"/>
        <n x="800" s="1"/>
        <n x="691"/>
        <n x="692"/>
      </t>
    </mdx>
    <mdx n="0" f="v">
      <t c="6" si="614">
        <n x="610"/>
        <n x="387"/>
        <n x="388"/>
        <n x="800" s="1"/>
        <n x="685"/>
        <n x="686"/>
      </t>
    </mdx>
    <mdx n="0" f="v">
      <t c="6" si="614">
        <n x="610"/>
        <n x="387"/>
        <n x="388"/>
        <n x="800" s="1"/>
        <n x="695"/>
        <n x="696"/>
      </t>
    </mdx>
    <mdx n="0" f="v">
      <t c="6" si="614">
        <n x="610"/>
        <n x="387"/>
        <n x="388"/>
        <n x="800" s="1"/>
        <n x="695"/>
        <n x="696"/>
      </t>
    </mdx>
    <mdx n="0" f="v">
      <t c="6" si="614">
        <n x="610"/>
        <n x="401"/>
        <n x="402"/>
        <n x="800" s="1"/>
        <n x="683"/>
        <n x="684"/>
      </t>
    </mdx>
    <mdx n="0" f="v">
      <t c="6" si="614">
        <n x="610"/>
        <n x="401"/>
        <n x="402"/>
        <n x="800" s="1"/>
        <n x="683"/>
        <n x="684"/>
      </t>
    </mdx>
    <mdx n="0" f="v">
      <t c="6" si="614">
        <n x="610"/>
        <n x="209"/>
        <n x="210"/>
        <n x="800" s="1"/>
        <n x="687"/>
        <n x="688"/>
      </t>
    </mdx>
    <mdx n="0" f="v">
      <t c="6" si="614">
        <n x="610"/>
        <n x="591"/>
        <n x="592"/>
        <n x="800" s="1"/>
        <n x="697"/>
        <n x="698"/>
      </t>
    </mdx>
    <mdx n="0" f="v">
      <t c="6" si="614">
        <n x="610"/>
        <n x="737"/>
        <n x="738"/>
        <n x="800" s="1"/>
        <n x="683"/>
        <n x="684"/>
      </t>
    </mdx>
    <mdx n="0" f="v">
      <t c="6" si="614">
        <n x="610"/>
        <n x="741"/>
        <n x="742"/>
        <n x="800" s="1"/>
        <n x="681"/>
        <n x="682"/>
      </t>
    </mdx>
    <mdx n="0" f="v">
      <t c="6" si="614">
        <n x="610"/>
        <n x="741"/>
        <n x="742"/>
        <n x="800" s="1"/>
        <n x="687"/>
        <n x="688"/>
      </t>
    </mdx>
    <mdx n="0" f="v">
      <t c="6" si="614">
        <n x="610"/>
        <n x="435"/>
        <n x="456"/>
        <n x="800" s="1"/>
        <n x="681"/>
        <n x="682"/>
      </t>
    </mdx>
    <mdx n="0" f="v">
      <t c="6" si="614">
        <n x="610"/>
        <n x="435"/>
        <n x="436"/>
        <n x="800" s="1"/>
        <n x="677"/>
        <n x="678"/>
      </t>
    </mdx>
    <mdx n="0" f="v">
      <t c="6" si="614">
        <n x="610"/>
        <n x="455"/>
        <n x="456"/>
        <n x="800" s="1"/>
        <n x="697"/>
        <n x="698"/>
      </t>
    </mdx>
    <mdx n="0" f="v">
      <t c="6" si="614">
        <n x="610"/>
        <n x="429"/>
        <n x="430"/>
        <n x="800" s="1"/>
        <n x="681"/>
        <n x="682"/>
      </t>
    </mdx>
    <mdx n="0" f="v">
      <t c="6" si="614">
        <n x="610"/>
        <n x="241"/>
        <n x="242"/>
        <n x="800" s="1"/>
        <n x="687"/>
        <n x="688"/>
      </t>
    </mdx>
    <mdx n="0" f="v">
      <t c="6" si="614">
        <n x="610"/>
        <n x="229"/>
        <n x="230"/>
        <n x="800" s="1"/>
        <n x="681"/>
        <n x="682"/>
      </t>
    </mdx>
    <mdx n="0" f="v">
      <t c="6" si="614">
        <n x="610"/>
        <n x="393"/>
        <n x="394"/>
        <n x="800" s="1"/>
        <n x="681"/>
        <n x="682"/>
      </t>
    </mdx>
    <mdx n="0" f="v">
      <t c="6" si="614">
        <n x="610"/>
        <n x="753"/>
        <n x="754"/>
        <n x="800" s="1"/>
        <n x="689"/>
        <n x="690"/>
      </t>
    </mdx>
    <mdx n="0" f="v">
      <t c="6" si="614">
        <n x="610"/>
        <n x="393"/>
        <n x="394"/>
        <n x="800" s="1"/>
        <n x="697"/>
        <n x="698"/>
      </t>
    </mdx>
    <mdx n="0" f="v">
      <t c="6" si="614">
        <n x="610"/>
        <n x="743"/>
        <n x="744"/>
        <n x="800" s="1"/>
        <n x="681"/>
        <n x="682"/>
      </t>
    </mdx>
    <mdx n="0" f="v">
      <t c="6" si="614">
        <n x="610"/>
        <n x="339"/>
        <n x="340"/>
        <n x="800" s="1"/>
        <n x="679"/>
        <n x="680"/>
      </t>
    </mdx>
    <mdx n="0" f="v">
      <t c="6" si="614">
        <n x="610"/>
        <n x="561"/>
        <n x="562"/>
        <n x="800" s="1"/>
        <n x="681"/>
        <n x="682"/>
      </t>
    </mdx>
    <mdx n="0" f="v">
      <t c="6" si="614">
        <n x="610"/>
        <n x="561"/>
        <n x="562"/>
        <n x="800" s="1"/>
        <n x="681"/>
        <n x="682"/>
      </t>
    </mdx>
    <mdx n="0" f="v">
      <t c="6" si="614">
        <n x="610"/>
        <n x="561"/>
        <n x="562"/>
        <n x="800" s="1"/>
        <n x="697"/>
        <n x="684"/>
      </t>
    </mdx>
    <mdx n="0" f="v">
      <t c="6" si="614">
        <n x="610"/>
        <n x="561"/>
        <n x="562"/>
        <n x="800" s="1"/>
        <n x="697"/>
        <n x="698"/>
      </t>
    </mdx>
    <mdx n="0" f="v">
      <t c="6" si="614">
        <n x="610"/>
        <n x="491"/>
        <n x="492"/>
        <n x="800" s="1"/>
        <n x="681"/>
        <n x="682"/>
      </t>
    </mdx>
    <mdx n="0" f="v">
      <t c="6" si="614">
        <n x="610"/>
        <n x="491"/>
        <n x="492"/>
        <n x="800" s="1"/>
        <n x="697"/>
        <n x="698"/>
      </t>
    </mdx>
    <mdx n="0" f="v">
      <t c="6" si="614">
        <n x="610"/>
        <n x="233"/>
        <n x="434"/>
        <n x="800" s="1"/>
        <n x="681"/>
        <n x="682"/>
      </t>
    </mdx>
    <mdx n="0" f="v">
      <t c="6" si="614">
        <n x="610"/>
        <n x="233"/>
        <n x="234"/>
        <n x="800" s="1"/>
        <n x="681"/>
        <n x="682"/>
      </t>
    </mdx>
    <mdx n="0" f="v">
      <t c="6" si="614">
        <n x="610"/>
        <n x="433"/>
        <n x="434"/>
        <n x="800" s="1"/>
        <n x="697"/>
        <n x="698"/>
      </t>
    </mdx>
    <mdx n="0" f="v">
      <t c="6" si="614">
        <n x="610"/>
        <n x="589"/>
        <n x="590"/>
        <n x="800" s="1"/>
        <n x="681"/>
        <n x="682"/>
      </t>
    </mdx>
    <mdx n="0" f="v">
      <t c="6" si="614">
        <n x="610"/>
        <n x="589"/>
        <n x="590"/>
        <n x="800" s="1"/>
        <n x="681"/>
        <n x="682"/>
      </t>
    </mdx>
    <mdx n="0" f="v">
      <t c="6" si="614">
        <n x="610"/>
        <n x="289"/>
        <n x="290"/>
        <n x="800" s="1"/>
        <n x="685"/>
        <n x="686"/>
      </t>
    </mdx>
    <mdx n="0" f="v">
      <t c="6" si="614">
        <n x="610"/>
        <n x="493"/>
        <n x="494"/>
        <n x="800" s="1"/>
        <n x="689"/>
        <n x="682"/>
      </t>
    </mdx>
    <mdx n="0" f="v">
      <t c="6" si="614">
        <n x="610"/>
        <n x="493"/>
        <n x="494"/>
        <n x="800" s="1"/>
        <n x="689"/>
        <n x="690"/>
      </t>
    </mdx>
    <mdx n="0" f="v">
      <t c="6" si="614">
        <n x="610"/>
        <n x="605"/>
        <n x="606"/>
        <n x="800" s="1"/>
        <n x="697"/>
        <n x="698"/>
      </t>
    </mdx>
    <mdx n="0" f="v">
      <t c="6" si="614">
        <n x="610"/>
        <n x="437"/>
        <n x="438"/>
        <n x="800" s="1"/>
        <n x="681"/>
        <n x="678"/>
      </t>
    </mdx>
    <mdx n="0" f="v">
      <t c="6" si="614">
        <n x="610"/>
        <n x="437"/>
        <n x="438"/>
        <n x="800" s="1"/>
        <n x="681"/>
        <n x="682"/>
      </t>
    </mdx>
    <mdx n="0" f="v">
      <t c="6" si="614">
        <n x="610"/>
        <n x="437"/>
        <n x="438"/>
        <n x="800" s="1"/>
        <n x="697"/>
        <n x="684"/>
      </t>
    </mdx>
    <mdx n="0" f="v">
      <t c="6" si="614">
        <n x="610"/>
        <n x="437"/>
        <n x="438"/>
        <n x="800" s="1"/>
        <n x="697"/>
        <n x="698"/>
      </t>
    </mdx>
    <mdx n="0" f="v">
      <t c="6" si="614">
        <n x="610"/>
        <n x="503"/>
        <n x="504"/>
        <n x="800" s="1"/>
        <n x="697"/>
        <n x="688"/>
      </t>
    </mdx>
    <mdx n="0" f="v">
      <t c="6" si="614">
        <n x="610"/>
        <n x="409"/>
        <n x="410"/>
        <n x="800" s="1"/>
        <n x="681"/>
        <n x="682"/>
      </t>
    </mdx>
    <mdx n="0" f="v">
      <t c="6" si="614">
        <n x="610"/>
        <n x="409"/>
        <n x="410"/>
        <n x="800" s="1"/>
        <n x="695"/>
        <n x="696"/>
      </t>
    </mdx>
    <mdx n="0" f="v">
      <t c="6" si="614">
        <n x="610"/>
        <n x="553"/>
        <n x="514"/>
        <n x="800" s="1"/>
        <n x="697"/>
        <n x="698"/>
      </t>
    </mdx>
    <mdx n="0" f="v">
      <t c="6" si="614">
        <n x="610"/>
        <n x="553"/>
        <n x="554"/>
        <n x="800" s="1"/>
        <n x="689"/>
        <n x="690"/>
      </t>
    </mdx>
    <mdx n="0" f="v">
      <t c="6" si="614">
        <n x="610"/>
        <n x="549"/>
        <n x="550"/>
        <n x="800" s="1"/>
        <n x="685"/>
        <n x="686"/>
      </t>
    </mdx>
    <mdx n="0" f="v">
      <t c="6" si="614">
        <n x="610"/>
        <n x="549"/>
        <n x="550"/>
        <n x="800" s="1"/>
        <n x="695"/>
        <n x="696"/>
      </t>
    </mdx>
    <mdx n="0" f="v">
      <t c="6" si="614">
        <n x="610"/>
        <n x="745"/>
        <n x="746"/>
        <n x="800" s="1"/>
        <n x="681"/>
        <n x="682"/>
      </t>
    </mdx>
    <mdx n="0" f="v">
      <t c="6" si="614">
        <n x="610"/>
        <n x="745"/>
        <n x="746"/>
        <n x="800" s="1"/>
        <n x="697"/>
        <n x="698"/>
      </t>
    </mdx>
    <mdx n="0" f="v">
      <t c="6" si="614">
        <n x="610"/>
        <n x="745"/>
        <n x="746"/>
        <n x="800" s="1"/>
        <n x="697"/>
        <n x="698"/>
      </t>
    </mdx>
    <mdx n="0" f="v">
      <t c="6" si="614">
        <n x="610"/>
        <n x="295"/>
        <n x="296"/>
        <n x="800" s="1"/>
        <n x="681"/>
        <n x="680"/>
      </t>
    </mdx>
    <mdx n="0" f="v">
      <t c="6" si="614">
        <n x="610"/>
        <n x="295"/>
        <n x="296"/>
        <n x="800" s="1"/>
        <n x="681"/>
        <n x="682"/>
      </t>
    </mdx>
    <mdx n="0" f="v">
      <t c="6" si="614">
        <n x="610"/>
        <n x="295"/>
        <n x="296"/>
        <n x="800" s="1"/>
        <n x="697"/>
        <n x="698"/>
      </t>
    </mdx>
    <mdx n="0" f="v">
      <t c="6" si="614">
        <n x="610"/>
        <n x="469"/>
        <n x="470"/>
        <n x="800" s="1"/>
        <n x="693"/>
        <n x="694"/>
      </t>
    </mdx>
    <mdx n="0" f="v">
      <t c="6" si="614">
        <n x="610"/>
        <n x="747"/>
        <n x="748"/>
        <n x="800" s="1"/>
        <n x="681"/>
        <n x="682"/>
      </t>
    </mdx>
    <mdx n="0" f="v">
      <t c="6" si="614">
        <n x="610"/>
        <n x="747"/>
        <n x="748"/>
        <n x="800" s="1"/>
        <n x="677"/>
        <n x="678"/>
      </t>
    </mdx>
    <mdx n="0" f="v">
      <t c="6" si="614">
        <n x="610"/>
        <n x="747"/>
        <n x="748"/>
        <n x="800" s="1"/>
        <n x="697"/>
        <n x="698"/>
      </t>
    </mdx>
    <mdx n="0" f="v">
      <t c="6" si="614">
        <n x="610"/>
        <n x="441"/>
        <n x="442"/>
        <n x="800" s="1"/>
        <n x="681"/>
        <n x="682"/>
      </t>
    </mdx>
    <mdx n="0" f="v">
      <t c="6" si="614">
        <n x="610"/>
        <n x="441"/>
        <n x="442"/>
        <n x="800" s="1"/>
        <n x="681"/>
        <n x="682"/>
      </t>
    </mdx>
    <mdx n="0" f="v">
      <t c="6" si="614">
        <n x="610"/>
        <n x="763"/>
        <n x="764"/>
        <n x="800" s="1"/>
        <n x="687"/>
        <n x="688"/>
      </t>
    </mdx>
    <mdx n="0" f="v">
      <t c="6" si="614">
        <n x="610"/>
        <n x="539"/>
        <n x="540"/>
        <n x="800" s="1"/>
        <n x="681"/>
        <n x="682"/>
      </t>
    </mdx>
    <mdx n="0" f="v">
      <t c="6" si="614">
        <n x="610"/>
        <n x="765"/>
        <n x="766"/>
        <n x="800" s="1"/>
        <n x="695"/>
        <n x="696"/>
      </t>
    </mdx>
    <mdx n="0" f="v">
      <t c="6" si="614">
        <n x="610"/>
        <n x="509"/>
        <n x="510"/>
        <n x="800" s="1"/>
        <n x="681"/>
        <n x="682"/>
      </t>
    </mdx>
    <mdx n="0" f="v">
      <t c="6" si="614">
        <n x="610"/>
        <n x="509"/>
        <n x="510"/>
        <n x="800" s="1"/>
        <n x="689"/>
        <n x="690"/>
      </t>
    </mdx>
    <mdx n="0" f="v">
      <t c="6" si="614">
        <n x="610"/>
        <n x="359"/>
        <n x="360"/>
        <n x="800" s="1"/>
        <n x="691"/>
        <n x="692"/>
      </t>
    </mdx>
    <mdx n="0" f="v">
      <t c="6" si="614">
        <n x="610"/>
        <n x="259"/>
        <n x="260"/>
        <n x="800" s="1"/>
        <n x="681"/>
        <n x="682"/>
      </t>
    </mdx>
    <mdx n="0" f="v">
      <t c="6" si="614">
        <n x="610"/>
        <n x="259"/>
        <n x="260"/>
        <n x="800" s="1"/>
        <n x="697"/>
        <n x="698"/>
      </t>
    </mdx>
    <mdx n="0" f="v">
      <t c="6" si="614">
        <n x="610"/>
        <n x="259"/>
        <n x="260"/>
        <n x="800" s="1"/>
        <n x="697"/>
        <n x="698"/>
      </t>
    </mdx>
    <mdx n="0" f="v">
      <t c="6" si="614">
        <n x="610"/>
        <n x="299"/>
        <n x="300"/>
        <n x="800" s="1"/>
        <n x="681"/>
        <n x="682"/>
      </t>
    </mdx>
    <mdx n="0" f="v">
      <t c="6" si="614">
        <n x="610"/>
        <n x="299"/>
        <n x="300"/>
        <n x="800" s="1"/>
        <n x="681"/>
        <n x="682"/>
      </t>
    </mdx>
    <mdx n="0" f="v">
      <t c="6" si="614">
        <n x="610"/>
        <n x="299"/>
        <n x="300"/>
        <n x="800" s="1"/>
        <n x="697"/>
        <n x="698"/>
      </t>
    </mdx>
    <mdx n="0" f="v">
      <t c="6" si="614">
        <n x="610"/>
        <n x="315"/>
        <n x="316"/>
        <n x="800" s="1"/>
        <n x="683"/>
        <n x="682"/>
      </t>
    </mdx>
    <mdx n="0" f="v">
      <t c="6" si="614">
        <n x="610"/>
        <n x="315"/>
        <n x="316"/>
        <n x="800" s="1"/>
        <n x="683"/>
        <n x="684"/>
      </t>
    </mdx>
    <mdx n="0" f="v">
      <t c="6" si="614">
        <n x="610"/>
        <n x="511"/>
        <n x="512"/>
        <n x="800" s="1"/>
        <n x="697"/>
        <n x="698"/>
      </t>
    </mdx>
    <mdx n="0" f="v">
      <t c="6" si="614">
        <n x="610"/>
        <n x="511"/>
        <n x="512"/>
        <n x="800" s="1"/>
        <n x="677"/>
        <n x="678"/>
      </t>
    </mdx>
    <mdx n="0" f="v">
      <t c="6" si="614">
        <n x="610"/>
        <n x="511"/>
        <n x="512"/>
        <n x="800" s="1"/>
        <n x="697"/>
        <n x="682"/>
      </t>
    </mdx>
    <mdx n="0" f="v">
      <t c="6" si="614">
        <n x="610"/>
        <n x="511"/>
        <n x="512"/>
        <n x="800" s="1"/>
        <n x="697"/>
        <n x="698"/>
      </t>
    </mdx>
    <mdx n="0" f="v">
      <t c="6" si="614">
        <n x="610"/>
        <n x="419"/>
        <n x="420"/>
        <n x="800" s="1"/>
        <n x="697"/>
        <n x="698"/>
      </t>
    </mdx>
    <mdx n="0" f="v">
      <t c="6" si="614">
        <n x="610"/>
        <n x="293"/>
        <n x="294"/>
        <n x="800" s="1"/>
        <n x="681"/>
        <n x="682"/>
      </t>
    </mdx>
    <mdx n="0" f="v">
      <t c="6" si="614">
        <n x="610"/>
        <n x="489"/>
        <n x="490"/>
        <n x="800" s="1"/>
        <n x="681"/>
        <n x="682"/>
      </t>
    </mdx>
    <mdx n="0" f="v">
      <t c="6" si="614">
        <n x="610"/>
        <n x="489"/>
        <n x="490"/>
        <n x="800" s="1"/>
        <n x="697"/>
        <n x="698"/>
      </t>
    </mdx>
    <mdx n="0" f="v">
      <t c="6" si="614">
        <n x="610"/>
        <n x="529"/>
        <n x="530"/>
        <n x="800" s="1"/>
        <n x="685"/>
        <n x="686"/>
      </t>
    </mdx>
    <mdx n="0" f="v">
      <t c="6" si="614">
        <n x="610"/>
        <n x="751"/>
        <n x="752"/>
        <n x="800" s="1"/>
        <n x="681"/>
        <n x="682"/>
      </t>
    </mdx>
    <mdx n="0" f="v">
      <t c="6" si="614">
        <n x="610"/>
        <n x="751"/>
        <n x="752"/>
        <n x="800" s="1"/>
        <n x="689"/>
        <n x="690"/>
      </t>
    </mdx>
    <mdx n="0" f="v">
      <t c="6" si="614">
        <n x="610"/>
        <n x="753"/>
        <n x="754"/>
        <n x="800" s="1"/>
        <n x="685"/>
        <n x="686"/>
      </t>
    </mdx>
    <mdx n="0" f="v">
      <t c="6" si="614">
        <n x="610"/>
        <n x="381"/>
        <n x="382"/>
        <n x="800" s="1"/>
        <n x="683"/>
        <n x="684"/>
      </t>
    </mdx>
    <mdx n="0" f="v">
      <t c="6" si="614">
        <n x="610"/>
        <n x="381"/>
        <n x="382"/>
        <n x="800" s="1"/>
        <n x="683"/>
        <n x="684"/>
      </t>
    </mdx>
    <mdx n="0" f="v">
      <t c="6" si="614">
        <n x="610"/>
        <n x="381"/>
        <n x="382"/>
        <n x="800" s="1"/>
        <n x="693"/>
        <n x="694"/>
      </t>
    </mdx>
    <mdx n="0" f="v">
      <t c="6" si="614">
        <n x="610"/>
        <n x="205"/>
        <n x="206"/>
        <n x="800" s="1"/>
        <n x="683"/>
        <n x="684"/>
      </t>
    </mdx>
    <mdx n="0" f="v">
      <t c="6" si="614">
        <n x="610"/>
        <n x="407"/>
        <n x="270"/>
        <n x="800" s="1"/>
        <n x="695"/>
        <n x="696"/>
      </t>
    </mdx>
    <mdx n="0" f="v">
      <t c="6" si="614">
        <n x="610"/>
        <n x="407"/>
        <n x="408"/>
        <n x="800" s="1"/>
        <n x="687"/>
        <n x="688"/>
      </t>
    </mdx>
    <mdx n="0" f="v">
      <t c="6" si="614">
        <n x="610"/>
        <n x="399"/>
        <n x="400"/>
        <n x="800" s="1"/>
        <n x="695"/>
        <n x="696"/>
      </t>
    </mdx>
    <mdx n="0" f="v">
      <t c="6" si="614">
        <n x="610"/>
        <n x="399"/>
        <n x="400"/>
        <n x="800" s="1"/>
        <n x="695"/>
        <n x="696"/>
      </t>
    </mdx>
    <mdx n="0" f="v">
      <t c="6" si="614">
        <n x="610"/>
        <n x="233"/>
        <n x="234"/>
        <n x="800" s="1"/>
        <n x="689"/>
        <n x="690"/>
      </t>
    </mdx>
    <mdx n="0" f="v">
      <t c="6" si="614">
        <n x="610"/>
        <n x="493"/>
        <n x="494"/>
        <n x="800" s="1"/>
        <n x="685"/>
        <n x="698"/>
      </t>
    </mdx>
    <mdx n="0" f="v">
      <t c="6" si="614">
        <n x="610"/>
        <n x="493"/>
        <n x="494"/>
        <n x="800" s="1"/>
        <n x="685"/>
        <n x="686"/>
      </t>
    </mdx>
    <mdx n="0" f="v">
      <t c="6" si="614">
        <n x="610"/>
        <n x="375"/>
        <n x="376"/>
        <n x="800" s="1"/>
        <n x="685"/>
        <n x="686"/>
      </t>
    </mdx>
    <mdx n="0" f="v">
      <t c="6" si="614">
        <n x="610"/>
        <n x="535"/>
        <n x="536"/>
        <n x="800" s="1"/>
        <n x="677"/>
        <n x="678"/>
      </t>
    </mdx>
    <mdx n="0" f="v">
      <t c="6" si="614">
        <n x="610"/>
        <n x="361"/>
        <n x="362"/>
        <n x="800" s="1"/>
        <n x="679"/>
        <n x="680"/>
      </t>
    </mdx>
    <mdx n="0" f="v">
      <t c="6" si="614">
        <n x="610"/>
        <n x="355"/>
        <n x="356"/>
        <n x="800" s="1"/>
        <n x="681"/>
        <n x="682"/>
      </t>
    </mdx>
    <mdx n="0" f="v">
      <t c="6" si="614">
        <n x="610"/>
        <n x="355"/>
        <n x="356"/>
        <n x="800" s="1"/>
        <n x="691"/>
        <n x="692"/>
      </t>
    </mdx>
    <mdx n="0" f="v">
      <t c="6" si="614">
        <n x="610"/>
        <n x="757"/>
        <n x="758"/>
        <n x="800" s="1"/>
        <n x="687"/>
        <n x="688"/>
      </t>
    </mdx>
    <mdx n="0" f="v">
      <t c="6" si="614">
        <n x="610"/>
        <n x="761"/>
        <n x="762"/>
        <n x="800" s="1"/>
        <n x="681"/>
        <n x="682"/>
      </t>
    </mdx>
    <mdx n="0" f="v">
      <t c="6" si="614">
        <n x="610"/>
        <n x="761"/>
        <n x="762"/>
        <n x="800" s="1"/>
        <n x="687"/>
        <n x="688"/>
      </t>
    </mdx>
    <mdx n="0" f="v">
      <t c="6" si="614">
        <n x="610"/>
        <n x="553"/>
        <n x="554"/>
        <n x="800" s="1"/>
        <n x="695"/>
        <n x="688"/>
      </t>
    </mdx>
    <mdx n="0" f="v">
      <t c="6" si="614">
        <n x="610"/>
        <n x="553"/>
        <n x="554"/>
        <n x="800" s="1"/>
        <n x="695"/>
        <n x="696"/>
      </t>
    </mdx>
    <mdx n="0" f="v">
      <t c="6" si="614">
        <n x="610"/>
        <n x="245"/>
        <n x="246"/>
        <n x="800" s="1"/>
        <n x="689"/>
        <n x="690"/>
      </t>
    </mdx>
    <mdx n="0" f="v">
      <t c="6" si="614">
        <n x="610"/>
        <n x="311"/>
        <n x="312"/>
        <n x="800" s="1"/>
        <n x="683"/>
        <n x="692"/>
      </t>
    </mdx>
    <mdx n="0" f="v">
      <t c="6" si="614">
        <n x="610"/>
        <n x="311"/>
        <n x="312"/>
        <n x="800" s="1"/>
        <n x="683"/>
        <n x="684"/>
      </t>
    </mdx>
    <mdx n="0" f="v">
      <t c="6" si="614">
        <n x="610"/>
        <n x="531"/>
        <n x="532"/>
        <n x="800" s="1"/>
        <n x="695"/>
        <n x="696"/>
      </t>
    </mdx>
    <mdx n="0" f="v">
      <t c="6" si="614">
        <n x="610"/>
        <n x="531"/>
        <n x="532"/>
        <n x="800" s="1"/>
        <n x="695"/>
        <n x="696"/>
      </t>
    </mdx>
    <mdx n="0" f="v">
      <t c="6" si="614">
        <n x="610"/>
        <n x="469"/>
        <n x="470"/>
        <n x="800" s="1"/>
        <n x="679"/>
        <n x="680"/>
      </t>
    </mdx>
    <mdx n="0" f="v">
      <t c="6" si="614">
        <n x="610"/>
        <n x="469"/>
        <n x="470"/>
        <n x="800" s="1"/>
        <n x="697"/>
        <n x="698"/>
      </t>
    </mdx>
    <mdx n="0" f="v">
      <t c="6" si="614">
        <n x="610"/>
        <n x="247"/>
        <n x="248"/>
        <n x="800" s="1"/>
        <n x="683"/>
        <n x="684"/>
      </t>
    </mdx>
    <mdx n="0" f="v">
      <t c="6" si="614">
        <n x="610"/>
        <n x="287"/>
        <n x="288"/>
        <n x="800" s="1"/>
        <n x="677"/>
        <n x="678"/>
      </t>
    </mdx>
    <mdx n="0" f="v">
      <t c="6" si="614">
        <n x="610"/>
        <n x="545"/>
        <n x="546"/>
        <n x="800" s="1"/>
        <n x="697"/>
        <n x="698"/>
      </t>
    </mdx>
    <mdx n="0" f="v">
      <t c="6" si="614">
        <n x="610"/>
        <n x="545"/>
        <n x="546"/>
        <n x="800" s="1"/>
        <n x="685"/>
        <n x="686"/>
      </t>
    </mdx>
    <mdx n="0" f="v">
      <t c="6" si="614">
        <n x="610"/>
        <n x="545"/>
        <n x="546"/>
        <n x="800" s="1"/>
        <n x="695"/>
        <n x="682"/>
      </t>
    </mdx>
    <mdx n="0" f="v">
      <t c="6" si="614">
        <n x="610"/>
        <n x="545"/>
        <n x="546"/>
        <n x="800" s="1"/>
        <n x="695"/>
        <n x="696"/>
      </t>
    </mdx>
    <mdx n="0" f="v">
      <t c="6" si="614">
        <n x="610"/>
        <n x="765"/>
        <n x="766"/>
        <n x="800" s="1"/>
        <n x="691"/>
        <n x="692"/>
      </t>
    </mdx>
    <mdx n="0" f="v">
      <t c="6" si="614">
        <n x="610"/>
        <n x="509"/>
        <n x="510"/>
        <n x="800" s="1"/>
        <n x="685"/>
        <n x="686"/>
      </t>
    </mdx>
    <mdx n="0" f="v">
      <t c="6" si="614">
        <n x="610"/>
        <n x="359"/>
        <n x="360"/>
        <n x="800" s="1"/>
        <n x="689"/>
        <n x="690"/>
      </t>
    </mdx>
    <mdx n="0" f="v">
      <t c="6" si="614">
        <n x="610"/>
        <n x="359"/>
        <n x="360"/>
        <n x="800" s="1"/>
        <n x="689"/>
        <n x="690"/>
      </t>
    </mdx>
    <mdx n="0" f="v">
      <t c="6" si="614">
        <n x="610"/>
        <n x="315"/>
        <n x="316"/>
        <n x="800" s="1"/>
        <n x="677"/>
        <n x="678"/>
      </t>
    </mdx>
    <mdx n="0" f="v">
      <t c="6" si="614">
        <n x="610"/>
        <n x="769"/>
        <n x="770"/>
        <n x="800" s="1"/>
        <n x="683"/>
        <n x="684"/>
      </t>
    </mdx>
    <mdx n="0" f="v">
      <t c="6" si="614">
        <n x="610"/>
        <n x="769"/>
        <n x="770"/>
        <n x="800" s="1"/>
        <n x="693"/>
        <n x="678"/>
      </t>
    </mdx>
    <mdx n="0" f="v">
      <t c="6" si="614">
        <n x="610"/>
        <n x="769"/>
        <n x="770"/>
        <n x="800" s="1"/>
        <n x="693"/>
        <n x="694"/>
      </t>
    </mdx>
    <mdx n="0" f="v">
      <t c="6" si="614">
        <n x="610"/>
        <n x="511"/>
        <n x="512"/>
        <n x="800" s="1"/>
        <n x="687"/>
        <n x="688"/>
      </t>
    </mdx>
    <mdx n="0" f="v">
      <t c="6" si="614">
        <n x="610"/>
        <n x="293"/>
        <n x="294"/>
        <n x="800" s="1"/>
        <n x="689"/>
        <n x="690"/>
      </t>
    </mdx>
    <mdx n="0" f="v">
      <t c="6" si="614">
        <n x="610"/>
        <n x="293"/>
        <n x="294"/>
        <n x="800" s="1"/>
        <n x="689"/>
        <n x="690"/>
      </t>
    </mdx>
    <mdx n="0" f="v">
      <t c="6" si="614">
        <n x="610"/>
        <n x="249"/>
        <n x="250"/>
        <n x="800" s="1"/>
        <n x="685"/>
        <n x="686"/>
      </t>
    </mdx>
    <mdx n="0" f="v">
      <t c="6" si="614">
        <n x="610"/>
        <n x="249"/>
        <n x="250"/>
        <n x="800" s="1"/>
        <n x="685"/>
        <n x="686"/>
      </t>
    </mdx>
    <mdx n="0" f="v">
      <t c="6" si="614">
        <n x="610"/>
        <n x="579"/>
        <n x="580"/>
        <n x="800" s="1"/>
        <n x="669"/>
        <n x="670"/>
      </t>
    </mdx>
    <mdx n="0" f="v">
      <t c="6" si="614">
        <n x="610"/>
        <n x="313"/>
        <n x="314"/>
        <n x="800" s="1"/>
        <n x="677"/>
        <n x="678"/>
      </t>
    </mdx>
    <mdx n="0" f="v">
      <t c="6" si="614">
        <n x="610"/>
        <n x="775"/>
        <n x="776"/>
        <n x="800" s="1"/>
        <n x="679"/>
        <n x="680"/>
      </t>
    </mdx>
    <mdx n="0" f="v">
      <t c="6" si="614">
        <n x="610"/>
        <n x="381"/>
        <n x="382"/>
        <n x="800" s="1"/>
        <n x="669"/>
        <n x="670"/>
      </t>
    </mdx>
    <mdx n="0" f="v">
      <t c="6" si="614">
        <n x="610"/>
        <n x="445"/>
        <n x="446"/>
        <n x="800" s="1"/>
        <n x="687"/>
        <n x="688"/>
      </t>
    </mdx>
    <mdx n="0" f="v">
      <t c="6" si="614">
        <n x="610"/>
        <n x="269"/>
        <n x="270"/>
        <n x="800" s="1"/>
        <n x="681"/>
        <n x="682"/>
      </t>
    </mdx>
    <mdx n="0" f="v">
      <t c="6" si="614">
        <n x="610"/>
        <n x="375"/>
        <n x="376"/>
        <n x="800" s="1"/>
        <n x="681"/>
        <n x="682"/>
      </t>
    </mdx>
    <mdx n="0" f="v">
      <t c="6" si="614">
        <n x="610"/>
        <n x="375"/>
        <n x="376"/>
        <n x="800" s="1"/>
        <n x="681"/>
        <n x="682"/>
      </t>
    </mdx>
    <mdx n="0" f="v">
      <t c="6" si="614">
        <n x="610"/>
        <n x="783"/>
        <n x="784"/>
        <n x="800" s="1"/>
        <n x="693"/>
        <n x="694"/>
      </t>
    </mdx>
    <mdx n="0" f="v">
      <t c="6" si="614">
        <n x="610"/>
        <n x="535"/>
        <n x="536"/>
        <n x="800" s="1"/>
        <n x="677"/>
        <n x="678"/>
      </t>
    </mdx>
    <mdx n="0" f="v">
      <t c="6" si="614">
        <n x="610"/>
        <n x="535"/>
        <n x="536"/>
        <n x="800" s="1"/>
        <n x="687"/>
        <n x="688"/>
      </t>
    </mdx>
    <mdx n="0" f="v">
      <t c="6" si="614">
        <n x="610"/>
        <n x="355"/>
        <n x="356"/>
        <n x="800" s="1"/>
        <n x="689"/>
        <n x="690"/>
      </t>
    </mdx>
    <mdx n="0" f="v">
      <t c="6" si="614">
        <n x="610"/>
        <n x="355"/>
        <n x="356"/>
        <n x="800" s="1"/>
        <n x="689"/>
        <n x="690"/>
      </t>
    </mdx>
    <mdx n="0" f="v">
      <t c="6" si="614">
        <n x="610"/>
        <n x="787"/>
        <n x="788"/>
        <n x="800" s="1"/>
        <n x="683"/>
        <n x="684"/>
      </t>
    </mdx>
    <mdx n="0" f="v">
      <t c="6" si="614">
        <n x="610"/>
        <n x="583"/>
        <n x="584"/>
        <n x="800" s="1"/>
        <n x="695"/>
        <n x="696"/>
      </t>
    </mdx>
    <mdx n="0" f="v">
      <t c="6" si="614">
        <n x="610"/>
        <n x="431"/>
        <n x="432"/>
        <n x="800" s="1"/>
        <n x="685"/>
        <n x="686"/>
      </t>
    </mdx>
    <mdx n="0" f="v">
      <t c="6" si="614">
        <n x="610"/>
        <n x="423"/>
        <n x="424"/>
        <n x="800" s="1"/>
        <n x="677"/>
        <n x="670"/>
      </t>
    </mdx>
    <mdx n="0" f="v">
      <t c="6" si="614">
        <n x="610"/>
        <n x="545"/>
        <n x="546"/>
        <n x="800" s="1"/>
        <n x="677"/>
        <n x="678"/>
      </t>
    </mdx>
    <mdx n="0" f="v">
      <t c="6" si="614">
        <n x="610"/>
        <n x="545"/>
        <n x="546"/>
        <n x="800" s="1"/>
        <n x="681"/>
        <n x="682"/>
      </t>
    </mdx>
    <mdx n="0" f="v">
      <t c="6" si="614">
        <n x="610"/>
        <n x="545"/>
        <n x="546"/>
        <n x="800" s="1"/>
        <n x="691"/>
        <n x="692"/>
      </t>
    </mdx>
    <mdx n="0" f="v">
      <t c="6" si="614">
        <n x="610"/>
        <n x="545"/>
        <n x="546"/>
        <n x="800" s="1"/>
        <n x="691"/>
        <n x="692"/>
      </t>
    </mdx>
    <mdx n="0" f="v">
      <t c="6" si="614">
        <n x="610"/>
        <n x="575"/>
        <n x="576"/>
        <n x="800" s="1"/>
        <n x="693"/>
        <n x="694"/>
      </t>
    </mdx>
    <mdx n="0" f="v">
      <t c="6" si="614">
        <n x="610"/>
        <n x="451"/>
        <n x="452"/>
        <n x="800" s="1"/>
        <n x="685"/>
        <n x="686"/>
      </t>
    </mdx>
    <mdx n="0" f="v">
      <t c="6" si="614">
        <n x="610"/>
        <n x="563"/>
        <n x="564"/>
        <n x="800" s="1"/>
        <n x="677"/>
        <n x="678"/>
      </t>
    </mdx>
    <mdx n="0" f="v">
      <t c="6" si="614">
        <n x="610"/>
        <n x="563"/>
        <n x="564"/>
        <n x="800" s="1"/>
        <n x="669"/>
        <n x="686"/>
      </t>
    </mdx>
    <mdx n="0" f="v">
      <t c="6" si="614">
        <n x="610"/>
        <n x="473"/>
        <n x="474"/>
        <n x="800" s="1"/>
        <n x="693"/>
        <n x="694"/>
      </t>
    </mdx>
    <mdx n="0" f="v">
      <t c="6" si="614">
        <n x="610"/>
        <n x="225"/>
        <n x="226"/>
        <n x="800" s="1"/>
        <n x="677"/>
        <n x="678"/>
      </t>
    </mdx>
    <mdx n="0" f="v">
      <t c="6" si="614">
        <n x="610"/>
        <n x="523"/>
        <n x="524"/>
        <n x="800" s="1"/>
        <n x="685"/>
        <n x="686"/>
      </t>
    </mdx>
    <mdx n="0" f="v">
      <t c="6" si="614">
        <n x="610"/>
        <n x="711"/>
        <n x="712"/>
        <n x="800" s="1"/>
        <n x="679"/>
        <n x="680"/>
      </t>
    </mdx>
    <mdx n="0" f="v">
      <t c="6" si="614">
        <n x="610"/>
        <n x="579"/>
        <n x="580"/>
        <n x="800" s="1"/>
        <n x="685"/>
        <n x="686"/>
      </t>
    </mdx>
    <mdx n="0" f="v">
      <t c="6" si="614">
        <n x="610"/>
        <n x="579"/>
        <n x="580"/>
        <n x="800" s="1"/>
        <n x="693"/>
        <n x="694"/>
      </t>
    </mdx>
    <mdx n="0" f="v">
      <t c="6" si="614">
        <n x="610"/>
        <n x="313"/>
        <n x="314"/>
        <n x="800" s="1"/>
        <n x="685"/>
        <n x="686"/>
      </t>
    </mdx>
    <mdx n="0" f="v">
      <t c="6" si="614">
        <n x="610"/>
        <n x="313"/>
        <n x="314"/>
        <n x="800" s="1"/>
        <n x="693"/>
        <n x="694"/>
      </t>
    </mdx>
    <mdx n="0" f="v">
      <t c="6" si="614">
        <n x="610"/>
        <n x="351"/>
        <n x="352"/>
        <n x="800" s="1"/>
        <n x="685"/>
        <n x="686"/>
      </t>
    </mdx>
    <mdx n="0" f="v">
      <t c="6" si="614">
        <n x="610"/>
        <n x="351"/>
        <n x="352"/>
        <n x="800" s="1"/>
        <n x="693"/>
        <n x="694"/>
      </t>
    </mdx>
    <mdx n="0" f="v">
      <t c="6" si="614">
        <n x="610"/>
        <n x="717"/>
        <n x="718"/>
        <n x="800" s="1"/>
        <n x="691"/>
        <n x="692"/>
      </t>
    </mdx>
    <mdx n="0" f="v">
      <t c="6" si="614">
        <n x="610"/>
        <n x="213"/>
        <n x="214"/>
        <n x="800" s="1"/>
        <n x="685"/>
        <n x="686"/>
      </t>
    </mdx>
    <mdx n="0" f="v">
      <t c="6" si="614">
        <n x="610"/>
        <n x="213"/>
        <n x="214"/>
        <n x="800" s="1"/>
        <n x="693"/>
        <n x="694"/>
      </t>
    </mdx>
    <mdx n="0" f="v">
      <t c="6" si="614">
        <n x="610"/>
        <n x="791"/>
        <n x="792"/>
        <n x="800" s="1"/>
        <n x="685"/>
        <n x="694"/>
      </t>
    </mdx>
    <mdx n="0" f="v">
      <t c="6" si="614">
        <n x="610"/>
        <n x="791"/>
        <n x="792"/>
        <n x="800" s="1"/>
        <n x="685"/>
        <n x="686"/>
      </t>
    </mdx>
    <mdx n="0" f="v">
      <t c="6" si="614">
        <n x="610"/>
        <n x="791"/>
        <n x="792"/>
        <n x="800" s="1"/>
        <n x="693"/>
        <n x="694"/>
      </t>
    </mdx>
    <mdx n="0" f="v">
      <t c="6" si="614">
        <n x="610"/>
        <n x="331"/>
        <n x="332"/>
        <n x="800" s="1"/>
        <n x="685"/>
        <n x="686"/>
      </t>
    </mdx>
    <mdx n="0" f="v">
      <t c="6" si="614">
        <n x="610"/>
        <n x="721"/>
        <n x="722"/>
        <n x="800" s="1"/>
        <n x="685"/>
        <n x="686"/>
      </t>
    </mdx>
    <mdx n="0" f="v">
      <t c="6" si="614">
        <n x="610"/>
        <n x="377"/>
        <n x="378"/>
        <n x="800" s="1"/>
        <n x="685"/>
        <n x="686"/>
      </t>
    </mdx>
    <mdx n="0" f="v">
      <t c="6" si="614">
        <n x="610"/>
        <n x="793"/>
        <n x="794"/>
        <n x="800" s="1"/>
        <n x="685"/>
        <n x="686"/>
      </t>
    </mdx>
    <mdx n="0" f="v">
      <t c="6" si="614">
        <n x="610"/>
        <n x="793"/>
        <n x="794"/>
        <n x="800" s="1"/>
        <n x="693"/>
        <n x="694"/>
      </t>
    </mdx>
    <mdx n="0" f="v">
      <t c="6" si="614">
        <n x="610"/>
        <n x="795"/>
        <n x="796"/>
        <n x="800" s="1"/>
        <n x="685"/>
        <n x="686"/>
      </t>
    </mdx>
    <mdx n="0" f="v">
      <t c="6" si="614">
        <n x="610"/>
        <n x="795"/>
        <n x="796"/>
        <n x="800" s="1"/>
        <n x="693"/>
        <n x="698"/>
      </t>
    </mdx>
    <mdx n="0" f="v">
      <t c="6" si="614">
        <n x="610"/>
        <n x="795"/>
        <n x="796"/>
        <n x="800" s="1"/>
        <n x="693"/>
        <n x="694"/>
      </t>
    </mdx>
    <mdx n="0" f="v">
      <t c="6" si="614">
        <n x="610"/>
        <n x="465"/>
        <n x="466"/>
        <n x="800" s="1"/>
        <n x="685"/>
        <n x="686"/>
      </t>
    </mdx>
    <mdx n="0" f="v">
      <t c="6" si="614">
        <n x="610"/>
        <n x="465"/>
        <n x="466"/>
        <n x="800" s="1"/>
        <n x="693"/>
        <n x="694"/>
      </t>
    </mdx>
    <mdx n="0" f="v">
      <t c="6" si="614">
        <n x="610"/>
        <n x="725"/>
        <n x="726"/>
        <n x="800" s="1"/>
        <n x="687"/>
        <n x="688"/>
      </t>
    </mdx>
    <mdx n="0" f="v">
      <t c="6" si="614">
        <n x="610"/>
        <n x="557"/>
        <n x="558"/>
        <n x="800" s="1"/>
        <n x="693"/>
        <n x="694"/>
      </t>
    </mdx>
    <mdx n="0" f="v">
      <t c="6" si="614">
        <n x="610"/>
        <n x="557"/>
        <n x="558"/>
        <n x="800" s="1"/>
        <n x="693"/>
        <n x="694"/>
      </t>
    </mdx>
    <mdx n="0" f="v">
      <t c="6" si="614">
        <n x="610"/>
        <n x="727"/>
        <n x="728"/>
        <n x="800" s="1"/>
        <n x="669"/>
        <n x="686"/>
      </t>
    </mdx>
    <mdx n="0" f="v">
      <t c="6" si="614">
        <n x="610"/>
        <n x="439"/>
        <n x="730"/>
        <n x="800" s="1"/>
        <n x="681"/>
        <n x="682"/>
      </t>
    </mdx>
    <mdx n="0" f="v">
      <t c="6" si="614">
        <n x="610"/>
        <n x="439"/>
        <n x="440"/>
        <n x="800" s="1"/>
        <n x="685"/>
        <n x="686"/>
      </t>
    </mdx>
    <mdx n="0" f="v">
      <t c="6" si="614">
        <n x="610"/>
        <n x="439"/>
        <n x="440"/>
        <n x="800" s="1"/>
        <n x="693"/>
        <n x="694"/>
      </t>
    </mdx>
    <mdx n="0" f="v">
      <t c="6" si="614">
        <n x="610"/>
        <n x="439"/>
        <n x="440"/>
        <n x="800" s="1"/>
        <n x="693"/>
        <n x="694"/>
      </t>
    </mdx>
    <mdx n="0" f="v">
      <t c="6" si="614">
        <n x="610"/>
        <n x="571"/>
        <n x="572"/>
        <n x="800" s="1"/>
        <n x="685"/>
        <n x="686"/>
      </t>
    </mdx>
    <mdx n="0" f="v">
      <t c="6" si="614">
        <n x="610"/>
        <n x="571"/>
        <n x="572"/>
        <n x="800" s="1"/>
        <n x="685"/>
        <n x="686"/>
      </t>
    </mdx>
    <mdx n="0" f="v">
      <t c="6" si="614">
        <n x="610"/>
        <n x="571"/>
        <n x="572"/>
        <n x="800" s="1"/>
        <n x="693"/>
        <n x="694"/>
      </t>
    </mdx>
    <mdx n="0" f="v">
      <t c="6" si="614">
        <n x="610"/>
        <n x="607"/>
        <n x="608"/>
        <n x="800" s="1"/>
        <n x="669"/>
        <n x="670"/>
      </t>
    </mdx>
    <mdx n="0" f="v">
      <t c="6" si="614">
        <n x="610"/>
        <n x="305"/>
        <n x="306"/>
        <n x="800" s="1"/>
        <n x="693"/>
        <n x="694"/>
      </t>
    </mdx>
    <mdx n="0" f="v">
      <t c="6" si="614">
        <n x="610"/>
        <n x="453"/>
        <n x="454"/>
        <n x="800" s="1"/>
        <n x="681"/>
        <n x="682"/>
      </t>
    </mdx>
    <mdx n="0" f="v">
      <t c="6" si="614">
        <n x="610"/>
        <n x="563"/>
        <n x="564"/>
        <n x="800" s="1"/>
        <n x="685"/>
        <n x="686"/>
      </t>
    </mdx>
    <mdx n="0" f="v">
      <t c="6" si="614">
        <n x="610"/>
        <n x="265"/>
        <n x="266"/>
        <n x="800" s="1"/>
        <n x="677"/>
        <n x="678"/>
      </t>
    </mdx>
    <mdx n="0" f="v">
      <t c="6" si="614">
        <n x="610"/>
        <n x="563"/>
        <n x="564"/>
        <n x="800" s="1"/>
        <n x="693"/>
        <n x="694"/>
      </t>
    </mdx>
    <mdx n="0" f="v">
      <t c="6" si="614">
        <n x="610"/>
        <n x="225"/>
        <n x="226"/>
        <n x="800" s="1"/>
        <n x="685"/>
        <n x="686"/>
      </t>
    </mdx>
    <mdx n="0" f="v">
      <t c="6" si="614">
        <n x="610"/>
        <n x="225"/>
        <n x="226"/>
        <n x="800" s="1"/>
        <n x="683"/>
        <n x="684"/>
      </t>
    </mdx>
    <mdx n="0" f="v">
      <t c="6" si="614">
        <n x="610"/>
        <n x="225"/>
        <n x="226"/>
        <n x="800" s="1"/>
        <n x="693"/>
        <n x="694"/>
      </t>
    </mdx>
    <mdx n="0" f="v">
      <t c="6" si="614">
        <n x="610"/>
        <n x="279"/>
        <n x="280"/>
        <n x="800" s="1"/>
        <n x="687"/>
        <n x="688"/>
      </t>
    </mdx>
    <mdx n="0" f="v">
      <t c="6" si="614">
        <n x="610"/>
        <n x="279"/>
        <n x="280"/>
        <n x="800" s="1"/>
        <n x="685"/>
        <n x="686"/>
      </t>
    </mdx>
    <mdx n="0" f="v">
      <t c="6" si="614">
        <n x="610"/>
        <n x="279"/>
        <n x="280"/>
        <n x="800" s="1"/>
        <n x="693"/>
        <n x="694"/>
      </t>
    </mdx>
    <mdx n="0" f="v">
      <t c="6" si="614">
        <n x="610"/>
        <n x="291"/>
        <n x="236"/>
        <n x="800" s="1"/>
        <n x="689"/>
        <n x="690"/>
      </t>
    </mdx>
    <mdx n="0" f="v">
      <t c="6" si="614">
        <n x="610"/>
        <n x="291"/>
        <n x="292"/>
        <n x="800" s="1"/>
        <n x="685"/>
        <n x="686"/>
      </t>
    </mdx>
    <mdx n="0" f="v">
      <t c="6" si="614">
        <n x="610"/>
        <n x="733"/>
        <n x="734"/>
        <n x="800" s="1"/>
        <n x="691"/>
        <n x="692"/>
      </t>
    </mdx>
    <mdx n="0" f="v">
      <t c="6" si="614">
        <n x="610"/>
        <n x="797"/>
        <n x="798"/>
        <n x="800" s="1"/>
        <n x="685"/>
        <n x="686"/>
      </t>
    </mdx>
    <mdx n="0" f="v">
      <t c="6" si="614">
        <n x="610"/>
        <n x="271"/>
        <n x="272"/>
        <n x="800" s="1"/>
        <n x="687"/>
        <n x="688"/>
      </t>
    </mdx>
    <mdx n="0" f="v">
      <t c="6" si="614">
        <n x="610"/>
        <n x="735"/>
        <n x="736"/>
        <n x="800" s="1"/>
        <n x="679"/>
        <n x="680"/>
      </t>
    </mdx>
    <mdx n="0" f="v">
      <t c="6" si="614">
        <n x="610"/>
        <n x="283"/>
        <n x="284"/>
        <n x="800" s="1"/>
        <n x="685"/>
        <n x="686"/>
      </t>
    </mdx>
    <mdx n="0" f="v">
      <t c="6" si="614">
        <n x="610"/>
        <n x="283"/>
        <n x="284"/>
        <n x="800" s="1"/>
        <n x="695"/>
        <n x="696"/>
      </t>
    </mdx>
    <mdx n="0" f="v">
      <t c="6" si="614">
        <n x="610"/>
        <n x="443"/>
        <n x="444"/>
        <n x="800" s="1"/>
        <n x="679"/>
        <n x="686"/>
      </t>
    </mdx>
    <mdx n="0" f="v">
      <t c="6" si="614">
        <n x="610"/>
        <n x="443"/>
        <n x="444"/>
        <n x="800" s="1"/>
        <n x="679"/>
        <n x="680"/>
      </t>
    </mdx>
    <mdx n="0" f="v">
      <t c="6" si="614">
        <n x="610"/>
        <n x="443"/>
        <n x="444"/>
        <n x="800" s="1"/>
        <n x="693"/>
        <n x="694"/>
      </t>
    </mdx>
    <mdx n="0" f="v">
      <t c="6" si="614">
        <n x="610"/>
        <n x="443"/>
        <n x="444"/>
        <n x="800" s="1"/>
        <n x="697"/>
        <n x="698"/>
      </t>
    </mdx>
    <mdx n="0" f="v">
      <t c="6" si="614">
        <n x="610"/>
        <n x="525"/>
        <n x="526"/>
        <n x="800" s="1"/>
        <n x="683"/>
        <n x="684"/>
      </t>
    </mdx>
    <mdx n="0" f="v">
      <t c="6" si="614">
        <n x="610"/>
        <n x="525"/>
        <n x="526"/>
        <n x="800" s="1"/>
        <n x="683"/>
        <n x="684"/>
      </t>
    </mdx>
    <mdx n="0" f="v">
      <t c="6" si="614">
        <n x="610"/>
        <n x="319"/>
        <n x="450"/>
        <n x="800" s="1"/>
        <n x="693"/>
        <n x="694"/>
      </t>
    </mdx>
    <mdx n="0" f="v">
      <t c="6" si="614">
        <n x="610"/>
        <n x="319"/>
        <n x="320"/>
        <n x="800" s="1"/>
        <n x="681"/>
        <n x="682"/>
      </t>
    </mdx>
    <mdx n="0" f="v">
      <t c="6" si="614">
        <n x="610"/>
        <n x="801"/>
        <n x="802"/>
        <n x="800" s="1"/>
        <n x="685"/>
        <n x="686"/>
      </t>
    </mdx>
    <mdx n="0" f="v">
      <t c="6" si="614">
        <n x="610"/>
        <n x="591"/>
        <n x="592"/>
        <n x="800" s="1"/>
        <n x="683"/>
        <n x="684"/>
      </t>
    </mdx>
    <mdx n="0" f="v">
      <t c="6" si="614">
        <n x="610"/>
        <n x="591"/>
        <n x="592"/>
        <n x="800" s="1"/>
        <n x="693"/>
        <n x="694"/>
      </t>
    </mdx>
    <mdx n="0" f="v">
      <t c="6" si="614">
        <n x="610"/>
        <n x="737"/>
        <n x="738"/>
        <n x="800" s="1"/>
        <n x="687"/>
        <n x="688"/>
      </t>
    </mdx>
    <mdx n="0" f="v">
      <t c="6" si="614">
        <n x="610"/>
        <n x="737"/>
        <n x="738"/>
        <n x="800" s="1"/>
        <n x="687"/>
        <n x="688"/>
      </t>
    </mdx>
    <mdx n="0" f="v">
      <t c="6" si="614">
        <n x="610"/>
        <n x="739"/>
        <n x="740"/>
        <n x="800" s="1"/>
        <n x="693"/>
        <n x="694"/>
      </t>
    </mdx>
    <mdx n="0" f="v">
      <t c="6" si="614">
        <n x="610"/>
        <n x="435"/>
        <n x="436"/>
        <n x="800" s="1"/>
        <n x="689"/>
        <n x="686"/>
      </t>
    </mdx>
    <mdx n="0" f="v">
      <t c="6" si="614">
        <n x="610"/>
        <n x="435"/>
        <n x="436"/>
        <n x="800" s="1"/>
        <n x="689"/>
        <n x="690"/>
      </t>
    </mdx>
    <mdx n="0" f="v">
      <t c="6" si="614">
        <n x="610"/>
        <n x="499"/>
        <n x="500"/>
        <n x="800" s="1"/>
        <n x="681"/>
        <n x="682"/>
      </t>
    </mdx>
    <mdx n="0" f="v">
      <t c="6" si="614">
        <n x="610"/>
        <n x="499"/>
        <n x="500"/>
        <n x="800" s="1"/>
        <n x="681"/>
        <n x="682"/>
      </t>
    </mdx>
    <mdx n="0" f="v">
      <t c="6" si="614">
        <n x="610"/>
        <n x="803"/>
        <n x="804"/>
        <n x="800" s="1"/>
        <n x="685"/>
        <n x="686"/>
      </t>
    </mdx>
    <mdx n="0" f="v">
      <t c="6" si="614">
        <n x="610"/>
        <n x="587"/>
        <n x="242"/>
        <n x="800" s="1"/>
        <n x="685"/>
        <n x="686"/>
      </t>
    </mdx>
    <mdx n="0" f="v">
      <t c="6" si="614">
        <n x="610"/>
        <n x="587"/>
        <n x="588"/>
        <n x="800" s="1"/>
        <n x="685"/>
        <n x="686"/>
      </t>
    </mdx>
    <mdx n="0" f="v">
      <t c="6" si="614">
        <n x="610"/>
        <n x="593"/>
        <n x="594"/>
        <n x="800" s="1"/>
        <n x="689"/>
        <n x="690"/>
      </t>
    </mdx>
    <mdx n="0" f="v">
      <t c="6" si="614">
        <n x="610"/>
        <n x="587"/>
        <n x="588"/>
        <n x="800" s="1"/>
        <n x="693"/>
        <n x="694"/>
      </t>
    </mdx>
    <mdx n="0" f="v">
      <t c="6" si="614">
        <n x="610"/>
        <n x="421"/>
        <n x="422"/>
        <n x="800" s="1"/>
        <n x="685"/>
        <n x="686"/>
      </t>
    </mdx>
    <mdx n="0" f="v">
      <t c="6" si="614">
        <n x="610"/>
        <n x="421"/>
        <n x="422"/>
        <n x="800" s="1"/>
        <n x="679"/>
        <n x="680"/>
      </t>
    </mdx>
    <mdx n="0" f="v">
      <t c="6" si="614">
        <n x="610"/>
        <n x="447"/>
        <n x="448"/>
        <n x="800" s="1"/>
        <n x="683"/>
        <n x="684"/>
      </t>
    </mdx>
    <mdx n="0" f="v">
      <t c="6" si="614">
        <n x="610"/>
        <n x="447"/>
        <n x="448"/>
        <n x="800" s="1"/>
        <n x="693"/>
        <n x="686"/>
      </t>
    </mdx>
    <mdx n="0" f="v">
      <t c="6" si="614">
        <n x="610"/>
        <n x="223"/>
        <n x="224"/>
        <n x="800" s="1"/>
        <n x="687"/>
        <n x="688"/>
      </t>
    </mdx>
    <mdx n="0" f="v">
      <t c="6" si="614">
        <n x="610"/>
        <n x="205"/>
        <n x="206"/>
        <n x="800" s="1"/>
        <n x="687"/>
        <n x="688"/>
      </t>
    </mdx>
    <mdx n="0" f="v">
      <t c="6" si="614">
        <n x="610"/>
        <n x="321"/>
        <n x="322"/>
        <n x="800" s="1"/>
        <n x="681"/>
        <n x="682"/>
      </t>
    </mdx>
    <mdx n="0" f="v">
      <t c="6" si="614">
        <n x="610"/>
        <n x="267"/>
        <n x="268"/>
        <n x="800" s="1"/>
        <n x="685"/>
        <n x="692"/>
      </t>
    </mdx>
    <mdx n="0" f="v">
      <t c="6" si="614">
        <n x="610"/>
        <n x="267"/>
        <n x="268"/>
        <n x="800" s="1"/>
        <n x="685"/>
        <n x="686"/>
      </t>
    </mdx>
    <mdx n="0" f="v">
      <t c="6" si="614">
        <n x="610"/>
        <n x="267"/>
        <n x="578"/>
        <n x="800" s="1"/>
        <n x="685"/>
        <n x="686"/>
      </t>
    </mdx>
    <mdx n="0" f="v">
      <t c="6" si="614">
        <n x="610"/>
        <n x="267"/>
        <n x="268"/>
        <n x="800" s="1"/>
        <n x="693"/>
        <n x="694"/>
      </t>
    </mdx>
    <mdx n="0" f="v">
      <t c="6" si="614">
        <n x="610"/>
        <n x="577"/>
        <n x="578"/>
        <n x="800" s="1"/>
        <n x="695"/>
        <n x="696"/>
      </t>
    </mdx>
    <mdx n="0" f="v">
      <t c="6" si="614">
        <n x="610"/>
        <n x="337"/>
        <n x="338"/>
        <n x="800" s="1"/>
        <n x="685"/>
        <n x="686"/>
      </t>
    </mdx>
    <mdx n="0" f="v">
      <t c="6" si="614">
        <n x="610"/>
        <n x="323"/>
        <n x="324"/>
        <n x="800" s="1"/>
        <n x="685"/>
        <n x="680"/>
      </t>
    </mdx>
    <mdx n="0" f="v">
      <t c="6" si="614">
        <n x="610"/>
        <n x="323"/>
        <n x="324"/>
        <n x="800" s="1"/>
        <n x="685"/>
        <n x="686"/>
      </t>
    </mdx>
    <mdx n="0" f="v">
      <t c="6" si="614">
        <n x="610"/>
        <n x="323"/>
        <n x="324"/>
        <n x="800" s="1"/>
        <n x="693"/>
        <n x="694"/>
      </t>
    </mdx>
    <mdx n="0" f="v">
      <t c="6" si="614">
        <n x="610"/>
        <n x="497"/>
        <n x="498"/>
        <n x="800" s="1"/>
        <n x="685"/>
        <n x="686"/>
      </t>
    </mdx>
    <mdx n="0" f="v">
      <t c="6" si="614">
        <n x="610"/>
        <n x="497"/>
        <n x="498"/>
        <n x="800" s="1"/>
        <n x="693"/>
        <n x="694"/>
      </t>
    </mdx>
    <mdx n="0" f="v">
      <t c="6" si="614">
        <n x="610"/>
        <n x="517"/>
        <n x="518"/>
        <n x="800" s="1"/>
        <n x="685"/>
        <n x="686"/>
      </t>
    </mdx>
    <mdx n="0" f="v">
      <t c="6" si="614">
        <n x="610"/>
        <n x="517"/>
        <n x="518"/>
        <n x="800" s="1"/>
        <n x="685"/>
        <n x="686"/>
      </t>
    </mdx>
    <mdx n="0" f="v">
      <t c="6" si="614">
        <n x="610"/>
        <n x="517"/>
        <n x="518"/>
        <n x="800" s="1"/>
        <n x="693"/>
        <n x="694"/>
      </t>
    </mdx>
    <mdx n="0" f="v">
      <t c="6" si="614">
        <n x="610"/>
        <n x="251"/>
        <n x="252"/>
        <n x="800" s="1"/>
        <n x="685"/>
        <n x="688"/>
      </t>
    </mdx>
    <mdx n="0" f="v">
      <t c="6" si="614">
        <n x="610"/>
        <n x="251"/>
        <n x="252"/>
        <n x="800" s="1"/>
        <n x="685"/>
        <n x="686"/>
      </t>
    </mdx>
    <mdx n="0" f="v">
      <t c="6" si="614">
        <n x="610"/>
        <n x="251"/>
        <n x="252"/>
        <n x="800" s="1"/>
        <n x="681"/>
        <n x="682"/>
      </t>
    </mdx>
    <mdx n="0" f="v">
      <t c="6" si="614">
        <n x="610"/>
        <n x="251"/>
        <n x="252"/>
        <n x="800" s="1"/>
        <n x="693"/>
        <n x="694"/>
      </t>
    </mdx>
    <mdx n="0" f="v">
      <t c="6" si="614">
        <n x="610"/>
        <n x="567"/>
        <n x="326"/>
        <n x="800" s="1"/>
        <n x="681"/>
        <n x="682"/>
      </t>
    </mdx>
    <mdx n="0" f="v">
      <t c="6" si="614">
        <n x="610"/>
        <n x="567"/>
        <n x="568"/>
        <n x="800" s="1"/>
        <n x="685"/>
        <n x="686"/>
      </t>
    </mdx>
    <mdx n="0" f="v">
      <t c="6" si="614">
        <n x="610"/>
        <n x="325"/>
        <n x="326"/>
        <n x="800" s="1"/>
        <n x="691"/>
        <n x="692"/>
      </t>
    </mdx>
    <mdx n="0" f="v">
      <t c="6" si="614">
        <n x="610"/>
        <n x="567"/>
        <n x="568"/>
        <n x="800" s="1"/>
        <n x="693"/>
        <n x="694"/>
      </t>
    </mdx>
    <mdx n="0" f="v">
      <t c="6" si="614">
        <n x="610"/>
        <n x="409"/>
        <n x="410"/>
        <n x="800" s="1"/>
        <n x="685"/>
        <n x="686"/>
      </t>
    </mdx>
    <mdx n="0" f="v">
      <t c="6" si="614">
        <n x="610"/>
        <n x="553"/>
        <n x="426"/>
        <n x="800" s="1"/>
        <n x="685"/>
        <n x="686"/>
      </t>
    </mdx>
    <mdx n="0" f="v">
      <t c="6" si="614">
        <n x="610"/>
        <n x="559"/>
        <n x="246"/>
        <n x="800" s="1"/>
        <n x="679"/>
        <n x="680"/>
      </t>
    </mdx>
    <mdx n="0" f="v">
      <t c="6" si="614">
        <n x="610"/>
        <n x="559"/>
        <n x="560"/>
        <n x="800" s="1"/>
        <n x="685"/>
        <n x="686"/>
      </t>
    </mdx>
    <mdx n="0" f="v">
      <t c="6" si="614">
        <n x="610"/>
        <n x="549"/>
        <n x="550"/>
        <n x="800" s="1"/>
        <n x="683"/>
        <n x="684"/>
      </t>
    </mdx>
    <mdx n="0" f="v">
      <t c="6" si="614">
        <n x="610"/>
        <n x="559"/>
        <n x="560"/>
        <n x="800" s="1"/>
        <n x="693"/>
        <n x="694"/>
      </t>
    </mdx>
    <mdx n="0" f="v">
      <t c="6" si="614">
        <n x="610"/>
        <n x="519"/>
        <n x="520"/>
        <n x="800" s="1"/>
        <n x="685"/>
        <n x="686"/>
      </t>
    </mdx>
    <mdx n="0" f="v">
      <t c="6" si="614">
        <n x="610"/>
        <n x="519"/>
        <n x="520"/>
        <n x="800" s="1"/>
        <n x="693"/>
        <n x="694"/>
      </t>
    </mdx>
    <mdx n="0" f="v">
      <t c="6" si="614">
        <n x="610"/>
        <n x="573"/>
        <n x="574"/>
        <n x="800" s="1"/>
        <n x="685"/>
        <n x="686"/>
      </t>
    </mdx>
    <mdx n="0" f="v">
      <t c="6" si="614">
        <n x="610"/>
        <n x="573"/>
        <n x="574"/>
        <n x="800" s="1"/>
        <n x="685"/>
        <n x="686"/>
      </t>
    </mdx>
    <mdx n="0" f="v">
      <t c="6" si="614">
        <n x="610"/>
        <n x="573"/>
        <n x="574"/>
        <n x="800" s="1"/>
        <n x="693"/>
        <n x="694"/>
      </t>
    </mdx>
    <mdx n="0" f="v">
      <t c="6" si="614">
        <n x="610"/>
        <n x="573"/>
        <n x="574"/>
        <n x="800" s="1"/>
        <n x="693"/>
        <n x="694"/>
      </t>
    </mdx>
    <mdx n="0" f="v">
      <t c="6" si="614">
        <n x="610"/>
        <n x="573"/>
        <n x="574"/>
        <n x="800" s="1"/>
        <n x="693"/>
        <n x="694"/>
      </t>
    </mdx>
    <mdx n="0" f="v">
      <t c="6" si="614">
        <n x="610"/>
        <n x="573"/>
        <n x="574"/>
        <n x="800" s="1"/>
        <n x="693"/>
        <n x="694"/>
      </t>
    </mdx>
    <mdx n="0" f="v">
      <t c="6" si="614">
        <n x="610"/>
        <n x="715"/>
        <n x="716"/>
        <n x="800" s="1"/>
        <n x="683"/>
        <n x="684"/>
      </t>
    </mdx>
    <mdx n="0" f="v">
      <t c="6" si="614">
        <n x="610"/>
        <n x="711"/>
        <n x="712"/>
        <n x="800" s="1"/>
        <n x="689"/>
        <n x="690"/>
      </t>
    </mdx>
    <mdx n="0" f="v">
      <t c="6" si="614">
        <n x="610"/>
        <n x="717"/>
        <n x="718"/>
        <n x="800" s="1"/>
        <n x="679"/>
        <n x="680"/>
      </t>
    </mdx>
    <mdx n="0" f="v">
      <t c="6" si="614">
        <n x="610"/>
        <n x="261"/>
        <n x="262"/>
        <n x="800" s="1"/>
        <n x="691"/>
        <n x="692"/>
      </t>
    </mdx>
    <mdx n="0" f="v">
      <t c="6" si="614">
        <n x="610"/>
        <n x="261"/>
        <n x="262"/>
        <n x="800" s="1"/>
        <n x="697"/>
        <n x="698"/>
      </t>
    </mdx>
    <mdx n="0" f="v">
      <t c="6" si="614">
        <n x="610"/>
        <n x="261"/>
        <n x="262"/>
        <n x="800" s="1"/>
        <n x="679"/>
        <n x="680"/>
      </t>
    </mdx>
    <mdx n="0" f="v">
      <t c="6" si="614">
        <n x="610"/>
        <n x="723"/>
        <n x="724"/>
        <n x="800" s="1"/>
        <n x="681"/>
        <n x="682"/>
      </t>
    </mdx>
    <mdx n="0" f="v">
      <t c="6" si="614">
        <n x="610"/>
        <n x="723"/>
        <n x="724"/>
        <n x="800" s="1"/>
        <n x="693"/>
        <n x="694"/>
      </t>
    </mdx>
    <mdx n="0" f="v">
      <t c="6" si="614">
        <n x="610"/>
        <n x="275"/>
        <n x="276"/>
        <n x="800" s="1"/>
        <n x="687"/>
        <n x="688"/>
      </t>
    </mdx>
    <mdx n="0" f="v">
      <t c="6" si="614">
        <n x="610"/>
        <n x="377"/>
        <n x="378"/>
        <n x="800" s="1"/>
        <n x="691"/>
        <n x="692"/>
      </t>
    </mdx>
    <mdx n="0" f="v">
      <t c="6" si="614">
        <n x="610"/>
        <n x="379"/>
        <n x="380"/>
        <n x="800" s="1"/>
        <n x="685"/>
        <n x="686"/>
      </t>
    </mdx>
    <mdx n="0" f="v">
      <t c="6" si="614">
        <n x="610"/>
        <n x="379"/>
        <n x="380"/>
        <n x="800" s="1"/>
        <n x="695"/>
        <n x="696"/>
      </t>
    </mdx>
    <mdx n="0" f="v">
      <t c="6" si="614">
        <n x="610"/>
        <n x="547"/>
        <n x="548"/>
        <n x="800" s="1"/>
        <n x="677"/>
        <n x="678"/>
      </t>
    </mdx>
    <mdx n="0" f="v">
      <t c="6" si="614">
        <n x="610"/>
        <n x="547"/>
        <n x="548"/>
        <n x="800" s="1"/>
        <n x="697"/>
        <n x="698"/>
      </t>
    </mdx>
    <mdx n="0" f="v">
      <t c="6" si="614">
        <n x="610"/>
        <n x="725"/>
        <n x="726"/>
        <n x="800" s="1"/>
        <n x="697"/>
        <n x="684"/>
      </t>
    </mdx>
    <mdx n="0" f="v">
      <t c="6" si="614">
        <n x="610"/>
        <n x="725"/>
        <n x="726"/>
        <n x="800" s="1"/>
        <n x="697"/>
        <n x="698"/>
      </t>
    </mdx>
    <mdx n="0" f="v">
      <t c="6" si="614">
        <n x="610"/>
        <n x="457"/>
        <n x="458"/>
        <n x="800" s="1"/>
        <n x="683"/>
        <n x="684"/>
      </t>
    </mdx>
    <mdx n="0" f="v">
      <t c="6" si="614">
        <n x="610"/>
        <n x="457"/>
        <n x="458"/>
        <n x="800" s="1"/>
        <n x="693"/>
        <n x="694"/>
      </t>
    </mdx>
    <mdx n="0" f="v">
      <t c="6" si="614">
        <n x="610"/>
        <n x="601"/>
        <n x="602"/>
        <n x="800" s="1"/>
        <n x="683"/>
        <n x="684"/>
      </t>
    </mdx>
    <mdx n="0" f="v">
      <t c="6" si="614">
        <n x="610"/>
        <n x="601"/>
        <n x="602"/>
        <n x="800" s="1"/>
        <n x="683"/>
        <n x="684"/>
      </t>
    </mdx>
    <mdx n="0" f="v">
      <t c="6" si="614">
        <n x="610"/>
        <n x="461"/>
        <n x="462"/>
        <n x="800" s="1"/>
        <n x="683"/>
        <n x="684"/>
      </t>
    </mdx>
    <mdx n="0" f="v">
      <t c="6" si="614">
        <n x="610"/>
        <n x="367"/>
        <n x="368"/>
        <n x="800" s="1"/>
        <n x="695"/>
        <n x="696"/>
      </t>
    </mdx>
    <mdx n="0" f="v">
      <t c="6" si="614">
        <n x="610"/>
        <n x="725"/>
        <n x="726"/>
        <n x="800" s="1"/>
        <n x="677"/>
        <n x="678"/>
      </t>
    </mdx>
    <mdx n="0" f="v">
      <t c="6" si="614">
        <n x="610"/>
        <n x="457"/>
        <n x="458"/>
        <n x="800" s="1"/>
        <n x="695"/>
        <n x="696"/>
      </t>
    </mdx>
    <mdx n="0" f="v">
      <t c="6" si="614">
        <n x="610"/>
        <n x="601"/>
        <n x="602"/>
        <n x="800" s="1"/>
        <n x="693"/>
        <n x="690"/>
      </t>
    </mdx>
    <mdx n="0" f="v">
      <t c="6" si="614">
        <n x="610"/>
        <n x="601"/>
        <n x="602"/>
        <n x="800" s="1"/>
        <n x="693"/>
        <n x="694"/>
      </t>
    </mdx>
    <mdx n="0" f="v">
      <t c="6" si="614">
        <n x="610"/>
        <n x="557"/>
        <n x="558"/>
        <n x="800" s="1"/>
        <n x="669"/>
        <n x="692"/>
      </t>
    </mdx>
    <mdx n="0" f="v">
      <t c="6" si="614">
        <n x="610"/>
        <n x="727"/>
        <n x="728"/>
        <n x="800" s="1"/>
        <n x="695"/>
        <n x="696"/>
      </t>
    </mdx>
    <mdx n="0" f="v">
      <t c="6" si="614">
        <n x="610"/>
        <n x="363"/>
        <n x="364"/>
        <n x="800" s="1"/>
        <n x="685"/>
        <n x="686"/>
      </t>
    </mdx>
    <mdx n="0" f="v">
      <t c="6" si="614">
        <n x="610"/>
        <n x="729"/>
        <n x="730"/>
        <n x="800" s="1"/>
        <n x="689"/>
        <n x="690"/>
      </t>
    </mdx>
    <mdx n="0" f="v">
      <t c="6" si="614">
        <n x="610"/>
        <n x="265"/>
        <n x="266"/>
        <n x="800" s="1"/>
        <n x="689"/>
        <n x="690"/>
      </t>
    </mdx>
    <mdx n="0" f="v">
      <t c="6" si="614">
        <n x="610"/>
        <n x="733"/>
        <n x="734"/>
        <n x="800" s="1"/>
        <n x="693"/>
        <n x="694"/>
      </t>
    </mdx>
    <mdx n="0" f="v">
      <t c="6" si="614">
        <n x="610"/>
        <n x="281"/>
        <n x="282"/>
        <n x="800" s="1"/>
        <n x="681"/>
        <n x="682"/>
      </t>
    </mdx>
    <mdx n="0" f="v">
      <t c="6" si="614">
        <n x="610"/>
        <n x="235"/>
        <n x="236"/>
        <n x="800" s="1"/>
        <n x="695"/>
        <n x="696"/>
      </t>
    </mdx>
    <mdx n="0" f="v">
      <t c="6" si="614">
        <n x="610"/>
        <n x="243"/>
        <n x="244"/>
        <n x="800" s="1"/>
        <n x="681"/>
        <n x="682"/>
      </t>
    </mdx>
    <mdx n="0" f="v">
      <t c="6" si="614">
        <n x="610"/>
        <n x="243"/>
        <n x="244"/>
        <n x="800" s="1"/>
        <n x="689"/>
        <n x="690"/>
      </t>
    </mdx>
    <mdx n="0" f="v">
      <t c="6" si="614">
        <n x="610"/>
        <n x="271"/>
        <n x="272"/>
        <n x="800" s="1"/>
        <n x="685"/>
        <n x="686"/>
      </t>
    </mdx>
    <mdx n="0" f="v">
      <t c="6" si="614">
        <n x="610"/>
        <n x="283"/>
        <n x="284"/>
        <n x="800" s="1"/>
        <n x="687"/>
        <n x="688"/>
      </t>
    </mdx>
    <mdx n="0" f="v">
      <t c="6" si="614">
        <n x="610"/>
        <n x="277"/>
        <n x="278"/>
        <n x="800" s="1"/>
        <n x="697"/>
        <n x="698"/>
      </t>
    </mdx>
    <mdx n="0" f="v">
      <t c="6" si="614">
        <n x="610"/>
        <n x="277"/>
        <n x="278"/>
        <n x="800" s="1"/>
        <n x="679"/>
        <n x="680"/>
      </t>
    </mdx>
    <mdx n="0" f="v">
      <t c="6" si="614">
        <n x="610"/>
        <n x="277"/>
        <n x="278"/>
        <n x="800" s="1"/>
        <n x="691"/>
        <n x="692"/>
      </t>
    </mdx>
    <mdx n="0" f="v">
      <t c="6" si="614">
        <n x="610"/>
        <n x="209"/>
        <n x="210"/>
        <n x="800" s="1"/>
        <n x="697"/>
        <n x="698"/>
      </t>
    </mdx>
    <mdx n="0" f="v">
      <t c="6" si="614">
        <n x="610"/>
        <n x="737"/>
        <n x="738"/>
        <n x="800" s="1"/>
        <n x="677"/>
        <n x="670"/>
      </t>
    </mdx>
    <mdx n="0" f="v">
      <t c="6" si="614">
        <n x="610"/>
        <n x="499"/>
        <n x="500"/>
        <n x="800" s="1"/>
        <n x="679"/>
        <n x="680"/>
      </t>
    </mdx>
    <mdx n="0" f="v">
      <t c="6" si="614">
        <n x="610"/>
        <n x="591"/>
        <n x="592"/>
        <n x="800" s="1"/>
        <n x="687"/>
        <n x="688"/>
      </t>
    </mdx>
    <mdx n="0" f="v">
      <t c="6" si="614">
        <n x="610"/>
        <n x="429"/>
        <n x="738"/>
        <n x="800" s="1"/>
        <n x="691"/>
        <n x="692"/>
      </t>
    </mdx>
    <mdx n="0" f="v">
      <t c="6" si="614">
        <n x="610"/>
        <n x="429"/>
        <n x="430"/>
        <n x="800" s="1"/>
        <n x="687"/>
        <n x="688"/>
      </t>
    </mdx>
    <mdx n="0" f="v">
      <t c="6" si="614">
        <n x="610"/>
        <n x="393"/>
        <n x="394"/>
        <n x="800" s="1"/>
        <n x="689"/>
        <n x="680"/>
      </t>
    </mdx>
    <mdx n="0" f="v">
      <t c="6" si="614">
        <n x="610"/>
        <n x="393"/>
        <n x="394"/>
        <n x="800" s="1"/>
        <n x="689"/>
        <n x="690"/>
      </t>
    </mdx>
    <mdx n="0" f="v">
      <t c="6" si="614">
        <n x="610"/>
        <n x="455"/>
        <n x="456"/>
        <n x="800" s="1"/>
        <n x="691"/>
        <n x="692"/>
      </t>
    </mdx>
    <mdx n="0" f="v">
      <t c="6" si="614">
        <n x="610"/>
        <n x="455"/>
        <n x="456"/>
        <n x="800" s="1"/>
        <n x="695"/>
        <n x="696"/>
      </t>
    </mdx>
    <mdx n="0" f="v">
      <t c="6" si="614">
        <n x="610"/>
        <n x="393"/>
        <n x="434"/>
        <n x="800" s="1"/>
        <n x="687"/>
        <n x="688"/>
      </t>
    </mdx>
    <mdx n="0" f="v">
      <t c="6" si="614">
        <n x="610"/>
        <n x="393"/>
        <n x="394"/>
        <n x="800" s="1"/>
        <n x="679"/>
        <n x="680"/>
      </t>
    </mdx>
    <mdx n="0" f="v">
      <t c="6" si="614">
        <n x="610"/>
        <n x="605"/>
        <n x="606"/>
        <n x="800" s="1"/>
        <n x="689"/>
        <n x="690"/>
      </t>
    </mdx>
    <mdx n="0" f="v">
      <t c="6" si="614">
        <n x="610"/>
        <n x="561"/>
        <n x="562"/>
        <n x="800" s="1"/>
        <n x="683"/>
        <n x="684"/>
      </t>
    </mdx>
    <mdx n="0" f="v">
      <t c="6" si="614">
        <n x="610"/>
        <n x="491"/>
        <n x="492"/>
        <n x="800" s="1"/>
        <n x="695"/>
        <n x="696"/>
      </t>
    </mdx>
    <mdx n="0" f="v">
      <t c="6" si="614">
        <n x="610"/>
        <n x="605"/>
        <n x="606"/>
        <n x="800" s="1"/>
        <n x="679"/>
        <n x="680"/>
      </t>
    </mdx>
    <mdx n="0" f="v">
      <t c="6" si="614">
        <n x="610"/>
        <n x="295"/>
        <n x="296"/>
        <n x="800" s="1"/>
        <n x="689"/>
        <n x="690"/>
      </t>
    </mdx>
    <mdx n="0" f="v">
      <t c="6" si="614">
        <n x="610"/>
        <n x="503"/>
        <n x="504"/>
        <n x="800" s="1"/>
        <n x="683"/>
        <n x="684"/>
      </t>
    </mdx>
    <mdx n="0" f="v">
      <t c="6" si="614">
        <n x="610"/>
        <n x="513"/>
        <n x="514"/>
        <n x="800" s="1"/>
        <n x="691"/>
        <n x="692"/>
      </t>
    </mdx>
    <mdx n="0" f="v">
      <t c="6" si="614">
        <n x="610"/>
        <n x="513"/>
        <n x="514"/>
        <n x="800" s="1"/>
        <n x="695"/>
        <n x="696"/>
      </t>
    </mdx>
    <mdx n="0" f="v">
      <t c="6" si="614">
        <n x="610"/>
        <n x="569"/>
        <n x="570"/>
        <n x="800" s="1"/>
        <n x="687"/>
        <n x="688"/>
      </t>
    </mdx>
    <mdx n="0" f="v">
      <t c="6" si="614">
        <n x="610"/>
        <n x="295"/>
        <n x="296"/>
        <n x="800" s="1"/>
        <n x="679"/>
        <n x="680"/>
      </t>
    </mdx>
    <mdx n="0" f="v">
      <t c="6" si="614">
        <n x="610"/>
        <n x="441"/>
        <n x="442"/>
        <n x="800" s="1"/>
        <n x="683"/>
        <n x="684"/>
      </t>
    </mdx>
    <mdx n="0" f="v">
      <t c="6" si="614">
        <n x="610"/>
        <n x="345"/>
        <n x="420"/>
        <n x="800" s="1"/>
        <n x="691"/>
        <n x="692"/>
      </t>
    </mdx>
    <mdx n="0" f="v">
      <t c="6" si="614">
        <n x="610"/>
        <n x="345"/>
        <n x="346"/>
        <n x="800" s="1"/>
        <n x="695"/>
        <n x="696"/>
      </t>
    </mdx>
    <mdx n="0" f="v">
      <t c="6" si="614">
        <n x="610"/>
        <n x="593"/>
        <n x="594"/>
        <n x="800" s="1"/>
        <n x="681"/>
        <n x="682"/>
      </t>
    </mdx>
    <mdx n="0" f="v">
      <t c="6" si="614">
        <n x="610"/>
        <n x="299"/>
        <n x="300"/>
        <n x="800" s="1"/>
        <n x="679"/>
        <n x="680"/>
      </t>
    </mdx>
    <mdx n="0" f="v">
      <t c="6" si="614">
        <n x="610"/>
        <n x="593"/>
        <n x="594"/>
        <n x="800" s="1"/>
        <n x="693"/>
        <n x="694"/>
      </t>
    </mdx>
    <mdx n="0" f="v">
      <t c="6" si="614">
        <n x="610"/>
        <n x="419"/>
        <n x="420"/>
        <n x="800" s="1"/>
        <n x="683"/>
        <n x="684"/>
      </t>
    </mdx>
    <mdx n="0" f="v">
      <t c="6" si="614">
        <n x="610"/>
        <n x="753"/>
        <n x="754"/>
        <n x="800" s="1"/>
        <n x="687"/>
        <n x="688"/>
      </t>
    </mdx>
    <mdx n="0" f="v">
      <t c="6" si="614">
        <n x="610"/>
        <n x="755"/>
        <n x="756"/>
        <n x="800" s="1"/>
        <n x="695"/>
        <n x="696"/>
      </t>
    </mdx>
    <mdx n="0" f="v">
      <t c="6" si="614">
        <n x="610"/>
        <n x="447"/>
        <n x="448"/>
        <n x="800" s="1"/>
        <n x="687"/>
        <n x="688"/>
      </t>
    </mdx>
    <mdx n="0" f="v">
      <t c="6" si="614">
        <n x="610"/>
        <n x="223"/>
        <n x="224"/>
        <n x="800" s="1"/>
        <n x="679"/>
        <n x="680"/>
      </t>
    </mdx>
    <mdx n="0" f="v">
      <t c="6" si="614">
        <n x="610"/>
        <n x="223"/>
        <n x="224"/>
        <n x="800" s="1"/>
        <n x="691"/>
        <n x="696"/>
      </t>
    </mdx>
    <mdx n="0" f="v">
      <t c="6" si="614">
        <n x="610"/>
        <n x="223"/>
        <n x="224"/>
        <n x="800" s="1"/>
        <n x="691"/>
        <n x="692"/>
      </t>
    </mdx>
    <mdx n="0" f="v">
      <t c="6" si="614">
        <n x="610"/>
        <n x="407"/>
        <n x="408"/>
        <n x="800" s="1"/>
        <n x="689"/>
        <n x="690"/>
      </t>
    </mdx>
    <mdx n="0" f="v">
      <t c="6" si="614">
        <n x="610"/>
        <n x="407"/>
        <n x="408"/>
        <n x="800" s="1"/>
        <n x="689"/>
        <n x="690"/>
      </t>
    </mdx>
    <mdx n="0" f="v">
      <t c="6" si="614">
        <n x="610"/>
        <n x="321"/>
        <n x="322"/>
        <n x="800" s="1"/>
        <n x="693"/>
        <n x="694"/>
      </t>
    </mdx>
    <mdx n="0" f="v">
      <t c="6" si="614">
        <n x="610"/>
        <n x="321"/>
        <n x="322"/>
        <n x="800" s="1"/>
        <n x="693"/>
        <n x="694"/>
      </t>
    </mdx>
    <mdx n="0" f="v">
      <t c="6" si="614">
        <n x="610"/>
        <n x="577"/>
        <n x="578"/>
        <n x="800" s="1"/>
        <n x="681"/>
        <n x="682"/>
      </t>
    </mdx>
    <mdx n="0" f="v">
      <t c="6" si="614">
        <n x="610"/>
        <n x="577"/>
        <n x="578"/>
        <n x="800" s="1"/>
        <n x="689"/>
        <n x="690"/>
      </t>
    </mdx>
    <mdx n="0" f="v">
      <t c="6" si="614">
        <n x="610"/>
        <n x="399"/>
        <n x="400"/>
        <n x="800" s="1"/>
        <n x="683"/>
        <n x="688"/>
      </t>
    </mdx>
    <mdx n="0" f="v">
      <t c="6" si="614">
        <n x="610"/>
        <n x="399"/>
        <n x="400"/>
        <n x="800" s="1"/>
        <n x="683"/>
        <n x="684"/>
      </t>
    </mdx>
    <mdx n="0" f="v">
      <t c="6" si="614">
        <n x="610"/>
        <n x="399"/>
        <n x="400"/>
        <n x="800" s="1"/>
        <n x="693"/>
        <n x="694"/>
      </t>
    </mdx>
    <mdx n="0" f="v">
      <t c="6" si="614">
        <n x="610"/>
        <n x="759"/>
        <n x="760"/>
        <n x="800" s="1"/>
        <n x="679"/>
        <n x="680"/>
      </t>
    </mdx>
    <mdx n="0" f="v">
      <t c="6" si="614">
        <n x="610"/>
        <n x="255"/>
        <n x="256"/>
        <n x="800" s="1"/>
        <n x="681"/>
        <n x="682"/>
      </t>
    </mdx>
    <mdx n="0" f="v">
      <t c="6" si="614">
        <n x="610"/>
        <n x="255"/>
        <n x="256"/>
        <n x="800" s="1"/>
        <n x="683"/>
        <n x="684"/>
      </t>
    </mdx>
    <mdx n="0" f="v">
      <t c="6" si="614">
        <n x="610"/>
        <n x="247"/>
        <n x="248"/>
        <n x="800" s="1"/>
        <n x="685"/>
        <n x="696"/>
      </t>
    </mdx>
    <mdx n="0" f="v">
      <t c="6" si="614">
        <n x="610"/>
        <n x="247"/>
        <n x="248"/>
        <n x="800" s="1"/>
        <n x="685"/>
        <n x="686"/>
      </t>
    </mdx>
    <mdx n="0" f="v">
      <t c="6" si="614">
        <n x="610"/>
        <n x="247"/>
        <n x="248"/>
        <n x="800" s="1"/>
        <n x="689"/>
        <n x="690"/>
      </t>
    </mdx>
    <mdx n="0" f="v">
      <t c="6" si="614">
        <n x="610"/>
        <n x="247"/>
        <n x="248"/>
        <n x="800" s="1"/>
        <n x="695"/>
        <n x="696"/>
      </t>
    </mdx>
    <mdx n="0" f="v">
      <t c="6" si="614">
        <n x="610"/>
        <n x="287"/>
        <n x="288"/>
        <n x="800" s="1"/>
        <n x="685"/>
        <n x="686"/>
      </t>
    </mdx>
    <mdx n="0" f="v">
      <t c="6" si="614">
        <n x="610"/>
        <n x="287"/>
        <n x="288"/>
        <n x="800" s="1"/>
        <n x="685"/>
        <n x="686"/>
      </t>
    </mdx>
    <mdx n="0" f="v">
      <t c="6" si="614">
        <n x="610"/>
        <n x="349"/>
        <n x="350"/>
        <n x="800" s="1"/>
        <n x="683"/>
        <n x="684"/>
      </t>
    </mdx>
    <mdx n="0" f="v">
      <t c="6" si="614">
        <n x="610"/>
        <n x="349"/>
        <n x="554"/>
        <n x="800" s="1"/>
        <n x="677"/>
        <n x="678"/>
      </t>
    </mdx>
    <mdx n="0" f="v">
      <t c="6" si="614">
        <n x="610"/>
        <n x="245"/>
        <n x="246"/>
        <n x="800" s="1"/>
        <n x="685"/>
        <n x="686"/>
      </t>
    </mdx>
    <mdx n="0" f="v">
      <t c="6" si="614">
        <n x="610"/>
        <n x="245"/>
        <n x="246"/>
        <n x="800" s="1"/>
        <n x="685"/>
        <n x="686"/>
      </t>
    </mdx>
    <mdx n="0" f="v">
      <t c="6" si="614">
        <n x="610"/>
        <n x="549"/>
        <n x="550"/>
        <n x="800" s="1"/>
        <n x="697"/>
        <n x="698"/>
      </t>
    </mdx>
    <mdx n="0" f="v">
      <t c="6" si="614">
        <n x="610"/>
        <n x="507"/>
        <n x="508"/>
        <n x="800" s="1"/>
        <n x="683"/>
        <n x="684"/>
      </t>
    </mdx>
    <mdx n="0" f="v">
      <t c="6" si="614">
        <n x="610"/>
        <n x="507"/>
        <n x="508"/>
        <n x="800" s="1"/>
        <n x="689"/>
        <n x="690"/>
      </t>
    </mdx>
    <mdx n="0" f="v">
      <t c="6" si="614">
        <n x="610"/>
        <n x="763"/>
        <n x="764"/>
        <n x="800" s="1"/>
        <n x="669"/>
        <n x="670"/>
      </t>
    </mdx>
    <mdx n="0" f="v">
      <t c="6" si="614">
        <n x="610"/>
        <n x="763"/>
        <n x="764"/>
        <n x="800" s="1"/>
        <n x="697"/>
        <n x="698"/>
      </t>
    </mdx>
    <mdx n="0" f="v">
      <t c="6" si="614">
        <n x="610"/>
        <n x="359"/>
        <n x="360"/>
        <n x="800" s="1"/>
        <n x="679"/>
        <n x="680"/>
      </t>
    </mdx>
    <mdx n="0" f="v">
      <t c="6" si="614">
        <n x="610"/>
        <n x="359"/>
        <n x="360"/>
        <n x="800" s="1"/>
        <n x="677"/>
        <n x="678"/>
      </t>
    </mdx>
    <mdx n="0" f="v">
      <t c="6" si="614">
        <n x="610"/>
        <n x="511"/>
        <n x="512"/>
        <n x="800" s="1"/>
        <n x="685"/>
        <n x="686"/>
      </t>
    </mdx>
    <mdx n="0" f="v">
      <t c="6" si="614">
        <n x="610"/>
        <n x="403"/>
        <n x="404"/>
        <n x="800" s="1"/>
        <n x="685"/>
        <n x="686"/>
      </t>
    </mdx>
    <mdx n="0" f="v">
      <t c="6" si="614">
        <n x="610"/>
        <n x="771"/>
        <n x="772"/>
        <n x="800" s="1"/>
        <n x="683"/>
        <n x="684"/>
      </t>
    </mdx>
    <mdx n="0" f="v">
      <t c="6" si="614">
        <n x="610"/>
        <n x="771"/>
        <n x="772"/>
        <n x="800" s="1"/>
        <n x="685"/>
        <n x="686"/>
      </t>
    </mdx>
    <mdx n="0" f="v">
      <t c="6" si="614">
        <n x="610"/>
        <n x="771"/>
        <n x="772"/>
        <n x="800" s="1"/>
        <n x="695"/>
        <n x="696"/>
      </t>
    </mdx>
    <mdx n="0" f="v">
      <t c="6" si="614">
        <n x="610"/>
        <n x="249"/>
        <n x="316"/>
        <n x="800" s="1"/>
        <n x="689"/>
        <n x="690"/>
      </t>
    </mdx>
    <mdx n="0" f="v">
      <t c="6" si="614">
        <n x="610"/>
        <n x="249"/>
        <n x="250"/>
        <n x="800" s="1"/>
        <n x="697"/>
        <n x="698"/>
      </t>
    </mdx>
    <mdx n="0" f="v">
      <t c="6" si="614">
        <n x="610"/>
        <n x="485"/>
        <n x="486"/>
        <n x="800" s="1"/>
        <n x="697"/>
        <n x="698"/>
      </t>
    </mdx>
    <mdx n="0" f="v">
      <t c="6" si="614">
        <n x="610"/>
        <n x="293"/>
        <n x="294"/>
        <n x="800" s="1"/>
        <n x="683"/>
        <n x="684"/>
      </t>
    </mdx>
    <mdx n="0" f="v">
      <t c="6" si="614">
        <n x="610"/>
        <n x="293"/>
        <n x="294"/>
        <n x="800" s="1"/>
        <n x="683"/>
        <n x="684"/>
      </t>
    </mdx>
    <mdx n="0" f="v">
      <t c="6" si="614">
        <n x="610"/>
        <n x="529"/>
        <n x="530"/>
        <n x="800" s="1"/>
        <n x="669"/>
        <n x="670"/>
      </t>
    </mdx>
    <mdx n="0" f="v">
      <t c="6" si="614">
        <n x="610"/>
        <n x="249"/>
        <n x="250"/>
        <n x="800" s="1"/>
        <n x="679"/>
        <n x="670"/>
      </t>
    </mdx>
    <mdx n="0" f="v">
      <t c="6" si="614">
        <n x="610"/>
        <n x="249"/>
        <n x="250"/>
        <n x="800" s="1"/>
        <n x="679"/>
        <n x="680"/>
      </t>
    </mdx>
    <mdx n="0" f="v">
      <t c="6" si="614">
        <n x="610"/>
        <n x="777"/>
        <n x="778"/>
        <n x="800" s="1"/>
        <n x="683"/>
        <n x="680"/>
      </t>
    </mdx>
    <mdx n="0" f="v">
      <t c="6" si="614">
        <n x="610"/>
        <n x="777"/>
        <n x="778"/>
        <n x="800" s="1"/>
        <n x="683"/>
        <n x="684"/>
      </t>
    </mdx>
    <mdx n="0" f="v">
      <t c="6" si="614">
        <n x="610"/>
        <n x="357"/>
        <n x="358"/>
        <n x="800" s="1"/>
        <n x="685"/>
        <n x="686"/>
      </t>
    </mdx>
    <mdx n="0" f="v">
      <t c="6" si="614">
        <n x="610"/>
        <n x="357"/>
        <n x="358"/>
        <n x="800" s="1"/>
        <n x="689"/>
        <n x="690"/>
      </t>
    </mdx>
    <mdx n="0" f="v">
      <t c="6" si="614">
        <n x="610"/>
        <n x="779"/>
        <n x="780"/>
        <n x="800" s="1"/>
        <n x="681"/>
        <n x="682"/>
      </t>
    </mdx>
    <mdx n="0" f="v">
      <t c="6" si="614">
        <n x="610"/>
        <n x="779"/>
        <n x="780"/>
        <n x="800" s="1"/>
        <n x="679"/>
        <n x="680"/>
      </t>
    </mdx>
    <mdx n="0" f="v">
      <t c="6" si="614">
        <n x="610"/>
        <n x="533"/>
        <n x="534"/>
        <n x="800" s="1"/>
        <n x="679"/>
        <n x="680"/>
      </t>
    </mdx>
    <mdx n="0" f="v">
      <t c="6" si="614">
        <n x="610"/>
        <n x="779"/>
        <n x="780"/>
        <n x="800" s="1"/>
        <n x="693"/>
        <n x="694"/>
      </t>
    </mdx>
    <mdx n="0" f="v">
      <t c="6" si="614">
        <n x="610"/>
        <n x="533"/>
        <n x="534"/>
        <n x="800" s="1"/>
        <n x="697"/>
        <n x="698"/>
      </t>
    </mdx>
    <mdx n="0" f="v">
      <t c="6" si="614">
        <n x="610"/>
        <n x="527"/>
        <n x="528"/>
        <n x="800" s="1"/>
        <n x="693"/>
        <n x="694"/>
      </t>
    </mdx>
    <mdx n="0" f="v">
      <t c="6" si="614">
        <n x="610"/>
        <n x="527"/>
        <n x="528"/>
        <n x="800" s="1"/>
        <n x="681"/>
        <n x="682"/>
      </t>
    </mdx>
    <mdx n="0" f="v">
      <t c="6" si="614">
        <n x="610"/>
        <n x="781"/>
        <n x="782"/>
        <n x="800" s="1"/>
        <n x="687"/>
        <n x="688"/>
      </t>
    </mdx>
    <mdx n="0" f="v">
      <t c="6" si="614">
        <n x="610"/>
        <n x="375"/>
        <n x="376"/>
        <n x="800" s="1"/>
        <n x="679"/>
        <n x="680"/>
      </t>
    </mdx>
    <mdx n="0" f="v">
      <t c="6" si="614">
        <n x="610"/>
        <n x="375"/>
        <n x="376"/>
        <n x="800" s="1"/>
        <n x="697"/>
        <n x="698"/>
      </t>
    </mdx>
    <mdx n="0" f="v">
      <t c="6" si="614">
        <n x="610"/>
        <n x="783"/>
        <n x="784"/>
        <n x="800" s="1"/>
        <n x="685"/>
        <n x="686"/>
      </t>
    </mdx>
    <mdx n="0" f="v">
      <t c="6" si="614">
        <n x="610"/>
        <n x="783"/>
        <n x="536"/>
        <n x="800" s="1"/>
        <n x="689"/>
        <n x="690"/>
      </t>
    </mdx>
    <mdx n="0" f="v">
      <t c="6" si="614">
        <n x="610"/>
        <n x="785"/>
        <n x="786"/>
        <n x="800" s="1"/>
        <n x="687"/>
        <n x="688"/>
      </t>
    </mdx>
    <mdx n="0" f="v">
      <t c="6" si="614">
        <n x="610"/>
        <n x="785"/>
        <n x="786"/>
        <n x="800" s="1"/>
        <n x="687"/>
        <n x="688"/>
      </t>
    </mdx>
    <mdx n="0" f="v">
      <t c="6" si="614">
        <n x="610"/>
        <n x="787"/>
        <n x="788"/>
        <n x="800" s="1"/>
        <n x="679"/>
        <n x="680"/>
      </t>
    </mdx>
    <mdx n="0" f="v">
      <t c="6" si="614">
        <n x="610"/>
        <n x="581"/>
        <n x="582"/>
        <n x="800" s="1"/>
        <n x="681"/>
        <n x="682"/>
      </t>
    </mdx>
    <mdx n="0" f="v">
      <t c="6" si="614">
        <n x="610"/>
        <n x="789"/>
        <n x="790"/>
        <n x="800" s="1"/>
        <n x="695"/>
        <n x="696"/>
      </t>
    </mdx>
    <mdx n="0" f="v">
      <t c="6" si="614">
        <n x="610"/>
        <n x="789"/>
        <n x="790"/>
        <n x="800" s="1"/>
        <n x="697"/>
        <n x="698"/>
      </t>
    </mdx>
    <mdx n="0" f="v">
      <t c="6" si="614">
        <n x="610"/>
        <n x="311"/>
        <n x="312"/>
        <n x="800" s="1"/>
        <n x="693"/>
        <n x="692"/>
      </t>
    </mdx>
    <mdx n="0" f="v">
      <t c="6" si="614">
        <n x="610"/>
        <n x="311"/>
        <n x="312"/>
        <n x="800" s="1"/>
        <n x="693"/>
        <n x="694"/>
      </t>
    </mdx>
    <mdx n="0" f="v">
      <t c="6" si="614">
        <n x="610"/>
        <n x="531"/>
        <n x="532"/>
        <n x="800" s="1"/>
        <n x="687"/>
        <n x="688"/>
      </t>
    </mdx>
    <mdx n="0" f="v">
      <t c="6" si="614">
        <n x="610"/>
        <n x="565"/>
        <n x="566"/>
        <n x="800" s="1"/>
        <n x="679"/>
        <n x="692"/>
      </t>
    </mdx>
    <mdx n="0" f="v">
      <t c="6" si="614">
        <n x="610"/>
        <n x="565"/>
        <n x="566"/>
        <n x="800" s="1"/>
        <n x="679"/>
        <n x="680"/>
      </t>
    </mdx>
    <mdx n="0" f="v">
      <t c="6" si="614">
        <n x="610"/>
        <n x="575"/>
        <n x="522"/>
        <n x="800" s="1"/>
        <n x="683"/>
        <n x="684"/>
      </t>
    </mdx>
    <mdx n="0" f="v">
      <t c="6" si="614">
        <n x="610"/>
        <n x="575"/>
        <n x="576"/>
        <n x="800" s="1"/>
        <n x="683"/>
        <n x="684"/>
      </t>
    </mdx>
    <mdx n="0" f="v">
      <t c="6" si="614">
        <n x="610"/>
        <n x="575"/>
        <n x="576"/>
        <n x="800" s="1"/>
        <n x="685"/>
        <n x="686"/>
      </t>
    </mdx>
    <mdx n="0" f="v">
      <t c="6" si="614">
        <n x="610"/>
        <n x="575"/>
        <n x="576"/>
        <n x="800" s="1"/>
        <n x="695"/>
        <n x="696"/>
      </t>
    </mdx>
    <mdx n="0" f="v">
      <t c="6" si="614">
        <n x="610"/>
        <n x="451"/>
        <n x="452"/>
        <n x="800" s="1"/>
        <n x="687"/>
        <n x="688"/>
      </t>
    </mdx>
    <mdx n="0" f="v">
      <t c="6" si="614">
        <n x="610"/>
        <n x="451"/>
        <n x="452"/>
        <n x="800" s="1"/>
        <n x="695"/>
        <n x="696"/>
      </t>
    </mdx>
    <mdx n="0" f="v">
      <t c="6" si="614">
        <n x="610"/>
        <n x="473"/>
        <n x="474"/>
        <n x="800" s="1"/>
        <n x="687"/>
        <n x="688"/>
      </t>
    </mdx>
    <mdx n="0" f="v">
      <t c="6" si="614">
        <n x="610"/>
        <n x="473"/>
        <n x="474"/>
        <n x="800" s="1"/>
        <n x="695"/>
        <n x="696"/>
      </t>
    </mdx>
    <mdx n="0" f="v">
      <t c="6" si="614">
        <n x="610"/>
        <n x="523"/>
        <n x="524"/>
        <n x="800" s="1"/>
        <n x="687"/>
        <n x="688"/>
      </t>
    </mdx>
    <mdx n="0" f="v">
      <t c="6" si="614">
        <n x="610"/>
        <n x="523"/>
        <n x="524"/>
        <n x="800" s="1"/>
        <n x="695"/>
        <n x="696"/>
      </t>
    </mdx>
    <mdx n="0" f="v">
      <t c="6" si="614">
        <n x="610"/>
        <n x="297"/>
        <n x="298"/>
        <n x="800" s="1"/>
        <n x="687"/>
        <n x="688"/>
      </t>
    </mdx>
    <mdx n="0" f="v">
      <t c="6" si="614">
        <n x="610"/>
        <n x="297"/>
        <n x="298"/>
        <n x="800" s="1"/>
        <n x="695"/>
        <n x="696"/>
      </t>
    </mdx>
    <mdx n="0" f="v">
      <t c="6" si="614">
        <n x="610"/>
        <n x="579"/>
        <n x="580"/>
        <n x="800" s="1"/>
        <n x="687"/>
        <n x="688"/>
      </t>
    </mdx>
    <mdx n="0" f="v">
      <t c="6" si="614">
        <n x="610"/>
        <n x="313"/>
        <n x="314"/>
        <n x="800" s="1"/>
        <n x="687"/>
        <n x="688"/>
      </t>
    </mdx>
    <mdx n="0" f="v">
      <t c="6" si="614">
        <n x="610"/>
        <n x="313"/>
        <n x="314"/>
        <n x="800" s="1"/>
        <n x="695"/>
        <n x="696"/>
      </t>
    </mdx>
    <mdx n="0" f="v">
      <t c="6" si="614">
        <n x="610"/>
        <n x="351"/>
        <n x="352"/>
        <n x="800" s="1"/>
        <n x="687"/>
        <n x="688"/>
      </t>
    </mdx>
    <mdx n="0" f="v">
      <t c="6" si="614">
        <n x="610"/>
        <n x="351"/>
        <n x="352"/>
        <n x="800" s="1"/>
        <n x="695"/>
        <n x="696"/>
      </t>
    </mdx>
    <mdx n="0" f="v">
      <t c="6" si="614">
        <n x="610"/>
        <n x="213"/>
        <n x="214"/>
        <n x="800" s="1"/>
        <n x="687"/>
        <n x="688"/>
      </t>
    </mdx>
    <mdx n="0" f="v">
      <t c="6" si="614">
        <n x="610"/>
        <n x="213"/>
        <n x="214"/>
        <n x="800" s="1"/>
        <n x="695"/>
        <n x="696"/>
      </t>
    </mdx>
    <mdx n="0" f="v">
      <t c="6" si="614">
        <n x="610"/>
        <n x="791"/>
        <n x="792"/>
        <n x="800" s="1"/>
        <n x="687"/>
        <n x="688"/>
      </t>
    </mdx>
    <mdx n="0" f="v">
      <t c="6" si="614">
        <n x="610"/>
        <n x="331"/>
        <n x="332"/>
        <n x="800" s="1"/>
        <n x="687"/>
        <n x="688"/>
      </t>
    </mdx>
    <mdx n="0" f="v">
      <t c="6" si="614">
        <n x="610"/>
        <n x="227"/>
        <n x="228"/>
        <n x="800" s="1"/>
        <n x="687"/>
        <n x="688"/>
      </t>
    </mdx>
    <mdx n="0" f="v">
      <t c="6" si="614">
        <n x="610"/>
        <n x="795"/>
        <n x="796"/>
        <n x="800" s="1"/>
        <n x="687"/>
        <n x="688"/>
      </t>
    </mdx>
    <mdx n="0" f="v">
      <t c="6" si="614">
        <n x="610"/>
        <n x="795"/>
        <n x="796"/>
        <n x="800" s="1"/>
        <n x="695"/>
        <n x="696"/>
      </t>
    </mdx>
    <mdx n="0" f="v">
      <t c="6" si="614">
        <n x="610"/>
        <n x="465"/>
        <n x="466"/>
        <n x="800" s="1"/>
        <n x="687"/>
        <n x="688"/>
      </t>
    </mdx>
    <mdx n="0" f="v">
      <t c="6" si="614">
        <n x="610"/>
        <n x="465"/>
        <n x="466"/>
        <n x="800" s="1"/>
        <n x="695"/>
        <n x="696"/>
      </t>
    </mdx>
    <mdx n="0" f="v">
      <t c="6" si="614">
        <n x="610"/>
        <n x="303"/>
        <n x="304"/>
        <n x="800" s="1"/>
        <n x="687"/>
        <n x="688"/>
      </t>
    </mdx>
    <mdx n="0" f="v">
      <t c="6" si="614">
        <n x="610"/>
        <n x="303"/>
        <n x="304"/>
        <n x="800" s="1"/>
        <n x="695"/>
        <n x="696"/>
      </t>
    </mdx>
    <mdx n="0" f="v">
      <t c="6" si="614">
        <n x="610"/>
        <n x="211"/>
        <n x="212"/>
        <n x="800" s="1"/>
        <n x="687"/>
        <n x="688"/>
      </t>
    </mdx>
    <mdx n="0" f="v">
      <t c="6" si="614">
        <n x="610"/>
        <n x="439"/>
        <n x="440"/>
        <n x="800" s="1"/>
        <n x="687"/>
        <n x="688"/>
      </t>
    </mdx>
    <mdx n="0" f="v">
      <t c="6" si="614">
        <n x="610"/>
        <n x="439"/>
        <n x="440"/>
        <n x="800" s="1"/>
        <n x="695"/>
        <n x="696"/>
      </t>
    </mdx>
    <mdx n="0" f="v">
      <t c="6" si="614">
        <n x="610"/>
        <n x="571"/>
        <n x="572"/>
        <n x="800" s="1"/>
        <n x="687"/>
        <n x="688"/>
      </t>
    </mdx>
    <mdx n="0" f="v">
      <t c="6" si="614">
        <n x="610"/>
        <n x="571"/>
        <n x="572"/>
        <n x="800" s="1"/>
        <n x="695"/>
        <n x="696"/>
      </t>
    </mdx>
    <mdx n="0" f="v">
      <t c="6" si="614">
        <n x="610"/>
        <n x="305"/>
        <n x="306"/>
        <n x="800" s="1"/>
        <n x="687"/>
        <n x="688"/>
      </t>
    </mdx>
    <mdx n="0" f="v">
      <t c="6" si="614">
        <n x="610"/>
        <n x="305"/>
        <n x="306"/>
        <n x="800" s="1"/>
        <n x="695"/>
        <n x="696"/>
      </t>
    </mdx>
    <mdx n="0" f="v">
      <t c="6" si="614">
        <n x="610"/>
        <n x="563"/>
        <n x="564"/>
        <n x="800" s="1"/>
        <n x="687"/>
        <n x="688"/>
      </t>
    </mdx>
    <mdx n="0" f="v">
      <t c="6" si="614">
        <n x="610"/>
        <n x="563"/>
        <n x="564"/>
        <n x="800" s="1"/>
        <n x="695"/>
        <n x="696"/>
      </t>
    </mdx>
    <mdx n="0" f="v">
      <t c="6" si="614">
        <n x="610"/>
        <n x="225"/>
        <n x="226"/>
        <n x="800" s="1"/>
        <n x="687"/>
        <n x="688"/>
      </t>
    </mdx>
    <mdx n="0" f="v">
      <t c="6" si="614">
        <n x="610"/>
        <n x="279"/>
        <n x="280"/>
        <n x="800" s="1"/>
        <n x="695"/>
        <n x="696"/>
      </t>
    </mdx>
    <mdx n="0" f="v">
      <t c="6" si="614">
        <n x="610"/>
        <n x="291"/>
        <n x="292"/>
        <n x="800" s="1"/>
        <n x="687"/>
        <n x="688"/>
      </t>
    </mdx>
    <mdx n="0" f="v">
      <t c="6" si="614">
        <n x="610"/>
        <n x="291"/>
        <n x="292"/>
        <n x="800" s="1"/>
        <n x="695"/>
        <n x="696"/>
      </t>
    </mdx>
    <mdx n="0" f="v">
      <t c="6" si="614">
        <n x="610"/>
        <n x="797"/>
        <n x="798"/>
        <n x="800" s="1"/>
        <n x="687"/>
        <n x="688"/>
      </t>
    </mdx>
    <mdx n="0" f="v">
      <t c="6" si="614">
        <n x="610"/>
        <n x="797"/>
        <n x="798"/>
        <n x="800" s="1"/>
        <n x="695"/>
        <n x="696"/>
      </t>
    </mdx>
    <mdx n="0" f="v">
      <t c="6" si="614">
        <n x="610"/>
        <n x="373"/>
        <n x="374"/>
        <n x="800" s="1"/>
        <n x="687"/>
        <n x="688"/>
      </t>
    </mdx>
    <mdx n="0" f="v">
      <t c="6" si="614">
        <n x="610"/>
        <n x="373"/>
        <n x="374"/>
        <n x="800" s="1"/>
        <n x="695"/>
        <n x="696"/>
      </t>
    </mdx>
    <mdx n="0" f="v">
      <t c="6" si="614">
        <n x="610"/>
        <n x="329"/>
        <n x="330"/>
        <n x="800" s="1"/>
        <n x="687"/>
        <n x="688"/>
      </t>
    </mdx>
    <mdx n="0" f="v">
      <t c="6" si="614">
        <n x="610"/>
        <n x="329"/>
        <n x="330"/>
        <n x="800" s="1"/>
        <n x="695"/>
        <n x="696"/>
      </t>
    </mdx>
    <mdx n="0" f="v">
      <t c="6" si="614">
        <n x="610"/>
        <n x="449"/>
        <n x="450"/>
        <n x="800" s="1"/>
        <n x="687"/>
        <n x="688"/>
      </t>
    </mdx>
    <mdx n="0" f="v">
      <t c="6" si="614">
        <n x="610"/>
        <n x="449"/>
        <n x="450"/>
        <n x="800" s="1"/>
        <n x="695"/>
        <n x="696"/>
      </t>
    </mdx>
    <mdx n="0" f="v">
      <t c="6" si="614">
        <n x="610"/>
        <n x="801"/>
        <n x="802"/>
        <n x="800" s="1"/>
        <n x="687"/>
        <n x="688"/>
      </t>
    </mdx>
    <mdx n="0" f="v">
      <t c="6" si="614">
        <n x="610"/>
        <n x="801"/>
        <n x="802"/>
        <n x="800" s="1"/>
        <n x="695"/>
        <n x="696"/>
      </t>
    </mdx>
    <mdx n="0" f="v">
      <t c="6" si="614">
        <n x="610"/>
        <n x="327"/>
        <n x="328"/>
        <n x="800" s="1"/>
        <n x="687"/>
        <n x="688"/>
      </t>
    </mdx>
    <mdx n="0" f="v">
      <t c="6" si="614">
        <n x="610"/>
        <n x="327"/>
        <n x="328"/>
        <n x="800" s="1"/>
        <n x="695"/>
        <n x="696"/>
      </t>
    </mdx>
    <mdx n="0" f="v">
      <t c="6" si="614">
        <n x="610"/>
        <n x="215"/>
        <n x="216"/>
        <n x="800" s="1"/>
        <n x="687"/>
        <n x="688"/>
      </t>
    </mdx>
    <mdx n="0" f="v">
      <t c="6" si="614">
        <n x="610"/>
        <n x="803"/>
        <n x="804"/>
        <n x="800" s="1"/>
        <n x="687"/>
        <n x="688"/>
      </t>
    </mdx>
    <mdx n="0" f="v">
      <t c="6" si="614">
        <n x="610"/>
        <n x="803"/>
        <n x="804"/>
        <n x="800" s="1"/>
        <n x="695"/>
        <n x="696"/>
      </t>
    </mdx>
    <mdx n="0" f="v">
      <t c="6" si="614">
        <n x="610"/>
        <n x="587"/>
        <n x="588"/>
        <n x="800" s="1"/>
        <n x="687"/>
        <n x="688"/>
      </t>
    </mdx>
    <mdx n="0" f="v">
      <t c="6" si="614">
        <n x="610"/>
        <n x="587"/>
        <n x="588"/>
        <n x="800" s="1"/>
        <n x="695"/>
        <n x="696"/>
      </t>
    </mdx>
    <mdx n="0" f="v">
      <t c="6" si="614">
        <n x="610"/>
        <n x="421"/>
        <n x="422"/>
        <n x="800" s="1"/>
        <n x="687"/>
        <n x="688"/>
      </t>
    </mdx>
    <mdx n="0" f="v">
      <t c="6" si="614">
        <n x="610"/>
        <n x="263"/>
        <n x="264"/>
        <n x="800" s="1"/>
        <n x="687"/>
        <n x="688"/>
      </t>
    </mdx>
    <mdx n="0" f="v">
      <t c="6" si="614">
        <n x="610"/>
        <n x="263"/>
        <n x="264"/>
        <n x="800" s="1"/>
        <n x="695"/>
        <n x="696"/>
      </t>
    </mdx>
    <mdx n="0" f="v">
      <t c="6" si="614">
        <n x="610"/>
        <n x="477"/>
        <n x="478"/>
        <n x="800" s="1"/>
        <n x="687"/>
        <n x="688"/>
      </t>
    </mdx>
    <mdx n="0" f="v">
      <t c="6" si="614">
        <n x="610"/>
        <n x="477"/>
        <n x="478"/>
        <n x="800" s="1"/>
        <n x="695"/>
        <n x="696"/>
      </t>
    </mdx>
    <mdx n="0" f="v">
      <t c="6" si="614">
        <n x="610"/>
        <n x="267"/>
        <n x="268"/>
        <n x="800" s="1"/>
        <n x="687"/>
        <n x="688"/>
      </t>
    </mdx>
    <mdx n="0" f="v">
      <t c="6" si="614">
        <n x="610"/>
        <n x="337"/>
        <n x="338"/>
        <n x="800" s="1"/>
        <n x="687"/>
        <n x="688"/>
      </t>
    </mdx>
    <mdx n="0" f="v">
      <t c="6" si="614">
        <n x="610"/>
        <n x="323"/>
        <n x="324"/>
        <n x="800" s="1"/>
        <n x="687"/>
        <n x="688"/>
      </t>
    </mdx>
    <mdx n="0" f="v">
      <t c="6" si="614">
        <n x="610"/>
        <n x="323"/>
        <n x="324"/>
        <n x="800" s="1"/>
        <n x="695"/>
        <n x="696"/>
      </t>
    </mdx>
    <mdx n="0" f="v">
      <t c="6" si="614">
        <n x="610"/>
        <n x="497"/>
        <n x="498"/>
        <n x="800" s="1"/>
        <n x="687"/>
        <n x="688"/>
      </t>
    </mdx>
    <mdx n="0" f="v">
      <t c="6" si="614">
        <n x="610"/>
        <n x="497"/>
        <n x="498"/>
        <n x="800" s="1"/>
        <n x="695"/>
        <n x="696"/>
      </t>
    </mdx>
    <mdx n="0" f="v">
      <t c="6" si="614">
        <n x="610"/>
        <n x="517"/>
        <n x="518"/>
        <n x="800" s="1"/>
        <n x="687"/>
        <n x="688"/>
      </t>
    </mdx>
    <mdx n="0" f="v">
      <t c="6" si="614">
        <n x="610"/>
        <n x="517"/>
        <n x="518"/>
        <n x="800" s="1"/>
        <n x="695"/>
        <n x="696"/>
      </t>
    </mdx>
    <mdx n="0" f="v">
      <t c="6" si="614">
        <n x="610"/>
        <n x="251"/>
        <n x="252"/>
        <n x="800" s="1"/>
        <n x="687"/>
        <n x="688"/>
      </t>
    </mdx>
    <mdx n="0" f="v">
      <t c="6" si="614">
        <n x="610"/>
        <n x="251"/>
        <n x="252"/>
        <n x="800" s="1"/>
        <n x="695"/>
        <n x="696"/>
      </t>
    </mdx>
    <mdx n="0" f="v">
      <t c="6" si="614">
        <n x="610"/>
        <n x="567"/>
        <n x="568"/>
        <n x="800" s="1"/>
        <n x="687"/>
        <n x="688"/>
      </t>
    </mdx>
    <mdx n="0" f="v">
      <t c="6" si="614">
        <n x="610"/>
        <n x="567"/>
        <n x="568"/>
        <n x="800" s="1"/>
        <n x="695"/>
        <n x="696"/>
      </t>
    </mdx>
    <mdx n="0" f="v">
      <t c="6" si="614">
        <n x="610"/>
        <n x="425"/>
        <n x="426"/>
        <n x="800" s="1"/>
        <n x="687"/>
        <n x="688"/>
      </t>
    </mdx>
    <mdx n="0" f="v">
      <t c="6" si="614">
        <n x="610"/>
        <n x="425"/>
        <n x="426"/>
        <n x="800" s="1"/>
        <n x="695"/>
        <n x="696"/>
      </t>
    </mdx>
    <mdx n="0" f="v">
      <t c="6" si="614">
        <n x="610"/>
        <n x="559"/>
        <n x="560"/>
        <n x="800" s="1"/>
        <n x="687"/>
        <n x="688"/>
      </t>
    </mdx>
    <mdx n="0" f="v">
      <t c="6" si="614">
        <n x="610"/>
        <n x="559"/>
        <n x="560"/>
        <n x="800" s="1"/>
        <n x="695"/>
        <n x="696"/>
      </t>
    </mdx>
    <mdx n="0" f="v">
      <t c="6" si="614">
        <n x="610"/>
        <n x="519"/>
        <n x="520"/>
        <n x="800" s="1"/>
        <n x="687"/>
        <n x="688"/>
      </t>
    </mdx>
    <mdx n="0" f="v">
      <t c="6" si="614">
        <n x="610"/>
        <n x="519"/>
        <n x="520"/>
        <n x="800" s="1"/>
        <n x="695"/>
        <n x="696"/>
      </t>
    </mdx>
    <mdx n="0" f="v">
      <t c="6" si="614">
        <n x="610"/>
        <n x="573"/>
        <n x="574"/>
        <n x="800" s="1"/>
        <n x="687"/>
        <n x="688"/>
      </t>
    </mdx>
    <mdx n="0" f="v">
      <t c="6" si="614">
        <n x="610"/>
        <n x="253"/>
        <n x="254"/>
        <n x="800" s="1"/>
        <n x="687"/>
        <n x="688"/>
      </t>
    </mdx>
    <mdx n="0" f="v">
      <t c="6" si="614">
        <n x="610"/>
        <n x="253"/>
        <n x="254"/>
        <n x="800" s="1"/>
        <n x="695"/>
        <n x="696"/>
      </t>
    </mdx>
    <mdx n="0" f="v">
      <t c="6" si="614">
        <n x="610"/>
        <n x="475"/>
        <n x="476"/>
        <n x="800" s="1"/>
        <n x="687"/>
        <n x="688"/>
      </t>
    </mdx>
    <mdx n="0" f="v">
      <t c="6" si="614">
        <n x="610"/>
        <n x="475"/>
        <n x="476"/>
        <n x="800" s="1"/>
        <n x="695"/>
        <n x="696"/>
      </t>
    </mdx>
    <mdx n="0" f="v">
      <t c="6" si="614">
        <n x="610"/>
        <n x="369"/>
        <n x="370"/>
        <n x="800" s="1"/>
        <n x="687"/>
        <n x="688"/>
      </t>
    </mdx>
    <mdx n="0" f="v">
      <t c="6" si="614">
        <n x="610"/>
        <n x="369"/>
        <n x="370"/>
        <n x="800" s="1"/>
        <n x="695"/>
        <n x="696"/>
      </t>
    </mdx>
    <mdx n="0" f="v">
      <t c="6" si="614">
        <n x="610"/>
        <n x="371"/>
        <n x="372"/>
        <n x="800" s="1"/>
        <n x="687"/>
        <n x="688"/>
      </t>
    </mdx>
    <mdx n="0" f="v">
      <t c="6" si="614">
        <n x="610"/>
        <n x="371"/>
        <n x="372"/>
        <n x="800" s="1"/>
        <n x="695"/>
        <n x="696"/>
      </t>
    </mdx>
    <mdx n="0" f="v">
      <t c="6" si="614">
        <n x="610"/>
        <n x="805"/>
        <n x="806"/>
        <n x="800" s="1"/>
        <n x="687"/>
        <n x="688"/>
      </t>
    </mdx>
    <mdx n="0" f="v">
      <t c="6" si="614">
        <n x="610"/>
        <n x="805"/>
        <n x="806"/>
        <n x="800" s="1"/>
        <n x="695"/>
        <n x="696"/>
      </t>
    </mdx>
    <mdx n="0" f="v">
      <t c="6" si="614">
        <n x="610"/>
        <n x="285"/>
        <n x="286"/>
        <n x="800" s="1"/>
        <n x="685"/>
        <n x="686"/>
      </t>
    </mdx>
    <mdx n="0" f="v">
      <t c="6" si="614">
        <n x="610"/>
        <n x="719"/>
        <n x="720"/>
        <n x="800" s="1"/>
        <n x="679"/>
        <n x="680"/>
      </t>
    </mdx>
    <mdx n="0" f="v">
      <t c="6" si="614">
        <n x="610"/>
        <n x="721"/>
        <n x="722"/>
        <n x="800" s="1"/>
        <n x="679"/>
        <n x="680"/>
      </t>
    </mdx>
    <mdx n="0" f="v">
      <t c="6" si="614">
        <n x="610"/>
        <n x="391"/>
        <n x="392"/>
        <n x="800" s="1"/>
        <n x="687"/>
        <n x="688"/>
      </t>
    </mdx>
    <mdx n="0" f="v">
      <t c="6" si="614">
        <n x="610"/>
        <n x="365"/>
        <n x="366"/>
        <n x="800" s="1"/>
        <n x="683"/>
        <n x="684"/>
      </t>
    </mdx>
    <mdx n="0" f="v">
      <t c="6" si="614">
        <n x="610"/>
        <n x="459"/>
        <n x="460"/>
        <n x="800" s="1"/>
        <n x="687"/>
        <n x="688"/>
      </t>
    </mdx>
    <mdx n="0" f="v">
      <t c="6" si="614">
        <n x="610"/>
        <n x="547"/>
        <n x="548"/>
        <n x="800" s="1"/>
        <n x="677"/>
        <n x="678"/>
      </t>
    </mdx>
    <mdx n="0" f="v">
      <t c="6" si="614">
        <n x="610"/>
        <n x="601"/>
        <n x="602"/>
        <n x="800" s="1"/>
        <n x="685"/>
        <n x="686"/>
      </t>
    </mdx>
    <mdx n="0" f="v">
      <t c="6" si="614">
        <n x="610"/>
        <n x="729"/>
        <n x="728"/>
        <n x="800" s="1"/>
        <n x="683"/>
        <n x="684"/>
      </t>
    </mdx>
    <mdx n="0" f="v">
      <t c="6" si="614">
        <n x="610"/>
        <n x="729"/>
        <n x="730"/>
        <n x="800" s="1"/>
        <n x="697"/>
        <n x="698"/>
      </t>
    </mdx>
    <mdx n="0" f="v">
      <t c="6" si="614">
        <n x="610"/>
        <n x="731"/>
        <n x="732"/>
        <n x="800" s="1"/>
        <n x="685"/>
        <n x="678"/>
      </t>
    </mdx>
    <mdx n="0" f="v">
      <t c="6" si="614">
        <n x="610"/>
        <n x="731"/>
        <n x="732"/>
        <n x="800" s="1"/>
        <n x="685"/>
        <n x="686"/>
      </t>
    </mdx>
    <mdx n="0" f="v">
      <t c="6" si="614">
        <n x="610"/>
        <n x="595"/>
        <n x="596"/>
        <n x="800" s="1"/>
        <n x="685"/>
        <n x="686"/>
      </t>
    </mdx>
    <mdx n="0" f="v">
      <t c="6" si="614">
        <n x="610"/>
        <n x="595"/>
        <n x="596"/>
        <n x="800" s="1"/>
        <n x="685"/>
        <n x="686"/>
      </t>
    </mdx>
    <mdx n="0" f="v">
      <t c="6" si="614">
        <n x="610"/>
        <n x="235"/>
        <n x="236"/>
        <n x="800" s="1"/>
        <n x="685"/>
        <n x="686"/>
      </t>
    </mdx>
    <mdx n="0" f="v">
      <t c="6" si="614">
        <n x="610"/>
        <n x="277"/>
        <n x="278"/>
        <n x="800" s="1"/>
        <n x="693"/>
        <n x="694"/>
      </t>
    </mdx>
    <mdx n="0" f="v">
      <t c="6" si="614">
        <n x="610"/>
        <n x="277"/>
        <n x="278"/>
        <n x="800" s="1"/>
        <n x="693"/>
        <n x="694"/>
      </t>
    </mdx>
    <mdx n="0" f="v">
      <t c="6" si="614">
        <n x="610"/>
        <n x="257"/>
        <n x="258"/>
        <n x="800" s="1"/>
        <n x="687"/>
        <n x="688"/>
      </t>
    </mdx>
    <mdx n="0" f="v">
      <t c="6" si="614">
        <n x="610"/>
        <n x="257"/>
        <n x="258"/>
        <n x="800" s="1"/>
        <n x="689"/>
        <n x="690"/>
      </t>
    </mdx>
    <mdx n="0" f="v">
      <t c="6" si="614">
        <n x="610"/>
        <n x="537"/>
        <n x="538"/>
        <n x="800" s="1"/>
        <n x="689"/>
        <n x="690"/>
      </t>
    </mdx>
    <mdx n="0" f="v">
      <t c="6" si="614">
        <n x="610"/>
        <n x="537"/>
        <n x="538"/>
        <n x="800" s="1"/>
        <n x="689"/>
        <n x="690"/>
      </t>
    </mdx>
    <mdx n="0" f="v">
      <t c="6" si="614">
        <n x="610"/>
        <n x="491"/>
        <n x="492"/>
        <n x="800" s="1"/>
        <n x="687"/>
        <n x="688"/>
      </t>
    </mdx>
    <mdx n="0" f="v">
      <t c="6" si="614">
        <n x="610"/>
        <n x="491"/>
        <n x="492"/>
        <n x="800" s="1"/>
        <n x="687"/>
        <n x="688"/>
      </t>
    </mdx>
    <mdx n="0" f="v">
      <t c="6" si="614">
        <n x="610"/>
        <n x="589"/>
        <n x="590"/>
        <n x="800" s="1"/>
        <n x="689"/>
        <n x="690"/>
      </t>
    </mdx>
    <mdx n="0" f="v">
      <t c="6" si="614">
        <n x="610"/>
        <n x="513"/>
        <n x="514"/>
        <n x="800" s="1"/>
        <n x="687"/>
        <n x="688"/>
      </t>
    </mdx>
    <mdx n="0" f="v">
      <t c="6" si="614">
        <n x="610"/>
        <n x="747"/>
        <n x="746"/>
        <n x="800" s="1"/>
        <n x="689"/>
        <n x="690"/>
      </t>
    </mdx>
    <mdx n="0" f="v">
      <t c="6" si="614">
        <n x="610"/>
        <n x="747"/>
        <n x="748"/>
        <n x="800" s="1"/>
        <n x="691"/>
        <n x="692"/>
      </t>
    </mdx>
    <mdx n="0" f="v">
      <t c="6" si="614">
        <n x="610"/>
        <n x="259"/>
        <n x="260"/>
        <n x="800" s="1"/>
        <n x="687"/>
        <n x="688"/>
      </t>
    </mdx>
    <mdx n="0" f="v">
      <t c="6" si="614">
        <n x="610"/>
        <n x="259"/>
        <n x="260"/>
        <n x="800" s="1"/>
        <n x="689"/>
        <n x="690"/>
      </t>
    </mdx>
    <mdx n="0" f="v">
      <t c="6" si="614">
        <n x="610"/>
        <n x="489"/>
        <n x="490"/>
        <n x="800" s="1"/>
        <n x="691"/>
        <n x="692"/>
      </t>
    </mdx>
    <mdx n="0" f="v">
      <t c="6" si="614">
        <n x="610"/>
        <n x="489"/>
        <n x="490"/>
        <n x="800" s="1"/>
        <n x="687"/>
        <n x="688"/>
      </t>
    </mdx>
    <mdx n="0" f="v">
      <t c="6" si="614">
        <n x="610"/>
        <n x="593"/>
        <n x="594"/>
        <n x="800" s="1"/>
        <n x="695"/>
        <n x="696"/>
      </t>
    </mdx>
    <mdx n="0" f="v">
      <t c="6" si="614">
        <n x="610"/>
        <n x="223"/>
        <n x="224"/>
        <n x="800" s="1"/>
        <n x="681"/>
        <n x="682"/>
      </t>
    </mdx>
    <mdx n="0" f="v">
      <t c="6" si="614">
        <n x="610"/>
        <n x="223"/>
        <n x="224"/>
        <n x="800" s="1"/>
        <n x="681"/>
        <n x="682"/>
      </t>
    </mdx>
    <mdx n="0" f="v">
      <t c="6" si="614">
        <n x="610"/>
        <n x="205"/>
        <n x="206"/>
        <n x="800" s="1"/>
        <n x="685"/>
        <n x="686"/>
      </t>
    </mdx>
    <mdx n="0" f="v">
      <t c="6" si="614">
        <n x="610"/>
        <n x="233"/>
        <n x="234"/>
        <n x="800" s="1"/>
        <n x="669"/>
        <n x="684"/>
      </t>
    </mdx>
    <mdx n="0" f="v">
      <t c="6" si="614">
        <n x="610"/>
        <n x="493"/>
        <n x="290"/>
        <n x="800" s="1"/>
        <n x="679"/>
        <n x="680"/>
      </t>
    </mdx>
    <mdx n="0" f="v">
      <t c="6" si="614">
        <n x="610"/>
        <n x="493"/>
        <n x="494"/>
        <n x="800" s="1"/>
        <n x="687"/>
        <n x="688"/>
      </t>
    </mdx>
    <mdx n="0" f="v">
      <t c="6" si="614">
        <n x="610"/>
        <n x="361"/>
        <n x="362"/>
        <n x="800" s="1"/>
        <n x="685"/>
        <n x="686"/>
      </t>
    </mdx>
    <mdx n="0" f="v">
      <t c="6" si="614">
        <n x="610"/>
        <n x="551"/>
        <n x="552"/>
        <n x="800" s="1"/>
        <n x="697"/>
        <n x="698"/>
      </t>
    </mdx>
    <mdx n="0" f="v">
      <t c="6" si="614">
        <n x="610"/>
        <n x="273"/>
        <n x="274"/>
        <n x="800" s="1"/>
        <n x="685"/>
        <n x="686"/>
      </t>
    </mdx>
    <mdx n="0" f="v">
      <t c="6" si="614">
        <n x="610"/>
        <n x="759"/>
        <n x="760"/>
        <n x="800" s="1"/>
        <n x="681"/>
        <n x="682"/>
      </t>
    </mdx>
    <mdx n="0" f="v">
      <t c="6" si="614">
        <n x="610"/>
        <n x="325"/>
        <n x="326"/>
        <n x="800" s="1"/>
        <n x="679"/>
        <n x="680"/>
      </t>
    </mdx>
    <mdx n="0" f="v">
      <t c="6" si="614">
        <n x="610"/>
        <n x="325"/>
        <n x="326"/>
        <n x="800" s="1"/>
        <n x="679"/>
        <n x="680"/>
      </t>
    </mdx>
    <mdx n="0" f="v">
      <t c="6" si="614">
        <n x="610"/>
        <n x="553"/>
        <n x="554"/>
        <n x="800" s="1"/>
        <n x="679"/>
        <n x="680"/>
      </t>
    </mdx>
    <mdx n="0" f="v">
      <t c="6" si="614">
        <n x="610"/>
        <n x="553"/>
        <n x="554"/>
        <n x="800" s="1"/>
        <n x="691"/>
        <n x="692"/>
      </t>
    </mdx>
    <mdx n="0" f="v">
      <t c="6" si="614">
        <n x="610"/>
        <n x="245"/>
        <n x="246"/>
        <n x="800" s="1"/>
        <n x="687"/>
        <n x="688"/>
      </t>
    </mdx>
    <mdx n="0" f="v">
      <t c="6" si="614">
        <n x="610"/>
        <n x="255"/>
        <n x="550"/>
        <n x="800" s="1"/>
        <n x="677"/>
        <n x="678"/>
      </t>
    </mdx>
    <mdx n="0" f="v">
      <t c="6" si="614">
        <n x="610"/>
        <n x="467"/>
        <n x="468"/>
        <n x="800" s="1"/>
        <n x="681"/>
        <n x="682"/>
      </t>
    </mdx>
    <mdx n="0" f="v">
      <t c="6" si="614">
        <n x="610"/>
        <n x="467"/>
        <n x="468"/>
        <n x="800" s="1"/>
        <n x="679"/>
        <n x="680"/>
      </t>
    </mdx>
    <mdx n="0" f="v">
      <t c="6" si="614">
        <n x="610"/>
        <n x="763"/>
        <n x="764"/>
        <n x="800" s="1"/>
        <n x="679"/>
        <n x="680"/>
      </t>
    </mdx>
    <mdx n="0" f="v">
      <t c="6" si="614">
        <n x="610"/>
        <n x="763"/>
        <n x="764"/>
        <n x="800" s="1"/>
        <n x="679"/>
        <n x="680"/>
      </t>
    </mdx>
    <mdx n="0" f="v">
      <t c="6" si="614">
        <n x="610"/>
        <n x="539"/>
        <n x="540"/>
        <n x="800" s="1"/>
        <n x="679"/>
        <n x="680"/>
      </t>
    </mdx>
    <mdx n="0" f="v">
      <t c="6" si="614">
        <n x="610"/>
        <n x="765"/>
        <n x="766"/>
        <n x="800" s="1"/>
        <n x="683"/>
        <n x="684"/>
      </t>
    </mdx>
    <mdx n="0" f="v">
      <t c="6" si="614">
        <n x="610"/>
        <n x="765"/>
        <n x="766"/>
        <n x="800" s="1"/>
        <n x="683"/>
        <n x="684"/>
      </t>
    </mdx>
    <mdx n="0" f="v">
      <t c="6" si="614">
        <n x="610"/>
        <n x="359"/>
        <n x="360"/>
        <n x="800" s="1"/>
        <n x="679"/>
        <n x="680"/>
      </t>
    </mdx>
    <mdx n="0" f="v">
      <t c="6" si="614">
        <n x="610"/>
        <n x="411"/>
        <n x="412"/>
        <n x="800" s="1"/>
        <n x="679"/>
        <n x="680"/>
      </t>
    </mdx>
    <mdx n="0" f="v">
      <t c="6" si="614">
        <n x="610"/>
        <n x="769"/>
        <n x="770"/>
        <n x="800" s="1"/>
        <n x="681"/>
        <n x="682"/>
      </t>
    </mdx>
    <mdx n="0" f="v">
      <t c="6" si="614">
        <n x="610"/>
        <n x="771"/>
        <n x="772"/>
        <n x="800" s="1"/>
        <n x="685"/>
        <n x="698"/>
      </t>
    </mdx>
    <mdx n="0" f="v">
      <t c="6" si="614">
        <n x="610"/>
        <n x="771"/>
        <n x="772"/>
        <n x="800" s="1"/>
        <n x="685"/>
        <n x="686"/>
      </t>
    </mdx>
    <mdx n="0" f="v">
      <t c="6" si="614">
        <n x="610"/>
        <n x="293"/>
        <n x="294"/>
        <n x="800" s="1"/>
        <n x="685"/>
        <n x="686"/>
      </t>
    </mdx>
    <mdx n="0" f="v">
      <t c="6" si="614">
        <n x="610"/>
        <n x="249"/>
        <n x="250"/>
        <n x="800" s="1"/>
        <n x="691"/>
        <n x="692"/>
      </t>
    </mdx>
    <mdx n="0" f="v">
      <t c="6" si="614">
        <n x="610"/>
        <n x="777"/>
        <n x="778"/>
        <n x="800" s="1"/>
        <n x="685"/>
        <n x="686"/>
      </t>
    </mdx>
    <mdx n="0" f="v">
      <t c="6" si="614">
        <n x="610"/>
        <n x="777"/>
        <n x="778"/>
        <n x="800" s="1"/>
        <n x="695"/>
        <n x="696"/>
      </t>
    </mdx>
    <mdx n="0" f="v">
      <t c="6" si="614">
        <n x="610"/>
        <n x="779"/>
        <n x="780"/>
        <n x="800" s="1"/>
        <n x="683"/>
        <n x="684"/>
      </t>
    </mdx>
    <mdx n="0" f="v">
      <t c="6" si="614">
        <n x="610"/>
        <n x="779"/>
        <n x="780"/>
        <n x="800" s="1"/>
        <n x="695"/>
        <n x="696"/>
      </t>
    </mdx>
    <mdx n="0" f="v">
      <t c="6" si="614">
        <n x="610"/>
        <n x="527"/>
        <n x="270"/>
        <n x="800" s="1"/>
        <n x="689"/>
        <n x="690"/>
      </t>
    </mdx>
    <mdx n="0" f="v">
      <t c="6" si="614">
        <n x="610"/>
        <n x="527"/>
        <n x="528"/>
        <n x="800" s="1"/>
        <n x="683"/>
        <n x="684"/>
      </t>
    </mdx>
    <mdx n="0" f="v">
      <t c="6" si="614">
        <n x="610"/>
        <n x="375"/>
        <n x="782"/>
        <n x="800" s="1"/>
        <n x="669"/>
        <n x="670"/>
      </t>
    </mdx>
    <mdx n="0" f="v">
      <t c="6" si="614">
        <n x="610"/>
        <n x="375"/>
        <n x="376"/>
        <n x="800" s="1"/>
        <n x="691"/>
        <n x="692"/>
      </t>
    </mdx>
    <mdx n="0" f="v">
      <t c="6" si="614">
        <n x="610"/>
        <n x="783"/>
        <n x="784"/>
        <n x="800" s="1"/>
        <n x="687"/>
        <n x="688"/>
      </t>
    </mdx>
    <mdx n="0" f="v">
      <t c="6" si="614">
        <n x="610"/>
        <n x="785"/>
        <n x="786"/>
        <n x="800" s="1"/>
        <n x="683"/>
        <n x="684"/>
      </t>
    </mdx>
    <mdx n="0" f="v">
      <t c="6" si="614">
        <n x="610"/>
        <n x="787"/>
        <n x="788"/>
        <n x="800" s="1"/>
        <n x="681"/>
        <n x="682"/>
      </t>
    </mdx>
    <mdx n="0" f="v">
      <t c="6" si="614">
        <n x="610"/>
        <n x="581"/>
        <n x="582"/>
        <n x="800" s="1"/>
        <n x="683"/>
        <n x="684"/>
      </t>
    </mdx>
    <mdx n="0" f="v">
      <t c="6" si="614">
        <n x="610"/>
        <n x="789"/>
        <n x="790"/>
        <n x="800" s="1"/>
        <n x="679"/>
        <n x="680"/>
      </t>
    </mdx>
    <mdx n="0" f="v">
      <t c="6" si="614">
        <n x="610"/>
        <n x="789"/>
        <n x="790"/>
        <n x="800" s="1"/>
        <n x="691"/>
        <n x="692"/>
      </t>
    </mdx>
    <mdx n="0" f="v">
      <t c="6" si="614">
        <n x="610"/>
        <n x="531"/>
        <n x="532"/>
        <n x="800" s="1"/>
        <n x="689"/>
        <n x="690"/>
      </t>
    </mdx>
    <mdx n="0" f="v">
      <t c="6" si="614">
        <n x="610"/>
        <n x="521"/>
        <n x="522"/>
        <n x="800" s="1"/>
        <n x="685"/>
        <n x="686"/>
      </t>
    </mdx>
    <mdx n="0" f="v">
      <t c="6" si="614">
        <n x="610"/>
        <n x="521"/>
        <n x="522"/>
        <n x="800" s="1"/>
        <n x="695"/>
        <n x="696"/>
      </t>
    </mdx>
    <mdx n="0" f="v">
      <t c="6" si="614">
        <n x="610"/>
        <n x="423"/>
        <n x="424"/>
        <n x="800" s="1"/>
        <n x="689"/>
        <n x="690"/>
      </t>
    </mdx>
    <mdx n="0" f="v">
      <t c="6" si="614">
        <n x="610"/>
        <n x="713"/>
        <n x="714"/>
        <n x="800" s="1"/>
        <n x="683"/>
        <n x="684"/>
      </t>
    </mdx>
    <mdx n="0" f="v">
      <t c="6" si="614">
        <n x="610"/>
        <n x="717"/>
        <n x="718"/>
        <n x="800" s="1"/>
        <n x="683"/>
        <n x="684"/>
      </t>
    </mdx>
    <mdx n="0" f="v">
      <t c="6" si="614">
        <n x="610"/>
        <n x="717"/>
        <n x="718"/>
        <n x="800" s="1"/>
        <n x="695"/>
        <n x="696"/>
      </t>
    </mdx>
    <mdx n="0" f="v">
      <t c="6" si="614">
        <n x="610"/>
        <n x="275"/>
        <n x="218"/>
        <n x="800" s="1"/>
        <n x="683"/>
        <n x="684"/>
      </t>
    </mdx>
    <mdx n="0" f="v">
      <t c="6" si="614">
        <n x="610"/>
        <n x="463"/>
        <n x="464"/>
        <n x="800" s="1"/>
        <n x="677"/>
        <n x="678"/>
      </t>
    </mdx>
    <mdx n="0" f="v">
      <t c="6" si="614">
        <n x="610"/>
        <n x="463"/>
        <n x="464"/>
        <n x="800" s="1"/>
        <n x="677"/>
        <n x="678"/>
      </t>
    </mdx>
    <mdx n="0" f="v">
      <t c="6" si="614">
        <n x="610"/>
        <n x="200"/>
        <n x="201"/>
        <n x="800" s="1"/>
        <n x="697"/>
        <n x="698"/>
      </t>
    </mdx>
    <mdx n="0" f="v">
      <t c="6" si="614">
        <n x="610"/>
        <n x="397"/>
        <n x="398"/>
        <n x="800" s="1"/>
        <n x="691"/>
        <n x="692"/>
      </t>
    </mdx>
    <mdx n="0" f="v">
      <t c="6" si="614">
        <n x="610"/>
        <n x="397"/>
        <n x="398"/>
        <n x="800" s="1"/>
        <n x="691"/>
        <n x="692"/>
      </t>
    </mdx>
    <mdx n="0" f="v">
      <t c="6" si="614">
        <n x="610"/>
        <n x="725"/>
        <n x="726"/>
        <n x="800" s="1"/>
        <n x="687"/>
        <n x="688"/>
      </t>
    </mdx>
    <mdx n="0" f="v">
      <t c="6" si="614">
        <n x="610"/>
        <n x="725"/>
        <n x="726"/>
        <n x="800" s="1"/>
        <n x="681"/>
        <n x="682"/>
      </t>
    </mdx>
    <mdx n="0" f="v">
      <t c="6" si="614">
        <n x="610"/>
        <n x="231"/>
        <n x="232"/>
        <n x="800" s="1"/>
        <n x="679"/>
        <n x="680"/>
      </t>
    </mdx>
    <mdx n="0" f="v">
      <t c="6" si="614">
        <n x="610"/>
        <n x="601"/>
        <n x="602"/>
        <n x="800" s="1"/>
        <n x="695"/>
        <n x="696"/>
      </t>
    </mdx>
    <mdx n="0" f="v">
      <t c="6" si="614">
        <n x="610"/>
        <n x="555"/>
        <n x="556"/>
        <n x="800" s="1"/>
        <n x="679"/>
        <n x="680"/>
      </t>
    </mdx>
    <mdx n="0" f="v">
      <t c="6" si="614">
        <n x="610"/>
        <n x="555"/>
        <n x="556"/>
        <n x="800" s="1"/>
        <n x="679"/>
        <n x="680"/>
      </t>
    </mdx>
    <mdx n="0" f="v">
      <t c="6" si="614">
        <n x="610"/>
        <n x="555"/>
        <n x="556"/>
        <n x="800" s="1"/>
        <n x="697"/>
        <n x="698"/>
      </t>
    </mdx>
    <mdx n="0" f="v">
      <t c="6" si="614">
        <n x="610"/>
        <n x="541"/>
        <n x="542"/>
        <n x="800" s="1"/>
        <n x="677"/>
        <n x="678"/>
      </t>
    </mdx>
    <mdx n="0" f="v">
      <t c="6" si="614">
        <n x="610"/>
        <n x="603"/>
        <n x="604"/>
        <n x="800" s="1"/>
        <n x="683"/>
        <n x="684"/>
      </t>
    </mdx>
    <mdx n="0" f="v">
      <t c="6" si="614">
        <n x="610"/>
        <n x="281"/>
        <n x="282"/>
        <n x="800" s="1"/>
        <n x="685"/>
        <n x="686"/>
      </t>
    </mdx>
    <mdx n="0" f="v">
      <t c="6" si="614">
        <n x="610"/>
        <n x="243"/>
        <n x="244"/>
        <n x="800" s="1"/>
        <n x="691"/>
        <n x="692"/>
      </t>
    </mdx>
    <mdx n="0" f="v">
      <t c="6" si="614">
        <n x="610"/>
        <n x="389"/>
        <n x="390"/>
        <n x="800" s="1"/>
        <n x="685"/>
        <n x="686"/>
      </t>
    </mdx>
    <mdx n="0" f="v">
      <t c="6" si="614">
        <n x="610"/>
        <n x="389"/>
        <n x="390"/>
        <n x="800" s="1"/>
        <n x="695"/>
        <n x="696"/>
      </t>
    </mdx>
    <mdx n="0" f="v">
      <t c="6" si="614">
        <n x="610"/>
        <n x="271"/>
        <n x="272"/>
        <n x="800" s="1"/>
        <n x="689"/>
        <n x="690"/>
      </t>
    </mdx>
    <mdx n="0" f="v">
      <t c="6" si="614">
        <n x="610"/>
        <n x="209"/>
        <n x="210"/>
        <n x="800" s="1"/>
        <n x="689"/>
        <n x="690"/>
      </t>
    </mdx>
    <mdx n="0" f="v">
      <t c="6" si="614">
        <n x="610"/>
        <n x="209"/>
        <n x="210"/>
        <n x="800" s="1"/>
        <n x="683"/>
        <n x="684"/>
      </t>
    </mdx>
    <mdx n="0" f="v">
      <t c="6" si="614">
        <n x="610"/>
        <n x="737"/>
        <n x="738"/>
        <n x="800" s="1"/>
        <n x="693"/>
        <n x="694"/>
      </t>
    </mdx>
    <mdx n="0" f="v">
      <t c="6" si="614">
        <n x="610"/>
        <n x="737"/>
        <n x="738"/>
        <n x="800" s="1"/>
        <n x="693"/>
        <n x="694"/>
      </t>
    </mdx>
    <mdx n="0" f="v">
      <t c="6" si="614">
        <n x="610"/>
        <n x="499"/>
        <n x="500"/>
        <n x="800" s="1"/>
        <n x="683"/>
        <n x="684"/>
      </t>
    </mdx>
    <mdx n="0" f="v">
      <t c="6" si="614">
        <n x="610"/>
        <n x="743"/>
        <n x="744"/>
        <n x="800" s="1"/>
        <n x="679"/>
        <n x="680"/>
      </t>
    </mdx>
    <mdx n="0" f="v">
      <t c="6" si="614">
        <n x="610"/>
        <n x="743"/>
        <n x="744"/>
        <n x="800" s="1"/>
        <n x="683"/>
        <n x="684"/>
      </t>
    </mdx>
    <mdx n="0" f="v">
      <t c="6" si="614">
        <n x="610"/>
        <n x="589"/>
        <n x="590"/>
        <n x="800" s="1"/>
        <n x="679"/>
        <n x="696"/>
      </t>
    </mdx>
    <mdx n="0" f="v">
      <t c="6" si="614">
        <n x="610"/>
        <n x="589"/>
        <n x="590"/>
        <n x="800" s="1"/>
        <n x="679"/>
        <n x="680"/>
      </t>
    </mdx>
    <mdx n="0" f="v">
      <t c="6" si="614">
        <n x="610"/>
        <n x="747"/>
        <n x="748"/>
        <n x="800" s="1"/>
        <n x="679"/>
        <n x="680"/>
      </t>
    </mdx>
    <mdx n="0" f="v">
      <t c="6" si="614">
        <n x="610"/>
        <n x="747"/>
        <n x="748"/>
        <n x="800" s="1"/>
        <n x="683"/>
        <n x="684"/>
      </t>
    </mdx>
    <mdx n="0" f="v">
      <t c="6" si="614">
        <n x="610"/>
        <n x="259"/>
        <n x="260"/>
        <n x="800" s="1"/>
        <n x="695"/>
        <n x="696"/>
      </t>
    </mdx>
    <mdx n="0" f="v">
      <t c="6" si="614">
        <n x="610"/>
        <n x="259"/>
        <n x="260"/>
        <n x="800" s="1"/>
        <n x="679"/>
        <n x="680"/>
      </t>
    </mdx>
    <mdx n="0" f="v">
      <t c="6" si="614">
        <n x="610"/>
        <n x="419"/>
        <n x="750"/>
        <n x="800" s="1"/>
        <n x="683"/>
        <n x="684"/>
      </t>
    </mdx>
    <mdx n="0" f="v">
      <t c="6" si="614">
        <n x="610"/>
        <n x="419"/>
        <n x="420"/>
        <n x="800" s="1"/>
        <n x="695"/>
        <n x="696"/>
      </t>
    </mdx>
    <mdx n="0" f="v">
      <t c="6" si="614">
        <n x="610"/>
        <n x="241"/>
        <n x="242"/>
        <n x="800" s="1"/>
        <n x="697"/>
        <n x="698"/>
      </t>
    </mdx>
    <mdx n="0" f="v">
      <t c="6" si="614">
        <n x="610"/>
        <n x="229"/>
        <n x="230"/>
        <n x="800" s="1"/>
        <n x="697"/>
        <n x="698"/>
      </t>
    </mdx>
    <mdx n="0" f="v">
      <t c="6" si="614">
        <n x="610"/>
        <n x="755"/>
        <n x="756"/>
        <n x="800" s="1"/>
        <n x="681"/>
        <n x="682"/>
      </t>
    </mdx>
    <mdx n="0" f="v">
      <t c="6" si="614">
        <n x="610"/>
        <n x="223"/>
        <n x="224"/>
        <n x="800" s="1"/>
        <n x="693"/>
        <n x="694"/>
      </t>
    </mdx>
    <mdx n="0" f="v">
      <t c="6" si="614">
        <n x="610"/>
        <n x="471"/>
        <n x="472"/>
        <n x="800" s="1"/>
        <n x="679"/>
        <n x="680"/>
      </t>
    </mdx>
    <mdx n="0" f="v">
      <t c="6" si="614">
        <n x="610"/>
        <n x="471"/>
        <n x="472"/>
        <n x="800" s="1"/>
        <n x="691"/>
        <n x="692"/>
      </t>
    </mdx>
    <mdx n="0" f="v">
      <t c="6" si="614">
        <n x="610"/>
        <n x="399"/>
        <n x="400"/>
        <n x="800" s="1"/>
        <n x="685"/>
        <n x="686"/>
      </t>
    </mdx>
    <mdx n="0" f="v">
      <t c="6" si="614">
        <n x="610"/>
        <n x="289"/>
        <n x="290"/>
        <n x="800" s="1"/>
        <n x="681"/>
        <n x="682"/>
      </t>
    </mdx>
    <mdx n="0" f="v">
      <t c="6" si="614">
        <n x="610"/>
        <n x="289"/>
        <n x="290"/>
        <n x="800" s="1"/>
        <n x="693"/>
        <n x="694"/>
      </t>
    </mdx>
    <mdx n="0" f="v">
      <t c="6" si="614">
        <n x="610"/>
        <n x="759"/>
        <n x="760"/>
        <n x="800" s="1"/>
        <n x="683"/>
        <n x="684"/>
      </t>
    </mdx>
    <mdx n="0" f="v">
      <t c="6" si="614">
        <n x="610"/>
        <n x="759"/>
        <n x="760"/>
        <n x="800" s="1"/>
        <n x="695"/>
        <n x="696"/>
      </t>
    </mdx>
    <mdx n="0" f="v">
      <t c="6" si="614">
        <n x="610"/>
        <n x="553"/>
        <n x="410"/>
        <n x="800" s="1"/>
        <n x="669"/>
        <n x="670"/>
      </t>
    </mdx>
    <mdx n="0" f="v">
      <t c="6" si="614">
        <n x="610"/>
        <n x="553"/>
        <n x="554"/>
        <n x="800" s="1"/>
        <n x="681"/>
        <n x="682"/>
      </t>
    </mdx>
    <mdx n="0" f="v">
      <t c="6" si="614">
        <n x="610"/>
        <n x="255"/>
        <n x="550"/>
        <n x="800" s="1"/>
        <n x="679"/>
        <n x="680"/>
      </t>
    </mdx>
    <mdx n="0" f="v">
      <t c="6" si="614">
        <n x="610"/>
        <n x="255"/>
        <n x="256"/>
        <n x="800" s="1"/>
        <n x="685"/>
        <n x="686"/>
      </t>
    </mdx>
    <mdx n="0" f="v">
      <t c="6" si="614">
        <n x="610"/>
        <n x="467"/>
        <n x="468"/>
        <n x="800" s="1"/>
        <n x="669"/>
        <n x="670"/>
      </t>
    </mdx>
    <mdx n="0" f="v">
      <t c="6" si="614">
        <n x="610"/>
        <n x="467"/>
        <n x="468"/>
        <n x="800" s="1"/>
        <n x="693"/>
        <n x="694"/>
      </t>
    </mdx>
    <mdx n="0" f="v">
      <t c="6" si="614">
        <n x="610"/>
        <n x="763"/>
        <n x="764"/>
        <n x="800" s="1"/>
        <n x="691"/>
        <n x="692"/>
      </t>
    </mdx>
    <mdx n="0" f="v">
      <t c="6" si="614">
        <n x="610"/>
        <n x="763"/>
        <n x="764"/>
        <n x="800" s="1"/>
        <n x="691"/>
        <n x="692"/>
      </t>
    </mdx>
    <mdx n="0" f="v">
      <t c="6" si="614">
        <n x="610"/>
        <n x="765"/>
        <n x="766"/>
        <n x="800" s="1"/>
        <n x="685"/>
        <n x="686"/>
      </t>
    </mdx>
    <mdx n="0" f="v">
      <t c="6" si="614">
        <n x="610"/>
        <n x="765"/>
        <n x="766"/>
        <n x="800" s="1"/>
        <n x="685"/>
        <n x="686"/>
      </t>
    </mdx>
    <mdx n="0" f="v">
      <t c="6" si="614">
        <n x="610"/>
        <n x="411"/>
        <n x="412"/>
        <n x="800" s="1"/>
        <n x="681"/>
        <n x="682"/>
      </t>
    </mdx>
    <mdx n="0" f="v">
      <t c="6" si="614">
        <n x="610"/>
        <n x="771"/>
        <n x="772"/>
        <n x="800" s="1"/>
        <n x="687"/>
        <n x="688"/>
      </t>
    </mdx>
    <mdx n="0" f="v">
      <t c="6" si="614">
        <n x="610"/>
        <n x="771"/>
        <n x="772"/>
        <n x="800" s="1"/>
        <n x="687"/>
        <n x="688"/>
      </t>
    </mdx>
    <mdx n="0" f="v">
      <t c="6" si="614">
        <n x="610"/>
        <n x="249"/>
        <n x="250"/>
        <n x="800" s="1"/>
        <n x="681"/>
        <n x="682"/>
      </t>
    </mdx>
    <mdx n="0" f="v">
      <t c="6" si="614">
        <n x="610"/>
        <n x="775"/>
        <n x="776"/>
        <n x="800" s="1"/>
        <n x="677"/>
        <n x="678"/>
      </t>
    </mdx>
    <mdx n="0" f="v">
      <t c="6" si="614">
        <n x="610"/>
        <n x="445"/>
        <n x="446"/>
        <n x="800" s="1"/>
        <n x="679"/>
        <n x="680"/>
      </t>
    </mdx>
    <mdx n="0" f="v">
      <t c="6" si="614">
        <n x="610"/>
        <n x="533"/>
        <n x="534"/>
        <n x="800" s="1"/>
        <n x="681"/>
        <n x="682"/>
      </t>
    </mdx>
    <mdx n="0" f="v">
      <t c="6" si="614">
        <n x="610"/>
        <n x="783"/>
        <n x="782"/>
        <n x="800" s="1"/>
        <n x="689"/>
        <n x="690"/>
      </t>
    </mdx>
    <mdx n="0" f="v">
      <t c="6" si="614">
        <n x="610"/>
        <n x="535"/>
        <n x="536"/>
        <n x="800" s="1"/>
        <n x="679"/>
        <n x="680"/>
      </t>
    </mdx>
    <mdx n="0" f="v">
      <t c="6" si="614">
        <n x="610"/>
        <n x="785"/>
        <n x="356"/>
        <n x="800" s="1"/>
        <n x="685"/>
        <n x="686"/>
      </t>
    </mdx>
    <mdx n="0" f="v">
      <t c="6" si="614">
        <n x="610"/>
        <n x="785"/>
        <n x="786"/>
        <n x="800" s="1"/>
        <n x="689"/>
        <n x="690"/>
      </t>
    </mdx>
    <mdx n="0" f="v">
      <t c="6" si="614">
        <n x="610"/>
        <n x="583"/>
        <n x="584"/>
        <n x="800" s="1"/>
        <n x="685"/>
        <n x="686"/>
      </t>
    </mdx>
    <mdx n="0" f="v">
      <t c="6" si="614">
        <n x="610"/>
        <n x="581"/>
        <n x="582"/>
        <n x="800" s="1"/>
        <n x="685"/>
        <n x="686"/>
      </t>
    </mdx>
    <mdx n="0" f="v">
      <t c="6" si="614">
        <n x="610"/>
        <n x="581"/>
        <n x="582"/>
        <n x="800" s="1"/>
        <n x="695"/>
        <n x="696"/>
      </t>
    </mdx>
    <mdx n="0" f="v">
      <t c="6" si="614">
        <n x="610"/>
        <n x="789"/>
        <n x="790"/>
        <n x="800" s="1"/>
        <n x="681"/>
        <n x="682"/>
      </t>
    </mdx>
    <mdx n="0" f="v">
      <t c="6" si="614">
        <n x="610"/>
        <n x="311"/>
        <n x="312"/>
        <n x="800" s="1"/>
        <n x="685"/>
        <n x="686"/>
      </t>
    </mdx>
    <mdx n="0" f="v">
      <t c="6" si="614">
        <n x="610"/>
        <n x="311"/>
        <n x="312"/>
        <n x="800" s="1"/>
        <n x="695"/>
        <n x="696"/>
      </t>
    </mdx>
    <mdx n="0" f="v">
      <t c="6" si="614">
        <n x="610"/>
        <n x="565"/>
        <n x="566"/>
        <n x="800" s="1"/>
        <n x="681"/>
        <n x="682"/>
      </t>
    </mdx>
    <mdx n="0" f="v">
      <t c="6" si="614">
        <n x="610"/>
        <n x="545"/>
        <n x="424"/>
        <n x="800" s="1"/>
        <n x="697"/>
        <n x="698"/>
      </t>
    </mdx>
    <mdx n="0" f="v">
      <t c="6" si="614">
        <n x="610"/>
        <n x="545"/>
        <n x="546"/>
        <n x="800" s="1"/>
        <n x="683"/>
        <n x="684"/>
      </t>
    </mdx>
    <mdx n="0" f="v">
      <t c="6" si="614">
        <n x="610"/>
        <n x="545"/>
        <n x="546"/>
        <n x="800" s="1"/>
        <n x="693"/>
        <n x="694"/>
      </t>
    </mdx>
    <mdx n="0" f="v">
      <t c="6" si="614">
        <n x="610"/>
        <n x="575"/>
        <n x="576"/>
        <n x="800" s="1"/>
        <n x="687"/>
        <n x="688"/>
      </t>
    </mdx>
    <mdx n="0" f="v">
      <t c="6" si="614">
        <n x="610"/>
        <n x="291"/>
        <n x="292"/>
        <n x="800" s="1"/>
        <n x="677"/>
        <n x="678"/>
      </t>
    </mdx>
    <mdx n="0" f="v">
      <t c="6" si="614">
        <n x="610"/>
        <n x="329"/>
        <n x="330"/>
        <n x="800" s="1"/>
        <n x="677"/>
        <n x="670"/>
      </t>
    </mdx>
    <mdx n="0" f="v">
      <t c="6" si="614">
        <n x="610"/>
        <n x="449"/>
        <n x="450"/>
        <n x="800" s="1"/>
        <n x="669"/>
        <n x="670"/>
      </t>
    </mdx>
    <mdx n="0" f="v">
      <t c="6" si="614">
        <n x="610"/>
        <n x="215"/>
        <n x="216"/>
        <n x="800" s="1"/>
        <n x="677"/>
        <n x="678"/>
      </t>
    </mdx>
    <mdx n="0" f="v">
      <t c="6" si="614">
        <n x="610"/>
        <n x="477"/>
        <n x="478"/>
        <n x="800" s="1"/>
        <n x="677"/>
        <n x="678"/>
      </t>
    </mdx>
    <mdx n="0" f="v">
      <t c="6" si="614">
        <n x="610"/>
        <n x="267"/>
        <n x="268"/>
        <n x="800" s="1"/>
        <n x="669"/>
        <n x="670"/>
      </t>
    </mdx>
    <mdx n="0" f="v">
      <t c="6" si="614">
        <n x="610"/>
        <n x="573"/>
        <n x="574"/>
        <n x="800" s="1"/>
        <n x="677"/>
        <n x="678"/>
      </t>
    </mdx>
    <mdx n="0" f="v">
      <t c="6" si="614">
        <n x="610"/>
        <n x="253"/>
        <n x="254"/>
        <n x="800" s="1"/>
        <n x="677"/>
        <n x="678"/>
      </t>
    </mdx>
    <mdx n="0" f="v">
      <t c="6" si="614">
        <n x="610"/>
        <n x="475"/>
        <n x="476"/>
        <n x="800" s="1"/>
        <n x="669"/>
        <n x="670"/>
      </t>
    </mdx>
    <mdx n="0" f="v">
      <t c="6" si="614">
        <n x="610"/>
        <n x="371"/>
        <n x="372"/>
        <n x="800" s="1"/>
        <n x="669"/>
        <n x="670"/>
      </t>
    </mdx>
    <mdx n="0" f="v">
      <t c="6" si="614">
        <n x="610"/>
        <n x="805"/>
        <n x="806"/>
        <n x="800" s="1"/>
        <n x="669"/>
        <n x="670"/>
      </t>
    </mdx>
    <mdx n="0" f="v">
      <t c="6" si="614">
        <n x="610"/>
        <n x="317"/>
        <n x="318"/>
        <n x="800" s="1"/>
        <n x="679"/>
        <n x="680"/>
      </t>
    </mdx>
    <mdx n="0" f="v">
      <t c="6" si="614">
        <n x="610"/>
        <n x="261"/>
        <n x="262"/>
        <n x="800" s="1"/>
        <n x="695"/>
        <n x="692"/>
      </t>
    </mdx>
    <mdx n="0" f="v">
      <t c="6" si="614">
        <n x="610"/>
        <n x="261"/>
        <n x="262"/>
        <n x="800" s="1"/>
        <n x="695"/>
        <n x="696"/>
      </t>
    </mdx>
    <mdx n="0" f="v">
      <t c="6" si="614">
        <n x="610"/>
        <n x="397"/>
        <n x="398"/>
        <n x="800" s="1"/>
        <n x="681"/>
        <n x="682"/>
      </t>
    </mdx>
    <mdx n="0" f="v">
      <t c="6" si="614">
        <n x="610"/>
        <n x="457"/>
        <n x="458"/>
        <n x="800" s="1"/>
        <n x="687"/>
        <n x="688"/>
      </t>
    </mdx>
    <mdx n="0" f="v">
      <t c="6" si="614">
        <n x="610"/>
        <n x="727"/>
        <n x="728"/>
        <n x="800" s="1"/>
        <n x="687"/>
        <n x="698"/>
      </t>
    </mdx>
    <mdx n="0" f="v">
      <t c="6" si="614">
        <n x="610"/>
        <n x="727"/>
        <n x="728"/>
        <n x="800" s="1"/>
        <n x="687"/>
        <n x="688"/>
      </t>
    </mdx>
    <mdx n="0" f="v">
      <t c="6" si="614">
        <n x="610"/>
        <n x="367"/>
        <n x="368"/>
        <n x="800" s="1"/>
        <n x="687"/>
        <n x="688"/>
      </t>
    </mdx>
    <mdx n="0" f="v">
      <t c="6" si="614">
        <n x="610"/>
        <n x="265"/>
        <n x="266"/>
        <n x="800" s="1"/>
        <n x="681"/>
        <n x="682"/>
      </t>
    </mdx>
    <mdx n="0" f="v">
      <t c="6" si="614">
        <n x="610"/>
        <n x="265"/>
        <n x="266"/>
        <n x="800" s="1"/>
        <n x="681"/>
        <n x="682"/>
      </t>
    </mdx>
    <mdx n="0" f="v">
      <t c="6" si="614">
        <n x="610"/>
        <n x="733"/>
        <n x="596"/>
        <n x="800" s="1"/>
        <n x="687"/>
        <n x="688"/>
      </t>
    </mdx>
    <mdx n="0" f="v">
      <t c="6" si="614">
        <n x="610"/>
        <n x="735"/>
        <n x="736"/>
        <n x="800" s="1"/>
        <n x="685"/>
        <n x="686"/>
      </t>
    </mdx>
    <mdx n="0" f="v">
      <t c="6" si="614">
        <n x="610"/>
        <n x="277"/>
        <n x="278"/>
        <n x="800" s="1"/>
        <n x="683"/>
        <n x="684"/>
      </t>
    </mdx>
    <mdx n="0" f="v">
      <t c="6" si="614">
        <n x="610"/>
        <n x="387"/>
        <n x="388"/>
        <n x="800" s="1"/>
        <n x="687"/>
        <n x="688"/>
      </t>
    </mdx>
    <mdx n="0" f="v">
      <t c="6" si="614">
        <n x="610"/>
        <n x="401"/>
        <n x="402"/>
        <n x="800" s="1"/>
        <n x="697"/>
        <n x="698"/>
      </t>
    </mdx>
    <mdx n="0" f="v">
      <t c="6" si="614">
        <n x="610"/>
        <n x="737"/>
        <n x="738"/>
        <n x="800" s="1"/>
        <n x="681"/>
        <n x="682"/>
      </t>
    </mdx>
    <mdx n="0" f="v">
      <t c="6" si="614">
        <n x="610"/>
        <n x="737"/>
        <n x="738"/>
        <n x="800" s="1"/>
        <n x="695"/>
        <n x="696"/>
      </t>
    </mdx>
    <mdx n="0" f="v">
      <t c="6" si="614">
        <n x="610"/>
        <n x="429"/>
        <n x="430"/>
        <n x="800" s="1"/>
        <n x="695"/>
        <n x="696"/>
      </t>
    </mdx>
    <mdx n="0" f="v">
      <t c="6" si="614">
        <n x="610"/>
        <n x="429"/>
        <n x="430"/>
        <n x="800" s="1"/>
        <n x="689"/>
        <n x="690"/>
      </t>
    </mdx>
    <mdx n="0" f="v">
      <t c="6" si="614">
        <n x="610"/>
        <n x="561"/>
        <n x="562"/>
        <n x="800" s="1"/>
        <n x="687"/>
        <n x="692"/>
      </t>
    </mdx>
    <mdx n="0" f="v">
      <t c="6" si="614">
        <n x="610"/>
        <n x="561"/>
        <n x="562"/>
        <n x="800" s="1"/>
        <n x="687"/>
        <n x="688"/>
      </t>
    </mdx>
    <mdx n="0" f="v">
      <t c="6" si="614">
        <n x="610"/>
        <n x="605"/>
        <n x="606"/>
        <n x="800" s="1"/>
        <n x="691"/>
        <n x="690"/>
      </t>
    </mdx>
    <mdx n="0" f="v">
      <t c="6" si="614">
        <n x="610"/>
        <n x="605"/>
        <n x="606"/>
        <n x="800" s="1"/>
        <n x="691"/>
        <n x="692"/>
      </t>
    </mdx>
    <mdx n="0" f="v">
      <t c="6" si="614">
        <n x="610"/>
        <n x="441"/>
        <n x="442"/>
        <n x="800" s="1"/>
        <n x="687"/>
        <n x="692"/>
      </t>
    </mdx>
    <mdx n="0" f="v">
      <t c="6" si="614">
        <n x="610"/>
        <n x="441"/>
        <n x="442"/>
        <n x="800" s="1"/>
        <n x="687"/>
        <n x="688"/>
      </t>
    </mdx>
    <mdx n="0" f="v">
      <t c="6" si="614">
        <n x="610"/>
        <n x="299"/>
        <n x="300"/>
        <n x="800" s="1"/>
        <n x="691"/>
        <n x="692"/>
      </t>
    </mdx>
    <mdx n="0" f="v">
      <t c="6" si="614">
        <n x="610"/>
        <n x="299"/>
        <n x="300"/>
        <n x="800" s="1"/>
        <n x="691"/>
        <n x="692"/>
      </t>
    </mdx>
    <mdx n="0" f="v">
      <t c="6" si="614">
        <n x="610"/>
        <n x="241"/>
        <n x="242"/>
        <n x="800" s="1"/>
        <n x="679"/>
        <n x="688"/>
      </t>
    </mdx>
    <mdx n="0" f="v">
      <t c="6" si="614">
        <n x="610"/>
        <n x="241"/>
        <n x="242"/>
        <n x="800" s="1"/>
        <n x="679"/>
        <n x="680"/>
      </t>
    </mdx>
    <mdx n="0" f="v">
      <t c="6" si="614">
        <n x="610"/>
        <n x="229"/>
        <n x="230"/>
        <n x="800" s="1"/>
        <n x="679"/>
        <n x="680"/>
      </t>
    </mdx>
    <mdx n="0" f="v">
      <t c="6" si="614">
        <n x="610"/>
        <n x="229"/>
        <n x="230"/>
        <n x="800" s="1"/>
        <n x="679"/>
        <n x="680"/>
      </t>
    </mdx>
    <mdx n="0" f="v">
      <t c="6" si="614">
        <n x="610"/>
        <n x="223"/>
        <n x="224"/>
        <n x="800" s="1"/>
        <n x="683"/>
        <n x="684"/>
      </t>
    </mdx>
    <mdx n="0" f="v">
      <t c="6" si="614">
        <n x="610"/>
        <n x="471"/>
        <n x="472"/>
        <n x="800" s="1"/>
        <n x="681"/>
        <n x="682"/>
      </t>
    </mdx>
    <mdx n="0" f="v">
      <t c="6" si="614">
        <n x="610"/>
        <n x="407"/>
        <n x="408"/>
        <n x="800" s="1"/>
        <n x="679"/>
        <n x="680"/>
      </t>
    </mdx>
    <mdx n="0" f="v">
      <t c="6" si="614">
        <n x="610"/>
        <n x="321"/>
        <n x="322"/>
        <n x="800" s="1"/>
        <n x="691"/>
        <n x="692"/>
      </t>
    </mdx>
    <mdx n="0" f="v">
      <t c="6" si="614">
        <n x="610"/>
        <n x="321"/>
        <n x="322"/>
        <n x="800" s="1"/>
        <n x="685"/>
        <n x="686"/>
      </t>
    </mdx>
    <mdx n="0" f="v">
      <t c="6" si="614">
        <n x="610"/>
        <n x="399"/>
        <n x="400"/>
        <n x="800" s="1"/>
        <n x="687"/>
        <n x="688"/>
      </t>
    </mdx>
    <mdx n="0" f="v">
      <t c="6" si="614">
        <n x="610"/>
        <n x="289"/>
        <n x="290"/>
        <n x="800" s="1"/>
        <n x="683"/>
        <n x="684"/>
      </t>
    </mdx>
    <mdx n="0" f="v">
      <t c="6" si="614">
        <n x="610"/>
        <n x="207"/>
        <n x="208"/>
        <n x="800" s="1"/>
        <n x="681"/>
        <n x="682"/>
      </t>
    </mdx>
    <mdx n="0" f="v">
      <t c="6" si="614">
        <n x="610"/>
        <n x="361"/>
        <n x="362"/>
        <n x="800" s="1"/>
        <n x="687"/>
        <n x="688"/>
      </t>
    </mdx>
    <mdx n="0" f="v">
      <t c="6" si="614">
        <n x="610"/>
        <n x="551"/>
        <n x="552"/>
        <n x="800" s="1"/>
        <n x="679"/>
        <n x="680"/>
      </t>
    </mdx>
    <mdx n="0" f="v">
      <t c="6" si="614">
        <n x="610"/>
        <n x="273"/>
        <n x="274"/>
        <n x="800" s="1"/>
        <n x="687"/>
        <n x="688"/>
      </t>
    </mdx>
    <mdx n="0" f="v">
      <t c="6" si="614">
        <n x="610"/>
        <n x="757"/>
        <n x="758"/>
        <n x="800" s="1"/>
        <n x="679"/>
        <n x="680"/>
      </t>
    </mdx>
    <mdx n="0" f="v">
      <t c="6" si="614">
        <n x="610"/>
        <n x="759"/>
        <n x="760"/>
        <n x="800" s="1"/>
        <n x="685"/>
        <n x="686"/>
      </t>
    </mdx>
    <mdx n="0" f="v">
      <t c="6" si="614">
        <n x="610"/>
        <n x="325"/>
        <n x="326"/>
        <n x="800" s="1"/>
        <n x="683"/>
        <n x="684"/>
      </t>
    </mdx>
    <mdx n="0" f="v">
      <t c="6" si="614">
        <n x="610"/>
        <n x="325"/>
        <n x="326"/>
        <n x="800" s="1"/>
        <n x="695"/>
        <n x="696"/>
      </t>
    </mdx>
    <mdx n="0" f="v">
      <t c="6" si="614">
        <n x="610"/>
        <n x="549"/>
        <n x="550"/>
        <n x="800" s="1"/>
        <n x="681"/>
        <n x="682"/>
      </t>
    </mdx>
    <mdx n="0" f="v">
      <t c="6" si="614">
        <n x="610"/>
        <n x="255"/>
        <n x="256"/>
        <n x="800" s="1"/>
        <n x="687"/>
        <n x="688"/>
      </t>
    </mdx>
    <mdx n="0" f="v">
      <t c="6" si="614">
        <n x="610"/>
        <n x="469"/>
        <n x="470"/>
        <n x="800" s="1"/>
        <n x="685"/>
        <n x="686"/>
      </t>
    </mdx>
    <mdx n="0" f="v">
      <t c="6" si="614">
        <n x="610"/>
        <n x="467"/>
        <n x="468"/>
        <n x="800" s="1"/>
        <n x="681"/>
        <n x="682"/>
      </t>
    </mdx>
    <mdx n="0" f="v">
      <t c="6" si="614">
        <n x="610"/>
        <n x="287"/>
        <n x="288"/>
        <n x="800" s="1"/>
        <n x="689"/>
        <n x="690"/>
      </t>
    </mdx>
    <mdx n="0" f="v">
      <t c="6" si="614">
        <n x="610"/>
        <n x="763"/>
        <n x="764"/>
        <n x="800" s="1"/>
        <n x="681"/>
        <n x="682"/>
      </t>
    </mdx>
    <mdx n="0" f="v">
      <t c="6" si="614">
        <n x="610"/>
        <n x="763"/>
        <n x="764"/>
        <n x="800" s="1"/>
        <n x="693"/>
        <n x="694"/>
      </t>
    </mdx>
    <mdx n="0" f="v">
      <t c="6" si="614">
        <n x="610"/>
        <n x="765"/>
        <n x="766"/>
        <n x="800" s="1"/>
        <n x="669"/>
        <n x="670"/>
      </t>
    </mdx>
    <mdx n="0" f="v">
      <t c="6" si="614">
        <n x="610"/>
        <n x="765"/>
        <n x="766"/>
        <n x="800" s="1"/>
        <n x="687"/>
        <n x="688"/>
      </t>
    </mdx>
    <mdx n="0" f="v">
      <t c="6" si="614">
        <n x="610"/>
        <n x="411"/>
        <n x="412"/>
        <n x="800" s="1"/>
        <n x="693"/>
        <n x="694"/>
      </t>
    </mdx>
    <mdx n="0" f="v">
      <t c="6" si="614">
        <n x="610"/>
        <n x="315"/>
        <n x="316"/>
        <n x="800" s="1"/>
        <n x="679"/>
        <n x="680"/>
      </t>
    </mdx>
    <mdx n="0" f="v">
      <t c="6" si="614">
        <n x="610"/>
        <n x="315"/>
        <n x="316"/>
        <n x="800" s="1"/>
        <n x="679"/>
        <n x="680"/>
      </t>
    </mdx>
    <mdx n="0" f="v">
      <t c="6" si="614">
        <n x="610"/>
        <n x="427"/>
        <n x="428"/>
        <n x="800" s="1"/>
        <n x="691"/>
        <n x="692"/>
      </t>
    </mdx>
    <mdx n="0" f="v">
      <t c="6" si="614">
        <n x="610"/>
        <n x="427"/>
        <n x="428"/>
        <n x="800" s="1"/>
        <n x="691"/>
        <n x="692"/>
      </t>
    </mdx>
    <mdx n="0" f="v">
      <t c="6" si="614">
        <n x="610"/>
        <n x="485"/>
        <n x="486"/>
        <n x="800" s="1"/>
        <n x="681"/>
        <n x="682"/>
      </t>
    </mdx>
    <mdx n="0" f="v">
      <t c="6" si="614">
        <n x="610"/>
        <n x="529"/>
        <n x="530"/>
        <n x="800" s="1"/>
        <n x="697"/>
        <n x="698"/>
      </t>
    </mdx>
    <mdx n="0" f="v">
      <t c="6" si="614">
        <n x="610"/>
        <n x="777"/>
        <n x="778"/>
        <n x="800" s="1"/>
        <n x="687"/>
        <n x="688"/>
      </t>
    </mdx>
    <mdx n="0" f="v">
      <t c="6" si="614">
        <n x="610"/>
        <n x="779"/>
        <n x="780"/>
        <n x="800" s="1"/>
        <n x="685"/>
        <n x="686"/>
      </t>
    </mdx>
    <mdx n="0" f="v">
      <t c="6" si="614">
        <n x="610"/>
        <n x="781"/>
        <n x="782"/>
        <n x="800" s="1"/>
        <n x="697"/>
        <n x="698"/>
      </t>
    </mdx>
    <mdx n="0" f="v">
      <t c="6" si="614">
        <n x="610"/>
        <n x="375"/>
        <n x="376"/>
        <n x="800" s="1"/>
        <n x="683"/>
        <n x="684"/>
      </t>
    </mdx>
    <mdx n="0" f="v">
      <t c="6" si="614">
        <n x="610"/>
        <n x="375"/>
        <n x="376"/>
        <n x="800" s="1"/>
        <n x="683"/>
        <n x="684"/>
      </t>
    </mdx>
    <mdx n="0" f="v">
      <t c="6" si="614">
        <n x="610"/>
        <n x="355"/>
        <n x="356"/>
        <n x="800" s="1"/>
        <n x="695"/>
        <n x="696"/>
      </t>
    </mdx>
    <mdx n="0" f="v">
      <t c="6" si="614">
        <n x="610"/>
        <n x="505"/>
        <n x="506"/>
        <n x="800" s="1"/>
        <n x="689"/>
        <n x="690"/>
      </t>
    </mdx>
    <mdx n="0" f="v">
      <t c="6" si="614">
        <n x="610"/>
        <n x="521"/>
        <n x="522"/>
        <n x="800" s="1"/>
        <n x="683"/>
        <n x="684"/>
      </t>
    </mdx>
    <mdx n="0" f="v">
      <t c="6" si="614">
        <n x="610"/>
        <n x="521"/>
        <n x="522"/>
        <n x="800" s="1"/>
        <n x="687"/>
        <n x="688"/>
      </t>
    </mdx>
    <mdx n="0" f="v">
      <t c="6" si="614">
        <n x="610"/>
        <n x="711"/>
        <n x="712"/>
        <n x="800" s="1"/>
        <n x="683"/>
        <n x="684"/>
      </t>
    </mdx>
    <mdx n="0" f="v">
      <t c="6" si="614">
        <n x="610"/>
        <n x="715"/>
        <n x="716"/>
        <n x="800" s="1"/>
        <n x="689"/>
        <n x="690"/>
      </t>
    </mdx>
    <mdx n="0" f="v">
      <t c="6" si="614">
        <n x="610"/>
        <n x="275"/>
        <n x="276"/>
        <n x="800" s="1"/>
        <n x="677"/>
        <n x="678"/>
      </t>
    </mdx>
    <mdx n="0" f="v">
      <t c="6" si="614">
        <n x="610"/>
        <n x="721"/>
        <n x="722"/>
        <n x="800" s="1"/>
        <n x="693"/>
        <n x="684"/>
      </t>
    </mdx>
    <mdx n="0" f="v">
      <t c="6" si="614">
        <n x="610"/>
        <n x="721"/>
        <n x="722"/>
        <n x="800" s="1"/>
        <n x="693"/>
        <n x="694"/>
      </t>
    </mdx>
    <mdx n="0" f="v">
      <t c="6" si="614">
        <n x="610"/>
        <n x="391"/>
        <n x="392"/>
        <n x="800" s="1"/>
        <n x="677"/>
        <n x="678"/>
      </t>
    </mdx>
    <mdx n="0" f="v">
      <t c="6" si="614">
        <n x="610"/>
        <n x="221"/>
        <n x="222"/>
        <n x="800" s="1"/>
        <n x="681"/>
        <n x="682"/>
      </t>
    </mdx>
    <mdx n="0" f="v">
      <t c="6" si="614">
        <n x="610"/>
        <n x="231"/>
        <n x="232"/>
        <n x="800" s="1"/>
        <n x="691"/>
        <n x="692"/>
      </t>
    </mdx>
    <mdx n="0" f="v">
      <t c="6" si="614">
        <n x="610"/>
        <n x="453"/>
        <n x="454"/>
        <n x="800" s="1"/>
        <n x="685"/>
        <n x="686"/>
      </t>
    </mdx>
    <mdx n="0" f="v">
      <t c="6" si="614">
        <n x="610"/>
        <n x="453"/>
        <n x="454"/>
        <n x="800" s="1"/>
        <n x="695"/>
        <n x="696"/>
      </t>
    </mdx>
    <mdx n="0" f="v">
      <t c="6" si="614">
        <n x="610"/>
        <n x="265"/>
        <n x="266"/>
        <n x="800" s="1"/>
        <n x="683"/>
        <n x="684"/>
      </t>
    </mdx>
    <mdx n="0" f="v">
      <t c="6" si="614">
        <n x="610"/>
        <n x="235"/>
        <n x="414"/>
        <n x="800" s="1"/>
        <n x="693"/>
        <n x="694"/>
      </t>
    </mdx>
    <mdx n="0" f="v">
      <t c="6" si="614">
        <n x="610"/>
        <n x="733"/>
        <n x="734"/>
        <n x="800" s="1"/>
        <n x="669"/>
        <n x="670"/>
      </t>
    </mdx>
    <mdx n="0" f="v">
      <t c="6" si="614">
        <n x="610"/>
        <n x="733"/>
        <n x="734"/>
        <n x="800" s="1"/>
        <n x="679"/>
        <n x="680"/>
      </t>
    </mdx>
    <mdx n="0" f="v">
      <t c="6" si="614">
        <n x="610"/>
        <n x="271"/>
        <n x="272"/>
        <n x="800" s="1"/>
        <n x="693"/>
        <n x="694"/>
      </t>
    </mdx>
    <mdx n="0" f="v">
      <t c="6" si="614">
        <n x="610"/>
        <n x="283"/>
        <n x="284"/>
        <n x="800" s="1"/>
        <n x="689"/>
        <n x="690"/>
      </t>
    </mdx>
    <mdx n="0" f="v">
      <t c="6" si="614">
        <n x="610"/>
        <n x="283"/>
        <n x="284"/>
        <n x="800" s="1"/>
        <n x="689"/>
        <n x="690"/>
      </t>
    </mdx>
    <mdx n="0" f="v">
      <t c="6" si="614">
        <n x="610"/>
        <n x="525"/>
        <n x="526"/>
        <n x="800" s="1"/>
        <n x="693"/>
        <n x="694"/>
      </t>
    </mdx>
    <mdx n="0" f="v">
      <t c="6" si="614">
        <n x="610"/>
        <n x="401"/>
        <n x="402"/>
        <n x="800" s="1"/>
        <n x="679"/>
        <n x="680"/>
      </t>
    </mdx>
    <mdx n="0" f="v">
      <t c="6" si="614">
        <n x="610"/>
        <n x="401"/>
        <n x="402"/>
        <n x="800" s="1"/>
        <n x="679"/>
        <n x="680"/>
      </t>
    </mdx>
    <mdx n="0" f="v">
      <t c="6" si="614">
        <n x="610"/>
        <n x="209"/>
        <n x="210"/>
        <n x="800" s="1"/>
        <n x="685"/>
        <n x="686"/>
      </t>
    </mdx>
    <mdx n="0" f="v">
      <t c="6" si="614">
        <n x="610"/>
        <n x="499"/>
        <n x="500"/>
        <n x="800" s="1"/>
        <n x="685"/>
        <n x="686"/>
      </t>
    </mdx>
    <mdx n="0" f="v">
      <t c="6" si="614">
        <n x="610"/>
        <n x="393"/>
        <n x="394"/>
        <n x="800" s="1"/>
        <n x="679"/>
        <n x="680"/>
      </t>
    </mdx>
    <mdx n="0" f="v">
      <t c="6" si="614">
        <n x="610"/>
        <n x="393"/>
        <n x="394"/>
        <n x="800" s="1"/>
        <n x="683"/>
        <n x="684"/>
      </t>
    </mdx>
    <mdx n="0" f="v">
      <t c="6" si="614">
        <n x="610"/>
        <n x="433"/>
        <n x="434"/>
        <n x="800" s="1"/>
        <n x="679"/>
        <n x="680"/>
      </t>
    </mdx>
    <mdx n="0" f="v">
      <t c="6" si="614">
        <n x="610"/>
        <n x="433"/>
        <n x="434"/>
        <n x="800" s="1"/>
        <n x="679"/>
        <n x="680"/>
      </t>
    </mdx>
    <mdx n="0" f="v">
      <t c="6" si="614">
        <n x="610"/>
        <n x="437"/>
        <n x="438"/>
        <n x="800" s="1"/>
        <n x="695"/>
        <n x="684"/>
      </t>
    </mdx>
    <mdx n="0" f="v">
      <t c="6" si="614">
        <n x="610"/>
        <n x="437"/>
        <n x="438"/>
        <n x="800" s="1"/>
        <n x="695"/>
        <n x="696"/>
      </t>
    </mdx>
    <mdx n="0" f="v">
      <t c="6" si="614">
        <n x="610"/>
        <n x="295"/>
        <n x="296"/>
        <n x="800" s="1"/>
        <n x="683"/>
        <n x="684"/>
      </t>
    </mdx>
    <mdx n="0" f="v">
      <t c="6" si="614">
        <n x="610"/>
        <n x="569"/>
        <n x="570"/>
        <n x="800" s="1"/>
        <n x="679"/>
        <n x="680"/>
      </t>
    </mdx>
    <mdx n="0" f="v">
      <t c="6" si="614">
        <n x="610"/>
        <n x="569"/>
        <n x="570"/>
        <n x="800" s="1"/>
        <n x="679"/>
        <n x="680"/>
      </t>
    </mdx>
    <mdx n="0" f="v">
      <t c="6" si="614">
        <n x="610"/>
        <n x="749"/>
        <n x="750"/>
        <n x="800" s="1"/>
        <n x="695"/>
        <n x="696"/>
      </t>
    </mdx>
    <mdx n="0" f="v">
      <t c="6" si="614">
        <n x="610"/>
        <n x="749"/>
        <n x="750"/>
        <n x="800" s="1"/>
        <n x="695"/>
        <n x="696"/>
      </t>
    </mdx>
    <mdx n="0" f="v">
      <t c="6" si="614">
        <n x="610"/>
        <n x="593"/>
        <n x="594"/>
        <n x="800" s="1"/>
        <n x="687"/>
        <n x="688"/>
      </t>
    </mdx>
    <mdx n="0" f="v">
      <t c="6" si="614">
        <n x="610"/>
        <n x="755"/>
        <n x="756"/>
        <n x="800" s="1"/>
        <n x="683"/>
        <n x="684"/>
      </t>
    </mdx>
    <mdx n="0" f="v">
      <t c="6" si="614">
        <n x="610"/>
        <n x="223"/>
        <n x="224"/>
        <n x="800" s="1"/>
        <n x="685"/>
        <n x="686"/>
      </t>
    </mdx>
    <mdx n="0" f="v">
      <t c="6" si="614">
        <n x="610"/>
        <n x="321"/>
        <n x="322"/>
        <n x="800" s="1"/>
        <n x="687"/>
        <n x="688"/>
      </t>
    </mdx>
    <mdx n="0" f="v">
      <t c="6" si="614">
        <n x="610"/>
        <n x="577"/>
        <n x="578"/>
        <n x="800" s="1"/>
        <n x="691"/>
        <n x="678"/>
      </t>
    </mdx>
    <mdx n="0" f="v">
      <t c="6" si="614">
        <n x="610"/>
        <n x="207"/>
        <n x="208"/>
        <n x="800" s="1"/>
        <n x="677"/>
        <n x="678"/>
      </t>
    </mdx>
    <mdx n="0" f="v">
      <t c="6" si="614">
        <n x="610"/>
        <n x="273"/>
        <n x="274"/>
        <n x="800" s="1"/>
        <n x="669"/>
        <n x="670"/>
      </t>
    </mdx>
    <mdx n="0" f="v">
      <t c="6" si="614">
        <n x="610"/>
        <n x="761"/>
        <n x="762"/>
        <n x="800" s="1"/>
        <n x="679"/>
        <n x="680"/>
      </t>
    </mdx>
    <mdx n="0" f="v">
      <t c="6" si="614">
        <n x="610"/>
        <n x="761"/>
        <n x="762"/>
        <n x="800" s="1"/>
        <n x="697"/>
        <n x="698"/>
      </t>
    </mdx>
    <mdx n="0" f="v">
      <t c="6" si="614">
        <n x="610"/>
        <n x="553"/>
        <n x="554"/>
        <n x="800" s="1"/>
        <n x="683"/>
        <n x="684"/>
      </t>
    </mdx>
    <mdx n="0" f="v">
      <t c="6" si="614">
        <n x="610"/>
        <n x="507"/>
        <n x="508"/>
        <n x="800" s="1"/>
        <n x="681"/>
        <n x="682"/>
      </t>
    </mdx>
    <mdx n="0" f="v">
      <t c="6" si="614">
        <n x="610"/>
        <n x="507"/>
        <n x="508"/>
        <n x="800" s="1"/>
        <n x="691"/>
        <n x="692"/>
      </t>
    </mdx>
    <mdx n="0" f="v">
      <t c="6" si="614">
        <n x="610"/>
        <n x="467"/>
        <n x="470"/>
        <n x="800" s="1"/>
        <n x="695"/>
        <n x="696"/>
      </t>
    </mdx>
    <mdx n="0" f="v">
      <t c="6" si="614">
        <n x="610"/>
        <n x="467"/>
        <n x="468"/>
        <n x="800" s="1"/>
        <n x="683"/>
        <n x="684"/>
      </t>
    </mdx>
    <mdx n="0" f="v">
      <t c="6" si="614">
        <n x="610"/>
        <n x="349"/>
        <n x="764"/>
        <n x="800" s="1"/>
        <n x="683"/>
        <n x="684"/>
      </t>
    </mdx>
    <mdx n="0" f="v">
      <t c="6" si="614">
        <n x="610"/>
        <n x="349"/>
        <n x="350"/>
        <n x="800" s="1"/>
        <n x="689"/>
        <n x="690"/>
      </t>
    </mdx>
    <mdx n="0" f="v">
      <t c="6" si="614">
        <n x="610"/>
        <n x="539"/>
        <n x="540"/>
        <n x="800" s="1"/>
        <n x="683"/>
        <n x="684"/>
      </t>
    </mdx>
    <mdx n="0" f="v">
      <t c="6" si="614">
        <n x="610"/>
        <n x="509"/>
        <n x="510"/>
        <n x="800" s="1"/>
        <n x="697"/>
        <n x="698"/>
      </t>
    </mdx>
    <mdx n="0" f="v">
      <t c="6" si="614">
        <n x="610"/>
        <n x="359"/>
        <n x="360"/>
        <n x="800" s="1"/>
        <n x="683"/>
        <n x="684"/>
      </t>
    </mdx>
    <mdx n="0" f="v">
      <t c="6" si="614">
        <n x="610"/>
        <n x="411"/>
        <n x="412"/>
        <n x="800" s="1"/>
        <n x="683"/>
        <n x="684"/>
      </t>
    </mdx>
    <mdx n="0" f="v">
      <t c="6" si="614">
        <n x="610"/>
        <n x="411"/>
        <n x="412"/>
        <n x="800" s="1"/>
        <n x="695"/>
        <n x="696"/>
      </t>
    </mdx>
    <mdx n="0" f="v">
      <t c="6" si="614">
        <n x="610"/>
        <n x="315"/>
        <n x="316"/>
        <n x="800" s="1"/>
        <n x="691"/>
        <n x="682"/>
      </t>
    </mdx>
    <mdx n="0" f="v">
      <t c="6" si="614">
        <n x="610"/>
        <n x="315"/>
        <n x="316"/>
        <n x="800" s="1"/>
        <n x="691"/>
        <n x="692"/>
      </t>
    </mdx>
    <mdx n="0" f="v">
      <t c="6" si="614">
        <n x="610"/>
        <n x="427"/>
        <n x="428"/>
        <n x="800" s="1"/>
        <n x="681"/>
        <n x="682"/>
      </t>
    </mdx>
    <mdx n="0" f="v">
      <t c="6" si="614">
        <n x="610"/>
        <n x="427"/>
        <n x="428"/>
        <n x="800" s="1"/>
        <n x="681"/>
        <n x="682"/>
      </t>
    </mdx>
    <mdx n="0" f="v">
      <t c="6" si="614">
        <n x="610"/>
        <n x="771"/>
        <n x="772"/>
        <n x="800" s="1"/>
        <n x="689"/>
        <n x="690"/>
      </t>
    </mdx>
    <mdx n="0" f="v">
      <t c="6" si="614">
        <n x="610"/>
        <n x="771"/>
        <n x="772"/>
        <n x="800" s="1"/>
        <n x="689"/>
        <n x="690"/>
      </t>
    </mdx>
    <mdx n="0" f="v">
      <t c="6" si="614">
        <n x="610"/>
        <n x="485"/>
        <n x="486"/>
        <n x="800" s="1"/>
        <n x="693"/>
        <n x="694"/>
      </t>
    </mdx>
    <mdx n="0" f="v">
      <t c="6" si="614">
        <n x="610"/>
        <n x="249"/>
        <n x="250"/>
        <n x="800" s="1"/>
        <n x="683"/>
        <n x="684"/>
      </t>
    </mdx>
    <mdx n="0" f="v">
      <t c="6" si="614">
        <n x="610"/>
        <n x="357"/>
        <n x="358"/>
        <n x="800" s="1"/>
        <n x="679"/>
        <n x="680"/>
      </t>
    </mdx>
    <mdx n="0" f="v">
      <t c="6" si="614">
        <n x="610"/>
        <n x="445"/>
        <n x="446"/>
        <n x="800" s="1"/>
        <n x="681"/>
        <n x="682"/>
      </t>
    </mdx>
    <mdx n="0" f="v">
      <t c="6" si="614">
        <n x="610"/>
        <n x="445"/>
        <n x="446"/>
        <n x="800" s="1"/>
        <n x="681"/>
        <n x="682"/>
      </t>
    </mdx>
    <mdx n="0" f="v">
      <t c="6" si="614">
        <n x="610"/>
        <n x="269"/>
        <n x="270"/>
        <n x="800" s="1"/>
        <n x="679"/>
        <n x="680"/>
      </t>
    </mdx>
    <mdx n="0" f="v">
      <t c="6" si="614">
        <n x="610"/>
        <n x="533"/>
        <n x="534"/>
        <n x="800" s="1"/>
        <n x="683"/>
        <n x="684"/>
      </t>
    </mdx>
    <mdx n="0" f="v">
      <t c="6" si="614">
        <n x="610"/>
        <n x="527"/>
        <n x="528"/>
        <n x="800" s="1"/>
        <n x="687"/>
        <n x="688"/>
      </t>
    </mdx>
    <mdx n="0" f="v">
      <t c="6" si="614">
        <n x="610"/>
        <n x="375"/>
        <n x="376"/>
        <n x="800" s="1"/>
        <n x="695"/>
        <n x="696"/>
      </t>
    </mdx>
    <mdx n="0" f="v">
      <t c="6" si="614">
        <n x="610"/>
        <n x="535"/>
        <n x="536"/>
        <n x="800" s="1"/>
        <n x="681"/>
        <n x="682"/>
      </t>
    </mdx>
    <mdx n="0" f="v">
      <t c="6" si="614">
        <n x="610"/>
        <n x="355"/>
        <n x="356"/>
        <n x="800" s="1"/>
        <n x="687"/>
        <n x="688"/>
      </t>
    </mdx>
    <mdx n="0" f="v">
      <t c="6" si="614">
        <n x="610"/>
        <n x="785"/>
        <n x="786"/>
        <n x="800" s="1"/>
        <n x="697"/>
        <n x="698"/>
      </t>
    </mdx>
    <mdx n="0" f="v">
      <t c="6" si="614">
        <n x="610"/>
        <n x="431"/>
        <n x="432"/>
        <n x="800" s="1"/>
        <n x="679"/>
        <n x="680"/>
      </t>
    </mdx>
    <mdx n="0" f="v">
      <t c="6" si="614">
        <n x="610"/>
        <n x="431"/>
        <n x="432"/>
        <n x="800" s="1"/>
        <n x="697"/>
        <n x="698"/>
      </t>
    </mdx>
    <mdx n="0" f="v">
      <t c="6" si="614">
        <n x="610"/>
        <n x="789"/>
        <n x="790"/>
        <n x="800" s="1"/>
        <n x="683"/>
        <n x="684"/>
      </t>
    </mdx>
    <mdx n="0" f="v">
      <t c="6" si="614">
        <n x="610"/>
        <n x="311"/>
        <n x="312"/>
        <n x="800" s="1"/>
        <n x="687"/>
        <n x="688"/>
      </t>
    </mdx>
    <mdx n="0" f="v">
      <t c="6" si="614">
        <n x="610"/>
        <n x="565"/>
        <n x="566"/>
        <n x="800" s="1"/>
        <n x="693"/>
        <n x="694"/>
      </t>
    </mdx>
    <mdx n="0" f="v">
      <t c="6" si="614">
        <n x="610"/>
        <n x="423"/>
        <n x="424"/>
        <n x="800" s="1"/>
        <n x="679"/>
        <n x="680"/>
      </t>
    </mdx>
    <mdx n="0" f="v">
      <t c="6" si="614">
        <n x="610"/>
        <n x="423"/>
        <n x="424"/>
        <n x="800" s="1"/>
        <n x="691"/>
        <n x="692"/>
      </t>
    </mdx>
    <mdx n="0" f="v">
      <t c="6" si="614">
        <n x="610"/>
        <n x="297"/>
        <n x="298"/>
        <n x="800" s="1"/>
        <n x="679"/>
        <n x="680"/>
      </t>
    </mdx>
    <mdx n="0" f="v">
      <t c="6" si="614">
        <n x="610"/>
        <n x="297"/>
        <n x="298"/>
        <n x="800" s="1"/>
        <n x="689"/>
        <n x="690"/>
      </t>
    </mdx>
    <mdx n="0" f="v">
      <t c="6" si="614">
        <n x="610"/>
        <n x="579"/>
        <n x="580"/>
        <n x="800" s="1"/>
        <n x="689"/>
        <n x="680"/>
      </t>
    </mdx>
    <mdx n="0" f="v">
      <t c="6" si="614">
        <n x="610"/>
        <n x="579"/>
        <n x="580"/>
        <n x="800" s="1"/>
        <n x="689"/>
        <n x="690"/>
      </t>
    </mdx>
    <mdx n="0" f="v">
      <t c="6" si="614">
        <n x="610"/>
        <n x="313"/>
        <n x="314"/>
        <n x="800" s="1"/>
        <n x="689"/>
        <n x="690"/>
      </t>
    </mdx>
    <mdx n="0" f="v">
      <t c="6" si="614">
        <n x="610"/>
        <n x="313"/>
        <n x="314"/>
        <n x="800" s="1"/>
        <n x="689"/>
        <n x="690"/>
      </t>
    </mdx>
    <mdx n="0" f="v">
      <t c="6" si="614">
        <n x="610"/>
        <n x="351"/>
        <n x="352"/>
        <n x="800" s="1"/>
        <n x="689"/>
        <n x="690"/>
      </t>
    </mdx>
    <mdx n="0" f="v">
      <t c="6" si="614">
        <n x="610"/>
        <n x="351"/>
        <n x="352"/>
        <n x="800" s="1"/>
        <n x="689"/>
        <n x="690"/>
      </t>
    </mdx>
    <mdx n="0" f="v">
      <t c="6" si="614">
        <n x="610"/>
        <n x="213"/>
        <n x="214"/>
        <n x="800" s="1"/>
        <n x="689"/>
        <n x="690"/>
      </t>
    </mdx>
    <mdx n="0" f="v">
      <t c="6" si="614">
        <n x="610"/>
        <n x="213"/>
        <n x="214"/>
        <n x="800" s="1"/>
        <n x="689"/>
        <n x="690"/>
      </t>
    </mdx>
    <mdx n="0" f="v">
      <t c="6" si="614">
        <n x="610"/>
        <n x="791"/>
        <n x="792"/>
        <n x="800" s="1"/>
        <n x="689"/>
        <n x="690"/>
      </t>
    </mdx>
    <mdx n="0" f="v">
      <t c="6" si="614">
        <n x="610"/>
        <n x="791"/>
        <n x="792"/>
        <n x="800" s="1"/>
        <n x="689"/>
        <n x="690"/>
      </t>
    </mdx>
    <mdx n="0" f="v">
      <t c="6" si="614">
        <n x="610"/>
        <n x="331"/>
        <n x="332"/>
        <n x="800" s="1"/>
        <n x="689"/>
        <n x="690"/>
      </t>
    </mdx>
    <mdx n="0" f="v">
      <t c="6" si="614">
        <n x="610"/>
        <n x="331"/>
        <n x="332"/>
        <n x="800" s="1"/>
        <n x="689"/>
        <n x="690"/>
      </t>
    </mdx>
    <mdx n="0" f="v">
      <t c="6" si="614">
        <n x="610"/>
        <n x="227"/>
        <n x="228"/>
        <n x="800" s="1"/>
        <n x="689"/>
        <n x="690"/>
      </t>
    </mdx>
    <mdx n="0" f="v">
      <t c="6" si="614">
        <n x="610"/>
        <n x="795"/>
        <n x="796"/>
        <n x="800" s="1"/>
        <n x="689"/>
        <n x="680"/>
      </t>
    </mdx>
    <mdx n="0" f="v">
      <t c="6" si="614">
        <n x="610"/>
        <n x="795"/>
        <n x="796"/>
        <n x="800" s="1"/>
        <n x="689"/>
        <n x="690"/>
      </t>
    </mdx>
    <mdx n="0" f="v">
      <t c="6" si="614">
        <n x="610"/>
        <n x="465"/>
        <n x="466"/>
        <n x="800" s="1"/>
        <n x="689"/>
        <n x="690"/>
      </t>
    </mdx>
    <mdx n="0" f="v">
      <t c="6" si="614">
        <n x="610"/>
        <n x="465"/>
        <n x="466"/>
        <n x="800" s="1"/>
        <n x="689"/>
        <n x="690"/>
      </t>
    </mdx>
    <mdx n="0" f="v">
      <t c="6" si="614">
        <n x="610"/>
        <n x="303"/>
        <n x="304"/>
        <n x="800" s="1"/>
        <n x="689"/>
        <n x="690"/>
      </t>
    </mdx>
    <mdx n="0" f="v">
      <t c="6" si="614">
        <n x="610"/>
        <n x="303"/>
        <n x="304"/>
        <n x="800" s="1"/>
        <n x="689"/>
        <n x="690"/>
      </t>
    </mdx>
    <mdx n="0" f="v">
      <t c="6" si="614">
        <n x="610"/>
        <n x="211"/>
        <n x="212"/>
        <n x="800" s="1"/>
        <n x="689"/>
        <n x="690"/>
      </t>
    </mdx>
    <mdx n="0" f="v">
      <t c="6" si="614">
        <n x="610"/>
        <n x="211"/>
        <n x="212"/>
        <n x="800" s="1"/>
        <n x="689"/>
        <n x="690"/>
      </t>
    </mdx>
    <mdx n="0" f="v">
      <t c="6" si="614">
        <n x="610"/>
        <n x="439"/>
        <n x="440"/>
        <n x="800" s="1"/>
        <n x="689"/>
        <n x="690"/>
      </t>
    </mdx>
    <mdx n="0" f="v">
      <t c="6" si="614">
        <n x="610"/>
        <n x="439"/>
        <n x="440"/>
        <n x="800" s="1"/>
        <n x="689"/>
        <n x="690"/>
      </t>
    </mdx>
    <mdx n="0" f="v">
      <t c="6" si="614">
        <n x="610"/>
        <n x="571"/>
        <n x="572"/>
        <n x="800" s="1"/>
        <n x="689"/>
        <n x="690"/>
      </t>
    </mdx>
    <mdx n="0" f="v">
      <t c="6" si="614">
        <n x="610"/>
        <n x="305"/>
        <n x="306"/>
        <n x="800" s="1"/>
        <n x="689"/>
        <n x="690"/>
      </t>
    </mdx>
    <mdx n="0" f="v">
      <t c="6" si="614">
        <n x="610"/>
        <n x="563"/>
        <n x="564"/>
        <n x="800" s="1"/>
        <n x="689"/>
        <n x="690"/>
      </t>
    </mdx>
    <mdx n="0" f="v">
      <t c="6" si="614">
        <n x="610"/>
        <n x="563"/>
        <n x="564"/>
        <n x="800" s="1"/>
        <n x="689"/>
        <n x="690"/>
      </t>
    </mdx>
    <mdx n="0" f="v">
      <t c="6" si="614">
        <n x="610"/>
        <n x="225"/>
        <n x="226"/>
        <n x="800" s="1"/>
        <n x="689"/>
        <n x="690"/>
      </t>
    </mdx>
    <mdx n="0" f="v">
      <t c="6" si="614">
        <n x="610"/>
        <n x="279"/>
        <n x="280"/>
        <n x="800" s="1"/>
        <n x="689"/>
        <n x="680"/>
      </t>
    </mdx>
    <mdx n="0" f="v">
      <t c="6" si="614">
        <n x="610"/>
        <n x="279"/>
        <n x="280"/>
        <n x="800" s="1"/>
        <n x="689"/>
        <n x="690"/>
      </t>
    </mdx>
    <mdx n="0" f="v">
      <t c="6" si="614">
        <n x="610"/>
        <n x="291"/>
        <n x="292"/>
        <n x="800" s="1"/>
        <n x="689"/>
        <n x="680"/>
      </t>
    </mdx>
    <mdx n="0" f="v">
      <t c="6" si="614">
        <n x="610"/>
        <n x="291"/>
        <n x="292"/>
        <n x="800" s="1"/>
        <n x="689"/>
        <n x="690"/>
      </t>
    </mdx>
    <mdx n="0" f="v">
      <t c="6" si="614">
        <n x="610"/>
        <n x="797"/>
        <n x="798"/>
        <n x="800" s="1"/>
        <n x="689"/>
        <n x="680"/>
      </t>
    </mdx>
    <mdx n="0" f="v">
      <t c="6" si="614">
        <n x="610"/>
        <n x="797"/>
        <n x="798"/>
        <n x="800" s="1"/>
        <n x="689"/>
        <n x="690"/>
      </t>
    </mdx>
    <mdx n="0" f="v">
      <t c="6" si="614">
        <n x="610"/>
        <n x="373"/>
        <n x="374"/>
        <n x="800" s="1"/>
        <n x="689"/>
        <n x="690"/>
      </t>
    </mdx>
    <mdx n="0" f="v">
      <t c="6" si="614">
        <n x="610"/>
        <n x="373"/>
        <n x="374"/>
        <n x="800" s="1"/>
        <n x="689"/>
        <n x="690"/>
      </t>
    </mdx>
    <mdx n="0" f="v">
      <t c="6" si="614">
        <n x="610"/>
        <n x="329"/>
        <n x="330"/>
        <n x="800" s="1"/>
        <n x="689"/>
        <n x="680"/>
      </t>
    </mdx>
    <mdx n="0" f="v">
      <t c="6" si="614">
        <n x="610"/>
        <n x="329"/>
        <n x="330"/>
        <n x="800" s="1"/>
        <n x="689"/>
        <n x="690"/>
      </t>
    </mdx>
    <mdx n="0" f="v">
      <t c="6" si="614">
        <n x="610"/>
        <n x="449"/>
        <n x="450"/>
        <n x="800" s="1"/>
        <n x="689"/>
        <n x="690"/>
      </t>
    </mdx>
    <mdx n="0" f="v">
      <t c="6" si="614">
        <n x="610"/>
        <n x="449"/>
        <n x="450"/>
        <n x="800" s="1"/>
        <n x="689"/>
        <n x="690"/>
      </t>
    </mdx>
    <mdx n="0" f="v">
      <t c="6" si="614">
        <n x="610"/>
        <n x="801"/>
        <n x="802"/>
        <n x="800" s="1"/>
        <n x="689"/>
        <n x="690"/>
      </t>
    </mdx>
    <mdx n="0" f="v">
      <t c="6" si="614">
        <n x="610"/>
        <n x="801"/>
        <n x="802"/>
        <n x="800" s="1"/>
        <n x="689"/>
        <n x="690"/>
      </t>
    </mdx>
    <mdx n="0" f="v">
      <t c="6" si="614">
        <n x="610"/>
        <n x="327"/>
        <n x="328"/>
        <n x="800" s="1"/>
        <n x="689"/>
        <n x="690"/>
      </t>
    </mdx>
    <mdx n="0" f="v">
      <t c="6" si="614">
        <n x="610"/>
        <n x="327"/>
        <n x="328"/>
        <n x="800" s="1"/>
        <n x="689"/>
        <n x="690"/>
      </t>
    </mdx>
    <mdx n="0" f="v">
      <t c="6" si="614">
        <n x="610"/>
        <n x="215"/>
        <n x="216"/>
        <n x="800" s="1"/>
        <n x="689"/>
        <n x="680"/>
      </t>
    </mdx>
    <mdx n="0" f="v">
      <t c="6" si="614">
        <n x="610"/>
        <n x="215"/>
        <n x="216"/>
        <n x="800" s="1"/>
        <n x="689"/>
        <n x="690"/>
      </t>
    </mdx>
    <mdx n="0" f="v">
      <t c="6" si="614">
        <n x="610"/>
        <n x="803"/>
        <n x="804"/>
        <n x="800" s="1"/>
        <n x="689"/>
        <n x="680"/>
      </t>
    </mdx>
    <mdx n="0" f="v">
      <t c="6" si="614">
        <n x="610"/>
        <n x="803"/>
        <n x="804"/>
        <n x="800" s="1"/>
        <n x="689"/>
        <n x="690"/>
      </t>
    </mdx>
    <mdx n="0" f="v">
      <t c="6" si="614">
        <n x="610"/>
        <n x="587"/>
        <n x="588"/>
        <n x="800" s="1"/>
        <n x="679"/>
        <n x="680"/>
      </t>
    </mdx>
    <mdx n="0" f="v">
      <t c="6" si="614">
        <n x="610"/>
        <n x="587"/>
        <n x="588"/>
        <n x="800" s="1"/>
        <n x="689"/>
        <n x="690"/>
      </t>
    </mdx>
    <mdx n="0" f="v">
      <t c="6" si="614">
        <n x="610"/>
        <n x="421"/>
        <n x="422"/>
        <n x="800" s="1"/>
        <n x="689"/>
        <n x="690"/>
      </t>
    </mdx>
    <mdx n="0" f="v">
      <t c="6" si="614">
        <n x="610"/>
        <n x="263"/>
        <n x="264"/>
        <n x="800" s="1"/>
        <n x="689"/>
        <n x="690"/>
      </t>
    </mdx>
    <mdx n="0" f="v">
      <t c="6" si="614">
        <n x="610"/>
        <n x="263"/>
        <n x="264"/>
        <n x="800" s="1"/>
        <n x="689"/>
        <n x="690"/>
      </t>
    </mdx>
    <mdx n="0" f="v">
      <t c="6" si="614">
        <n x="610"/>
        <n x="477"/>
        <n x="478"/>
        <n x="800" s="1"/>
        <n x="689"/>
        <n x="680"/>
      </t>
    </mdx>
    <mdx n="0" f="v">
      <t c="6" si="614">
        <n x="610"/>
        <n x="477"/>
        <n x="478"/>
        <n x="800" s="1"/>
        <n x="689"/>
        <n x="690"/>
      </t>
    </mdx>
    <mdx n="0" f="v">
      <t c="6" si="614">
        <n x="610"/>
        <n x="267"/>
        <n x="268"/>
        <n x="800" s="1"/>
        <n x="689"/>
        <n x="690"/>
      </t>
    </mdx>
    <mdx n="0" f="v">
      <t c="6" si="614">
        <n x="610"/>
        <n x="267"/>
        <n x="268"/>
        <n x="800" s="1"/>
        <n x="689"/>
        <n x="690"/>
      </t>
    </mdx>
    <mdx n="0" f="v">
      <t c="6" si="614">
        <n x="610"/>
        <n x="337"/>
        <n x="338"/>
        <n x="800" s="1"/>
        <n x="679"/>
        <n x="680"/>
      </t>
    </mdx>
    <mdx n="0" f="v">
      <t c="6" si="614">
        <n x="610"/>
        <n x="337"/>
        <n x="338"/>
        <n x="800" s="1"/>
        <n x="689"/>
        <n x="690"/>
      </t>
    </mdx>
    <mdx n="0" f="v">
      <t c="6" si="614">
        <n x="610"/>
        <n x="323"/>
        <n x="324"/>
        <n x="800" s="1"/>
        <n x="689"/>
        <n x="690"/>
      </t>
    </mdx>
    <mdx n="0" f="v">
      <t c="6" si="614">
        <n x="610"/>
        <n x="323"/>
        <n x="324"/>
        <n x="800" s="1"/>
        <n x="689"/>
        <n x="690"/>
      </t>
    </mdx>
    <mdx n="0" f="v">
      <t c="6" si="614">
        <n x="610"/>
        <n x="497"/>
        <n x="498"/>
        <n x="800" s="1"/>
        <n x="689"/>
        <n x="690"/>
      </t>
    </mdx>
    <mdx n="0" f="v">
      <t c="6" si="614">
        <n x="610"/>
        <n x="517"/>
        <n x="518"/>
        <n x="800" s="1"/>
        <n x="689"/>
        <n x="680"/>
      </t>
    </mdx>
    <mdx n="0" f="v">
      <t c="6" si="614">
        <n x="610"/>
        <n x="517"/>
        <n x="518"/>
        <n x="800" s="1"/>
        <n x="689"/>
        <n x="690"/>
      </t>
    </mdx>
    <mdx n="0" f="v">
      <t c="6" si="614">
        <n x="610"/>
        <n x="251"/>
        <n x="252"/>
        <n x="800" s="1"/>
        <n x="689"/>
        <n x="680"/>
      </t>
    </mdx>
    <mdx n="0" f="v">
      <t c="6" si="614">
        <n x="610"/>
        <n x="251"/>
        <n x="252"/>
        <n x="800" s="1"/>
        <n x="689"/>
        <n x="690"/>
      </t>
    </mdx>
    <mdx n="0" f="v">
      <t c="6" si="614">
        <n x="610"/>
        <n x="567"/>
        <n x="568"/>
        <n x="800" s="1"/>
        <n x="689"/>
        <n x="690"/>
      </t>
    </mdx>
    <mdx n="0" f="v">
      <t c="6" si="614">
        <n x="610"/>
        <n x="425"/>
        <n x="426"/>
        <n x="800" s="1"/>
        <n x="689"/>
        <n x="690"/>
      </t>
    </mdx>
    <mdx n="0" f="v">
      <t c="6" si="614">
        <n x="610"/>
        <n x="559"/>
        <n x="560"/>
        <n x="800" s="1"/>
        <n x="689"/>
        <n x="680"/>
      </t>
    </mdx>
    <mdx n="0" f="v">
      <t c="6" si="614">
        <n x="610"/>
        <n x="559"/>
        <n x="560"/>
        <n x="800" s="1"/>
        <n x="689"/>
        <n x="690"/>
      </t>
    </mdx>
    <mdx n="0" f="v">
      <t c="6" si="614">
        <n x="610"/>
        <n x="519"/>
        <n x="520"/>
        <n x="800" s="1"/>
        <n x="689"/>
        <n x="680"/>
      </t>
    </mdx>
    <mdx n="0" f="v">
      <t c="6" si="614">
        <n x="610"/>
        <n x="519"/>
        <n x="520"/>
        <n x="800" s="1"/>
        <n x="689"/>
        <n x="690"/>
      </t>
    </mdx>
    <mdx n="0" f="v">
      <t c="6" si="614">
        <n x="610"/>
        <n x="573"/>
        <n x="574"/>
        <n x="800" s="1"/>
        <n x="689"/>
        <n x="690"/>
      </t>
    </mdx>
    <mdx n="0" f="v">
      <t c="6" si="614">
        <n x="610"/>
        <n x="573"/>
        <n x="574"/>
        <n x="800" s="1"/>
        <n x="689"/>
        <n x="690"/>
      </t>
    </mdx>
    <mdx n="0" f="v">
      <t c="6" si="614">
        <n x="610"/>
        <n x="253"/>
        <n x="254"/>
        <n x="800" s="1"/>
        <n x="689"/>
        <n x="690"/>
      </t>
    </mdx>
    <mdx n="0" f="v">
      <t c="6" si="614">
        <n x="610"/>
        <n x="253"/>
        <n x="254"/>
        <n x="800" s="1"/>
        <n x="689"/>
        <n x="690"/>
      </t>
    </mdx>
    <mdx n="0" f="v">
      <t c="6" si="614">
        <n x="610"/>
        <n x="475"/>
        <n x="476"/>
        <n x="800" s="1"/>
        <n x="689"/>
        <n x="690"/>
      </t>
    </mdx>
    <mdx n="0" f="v">
      <t c="6" si="614">
        <n x="610"/>
        <n x="475"/>
        <n x="476"/>
        <n x="800" s="1"/>
        <n x="689"/>
        <n x="690"/>
      </t>
    </mdx>
    <mdx n="0" f="v">
      <t c="6" si="614">
        <n x="610"/>
        <n x="369"/>
        <n x="370"/>
        <n x="800" s="1"/>
        <n x="689"/>
        <n x="690"/>
      </t>
    </mdx>
    <mdx n="0" f="v">
      <t c="6" si="614">
        <n x="610"/>
        <n x="369"/>
        <n x="370"/>
        <n x="800" s="1"/>
        <n x="689"/>
        <n x="690"/>
      </t>
    </mdx>
    <mdx n="0" f="v">
      <t c="6" si="614">
        <n x="610"/>
        <n x="371"/>
        <n x="372"/>
        <n x="800" s="1"/>
        <n x="679"/>
        <n x="680"/>
      </t>
    </mdx>
    <mdx n="0" f="v">
      <t c="6" si="614">
        <n x="610"/>
        <n x="805"/>
        <n x="806"/>
        <n x="800" s="1"/>
        <n x="689"/>
        <n x="690"/>
      </t>
    </mdx>
    <mdx n="0" f="v">
      <t c="6" si="614">
        <n x="610"/>
        <n x="805"/>
        <n x="806"/>
        <n x="800" s="1"/>
        <n x="689"/>
        <n x="690"/>
      </t>
    </mdx>
    <mdx n="0" f="v">
      <t c="6" si="614">
        <n x="610"/>
        <n x="713"/>
        <n x="714"/>
        <n x="800" s="1"/>
        <n x="695"/>
        <n x="696"/>
      </t>
    </mdx>
    <mdx n="0" f="v">
      <t c="6" si="614">
        <n x="610"/>
        <n x="599"/>
        <n x="600"/>
        <n x="800" s="1"/>
        <n x="679"/>
        <n x="680"/>
      </t>
    </mdx>
    <mdx n="0" f="v">
      <t c="6" si="614">
        <n x="610"/>
        <n x="217"/>
        <n x="218"/>
        <n x="800" s="1"/>
        <n x="687"/>
        <n x="688"/>
      </t>
    </mdx>
    <mdx n="0" f="v">
      <t c="6" si="614">
        <n x="610"/>
        <n x="217"/>
        <n x="218"/>
        <n x="800" s="1"/>
        <n x="687"/>
        <n x="688"/>
      </t>
    </mdx>
    <mdx n="0" f="v">
      <t c="6" si="614">
        <n x="610"/>
        <n x="723"/>
        <n x="724"/>
        <n x="800" s="1"/>
        <n x="669"/>
        <n x="690"/>
      </t>
    </mdx>
    <mdx n="0" f="v">
      <t c="6" si="614">
        <n x="610"/>
        <n x="365"/>
        <n x="366"/>
        <n x="800" s="1"/>
        <n x="687"/>
        <n x="688"/>
      </t>
    </mdx>
    <mdx n="0" f="v">
      <t c="6" si="614">
        <n x="610"/>
        <n x="397"/>
        <n x="398"/>
        <n x="800" s="1"/>
        <n x="689"/>
        <n x="690"/>
      </t>
    </mdx>
    <mdx n="0" f="v">
      <t c="6" si="614">
        <n x="610"/>
        <n x="397"/>
        <n x="398"/>
        <n x="800" s="1"/>
        <n x="683"/>
        <n x="684"/>
      </t>
    </mdx>
    <mdx n="0" f="v">
      <t c="6" si="614">
        <n x="610"/>
        <n x="547"/>
        <n x="548"/>
        <n x="800" s="1"/>
        <n x="683"/>
        <n x="684"/>
      </t>
    </mdx>
    <mdx n="0" f="v">
      <t c="6" si="614">
        <n x="610"/>
        <n x="597"/>
        <n x="598"/>
        <n x="800" s="1"/>
        <n x="689"/>
        <n x="690"/>
      </t>
    </mdx>
    <mdx n="0" f="v">
      <t c="6" si="614">
        <n x="610"/>
        <n x="457"/>
        <n x="458"/>
        <n x="800" s="1"/>
        <n x="689"/>
        <n x="690"/>
      </t>
    </mdx>
    <mdx n="0" f="v">
      <t c="6" si="614">
        <n x="610"/>
        <n x="495"/>
        <n x="496"/>
        <n x="800" s="1"/>
        <n x="695"/>
        <n x="696"/>
      </t>
    </mdx>
    <mdx n="0" f="v">
      <t c="6" si="614">
        <n x="610"/>
        <n x="731"/>
        <n x="732"/>
        <n x="800" s="1"/>
        <n x="689"/>
        <n x="690"/>
      </t>
    </mdx>
    <mdx n="0" f="v">
      <t c="6" si="614">
        <n x="610"/>
        <n x="541"/>
        <n x="542"/>
        <n x="800" s="1"/>
        <n x="681"/>
        <n x="682"/>
      </t>
    </mdx>
    <mdx n="0" f="v">
      <t c="6" si="614">
        <n x="610"/>
        <n x="595"/>
        <n x="596"/>
        <n x="800" s="1"/>
        <n x="669"/>
        <n x="670"/>
      </t>
    </mdx>
    <mdx n="0" f="v">
      <t c="6" si="614">
        <n x="610"/>
        <n x="413"/>
        <n x="414"/>
        <n x="800" s="1"/>
        <n x="681"/>
        <n x="682"/>
      </t>
    </mdx>
    <mdx n="0" f="v">
      <t c="6" si="614">
        <n x="610"/>
        <n x="243"/>
        <n x="244"/>
        <n x="800" s="1"/>
        <n x="681"/>
        <n x="682"/>
      </t>
    </mdx>
    <mdx n="0" f="v">
      <t c="6" si="614">
        <n x="610"/>
        <n x="243"/>
        <n x="244"/>
        <n x="800" s="1"/>
        <n x="695"/>
        <n x="696"/>
      </t>
    </mdx>
    <mdx n="0" f="v">
      <t c="6" si="614">
        <n x="610"/>
        <n x="283"/>
        <n x="284"/>
        <n x="800" s="1"/>
        <n x="697"/>
        <n x="698"/>
      </t>
    </mdx>
    <mdx n="0" f="v">
      <t c="6" si="614">
        <n x="610"/>
        <n x="525"/>
        <n x="526"/>
        <n x="800" s="1"/>
        <n x="681"/>
        <n x="682"/>
      </t>
    </mdx>
    <mdx n="0" f="v">
      <t c="6" si="614">
        <n x="610"/>
        <n x="737"/>
        <n x="738"/>
        <n x="800" s="1"/>
        <n x="685"/>
        <n x="686"/>
      </t>
    </mdx>
    <mdx n="0" f="v">
      <t c="6" si="614">
        <n x="610"/>
        <n x="435"/>
        <n x="436"/>
        <n x="800" s="1"/>
        <n x="691"/>
        <n x="692"/>
      </t>
    </mdx>
    <mdx n="0" f="v">
      <t c="6" si="614">
        <n x="610"/>
        <n x="435"/>
        <n x="436"/>
        <n x="800" s="1"/>
        <n x="691"/>
        <n x="692"/>
      </t>
    </mdx>
    <mdx n="0" f="v">
      <t c="6" si="614">
        <n x="610"/>
        <n x="491"/>
        <n x="492"/>
        <n x="800" s="1"/>
        <n x="689"/>
        <n x="690"/>
      </t>
    </mdx>
    <mdx n="0" f="v">
      <t c="6" si="614">
        <n x="610"/>
        <n x="491"/>
        <n x="492"/>
        <n x="800" s="1"/>
        <n x="689"/>
        <n x="690"/>
      </t>
    </mdx>
    <mdx n="0" f="v">
      <t c="6" si="614">
        <n x="610"/>
        <n x="437"/>
        <n x="438"/>
        <n x="800" s="1"/>
        <n x="687"/>
        <n x="688"/>
      </t>
    </mdx>
    <mdx n="0" f="v">
      <t c="6" si="614">
        <n x="610"/>
        <n x="437"/>
        <n x="438"/>
        <n x="800" s="1"/>
        <n x="687"/>
        <n x="688"/>
      </t>
    </mdx>
    <mdx n="0" f="v">
      <t c="6" si="614">
        <n x="610"/>
        <n x="745"/>
        <n x="746"/>
        <n x="800" s="1"/>
        <n x="691"/>
        <n x="690"/>
      </t>
    </mdx>
    <mdx n="0" f="v">
      <t c="6" si="614">
        <n x="610"/>
        <n x="745"/>
        <n x="746"/>
        <n x="800" s="1"/>
        <n x="691"/>
        <n x="692"/>
      </t>
    </mdx>
    <mdx n="0" f="v">
      <t c="6" si="614">
        <n x="610"/>
        <n x="345"/>
        <n x="346"/>
        <n x="800" s="1"/>
        <n x="689"/>
        <n x="690"/>
      </t>
    </mdx>
    <mdx n="0" f="v">
      <t c="6" si="614">
        <n x="610"/>
        <n x="345"/>
        <n x="346"/>
        <n x="800" s="1"/>
        <n x="689"/>
        <n x="690"/>
      </t>
    </mdx>
    <mdx n="0" f="v">
      <t c="6" si="614">
        <n x="610"/>
        <n x="749"/>
        <n x="750"/>
        <n x="800" s="1"/>
        <n x="687"/>
        <n x="688"/>
      </t>
    </mdx>
    <mdx n="0" f="v">
      <t c="6" si="614">
        <n x="610"/>
        <n x="229"/>
        <n x="230"/>
        <n x="800" s="1"/>
        <n x="683"/>
        <n x="684"/>
      </t>
    </mdx>
    <mdx n="0" f="v">
      <t c="6" si="614">
        <n x="610"/>
        <n x="229"/>
        <n x="230"/>
        <n x="800" s="1"/>
        <n x="693"/>
        <n x="694"/>
      </t>
    </mdx>
    <mdx n="0" f="v">
      <t c="6" si="614">
        <n x="610"/>
        <n x="755"/>
        <n x="754"/>
        <n x="800" s="1"/>
        <n x="679"/>
        <n x="680"/>
      </t>
    </mdx>
    <mdx n="0" f="v">
      <t c="6" si="614">
        <n x="610"/>
        <n x="755"/>
        <n x="756"/>
        <n x="800" s="1"/>
        <n x="685"/>
        <n x="686"/>
      </t>
    </mdx>
    <mdx n="0" f="v">
      <t c="6" si="614">
        <n x="610"/>
        <n x="471"/>
        <n x="472"/>
        <n x="800" s="1"/>
        <n x="685"/>
        <n x="686"/>
      </t>
    </mdx>
    <mdx n="0" f="v">
      <t c="6" si="614">
        <n x="610"/>
        <n x="471"/>
        <n x="472"/>
        <n x="800" s="1"/>
        <n x="695"/>
        <n x="696"/>
      </t>
    </mdx>
    <mdx n="0" f="v">
      <t c="6" si="614">
        <n x="610"/>
        <n x="407"/>
        <n x="408"/>
        <n x="800" s="1"/>
        <n x="681"/>
        <n x="682"/>
      </t>
    </mdx>
    <mdx n="0" f="v">
      <t c="6" si="614">
        <n x="610"/>
        <n x="577"/>
        <n x="578"/>
        <n x="800" s="1"/>
        <n x="693"/>
        <n x="694"/>
      </t>
    </mdx>
    <mdx n="0" f="v">
      <t c="6" si="614">
        <n x="610"/>
        <n x="493"/>
        <n x="494"/>
        <n x="800" s="1"/>
        <n x="677"/>
        <n x="678"/>
      </t>
    </mdx>
    <mdx n="0" f="v">
      <t c="6" si="614">
        <n x="610"/>
        <n x="207"/>
        <n x="494"/>
        <n x="800" s="1"/>
        <n x="697"/>
        <n x="698"/>
      </t>
    </mdx>
    <mdx n="0" f="v">
      <t c="6" si="614">
        <n x="610"/>
        <n x="207"/>
        <n x="208"/>
        <n x="800" s="1"/>
        <n x="683"/>
        <n x="684"/>
      </t>
    </mdx>
    <mdx n="0" f="v">
      <t c="6" si="614">
        <n x="610"/>
        <n x="551"/>
        <n x="552"/>
        <n x="800" s="1"/>
        <n x="681"/>
        <n x="682"/>
      </t>
    </mdx>
    <mdx n="0" f="v">
      <t c="6" si="614">
        <n x="610"/>
        <n x="551"/>
        <n x="552"/>
        <n x="800" s="1"/>
        <n x="681"/>
        <n x="682"/>
      </t>
    </mdx>
    <mdx n="0" f="v">
      <t c="6" si="614">
        <n x="610"/>
        <n x="759"/>
        <n x="760"/>
        <n x="800" s="1"/>
        <n x="669"/>
        <n x="670"/>
      </t>
    </mdx>
    <mdx n="0" f="v">
      <t c="6" si="614">
        <n x="610"/>
        <n x="409"/>
        <n x="410"/>
        <n x="800" s="1"/>
        <n x="697"/>
        <n x="698"/>
      </t>
    </mdx>
    <mdx n="0" f="v">
      <t c="6" si="614">
        <n x="610"/>
        <n x="409"/>
        <n x="410"/>
        <n x="800" s="1"/>
        <n x="697"/>
        <n x="698"/>
      </t>
    </mdx>
    <mdx n="0" f="v">
      <t c="6" si="614">
        <n x="610"/>
        <n x="469"/>
        <n x="470"/>
        <n x="800" s="1"/>
        <n x="687"/>
        <n x="688"/>
      </t>
    </mdx>
    <mdx n="0" f="v">
      <t c="6" si="614">
        <n x="610"/>
        <n x="765"/>
        <n x="766"/>
        <n x="800" s="1"/>
        <n x="669"/>
        <n x="694"/>
      </t>
    </mdx>
    <mdx n="0" f="v">
      <t c="6" si="614">
        <n x="610"/>
        <n x="509"/>
        <n x="510"/>
        <n x="800" s="1"/>
        <n x="679"/>
        <n x="680"/>
      </t>
    </mdx>
    <mdx n="0" f="v">
      <t c="6" si="614">
        <n x="610"/>
        <n x="359"/>
        <n x="360"/>
        <n x="800" s="1"/>
        <n x="685"/>
        <n x="686"/>
      </t>
    </mdx>
    <mdx n="0" f="v">
      <t c="6" si="614">
        <n x="610"/>
        <n x="359"/>
        <n x="360"/>
        <n x="800" s="1"/>
        <n x="695"/>
        <n x="696"/>
      </t>
    </mdx>
    <mdx n="0" f="v">
      <t c="6" si="614">
        <n x="610"/>
        <n x="769"/>
        <n x="412"/>
        <n x="800" s="1"/>
        <n x="685"/>
        <n x="686"/>
      </t>
    </mdx>
    <mdx n="0" f="v">
      <t c="6" si="614">
        <n x="610"/>
        <n x="769"/>
        <n x="770"/>
        <n x="800" s="1"/>
        <n x="687"/>
        <n x="688"/>
      </t>
    </mdx>
    <mdx n="0" f="v">
      <t c="6" si="614">
        <n x="610"/>
        <n x="293"/>
        <n x="428"/>
        <n x="800" s="1"/>
        <n x="683"/>
        <n x="684"/>
      </t>
    </mdx>
    <mdx n="0" f="v">
      <t c="6" si="614">
        <n x="610"/>
        <n x="529"/>
        <n x="530"/>
        <n x="800" s="1"/>
        <n x="679"/>
        <n x="680"/>
      </t>
    </mdx>
    <mdx n="0" f="v">
      <t c="6" si="614">
        <n x="610"/>
        <n x="775"/>
        <n x="776"/>
        <n x="800" s="1"/>
        <n x="693"/>
        <n x="694"/>
      </t>
    </mdx>
    <mdx n="0" f="v">
      <t c="6" si="614">
        <n x="610"/>
        <n x="357"/>
        <n x="358"/>
        <n x="800" s="1"/>
        <n x="681"/>
        <n x="682"/>
      </t>
    </mdx>
    <mdx n="0" f="v">
      <t c="6" si="614">
        <n x="610"/>
        <n x="381"/>
        <n x="382"/>
        <n x="800" s="1"/>
        <n x="687"/>
        <n x="688"/>
      </t>
    </mdx>
    <mdx n="0" f="v">
      <t c="6" si="614">
        <n x="610"/>
        <n x="779"/>
        <n x="780"/>
        <n x="800" s="1"/>
        <n x="687"/>
        <n x="688"/>
      </t>
    </mdx>
    <mdx n="0" f="v">
      <t c="6" si="614">
        <n x="610"/>
        <n x="781"/>
        <n x="782"/>
        <n x="800" s="1"/>
        <n x="679"/>
        <n x="680"/>
      </t>
    </mdx>
    <mdx n="0" f="v">
      <t c="6" si="614">
        <n x="610"/>
        <n x="535"/>
        <n x="536"/>
        <n x="800" s="1"/>
        <n x="683"/>
        <n x="684"/>
      </t>
    </mdx>
    <mdx n="0" f="v">
      <t c="6" si="614">
        <n x="610"/>
        <n x="787"/>
        <n x="788"/>
        <n x="800" s="1"/>
        <n x="685"/>
        <n x="686"/>
      </t>
    </mdx>
    <mdx n="0" f="v">
      <t c="6" si="614">
        <n x="610"/>
        <n x="787"/>
        <n x="788"/>
        <n x="800" s="1"/>
        <n x="695"/>
        <n x="696"/>
      </t>
    </mdx>
    <mdx n="0" f="v">
      <t c="6" si="614">
        <n x="610"/>
        <n x="505"/>
        <n x="506"/>
        <n x="800" s="1"/>
        <n x="669"/>
        <n x="670"/>
      </t>
    </mdx>
    <mdx n="0" f="v">
      <t c="6" si="614">
        <n x="610"/>
        <n x="505"/>
        <n x="506"/>
        <n x="800" s="1"/>
        <n x="679"/>
        <n x="680"/>
      </t>
    </mdx>
    <mdx n="0" f="v">
      <t c="6" si="614">
        <n x="610"/>
        <n x="531"/>
        <n x="532"/>
        <n x="800" s="1"/>
        <n x="679"/>
        <n x="680"/>
      </t>
    </mdx>
    <mdx n="0" f="v">
      <t c="6" si="614">
        <n x="610"/>
        <n x="521"/>
        <n x="522"/>
        <n x="800" s="1"/>
        <n x="689"/>
        <n x="690"/>
      </t>
    </mdx>
    <mdx n="0" f="v">
      <t c="6" si="614">
        <n x="610"/>
        <n x="423"/>
        <n x="424"/>
        <n x="800" s="1"/>
        <n x="693"/>
        <n x="694"/>
      </t>
    </mdx>
    <mdx n="0" f="v">
      <t c="6" si="614">
        <n x="610"/>
        <n x="717"/>
        <n x="718"/>
        <n x="800" s="1"/>
        <n x="687"/>
        <n x="688"/>
      </t>
    </mdx>
    <mdx n="0" f="v">
      <t c="6" si="614">
        <n x="610"/>
        <n x="713"/>
        <n x="714"/>
        <n x="800" s="1"/>
        <n x="687"/>
        <n x="688"/>
      </t>
    </mdx>
    <mdx n="0" f="v">
      <t c="6" si="614">
        <n x="610"/>
        <n x="713"/>
        <n x="714"/>
        <n x="800" s="1"/>
        <n x="687"/>
        <n x="688"/>
      </t>
    </mdx>
    <mdx n="0" f="v">
      <t c="6" si="614">
        <n x="610"/>
        <n x="285"/>
        <n x="286"/>
        <n x="800" s="1"/>
        <n x="697"/>
        <n x="698"/>
      </t>
    </mdx>
    <mdx n="0" f="v">
      <t c="6" si="614">
        <n x="610"/>
        <n x="719"/>
        <n x="720"/>
        <n x="800" s="1"/>
        <n x="695"/>
        <n x="688"/>
      </t>
    </mdx>
    <mdx n="0" f="v">
      <t c="6" si="614">
        <n x="610"/>
        <n x="585"/>
        <n x="586"/>
        <n x="800" s="1"/>
        <n x="697"/>
        <n x="698"/>
      </t>
    </mdx>
    <mdx n="0" f="v">
      <t c="6" si="614">
        <n x="610"/>
        <n x="239"/>
        <n x="240"/>
        <n x="800" s="1"/>
        <n x="685"/>
        <n x="686"/>
      </t>
    </mdx>
    <mdx n="0" f="v">
      <t c="6" si="614">
        <n x="610"/>
        <n x="239"/>
        <n x="240"/>
        <n x="800" s="1"/>
        <n x="695"/>
        <n x="696"/>
      </t>
    </mdx>
    <mdx n="0" f="v">
      <t c="6" si="614">
        <n x="610"/>
        <n x="365"/>
        <n x="366"/>
        <n x="800" s="1"/>
        <n x="689"/>
        <n x="690"/>
      </t>
    </mdx>
    <mdx n="0" f="v">
      <t c="6" si="614">
        <n x="610"/>
        <n x="547"/>
        <n x="548"/>
        <n x="800" s="1"/>
        <n x="685"/>
        <n x="686"/>
      </t>
    </mdx>
    <mdx n="0" f="v">
      <t c="6" si="614">
        <n x="610"/>
        <n x="725"/>
        <n x="726"/>
        <n x="800" s="1"/>
        <n x="685"/>
        <n x="686"/>
      </t>
    </mdx>
    <mdx n="0" f="v">
      <t c="6" si="614">
        <n x="610"/>
        <n x="555"/>
        <n x="556"/>
        <n x="800" s="1"/>
        <n x="683"/>
        <n x="684"/>
      </t>
    </mdx>
    <mdx n="0" f="v">
      <t c="6" si="614">
        <n x="610"/>
        <n x="541"/>
        <n x="542"/>
        <n x="800" s="1"/>
        <n x="693"/>
        <n x="690"/>
      </t>
    </mdx>
    <mdx n="0" f="v">
      <t c="6" si="614">
        <n x="610"/>
        <n x="607"/>
        <n x="608"/>
        <n x="800" s="1"/>
        <n x="691"/>
        <n x="692"/>
      </t>
    </mdx>
    <mdx n="0" f="v">
      <t c="6" si="614">
        <n x="610"/>
        <n x="607"/>
        <n x="608"/>
        <n x="800" s="1"/>
        <n x="691"/>
        <n x="692"/>
      </t>
    </mdx>
    <mdx n="0" f="v">
      <t c="6" si="614">
        <n x="610"/>
        <n x="363"/>
        <n x="364"/>
        <n x="800" s="1"/>
        <n x="687"/>
        <n x="688"/>
      </t>
    </mdx>
    <mdx n="0" f="v">
      <t c="6" si="614">
        <n x="610"/>
        <n x="363"/>
        <n x="364"/>
        <n x="800" s="1"/>
        <n x="677"/>
        <n x="678"/>
      </t>
    </mdx>
    <mdx n="0" f="v">
      <t c="6" si="614">
        <n x="610"/>
        <n x="363"/>
        <n x="364"/>
        <n x="800" s="1"/>
        <n x="697"/>
        <n x="698"/>
      </t>
    </mdx>
    <mdx n="0" f="v">
      <t c="6" si="614">
        <n x="610"/>
        <n x="265"/>
        <n x="266"/>
        <n x="800" s="1"/>
        <n x="685"/>
        <n x="686"/>
      </t>
    </mdx>
    <mdx n="0" f="v">
      <t c="6" si="614">
        <n x="610"/>
        <n x="413"/>
        <n x="414"/>
        <n x="800" s="1"/>
        <n x="683"/>
        <n x="684"/>
      </t>
    </mdx>
    <mdx n="0" f="v">
      <t c="6" si="614">
        <n x="610"/>
        <n x="733"/>
        <n x="734"/>
        <n x="800" s="1"/>
        <n x="683"/>
        <n x="684"/>
      </t>
    </mdx>
    <mdx n="0" f="v">
      <t c="6" si="614">
        <n x="610"/>
        <n x="281"/>
        <n x="282"/>
        <n x="800" s="1"/>
        <n x="689"/>
        <n x="690"/>
      </t>
    </mdx>
    <mdx n="0" f="v">
      <t c="6" si="614">
        <n x="610"/>
        <n x="243"/>
        <n x="244"/>
        <n x="800" s="1"/>
        <n x="683"/>
        <n x="684"/>
      </t>
    </mdx>
    <mdx n="0" f="v">
      <t c="6" si="614">
        <n x="610"/>
        <n x="271"/>
        <n x="272"/>
        <n x="800" s="1"/>
        <n x="693"/>
        <n x="670"/>
      </t>
    </mdx>
    <mdx n="0" f="v">
      <t c="6" si="614">
        <n x="610"/>
        <n x="283"/>
        <n x="284"/>
        <n x="800" s="1"/>
        <n x="691"/>
        <n x="678"/>
      </t>
    </mdx>
    <mdx n="0" f="v">
      <t c="6" si="614">
        <n x="610"/>
        <n x="283"/>
        <n x="284"/>
        <n x="800" s="1"/>
        <n x="691"/>
        <n x="692"/>
      </t>
    </mdx>
    <mdx n="0" f="v">
      <t c="6" si="614">
        <n x="610"/>
        <n x="401"/>
        <n x="402"/>
        <n x="800" s="1"/>
        <n x="681"/>
        <n x="682"/>
      </t>
    </mdx>
    <mdx n="0" f="v">
      <t c="6" si="614">
        <n x="610"/>
        <n x="537"/>
        <n x="538"/>
        <n x="800" s="1"/>
        <n x="683"/>
        <n x="684"/>
      </t>
    </mdx>
    <mdx n="0" f="v">
      <t c="6" si="614">
        <n x="610"/>
        <n x="491"/>
        <n x="492"/>
        <n x="800" s="1"/>
        <n x="679"/>
        <n x="680"/>
      </t>
    </mdx>
    <mdx n="0" f="v">
      <t c="6" si="614">
        <n x="610"/>
        <n x="491"/>
        <n x="492"/>
        <n x="800" s="1"/>
        <n x="679"/>
        <n x="680"/>
      </t>
    </mdx>
    <mdx n="0" f="v">
      <t c="6" si="614">
        <n x="610"/>
        <n x="605"/>
        <n x="606"/>
        <n x="800" s="1"/>
        <n x="695"/>
        <n x="696"/>
      </t>
    </mdx>
    <mdx n="0" f="v">
      <t c="6" si="614">
        <n x="610"/>
        <n x="605"/>
        <n x="606"/>
        <n x="800" s="1"/>
        <n x="695"/>
        <n x="696"/>
      </t>
    </mdx>
    <mdx n="0" f="v">
      <t c="6" si="614">
        <n x="610"/>
        <n x="745"/>
        <n x="746"/>
        <n x="800" s="1"/>
        <n x="683"/>
        <n x="684"/>
      </t>
    </mdx>
    <mdx n="0" f="v">
      <t c="6" si="614">
        <n x="610"/>
        <n x="745"/>
        <n x="746"/>
        <n x="800" s="1"/>
        <n x="683"/>
        <n x="684"/>
      </t>
    </mdx>
    <mdx n="0" f="v">
      <t c="6" si="614">
        <n x="610"/>
        <n x="345"/>
        <n x="346"/>
        <n x="800" s="1"/>
        <n x="679"/>
        <n x="680"/>
      </t>
    </mdx>
    <mdx n="0" f="v">
      <t c="6" si="614">
        <n x="610"/>
        <n x="345"/>
        <n x="346"/>
        <n x="800" s="1"/>
        <n x="679"/>
        <n x="680"/>
      </t>
    </mdx>
    <mdx n="0" f="v">
      <t c="6" si="614">
        <n x="610"/>
        <n x="299"/>
        <n x="300"/>
        <n x="800" s="1"/>
        <n x="683"/>
        <n x="684"/>
      </t>
    </mdx>
    <mdx n="0" f="v">
      <t c="6" si="614">
        <n x="610"/>
        <n x="299"/>
        <n x="300"/>
        <n x="800" s="1"/>
        <n x="695"/>
        <n x="696"/>
      </t>
    </mdx>
    <mdx n="0" f="v">
      <t c="6" si="614">
        <n x="610"/>
        <n x="241"/>
        <n x="242"/>
        <n x="800" s="1"/>
        <n x="683"/>
        <n x="684"/>
      </t>
    </mdx>
    <mdx n="0" f="v">
      <t c="6" si="614">
        <n x="610"/>
        <n x="447"/>
        <n x="448"/>
        <n x="800" s="1"/>
        <n x="691"/>
        <n x="692"/>
      </t>
    </mdx>
    <mdx n="0" f="v">
      <t c="6" si="614">
        <n x="610"/>
        <n x="447"/>
        <n x="448"/>
        <n x="800" s="1"/>
        <n x="691"/>
        <n x="692"/>
      </t>
    </mdx>
    <mdx n="0" f="v">
      <t c="6" si="614">
        <n x="610"/>
        <n x="493"/>
        <n x="494"/>
        <n x="800" s="1"/>
        <n x="679"/>
        <n x="680"/>
      </t>
    </mdx>
    <mdx n="0" f="v">
      <t c="6" si="614">
        <n x="610"/>
        <n x="551"/>
        <n x="552"/>
        <n x="800" s="1"/>
        <n x="683"/>
        <n x="684"/>
      </t>
    </mdx>
    <mdx n="0" f="v">
      <t c="6" si="614">
        <n x="610"/>
        <n x="761"/>
        <n x="760"/>
        <n x="800" s="1"/>
        <n x="689"/>
        <n x="690"/>
      </t>
    </mdx>
    <mdx n="0" f="v">
      <t c="6" si="614">
        <n x="610"/>
        <n x="761"/>
        <n x="762"/>
        <n x="800" s="1"/>
        <n x="691"/>
        <n x="692"/>
      </t>
    </mdx>
    <mdx n="0" f="v">
      <t c="6" si="614">
        <n x="610"/>
        <n x="409"/>
        <n x="410"/>
        <n x="800" s="1"/>
        <n x="679"/>
        <n x="680"/>
      </t>
    </mdx>
    <mdx n="0" f="v">
      <t c="6" si="614">
        <n x="610"/>
        <n x="553"/>
        <n x="554"/>
        <n x="800" s="1"/>
        <n x="687"/>
        <n x="688"/>
      </t>
    </mdx>
    <mdx n="0" f="v">
      <t c="6" si="614">
        <n x="610"/>
        <n x="245"/>
        <n x="246"/>
        <n x="800" s="1"/>
        <n x="697"/>
        <n x="698"/>
      </t>
    </mdx>
    <mdx n="0" f="v">
      <t c="6" si="614">
        <n x="610"/>
        <n x="507"/>
        <n x="508"/>
        <n x="800" s="1"/>
        <n x="693"/>
        <n x="694"/>
      </t>
    </mdx>
    <mdx n="0" f="v">
      <t c="6" si="614">
        <n x="610"/>
        <n x="467"/>
        <n x="468"/>
        <n x="800" s="1"/>
        <n x="677"/>
        <n x="678"/>
      </t>
    </mdx>
    <mdx n="0" f="v">
      <t c="6" si="614">
        <n x="610"/>
        <n x="467"/>
        <n x="468"/>
        <n x="800" s="1"/>
        <n x="685"/>
        <n x="686"/>
      </t>
    </mdx>
    <mdx n="0" f="v">
      <t c="6" si="614">
        <n x="610"/>
        <n x="763"/>
        <n x="764"/>
        <n x="800" s="1"/>
        <n x="685"/>
        <n x="686"/>
      </t>
    </mdx>
    <mdx n="0" f="v">
      <t c="6" si="614">
        <n x="610"/>
        <n x="539"/>
        <n x="540"/>
        <n x="800" s="1"/>
        <n x="685"/>
        <n x="686"/>
      </t>
    </mdx>
    <mdx n="0" f="v">
      <t c="6" si="614">
        <n x="610"/>
        <n x="765"/>
        <n x="766"/>
        <n x="800" s="1"/>
        <n x="689"/>
        <n x="690"/>
      </t>
    </mdx>
    <mdx n="0" f="v">
      <t c="6" si="614">
        <n x="610"/>
        <n x="511"/>
        <n x="770"/>
        <n x="800" s="1"/>
        <n x="669"/>
        <n x="670"/>
      </t>
    </mdx>
    <mdx n="0" f="v">
      <t c="6" si="614">
        <n x="610"/>
        <n x="511"/>
        <n x="512"/>
        <n x="800" s="1"/>
        <n x="679"/>
        <n x="680"/>
      </t>
    </mdx>
    <mdx n="0" f="v">
      <t c="6" si="614">
        <n x="610"/>
        <n x="529"/>
        <n x="486"/>
        <n x="800" s="1"/>
        <n x="685"/>
        <n x="686"/>
      </t>
    </mdx>
    <mdx n="0" f="v">
      <t c="6" si="614">
        <n x="610"/>
        <n x="529"/>
        <n x="530"/>
        <n x="800" s="1"/>
        <n x="681"/>
        <n x="682"/>
      </t>
    </mdx>
    <mdx n="0" f="v">
      <t c="6" si="614">
        <n x="610"/>
        <n x="775"/>
        <n x="776"/>
        <n x="800" s="1"/>
        <n x="683"/>
        <n x="684"/>
      </t>
    </mdx>
    <mdx n="0" f="v">
      <t c="6" si="614">
        <n x="610"/>
        <n x="775"/>
        <n x="776"/>
        <n x="800" s="1"/>
        <n x="695"/>
        <n x="696"/>
      </t>
    </mdx>
    <mdx n="0" f="v">
      <t c="6" si="614">
        <n x="610"/>
        <n x="515"/>
        <n x="516"/>
        <n x="800" s="1"/>
        <n x="677"/>
        <n x="678"/>
      </t>
    </mdx>
    <mdx n="0" f="v">
      <t c="6" si="614">
        <n x="610"/>
        <n x="445"/>
        <n x="446"/>
        <n x="800" s="1"/>
        <n x="683"/>
        <n x="684"/>
      </t>
    </mdx>
    <mdx n="0" f="v">
      <t c="6" si="614">
        <n x="610"/>
        <n x="533"/>
        <n x="534"/>
        <n x="800" s="1"/>
        <n x="695"/>
        <n x="670"/>
      </t>
    </mdx>
    <mdx n="0" f="v">
      <t c="6" si="614">
        <n x="610"/>
        <n x="533"/>
        <n x="534"/>
        <n x="800" s="1"/>
        <n x="695"/>
        <n x="696"/>
      </t>
    </mdx>
    <mdx n="0" f="v">
      <t c="6" si="614">
        <n x="610"/>
        <n x="781"/>
        <n x="782"/>
        <n x="800" s="1"/>
        <n x="693"/>
        <n x="694"/>
      </t>
    </mdx>
    <mdx n="0" f="v">
      <t c="6" si="614">
        <n x="610"/>
        <n x="417"/>
        <n x="418"/>
        <n x="800" s="1"/>
        <n x="685"/>
        <n x="680"/>
      </t>
    </mdx>
    <mdx n="0" f="v">
      <t c="6" si="614">
        <n x="610"/>
        <n x="431"/>
        <n x="432"/>
        <n x="800" s="1"/>
        <n x="681"/>
        <n x="670"/>
      </t>
    </mdx>
    <mdx n="0" f="v">
      <t c="6" si="614">
        <n x="610"/>
        <n x="431"/>
        <n x="432"/>
        <n x="800" s="1"/>
        <n x="681"/>
        <n x="682"/>
      </t>
    </mdx>
    <mdx n="0" f="v">
      <t c="6" si="614">
        <n x="610"/>
        <n x="431"/>
        <n x="432"/>
        <n x="800" s="1"/>
        <n x="691"/>
        <n x="692"/>
      </t>
    </mdx>
    <mdx n="0" f="v">
      <t c="6" si="614">
        <n x="610"/>
        <n x="789"/>
        <n x="790"/>
        <n x="800" s="1"/>
        <n x="685"/>
        <n x="686"/>
      </t>
    </mdx>
    <mdx n="0" f="v">
      <t c="6" si="614">
        <n x="610"/>
        <n x="531"/>
        <n x="532"/>
        <n x="800" s="1"/>
        <n x="681"/>
        <n x="682"/>
      </t>
    </mdx>
    <mdx n="0" f="v">
      <t c="6" si="614">
        <n x="610"/>
        <n x="545"/>
        <n x="546"/>
        <n x="800" s="1"/>
        <n x="687"/>
        <n x="688"/>
      </t>
    </mdx>
    <mdx n="0" f="v">
      <t c="6" si="614">
        <n x="610"/>
        <n x="451"/>
        <n x="452"/>
        <n x="800" s="1"/>
        <n x="697"/>
        <n x="698"/>
      </t>
    </mdx>
    <mdx n="0" f="v">
      <t c="6" si="614">
        <n x="610"/>
        <n x="451"/>
        <n x="452"/>
        <n x="800" s="1"/>
        <n x="697"/>
        <n x="698"/>
      </t>
    </mdx>
    <mdx n="0" f="v">
      <t c="6" si="614">
        <n x="610"/>
        <n x="473"/>
        <n x="474"/>
        <n x="800" s="1"/>
        <n x="697"/>
        <n x="698"/>
      </t>
    </mdx>
    <mdx n="0" f="v">
      <t c="6" si="614">
        <n x="610"/>
        <n x="523"/>
        <n x="524"/>
        <n x="800" s="1"/>
        <n x="697"/>
        <n x="698"/>
      </t>
    </mdx>
    <mdx n="0" f="v">
      <t c="6" si="614">
        <n x="610"/>
        <n x="297"/>
        <n x="298"/>
        <n x="800" s="1"/>
        <n x="697"/>
        <n x="698"/>
      </t>
    </mdx>
    <mdx n="0" f="v">
      <t c="6" si="614">
        <n x="610"/>
        <n x="579"/>
        <n x="580"/>
        <n x="800" s="1"/>
        <n x="697"/>
        <n x="698"/>
      </t>
    </mdx>
    <mdx n="0" f="v">
      <t c="6" si="614">
        <n x="610"/>
        <n x="313"/>
        <n x="314"/>
        <n x="800" s="1"/>
        <n x="697"/>
        <n x="698"/>
      </t>
    </mdx>
    <mdx n="0" f="v">
      <t c="6" si="614">
        <n x="610"/>
        <n x="351"/>
        <n x="352"/>
        <n x="800" s="1"/>
        <n x="681"/>
        <n x="682"/>
      </t>
    </mdx>
    <mdx n="0" f="v">
      <t c="6" si="614">
        <n x="610"/>
        <n x="213"/>
        <n x="214"/>
        <n x="800" s="1"/>
        <n x="697"/>
        <n x="698"/>
      </t>
    </mdx>
    <mdx n="0" f="v">
      <t c="6" si="614">
        <n x="610"/>
        <n x="213"/>
        <n x="214"/>
        <n x="800" s="1"/>
        <n x="697"/>
        <n x="698"/>
      </t>
    </mdx>
    <mdx n="0" f="v">
      <t c="6" si="614">
        <n x="610"/>
        <n x="791"/>
        <n x="792"/>
        <n x="800" s="1"/>
        <n x="681"/>
        <n x="682"/>
      </t>
    </mdx>
    <mdx n="0" f="v">
      <t c="6" si="614">
        <n x="610"/>
        <n x="331"/>
        <n x="332"/>
        <n x="800" s="1"/>
        <n x="681"/>
        <n x="682"/>
      </t>
    </mdx>
    <mdx n="0" f="v">
      <t c="6" si="614">
        <n x="610"/>
        <n x="227"/>
        <n x="228"/>
        <n x="800" s="1"/>
        <n x="681"/>
        <n x="682"/>
      </t>
    </mdx>
    <mdx n="0" f="v">
      <t c="6" si="614">
        <n x="610"/>
        <n x="795"/>
        <n x="796"/>
        <n x="800" s="1"/>
        <n x="697"/>
        <n x="682"/>
      </t>
    </mdx>
    <mdx n="0" f="v">
      <t c="6" si="614">
        <n x="610"/>
        <n x="795"/>
        <n x="796"/>
        <n x="800" s="1"/>
        <n x="697"/>
        <n x="698"/>
      </t>
    </mdx>
    <mdx n="0" f="v">
      <t c="6" si="614">
        <n x="610"/>
        <n x="465"/>
        <n x="466"/>
        <n x="800" s="1"/>
        <n x="697"/>
        <n x="698"/>
      </t>
    </mdx>
    <mdx n="0" f="v">
      <t c="6" si="614">
        <n x="610"/>
        <n x="465"/>
        <n x="466"/>
        <n x="800" s="1"/>
        <n x="697"/>
        <n x="698"/>
      </t>
    </mdx>
    <mdx n="0" f="v">
      <t c="6" si="614">
        <n x="610"/>
        <n x="303"/>
        <n x="304"/>
        <n x="800" s="1"/>
        <n x="697"/>
        <n x="698"/>
      </t>
    </mdx>
    <mdx n="0" f="v">
      <t c="6" si="614">
        <n x="610"/>
        <n x="303"/>
        <n x="304"/>
        <n x="800" s="1"/>
        <n x="697"/>
        <n x="698"/>
      </t>
    </mdx>
    <mdx n="0" f="v">
      <t c="6" si="614">
        <n x="610"/>
        <n x="211"/>
        <n x="212"/>
        <n x="800" s="1"/>
        <n x="681"/>
        <n x="682"/>
      </t>
    </mdx>
    <mdx n="0" f="v">
      <t c="6" si="614">
        <n x="610"/>
        <n x="211"/>
        <n x="212"/>
        <n x="800" s="1"/>
        <n x="697"/>
        <n x="698"/>
      </t>
    </mdx>
    <mdx n="0" f="v">
      <t c="6" si="614">
        <n x="610"/>
        <n x="439"/>
        <n x="440"/>
        <n x="800" s="1"/>
        <n x="697"/>
        <n x="698"/>
      </t>
    </mdx>
    <mdx n="0" f="v">
      <t c="6" si="614">
        <n x="610"/>
        <n x="439"/>
        <n x="440"/>
        <n x="800" s="1"/>
        <n x="697"/>
        <n x="698"/>
      </t>
    </mdx>
    <mdx n="0" f="v">
      <t c="6" si="614">
        <n x="610"/>
        <n x="571"/>
        <n x="572"/>
        <n x="800" s="1"/>
        <n x="697"/>
        <n x="698"/>
      </t>
    </mdx>
    <mdx n="0" f="v">
      <t c="6" si="614">
        <n x="610"/>
        <n x="571"/>
        <n x="572"/>
        <n x="800" s="1"/>
        <n x="697"/>
        <n x="698"/>
      </t>
    </mdx>
    <mdx n="0" f="v">
      <t c="6" si="614">
        <n x="610"/>
        <n x="305"/>
        <n x="306"/>
        <n x="800" s="1"/>
        <n x="697"/>
        <n x="698"/>
      </t>
    </mdx>
    <mdx n="0" f="v">
      <t c="6" si="614">
        <n x="610"/>
        <n x="305"/>
        <n x="306"/>
        <n x="800" s="1"/>
        <n x="697"/>
        <n x="698"/>
      </t>
    </mdx>
    <mdx n="0" f="v">
      <t c="6" si="614">
        <n x="610"/>
        <n x="563"/>
        <n x="564"/>
        <n x="800" s="1"/>
        <n x="681"/>
        <n x="682"/>
      </t>
    </mdx>
    <mdx n="0" f="v">
      <t c="6" si="614">
        <n x="610"/>
        <n x="563"/>
        <n x="564"/>
        <n x="800" s="1"/>
        <n x="697"/>
        <n x="698"/>
      </t>
    </mdx>
    <mdx n="0" f="v">
      <t c="6" si="614">
        <n x="610"/>
        <n x="225"/>
        <n x="226"/>
        <n x="800" s="1"/>
        <n x="697"/>
        <n x="698"/>
      </t>
    </mdx>
    <mdx n="0" f="v">
      <t c="6" si="614">
        <n x="610"/>
        <n x="279"/>
        <n x="280"/>
        <n x="800" s="1"/>
        <n x="681"/>
        <n x="682"/>
      </t>
    </mdx>
    <mdx n="0" f="v">
      <t c="6" si="614">
        <n x="610"/>
        <n x="279"/>
        <n x="280"/>
        <n x="800" s="1"/>
        <n x="697"/>
        <n x="698"/>
      </t>
    </mdx>
    <mdx n="0" f="v">
      <t c="6" si="614">
        <n x="610"/>
        <n x="291"/>
        <n x="292"/>
        <n x="800" s="1"/>
        <n x="697"/>
        <n x="682"/>
      </t>
    </mdx>
    <mdx n="0" f="v">
      <t c="6" si="614">
        <n x="610"/>
        <n x="797"/>
        <n x="798"/>
        <n x="800" s="1"/>
        <n x="681"/>
        <n x="682"/>
      </t>
    </mdx>
    <mdx n="0" f="v">
      <t c="6" si="614">
        <n x="610"/>
        <n x="797"/>
        <n x="798"/>
        <n x="800" s="1"/>
        <n x="697"/>
        <n x="698"/>
      </t>
    </mdx>
    <mdx n="0" f="v">
      <t c="6" si="614">
        <n x="610"/>
        <n x="373"/>
        <n x="374"/>
        <n x="800" s="1"/>
        <n x="697"/>
        <n x="698"/>
      </t>
    </mdx>
    <mdx n="0" f="v">
      <t c="6" si="614">
        <n x="610"/>
        <n x="329"/>
        <n x="330"/>
        <n x="800" s="1"/>
        <n x="681"/>
        <n x="682"/>
      </t>
    </mdx>
    <mdx n="0" f="v">
      <t c="6" si="614">
        <n x="610"/>
        <n x="329"/>
        <n x="330"/>
        <n x="800" s="1"/>
        <n x="697"/>
        <n x="698"/>
      </t>
    </mdx>
    <mdx n="0" f="v">
      <t c="6" si="614">
        <n x="610"/>
        <n x="449"/>
        <n x="450"/>
        <n x="800" s="1"/>
        <n x="697"/>
        <n x="698"/>
      </t>
    </mdx>
    <mdx n="0" f="v">
      <t c="6" si="614">
        <n x="610"/>
        <n x="449"/>
        <n x="450"/>
        <n x="800" s="1"/>
        <n x="697"/>
        <n x="698"/>
      </t>
    </mdx>
    <mdx n="0" f="v">
      <t c="6" si="614">
        <n x="610"/>
        <n x="801"/>
        <n x="802"/>
        <n x="800" s="1"/>
        <n x="697"/>
        <n x="698"/>
      </t>
    </mdx>
    <mdx n="0" f="v">
      <t c="6" si="614">
        <n x="610"/>
        <n x="801"/>
        <n x="802"/>
        <n x="800" s="1"/>
        <n x="697"/>
        <n x="698"/>
      </t>
    </mdx>
    <mdx n="0" f="v">
      <t c="6" si="614">
        <n x="610"/>
        <n x="327"/>
        <n x="328"/>
        <n x="800" s="1"/>
        <n x="697"/>
        <n x="682"/>
      </t>
    </mdx>
    <mdx n="0" f="v">
      <t c="6" si="614">
        <n x="610"/>
        <n x="327"/>
        <n x="328"/>
        <n x="800" s="1"/>
        <n x="697"/>
        <n x="698"/>
      </t>
    </mdx>
    <mdx n="0" f="v">
      <t c="6" si="614">
        <n x="610"/>
        <n x="215"/>
        <n x="216"/>
        <n x="800" s="1"/>
        <n x="697"/>
        <n x="698"/>
      </t>
    </mdx>
    <mdx n="0" f="v">
      <t c="6" si="614">
        <n x="610"/>
        <n x="803"/>
        <n x="804"/>
        <n x="800" s="1"/>
        <n x="697"/>
        <n x="698"/>
      </t>
    </mdx>
    <mdx n="0" f="v">
      <t c="6" si="614">
        <n x="610"/>
        <n x="587"/>
        <n x="588"/>
        <n x="800" s="1"/>
        <n x="697"/>
        <n x="682"/>
      </t>
    </mdx>
    <mdx n="0" f="v">
      <t c="6" si="614">
        <n x="610"/>
        <n x="587"/>
        <n x="588"/>
        <n x="800" s="1"/>
        <n x="697"/>
        <n x="698"/>
      </t>
    </mdx>
    <mdx n="0" f="v">
      <t c="6" si="614">
        <n x="610"/>
        <n x="421"/>
        <n x="422"/>
        <n x="800" s="1"/>
        <n x="697"/>
        <n x="698"/>
      </t>
    </mdx>
    <mdx n="0" f="v">
      <t c="6" si="614">
        <n x="610"/>
        <n x="263"/>
        <n x="264"/>
        <n x="800" s="1"/>
        <n x="697"/>
        <n x="698"/>
      </t>
    </mdx>
    <mdx n="0" f="v">
      <t c="6" si="614">
        <n x="610"/>
        <n x="263"/>
        <n x="264"/>
        <n x="800" s="1"/>
        <n x="697"/>
        <n x="698"/>
      </t>
    </mdx>
    <mdx n="0" f="v">
      <t c="6" si="614">
        <n x="610"/>
        <n x="477"/>
        <n x="478"/>
        <n x="800" s="1"/>
        <n x="697"/>
        <n x="698"/>
      </t>
    </mdx>
    <mdx n="0" f="v">
      <t c="6" si="614">
        <n x="610"/>
        <n x="267"/>
        <n x="268"/>
        <n x="800" s="1"/>
        <n x="697"/>
        <n x="682"/>
      </t>
    </mdx>
    <mdx n="0" f="v">
      <t c="6" si="614">
        <n x="610"/>
        <n x="337"/>
        <n x="338"/>
        <n x="800" s="1"/>
        <n x="697"/>
        <n x="698"/>
      </t>
    </mdx>
    <mdx n="0" f="v">
      <t c="6" si="614">
        <n x="610"/>
        <n x="323"/>
        <n x="324"/>
        <n x="800" s="1"/>
        <n x="697"/>
        <n x="682"/>
      </t>
    </mdx>
    <mdx n="0" f="v">
      <t c="6" si="614">
        <n x="610"/>
        <n x="323"/>
        <n x="324"/>
        <n x="800" s="1"/>
        <n x="697"/>
        <n x="698"/>
      </t>
    </mdx>
    <mdx n="0" f="v">
      <t c="6" si="614">
        <n x="610"/>
        <n x="497"/>
        <n x="498"/>
        <n x="800" s="1"/>
        <n x="697"/>
        <n x="698"/>
      </t>
    </mdx>
    <mdx n="0" f="v">
      <t c="6" si="614">
        <n x="610"/>
        <n x="497"/>
        <n x="498"/>
        <n x="800" s="1"/>
        <n x="697"/>
        <n x="698"/>
      </t>
    </mdx>
    <mdx n="0" f="v">
      <t c="6" si="614">
        <n x="610"/>
        <n x="517"/>
        <n x="518"/>
        <n x="800" s="1"/>
        <n x="697"/>
        <n x="698"/>
      </t>
    </mdx>
    <mdx n="0" f="v">
      <t c="6" si="614">
        <n x="610"/>
        <n x="517"/>
        <n x="518"/>
        <n x="800" s="1"/>
        <n x="697"/>
        <n x="698"/>
      </t>
    </mdx>
    <mdx n="0" f="v">
      <t c="6" si="614">
        <n x="610"/>
        <n x="251"/>
        <n x="252"/>
        <n x="800" s="1"/>
        <n x="697"/>
        <n x="698"/>
      </t>
    </mdx>
    <mdx n="0" f="v">
      <t c="6" si="614">
        <n x="610"/>
        <n x="251"/>
        <n x="252"/>
        <n x="800" s="1"/>
        <n x="697"/>
        <n x="698"/>
      </t>
    </mdx>
    <mdx n="0" f="v">
      <t c="6" si="614">
        <n x="610"/>
        <n x="567"/>
        <n x="568"/>
        <n x="800" s="1"/>
        <n x="681"/>
        <n x="682"/>
      </t>
    </mdx>
    <mdx n="0" f="v">
      <t c="6" si="614">
        <n x="610"/>
        <n x="567"/>
        <n x="568"/>
        <n x="800" s="1"/>
        <n x="697"/>
        <n x="698"/>
      </t>
    </mdx>
    <mdx n="0" f="v">
      <t c="6" si="614">
        <n x="610"/>
        <n x="425"/>
        <n x="426"/>
        <n x="800" s="1"/>
        <n x="697"/>
        <n x="698"/>
      </t>
    </mdx>
    <mdx n="0" f="v">
      <t c="6" si="614">
        <n x="610"/>
        <n x="559"/>
        <n x="560"/>
        <n x="800" s="1"/>
        <n x="681"/>
        <n x="682"/>
      </t>
    </mdx>
    <mdx n="0" f="v">
      <t c="6" si="614">
        <n x="610"/>
        <n x="559"/>
        <n x="560"/>
        <n x="800" s="1"/>
        <n x="697"/>
        <n x="698"/>
      </t>
    </mdx>
    <mdx n="0" f="v">
      <t c="6" si="614">
        <n x="610"/>
        <n x="519"/>
        <n x="520"/>
        <n x="800" s="1"/>
        <n x="681"/>
        <n x="682"/>
      </t>
    </mdx>
    <mdx n="0" f="v">
      <t c="6" si="614">
        <n x="610"/>
        <n x="519"/>
        <n x="520"/>
        <n x="800" s="1"/>
        <n x="697"/>
        <n x="698"/>
      </t>
    </mdx>
    <mdx n="0" f="v">
      <t c="6" si="614">
        <n x="610"/>
        <n x="573"/>
        <n x="574"/>
        <n x="800" s="1"/>
        <n x="681"/>
        <n x="682"/>
      </t>
    </mdx>
    <mdx n="0" f="v">
      <t c="6" si="614">
        <n x="610"/>
        <n x="573"/>
        <n x="574"/>
        <n x="800" s="1"/>
        <n x="697"/>
        <n x="698"/>
      </t>
    </mdx>
    <mdx n="0" f="v">
      <t c="6" si="614">
        <n x="610"/>
        <n x="253"/>
        <n x="254"/>
        <n x="800" s="1"/>
        <n x="697"/>
        <n x="698"/>
      </t>
    </mdx>
    <mdx n="0" f="v">
      <t c="6" si="614">
        <n x="610"/>
        <n x="253"/>
        <n x="254"/>
        <n x="800" s="1"/>
        <n x="697"/>
        <n x="698"/>
      </t>
    </mdx>
    <mdx n="0" f="v">
      <t c="6" si="614">
        <n x="610"/>
        <n x="475"/>
        <n x="476"/>
        <n x="800" s="1"/>
        <n x="697"/>
        <n x="698"/>
      </t>
    </mdx>
    <mdx n="0" f="v">
      <t c="6" si="614">
        <n x="610"/>
        <n x="369"/>
        <n x="370"/>
        <n x="800" s="1"/>
        <n x="697"/>
        <n x="698"/>
      </t>
    </mdx>
    <mdx n="0" f="v">
      <t c="6" si="614">
        <n x="610"/>
        <n x="369"/>
        <n x="370"/>
        <n x="800" s="1"/>
        <n x="697"/>
        <n x="698"/>
      </t>
    </mdx>
    <mdx n="0" f="v">
      <t c="6" si="614">
        <n x="610"/>
        <n x="371"/>
        <n x="372"/>
        <n x="800" s="1"/>
        <n x="681"/>
        <n x="682"/>
      </t>
    </mdx>
    <mdx n="0" f="v">
      <t c="6" si="614">
        <n x="610"/>
        <n x="805"/>
        <n x="806"/>
        <n x="800" s="1"/>
        <n x="697"/>
        <n x="698"/>
      </t>
    </mdx>
    <mdx n="0" f="v">
      <t c="6" si="614">
        <n x="610"/>
        <n x="805"/>
        <n x="806"/>
        <n x="800" s="1"/>
        <n x="697"/>
        <n x="698"/>
      </t>
    </mdx>
    <mdx n="0" f="v">
      <t c="6" si="614">
        <n x="610"/>
        <n x="711"/>
        <n x="712"/>
        <n x="800" s="1"/>
        <n x="695"/>
        <n x="696"/>
      </t>
    </mdx>
    <mdx n="0" f="v">
      <t c="6" si="614">
        <n x="610"/>
        <n x="599"/>
        <n x="600"/>
        <n x="800" s="1"/>
        <n x="691"/>
        <n x="692"/>
      </t>
    </mdx>
    <mdx n="0" f="v">
      <t c="6" si="614">
        <n x="610"/>
        <n x="461"/>
        <n x="462"/>
        <n x="800" s="1"/>
        <n x="697"/>
        <n x="698"/>
      </t>
    </mdx>
    <mdx n="0" f="v">
      <t c="6" si="614">
        <n x="610"/>
        <n x="547"/>
        <n x="548"/>
        <n x="800" s="1"/>
        <n x="687"/>
        <n x="688"/>
      </t>
    </mdx>
    <mdx n="0" f="v">
      <t c="6" si="614">
        <n x="610"/>
        <n x="597"/>
        <n x="598"/>
        <n x="800" s="1"/>
        <n x="679"/>
        <n x="680"/>
      </t>
    </mdx>
    <mdx n="0" f="v">
      <t c="6" si="614">
        <n x="610"/>
        <n x="367"/>
        <n x="368"/>
        <n x="800" s="1"/>
        <n x="697"/>
        <n x="698"/>
      </t>
    </mdx>
    <mdx n="0" f="v">
      <t c="6" si="614">
        <n x="610"/>
        <n x="495"/>
        <n x="496"/>
        <n x="800" s="1"/>
        <n x="685"/>
        <n x="686"/>
      </t>
    </mdx>
    <mdx n="0" f="v">
      <t c="6" si="614">
        <n x="610"/>
        <n x="495"/>
        <n x="496"/>
        <n x="800" s="1"/>
        <n x="685"/>
        <n x="686"/>
      </t>
    </mdx>
    <mdx n="0" f="v">
      <t c="6" si="614">
        <n x="610"/>
        <n x="603"/>
        <n x="604"/>
        <n x="800" s="1"/>
        <n x="689"/>
        <n x="690"/>
      </t>
    </mdx>
    <mdx n="0" f="v">
      <t c="6" si="614">
        <n x="610"/>
        <n x="603"/>
        <n x="604"/>
        <n x="800" s="1"/>
        <n x="689"/>
        <n x="690"/>
      </t>
    </mdx>
    <mdx n="0" f="v">
      <t c="6" si="614">
        <n x="610"/>
        <n x="235"/>
        <n x="236"/>
        <n x="800" s="1"/>
        <n x="697"/>
        <n x="698"/>
      </t>
    </mdx>
    <mdx n="0" f="v">
      <t c="6" si="614">
        <n x="610"/>
        <n x="243"/>
        <n x="244"/>
        <n x="800" s="1"/>
        <n x="685"/>
        <n x="686"/>
      </t>
    </mdx>
    <mdx n="0" f="v">
      <t c="6" si="614">
        <n x="610"/>
        <n x="283"/>
        <n x="284"/>
        <n x="800" s="1"/>
        <n x="679"/>
        <n x="680"/>
      </t>
    </mdx>
    <mdx n="0" f="v">
      <t c="6" si="614">
        <n x="610"/>
        <n x="525"/>
        <n x="526"/>
        <n x="800" s="1"/>
        <n x="685"/>
        <n x="686"/>
      </t>
    </mdx>
    <mdx n="0" f="v">
      <t c="6" si="614">
        <n x="610"/>
        <n x="591"/>
        <n x="592"/>
        <n x="800" s="1"/>
        <n x="679"/>
        <n x="680"/>
      </t>
    </mdx>
    <mdx n="0" f="v">
      <t c="6" si="614">
        <n x="610"/>
        <n x="435"/>
        <n x="436"/>
        <n x="800" s="1"/>
        <n x="693"/>
        <n x="694"/>
      </t>
    </mdx>
    <mdx n="0" f="v">
      <t c="6" si="614">
        <n x="610"/>
        <n x="393"/>
        <n x="394"/>
        <n x="800" s="1"/>
        <n x="687"/>
        <n x="688"/>
      </t>
    </mdx>
    <mdx n="0" f="v">
      <t c="6" si="614">
        <n x="610"/>
        <n x="561"/>
        <n x="562"/>
        <n x="800" s="1"/>
        <n x="689"/>
        <n x="690"/>
      </t>
    </mdx>
    <mdx n="0" f="v">
      <t c="6" si="614">
        <n x="610"/>
        <n x="433"/>
        <n x="434"/>
        <n x="800" s="1"/>
        <n x="691"/>
        <n x="692"/>
      </t>
    </mdx>
    <mdx n="0" f="v">
      <t c="6" si="614">
        <n x="610"/>
        <n x="605"/>
        <n x="606"/>
        <n x="800" s="1"/>
        <n x="687"/>
        <n x="688"/>
      </t>
    </mdx>
    <mdx n="0" f="v">
      <t c="6" si="614">
        <n x="610"/>
        <n x="295"/>
        <n x="296"/>
        <n x="800" s="1"/>
        <n x="687"/>
        <n x="688"/>
      </t>
    </mdx>
    <mdx n="0" f="v">
      <t c="6" si="614">
        <n x="610"/>
        <n x="441"/>
        <n x="442"/>
        <n x="800" s="1"/>
        <n x="689"/>
        <n x="690"/>
      </t>
    </mdx>
    <mdx n="0" f="v">
      <t c="6" si="614">
        <n x="610"/>
        <n x="419"/>
        <n x="420"/>
        <n x="800" s="1"/>
        <n x="689"/>
        <n x="688"/>
      </t>
    </mdx>
    <mdx n="0" f="v">
      <t c="6" si="614">
        <n x="610"/>
        <n x="419"/>
        <n x="420"/>
        <n x="800" s="1"/>
        <n x="689"/>
        <n x="690"/>
      </t>
    </mdx>
    <mdx n="0" f="v">
      <t c="6" si="614">
        <n x="610"/>
        <n x="229"/>
        <n x="230"/>
        <n x="800" s="1"/>
        <n x="685"/>
        <n x="686"/>
      </t>
    </mdx>
    <mdx n="0" f="v">
      <t c="6" si="614">
        <n x="610"/>
        <n x="229"/>
        <n x="230"/>
        <n x="800" s="1"/>
        <n x="695"/>
        <n x="696"/>
      </t>
    </mdx>
    <mdx n="0" f="v">
      <t c="6" si="614">
        <n x="610"/>
        <n x="755"/>
        <n x="756"/>
        <n x="800" s="1"/>
        <n x="681"/>
        <n x="682"/>
      </t>
    </mdx>
    <mdx n="0" f="v">
      <t c="6" si="614">
        <n x="610"/>
        <n x="755"/>
        <n x="756"/>
        <n x="800" s="1"/>
        <n x="687"/>
        <n x="688"/>
      </t>
    </mdx>
    <mdx n="0" f="v">
      <t c="6" si="614">
        <n x="610"/>
        <n x="471"/>
        <n x="472"/>
        <n x="800" s="1"/>
        <n x="679"/>
        <n x="680"/>
      </t>
    </mdx>
    <mdx n="0" f="v">
      <t c="6" si="614">
        <n x="610"/>
        <n x="471"/>
        <n x="472"/>
        <n x="800" s="1"/>
        <n x="687"/>
        <n x="688"/>
      </t>
    </mdx>
    <mdx n="0" f="v">
      <t c="6" si="614">
        <n x="610"/>
        <n x="407"/>
        <n x="408"/>
        <n x="800" s="1"/>
        <n x="683"/>
        <n x="684"/>
      </t>
    </mdx>
    <mdx n="0" f="v">
      <t c="6" si="614">
        <n x="610"/>
        <n x="577"/>
        <n x="578"/>
        <n x="800" s="1"/>
        <n x="683"/>
        <n x="684"/>
      </t>
    </mdx>
    <mdx n="0" f="v">
      <t c="6" si="614">
        <n x="610"/>
        <n x="577"/>
        <n x="578"/>
        <n x="800" s="1"/>
        <n x="683"/>
        <n x="684"/>
      </t>
    </mdx>
    <mdx n="0" f="v">
      <t c="6" si="614">
        <n x="610"/>
        <n x="493"/>
        <n x="494"/>
        <n x="800" s="1"/>
        <n x="691"/>
        <n x="692"/>
      </t>
    </mdx>
    <mdx n="0" f="v">
      <t c="6" si="614">
        <n x="610"/>
        <n x="493"/>
        <n x="494"/>
        <n x="800" s="1"/>
        <n x="691"/>
        <n x="692"/>
      </t>
    </mdx>
    <mdx n="0" f="v">
      <t c="6" si="614">
        <n x="610"/>
        <n x="551"/>
        <n x="552"/>
        <n x="800" s="1"/>
        <n x="685"/>
        <n x="686"/>
      </t>
    </mdx>
    <mdx n="0" f="v">
      <t c="6" si="614">
        <n x="610"/>
        <n x="325"/>
        <n x="326"/>
        <n x="800" s="1"/>
        <n x="687"/>
        <n x="688"/>
      </t>
    </mdx>
    <mdx n="0" f="v">
      <t c="6" si="614">
        <n x="610"/>
        <n x="255"/>
        <n x="256"/>
        <n x="800" s="1"/>
        <n x="697"/>
        <n x="698"/>
      </t>
    </mdx>
    <mdx n="0" f="v">
      <t c="6" si="614">
        <n x="610"/>
        <n x="255"/>
        <n x="256"/>
        <n x="800" s="1"/>
        <n x="697"/>
        <n x="698"/>
      </t>
    </mdx>
    <mdx n="0" f="v">
      <t c="6" si="614">
        <n x="610"/>
        <n x="247"/>
        <n x="248"/>
        <n x="800" s="1"/>
        <n x="679"/>
        <n x="670"/>
      </t>
    </mdx>
    <mdx n="0" f="v">
      <t c="6" si="614">
        <n x="610"/>
        <n x="247"/>
        <n x="248"/>
        <n x="800" s="1"/>
        <n x="679"/>
        <n x="680"/>
      </t>
    </mdx>
    <mdx n="0" f="v">
      <t c="6" si="614">
        <n x="610"/>
        <n x="467"/>
        <n x="468"/>
        <n x="800" s="1"/>
        <n x="687"/>
        <n x="688"/>
      </t>
    </mdx>
    <mdx n="0" f="v">
      <t c="6" si="614">
        <n x="610"/>
        <n x="287"/>
        <n x="288"/>
        <n x="800" s="1"/>
        <n x="691"/>
        <n x="692"/>
      </t>
    </mdx>
    <mdx n="0" f="v">
      <t c="6" si="614">
        <n x="610"/>
        <n x="287"/>
        <n x="288"/>
        <n x="800" s="1"/>
        <n x="691"/>
        <n x="692"/>
      </t>
    </mdx>
    <mdx n="0" f="v">
      <t c="6" si="614">
        <n x="610"/>
        <n x="349"/>
        <n x="350"/>
        <n x="800" s="1"/>
        <n x="691"/>
        <n x="692"/>
      </t>
    </mdx>
    <mdx n="0" f="v">
      <t c="6" si="614">
        <n x="610"/>
        <n x="349"/>
        <n x="350"/>
        <n x="800" s="1"/>
        <n x="691"/>
        <n x="692"/>
      </t>
    </mdx>
    <mdx n="0" f="v">
      <t c="6" si="614">
        <n x="610"/>
        <n x="359"/>
        <n x="360"/>
        <n x="800" s="1"/>
        <n x="687"/>
        <n x="688"/>
      </t>
    </mdx>
    <mdx n="0" f="v">
      <t c="6" si="614">
        <n x="610"/>
        <n x="315"/>
        <n x="412"/>
        <n x="800" s="1"/>
        <n x="687"/>
        <n x="688"/>
      </t>
    </mdx>
    <mdx n="0" f="v">
      <t c="6" si="614">
        <n x="610"/>
        <n x="769"/>
        <n x="316"/>
        <n x="800" s="1"/>
        <n x="685"/>
        <n x="686"/>
      </t>
    </mdx>
    <mdx n="0" f="v">
      <t c="6" si="614">
        <n x="610"/>
        <n x="769"/>
        <n x="770"/>
        <n x="800" s="1"/>
        <n x="689"/>
        <n x="690"/>
      </t>
    </mdx>
    <mdx n="0" f="v">
      <t c="6" si="614">
        <n x="610"/>
        <n x="427"/>
        <n x="428"/>
        <n x="800" s="1"/>
        <n x="685"/>
        <n x="686"/>
      </t>
    </mdx>
    <mdx n="0" f="v">
      <t c="6" si="614">
        <n x="610"/>
        <n x="485"/>
        <n x="486"/>
        <n x="800" s="1"/>
        <n x="687"/>
        <n x="688"/>
      </t>
    </mdx>
    <mdx n="0" f="v">
      <t c="6" si="614">
        <n x="610"/>
        <n x="529"/>
        <n x="530"/>
        <n x="800" s="1"/>
        <n x="683"/>
        <n x="684"/>
      </t>
    </mdx>
    <mdx n="0" f="v">
      <t c="6" si="614">
        <n x="610"/>
        <n x="249"/>
        <n x="250"/>
        <n x="800" s="1"/>
        <n x="687"/>
        <n x="688"/>
      </t>
    </mdx>
    <mdx n="0" f="v">
      <t c="6" si="614">
        <n x="610"/>
        <n x="773"/>
        <n x="774"/>
        <n x="800" s="1"/>
        <n x="697"/>
        <n x="698"/>
      </t>
    </mdx>
    <mdx n="0" f="v">
      <t c="6" si="614">
        <n x="610"/>
        <n x="775"/>
        <n x="776"/>
        <n x="800" s="1"/>
        <n x="685"/>
        <n x="686"/>
      </t>
    </mdx>
    <mdx n="0" f="v">
      <t c="6" si="614">
        <n x="610"/>
        <n x="777"/>
        <n x="778"/>
        <n x="800" s="1"/>
        <n x="697"/>
        <n x="698"/>
      </t>
    </mdx>
    <mdx n="0" f="v">
      <t c="6" si="614">
        <n x="610"/>
        <n x="357"/>
        <n x="358"/>
        <n x="800" s="1"/>
        <n x="683"/>
        <n x="684"/>
      </t>
    </mdx>
    <mdx n="0" f="v">
      <t c="6" si="614">
        <n x="610"/>
        <n x="515"/>
        <n x="516"/>
        <n x="800" s="1"/>
        <n x="679"/>
        <n x="670"/>
      </t>
    </mdx>
    <mdx n="0" f="v">
      <t c="6" si="614">
        <n x="610"/>
        <n x="515"/>
        <n x="516"/>
        <n x="800" s="1"/>
        <n x="679"/>
        <n x="680"/>
      </t>
    </mdx>
    <mdx n="0" f="v">
      <t c="6" si="614">
        <n x="610"/>
        <n x="779"/>
        <n x="780"/>
        <n x="800" s="1"/>
        <n x="689"/>
        <n x="690"/>
      </t>
    </mdx>
    <mdx n="0" f="v">
      <t c="6" si="614">
        <n x="610"/>
        <n x="269"/>
        <n x="270"/>
        <n x="800" s="1"/>
        <n x="683"/>
        <n x="684"/>
      </t>
    </mdx>
    <mdx n="0" f="v">
      <t c="6" si="614">
        <n x="610"/>
        <n x="269"/>
        <n x="270"/>
        <n x="800" s="1"/>
        <n x="693"/>
        <n x="694"/>
      </t>
    </mdx>
    <mdx n="0" f="v">
      <t c="6" si="614">
        <n x="610"/>
        <n x="533"/>
        <n x="534"/>
        <n x="800" s="1"/>
        <n x="687"/>
        <n x="688"/>
      </t>
    </mdx>
    <mdx n="0" f="v">
      <t c="6" si="614">
        <n x="610"/>
        <n x="781"/>
        <n x="782"/>
        <n x="800" s="1"/>
        <n x="681"/>
        <n x="682"/>
      </t>
    </mdx>
    <mdx n="0" f="v">
      <t c="6" si="614">
        <n x="610"/>
        <n x="375"/>
        <n x="376"/>
        <n x="800" s="1"/>
        <n x="687"/>
        <n x="688"/>
      </t>
    </mdx>
    <mdx n="0" f="v">
      <t c="6" si="614">
        <n x="610"/>
        <n x="783"/>
        <n x="784"/>
        <n x="800" s="1"/>
        <n x="679"/>
        <n x="680"/>
      </t>
    </mdx>
    <mdx n="0" f="v">
      <t c="6" si="614">
        <n x="610"/>
        <n x="535"/>
        <n x="536"/>
        <n x="800" s="1"/>
        <n x="685"/>
        <n x="686"/>
      </t>
    </mdx>
    <mdx n="0" f="v">
      <t c="6" si="614">
        <n x="610"/>
        <n x="535"/>
        <n x="536"/>
        <n x="800" s="1"/>
        <n x="695"/>
        <n x="696"/>
      </t>
    </mdx>
    <mdx n="0" f="v">
      <t c="6" si="614">
        <n x="610"/>
        <n x="785"/>
        <n x="786"/>
        <n x="800" s="1"/>
        <n x="693"/>
        <n x="682"/>
      </t>
    </mdx>
    <mdx n="0" f="v">
      <t c="6" si="614">
        <n x="610"/>
        <n x="531"/>
        <n x="532"/>
        <n x="800" s="1"/>
        <n x="683"/>
        <n x="684"/>
      </t>
    </mdx>
    <mdx n="0" f="v">
      <t c="6" si="614">
        <n x="610"/>
        <n x="531"/>
        <n x="532"/>
        <n x="800" s="1"/>
        <n x="683"/>
        <n x="684"/>
      </t>
    </mdx>
    <mdx n="0" f="v">
      <t c="6" si="614">
        <n x="610"/>
        <n x="565"/>
        <n x="566"/>
        <n x="800" s="1"/>
        <n x="687"/>
        <n x="688"/>
      </t>
    </mdx>
    <mdx n="0" f="v">
      <t c="6" si="614">
        <n x="610"/>
        <n x="575"/>
        <n x="576"/>
        <n x="800" s="1"/>
        <n x="679"/>
        <n x="680"/>
      </t>
    </mdx>
    <mdx n="0" f="v">
      <t c="6" si="614">
        <n x="610"/>
        <n x="575"/>
        <n x="576"/>
        <n x="800" s="1"/>
        <n x="679"/>
        <n x="680"/>
      </t>
    </mdx>
    <mdx n="0" f="v">
      <t c="6" si="614">
        <n x="610"/>
        <n x="715"/>
        <n x="716"/>
        <n x="800" s="1"/>
        <n x="679"/>
        <n x="680"/>
      </t>
    </mdx>
    <mdx n="0" f="v">
      <t c="6" si="614">
        <n x="610"/>
        <n x="599"/>
        <n x="600"/>
        <n x="800" s="1"/>
        <n x="693"/>
        <n x="694"/>
      </t>
    </mdx>
    <mdx n="0" f="v">
      <t c="6" si="614">
        <n x="610"/>
        <n x="463"/>
        <n x="464"/>
        <n x="800" s="1"/>
        <n x="685"/>
        <n x="686"/>
      </t>
    </mdx>
    <mdx n="0" f="v">
      <t c="6" si="614">
        <n x="610"/>
        <n x="239"/>
        <n x="240"/>
        <n x="800" s="1"/>
        <n x="687"/>
        <n x="688"/>
      </t>
    </mdx>
    <mdx n="0" f="v">
      <t c="6" si="614">
        <n x="610"/>
        <n x="365"/>
        <n x="366"/>
        <n x="800" s="1"/>
        <n x="697"/>
        <n x="698"/>
      </t>
    </mdx>
    <mdx n="0" f="v">
      <t c="6" si="614">
        <n x="610"/>
        <n x="365"/>
        <n x="366"/>
        <n x="800" s="1"/>
        <n x="697"/>
        <n x="698"/>
      </t>
    </mdx>
    <mdx n="0" f="v">
      <t c="6" si="614">
        <n x="610"/>
        <n x="461"/>
        <n x="462"/>
        <n x="800" s="1"/>
        <n x="677"/>
        <n x="678"/>
      </t>
    </mdx>
    <mdx n="0" f="v">
      <t c="6" si="614">
        <n x="610"/>
        <n x="727"/>
        <n x="728"/>
        <n x="800" s="1"/>
        <n x="677"/>
        <n x="678"/>
      </t>
    </mdx>
    <mdx n="0" f="v">
      <t c="6" si="614">
        <n x="610"/>
        <n x="367"/>
        <n x="368"/>
        <n x="800" s="1"/>
        <n x="679"/>
        <n x="680"/>
      </t>
    </mdx>
    <mdx n="0" f="v">
      <t c="6" si="614">
        <n x="610"/>
        <n x="607"/>
        <n x="608"/>
        <n x="800" s="1"/>
        <n x="683"/>
        <n x="686"/>
      </t>
    </mdx>
    <mdx n="0" f="v">
      <t c="6" si="614">
        <n x="610"/>
        <n x="607"/>
        <n x="608"/>
        <n x="800" s="1"/>
        <n x="683"/>
        <n x="684"/>
      </t>
    </mdx>
    <mdx n="0" f="v">
      <t c="6" si="614">
        <n x="610"/>
        <n x="235"/>
        <n x="236"/>
        <n x="800" s="1"/>
        <n x="679"/>
        <n x="680"/>
      </t>
    </mdx>
    <mdx n="0" f="v">
      <t c="6" si="614">
        <n x="610"/>
        <n x="281"/>
        <n x="282"/>
        <n x="800" s="1"/>
        <n x="697"/>
        <n x="698"/>
      </t>
    </mdx>
    <mdx n="0" f="v">
      <t c="6" si="614">
        <n x="610"/>
        <n x="281"/>
        <n x="282"/>
        <n x="800" s="1"/>
        <n x="697"/>
        <n x="698"/>
      </t>
    </mdx>
    <mdx n="0" f="v">
      <t c="6" si="614">
        <n x="610"/>
        <n x="283"/>
        <n x="272"/>
        <n x="800" s="1"/>
        <n x="681"/>
        <n x="682"/>
      </t>
    </mdx>
    <mdx n="0" f="v">
      <t c="6" si="614">
        <n x="610"/>
        <n x="283"/>
        <n x="284"/>
        <n x="800" s="1"/>
        <n x="681"/>
        <n x="682"/>
      </t>
    </mdx>
    <mdx n="0" f="v">
      <t c="6" si="614">
        <n x="610"/>
        <n x="387"/>
        <n x="388"/>
        <n x="800" s="1"/>
        <n x="681"/>
        <n x="682"/>
      </t>
    </mdx>
    <mdx n="0" f="v">
      <t c="6" si="614">
        <n x="610"/>
        <n x="387"/>
        <n x="388"/>
        <n x="800" s="1"/>
        <n x="691"/>
        <n x="692"/>
      </t>
    </mdx>
    <mdx n="0" f="v">
      <t c="6" si="614">
        <n x="610"/>
        <n x="257"/>
        <n x="258"/>
        <n x="800" s="1"/>
        <n x="685"/>
        <n x="686"/>
      </t>
    </mdx>
    <mdx n="0" f="v">
      <t c="6" si="614">
        <n x="610"/>
        <n x="319"/>
        <n x="320"/>
        <n x="800" s="1"/>
        <n x="689"/>
        <n x="690"/>
      </t>
    </mdx>
    <mdx n="0" f="v">
      <t c="6" si="614">
        <n x="610"/>
        <n x="591"/>
        <n x="592"/>
        <n x="800" s="1"/>
        <n x="681"/>
        <n x="682"/>
      </t>
    </mdx>
    <mdx n="0" f="v">
      <t c="6" si="614">
        <n x="610"/>
        <n x="741"/>
        <n x="742"/>
        <n x="800" s="1"/>
        <n x="689"/>
        <n x="690"/>
      </t>
    </mdx>
    <mdx n="0" f="v">
      <t c="6" si="614">
        <n x="610"/>
        <n x="435"/>
        <n x="436"/>
        <n x="800" s="1"/>
        <n x="681"/>
        <n x="682"/>
      </t>
    </mdx>
    <mdx n="0" f="v">
      <t c="6" si="614">
        <n x="610"/>
        <n x="429"/>
        <n x="430"/>
        <n x="800" s="1"/>
        <n x="683"/>
        <n x="684"/>
      </t>
    </mdx>
    <mdx n="0" f="v">
      <t c="6" si="614">
        <n x="610"/>
        <n x="537"/>
        <n x="538"/>
        <n x="800" s="1"/>
        <n x="695"/>
        <n x="696"/>
      </t>
    </mdx>
    <mdx n="0" f="v">
      <t c="6" si="614">
        <n x="610"/>
        <n x="561"/>
        <n x="562"/>
        <n x="800" s="1"/>
        <n x="679"/>
        <n x="680"/>
      </t>
    </mdx>
    <mdx n="0" f="v">
      <t c="6" si="614">
        <n x="610"/>
        <n x="433"/>
        <n x="434"/>
        <n x="800" s="1"/>
        <n x="683"/>
        <n x="684"/>
      </t>
    </mdx>
    <mdx n="0" f="v">
      <t c="6" si="614">
        <n x="610"/>
        <n x="589"/>
        <n x="590"/>
        <n x="800" s="1"/>
        <n x="695"/>
        <n x="696"/>
      </t>
    </mdx>
    <mdx n="0" f="v">
      <t c="6" si="614">
        <n x="610"/>
        <n x="745"/>
        <n x="746"/>
        <n x="800" s="1"/>
        <n x="695"/>
        <n x="696"/>
      </t>
    </mdx>
    <mdx n="0" f="v">
      <t c="6" si="614">
        <n x="610"/>
        <n x="569"/>
        <n x="570"/>
        <n x="800" s="1"/>
        <n x="683"/>
        <n x="684"/>
      </t>
    </mdx>
    <mdx n="0" f="v">
      <t c="6" si="614">
        <n x="610"/>
        <n x="569"/>
        <n x="570"/>
        <n x="800" s="1"/>
        <n x="683"/>
        <n x="684"/>
      </t>
    </mdx>
    <mdx n="0" f="v">
      <t c="6" si="614">
        <n x="610"/>
        <n x="419"/>
        <n x="420"/>
        <n x="800" s="1"/>
        <n x="679"/>
        <n x="680"/>
      </t>
    </mdx>
    <mdx n="0" f="v">
      <t c="6" si="614">
        <n x="610"/>
        <n x="419"/>
        <n x="420"/>
        <n x="800" s="1"/>
        <n x="679"/>
        <n x="680"/>
      </t>
    </mdx>
    <mdx n="0" f="v">
      <t c="6" si="614">
        <n x="610"/>
        <n x="753"/>
        <n x="754"/>
        <n x="800" s="1"/>
        <n x="693"/>
        <n x="694"/>
      </t>
    </mdx>
    <mdx n="0" f="v">
      <t c="6" si="614">
        <n x="610"/>
        <n x="447"/>
        <n x="448"/>
        <n x="800" s="1"/>
        <n x="681"/>
        <n x="682"/>
      </t>
    </mdx>
    <mdx n="0" f="v">
      <t c="6" si="614">
        <n x="610"/>
        <n x="223"/>
        <n x="224"/>
        <n x="800" s="1"/>
        <n x="689"/>
        <n x="690"/>
      </t>
    </mdx>
    <mdx n="0" f="v">
      <t c="6" si="614">
        <n x="610"/>
        <n x="205"/>
        <n x="340"/>
        <n x="800" s="1"/>
        <n x="681"/>
        <n x="682"/>
      </t>
    </mdx>
    <mdx n="0" f="v">
      <t c="6" si="614">
        <n x="610"/>
        <n x="399"/>
        <n x="400"/>
        <n x="800" s="1"/>
        <n x="697"/>
        <n x="698"/>
      </t>
    </mdx>
    <mdx n="0" f="v">
      <t c="6" si="614">
        <n x="610"/>
        <n x="233"/>
        <n x="234"/>
        <n x="800" s="1"/>
        <n x="683"/>
        <n x="684"/>
      </t>
    </mdx>
    <mdx n="0" f="v">
      <t c="6" si="614">
        <n x="610"/>
        <n x="233"/>
        <n x="234"/>
        <n x="800" s="1"/>
        <n x="683"/>
        <n x="684"/>
      </t>
    </mdx>
    <mdx n="0" f="v">
      <t c="6" si="614">
        <n x="610"/>
        <n x="207"/>
        <n x="208"/>
        <n x="800" s="1"/>
        <n x="687"/>
        <n x="688"/>
      </t>
    </mdx>
    <mdx n="0" f="v">
      <t c="6" si="614">
        <n x="610"/>
        <n x="273"/>
        <n x="274"/>
        <n x="800" s="1"/>
        <n x="691"/>
        <n x="692"/>
      </t>
    </mdx>
    <mdx n="0" f="v">
      <t c="6" si="614">
        <n x="610"/>
        <n x="273"/>
        <n x="274"/>
        <n x="800" s="1"/>
        <n x="691"/>
        <n x="692"/>
      </t>
    </mdx>
    <mdx n="0" f="v">
      <t c="6" si="614">
        <n x="610"/>
        <n x="759"/>
        <n x="760"/>
        <n x="800" s="1"/>
        <n x="697"/>
        <n x="686"/>
      </t>
    </mdx>
    <mdx n="0" f="v">
      <t c="6" si="614">
        <n x="610"/>
        <n x="759"/>
        <n x="760"/>
        <n x="800" s="1"/>
        <n x="697"/>
        <n x="698"/>
      </t>
    </mdx>
    <mdx n="0" f="v">
      <t c="6" si="614">
        <n x="610"/>
        <n x="761"/>
        <n x="762"/>
        <n x="800" s="1"/>
        <n x="683"/>
        <n x="684"/>
      </t>
    </mdx>
    <mdx n="0" f="v">
      <t c="6" si="614">
        <n x="610"/>
        <n x="761"/>
        <n x="762"/>
        <n x="800" s="1"/>
        <n x="693"/>
        <n x="694"/>
      </t>
    </mdx>
    <mdx n="0" f="v">
      <t c="6" si="614">
        <n x="610"/>
        <n x="549"/>
        <n x="326"/>
        <n x="800" s="1"/>
        <n x="669"/>
        <n x="670"/>
      </t>
    </mdx>
    <mdx n="0" f="v">
      <t c="6" si="614">
        <n x="610"/>
        <n x="549"/>
        <n x="550"/>
        <n x="800" s="1"/>
        <n x="687"/>
        <n x="688"/>
      </t>
    </mdx>
    <mdx n="0" f="v">
      <t c="6" si="614">
        <n x="610"/>
        <n x="507"/>
        <n x="508"/>
        <n x="800" s="1"/>
        <n x="685"/>
        <n x="686"/>
      </t>
    </mdx>
    <mdx n="0" f="v">
      <t c="6" si="614">
        <n x="610"/>
        <n x="507"/>
        <n x="508"/>
        <n x="800" s="1"/>
        <n x="695"/>
        <n x="696"/>
      </t>
    </mdx>
    <mdx n="0" f="v">
      <t c="6" si="614">
        <n x="610"/>
        <n x="247"/>
        <n x="248"/>
        <n x="800" s="1"/>
        <n x="681"/>
        <n x="682"/>
      </t>
    </mdx>
    <mdx n="0" f="v">
      <t c="6" si="614">
        <n x="610"/>
        <n x="349"/>
        <n x="350"/>
        <n x="800" s="1"/>
        <n x="679"/>
        <n x="670"/>
      </t>
    </mdx>
    <mdx n="0" f="v">
      <t c="6" si="614">
        <n x="610"/>
        <n x="349"/>
        <n x="350"/>
        <n x="800" s="1"/>
        <n x="679"/>
        <n x="680"/>
      </t>
    </mdx>
    <mdx n="0" f="v">
      <t c="6" si="614">
        <n x="610"/>
        <n x="509"/>
        <n x="510"/>
        <n x="800" s="1"/>
        <n x="683"/>
        <n x="688"/>
      </t>
    </mdx>
    <mdx n="0" f="v">
      <t c="6" si="614">
        <n x="610"/>
        <n x="509"/>
        <n x="510"/>
        <n x="800" s="1"/>
        <n x="683"/>
        <n x="684"/>
      </t>
    </mdx>
    <mdx n="0" f="v">
      <t c="6" si="614">
        <n x="610"/>
        <n x="403"/>
        <n x="404"/>
        <n x="800" s="1"/>
        <n x="679"/>
        <n x="680"/>
      </t>
    </mdx>
    <mdx n="0" f="v">
      <t c="6" si="614">
        <n x="610"/>
        <n x="315"/>
        <n x="316"/>
        <n x="800" s="1"/>
        <n x="695"/>
        <n x="696"/>
      </t>
    </mdx>
    <mdx n="0" f="v">
      <t c="6" si="614">
        <n x="610"/>
        <n x="511"/>
        <n x="512"/>
        <n x="800" s="1"/>
        <n x="681"/>
        <n x="682"/>
      </t>
    </mdx>
    <mdx n="0" f="v">
      <t c="6" si="614">
        <n x="610"/>
        <n x="427"/>
        <n x="428"/>
        <n x="800" s="1"/>
        <n x="687"/>
        <n x="688"/>
      </t>
    </mdx>
    <mdx n="0" f="v">
      <t c="6" si="614">
        <n x="610"/>
        <n x="293"/>
        <n x="294"/>
        <n x="800" s="1"/>
        <n x="677"/>
        <n x="678"/>
      </t>
    </mdx>
    <mdx n="0" f="v">
      <t c="6" si="614">
        <n x="610"/>
        <n x="773"/>
        <n x="774"/>
        <n x="800" s="1"/>
        <n x="669"/>
        <n x="670"/>
      </t>
    </mdx>
    <mdx n="0" f="v">
      <t c="6" si="614">
        <n x="610"/>
        <n x="773"/>
        <n x="774"/>
        <n x="800" s="1"/>
        <n x="679"/>
        <n x="680"/>
      </t>
    </mdx>
    <mdx n="0" f="v">
      <t c="6" si="614">
        <n x="610"/>
        <n x="773"/>
        <n x="772"/>
        <n x="800" s="1"/>
        <n x="691"/>
        <n x="692"/>
      </t>
    </mdx>
    <mdx n="0" f="v">
      <t c="6" si="614">
        <n x="610"/>
        <n x="357"/>
        <n x="358"/>
        <n x="800" s="1"/>
        <n x="695"/>
        <n x="696"/>
      </t>
    </mdx>
    <mdx n="0" f="v">
      <t c="6" si="614">
        <n x="610"/>
        <n x="445"/>
        <n x="382"/>
        <n x="800" s="1"/>
        <n x="689"/>
        <n x="690"/>
      </t>
    </mdx>
    <mdx n="0" f="v">
      <t c="6" si="614">
        <n x="610"/>
        <n x="781"/>
        <n x="782"/>
        <n x="800" s="1"/>
        <n x="677"/>
        <n x="678"/>
      </t>
    </mdx>
    <mdx n="0" f="v">
      <t c="6" si="614">
        <n x="610"/>
        <n x="781"/>
        <n x="782"/>
        <n x="800" s="1"/>
        <n x="683"/>
        <n x="684"/>
      </t>
    </mdx>
    <mdx n="0" f="v">
      <t c="6" si="614">
        <n x="610"/>
        <n x="781"/>
        <n x="782"/>
        <n x="800" s="1"/>
        <n x="683"/>
        <n x="684"/>
      </t>
    </mdx>
    <mdx n="0" f="v">
      <t c="6" si="614">
        <n x="610"/>
        <n x="781"/>
        <n x="782"/>
        <n x="800" s="1"/>
        <n x="695"/>
        <n x="696"/>
      </t>
    </mdx>
    <mdx n="0" f="v">
      <t c="6" si="614">
        <n x="610"/>
        <n x="787"/>
        <n x="356"/>
        <n x="800" s="1"/>
        <n x="677"/>
        <n x="670"/>
      </t>
    </mdx>
    <mdx n="0" f="v">
      <t c="6" si="614">
        <n x="610"/>
        <n x="787"/>
        <n x="356"/>
        <n x="800" s="1"/>
        <n x="677"/>
        <n x="678"/>
      </t>
    </mdx>
    <mdx n="0" f="v">
      <t c="6" si="614">
        <n x="610"/>
        <n x="787"/>
        <n x="356"/>
        <n x="800" s="1"/>
        <n x="677"/>
        <n x="678"/>
      </t>
    </mdx>
    <mdx n="0" f="v">
      <t c="6" si="614">
        <n x="610"/>
        <n x="505"/>
        <n x="584"/>
        <n x="800" s="1"/>
        <n x="697"/>
        <n x="698"/>
      </t>
    </mdx>
    <mdx n="0" f="v">
      <t c="6" si="614">
        <n x="610"/>
        <n x="431"/>
        <n x="432"/>
        <n x="800" s="1"/>
        <n x="683"/>
        <n x="694"/>
      </t>
    </mdx>
    <mdx n="0" f="v">
      <t c="6" si="614">
        <n x="610"/>
        <n x="789"/>
        <n x="790"/>
        <n x="800" s="1"/>
        <n x="687"/>
        <n x="688"/>
      </t>
    </mdx>
    <mdx n="0" f="v">
      <t c="6" si="614">
        <n x="610"/>
        <n x="545"/>
        <n x="790"/>
        <n x="800" s="1"/>
        <n x="687"/>
        <n x="688"/>
      </t>
    </mdx>
    <mdx n="0" f="v">
      <t c="6" si="614">
        <n x="610"/>
        <n x="545"/>
        <n x="546"/>
        <n x="800" s="1"/>
        <n x="689"/>
        <n x="690"/>
      </t>
    </mdx>
    <mdx n="0" f="v">
      <t c="6" si="614">
        <n x="610"/>
        <n x="451"/>
        <n x="452"/>
        <n x="800" s="1"/>
        <n x="691"/>
        <n x="692"/>
      </t>
    </mdx>
    <mdx n="0" f="v">
      <t c="6" si="614">
        <n x="610"/>
        <n x="451"/>
        <n x="452"/>
        <n x="800" s="1"/>
        <n x="691"/>
        <n x="692"/>
      </t>
    </mdx>
    <mdx n="0" f="v">
      <t c="6" si="614">
        <n x="610"/>
        <n x="473"/>
        <n x="474"/>
        <n x="800" s="1"/>
        <n x="683"/>
        <n x="684"/>
      </t>
    </mdx>
    <mdx n="0" f="v">
      <t c="6" si="614">
        <n x="610"/>
        <n x="473"/>
        <n x="474"/>
        <n x="800" s="1"/>
        <n x="691"/>
        <n x="692"/>
      </t>
    </mdx>
    <mdx n="0" f="v">
      <t c="6" si="614">
        <n x="610"/>
        <n x="523"/>
        <n x="474"/>
        <n x="800" s="1"/>
        <n x="691"/>
        <n x="692"/>
      </t>
    </mdx>
    <mdx n="0" f="v">
      <t c="6" si="614">
        <n x="610"/>
        <n x="523"/>
        <n x="524"/>
        <n x="800" s="1"/>
        <n x="683"/>
        <n x="684"/>
      </t>
    </mdx>
    <mdx n="0" f="v">
      <t c="6" si="614">
        <n x="610"/>
        <n x="297"/>
        <n x="298"/>
        <n x="800" s="1"/>
        <n x="683"/>
        <n x="684"/>
      </t>
    </mdx>
    <mdx n="0" f="v">
      <t c="6" si="614">
        <n x="610"/>
        <n x="579"/>
        <n x="580"/>
        <n x="800" s="1"/>
        <n x="683"/>
        <n x="684"/>
      </t>
    </mdx>
    <mdx n="0" f="v">
      <t c="6" si="614">
        <n x="610"/>
        <n x="579"/>
        <n x="580"/>
        <n x="800" s="1"/>
        <n x="691"/>
        <n x="692"/>
      </t>
    </mdx>
    <mdx n="0" f="v">
      <t c="6" si="614">
        <n x="610"/>
        <n x="313"/>
        <n x="314"/>
        <n x="800" s="1"/>
        <n x="691"/>
        <n x="684"/>
      </t>
    </mdx>
    <mdx n="0" f="v">
      <t c="6" si="614">
        <n x="610"/>
        <n x="313"/>
        <n x="314"/>
        <n x="800" s="1"/>
        <n x="691"/>
        <n x="692"/>
      </t>
    </mdx>
    <mdx n="0" f="v">
      <t c="6" si="614">
        <n x="610"/>
        <n x="351"/>
        <n x="352"/>
        <n x="800" s="1"/>
        <n x="691"/>
        <n x="692"/>
      </t>
    </mdx>
    <mdx n="0" f="v">
      <t c="6" si="614">
        <n x="610"/>
        <n x="351"/>
        <n x="352"/>
        <n x="800" s="1"/>
        <n x="691"/>
        <n x="692"/>
      </t>
    </mdx>
    <mdx n="0" f="v">
      <t c="6" si="614">
        <n x="610"/>
        <n x="213"/>
        <n x="214"/>
        <n x="800" s="1"/>
        <n x="691"/>
        <n x="692"/>
      </t>
    </mdx>
    <mdx n="0" f="v">
      <t c="6" si="614">
        <n x="610"/>
        <n x="213"/>
        <n x="214"/>
        <n x="800" s="1"/>
        <n x="691"/>
        <n x="692"/>
      </t>
    </mdx>
    <mdx n="0" f="v">
      <t c="6" si="614">
        <n x="610"/>
        <n x="791"/>
        <n x="792"/>
        <n x="800" s="1"/>
        <n x="691"/>
        <n x="692"/>
      </t>
    </mdx>
    <mdx n="0" f="v">
      <t c="6" si="614">
        <n x="610"/>
        <n x="331"/>
        <n x="332"/>
        <n x="800" s="1"/>
        <n x="691"/>
        <n x="692"/>
      </t>
    </mdx>
    <mdx n="0" f="v">
      <t c="6" si="614">
        <n x="610"/>
        <n x="331"/>
        <n x="332"/>
        <n x="800" s="1"/>
        <n x="691"/>
        <n x="692"/>
      </t>
    </mdx>
    <mdx n="0" f="v">
      <t c="6" si="614">
        <n x="610"/>
        <n x="227"/>
        <n x="228"/>
        <n x="800" s="1"/>
        <n x="691"/>
        <n x="692"/>
      </t>
    </mdx>
    <mdx n="0" f="v">
      <t c="6" si="614">
        <n x="610"/>
        <n x="795"/>
        <n x="796"/>
        <n x="800" s="1"/>
        <n x="691"/>
        <n x="692"/>
      </t>
    </mdx>
    <mdx n="0" f="v">
      <t c="6" si="614">
        <n x="610"/>
        <n x="795"/>
        <n x="796"/>
        <n x="800" s="1"/>
        <n x="691"/>
        <n x="692"/>
      </t>
    </mdx>
    <mdx n="0" f="v">
      <t c="6" si="614">
        <n x="610"/>
        <n x="465"/>
        <n x="466"/>
        <n x="800" s="1"/>
        <n x="691"/>
        <n x="692"/>
      </t>
    </mdx>
    <mdx n="0" f="v">
      <t c="6" si="614">
        <n x="610"/>
        <n x="303"/>
        <n x="304"/>
        <n x="800" s="1"/>
        <n x="691"/>
        <n x="692"/>
      </t>
    </mdx>
    <mdx n="0" f="v">
      <t c="6" si="614">
        <n x="610"/>
        <n x="303"/>
        <n x="304"/>
        <n x="800" s="1"/>
        <n x="691"/>
        <n x="692"/>
      </t>
    </mdx>
    <mdx n="0" f="v">
      <t c="6" si="614">
        <n x="610"/>
        <n x="211"/>
        <n x="212"/>
        <n x="800" s="1"/>
        <n x="691"/>
        <n x="692"/>
      </t>
    </mdx>
    <mdx n="0" f="v">
      <t c="6" si="614">
        <n x="610"/>
        <n x="439"/>
        <n x="440"/>
        <n x="800" s="1"/>
        <n x="683"/>
        <n x="684"/>
      </t>
    </mdx>
    <mdx n="0" f="v">
      <t c="6" si="614">
        <n x="610"/>
        <n x="571"/>
        <n x="572"/>
        <n x="800" s="1"/>
        <n x="683"/>
        <n x="684"/>
      </t>
    </mdx>
    <mdx n="0" f="v">
      <t c="6" si="614">
        <n x="610"/>
        <n x="571"/>
        <n x="572"/>
        <n x="800" s="1"/>
        <n x="691"/>
        <n x="692"/>
      </t>
    </mdx>
    <mdx n="0" f="v">
      <t c="6" si="614">
        <n x="610"/>
        <n x="305"/>
        <n x="306"/>
        <n x="800" s="1"/>
        <n x="691"/>
        <n x="684"/>
      </t>
    </mdx>
    <mdx n="0" f="v">
      <t c="6" si="614">
        <n x="610"/>
        <n x="305"/>
        <n x="306"/>
        <n x="800" s="1"/>
        <n x="691"/>
        <n x="692"/>
      </t>
    </mdx>
    <mdx n="0" f="v">
      <t c="6" si="614">
        <n x="610"/>
        <n x="563"/>
        <n x="564"/>
        <n x="800" s="1"/>
        <n x="691"/>
        <n x="692"/>
      </t>
    </mdx>
    <mdx n="0" f="v">
      <t c="6" si="614">
        <n x="610"/>
        <n x="563"/>
        <n x="564"/>
        <n x="800" s="1"/>
        <n x="691"/>
        <n x="692"/>
      </t>
    </mdx>
    <mdx n="0" f="v">
      <t c="6" si="614">
        <n x="610"/>
        <n x="225"/>
        <n x="226"/>
        <n x="800" s="1"/>
        <n x="691"/>
        <n x="692"/>
      </t>
    </mdx>
    <mdx n="0" f="v">
      <t c="6" si="614">
        <n x="610"/>
        <n x="225"/>
        <n x="226"/>
        <n x="800" s="1"/>
        <n x="691"/>
        <n x="692"/>
      </t>
    </mdx>
    <mdx n="0" f="v">
      <t c="6" si="614">
        <n x="610"/>
        <n x="279"/>
        <n x="280"/>
        <n x="800" s="1"/>
        <n x="691"/>
        <n x="692"/>
      </t>
    </mdx>
    <mdx n="0" f="v">
      <t c="6" si="614">
        <n x="610"/>
        <n x="291"/>
        <n x="292"/>
        <n x="800" s="1"/>
        <n x="691"/>
        <n x="692"/>
      </t>
    </mdx>
    <mdx n="0" f="v">
      <t c="6" si="614">
        <n x="610"/>
        <n x="373"/>
        <n x="374"/>
        <n x="800" s="1"/>
        <n x="683"/>
        <n x="684"/>
      </t>
    </mdx>
    <mdx n="0" f="v">
      <t c="6" si="614">
        <n x="610"/>
        <n x="373"/>
        <n x="374"/>
        <n x="800" s="1"/>
        <n x="683"/>
        <n x="684"/>
      </t>
    </mdx>
    <mdx n="0" f="v">
      <t c="6" si="614">
        <n x="610"/>
        <n x="329"/>
        <n x="330"/>
        <n x="800" s="1"/>
        <n x="683"/>
        <n x="684"/>
      </t>
    </mdx>
    <mdx n="0" f="v">
      <t c="6" si="614">
        <n x="610"/>
        <n x="449"/>
        <n x="450"/>
        <n x="800" s="1"/>
        <n x="683"/>
        <n x="684"/>
      </t>
    </mdx>
    <mdx n="0" f="v">
      <t c="6" si="614">
        <n x="610"/>
        <n x="449"/>
        <n x="450"/>
        <n x="800" s="1"/>
        <n x="691"/>
        <n x="692"/>
      </t>
    </mdx>
    <mdx n="0" f="v">
      <t c="6" si="614">
        <n x="610"/>
        <n x="327"/>
        <n x="328"/>
        <n x="800" s="1"/>
        <n x="683"/>
        <n x="684"/>
      </t>
    </mdx>
    <mdx n="0" f="v">
      <t c="6" si="614">
        <n x="610"/>
        <n x="327"/>
        <n x="328"/>
        <n x="800" s="1"/>
        <n x="691"/>
        <n x="692"/>
      </t>
    </mdx>
    <mdx n="0" f="v">
      <t c="6" si="614">
        <n x="610"/>
        <n x="215"/>
        <n x="216"/>
        <n x="800" s="1"/>
        <n x="683"/>
        <n x="684"/>
      </t>
    </mdx>
    <mdx n="0" f="v">
      <t c="6" si="614">
        <n x="610"/>
        <n x="215"/>
        <n x="216"/>
        <n x="800" s="1"/>
        <n x="691"/>
        <n x="692"/>
      </t>
    </mdx>
    <mdx n="0" f="v">
      <t c="6" si="614">
        <n x="610"/>
        <n x="803"/>
        <n x="804"/>
        <n x="800" s="1"/>
        <n x="691"/>
        <n x="684"/>
      </t>
    </mdx>
    <mdx n="0" f="v">
      <t c="6" si="614">
        <n x="610"/>
        <n x="587"/>
        <n x="588"/>
        <n x="800" s="1"/>
        <n x="683"/>
        <n x="684"/>
      </t>
    </mdx>
    <mdx n="0" f="v">
      <t c="6" si="614">
        <n x="610"/>
        <n x="587"/>
        <n x="588"/>
        <n x="800" s="1"/>
        <n x="691"/>
        <n x="692"/>
      </t>
    </mdx>
    <mdx n="0" f="v">
      <t c="6" si="614">
        <n x="610"/>
        <n x="421"/>
        <n x="422"/>
        <n x="800" s="1"/>
        <n x="691"/>
        <n x="692"/>
      </t>
    </mdx>
    <mdx n="0" f="v">
      <t c="6" si="614">
        <n x="610"/>
        <n x="263"/>
        <n x="264"/>
        <n x="800" s="1"/>
        <n x="691"/>
        <n x="692"/>
      </t>
    </mdx>
    <mdx n="0" f="v">
      <t c="6" si="614">
        <n x="610"/>
        <n x="263"/>
        <n x="264"/>
        <n x="800" s="1"/>
        <n x="691"/>
        <n x="692"/>
      </t>
    </mdx>
    <mdx n="0" f="v">
      <t c="6" si="614">
        <n x="610"/>
        <n x="477"/>
        <n x="478"/>
        <n x="800" s="1"/>
        <n x="691"/>
        <n x="692"/>
      </t>
    </mdx>
    <mdx n="0" f="v">
      <t c="6" si="614">
        <n x="610"/>
        <n x="477"/>
        <n x="478"/>
        <n x="800" s="1"/>
        <n x="691"/>
        <n x="692"/>
      </t>
    </mdx>
    <mdx n="0" f="v">
      <t c="6" si="614">
        <n x="610"/>
        <n x="267"/>
        <n x="268"/>
        <n x="800" s="1"/>
        <n x="683"/>
        <n x="684"/>
      </t>
    </mdx>
    <mdx n="0" f="v">
      <t c="6" si="614">
        <n x="610"/>
        <n x="267"/>
        <n x="268"/>
        <n x="800" s="1"/>
        <n x="691"/>
        <n x="692"/>
      </t>
    </mdx>
    <mdx n="0" f="v">
      <t c="6" si="614">
        <n x="610"/>
        <n x="337"/>
        <n x="338"/>
        <n x="800" s="1"/>
        <n x="691"/>
        <n x="692"/>
      </t>
    </mdx>
    <mdx n="0" f="v">
      <t c="6" si="614">
        <n x="610"/>
        <n x="337"/>
        <n x="338"/>
        <n x="800" s="1"/>
        <n x="691"/>
        <n x="692"/>
      </t>
    </mdx>
    <mdx n="0" f="v">
      <t c="6" si="614">
        <n x="610"/>
        <n x="323"/>
        <n x="324"/>
        <n x="800" s="1"/>
        <n x="691"/>
        <n x="692"/>
      </t>
    </mdx>
    <mdx n="0" f="v">
      <t c="6" si="614">
        <n x="610"/>
        <n x="323"/>
        <n x="324"/>
        <n x="800" s="1"/>
        <n x="691"/>
        <n x="692"/>
      </t>
    </mdx>
    <mdx n="0" f="v">
      <t c="6" si="614">
        <n x="610"/>
        <n x="497"/>
        <n x="498"/>
        <n x="800" s="1"/>
        <n x="691"/>
        <n x="692"/>
      </t>
    </mdx>
    <mdx n="0" f="v">
      <t c="6" si="614">
        <n x="610"/>
        <n x="517"/>
        <n x="518"/>
        <n x="800" s="1"/>
        <n x="691"/>
        <n x="692"/>
      </t>
    </mdx>
    <mdx n="0" f="v">
      <t c="6" si="614">
        <n x="610"/>
        <n x="797"/>
        <n x="518"/>
        <n x="800" s="1"/>
        <n x="691"/>
        <n x="692"/>
      </t>
    </mdx>
    <mdx n="0" f="v">
      <t c="6" si="614">
        <n x="610"/>
        <n x="251"/>
        <n x="252"/>
        <n x="800" s="1"/>
        <n x="683"/>
        <n x="684"/>
      </t>
    </mdx>
    <mdx n="0" f="v">
      <t c="6" si="614">
        <n x="610"/>
        <n x="251"/>
        <n x="252"/>
        <n x="800" s="1"/>
        <n x="691"/>
        <n x="692"/>
      </t>
    </mdx>
    <mdx n="0" f="v">
      <t c="6" si="614">
        <n x="610"/>
        <n x="251"/>
        <n x="252"/>
        <n x="800" s="1"/>
        <n x="691"/>
        <n x="692"/>
      </t>
    </mdx>
    <mdx n="0" f="v">
      <t c="6" si="614">
        <n x="610"/>
        <n x="567"/>
        <n x="568"/>
        <n x="800" s="1"/>
        <n x="683"/>
        <n x="684"/>
      </t>
    </mdx>
    <mdx n="0" f="v">
      <t c="6" si="614">
        <n x="610"/>
        <n x="559"/>
        <n x="560"/>
        <n x="800" s="1"/>
        <n x="691"/>
        <n x="692"/>
      </t>
    </mdx>
    <mdx n="0" f="v">
      <t c="6" si="614">
        <n x="610"/>
        <n x="559"/>
        <n x="560"/>
        <n x="800" s="1"/>
        <n x="691"/>
        <n x="692"/>
      </t>
    </mdx>
    <mdx n="0" f="v">
      <t c="6" si="614">
        <n x="610"/>
        <n x="573"/>
        <n x="574"/>
        <n x="800" s="1"/>
        <n x="691"/>
        <n x="692"/>
      </t>
    </mdx>
    <mdx n="0" f="v">
      <t c="6" si="614">
        <n x="610"/>
        <n x="573"/>
        <n x="574"/>
        <n x="800" s="1"/>
        <n x="683"/>
        <n x="684"/>
      </t>
    </mdx>
    <mdx n="0" f="v">
      <t c="6" si="614">
        <n x="610"/>
        <n x="573"/>
        <n x="574"/>
        <n x="800" s="1"/>
        <n x="683"/>
        <n x="684"/>
      </t>
    </mdx>
    <mdx n="0" f="v">
      <t c="6" si="614">
        <n x="610"/>
        <n x="475"/>
        <n x="254"/>
        <n x="800" s="1"/>
        <n x="691"/>
        <n x="692"/>
      </t>
    </mdx>
    <mdx n="0" f="v">
      <t c="6" si="614">
        <n x="610"/>
        <n x="475"/>
        <n x="254"/>
        <n x="800" s="1"/>
        <n x="691"/>
        <n x="692"/>
      </t>
    </mdx>
    <mdx n="0" f="v">
      <t c="6" si="614">
        <n x="610"/>
        <n x="475"/>
        <n x="476"/>
        <n x="800" s="1"/>
        <n x="683"/>
        <n x="684"/>
      </t>
    </mdx>
    <mdx n="0" f="v">
      <t c="6" si="614">
        <n x="610"/>
        <n x="475"/>
        <n x="476"/>
        <n x="800" s="1"/>
        <n x="691"/>
        <n x="692"/>
      </t>
    </mdx>
    <mdx n="0" f="v">
      <t c="6" si="614">
        <n x="610"/>
        <n x="371"/>
        <n x="372"/>
        <n x="800" s="1"/>
        <n x="683"/>
        <n x="684"/>
      </t>
    </mdx>
    <mdx n="0" f="v">
      <t c="6" si="614">
        <n x="610"/>
        <n x="371"/>
        <n x="372"/>
        <n x="800" s="1"/>
        <n x="683"/>
        <n x="684"/>
      </t>
    </mdx>
    <mdx n="0" f="v">
      <t c="6" si="614">
        <n x="610"/>
        <n x="805"/>
        <n x="806"/>
        <n x="800" s="1"/>
        <n x="683"/>
        <n x="692"/>
      </t>
    </mdx>
    <mdx n="0" f="v">
      <t c="6" si="614">
        <n x="610"/>
        <n x="805"/>
        <n x="806"/>
        <n x="800" s="1"/>
        <n x="683"/>
        <n x="684"/>
      </t>
    </mdx>
    <mdx n="0" f="v">
      <t c="6" si="614">
        <n x="610"/>
        <n x="599"/>
        <n x="600"/>
        <n x="800" s="1"/>
        <n x="695"/>
        <n x="696"/>
      </t>
    </mdx>
    <mdx n="0" f="v">
      <t c="6" si="614">
        <n x="610"/>
        <n x="585"/>
        <n x="586"/>
        <n x="800" s="1"/>
        <n x="681"/>
        <n x="682"/>
      </t>
    </mdx>
    <mdx n="0" f="v">
      <t c="6" si="614">
        <n x="610"/>
        <n x="379"/>
        <n x="586"/>
        <n x="800" s="1"/>
        <n x="693"/>
        <n x="694"/>
      </t>
    </mdx>
    <mdx n="0" f="v">
      <t c="6" si="614">
        <n x="610"/>
        <n x="365"/>
        <n x="366"/>
        <n x="800" s="1"/>
        <n x="677"/>
        <n x="678"/>
      </t>
    </mdx>
    <mdx n="0" f="v">
      <t c="6" si="614">
        <n x="610"/>
        <n x="365"/>
        <n x="366"/>
        <n x="800" s="1"/>
        <n x="691"/>
        <n x="692"/>
      </t>
    </mdx>
    <mdx n="0" f="v">
      <t c="6" si="614">
        <n x="610"/>
        <n x="461"/>
        <n x="462"/>
        <n x="800" s="1"/>
        <n x="679"/>
        <n x="680"/>
      </t>
    </mdx>
    <mdx n="0" f="v">
      <t c="6" si="614">
        <n x="610"/>
        <n x="557"/>
        <n x="558"/>
        <n x="800" s="1"/>
        <n x="685"/>
        <n x="686"/>
      </t>
    </mdx>
    <mdx n="0" f="v">
      <t c="6" si="614">
        <n x="610"/>
        <n x="727"/>
        <n x="728"/>
        <n x="800" s="1"/>
        <n x="691"/>
        <n x="692"/>
      </t>
    </mdx>
    <mdx n="0" f="v">
      <t c="6" si="614">
        <n x="610"/>
        <n x="727"/>
        <n x="728"/>
        <n x="800" s="1"/>
        <n x="691"/>
        <n x="692"/>
      </t>
    </mdx>
    <mdx n="0" f="v">
      <t c="6" si="614">
        <n x="610"/>
        <n x="237"/>
        <n x="238"/>
        <n x="800" s="1"/>
        <n x="679"/>
        <n x="680"/>
      </t>
    </mdx>
    <mdx n="0" f="v">
      <t c="6" si="614">
        <n x="610"/>
        <n x="541"/>
        <n x="542"/>
        <n x="800" s="1"/>
        <n x="685"/>
        <n x="692"/>
      </t>
    </mdx>
    <mdx n="0" f="v">
      <t c="6" si="614">
        <n x="610"/>
        <n x="603"/>
        <n x="604"/>
        <n x="800" s="1"/>
        <n x="697"/>
        <n x="678"/>
      </t>
    </mdx>
    <mdx n="0" f="v">
      <t c="6" si="614">
        <n x="610"/>
        <n x="243"/>
        <n x="244"/>
        <n x="800" s="1"/>
        <n x="687"/>
        <n x="688"/>
      </t>
    </mdx>
    <mdx n="0" f="v">
      <t c="6" si="614">
        <n x="610"/>
        <n x="735"/>
        <n x="736"/>
        <n x="800" s="1"/>
        <n x="677"/>
        <n x="678"/>
      </t>
    </mdx>
    <mdx n="0" f="v">
      <t c="6" si="614">
        <n x="610"/>
        <n x="735"/>
        <n x="736"/>
        <n x="800" s="1"/>
        <n x="677"/>
        <n x="678"/>
      </t>
    </mdx>
    <mdx n="0" f="v">
      <t c="6" si="614">
        <n x="610"/>
        <n x="443"/>
        <n x="444"/>
        <n x="800" s="1"/>
        <n x="683"/>
        <n x="690"/>
      </t>
    </mdx>
    <mdx n="0" f="v">
      <t c="6" si="614">
        <n x="610"/>
        <n x="443"/>
        <n x="444"/>
        <n x="800" s="1"/>
        <n x="683"/>
        <n x="684"/>
      </t>
    </mdx>
    <mdx n="0" f="v">
      <t c="6" si="614">
        <n x="610"/>
        <n x="525"/>
        <n x="526"/>
        <n x="800" s="1"/>
        <n x="687"/>
        <n x="688"/>
      </t>
    </mdx>
    <mdx n="0" f="v">
      <t c="6" si="614">
        <n x="610"/>
        <n x="257"/>
        <n x="258"/>
        <n x="800" s="1"/>
        <n x="687"/>
        <n x="678"/>
      </t>
    </mdx>
    <mdx n="0" f="v">
      <t c="6" si="614">
        <n x="610"/>
        <n x="257"/>
        <n x="258"/>
        <n x="800" s="1"/>
        <n x="687"/>
        <n x="688"/>
      </t>
    </mdx>
    <mdx n="0" f="v">
      <t c="6" si="614">
        <n x="610"/>
        <n x="401"/>
        <n x="402"/>
        <n x="800" s="1"/>
        <n x="685"/>
        <n x="686"/>
      </t>
    </mdx>
    <mdx n="0" f="v">
      <t c="6" si="614">
        <n x="610"/>
        <n x="739"/>
        <n x="740"/>
        <n x="800" s="1"/>
        <n x="695"/>
        <n x="686"/>
      </t>
    </mdx>
    <mdx n="0" f="v">
      <t c="6" si="614">
        <n x="610"/>
        <n x="739"/>
        <n x="740"/>
        <n x="800" s="1"/>
        <n x="695"/>
        <n x="696"/>
      </t>
    </mdx>
    <mdx n="0" f="v">
      <t c="6" si="614">
        <n x="610"/>
        <n x="499"/>
        <n x="500"/>
        <n x="800" s="1"/>
        <n x="689"/>
        <n x="684"/>
      </t>
    </mdx>
    <mdx n="0" f="v">
      <t c="6" si="614">
        <n x="610"/>
        <n x="499"/>
        <n x="500"/>
        <n x="800" s="1"/>
        <n x="689"/>
        <n x="690"/>
      </t>
    </mdx>
    <mdx n="0" f="v">
      <t c="6" si="614">
        <n x="610"/>
        <n x="537"/>
        <n x="538"/>
        <n x="800" s="1"/>
        <n x="687"/>
        <n x="688"/>
      </t>
    </mdx>
    <mdx n="0" f="v">
      <t c="6" si="614">
        <n x="610"/>
        <n x="537"/>
        <n x="538"/>
        <n x="800" s="1"/>
        <n x="687"/>
        <n x="688"/>
      </t>
    </mdx>
    <mdx n="0" f="v">
      <t c="6" si="614">
        <n x="610"/>
        <n x="491"/>
        <n x="492"/>
        <n x="800" s="1"/>
        <n x="691"/>
        <n x="692"/>
      </t>
    </mdx>
    <mdx n="0" f="v">
      <t c="6" si="614">
        <n x="610"/>
        <n x="589"/>
        <n x="590"/>
        <n x="800" s="1"/>
        <n x="687"/>
        <n x="688"/>
      </t>
    </mdx>
    <mdx n="0" f="v">
      <t c="6" si="614">
        <n x="610"/>
        <n x="437"/>
        <n x="438"/>
        <n x="800" s="1"/>
        <n x="689"/>
        <n x="690"/>
      </t>
    </mdx>
    <mdx n="0" f="v">
      <t c="6" si="614">
        <n x="610"/>
        <n x="513"/>
        <n x="514"/>
        <n x="800" s="1"/>
        <n x="691"/>
        <n x="692"/>
      </t>
    </mdx>
    <mdx n="0" f="v">
      <t c="6" si="614">
        <n x="610"/>
        <n x="747"/>
        <n x="748"/>
        <n x="800" s="1"/>
        <n x="689"/>
        <n x="690"/>
      </t>
    </mdx>
    <mdx n="0" f="v">
      <t c="6" si="614">
        <n x="610"/>
        <n x="747"/>
        <n x="748"/>
        <n x="800" s="1"/>
        <n x="689"/>
        <n x="690"/>
      </t>
    </mdx>
    <mdx n="0" f="v">
      <t c="6" si="614">
        <n x="610"/>
        <n x="259"/>
        <n x="260"/>
        <n x="800" s="1"/>
        <n x="687"/>
        <n x="688"/>
      </t>
    </mdx>
    <mdx n="0" f="v">
      <t c="6" si="614">
        <n x="610"/>
        <n x="259"/>
        <n x="260"/>
        <n x="800" s="1"/>
        <n x="687"/>
        <n x="688"/>
      </t>
    </mdx>
    <mdx n="0" f="v">
      <t c="6" si="614">
        <n x="610"/>
        <n x="489"/>
        <n x="490"/>
        <n x="800" s="1"/>
        <n x="691"/>
        <n x="692"/>
      </t>
    </mdx>
    <mdx n="0" f="v">
      <t c="6" si="614">
        <n x="610"/>
        <n x="229"/>
        <n x="594"/>
        <n x="800" s="1"/>
        <n x="691"/>
        <n x="692"/>
      </t>
    </mdx>
    <mdx n="0" f="v">
      <t c="6" si="614">
        <n x="610"/>
        <n x="229"/>
        <n x="230"/>
        <n x="800" s="1"/>
        <n x="687"/>
        <n x="688"/>
      </t>
    </mdx>
    <mdx n="0" f="v">
      <t c="6" si="614">
        <n x="610"/>
        <n x="339"/>
        <n x="340"/>
        <n x="800" s="1"/>
        <n x="683"/>
        <n x="684"/>
      </t>
    </mdx>
    <mdx n="0" f="v">
      <t c="6" si="614">
        <n x="610"/>
        <n x="339"/>
        <n x="340"/>
        <n x="800" s="1"/>
        <n x="693"/>
        <n x="694"/>
      </t>
    </mdx>
    <mdx n="0" f="v">
      <t c="6" si="614">
        <n x="610"/>
        <n x="321"/>
        <n x="322"/>
        <n x="800" s="1"/>
        <n x="669"/>
        <n x="670"/>
      </t>
    </mdx>
    <mdx n="0" f="v">
      <t c="6" si="614">
        <n x="610"/>
        <n x="321"/>
        <n x="322"/>
        <n x="800" s="1"/>
        <n x="697"/>
        <n x="698"/>
      </t>
    </mdx>
    <mdx n="0" f="v">
      <t c="6" si="614">
        <n x="610"/>
        <n x="233"/>
        <n x="234"/>
        <n x="800" s="1"/>
        <n x="679"/>
        <n x="680"/>
      </t>
    </mdx>
    <mdx n="0" f="v">
      <t c="6" si="614">
        <n x="610"/>
        <n x="233"/>
        <n x="234"/>
        <n x="800" s="1"/>
        <n x="685"/>
        <n x="686"/>
      </t>
    </mdx>
    <mdx n="0" f="v">
      <t c="6" si="614">
        <n x="610"/>
        <n x="273"/>
        <n x="274"/>
        <n x="800" s="1"/>
        <n x="679"/>
        <n x="680"/>
      </t>
    </mdx>
    <mdx n="0" f="v">
      <t c="6" si="614">
        <n x="610"/>
        <n x="325"/>
        <n x="326"/>
        <n x="800" s="1"/>
        <n x="689"/>
        <n x="690"/>
      </t>
    </mdx>
    <mdx n="0" f="v">
      <t c="6" si="614">
        <n x="610"/>
        <n x="325"/>
        <n x="326"/>
        <n x="800" s="1"/>
        <n x="689"/>
        <n x="690"/>
      </t>
    </mdx>
    <mdx n="0" f="v">
      <t c="6" si="614">
        <n x="610"/>
        <n x="409"/>
        <n x="410"/>
        <n x="800" s="1"/>
        <n x="683"/>
        <n x="684"/>
      </t>
    </mdx>
    <mdx n="0" f="v">
      <t c="6" si="614">
        <n x="610"/>
        <n x="245"/>
        <n x="246"/>
        <n x="800" s="1"/>
        <n x="693"/>
        <n x="694"/>
      </t>
    </mdx>
    <mdx n="0" f="v">
      <t c="6" si="614">
        <n x="610"/>
        <n x="245"/>
        <n x="246"/>
        <n x="800" s="1"/>
        <n x="693"/>
        <n x="694"/>
      </t>
    </mdx>
    <mdx n="0" f="v">
      <t c="6" si="614">
        <n x="610"/>
        <n x="255"/>
        <n x="256"/>
        <n x="800" s="1"/>
        <n x="679"/>
        <n x="680"/>
      </t>
    </mdx>
    <mdx n="0" f="v">
      <t c="6" si="614">
        <n x="610"/>
        <n x="255"/>
        <n x="256"/>
        <n x="800" s="1"/>
        <n x="679"/>
        <n x="680"/>
      </t>
    </mdx>
    <mdx n="0" f="v">
      <t c="6" si="614">
        <n x="610"/>
        <n x="255"/>
        <n x="256"/>
        <n x="800" s="1"/>
        <n x="691"/>
        <n x="692"/>
      </t>
    </mdx>
    <mdx n="0" f="v">
      <t c="6" si="614">
        <n x="610"/>
        <n x="467"/>
        <n x="468"/>
        <n x="800" s="1"/>
        <n x="689"/>
        <n x="690"/>
      </t>
    </mdx>
    <mdx n="0" f="v">
      <t c="6" si="614">
        <n x="610"/>
        <n x="349"/>
        <n x="350"/>
        <n x="800" s="1"/>
        <n x="681"/>
        <n x="682"/>
      </t>
    </mdx>
    <mdx n="0" f="v">
      <t c="6" si="614">
        <n x="610"/>
        <n x="403"/>
        <n x="404"/>
        <n x="800" s="1"/>
        <n x="681"/>
        <n x="682"/>
      </t>
    </mdx>
    <mdx n="0" f="v">
      <t c="6" si="614">
        <n x="610"/>
        <n x="411"/>
        <n x="412"/>
        <n x="800" s="1"/>
        <n x="689"/>
        <n x="690"/>
      </t>
    </mdx>
    <mdx n="0" f="v">
      <t c="6" si="614">
        <n x="610"/>
        <n x="411"/>
        <n x="412"/>
        <n x="800" s="1"/>
        <n x="689"/>
        <n x="694"/>
      </t>
    </mdx>
    <mdx n="0" f="v">
      <t c="6" si="614">
        <n x="610"/>
        <n x="315"/>
        <n x="768"/>
        <n x="800" s="1"/>
        <n x="681"/>
        <n x="682"/>
      </t>
    </mdx>
    <mdx n="0" f="v">
      <t c="6" si="614">
        <n x="610"/>
        <n x="769"/>
        <n x="316"/>
        <n x="800" s="1"/>
        <n x="687"/>
        <n x="688"/>
      </t>
    </mdx>
    <mdx n="0" f="v">
      <t c="6" si="614">
        <n x="610"/>
        <n x="771"/>
        <n x="772"/>
        <n x="800" s="1"/>
        <n x="693"/>
        <n x="680"/>
      </t>
    </mdx>
    <mdx n="0" f="v">
      <t c="6" si="614">
        <n x="610"/>
        <n x="773"/>
        <n x="294"/>
        <n x="800" s="1"/>
        <n x="679"/>
        <n x="670"/>
      </t>
    </mdx>
    <mdx n="0" f="v">
      <t c="6" si="614">
        <n x="610"/>
        <n x="773"/>
        <n x="774"/>
        <n x="800" s="1"/>
        <n x="681"/>
        <n x="682"/>
      </t>
    </mdx>
    <mdx n="0" f="v">
      <t c="6" si="614">
        <n x="610"/>
        <n x="773"/>
        <n x="774"/>
        <n x="800" s="1"/>
        <n x="681"/>
        <n x="682"/>
      </t>
    </mdx>
    <mdx n="0" f="v">
      <t c="6" si="614">
        <n x="610"/>
        <n x="777"/>
        <n x="778"/>
        <n x="800" s="1"/>
        <n x="679"/>
        <n x="680"/>
      </t>
    </mdx>
    <mdx n="0" f="v">
      <t c="6" si="614">
        <n x="610"/>
        <n x="515"/>
        <n x="516"/>
        <n x="800" s="1"/>
        <n x="681"/>
        <n x="682"/>
      </t>
    </mdx>
    <mdx n="0" f="v">
      <t c="6" si="614">
        <n x="610"/>
        <n x="269"/>
        <n x="270"/>
        <n x="800" s="1"/>
        <n x="685"/>
        <n x="686"/>
      </t>
    </mdx>
    <mdx n="0" f="v">
      <t c="6" si="614">
        <n x="610"/>
        <n x="241"/>
        <n x="376"/>
        <n x="800" s="1"/>
        <n x="669"/>
        <n x="670"/>
      </t>
    </mdx>
    <mdx n="0" f="v">
      <t c="6" si="614">
        <n x="610"/>
        <n x="355"/>
        <n x="356"/>
        <n x="800" s="1"/>
        <n x="679"/>
        <n x="680"/>
      </t>
    </mdx>
    <mdx n="0" f="v">
      <t c="6" si="614">
        <n x="610"/>
        <n x="355"/>
        <n x="356"/>
        <n x="800" s="1"/>
        <n x="697"/>
        <n x="698"/>
      </t>
    </mdx>
    <mdx n="0" f="v">
      <t c="6" si="614">
        <n x="610"/>
        <n x="787"/>
        <n x="788"/>
        <n x="800" s="1"/>
        <n x="683"/>
        <n x="684"/>
      </t>
    </mdx>
    <mdx n="0" f="v">
      <t c="6" si="614">
        <n x="610"/>
        <n x="787"/>
        <n x="788"/>
        <n x="800" s="1"/>
        <n x="689"/>
        <n x="690"/>
      </t>
    </mdx>
    <mdx n="0" f="v">
      <t c="6" si="614">
        <n x="610"/>
        <n x="581"/>
        <n x="582"/>
        <n x="800" s="1"/>
        <n x="697"/>
        <n x="698"/>
      </t>
    </mdx>
    <mdx n="0" f="v">
      <t c="6" si="614">
        <n x="610"/>
        <n x="311"/>
        <n x="312"/>
        <n x="800" s="1"/>
        <n x="697"/>
        <n x="698"/>
      </t>
    </mdx>
    <mdx n="0" f="v">
      <t c="6" si="614">
        <n x="610"/>
        <n x="531"/>
        <n x="532"/>
        <n x="800" s="1"/>
        <n x="685"/>
        <n x="686"/>
      </t>
    </mdx>
    <mdx n="0" f="v">
      <t c="6" si="614">
        <n x="610"/>
        <n x="521"/>
        <n x="522"/>
        <n x="800" s="1"/>
        <n x="691"/>
        <n x="692"/>
      </t>
    </mdx>
    <mdx n="0" f="v">
      <t c="6" si="614">
        <n x="610"/>
        <n x="423"/>
        <n x="424"/>
        <n x="800" s="1"/>
        <n x="685"/>
        <n x="686"/>
      </t>
    </mdx>
    <mdx n="0" f="v">
      <t c="6" si="614">
        <n x="610"/>
        <n x="575"/>
        <n x="576"/>
        <n x="800" s="1"/>
        <n x="681"/>
        <n x="682"/>
      </t>
    </mdx>
    <mdx n="0" f="v">
      <t c="6" si="614">
        <n x="610"/>
        <n x="285"/>
        <n x="286"/>
        <n x="800" s="1"/>
        <n x="695"/>
        <n x="696"/>
      </t>
    </mdx>
    <mdx n="0" f="v">
      <t c="6" si="614">
        <n x="610"/>
        <n x="585"/>
        <n x="586"/>
        <n x="800" s="1"/>
        <n x="683"/>
        <n x="684"/>
      </t>
    </mdx>
    <mdx n="0" f="v">
      <t c="6" si="614">
        <n x="610"/>
        <n x="585"/>
        <n x="586"/>
        <n x="800" s="1"/>
        <n x="683"/>
        <n x="684"/>
      </t>
    </mdx>
    <mdx n="0" f="v">
      <t c="6" si="614">
        <n x="610"/>
        <n x="239"/>
        <n x="240"/>
        <n x="800" s="1"/>
        <n x="669"/>
        <n x="670"/>
      </t>
    </mdx>
    <mdx n="0" f="v">
      <t c="6" si="614">
        <n x="610"/>
        <n x="459"/>
        <n x="460"/>
        <n x="800" s="1"/>
        <n x="693"/>
        <n x="694"/>
      </t>
    </mdx>
    <mdx n="0" f="v">
      <t c="6" si="614">
        <n x="610"/>
        <n x="601"/>
        <n x="460"/>
        <n x="800" s="1"/>
        <n x="683"/>
        <n x="684"/>
      </t>
    </mdx>
    <mdx n="0" f="v">
      <t c="6" si="614">
        <n x="610"/>
        <n x="557"/>
        <n x="558"/>
        <n x="800" s="1"/>
        <n x="687"/>
        <n x="688"/>
      </t>
    </mdx>
    <mdx n="0" f="v">
      <t c="6" si="614">
        <n x="610"/>
        <n x="367"/>
        <n x="368"/>
        <n x="800" s="1"/>
        <n x="681"/>
        <n x="682"/>
      </t>
    </mdx>
    <mdx n="0" f="v">
      <t c="6" si="614">
        <n x="610"/>
        <n x="237"/>
        <n x="238"/>
        <n x="800" s="1"/>
        <n x="681"/>
        <n x="694"/>
      </t>
    </mdx>
    <mdx n="0" f="v">
      <t c="6" si="614">
        <n x="610"/>
        <n x="237"/>
        <n x="238"/>
        <n x="800" s="1"/>
        <n x="681"/>
        <n x="682"/>
      </t>
    </mdx>
    <mdx n="0" f="v">
      <t c="6" si="614">
        <n x="610"/>
        <n x="541"/>
        <n x="542"/>
        <n x="800" s="1"/>
        <n x="693"/>
        <n x="694"/>
      </t>
    </mdx>
    <mdx n="0" f="v">
      <t c="6" si="614">
        <n x="610"/>
        <n x="603"/>
        <n x="604"/>
        <n x="800" s="1"/>
        <n x="679"/>
        <n x="688"/>
      </t>
    </mdx>
    <mdx n="0" f="v">
      <t c="6" si="614">
        <n x="610"/>
        <n x="603"/>
        <n x="604"/>
        <n x="800" s="1"/>
        <n x="679"/>
        <n x="680"/>
      </t>
    </mdx>
    <mdx n="0" f="v">
      <t c="6" si="614">
        <n x="610"/>
        <n x="363"/>
        <n x="364"/>
        <n x="800" s="1"/>
        <n x="683"/>
        <n x="684"/>
      </t>
    </mdx>
    <mdx n="0" f="v">
      <t c="6" si="614">
        <n x="610"/>
        <n x="241"/>
        <n x="242"/>
        <n x="800" s="1"/>
        <n x="669"/>
        <n x="670"/>
      </t>
    </mdx>
    <mdx n="0" f="v">
      <t c="6" si="614">
        <n x="610"/>
        <n x="281"/>
        <n x="282"/>
        <n x="800" s="1"/>
        <n x="679"/>
        <n x="680"/>
      </t>
    </mdx>
    <mdx n="0" f="v">
      <t c="6" si="614">
        <n x="610"/>
        <n x="281"/>
        <n x="282"/>
        <n x="800" s="1"/>
        <n x="679"/>
        <n x="680"/>
      </t>
    </mdx>
    <mdx n="0" f="v">
      <t c="6" si="614">
        <n x="610"/>
        <n x="389"/>
        <n x="390"/>
        <n x="800" s="1"/>
        <n x="691"/>
        <n x="692"/>
      </t>
    </mdx>
    <mdx n="0" f="v">
      <t c="6" si="614">
        <n x="610"/>
        <n x="387"/>
        <n x="388"/>
        <n x="800" s="1"/>
        <n x="681"/>
        <n x="682"/>
      </t>
    </mdx>
    <mdx n="0" f="v">
      <t c="6" si="614">
        <n x="610"/>
        <n x="319"/>
        <n x="320"/>
        <n x="800" s="1"/>
        <n x="679"/>
        <n x="680"/>
      </t>
    </mdx>
    <mdx n="0" f="v">
      <t c="6" si="614">
        <n x="610"/>
        <n x="737"/>
        <n x="738"/>
        <n x="800" s="1"/>
        <n x="689"/>
        <n x="690"/>
      </t>
    </mdx>
    <mdx n="0" f="v">
      <t c="6" si="614">
        <n x="610"/>
        <n x="499"/>
        <n x="500"/>
        <n x="800" s="1"/>
        <n x="677"/>
        <n x="678"/>
      </t>
    </mdx>
    <mdx n="0" f="v">
      <t c="6" si="614">
        <n x="610"/>
        <n x="499"/>
        <n x="500"/>
        <n x="800" s="1"/>
        <n x="697"/>
        <n x="698"/>
      </t>
    </mdx>
    <mdx n="0" f="v">
      <t c="6" si="614">
        <n x="610"/>
        <n x="455"/>
        <n x="456"/>
        <n x="800" s="1"/>
        <n x="683"/>
        <n x="684"/>
      </t>
    </mdx>
    <mdx n="0" f="v">
      <t c="6" si="614">
        <n x="610"/>
        <n x="433"/>
        <n x="434"/>
        <n x="800" s="1"/>
        <n x="695"/>
        <n x="696"/>
      </t>
    </mdx>
    <mdx n="0" f="v">
      <t c="6" si="614">
        <n x="610"/>
        <n x="513"/>
        <n x="514"/>
        <n x="800" s="1"/>
        <n x="683"/>
        <n x="684"/>
      </t>
    </mdx>
    <mdx n="0" f="v">
      <t c="6" si="614">
        <n x="610"/>
        <n x="513"/>
        <n x="514"/>
        <n x="800" s="1"/>
        <n x="683"/>
        <n x="684"/>
      </t>
    </mdx>
    <mdx n="0" f="v">
      <t c="6" si="614">
        <n x="610"/>
        <n x="747"/>
        <n x="748"/>
        <n x="800" s="1"/>
        <n x="679"/>
        <n x="680"/>
      </t>
    </mdx>
    <mdx n="0" f="v">
      <t c="6" si="614">
        <n x="610"/>
        <n x="569"/>
        <n x="570"/>
        <n x="800" s="1"/>
        <n x="695"/>
        <n x="696"/>
      </t>
    </mdx>
    <mdx n="0" f="v">
      <t c="6" si="614">
        <n x="610"/>
        <n x="489"/>
        <n x="490"/>
        <n x="800" s="1"/>
        <n x="683"/>
        <n x="684"/>
      </t>
    </mdx>
    <mdx n="0" f="v">
      <t c="6" si="614">
        <n x="610"/>
        <n x="489"/>
        <n x="490"/>
        <n x="800" s="1"/>
        <n x="683"/>
        <n x="684"/>
      </t>
    </mdx>
    <mdx n="0" f="v">
      <t c="6" si="614">
        <n x="610"/>
        <n x="751"/>
        <n x="752"/>
        <n x="800" s="1"/>
        <n x="679"/>
        <n x="680"/>
      </t>
    </mdx>
    <mdx n="0" f="v">
      <t c="6" si="614">
        <n x="610"/>
        <n x="205"/>
        <n x="206"/>
        <n x="800" s="1"/>
        <n x="681"/>
        <n x="682"/>
      </t>
    </mdx>
    <mdx n="0" f="v">
      <t c="6" si="614">
        <n x="610"/>
        <n x="577"/>
        <n x="578"/>
        <n x="800" s="1"/>
        <n x="679"/>
        <n x="680"/>
      </t>
    </mdx>
    <mdx n="0" f="v">
      <t c="6" si="614">
        <n x="610"/>
        <n x="577"/>
        <n x="578"/>
        <n x="800" s="1"/>
        <n x="687"/>
        <n x="688"/>
      </t>
    </mdx>
    <mdx n="0" f="v">
      <t c="6" si="614">
        <n x="610"/>
        <n x="289"/>
        <n x="290"/>
        <n x="800" s="1"/>
        <n x="697"/>
        <n x="698"/>
      </t>
    </mdx>
    <mdx n="0" f="v">
      <t c="6" si="614">
        <n x="610"/>
        <n x="289"/>
        <n x="290"/>
        <n x="800" s="1"/>
        <n x="697"/>
        <n x="698"/>
      </t>
    </mdx>
    <mdx n="0" f="v">
      <t c="6" si="614">
        <n x="610"/>
        <n x="361"/>
        <n x="362"/>
        <n x="800" s="1"/>
        <n x="681"/>
        <n x="682"/>
      </t>
    </mdx>
    <mdx n="0" f="v">
      <t c="6" si="614">
        <n x="610"/>
        <n x="361"/>
        <n x="362"/>
        <n x="800" s="1"/>
        <n x="681"/>
        <n x="682"/>
      </t>
    </mdx>
    <mdx n="0" f="v">
      <t c="6" si="614">
        <n x="610"/>
        <n x="273"/>
        <n x="274"/>
        <n x="800" s="1"/>
        <n x="681"/>
        <n x="682"/>
      </t>
    </mdx>
    <mdx n="0" f="v">
      <t c="6" si="614">
        <n x="610"/>
        <n x="273"/>
        <n x="274"/>
        <n x="800" s="1"/>
        <n x="681"/>
        <n x="682"/>
      </t>
    </mdx>
    <mdx n="0" f="v">
      <t c="6" si="614">
        <n x="610"/>
        <n x="759"/>
        <n x="760"/>
        <n x="800" s="1"/>
        <n x="691"/>
        <n x="678"/>
      </t>
    </mdx>
    <mdx n="0" f="v">
      <t c="6" si="614">
        <n x="610"/>
        <n x="759"/>
        <n x="760"/>
        <n x="800" s="1"/>
        <n x="691"/>
        <n x="692"/>
      </t>
    </mdx>
    <mdx n="0" f="v">
      <t c="6" si="614">
        <n x="610"/>
        <n x="761"/>
        <n x="762"/>
        <n x="800" s="1"/>
        <n x="685"/>
        <n x="686"/>
      </t>
    </mdx>
    <mdx n="0" f="v">
      <t c="6" si="614">
        <n x="610"/>
        <n x="245"/>
        <n x="246"/>
        <n x="800" s="1"/>
        <n x="683"/>
        <n x="684"/>
      </t>
    </mdx>
    <mdx n="0" f="v">
      <t c="6" si="614">
        <n x="610"/>
        <n x="549"/>
        <n x="550"/>
        <n x="800" s="1"/>
        <n x="689"/>
        <n x="690"/>
      </t>
    </mdx>
    <mdx n="0" f="v">
      <t c="6" si="614">
        <n x="610"/>
        <n x="507"/>
        <n x="508"/>
        <n x="800" s="1"/>
        <n x="687"/>
        <n x="688"/>
      </t>
    </mdx>
    <mdx n="0" f="v">
      <t c="6" si="614">
        <n x="610"/>
        <n x="287"/>
        <n x="288"/>
        <n x="800" s="1"/>
        <n x="683"/>
        <n x="684"/>
      </t>
    </mdx>
    <mdx n="0" f="v">
      <t c="6" si="614">
        <n x="610"/>
        <n x="767"/>
        <n x="768"/>
        <n x="800" s="1"/>
        <n x="683"/>
        <n x="684"/>
      </t>
    </mdx>
    <mdx n="0" f="v">
      <t c="6" si="614">
        <n x="610"/>
        <n x="767"/>
        <n x="768"/>
        <n x="800" s="1"/>
        <n x="693"/>
        <n x="678"/>
      </t>
    </mdx>
    <mdx n="0" f="v">
      <t c="6" si="614">
        <n x="610"/>
        <n x="427"/>
        <n x="512"/>
        <n x="800" s="1"/>
        <n x="683"/>
        <n x="684"/>
      </t>
    </mdx>
    <mdx n="0" f="v">
      <t c="6" si="614">
        <n x="610"/>
        <n x="771"/>
        <n x="772"/>
        <n x="800" s="1"/>
        <n x="681"/>
        <n x="682"/>
      </t>
    </mdx>
    <mdx n="0" f="v">
      <t c="6" si="614">
        <n x="610"/>
        <n x="773"/>
        <n x="774"/>
        <n x="800" s="1"/>
        <n x="687"/>
        <n x="688"/>
      </t>
    </mdx>
    <mdx n="0" f="v">
      <t c="6" si="614">
        <n x="610"/>
        <n x="357"/>
        <n x="776"/>
        <n x="800" s="1"/>
        <n x="669"/>
        <n x="670"/>
      </t>
    </mdx>
    <mdx n="0" f="v">
      <t c="6" si="614">
        <n x="610"/>
        <n x="357"/>
        <n x="358"/>
        <n x="800" s="1"/>
        <n x="687"/>
        <n x="688"/>
      </t>
    </mdx>
    <mdx n="0" f="v">
      <t c="6" si="614">
        <n x="610"/>
        <n x="515"/>
        <n x="516"/>
        <n x="800" s="1"/>
        <n x="683"/>
        <n x="684"/>
      </t>
    </mdx>
    <mdx n="0" f="v">
      <t c="6" si="614">
        <n x="610"/>
        <n x="779"/>
        <n x="780"/>
        <n x="800" s="1"/>
        <n x="691"/>
        <n x="692"/>
      </t>
    </mdx>
    <mdx n="0" f="v">
      <t c="6" si="614">
        <n x="610"/>
        <n x="269"/>
        <n x="270"/>
        <n x="800" s="1"/>
        <n x="687"/>
        <n x="688"/>
      </t>
    </mdx>
    <mdx n="0" f="v">
      <t c="6" si="614">
        <n x="610"/>
        <n x="527"/>
        <n x="528"/>
        <n x="800" s="1"/>
        <n x="691"/>
        <n x="692"/>
      </t>
    </mdx>
    <mdx n="0" f="v">
      <t c="6" si="614">
        <n x="610"/>
        <n x="527"/>
        <n x="528"/>
        <n x="800" s="1"/>
        <n x="691"/>
        <n x="692"/>
      </t>
    </mdx>
    <mdx n="0" f="v">
      <t c="6" si="614">
        <n x="610"/>
        <n x="783"/>
        <n x="784"/>
        <n x="800" s="1"/>
        <n x="683"/>
        <n x="684"/>
      </t>
    </mdx>
    <mdx n="0" f="v">
      <t c="6" si="614">
        <n x="610"/>
        <n x="787"/>
        <n x="788"/>
        <n x="800" s="1"/>
        <n x="677"/>
        <n x="678"/>
      </t>
    </mdx>
    <mdx n="0" f="v">
      <t c="6" si="614">
        <n x="610"/>
        <n x="583"/>
        <n x="584"/>
        <n x="800" s="1"/>
        <n x="681"/>
        <n x="682"/>
      </t>
    </mdx>
    <mdx n="0" f="v">
      <t c="6" si="614">
        <n x="610"/>
        <n x="311"/>
        <n x="312"/>
        <n x="800" s="1"/>
        <n x="681"/>
        <n x="682"/>
      </t>
    </mdx>
    <mdx n="0" f="v">
      <t c="6" si="614">
        <n x="610"/>
        <n x="531"/>
        <n x="312"/>
        <n x="800" s="1"/>
        <n x="681"/>
        <n x="682"/>
      </t>
    </mdx>
    <mdx n="0" f="v">
      <t c="6" si="614">
        <n x="610"/>
        <n x="423"/>
        <n x="424"/>
        <n x="800" s="1"/>
        <n x="689"/>
        <n x="690"/>
      </t>
    </mdx>
    <mdx n="0" f="v">
      <t c="6" si="614">
        <n x="610"/>
        <n x="423"/>
        <n x="424"/>
        <n x="800" s="1"/>
        <n x="687"/>
        <n x="682"/>
      </t>
    </mdx>
    <mdx n="0" f="v">
      <t c="6" si="614">
        <n x="610"/>
        <n x="423"/>
        <n x="424"/>
        <n x="800" s="1"/>
        <n x="687"/>
        <n x="688"/>
      </t>
    </mdx>
    <mdx n="0" f="v">
      <t c="6" si="614">
        <n x="610"/>
        <n x="545"/>
        <n x="546"/>
        <n x="800" s="1"/>
        <n x="697"/>
        <n x="680"/>
      </t>
    </mdx>
    <mdx n="0" f="v">
      <t c="6" si="614">
        <n x="610"/>
        <n x="253"/>
        <n x="254"/>
        <n x="800" s="1"/>
        <n x="685"/>
        <n x="686"/>
      </t>
    </mdx>
    <mdx n="0" f="v">
      <t c="6" si="614">
        <n x="610"/>
        <n x="253"/>
        <n x="254"/>
        <n x="800" s="1"/>
        <n x="685"/>
        <n x="686"/>
      </t>
    </mdx>
    <mdx n="0" f="v">
      <t c="6" si="614">
        <n x="610"/>
        <n x="475"/>
        <n x="476"/>
        <n x="800" s="1"/>
        <n x="693"/>
        <n x="694"/>
      </t>
    </mdx>
    <mdx n="0" f="v">
      <t c="6" si="614">
        <n x="610"/>
        <n x="369"/>
        <n x="370"/>
        <n x="800" s="1"/>
        <n x="693"/>
        <n x="694"/>
      </t>
    </mdx>
    <mdx n="0" f="v">
      <t c="6" si="614">
        <n x="610"/>
        <n x="371"/>
        <n x="370"/>
        <n x="800" s="1"/>
        <n x="693"/>
        <n x="694"/>
      </t>
    </mdx>
    <mdx n="0" f="v">
      <t c="6" si="614">
        <n x="610"/>
        <n x="805"/>
        <n x="372"/>
        <n x="800" s="1"/>
        <n x="685"/>
        <n x="686"/>
      </t>
    </mdx>
    <mdx n="0" f="v">
      <t c="6" si="614">
        <n x="610"/>
        <n x="371"/>
        <n x="372"/>
        <n x="800" s="1"/>
        <n x="693"/>
        <n x="686"/>
      </t>
    </mdx>
    <mdx n="0" f="v">
      <t c="6" si="614">
        <n x="610"/>
        <n x="805"/>
        <n x="806"/>
        <n x="800" s="1"/>
        <n x="693"/>
        <n x="694"/>
      </t>
    </mdx>
    <mdx n="0" f="v">
      <t c="6" si="614">
        <n x="610"/>
        <n x="711"/>
        <n x="712"/>
        <n x="800" s="1"/>
        <n x="685"/>
        <n x="686"/>
      </t>
    </mdx>
    <mdx n="0" f="v">
      <t c="6" si="614">
        <n x="610"/>
        <n x="711"/>
        <n x="712"/>
        <n x="800" s="1"/>
        <n x="687"/>
        <n x="688"/>
      </t>
    </mdx>
    <mdx n="0" f="v">
      <t c="6" si="614">
        <n x="610"/>
        <n x="523"/>
        <n x="524"/>
        <n x="800" s="1"/>
        <n x="691"/>
        <n x="692"/>
      </t>
    </mdx>
    <mdx n="0" f="v">
      <t c="6" si="614">
        <n x="610"/>
        <n x="711"/>
        <n x="712"/>
        <n x="800" s="1"/>
        <n x="615"/>
        <n x="616"/>
      </t>
    </mdx>
    <mdx n="0" f="v">
      <t c="6" si="614">
        <n x="610"/>
        <n x="217"/>
        <n x="218"/>
        <n x="800" s="1"/>
        <n x="615"/>
        <n x="616"/>
      </t>
    </mdx>
    <mdx n="0" f="v">
      <t c="6" si="614">
        <n x="610"/>
        <n x="709"/>
        <n x="710"/>
        <n x="800" s="1"/>
        <n x="615"/>
        <n x="616"/>
      </t>
    </mdx>
    <mdx n="0" f="v">
      <t c="6" si="614">
        <n x="610"/>
        <n x="379"/>
        <n x="380"/>
        <n x="800" s="1"/>
        <n x="615"/>
        <n x="616"/>
      </t>
    </mdx>
    <mdx n="0" f="v">
      <t c="6" si="614">
        <n x="610"/>
        <n x="459"/>
        <n x="460"/>
        <n x="800" s="1"/>
        <n x="615"/>
        <n x="616"/>
      </t>
    </mdx>
    <mdx n="0" f="v">
      <t c="6" si="614">
        <n x="610"/>
        <n x="601"/>
        <n x="602"/>
        <n x="800" s="1"/>
        <n x="615"/>
        <n x="616"/>
      </t>
    </mdx>
    <mdx n="0" f="v">
      <t c="6" si="614">
        <n x="610"/>
        <n x="237"/>
        <n x="238"/>
        <n x="800" s="1"/>
        <n x="615"/>
        <n x="616"/>
      </t>
    </mdx>
    <mdx n="0" f="v">
      <t c="6" si="614">
        <n x="610"/>
        <n x="453"/>
        <n x="454"/>
        <n x="800" s="1"/>
        <n x="615"/>
        <n x="616"/>
      </t>
    </mdx>
    <mdx n="0" f="v">
      <t c="6" si="614">
        <n x="610"/>
        <n x="733"/>
        <n x="734"/>
        <n x="800" s="1"/>
        <n x="615"/>
        <n x="616"/>
      </t>
    </mdx>
    <mdx n="0" f="v">
      <t c="6" si="614">
        <n x="610"/>
        <n x="283"/>
        <n x="284"/>
        <n x="800" s="1"/>
        <n x="615"/>
        <n x="616"/>
      </t>
    </mdx>
    <mdx n="0" f="v">
      <t c="6" si="614">
        <n x="610"/>
        <n x="319"/>
        <n x="320"/>
        <n x="800" s="1"/>
        <n x="615"/>
        <n x="616"/>
      </t>
    </mdx>
    <mdx n="0" f="v">
      <t c="6" si="614">
        <n x="610"/>
        <n x="741"/>
        <n x="742"/>
        <n x="800" s="1"/>
        <n x="615"/>
        <n x="616"/>
      </t>
    </mdx>
    <mdx n="0" f="v">
      <t c="6" si="614">
        <n x="610"/>
        <n x="393"/>
        <n x="394"/>
        <n x="800" s="1"/>
        <n x="615"/>
        <n x="616"/>
      </t>
    </mdx>
    <mdx n="0" f="v">
      <t c="6" si="614">
        <n x="610"/>
        <n x="605"/>
        <n x="606"/>
        <n x="800" s="1"/>
        <n x="615"/>
        <n x="616"/>
      </t>
    </mdx>
    <mdx n="0" f="v">
      <t c="6" si="614">
        <n x="610"/>
        <n x="295"/>
        <n x="296"/>
        <n x="800" s="1"/>
        <n x="615"/>
        <n x="616"/>
      </t>
    </mdx>
    <mdx n="0" f="v">
      <t c="6" si="614">
        <n x="610"/>
        <n x="299"/>
        <n x="300"/>
        <n x="800" s="1"/>
        <n x="615"/>
        <n x="616"/>
      </t>
    </mdx>
    <mdx n="0" f="v">
      <t c="6" si="614">
        <n x="610"/>
        <n x="229"/>
        <n x="230"/>
        <n x="800" s="1"/>
        <n x="615"/>
        <n x="616"/>
      </t>
    </mdx>
    <mdx n="0" f="v">
      <t c="6" si="614">
        <n x="610"/>
        <n x="339"/>
        <n x="340"/>
        <n x="800" s="1"/>
        <n x="615"/>
        <n x="616"/>
      </t>
    </mdx>
    <mdx n="0" f="v">
      <t c="6" si="614">
        <n x="610"/>
        <n x="399"/>
        <n x="400"/>
        <n x="800" s="1"/>
        <n x="615"/>
        <n x="616"/>
      </t>
    </mdx>
    <mdx n="0" f="v">
      <t c="6" si="614">
        <n x="610"/>
        <n x="551"/>
        <n x="552"/>
        <n x="800" s="1"/>
        <n x="615"/>
        <n x="616"/>
      </t>
    </mdx>
    <mdx n="0" f="v">
      <t c="6" si="614">
        <n x="610"/>
        <n x="409"/>
        <n x="410"/>
        <n x="800" s="1"/>
        <n x="615"/>
        <n x="616"/>
      </t>
    </mdx>
    <mdx n="0" f="v">
      <t c="6" si="614">
        <n x="610"/>
        <n x="469"/>
        <n x="470"/>
        <n x="800" s="1"/>
        <n x="615"/>
        <n x="616"/>
      </t>
    </mdx>
    <mdx n="0" f="v">
      <t c="6" si="614">
        <n x="610"/>
        <n x="539"/>
        <n x="540"/>
        <n x="800" s="1"/>
        <n x="615"/>
        <n x="616"/>
      </t>
    </mdx>
    <mdx n="0" f="v">
      <t c="6" si="614">
        <n x="610"/>
        <n x="767"/>
        <n x="768"/>
        <n x="800" s="1"/>
        <n x="615"/>
        <n x="616"/>
      </t>
    </mdx>
    <mdx n="0" f="v">
      <t c="6" si="614">
        <n x="610"/>
        <n x="485"/>
        <n x="486"/>
        <n x="800" s="1"/>
        <n x="615"/>
        <n x="616"/>
      </t>
    </mdx>
    <mdx n="0" f="v">
      <t c="6" si="614">
        <n x="610"/>
        <n x="777"/>
        <n x="778"/>
        <n x="800" s="1"/>
        <n x="615"/>
        <n x="616"/>
      </t>
    </mdx>
    <mdx n="0" f="v">
      <t c="6" si="614">
        <n x="610"/>
        <n x="269"/>
        <n x="270"/>
        <n x="800" s="1"/>
        <n x="615"/>
        <n x="616"/>
      </t>
    </mdx>
    <mdx n="0" f="v">
      <t c="6" si="614">
        <n x="610"/>
        <n x="535"/>
        <n x="536"/>
        <n x="800" s="1"/>
        <n x="615"/>
        <n x="616"/>
      </t>
    </mdx>
    <mdx n="0" f="v">
      <t c="6" si="614">
        <n x="610"/>
        <n x="565"/>
        <n x="566"/>
        <n x="800" s="1"/>
        <n x="615"/>
        <n x="616"/>
      </t>
    </mdx>
    <mdx n="0" f="v">
      <t c="6" si="614">
        <n x="610"/>
        <n x="473"/>
        <n x="474"/>
        <n x="800" s="1"/>
        <n x="615"/>
        <n x="616"/>
      </t>
    </mdx>
    <mdx n="0" f="v">
      <t c="6" si="614">
        <n x="610"/>
        <n x="213"/>
        <n x="214"/>
        <n x="800" s="1"/>
        <n x="615"/>
        <n x="616"/>
      </t>
    </mdx>
    <mdx n="0" f="v">
      <t c="6" si="614">
        <n x="610"/>
        <n x="465"/>
        <n x="466"/>
        <n x="800" s="1"/>
        <n x="615"/>
        <n x="616"/>
      </t>
    </mdx>
    <mdx n="0" f="v">
      <t c="6" si="614">
        <n x="610"/>
        <n x="563"/>
        <n x="564"/>
        <n x="800" s="1"/>
        <n x="615"/>
        <n x="616"/>
      </t>
    </mdx>
    <mdx n="0" f="v">
      <t c="6" si="614">
        <n x="610"/>
        <n x="329"/>
        <n x="330"/>
        <n x="800" s="1"/>
        <n x="615"/>
        <n x="616"/>
      </t>
    </mdx>
    <mdx n="0" f="v">
      <t c="6" si="614">
        <n x="610"/>
        <n x="587"/>
        <n x="588"/>
        <n x="800" s="1"/>
        <n x="615"/>
        <n x="616"/>
      </t>
    </mdx>
    <mdx n="0" f="v">
      <t c="6" si="614">
        <n x="610"/>
        <n x="323"/>
        <n x="324"/>
        <n x="800" s="1"/>
        <n x="615"/>
        <n x="616"/>
      </t>
    </mdx>
    <mdx n="0" f="v">
      <t c="6" si="614">
        <n x="610"/>
        <n x="559"/>
        <n x="560"/>
        <n x="800" s="1"/>
        <n x="615"/>
        <n x="616"/>
      </t>
    </mdx>
    <mdx n="0" f="v">
      <t c="6" si="614">
        <n x="610"/>
        <n x="371"/>
        <n x="372"/>
        <n x="800" s="1"/>
        <n x="615"/>
        <n x="616"/>
      </t>
    </mdx>
    <mdx n="0" f="v">
      <t c="6" si="614">
        <n x="610"/>
        <n x="285"/>
        <n x="286"/>
        <n x="800" s="1"/>
        <n x="615"/>
        <n x="616"/>
      </t>
    </mdx>
    <mdx n="0" f="v">
      <t c="6" si="614">
        <n x="610"/>
        <n x="239"/>
        <n x="240"/>
        <n x="800" s="1"/>
        <n x="615"/>
        <n x="616"/>
      </t>
    </mdx>
    <mdx n="0" f="v">
      <t c="6" si="614">
        <n x="610"/>
        <n x="547"/>
        <n x="548"/>
        <n x="800" s="1"/>
        <n x="615"/>
        <n x="616"/>
      </t>
    </mdx>
    <mdx n="0" f="v">
      <t c="6" si="614">
        <n x="610"/>
        <n x="495"/>
        <n x="558"/>
        <n x="800" s="1"/>
        <n x="615"/>
        <n x="616"/>
      </t>
    </mdx>
    <mdx n="0" f="v">
      <t c="6" si="614">
        <n x="610"/>
        <n x="495"/>
        <n x="496"/>
        <n x="800" s="1"/>
        <n x="615"/>
        <n x="616"/>
      </t>
    </mdx>
    <mdx n="0" f="v">
      <t c="6" si="614">
        <n x="610"/>
        <n x="281"/>
        <n x="282"/>
        <n x="800" s="1"/>
        <n x="615"/>
        <n x="616"/>
      </t>
    </mdx>
    <mdx n="0" f="v">
      <t c="6" si="614">
        <n x="610"/>
        <n x="715"/>
        <n x="716"/>
        <n x="800" s="1"/>
        <n x="615"/>
        <n x="616"/>
      </t>
    </mdx>
    <mdx n="0" f="v">
      <t c="6" si="614">
        <n x="610"/>
        <n x="261"/>
        <n x="262"/>
        <n x="800" s="1"/>
        <n x="615"/>
        <n x="616"/>
      </t>
    </mdx>
    <mdx n="0" f="v">
      <t c="6" si="614">
        <n x="610"/>
        <n x="401"/>
        <n x="402"/>
        <n x="800" s="1"/>
        <n x="615"/>
        <n x="616"/>
      </t>
    </mdx>
    <mdx n="0" f="v">
      <t c="6" si="614">
        <n x="610"/>
        <n x="435"/>
        <n x="436"/>
        <n x="800" s="1"/>
        <n x="615"/>
        <n x="616"/>
      </t>
    </mdx>
    <mdx n="0" f="v">
      <t c="6" si="614">
        <n x="610"/>
        <n x="743"/>
        <n x="744"/>
        <n x="800" s="1"/>
        <n x="615"/>
        <n x="616"/>
      </t>
    </mdx>
    <mdx n="0" f="v">
      <t c="6" si="614">
        <n x="610"/>
        <n x="437"/>
        <n x="438"/>
        <n x="800" s="1"/>
        <n x="615"/>
        <n x="616"/>
      </t>
    </mdx>
    <mdx n="0" f="v">
      <t c="6" si="614">
        <n x="610"/>
        <n x="747"/>
        <n x="748"/>
        <n x="800" s="1"/>
        <n x="615"/>
        <n x="616"/>
      </t>
    </mdx>
    <mdx n="0" f="v">
      <t c="6" si="614">
        <n x="610"/>
        <n x="749"/>
        <n x="750"/>
        <n x="800" s="1"/>
        <n x="615"/>
        <n x="616"/>
      </t>
    </mdx>
    <mdx n="0" f="v">
      <t c="6" si="614">
        <n x="610"/>
        <n x="751"/>
        <n x="752"/>
        <n x="800" s="1"/>
        <n x="615"/>
        <n x="616"/>
      </t>
    </mdx>
    <mdx n="0" f="v">
      <t c="6" si="614">
        <n x="610"/>
        <n x="471"/>
        <n x="472"/>
        <n x="800" s="1"/>
        <n x="615"/>
        <n x="616"/>
      </t>
    </mdx>
    <mdx n="0" f="v">
      <t c="6" si="614">
        <n x="610"/>
        <n x="233"/>
        <n x="234"/>
        <n x="800" s="1"/>
        <n x="615"/>
        <n x="616"/>
      </t>
    </mdx>
    <mdx n="0" f="v">
      <t c="6" si="614">
        <n x="610"/>
        <n x="273"/>
        <n x="274"/>
        <n x="800" s="1"/>
        <n x="615"/>
        <n x="616"/>
      </t>
    </mdx>
    <mdx n="0" f="v">
      <t c="6" si="614">
        <n x="610"/>
        <n x="553"/>
        <n x="554"/>
        <n x="800" s="1"/>
        <n x="615"/>
        <n x="616"/>
      </t>
    </mdx>
    <mdx n="0" f="v">
      <t c="6" si="614">
        <n x="610"/>
        <n x="247"/>
        <n x="248"/>
        <n x="800" s="1"/>
        <n x="615"/>
        <n x="616"/>
      </t>
    </mdx>
    <mdx n="0" f="v">
      <t c="6" si="614">
        <n x="610"/>
        <n x="765"/>
        <n x="766"/>
        <n x="800" s="1"/>
        <n x="615"/>
        <n x="616"/>
      </t>
    </mdx>
    <mdx n="0" f="v">
      <t c="6" si="614">
        <n x="610"/>
        <n x="315"/>
        <n x="316"/>
        <n x="800" s="1"/>
        <n x="615"/>
        <n x="616"/>
      </t>
    </mdx>
    <mdx n="0" f="v">
      <t c="6" si="614">
        <n x="610"/>
        <n x="293"/>
        <n x="294"/>
        <n x="800" s="1"/>
        <n x="615"/>
        <n x="616"/>
      </t>
    </mdx>
    <mdx n="0" f="v">
      <t c="6" si="614">
        <n x="610"/>
        <n x="357"/>
        <n x="358"/>
        <n x="800" s="1"/>
        <n x="615"/>
        <n x="616"/>
      </t>
    </mdx>
    <mdx n="0" f="v">
      <t c="6" si="614">
        <n x="610"/>
        <n x="533"/>
        <n x="534"/>
        <n x="800" s="1"/>
        <n x="615"/>
        <n x="616"/>
      </t>
    </mdx>
    <mdx n="0" f="v">
      <t c="6" si="614">
        <n x="610"/>
        <n x="355"/>
        <n x="356"/>
        <n x="800" s="1"/>
        <n x="615"/>
        <n x="616"/>
      </t>
    </mdx>
    <mdx n="0" f="v">
      <t c="6" si="614">
        <n x="610"/>
        <n x="581"/>
        <n x="582"/>
        <n x="800" s="1"/>
        <n x="615"/>
        <n x="616"/>
      </t>
    </mdx>
    <mdx n="0" f="v">
      <t c="6" si="614">
        <n x="610"/>
        <n x="521"/>
        <n x="522"/>
        <n x="800" s="1"/>
        <n x="615"/>
        <n x="616"/>
      </t>
    </mdx>
    <mdx n="0" f="v">
      <t c="6" si="614">
        <n x="610"/>
        <n x="523"/>
        <n x="524"/>
        <n x="800" s="1"/>
        <n x="615"/>
        <n x="616"/>
      </t>
    </mdx>
    <mdx n="0" f="v">
      <t c="6" si="614">
        <n x="610"/>
        <n x="791"/>
        <n x="792"/>
        <n x="800" s="1"/>
        <n x="615"/>
        <n x="616"/>
      </t>
    </mdx>
    <mdx n="0" f="v">
      <t c="6" si="614">
        <n x="610"/>
        <n x="303"/>
        <n x="304"/>
        <n x="800" s="1"/>
        <n x="615"/>
        <n x="616"/>
      </t>
    </mdx>
    <mdx n="0" f="v">
      <t c="6" si="614">
        <n x="610"/>
        <n x="225"/>
        <n x="226"/>
        <n x="800" s="1"/>
        <n x="615"/>
        <n x="616"/>
      </t>
    </mdx>
    <mdx n="0" f="v">
      <t c="6" si="614">
        <n x="610"/>
        <n x="449"/>
        <n x="450"/>
        <n x="800" s="1"/>
        <n x="615"/>
        <n x="616"/>
      </t>
    </mdx>
    <mdx n="0" f="v">
      <t c="6" si="614">
        <n x="610"/>
        <n x="421"/>
        <n x="422"/>
        <n x="800" s="1"/>
        <n x="615"/>
        <n x="616"/>
      </t>
    </mdx>
    <mdx n="0" f="v">
      <t c="6" si="614">
        <n x="610"/>
        <n x="365"/>
        <n x="366"/>
        <n x="800" s="1"/>
        <n x="615"/>
        <n x="616"/>
      </t>
    </mdx>
    <mdx n="0" f="v">
      <t c="6" si="614">
        <n x="610"/>
        <n x="377"/>
        <n x="378"/>
        <n x="800" s="1"/>
        <n x="615"/>
        <n x="616"/>
      </t>
    </mdx>
    <mdx n="0" f="v">
      <t c="6" si="614">
        <n x="610"/>
        <n x="221"/>
        <n x="222"/>
        <n x="800" s="1"/>
        <n x="615"/>
        <n x="616"/>
      </t>
    </mdx>
    <mdx n="0" f="v">
      <t c="6" si="614">
        <n x="610"/>
        <n x="725"/>
        <n x="726"/>
        <n x="800" s="1"/>
        <n x="615"/>
        <n x="616"/>
      </t>
    </mdx>
    <mdx n="0" f="v">
      <t c="6" si="614">
        <n x="610"/>
        <n x="729"/>
        <n x="730"/>
        <n x="800" s="1"/>
        <n x="615"/>
        <n x="616"/>
      </t>
    </mdx>
    <mdx n="0" f="v">
      <t c="6" si="614">
        <n x="610"/>
        <n x="541"/>
        <n x="542"/>
        <n x="800" s="1"/>
        <n x="615"/>
        <n x="616"/>
      </t>
    </mdx>
    <mdx n="0" f="v">
      <t c="6" si="614">
        <n x="610"/>
        <n x="595"/>
        <n x="596"/>
        <n x="800" s="1"/>
        <n x="615"/>
        <n x="616"/>
      </t>
    </mdx>
    <mdx n="0" f="v">
      <t c="6" si="614">
        <n x="610"/>
        <n x="389"/>
        <n x="390"/>
        <n x="800" s="1"/>
        <n x="615"/>
        <n x="616"/>
      </t>
    </mdx>
    <mdx n="0" f="v">
      <t c="6" si="614">
        <n x="610"/>
        <n x="525"/>
        <n x="526"/>
        <n x="800" s="1"/>
        <n x="615"/>
        <n x="616"/>
      </t>
    </mdx>
    <mdx n="0" f="v">
      <t c="6" si="614">
        <n x="610"/>
        <n x="317"/>
        <n x="592"/>
        <n x="800" s="1"/>
        <n x="615"/>
        <n x="616"/>
      </t>
    </mdx>
    <mdx n="0" f="v">
      <t c="6" si="614">
        <n x="610"/>
        <n x="455"/>
        <n x="456"/>
        <n x="800" s="1"/>
        <n x="615"/>
        <n x="616"/>
      </t>
    </mdx>
    <mdx n="0" f="v">
      <t c="6" si="614">
        <n x="610"/>
        <n x="491"/>
        <n x="492"/>
        <n x="800" s="1"/>
        <n x="615"/>
        <n x="616"/>
      </t>
    </mdx>
    <mdx n="0" f="v">
      <t c="6" si="614">
        <n x="610"/>
        <n x="719"/>
        <n x="720"/>
        <n x="800" s="1"/>
        <n x="615"/>
        <n x="616"/>
      </t>
    </mdx>
    <mdx n="0" f="v">
      <t c="6" si="614">
        <n x="610"/>
        <n x="345"/>
        <n x="346"/>
        <n x="800" s="1"/>
        <n x="615"/>
        <n x="616"/>
      </t>
    </mdx>
    <mdx n="0" f="v">
      <t c="6" si="614">
        <n x="610"/>
        <n x="489"/>
        <n x="490"/>
        <n x="800" s="1"/>
        <n x="615"/>
        <n x="616"/>
      </t>
    </mdx>
    <mdx n="0" f="v">
      <t c="6" si="614">
        <n x="610"/>
        <n x="755"/>
        <n x="756"/>
        <n x="800" s="1"/>
        <n x="615"/>
        <n x="616"/>
      </t>
    </mdx>
    <mdx n="0" f="v">
      <t c="6" si="614">
        <n x="610"/>
        <n x="407"/>
        <n x="408"/>
        <n x="800" s="1"/>
        <n x="615"/>
        <n x="616"/>
      </t>
    </mdx>
    <mdx n="0" f="v">
      <t c="6" si="614">
        <n x="610"/>
        <n x="493"/>
        <n x="494"/>
        <n x="800" s="1"/>
        <n x="615"/>
        <n x="616"/>
      </t>
    </mdx>
    <mdx n="0" f="v">
      <t c="6" si="614">
        <n x="610"/>
        <n x="759"/>
        <n x="760"/>
        <n x="800" s="1"/>
        <n x="615"/>
        <n x="616"/>
      </t>
    </mdx>
    <mdx n="0" f="v">
      <t c="6" si="614">
        <n x="610"/>
        <n x="549"/>
        <n x="550"/>
        <n x="800" s="1"/>
        <n x="615"/>
        <n x="616"/>
      </t>
    </mdx>
    <mdx n="0" f="v">
      <t c="6" si="614">
        <n x="610"/>
        <n x="287"/>
        <n x="288"/>
        <n x="800" s="1"/>
        <n x="615"/>
        <n x="616"/>
      </t>
    </mdx>
    <mdx n="0" f="v">
      <t c="6" si="614">
        <n x="610"/>
        <n x="359"/>
        <n x="360"/>
        <n x="800" s="1"/>
        <n x="615"/>
        <n x="616"/>
      </t>
    </mdx>
    <mdx n="0" f="v">
      <t c="6" si="614">
        <n x="610"/>
        <n x="511"/>
        <n x="512"/>
        <n x="800" s="1"/>
        <n x="615"/>
        <n x="616"/>
      </t>
    </mdx>
    <mdx n="0" f="v">
      <t c="6" si="614">
        <n x="610"/>
        <n x="249"/>
        <n x="250"/>
        <n x="800" s="1"/>
        <n x="615"/>
        <n x="616"/>
      </t>
    </mdx>
    <mdx n="0" f="v">
      <t c="6" si="614">
        <n x="610"/>
        <n x="515"/>
        <n x="516"/>
        <n x="800" s="1"/>
        <n x="615"/>
        <n x="616"/>
      </t>
    </mdx>
    <mdx n="0" f="v">
      <t c="6" si="614">
        <n x="610"/>
        <n x="781"/>
        <n x="782"/>
        <n x="800" s="1"/>
        <n x="615"/>
        <n x="616"/>
      </t>
    </mdx>
    <mdx n="0" f="v">
      <t c="6" si="614">
        <n x="610"/>
        <n x="787"/>
        <n x="788"/>
        <n x="800" s="1"/>
        <n x="615"/>
        <n x="616"/>
      </t>
    </mdx>
    <mdx n="0" f="v">
      <t c="6" si="614">
        <n x="610"/>
        <n x="789"/>
        <n x="790"/>
        <n x="800" s="1"/>
        <n x="615"/>
        <n x="616"/>
      </t>
    </mdx>
    <mdx n="0" f="v">
      <t c="6" si="614">
        <n x="610"/>
        <n x="545"/>
        <n x="546"/>
        <n x="800" s="1"/>
        <n x="615"/>
        <n x="616"/>
      </t>
    </mdx>
    <mdx n="0" f="v">
      <t c="6" si="614">
        <n x="610"/>
        <n x="579"/>
        <n x="580"/>
        <n x="800" s="1"/>
        <n x="615"/>
        <n x="616"/>
      </t>
    </mdx>
    <mdx n="0" f="v">
      <t c="6" si="614">
        <n x="610"/>
        <n x="227"/>
        <n x="228"/>
        <n x="800" s="1"/>
        <n x="615"/>
        <n x="616"/>
      </t>
    </mdx>
    <mdx n="0" f="v">
      <t c="6" si="614">
        <n x="610"/>
        <n x="439"/>
        <n x="440"/>
        <n x="800" s="1"/>
        <n x="615"/>
        <n x="616"/>
      </t>
    </mdx>
    <mdx n="0" f="v">
      <t c="6" si="614">
        <n x="610"/>
        <n x="291"/>
        <n x="292"/>
        <n x="800" s="1"/>
        <n x="615"/>
        <n x="616"/>
      </t>
    </mdx>
    <mdx n="0" f="v">
      <t c="6" si="614">
        <n x="610"/>
        <n x="327"/>
        <n x="328"/>
        <n x="800" s="1"/>
        <n x="615"/>
        <n x="616"/>
      </t>
    </mdx>
    <mdx n="0" f="v">
      <t c="6" si="614">
        <n x="610"/>
        <n x="477"/>
        <n x="478"/>
        <n x="800" s="1"/>
        <n x="615"/>
        <n x="616"/>
      </t>
    </mdx>
    <mdx n="0" f="v">
      <t c="6" si="614">
        <n x="610"/>
        <n x="251"/>
        <n x="252"/>
        <n x="800" s="1"/>
        <n x="615"/>
        <n x="616"/>
      </t>
    </mdx>
    <mdx n="0" f="v">
      <t c="6" si="614">
        <n x="610"/>
        <n x="253"/>
        <n x="254"/>
        <n x="800" s="1"/>
        <n x="615"/>
        <n x="616"/>
      </t>
    </mdx>
    <mdx n="0" f="v">
      <t c="6" si="614">
        <n x="610"/>
        <n x="391"/>
        <n x="392"/>
        <n x="800" s="1"/>
        <n x="615"/>
        <n x="616"/>
      </t>
    </mdx>
    <mdx n="0" f="v">
      <t c="6" si="614">
        <n x="610"/>
        <n x="461"/>
        <n x="462"/>
        <n x="800" s="1"/>
        <n x="615"/>
        <n x="616"/>
      </t>
    </mdx>
    <mdx n="0" f="v">
      <t c="6" si="614">
        <n x="610"/>
        <n x="457"/>
        <n x="458"/>
        <n x="800" s="1"/>
        <n x="615"/>
        <n x="616"/>
      </t>
    </mdx>
    <mdx n="0" f="v">
      <t c="6" si="614">
        <n x="610"/>
        <n x="367"/>
        <n x="368"/>
        <n x="800" s="1"/>
        <n x="615"/>
        <n x="616"/>
      </t>
    </mdx>
    <mdx n="0" f="v">
      <t c="6" si="614">
        <n x="610"/>
        <n x="603"/>
        <n x="604"/>
        <n x="800" s="1"/>
        <n x="615"/>
        <n x="616"/>
      </t>
    </mdx>
    <mdx n="0" f="v">
      <t c="6" si="614">
        <n x="610"/>
        <n x="413"/>
        <n x="414"/>
        <n x="800" s="1"/>
        <n x="615"/>
        <n x="616"/>
      </t>
    </mdx>
    <mdx n="0" f="v">
      <t c="6" si="614">
        <n x="610"/>
        <n x="271"/>
        <n x="272"/>
        <n x="800" s="1"/>
        <n x="615"/>
        <n x="616"/>
      </t>
    </mdx>
    <mdx n="0" f="v">
      <t c="6" si="614">
        <n x="610"/>
        <n x="387"/>
        <n x="388"/>
        <n x="800" s="1"/>
        <n x="615"/>
        <n x="616"/>
      </t>
    </mdx>
    <mdx n="0" f="v">
      <t c="6" si="614">
        <n x="610"/>
        <n x="737"/>
        <n x="738"/>
        <n x="800" s="1"/>
        <n x="615"/>
        <n x="616"/>
      </t>
    </mdx>
    <mdx n="0" f="v">
      <t c="6" si="614">
        <n x="610"/>
        <n x="429"/>
        <n x="430"/>
        <n x="800" s="1"/>
        <n x="615"/>
        <n x="616"/>
      </t>
    </mdx>
    <mdx n="0" f="v">
      <t c="6" si="614">
        <n x="610"/>
        <n x="433"/>
        <n x="434"/>
        <n x="800" s="1"/>
        <n x="615"/>
        <n x="616"/>
      </t>
    </mdx>
    <mdx n="0" f="v">
      <t c="6" si="614">
        <n x="610"/>
        <n x="569"/>
        <n x="570"/>
        <n x="800" s="1"/>
        <n x="615"/>
        <n x="616"/>
      </t>
    </mdx>
    <mdx n="0" f="v">
      <t c="6" si="614">
        <n x="610"/>
        <n x="241"/>
        <n x="242"/>
        <n x="800" s="1"/>
        <n x="615"/>
        <n x="616"/>
      </t>
    </mdx>
    <mdx n="0" f="v">
      <t c="6" si="614">
        <n x="610"/>
        <n x="447"/>
        <n x="448"/>
        <n x="800" s="1"/>
        <n x="615"/>
        <n x="616"/>
      </t>
    </mdx>
    <mdx n="0" f="v">
      <t c="6" si="614">
        <n x="610"/>
        <n x="321"/>
        <n x="322"/>
        <n x="800" s="1"/>
        <n x="615"/>
        <n x="616"/>
      </t>
    </mdx>
    <mdx n="0" f="v">
      <t c="6" si="614">
        <n x="610"/>
        <n x="207"/>
        <n x="208"/>
        <n x="800" s="1"/>
        <n x="615"/>
        <n x="616"/>
      </t>
    </mdx>
    <mdx n="0" f="v">
      <t c="6" si="614">
        <n x="610"/>
        <n x="761"/>
        <n x="762"/>
        <n x="800" s="1"/>
        <n x="615"/>
        <n x="616"/>
      </t>
    </mdx>
    <mdx n="0" f="v">
      <t c="6" si="614">
        <n x="610"/>
        <n x="255"/>
        <n x="256"/>
        <n x="800" s="1"/>
        <n x="615"/>
        <n x="616"/>
      </t>
    </mdx>
    <mdx n="0" f="v">
      <t c="6" si="614">
        <n x="610"/>
        <n x="763"/>
        <n x="764"/>
        <n x="800" s="1"/>
        <n x="615"/>
        <n x="616"/>
      </t>
    </mdx>
    <mdx n="0" f="v">
      <t c="6" si="614">
        <n x="610"/>
        <n x="403"/>
        <n x="404"/>
        <n x="800" s="1"/>
        <n x="615"/>
        <n x="616"/>
      </t>
    </mdx>
    <mdx n="0" f="v">
      <t c="6" si="614">
        <n x="610"/>
        <n x="427"/>
        <n x="428"/>
        <n x="800" s="1"/>
        <n x="615"/>
        <n x="616"/>
      </t>
    </mdx>
    <mdx n="0" f="v">
      <t c="6" si="614">
        <n x="610"/>
        <n x="773"/>
        <n x="774"/>
        <n x="800" s="1"/>
        <n x="615"/>
        <n x="616"/>
      </t>
    </mdx>
    <mdx n="0" f="v">
      <t c="6" si="614">
        <n x="610"/>
        <n x="445"/>
        <n x="446"/>
        <n x="800" s="1"/>
        <n x="615"/>
        <n x="616"/>
      </t>
    </mdx>
    <mdx n="0" f="v">
      <t c="6" si="614">
        <n x="610"/>
        <n x="375"/>
        <n x="376"/>
        <n x="800" s="1"/>
        <n x="615"/>
        <n x="616"/>
      </t>
    </mdx>
    <mdx n="0" f="v">
      <t c="6" si="614">
        <n x="610"/>
        <n x="311"/>
        <n x="312"/>
        <n x="800" s="1"/>
        <n x="615"/>
        <n x="616"/>
      </t>
    </mdx>
    <mdx n="0" f="v">
      <t c="6" si="614">
        <n x="610"/>
        <n x="575"/>
        <n x="576"/>
        <n x="800" s="1"/>
        <n x="615"/>
        <n x="616"/>
      </t>
    </mdx>
    <mdx n="0" f="v">
      <t c="6" si="614">
        <n x="610"/>
        <n x="313"/>
        <n x="314"/>
        <n x="800" s="1"/>
        <n x="615"/>
        <n x="616"/>
      </t>
    </mdx>
    <mdx n="0" f="v">
      <t c="6" si="614">
        <n x="610"/>
        <n x="793"/>
        <n x="794"/>
        <n x="800" s="1"/>
        <n x="615"/>
        <n x="616"/>
      </t>
    </mdx>
    <mdx n="0" f="v">
      <t c="6" si="614">
        <n x="610"/>
        <n x="571"/>
        <n x="572"/>
        <n x="800" s="1"/>
        <n x="615"/>
        <n x="616"/>
      </t>
    </mdx>
    <mdx n="0" f="v">
      <t c="6" si="614">
        <n x="610"/>
        <n x="797"/>
        <n x="586"/>
        <n x="800" s="1"/>
        <n x="615"/>
        <n x="616"/>
      </t>
    </mdx>
    <mdx n="0" f="v">
      <t c="6" si="614">
        <n x="610"/>
        <n x="215"/>
        <n x="216"/>
        <n x="800" s="1"/>
        <n x="615"/>
        <n x="616"/>
      </t>
    </mdx>
    <mdx n="0" f="v">
      <t c="6" si="614">
        <n x="610"/>
        <n x="267"/>
        <n x="268"/>
        <n x="800" s="1"/>
        <n x="615"/>
        <n x="616"/>
      </t>
    </mdx>
    <mdx n="0" f="v">
      <t c="6" si="614">
        <n x="610"/>
        <n x="567"/>
        <n x="568"/>
        <n x="800" s="1"/>
        <n x="615"/>
        <n x="616"/>
      </t>
    </mdx>
    <mdx n="0" f="v">
      <t c="6" si="614">
        <n x="610"/>
        <n x="567"/>
        <n x="568"/>
        <n x="800" s="1"/>
        <n x="615"/>
        <n x="616"/>
      </t>
    </mdx>
    <mdx n="0" f="v">
      <t c="6" si="614">
        <n x="610"/>
        <n x="231"/>
        <n x="232"/>
        <n x="800" s="1"/>
        <n x="615"/>
        <n x="616"/>
      </t>
    </mdx>
    <mdx n="0" f="v">
      <t c="6" si="614">
        <n x="610"/>
        <n x="555"/>
        <n x="556"/>
        <n x="800" s="1"/>
        <n x="615"/>
        <n x="616"/>
      </t>
    </mdx>
    <mdx n="0" f="v">
      <t c="6" si="614">
        <n x="610"/>
        <n x="607"/>
        <n x="608"/>
        <n x="800" s="1"/>
        <n x="615"/>
        <n x="616"/>
      </t>
    </mdx>
    <mdx n="0" f="v">
      <t c="6" si="614">
        <n x="610"/>
        <n x="235"/>
        <n x="236"/>
        <n x="800" s="1"/>
        <n x="615"/>
        <n x="616"/>
      </t>
    </mdx>
    <mdx n="0" f="v">
      <t c="6" si="614">
        <n x="610"/>
        <n x="735"/>
        <n x="736"/>
        <n x="800" s="1"/>
        <n x="615"/>
        <n x="616"/>
      </t>
    </mdx>
    <mdx n="0" f="v">
      <t c="6" si="614">
        <n x="610"/>
        <n x="257"/>
        <n x="258"/>
        <n x="800" s="1"/>
        <n x="615"/>
        <n x="616"/>
      </t>
    </mdx>
    <mdx n="0" f="v">
      <t c="6" si="614">
        <n x="610"/>
        <n x="739"/>
        <n x="740"/>
        <n x="800" s="1"/>
        <n x="615"/>
        <n x="616"/>
      </t>
    </mdx>
    <mdx n="0" f="v">
      <t c="6" si="614">
        <n x="610"/>
        <n x="537"/>
        <n x="538"/>
        <n x="800" s="1"/>
        <n x="615"/>
        <n x="616"/>
      </t>
    </mdx>
    <mdx n="0" f="v">
      <t c="6" si="614">
        <n x="610"/>
        <n x="589"/>
        <n x="590"/>
        <n x="800" s="1"/>
        <n x="615"/>
        <n x="616"/>
      </t>
    </mdx>
    <mdx n="0" f="v">
      <t c="6" si="614">
        <n x="610"/>
        <n x="745"/>
        <n x="746"/>
        <n x="800" s="1"/>
        <n x="615"/>
        <n x="616"/>
      </t>
    </mdx>
    <mdx n="0" f="v">
      <t c="6" si="614">
        <n x="610"/>
        <n x="583"/>
        <n x="584"/>
        <n x="800" s="1"/>
        <n x="615"/>
        <n x="616"/>
      </t>
    </mdx>
    <mdx n="0" f="v">
      <t c="6" si="614">
        <n x="610"/>
        <n x="593"/>
        <n x="594"/>
        <n x="800" s="1"/>
        <n x="615"/>
        <n x="616"/>
      </t>
    </mdx>
    <mdx n="0" f="v">
      <t c="6" si="614">
        <n x="610"/>
        <n x="223"/>
        <n x="224"/>
        <n x="800" s="1"/>
        <n x="615"/>
        <n x="616"/>
      </t>
    </mdx>
    <mdx n="0" f="v">
      <t c="6" si="614">
        <n x="610"/>
        <n x="577"/>
        <n x="578"/>
        <n x="800" s="1"/>
        <n x="615"/>
        <n x="616"/>
      </t>
    </mdx>
    <mdx n="0" f="v">
      <t c="6" si="614">
        <n x="610"/>
        <n x="361"/>
        <n x="362"/>
        <n x="800" s="1"/>
        <n x="615"/>
        <n x="616"/>
      </t>
    </mdx>
    <mdx n="0" f="v">
      <t c="6" si="614">
        <n x="610"/>
        <n x="325"/>
        <n x="326"/>
        <n x="800" s="1"/>
        <n x="615"/>
        <n x="616"/>
      </t>
    </mdx>
    <mdx n="0" f="v">
      <t c="6" si="614">
        <n x="610"/>
        <n x="507"/>
        <n x="508"/>
        <n x="800" s="1"/>
        <n x="615"/>
        <n x="616"/>
      </t>
    </mdx>
    <mdx n="0" f="v">
      <t c="6" si="614">
        <n x="610"/>
        <n x="349"/>
        <n x="350"/>
        <n x="800" s="1"/>
        <n x="615"/>
        <n x="616"/>
      </t>
    </mdx>
    <mdx n="0" f="v">
      <t c="6" si="614">
        <n x="610"/>
        <n x="411"/>
        <n x="412"/>
        <n x="800" s="1"/>
        <n x="615"/>
        <n x="616"/>
      </t>
    </mdx>
    <mdx n="0" f="v">
      <t c="6" si="614">
        <n x="610"/>
        <n x="771"/>
        <n x="772"/>
        <n x="800" s="1"/>
        <n x="615"/>
        <n x="616"/>
      </t>
    </mdx>
    <mdx n="0" f="v">
      <t c="6" si="614">
        <n x="610"/>
        <n x="775"/>
        <n x="776"/>
        <n x="800" s="1"/>
        <n x="615"/>
        <n x="616"/>
      </t>
    </mdx>
    <mdx n="0" f="v">
      <t c="6" si="614">
        <n x="610"/>
        <n x="779"/>
        <n x="780"/>
        <n x="800" s="1"/>
        <n x="615"/>
        <n x="616"/>
      </t>
    </mdx>
    <mdx n="0" f="v">
      <t c="6" si="614">
        <n x="610"/>
        <n x="531"/>
        <n x="532"/>
        <n x="800" s="1"/>
        <n x="615"/>
        <n x="616"/>
      </t>
    </mdx>
    <mdx n="0" f="v">
      <t c="6" si="614">
        <n x="610"/>
        <n x="451"/>
        <n x="452"/>
        <n x="800" s="1"/>
        <n x="615"/>
        <n x="616"/>
      </t>
    </mdx>
    <mdx n="0" f="v">
      <t c="6" si="614">
        <n x="610"/>
        <n x="351"/>
        <n x="352"/>
        <n x="800" s="1"/>
        <n x="615"/>
        <n x="616"/>
      </t>
    </mdx>
    <mdx n="0" f="v">
      <t c="6" si="614">
        <n x="610"/>
        <n x="795"/>
        <n x="796"/>
        <n x="800" s="1"/>
        <n x="615"/>
        <n x="616"/>
      </t>
    </mdx>
    <mdx n="0" f="v">
      <t c="6" si="614">
        <n x="610"/>
        <n x="305"/>
        <n x="306"/>
        <n x="800" s="1"/>
        <n x="615"/>
        <n x="616"/>
      </t>
    </mdx>
    <mdx n="0" f="v">
      <t c="6" si="614">
        <n x="610"/>
        <n x="373"/>
        <n x="374"/>
        <n x="800" s="1"/>
        <n x="615"/>
        <n x="616"/>
      </t>
    </mdx>
    <mdx n="0" f="v">
      <t c="6" si="614">
        <n x="610"/>
        <n x="803"/>
        <n x="804"/>
        <n x="800" s="1"/>
        <n x="615"/>
        <n x="616"/>
      </t>
    </mdx>
    <mdx n="0" f="v">
      <t c="6" si="614">
        <n x="610"/>
        <n x="337"/>
        <n x="338"/>
        <n x="800" s="1"/>
        <n x="615"/>
        <n x="616"/>
      </t>
    </mdx>
    <mdx n="0" f="v">
      <t c="6" si="614">
        <n x="610"/>
        <n x="425"/>
        <n x="426"/>
        <n x="800" s="1"/>
        <n x="615"/>
        <n x="616"/>
      </t>
    </mdx>
    <mdx n="0" f="v">
      <t c="6" si="614">
        <n x="610"/>
        <n x="369"/>
        <n x="370"/>
        <n x="800" s="1"/>
        <n x="615"/>
        <n x="616"/>
      </t>
    </mdx>
    <mdx n="0" f="v">
      <t c="6" si="614">
        <n x="610"/>
        <n x="783"/>
        <n x="784"/>
        <n x="800" s="1"/>
        <n x="615"/>
        <n x="616"/>
      </t>
    </mdx>
    <mdx n="0" f="v">
      <t c="6" si="614">
        <n x="610"/>
        <n x="497"/>
        <n x="498"/>
        <n x="800" s="1"/>
        <n x="615"/>
        <n x="616"/>
      </t>
    </mdx>
    <mdx n="0" f="v">
      <t c="6" si="614">
        <n x="610"/>
        <n x="519"/>
        <n x="520"/>
        <n x="800" s="1"/>
        <n x="615"/>
        <n x="616"/>
      </t>
    </mdx>
    <mdx n="0" f="v">
      <t c="6" si="614">
        <n x="610"/>
        <n x="805"/>
        <n x="806"/>
        <n x="800" s="1"/>
        <n x="615"/>
        <n x="616"/>
      </t>
    </mdx>
    <mdx n="0" f="v">
      <t c="6" si="614">
        <n x="610"/>
        <n x="597"/>
        <n x="598"/>
        <n x="800" s="1"/>
        <n x="615"/>
        <n x="616"/>
      </t>
    </mdx>
    <mdx n="0" f="v">
      <t c="6" si="614">
        <n x="610"/>
        <n x="265"/>
        <n x="266"/>
        <n x="800" s="1"/>
        <n x="615"/>
        <n x="616"/>
      </t>
    </mdx>
    <mdx n="0" f="v">
      <t c="6" si="614">
        <n x="610"/>
        <n x="243"/>
        <n x="244"/>
        <n x="800" s="1"/>
        <n x="615"/>
        <n x="616"/>
      </t>
    </mdx>
    <mdx n="0" f="v">
      <t c="6" si="614">
        <n x="610"/>
        <n x="443"/>
        <n x="444"/>
        <n x="800" s="1"/>
        <n x="615"/>
        <n x="616"/>
      </t>
    </mdx>
    <mdx n="0" f="v">
      <t c="6" si="614">
        <n x="610"/>
        <n x="209"/>
        <n x="210"/>
        <n x="800" s="1"/>
        <n x="615"/>
        <n x="616"/>
      </t>
    </mdx>
    <mdx n="0" f="v">
      <t c="6" si="614">
        <n x="610"/>
        <n x="499"/>
        <n x="500"/>
        <n x="800" s="1"/>
        <n x="615"/>
        <n x="616"/>
      </t>
    </mdx>
    <mdx n="0" f="v">
      <t c="6" si="614">
        <n x="610"/>
        <n x="727"/>
        <n x="728"/>
        <n x="800" s="1"/>
        <n x="615"/>
        <n x="616"/>
      </t>
    </mdx>
    <mdx n="0" f="v">
      <t c="6" si="614">
        <n x="610"/>
        <n x="419"/>
        <n x="420"/>
        <n x="800" s="1"/>
        <n x="615"/>
        <n x="616"/>
      </t>
    </mdx>
    <mdx n="0" f="v">
      <t c="6" si="614">
        <n x="610"/>
        <n x="419"/>
        <n x="420"/>
        <n x="800" s="1"/>
        <n x="615"/>
        <n x="616"/>
      </t>
    </mdx>
    <mdx n="0" f="v">
      <t c="6" si="614">
        <n x="610"/>
        <n x="753"/>
        <n x="754"/>
        <n x="800" s="1"/>
        <n x="615"/>
        <n x="616"/>
      </t>
    </mdx>
    <mdx n="0" f="v">
      <t c="6" si="614">
        <n x="610"/>
        <n x="289"/>
        <n x="290"/>
        <n x="800" s="1"/>
        <n x="615"/>
        <n x="616"/>
      </t>
    </mdx>
    <mdx n="0" f="v">
      <t c="6" si="614">
        <n x="610"/>
        <n x="757"/>
        <n x="758"/>
        <n x="800" s="1"/>
        <n x="615"/>
        <n x="616"/>
      </t>
    </mdx>
    <mdx n="0" f="v">
      <t c="6" si="614">
        <n x="610"/>
        <n x="245"/>
        <n x="246"/>
        <n x="800" s="1"/>
        <n x="615"/>
        <n x="616"/>
      </t>
    </mdx>
    <mdx n="0" f="v">
      <t c="6" si="614">
        <n x="610"/>
        <n x="467"/>
        <n x="468"/>
        <n x="800" s="1"/>
        <n x="615"/>
        <n x="616"/>
      </t>
    </mdx>
    <mdx n="0" f="v">
      <t c="6" si="614">
        <n x="610"/>
        <n x="509"/>
        <n x="510"/>
        <n x="800" s="1"/>
        <n x="615"/>
        <n x="616"/>
      </t>
    </mdx>
    <mdx n="0" f="v">
      <t c="6" si="614">
        <n x="610"/>
        <n x="769"/>
        <n x="770"/>
        <n x="800" s="1"/>
        <n x="615"/>
        <n x="616"/>
      </t>
    </mdx>
    <mdx n="0" f="v">
      <t c="6" si="614">
        <n x="610"/>
        <n x="731"/>
        <n x="732"/>
        <n x="800" s="1"/>
        <n x="615"/>
        <n x="616"/>
      </t>
    </mdx>
    <mdx n="0" f="v">
      <t c="6" si="614">
        <n x="610"/>
        <n x="527"/>
        <n x="528"/>
        <n x="800" s="1"/>
        <n x="615"/>
        <n x="616"/>
      </t>
    </mdx>
    <mdx n="0" f="v">
      <t c="6" si="614">
        <n x="610"/>
        <n x="785"/>
        <n x="786"/>
        <n x="800" s="1"/>
        <n x="615"/>
        <n x="616"/>
      </t>
    </mdx>
    <mdx n="0" f="v">
      <t c="6" si="614">
        <n x="610"/>
        <n x="297"/>
        <n x="298"/>
        <n x="800" s="1"/>
        <n x="615"/>
        <n x="616"/>
      </t>
    </mdx>
    <mdx n="0" f="v">
      <t c="6" si="614">
        <n x="610"/>
        <n x="297"/>
        <n x="298"/>
        <n x="800" s="1"/>
        <n x="615"/>
        <n x="616"/>
      </t>
    </mdx>
    <mdx n="0" f="v">
      <t c="6" si="614">
        <n x="610"/>
        <n x="331"/>
        <n x="332"/>
        <n x="800" s="1"/>
        <n x="615"/>
        <n x="616"/>
      </t>
    </mdx>
    <mdx n="0" f="v">
      <t c="6" si="614">
        <n x="610"/>
        <n x="211"/>
        <n x="212"/>
        <n x="800" s="1"/>
        <n x="615"/>
        <n x="616"/>
      </t>
    </mdx>
    <mdx n="0" f="v">
      <t c="6" si="614">
        <n x="610"/>
        <n x="279"/>
        <n x="280"/>
        <n x="800" s="1"/>
        <n x="615"/>
        <n x="616"/>
      </t>
    </mdx>
    <mdx n="0" f="v">
      <t c="6" si="614">
        <n x="610"/>
        <n x="801"/>
        <n x="802"/>
        <n x="800" s="1"/>
        <n x="615"/>
        <n x="616"/>
      </t>
    </mdx>
    <mdx n="0" f="v">
      <t c="6" si="614">
        <n x="610"/>
        <n x="263"/>
        <n x="264"/>
        <n x="800" s="1"/>
        <n x="615"/>
        <n x="616"/>
      </t>
    </mdx>
    <mdx n="0" f="v">
      <t c="6" si="614">
        <n x="610"/>
        <n x="517"/>
        <n x="518"/>
        <n x="800" s="1"/>
        <n x="615"/>
        <n x="616"/>
      </t>
    </mdx>
    <mdx n="0" f="v">
      <t c="6" si="614">
        <n x="610"/>
        <n x="573"/>
        <n x="574"/>
        <n x="800" s="1"/>
        <n x="615"/>
        <n x="616"/>
      </t>
    </mdx>
    <mdx n="0" f="v">
      <t c="6" si="614">
        <n x="610"/>
        <n x="573"/>
        <n x="574"/>
        <n x="800" s="1"/>
        <n x="615"/>
        <n x="616"/>
      </t>
    </mdx>
    <mdx n="0" f="v">
      <t c="6" si="614">
        <n x="610"/>
        <n x="573"/>
        <n x="574"/>
        <n x="800" s="1"/>
        <n x="615"/>
        <n x="616"/>
      </t>
    </mdx>
    <mdx n="0" f="v">
      <t c="6" si="614">
        <n x="610"/>
        <n x="573"/>
        <n x="574"/>
        <n x="800" s="1"/>
        <n x="615"/>
        <n x="616"/>
      </t>
    </mdx>
    <mdx n="0" f="v">
      <t c="6" si="614">
        <n x="610"/>
        <n x="573"/>
        <n x="574"/>
        <n x="800" s="1"/>
        <n x="615"/>
        <n x="616"/>
      </t>
    </mdx>
    <mdx n="0" f="v">
      <t c="6" si="614">
        <n x="610"/>
        <n x="573"/>
        <n x="574"/>
        <n x="800" s="1"/>
        <n x="615"/>
        <n x="616"/>
      </t>
    </mdx>
    <mdx n="0" f="v">
      <t c="6" si="614">
        <n x="610"/>
        <n x="573"/>
        <n x="574"/>
        <n x="800" s="1"/>
        <n x="615"/>
        <n x="616"/>
      </t>
    </mdx>
    <mdx n="0" f="v">
      <t c="6" si="614">
        <n x="610"/>
        <n x="573"/>
        <n x="574"/>
        <n x="800" s="1"/>
        <n x="615"/>
        <n x="616"/>
      </t>
    </mdx>
    <mdx n="0" f="v">
      <t c="6" si="614">
        <n x="610"/>
        <n x="573"/>
        <n x="574"/>
        <n x="800" s="1"/>
        <n x="615"/>
        <n x="616"/>
      </t>
    </mdx>
    <mdx n="0" f="v">
      <t c="6" si="614">
        <n x="610"/>
        <n x="573"/>
        <n x="574"/>
        <n x="800" s="1"/>
        <n x="615"/>
        <n x="616"/>
      </t>
    </mdx>
    <mdx n="0" f="v">
      <t c="6" si="614">
        <n x="610"/>
        <n x="709"/>
        <n x="710"/>
        <n x="800" s="1"/>
        <n x="615"/>
        <n x="616"/>
      </t>
    </mdx>
    <mdx n="0" f="v">
      <t c="6" si="614">
        <n x="610"/>
        <n x="709"/>
        <n x="710"/>
        <n x="800" s="1"/>
        <n x="699"/>
        <n x="700"/>
      </t>
    </mdx>
    <mdx n="0" f="v">
      <t c="6" si="614">
        <n x="610"/>
        <n x="599"/>
        <n x="600"/>
        <n x="800" s="1"/>
        <n x="699"/>
        <n x="700"/>
      </t>
    </mdx>
    <mdx n="0" f="v">
      <t c="6" si="614">
        <n x="610"/>
        <n x="585"/>
        <n x="586"/>
        <n x="800" s="1"/>
        <n x="699"/>
        <n x="700"/>
      </t>
    </mdx>
    <mdx n="0" f="v">
      <t c="6" si="614">
        <n x="610"/>
        <n x="397"/>
        <n x="398"/>
        <n x="800" s="1"/>
        <n x="699"/>
        <n x="700"/>
      </t>
    </mdx>
    <mdx n="0" f="v">
      <t c="6" si="614">
        <n x="610"/>
        <n x="231"/>
        <n x="232"/>
        <n x="800" s="1"/>
        <n x="699"/>
        <n x="700"/>
      </t>
    </mdx>
    <mdx n="0" f="v">
      <t c="6" si="614">
        <n x="610"/>
        <n x="555"/>
        <n x="556"/>
        <n x="800" s="1"/>
        <n x="699"/>
        <n x="700"/>
      </t>
    </mdx>
    <mdx n="0" f="v">
      <t c="6" si="614">
        <n x="610"/>
        <n x="607"/>
        <n x="608"/>
        <n x="800" s="1"/>
        <n x="699"/>
        <n x="700"/>
      </t>
    </mdx>
    <mdx n="0" f="v">
      <t c="6" si="614">
        <n x="610"/>
        <n x="235"/>
        <n x="236"/>
        <n x="800" s="1"/>
        <n x="699"/>
        <n x="700"/>
      </t>
    </mdx>
    <mdx n="0" f="v">
      <t c="6" si="614">
        <n x="610"/>
        <n x="735"/>
        <n x="736"/>
        <n x="800" s="1"/>
        <n x="699"/>
        <n x="700"/>
      </t>
    </mdx>
    <mdx n="0" f="v">
      <t c="6" si="614">
        <n x="610"/>
        <n x="257"/>
        <n x="258"/>
        <n x="800" s="1"/>
        <n x="699"/>
        <n x="700"/>
      </t>
    </mdx>
    <mdx n="0" f="v">
      <t c="6" si="614">
        <n x="610"/>
        <n x="739"/>
        <n x="740"/>
        <n x="800" s="1"/>
        <n x="699"/>
        <n x="700"/>
      </t>
    </mdx>
    <mdx n="0" f="v">
      <t c="6" si="614">
        <n x="610"/>
        <n x="537"/>
        <n x="538"/>
        <n x="800" s="1"/>
        <n x="699"/>
        <n x="700"/>
      </t>
    </mdx>
    <mdx n="0" f="v">
      <t c="6" si="614">
        <n x="610"/>
        <n x="589"/>
        <n x="590"/>
        <n x="800" s="1"/>
        <n x="699"/>
        <n x="700"/>
      </t>
    </mdx>
    <mdx n="0" f="v">
      <t c="6" si="614">
        <n x="610"/>
        <n x="745"/>
        <n x="746"/>
        <n x="800" s="1"/>
        <n x="699"/>
        <n x="700"/>
      </t>
    </mdx>
    <mdx n="0" f="v">
      <t c="6" si="614">
        <n x="610"/>
        <n x="259"/>
        <n x="260"/>
        <n x="800" s="1"/>
        <n x="699"/>
        <n x="700"/>
      </t>
    </mdx>
    <mdx n="0" f="v">
      <t c="6" si="614">
        <n x="610"/>
        <n x="593"/>
        <n x="594"/>
        <n x="800" s="1"/>
        <n x="699"/>
        <n x="700"/>
      </t>
    </mdx>
    <mdx n="0" f="v">
      <t c="6" si="614">
        <n x="610"/>
        <n x="223"/>
        <n x="224"/>
        <n x="800" s="1"/>
        <n x="699"/>
        <n x="700"/>
      </t>
    </mdx>
    <mdx n="0" f="v">
      <t c="6" si="614">
        <n x="610"/>
        <n x="577"/>
        <n x="578"/>
        <n x="800" s="1"/>
        <n x="699"/>
        <n x="700"/>
      </t>
    </mdx>
    <mdx n="0" f="v">
      <t c="6" si="614">
        <n x="610"/>
        <n x="361"/>
        <n x="362"/>
        <n x="800" s="1"/>
        <n x="699"/>
        <n x="700"/>
      </t>
    </mdx>
    <mdx n="0" f="v">
      <t c="6" si="614">
        <n x="610"/>
        <n x="325"/>
        <n x="326"/>
        <n x="800" s="1"/>
        <n x="699"/>
        <n x="700"/>
      </t>
    </mdx>
    <mdx n="0" f="v">
      <t c="6" si="614">
        <n x="610"/>
        <n x="507"/>
        <n x="508"/>
        <n x="800" s="1"/>
        <n x="699"/>
        <n x="700"/>
      </t>
    </mdx>
    <mdx n="0" f="v">
      <t c="6" si="614">
        <n x="610"/>
        <n x="349"/>
        <n x="350"/>
        <n x="800" s="1"/>
        <n x="699"/>
        <n x="700"/>
      </t>
    </mdx>
    <mdx n="0" f="v">
      <t c="6" si="614">
        <n x="610"/>
        <n x="411"/>
        <n x="412"/>
        <n x="800" s="1"/>
        <n x="699"/>
        <n x="700"/>
      </t>
    </mdx>
    <mdx n="0" f="v">
      <t c="6" si="614">
        <n x="610"/>
        <n x="771"/>
        <n x="772"/>
        <n x="800" s="1"/>
        <n x="699"/>
        <n x="700"/>
      </t>
    </mdx>
    <mdx n="0" f="v">
      <t c="6" si="614">
        <n x="610"/>
        <n x="775"/>
        <n x="776"/>
        <n x="800" s="1"/>
        <n x="699"/>
        <n x="700"/>
      </t>
    </mdx>
    <mdx n="0" f="v">
      <t c="6" si="614">
        <n x="610"/>
        <n x="779"/>
        <n x="780"/>
        <n x="800" s="1"/>
        <n x="699"/>
        <n x="700"/>
      </t>
    </mdx>
    <mdx n="0" f="v">
      <t c="6" si="614">
        <n x="610"/>
        <n x="783"/>
        <n x="784"/>
        <n x="800" s="1"/>
        <n x="699"/>
        <n x="700"/>
      </t>
    </mdx>
    <mdx n="0" f="v">
      <t c="6" si="614">
        <n x="610"/>
        <n x="531"/>
        <n x="532"/>
        <n x="800" s="1"/>
        <n x="699"/>
        <n x="700"/>
      </t>
    </mdx>
    <mdx n="0" f="v">
      <t c="6" si="614">
        <n x="610"/>
        <n x="451"/>
        <n x="452"/>
        <n x="800" s="1"/>
        <n x="699"/>
        <n x="700"/>
      </t>
    </mdx>
    <mdx n="0" f="v">
      <t c="6" si="614">
        <n x="610"/>
        <n x="351"/>
        <n x="352"/>
        <n x="800" s="1"/>
        <n x="699"/>
        <n x="700"/>
      </t>
    </mdx>
    <mdx n="0" f="v">
      <t c="6" si="614">
        <n x="610"/>
        <n x="795"/>
        <n x="796"/>
        <n x="800" s="1"/>
        <n x="699"/>
        <n x="700"/>
      </t>
    </mdx>
    <mdx n="0" f="v">
      <t c="6" si="614">
        <n x="610"/>
        <n x="305"/>
        <n x="306"/>
        <n x="800" s="1"/>
        <n x="699"/>
        <n x="700"/>
      </t>
    </mdx>
    <mdx n="0" f="v">
      <t c="6" si="614">
        <n x="610"/>
        <n x="373"/>
        <n x="374"/>
        <n x="800" s="1"/>
        <n x="699"/>
        <n x="700"/>
      </t>
    </mdx>
    <mdx n="0" f="v">
      <t c="6" si="614">
        <n x="610"/>
        <n x="803"/>
        <n x="804"/>
        <n x="800" s="1"/>
        <n x="699"/>
        <n x="700"/>
      </t>
    </mdx>
    <mdx n="0" f="v">
      <t c="6" si="614">
        <n x="610"/>
        <n x="337"/>
        <n x="338"/>
        <n x="800" s="1"/>
        <n x="699"/>
        <n x="700"/>
      </t>
    </mdx>
    <mdx n="0" f="v">
      <t c="6" si="614">
        <n x="610"/>
        <n x="425"/>
        <n x="426"/>
        <n x="800" s="1"/>
        <n x="699"/>
        <n x="700"/>
      </t>
    </mdx>
    <mdx n="0" f="v">
      <t c="6" si="614">
        <n x="610"/>
        <n x="369"/>
        <n x="370"/>
        <n x="800" s="1"/>
        <n x="699"/>
        <n x="700"/>
      </t>
    </mdx>
    <mdx n="0" f="v">
      <t c="6" si="614">
        <n x="610"/>
        <n x="711"/>
        <n x="712"/>
        <n x="800" s="1"/>
        <n x="699"/>
        <n x="700"/>
      </t>
    </mdx>
    <mdx n="0" f="v">
      <t c="6" si="614">
        <n x="610"/>
        <n x="217"/>
        <n x="218"/>
        <n x="800" s="1"/>
        <n x="699"/>
        <n x="700"/>
      </t>
    </mdx>
    <mdx n="0" f="v">
      <t c="6" si="614">
        <n x="610"/>
        <n x="721"/>
        <n x="722"/>
        <n x="800" s="1"/>
        <n x="699"/>
        <n x="700"/>
      </t>
    </mdx>
    <mdx n="0" f="v">
      <t c="6" si="614">
        <n x="610"/>
        <n x="379"/>
        <n x="380"/>
        <n x="800" s="1"/>
        <n x="699"/>
        <n x="700"/>
      </t>
    </mdx>
    <mdx n="0" f="v">
      <t c="6" si="614">
        <n x="610"/>
        <n x="459"/>
        <n x="460"/>
        <n x="800" s="1"/>
        <n x="699"/>
        <n x="700"/>
      </t>
    </mdx>
    <mdx n="0" f="v">
      <t c="6" si="614">
        <n x="610"/>
        <n x="601"/>
        <n x="602"/>
        <n x="800" s="1"/>
        <n x="699"/>
        <n x="700"/>
      </t>
    </mdx>
    <mdx n="0" f="v">
      <t c="6" si="614">
        <n x="610"/>
        <n x="237"/>
        <n x="238"/>
        <n x="800" s="1"/>
        <n x="699"/>
        <n x="700"/>
      </t>
    </mdx>
    <mdx n="0" f="v">
      <t c="6" si="614">
        <n x="610"/>
        <n x="453"/>
        <n x="454"/>
        <n x="800" s="1"/>
        <n x="699"/>
        <n x="700"/>
      </t>
    </mdx>
    <mdx n="0" f="v">
      <t c="6" si="614">
        <n x="610"/>
        <n x="733"/>
        <n x="734"/>
        <n x="800" s="1"/>
        <n x="699"/>
        <n x="700"/>
      </t>
    </mdx>
    <mdx n="0" f="v">
      <t c="6" si="614">
        <n x="610"/>
        <n x="283"/>
        <n x="284"/>
        <n x="800" s="1"/>
        <n x="699"/>
        <n x="700"/>
      </t>
    </mdx>
    <mdx n="0" f="v">
      <t c="6" si="614">
        <n x="610"/>
        <n x="319"/>
        <n x="320"/>
        <n x="800" s="1"/>
        <n x="699"/>
        <n x="700"/>
      </t>
    </mdx>
    <mdx n="0" f="v">
      <t c="6" si="614">
        <n x="610"/>
        <n x="741"/>
        <n x="742"/>
        <n x="800" s="1"/>
        <n x="699"/>
        <n x="700"/>
      </t>
    </mdx>
    <mdx n="0" f="v">
      <t c="6" si="614">
        <n x="610"/>
        <n x="393"/>
        <n x="394"/>
        <n x="800" s="1"/>
        <n x="699"/>
        <n x="700"/>
      </t>
    </mdx>
    <mdx n="0" f="v">
      <t c="6" si="614">
        <n x="610"/>
        <n x="605"/>
        <n x="606"/>
        <n x="800" s="1"/>
        <n x="699"/>
        <n x="700"/>
      </t>
    </mdx>
    <mdx n="0" f="v">
      <t c="6" si="614">
        <n x="610"/>
        <n x="295"/>
        <n x="296"/>
        <n x="800" s="1"/>
        <n x="699"/>
        <n x="700"/>
      </t>
    </mdx>
    <mdx n="0" f="v">
      <t c="6" si="614">
        <n x="610"/>
        <n x="299"/>
        <n x="300"/>
        <n x="800" s="1"/>
        <n x="699"/>
        <n x="700"/>
      </t>
    </mdx>
    <mdx n="0" f="v">
      <t c="6" si="614">
        <n x="610"/>
        <n x="229"/>
        <n x="230"/>
        <n x="800" s="1"/>
        <n x="699"/>
        <n x="700"/>
      </t>
    </mdx>
    <mdx n="0" f="v">
      <t c="6" si="614">
        <n x="610"/>
        <n x="339"/>
        <n x="340"/>
        <n x="800" s="1"/>
        <n x="699"/>
        <n x="700"/>
      </t>
    </mdx>
    <mdx n="0" f="v">
      <t c="6" si="614">
        <n x="610"/>
        <n x="399"/>
        <n x="400"/>
        <n x="800" s="1"/>
        <n x="699"/>
        <n x="700"/>
      </t>
    </mdx>
    <mdx n="0" f="v">
      <t c="6" si="614">
        <n x="610"/>
        <n x="551"/>
        <n x="552"/>
        <n x="800" s="1"/>
        <n x="699"/>
        <n x="700"/>
      </t>
    </mdx>
    <mdx n="0" f="v">
      <t c="6" si="614">
        <n x="610"/>
        <n x="409"/>
        <n x="410"/>
        <n x="800" s="1"/>
        <n x="699"/>
        <n x="700"/>
      </t>
    </mdx>
    <mdx n="0" f="v">
      <t c="6" si="614">
        <n x="610"/>
        <n x="469"/>
        <n x="470"/>
        <n x="800" s="1"/>
        <n x="699"/>
        <n x="700"/>
      </t>
    </mdx>
    <mdx n="0" f="v">
      <t c="6" si="614">
        <n x="610"/>
        <n x="539"/>
        <n x="540"/>
        <n x="800" s="1"/>
        <n x="699"/>
        <n x="700"/>
      </t>
    </mdx>
    <mdx n="0" f="v">
      <t c="6" si="614">
        <n x="610"/>
        <n x="767"/>
        <n x="768"/>
        <n x="800" s="1"/>
        <n x="699"/>
        <n x="700"/>
      </t>
    </mdx>
    <mdx n="0" f="v">
      <t c="6" si="614">
        <n x="610"/>
        <n x="485"/>
        <n x="486"/>
        <n x="800" s="1"/>
        <n x="699"/>
        <n x="700"/>
      </t>
    </mdx>
    <mdx n="0" f="v">
      <t c="6" si="614">
        <n x="610"/>
        <n x="777"/>
        <n x="778"/>
        <n x="800" s="1"/>
        <n x="699"/>
        <n x="700"/>
      </t>
    </mdx>
    <mdx n="0" f="v">
      <t c="6" si="614">
        <n x="610"/>
        <n x="269"/>
        <n x="270"/>
        <n x="800" s="1"/>
        <n x="699"/>
        <n x="700"/>
      </t>
    </mdx>
    <mdx n="0" f="v">
      <t c="6" si="614">
        <n x="610"/>
        <n x="535"/>
        <n x="536"/>
        <n x="800" s="1"/>
        <n x="699"/>
        <n x="700"/>
      </t>
    </mdx>
    <mdx n="0" f="v">
      <t c="6" si="614">
        <n x="610"/>
        <n x="565"/>
        <n x="566"/>
        <n x="800" s="1"/>
        <n x="699"/>
        <n x="700"/>
      </t>
    </mdx>
    <mdx n="0" f="v">
      <t c="6" si="614">
        <n x="610"/>
        <n x="473"/>
        <n x="474"/>
        <n x="800" s="1"/>
        <n x="699"/>
        <n x="700"/>
      </t>
    </mdx>
    <mdx n="0" f="v">
      <t c="6" si="614">
        <n x="610"/>
        <n x="213"/>
        <n x="214"/>
        <n x="800" s="1"/>
        <n x="699"/>
        <n x="700"/>
      </t>
    </mdx>
    <mdx n="0" f="v">
      <t c="6" si="614">
        <n x="610"/>
        <n x="465"/>
        <n x="466"/>
        <n x="800" s="1"/>
        <n x="699"/>
        <n x="700"/>
      </t>
    </mdx>
    <mdx n="0" f="v">
      <t c="6" si="614">
        <n x="610"/>
        <n x="563"/>
        <n x="564"/>
        <n x="800" s="1"/>
        <n x="699"/>
        <n x="700"/>
      </t>
    </mdx>
    <mdx n="0" f="v">
      <t c="6" si="614">
        <n x="610"/>
        <n x="329"/>
        <n x="330"/>
        <n x="800" s="1"/>
        <n x="699"/>
        <n x="700"/>
      </t>
    </mdx>
    <mdx n="0" f="v">
      <t c="6" si="614">
        <n x="610"/>
        <n x="587"/>
        <n x="588"/>
        <n x="800" s="1"/>
        <n x="699"/>
        <n x="700"/>
      </t>
    </mdx>
    <mdx n="0" f="v">
      <t c="6" si="614">
        <n x="610"/>
        <n x="323"/>
        <n x="324"/>
        <n x="800" s="1"/>
        <n x="699"/>
        <n x="700"/>
      </t>
    </mdx>
    <mdx n="0" f="v">
      <t c="6" si="614">
        <n x="610"/>
        <n x="559"/>
        <n x="560"/>
        <n x="800" s="1"/>
        <n x="699"/>
        <n x="700"/>
      </t>
    </mdx>
    <mdx n="0" f="v">
      <t c="6" si="614">
        <n x="610"/>
        <n x="371"/>
        <n x="372"/>
        <n x="800" s="1"/>
        <n x="699"/>
        <n x="700"/>
      </t>
    </mdx>
    <mdx n="0" f="v">
      <t c="6" si="614">
        <n x="610"/>
        <n x="713"/>
        <n x="714"/>
        <n x="800" s="1"/>
        <n x="699"/>
        <n x="700"/>
      </t>
    </mdx>
    <mdx n="0" f="v">
      <t c="6" si="614">
        <n x="610"/>
        <n x="723"/>
        <n x="724"/>
        <n x="800" s="1"/>
        <n x="699"/>
        <n x="700"/>
      </t>
    </mdx>
    <mdx n="0" f="v">
      <t c="6" si="614">
        <n x="610"/>
        <n x="239"/>
        <n x="240"/>
        <n x="800" s="1"/>
        <n x="699"/>
        <n x="700"/>
      </t>
    </mdx>
    <mdx n="0" f="v">
      <t c="6" si="614">
        <n x="610"/>
        <n x="547"/>
        <n x="548"/>
        <n x="800" s="1"/>
        <n x="699"/>
        <n x="700"/>
      </t>
    </mdx>
    <mdx n="0" f="v">
      <t c="6" si="614">
        <n x="610"/>
        <n x="557"/>
        <n x="558"/>
        <n x="800" s="1"/>
        <n x="699"/>
        <n x="700"/>
      </t>
    </mdx>
    <mdx n="0" f="v">
      <t c="6" si="614">
        <n x="610"/>
        <n x="495"/>
        <n x="496"/>
        <n x="800" s="1"/>
        <n x="699"/>
        <n x="700"/>
      </t>
    </mdx>
    <mdx n="0" f="v">
      <t c="6" si="614">
        <n x="610"/>
        <n x="363"/>
        <n x="364"/>
        <n x="800" s="1"/>
        <n x="699"/>
        <n x="700"/>
      </t>
    </mdx>
    <mdx n="0" f="v">
      <t c="6" si="614">
        <n x="610"/>
        <n x="281"/>
        <n x="282"/>
        <n x="800" s="1"/>
        <n x="699"/>
        <n x="700"/>
      </t>
    </mdx>
    <mdx n="0" f="v">
      <t c="6" si="614">
        <n x="610"/>
        <n x="277"/>
        <n x="278"/>
        <n x="800" s="1"/>
        <n x="699"/>
        <n x="700"/>
      </t>
    </mdx>
    <mdx n="0" f="v">
      <t c="6" si="614">
        <n x="610"/>
        <n x="401"/>
        <n x="402"/>
        <n x="800" s="1"/>
        <n x="699"/>
        <n x="700"/>
      </t>
    </mdx>
    <mdx n="0" f="v">
      <t c="6" si="614">
        <n x="610"/>
        <n x="435"/>
        <n x="436"/>
        <n x="800" s="1"/>
        <n x="699"/>
        <n x="700"/>
      </t>
    </mdx>
    <mdx n="0" f="v">
      <t c="6" si="614">
        <n x="610"/>
        <n x="743"/>
        <n x="744"/>
        <n x="800" s="1"/>
        <n x="699"/>
        <n x="700"/>
      </t>
    </mdx>
    <mdx n="0" f="v">
      <t c="6" si="614">
        <n x="610"/>
        <n x="437"/>
        <n x="438"/>
        <n x="800" s="1"/>
        <n x="699"/>
        <n x="700"/>
      </t>
    </mdx>
    <mdx n="0" f="v">
      <t c="6" si="614">
        <n x="610"/>
        <n x="747"/>
        <n x="748"/>
        <n x="800" s="1"/>
        <n x="699"/>
        <n x="700"/>
      </t>
    </mdx>
    <mdx n="0" f="v">
      <t c="6" si="614">
        <n x="610"/>
        <n x="749"/>
        <n x="750"/>
        <n x="800" s="1"/>
        <n x="699"/>
        <n x="700"/>
      </t>
    </mdx>
    <mdx n="0" f="v">
      <t c="6" si="614">
        <n x="610"/>
        <n x="751"/>
        <n x="752"/>
        <n x="800" s="1"/>
        <n x="699"/>
        <n x="700"/>
      </t>
    </mdx>
    <mdx n="0" f="v">
      <t c="6" si="614">
        <n x="610"/>
        <n x="471"/>
        <n x="472"/>
        <n x="800" s="1"/>
        <n x="699"/>
        <n x="700"/>
      </t>
    </mdx>
    <mdx n="0" f="v">
      <t c="6" si="614">
        <n x="610"/>
        <n x="233"/>
        <n x="234"/>
        <n x="800" s="1"/>
        <n x="699"/>
        <n x="700"/>
      </t>
    </mdx>
    <mdx n="0" f="v">
      <t c="6" si="614">
        <n x="610"/>
        <n x="273"/>
        <n x="274"/>
        <n x="800" s="1"/>
        <n x="699"/>
        <n x="700"/>
      </t>
    </mdx>
    <mdx n="0" f="v">
      <t c="6" si="614">
        <n x="610"/>
        <n x="553"/>
        <n x="554"/>
        <n x="800" s="1"/>
        <n x="699"/>
        <n x="700"/>
      </t>
    </mdx>
    <mdx n="0" f="v">
      <t c="6" si="614">
        <n x="610"/>
        <n x="247"/>
        <n x="248"/>
        <n x="800" s="1"/>
        <n x="699"/>
        <n x="700"/>
      </t>
    </mdx>
    <mdx n="0" f="v">
      <t c="6" si="614">
        <n x="610"/>
        <n x="765"/>
        <n x="766"/>
        <n x="800" s="1"/>
        <n x="699"/>
        <n x="700"/>
      </t>
    </mdx>
    <mdx n="0" f="v">
      <t c="6" si="614">
        <n x="610"/>
        <n x="315"/>
        <n x="316"/>
        <n x="800" s="1"/>
        <n x="699"/>
        <n x="700"/>
      </t>
    </mdx>
    <mdx n="0" f="v">
      <t c="6" si="614">
        <n x="610"/>
        <n x="293"/>
        <n x="294"/>
        <n x="800" s="1"/>
        <n x="699"/>
        <n x="700"/>
      </t>
    </mdx>
    <mdx n="0" f="v">
      <t c="6" si="614">
        <n x="610"/>
        <n x="357"/>
        <n x="358"/>
        <n x="800" s="1"/>
        <n x="699"/>
        <n x="700"/>
      </t>
    </mdx>
    <mdx n="0" f="v">
      <t c="6" si="614">
        <n x="610"/>
        <n x="533"/>
        <n x="534"/>
        <n x="800" s="1"/>
        <n x="699"/>
        <n x="700"/>
      </t>
    </mdx>
    <mdx n="0" f="v">
      <t c="6" si="614">
        <n x="610"/>
        <n x="355"/>
        <n x="356"/>
        <n x="800" s="1"/>
        <n x="699"/>
        <n x="700"/>
      </t>
    </mdx>
    <mdx n="0" f="v">
      <t c="6" si="614">
        <n x="610"/>
        <n x="581"/>
        <n x="582"/>
        <n x="800" s="1"/>
        <n x="699"/>
        <n x="700"/>
      </t>
    </mdx>
    <mdx n="0" f="v">
      <t c="6" si="614">
        <n x="610"/>
        <n x="521"/>
        <n x="522"/>
        <n x="800" s="1"/>
        <n x="699"/>
        <n x="700"/>
      </t>
    </mdx>
    <mdx n="0" f="v">
      <t c="6" si="614">
        <n x="610"/>
        <n x="791"/>
        <n x="792"/>
        <n x="800" s="1"/>
        <n x="699"/>
        <n x="700"/>
      </t>
    </mdx>
    <mdx n="0" f="v">
      <t c="6" si="614">
        <n x="610"/>
        <n x="303"/>
        <n x="304"/>
        <n x="800" s="1"/>
        <n x="699"/>
        <n x="700"/>
      </t>
    </mdx>
    <mdx n="0" f="v">
      <t c="6" si="614">
        <n x="610"/>
        <n x="225"/>
        <n x="226"/>
        <n x="800" s="1"/>
        <n x="699"/>
        <n x="700"/>
      </t>
    </mdx>
    <mdx n="0" f="v">
      <t c="6" si="614">
        <n x="610"/>
        <n x="449"/>
        <n x="450"/>
        <n x="800" s="1"/>
        <n x="699"/>
        <n x="700"/>
      </t>
    </mdx>
    <mdx n="0" f="v">
      <t c="6" si="614">
        <n x="610"/>
        <n x="421"/>
        <n x="422"/>
        <n x="800" s="1"/>
        <n x="699"/>
        <n x="700"/>
      </t>
    </mdx>
    <mdx n="0" f="v">
      <t c="6" si="614">
        <n x="610"/>
        <n x="497"/>
        <n x="498"/>
        <n x="800" s="1"/>
        <n x="699"/>
        <n x="700"/>
      </t>
    </mdx>
    <mdx n="0" f="v">
      <t c="6" si="614">
        <n x="610"/>
        <n x="519"/>
        <n x="520"/>
        <n x="800" s="1"/>
        <n x="699"/>
        <n x="700"/>
      </t>
    </mdx>
    <mdx n="0" f="v">
      <t c="6" si="614">
        <n x="610"/>
        <n x="805"/>
        <n x="806"/>
        <n x="800" s="1"/>
        <n x="699"/>
        <n x="700"/>
      </t>
    </mdx>
    <mdx n="0" f="v">
      <t c="6" si="614">
        <n x="610"/>
        <n x="523"/>
        <n x="524"/>
        <n x="800" s="1"/>
        <n x="699"/>
        <n x="700"/>
      </t>
    </mdx>
    <mdx n="0" f="v">
      <t c="6" si="614">
        <n x="610"/>
        <n x="715"/>
        <n x="716"/>
        <n x="800" s="1"/>
        <n x="699"/>
        <n x="700"/>
      </t>
    </mdx>
    <mdx n="0" f="v">
      <t c="6" si="614">
        <n x="610"/>
        <n x="463"/>
        <n x="464"/>
        <n x="800" s="1"/>
        <n x="699"/>
        <n x="700"/>
      </t>
    </mdx>
    <mdx n="0" f="v">
      <t c="6" si="614">
        <n x="610"/>
        <n x="365"/>
        <n x="366"/>
        <n x="800" s="1"/>
        <n x="699"/>
        <n x="700"/>
      </t>
    </mdx>
    <mdx n="0" f="v">
      <t c="6" si="614">
        <n x="610"/>
        <n x="597"/>
        <n x="598"/>
        <n x="800" s="1"/>
        <n x="699"/>
        <n x="700"/>
      </t>
    </mdx>
    <mdx n="0" f="v">
      <t c="6" si="614">
        <n x="610"/>
        <n x="727"/>
        <n x="728"/>
        <n x="800" s="1"/>
        <n x="699"/>
        <n x="700"/>
      </t>
    </mdx>
    <mdx n="0" f="v">
      <t c="6" si="614">
        <n x="610"/>
        <n x="731"/>
        <n x="732"/>
        <n x="800" s="1"/>
        <n x="699"/>
        <n x="700"/>
      </t>
    </mdx>
    <mdx n="0" f="v">
      <t c="6" si="614">
        <n x="610"/>
        <n x="265"/>
        <n x="266"/>
        <n x="800" s="1"/>
        <n x="699"/>
        <n x="700"/>
      </t>
    </mdx>
    <mdx n="0" f="v">
      <t c="6" si="614">
        <n x="610"/>
        <n x="243"/>
        <n x="244"/>
        <n x="800" s="1"/>
        <n x="699"/>
        <n x="700"/>
      </t>
    </mdx>
    <mdx n="0" f="v">
      <t c="6" si="614">
        <n x="610"/>
        <n x="443"/>
        <n x="444"/>
        <n x="800" s="1"/>
        <n x="699"/>
        <n x="700"/>
      </t>
    </mdx>
    <mdx n="0" f="v">
      <t c="6" si="614">
        <n x="610"/>
        <n x="209"/>
        <n x="210"/>
        <n x="800" s="1"/>
        <n x="699"/>
        <n x="700"/>
      </t>
    </mdx>
    <mdx n="0" f="v">
      <t c="6" si="614">
        <n x="610"/>
        <n x="499"/>
        <n x="500"/>
        <n x="800" s="1"/>
        <n x="699"/>
        <n x="700"/>
      </t>
    </mdx>
    <mdx n="0" f="v">
      <t c="6" si="614">
        <n x="610"/>
        <n x="561"/>
        <n x="562"/>
        <n x="800" s="1"/>
        <n x="699"/>
        <n x="700"/>
      </t>
    </mdx>
    <mdx n="0" f="v">
      <t c="6" si="614">
        <n x="610"/>
        <n x="441"/>
        <n x="442"/>
        <n x="800" s="1"/>
        <n x="699"/>
        <n x="700"/>
      </t>
    </mdx>
    <mdx n="0" f="v">
      <t c="6" si="614">
        <n x="610"/>
        <n x="419"/>
        <n x="420"/>
        <n x="800" s="1"/>
        <n x="699"/>
        <n x="700"/>
      </t>
    </mdx>
    <mdx n="0" f="v">
      <t c="6" si="614">
        <n x="610"/>
        <n x="419"/>
        <n x="420"/>
        <n x="800" s="1"/>
        <n x="699"/>
        <n x="700"/>
      </t>
    </mdx>
    <mdx n="0" f="v">
      <t c="6" si="614">
        <n x="610"/>
        <n x="753"/>
        <n x="754"/>
        <n x="800" s="1"/>
        <n x="699"/>
        <n x="700"/>
      </t>
    </mdx>
    <mdx n="0" f="v">
      <t c="6" si="614">
        <n x="610"/>
        <n x="289"/>
        <n x="290"/>
        <n x="800" s="1"/>
        <n x="699"/>
        <n x="700"/>
      </t>
    </mdx>
    <mdx n="0" f="v">
      <t c="6" si="614">
        <n x="610"/>
        <n x="757"/>
        <n x="758"/>
        <n x="800" s="1"/>
        <n x="699"/>
        <n x="700"/>
      </t>
    </mdx>
    <mdx n="0" f="v">
      <t c="6" si="614">
        <n x="610"/>
        <n x="245"/>
        <n x="246"/>
        <n x="800" s="1"/>
        <n x="699"/>
        <n x="700"/>
      </t>
    </mdx>
    <mdx n="0" f="v">
      <t c="6" si="614">
        <n x="610"/>
        <n x="467"/>
        <n x="468"/>
        <n x="800" s="1"/>
        <n x="699"/>
        <n x="700"/>
      </t>
    </mdx>
    <mdx n="0" f="v">
      <t c="6" si="614">
        <n x="610"/>
        <n x="509"/>
        <n x="510"/>
        <n x="800" s="1"/>
        <n x="699"/>
        <n x="700"/>
      </t>
    </mdx>
    <mdx n="0" f="v">
      <t c="6" si="614">
        <n x="610"/>
        <n x="769"/>
        <n x="770"/>
        <n x="800" s="1"/>
        <n x="699"/>
        <n x="700"/>
      </t>
    </mdx>
    <mdx n="0" f="v">
      <t c="6" si="614">
        <n x="610"/>
        <n x="529"/>
        <n x="530"/>
        <n x="800" s="1"/>
        <n x="699"/>
        <n x="700"/>
      </t>
    </mdx>
    <mdx n="0" f="v">
      <t c="6" si="614">
        <n x="610"/>
        <n x="381"/>
        <n x="382"/>
        <n x="800" s="1"/>
        <n x="699"/>
        <n x="700"/>
      </t>
    </mdx>
    <mdx n="0" f="v">
      <t c="6" si="614">
        <n x="610"/>
        <n x="527"/>
        <n x="528"/>
        <n x="800" s="1"/>
        <n x="699"/>
        <n x="700"/>
      </t>
    </mdx>
    <mdx n="0" f="v">
      <t c="6" si="614">
        <n x="610"/>
        <n x="785"/>
        <n x="786"/>
        <n x="800" s="1"/>
        <n x="699"/>
        <n x="700"/>
      </t>
    </mdx>
    <mdx n="0" f="v">
      <t c="6" si="614">
        <n x="610"/>
        <n x="431"/>
        <n x="432"/>
        <n x="800" s="1"/>
        <n x="699"/>
        <n x="700"/>
      </t>
    </mdx>
    <mdx n="0" f="v">
      <t c="6" si="614">
        <n x="610"/>
        <n x="423"/>
        <n x="424"/>
        <n x="800" s="1"/>
        <n x="699"/>
        <n x="700"/>
      </t>
    </mdx>
    <mdx n="0" f="v">
      <t c="6" si="614">
        <n x="610"/>
        <n x="297"/>
        <n x="298"/>
        <n x="800" s="1"/>
        <n x="699"/>
        <n x="700"/>
      </t>
    </mdx>
    <mdx n="0" f="v">
      <t c="6" si="614">
        <n x="610"/>
        <n x="331"/>
        <n x="332"/>
        <n x="800" s="1"/>
        <n x="699"/>
        <n x="700"/>
      </t>
    </mdx>
    <mdx n="0" f="v">
      <t c="6" si="614">
        <n x="610"/>
        <n x="211"/>
        <n x="212"/>
        <n x="800" s="1"/>
        <n x="699"/>
        <n x="700"/>
      </t>
    </mdx>
    <mdx n="0" f="v">
      <t c="6" si="614">
        <n x="610"/>
        <n x="279"/>
        <n x="280"/>
        <n x="800" s="1"/>
        <n x="699"/>
        <n x="700"/>
      </t>
    </mdx>
    <mdx n="0" f="v">
      <t c="6" si="614">
        <n x="610"/>
        <n x="801"/>
        <n x="802"/>
        <n x="800" s="1"/>
        <n x="699"/>
        <n x="700"/>
      </t>
    </mdx>
    <mdx n="0" f="v">
      <t c="6" si="614">
        <n x="610"/>
        <n x="263"/>
        <n x="264"/>
        <n x="800" s="1"/>
        <n x="699"/>
        <n x="700"/>
      </t>
    </mdx>
    <mdx n="0" f="v">
      <t c="6" si="614">
        <n x="610"/>
        <n x="517"/>
        <n x="518"/>
        <n x="800" s="1"/>
        <n x="699"/>
        <n x="700"/>
      </t>
    </mdx>
    <mdx n="0" f="v">
      <t c="6" si="614">
        <n x="610"/>
        <n x="573"/>
        <n x="574"/>
        <n x="800" s="1"/>
        <n x="699"/>
        <n x="700"/>
      </t>
    </mdx>
    <mdx n="0" f="v">
      <t c="6" si="614">
        <n x="610"/>
        <n x="317"/>
        <n x="318"/>
        <n x="800" s="1"/>
        <n x="699"/>
        <n x="700"/>
      </t>
    </mdx>
    <mdx n="0" f="v">
      <t c="6" si="614">
        <n x="610"/>
        <n x="377"/>
        <n x="378"/>
        <n x="800" s="1"/>
        <n x="699"/>
        <n x="700"/>
      </t>
    </mdx>
    <mdx n="0" f="v">
      <t c="6" si="614">
        <n x="610"/>
        <n x="221"/>
        <n x="222"/>
        <n x="800" s="1"/>
        <n x="699"/>
        <n x="700"/>
      </t>
    </mdx>
    <mdx n="0" f="v">
      <t c="6" si="614">
        <n x="610"/>
        <n x="725"/>
        <n x="726"/>
        <n x="800" s="1"/>
        <n x="699"/>
        <n x="700"/>
      </t>
    </mdx>
    <mdx n="0" f="v">
      <t c="6" si="614">
        <n x="610"/>
        <n x="729"/>
        <n x="730"/>
        <n x="800" s="1"/>
        <n x="699"/>
        <n x="700"/>
      </t>
    </mdx>
    <mdx n="0" f="v">
      <t c="6" si="614">
        <n x="610"/>
        <n x="541"/>
        <n x="542"/>
        <n x="800" s="1"/>
        <n x="699"/>
        <n x="700"/>
      </t>
    </mdx>
    <mdx n="0" f="v">
      <t c="6" si="614">
        <n x="610"/>
        <n x="595"/>
        <n x="596"/>
        <n x="800" s="1"/>
        <n x="699"/>
        <n x="700"/>
      </t>
    </mdx>
    <mdx n="0" f="v">
      <t c="6" si="614">
        <n x="610"/>
        <n x="389"/>
        <n x="390"/>
        <n x="800" s="1"/>
        <n x="699"/>
        <n x="700"/>
      </t>
    </mdx>
    <mdx n="0" f="v">
      <t c="6" si="614">
        <n x="610"/>
        <n x="525"/>
        <n x="526"/>
        <n x="800" s="1"/>
        <n x="699"/>
        <n x="700"/>
      </t>
    </mdx>
    <mdx n="0" f="v">
      <t c="6" si="614">
        <n x="610"/>
        <n x="591"/>
        <n x="592"/>
        <n x="800" s="1"/>
        <n x="699"/>
        <n x="700"/>
      </t>
    </mdx>
    <mdx n="0" f="v">
      <t c="6" si="614">
        <n x="610"/>
        <n x="455"/>
        <n x="456"/>
        <n x="800" s="1"/>
        <n x="699"/>
        <n x="700"/>
      </t>
    </mdx>
    <mdx n="0" f="v">
      <t c="6" si="614">
        <n x="610"/>
        <n x="491"/>
        <n x="492"/>
        <n x="800" s="1"/>
        <n x="699"/>
        <n x="700"/>
      </t>
    </mdx>
    <mdx n="0" f="v">
      <t c="6" si="614">
        <n x="610"/>
        <n x="513"/>
        <n x="514"/>
        <n x="800" s="1"/>
        <n x="699"/>
        <n x="700"/>
      </t>
    </mdx>
    <mdx n="0" f="v">
      <t c="6" si="614">
        <n x="610"/>
        <n x="345"/>
        <n x="346"/>
        <n x="800" s="1"/>
        <n x="699"/>
        <n x="700"/>
      </t>
    </mdx>
    <mdx n="0" f="v">
      <t c="6" si="614">
        <n x="610"/>
        <n x="345"/>
        <n x="346"/>
        <n x="800" s="1"/>
        <n x="699"/>
        <n x="700"/>
      </t>
    </mdx>
    <mdx n="0" f="v">
      <t c="6" si="614">
        <n x="610"/>
        <n x="489"/>
        <n x="490"/>
        <n x="800" s="1"/>
        <n x="699"/>
        <n x="700"/>
      </t>
    </mdx>
    <mdx n="0" f="v">
      <t c="6" si="614">
        <n x="610"/>
        <n x="493"/>
        <n x="494"/>
        <n x="800" s="1"/>
        <n x="699"/>
        <n x="700"/>
      </t>
    </mdx>
    <mdx n="0" f="v">
      <t c="6" si="614">
        <n x="610"/>
        <n x="549"/>
        <n x="550"/>
        <n x="800" s="1"/>
        <n x="699"/>
        <n x="700"/>
      </t>
    </mdx>
    <mdx n="0" f="v">
      <t c="6" si="614">
        <n x="610"/>
        <n x="287"/>
        <n x="288"/>
        <n x="800" s="1"/>
        <n x="699"/>
        <n x="700"/>
      </t>
    </mdx>
    <mdx n="0" f="v">
      <t c="6" si="614">
        <n x="610"/>
        <n x="249"/>
        <n x="250"/>
        <n x="800" s="1"/>
        <n x="699"/>
        <n x="700"/>
      </t>
    </mdx>
    <mdx n="0" f="v">
      <t c="6" si="614">
        <n x="610"/>
        <n x="781"/>
        <n x="782"/>
        <n x="800" s="1"/>
        <n x="699"/>
        <n x="700"/>
      </t>
    </mdx>
    <mdx n="0" f="v">
      <t c="6" si="614">
        <n x="610"/>
        <n x="789"/>
        <n x="790"/>
        <n x="800" s="1"/>
        <n x="699"/>
        <n x="700"/>
      </t>
    </mdx>
    <mdx n="0" f="v">
      <t c="6" si="614">
        <n x="610"/>
        <n x="579"/>
        <n x="580"/>
        <n x="800" s="1"/>
        <n x="699"/>
        <n x="700"/>
      </t>
    </mdx>
    <mdx n="0" f="v">
      <t c="6" si="614">
        <n x="610"/>
        <n x="227"/>
        <n x="228"/>
        <n x="800" s="1"/>
        <n x="699"/>
        <n x="700"/>
      </t>
    </mdx>
    <mdx n="0" f="v">
      <t c="6" si="614">
        <n x="610"/>
        <n x="327"/>
        <n x="328"/>
        <n x="800" s="1"/>
        <n x="699"/>
        <n x="700"/>
      </t>
    </mdx>
    <mdx n="0" f="v">
      <t c="6" si="614">
        <n x="610"/>
        <n x="251"/>
        <n x="252"/>
        <n x="800" s="1"/>
        <n x="699"/>
        <n x="700"/>
      </t>
    </mdx>
    <mdx n="0" f="v">
      <t c="6" si="614">
        <n x="610"/>
        <n x="253"/>
        <n x="254"/>
        <n x="800" s="1"/>
        <n x="699"/>
        <n x="700"/>
      </t>
    </mdx>
    <mdx n="0" f="v">
      <t c="6" si="614">
        <n x="610"/>
        <n x="717"/>
        <n x="718"/>
        <n x="800" s="1"/>
        <n x="699"/>
        <n x="700"/>
      </t>
    </mdx>
    <mdx n="0" f="v">
      <t c="6" si="614">
        <n x="610"/>
        <n x="391"/>
        <n x="392"/>
        <n x="800" s="1"/>
        <n x="699"/>
        <n x="700"/>
      </t>
    </mdx>
    <mdx n="0" f="v">
      <t c="6" si="614">
        <n x="610"/>
        <n x="461"/>
        <n x="462"/>
        <n x="800" s="1"/>
        <n x="699"/>
        <n x="700"/>
      </t>
    </mdx>
    <mdx n="0" f="v">
      <t c="6" si="614">
        <n x="610"/>
        <n x="457"/>
        <n x="458"/>
        <n x="800" s="1"/>
        <n x="699"/>
        <n x="700"/>
      </t>
    </mdx>
    <mdx n="0" f="v">
      <t c="6" si="614">
        <n x="610"/>
        <n x="367"/>
        <n x="368"/>
        <n x="800" s="1"/>
        <n x="699"/>
        <n x="700"/>
      </t>
    </mdx>
    <mdx n="0" f="v">
      <t c="6" si="614">
        <n x="610"/>
        <n x="603"/>
        <n x="604"/>
        <n x="800" s="1"/>
        <n x="699"/>
        <n x="700"/>
      </t>
    </mdx>
    <mdx n="0" f="v">
      <t c="6" si="614">
        <n x="610"/>
        <n x="413"/>
        <n x="720"/>
        <n x="800" s="1"/>
        <n x="699"/>
        <n x="700"/>
      </t>
    </mdx>
    <mdx n="0" f="v">
      <t c="6" si="614">
        <n x="610"/>
        <n x="413"/>
        <n x="414"/>
        <n x="800" s="1"/>
        <n x="699"/>
        <n x="700"/>
      </t>
    </mdx>
    <mdx n="0" f="v">
      <t c="6" si="614">
        <n x="610"/>
        <n x="387"/>
        <n x="388"/>
        <n x="800" s="1"/>
        <n x="699"/>
        <n x="700"/>
      </t>
    </mdx>
    <mdx n="0" f="v">
      <t c="6" si="614">
        <n x="610"/>
        <n x="387"/>
        <n x="388"/>
        <n x="800" s="1"/>
        <n x="699"/>
        <n x="700"/>
      </t>
    </mdx>
    <mdx n="0" f="v">
      <t c="6" si="614">
        <n x="610"/>
        <n x="429"/>
        <n x="430"/>
        <n x="800" s="1"/>
        <n x="699"/>
        <n x="700"/>
      </t>
    </mdx>
    <mdx n="0" f="v">
      <t c="6" si="614">
        <n x="610"/>
        <n x="203"/>
        <n x="204"/>
        <n x="800" s="1"/>
        <n x="699"/>
        <n x="700"/>
      </t>
    </mdx>
    <mdx n="0" f="v">
      <t c="6" si="614">
        <n x="610"/>
        <n x="241"/>
        <n x="242"/>
        <n x="800" s="1"/>
        <n x="699"/>
        <n x="700"/>
      </t>
    </mdx>
    <mdx n="0" f="v">
      <t c="6" si="614">
        <n x="610"/>
        <n x="321"/>
        <n x="322"/>
        <n x="800" s="1"/>
        <n x="699"/>
        <n x="700"/>
      </t>
    </mdx>
    <mdx n="0" f="v">
      <t c="6" si="614">
        <n x="610"/>
        <n x="761"/>
        <n x="762"/>
        <n x="800" s="1"/>
        <n x="699"/>
        <n x="700"/>
      </t>
    </mdx>
    <mdx n="0" f="v">
      <t c="6" si="614">
        <n x="610"/>
        <n x="763"/>
        <n x="764"/>
        <n x="800" s="1"/>
        <n x="699"/>
        <n x="700"/>
      </t>
    </mdx>
    <mdx n="0" f="v">
      <t c="6" si="614">
        <n x="610"/>
        <n x="403"/>
        <n x="404"/>
        <n x="800" s="1"/>
        <n x="699"/>
        <n x="700"/>
      </t>
    </mdx>
    <mdx n="0" f="v">
      <t c="6" si="614">
        <n x="610"/>
        <n x="427"/>
        <n x="428"/>
        <n x="800" s="1"/>
        <n x="699"/>
        <n x="700"/>
      </t>
    </mdx>
    <mdx n="0" f="v">
      <t c="6" si="614">
        <n x="610"/>
        <n x="773"/>
        <n x="774"/>
        <n x="800" s="1"/>
        <n x="699"/>
        <n x="700"/>
      </t>
    </mdx>
    <mdx n="0" f="v">
      <t c="6" si="614">
        <n x="610"/>
        <n x="445"/>
        <n x="446"/>
        <n x="800" s="1"/>
        <n x="699"/>
        <n x="700"/>
      </t>
    </mdx>
    <mdx n="0" f="v">
      <t c="6" si="614">
        <n x="610"/>
        <n x="375"/>
        <n x="376"/>
        <n x="800" s="1"/>
        <n x="699"/>
        <n x="700"/>
      </t>
    </mdx>
    <mdx n="0" f="v">
      <t c="6" si="614">
        <n x="610"/>
        <n x="583"/>
        <n x="584"/>
        <n x="800" s="1"/>
        <n x="699"/>
        <n x="700"/>
      </t>
    </mdx>
    <mdx n="0" f="v">
      <t c="6" si="614">
        <n x="610"/>
        <n x="311"/>
        <n x="312"/>
        <n x="800" s="1"/>
        <n x="699"/>
        <n x="700"/>
      </t>
    </mdx>
    <mdx n="0" f="v">
      <t c="6" si="614">
        <n x="610"/>
        <n x="575"/>
        <n x="576"/>
        <n x="800" s="1"/>
        <n x="699"/>
        <n x="700"/>
      </t>
    </mdx>
    <mdx n="0" f="v">
      <t c="6" si="614">
        <n x="610"/>
        <n x="313"/>
        <n x="314"/>
        <n x="800" s="1"/>
        <n x="699"/>
        <n x="700"/>
      </t>
    </mdx>
    <mdx n="0" f="v">
      <t c="6" si="614">
        <n x="610"/>
        <n x="571"/>
        <n x="572"/>
        <n x="800" s="1"/>
        <n x="699"/>
        <n x="700"/>
      </t>
    </mdx>
    <mdx n="0" f="v">
      <t c="6" si="614">
        <n x="610"/>
        <n x="797"/>
        <n x="798"/>
        <n x="800" s="1"/>
        <n x="699"/>
        <n x="700"/>
      </t>
    </mdx>
    <mdx n="0" f="v">
      <t c="6" si="614">
        <n x="610"/>
        <n x="215"/>
        <n x="216"/>
        <n x="800" s="1"/>
        <n x="699"/>
        <n x="700"/>
      </t>
    </mdx>
    <mdx n="0" f="v">
      <t c="6" si="614">
        <n x="610"/>
        <n x="267"/>
        <n x="268"/>
        <n x="800" s="1"/>
        <n x="699"/>
        <n x="700"/>
      </t>
    </mdx>
    <mdx n="0" f="v">
      <t c="6" si="614">
        <n x="610"/>
        <n x="567"/>
        <n x="568"/>
        <n x="800" s="1"/>
        <n x="699"/>
        <n x="700"/>
      </t>
    </mdx>
    <mdx n="0" f="v">
      <t c="6" si="614">
        <n x="610"/>
        <n x="475"/>
        <n x="476"/>
        <n x="800" s="1"/>
        <n x="699"/>
        <n x="700"/>
      </t>
    </mdx>
    <mdx n="0" f="v">
      <t c="6" si="614">
        <n x="610"/>
        <n x="475"/>
        <n x="476"/>
        <n x="800" s="1"/>
        <n x="699"/>
        <n x="700"/>
      </t>
    </mdx>
    <mdx n="0" f="v">
      <t c="6" si="614">
        <n x="610"/>
        <n x="713"/>
        <n x="714"/>
        <n x="800" s="1"/>
        <n x="701"/>
        <n x="702"/>
      </t>
    </mdx>
    <mdx n="0" f="v">
      <t c="6" si="614">
        <n x="610"/>
        <n x="599"/>
        <n x="600"/>
        <n x="800" s="1"/>
        <n x="701"/>
        <n x="702"/>
      </t>
    </mdx>
    <mdx n="0" f="v">
      <t c="6" si="614">
        <n x="610"/>
        <n x="585"/>
        <n x="586"/>
        <n x="800" s="1"/>
        <n x="701"/>
        <n x="702"/>
      </t>
    </mdx>
    <mdx n="0" f="v">
      <t c="6" si="614">
        <n x="610"/>
        <n x="397"/>
        <n x="398"/>
        <n x="800" s="1"/>
        <n x="701"/>
        <n x="702"/>
      </t>
    </mdx>
    <mdx n="0" f="v">
      <t c="6" si="614">
        <n x="610"/>
        <n x="231"/>
        <n x="232"/>
        <n x="800" s="1"/>
        <n x="701"/>
        <n x="702"/>
      </t>
    </mdx>
    <mdx n="0" f="v">
      <t c="6" si="614">
        <n x="610"/>
        <n x="555"/>
        <n x="556"/>
        <n x="800" s="1"/>
        <n x="701"/>
        <n x="702"/>
      </t>
    </mdx>
    <mdx n="0" f="v">
      <t c="6" si="614">
        <n x="610"/>
        <n x="607"/>
        <n x="608"/>
        <n x="800" s="1"/>
        <n x="701"/>
        <n x="702"/>
      </t>
    </mdx>
    <mdx n="0" f="v">
      <t c="6" si="614">
        <n x="610"/>
        <n x="235"/>
        <n x="236"/>
        <n x="800" s="1"/>
        <n x="701"/>
        <n x="702"/>
      </t>
    </mdx>
    <mdx n="0" f="v">
      <t c="6" si="614">
        <n x="610"/>
        <n x="735"/>
        <n x="736"/>
        <n x="800" s="1"/>
        <n x="701"/>
        <n x="702"/>
      </t>
    </mdx>
    <mdx n="0" f="v">
      <t c="6" si="614">
        <n x="610"/>
        <n x="257"/>
        <n x="258"/>
        <n x="800" s="1"/>
        <n x="701"/>
        <n x="702"/>
      </t>
    </mdx>
    <mdx n="0" f="v">
      <t c="6" si="614">
        <n x="610"/>
        <n x="739"/>
        <n x="740"/>
        <n x="800" s="1"/>
        <n x="701"/>
        <n x="702"/>
      </t>
    </mdx>
    <mdx n="0" f="v">
      <t c="6" si="614">
        <n x="610"/>
        <n x="217"/>
        <n x="538"/>
        <n x="800" s="1"/>
        <n x="701"/>
        <n x="702"/>
      </t>
    </mdx>
    <mdx n="0" f="v">
      <t c="6" si="614">
        <n x="610"/>
        <n x="217"/>
        <n x="218"/>
        <n x="800" s="1"/>
        <n x="701"/>
        <n x="702"/>
      </t>
    </mdx>
    <mdx n="0" f="v">
      <t c="6" si="614">
        <n x="610"/>
        <n x="589"/>
        <n x="590"/>
        <n x="800" s="1"/>
        <n x="701"/>
        <n x="702"/>
      </t>
    </mdx>
    <mdx n="0" f="v">
      <t c="6" si="614">
        <n x="610"/>
        <n x="721"/>
        <n x="722"/>
        <n x="800" s="1"/>
        <n x="701"/>
        <n x="702"/>
      </t>
    </mdx>
    <mdx n="0" f="v">
      <t c="6" si="614">
        <n x="610"/>
        <n x="721"/>
        <n x="722"/>
        <n x="800" s="1"/>
        <n x="701"/>
        <n x="702"/>
      </t>
    </mdx>
    <mdx n="0" f="v">
      <t c="6" si="614">
        <n x="610"/>
        <n x="259"/>
        <n x="260"/>
        <n x="800" s="1"/>
        <n x="701"/>
        <n x="702"/>
      </t>
    </mdx>
    <mdx n="0" f="v">
      <t c="6" si="614">
        <n x="610"/>
        <n x="593"/>
        <n x="594"/>
        <n x="800" s="1"/>
        <n x="701"/>
        <n x="702"/>
      </t>
    </mdx>
    <mdx n="0" f="v">
      <t c="6" si="614">
        <n x="610"/>
        <n x="459"/>
        <n x="460"/>
        <n x="800" s="1"/>
        <n x="701"/>
        <n x="702"/>
      </t>
    </mdx>
    <mdx n="0" f="v">
      <t c="6" si="614">
        <n x="610"/>
        <n x="601"/>
        <n x="602"/>
        <n x="800" s="1"/>
        <n x="701"/>
        <n x="702"/>
      </t>
    </mdx>
    <mdx n="0" f="v">
      <t c="6" si="614">
        <n x="610"/>
        <n x="361"/>
        <n x="362"/>
        <n x="800" s="1"/>
        <n x="701"/>
        <n x="702"/>
      </t>
    </mdx>
    <mdx n="0" f="v">
      <t c="6" si="614">
        <n x="610"/>
        <n x="325"/>
        <n x="326"/>
        <n x="800" s="1"/>
        <n x="701"/>
        <n x="702"/>
      </t>
    </mdx>
    <mdx n="0" f="v">
      <t c="6" si="614">
        <n x="610"/>
        <n x="453"/>
        <n x="454"/>
        <n x="800" s="1"/>
        <n x="701"/>
        <n x="702"/>
      </t>
    </mdx>
    <mdx n="0" f="v">
      <t c="6" si="614">
        <n x="610"/>
        <n x="453"/>
        <n x="454"/>
        <n x="800" s="1"/>
        <n x="701"/>
        <n x="702"/>
      </t>
    </mdx>
    <mdx n="0" f="v">
      <t c="6" si="614">
        <n x="610"/>
        <n x="349"/>
        <n x="350"/>
        <n x="800" s="1"/>
        <n x="701"/>
        <n x="702"/>
      </t>
    </mdx>
    <mdx n="0" f="v">
      <t c="6" si="614">
        <n x="610"/>
        <n x="411"/>
        <n x="412"/>
        <n x="800" s="1"/>
        <n x="701"/>
        <n x="702"/>
      </t>
    </mdx>
    <mdx n="0" f="v">
      <t c="6" si="614">
        <n x="610"/>
        <n x="723"/>
        <n x="724"/>
        <n x="800" s="1"/>
        <n x="701"/>
        <n x="702"/>
      </t>
    </mdx>
    <mdx n="0" f="v">
      <t c="6" si="614">
        <n x="610"/>
        <n x="733"/>
        <n x="776"/>
        <n x="800" s="1"/>
        <n x="701"/>
        <n x="702"/>
      </t>
    </mdx>
    <mdx n="0" f="v">
      <t c="6" si="614">
        <n x="610"/>
        <n x="733"/>
        <n x="734"/>
        <n x="800" s="1"/>
        <n x="701"/>
        <n x="702"/>
      </t>
    </mdx>
    <mdx n="0" f="v">
      <t c="6" si="614">
        <n x="610"/>
        <n x="779"/>
        <n x="780"/>
        <n x="800" s="1"/>
        <n x="701"/>
        <n x="702"/>
      </t>
    </mdx>
    <mdx n="0" f="v">
      <t c="6" si="614">
        <n x="610"/>
        <n x="783"/>
        <n x="784"/>
        <n x="800" s="1"/>
        <n x="701"/>
        <n x="702"/>
      </t>
    </mdx>
    <mdx n="0" f="v">
      <t c="6" si="614">
        <n x="610"/>
        <n x="319"/>
        <n x="320"/>
        <n x="800" s="1"/>
        <n x="701"/>
        <n x="702"/>
      </t>
    </mdx>
    <mdx n="0" f="v">
      <t c="6" si="614">
        <n x="610"/>
        <n x="741"/>
        <n x="742"/>
        <n x="800" s="1"/>
        <n x="701"/>
        <n x="702"/>
      </t>
    </mdx>
    <mdx n="0" f="v">
      <t c="6" si="614">
        <n x="610"/>
        <n x="393"/>
        <n x="452"/>
        <n x="800" s="1"/>
        <n x="701"/>
        <n x="702"/>
      </t>
    </mdx>
    <mdx n="0" f="v">
      <t c="6" si="614">
        <n x="610"/>
        <n x="393"/>
        <n x="394"/>
        <n x="800" s="1"/>
        <n x="701"/>
        <n x="702"/>
      </t>
    </mdx>
    <mdx n="0" f="v">
      <t c="6" si="614">
        <n x="610"/>
        <n x="351"/>
        <n x="352"/>
        <n x="800" s="1"/>
        <n x="701"/>
        <n x="702"/>
      </t>
    </mdx>
    <mdx n="0" f="v">
      <t c="6" si="614">
        <n x="610"/>
        <n x="795"/>
        <n x="796"/>
        <n x="800" s="1"/>
        <n x="701"/>
        <n x="702"/>
      </t>
    </mdx>
    <mdx n="0" f="v">
      <t c="6" si="614">
        <n x="610"/>
        <n x="295"/>
        <n x="296"/>
        <n x="800" s="1"/>
        <n x="701"/>
        <n x="702"/>
      </t>
    </mdx>
    <mdx n="0" f="v">
      <t c="6" si="614">
        <n x="610"/>
        <n x="295"/>
        <n x="296"/>
        <n x="800" s="1"/>
        <n x="701"/>
        <n x="702"/>
      </t>
    </mdx>
    <mdx n="0" f="v">
      <t c="6" si="614">
        <n x="610"/>
        <n x="373"/>
        <n x="374"/>
        <n x="800" s="1"/>
        <n x="701"/>
        <n x="702"/>
      </t>
    </mdx>
    <mdx n="0" f="v">
      <t c="6" si="614">
        <n x="610"/>
        <n x="803"/>
        <n x="804"/>
        <n x="800" s="1"/>
        <n x="701"/>
        <n x="702"/>
      </t>
    </mdx>
    <mdx n="0" f="v">
      <t c="6" si="614">
        <n x="610"/>
        <n x="803"/>
        <n x="804"/>
        <n x="800" s="1"/>
        <n x="701"/>
        <n x="702"/>
      </t>
    </mdx>
    <mdx n="0" f="v">
      <t c="6" si="614">
        <n x="610"/>
        <n x="229"/>
        <n x="230"/>
        <n x="800" s="1"/>
        <n x="701"/>
        <n x="702"/>
      </t>
    </mdx>
    <mdx n="0" f="v">
      <t c="6" si="614">
        <n x="610"/>
        <n x="339"/>
        <n x="426"/>
        <n x="800" s="1"/>
        <n x="701"/>
        <n x="702"/>
      </t>
    </mdx>
    <mdx n="0" f="v">
      <t c="6" si="614">
        <n x="610"/>
        <n x="339"/>
        <n x="340"/>
        <n x="800" s="1"/>
        <n x="701"/>
        <n x="702"/>
      </t>
    </mdx>
    <mdx n="0" f="v">
      <t c="6" si="614">
        <n x="610"/>
        <n x="369"/>
        <n x="370"/>
        <n x="800" s="1"/>
        <n x="701"/>
        <n x="702"/>
      </t>
    </mdx>
    <mdx n="0" f="v">
      <t c="6" si="614">
        <n x="610"/>
        <n x="399"/>
        <n x="400"/>
        <n x="800" s="1"/>
        <n x="701"/>
        <n x="702"/>
      </t>
    </mdx>
    <mdx n="0" f="v">
      <t c="6" si="614">
        <n x="610"/>
        <n x="551"/>
        <n x="552"/>
        <n x="800" s="1"/>
        <n x="701"/>
        <n x="702"/>
      </t>
    </mdx>
    <mdx n="0" f="v">
      <t c="6" si="614">
        <n x="610"/>
        <n x="409"/>
        <n x="410"/>
        <n x="800" s="1"/>
        <n x="701"/>
        <n x="702"/>
      </t>
    </mdx>
    <mdx n="0" f="v">
      <t c="6" si="614">
        <n x="610"/>
        <n x="469"/>
        <n x="470"/>
        <n x="800" s="1"/>
        <n x="701"/>
        <n x="702"/>
      </t>
    </mdx>
    <mdx n="0" f="v">
      <t c="6" si="614">
        <n x="610"/>
        <n x="539"/>
        <n x="540"/>
        <n x="800" s="1"/>
        <n x="701"/>
        <n x="702"/>
      </t>
    </mdx>
    <mdx n="0" f="v">
      <t c="6" si="614">
        <n x="610"/>
        <n x="767"/>
        <n x="768"/>
        <n x="800" s="1"/>
        <n x="701"/>
        <n x="702"/>
      </t>
    </mdx>
    <mdx n="0" f="v">
      <t c="6" si="614">
        <n x="610"/>
        <n x="485"/>
        <n x="486"/>
        <n x="800" s="1"/>
        <n x="701"/>
        <n x="702"/>
      </t>
    </mdx>
    <mdx n="0" f="v">
      <t c="6" si="614">
        <n x="610"/>
        <n x="777"/>
        <n x="778"/>
        <n x="800" s="1"/>
        <n x="701"/>
        <n x="702"/>
      </t>
    </mdx>
    <mdx n="0" f="v">
      <t c="6" si="614">
        <n x="610"/>
        <n x="269"/>
        <n x="270"/>
        <n x="800" s="1"/>
        <n x="701"/>
        <n x="702"/>
      </t>
    </mdx>
    <mdx n="0" f="v">
      <t c="6" si="614">
        <n x="610"/>
        <n x="535"/>
        <n x="536"/>
        <n x="800" s="1"/>
        <n x="701"/>
        <n x="702"/>
      </t>
    </mdx>
    <mdx n="0" f="v">
      <t c="6" si="614">
        <n x="610"/>
        <n x="565"/>
        <n x="566"/>
        <n x="800" s="1"/>
        <n x="701"/>
        <n x="702"/>
      </t>
    </mdx>
    <mdx n="0" f="v">
      <t c="6" si="614">
        <n x="610"/>
        <n x="473"/>
        <n x="474"/>
        <n x="800" s="1"/>
        <n x="701"/>
        <n x="702"/>
      </t>
    </mdx>
    <mdx n="0" f="v">
      <t c="6" si="614">
        <n x="610"/>
        <n x="213"/>
        <n x="214"/>
        <n x="800" s="1"/>
        <n x="701"/>
        <n x="702"/>
      </t>
    </mdx>
    <mdx n="0" f="v">
      <t c="6" si="614">
        <n x="610"/>
        <n x="465"/>
        <n x="466"/>
        <n x="800" s="1"/>
        <n x="701"/>
        <n x="702"/>
      </t>
    </mdx>
    <mdx n="0" f="v">
      <t c="6" si="614">
        <n x="610"/>
        <n x="563"/>
        <n x="564"/>
        <n x="800" s="1"/>
        <n x="701"/>
        <n x="702"/>
      </t>
    </mdx>
    <mdx n="0" f="v">
      <t c="6" si="614">
        <n x="610"/>
        <n x="329"/>
        <n x="330"/>
        <n x="800" s="1"/>
        <n x="701"/>
        <n x="702"/>
      </t>
    </mdx>
    <mdx n="0" f="v">
      <t c="6" si="614">
        <n x="610"/>
        <n x="587"/>
        <n x="588"/>
        <n x="800" s="1"/>
        <n x="701"/>
        <n x="702"/>
      </t>
    </mdx>
    <mdx n="0" f="v">
      <t c="6" si="614">
        <n x="610"/>
        <n x="323"/>
        <n x="324"/>
        <n x="800" s="1"/>
        <n x="701"/>
        <n x="702"/>
      </t>
    </mdx>
    <mdx n="0" f="v">
      <t c="6" si="614">
        <n x="610"/>
        <n x="559"/>
        <n x="560"/>
        <n x="800" s="1"/>
        <n x="701"/>
        <n x="702"/>
      </t>
    </mdx>
    <mdx n="0" f="v">
      <t c="6" si="614">
        <n x="610"/>
        <n x="371"/>
        <n x="372"/>
        <n x="800" s="1"/>
        <n x="701"/>
        <n x="702"/>
      </t>
    </mdx>
    <mdx n="0" f="v">
      <t c="6" si="614">
        <n x="610"/>
        <n x="557"/>
        <n x="558"/>
        <n x="800" s="1"/>
        <n x="701"/>
        <n x="702"/>
      </t>
    </mdx>
    <mdx n="0" f="v">
      <t c="6" si="614">
        <n x="610"/>
        <n x="363"/>
        <n x="716"/>
        <n x="800" s="1"/>
        <n x="701"/>
        <n x="702"/>
      </t>
    </mdx>
    <mdx n="0" f="v">
      <t c="6" si="614">
        <n x="610"/>
        <n x="363"/>
        <n x="364"/>
        <n x="800" s="1"/>
        <n x="701"/>
        <n x="702"/>
      </t>
    </mdx>
    <mdx n="0" f="v">
      <t c="6" si="614">
        <n x="610"/>
        <n x="261"/>
        <n x="262"/>
        <n x="800" s="1"/>
        <n x="701"/>
        <n x="702"/>
      </t>
    </mdx>
    <mdx n="0" f="v">
      <t c="6" si="614">
        <n x="610"/>
        <n x="277"/>
        <n x="464"/>
        <n x="800" s="1"/>
        <n x="701"/>
        <n x="702"/>
      </t>
    </mdx>
    <mdx n="0" f="v">
      <t c="6" si="614">
        <n x="610"/>
        <n x="277"/>
        <n x="278"/>
        <n x="800" s="1"/>
        <n x="701"/>
        <n x="702"/>
      </t>
    </mdx>
    <mdx n="0" f="v">
      <t c="6" si="614">
        <n x="610"/>
        <n x="239"/>
        <n x="240"/>
        <n x="800" s="1"/>
        <n x="701"/>
        <n x="702"/>
      </t>
    </mdx>
    <mdx n="0" f="v">
      <t c="6" si="614">
        <n x="610"/>
        <n x="495"/>
        <n x="240"/>
        <n x="800" s="1"/>
        <n x="701"/>
        <n x="702"/>
      </t>
    </mdx>
    <mdx n="0" f="v">
      <t c="6" si="614">
        <n x="610"/>
        <n x="401"/>
        <n x="436"/>
        <n x="800" s="1"/>
        <n x="701"/>
        <n x="702"/>
      </t>
    </mdx>
    <mdx n="0" f="v">
      <t c="6" si="614">
        <n x="610"/>
        <n x="597"/>
        <n x="598"/>
        <n x="800" s="1"/>
        <n x="701"/>
        <n x="702"/>
      </t>
    </mdx>
    <mdx n="0" f="v">
      <t c="6" si="614">
        <n x="610"/>
        <n x="727"/>
        <n x="750"/>
        <n x="800" s="1"/>
        <n x="701"/>
        <n x="702"/>
      </t>
    </mdx>
    <mdx n="0" f="v">
      <t c="6" si="614">
        <n x="610"/>
        <n x="727"/>
        <n x="728"/>
        <n x="800" s="1"/>
        <n x="701"/>
        <n x="702"/>
      </t>
    </mdx>
    <mdx n="0" f="v">
      <t c="6" si="614">
        <n x="610"/>
        <n x="273"/>
        <n x="274"/>
        <n x="800" s="1"/>
        <n x="701"/>
        <n x="702"/>
      </t>
    </mdx>
    <mdx n="0" f="v">
      <t c="6" si="614">
        <n x="610"/>
        <n x="553"/>
        <n x="554"/>
        <n x="800" s="1"/>
        <n x="701"/>
        <n x="702"/>
      </t>
    </mdx>
    <mdx n="0" f="v">
      <t c="6" si="614">
        <n x="610"/>
        <n x="247"/>
        <n x="248"/>
        <n x="800" s="1"/>
        <n x="701"/>
        <n x="702"/>
      </t>
    </mdx>
    <mdx n="0" f="v">
      <t c="6" si="614">
        <n x="610"/>
        <n x="443"/>
        <n x="444"/>
        <n x="800" s="1"/>
        <n x="701"/>
        <n x="702"/>
      </t>
    </mdx>
    <mdx n="0" f="v">
      <t c="6" si="614">
        <n x="610"/>
        <n x="315"/>
        <n x="316"/>
        <n x="800" s="1"/>
        <n x="701"/>
        <n x="702"/>
      </t>
    </mdx>
    <mdx n="0" f="v">
      <t c="6" si="614">
        <n x="610"/>
        <n x="315"/>
        <n x="316"/>
        <n x="800" s="1"/>
        <n x="701"/>
        <n x="702"/>
      </t>
    </mdx>
    <mdx n="0" f="v">
      <t c="6" si="614">
        <n x="610"/>
        <n x="765"/>
        <n x="316"/>
        <n x="800" s="1"/>
        <n x="701"/>
        <n x="702"/>
      </t>
    </mdx>
    <mdx n="0" f="v">
      <t c="6" si="614">
        <n x="610"/>
        <n x="357"/>
        <n x="358"/>
        <n x="800" s="1"/>
        <n x="701"/>
        <n x="702"/>
      </t>
    </mdx>
    <mdx n="0" f="v">
      <t c="6" si="614">
        <n x="610"/>
        <n x="561"/>
        <n x="562"/>
        <n x="800" s="1"/>
        <n x="701"/>
        <n x="702"/>
      </t>
    </mdx>
    <mdx n="0" f="v">
      <t c="6" si="614">
        <n x="610"/>
        <n x="561"/>
        <n x="294"/>
        <n x="800" s="1"/>
        <n x="701"/>
        <n x="702"/>
      </t>
    </mdx>
    <mdx n="0" f="v">
      <t c="6" si="614">
        <n x="610"/>
        <n x="503"/>
        <n x="504"/>
        <n x="800" s="1"/>
        <n x="701"/>
        <n x="702"/>
      </t>
    </mdx>
    <mdx n="0" f="v">
      <t c="6" si="614">
        <n x="610"/>
        <n x="503"/>
        <n x="504"/>
        <n x="800" s="1"/>
        <n x="701"/>
        <n x="702"/>
      </t>
    </mdx>
    <mdx n="0" f="v">
      <t c="6" si="614">
        <n x="610"/>
        <n x="523"/>
        <n x="792"/>
        <n x="800" s="1"/>
        <n x="701"/>
        <n x="702"/>
      </t>
    </mdx>
    <mdx n="0" f="v">
      <t c="6" si="614">
        <n x="610"/>
        <n x="303"/>
        <n x="500"/>
        <n x="800" s="1"/>
        <n x="701"/>
        <n x="702"/>
      </t>
    </mdx>
    <mdx n="0" f="v">
      <t c="6" si="614">
        <n x="610"/>
        <n x="419"/>
        <n x="420"/>
        <n x="800" s="1"/>
        <n x="701"/>
        <n x="702"/>
      </t>
    </mdx>
    <mdx n="0" f="v">
      <t c="6" si="614">
        <n x="610"/>
        <n x="753"/>
        <n x="754"/>
        <n x="800" s="1"/>
        <n x="701"/>
        <n x="702"/>
      </t>
    </mdx>
    <mdx n="0" f="v">
      <t c="6" si="614">
        <n x="610"/>
        <n x="717"/>
        <n x="718"/>
        <n x="800" s="1"/>
        <n x="701"/>
        <n x="702"/>
      </t>
    </mdx>
    <mdx n="0" f="v">
      <t c="6" si="614">
        <n x="610"/>
        <n x="289"/>
        <n x="290"/>
        <n x="800" s="1"/>
        <n x="701"/>
        <n x="702"/>
      </t>
    </mdx>
    <mdx n="0" f="v">
      <t c="6" si="614">
        <n x="610"/>
        <n x="757"/>
        <n x="758"/>
        <n x="800" s="1"/>
        <n x="701"/>
        <n x="702"/>
      </t>
    </mdx>
    <mdx n="0" f="v">
      <t c="6" si="614">
        <n x="610"/>
        <n x="519"/>
        <n x="520"/>
        <n x="800" s="1"/>
        <n x="701"/>
        <n x="702"/>
      </t>
    </mdx>
    <mdx n="0" f="v">
      <t c="6" si="614">
        <n x="610"/>
        <n x="805"/>
        <n x="806"/>
        <n x="800" s="1"/>
        <n x="701"/>
        <n x="702"/>
      </t>
    </mdx>
    <mdx n="0" f="v">
      <t c="6" si="614">
        <n x="610"/>
        <n x="467"/>
        <n x="468"/>
        <n x="800" s="1"/>
        <n x="701"/>
        <n x="702"/>
      </t>
    </mdx>
    <mdx n="0" f="v">
      <t c="6" si="614">
        <n x="610"/>
        <n x="509"/>
        <n x="510"/>
        <n x="800" s="1"/>
        <n x="701"/>
        <n x="702"/>
      </t>
    </mdx>
    <mdx n="0" f="v">
      <t c="6" si="614">
        <n x="610"/>
        <n x="769"/>
        <n x="770"/>
        <n x="800" s="1"/>
        <n x="701"/>
        <n x="702"/>
      </t>
    </mdx>
    <mdx n="0" f="v">
      <t c="6" si="614">
        <n x="610"/>
        <n x="529"/>
        <n x="530"/>
        <n x="800" s="1"/>
        <n x="701"/>
        <n x="702"/>
      </t>
    </mdx>
    <mdx n="0" f="v">
      <t c="6" si="614">
        <n x="610"/>
        <n x="381"/>
        <n x="382"/>
        <n x="800" s="1"/>
        <n x="701"/>
        <n x="702"/>
      </t>
    </mdx>
    <mdx n="0" f="v">
      <t c="6" si="614">
        <n x="610"/>
        <n x="527"/>
        <n x="528"/>
        <n x="800" s="1"/>
        <n x="701"/>
        <n x="702"/>
      </t>
    </mdx>
    <mdx n="0" f="v">
      <t c="6" si="614">
        <n x="610"/>
        <n x="785"/>
        <n x="786"/>
        <n x="800" s="1"/>
        <n x="701"/>
        <n x="702"/>
      </t>
    </mdx>
    <mdx n="0" f="v">
      <t c="6" si="614">
        <n x="610"/>
        <n x="431"/>
        <n x="432"/>
        <n x="800" s="1"/>
        <n x="701"/>
        <n x="702"/>
      </t>
    </mdx>
    <mdx n="0" f="v">
      <t c="6" si="614">
        <n x="610"/>
        <n x="423"/>
        <n x="424"/>
        <n x="800" s="1"/>
        <n x="701"/>
        <n x="702"/>
      </t>
    </mdx>
    <mdx n="0" f="v">
      <t c="6" si="614">
        <n x="610"/>
        <n x="297"/>
        <n x="298"/>
        <n x="800" s="1"/>
        <n x="701"/>
        <n x="702"/>
      </t>
    </mdx>
    <mdx n="0" f="v">
      <t c="6" si="614">
        <n x="610"/>
        <n x="331"/>
        <n x="332"/>
        <n x="800" s="1"/>
        <n x="701"/>
        <n x="702"/>
      </t>
    </mdx>
    <mdx n="0" f="v">
      <t c="6" si="614">
        <n x="610"/>
        <n x="211"/>
        <n x="212"/>
        <n x="800" s="1"/>
        <n x="701"/>
        <n x="702"/>
      </t>
    </mdx>
    <mdx n="0" f="v">
      <t c="6" si="614">
        <n x="610"/>
        <n x="279"/>
        <n x="280"/>
        <n x="800" s="1"/>
        <n x="701"/>
        <n x="702"/>
      </t>
    </mdx>
    <mdx n="0" f="v">
      <t c="6" si="614">
        <n x="610"/>
        <n x="801"/>
        <n x="802"/>
        <n x="800" s="1"/>
        <n x="701"/>
        <n x="702"/>
      </t>
    </mdx>
    <mdx n="0" f="v">
      <t c="6" si="614">
        <n x="610"/>
        <n x="263"/>
        <n x="264"/>
        <n x="800" s="1"/>
        <n x="701"/>
        <n x="702"/>
      </t>
    </mdx>
    <mdx n="0" f="v">
      <t c="6" si="614">
        <n x="610"/>
        <n x="517"/>
        <n x="518"/>
        <n x="800" s="1"/>
        <n x="701"/>
        <n x="702"/>
      </t>
    </mdx>
    <mdx n="0" f="v">
      <t c="6" si="614">
        <n x="610"/>
        <n x="573"/>
        <n x="574"/>
        <n x="800" s="1"/>
        <n x="701"/>
        <n x="702"/>
      </t>
    </mdx>
    <mdx n="0" f="v">
      <t c="6" si="614">
        <n x="610"/>
        <n x="275"/>
        <n x="276"/>
        <n x="800" s="1"/>
        <n x="701"/>
        <n x="702"/>
      </t>
    </mdx>
    <mdx n="0" f="v">
      <t c="6" si="614">
        <n x="610"/>
        <n x="449"/>
        <n x="450"/>
        <n x="800" s="1"/>
        <n x="701"/>
        <n x="702"/>
      </t>
    </mdx>
    <mdx n="0" f="v">
      <t c="6" si="614">
        <n x="610"/>
        <n x="461"/>
        <n x="462"/>
        <n x="800" s="1"/>
        <n x="701"/>
        <n x="702"/>
      </t>
    </mdx>
    <mdx n="0" f="v">
      <t c="6" si="614">
        <n x="610"/>
        <n x="457"/>
        <n x="458"/>
        <n x="800" s="1"/>
        <n x="701"/>
        <n x="702"/>
      </t>
    </mdx>
    <mdx n="0" f="v">
      <t c="6" si="614">
        <n x="610"/>
        <n x="367"/>
        <n x="368"/>
        <n x="800" s="1"/>
        <n x="701"/>
        <n x="702"/>
      </t>
    </mdx>
    <mdx n="0" f="v">
      <t c="6" si="614">
        <n x="610"/>
        <n x="377"/>
        <n x="378"/>
        <n x="800" s="1"/>
        <n x="701"/>
        <n x="702"/>
      </t>
    </mdx>
    <mdx n="0" f="v">
      <t c="6" si="614">
        <n x="610"/>
        <n x="729"/>
        <n x="222"/>
        <n x="800" s="1"/>
        <n x="701"/>
        <n x="702"/>
      </t>
    </mdx>
    <mdx n="0" f="v">
      <t c="6" si="614">
        <n x="610"/>
        <n x="729"/>
        <n x="730"/>
        <n x="800" s="1"/>
        <n x="701"/>
        <n x="702"/>
      </t>
    </mdx>
    <mdx n="0" f="v">
      <t c="6" si="614">
        <n x="610"/>
        <n x="541"/>
        <n x="542"/>
        <n x="800" s="1"/>
        <n x="701"/>
        <n x="702"/>
      </t>
    </mdx>
    <mdx n="0" f="v">
      <t c="6" si="614">
        <n x="610"/>
        <n x="595"/>
        <n x="596"/>
        <n x="800" s="1"/>
        <n x="701"/>
        <n x="702"/>
      </t>
    </mdx>
    <mdx n="0" f="v">
      <t c="6" si="614">
        <n x="610"/>
        <n x="389"/>
        <n x="390"/>
        <n x="800" s="1"/>
        <n x="701"/>
        <n x="702"/>
      </t>
    </mdx>
    <mdx n="0" f="v">
      <t c="6" si="614">
        <n x="610"/>
        <n x="525"/>
        <n x="526"/>
        <n x="800" s="1"/>
        <n x="701"/>
        <n x="702"/>
      </t>
    </mdx>
    <mdx n="0" f="v">
      <t c="6" si="614">
        <n x="610"/>
        <n x="455"/>
        <n x="592"/>
        <n x="800" s="1"/>
        <n x="701"/>
        <n x="702"/>
      </t>
    </mdx>
    <mdx n="0" f="v">
      <t c="6" si="614">
        <n x="610"/>
        <n x="455"/>
        <n x="456"/>
        <n x="800" s="1"/>
        <n x="701"/>
        <n x="702"/>
      </t>
    </mdx>
    <mdx n="0" f="v">
      <t c="6" si="614">
        <n x="610"/>
        <n x="513"/>
        <n x="514"/>
        <n x="800" s="1"/>
        <n x="701"/>
        <n x="702"/>
      </t>
    </mdx>
    <mdx n="0" f="v">
      <t c="6" si="614">
        <n x="610"/>
        <n x="489"/>
        <n x="346"/>
        <n x="800" s="1"/>
        <n x="701"/>
        <n x="702"/>
      </t>
    </mdx>
    <mdx n="0" f="v">
      <t c="6" si="614">
        <n x="610"/>
        <n x="407"/>
        <n x="408"/>
        <n x="800" s="1"/>
        <n x="701"/>
        <n x="702"/>
      </t>
    </mdx>
    <mdx n="0" f="v">
      <t c="6" si="614">
        <n x="610"/>
        <n x="493"/>
        <n x="494"/>
        <n x="800" s="1"/>
        <n x="701"/>
        <n x="702"/>
      </t>
    </mdx>
    <mdx n="0" f="v">
      <t c="6" si="614">
        <n x="610"/>
        <n x="549"/>
        <n x="760"/>
        <n x="800" s="1"/>
        <n x="701"/>
        <n x="702"/>
      </t>
    </mdx>
    <mdx n="0" f="v">
      <t c="6" si="614">
        <n x="610"/>
        <n x="549"/>
        <n x="550"/>
        <n x="800" s="1"/>
        <n x="701"/>
        <n x="702"/>
      </t>
    </mdx>
    <mdx n="0" f="v">
      <t c="6" si="614">
        <n x="610"/>
        <n x="549"/>
        <n x="550"/>
        <n x="800" s="1"/>
        <n x="701"/>
        <n x="702"/>
      </t>
    </mdx>
    <mdx n="0" f="v">
      <t c="6" si="614">
        <n x="610"/>
        <n x="287"/>
        <n x="288"/>
        <n x="800" s="1"/>
        <n x="701"/>
        <n x="702"/>
      </t>
    </mdx>
    <mdx n="0" f="v">
      <t c="6" si="614">
        <n x="610"/>
        <n x="359"/>
        <n x="360"/>
        <n x="800" s="1"/>
        <n x="701"/>
        <n x="702"/>
      </t>
    </mdx>
    <mdx n="0" f="v">
      <t c="6" si="614">
        <n x="610"/>
        <n x="249"/>
        <n x="250"/>
        <n x="800" s="1"/>
        <n x="701"/>
        <n x="702"/>
      </t>
    </mdx>
    <mdx n="0" f="v">
      <t c="6" si="614">
        <n x="610"/>
        <n x="515"/>
        <n x="516"/>
        <n x="800" s="1"/>
        <n x="701"/>
        <n x="702"/>
      </t>
    </mdx>
    <mdx n="0" f="v">
      <t c="6" si="614">
        <n x="610"/>
        <n x="787"/>
        <n x="788"/>
        <n x="800" s="1"/>
        <n x="701"/>
        <n x="702"/>
      </t>
    </mdx>
    <mdx n="0" f="v">
      <t c="6" si="614">
        <n x="610"/>
        <n x="789"/>
        <n x="788"/>
        <n x="800" s="1"/>
        <n x="701"/>
        <n x="702"/>
      </t>
    </mdx>
    <mdx n="0" f="v">
      <t c="6" si="614">
        <n x="610"/>
        <n x="789"/>
        <n x="790"/>
        <n x="800" s="1"/>
        <n x="701"/>
        <n x="702"/>
      </t>
    </mdx>
    <mdx n="0" f="v">
      <t c="6" si="614">
        <n x="610"/>
        <n x="545"/>
        <n x="546"/>
        <n x="800" s="1"/>
        <n x="701"/>
        <n x="702"/>
      </t>
    </mdx>
    <mdx n="0" f="v">
      <t c="6" si="614">
        <n x="610"/>
        <n x="579"/>
        <n x="228"/>
        <n x="800" s="1"/>
        <n x="701"/>
        <n x="702"/>
      </t>
    </mdx>
    <mdx n="0" f="v">
      <t c="6" si="614">
        <n x="610"/>
        <n x="439"/>
        <n x="580"/>
        <n x="800" s="1"/>
        <n x="701"/>
        <n x="702"/>
      </t>
    </mdx>
    <mdx n="0" f="v">
      <t c="6" si="614">
        <n x="610"/>
        <n x="291"/>
        <n x="292"/>
        <n x="800" s="1"/>
        <n x="701"/>
        <n x="702"/>
      </t>
    </mdx>
    <mdx n="0" f="v">
      <t c="6" si="614">
        <n x="610"/>
        <n x="327"/>
        <n x="292"/>
        <n x="800" s="1"/>
        <n x="701"/>
        <n x="702"/>
      </t>
    </mdx>
    <mdx n="0" f="v">
      <t c="6" si="614">
        <n x="610"/>
        <n x="327"/>
        <n x="328"/>
        <n x="800" s="1"/>
        <n x="701"/>
        <n x="702"/>
      </t>
    </mdx>
    <mdx n="0" f="v">
      <t c="6" si="614">
        <n x="610"/>
        <n x="477"/>
        <n x="478"/>
        <n x="800" s="1"/>
        <n x="701"/>
        <n x="702"/>
      </t>
    </mdx>
    <mdx n="0" f="v">
      <t c="6" si="614">
        <n x="610"/>
        <n x="253"/>
        <n x="254"/>
        <n x="800" s="1"/>
        <n x="701"/>
        <n x="702"/>
      </t>
    </mdx>
    <mdx n="0" f="v">
      <t c="6" si="614">
        <n x="610"/>
        <n x="271"/>
        <n x="272"/>
        <n x="800" s="1"/>
        <n x="701"/>
        <n x="702"/>
      </t>
    </mdx>
    <mdx n="0" f="v">
      <t c="6" si="614">
        <n x="610"/>
        <n x="737"/>
        <n x="738"/>
        <n x="800" s="1"/>
        <n x="701"/>
        <n x="702"/>
      </t>
    </mdx>
    <mdx n="0" f="v">
      <t c="6" si="614">
        <n x="610"/>
        <n x="429"/>
        <n x="430"/>
        <n x="800" s="1"/>
        <n x="701"/>
        <n x="702"/>
      </t>
    </mdx>
    <mdx n="0" f="v">
      <t c="6" si="614">
        <n x="610"/>
        <n x="433"/>
        <n x="434"/>
        <n x="800" s="1"/>
        <n x="701"/>
        <n x="702"/>
      </t>
    </mdx>
    <mdx n="0" f="v">
      <t c="6" si="614">
        <n x="610"/>
        <n x="413"/>
        <n x="414"/>
        <n x="800" s="1"/>
        <n x="701"/>
        <n x="702"/>
      </t>
    </mdx>
    <mdx n="0" f="v">
      <t c="6" si="614">
        <n x="610"/>
        <n x="241"/>
        <n x="242"/>
        <n x="800" s="1"/>
        <n x="701"/>
        <n x="702"/>
      </t>
    </mdx>
    <mdx n="0" f="v">
      <t c="6" si="614">
        <n x="610"/>
        <n x="207"/>
        <n x="208"/>
        <n x="800" s="1"/>
        <n x="701"/>
        <n x="702"/>
      </t>
    </mdx>
    <mdx n="0" f="v">
      <t c="6" si="614">
        <n x="610"/>
        <n x="761"/>
        <n x="762"/>
        <n x="800" s="1"/>
        <n x="701"/>
        <n x="702"/>
      </t>
    </mdx>
    <mdx n="0" f="v">
      <t c="6" si="614">
        <n x="610"/>
        <n x="403"/>
        <n x="404"/>
        <n x="800" s="1"/>
        <n x="701"/>
        <n x="702"/>
      </t>
    </mdx>
    <mdx n="0" f="v">
      <t c="6" si="614">
        <n x="610"/>
        <n x="427"/>
        <n x="428"/>
        <n x="800" s="1"/>
        <n x="701"/>
        <n x="702"/>
      </t>
    </mdx>
    <mdx n="0" f="v">
      <t c="6" si="614">
        <n x="610"/>
        <n x="445"/>
        <n x="446"/>
        <n x="800" s="1"/>
        <n x="701"/>
        <n x="702"/>
      </t>
    </mdx>
    <mdx n="0" f="v">
      <t c="6" si="614">
        <n x="610"/>
        <n x="311"/>
        <n x="312"/>
        <n x="800" s="1"/>
        <n x="701"/>
        <n x="702"/>
      </t>
    </mdx>
    <mdx n="0" f="v">
      <t c="6" si="614">
        <n x="610"/>
        <n x="313"/>
        <n x="314"/>
        <n x="800" s="1"/>
        <n x="701"/>
        <n x="702"/>
      </t>
    </mdx>
    <mdx n="0" f="v">
      <t c="6" si="614">
        <n x="610"/>
        <n x="571"/>
        <n x="572"/>
        <n x="800" s="1"/>
        <n x="701"/>
        <n x="702"/>
      </t>
    </mdx>
    <mdx n="0" f="v">
      <t c="6" si="614">
        <n x="610"/>
        <n x="215"/>
        <n x="216"/>
        <n x="800" s="1"/>
        <n x="701"/>
        <n x="702"/>
      </t>
    </mdx>
    <mdx n="0" f="v">
      <t c="6" si="614">
        <n x="610"/>
        <n x="567"/>
        <n x="568"/>
        <n x="800" s="1"/>
        <n x="701"/>
        <n x="702"/>
      </t>
    </mdx>
    <mdx n="0" f="v">
      <t c="6" si="614">
        <n x="610"/>
        <n x="475"/>
        <n x="476"/>
        <n x="800" s="1"/>
        <n x="701"/>
        <n x="702"/>
      </t>
    </mdx>
    <mdx n="0" f="v">
      <t c="6" si="614">
        <n x="610"/>
        <n x="447"/>
        <n x="448"/>
        <n x="800" s="1"/>
        <n x="701"/>
        <n x="702"/>
      </t>
    </mdx>
    <mdx n="0" f="v">
      <t c="6" si="614">
        <n x="610"/>
        <n x="521"/>
        <n x="522"/>
        <n x="800" s="1"/>
        <n x="701"/>
        <n x="702"/>
      </t>
    </mdx>
    <mdx n="0" f="v">
      <t c="6" si="614">
        <n x="610"/>
        <n x="521"/>
        <n x="522"/>
        <n x="800" s="1"/>
        <n x="701"/>
        <n x="702"/>
      </t>
    </mdx>
    <mdx n="0" f="v">
      <t c="6" si="614">
        <n x="610"/>
        <n x="521"/>
        <n x="522"/>
        <n x="800" s="1"/>
        <n x="701"/>
        <n x="702"/>
      </t>
    </mdx>
    <mdx n="0" f="v">
      <t c="6" si="614">
        <n x="610"/>
        <n x="719"/>
        <n x="720"/>
        <n x="800" s="1"/>
        <n x="701"/>
        <n x="702"/>
      </t>
    </mdx>
    <mdx n="0" f="v">
      <t c="6" si="614">
        <n x="610"/>
        <n x="387"/>
        <n x="388"/>
        <n x="800" s="1"/>
        <n x="701"/>
        <n x="702"/>
      </t>
    </mdx>
    <mdx n="0" f="v">
      <t c="6" si="614">
        <n x="610"/>
        <n x="709"/>
        <n x="710"/>
        <n x="800" s="1"/>
        <n x="657"/>
        <n x="658"/>
      </t>
    </mdx>
    <mdx n="0" f="v">
      <t c="6" si="614">
        <n x="610"/>
        <n x="521"/>
        <n x="522"/>
        <n x="800" s="1"/>
        <n x="657"/>
        <n x="658"/>
      </t>
    </mdx>
    <mdx n="0" f="v">
      <t c="6" si="614">
        <n x="610"/>
        <n x="523"/>
        <n x="524"/>
        <n x="800" s="1"/>
        <n x="657"/>
        <n x="658"/>
      </t>
    </mdx>
    <mdx n="0" f="v">
      <t c="6" si="614">
        <n x="610"/>
        <n x="303"/>
        <n x="304"/>
        <n x="800" s="1"/>
        <n x="657"/>
        <n x="658"/>
      </t>
    </mdx>
    <mdx n="0" f="v">
      <t c="6" si="614">
        <n x="610"/>
        <n x="225"/>
        <n x="226"/>
        <n x="800" s="1"/>
        <n x="657"/>
        <n x="658"/>
      </t>
    </mdx>
    <mdx n="0" f="v">
      <t c="6" si="614">
        <n x="610"/>
        <n x="449"/>
        <n x="450"/>
        <n x="800" s="1"/>
        <n x="657"/>
        <n x="658"/>
      </t>
    </mdx>
    <mdx n="0" f="v">
      <t c="6" si="614">
        <n x="610"/>
        <n x="715"/>
        <n x="716"/>
        <n x="800" s="1"/>
        <n x="657"/>
        <n x="658"/>
      </t>
    </mdx>
    <mdx n="0" f="v">
      <t c="6" si="614">
        <n x="610"/>
        <n x="379"/>
        <n x="380"/>
        <n x="800" s="1"/>
        <n x="657"/>
        <n x="658"/>
      </t>
    </mdx>
    <mdx n="0" f="v">
      <t c="6" si="614">
        <n x="610"/>
        <n x="459"/>
        <n x="460"/>
        <n x="800" s="1"/>
        <n x="657"/>
        <n x="658"/>
      </t>
    </mdx>
    <mdx n="0" f="v">
      <t c="6" si="614">
        <n x="610"/>
        <n x="561"/>
        <n x="562"/>
        <n x="800" s="1"/>
        <n x="657"/>
        <n x="658"/>
      </t>
    </mdx>
    <mdx n="0" f="v">
      <t c="6" si="614">
        <n x="610"/>
        <n x="441"/>
        <n x="442"/>
        <n x="800" s="1"/>
        <n x="657"/>
        <n x="658"/>
      </t>
    </mdx>
    <mdx n="0" f="v">
      <t c="6" si="614">
        <n x="610"/>
        <n x="509"/>
        <n x="510"/>
        <n x="800" s="1"/>
        <n x="657"/>
        <n x="658"/>
      </t>
    </mdx>
    <mdx n="0" f="v">
      <t c="6" si="614">
        <n x="610"/>
        <n x="431"/>
        <n x="432"/>
        <n x="800" s="1"/>
        <n x="657"/>
        <n x="658"/>
      </t>
    </mdx>
    <mdx n="0" f="v">
      <t c="6" si="614">
        <n x="610"/>
        <n x="297"/>
        <n x="298"/>
        <n x="800" s="1"/>
        <n x="657"/>
        <n x="658"/>
      </t>
    </mdx>
    <mdx n="0" f="v">
      <t c="6" si="614">
        <n x="610"/>
        <n x="801"/>
        <n x="802"/>
        <n x="800" s="1"/>
        <n x="657"/>
        <n x="658"/>
      </t>
    </mdx>
    <mdx n="0" f="v">
      <t c="6" si="614">
        <n x="610"/>
        <n x="517"/>
        <n x="518"/>
        <n x="800" s="1"/>
        <n x="657"/>
        <n x="658"/>
      </t>
    </mdx>
    <mdx n="0" f="v">
      <t c="6" si="614">
        <n x="610"/>
        <n x="319"/>
        <n x="320"/>
        <n x="800" s="1"/>
        <n x="657"/>
        <n x="658"/>
      </t>
    </mdx>
    <mdx n="0" f="v">
      <t c="6" si="614">
        <n x="610"/>
        <n x="295"/>
        <n x="296"/>
        <n x="800" s="1"/>
        <n x="657"/>
        <n x="658"/>
      </t>
    </mdx>
    <mdx n="0" f="v">
      <t c="6" si="614">
        <n x="610"/>
        <n x="229"/>
        <n x="230"/>
        <n x="800" s="1"/>
        <n x="657"/>
        <n x="658"/>
      </t>
    </mdx>
    <mdx n="0" f="v">
      <t c="6" si="614">
        <n x="610"/>
        <n x="409"/>
        <n x="410"/>
        <n x="800" s="1"/>
        <n x="657"/>
        <n x="658"/>
      </t>
    </mdx>
    <mdx n="0" f="v">
      <t c="6" si="614">
        <n x="610"/>
        <n x="249"/>
        <n x="250"/>
        <n x="800" s="1"/>
        <n x="657"/>
        <n x="658"/>
      </t>
    </mdx>
    <mdx n="0" f="v">
      <t c="6" si="614">
        <n x="610"/>
        <n x="781"/>
        <n x="782"/>
        <n x="800" s="1"/>
        <n x="657"/>
        <n x="658"/>
      </t>
    </mdx>
    <mdx n="0" f="v">
      <t c="6" si="614">
        <n x="610"/>
        <n x="545"/>
        <n x="546"/>
        <n x="800" s="1"/>
        <n x="657"/>
        <n x="658"/>
      </t>
    </mdx>
    <mdx n="0" f="v">
      <t c="6" si="614">
        <n x="610"/>
        <n x="439"/>
        <n x="440"/>
        <n x="800" s="1"/>
        <n x="657"/>
        <n x="658"/>
      </t>
    </mdx>
    <mdx n="0" f="v">
      <t c="6" si="614">
        <n x="610"/>
        <n x="327"/>
        <n x="328"/>
        <n x="800" s="1"/>
        <n x="657"/>
        <n x="658"/>
      </t>
    </mdx>
    <mdx n="0" f="v">
      <t c="6" si="614">
        <n x="610"/>
        <n x="427"/>
        <n x="428"/>
        <n x="800" s="1"/>
        <n x="657"/>
        <n x="658"/>
      </t>
    </mdx>
    <mdx n="0" f="v">
      <t c="6" si="614">
        <n x="610"/>
        <n x="575"/>
        <n x="576"/>
        <n x="800" s="1"/>
        <n x="657"/>
        <n x="658"/>
      </t>
    </mdx>
    <mdx n="0" f="v">
      <t c="6" si="614">
        <n x="610"/>
        <n x="797"/>
        <n x="572"/>
        <n x="800" s="1"/>
        <n x="657"/>
        <n x="658"/>
      </t>
    </mdx>
    <mdx n="0" f="v">
      <t c="6" si="614">
        <n x="610"/>
        <n x="709"/>
        <n x="710"/>
        <n x="800" s="1"/>
        <n x="703"/>
        <n x="704"/>
      </t>
    </mdx>
    <mdx n="0" f="v">
      <t c="6" si="614">
        <n x="610"/>
        <n x="599"/>
        <n x="600"/>
        <n x="800" s="1"/>
        <n x="703"/>
        <n x="704"/>
      </t>
    </mdx>
    <mdx n="0" f="v">
      <t c="6" si="614">
        <n x="610"/>
        <n x="585"/>
        <n x="586"/>
        <n x="800" s="1"/>
        <n x="703"/>
        <n x="704"/>
      </t>
    </mdx>
    <mdx n="0" f="v">
      <t c="6" si="614">
        <n x="610"/>
        <n x="397"/>
        <n x="398"/>
        <n x="800" s="1"/>
        <n x="703"/>
        <n x="704"/>
      </t>
    </mdx>
    <mdx n="0" f="v">
      <t c="6" si="614">
        <n x="610"/>
        <n x="231"/>
        <n x="232"/>
        <n x="800" s="1"/>
        <n x="703"/>
        <n x="704"/>
      </t>
    </mdx>
    <mdx n="0" f="v">
      <t c="6" si="614">
        <n x="610"/>
        <n x="555"/>
        <n x="556"/>
        <n x="800" s="1"/>
        <n x="703"/>
        <n x="704"/>
      </t>
    </mdx>
    <mdx n="0" f="v">
      <t c="6" si="614">
        <n x="610"/>
        <n x="607"/>
        <n x="608"/>
        <n x="800" s="1"/>
        <n x="703"/>
        <n x="704"/>
      </t>
    </mdx>
    <mdx n="0" f="v">
      <t c="6" si="614">
        <n x="610"/>
        <n x="235"/>
        <n x="236"/>
        <n x="800" s="1"/>
        <n x="703"/>
        <n x="704"/>
      </t>
    </mdx>
    <mdx n="0" f="v">
      <t c="6" si="614">
        <n x="610"/>
        <n x="711"/>
        <n x="712"/>
        <n x="800" s="1"/>
        <n x="703"/>
        <n x="704"/>
      </t>
    </mdx>
    <mdx n="0" f="v">
      <t c="6" si="614">
        <n x="610"/>
        <n x="257"/>
        <n x="258"/>
        <n x="800" s="1"/>
        <n x="703"/>
        <n x="704"/>
      </t>
    </mdx>
    <mdx n="0" f="v">
      <t c="6" si="614">
        <n x="610"/>
        <n x="739"/>
        <n x="740"/>
        <n x="800" s="1"/>
        <n x="703"/>
        <n x="704"/>
      </t>
    </mdx>
    <mdx n="0" f="v">
      <t c="6" si="614">
        <n x="610"/>
        <n x="713"/>
        <n x="714"/>
        <n x="800" s="1"/>
        <n x="703"/>
        <n x="704"/>
      </t>
    </mdx>
    <mdx n="0" f="v">
      <t c="6" si="614">
        <n x="610"/>
        <n x="285"/>
        <n x="286"/>
        <n x="800" s="1"/>
        <n x="703"/>
        <n x="704"/>
      </t>
    </mdx>
    <mdx n="0" f="v">
      <t c="6" si="614">
        <n x="610"/>
        <n x="379"/>
        <n x="380"/>
        <n x="800" s="1"/>
        <n x="703"/>
        <n x="704"/>
      </t>
    </mdx>
    <mdx n="0" f="v">
      <t c="6" si="614">
        <n x="610"/>
        <n x="379"/>
        <n x="380"/>
        <n x="800" s="1"/>
        <n x="703"/>
        <n x="704"/>
      </t>
    </mdx>
    <mdx n="0" f="v">
      <t c="6" si="614">
        <n x="610"/>
        <n x="239"/>
        <n x="240"/>
        <n x="800" s="1"/>
        <n x="703"/>
        <n x="704"/>
      </t>
    </mdx>
    <mdx n="0" f="v">
      <t c="6" si="614">
        <n x="610"/>
        <n x="547"/>
        <n x="548"/>
        <n x="800" s="1"/>
        <n x="703"/>
        <n x="704"/>
      </t>
    </mdx>
    <mdx n="0" f="v">
      <t c="6" si="614">
        <n x="610"/>
        <n x="601"/>
        <n x="602"/>
        <n x="800" s="1"/>
        <n x="703"/>
        <n x="704"/>
      </t>
    </mdx>
    <mdx n="0" f="v">
      <t c="6" si="614">
        <n x="610"/>
        <n x="601"/>
        <n x="602"/>
        <n x="800" s="1"/>
        <n x="703"/>
        <n x="704"/>
      </t>
    </mdx>
    <mdx n="0" f="v">
      <t c="6" si="614">
        <n x="610"/>
        <n x="495"/>
        <n x="496"/>
        <n x="800" s="1"/>
        <n x="703"/>
        <n x="704"/>
      </t>
    </mdx>
    <mdx n="0" f="v">
      <t c="6" si="614">
        <n x="610"/>
        <n x="363"/>
        <n x="364"/>
        <n x="800" s="1"/>
        <n x="703"/>
        <n x="704"/>
      </t>
    </mdx>
    <mdx n="0" f="v">
      <t c="6" si="614">
        <n x="610"/>
        <n x="281"/>
        <n x="282"/>
        <n x="800" s="1"/>
        <n x="703"/>
        <n x="704"/>
      </t>
    </mdx>
    <mdx n="0" f="v">
      <t c="6" si="614">
        <n x="610"/>
        <n x="277"/>
        <n x="278"/>
        <n x="800" s="1"/>
        <n x="703"/>
        <n x="704"/>
      </t>
    </mdx>
    <mdx n="0" f="v">
      <t c="6" si="614">
        <n x="610"/>
        <n x="401"/>
        <n x="402"/>
        <n x="800" s="1"/>
        <n x="703"/>
        <n x="704"/>
      </t>
    </mdx>
    <mdx n="0" f="v">
      <t c="6" si="614">
        <n x="610"/>
        <n x="435"/>
        <n x="436"/>
        <n x="800" s="1"/>
        <n x="703"/>
        <n x="704"/>
      </t>
    </mdx>
    <mdx n="0" f="v">
      <t c="6" si="614">
        <n x="610"/>
        <n x="743"/>
        <n x="744"/>
        <n x="800" s="1"/>
        <n x="703"/>
        <n x="704"/>
      </t>
    </mdx>
    <mdx n="0" f="v">
      <t c="6" si="614">
        <n x="610"/>
        <n x="437"/>
        <n x="438"/>
        <n x="800" s="1"/>
        <n x="703"/>
        <n x="704"/>
      </t>
    </mdx>
    <mdx n="0" f="v">
      <t c="6" si="614">
        <n x="610"/>
        <n x="747"/>
        <n x="748"/>
        <n x="800" s="1"/>
        <n x="703"/>
        <n x="704"/>
      </t>
    </mdx>
    <mdx n="0" f="v">
      <t c="6" si="614">
        <n x="610"/>
        <n x="749"/>
        <n x="750"/>
        <n x="800" s="1"/>
        <n x="703"/>
        <n x="704"/>
      </t>
    </mdx>
    <mdx n="0" f="v">
      <t c="6" si="614">
        <n x="610"/>
        <n x="751"/>
        <n x="752"/>
        <n x="800" s="1"/>
        <n x="703"/>
        <n x="704"/>
      </t>
    </mdx>
    <mdx n="0" f="v">
      <t c="6" si="614">
        <n x="610"/>
        <n x="471"/>
        <n x="472"/>
        <n x="800" s="1"/>
        <n x="703"/>
        <n x="704"/>
      </t>
    </mdx>
    <mdx n="0" f="v">
      <t c="6" si="614">
        <n x="610"/>
        <n x="233"/>
        <n x="234"/>
        <n x="800" s="1"/>
        <n x="703"/>
        <n x="704"/>
      </t>
    </mdx>
    <mdx n="0" f="v">
      <t c="6" si="614">
        <n x="610"/>
        <n x="273"/>
        <n x="274"/>
        <n x="800" s="1"/>
        <n x="703"/>
        <n x="704"/>
      </t>
    </mdx>
    <mdx n="0" f="v">
      <t c="6" si="614">
        <n x="610"/>
        <n x="553"/>
        <n x="554"/>
        <n x="800" s="1"/>
        <n x="703"/>
        <n x="704"/>
      </t>
    </mdx>
    <mdx n="0" f="v">
      <t c="6" si="614">
        <n x="610"/>
        <n x="247"/>
        <n x="248"/>
        <n x="800" s="1"/>
        <n x="703"/>
        <n x="704"/>
      </t>
    </mdx>
    <mdx n="0" f="v">
      <t c="6" si="614">
        <n x="610"/>
        <n x="765"/>
        <n x="766"/>
        <n x="800" s="1"/>
        <n x="703"/>
        <n x="704"/>
      </t>
    </mdx>
    <mdx n="0" f="v">
      <t c="6" si="614">
        <n x="610"/>
        <n x="315"/>
        <n x="316"/>
        <n x="800" s="1"/>
        <n x="703"/>
        <n x="704"/>
      </t>
    </mdx>
    <mdx n="0" f="v">
      <t c="6" si="614">
        <n x="610"/>
        <n x="293"/>
        <n x="294"/>
        <n x="800" s="1"/>
        <n x="703"/>
        <n x="704"/>
      </t>
    </mdx>
    <mdx n="0" f="v">
      <t c="6" si="614">
        <n x="610"/>
        <n x="357"/>
        <n x="358"/>
        <n x="800" s="1"/>
        <n x="703"/>
        <n x="704"/>
      </t>
    </mdx>
    <mdx n="0" f="v">
      <t c="6" si="614">
        <n x="610"/>
        <n x="533"/>
        <n x="534"/>
        <n x="800" s="1"/>
        <n x="703"/>
        <n x="704"/>
      </t>
    </mdx>
    <mdx n="0" f="v">
      <t c="6" si="614">
        <n x="610"/>
        <n x="355"/>
        <n x="356"/>
        <n x="800" s="1"/>
        <n x="703"/>
        <n x="704"/>
      </t>
    </mdx>
    <mdx n="0" f="v">
      <t c="6" si="614">
        <n x="610"/>
        <n x="581"/>
        <n x="582"/>
        <n x="800" s="1"/>
        <n x="703"/>
        <n x="704"/>
      </t>
    </mdx>
    <mdx n="0" f="v">
      <t c="6" si="614">
        <n x="610"/>
        <n x="521"/>
        <n x="522"/>
        <n x="800" s="1"/>
        <n x="703"/>
        <n x="704"/>
      </t>
    </mdx>
    <mdx n="0" f="v">
      <t c="6" si="614">
        <n x="610"/>
        <n x="523"/>
        <n x="524"/>
        <n x="800" s="1"/>
        <n x="703"/>
        <n x="704"/>
      </t>
    </mdx>
    <mdx n="0" f="v">
      <t c="6" si="614">
        <n x="610"/>
        <n x="791"/>
        <n x="792"/>
        <n x="800" s="1"/>
        <n x="703"/>
        <n x="704"/>
      </t>
    </mdx>
    <mdx n="0" f="v">
      <t c="6" si="614">
        <n x="610"/>
        <n x="303"/>
        <n x="304"/>
        <n x="800" s="1"/>
        <n x="703"/>
        <n x="704"/>
      </t>
    </mdx>
    <mdx n="0" f="v">
      <t c="6" si="614">
        <n x="610"/>
        <n x="225"/>
        <n x="226"/>
        <n x="800" s="1"/>
        <n x="703"/>
        <n x="704"/>
      </t>
    </mdx>
    <mdx n="0" f="v">
      <t c="6" si="614">
        <n x="610"/>
        <n x="449"/>
        <n x="450"/>
        <n x="800" s="1"/>
        <n x="703"/>
        <n x="704"/>
      </t>
    </mdx>
    <mdx n="0" f="v">
      <t c="6" si="614">
        <n x="610"/>
        <n x="421"/>
        <n x="422"/>
        <n x="800" s="1"/>
        <n x="703"/>
        <n x="704"/>
      </t>
    </mdx>
    <mdx n="0" f="v">
      <t c="6" si="614">
        <n x="610"/>
        <n x="497"/>
        <n x="498"/>
        <n x="800" s="1"/>
        <n x="703"/>
        <n x="704"/>
      </t>
    </mdx>
    <mdx n="0" f="v">
      <t c="6" si="614">
        <n x="610"/>
        <n x="519"/>
        <n x="520"/>
        <n x="800" s="1"/>
        <n x="703"/>
        <n x="704"/>
      </t>
    </mdx>
    <mdx n="0" f="v">
      <t c="6" si="614">
        <n x="610"/>
        <n x="805"/>
        <n x="806"/>
        <n x="800" s="1"/>
        <n x="703"/>
        <n x="704"/>
      </t>
    </mdx>
    <mdx n="0" f="v">
      <t c="6" si="614">
        <n x="610"/>
        <n x="715"/>
        <n x="716"/>
        <n x="800" s="1"/>
        <n x="703"/>
        <n x="704"/>
      </t>
    </mdx>
    <mdx n="0" f="v">
      <t c="6" si="614">
        <n x="610"/>
        <n x="463"/>
        <n x="464"/>
        <n x="800" s="1"/>
        <n x="703"/>
        <n x="704"/>
      </t>
    </mdx>
    <mdx n="0" f="v">
      <t c="6" si="614">
        <n x="610"/>
        <n x="365"/>
        <n x="366"/>
        <n x="800" s="1"/>
        <n x="703"/>
        <n x="704"/>
      </t>
    </mdx>
    <mdx n="0" f="v">
      <t c="6" si="614">
        <n x="610"/>
        <n x="727"/>
        <n x="728"/>
        <n x="800" s="1"/>
        <n x="703"/>
        <n x="704"/>
      </t>
    </mdx>
    <mdx n="0" f="v">
      <t c="6" si="614">
        <n x="610"/>
        <n x="727"/>
        <n x="728"/>
        <n x="800" s="1"/>
        <n x="703"/>
        <n x="704"/>
      </t>
    </mdx>
    <mdx n="0" f="v">
      <t c="6" si="614">
        <n x="610"/>
        <n x="243"/>
        <n x="244"/>
        <n x="800" s="1"/>
        <n x="703"/>
        <n x="704"/>
      </t>
    </mdx>
    <mdx n="0" f="v">
      <t c="6" si="614">
        <n x="610"/>
        <n x="209"/>
        <n x="210"/>
        <n x="800" s="1"/>
        <n x="703"/>
        <n x="704"/>
      </t>
    </mdx>
    <mdx n="0" f="v">
      <t c="6" si="614">
        <n x="610"/>
        <n x="209"/>
        <n x="210"/>
        <n x="800" s="1"/>
        <n x="703"/>
        <n x="704"/>
      </t>
    </mdx>
    <mdx n="0" f="v">
      <t c="6" si="614">
        <n x="610"/>
        <n x="499"/>
        <n x="500"/>
        <n x="800" s="1"/>
        <n x="703"/>
        <n x="704"/>
      </t>
    </mdx>
    <mdx n="0" f="v">
      <t c="6" si="614">
        <n x="610"/>
        <n x="503"/>
        <n x="504"/>
        <n x="800" s="1"/>
        <n x="703"/>
        <n x="704"/>
      </t>
    </mdx>
    <mdx n="0" f="v">
      <t c="6" si="614">
        <n x="610"/>
        <n x="419"/>
        <n x="420"/>
        <n x="800" s="1"/>
        <n x="703"/>
        <n x="704"/>
      </t>
    </mdx>
    <mdx n="0" f="v">
      <t c="6" si="614">
        <n x="610"/>
        <n x="205"/>
        <n x="206"/>
        <n x="800" s="1"/>
        <n x="703"/>
        <n x="704"/>
      </t>
    </mdx>
    <mdx n="0" f="v">
      <t c="6" si="614">
        <n x="610"/>
        <n x="757"/>
        <n x="758"/>
        <n x="800" s="1"/>
        <n x="703"/>
        <n x="704"/>
      </t>
    </mdx>
    <mdx n="0" f="v">
      <t c="6" si="614">
        <n x="610"/>
        <n x="467"/>
        <n x="468"/>
        <n x="800" s="1"/>
        <n x="703"/>
        <n x="704"/>
      </t>
    </mdx>
    <mdx n="0" f="v">
      <t c="6" si="614">
        <n x="610"/>
        <n x="769"/>
        <n x="770"/>
        <n x="800" s="1"/>
        <n x="703"/>
        <n x="704"/>
      </t>
    </mdx>
    <mdx n="0" f="v">
      <t c="6" si="614">
        <n x="610"/>
        <n x="381"/>
        <n x="382"/>
        <n x="800" s="1"/>
        <n x="703"/>
        <n x="704"/>
      </t>
    </mdx>
    <mdx n="0" f="v">
      <t c="6" si="614">
        <n x="610"/>
        <n x="785"/>
        <n x="786"/>
        <n x="800" s="1"/>
        <n x="703"/>
        <n x="704"/>
      </t>
    </mdx>
    <mdx n="0" f="v">
      <t c="6" si="614">
        <n x="610"/>
        <n x="423"/>
        <n x="424"/>
        <n x="800" s="1"/>
        <n x="703"/>
        <n x="704"/>
      </t>
    </mdx>
    <mdx n="0" f="v">
      <t c="6" si="614">
        <n x="610"/>
        <n x="331"/>
        <n x="332"/>
        <n x="800" s="1"/>
        <n x="703"/>
        <n x="704"/>
      </t>
    </mdx>
    <mdx n="0" f="v">
      <t c="6" si="614">
        <n x="610"/>
        <n x="279"/>
        <n x="280"/>
        <n x="800" s="1"/>
        <n x="703"/>
        <n x="704"/>
      </t>
    </mdx>
    <mdx n="0" f="v">
      <t c="6" si="614">
        <n x="610"/>
        <n x="263"/>
        <n x="264"/>
        <n x="800" s="1"/>
        <n x="703"/>
        <n x="704"/>
      </t>
    </mdx>
    <mdx n="0" f="v">
      <t c="6" si="614">
        <n x="610"/>
        <n x="573"/>
        <n x="574"/>
        <n x="800" s="1"/>
        <n x="703"/>
        <n x="704"/>
      </t>
    </mdx>
    <mdx n="0" f="v">
      <t c="6" si="614">
        <n x="610"/>
        <n x="717"/>
        <n x="718"/>
        <n x="800" s="1"/>
        <n x="703"/>
        <n x="704"/>
      </t>
    </mdx>
    <mdx n="0" f="v">
      <t c="6" si="614">
        <n x="610"/>
        <n x="719"/>
        <n x="720"/>
        <n x="800" s="1"/>
        <n x="703"/>
        <n x="704"/>
      </t>
    </mdx>
    <mdx n="0" f="v">
      <t c="6" si="614">
        <n x="610"/>
        <n x="391"/>
        <n x="392"/>
        <n x="800" s="1"/>
        <n x="703"/>
        <n x="704"/>
      </t>
    </mdx>
    <mdx n="0" f="v">
      <t c="6" si="614">
        <n x="610"/>
        <n x="391"/>
        <n x="392"/>
        <n x="800" s="1"/>
        <n x="703"/>
        <n x="704"/>
      </t>
    </mdx>
    <mdx n="0" f="v">
      <t c="6" si="614">
        <n x="610"/>
        <n x="541"/>
        <n x="542"/>
        <n x="800" s="1"/>
        <n x="703"/>
        <n x="704"/>
      </t>
    </mdx>
    <mdx n="0" f="v">
      <t c="6" si="614">
        <n x="610"/>
        <n x="461"/>
        <n x="462"/>
        <n x="800" s="1"/>
        <n x="703"/>
        <n x="704"/>
      </t>
    </mdx>
    <mdx n="0" f="v">
      <t c="6" si="614">
        <n x="610"/>
        <n x="595"/>
        <n x="596"/>
        <n x="800" s="1"/>
        <n x="703"/>
        <n x="704"/>
      </t>
    </mdx>
    <mdx n="0" f="v">
      <t c="6" si="614">
        <n x="610"/>
        <n x="457"/>
        <n x="458"/>
        <n x="800" s="1"/>
        <n x="703"/>
        <n x="704"/>
      </t>
    </mdx>
    <mdx n="0" f="v">
      <t c="6" si="614">
        <n x="610"/>
        <n x="389"/>
        <n x="390"/>
        <n x="800" s="1"/>
        <n x="703"/>
        <n x="704"/>
      </t>
    </mdx>
    <mdx n="0" f="v">
      <t c="6" si="614">
        <n x="610"/>
        <n x="367"/>
        <n x="368"/>
        <n x="800" s="1"/>
        <n x="703"/>
        <n x="704"/>
      </t>
    </mdx>
    <mdx n="0" f="v">
      <t c="6" si="614">
        <n x="610"/>
        <n x="525"/>
        <n x="526"/>
        <n x="800" s="1"/>
        <n x="703"/>
        <n x="704"/>
      </t>
    </mdx>
    <mdx n="0" f="v">
      <t c="6" si="614">
        <n x="610"/>
        <n x="603"/>
        <n x="604"/>
        <n x="800" s="1"/>
        <n x="703"/>
        <n x="704"/>
      </t>
    </mdx>
    <mdx n="0" f="v">
      <t c="6" si="614">
        <n x="610"/>
        <n x="591"/>
        <n x="592"/>
        <n x="800" s="1"/>
        <n x="703"/>
        <n x="704"/>
      </t>
    </mdx>
    <mdx n="0" f="v">
      <t c="6" si="614">
        <n x="610"/>
        <n x="413"/>
        <n x="414"/>
        <n x="800" s="1"/>
        <n x="703"/>
        <n x="704"/>
      </t>
    </mdx>
    <mdx n="0" f="v">
      <t c="6" si="614">
        <n x="610"/>
        <n x="455"/>
        <n x="456"/>
        <n x="800" s="1"/>
        <n x="703"/>
        <n x="704"/>
      </t>
    </mdx>
    <mdx n="0" f="v">
      <t c="6" si="614">
        <n x="610"/>
        <n x="491"/>
        <n x="492"/>
        <n x="800" s="1"/>
        <n x="703"/>
        <n x="704"/>
      </t>
    </mdx>
    <mdx n="0" f="v">
      <t c="6" si="614">
        <n x="610"/>
        <n x="491"/>
        <n x="492"/>
        <n x="800" s="1"/>
        <n x="703"/>
        <n x="704"/>
      </t>
    </mdx>
    <mdx n="0" f="v">
      <t c="6" si="614">
        <n x="610"/>
        <n x="513"/>
        <n x="388"/>
        <n x="800" s="1"/>
        <n x="703"/>
        <n x="704"/>
      </t>
    </mdx>
    <mdx n="0" f="v">
      <t c="6" si="614">
        <n x="610"/>
        <n x="513"/>
        <n x="514"/>
        <n x="800" s="1"/>
        <n x="703"/>
        <n x="704"/>
      </t>
    </mdx>
    <mdx n="0" f="v">
      <t c="6" si="614">
        <n x="610"/>
        <n x="345"/>
        <n x="346"/>
        <n x="800" s="1"/>
        <n x="703"/>
        <n x="704"/>
      </t>
    </mdx>
    <mdx n="0" f="v">
      <t c="6" si="614">
        <n x="610"/>
        <n x="345"/>
        <n x="346"/>
        <n x="800" s="1"/>
        <n x="703"/>
        <n x="704"/>
      </t>
    </mdx>
    <mdx n="0" f="v">
      <t c="6" si="614">
        <n x="610"/>
        <n x="489"/>
        <n x="490"/>
        <n x="800" s="1"/>
        <n x="703"/>
        <n x="704"/>
      </t>
    </mdx>
    <mdx n="0" f="v">
      <t c="6" si="614">
        <n x="610"/>
        <n x="489"/>
        <n x="490"/>
        <n x="800" s="1"/>
        <n x="703"/>
        <n x="704"/>
      </t>
    </mdx>
    <mdx n="0" f="v">
      <t c="6" si="614">
        <n x="610"/>
        <n x="755"/>
        <n x="756"/>
        <n x="800" s="1"/>
        <n x="703"/>
        <n x="704"/>
      </t>
    </mdx>
    <mdx n="0" f="v">
      <t c="6" si="614">
        <n x="610"/>
        <n x="377"/>
        <n x="378"/>
        <n x="800" s="1"/>
        <n x="703"/>
        <n x="704"/>
      </t>
    </mdx>
    <mdx n="0" f="v">
      <t c="6" si="614">
        <n x="610"/>
        <n x="203"/>
        <n x="204"/>
        <n x="800" s="1"/>
        <n x="703"/>
        <n x="704"/>
      </t>
    </mdx>
    <mdx n="0" f="v">
      <t c="6" si="614">
        <n x="610"/>
        <n x="407"/>
        <n x="408"/>
        <n x="800" s="1"/>
        <n x="703"/>
        <n x="704"/>
      </t>
    </mdx>
    <mdx n="0" f="v">
      <t c="6" si="614">
        <n x="610"/>
        <n x="759"/>
        <n x="494"/>
        <n x="800" s="1"/>
        <n x="703"/>
        <n x="704"/>
      </t>
    </mdx>
    <mdx n="0" f="v">
      <t c="6" si="614">
        <n x="610"/>
        <n x="759"/>
        <n x="494"/>
        <n x="800" s="1"/>
        <n x="703"/>
        <n x="704"/>
      </t>
    </mdx>
    <mdx n="0" f="v">
      <t c="6" si="614">
        <n x="610"/>
        <n x="759"/>
        <n x="494"/>
        <n x="800" s="1"/>
        <n x="703"/>
        <n x="704"/>
      </t>
    </mdx>
    <mdx n="0" f="v">
      <t c="6" si="614">
        <n x="610"/>
        <n x="287"/>
        <n x="538"/>
        <n x="800" s="1"/>
        <n x="703"/>
        <n x="704"/>
      </t>
    </mdx>
    <mdx n="0" f="v">
      <t c="6" si="614">
        <n x="610"/>
        <n x="359"/>
        <n x="288"/>
        <n x="800" s="1"/>
        <n x="703"/>
        <n x="704"/>
      </t>
    </mdx>
    <mdx n="0" f="v">
      <t c="6" si="614">
        <n x="610"/>
        <n x="359"/>
        <n x="360"/>
        <n x="800" s="1"/>
        <n x="703"/>
        <n x="704"/>
      </t>
    </mdx>
    <mdx n="0" f="v">
      <t c="6" si="614">
        <n x="610"/>
        <n x="359"/>
        <n x="360"/>
        <n x="800" s="1"/>
        <n x="703"/>
        <n x="704"/>
      </t>
    </mdx>
    <mdx n="0" f="v">
      <t c="6" si="614">
        <n x="610"/>
        <n x="249"/>
        <n x="250"/>
        <n x="800" s="1"/>
        <n x="703"/>
        <n x="704"/>
      </t>
    </mdx>
    <mdx n="0" f="v">
      <t c="6" si="614">
        <n x="610"/>
        <n x="249"/>
        <n x="454"/>
        <n x="800" s="1"/>
        <n x="703"/>
        <n x="704"/>
      </t>
    </mdx>
    <mdx n="0" f="v">
      <t c="6" si="614">
        <n x="610"/>
        <n x="249"/>
        <n x="454"/>
        <n x="800" s="1"/>
        <n x="703"/>
        <n x="704"/>
      </t>
    </mdx>
    <mdx n="0" f="v">
      <t c="6" si="614">
        <n x="610"/>
        <n x="781"/>
        <n x="782"/>
        <n x="800" s="1"/>
        <n x="703"/>
        <n x="704"/>
      </t>
    </mdx>
    <mdx n="0" f="v">
      <t c="6" si="614">
        <n x="610"/>
        <n x="789"/>
        <n x="790"/>
        <n x="800" s="1"/>
        <n x="703"/>
        <n x="704"/>
      </t>
    </mdx>
    <mdx n="0" f="v">
      <t c="6" si="614">
        <n x="610"/>
        <n x="579"/>
        <n x="580"/>
        <n x="800" s="1"/>
        <n x="703"/>
        <n x="704"/>
      </t>
    </mdx>
    <mdx n="0" f="v">
      <t c="6" si="614">
        <n x="610"/>
        <n x="579"/>
        <n x="580"/>
        <n x="800" s="1"/>
        <n x="703"/>
        <n x="704"/>
      </t>
    </mdx>
    <mdx n="0" f="v">
      <t c="6" si="614">
        <n x="610"/>
        <n x="227"/>
        <n x="228"/>
        <n x="800" s="1"/>
        <n x="703"/>
        <n x="704"/>
      </t>
    </mdx>
    <mdx n="0" f="v">
      <t c="6" si="614">
        <n x="610"/>
        <n x="439"/>
        <n x="440"/>
        <n x="800" s="1"/>
        <n x="703"/>
        <n x="704"/>
      </t>
    </mdx>
    <mdx n="0" f="v">
      <t c="6" si="614">
        <n x="610"/>
        <n x="327"/>
        <n x="328"/>
        <n x="800" s="1"/>
        <n x="703"/>
        <n x="704"/>
      </t>
    </mdx>
    <mdx n="0" f="v">
      <t c="6" si="614">
        <n x="610"/>
        <n x="251"/>
        <n x="252"/>
        <n x="800" s="1"/>
        <n x="703"/>
        <n x="704"/>
      </t>
    </mdx>
    <mdx n="0" f="v">
      <t c="6" si="614">
        <n x="610"/>
        <n x="253"/>
        <n x="254"/>
        <n x="800" s="1"/>
        <n x="703"/>
        <n x="704"/>
      </t>
    </mdx>
    <mdx n="0" f="v">
      <t c="6" si="614">
        <n x="610"/>
        <n x="745"/>
        <n x="746"/>
        <n x="800" s="1"/>
        <n x="703"/>
        <n x="704"/>
      </t>
    </mdx>
    <mdx n="0" f="v">
      <t c="6" si="614">
        <n x="610"/>
        <n x="259"/>
        <n x="260"/>
        <n x="800" s="1"/>
        <n x="703"/>
        <n x="704"/>
      </t>
    </mdx>
    <mdx n="0" f="v">
      <t c="6" si="614">
        <n x="610"/>
        <n x="593"/>
        <n x="594"/>
        <n x="800" s="1"/>
        <n x="703"/>
        <n x="704"/>
      </t>
    </mdx>
    <mdx n="0" f="v">
      <t c="6" si="614">
        <n x="610"/>
        <n x="223"/>
        <n x="224"/>
        <n x="800" s="1"/>
        <n x="703"/>
        <n x="704"/>
      </t>
    </mdx>
    <mdx n="0" f="v">
      <t c="6" si="614">
        <n x="610"/>
        <n x="577"/>
        <n x="578"/>
        <n x="800" s="1"/>
        <n x="703"/>
        <n x="704"/>
      </t>
    </mdx>
    <mdx n="0" f="v">
      <t c="6" si="614">
        <n x="610"/>
        <n x="361"/>
        <n x="362"/>
        <n x="800" s="1"/>
        <n x="703"/>
        <n x="704"/>
      </t>
    </mdx>
    <mdx n="0" f="v">
      <t c="6" si="614">
        <n x="610"/>
        <n x="325"/>
        <n x="326"/>
        <n x="800" s="1"/>
        <n x="703"/>
        <n x="704"/>
      </t>
    </mdx>
    <mdx n="0" f="v">
      <t c="6" si="614">
        <n x="610"/>
        <n x="507"/>
        <n x="508"/>
        <n x="800" s="1"/>
        <n x="703"/>
        <n x="704"/>
      </t>
    </mdx>
    <mdx n="0" f="v">
      <t c="6" si="614">
        <n x="610"/>
        <n x="447"/>
        <n x="448"/>
        <n x="800" s="1"/>
        <n x="703"/>
        <n x="704"/>
      </t>
    </mdx>
    <mdx n="0" f="v">
      <t c="6" si="614">
        <n x="610"/>
        <n x="349"/>
        <n x="350"/>
        <n x="800" s="1"/>
        <n x="703"/>
        <n x="704"/>
      </t>
    </mdx>
    <mdx n="0" f="v">
      <t c="6" si="614">
        <n x="610"/>
        <n x="321"/>
        <n x="322"/>
        <n x="800" s="1"/>
        <n x="703"/>
        <n x="704"/>
      </t>
    </mdx>
    <mdx n="0" f="v">
      <t c="6" si="614">
        <n x="610"/>
        <n x="761"/>
        <n x="256"/>
        <n x="800" s="1"/>
        <n x="703"/>
        <n x="704"/>
      </t>
    </mdx>
    <mdx n="0" f="v">
      <t c="6" si="614">
        <n x="610"/>
        <n x="761"/>
        <n x="762"/>
        <n x="800" s="1"/>
        <n x="703"/>
        <n x="704"/>
      </t>
    </mdx>
    <mdx n="0" f="v">
      <t c="6" si="614">
        <n x="610"/>
        <n x="763"/>
        <n x="764"/>
        <n x="800" s="1"/>
        <n x="703"/>
        <n x="704"/>
      </t>
    </mdx>
    <mdx n="0" f="v">
      <t c="6" si="614">
        <n x="610"/>
        <n x="427"/>
        <n x="428"/>
        <n x="800" s="1"/>
        <n x="703"/>
        <n x="704"/>
      </t>
    </mdx>
    <mdx n="0" f="v">
      <t c="6" si="614">
        <n x="610"/>
        <n x="445"/>
        <n x="446"/>
        <n x="800" s="1"/>
        <n x="703"/>
        <n x="704"/>
      </t>
    </mdx>
    <mdx n="0" f="v">
      <t c="6" si="614">
        <n x="610"/>
        <n x="445"/>
        <n x="446"/>
        <n x="800" s="1"/>
        <n x="703"/>
        <n x="704"/>
      </t>
    </mdx>
    <mdx n="0" f="v">
      <t c="6" si="614">
        <n x="610"/>
        <n x="375"/>
        <n x="376"/>
        <n x="800" s="1"/>
        <n x="703"/>
        <n x="704"/>
      </t>
    </mdx>
    <mdx n="0" f="v">
      <t c="6" si="614">
        <n x="610"/>
        <n x="375"/>
        <n x="376"/>
        <n x="800" s="1"/>
        <n x="703"/>
        <n x="704"/>
      </t>
    </mdx>
    <mdx n="0" f="v">
      <t c="6" si="614">
        <n x="610"/>
        <n x="575"/>
        <n x="576"/>
        <n x="800" s="1"/>
        <n x="703"/>
        <n x="704"/>
      </t>
    </mdx>
    <mdx n="0" f="v">
      <t c="6" si="614">
        <n x="610"/>
        <n x="793"/>
        <n x="314"/>
        <n x="800" s="1"/>
        <n x="703"/>
        <n x="704"/>
      </t>
    </mdx>
    <mdx n="0" f="v">
      <t c="6" si="614">
        <n x="610"/>
        <n x="797"/>
        <n x="572"/>
        <n x="800" s="1"/>
        <n x="703"/>
        <n x="704"/>
      </t>
    </mdx>
    <mdx n="0" f="v">
      <t c="6" si="614">
        <n x="610"/>
        <n x="797"/>
        <n x="798"/>
        <n x="800" s="1"/>
        <n x="703"/>
        <n x="704"/>
      </t>
    </mdx>
    <mdx n="0" f="v">
      <t c="6" si="614">
        <n x="610"/>
        <n x="267"/>
        <n x="268"/>
        <n x="800" s="1"/>
        <n x="703"/>
        <n x="704"/>
      </t>
    </mdx>
    <mdx n="0" f="v">
      <t c="6" si="614">
        <n x="610"/>
        <n x="475"/>
        <n x="476"/>
        <n x="800" s="1"/>
        <n x="703"/>
        <n x="704"/>
      </t>
    </mdx>
    <mdx n="0" f="v">
      <t c="6" si="614">
        <n x="610"/>
        <n x="771"/>
        <n x="772"/>
        <n x="800" s="1"/>
        <n x="703"/>
        <n x="704"/>
      </t>
    </mdx>
    <mdx n="0" f="v">
      <t c="6" si="614">
        <n x="610"/>
        <n x="775"/>
        <n x="776"/>
        <n x="800" s="1"/>
        <n x="703"/>
        <n x="704"/>
      </t>
    </mdx>
    <mdx n="0" f="v">
      <t c="6" si="614">
        <n x="610"/>
        <n x="451"/>
        <n x="452"/>
        <n x="800" s="1"/>
        <n x="703"/>
        <n x="704"/>
      </t>
    </mdx>
    <mdx n="0" f="v">
      <t c="6" si="614">
        <n x="610"/>
        <n x="351"/>
        <n x="352"/>
        <n x="800" s="1"/>
        <n x="703"/>
        <n x="704"/>
      </t>
    </mdx>
    <mdx n="0" f="v">
      <t c="6" si="614">
        <n x="610"/>
        <n x="373"/>
        <n x="374"/>
        <n x="800" s="1"/>
        <n x="703"/>
        <n x="704"/>
      </t>
    </mdx>
    <mdx n="0" f="v">
      <t c="6" si="614">
        <n x="610"/>
        <n x="337"/>
        <n x="338"/>
        <n x="800" s="1"/>
        <n x="703"/>
        <n x="704"/>
      </t>
    </mdx>
    <mdx n="0" f="v">
      <t c="6" si="614">
        <n x="610"/>
        <n x="369"/>
        <n x="370"/>
        <n x="800" s="1"/>
        <n x="703"/>
        <n x="704"/>
      </t>
    </mdx>
    <mdx n="0" f="v">
      <t c="6" si="614">
        <n x="610"/>
        <n x="589"/>
        <n x="370"/>
        <n x="800" s="1"/>
        <n x="703"/>
        <n x="704"/>
      </t>
    </mdx>
    <mdx n="0" f="v">
      <t c="6" si="614">
        <n x="610"/>
        <n x="589"/>
        <n x="284"/>
        <n x="800" s="1"/>
        <n x="703"/>
        <n x="704"/>
      </t>
    </mdx>
    <mdx n="0" f="v">
      <t c="6" si="614">
        <n x="610"/>
        <n x="319"/>
        <n x="320"/>
        <n x="800" s="1"/>
        <n x="703"/>
        <n x="704"/>
      </t>
    </mdx>
    <mdx n="0" f="v">
      <t c="6" si="614">
        <n x="610"/>
        <n x="319"/>
        <n x="320"/>
        <n x="800" s="1"/>
        <n x="703"/>
        <n x="704"/>
      </t>
    </mdx>
    <mdx n="0" f="v">
      <t c="6" si="614">
        <n x="610"/>
        <n x="393"/>
        <n x="742"/>
        <n x="800" s="1"/>
        <n x="703"/>
        <n x="704"/>
      </t>
    </mdx>
    <mdx n="0" f="v">
      <t c="6" si="614">
        <n x="610"/>
        <n x="393"/>
        <n x="394"/>
        <n x="800" s="1"/>
        <n x="703"/>
        <n x="704"/>
      </t>
    </mdx>
    <mdx n="0" f="v">
      <t c="6" si="614">
        <n x="610"/>
        <n x="605"/>
        <n x="606"/>
        <n x="800" s="1"/>
        <n x="703"/>
        <n x="704"/>
      </t>
    </mdx>
    <mdx n="0" f="v">
      <t c="6" si="614">
        <n x="610"/>
        <n x="295"/>
        <n x="296"/>
        <n x="800" s="1"/>
        <n x="703"/>
        <n x="704"/>
      </t>
    </mdx>
    <mdx n="0" f="v">
      <t c="6" si="614">
        <n x="610"/>
        <n x="295"/>
        <n x="296"/>
        <n x="800" s="1"/>
        <n x="703"/>
        <n x="704"/>
      </t>
    </mdx>
    <mdx n="0" f="v">
      <t c="6" si="614">
        <n x="610"/>
        <n x="229"/>
        <n x="230"/>
        <n x="800" s="1"/>
        <n x="703"/>
        <n x="704"/>
      </t>
    </mdx>
    <mdx n="0" f="v">
      <t c="6" si="614">
        <n x="610"/>
        <n x="399"/>
        <n x="340"/>
        <n x="800" s="1"/>
        <n x="703"/>
        <n x="704"/>
      </t>
    </mdx>
    <mdx n="0" f="v">
      <t c="6" si="614">
        <n x="610"/>
        <n x="551"/>
        <n x="552"/>
        <n x="800" s="1"/>
        <n x="703"/>
        <n x="704"/>
      </t>
    </mdx>
    <mdx n="0" f="v">
      <t c="6" si="614">
        <n x="610"/>
        <n x="469"/>
        <n x="470"/>
        <n x="800" s="1"/>
        <n x="703"/>
        <n x="704"/>
      </t>
    </mdx>
    <mdx n="0" f="v">
      <t c="6" si="614">
        <n x="610"/>
        <n x="539"/>
        <n x="540"/>
        <n x="800" s="1"/>
        <n x="703"/>
        <n x="704"/>
      </t>
    </mdx>
    <mdx n="0" f="v">
      <t c="6" si="614">
        <n x="610"/>
        <n x="485"/>
        <n x="486"/>
        <n x="800" s="1"/>
        <n x="703"/>
        <n x="704"/>
      </t>
    </mdx>
    <mdx n="0" f="v">
      <t c="6" si="614">
        <n x="610"/>
        <n x="777"/>
        <n x="778"/>
        <n x="800" s="1"/>
        <n x="703"/>
        <n x="704"/>
      </t>
    </mdx>
    <mdx n="0" f="v">
      <t c="6" si="614">
        <n x="610"/>
        <n x="269"/>
        <n x="270"/>
        <n x="800" s="1"/>
        <n x="703"/>
        <n x="704"/>
      </t>
    </mdx>
    <mdx n="0" f="v">
      <t c="6" si="614">
        <n x="610"/>
        <n x="535"/>
        <n x="536"/>
        <n x="800" s="1"/>
        <n x="703"/>
        <n x="704"/>
      </t>
    </mdx>
    <mdx n="0" f="v">
      <t c="6" si="614">
        <n x="610"/>
        <n x="417"/>
        <n x="418"/>
        <n x="800" s="1"/>
        <n x="703"/>
        <n x="704"/>
      </t>
    </mdx>
    <mdx n="0" f="v">
      <t c="6" si="614">
        <n x="610"/>
        <n x="473"/>
        <n x="474"/>
        <n x="800" s="1"/>
        <n x="703"/>
        <n x="704"/>
      </t>
    </mdx>
    <mdx n="0" f="v">
      <t c="6" si="614">
        <n x="610"/>
        <n x="213"/>
        <n x="214"/>
        <n x="800" s="1"/>
        <n x="703"/>
        <n x="704"/>
      </t>
    </mdx>
    <mdx n="0" f="v">
      <t c="6" si="614">
        <n x="610"/>
        <n x="465"/>
        <n x="466"/>
        <n x="800" s="1"/>
        <n x="703"/>
        <n x="704"/>
      </t>
    </mdx>
    <mdx n="0" f="v">
      <t c="6" si="614">
        <n x="610"/>
        <n x="329"/>
        <n x="330"/>
        <n x="800" s="1"/>
        <n x="703"/>
        <n x="704"/>
      </t>
    </mdx>
    <mdx n="0" f="v">
      <t c="6" si="614">
        <n x="610"/>
        <n x="587"/>
        <n x="588"/>
        <n x="800" s="1"/>
        <n x="703"/>
        <n x="704"/>
      </t>
    </mdx>
    <mdx n="0" f="v">
      <t c="6" si="614">
        <n x="610"/>
        <n x="323"/>
        <n x="324"/>
        <n x="800" s="1"/>
        <n x="703"/>
        <n x="704"/>
      </t>
    </mdx>
    <mdx n="0" f="v">
      <t c="6" si="614">
        <n x="610"/>
        <n x="371"/>
        <n x="560"/>
        <n x="800" s="1"/>
        <n x="703"/>
        <n x="704"/>
      </t>
    </mdx>
    <mdx n="0" f="v">
      <t c="6" si="614">
        <n x="610"/>
        <n x="371"/>
        <n x="560"/>
        <n x="800" s="1"/>
        <n x="703"/>
        <n x="704"/>
      </t>
    </mdx>
    <mdx n="0" f="v">
      <t c="6" si="614">
        <n x="610"/>
        <n x="371"/>
        <n x="560"/>
        <n x="800" s="1"/>
        <n x="703"/>
        <n x="704"/>
      </t>
    </mdx>
    <mdx n="0" f="v">
      <t c="6" si="614">
        <n x="610"/>
        <n x="371"/>
        <n x="780"/>
        <n x="800" s="1"/>
        <n x="703"/>
        <n x="704"/>
      </t>
    </mdx>
    <mdx n="0" f="v">
      <t c="6" si="614">
        <n x="610"/>
        <n x="371"/>
        <n x="780"/>
        <n x="800" s="1"/>
        <n x="703"/>
        <n x="704"/>
      </t>
    </mdx>
    <mdx n="0" f="v">
      <t c="6" si="614">
        <n x="610"/>
        <n x="371"/>
        <n x="570"/>
        <n x="800" s="1"/>
        <n x="703"/>
        <n x="704"/>
      </t>
    </mdx>
    <mdx n="0" f="v">
      <t c="6" si="614">
        <n x="610"/>
        <n x="371"/>
        <n x="570"/>
        <n x="800" s="1"/>
        <n x="703"/>
        <n x="704"/>
      </t>
    </mdx>
    <mdx n="0" f="v">
      <t c="6" si="614">
        <n x="610"/>
        <n x="283"/>
        <n x="284"/>
        <n x="800" s="1"/>
        <n x="657"/>
        <n x="658"/>
      </t>
    </mdx>
    <mdx n="0" f="v">
      <t c="6" si="614">
        <n x="610"/>
        <n x="299"/>
        <n x="296"/>
        <n x="800" s="1"/>
        <n x="657"/>
        <n x="658"/>
      </t>
    </mdx>
    <mdx n="0" f="v">
      <t c="6" si="614">
        <n x="610"/>
        <n x="749"/>
        <n x="750"/>
        <n x="800" s="1"/>
        <n x="657"/>
        <n x="658"/>
      </t>
    </mdx>
    <mdx n="0" f="v">
      <t c="6" si="614">
        <n x="610"/>
        <n x="293"/>
        <n x="294"/>
        <n x="800" s="1"/>
        <n x="657"/>
        <n x="658"/>
      </t>
    </mdx>
    <mdx n="0" f="v">
      <t c="6" si="614">
        <n x="610"/>
        <n x="533"/>
        <n x="534"/>
        <n x="800" s="1"/>
        <n x="657"/>
        <n x="658"/>
      </t>
    </mdx>
    <mdx n="0" f="v">
      <t c="6" si="614">
        <n x="610"/>
        <n x="443"/>
        <n x="210"/>
        <n x="800" s="1"/>
        <n x="657"/>
        <n x="658"/>
      </t>
    </mdx>
    <mdx n="0" f="v">
      <t c="6" si="614">
        <n x="610"/>
        <n x="753"/>
        <n x="420"/>
        <n x="800" s="1"/>
        <n x="657"/>
        <n x="658"/>
      </t>
    </mdx>
    <mdx n="0" f="v">
      <t c="6" si="614">
        <n x="610"/>
        <n x="595"/>
        <n x="596"/>
        <n x="800" s="1"/>
        <n x="657"/>
        <n x="658"/>
      </t>
    </mdx>
    <mdx n="0" f="v">
      <t c="6" si="614">
        <n x="610"/>
        <n x="545"/>
        <n x="790"/>
        <n x="800" s="1"/>
        <n x="657"/>
        <n x="658"/>
      </t>
    </mdx>
    <mdx n="0" f="v">
      <t c="6" si="614">
        <n x="610"/>
        <n x="227"/>
        <n x="228"/>
        <n x="800" s="1"/>
        <n x="657"/>
        <n x="658"/>
      </t>
    </mdx>
    <mdx n="0" f="v">
      <t c="6" si="614">
        <n x="610"/>
        <n x="461"/>
        <n x="720"/>
        <n x="800" s="1"/>
        <n x="657"/>
        <n x="658"/>
      </t>
    </mdx>
    <mdx n="0" f="v">
      <t c="6" si="614">
        <n x="610"/>
        <n x="737"/>
        <n x="388"/>
        <n x="800" s="1"/>
        <n x="657"/>
        <n x="658"/>
      </t>
    </mdx>
    <mdx n="0" f="v">
      <t c="6" si="614">
        <n x="610"/>
        <n x="571"/>
        <n x="572"/>
        <n x="800" s="1"/>
        <n x="657"/>
        <n x="658"/>
      </t>
    </mdx>
    <mdx n="0" f="v">
      <t c="6" si="614">
        <n x="610"/>
        <n x="475"/>
        <n x="476"/>
        <n x="800" s="1"/>
        <n x="657"/>
        <n x="658"/>
      </t>
    </mdx>
    <mdx n="0" f="v">
      <t c="6" si="614">
        <n x="610"/>
        <n x="709"/>
        <n x="710"/>
        <n x="800" s="1"/>
        <n x="707"/>
        <n x="708"/>
      </t>
    </mdx>
    <mdx n="0" f="v">
      <t c="6" si="614">
        <n x="610"/>
        <n x="217"/>
        <n x="218"/>
        <n x="800" s="1"/>
        <n x="707"/>
        <n x="708"/>
      </t>
    </mdx>
    <mdx n="0" f="v">
      <t c="6" si="614">
        <n x="610"/>
        <n x="721"/>
        <n x="722"/>
        <n x="800" s="1"/>
        <n x="707"/>
        <n x="708"/>
      </t>
    </mdx>
    <mdx n="0" f="v">
      <t c="6" si="614">
        <n x="610"/>
        <n x="379"/>
        <n x="380"/>
        <n x="800" s="1"/>
        <n x="707"/>
        <n x="708"/>
      </t>
    </mdx>
    <mdx n="0" f="v">
      <t c="6" si="614">
        <n x="610"/>
        <n x="459"/>
        <n x="460"/>
        <n x="800" s="1"/>
        <n x="707"/>
        <n x="708"/>
      </t>
    </mdx>
    <mdx n="0" f="v">
      <t c="6" si="614">
        <n x="610"/>
        <n x="601"/>
        <n x="602"/>
        <n x="800" s="1"/>
        <n x="707"/>
        <n x="708"/>
      </t>
    </mdx>
    <mdx n="0" f="v">
      <t c="6" si="614">
        <n x="610"/>
        <n x="237"/>
        <n x="238"/>
        <n x="800" s="1"/>
        <n x="707"/>
        <n x="708"/>
      </t>
    </mdx>
    <mdx n="0" f="v">
      <t c="6" si="614">
        <n x="610"/>
        <n x="453"/>
        <n x="454"/>
        <n x="800" s="1"/>
        <n x="707"/>
        <n x="708"/>
      </t>
    </mdx>
    <mdx n="0" f="v">
      <t c="6" si="614">
        <n x="610"/>
        <n x="283"/>
        <n x="284"/>
        <n x="800" s="1"/>
        <n x="707"/>
        <n x="708"/>
      </t>
    </mdx>
    <mdx n="0" f="v">
      <t c="6" si="614">
        <n x="610"/>
        <n x="393"/>
        <n x="394"/>
        <n x="800" s="1"/>
        <n x="707"/>
        <n x="708"/>
      </t>
    </mdx>
    <mdx n="0" f="v">
      <t c="6" si="614">
        <n x="610"/>
        <n x="605"/>
        <n x="606"/>
        <n x="800" s="1"/>
        <n x="707"/>
        <n x="708"/>
      </t>
    </mdx>
    <mdx n="0" f="v">
      <t c="6" si="614">
        <n x="610"/>
        <n x="295"/>
        <n x="296"/>
        <n x="800" s="1"/>
        <n x="707"/>
        <n x="708"/>
      </t>
    </mdx>
    <mdx n="0" f="v">
      <t c="6" si="614">
        <n x="610"/>
        <n x="299"/>
        <n x="300"/>
        <n x="800" s="1"/>
        <n x="707"/>
        <n x="708"/>
      </t>
    </mdx>
    <mdx n="0" f="v">
      <t c="6" si="614">
        <n x="610"/>
        <n x="229"/>
        <n x="230"/>
        <n x="800" s="1"/>
        <n x="707"/>
        <n x="708"/>
      </t>
    </mdx>
    <mdx n="0" f="v">
      <t c="6" si="614">
        <n x="610"/>
        <n x="339"/>
        <n x="340"/>
        <n x="800" s="1"/>
        <n x="707"/>
        <n x="708"/>
      </t>
    </mdx>
    <mdx n="0" f="v">
      <t c="6" si="614">
        <n x="610"/>
        <n x="551"/>
        <n x="552"/>
        <n x="800" s="1"/>
        <n x="707"/>
        <n x="708"/>
      </t>
    </mdx>
    <mdx n="0" f="v">
      <t c="6" si="614">
        <n x="610"/>
        <n x="409"/>
        <n x="410"/>
        <n x="800" s="1"/>
        <n x="707"/>
        <n x="708"/>
      </t>
    </mdx>
    <mdx n="0" f="v">
      <t c="6" si="614">
        <n x="610"/>
        <n x="469"/>
        <n x="470"/>
        <n x="800" s="1"/>
        <n x="707"/>
        <n x="708"/>
      </t>
    </mdx>
    <mdx n="0" f="v">
      <t c="6" si="614">
        <n x="610"/>
        <n x="767"/>
        <n x="768"/>
        <n x="800" s="1"/>
        <n x="707"/>
        <n x="708"/>
      </t>
    </mdx>
    <mdx n="0" f="v">
      <t c="6" si="614">
        <n x="610"/>
        <n x="269"/>
        <n x="270"/>
        <n x="800" s="1"/>
        <n x="707"/>
        <n x="708"/>
      </t>
    </mdx>
    <mdx n="0" f="v">
      <t c="6" si="614">
        <n x="610"/>
        <n x="565"/>
        <n x="566"/>
        <n x="800" s="1"/>
        <n x="707"/>
        <n x="708"/>
      </t>
    </mdx>
    <mdx n="0" f="v">
      <t c="6" si="614">
        <n x="610"/>
        <n x="473"/>
        <n x="474"/>
        <n x="800" s="1"/>
        <n x="707"/>
        <n x="708"/>
      </t>
    </mdx>
    <mdx n="0" f="v">
      <t c="6" si="614">
        <n x="610"/>
        <n x="213"/>
        <n x="214"/>
        <n x="800" s="1"/>
        <n x="707"/>
        <n x="708"/>
      </t>
    </mdx>
    <mdx n="0" f="v">
      <t c="6" si="614">
        <n x="610"/>
        <n x="563"/>
        <n x="564"/>
        <n x="800" s="1"/>
        <n x="707"/>
        <n x="708"/>
      </t>
    </mdx>
    <mdx n="0" f="v">
      <t c="6" si="614">
        <n x="610"/>
        <n x="329"/>
        <n x="330"/>
        <n x="800" s="1"/>
        <n x="707"/>
        <n x="708"/>
      </t>
    </mdx>
    <mdx n="0" f="v">
      <t c="6" si="614">
        <n x="610"/>
        <n x="587"/>
        <n x="588"/>
        <n x="800" s="1"/>
        <n x="707"/>
        <n x="708"/>
      </t>
    </mdx>
    <mdx n="0" f="v">
      <t c="6" si="614">
        <n x="610"/>
        <n x="323"/>
        <n x="324"/>
        <n x="800" s="1"/>
        <n x="707"/>
        <n x="708"/>
      </t>
    </mdx>
    <mdx n="0" f="v">
      <t c="6" si="614">
        <n x="610"/>
        <n x="559"/>
        <n x="560"/>
        <n x="800" s="1"/>
        <n x="707"/>
        <n x="708"/>
      </t>
    </mdx>
    <mdx n="0" f="v">
      <t c="6" si="614">
        <n x="610"/>
        <n x="285"/>
        <n x="286"/>
        <n x="800" s="1"/>
        <n x="707"/>
        <n x="708"/>
      </t>
    </mdx>
    <mdx n="0" f="v">
      <t c="6" si="614">
        <n x="610"/>
        <n x="723"/>
        <n x="724"/>
        <n x="800" s="1"/>
        <n x="707"/>
        <n x="708"/>
      </t>
    </mdx>
    <mdx n="0" f="v">
      <t c="6" si="614">
        <n x="610"/>
        <n x="239"/>
        <n x="240"/>
        <n x="800" s="1"/>
        <n x="707"/>
        <n x="708"/>
      </t>
    </mdx>
    <mdx n="0" f="v">
      <t c="6" si="614">
        <n x="610"/>
        <n x="547"/>
        <n x="548"/>
        <n x="800" s="1"/>
        <n x="707"/>
        <n x="708"/>
      </t>
    </mdx>
    <mdx n="0" f="v">
      <t c="6" si="614">
        <n x="610"/>
        <n x="557"/>
        <n x="558"/>
        <n x="800" s="1"/>
        <n x="707"/>
        <n x="708"/>
      </t>
    </mdx>
    <mdx n="0" f="v">
      <t c="6" si="614">
        <n x="610"/>
        <n x="363"/>
        <n x="364"/>
        <n x="800" s="1"/>
        <n x="707"/>
        <n x="708"/>
      </t>
    </mdx>
    <mdx n="0" f="v">
      <t c="6" si="614">
        <n x="610"/>
        <n x="277"/>
        <n x="282"/>
        <n x="800" s="1"/>
        <n x="707"/>
        <n x="708"/>
      </t>
    </mdx>
    <mdx n="0" f="v">
      <t c="6" si="614">
        <n x="610"/>
        <n x="277"/>
        <n x="278"/>
        <n x="800" s="1"/>
        <n x="707"/>
        <n x="708"/>
      </t>
    </mdx>
    <mdx n="0" f="v">
      <t c="6" si="614">
        <n x="610"/>
        <n x="743"/>
        <n x="436"/>
        <n x="800" s="1"/>
        <n x="707"/>
        <n x="708"/>
      </t>
    </mdx>
    <mdx n="0" f="v">
      <t c="6" si="614">
        <n x="610"/>
        <n x="743"/>
        <n x="744"/>
        <n x="800" s="1"/>
        <n x="707"/>
        <n x="708"/>
      </t>
    </mdx>
    <mdx n="0" f="v">
      <t c="6" si="614">
        <n x="610"/>
        <n x="747"/>
        <n x="748"/>
        <n x="800" s="1"/>
        <n x="707"/>
        <n x="708"/>
      </t>
    </mdx>
    <mdx n="0" f="v">
      <t c="6" si="614">
        <n x="610"/>
        <n x="751"/>
        <n x="750"/>
        <n x="800" s="1"/>
        <n x="707"/>
        <n x="708"/>
      </t>
    </mdx>
    <mdx n="0" f="v">
      <t c="6" si="614">
        <n x="610"/>
        <n x="273"/>
        <n x="234"/>
        <n x="800" s="1"/>
        <n x="707"/>
        <n x="708"/>
      </t>
    </mdx>
    <mdx n="0" f="v">
      <t c="6" si="614">
        <n x="610"/>
        <n x="247"/>
        <n x="248"/>
        <n x="800" s="1"/>
        <n x="707"/>
        <n x="708"/>
      </t>
    </mdx>
    <mdx n="0" f="v">
      <t c="6" si="614">
        <n x="610"/>
        <n x="315"/>
        <n x="766"/>
        <n x="800" s="1"/>
        <n x="707"/>
        <n x="708"/>
      </t>
    </mdx>
    <mdx n="0" f="v">
      <t c="6" si="614">
        <n x="610"/>
        <n x="315"/>
        <n x="316"/>
        <n x="800" s="1"/>
        <n x="707"/>
        <n x="708"/>
      </t>
    </mdx>
    <mdx n="0" f="v">
      <t c="6" si="614">
        <n x="610"/>
        <n x="533"/>
        <n x="534"/>
        <n x="800" s="1"/>
        <n x="707"/>
        <n x="708"/>
      </t>
    </mdx>
    <mdx n="0" f="v">
      <t c="6" si="614">
        <n x="610"/>
        <n x="355"/>
        <n x="356"/>
        <n x="800" s="1"/>
        <n x="707"/>
        <n x="708"/>
      </t>
    </mdx>
    <mdx n="0" f="v">
      <t c="6" si="614">
        <n x="610"/>
        <n x="523"/>
        <n x="522"/>
        <n x="800" s="1"/>
        <n x="707"/>
        <n x="708"/>
      </t>
    </mdx>
    <mdx n="0" f="v">
      <t c="6" si="614">
        <n x="610"/>
        <n x="225"/>
        <n x="304"/>
        <n x="800" s="1"/>
        <n x="707"/>
        <n x="708"/>
      </t>
    </mdx>
    <mdx n="0" f="v">
      <t c="6" si="614">
        <n x="610"/>
        <n x="421"/>
        <n x="422"/>
        <n x="800" s="1"/>
        <n x="707"/>
        <n x="708"/>
      </t>
    </mdx>
    <mdx n="0" f="v">
      <t c="6" si="614">
        <n x="610"/>
        <n x="519"/>
        <n x="520"/>
        <n x="800" s="1"/>
        <n x="707"/>
        <n x="708"/>
      </t>
    </mdx>
    <mdx n="0" f="v">
      <t c="6" si="614">
        <n x="610"/>
        <n x="805"/>
        <n x="806"/>
        <n x="800" s="1"/>
        <n x="707"/>
        <n x="708"/>
      </t>
    </mdx>
    <mdx n="0" f="v">
      <t c="6" si="614">
        <n x="610"/>
        <n x="463"/>
        <n x="464"/>
        <n x="800" s="1"/>
        <n x="707"/>
        <n x="708"/>
      </t>
    </mdx>
    <mdx n="0" f="v">
      <t c="6" si="614">
        <n x="610"/>
        <n x="731"/>
        <n x="732"/>
        <n x="800" s="1"/>
        <n x="707"/>
        <n x="708"/>
      </t>
    </mdx>
    <mdx n="0" f="v">
      <t c="6" si="614">
        <n x="610"/>
        <n x="265"/>
        <n x="266"/>
        <n x="800" s="1"/>
        <n x="707"/>
        <n x="708"/>
      </t>
    </mdx>
    <mdx n="0" f="v">
      <t c="6" si="614">
        <n x="610"/>
        <n x="243"/>
        <n x="244"/>
        <n x="800" s="1"/>
        <n x="707"/>
        <n x="708"/>
      </t>
    </mdx>
    <mdx n="0" f="v">
      <t c="6" si="614">
        <n x="610"/>
        <n x="503"/>
        <n x="504"/>
        <n x="800" s="1"/>
        <n x="707"/>
        <n x="708"/>
      </t>
    </mdx>
    <mdx n="0" f="v">
      <t c="6" si="614">
        <n x="610"/>
        <n x="441"/>
        <n x="442"/>
        <n x="800" s="1"/>
        <n x="707"/>
        <n x="708"/>
      </t>
    </mdx>
    <mdx n="0" f="v">
      <t c="6" si="614">
        <n x="610"/>
        <n x="205"/>
        <n x="754"/>
        <n x="800" s="1"/>
        <n x="707"/>
        <n x="708"/>
      </t>
    </mdx>
    <mdx n="0" f="v">
      <t c="6" si="614">
        <n x="610"/>
        <n x="289"/>
        <n x="290"/>
        <n x="800" s="1"/>
        <n x="707"/>
        <n x="708"/>
      </t>
    </mdx>
    <mdx n="0" f="v">
      <t c="6" si="614">
        <n x="610"/>
        <n x="245"/>
        <n x="246"/>
        <n x="800" s="1"/>
        <n x="707"/>
        <n x="708"/>
      </t>
    </mdx>
    <mdx n="0" f="v">
      <t c="6" si="614">
        <n x="610"/>
        <n x="467"/>
        <n x="468"/>
        <n x="800" s="1"/>
        <n x="707"/>
        <n x="708"/>
      </t>
    </mdx>
    <mdx n="0" f="v">
      <t c="6" si="614">
        <n x="610"/>
        <n x="785"/>
        <n x="528"/>
        <n x="800" s="1"/>
        <n x="707"/>
        <n x="708"/>
      </t>
    </mdx>
    <mdx n="0" f="v">
      <t c="6" si="614">
        <n x="610"/>
        <n x="431"/>
        <n x="432"/>
        <n x="800" s="1"/>
        <n x="707"/>
        <n x="708"/>
      </t>
    </mdx>
    <mdx n="0" f="v">
      <t c="6" si="614">
        <n x="610"/>
        <n x="297"/>
        <n x="298"/>
        <n x="800" s="1"/>
        <n x="707"/>
        <n x="708"/>
      </t>
    </mdx>
    <mdx n="0" f="v">
      <t c="6" si="614">
        <n x="610"/>
        <n x="331"/>
        <n x="332"/>
        <n x="800" s="1"/>
        <n x="707"/>
        <n x="708"/>
      </t>
    </mdx>
    <mdx n="0" f="v">
      <t c="6" si="614">
        <n x="610"/>
        <n x="279"/>
        <n x="280"/>
        <n x="800" s="1"/>
        <n x="707"/>
        <n x="708"/>
      </t>
    </mdx>
    <mdx n="0" f="v">
      <t c="6" si="614">
        <n x="610"/>
        <n x="263"/>
        <n x="264"/>
        <n x="800" s="1"/>
        <n x="707"/>
        <n x="708"/>
      </t>
    </mdx>
    <mdx n="0" f="v">
      <t c="6" si="614">
        <n x="610"/>
        <n x="573"/>
        <n x="574"/>
        <n x="800" s="1"/>
        <n x="707"/>
        <n x="708"/>
      </t>
    </mdx>
    <mdx n="0" f="v">
      <t c="6" si="614">
        <n x="610"/>
        <n x="377"/>
        <n x="378"/>
        <n x="800" s="1"/>
        <n x="707"/>
        <n x="708"/>
      </t>
    </mdx>
    <mdx n="0" f="v">
      <t c="6" si="614">
        <n x="610"/>
        <n x="729"/>
        <n x="730"/>
        <n x="800" s="1"/>
        <n x="707"/>
        <n x="708"/>
      </t>
    </mdx>
    <mdx n="0" f="v">
      <t c="6" si="614">
        <n x="610"/>
        <n x="541"/>
        <n x="542"/>
        <n x="800" s="1"/>
        <n x="707"/>
        <n x="708"/>
      </t>
    </mdx>
    <mdx n="0" f="v">
      <t c="6" si="614">
        <n x="610"/>
        <n x="595"/>
        <n x="596"/>
        <n x="800" s="1"/>
        <n x="707"/>
        <n x="708"/>
      </t>
    </mdx>
    <mdx n="0" f="v">
      <t c="6" si="614">
        <n x="610"/>
        <n x="591"/>
        <n x="592"/>
        <n x="800" s="1"/>
        <n x="707"/>
        <n x="708"/>
      </t>
    </mdx>
    <mdx n="0" f="v">
      <t c="6" si="614">
        <n x="610"/>
        <n x="455"/>
        <n x="456"/>
        <n x="800" s="1"/>
        <n x="707"/>
        <n x="708"/>
      </t>
    </mdx>
    <mdx n="0" f="v">
      <t c="6" si="614">
        <n x="610"/>
        <n x="513"/>
        <n x="514"/>
        <n x="800" s="1"/>
        <n x="707"/>
        <n x="708"/>
      </t>
    </mdx>
    <mdx n="0" f="v">
      <t c="6" si="614">
        <n x="610"/>
        <n x="489"/>
        <n x="490"/>
        <n x="800" s="1"/>
        <n x="707"/>
        <n x="708"/>
      </t>
    </mdx>
    <mdx n="0" f="v">
      <t c="6" si="614">
        <n x="610"/>
        <n x="493"/>
        <n x="494"/>
        <n x="800" s="1"/>
        <n x="707"/>
        <n x="708"/>
      </t>
    </mdx>
    <mdx n="0" f="v">
      <t c="6" si="614">
        <n x="610"/>
        <n x="287"/>
        <n x="550"/>
        <n x="800" s="1"/>
        <n x="707"/>
        <n x="708"/>
      </t>
    </mdx>
    <mdx n="0" f="v">
      <t c="6" si="614">
        <n x="610"/>
        <n x="511"/>
        <n x="512"/>
        <n x="800" s="1"/>
        <n x="707"/>
        <n x="708"/>
      </t>
    </mdx>
    <mdx n="0" f="v">
      <t c="6" si="614">
        <n x="610"/>
        <n x="515"/>
        <n x="516"/>
        <n x="800" s="1"/>
        <n x="707"/>
        <n x="708"/>
      </t>
    </mdx>
    <mdx n="0" f="v">
      <t c="6" si="614">
        <n x="610"/>
        <n x="789"/>
        <n x="790"/>
        <n x="800" s="1"/>
        <n x="707"/>
        <n x="708"/>
      </t>
    </mdx>
    <mdx n="0" f="v">
      <t c="6" si="614">
        <n x="610"/>
        <n x="545"/>
        <n x="546"/>
        <n x="800" s="1"/>
        <n x="707"/>
        <n x="708"/>
      </t>
    </mdx>
    <mdx n="0" f="v">
      <t c="6" si="614">
        <n x="610"/>
        <n x="291"/>
        <n x="292"/>
        <n x="800" s="1"/>
        <n x="707"/>
        <n x="708"/>
      </t>
    </mdx>
    <mdx n="0" f="v">
      <t c="6" si="614">
        <n x="610"/>
        <n x="327"/>
        <n x="328"/>
        <n x="800" s="1"/>
        <n x="707"/>
        <n x="708"/>
      </t>
    </mdx>
    <mdx n="0" f="v">
      <t c="6" si="614">
        <n x="610"/>
        <n x="477"/>
        <n x="478"/>
        <n x="800" s="1"/>
        <n x="707"/>
        <n x="708"/>
      </t>
    </mdx>
    <mdx n="0" f="v">
      <t c="6" si="614">
        <n x="610"/>
        <n x="251"/>
        <n x="252"/>
        <n x="800" s="1"/>
        <n x="707"/>
        <n x="708"/>
      </t>
    </mdx>
    <mdx n="0" f="v">
      <t c="6" si="614">
        <n x="610"/>
        <n x="253"/>
        <n x="254"/>
        <n x="800" s="1"/>
        <n x="707"/>
        <n x="708"/>
      </t>
    </mdx>
    <mdx n="0" f="v">
      <t c="6" si="614">
        <n x="610"/>
        <n x="717"/>
        <n x="718"/>
        <n x="800" s="1"/>
        <n x="707"/>
        <n x="708"/>
      </t>
    </mdx>
    <mdx n="0" f="v">
      <t c="6" si="614">
        <n x="610"/>
        <n x="391"/>
        <n x="392"/>
        <n x="800" s="1"/>
        <n x="707"/>
        <n x="708"/>
      </t>
    </mdx>
    <mdx n="0" f="v">
      <t c="6" si="614">
        <n x="610"/>
        <n x="461"/>
        <n x="462"/>
        <n x="800" s="1"/>
        <n x="707"/>
        <n x="708"/>
      </t>
    </mdx>
    <mdx n="0" f="v">
      <t c="6" si="614">
        <n x="610"/>
        <n x="457"/>
        <n x="458"/>
        <n x="800" s="1"/>
        <n x="707"/>
        <n x="708"/>
      </t>
    </mdx>
    <mdx n="0" f="v">
      <t c="6" si="614">
        <n x="610"/>
        <n x="367"/>
        <n x="368"/>
        <n x="800" s="1"/>
        <n x="707"/>
        <n x="708"/>
      </t>
    </mdx>
    <mdx n="0" f="v">
      <t c="6" si="614">
        <n x="610"/>
        <n x="413"/>
        <n x="414"/>
        <n x="800" s="1"/>
        <n x="707"/>
        <n x="708"/>
      </t>
    </mdx>
    <mdx n="0" f="v">
      <t c="6" si="614">
        <n x="610"/>
        <n x="387"/>
        <n x="388"/>
        <n x="800" s="1"/>
        <n x="707"/>
        <n x="708"/>
      </t>
    </mdx>
    <mdx n="0" f="v">
      <t c="6" si="614">
        <n x="610"/>
        <n x="737"/>
        <n x="738"/>
        <n x="800" s="1"/>
        <n x="707"/>
        <n x="708"/>
      </t>
    </mdx>
    <mdx n="0" f="v">
      <t c="6" si="614">
        <n x="610"/>
        <n x="433"/>
        <n x="434"/>
        <n x="800" s="1"/>
        <n x="707"/>
        <n x="708"/>
      </t>
    </mdx>
    <mdx n="0" f="v">
      <t c="6" si="614">
        <n x="610"/>
        <n x="447"/>
        <n x="448"/>
        <n x="800" s="1"/>
        <n x="707"/>
        <n x="708"/>
      </t>
    </mdx>
    <mdx n="0" f="v">
      <t c="6" si="614">
        <n x="610"/>
        <n x="321"/>
        <n x="322"/>
        <n x="800" s="1"/>
        <n x="707"/>
        <n x="708"/>
      </t>
    </mdx>
    <mdx n="0" f="v">
      <t c="6" si="614">
        <n x="610"/>
        <n x="761"/>
        <n x="762"/>
        <n x="800" s="1"/>
        <n x="707"/>
        <n x="708"/>
      </t>
    </mdx>
    <mdx n="0" f="v">
      <t c="6" si="614">
        <n x="610"/>
        <n x="255"/>
        <n x="256"/>
        <n x="800" s="1"/>
        <n x="707"/>
        <n x="708"/>
      </t>
    </mdx>
    <mdx n="0" f="v">
      <t c="6" si="614">
        <n x="610"/>
        <n x="763"/>
        <n x="764"/>
        <n x="800" s="1"/>
        <n x="707"/>
        <n x="708"/>
      </t>
    </mdx>
    <mdx n="0" f="v">
      <t c="6" si="614">
        <n x="610"/>
        <n x="773"/>
        <n x="774"/>
        <n x="800" s="1"/>
        <n x="707"/>
        <n x="708"/>
      </t>
    </mdx>
    <mdx n="0" f="v">
      <t c="6" si="614">
        <n x="610"/>
        <n x="583"/>
        <n x="584"/>
        <n x="800" s="1"/>
        <n x="707"/>
        <n x="708"/>
      </t>
    </mdx>
    <mdx n="0" f="v">
      <t c="6" si="614">
        <n x="610"/>
        <n x="575"/>
        <n x="312"/>
        <n x="800" s="1"/>
        <n x="707"/>
        <n x="708"/>
      </t>
    </mdx>
    <mdx n="0" f="v">
      <t c="6" si="614">
        <n x="610"/>
        <n x="575"/>
        <n x="576"/>
        <n x="800" s="1"/>
        <n x="707"/>
        <n x="708"/>
      </t>
    </mdx>
    <mdx n="0" f="v">
      <t c="6" si="614">
        <n x="610"/>
        <n x="793"/>
        <n x="314"/>
        <n x="800" s="1"/>
        <n x="707"/>
        <n x="708"/>
      </t>
    </mdx>
    <mdx n="0" f="v">
      <t c="6" si="614">
        <n x="610"/>
        <n x="571"/>
        <n x="572"/>
        <n x="800" s="1"/>
        <n x="707"/>
        <n x="708"/>
      </t>
    </mdx>
    <mdx n="0" f="v">
      <t c="6" si="614">
        <n x="610"/>
        <n x="267"/>
        <n x="268"/>
        <n x="800" s="1"/>
        <n x="707"/>
        <n x="708"/>
      </t>
    </mdx>
    <mdx n="0" f="v">
      <t c="6" si="614">
        <n x="610"/>
        <n x="599"/>
        <n x="600"/>
        <n x="800" s="1"/>
        <n x="707"/>
        <n x="708"/>
      </t>
    </mdx>
    <mdx n="0" f="v">
      <t c="6" si="614">
        <n x="610"/>
        <n x="397"/>
        <n x="398"/>
        <n x="800" s="1"/>
        <n x="707"/>
        <n x="708"/>
      </t>
    </mdx>
    <mdx n="0" f="v">
      <t c="6" si="614">
        <n x="610"/>
        <n x="231"/>
        <n x="232"/>
        <n x="800" s="1"/>
        <n x="707"/>
        <n x="708"/>
      </t>
    </mdx>
    <mdx n="0" f="v">
      <t c="6" si="614">
        <n x="610"/>
        <n x="607"/>
        <n x="608"/>
        <n x="800" s="1"/>
        <n x="707"/>
        <n x="708"/>
      </t>
    </mdx>
    <mdx n="0" f="v">
      <t c="6" si="614">
        <n x="610"/>
        <n x="235"/>
        <n x="236"/>
        <n x="800" s="1"/>
        <n x="707"/>
        <n x="708"/>
      </t>
    </mdx>
    <mdx n="0" f="v">
      <t c="6" si="614">
        <n x="610"/>
        <n x="585"/>
        <n x="586"/>
        <n x="800" s="1"/>
        <n x="707"/>
        <n x="708"/>
      </t>
    </mdx>
    <mdx n="0" f="v">
      <t c="6" si="614">
        <n x="610"/>
        <n x="589"/>
        <n x="590"/>
        <n x="800" s="1"/>
        <n x="707"/>
        <n x="708"/>
      </t>
    </mdx>
    <mdx n="0" f="v">
      <t c="6" si="614">
        <n x="610"/>
        <n x="745"/>
        <n x="746"/>
        <n x="800" s="1"/>
        <n x="707"/>
        <n x="708"/>
      </t>
    </mdx>
    <mdx n="0" f="v">
      <t c="6" si="614">
        <n x="610"/>
        <n x="259"/>
        <n x="260"/>
        <n x="800" s="1"/>
        <n x="707"/>
        <n x="708"/>
      </t>
    </mdx>
    <mdx n="0" f="v">
      <t c="6" si="614">
        <n x="610"/>
        <n x="593"/>
        <n x="594"/>
        <n x="800" s="1"/>
        <n x="707"/>
        <n x="708"/>
      </t>
    </mdx>
    <mdx n="0" f="v">
      <t c="6" si="614">
        <n x="610"/>
        <n x="349"/>
        <n x="350"/>
        <n x="800" s="1"/>
        <n x="707"/>
        <n x="708"/>
      </t>
    </mdx>
    <mdx n="0" f="v">
      <t c="6" si="614">
        <n x="610"/>
        <n x="349"/>
        <n x="350"/>
        <n x="800" s="1"/>
        <n x="707"/>
        <n x="708"/>
      </t>
    </mdx>
    <mdx n="0" f="v">
      <t c="6" si="614">
        <n x="610"/>
        <n x="779"/>
        <n x="776"/>
        <n x="800" s="1"/>
        <n x="707"/>
        <n x="708"/>
      </t>
    </mdx>
    <mdx n="0" f="v">
      <t c="6" si="614">
        <n x="610"/>
        <n x="779"/>
        <n x="780"/>
        <n x="800" s="1"/>
        <n x="707"/>
        <n x="708"/>
      </t>
    </mdx>
    <mdx n="0" f="v">
      <t c="6" si="614">
        <n x="610"/>
        <n x="531"/>
        <n x="532"/>
        <n x="800" s="1"/>
        <n x="707"/>
        <n x="708"/>
      </t>
    </mdx>
    <mdx n="0" f="v">
      <t c="6" si="614">
        <n x="610"/>
        <n x="351"/>
        <n x="352"/>
        <n x="800" s="1"/>
        <n x="707"/>
        <n x="708"/>
      </t>
    </mdx>
    <mdx n="0" f="v">
      <t c="6" si="614">
        <n x="610"/>
        <n x="305"/>
        <n x="306"/>
        <n x="800" s="1"/>
        <n x="707"/>
        <n x="708"/>
      </t>
    </mdx>
    <mdx n="0" f="v">
      <t c="6" si="614">
        <n x="610"/>
        <n x="305"/>
        <n x="306"/>
        <n x="800" s="1"/>
        <n x="707"/>
        <n x="708"/>
      </t>
    </mdx>
    <mdx n="0" f="v">
      <t c="6" si="614">
        <n x="610"/>
        <n x="337"/>
        <n x="338"/>
        <n x="800" s="1"/>
        <n x="707"/>
        <n x="708"/>
      </t>
    </mdx>
    <mdx n="0" f="v">
      <t c="6" si="614">
        <n x="610"/>
        <n x="425"/>
        <n x="426"/>
        <n x="800" s="1"/>
        <n x="707"/>
        <n x="708"/>
      </t>
    </mdx>
    <mdx n="0" f="v">
      <t c="6" si="614">
        <n x="610"/>
        <n x="713"/>
        <n x="714"/>
        <n x="800" s="1"/>
        <n x="705"/>
        <n x="706"/>
      </t>
    </mdx>
    <mdx n="0" f="v">
      <t c="6" si="614">
        <n x="610"/>
        <n x="599"/>
        <n x="600"/>
        <n x="800" s="1"/>
        <n x="705"/>
        <n x="706"/>
      </t>
    </mdx>
    <mdx n="0" f="v">
      <t c="6" si="614">
        <n x="610"/>
        <n x="585"/>
        <n x="586"/>
        <n x="800" s="1"/>
        <n x="705"/>
        <n x="706"/>
      </t>
    </mdx>
    <mdx n="0" f="v">
      <t c="6" si="614">
        <n x="610"/>
        <n x="397"/>
        <n x="398"/>
        <n x="800" s="1"/>
        <n x="705"/>
        <n x="706"/>
      </t>
    </mdx>
    <mdx n="0" f="v">
      <t c="6" si="614">
        <n x="610"/>
        <n x="231"/>
        <n x="232"/>
        <n x="800" s="1"/>
        <n x="705"/>
        <n x="706"/>
      </t>
    </mdx>
    <mdx n="0" f="v">
      <t c="6" si="614">
        <n x="610"/>
        <n x="555"/>
        <n x="556"/>
        <n x="800" s="1"/>
        <n x="705"/>
        <n x="706"/>
      </t>
    </mdx>
    <mdx n="0" f="v">
      <t c="6" si="614">
        <n x="610"/>
        <n x="607"/>
        <n x="608"/>
        <n x="800" s="1"/>
        <n x="705"/>
        <n x="706"/>
      </t>
    </mdx>
    <mdx n="0" f="v">
      <t c="6" si="614">
        <n x="610"/>
        <n x="235"/>
        <n x="236"/>
        <n x="800" s="1"/>
        <n x="705"/>
        <n x="706"/>
      </t>
    </mdx>
    <mdx n="0" f="v">
      <t c="6" si="614">
        <n x="610"/>
        <n x="735"/>
        <n x="736"/>
        <n x="800" s="1"/>
        <n x="705"/>
        <n x="706"/>
      </t>
    </mdx>
    <mdx n="0" f="v">
      <t c="6" si="614">
        <n x="610"/>
        <n x="257"/>
        <n x="258"/>
        <n x="800" s="1"/>
        <n x="705"/>
        <n x="706"/>
      </t>
    </mdx>
    <mdx n="0" f="v">
      <t c="6" si="614">
        <n x="610"/>
        <n x="739"/>
        <n x="740"/>
        <n x="800" s="1"/>
        <n x="705"/>
        <n x="706"/>
      </t>
    </mdx>
    <mdx n="0" f="v">
      <t c="6" si="614">
        <n x="610"/>
        <n x="537"/>
        <n x="538"/>
        <n x="800" s="1"/>
        <n x="705"/>
        <n x="706"/>
      </t>
    </mdx>
    <mdx n="0" f="v">
      <t c="6" si="614">
        <n x="610"/>
        <n x="589"/>
        <n x="590"/>
        <n x="800" s="1"/>
        <n x="705"/>
        <n x="706"/>
      </t>
    </mdx>
    <mdx n="0" f="v">
      <t c="6" si="614">
        <n x="610"/>
        <n x="745"/>
        <n x="746"/>
        <n x="800" s="1"/>
        <n x="705"/>
        <n x="706"/>
      </t>
    </mdx>
    <mdx n="0" f="v">
      <t c="6" si="614">
        <n x="610"/>
        <n x="259"/>
        <n x="260"/>
        <n x="800" s="1"/>
        <n x="705"/>
        <n x="706"/>
      </t>
    </mdx>
    <mdx n="0" f="v">
      <t c="6" si="614">
        <n x="610"/>
        <n x="593"/>
        <n x="594"/>
        <n x="800" s="1"/>
        <n x="705"/>
        <n x="706"/>
      </t>
    </mdx>
    <mdx n="0" f="v">
      <t c="6" si="614">
        <n x="610"/>
        <n x="223"/>
        <n x="224"/>
        <n x="800" s="1"/>
        <n x="705"/>
        <n x="706"/>
      </t>
    </mdx>
    <mdx n="0" f="v">
      <t c="6" si="614">
        <n x="610"/>
        <n x="577"/>
        <n x="578"/>
        <n x="800" s="1"/>
        <n x="705"/>
        <n x="706"/>
      </t>
    </mdx>
    <mdx n="0" f="v">
      <t c="6" si="614">
        <n x="610"/>
        <n x="361"/>
        <n x="362"/>
        <n x="800" s="1"/>
        <n x="705"/>
        <n x="706"/>
      </t>
    </mdx>
    <mdx n="0" f="v">
      <t c="6" si="614">
        <n x="610"/>
        <n x="325"/>
        <n x="326"/>
        <n x="800" s="1"/>
        <n x="705"/>
        <n x="706"/>
      </t>
    </mdx>
    <mdx n="0" f="v">
      <t c="6" si="614">
        <n x="610"/>
        <n x="507"/>
        <n x="508"/>
        <n x="800" s="1"/>
        <n x="705"/>
        <n x="706"/>
      </t>
    </mdx>
    <mdx n="0" f="v">
      <t c="6" si="614">
        <n x="610"/>
        <n x="349"/>
        <n x="350"/>
        <n x="800" s="1"/>
        <n x="705"/>
        <n x="706"/>
      </t>
    </mdx>
    <mdx n="0" f="v">
      <t c="6" si="614">
        <n x="610"/>
        <n x="411"/>
        <n x="412"/>
        <n x="800" s="1"/>
        <n x="705"/>
        <n x="706"/>
      </t>
    </mdx>
    <mdx n="0" f="v">
      <t c="6" si="614">
        <n x="610"/>
        <n x="771"/>
        <n x="772"/>
        <n x="800" s="1"/>
        <n x="705"/>
        <n x="706"/>
      </t>
    </mdx>
    <mdx n="0" f="v">
      <t c="6" si="614">
        <n x="610"/>
        <n x="775"/>
        <n x="776"/>
        <n x="800" s="1"/>
        <n x="705"/>
        <n x="706"/>
      </t>
    </mdx>
    <mdx n="0" f="v">
      <t c="6" si="614">
        <n x="610"/>
        <n x="779"/>
        <n x="780"/>
        <n x="800" s="1"/>
        <n x="705"/>
        <n x="706"/>
      </t>
    </mdx>
    <mdx n="0" f="v">
      <t c="6" si="614">
        <n x="610"/>
        <n x="783"/>
        <n x="784"/>
        <n x="800" s="1"/>
        <n x="705"/>
        <n x="706"/>
      </t>
    </mdx>
    <mdx n="0" f="v">
      <t c="6" si="614">
        <n x="610"/>
        <n x="531"/>
        <n x="532"/>
        <n x="800" s="1"/>
        <n x="705"/>
        <n x="706"/>
      </t>
    </mdx>
    <mdx n="0" f="v">
      <t c="6" si="614">
        <n x="610"/>
        <n x="451"/>
        <n x="452"/>
        <n x="800" s="1"/>
        <n x="705"/>
        <n x="706"/>
      </t>
    </mdx>
    <mdx n="0" f="v">
      <t c="6" si="614">
        <n x="610"/>
        <n x="351"/>
        <n x="352"/>
        <n x="800" s="1"/>
        <n x="705"/>
        <n x="706"/>
      </t>
    </mdx>
    <mdx n="0" f="v">
      <t c="6" si="614">
        <n x="610"/>
        <n x="795"/>
        <n x="796"/>
        <n x="800" s="1"/>
        <n x="705"/>
        <n x="706"/>
      </t>
    </mdx>
    <mdx n="0" f="v">
      <t c="6" si="614">
        <n x="610"/>
        <n x="305"/>
        <n x="306"/>
        <n x="800" s="1"/>
        <n x="705"/>
        <n x="706"/>
      </t>
    </mdx>
    <mdx n="0" f="v">
      <t c="6" si="614">
        <n x="610"/>
        <n x="373"/>
        <n x="374"/>
        <n x="800" s="1"/>
        <n x="705"/>
        <n x="706"/>
      </t>
    </mdx>
    <mdx n="0" f="v">
      <t c="6" si="614">
        <n x="610"/>
        <n x="803"/>
        <n x="804"/>
        <n x="800" s="1"/>
        <n x="705"/>
        <n x="706"/>
      </t>
    </mdx>
    <mdx n="0" f="v">
      <t c="6" si="614">
        <n x="610"/>
        <n x="337"/>
        <n x="338"/>
        <n x="800" s="1"/>
        <n x="705"/>
        <n x="706"/>
      </t>
    </mdx>
    <mdx n="0" f="v">
      <t c="6" si="614">
        <n x="610"/>
        <n x="425"/>
        <n x="426"/>
        <n x="800" s="1"/>
        <n x="705"/>
        <n x="706"/>
      </t>
    </mdx>
    <mdx n="0" f="v">
      <t c="6" si="614">
        <n x="610"/>
        <n x="369"/>
        <n x="370"/>
        <n x="800" s="1"/>
        <n x="705"/>
        <n x="706"/>
      </t>
    </mdx>
    <mdx n="0" f="v">
      <t c="6" si="614">
        <n x="610"/>
        <n x="711"/>
        <n x="712"/>
        <n x="800" s="1"/>
        <n x="705"/>
        <n x="706"/>
      </t>
    </mdx>
    <mdx n="0" f="v">
      <t c="6" si="614">
        <n x="610"/>
        <n x="217"/>
        <n x="218"/>
        <n x="800" s="1"/>
        <n x="705"/>
        <n x="706"/>
      </t>
    </mdx>
    <mdx n="0" f="v">
      <t c="6" si="614">
        <n x="610"/>
        <n x="721"/>
        <n x="722"/>
        <n x="800" s="1"/>
        <n x="705"/>
        <n x="706"/>
      </t>
    </mdx>
    <mdx n="0" f="v">
      <t c="6" si="614">
        <n x="610"/>
        <n x="379"/>
        <n x="380"/>
        <n x="800" s="1"/>
        <n x="705"/>
        <n x="706"/>
      </t>
    </mdx>
    <mdx n="0" f="v">
      <t c="6" si="614">
        <n x="610"/>
        <n x="459"/>
        <n x="460"/>
        <n x="800" s="1"/>
        <n x="705"/>
        <n x="706"/>
      </t>
    </mdx>
    <mdx n="0" f="v">
      <t c="6" si="614">
        <n x="610"/>
        <n x="601"/>
        <n x="602"/>
        <n x="800" s="1"/>
        <n x="705"/>
        <n x="706"/>
      </t>
    </mdx>
    <mdx n="0" f="v">
      <t c="6" si="614">
        <n x="610"/>
        <n x="237"/>
        <n x="238"/>
        <n x="800" s="1"/>
        <n x="705"/>
        <n x="706"/>
      </t>
    </mdx>
    <mdx n="0" f="v">
      <t c="6" si="614">
        <n x="610"/>
        <n x="453"/>
        <n x="454"/>
        <n x="800" s="1"/>
        <n x="705"/>
        <n x="706"/>
      </t>
    </mdx>
    <mdx n="0" f="v">
      <t c="6" si="614">
        <n x="610"/>
        <n x="733"/>
        <n x="734"/>
        <n x="800" s="1"/>
        <n x="705"/>
        <n x="706"/>
      </t>
    </mdx>
    <mdx n="0" f="v">
      <t c="6" si="614">
        <n x="610"/>
        <n x="283"/>
        <n x="284"/>
        <n x="800" s="1"/>
        <n x="705"/>
        <n x="706"/>
      </t>
    </mdx>
    <mdx n="0" f="v">
      <t c="6" si="614">
        <n x="610"/>
        <n x="319"/>
        <n x="320"/>
        <n x="800" s="1"/>
        <n x="705"/>
        <n x="706"/>
      </t>
    </mdx>
    <mdx n="0" f="v">
      <t c="6" si="614">
        <n x="610"/>
        <n x="741"/>
        <n x="742"/>
        <n x="800" s="1"/>
        <n x="705"/>
        <n x="706"/>
      </t>
    </mdx>
    <mdx n="0" f="v">
      <t c="6" si="614">
        <n x="610"/>
        <n x="393"/>
        <n x="394"/>
        <n x="800" s="1"/>
        <n x="705"/>
        <n x="706"/>
      </t>
    </mdx>
    <mdx n="0" f="v">
      <t c="6" si="614">
        <n x="610"/>
        <n x="295"/>
        <n x="296"/>
        <n x="800" s="1"/>
        <n x="705"/>
        <n x="706"/>
      </t>
    </mdx>
    <mdx n="0" f="v">
      <t c="6" si="614">
        <n x="610"/>
        <n x="299"/>
        <n x="300"/>
        <n x="800" s="1"/>
        <n x="705"/>
        <n x="706"/>
      </t>
    </mdx>
    <mdx n="0" f="v">
      <t c="6" si="614">
        <n x="610"/>
        <n x="229"/>
        <n x="230"/>
        <n x="800" s="1"/>
        <n x="705"/>
        <n x="706"/>
      </t>
    </mdx>
    <mdx n="0" f="v">
      <t c="6" si="614">
        <n x="610"/>
        <n x="339"/>
        <n x="340"/>
        <n x="800" s="1"/>
        <n x="705"/>
        <n x="706"/>
      </t>
    </mdx>
    <mdx n="0" f="v">
      <t c="6" si="614">
        <n x="610"/>
        <n x="399"/>
        <n x="400"/>
        <n x="800" s="1"/>
        <n x="705"/>
        <n x="706"/>
      </t>
    </mdx>
    <mdx n="0" f="v">
      <t c="6" si="614">
        <n x="610"/>
        <n x="551"/>
        <n x="552"/>
        <n x="800" s="1"/>
        <n x="705"/>
        <n x="706"/>
      </t>
    </mdx>
    <mdx n="0" f="v">
      <t c="6" si="614">
        <n x="610"/>
        <n x="409"/>
        <n x="410"/>
        <n x="800" s="1"/>
        <n x="705"/>
        <n x="706"/>
      </t>
    </mdx>
    <mdx n="0" f="v">
      <t c="6" si="614">
        <n x="610"/>
        <n x="469"/>
        <n x="470"/>
        <n x="800" s="1"/>
        <n x="705"/>
        <n x="706"/>
      </t>
    </mdx>
    <mdx n="0" f="v">
      <t c="6" si="614">
        <n x="610"/>
        <n x="539"/>
        <n x="540"/>
        <n x="800" s="1"/>
        <n x="705"/>
        <n x="706"/>
      </t>
    </mdx>
    <mdx n="0" f="v">
      <t c="6" si="614">
        <n x="610"/>
        <n x="767"/>
        <n x="768"/>
        <n x="800" s="1"/>
        <n x="705"/>
        <n x="706"/>
      </t>
    </mdx>
    <mdx n="0" f="v">
      <t c="6" si="614">
        <n x="610"/>
        <n x="485"/>
        <n x="486"/>
        <n x="800" s="1"/>
        <n x="705"/>
        <n x="706"/>
      </t>
    </mdx>
    <mdx n="0" f="v">
      <t c="6" si="614">
        <n x="610"/>
        <n x="777"/>
        <n x="778"/>
        <n x="800" s="1"/>
        <n x="705"/>
        <n x="706"/>
      </t>
    </mdx>
    <mdx n="0" f="v">
      <t c="6" si="614">
        <n x="610"/>
        <n x="269"/>
        <n x="270"/>
        <n x="800" s="1"/>
        <n x="705"/>
        <n x="706"/>
      </t>
    </mdx>
    <mdx n="0" f="v">
      <t c="6" si="614">
        <n x="610"/>
        <n x="535"/>
        <n x="536"/>
        <n x="800" s="1"/>
        <n x="705"/>
        <n x="706"/>
      </t>
    </mdx>
    <mdx n="0" f="v">
      <t c="6" si="614">
        <n x="610"/>
        <n x="565"/>
        <n x="566"/>
        <n x="800" s="1"/>
        <n x="705"/>
        <n x="706"/>
      </t>
    </mdx>
    <mdx n="0" f="v">
      <t c="6" si="614">
        <n x="610"/>
        <n x="473"/>
        <n x="474"/>
        <n x="800" s="1"/>
        <n x="705"/>
        <n x="706"/>
      </t>
    </mdx>
    <mdx n="0" f="v">
      <t c="6" si="614">
        <n x="610"/>
        <n x="213"/>
        <n x="214"/>
        <n x="800" s="1"/>
        <n x="705"/>
        <n x="706"/>
      </t>
    </mdx>
    <mdx n="0" f="v">
      <t c="6" si="614">
        <n x="610"/>
        <n x="465"/>
        <n x="466"/>
        <n x="800" s="1"/>
        <n x="705"/>
        <n x="706"/>
      </t>
    </mdx>
    <mdx n="0" f="v">
      <t c="6" si="614">
        <n x="610"/>
        <n x="563"/>
        <n x="564"/>
        <n x="800" s="1"/>
        <n x="705"/>
        <n x="706"/>
      </t>
    </mdx>
    <mdx n="0" f="v">
      <t c="6" si="614">
        <n x="610"/>
        <n x="329"/>
        <n x="330"/>
        <n x="800" s="1"/>
        <n x="705"/>
        <n x="706"/>
      </t>
    </mdx>
    <mdx n="0" f="v">
      <t c="6" si="614">
        <n x="610"/>
        <n x="587"/>
        <n x="588"/>
        <n x="800" s="1"/>
        <n x="705"/>
        <n x="706"/>
      </t>
    </mdx>
    <mdx n="0" f="v">
      <t c="6" si="614">
        <n x="610"/>
        <n x="323"/>
        <n x="324"/>
        <n x="800" s="1"/>
        <n x="705"/>
        <n x="706"/>
      </t>
    </mdx>
    <mdx n="0" f="v">
      <t c="6" si="614">
        <n x="610"/>
        <n x="559"/>
        <n x="560"/>
        <n x="800" s="1"/>
        <n x="705"/>
        <n x="706"/>
      </t>
    </mdx>
    <mdx n="0" f="v">
      <t c="6" si="614">
        <n x="610"/>
        <n x="371"/>
        <n x="372"/>
        <n x="800" s="1"/>
        <n x="705"/>
        <n x="706"/>
      </t>
    </mdx>
    <mdx n="0" f="v">
      <t c="6" si="614">
        <n x="610"/>
        <n x="605"/>
        <n x="606"/>
        <n x="800" s="1"/>
        <n x="705"/>
        <n x="706"/>
      </t>
    </mdx>
    <mdx n="0" f="v">
      <t c="6" si="614">
        <n x="610"/>
        <n x="285"/>
        <n x="286"/>
        <n x="800" s="1"/>
        <n x="705"/>
        <n x="706"/>
      </t>
    </mdx>
    <mdx n="0" f="v">
      <t c="6" si="614">
        <n x="610"/>
        <n x="239"/>
        <n x="240"/>
        <n x="800" s="1"/>
        <n x="705"/>
        <n x="706"/>
      </t>
    </mdx>
    <mdx n="0" f="v">
      <t c="6" si="614">
        <n x="610"/>
        <n x="547"/>
        <n x="548"/>
        <n x="800" s="1"/>
        <n x="705"/>
        <n x="706"/>
      </t>
    </mdx>
    <mdx n="0" f="v">
      <t c="6" si="614">
        <n x="610"/>
        <n x="557"/>
        <n x="558"/>
        <n x="800" s="1"/>
        <n x="705"/>
        <n x="706"/>
      </t>
    </mdx>
    <mdx n="0" f="v">
      <t c="6" si="614">
        <n x="610"/>
        <n x="495"/>
        <n x="496"/>
        <n x="800" s="1"/>
        <n x="705"/>
        <n x="706"/>
      </t>
    </mdx>
    <mdx n="0" f="v">
      <t c="6" si="614">
        <n x="610"/>
        <n x="363"/>
        <n x="364"/>
        <n x="800" s="1"/>
        <n x="705"/>
        <n x="706"/>
      </t>
    </mdx>
    <mdx n="0" f="v">
      <t c="6" si="614">
        <n x="610"/>
        <n x="281"/>
        <n x="282"/>
        <n x="800" s="1"/>
        <n x="705"/>
        <n x="706"/>
      </t>
    </mdx>
    <mdx n="0" f="v">
      <t c="6" si="614">
        <n x="610"/>
        <n x="401"/>
        <n x="278"/>
        <n x="800" s="1"/>
        <n x="705"/>
        <n x="706"/>
      </t>
    </mdx>
    <mdx n="0" f="v">
      <t c="6" si="614">
        <n x="610"/>
        <n x="401"/>
        <n x="402"/>
        <n x="800" s="1"/>
        <n x="705"/>
        <n x="706"/>
      </t>
    </mdx>
    <mdx n="0" f="v">
      <t c="6" si="614">
        <n x="610"/>
        <n x="435"/>
        <n x="436"/>
        <n x="800" s="1"/>
        <n x="705"/>
        <n x="706"/>
      </t>
    </mdx>
    <mdx n="0" f="v">
      <t c="6" si="614">
        <n x="610"/>
        <n x="743"/>
        <n x="744"/>
        <n x="800" s="1"/>
        <n x="705"/>
        <n x="706"/>
      </t>
    </mdx>
    <mdx n="0" f="v">
      <t c="6" si="614">
        <n x="610"/>
        <n x="437"/>
        <n x="438"/>
        <n x="800" s="1"/>
        <n x="705"/>
        <n x="706"/>
      </t>
    </mdx>
    <mdx n="0" f="v">
      <t c="6" si="614">
        <n x="610"/>
        <n x="747"/>
        <n x="748"/>
        <n x="800" s="1"/>
        <n x="705"/>
        <n x="706"/>
      </t>
    </mdx>
    <mdx n="0" f="v">
      <t c="6" si="614">
        <n x="610"/>
        <n x="749"/>
        <n x="750"/>
        <n x="800" s="1"/>
        <n x="705"/>
        <n x="706"/>
      </t>
    </mdx>
    <mdx n="0" f="v">
      <t c="6" si="614">
        <n x="610"/>
        <n x="751"/>
        <n x="752"/>
        <n x="800" s="1"/>
        <n x="705"/>
        <n x="706"/>
      </t>
    </mdx>
    <mdx n="0" f="v">
      <t c="6" si="614">
        <n x="610"/>
        <n x="471"/>
        <n x="472"/>
        <n x="800" s="1"/>
        <n x="705"/>
        <n x="706"/>
      </t>
    </mdx>
    <mdx n="0" f="v">
      <t c="6" si="614">
        <n x="610"/>
        <n x="233"/>
        <n x="234"/>
        <n x="800" s="1"/>
        <n x="705"/>
        <n x="706"/>
      </t>
    </mdx>
    <mdx n="0" f="v">
      <t c="6" si="614">
        <n x="610"/>
        <n x="273"/>
        <n x="274"/>
        <n x="800" s="1"/>
        <n x="705"/>
        <n x="706"/>
      </t>
    </mdx>
    <mdx n="0" f="v">
      <t c="6" si="614">
        <n x="610"/>
        <n x="553"/>
        <n x="554"/>
        <n x="800" s="1"/>
        <n x="705"/>
        <n x="706"/>
      </t>
    </mdx>
    <mdx n="0" f="v">
      <t c="6" si="614">
        <n x="610"/>
        <n x="765"/>
        <n x="248"/>
        <n x="800" s="1"/>
        <n x="705"/>
        <n x="706"/>
      </t>
    </mdx>
    <mdx n="0" f="v">
      <t c="6" si="614">
        <n x="610"/>
        <n x="765"/>
        <n x="766"/>
        <n x="800" s="1"/>
        <n x="705"/>
        <n x="706"/>
      </t>
    </mdx>
    <mdx n="0" f="v">
      <t c="6" si="614">
        <n x="610"/>
        <n x="315"/>
        <n x="316"/>
        <n x="800" s="1"/>
        <n x="705"/>
        <n x="706"/>
      </t>
    </mdx>
    <mdx n="0" f="v">
      <t c="6" si="614">
        <n x="610"/>
        <n x="293"/>
        <n x="294"/>
        <n x="800" s="1"/>
        <n x="705"/>
        <n x="706"/>
      </t>
    </mdx>
    <mdx n="0" f="v">
      <t c="6" si="614">
        <n x="610"/>
        <n x="357"/>
        <n x="358"/>
        <n x="800" s="1"/>
        <n x="705"/>
        <n x="706"/>
      </t>
    </mdx>
    <mdx n="0" f="v">
      <t c="6" si="614">
        <n x="610"/>
        <n x="533"/>
        <n x="534"/>
        <n x="800" s="1"/>
        <n x="705"/>
        <n x="706"/>
      </t>
    </mdx>
    <mdx n="0" f="v">
      <t c="6" si="614">
        <n x="610"/>
        <n x="355"/>
        <n x="356"/>
        <n x="800" s="1"/>
        <n x="705"/>
        <n x="706"/>
      </t>
    </mdx>
    <mdx n="0" f="v">
      <t c="6" si="614">
        <n x="610"/>
        <n x="581"/>
        <n x="582"/>
        <n x="800" s="1"/>
        <n x="705"/>
        <n x="706"/>
      </t>
    </mdx>
    <mdx n="0" f="v">
      <t c="6" si="614">
        <n x="610"/>
        <n x="521"/>
        <n x="522"/>
        <n x="800" s="1"/>
        <n x="705"/>
        <n x="706"/>
      </t>
    </mdx>
    <mdx n="0" f="v">
      <t c="6" si="614">
        <n x="610"/>
        <n x="523"/>
        <n x="524"/>
        <n x="800" s="1"/>
        <n x="705"/>
        <n x="706"/>
      </t>
    </mdx>
    <mdx n="0" f="v">
      <t c="6" si="614">
        <n x="610"/>
        <n x="303"/>
        <n x="792"/>
        <n x="800" s="1"/>
        <n x="705"/>
        <n x="706"/>
      </t>
    </mdx>
    <mdx n="0" f="v">
      <t c="6" si="614">
        <n x="610"/>
        <n x="303"/>
        <n x="304"/>
        <n x="800" s="1"/>
        <n x="705"/>
        <n x="706"/>
      </t>
    </mdx>
    <mdx n="0" f="v">
      <t c="6" si="614">
        <n x="610"/>
        <n x="449"/>
        <n x="450"/>
        <n x="800" s="1"/>
        <n x="705"/>
        <n x="706"/>
      </t>
    </mdx>
    <mdx n="0" f="v">
      <t c="6" si="614">
        <n x="610"/>
        <n x="449"/>
        <n x="450"/>
        <n x="800" s="1"/>
        <n x="705"/>
        <n x="706"/>
      </t>
    </mdx>
    <mdx n="0" f="v">
      <t c="6" si="614">
        <n x="610"/>
        <n x="497"/>
        <n x="498"/>
        <n x="800" s="1"/>
        <n x="705"/>
        <n x="706"/>
      </t>
    </mdx>
    <mdx n="0" f="v">
      <t c="6" si="614">
        <n x="610"/>
        <n x="497"/>
        <n x="498"/>
        <n x="800" s="1"/>
        <n x="705"/>
        <n x="706"/>
      </t>
    </mdx>
    <mdx n="0" f="v">
      <t c="6" si="614">
        <n x="610"/>
        <n x="519"/>
        <n x="520"/>
        <n x="800" s="1"/>
        <n x="705"/>
        <n x="706"/>
      </t>
    </mdx>
    <mdx n="0" f="v">
      <t c="6" si="614">
        <n x="610"/>
        <n x="805"/>
        <n x="806"/>
        <n x="800" s="1"/>
        <n x="705"/>
        <n x="706"/>
      </t>
    </mdx>
    <mdx n="0" f="v">
      <t c="6" si="614">
        <n x="610"/>
        <n x="715"/>
        <n x="716"/>
        <n x="800" s="1"/>
        <n x="705"/>
        <n x="706"/>
      </t>
    </mdx>
    <mdx n="0" f="v">
      <t c="6" si="614">
        <n x="610"/>
        <n x="463"/>
        <n x="464"/>
        <n x="800" s="1"/>
        <n x="705"/>
        <n x="706"/>
      </t>
    </mdx>
    <mdx n="0" f="v">
      <t c="6" si="614">
        <n x="610"/>
        <n x="365"/>
        <n x="366"/>
        <n x="800" s="1"/>
        <n x="705"/>
        <n x="706"/>
      </t>
    </mdx>
    <mdx n="0" f="v">
      <t c="6" si="614">
        <n x="610"/>
        <n x="597"/>
        <n x="598"/>
        <n x="800" s="1"/>
        <n x="705"/>
        <n x="706"/>
      </t>
    </mdx>
    <mdx n="0" f="v">
      <t c="6" si="614">
        <n x="610"/>
        <n x="727"/>
        <n x="728"/>
        <n x="800" s="1"/>
        <n x="705"/>
        <n x="706"/>
      </t>
    </mdx>
    <mdx n="0" f="v">
      <t c="6" si="614">
        <n x="610"/>
        <n x="731"/>
        <n x="732"/>
        <n x="800" s="1"/>
        <n x="705"/>
        <n x="706"/>
      </t>
    </mdx>
    <mdx n="0" f="v">
      <t c="6" si="614">
        <n x="610"/>
        <n x="265"/>
        <n x="266"/>
        <n x="800" s="1"/>
        <n x="705"/>
        <n x="706"/>
      </t>
    </mdx>
    <mdx n="0" f="v">
      <t c="6" si="614">
        <n x="610"/>
        <n x="243"/>
        <n x="244"/>
        <n x="800" s="1"/>
        <n x="705"/>
        <n x="706"/>
      </t>
    </mdx>
    <mdx n="0" f="v">
      <t c="6" si="614">
        <n x="610"/>
        <n x="443"/>
        <n x="444"/>
        <n x="800" s="1"/>
        <n x="705"/>
        <n x="706"/>
      </t>
    </mdx>
    <mdx n="0" f="v">
      <t c="6" si="614">
        <n x="610"/>
        <n x="209"/>
        <n x="210"/>
        <n x="800" s="1"/>
        <n x="705"/>
        <n x="706"/>
      </t>
    </mdx>
    <mdx n="0" f="v">
      <t c="6" si="614">
        <n x="610"/>
        <n x="499"/>
        <n x="500"/>
        <n x="800" s="1"/>
        <n x="705"/>
        <n x="706"/>
      </t>
    </mdx>
    <mdx n="0" f="v">
      <t c="6" si="614">
        <n x="610"/>
        <n x="441"/>
        <n x="442"/>
        <n x="800" s="1"/>
        <n x="705"/>
        <n x="706"/>
      </t>
    </mdx>
    <mdx n="0" f="v">
      <t c="6" si="614">
        <n x="610"/>
        <n x="753"/>
        <n x="754"/>
        <n x="800" s="1"/>
        <n x="705"/>
        <n x="706"/>
      </t>
    </mdx>
    <mdx n="0" f="v">
      <t c="6" si="614">
        <n x="610"/>
        <n x="289"/>
        <n x="290"/>
        <n x="800" s="1"/>
        <n x="705"/>
        <n x="706"/>
      </t>
    </mdx>
    <mdx n="0" f="v">
      <t c="6" si="614">
        <n x="610"/>
        <n x="245"/>
        <n x="246"/>
        <n x="800" s="1"/>
        <n x="705"/>
        <n x="706"/>
      </t>
    </mdx>
    <mdx n="0" f="v">
      <t c="6" si="614">
        <n x="610"/>
        <n x="509"/>
        <n x="510"/>
        <n x="800" s="1"/>
        <n x="705"/>
        <n x="706"/>
      </t>
    </mdx>
    <mdx n="0" f="v">
      <t c="6" si="614">
        <n x="610"/>
        <n x="529"/>
        <n x="530"/>
        <n x="800" s="1"/>
        <n x="705"/>
        <n x="706"/>
      </t>
    </mdx>
    <mdx n="0" f="v">
      <t c="6" si="614">
        <n x="610"/>
        <n x="381"/>
        <n x="528"/>
        <n x="800" s="1"/>
        <n x="705"/>
        <n x="706"/>
      </t>
    </mdx>
    <mdx n="0" f="v">
      <t c="6" si="614">
        <n x="610"/>
        <n x="431"/>
        <n x="432"/>
        <n x="800" s="1"/>
        <n x="705"/>
        <n x="706"/>
      </t>
    </mdx>
    <mdx n="0" f="v">
      <t c="6" si="614">
        <n x="610"/>
        <n x="423"/>
        <n x="424"/>
        <n x="800" s="1"/>
        <n x="705"/>
        <n x="706"/>
      </t>
    </mdx>
    <mdx n="0" f="v">
      <t c="6" si="614">
        <n x="610"/>
        <n x="211"/>
        <n x="212"/>
        <n x="800" s="1"/>
        <n x="705"/>
        <n x="706"/>
      </t>
    </mdx>
    <mdx n="0" f="v">
      <t c="6" si="614">
        <n x="610"/>
        <n x="801"/>
        <n x="802"/>
        <n x="800" s="1"/>
        <n x="705"/>
        <n x="706"/>
      </t>
    </mdx>
    <mdx n="0" f="v">
      <t c="6" si="614">
        <n x="610"/>
        <n x="263"/>
        <n x="264"/>
        <n x="800" s="1"/>
        <n x="705"/>
        <n x="706"/>
      </t>
    </mdx>
    <mdx n="0" f="v">
      <t c="6" si="614">
        <n x="610"/>
        <n x="573"/>
        <n x="574"/>
        <n x="800" s="1"/>
        <n x="705"/>
        <n x="706"/>
      </t>
    </mdx>
    <mdx n="0" f="v">
      <t c="6" si="614">
        <n x="610"/>
        <n x="317"/>
        <n x="318"/>
        <n x="800" s="1"/>
        <n x="705"/>
        <n x="706"/>
      </t>
    </mdx>
    <mdx n="0" f="v">
      <t c="6" si="614">
        <n x="610"/>
        <n x="377"/>
        <n x="378"/>
        <n x="800" s="1"/>
        <n x="705"/>
        <n x="706"/>
      </t>
    </mdx>
    <mdx n="0" f="v">
      <t c="6" si="614">
        <n x="610"/>
        <n x="221"/>
        <n x="222"/>
        <n x="800" s="1"/>
        <n x="705"/>
        <n x="706"/>
      </t>
    </mdx>
    <mdx n="0" f="v">
      <t c="6" si="614">
        <n x="610"/>
        <n x="725"/>
        <n x="726"/>
        <n x="800" s="1"/>
        <n x="705"/>
        <n x="706"/>
      </t>
    </mdx>
    <mdx n="0" f="v">
      <t c="6" si="614">
        <n x="610"/>
        <n x="729"/>
        <n x="730"/>
        <n x="800" s="1"/>
        <n x="705"/>
        <n x="706"/>
      </t>
    </mdx>
    <mdx n="0" f="v">
      <t c="6" si="614">
        <n x="610"/>
        <n x="541"/>
        <n x="542"/>
        <n x="800" s="1"/>
        <n x="705"/>
        <n x="706"/>
      </t>
    </mdx>
    <mdx n="0" f="v">
      <t c="6" si="614">
        <n x="610"/>
        <n x="275"/>
        <n x="276"/>
        <n x="800" s="1"/>
        <n x="705"/>
        <n x="706"/>
      </t>
    </mdx>
    <mdx n="0" f="v">
      <t c="6" si="614">
        <n x="610"/>
        <n x="389"/>
        <n x="390"/>
        <n x="800" s="1"/>
        <n x="705"/>
        <n x="706"/>
      </t>
    </mdx>
    <mdx n="0" f="v">
      <t c="6" si="614">
        <n x="610"/>
        <n x="525"/>
        <n x="526"/>
        <n x="800" s="1"/>
        <n x="705"/>
        <n x="706"/>
      </t>
    </mdx>
    <mdx n="0" f="v">
      <t c="6" si="614">
        <n x="610"/>
        <n x="591"/>
        <n x="592"/>
        <n x="800" s="1"/>
        <n x="705"/>
        <n x="706"/>
      </t>
    </mdx>
    <mdx n="0" f="v">
      <t c="6" si="614">
        <n x="610"/>
        <n x="455"/>
        <n x="456"/>
        <n x="800" s="1"/>
        <n x="705"/>
        <n x="706"/>
      </t>
    </mdx>
    <mdx n="0" f="v">
      <t c="6" si="614">
        <n x="610"/>
        <n x="491"/>
        <n x="492"/>
        <n x="800" s="1"/>
        <n x="705"/>
        <n x="706"/>
      </t>
    </mdx>
    <mdx n="0" f="v">
      <t c="6" si="614">
        <n x="610"/>
        <n x="513"/>
        <n x="514"/>
        <n x="800" s="1"/>
        <n x="705"/>
        <n x="706"/>
      </t>
    </mdx>
    <mdx n="0" f="v">
      <t c="6" si="614">
        <n x="610"/>
        <n x="345"/>
        <n x="346"/>
        <n x="800" s="1"/>
        <n x="705"/>
        <n x="706"/>
      </t>
    </mdx>
    <mdx n="0" f="v">
      <t c="6" si="614">
        <n x="610"/>
        <n x="489"/>
        <n x="490"/>
        <n x="800" s="1"/>
        <n x="705"/>
        <n x="706"/>
      </t>
    </mdx>
    <mdx n="0" f="v">
      <t c="6" si="614">
        <n x="610"/>
        <n x="755"/>
        <n x="756"/>
        <n x="800" s="1"/>
        <n x="705"/>
        <n x="706"/>
      </t>
    </mdx>
    <mdx n="0" f="v">
      <t c="6" si="614">
        <n x="610"/>
        <n x="407"/>
        <n x="408"/>
        <n x="800" s="1"/>
        <n x="705"/>
        <n x="706"/>
      </t>
    </mdx>
    <mdx n="0" f="v">
      <t c="6" si="614">
        <n x="610"/>
        <n x="493"/>
        <n x="494"/>
        <n x="800" s="1"/>
        <n x="705"/>
        <n x="706"/>
      </t>
    </mdx>
    <mdx n="0" f="v">
      <t c="6" si="614">
        <n x="610"/>
        <n x="549"/>
        <n x="550"/>
        <n x="800" s="1"/>
        <n x="705"/>
        <n x="706"/>
      </t>
    </mdx>
    <mdx n="0" f="v">
      <t c="6" si="614">
        <n x="610"/>
        <n x="359"/>
        <n x="360"/>
        <n x="800" s="1"/>
        <n x="705"/>
        <n x="706"/>
      </t>
    </mdx>
    <mdx n="0" f="v">
      <t c="6" si="614">
        <n x="610"/>
        <n x="249"/>
        <n x="250"/>
        <n x="800" s="1"/>
        <n x="705"/>
        <n x="706"/>
      </t>
    </mdx>
    <mdx n="0" f="v">
      <t c="6" si="614">
        <n x="610"/>
        <n x="781"/>
        <n x="516"/>
        <n x="800" s="1"/>
        <n x="705"/>
        <n x="706"/>
      </t>
    </mdx>
    <mdx n="0" f="v">
      <t c="6" si="614">
        <n x="610"/>
        <n x="789"/>
        <n x="790"/>
        <n x="800" s="1"/>
        <n x="705"/>
        <n x="706"/>
      </t>
    </mdx>
    <mdx n="0" f="v">
      <t c="6" si="614">
        <n x="610"/>
        <n x="579"/>
        <n x="580"/>
        <n x="800" s="1"/>
        <n x="705"/>
        <n x="706"/>
      </t>
    </mdx>
    <mdx n="0" f="v">
      <t c="6" si="614">
        <n x="610"/>
        <n x="227"/>
        <n x="228"/>
        <n x="800" s="1"/>
        <n x="705"/>
        <n x="706"/>
      </t>
    </mdx>
    <mdx n="0" f="v">
      <t c="6" si="614">
        <n x="610"/>
        <n x="291"/>
        <n x="292"/>
        <n x="800" s="1"/>
        <n x="705"/>
        <n x="706"/>
      </t>
    </mdx>
    <mdx n="0" f="v">
      <t c="6" si="614">
        <n x="610"/>
        <n x="251"/>
        <n x="252"/>
        <n x="800" s="1"/>
        <n x="705"/>
        <n x="706"/>
      </t>
    </mdx>
    <mdx n="0" f="v">
      <t c="6" si="614">
        <n x="610"/>
        <n x="253"/>
        <n x="254"/>
        <n x="800" s="1"/>
        <n x="705"/>
        <n x="706"/>
      </t>
    </mdx>
    <mdx n="0" f="v">
      <t c="6" si="614">
        <n x="610"/>
        <n x="717"/>
        <n x="718"/>
        <n x="800" s="1"/>
        <n x="705"/>
        <n x="706"/>
      </t>
    </mdx>
    <mdx n="0" f="v">
      <t c="6" si="614">
        <n x="610"/>
        <n x="391"/>
        <n x="392"/>
        <n x="800" s="1"/>
        <n x="705"/>
        <n x="706"/>
      </t>
    </mdx>
    <mdx n="0" f="v">
      <t c="6" si="614">
        <n x="610"/>
        <n x="461"/>
        <n x="462"/>
        <n x="800" s="1"/>
        <n x="705"/>
        <n x="706"/>
      </t>
    </mdx>
    <mdx n="0" f="v">
      <t c="6" si="614">
        <n x="610"/>
        <n x="457"/>
        <n x="458"/>
        <n x="800" s="1"/>
        <n x="705"/>
        <n x="706"/>
      </t>
    </mdx>
    <mdx n="0" f="v">
      <t c="6" si="614">
        <n x="610"/>
        <n x="367"/>
        <n x="368"/>
        <n x="800" s="1"/>
        <n x="705"/>
        <n x="706"/>
      </t>
    </mdx>
    <mdx n="0" f="v">
      <t c="6" si="614">
        <n x="610"/>
        <n x="413"/>
        <n x="414"/>
        <n x="800" s="1"/>
        <n x="705"/>
        <n x="706"/>
      </t>
    </mdx>
    <mdx n="0" f="v">
      <t c="6" si="614">
        <n x="610"/>
        <n x="387"/>
        <n x="388"/>
        <n x="800" s="1"/>
        <n x="705"/>
        <n x="706"/>
      </t>
    </mdx>
    <mdx n="0" f="v">
      <t c="6" si="614">
        <n x="610"/>
        <n x="429"/>
        <n x="430"/>
        <n x="800" s="1"/>
        <n x="705"/>
        <n x="706"/>
      </t>
    </mdx>
    <mdx n="0" f="v">
      <t c="6" si="614">
        <n x="610"/>
        <n x="203"/>
        <n x="204"/>
        <n x="800" s="1"/>
        <n x="705"/>
        <n x="706"/>
      </t>
    </mdx>
    <mdx n="0" f="v">
      <t c="6" si="614">
        <n x="610"/>
        <n x="241"/>
        <n x="242"/>
        <n x="800" s="1"/>
        <n x="705"/>
        <n x="706"/>
      </t>
    </mdx>
    <mdx n="0" f="v">
      <t c="6" si="614">
        <n x="610"/>
        <n x="321"/>
        <n x="322"/>
        <n x="800" s="1"/>
        <n x="705"/>
        <n x="706"/>
      </t>
    </mdx>
    <mdx n="0" f="v">
      <t c="6" si="614">
        <n x="610"/>
        <n x="761"/>
        <n x="762"/>
        <n x="800" s="1"/>
        <n x="705"/>
        <n x="706"/>
      </t>
    </mdx>
    <mdx n="0" f="v">
      <t c="6" si="614">
        <n x="610"/>
        <n x="763"/>
        <n x="764"/>
        <n x="800" s="1"/>
        <n x="705"/>
        <n x="706"/>
      </t>
    </mdx>
    <mdx n="0" f="v">
      <t c="6" si="614">
        <n x="610"/>
        <n x="427"/>
        <n x="428"/>
        <n x="800" s="1"/>
        <n x="705"/>
        <n x="706"/>
      </t>
    </mdx>
    <mdx n="0" f="v">
      <t c="6" si="614">
        <n x="610"/>
        <n x="445"/>
        <n x="446"/>
        <n x="800" s="1"/>
        <n x="705"/>
        <n x="706"/>
      </t>
    </mdx>
    <mdx n="0" f="v">
      <t c="6" si="614">
        <n x="610"/>
        <n x="583"/>
        <n x="584"/>
        <n x="800" s="1"/>
        <n x="705"/>
        <n x="706"/>
      </t>
    </mdx>
    <mdx n="0" f="v">
      <t c="6" si="614">
        <n x="610"/>
        <n x="311"/>
        <n x="312"/>
        <n x="800" s="1"/>
        <n x="705"/>
        <n x="706"/>
      </t>
    </mdx>
    <mdx n="0" f="v">
      <t c="6" si="614">
        <n x="610"/>
        <n x="313"/>
        <n x="314"/>
        <n x="800" s="1"/>
        <n x="705"/>
        <n x="706"/>
      </t>
    </mdx>
    <mdx n="0" f="v">
      <t c="6" si="614">
        <n x="610"/>
        <n x="571"/>
        <n x="572"/>
        <n x="800" s="1"/>
        <n x="705"/>
        <n x="706"/>
      </t>
    </mdx>
    <mdx n="0" f="v">
      <t c="6" si="614">
        <n x="610"/>
        <n x="797"/>
        <n x="798"/>
        <n x="800" s="1"/>
        <n x="705"/>
        <n x="706"/>
      </t>
    </mdx>
    <mdx n="0" f="v">
      <t c="6" si="614">
        <n x="610"/>
        <n x="215"/>
        <n x="216"/>
        <n x="800" s="1"/>
        <n x="705"/>
        <n x="706"/>
      </t>
    </mdx>
    <mdx n="0" f="v">
      <t c="6" si="614">
        <n x="610"/>
        <n x="267"/>
        <n x="268"/>
        <n x="800" s="1"/>
        <n x="705"/>
        <n x="706"/>
      </t>
    </mdx>
    <mdx n="0" f="v">
      <t c="6" si="614">
        <n x="610"/>
        <n x="567"/>
        <n x="568"/>
        <n x="800" s="1"/>
        <n x="705"/>
        <n x="706"/>
      </t>
    </mdx>
    <mdx n="0" f="v">
      <t c="6" si="614">
        <n x="610"/>
        <n x="475"/>
        <n x="476"/>
        <n x="800" s="1"/>
        <n x="705"/>
        <n x="706"/>
      </t>
    </mdx>
    <mdx n="0" f="v">
      <t c="6" si="614">
        <n x="610"/>
        <n x="475"/>
        <n x="476"/>
        <n x="800" s="1"/>
        <n x="705"/>
        <n x="706"/>
      </t>
    </mdx>
    <mdx n="0" f="v">
      <t c="6" si="614">
        <n x="610"/>
        <n x="475"/>
        <n x="476"/>
        <n x="800" s="1"/>
        <n x="705"/>
        <n x="706"/>
      </t>
    </mdx>
    <mdx n="0" f="v">
      <t c="3" fi="19">
        <n x="609"/>
        <n x="807"/>
        <n x="20"/>
      </t>
    </mdx>
    <mdx n="0" f="v">
      <t c="3" fi="19">
        <n x="609"/>
        <n x="807"/>
        <n x="91"/>
      </t>
    </mdx>
    <mdx n="0" f="v">
      <t c="3" fi="19">
        <n x="609"/>
        <n x="807"/>
        <n x="808"/>
      </t>
    </mdx>
    <mdx n="0" f="v">
      <t c="3" fi="19">
        <n x="609"/>
        <n x="807"/>
        <n x="95"/>
      </t>
    </mdx>
    <mdx n="0" f="v">
      <t c="3" fi="19">
        <n x="609"/>
        <n x="807"/>
        <n x="151"/>
      </t>
    </mdx>
    <mdx n="0" f="v">
      <t c="3" fi="19">
        <n x="609"/>
        <n x="807"/>
        <n x="809"/>
      </t>
    </mdx>
    <mdx n="0" f="v">
      <t c="3" fi="19">
        <n x="609"/>
        <n x="807"/>
        <n x="196"/>
      </t>
    </mdx>
    <mdx n="0" f="v">
      <t c="3" fi="19">
        <n x="609"/>
        <n x="807"/>
        <n x="813"/>
      </t>
    </mdx>
    <mdx n="0" f="v">
      <t c="3" fi="19">
        <n x="609"/>
        <n x="807"/>
        <n x="814"/>
      </t>
    </mdx>
    <mdx n="0" f="v">
      <t c="3" fi="19">
        <n x="609"/>
        <n x="807"/>
        <n x="184"/>
      </t>
    </mdx>
    <mdx n="0" f="v">
      <t c="3" fi="19">
        <n x="609"/>
        <n x="807"/>
        <n x="132"/>
      </t>
    </mdx>
    <mdx n="0" f="v">
      <t c="3" fi="19">
        <n x="609"/>
        <n x="807"/>
        <n x="815"/>
      </t>
    </mdx>
    <mdx n="0" f="v">
      <t c="3" fi="19">
        <n x="609"/>
        <n x="807"/>
        <n x="10"/>
      </t>
    </mdx>
    <mdx n="0" f="v">
      <t c="3" fi="19">
        <n x="609"/>
        <n x="807"/>
        <n x="191"/>
      </t>
    </mdx>
    <mdx n="0" f="v">
      <t c="3" fi="19">
        <n x="609"/>
        <n x="807"/>
        <n x="139"/>
      </t>
    </mdx>
    <mdx n="0" f="v">
      <t c="3" fi="19">
        <n x="609"/>
        <n x="807"/>
        <n x="65"/>
      </t>
    </mdx>
    <mdx n="0" f="v">
      <t c="3" fi="19">
        <n x="609"/>
        <n x="807"/>
        <n x="190"/>
      </t>
    </mdx>
    <mdx n="0" f="v">
      <t c="3" fi="19">
        <n x="609"/>
        <n x="807"/>
        <n x="816"/>
      </t>
    </mdx>
    <mdx n="0" f="v">
      <t c="3" fi="19">
        <n x="609"/>
        <n x="807"/>
        <n x="90"/>
      </t>
    </mdx>
    <mdx n="0" f="v">
      <t c="3" fi="19">
        <n x="609"/>
        <n x="807"/>
        <n x="142"/>
      </t>
    </mdx>
    <mdx n="0" f="v">
      <t c="3" fi="19">
        <n x="609"/>
        <n x="807"/>
        <n x="52"/>
      </t>
    </mdx>
    <mdx n="0" f="v">
      <t c="3" fi="19">
        <n x="609"/>
        <n x="807"/>
        <n x="12"/>
      </t>
    </mdx>
    <mdx n="0" f="v">
      <t c="3" fi="19">
        <n x="609"/>
        <n x="807"/>
        <n x="67"/>
      </t>
    </mdx>
    <mdx n="0" f="v">
      <t c="3" fi="19">
        <n x="609"/>
        <n x="807"/>
        <n x="79"/>
      </t>
    </mdx>
    <mdx n="0" f="v">
      <t c="3" fi="19">
        <n x="609"/>
        <n x="807"/>
        <n x="131"/>
      </t>
    </mdx>
    <mdx n="0" f="v">
      <t c="3" fi="19">
        <n x="609"/>
        <n x="807"/>
        <n x="177"/>
      </t>
    </mdx>
    <mdx n="0" f="v">
      <t c="3" fi="19">
        <n x="609"/>
        <n x="807"/>
        <n x="817"/>
      </t>
    </mdx>
    <mdx n="0" f="v">
      <t c="3" fi="19">
        <n x="609"/>
        <n x="807"/>
        <n x="62"/>
      </t>
    </mdx>
    <mdx n="0" f="v">
      <t c="3" fi="19">
        <n x="609"/>
        <n x="807"/>
        <n x="21"/>
      </t>
    </mdx>
    <mdx n="0" f="v">
      <t c="3" fi="19">
        <n x="609"/>
        <n x="807"/>
        <n x="9"/>
      </t>
    </mdx>
    <mdx n="0" f="v">
      <t c="3" fi="19">
        <n x="609"/>
        <n x="807"/>
        <n x="57"/>
      </t>
    </mdx>
    <mdx n="0" f="v">
      <t c="3" fi="19">
        <n x="609"/>
        <n x="807"/>
        <n x="39"/>
      </t>
    </mdx>
    <mdx n="0" f="v">
      <t c="3" fi="19">
        <n x="609"/>
        <n x="807"/>
        <n x="82"/>
      </t>
    </mdx>
    <mdx n="0" f="v">
      <t c="3" fi="19">
        <n x="609"/>
        <n x="807"/>
        <n x="72"/>
      </t>
    </mdx>
    <mdx n="0" f="v">
      <t c="3" fi="19">
        <n x="609"/>
        <n x="807"/>
        <n x="106"/>
      </t>
    </mdx>
    <mdx n="0" f="v">
      <t c="3" fi="19">
        <n x="609"/>
        <n x="807"/>
        <n x="94"/>
      </t>
    </mdx>
    <mdx n="0" f="v">
      <t c="3" fi="19">
        <n x="609"/>
        <n x="807"/>
        <n x="818"/>
      </t>
    </mdx>
    <mdx n="0" f="v">
      <t c="3" fi="19">
        <n x="609"/>
        <n x="807"/>
        <n x="121"/>
      </t>
    </mdx>
    <mdx n="0" f="v">
      <t c="3" fi="19">
        <n x="609"/>
        <n x="807"/>
        <n x="819"/>
      </t>
    </mdx>
    <mdx n="0" f="v">
      <t c="3" fi="19">
        <n x="609"/>
        <n x="807"/>
        <n x="820"/>
      </t>
    </mdx>
    <mdx n="0" f="v">
      <t c="3" fi="19">
        <n x="609"/>
        <n x="807"/>
        <n x="194"/>
      </t>
    </mdx>
    <mdx n="0" f="v">
      <t c="3" fi="19">
        <n x="609"/>
        <n x="807"/>
        <n x="821"/>
      </t>
    </mdx>
    <mdx n="0" f="v">
      <t c="3" fi="19">
        <n x="609"/>
        <n x="807"/>
        <n x="55"/>
      </t>
    </mdx>
    <mdx n="0" f="v">
      <t c="3" fi="19">
        <n x="609"/>
        <n x="807"/>
        <n x="48"/>
      </t>
    </mdx>
    <mdx n="0" f="v">
      <t c="3" fi="19">
        <n x="609"/>
        <n x="807"/>
        <n x="822"/>
      </t>
    </mdx>
    <mdx n="0" f="v">
      <t c="3" fi="19">
        <n x="609"/>
        <n x="807"/>
        <n x="28"/>
      </t>
    </mdx>
    <mdx n="0" f="v">
      <t c="3" fi="19">
        <n x="609"/>
        <n x="807"/>
        <n x="133"/>
      </t>
    </mdx>
    <mdx n="0" f="v">
      <t c="3" fi="19">
        <n x="609"/>
        <n x="807"/>
        <n x="823"/>
      </t>
    </mdx>
    <mdx n="0" f="v">
      <t c="3" fi="19">
        <n x="609"/>
        <n x="807"/>
        <n x="824"/>
      </t>
    </mdx>
    <mdx n="0" f="v">
      <t c="3" fi="19">
        <n x="609"/>
        <n x="807"/>
        <n x="825"/>
      </t>
    </mdx>
    <mdx n="0" f="v">
      <t c="3" fi="19">
        <n x="609"/>
        <n x="807"/>
        <n x="32"/>
      </t>
    </mdx>
    <mdx n="0" f="v">
      <t c="3" fi="19">
        <n x="609"/>
        <n x="807"/>
        <n x="15"/>
      </t>
    </mdx>
    <mdx n="0" f="v">
      <t c="3" fi="19">
        <n x="609"/>
        <n x="807"/>
        <n x="29"/>
      </t>
    </mdx>
    <mdx n="0" f="v">
      <t c="3" fi="19">
        <n x="609"/>
        <n x="807"/>
        <n x="826"/>
      </t>
    </mdx>
    <mdx n="0" f="v">
      <t c="3" fi="19">
        <n x="609"/>
        <n x="807"/>
        <n x="148"/>
      </t>
    </mdx>
    <mdx n="0" f="v">
      <t c="3" fi="19">
        <n x="609"/>
        <n x="807"/>
        <n x="74"/>
      </t>
    </mdx>
    <mdx n="0" f="v">
      <t c="3" fi="19">
        <n x="609"/>
        <n x="807"/>
        <n x="185"/>
      </t>
    </mdx>
    <mdx n="0" f="v">
      <t c="3" fi="19">
        <n x="609"/>
        <n x="807"/>
        <n x="113"/>
      </t>
    </mdx>
    <mdx n="0" f="v">
      <t c="3" fi="19">
        <n x="609"/>
        <n x="807"/>
        <n x="117"/>
      </t>
    </mdx>
    <mdx n="0" f="v">
      <t c="3" fi="19">
        <n x="609"/>
        <n x="807"/>
        <n x="189"/>
      </t>
    </mdx>
    <mdx n="0" f="v">
      <t c="3" fi="19">
        <n x="609"/>
        <n x="807"/>
        <n x="193"/>
      </t>
    </mdx>
    <mdx n="0" f="v">
      <t c="3" fi="19">
        <n x="609"/>
        <n x="807"/>
        <n x="103"/>
      </t>
    </mdx>
    <mdx n="0" f="v">
      <t c="3" fi="19">
        <n x="609"/>
        <n x="807"/>
        <n x="53"/>
      </t>
    </mdx>
    <mdx n="0" f="v">
      <t c="3" fi="19">
        <n x="609"/>
        <n x="807"/>
        <n x="827"/>
      </t>
    </mdx>
    <mdx n="0" f="v">
      <t c="3" fi="19">
        <n x="609"/>
        <n x="807"/>
        <n x="143"/>
      </t>
    </mdx>
    <mdx n="0" f="v">
      <t c="3" fi="19">
        <n x="609"/>
        <n x="807"/>
        <n x="23"/>
      </t>
    </mdx>
    <mdx n="0" f="v">
      <t c="3" fi="19">
        <n x="609"/>
        <n x="807"/>
        <n x="828"/>
      </t>
    </mdx>
    <mdx n="0" f="v">
      <t c="3" fi="19">
        <n x="609"/>
        <n x="807"/>
        <n x="829"/>
      </t>
    </mdx>
    <mdx n="0" f="v">
      <t c="3" fi="19">
        <n x="609"/>
        <n x="807"/>
        <n x="42"/>
      </t>
    </mdx>
    <mdx n="0" f="v">
      <t c="3" fi="19">
        <n x="609"/>
        <n x="807"/>
        <n x="84"/>
      </t>
    </mdx>
    <mdx n="0" f="v">
      <t c="3" fi="19">
        <n x="609"/>
        <n x="807"/>
        <n x="73"/>
      </t>
    </mdx>
    <mdx n="0" f="v">
      <t c="3" fi="19">
        <n x="609"/>
        <n x="807"/>
        <n x="109"/>
      </t>
    </mdx>
    <mdx n="0" f="v">
      <t c="3" fi="19">
        <n x="609"/>
        <n x="807"/>
        <n x="97"/>
      </t>
    </mdx>
    <mdx n="0" f="v">
      <t c="3" fi="19">
        <n x="609"/>
        <n x="807"/>
        <n x="144"/>
      </t>
    </mdx>
    <mdx n="0" f="v">
      <t c="3" fi="19">
        <n x="609"/>
        <n x="807"/>
        <n x="122"/>
      </t>
    </mdx>
    <mdx n="0" f="v">
      <t c="3" fi="19">
        <n x="609"/>
        <n x="807"/>
        <n x="180"/>
      </t>
    </mdx>
    <mdx n="0" f="v">
      <t c="3" fi="19">
        <n x="609"/>
        <n x="807"/>
        <n x="163"/>
      </t>
    </mdx>
    <mdx n="0" f="v">
      <t c="3" fi="19">
        <n x="609"/>
        <n x="807"/>
        <n x="40"/>
      </t>
    </mdx>
    <mdx n="0" f="v">
      <t c="3" fi="19">
        <n x="609"/>
        <n x="807"/>
        <n x="22"/>
      </t>
    </mdx>
    <mdx n="0" f="v">
      <t c="3" fi="19">
        <n x="609"/>
        <n x="807"/>
        <n x="93"/>
      </t>
    </mdx>
    <mdx n="0" f="v">
      <t c="3" fi="19">
        <n x="609"/>
        <n x="807"/>
        <n x="138"/>
      </t>
    </mdx>
    <mdx n="0" f="v">
      <t c="3" fi="19">
        <n x="609"/>
        <n x="807"/>
        <n x="182"/>
      </t>
    </mdx>
    <mdx n="0" f="v">
      <t c="3" fi="19">
        <n x="609"/>
        <n x="807"/>
        <n x="830"/>
      </t>
    </mdx>
    <mdx n="0" f="v">
      <t c="3" fi="19">
        <n x="609"/>
        <n x="807"/>
        <n x="45"/>
      </t>
    </mdx>
    <mdx n="0" f="v">
      <t c="3" fi="19">
        <n x="609"/>
        <n x="807"/>
        <n x="108"/>
      </t>
    </mdx>
    <mdx n="0" f="v">
      <t c="3" fi="19">
        <n x="609"/>
        <n x="807"/>
        <n x="88"/>
      </t>
    </mdx>
    <mdx n="0" f="v">
      <t c="3" fi="19">
        <n x="609"/>
        <n x="807"/>
        <n x="145"/>
      </t>
    </mdx>
    <mdx n="0" f="v">
      <t c="3" fi="19">
        <n x="609"/>
        <n x="807"/>
        <n x="150"/>
      </t>
    </mdx>
    <mdx n="0" f="v">
      <t c="3" fi="19">
        <n x="609"/>
        <n x="807"/>
        <n x="17"/>
      </t>
    </mdx>
    <mdx n="0" f="v">
      <t c="3" fi="19">
        <n x="609"/>
        <n x="807"/>
        <n x="158"/>
      </t>
    </mdx>
    <mdx n="0" f="v">
      <t c="3" fi="19">
        <n x="609"/>
        <n x="807"/>
        <n x="831"/>
      </t>
    </mdx>
    <mdx n="0" f="v">
      <t c="3" fi="19">
        <n x="609"/>
        <n x="807"/>
        <n x="81"/>
      </t>
    </mdx>
    <mdx n="0" f="v">
      <t c="3" fi="19">
        <n x="609"/>
        <n x="807"/>
        <n x="26"/>
      </t>
    </mdx>
    <mdx n="0" f="v">
      <t c="3" fi="19">
        <n x="609"/>
        <n x="807"/>
        <n x="41"/>
      </t>
    </mdx>
    <mdx n="0" f="v">
      <t c="3" fi="19">
        <n x="609"/>
        <n x="807"/>
        <n x="63"/>
      </t>
    </mdx>
    <mdx n="0" f="v">
      <t c="3" fi="19">
        <n x="609"/>
        <n x="807"/>
        <n x="58"/>
      </t>
    </mdx>
    <mdx n="0" f="v">
      <t c="3" fi="19">
        <n x="609"/>
        <n x="807"/>
        <n x="832"/>
      </t>
    </mdx>
    <mdx n="0" f="v">
      <t c="3" fi="19">
        <n x="609"/>
        <n x="807"/>
        <n x="833"/>
      </t>
    </mdx>
    <mdx n="0" f="v">
      <t c="3" fi="19">
        <n x="609"/>
        <n x="807"/>
        <n x="834"/>
      </t>
    </mdx>
    <mdx n="0" f="v">
      <t c="3" fi="19">
        <n x="609"/>
        <n x="807"/>
        <n x="56"/>
      </t>
    </mdx>
    <mdx n="0" f="v">
      <t c="3" fi="19">
        <n x="609"/>
        <n x="807"/>
        <n x="13"/>
      </t>
    </mdx>
    <mdx n="0" f="v">
      <t c="3" fi="19">
        <n x="609"/>
        <n x="807"/>
        <n x="835"/>
      </t>
    </mdx>
    <mdx n="0" f="v">
      <t c="3" fi="19">
        <n x="609"/>
        <n x="807"/>
        <n x="836"/>
      </t>
    </mdx>
    <mdx n="0" f="v">
      <t c="3" fi="19">
        <n x="609"/>
        <n x="807"/>
        <n x="44"/>
      </t>
    </mdx>
    <mdx n="0" f="v">
      <t c="3" fi="19">
        <n x="609"/>
        <n x="807"/>
        <n x="181"/>
      </t>
    </mdx>
    <mdx n="0" f="v">
      <t c="3" fi="19">
        <n x="609"/>
        <n x="807"/>
        <n x="837"/>
      </t>
    </mdx>
    <mdx n="0" f="v">
      <t c="3" fi="19">
        <n x="609"/>
        <n x="807"/>
        <n x="100"/>
      </t>
    </mdx>
    <mdx n="0" f="v">
      <t c="3" fi="19">
        <n x="609"/>
        <n x="807"/>
        <n x="127"/>
      </t>
    </mdx>
    <mdx n="0" f="v">
      <t c="3" fi="19">
        <n x="609"/>
        <n x="807"/>
        <n x="164"/>
      </t>
    </mdx>
    <mdx n="0" f="v">
      <t c="3" fi="19">
        <n x="609"/>
        <n x="807"/>
        <n x="838"/>
      </t>
    </mdx>
    <mdx n="0" f="v">
      <t c="3" fi="19">
        <n x="609"/>
        <n x="807"/>
        <n x="130"/>
      </t>
    </mdx>
    <mdx n="0" f="v">
      <t c="3" fi="19">
        <n x="609"/>
        <n x="807"/>
        <n x="107"/>
      </t>
    </mdx>
    <mdx n="0" f="v">
      <t c="3" fi="19">
        <n x="609"/>
        <n x="807"/>
        <n x="124"/>
      </t>
    </mdx>
    <mdx n="0" f="v">
      <t c="3" fi="19">
        <n x="609"/>
        <n x="807"/>
        <n x="61"/>
      </t>
    </mdx>
    <mdx n="0" f="v">
      <t c="3" fi="19">
        <n x="609"/>
        <n x="807"/>
        <n x="7"/>
      </t>
    </mdx>
    <mdx n="0" f="v">
      <t c="3" fi="19">
        <n x="609"/>
        <n x="807"/>
        <n x="64"/>
      </t>
    </mdx>
    <mdx n="0" f="v">
      <t c="3" fi="19">
        <n x="609"/>
        <n x="807"/>
        <n x="60"/>
      </t>
    </mdx>
    <mdx n="0" f="v">
      <t c="3" fi="19">
        <n x="609"/>
        <n x="807"/>
        <n x="839"/>
      </t>
    </mdx>
    <mdx n="0" f="v">
      <t c="3" fi="19">
        <n x="609"/>
        <n x="807"/>
        <n x="14"/>
      </t>
    </mdx>
    <mdx n="0" f="v">
      <t c="3" fi="19">
        <n x="609"/>
        <n x="807"/>
        <n x="137"/>
      </t>
    </mdx>
    <mdx n="0" f="v">
      <t c="3" fi="19">
        <n x="609"/>
        <n x="807"/>
        <n x="3"/>
      </t>
    </mdx>
    <mdx n="0" f="v">
      <t c="3" fi="19">
        <n x="609"/>
        <n x="807"/>
        <n x="840"/>
      </t>
    </mdx>
    <mdx n="0" f="v">
      <t c="3" fi="19">
        <n x="609"/>
        <n x="807"/>
        <n x="68"/>
      </t>
    </mdx>
    <mdx n="0" f="v">
      <t c="3" fi="19">
        <n x="609"/>
        <n x="807"/>
        <n x="99"/>
      </t>
    </mdx>
    <mdx n="0" f="v">
      <t c="3" fi="19">
        <n x="609"/>
        <n x="807"/>
        <n x="86"/>
      </t>
    </mdx>
    <mdx n="0" f="v">
      <t c="3" fi="19">
        <n x="609"/>
        <n x="807"/>
        <n x="112"/>
      </t>
    </mdx>
    <mdx n="0" f="v">
      <t c="3" fi="19">
        <n x="609"/>
        <n x="807"/>
        <n x="841"/>
      </t>
    </mdx>
    <mdx n="0" f="v">
      <t c="3" fi="19">
        <n x="609"/>
        <n x="807"/>
        <n x="149"/>
      </t>
    </mdx>
    <mdx n="0" f="v">
      <t c="3" fi="19">
        <n x="609"/>
        <n x="807"/>
        <n x="173"/>
      </t>
    </mdx>
    <mdx n="0" f="v">
      <t c="3" fi="19">
        <n x="609"/>
        <n x="807"/>
        <n x="183"/>
      </t>
    </mdx>
    <mdx n="0" f="v">
      <t c="3" fi="19">
        <n x="609"/>
        <n x="807"/>
        <n x="125"/>
      </t>
    </mdx>
    <mdx n="0" f="v">
      <t c="3" fi="19">
        <n x="609"/>
        <n x="807"/>
        <n x="146"/>
      </t>
    </mdx>
    <mdx n="0" f="v">
      <t c="3" fi="19">
        <n x="609"/>
        <n x="807"/>
        <n x="842"/>
      </t>
    </mdx>
    <mdx n="0" f="v">
      <t c="3" fi="19">
        <n x="609"/>
        <n x="807"/>
        <n x="35"/>
      </t>
    </mdx>
    <mdx n="0" f="v">
      <t c="3" fi="19">
        <n x="609"/>
        <n x="807"/>
        <n x="174"/>
      </t>
    </mdx>
    <mdx n="0" f="v">
      <t c="3" fi="19">
        <n x="609"/>
        <n x="807"/>
        <n x="47"/>
      </t>
    </mdx>
    <mdx n="0" f="v">
      <t c="3" fi="19">
        <n x="609"/>
        <n x="807"/>
        <n x="843"/>
      </t>
    </mdx>
    <mdx n="0" f="v">
      <t c="3" fi="19">
        <n x="609"/>
        <n x="807"/>
        <n x="161"/>
      </t>
    </mdx>
    <mdx n="0" f="v">
      <t c="3" fi="19">
        <n x="609"/>
        <n x="807"/>
        <n x="16"/>
      </t>
    </mdx>
    <mdx n="0" f="v">
      <t c="3" fi="19">
        <n x="609"/>
        <n x="807"/>
        <n x="50"/>
      </t>
    </mdx>
    <mdx n="0" f="v">
      <t c="3" fi="19">
        <n x="609"/>
        <n x="807"/>
        <n x="75"/>
      </t>
    </mdx>
    <mdx n="0" f="v">
      <t c="3" fi="19">
        <n x="609"/>
        <n x="807"/>
        <n x="101"/>
      </t>
    </mdx>
    <mdx n="0" f="v">
      <t c="3" fi="19">
        <n x="609"/>
        <n x="807"/>
        <n x="844"/>
      </t>
    </mdx>
    <mdx n="0" f="v">
      <t c="3" fi="19">
        <n x="609"/>
        <n x="807"/>
        <n x="165"/>
      </t>
    </mdx>
    <mdx n="0" f="v">
      <t c="3" fi="19">
        <n x="609"/>
        <n x="807"/>
        <n x="102"/>
      </t>
    </mdx>
    <mdx n="0" f="v">
      <t c="3" fi="19">
        <n x="609"/>
        <n x="807"/>
        <n x="34"/>
      </t>
    </mdx>
    <mdx n="0" f="v">
      <t c="3" fi="19">
        <n x="609"/>
        <n x="807"/>
        <n x="153"/>
      </t>
    </mdx>
    <mdx n="0" f="v">
      <t c="3" fi="19">
        <n x="609"/>
        <n x="807"/>
        <n x="166"/>
      </t>
    </mdx>
    <mdx n="0" f="v">
      <t c="3" fi="19">
        <n x="609"/>
        <n x="807"/>
        <n x="147"/>
      </t>
    </mdx>
    <mdx n="0" f="v">
      <t c="3" fi="19">
        <n x="609"/>
        <n x="807"/>
        <n x="38"/>
      </t>
    </mdx>
    <mdx n="0" f="v">
      <t c="3" fi="19">
        <n x="609"/>
        <n x="807"/>
        <n x="162"/>
      </t>
    </mdx>
    <mdx n="0" f="v">
      <t c="3" fi="19">
        <n x="609"/>
        <n x="807"/>
        <n x="36"/>
      </t>
    </mdx>
    <mdx n="0" f="v">
      <t c="3" fi="19">
        <n x="609"/>
        <n x="807"/>
        <n x="118"/>
      </t>
    </mdx>
    <mdx n="0" f="v">
      <t c="3" fi="19">
        <n x="609"/>
        <n x="807"/>
        <n x="175"/>
      </t>
    </mdx>
    <mdx n="0" f="v">
      <t c="3" fi="19">
        <n x="609"/>
        <n x="807"/>
        <n x="152"/>
      </t>
    </mdx>
    <mdx n="0" f="v">
      <t c="3" fi="19">
        <n x="609"/>
        <n x="807"/>
        <n x="6"/>
      </t>
    </mdx>
    <mdx n="0" f="v">
      <t c="3" fi="19">
        <n x="609"/>
        <n x="807"/>
        <n x="31"/>
      </t>
    </mdx>
    <mdx n="0" f="v">
      <t c="3" fi="19">
        <n x="609"/>
        <n x="807"/>
        <n x="69"/>
      </t>
    </mdx>
    <mdx n="0" f="v">
      <t c="3" fi="19">
        <n x="609"/>
        <n x="807"/>
        <n x="87"/>
      </t>
    </mdx>
    <mdx n="0" f="v">
      <t c="3" fi="19">
        <n x="609"/>
        <n x="807"/>
        <n x="115"/>
      </t>
    </mdx>
    <mdx n="0" f="v">
      <t c="3" fi="19">
        <n x="609"/>
        <n x="807"/>
        <n x="154"/>
      </t>
    </mdx>
    <mdx n="0" f="v">
      <t c="3" fi="19">
        <n x="609"/>
        <n x="807"/>
        <n x="845"/>
      </t>
    </mdx>
    <mdx n="0" f="v">
      <t c="3" fi="19">
        <n x="609"/>
        <n x="807"/>
        <n x="187"/>
      </t>
    </mdx>
    <mdx n="0" f="v">
      <t c="3" fi="19">
        <n x="609"/>
        <n x="807"/>
        <n x="846"/>
      </t>
    </mdx>
    <mdx n="0" f="v">
      <t c="3" fi="19">
        <n x="609"/>
        <n x="807"/>
        <n x="847"/>
      </t>
    </mdx>
    <mdx n="0" f="v">
      <t c="3" fi="19">
        <n x="609"/>
        <n x="807"/>
        <n x="27"/>
      </t>
    </mdx>
    <mdx n="0" f="v">
      <t c="3" fi="19">
        <n x="609"/>
        <n x="807"/>
        <n x="96"/>
      </t>
    </mdx>
    <mdx n="0" f="v">
      <t c="3" fi="19">
        <n x="609"/>
        <n x="807"/>
        <n x="136"/>
      </t>
    </mdx>
    <mdx n="0" f="v">
      <t c="3" fi="19">
        <n x="609"/>
        <n x="807"/>
        <n x="167"/>
      </t>
    </mdx>
    <mdx n="0" f="v">
      <t c="3" fi="19">
        <n x="609"/>
        <n x="807"/>
        <n x="98"/>
      </t>
    </mdx>
    <mdx n="0" f="v">
      <t c="3" fi="19">
        <n x="609"/>
        <n x="807"/>
        <n x="110"/>
      </t>
    </mdx>
    <mdx n="0" f="v">
      <t c="3" fi="19">
        <n x="609"/>
        <n x="807"/>
        <n x="156"/>
      </t>
    </mdx>
    <mdx n="0" f="v">
      <t c="3" fi="19">
        <n x="609"/>
        <n x="807"/>
        <n x="92"/>
      </t>
    </mdx>
    <mdx n="0" f="v">
      <t c="3" fi="19">
        <n x="609"/>
        <n x="807"/>
        <n x="80"/>
      </t>
    </mdx>
    <mdx n="0" f="v">
      <t c="3" fi="19">
        <n x="609"/>
        <n x="807"/>
        <n x="18"/>
      </t>
    </mdx>
    <mdx n="0" f="v">
      <t c="3" fi="19">
        <n x="609"/>
        <n x="807"/>
        <n x="51"/>
      </t>
    </mdx>
    <mdx n="0" f="v">
      <t c="3" fi="19">
        <n x="609"/>
        <n x="807"/>
        <n x="76"/>
      </t>
    </mdx>
    <mdx n="0" f="v">
      <t c="3" fi="19">
        <n x="609"/>
        <n x="807"/>
        <n x="104"/>
      </t>
    </mdx>
    <mdx n="0" f="v">
      <t c="3" fi="19">
        <n x="609"/>
        <n x="807"/>
        <n x="848"/>
      </t>
    </mdx>
    <mdx n="0" f="v">
      <t c="3" fi="19">
        <n x="609"/>
        <n x="807"/>
        <n x="170"/>
      </t>
    </mdx>
    <mdx n="0" f="v">
      <t c="3" fi="19">
        <n x="609"/>
        <n x="807"/>
        <n x="77"/>
      </t>
    </mdx>
    <mdx n="0" f="v">
      <t c="3" fi="19">
        <n x="609"/>
        <n x="807"/>
        <n x="49"/>
      </t>
    </mdx>
    <mdx n="0" f="v">
      <t c="3" fi="19">
        <n x="609"/>
        <n x="807"/>
        <n x="5"/>
      </t>
    </mdx>
    <mdx n="0" f="v">
      <t c="3" fi="19">
        <n x="609"/>
        <n x="807"/>
        <n x="178"/>
      </t>
    </mdx>
    <mdx n="0" f="v">
      <t c="3" fi="19">
        <n x="609"/>
        <n x="807"/>
        <n x="179"/>
      </t>
    </mdx>
    <mdx n="0" f="v">
      <t c="3" fi="19">
        <n x="609"/>
        <n x="807"/>
        <n x="172"/>
      </t>
    </mdx>
    <mdx n="0" f="v">
      <t c="3" fi="19">
        <n x="609"/>
        <n x="807"/>
        <n x="25"/>
      </t>
    </mdx>
    <mdx n="0" f="v">
      <t c="3" fi="19">
        <n x="609"/>
        <n x="807"/>
        <n x="70"/>
      </t>
    </mdx>
    <mdx n="0" f="v">
      <t c="3" fi="19">
        <n x="609"/>
        <n x="807"/>
        <n x="849"/>
      </t>
    </mdx>
    <mdx n="0" f="v">
      <t c="3" fi="19">
        <n x="609"/>
        <n x="807"/>
        <n x="111"/>
      </t>
    </mdx>
    <mdx n="0" f="v">
      <t c="3" fi="19">
        <n x="609"/>
        <n x="807"/>
        <n x="140"/>
      </t>
    </mdx>
    <mdx n="0" f="v">
      <t c="3" fi="19">
        <n x="609"/>
        <n x="807"/>
        <n x="8"/>
      </t>
    </mdx>
    <mdx n="0" f="v">
      <t c="3" fi="19">
        <n x="609"/>
        <n x="807"/>
        <n x="37"/>
      </t>
    </mdx>
    <mdx n="0" f="v">
      <t c="3" fi="19">
        <n x="609"/>
        <n x="807"/>
        <n x="71"/>
      </t>
    </mdx>
    <mdx n="0" f="v">
      <t c="3" fi="19">
        <n x="609"/>
        <n x="807"/>
        <n x="89"/>
      </t>
    </mdx>
    <mdx n="0" f="v">
      <t c="3" fi="19">
        <n x="609"/>
        <n x="807"/>
        <n x="120"/>
      </t>
    </mdx>
    <mdx n="0" f="v">
      <t c="3" fi="19">
        <n x="609"/>
        <n x="807"/>
        <n x="159"/>
      </t>
    </mdx>
    <mdx n="0" f="v">
      <t c="3" fi="19">
        <n x="609"/>
        <n x="807"/>
        <n x="188"/>
      </t>
    </mdx>
    <mdx n="0" f="v">
      <t c="3" fi="19">
        <n x="609"/>
        <n x="807"/>
        <n x="160"/>
      </t>
    </mdx>
    <mdx n="0" f="v">
      <t c="3" fi="19">
        <n x="609"/>
        <n x="807"/>
        <n x="850"/>
      </t>
    </mdx>
    <mdx n="0" f="v">
      <t c="3" fi="19">
        <n x="609"/>
        <n x="807"/>
        <n x="195"/>
      </t>
    </mdx>
    <mdx n="0" f="v">
      <t c="3" fi="19">
        <n x="609"/>
        <n x="807"/>
        <n x="83"/>
      </t>
    </mdx>
    <mdx n="0" f="v">
      <t c="3" fi="19">
        <n x="609"/>
        <n x="807"/>
        <n x="851"/>
      </t>
    </mdx>
    <mdx n="0" f="v">
      <t c="3" fi="19">
        <n x="609"/>
        <n x="807"/>
        <n x="168"/>
      </t>
    </mdx>
    <mdx n="0" f="v">
      <t c="3" fi="19">
        <n x="609"/>
        <n x="807"/>
        <n x="186"/>
      </t>
    </mdx>
    <mdx n="0" f="v">
      <t c="3" fi="19">
        <n x="609"/>
        <n x="807"/>
        <n x="852"/>
      </t>
    </mdx>
    <mdx n="0" f="v">
      <t c="3" fi="19">
        <n x="609"/>
        <n x="807"/>
        <n x="30"/>
      </t>
    </mdx>
    <mdx n="0" f="v">
      <t c="3" fi="19">
        <n x="609"/>
        <n x="807"/>
        <n x="126"/>
      </t>
    </mdx>
    <mdx n="0" f="v">
      <t c="3" fi="19">
        <n x="609"/>
        <n x="807"/>
        <n x="116"/>
      </t>
    </mdx>
    <mdx n="0" f="v">
      <t c="3" fi="19">
        <n x="609"/>
        <n x="807"/>
        <n x="853"/>
      </t>
    </mdx>
    <mdx n="0" f="v">
      <t c="3" fi="19">
        <n x="609"/>
        <n x="807"/>
        <n x="19"/>
      </t>
    </mdx>
    <mdx n="0" f="v">
      <t c="3" fi="19">
        <n x="609"/>
        <n x="807"/>
        <n x="54"/>
      </t>
    </mdx>
    <mdx n="0" f="v">
      <t c="3" fi="19">
        <n x="609"/>
        <n x="807"/>
        <n x="78"/>
      </t>
    </mdx>
    <mdx n="0" f="v">
      <t c="3" fi="19">
        <n x="609"/>
        <n x="807"/>
        <n x="105"/>
      </t>
    </mdx>
    <mdx n="0" f="v">
      <t c="3" fi="19">
        <n x="609"/>
        <n x="807"/>
        <n x="135"/>
      </t>
    </mdx>
    <mdx n="0" f="v">
      <t c="3" fi="19">
        <n x="609"/>
        <n x="807"/>
        <n x="171"/>
      </t>
    </mdx>
    <mdx n="0" f="v">
      <t c="3" fi="19">
        <n x="609"/>
        <n x="807"/>
        <n x="192"/>
      </t>
    </mdx>
    <mdx n="0" f="v">
      <t c="3" fi="19">
        <n x="609"/>
        <n x="807"/>
        <n x="854"/>
      </t>
    </mdx>
    <mdx n="0" f="v">
      <t c="3" fi="19">
        <n x="609"/>
        <n x="807"/>
        <n x="157"/>
      </t>
    </mdx>
    <mdx n="0" f="v">
      <t c="3" fi="19">
        <n x="609"/>
        <n x="807"/>
        <n x="155"/>
      </t>
    </mdx>
    <mdx n="0" f="v">
      <t c="3" fi="19">
        <n x="609"/>
        <n x="807"/>
        <n x="810"/>
      </t>
    </mdx>
    <mdx n="0" f="v">
      <t c="3" fi="19">
        <n x="609"/>
        <n x="807"/>
        <n x="198"/>
      </t>
    </mdx>
    <mdx n="0" f="v">
      <t c="3" fi="19">
        <n x="609"/>
        <n x="807"/>
        <n x="811"/>
      </t>
    </mdx>
    <mdx n="0" f="v">
      <t c="3" fi="19">
        <n x="609"/>
        <n x="807"/>
        <n x="812"/>
      </t>
    </mdx>
  </mdxMetadata>
  <futureMetadata name="XLDAPR" count="1">
    <bk>
      <extLst>
        <ext uri="{bdbb8cdc-fa1e-496e-a857-3c3f30c029c3}">
          <xda:dynamicArrayProperties fDynamic="1" fCollapsed="0"/>
        </ext>
      </extLst>
    </bk>
  </futureMetadata>
  <cellMetadata count="1">
    <bk>
      <rc t="1" v="0"/>
    </bk>
  </cellMetadata>
  <valueMetadata count="18982">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8"/>
    </bk>
    <bk>
      <rc t="2" v="517"/>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bk>
      <rc t="2" v="628"/>
    </bk>
    <bk>
      <rc t="2" v="629"/>
    </bk>
    <bk>
      <rc t="2" v="630"/>
    </bk>
    <bk>
      <rc t="2" v="631"/>
    </bk>
    <bk>
      <rc t="2" v="632"/>
    </bk>
    <bk>
      <rc t="2" v="633"/>
    </bk>
    <bk>
      <rc t="2" v="634"/>
    </bk>
    <bk>
      <rc t="2" v="635"/>
    </bk>
    <bk>
      <rc t="2" v="636"/>
    </bk>
    <bk>
      <rc t="2" v="637"/>
    </bk>
    <bk>
      <rc t="2" v="638"/>
    </bk>
    <bk>
      <rc t="2" v="639"/>
    </bk>
    <bk>
      <rc t="2" v="640"/>
    </bk>
    <bk>
      <rc t="2" v="641"/>
    </bk>
    <bk>
      <rc t="2" v="642"/>
    </bk>
    <bk>
      <rc t="2" v="643"/>
    </bk>
    <bk>
      <rc t="2" v="644"/>
    </bk>
    <bk>
      <rc t="2" v="645"/>
    </bk>
    <bk>
      <rc t="2" v="646"/>
    </bk>
    <bk>
      <rc t="2" v="647"/>
    </bk>
    <bk>
      <rc t="2" v="648"/>
    </bk>
    <bk>
      <rc t="2" v="649"/>
    </bk>
    <bk>
      <rc t="2" v="650"/>
    </bk>
    <bk>
      <rc t="2" v="651"/>
    </bk>
    <bk>
      <rc t="2" v="652"/>
    </bk>
    <bk>
      <rc t="2" v="653"/>
    </bk>
    <bk>
      <rc t="2" v="654"/>
    </bk>
    <bk>
      <rc t="2" v="655"/>
    </bk>
    <bk>
      <rc t="2" v="656"/>
    </bk>
    <bk>
      <rc t="2" v="657"/>
    </bk>
    <bk>
      <rc t="2" v="658"/>
    </bk>
    <bk>
      <rc t="2" v="659"/>
    </bk>
    <bk>
      <rc t="2" v="660"/>
    </bk>
    <bk>
      <rc t="2" v="661"/>
    </bk>
    <bk>
      <rc t="2" v="662"/>
    </bk>
    <bk>
      <rc t="2" v="663"/>
    </bk>
    <bk>
      <rc t="2" v="664"/>
    </bk>
    <bk>
      <rc t="2" v="665"/>
    </bk>
    <bk>
      <rc t="2" v="666"/>
    </bk>
    <bk>
      <rc t="2" v="667"/>
    </bk>
    <bk>
      <rc t="2" v="668"/>
    </bk>
    <bk>
      <rc t="2" v="669"/>
    </bk>
    <bk>
      <rc t="2" v="670"/>
    </bk>
    <bk>
      <rc t="2" v="671"/>
    </bk>
    <bk>
      <rc t="2" v="672"/>
    </bk>
    <bk>
      <rc t="2" v="673"/>
    </bk>
    <bk>
      <rc t="2" v="674"/>
    </bk>
    <bk>
      <rc t="2" v="675"/>
    </bk>
    <bk>
      <rc t="2" v="676"/>
    </bk>
    <bk>
      <rc t="2" v="677"/>
    </bk>
    <bk>
      <rc t="2" v="678"/>
    </bk>
    <bk>
      <rc t="2" v="679"/>
    </bk>
    <bk>
      <rc t="2" v="680"/>
    </bk>
    <bk>
      <rc t="2" v="681"/>
    </bk>
    <bk>
      <rc t="2" v="682"/>
    </bk>
    <bk>
      <rc t="2" v="683"/>
    </bk>
    <bk>
      <rc t="2" v="684"/>
    </bk>
    <bk>
      <rc t="2" v="685"/>
    </bk>
    <bk>
      <rc t="2" v="686"/>
    </bk>
    <bk>
      <rc t="2" v="687"/>
    </bk>
    <bk>
      <rc t="2" v="688"/>
    </bk>
    <bk>
      <rc t="2" v="689"/>
    </bk>
    <bk>
      <rc t="2" v="690"/>
    </bk>
    <bk>
      <rc t="2" v="691"/>
    </bk>
    <bk>
      <rc t="2" v="692"/>
    </bk>
    <bk>
      <rc t="2" v="693"/>
    </bk>
    <bk>
      <rc t="2" v="694"/>
    </bk>
    <bk>
      <rc t="2" v="695"/>
    </bk>
    <bk>
      <rc t="2" v="696"/>
    </bk>
    <bk>
      <rc t="2" v="697"/>
    </bk>
    <bk>
      <rc t="2" v="698"/>
    </bk>
    <bk>
      <rc t="2" v="699"/>
    </bk>
    <bk>
      <rc t="2" v="700"/>
    </bk>
    <bk>
      <rc t="2" v="701"/>
    </bk>
    <bk>
      <rc t="2" v="702"/>
    </bk>
    <bk>
      <rc t="2" v="703"/>
    </bk>
    <bk>
      <rc t="2" v="704"/>
    </bk>
    <bk>
      <rc t="2" v="705"/>
    </bk>
    <bk>
      <rc t="2" v="706"/>
    </bk>
    <bk>
      <rc t="2" v="707"/>
    </bk>
    <bk>
      <rc t="2" v="708"/>
    </bk>
    <bk>
      <rc t="2" v="709"/>
    </bk>
    <bk>
      <rc t="2" v="710"/>
    </bk>
    <bk>
      <rc t="2" v="711"/>
    </bk>
    <bk>
      <rc t="2" v="712"/>
    </bk>
    <bk>
      <rc t="2" v="713"/>
    </bk>
    <bk>
      <rc t="2" v="714"/>
    </bk>
    <bk>
      <rc t="2" v="715"/>
    </bk>
    <bk>
      <rc t="2" v="716"/>
    </bk>
    <bk>
      <rc t="2" v="717"/>
    </bk>
    <bk>
      <rc t="2" v="718"/>
    </bk>
    <bk>
      <rc t="2" v="719"/>
    </bk>
    <bk>
      <rc t="2" v="720"/>
    </bk>
    <bk>
      <rc t="2" v="721"/>
    </bk>
    <bk>
      <rc t="2" v="722"/>
    </bk>
    <bk>
      <rc t="2" v="723"/>
    </bk>
    <bk>
      <rc t="2" v="724"/>
    </bk>
    <bk>
      <rc t="2" v="725"/>
    </bk>
    <bk>
      <rc t="2" v="726"/>
    </bk>
    <bk>
      <rc t="2" v="727"/>
    </bk>
    <bk>
      <rc t="2" v="728"/>
    </bk>
    <bk>
      <rc t="2" v="729"/>
    </bk>
    <bk>
      <rc t="2" v="730"/>
    </bk>
    <bk>
      <rc t="2" v="731"/>
    </bk>
    <bk>
      <rc t="2" v="732"/>
    </bk>
    <bk>
      <rc t="2" v="733"/>
    </bk>
    <bk>
      <rc t="2" v="734"/>
    </bk>
    <bk>
      <rc t="2" v="735"/>
    </bk>
    <bk>
      <rc t="2" v="736"/>
    </bk>
    <bk>
      <rc t="2" v="737"/>
    </bk>
    <bk>
      <rc t="2" v="738"/>
    </bk>
    <bk>
      <rc t="2" v="739"/>
    </bk>
    <bk>
      <rc t="2" v="740"/>
    </bk>
    <bk>
      <rc t="2" v="741"/>
    </bk>
    <bk>
      <rc t="2" v="742"/>
    </bk>
    <bk>
      <rc t="2" v="743"/>
    </bk>
    <bk>
      <rc t="2" v="744"/>
    </bk>
    <bk>
      <rc t="2" v="745"/>
    </bk>
    <bk>
      <rc t="2" v="746"/>
    </bk>
    <bk>
      <rc t="2" v="747"/>
    </bk>
    <bk>
      <rc t="2" v="748"/>
    </bk>
    <bk>
      <rc t="2" v="749"/>
    </bk>
    <bk>
      <rc t="2" v="750"/>
    </bk>
    <bk>
      <rc t="2" v="751"/>
    </bk>
    <bk>
      <rc t="2" v="752"/>
    </bk>
    <bk>
      <rc t="2" v="753"/>
    </bk>
    <bk>
      <rc t="2" v="754"/>
    </bk>
    <bk>
      <rc t="2" v="755"/>
    </bk>
    <bk>
      <rc t="2" v="756"/>
    </bk>
    <bk>
      <rc t="2" v="757"/>
    </bk>
    <bk>
      <rc t="2" v="758"/>
    </bk>
    <bk>
      <rc t="2" v="759"/>
    </bk>
    <bk>
      <rc t="2" v="760"/>
    </bk>
    <bk>
      <rc t="2" v="761"/>
    </bk>
    <bk>
      <rc t="2" v="762"/>
    </bk>
    <bk>
      <rc t="2" v="763"/>
    </bk>
    <bk>
      <rc t="2" v="764"/>
    </bk>
    <bk>
      <rc t="2" v="765"/>
    </bk>
    <bk>
      <rc t="2" v="766"/>
    </bk>
    <bk>
      <rc t="2" v="767"/>
    </bk>
    <bk>
      <rc t="2" v="768"/>
    </bk>
    <bk>
      <rc t="2" v="769"/>
    </bk>
    <bk>
      <rc t="2" v="770"/>
    </bk>
    <bk>
      <rc t="2" v="771"/>
    </bk>
    <bk>
      <rc t="2" v="772"/>
    </bk>
    <bk>
      <rc t="2" v="773"/>
    </bk>
    <bk>
      <rc t="2" v="774"/>
    </bk>
    <bk>
      <rc t="2" v="775"/>
    </bk>
    <bk>
      <rc t="2" v="776"/>
    </bk>
    <bk>
      <rc t="2" v="777"/>
    </bk>
    <bk>
      <rc t="2" v="778"/>
    </bk>
    <bk>
      <rc t="2" v="779"/>
    </bk>
    <bk>
      <rc t="2" v="780"/>
    </bk>
    <bk>
      <rc t="2" v="781"/>
    </bk>
    <bk>
      <rc t="2" v="782"/>
    </bk>
    <bk>
      <rc t="2" v="783"/>
    </bk>
    <bk>
      <rc t="2" v="784"/>
    </bk>
    <bk>
      <rc t="2" v="785"/>
    </bk>
    <bk>
      <rc t="2" v="786"/>
    </bk>
    <bk>
      <rc t="2" v="787"/>
    </bk>
    <bk>
      <rc t="2" v="788"/>
    </bk>
    <bk>
      <rc t="2" v="789"/>
    </bk>
    <bk>
      <rc t="2" v="790"/>
    </bk>
    <bk>
      <rc t="2" v="791"/>
    </bk>
    <bk>
      <rc t="2" v="792"/>
    </bk>
    <bk>
      <rc t="2" v="793"/>
    </bk>
    <bk>
      <rc t="2" v="794"/>
    </bk>
    <bk>
      <rc t="2" v="795"/>
    </bk>
    <bk>
      <rc t="2" v="796"/>
    </bk>
    <bk>
      <rc t="2" v="797"/>
    </bk>
    <bk>
      <rc t="2" v="798"/>
    </bk>
    <bk>
      <rc t="2" v="799"/>
    </bk>
    <bk>
      <rc t="2" v="800"/>
    </bk>
    <bk>
      <rc t="2" v="801"/>
    </bk>
    <bk>
      <rc t="2" v="802"/>
    </bk>
    <bk>
      <rc t="2" v="803"/>
    </bk>
    <bk>
      <rc t="2" v="804"/>
    </bk>
    <bk>
      <rc t="2" v="805"/>
    </bk>
    <bk>
      <rc t="2" v="806"/>
    </bk>
    <bk>
      <rc t="2" v="807"/>
    </bk>
    <bk>
      <rc t="2" v="808"/>
    </bk>
    <bk>
      <rc t="2" v="809"/>
    </bk>
    <bk>
      <rc t="2" v="810"/>
    </bk>
    <bk>
      <rc t="2" v="811"/>
    </bk>
    <bk>
      <rc t="2" v="812"/>
    </bk>
    <bk>
      <rc t="2" v="813"/>
    </bk>
    <bk>
      <rc t="2" v="814"/>
    </bk>
    <bk>
      <rc t="2" v="815"/>
    </bk>
    <bk>
      <rc t="2" v="816"/>
    </bk>
    <bk>
      <rc t="2" v="817"/>
    </bk>
    <bk>
      <rc t="2" v="818"/>
    </bk>
    <bk>
      <rc t="2" v="819"/>
    </bk>
    <bk>
      <rc t="2" v="820"/>
    </bk>
    <bk>
      <rc t="2" v="821"/>
    </bk>
    <bk>
      <rc t="2" v="822"/>
    </bk>
    <bk>
      <rc t="2" v="823"/>
    </bk>
    <bk>
      <rc t="2" v="824"/>
    </bk>
    <bk>
      <rc t="2" v="825"/>
    </bk>
    <bk>
      <rc t="2" v="826"/>
    </bk>
    <bk>
      <rc t="2" v="827"/>
    </bk>
    <bk>
      <rc t="2" v="828"/>
    </bk>
    <bk>
      <rc t="2" v="829"/>
    </bk>
    <bk>
      <rc t="2" v="830"/>
    </bk>
    <bk>
      <rc t="2" v="831"/>
    </bk>
    <bk>
      <rc t="2" v="832"/>
    </bk>
    <bk>
      <rc t="2" v="833"/>
    </bk>
    <bk>
      <rc t="2" v="834"/>
    </bk>
    <bk>
      <rc t="2" v="835"/>
    </bk>
    <bk>
      <rc t="2" v="836"/>
    </bk>
    <bk>
      <rc t="2" v="837"/>
    </bk>
    <bk>
      <rc t="2" v="838"/>
    </bk>
    <bk>
      <rc t="2" v="839"/>
    </bk>
    <bk>
      <rc t="2" v="840"/>
    </bk>
    <bk>
      <rc t="2" v="841"/>
    </bk>
    <bk>
      <rc t="2" v="842"/>
    </bk>
    <bk>
      <rc t="2" v="843"/>
    </bk>
    <bk>
      <rc t="2" v="844"/>
    </bk>
    <bk>
      <rc t="2" v="845"/>
    </bk>
    <bk>
      <rc t="2" v="846"/>
    </bk>
    <bk>
      <rc t="2" v="847"/>
    </bk>
    <bk>
      <rc t="2" v="848"/>
    </bk>
    <bk>
      <rc t="2" v="849"/>
    </bk>
    <bk>
      <rc t="2" v="850"/>
    </bk>
    <bk>
      <rc t="2" v="851"/>
    </bk>
    <bk>
      <rc t="2" v="852"/>
    </bk>
    <bk>
      <rc t="2" v="853"/>
    </bk>
    <bk>
      <rc t="2" v="854"/>
    </bk>
    <bk>
      <rc t="2" v="855"/>
    </bk>
    <bk>
      <rc t="2" v="856"/>
    </bk>
    <bk>
      <rc t="2" v="857"/>
    </bk>
    <bk>
      <rc t="2" v="858"/>
    </bk>
    <bk>
      <rc t="2" v="859"/>
    </bk>
    <bk>
      <rc t="2" v="860"/>
    </bk>
    <bk>
      <rc t="2" v="861"/>
    </bk>
    <bk>
      <rc t="2" v="862"/>
    </bk>
    <bk>
      <rc t="2" v="863"/>
    </bk>
    <bk>
      <rc t="2" v="864"/>
    </bk>
    <bk>
      <rc t="2" v="865"/>
    </bk>
    <bk>
      <rc t="2" v="866"/>
    </bk>
    <bk>
      <rc t="2" v="867"/>
    </bk>
    <bk>
      <rc t="2" v="868"/>
    </bk>
    <bk>
      <rc t="2" v="869"/>
    </bk>
    <bk>
      <rc t="2" v="870"/>
    </bk>
    <bk>
      <rc t="2" v="871"/>
    </bk>
    <bk>
      <rc t="2" v="872"/>
    </bk>
    <bk>
      <rc t="2" v="873"/>
    </bk>
    <bk>
      <rc t="2" v="874"/>
    </bk>
    <bk>
      <rc t="2" v="875"/>
    </bk>
    <bk>
      <rc t="2" v="876"/>
    </bk>
    <bk>
      <rc t="2" v="877"/>
    </bk>
    <bk>
      <rc t="2" v="878"/>
    </bk>
    <bk>
      <rc t="2" v="879"/>
    </bk>
    <bk>
      <rc t="2" v="880"/>
    </bk>
    <bk>
      <rc t="2" v="881"/>
    </bk>
    <bk>
      <rc t="2" v="882"/>
    </bk>
    <bk>
      <rc t="2" v="883"/>
    </bk>
    <bk>
      <rc t="2" v="884"/>
    </bk>
    <bk>
      <rc t="2" v="885"/>
    </bk>
    <bk>
      <rc t="2" v="886"/>
    </bk>
    <bk>
      <rc t="2" v="887"/>
    </bk>
    <bk>
      <rc t="2" v="888"/>
    </bk>
    <bk>
      <rc t="2" v="889"/>
    </bk>
    <bk>
      <rc t="2" v="890"/>
    </bk>
    <bk>
      <rc t="2" v="891"/>
    </bk>
    <bk>
      <rc t="2" v="892"/>
    </bk>
    <bk>
      <rc t="2" v="893"/>
    </bk>
    <bk>
      <rc t="2" v="894"/>
    </bk>
    <bk>
      <rc t="2" v="895"/>
    </bk>
    <bk>
      <rc t="2" v="896"/>
    </bk>
    <bk>
      <rc t="2" v="897"/>
    </bk>
    <bk>
      <rc t="2" v="898"/>
    </bk>
    <bk>
      <rc t="2" v="899"/>
    </bk>
    <bk>
      <rc t="2" v="900"/>
    </bk>
    <bk>
      <rc t="2" v="901"/>
    </bk>
    <bk>
      <rc t="2" v="902"/>
    </bk>
    <bk>
      <rc t="2" v="903"/>
    </bk>
    <bk>
      <rc t="2" v="904"/>
    </bk>
    <bk>
      <rc t="2" v="905"/>
    </bk>
    <bk>
      <rc t="2" v="906"/>
    </bk>
    <bk>
      <rc t="2" v="907"/>
    </bk>
    <bk>
      <rc t="2" v="908"/>
    </bk>
    <bk>
      <rc t="2" v="909"/>
    </bk>
    <bk>
      <rc t="2" v="910"/>
    </bk>
    <bk>
      <rc t="2" v="911"/>
    </bk>
    <bk>
      <rc t="2" v="912"/>
    </bk>
    <bk>
      <rc t="2" v="913"/>
    </bk>
    <bk>
      <rc t="2" v="914"/>
    </bk>
    <bk>
      <rc t="2" v="915"/>
    </bk>
    <bk>
      <rc t="2" v="916"/>
    </bk>
    <bk>
      <rc t="2" v="917"/>
    </bk>
    <bk>
      <rc t="2" v="918"/>
    </bk>
    <bk>
      <rc t="2" v="919"/>
    </bk>
    <bk>
      <rc t="2" v="920"/>
    </bk>
    <bk>
      <rc t="2" v="921"/>
    </bk>
    <bk>
      <rc t="2" v="922"/>
    </bk>
    <bk>
      <rc t="2" v="923"/>
    </bk>
    <bk>
      <rc t="2" v="924"/>
    </bk>
    <bk>
      <rc t="2" v="925"/>
    </bk>
    <bk>
      <rc t="2" v="926"/>
    </bk>
    <bk>
      <rc t="2" v="927"/>
    </bk>
    <bk>
      <rc t="2" v="928"/>
    </bk>
    <bk>
      <rc t="2" v="929"/>
    </bk>
    <bk>
      <rc t="2" v="930"/>
    </bk>
    <bk>
      <rc t="2" v="931"/>
    </bk>
    <bk>
      <rc t="2" v="932"/>
    </bk>
    <bk>
      <rc t="2" v="933"/>
    </bk>
    <bk>
      <rc t="2" v="934"/>
    </bk>
    <bk>
      <rc t="2" v="935"/>
    </bk>
    <bk>
      <rc t="2" v="936"/>
    </bk>
    <bk>
      <rc t="2" v="937"/>
    </bk>
    <bk>
      <rc t="2" v="938"/>
    </bk>
    <bk>
      <rc t="2" v="939"/>
    </bk>
    <bk>
      <rc t="2" v="940"/>
    </bk>
    <bk>
      <rc t="2" v="941"/>
    </bk>
    <bk>
      <rc t="2" v="942"/>
    </bk>
    <bk>
      <rc t="2" v="943"/>
    </bk>
    <bk>
      <rc t="2" v="944"/>
    </bk>
    <bk>
      <rc t="2" v="945"/>
    </bk>
    <bk>
      <rc t="2" v="946"/>
    </bk>
    <bk>
      <rc t="2" v="947"/>
    </bk>
    <bk>
      <rc t="2" v="948"/>
    </bk>
    <bk>
      <rc t="2" v="949"/>
    </bk>
    <bk>
      <rc t="2" v="950"/>
    </bk>
    <bk>
      <rc t="2" v="951"/>
    </bk>
    <bk>
      <rc t="2" v="952"/>
    </bk>
    <bk>
      <rc t="2" v="953"/>
    </bk>
    <bk>
      <rc t="2" v="954"/>
    </bk>
    <bk>
      <rc t="2" v="955"/>
    </bk>
    <bk>
      <rc t="2" v="956"/>
    </bk>
    <bk>
      <rc t="2" v="957"/>
    </bk>
    <bk>
      <rc t="2" v="958"/>
    </bk>
    <bk>
      <rc t="2" v="959"/>
    </bk>
    <bk>
      <rc t="2" v="960"/>
    </bk>
    <bk>
      <rc t="2" v="961"/>
    </bk>
    <bk>
      <rc t="2" v="962"/>
    </bk>
    <bk>
      <rc t="2" v="963"/>
    </bk>
    <bk>
      <rc t="2" v="964"/>
    </bk>
    <bk>
      <rc t="2" v="965"/>
    </bk>
    <bk>
      <rc t="2" v="966"/>
    </bk>
    <bk>
      <rc t="2" v="967"/>
    </bk>
    <bk>
      <rc t="2" v="968"/>
    </bk>
    <bk>
      <rc t="2" v="969"/>
    </bk>
    <bk>
      <rc t="2" v="970"/>
    </bk>
    <bk>
      <rc t="2" v="971"/>
    </bk>
    <bk>
      <rc t="2" v="972"/>
    </bk>
    <bk>
      <rc t="2" v="973"/>
    </bk>
    <bk>
      <rc t="2" v="974"/>
    </bk>
    <bk>
      <rc t="2" v="975"/>
    </bk>
    <bk>
      <rc t="2" v="976"/>
    </bk>
    <bk>
      <rc t="2" v="977"/>
    </bk>
    <bk>
      <rc t="2" v="978"/>
    </bk>
    <bk>
      <rc t="2" v="979"/>
    </bk>
    <bk>
      <rc t="2" v="980"/>
    </bk>
    <bk>
      <rc t="2" v="981"/>
    </bk>
    <bk>
      <rc t="2" v="982"/>
    </bk>
    <bk>
      <rc t="2" v="983"/>
    </bk>
    <bk>
      <rc t="2" v="984"/>
    </bk>
    <bk>
      <rc t="2" v="985"/>
    </bk>
    <bk>
      <rc t="2" v="986"/>
    </bk>
    <bk>
      <rc t="2" v="987"/>
    </bk>
    <bk>
      <rc t="2" v="988"/>
    </bk>
    <bk>
      <rc t="2" v="989"/>
    </bk>
    <bk>
      <rc t="2" v="990"/>
    </bk>
    <bk>
      <rc t="2" v="991"/>
    </bk>
    <bk>
      <rc t="2" v="992"/>
    </bk>
    <bk>
      <rc t="2" v="993"/>
    </bk>
    <bk>
      <rc t="2" v="994"/>
    </bk>
    <bk>
      <rc t="2" v="995"/>
    </bk>
    <bk>
      <rc t="2" v="996"/>
    </bk>
    <bk>
      <rc t="2" v="997"/>
    </bk>
    <bk>
      <rc t="2" v="998"/>
    </bk>
    <bk>
      <rc t="2" v="999"/>
    </bk>
    <bk>
      <rc t="2" v="1000"/>
    </bk>
    <bk>
      <rc t="2" v="1001"/>
    </bk>
    <bk>
      <rc t="2" v="1002"/>
    </bk>
    <bk>
      <rc t="2" v="1003"/>
    </bk>
    <bk>
      <rc t="2" v="1004"/>
    </bk>
    <bk>
      <rc t="2" v="1005"/>
    </bk>
    <bk>
      <rc t="2" v="1006"/>
    </bk>
    <bk>
      <rc t="2" v="1007"/>
    </bk>
    <bk>
      <rc t="2" v="1008"/>
    </bk>
    <bk>
      <rc t="2" v="1009"/>
    </bk>
    <bk>
      <rc t="2" v="1010"/>
    </bk>
    <bk>
      <rc t="2" v="1011"/>
    </bk>
    <bk>
      <rc t="2" v="1012"/>
    </bk>
    <bk>
      <rc t="2" v="1013"/>
    </bk>
    <bk>
      <rc t="2" v="1014"/>
    </bk>
    <bk>
      <rc t="2" v="1015"/>
    </bk>
    <bk>
      <rc t="2" v="1016"/>
    </bk>
    <bk>
      <rc t="2" v="1017"/>
    </bk>
    <bk>
      <rc t="2" v="1018"/>
    </bk>
    <bk>
      <rc t="2" v="1019"/>
    </bk>
    <bk>
      <rc t="2" v="1020"/>
    </bk>
    <bk>
      <rc t="2" v="1021"/>
    </bk>
    <bk>
      <rc t="2" v="1022"/>
    </bk>
    <bk>
      <rc t="2" v="1023"/>
    </bk>
    <bk>
      <rc t="2" v="1024"/>
    </bk>
    <bk>
      <rc t="2" v="1025"/>
    </bk>
    <bk>
      <rc t="2" v="1026"/>
    </bk>
    <bk>
      <rc t="2" v="1027"/>
    </bk>
    <bk>
      <rc t="2" v="1028"/>
    </bk>
    <bk>
      <rc t="2" v="1029"/>
    </bk>
    <bk>
      <rc t="2" v="1030"/>
    </bk>
    <bk>
      <rc t="2" v="1031"/>
    </bk>
    <bk>
      <rc t="2" v="1032"/>
    </bk>
    <bk>
      <rc t="2" v="1033"/>
    </bk>
    <bk>
      <rc t="2" v="1034"/>
    </bk>
    <bk>
      <rc t="2" v="1035"/>
    </bk>
    <bk>
      <rc t="2" v="1036"/>
    </bk>
    <bk>
      <rc t="2" v="1037"/>
    </bk>
    <bk>
      <rc t="2" v="1038"/>
    </bk>
    <bk>
      <rc t="2" v="1039"/>
    </bk>
    <bk>
      <rc t="2" v="1040"/>
    </bk>
    <bk>
      <rc t="2" v="1041"/>
    </bk>
    <bk>
      <rc t="2" v="1042"/>
    </bk>
    <bk>
      <rc t="2" v="1043"/>
    </bk>
    <bk>
      <rc t="2" v="1044"/>
    </bk>
    <bk>
      <rc t="2" v="1045"/>
    </bk>
    <bk>
      <rc t="2" v="1046"/>
    </bk>
    <bk>
      <rc t="2" v="1047"/>
    </bk>
    <bk>
      <rc t="2" v="1048"/>
    </bk>
    <bk>
      <rc t="2" v="1049"/>
    </bk>
    <bk>
      <rc t="2" v="1050"/>
    </bk>
    <bk>
      <rc t="2" v="1051"/>
    </bk>
    <bk>
      <rc t="2" v="1052"/>
    </bk>
    <bk>
      <rc t="2" v="1053"/>
    </bk>
    <bk>
      <rc t="2" v="1054"/>
    </bk>
    <bk>
      <rc t="2" v="1055"/>
    </bk>
    <bk>
      <rc t="2" v="1056"/>
    </bk>
    <bk>
      <rc t="2" v="1057"/>
    </bk>
    <bk>
      <rc t="2" v="1058"/>
    </bk>
    <bk>
      <rc t="2" v="1059"/>
    </bk>
    <bk>
      <rc t="2" v="1060"/>
    </bk>
    <bk>
      <rc t="2" v="1061"/>
    </bk>
    <bk>
      <rc t="2" v="1062"/>
    </bk>
    <bk>
      <rc t="2" v="1063"/>
    </bk>
    <bk>
      <rc t="2" v="1064"/>
    </bk>
    <bk>
      <rc t="2" v="1065"/>
    </bk>
    <bk>
      <rc t="2" v="1066"/>
    </bk>
    <bk>
      <rc t="2" v="1067"/>
    </bk>
    <bk>
      <rc t="2" v="1068"/>
    </bk>
    <bk>
      <rc t="2" v="1069"/>
    </bk>
    <bk>
      <rc t="2" v="1070"/>
    </bk>
    <bk>
      <rc t="2" v="1071"/>
    </bk>
    <bk>
      <rc t="2" v="1072"/>
    </bk>
    <bk>
      <rc t="2" v="1073"/>
    </bk>
    <bk>
      <rc t="2" v="1074"/>
    </bk>
    <bk>
      <rc t="2" v="1075"/>
    </bk>
    <bk>
      <rc t="2" v="1076"/>
    </bk>
    <bk>
      <rc t="2" v="1077"/>
    </bk>
    <bk>
      <rc t="2" v="1078"/>
    </bk>
    <bk>
      <rc t="2" v="1079"/>
    </bk>
    <bk>
      <rc t="2" v="1080"/>
    </bk>
    <bk>
      <rc t="2" v="1081"/>
    </bk>
    <bk>
      <rc t="2" v="1082"/>
    </bk>
    <bk>
      <rc t="2" v="1083"/>
    </bk>
    <bk>
      <rc t="2" v="1084"/>
    </bk>
    <bk>
      <rc t="2" v="1085"/>
    </bk>
    <bk>
      <rc t="2" v="1086"/>
    </bk>
    <bk>
      <rc t="2" v="1087"/>
    </bk>
    <bk>
      <rc t="2" v="1088"/>
    </bk>
    <bk>
      <rc t="2" v="1089"/>
    </bk>
    <bk>
      <rc t="2" v="1090"/>
    </bk>
    <bk>
      <rc t="2" v="1091"/>
    </bk>
    <bk>
      <rc t="2" v="1092"/>
    </bk>
    <bk>
      <rc t="2" v="1093"/>
    </bk>
    <bk>
      <rc t="2" v="1094"/>
    </bk>
    <bk>
      <rc t="2" v="1095"/>
    </bk>
    <bk>
      <rc t="2" v="1096"/>
    </bk>
    <bk>
      <rc t="2" v="1097"/>
    </bk>
    <bk>
      <rc t="2" v="1098"/>
    </bk>
    <bk>
      <rc t="2" v="1099"/>
    </bk>
    <bk>
      <rc t="2" v="1100"/>
    </bk>
    <bk>
      <rc t="2" v="1101"/>
    </bk>
    <bk>
      <rc t="2" v="1102"/>
    </bk>
    <bk>
      <rc t="2" v="1103"/>
    </bk>
    <bk>
      <rc t="2" v="1104"/>
    </bk>
    <bk>
      <rc t="2" v="1105"/>
    </bk>
    <bk>
      <rc t="2" v="1106"/>
    </bk>
    <bk>
      <rc t="2" v="1107"/>
    </bk>
    <bk>
      <rc t="2" v="1108"/>
    </bk>
    <bk>
      <rc t="2" v="1109"/>
    </bk>
    <bk>
      <rc t="2" v="1110"/>
    </bk>
    <bk>
      <rc t="2" v="1111"/>
    </bk>
    <bk>
      <rc t="2" v="1112"/>
    </bk>
    <bk>
      <rc t="2" v="1113"/>
    </bk>
    <bk>
      <rc t="2" v="1114"/>
    </bk>
    <bk>
      <rc t="2" v="1115"/>
    </bk>
    <bk>
      <rc t="2" v="1116"/>
    </bk>
    <bk>
      <rc t="2" v="1117"/>
    </bk>
    <bk>
      <rc t="2" v="1118"/>
    </bk>
    <bk>
      <rc t="2" v="1119"/>
    </bk>
    <bk>
      <rc t="2" v="1120"/>
    </bk>
    <bk>
      <rc t="2" v="1121"/>
    </bk>
    <bk>
      <rc t="2" v="1122"/>
    </bk>
    <bk>
      <rc t="2" v="1123"/>
    </bk>
    <bk>
      <rc t="2" v="1124"/>
    </bk>
    <bk>
      <rc t="2" v="1125"/>
    </bk>
    <bk>
      <rc t="2" v="1126"/>
    </bk>
    <bk>
      <rc t="2" v="1127"/>
    </bk>
    <bk>
      <rc t="2" v="1128"/>
    </bk>
    <bk>
      <rc t="2" v="1129"/>
    </bk>
    <bk>
      <rc t="2" v="1130"/>
    </bk>
    <bk>
      <rc t="2" v="1131"/>
    </bk>
    <bk>
      <rc t="2" v="1132"/>
    </bk>
    <bk>
      <rc t="2" v="1133"/>
    </bk>
    <bk>
      <rc t="2" v="1134"/>
    </bk>
    <bk>
      <rc t="2" v="1135"/>
    </bk>
    <bk>
      <rc t="2" v="1136"/>
    </bk>
    <bk>
      <rc t="2" v="1137"/>
    </bk>
    <bk>
      <rc t="2" v="1138"/>
    </bk>
    <bk>
      <rc t="2" v="1139"/>
    </bk>
    <bk>
      <rc t="2" v="1140"/>
    </bk>
    <bk>
      <rc t="2" v="1141"/>
    </bk>
    <bk>
      <rc t="2" v="1142"/>
    </bk>
    <bk>
      <rc t="2" v="1143"/>
    </bk>
    <bk>
      <rc t="2" v="1144"/>
    </bk>
    <bk>
      <rc t="2" v="1145"/>
    </bk>
    <bk>
      <rc t="2" v="1146"/>
    </bk>
    <bk>
      <rc t="2" v="1147"/>
    </bk>
    <bk>
      <rc t="2" v="1148"/>
    </bk>
    <bk>
      <rc t="2" v="1149"/>
    </bk>
    <bk>
      <rc t="2" v="1150"/>
    </bk>
    <bk>
      <rc t="2" v="1151"/>
    </bk>
    <bk>
      <rc t="2" v="1152"/>
    </bk>
    <bk>
      <rc t="2" v="1153"/>
    </bk>
    <bk>
      <rc t="2" v="1154"/>
    </bk>
    <bk>
      <rc t="2" v="1155"/>
    </bk>
    <bk>
      <rc t="2" v="1156"/>
    </bk>
    <bk>
      <rc t="2" v="1157"/>
    </bk>
    <bk>
      <rc t="2" v="1158"/>
    </bk>
    <bk>
      <rc t="2" v="1159"/>
    </bk>
    <bk>
      <rc t="2" v="1160"/>
    </bk>
    <bk>
      <rc t="2" v="1161"/>
    </bk>
    <bk>
      <rc t="2" v="1162"/>
    </bk>
    <bk>
      <rc t="2" v="1163"/>
    </bk>
    <bk>
      <rc t="2" v="1164"/>
    </bk>
    <bk>
      <rc t="2" v="1165"/>
    </bk>
    <bk>
      <rc t="2" v="1166"/>
    </bk>
    <bk>
      <rc t="2" v="1167"/>
    </bk>
    <bk>
      <rc t="2" v="1168"/>
    </bk>
    <bk>
      <rc t="2" v="1169"/>
    </bk>
    <bk>
      <rc t="2" v="1170"/>
    </bk>
    <bk>
      <rc t="2" v="1171"/>
    </bk>
    <bk>
      <rc t="2" v="1172"/>
    </bk>
    <bk>
      <rc t="2" v="1173"/>
    </bk>
    <bk>
      <rc t="2" v="1174"/>
    </bk>
    <bk>
      <rc t="2" v="1175"/>
    </bk>
    <bk>
      <rc t="2" v="1176"/>
    </bk>
    <bk>
      <rc t="2" v="1177"/>
    </bk>
    <bk>
      <rc t="2" v="1178"/>
    </bk>
    <bk>
      <rc t="2" v="1179"/>
    </bk>
    <bk>
      <rc t="2" v="1180"/>
    </bk>
    <bk>
      <rc t="2" v="1181"/>
    </bk>
    <bk>
      <rc t="2" v="1182"/>
    </bk>
    <bk>
      <rc t="2" v="1183"/>
    </bk>
    <bk>
      <rc t="2" v="1184"/>
    </bk>
    <bk>
      <rc t="2" v="1185"/>
    </bk>
    <bk>
      <rc t="2" v="1186"/>
    </bk>
    <bk>
      <rc t="2" v="1187"/>
    </bk>
    <bk>
      <rc t="2" v="1188"/>
    </bk>
    <bk>
      <rc t="2" v="1189"/>
    </bk>
    <bk>
      <rc t="2" v="1190"/>
    </bk>
    <bk>
      <rc t="2" v="1191"/>
    </bk>
    <bk>
      <rc t="2" v="1192"/>
    </bk>
    <bk>
      <rc t="2" v="1193"/>
    </bk>
    <bk>
      <rc t="2" v="1194"/>
    </bk>
    <bk>
      <rc t="2" v="1195"/>
    </bk>
    <bk>
      <rc t="2" v="1196"/>
    </bk>
    <bk>
      <rc t="2" v="1197"/>
    </bk>
    <bk>
      <rc t="2" v="1198"/>
    </bk>
    <bk>
      <rc t="2" v="1199"/>
    </bk>
    <bk>
      <rc t="2" v="1200"/>
    </bk>
    <bk>
      <rc t="2" v="1201"/>
    </bk>
    <bk>
      <rc t="2" v="1202"/>
    </bk>
    <bk>
      <rc t="2" v="1203"/>
    </bk>
    <bk>
      <rc t="2" v="1204"/>
    </bk>
    <bk>
      <rc t="2" v="1205"/>
    </bk>
    <bk>
      <rc t="2" v="1206"/>
    </bk>
    <bk>
      <rc t="2" v="1207"/>
    </bk>
    <bk>
      <rc t="2" v="1208"/>
    </bk>
    <bk>
      <rc t="2" v="1209"/>
    </bk>
    <bk>
      <rc t="2" v="1210"/>
    </bk>
    <bk>
      <rc t="2" v="1211"/>
    </bk>
    <bk>
      <rc t="2" v="1212"/>
    </bk>
    <bk>
      <rc t="2" v="1213"/>
    </bk>
    <bk>
      <rc t="2" v="1214"/>
    </bk>
    <bk>
      <rc t="2" v="1215"/>
    </bk>
    <bk>
      <rc t="2" v="1216"/>
    </bk>
    <bk>
      <rc t="2" v="1217"/>
    </bk>
    <bk>
      <rc t="2" v="1218"/>
    </bk>
    <bk>
      <rc t="2" v="1219"/>
    </bk>
    <bk>
      <rc t="2" v="1220"/>
    </bk>
    <bk>
      <rc t="2" v="1221"/>
    </bk>
    <bk>
      <rc t="2" v="1222"/>
    </bk>
    <bk>
      <rc t="2" v="1223"/>
    </bk>
    <bk>
      <rc t="2" v="1224"/>
    </bk>
    <bk>
      <rc t="2" v="1225"/>
    </bk>
    <bk>
      <rc t="2" v="1226"/>
    </bk>
    <bk>
      <rc t="2" v="1227"/>
    </bk>
    <bk>
      <rc t="2" v="1228"/>
    </bk>
    <bk>
      <rc t="2" v="1229"/>
    </bk>
    <bk>
      <rc t="2" v="1230"/>
    </bk>
    <bk>
      <rc t="2" v="1231"/>
    </bk>
    <bk>
      <rc t="2" v="1232"/>
    </bk>
    <bk>
      <rc t="2" v="1233"/>
    </bk>
    <bk>
      <rc t="2" v="1234"/>
    </bk>
    <bk>
      <rc t="2" v="1235"/>
    </bk>
    <bk>
      <rc t="2" v="1236"/>
    </bk>
    <bk>
      <rc t="2" v="1237"/>
    </bk>
    <bk>
      <rc t="2" v="1238"/>
    </bk>
    <bk>
      <rc t="2" v="1239"/>
    </bk>
    <bk>
      <rc t="2" v="1240"/>
    </bk>
    <bk>
      <rc t="2" v="1241"/>
    </bk>
    <bk>
      <rc t="2" v="1242"/>
    </bk>
    <bk>
      <rc t="2" v="1243"/>
    </bk>
    <bk>
      <rc t="2" v="1244"/>
    </bk>
    <bk>
      <rc t="2" v="1245"/>
    </bk>
    <bk>
      <rc t="2" v="1246"/>
    </bk>
    <bk>
      <rc t="2" v="1247"/>
    </bk>
    <bk>
      <rc t="2" v="1248"/>
    </bk>
    <bk>
      <rc t="2" v="1249"/>
    </bk>
    <bk>
      <rc t="2" v="1250"/>
    </bk>
    <bk>
      <rc t="2" v="1251"/>
    </bk>
    <bk>
      <rc t="2" v="1252"/>
    </bk>
    <bk>
      <rc t="2" v="1253"/>
    </bk>
    <bk>
      <rc t="2" v="1254"/>
    </bk>
    <bk>
      <rc t="2" v="1255"/>
    </bk>
    <bk>
      <rc t="2" v="1256"/>
    </bk>
    <bk>
      <rc t="2" v="1257"/>
    </bk>
    <bk>
      <rc t="2" v="1258"/>
    </bk>
    <bk>
      <rc t="2" v="1259"/>
    </bk>
    <bk>
      <rc t="2" v="1260"/>
    </bk>
    <bk>
      <rc t="2" v="1261"/>
    </bk>
    <bk>
      <rc t="2" v="1262"/>
    </bk>
    <bk>
      <rc t="2" v="1263"/>
    </bk>
    <bk>
      <rc t="2" v="1264"/>
    </bk>
    <bk>
      <rc t="2" v="1265"/>
    </bk>
    <bk>
      <rc t="2" v="1266"/>
    </bk>
    <bk>
      <rc t="2" v="1267"/>
    </bk>
    <bk>
      <rc t="2" v="1268"/>
    </bk>
    <bk>
      <rc t="2" v="1269"/>
    </bk>
    <bk>
      <rc t="2" v="1270"/>
    </bk>
    <bk>
      <rc t="2" v="1271"/>
    </bk>
    <bk>
      <rc t="2" v="1272"/>
    </bk>
    <bk>
      <rc t="2" v="1273"/>
    </bk>
    <bk>
      <rc t="2" v="1274"/>
    </bk>
    <bk>
      <rc t="2" v="1275"/>
    </bk>
    <bk>
      <rc t="2" v="1276"/>
    </bk>
    <bk>
      <rc t="2" v="1277"/>
    </bk>
    <bk>
      <rc t="2" v="1278"/>
    </bk>
    <bk>
      <rc t="2" v="1279"/>
    </bk>
    <bk>
      <rc t="2" v="1280"/>
    </bk>
    <bk>
      <rc t="2" v="1281"/>
    </bk>
    <bk>
      <rc t="2" v="1282"/>
    </bk>
    <bk>
      <rc t="2" v="1283"/>
    </bk>
    <bk>
      <rc t="2" v="1284"/>
    </bk>
    <bk>
      <rc t="2" v="1285"/>
    </bk>
    <bk>
      <rc t="2" v="1286"/>
    </bk>
    <bk>
      <rc t="2" v="1287"/>
    </bk>
    <bk>
      <rc t="2" v="1288"/>
    </bk>
    <bk>
      <rc t="2" v="1289"/>
    </bk>
    <bk>
      <rc t="2" v="1290"/>
    </bk>
    <bk>
      <rc t="2" v="1291"/>
    </bk>
    <bk>
      <rc t="2" v="1292"/>
    </bk>
    <bk>
      <rc t="2" v="1293"/>
    </bk>
    <bk>
      <rc t="2" v="1294"/>
    </bk>
    <bk>
      <rc t="2" v="1295"/>
    </bk>
    <bk>
      <rc t="2" v="1296"/>
    </bk>
    <bk>
      <rc t="2" v="1297"/>
    </bk>
    <bk>
      <rc t="2" v="1298"/>
    </bk>
    <bk>
      <rc t="2" v="1299"/>
    </bk>
    <bk>
      <rc t="2" v="1300"/>
    </bk>
    <bk>
      <rc t="2" v="1301"/>
    </bk>
    <bk>
      <rc t="2" v="1302"/>
    </bk>
    <bk>
      <rc t="2" v="1303"/>
    </bk>
    <bk>
      <rc t="2" v="1304"/>
    </bk>
    <bk>
      <rc t="2" v="1305"/>
    </bk>
    <bk>
      <rc t="2" v="1306"/>
    </bk>
    <bk>
      <rc t="2" v="1307"/>
    </bk>
    <bk>
      <rc t="2" v="1308"/>
    </bk>
    <bk>
      <rc t="2" v="1309"/>
    </bk>
    <bk>
      <rc t="2" v="1310"/>
    </bk>
    <bk>
      <rc t="2" v="1311"/>
    </bk>
    <bk>
      <rc t="2" v="1312"/>
    </bk>
    <bk>
      <rc t="2" v="1313"/>
    </bk>
    <bk>
      <rc t="2" v="1314"/>
    </bk>
    <bk>
      <rc t="2" v="1315"/>
    </bk>
    <bk>
      <rc t="2" v="1316"/>
    </bk>
    <bk>
      <rc t="2" v="1317"/>
    </bk>
    <bk>
      <rc t="2" v="1318"/>
    </bk>
    <bk>
      <rc t="2" v="1319"/>
    </bk>
    <bk>
      <rc t="2" v="1320"/>
    </bk>
    <bk>
      <rc t="2" v="1321"/>
    </bk>
    <bk>
      <rc t="2" v="1322"/>
    </bk>
    <bk>
      <rc t="2" v="1323"/>
    </bk>
    <bk>
      <rc t="2" v="1324"/>
    </bk>
    <bk>
      <rc t="2" v="1325"/>
    </bk>
    <bk>
      <rc t="2" v="1326"/>
    </bk>
    <bk>
      <rc t="2" v="1327"/>
    </bk>
    <bk>
      <rc t="2" v="1328"/>
    </bk>
    <bk>
      <rc t="2" v="1329"/>
    </bk>
    <bk>
      <rc t="2" v="1330"/>
    </bk>
    <bk>
      <rc t="2" v="1331"/>
    </bk>
    <bk>
      <rc t="2" v="1332"/>
    </bk>
    <bk>
      <rc t="2" v="1333"/>
    </bk>
    <bk>
      <rc t="2" v="1334"/>
    </bk>
    <bk>
      <rc t="2" v="1335"/>
    </bk>
    <bk>
      <rc t="2" v="1336"/>
    </bk>
    <bk>
      <rc t="2" v="1337"/>
    </bk>
    <bk>
      <rc t="2" v="1338"/>
    </bk>
    <bk>
      <rc t="2" v="1339"/>
    </bk>
    <bk>
      <rc t="2" v="1340"/>
    </bk>
    <bk>
      <rc t="2" v="1341"/>
    </bk>
    <bk>
      <rc t="2" v="1342"/>
    </bk>
    <bk>
      <rc t="2" v="1343"/>
    </bk>
    <bk>
      <rc t="2" v="1344"/>
    </bk>
    <bk>
      <rc t="2" v="1345"/>
    </bk>
    <bk>
      <rc t="2" v="1346"/>
    </bk>
    <bk>
      <rc t="2" v="1347"/>
    </bk>
    <bk>
      <rc t="2" v="1348"/>
    </bk>
    <bk>
      <rc t="2" v="1349"/>
    </bk>
    <bk>
      <rc t="2" v="1350"/>
    </bk>
    <bk>
      <rc t="2" v="1351"/>
    </bk>
    <bk>
      <rc t="2" v="1352"/>
    </bk>
    <bk>
      <rc t="2" v="1353"/>
    </bk>
    <bk>
      <rc t="2" v="1354"/>
    </bk>
    <bk>
      <rc t="2" v="1355"/>
    </bk>
    <bk>
      <rc t="2" v="1356"/>
    </bk>
    <bk>
      <rc t="2" v="1357"/>
    </bk>
    <bk>
      <rc t="2" v="1358"/>
    </bk>
    <bk>
      <rc t="2" v="1359"/>
    </bk>
    <bk>
      <rc t="2" v="1360"/>
    </bk>
    <bk>
      <rc t="2" v="1361"/>
    </bk>
    <bk>
      <rc t="2" v="1362"/>
    </bk>
    <bk>
      <rc t="2" v="1363"/>
    </bk>
    <bk>
      <rc t="2" v="1364"/>
    </bk>
    <bk>
      <rc t="2" v="1365"/>
    </bk>
    <bk>
      <rc t="2" v="1366"/>
    </bk>
    <bk>
      <rc t="2" v="1367"/>
    </bk>
    <bk>
      <rc t="2" v="1368"/>
    </bk>
    <bk>
      <rc t="2" v="1369"/>
    </bk>
    <bk>
      <rc t="2" v="1370"/>
    </bk>
    <bk>
      <rc t="2" v="1371"/>
    </bk>
    <bk>
      <rc t="2" v="1372"/>
    </bk>
    <bk>
      <rc t="2" v="1373"/>
    </bk>
    <bk>
      <rc t="2" v="1374"/>
    </bk>
    <bk>
      <rc t="2" v="1375"/>
    </bk>
    <bk>
      <rc t="2" v="1376"/>
    </bk>
    <bk>
      <rc t="2" v="1377"/>
    </bk>
    <bk>
      <rc t="2" v="1378"/>
    </bk>
    <bk>
      <rc t="2" v="1379"/>
    </bk>
    <bk>
      <rc t="2" v="1380"/>
    </bk>
    <bk>
      <rc t="2" v="1381"/>
    </bk>
    <bk>
      <rc t="2" v="1382"/>
    </bk>
    <bk>
      <rc t="2" v="1383"/>
    </bk>
    <bk>
      <rc t="2" v="1384"/>
    </bk>
    <bk>
      <rc t="2" v="1385"/>
    </bk>
    <bk>
      <rc t="2" v="1386"/>
    </bk>
    <bk>
      <rc t="2" v="1387"/>
    </bk>
    <bk>
      <rc t="2" v="1388"/>
    </bk>
    <bk>
      <rc t="2" v="1389"/>
    </bk>
    <bk>
      <rc t="2" v="1390"/>
    </bk>
    <bk>
      <rc t="2" v="1391"/>
    </bk>
    <bk>
      <rc t="2" v="1392"/>
    </bk>
    <bk>
      <rc t="2" v="1393"/>
    </bk>
    <bk>
      <rc t="2" v="1394"/>
    </bk>
    <bk>
      <rc t="2" v="1395"/>
    </bk>
    <bk>
      <rc t="2" v="1396"/>
    </bk>
    <bk>
      <rc t="2" v="1397"/>
    </bk>
    <bk>
      <rc t="2" v="1398"/>
    </bk>
    <bk>
      <rc t="2" v="1399"/>
    </bk>
    <bk>
      <rc t="2" v="1400"/>
    </bk>
    <bk>
      <rc t="2" v="1401"/>
    </bk>
    <bk>
      <rc t="2" v="1402"/>
    </bk>
    <bk>
      <rc t="2" v="1403"/>
    </bk>
    <bk>
      <rc t="2" v="1404"/>
    </bk>
    <bk>
      <rc t="2" v="1405"/>
    </bk>
    <bk>
      <rc t="2" v="1406"/>
    </bk>
    <bk>
      <rc t="2" v="1407"/>
    </bk>
    <bk>
      <rc t="2" v="1408"/>
    </bk>
    <bk>
      <rc t="2" v="1409"/>
    </bk>
    <bk>
      <rc t="2" v="1410"/>
    </bk>
    <bk>
      <rc t="2" v="1411"/>
    </bk>
    <bk>
      <rc t="2" v="1412"/>
    </bk>
    <bk>
      <rc t="2" v="1413"/>
    </bk>
    <bk>
      <rc t="2" v="1414"/>
    </bk>
    <bk>
      <rc t="2" v="1415"/>
    </bk>
    <bk>
      <rc t="2" v="1416"/>
    </bk>
    <bk>
      <rc t="2" v="1417"/>
    </bk>
    <bk>
      <rc t="2" v="1418"/>
    </bk>
    <bk>
      <rc t="2" v="1419"/>
    </bk>
    <bk>
      <rc t="2" v="1420"/>
    </bk>
    <bk>
      <rc t="2" v="1421"/>
    </bk>
    <bk>
      <rc t="2" v="1422"/>
    </bk>
    <bk>
      <rc t="2" v="1423"/>
    </bk>
    <bk>
      <rc t="2" v="1424"/>
    </bk>
    <bk>
      <rc t="2" v="1425"/>
    </bk>
    <bk>
      <rc t="2" v="1426"/>
    </bk>
    <bk>
      <rc t="2" v="1427"/>
    </bk>
    <bk>
      <rc t="2" v="1428"/>
    </bk>
    <bk>
      <rc t="2" v="1429"/>
    </bk>
    <bk>
      <rc t="2" v="1430"/>
    </bk>
    <bk>
      <rc t="2" v="1431"/>
    </bk>
    <bk>
      <rc t="2" v="1432"/>
    </bk>
    <bk>
      <rc t="2" v="1433"/>
    </bk>
    <bk>
      <rc t="2" v="1434"/>
    </bk>
    <bk>
      <rc t="2" v="1435"/>
    </bk>
    <bk>
      <rc t="2" v="1436"/>
    </bk>
    <bk>
      <rc t="2" v="1437"/>
    </bk>
    <bk>
      <rc t="2" v="1438"/>
    </bk>
    <bk>
      <rc t="2" v="1439"/>
    </bk>
    <bk>
      <rc t="2" v="1440"/>
    </bk>
    <bk>
      <rc t="2" v="1441"/>
    </bk>
    <bk>
      <rc t="2" v="1442"/>
    </bk>
    <bk>
      <rc t="2" v="1443"/>
    </bk>
    <bk>
      <rc t="2" v="1444"/>
    </bk>
    <bk>
      <rc t="2" v="1445"/>
    </bk>
    <bk>
      <rc t="2" v="1446"/>
    </bk>
    <bk>
      <rc t="2" v="1447"/>
    </bk>
    <bk>
      <rc t="2" v="1448"/>
    </bk>
    <bk>
      <rc t="2" v="1449"/>
    </bk>
    <bk>
      <rc t="2" v="1450"/>
    </bk>
    <bk>
      <rc t="2" v="1451"/>
    </bk>
    <bk>
      <rc t="2" v="1452"/>
    </bk>
    <bk>
      <rc t="2" v="1453"/>
    </bk>
    <bk>
      <rc t="2" v="1454"/>
    </bk>
    <bk>
      <rc t="2" v="1455"/>
    </bk>
    <bk>
      <rc t="2" v="1456"/>
    </bk>
    <bk>
      <rc t="2" v="1457"/>
    </bk>
    <bk>
      <rc t="2" v="1458"/>
    </bk>
    <bk>
      <rc t="2" v="1459"/>
    </bk>
    <bk>
      <rc t="2" v="1460"/>
    </bk>
    <bk>
      <rc t="2" v="1461"/>
    </bk>
    <bk>
      <rc t="2" v="1462"/>
    </bk>
    <bk>
      <rc t="2" v="1463"/>
    </bk>
    <bk>
      <rc t="2" v="1464"/>
    </bk>
    <bk>
      <rc t="2" v="1465"/>
    </bk>
    <bk>
      <rc t="2" v="1466"/>
    </bk>
    <bk>
      <rc t="2" v="1467"/>
    </bk>
    <bk>
      <rc t="2" v="1468"/>
    </bk>
    <bk>
      <rc t="2" v="1469"/>
    </bk>
    <bk>
      <rc t="2" v="1470"/>
    </bk>
    <bk>
      <rc t="2" v="1471"/>
    </bk>
    <bk>
      <rc t="2" v="1472"/>
    </bk>
    <bk>
      <rc t="2" v="1473"/>
    </bk>
    <bk>
      <rc t="2" v="1474"/>
    </bk>
    <bk>
      <rc t="2" v="1475"/>
    </bk>
    <bk>
      <rc t="2" v="1476"/>
    </bk>
    <bk>
      <rc t="2" v="1477"/>
    </bk>
    <bk>
      <rc t="2" v="1478"/>
    </bk>
    <bk>
      <rc t="2" v="1479"/>
    </bk>
    <bk>
      <rc t="2" v="1480"/>
    </bk>
    <bk>
      <rc t="2" v="1481"/>
    </bk>
    <bk>
      <rc t="2" v="1482"/>
    </bk>
    <bk>
      <rc t="2" v="1483"/>
    </bk>
    <bk>
      <rc t="2" v="1484"/>
    </bk>
    <bk>
      <rc t="2" v="1485"/>
    </bk>
    <bk>
      <rc t="2" v="1486"/>
    </bk>
    <bk>
      <rc t="2" v="1487"/>
    </bk>
    <bk>
      <rc t="2" v="1488"/>
    </bk>
    <bk>
      <rc t="2" v="1489"/>
    </bk>
    <bk>
      <rc t="2" v="1490"/>
    </bk>
    <bk>
      <rc t="2" v="1491"/>
    </bk>
    <bk>
      <rc t="2" v="1492"/>
    </bk>
    <bk>
      <rc t="2" v="1493"/>
    </bk>
    <bk>
      <rc t="2" v="1494"/>
    </bk>
    <bk>
      <rc t="2" v="1495"/>
    </bk>
    <bk>
      <rc t="2" v="1496"/>
    </bk>
    <bk>
      <rc t="2" v="1497"/>
    </bk>
    <bk>
      <rc t="2" v="1498"/>
    </bk>
    <bk>
      <rc t="2" v="1499"/>
    </bk>
    <bk>
      <rc t="2" v="1500"/>
    </bk>
    <bk>
      <rc t="2" v="1501"/>
    </bk>
    <bk>
      <rc t="2" v="1502"/>
    </bk>
    <bk>
      <rc t="2" v="1503"/>
    </bk>
    <bk>
      <rc t="2" v="1504"/>
    </bk>
    <bk>
      <rc t="2" v="1505"/>
    </bk>
    <bk>
      <rc t="2" v="1506"/>
    </bk>
    <bk>
      <rc t="2" v="1507"/>
    </bk>
    <bk>
      <rc t="2" v="1508"/>
    </bk>
    <bk>
      <rc t="2" v="1509"/>
    </bk>
    <bk>
      <rc t="2" v="1510"/>
    </bk>
    <bk>
      <rc t="2" v="1511"/>
    </bk>
    <bk>
      <rc t="2" v="1512"/>
    </bk>
    <bk>
      <rc t="2" v="1513"/>
    </bk>
    <bk>
      <rc t="2" v="1514"/>
    </bk>
    <bk>
      <rc t="2" v="1515"/>
    </bk>
    <bk>
      <rc t="2" v="1516"/>
    </bk>
    <bk>
      <rc t="2" v="1517"/>
    </bk>
    <bk>
      <rc t="2" v="1518"/>
    </bk>
    <bk>
      <rc t="2" v="1519"/>
    </bk>
    <bk>
      <rc t="2" v="1520"/>
    </bk>
    <bk>
      <rc t="2" v="1521"/>
    </bk>
    <bk>
      <rc t="2" v="1522"/>
    </bk>
    <bk>
      <rc t="2" v="1523"/>
    </bk>
    <bk>
      <rc t="2" v="1524"/>
    </bk>
    <bk>
      <rc t="2" v="1525"/>
    </bk>
    <bk>
      <rc t="2" v="1526"/>
    </bk>
    <bk>
      <rc t="2" v="1527"/>
    </bk>
    <bk>
      <rc t="2" v="1528"/>
    </bk>
    <bk>
      <rc t="2" v="1529"/>
    </bk>
    <bk>
      <rc t="2" v="1530"/>
    </bk>
    <bk>
      <rc t="2" v="1531"/>
    </bk>
    <bk>
      <rc t="2" v="1532"/>
    </bk>
    <bk>
      <rc t="2" v="1533"/>
    </bk>
    <bk>
      <rc t="2" v="1534"/>
    </bk>
    <bk>
      <rc t="2" v="1535"/>
    </bk>
    <bk>
      <rc t="2" v="1536"/>
    </bk>
    <bk>
      <rc t="2" v="1537"/>
    </bk>
    <bk>
      <rc t="2" v="1538"/>
    </bk>
    <bk>
      <rc t="2" v="1539"/>
    </bk>
    <bk>
      <rc t="2" v="1540"/>
    </bk>
    <bk>
      <rc t="2" v="1541"/>
    </bk>
    <bk>
      <rc t="2" v="1542"/>
    </bk>
    <bk>
      <rc t="2" v="1543"/>
    </bk>
    <bk>
      <rc t="2" v="1544"/>
    </bk>
    <bk>
      <rc t="2" v="1545"/>
    </bk>
    <bk>
      <rc t="2" v="1546"/>
    </bk>
    <bk>
      <rc t="2" v="1547"/>
    </bk>
    <bk>
      <rc t="2" v="1548"/>
    </bk>
    <bk>
      <rc t="2" v="1549"/>
    </bk>
    <bk>
      <rc t="2" v="1550"/>
    </bk>
    <bk>
      <rc t="2" v="1551"/>
    </bk>
    <bk>
      <rc t="2" v="1552"/>
    </bk>
    <bk>
      <rc t="2" v="1553"/>
    </bk>
    <bk>
      <rc t="2" v="1554"/>
    </bk>
    <bk>
      <rc t="2" v="1555"/>
    </bk>
    <bk>
      <rc t="2" v="1556"/>
    </bk>
    <bk>
      <rc t="2" v="1557"/>
    </bk>
    <bk>
      <rc t="2" v="1558"/>
    </bk>
    <bk>
      <rc t="2" v="1559"/>
    </bk>
    <bk>
      <rc t="2" v="1560"/>
    </bk>
    <bk>
      <rc t="2" v="1561"/>
    </bk>
    <bk>
      <rc t="2" v="1562"/>
    </bk>
    <bk>
      <rc t="2" v="1563"/>
    </bk>
    <bk>
      <rc t="2" v="1564"/>
    </bk>
    <bk>
      <rc t="2" v="1565"/>
    </bk>
    <bk>
      <rc t="2" v="1566"/>
    </bk>
    <bk>
      <rc t="2" v="1567"/>
    </bk>
    <bk>
      <rc t="2" v="1568"/>
    </bk>
    <bk>
      <rc t="2" v="1569"/>
    </bk>
    <bk>
      <rc t="2" v="1570"/>
    </bk>
    <bk>
      <rc t="2" v="1571"/>
    </bk>
    <bk>
      <rc t="2" v="1572"/>
    </bk>
    <bk>
      <rc t="2" v="1573"/>
    </bk>
    <bk>
      <rc t="2" v="1574"/>
    </bk>
    <bk>
      <rc t="2" v="1575"/>
    </bk>
    <bk>
      <rc t="2" v="1576"/>
    </bk>
    <bk>
      <rc t="2" v="1577"/>
    </bk>
    <bk>
      <rc t="2" v="1578"/>
    </bk>
    <bk>
      <rc t="2" v="1579"/>
    </bk>
    <bk>
      <rc t="2" v="1580"/>
    </bk>
    <bk>
      <rc t="2" v="1581"/>
    </bk>
    <bk>
      <rc t="2" v="1582"/>
    </bk>
    <bk>
      <rc t="2" v="1583"/>
    </bk>
    <bk>
      <rc t="2" v="1584"/>
    </bk>
    <bk>
      <rc t="2" v="1585"/>
    </bk>
    <bk>
      <rc t="2" v="1586"/>
    </bk>
    <bk>
      <rc t="2" v="1587"/>
    </bk>
    <bk>
      <rc t="2" v="1588"/>
    </bk>
    <bk>
      <rc t="2" v="1589"/>
    </bk>
    <bk>
      <rc t="2" v="1590"/>
    </bk>
    <bk>
      <rc t="2" v="1591"/>
    </bk>
    <bk>
      <rc t="2" v="1592"/>
    </bk>
    <bk>
      <rc t="2" v="1593"/>
    </bk>
    <bk>
      <rc t="2" v="1594"/>
    </bk>
    <bk>
      <rc t="2" v="1595"/>
    </bk>
    <bk>
      <rc t="2" v="1596"/>
    </bk>
    <bk>
      <rc t="2" v="1597"/>
    </bk>
    <bk>
      <rc t="2" v="1598"/>
    </bk>
    <bk>
      <rc t="2" v="1599"/>
    </bk>
    <bk>
      <rc t="2" v="1600"/>
    </bk>
    <bk>
      <rc t="2" v="1601"/>
    </bk>
    <bk>
      <rc t="2" v="1602"/>
    </bk>
    <bk>
      <rc t="2" v="1603"/>
    </bk>
    <bk>
      <rc t="2" v="1604"/>
    </bk>
    <bk>
      <rc t="2" v="1605"/>
    </bk>
    <bk>
      <rc t="2" v="1606"/>
    </bk>
    <bk>
      <rc t="2" v="1607"/>
    </bk>
    <bk>
      <rc t="2" v="1608"/>
    </bk>
    <bk>
      <rc t="2" v="1609"/>
    </bk>
    <bk>
      <rc t="2" v="1610"/>
    </bk>
    <bk>
      <rc t="2" v="1611"/>
    </bk>
    <bk>
      <rc t="2" v="1612"/>
    </bk>
    <bk>
      <rc t="2" v="1613"/>
    </bk>
    <bk>
      <rc t="2" v="1614"/>
    </bk>
    <bk>
      <rc t="2" v="1615"/>
    </bk>
    <bk>
      <rc t="2" v="1616"/>
    </bk>
    <bk>
      <rc t="2" v="1617"/>
    </bk>
    <bk>
      <rc t="2" v="1618"/>
    </bk>
    <bk>
      <rc t="2" v="1619"/>
    </bk>
    <bk>
      <rc t="2" v="1620"/>
    </bk>
    <bk>
      <rc t="2" v="1621"/>
    </bk>
    <bk>
      <rc t="2" v="1622"/>
    </bk>
    <bk>
      <rc t="2" v="1623"/>
    </bk>
    <bk>
      <rc t="2" v="1624"/>
    </bk>
    <bk>
      <rc t="2" v="1625"/>
    </bk>
    <bk>
      <rc t="2" v="1626"/>
    </bk>
    <bk>
      <rc t="2" v="1627"/>
    </bk>
    <bk>
      <rc t="2" v="1628"/>
    </bk>
    <bk>
      <rc t="2" v="1629"/>
    </bk>
    <bk>
      <rc t="2" v="1630"/>
    </bk>
    <bk>
      <rc t="2" v="1631"/>
    </bk>
    <bk>
      <rc t="2" v="1632"/>
    </bk>
    <bk>
      <rc t="2" v="1633"/>
    </bk>
    <bk>
      <rc t="2" v="1634"/>
    </bk>
    <bk>
      <rc t="2" v="1635"/>
    </bk>
    <bk>
      <rc t="2" v="1636"/>
    </bk>
    <bk>
      <rc t="2" v="1637"/>
    </bk>
    <bk>
      <rc t="2" v="1638"/>
    </bk>
    <bk>
      <rc t="2" v="1639"/>
    </bk>
    <bk>
      <rc t="2" v="1640"/>
    </bk>
    <bk>
      <rc t="2" v="1641"/>
    </bk>
    <bk>
      <rc t="2" v="1642"/>
    </bk>
    <bk>
      <rc t="2" v="1643"/>
    </bk>
    <bk>
      <rc t="2" v="1644"/>
    </bk>
    <bk>
      <rc t="2" v="1645"/>
    </bk>
    <bk>
      <rc t="2" v="1646"/>
    </bk>
    <bk>
      <rc t="2" v="1647"/>
    </bk>
    <bk>
      <rc t="2" v="1648"/>
    </bk>
    <bk>
      <rc t="2" v="1649"/>
    </bk>
    <bk>
      <rc t="2" v="1650"/>
    </bk>
    <bk>
      <rc t="2" v="1651"/>
    </bk>
    <bk>
      <rc t="2" v="1652"/>
    </bk>
    <bk>
      <rc t="2" v="1653"/>
    </bk>
    <bk>
      <rc t="2" v="1654"/>
    </bk>
    <bk>
      <rc t="2" v="1655"/>
    </bk>
    <bk>
      <rc t="2" v="1656"/>
    </bk>
    <bk>
      <rc t="2" v="1657"/>
    </bk>
    <bk>
      <rc t="2" v="1658"/>
    </bk>
    <bk>
      <rc t="2" v="1659"/>
    </bk>
    <bk>
      <rc t="2" v="1660"/>
    </bk>
    <bk>
      <rc t="2" v="1661"/>
    </bk>
    <bk>
      <rc t="2" v="1662"/>
    </bk>
    <bk>
      <rc t="2" v="1663"/>
    </bk>
    <bk>
      <rc t="2" v="1664"/>
    </bk>
    <bk>
      <rc t="2" v="1665"/>
    </bk>
    <bk>
      <rc t="2" v="1666"/>
    </bk>
    <bk>
      <rc t="2" v="1667"/>
    </bk>
    <bk>
      <rc t="2" v="1668"/>
    </bk>
    <bk>
      <rc t="2" v="1669"/>
    </bk>
    <bk>
      <rc t="2" v="1670"/>
    </bk>
    <bk>
      <rc t="2" v="1671"/>
    </bk>
    <bk>
      <rc t="2" v="1672"/>
    </bk>
    <bk>
      <rc t="2" v="1673"/>
    </bk>
    <bk>
      <rc t="2" v="1674"/>
    </bk>
    <bk>
      <rc t="2" v="1675"/>
    </bk>
    <bk>
      <rc t="2" v="1676"/>
    </bk>
    <bk>
      <rc t="2" v="1677"/>
    </bk>
    <bk>
      <rc t="2" v="1678"/>
    </bk>
    <bk>
      <rc t="2" v="1679"/>
    </bk>
    <bk>
      <rc t="2" v="1680"/>
    </bk>
    <bk>
      <rc t="2" v="1681"/>
    </bk>
    <bk>
      <rc t="2" v="1682"/>
    </bk>
    <bk>
      <rc t="2" v="1683"/>
    </bk>
    <bk>
      <rc t="2" v="1684"/>
    </bk>
    <bk>
      <rc t="2" v="1685"/>
    </bk>
    <bk>
      <rc t="2" v="1686"/>
    </bk>
    <bk>
      <rc t="2" v="1687"/>
    </bk>
    <bk>
      <rc t="2" v="1688"/>
    </bk>
    <bk>
      <rc t="2" v="1689"/>
    </bk>
    <bk>
      <rc t="2" v="1690"/>
    </bk>
    <bk>
      <rc t="2" v="1691"/>
    </bk>
    <bk>
      <rc t="2" v="1692"/>
    </bk>
    <bk>
      <rc t="2" v="1693"/>
    </bk>
    <bk>
      <rc t="2" v="1694"/>
    </bk>
    <bk>
      <rc t="2" v="1695"/>
    </bk>
    <bk>
      <rc t="2" v="1696"/>
    </bk>
    <bk>
      <rc t="2" v="1697"/>
    </bk>
    <bk>
      <rc t="2" v="1698"/>
    </bk>
    <bk>
      <rc t="2" v="1699"/>
    </bk>
    <bk>
      <rc t="2" v="1700"/>
    </bk>
    <bk>
      <rc t="2" v="1701"/>
    </bk>
    <bk>
      <rc t="2" v="1702"/>
    </bk>
    <bk>
      <rc t="2" v="1703"/>
    </bk>
    <bk>
      <rc t="2" v="1704"/>
    </bk>
    <bk>
      <rc t="2" v="1705"/>
    </bk>
    <bk>
      <rc t="2" v="1706"/>
    </bk>
    <bk>
      <rc t="2" v="1707"/>
    </bk>
    <bk>
      <rc t="2" v="1708"/>
    </bk>
    <bk>
      <rc t="2" v="1709"/>
    </bk>
    <bk>
      <rc t="2" v="1710"/>
    </bk>
    <bk>
      <rc t="2" v="1711"/>
    </bk>
    <bk>
      <rc t="2" v="1712"/>
    </bk>
    <bk>
      <rc t="2" v="1713"/>
    </bk>
    <bk>
      <rc t="2" v="1714"/>
    </bk>
    <bk>
      <rc t="2" v="1715"/>
    </bk>
    <bk>
      <rc t="2" v="1716"/>
    </bk>
    <bk>
      <rc t="2" v="1717"/>
    </bk>
    <bk>
      <rc t="2" v="1718"/>
    </bk>
    <bk>
      <rc t="2" v="1719"/>
    </bk>
    <bk>
      <rc t="2" v="1720"/>
    </bk>
    <bk>
      <rc t="2" v="1721"/>
    </bk>
    <bk>
      <rc t="2" v="1722"/>
    </bk>
    <bk>
      <rc t="2" v="1723"/>
    </bk>
    <bk>
      <rc t="2" v="1724"/>
    </bk>
    <bk>
      <rc t="2" v="1725"/>
    </bk>
    <bk>
      <rc t="2" v="1726"/>
    </bk>
    <bk>
      <rc t="2" v="1727"/>
    </bk>
    <bk>
      <rc t="2" v="1728"/>
    </bk>
    <bk>
      <rc t="2" v="1729"/>
    </bk>
    <bk>
      <rc t="2" v="1730"/>
    </bk>
    <bk>
      <rc t="2" v="1731"/>
    </bk>
    <bk>
      <rc t="2" v="1732"/>
    </bk>
    <bk>
      <rc t="2" v="1733"/>
    </bk>
    <bk>
      <rc t="2" v="1734"/>
    </bk>
    <bk>
      <rc t="2" v="1735"/>
    </bk>
    <bk>
      <rc t="2" v="1736"/>
    </bk>
    <bk>
      <rc t="2" v="1737"/>
    </bk>
    <bk>
      <rc t="2" v="1738"/>
    </bk>
    <bk>
      <rc t="2" v="1739"/>
    </bk>
    <bk>
      <rc t="2" v="1740"/>
    </bk>
    <bk>
      <rc t="2" v="1741"/>
    </bk>
    <bk>
      <rc t="2" v="1742"/>
    </bk>
    <bk>
      <rc t="2" v="1743"/>
    </bk>
    <bk>
      <rc t="2" v="1744"/>
    </bk>
    <bk>
      <rc t="2" v="1745"/>
    </bk>
    <bk>
      <rc t="2" v="1746"/>
    </bk>
    <bk>
      <rc t="2" v="1747"/>
    </bk>
    <bk>
      <rc t="2" v="1748"/>
    </bk>
    <bk>
      <rc t="2" v="1749"/>
    </bk>
    <bk>
      <rc t="2" v="1750"/>
    </bk>
    <bk>
      <rc t="2" v="1751"/>
    </bk>
    <bk>
      <rc t="2" v="1752"/>
    </bk>
    <bk>
      <rc t="2" v="1753"/>
    </bk>
    <bk>
      <rc t="2" v="1754"/>
    </bk>
    <bk>
      <rc t="2" v="1755"/>
    </bk>
    <bk>
      <rc t="2" v="1756"/>
    </bk>
    <bk>
      <rc t="2" v="1757"/>
    </bk>
    <bk>
      <rc t="2" v="1758"/>
    </bk>
    <bk>
      <rc t="2" v="1759"/>
    </bk>
    <bk>
      <rc t="2" v="1760"/>
    </bk>
    <bk>
      <rc t="2" v="1761"/>
    </bk>
    <bk>
      <rc t="2" v="1762"/>
    </bk>
    <bk>
      <rc t="2" v="1763"/>
    </bk>
    <bk>
      <rc t="2" v="1764"/>
    </bk>
    <bk>
      <rc t="2" v="1765"/>
    </bk>
    <bk>
      <rc t="2" v="1766"/>
    </bk>
    <bk>
      <rc t="2" v="1767"/>
    </bk>
    <bk>
      <rc t="2" v="1768"/>
    </bk>
    <bk>
      <rc t="2" v="1769"/>
    </bk>
    <bk>
      <rc t="2" v="1770"/>
    </bk>
    <bk>
      <rc t="2" v="1771"/>
    </bk>
    <bk>
      <rc t="2" v="1772"/>
    </bk>
    <bk>
      <rc t="2" v="1773"/>
    </bk>
    <bk>
      <rc t="2" v="1774"/>
    </bk>
    <bk>
      <rc t="2" v="1775"/>
    </bk>
    <bk>
      <rc t="2" v="1776"/>
    </bk>
    <bk>
      <rc t="2" v="1777"/>
    </bk>
    <bk>
      <rc t="2" v="1778"/>
    </bk>
    <bk>
      <rc t="2" v="1779"/>
    </bk>
    <bk>
      <rc t="2" v="1780"/>
    </bk>
    <bk>
      <rc t="2" v="1781"/>
    </bk>
    <bk>
      <rc t="2" v="1782"/>
    </bk>
    <bk>
      <rc t="2" v="1783"/>
    </bk>
    <bk>
      <rc t="2" v="1784"/>
    </bk>
    <bk>
      <rc t="2" v="1785"/>
    </bk>
    <bk>
      <rc t="2" v="1786"/>
    </bk>
    <bk>
      <rc t="2" v="1787"/>
    </bk>
    <bk>
      <rc t="2" v="1788"/>
    </bk>
    <bk>
      <rc t="2" v="1789"/>
    </bk>
    <bk>
      <rc t="2" v="1790"/>
    </bk>
    <bk>
      <rc t="2" v="1791"/>
    </bk>
    <bk>
      <rc t="2" v="1792"/>
    </bk>
    <bk>
      <rc t="2" v="1793"/>
    </bk>
    <bk>
      <rc t="2" v="1794"/>
    </bk>
    <bk>
      <rc t="2" v="1795"/>
    </bk>
    <bk>
      <rc t="2" v="1796"/>
    </bk>
    <bk>
      <rc t="2" v="1797"/>
    </bk>
    <bk>
      <rc t="2" v="1798"/>
    </bk>
    <bk>
      <rc t="2" v="1799"/>
    </bk>
    <bk>
      <rc t="2" v="1800"/>
    </bk>
    <bk>
      <rc t="2" v="1801"/>
    </bk>
    <bk>
      <rc t="2" v="1802"/>
    </bk>
    <bk>
      <rc t="2" v="1803"/>
    </bk>
    <bk>
      <rc t="2" v="1804"/>
    </bk>
    <bk>
      <rc t="2" v="1805"/>
    </bk>
    <bk>
      <rc t="2" v="1806"/>
    </bk>
    <bk>
      <rc t="2" v="1807"/>
    </bk>
    <bk>
      <rc t="2" v="1808"/>
    </bk>
    <bk>
      <rc t="2" v="1809"/>
    </bk>
    <bk>
      <rc t="2" v="1810"/>
    </bk>
    <bk>
      <rc t="2" v="1811"/>
    </bk>
    <bk>
      <rc t="2" v="1812"/>
    </bk>
    <bk>
      <rc t="2" v="1813"/>
    </bk>
    <bk>
      <rc t="2" v="1814"/>
    </bk>
    <bk>
      <rc t="2" v="1815"/>
    </bk>
    <bk>
      <rc t="2" v="1816"/>
    </bk>
    <bk>
      <rc t="2" v="1817"/>
    </bk>
    <bk>
      <rc t="2" v="1818"/>
    </bk>
    <bk>
      <rc t="2" v="1819"/>
    </bk>
    <bk>
      <rc t="2" v="1820"/>
    </bk>
    <bk>
      <rc t="2" v="1821"/>
    </bk>
    <bk>
      <rc t="2" v="1822"/>
    </bk>
    <bk>
      <rc t="2" v="1823"/>
    </bk>
    <bk>
      <rc t="2" v="1824"/>
    </bk>
    <bk>
      <rc t="2" v="1825"/>
    </bk>
    <bk>
      <rc t="2" v="1826"/>
    </bk>
    <bk>
      <rc t="2" v="1827"/>
    </bk>
    <bk>
      <rc t="2" v="1828"/>
    </bk>
    <bk>
      <rc t="2" v="1829"/>
    </bk>
    <bk>
      <rc t="2" v="1830"/>
    </bk>
    <bk>
      <rc t="2" v="1831"/>
    </bk>
    <bk>
      <rc t="2" v="1832"/>
    </bk>
    <bk>
      <rc t="2" v="1833"/>
    </bk>
    <bk>
      <rc t="2" v="1834"/>
    </bk>
    <bk>
      <rc t="2" v="1835"/>
    </bk>
    <bk>
      <rc t="2" v="1836"/>
    </bk>
    <bk>
      <rc t="2" v="1837"/>
    </bk>
    <bk>
      <rc t="2" v="1838"/>
    </bk>
    <bk>
      <rc t="2" v="1839"/>
    </bk>
    <bk>
      <rc t="2" v="1840"/>
    </bk>
    <bk>
      <rc t="2" v="1841"/>
    </bk>
    <bk>
      <rc t="2" v="1842"/>
    </bk>
    <bk>
      <rc t="2" v="1843"/>
    </bk>
    <bk>
      <rc t="2" v="1844"/>
    </bk>
    <bk>
      <rc t="2" v="1845"/>
    </bk>
    <bk>
      <rc t="2" v="1846"/>
    </bk>
    <bk>
      <rc t="2" v="1847"/>
    </bk>
    <bk>
      <rc t="2" v="1848"/>
    </bk>
    <bk>
      <rc t="2" v="1849"/>
    </bk>
    <bk>
      <rc t="2" v="1850"/>
    </bk>
    <bk>
      <rc t="2" v="1851"/>
    </bk>
    <bk>
      <rc t="2" v="1852"/>
    </bk>
    <bk>
      <rc t="2" v="1853"/>
    </bk>
    <bk>
      <rc t="2" v="1854"/>
    </bk>
    <bk>
      <rc t="2" v="1855"/>
    </bk>
    <bk>
      <rc t="2" v="1856"/>
    </bk>
    <bk>
      <rc t="2" v="1857"/>
    </bk>
    <bk>
      <rc t="2" v="1858"/>
    </bk>
    <bk>
      <rc t="2" v="1859"/>
    </bk>
    <bk>
      <rc t="2" v="1860"/>
    </bk>
    <bk>
      <rc t="2" v="1861"/>
    </bk>
    <bk>
      <rc t="2" v="1862"/>
    </bk>
    <bk>
      <rc t="2" v="1863"/>
    </bk>
    <bk>
      <rc t="2" v="1864"/>
    </bk>
    <bk>
      <rc t="2" v="1865"/>
    </bk>
    <bk>
      <rc t="2" v="1866"/>
    </bk>
    <bk>
      <rc t="2" v="1867"/>
    </bk>
    <bk>
      <rc t="2" v="1868"/>
    </bk>
    <bk>
      <rc t="2" v="1869"/>
    </bk>
    <bk>
      <rc t="2" v="1870"/>
    </bk>
    <bk>
      <rc t="2" v="1871"/>
    </bk>
    <bk>
      <rc t="2" v="1872"/>
    </bk>
    <bk>
      <rc t="2" v="1873"/>
    </bk>
    <bk>
      <rc t="2" v="1874"/>
    </bk>
    <bk>
      <rc t="2" v="1875"/>
    </bk>
    <bk>
      <rc t="2" v="1876"/>
    </bk>
    <bk>
      <rc t="2" v="1877"/>
    </bk>
    <bk>
      <rc t="2" v="1878"/>
    </bk>
    <bk>
      <rc t="2" v="1879"/>
    </bk>
    <bk>
      <rc t="2" v="1880"/>
    </bk>
    <bk>
      <rc t="2" v="1881"/>
    </bk>
    <bk>
      <rc t="2" v="1882"/>
    </bk>
    <bk>
      <rc t="2" v="1883"/>
    </bk>
    <bk>
      <rc t="2" v="1884"/>
    </bk>
    <bk>
      <rc t="2" v="1885"/>
    </bk>
    <bk>
      <rc t="2" v="1886"/>
    </bk>
    <bk>
      <rc t="2" v="1887"/>
    </bk>
    <bk>
      <rc t="2" v="1888"/>
    </bk>
    <bk>
      <rc t="2" v="1889"/>
    </bk>
    <bk>
      <rc t="2" v="1890"/>
    </bk>
    <bk>
      <rc t="2" v="1891"/>
    </bk>
    <bk>
      <rc t="2" v="1892"/>
    </bk>
    <bk>
      <rc t="2" v="1893"/>
    </bk>
    <bk>
      <rc t="2" v="1894"/>
    </bk>
    <bk>
      <rc t="2" v="1895"/>
    </bk>
    <bk>
      <rc t="2" v="1896"/>
    </bk>
    <bk>
      <rc t="2" v="1897"/>
    </bk>
    <bk>
      <rc t="2" v="1898"/>
    </bk>
    <bk>
      <rc t="2" v="1899"/>
    </bk>
    <bk>
      <rc t="2" v="1900"/>
    </bk>
    <bk>
      <rc t="2" v="1901"/>
    </bk>
    <bk>
      <rc t="2" v="1902"/>
    </bk>
    <bk>
      <rc t="2" v="1903"/>
    </bk>
    <bk>
      <rc t="2" v="1904"/>
    </bk>
    <bk>
      <rc t="2" v="1905"/>
    </bk>
    <bk>
      <rc t="2" v="1906"/>
    </bk>
    <bk>
      <rc t="2" v="1907"/>
    </bk>
    <bk>
      <rc t="2" v="1908"/>
    </bk>
    <bk>
      <rc t="2" v="1909"/>
    </bk>
    <bk>
      <rc t="2" v="1910"/>
    </bk>
    <bk>
      <rc t="2" v="1911"/>
    </bk>
    <bk>
      <rc t="2" v="1912"/>
    </bk>
    <bk>
      <rc t="2" v="1913"/>
    </bk>
    <bk>
      <rc t="2" v="1914"/>
    </bk>
    <bk>
      <rc t="2" v="1915"/>
    </bk>
    <bk>
      <rc t="2" v="1916"/>
    </bk>
    <bk>
      <rc t="2" v="1917"/>
    </bk>
    <bk>
      <rc t="2" v="1918"/>
    </bk>
    <bk>
      <rc t="2" v="1919"/>
    </bk>
    <bk>
      <rc t="2" v="1920"/>
    </bk>
    <bk>
      <rc t="2" v="1921"/>
    </bk>
    <bk>
      <rc t="2" v="1922"/>
    </bk>
    <bk>
      <rc t="2" v="1923"/>
    </bk>
    <bk>
      <rc t="2" v="1924"/>
    </bk>
    <bk>
      <rc t="2" v="1925"/>
    </bk>
    <bk>
      <rc t="2" v="1926"/>
    </bk>
    <bk>
      <rc t="2" v="1927"/>
    </bk>
    <bk>
      <rc t="2" v="1928"/>
    </bk>
    <bk>
      <rc t="2" v="1929"/>
    </bk>
    <bk>
      <rc t="2" v="1930"/>
    </bk>
    <bk>
      <rc t="2" v="1931"/>
    </bk>
    <bk>
      <rc t="2" v="1932"/>
    </bk>
    <bk>
      <rc t="2" v="1933"/>
    </bk>
    <bk>
      <rc t="2" v="1934"/>
    </bk>
    <bk>
      <rc t="2" v="1935"/>
    </bk>
    <bk>
      <rc t="2" v="1936"/>
    </bk>
    <bk>
      <rc t="2" v="1937"/>
    </bk>
    <bk>
      <rc t="2" v="1938"/>
    </bk>
    <bk>
      <rc t="2" v="1939"/>
    </bk>
    <bk>
      <rc t="2" v="1940"/>
    </bk>
    <bk>
      <rc t="2" v="1941"/>
    </bk>
    <bk>
      <rc t="2" v="1942"/>
    </bk>
    <bk>
      <rc t="2" v="1943"/>
    </bk>
    <bk>
      <rc t="2" v="1944"/>
    </bk>
    <bk>
      <rc t="2" v="1945"/>
    </bk>
    <bk>
      <rc t="2" v="1946"/>
    </bk>
    <bk>
      <rc t="2" v="1947"/>
    </bk>
    <bk>
      <rc t="2" v="1948"/>
    </bk>
    <bk>
      <rc t="2" v="1949"/>
    </bk>
    <bk>
      <rc t="2" v="1950"/>
    </bk>
    <bk>
      <rc t="2" v="1951"/>
    </bk>
    <bk>
      <rc t="2" v="1952"/>
    </bk>
    <bk>
      <rc t="2" v="1953"/>
    </bk>
    <bk>
      <rc t="2" v="1954"/>
    </bk>
    <bk>
      <rc t="2" v="1955"/>
    </bk>
    <bk>
      <rc t="2" v="1956"/>
    </bk>
    <bk>
      <rc t="2" v="1957"/>
    </bk>
    <bk>
      <rc t="2" v="1958"/>
    </bk>
    <bk>
      <rc t="2" v="1959"/>
    </bk>
    <bk>
      <rc t="2" v="1960"/>
    </bk>
    <bk>
      <rc t="2" v="1961"/>
    </bk>
    <bk>
      <rc t="2" v="1962"/>
    </bk>
    <bk>
      <rc t="2" v="1963"/>
    </bk>
    <bk>
      <rc t="2" v="1964"/>
    </bk>
    <bk>
      <rc t="2" v="1965"/>
    </bk>
    <bk>
      <rc t="2" v="1966"/>
    </bk>
    <bk>
      <rc t="2" v="1967"/>
    </bk>
    <bk>
      <rc t="2" v="1968"/>
    </bk>
    <bk>
      <rc t="2" v="1969"/>
    </bk>
    <bk>
      <rc t="2" v="1970"/>
    </bk>
    <bk>
      <rc t="2" v="1971"/>
    </bk>
    <bk>
      <rc t="2" v="1972"/>
    </bk>
    <bk>
      <rc t="2" v="1973"/>
    </bk>
    <bk>
      <rc t="2" v="1974"/>
    </bk>
    <bk>
      <rc t="2" v="1975"/>
    </bk>
    <bk>
      <rc t="2" v="1976"/>
    </bk>
    <bk>
      <rc t="2" v="1977"/>
    </bk>
    <bk>
      <rc t="2" v="1978"/>
    </bk>
    <bk>
      <rc t="2" v="1979"/>
    </bk>
    <bk>
      <rc t="2" v="1980"/>
    </bk>
    <bk>
      <rc t="2" v="1981"/>
    </bk>
    <bk>
      <rc t="2" v="1982"/>
    </bk>
    <bk>
      <rc t="2" v="1983"/>
    </bk>
    <bk>
      <rc t="2" v="1984"/>
    </bk>
    <bk>
      <rc t="2" v="1985"/>
    </bk>
    <bk>
      <rc t="2" v="1986"/>
    </bk>
    <bk>
      <rc t="2" v="1987"/>
    </bk>
    <bk>
      <rc t="2" v="1988"/>
    </bk>
    <bk>
      <rc t="2" v="1989"/>
    </bk>
    <bk>
      <rc t="2" v="1990"/>
    </bk>
    <bk>
      <rc t="2" v="1991"/>
    </bk>
    <bk>
      <rc t="2" v="1992"/>
    </bk>
    <bk>
      <rc t="2" v="1993"/>
    </bk>
    <bk>
      <rc t="2" v="1994"/>
    </bk>
    <bk>
      <rc t="2" v="1995"/>
    </bk>
    <bk>
      <rc t="2" v="1996"/>
    </bk>
    <bk>
      <rc t="2" v="1997"/>
    </bk>
    <bk>
      <rc t="2" v="1998"/>
    </bk>
    <bk>
      <rc t="2" v="1999"/>
    </bk>
    <bk>
      <rc t="2" v="2000"/>
    </bk>
    <bk>
      <rc t="2" v="2001"/>
    </bk>
    <bk>
      <rc t="2" v="2002"/>
    </bk>
    <bk>
      <rc t="2" v="2003"/>
    </bk>
    <bk>
      <rc t="2" v="2004"/>
    </bk>
    <bk>
      <rc t="2" v="2005"/>
    </bk>
    <bk>
      <rc t="2" v="2006"/>
    </bk>
    <bk>
      <rc t="2" v="2007"/>
    </bk>
    <bk>
      <rc t="2" v="2008"/>
    </bk>
    <bk>
      <rc t="2" v="2009"/>
    </bk>
    <bk>
      <rc t="2" v="2010"/>
    </bk>
    <bk>
      <rc t="2" v="2011"/>
    </bk>
    <bk>
      <rc t="2" v="2012"/>
    </bk>
    <bk>
      <rc t="2" v="2013"/>
    </bk>
    <bk>
      <rc t="2" v="2014"/>
    </bk>
    <bk>
      <rc t="2" v="2015"/>
    </bk>
    <bk>
      <rc t="2" v="2016"/>
    </bk>
    <bk>
      <rc t="2" v="2017"/>
    </bk>
    <bk>
      <rc t="2" v="2018"/>
    </bk>
    <bk>
      <rc t="2" v="2019"/>
    </bk>
    <bk>
      <rc t="2" v="2020"/>
    </bk>
    <bk>
      <rc t="2" v="2021"/>
    </bk>
    <bk>
      <rc t="2" v="2022"/>
    </bk>
    <bk>
      <rc t="2" v="2023"/>
    </bk>
    <bk>
      <rc t="2" v="2024"/>
    </bk>
    <bk>
      <rc t="2" v="2025"/>
    </bk>
    <bk>
      <rc t="2" v="2026"/>
    </bk>
    <bk>
      <rc t="2" v="2027"/>
    </bk>
    <bk>
      <rc t="2" v="2028"/>
    </bk>
    <bk>
      <rc t="2" v="2029"/>
    </bk>
    <bk>
      <rc t="2" v="2030"/>
    </bk>
    <bk>
      <rc t="2" v="2031"/>
    </bk>
    <bk>
      <rc t="2" v="2032"/>
    </bk>
    <bk>
      <rc t="2" v="2033"/>
    </bk>
    <bk>
      <rc t="2" v="2034"/>
    </bk>
    <bk>
      <rc t="2" v="2035"/>
    </bk>
    <bk>
      <rc t="2" v="2036"/>
    </bk>
    <bk>
      <rc t="2" v="2037"/>
    </bk>
    <bk>
      <rc t="2" v="2038"/>
    </bk>
    <bk>
      <rc t="2" v="2039"/>
    </bk>
    <bk>
      <rc t="2" v="2040"/>
    </bk>
    <bk>
      <rc t="2" v="2041"/>
    </bk>
    <bk>
      <rc t="2" v="2042"/>
    </bk>
    <bk>
      <rc t="2" v="2043"/>
    </bk>
    <bk>
      <rc t="2" v="2044"/>
    </bk>
    <bk>
      <rc t="2" v="2045"/>
    </bk>
    <bk>
      <rc t="2" v="2046"/>
    </bk>
    <bk>
      <rc t="2" v="2047"/>
    </bk>
    <bk>
      <rc t="2" v="2048"/>
    </bk>
    <bk>
      <rc t="2" v="2049"/>
    </bk>
    <bk>
      <rc t="2" v="2050"/>
    </bk>
    <bk>
      <rc t="2" v="2051"/>
    </bk>
    <bk>
      <rc t="2" v="2052"/>
    </bk>
    <bk>
      <rc t="2" v="2053"/>
    </bk>
    <bk>
      <rc t="2" v="2054"/>
    </bk>
    <bk>
      <rc t="2" v="2055"/>
    </bk>
    <bk>
      <rc t="2" v="2056"/>
    </bk>
    <bk>
      <rc t="2" v="2057"/>
    </bk>
    <bk>
      <rc t="2" v="2058"/>
    </bk>
    <bk>
      <rc t="2" v="2059"/>
    </bk>
    <bk>
      <rc t="2" v="2060"/>
    </bk>
    <bk>
      <rc t="2" v="2061"/>
    </bk>
    <bk>
      <rc t="2" v="2062"/>
    </bk>
    <bk>
      <rc t="2" v="2063"/>
    </bk>
    <bk>
      <rc t="2" v="2064"/>
    </bk>
    <bk>
      <rc t="2" v="2065"/>
    </bk>
    <bk>
      <rc t="2" v="2066"/>
    </bk>
    <bk>
      <rc t="2" v="2067"/>
    </bk>
    <bk>
      <rc t="2" v="2068"/>
    </bk>
    <bk>
      <rc t="2" v="2069"/>
    </bk>
    <bk>
      <rc t="2" v="2070"/>
    </bk>
    <bk>
      <rc t="2" v="2071"/>
    </bk>
    <bk>
      <rc t="2" v="2072"/>
    </bk>
    <bk>
      <rc t="2" v="2073"/>
    </bk>
    <bk>
      <rc t="2" v="2074"/>
    </bk>
    <bk>
      <rc t="2" v="2075"/>
    </bk>
    <bk>
      <rc t="2" v="2076"/>
    </bk>
    <bk>
      <rc t="2" v="2077"/>
    </bk>
    <bk>
      <rc t="2" v="2078"/>
    </bk>
    <bk>
      <rc t="2" v="2079"/>
    </bk>
    <bk>
      <rc t="2" v="2080"/>
    </bk>
    <bk>
      <rc t="2" v="2081"/>
    </bk>
    <bk>
      <rc t="2" v="2082"/>
    </bk>
    <bk>
      <rc t="2" v="2083"/>
    </bk>
    <bk>
      <rc t="2" v="2084"/>
    </bk>
    <bk>
      <rc t="2" v="2085"/>
    </bk>
    <bk>
      <rc t="2" v="2086"/>
    </bk>
    <bk>
      <rc t="2" v="2087"/>
    </bk>
    <bk>
      <rc t="2" v="2088"/>
    </bk>
    <bk>
      <rc t="2" v="2089"/>
    </bk>
    <bk>
      <rc t="2" v="2090"/>
    </bk>
    <bk>
      <rc t="2" v="2091"/>
    </bk>
    <bk>
      <rc t="2" v="2092"/>
    </bk>
    <bk>
      <rc t="2" v="2093"/>
    </bk>
    <bk>
      <rc t="2" v="2094"/>
    </bk>
    <bk>
      <rc t="2" v="2095"/>
    </bk>
    <bk>
      <rc t="2" v="2096"/>
    </bk>
    <bk>
      <rc t="2" v="2097"/>
    </bk>
    <bk>
      <rc t="2" v="2098"/>
    </bk>
    <bk>
      <rc t="2" v="2099"/>
    </bk>
    <bk>
      <rc t="2" v="2100"/>
    </bk>
    <bk>
      <rc t="2" v="2101"/>
    </bk>
    <bk>
      <rc t="2" v="2102"/>
    </bk>
    <bk>
      <rc t="2" v="2103"/>
    </bk>
    <bk>
      <rc t="2" v="2104"/>
    </bk>
    <bk>
      <rc t="2" v="2105"/>
    </bk>
    <bk>
      <rc t="2" v="2106"/>
    </bk>
    <bk>
      <rc t="2" v="2107"/>
    </bk>
    <bk>
      <rc t="2" v="2108"/>
    </bk>
    <bk>
      <rc t="2" v="2109"/>
    </bk>
    <bk>
      <rc t="2" v="2110"/>
    </bk>
    <bk>
      <rc t="2" v="2111"/>
    </bk>
    <bk>
      <rc t="2" v="2112"/>
    </bk>
    <bk>
      <rc t="2" v="2113"/>
    </bk>
    <bk>
      <rc t="2" v="2114"/>
    </bk>
    <bk>
      <rc t="2" v="2115"/>
    </bk>
    <bk>
      <rc t="2" v="2116"/>
    </bk>
    <bk>
      <rc t="2" v="2117"/>
    </bk>
    <bk>
      <rc t="2" v="2118"/>
    </bk>
    <bk>
      <rc t="2" v="2119"/>
    </bk>
    <bk>
      <rc t="2" v="2120"/>
    </bk>
    <bk>
      <rc t="2" v="2121"/>
    </bk>
    <bk>
      <rc t="2" v="2122"/>
    </bk>
    <bk>
      <rc t="2" v="2123"/>
    </bk>
    <bk>
      <rc t="2" v="2124"/>
    </bk>
    <bk>
      <rc t="2" v="2125"/>
    </bk>
    <bk>
      <rc t="2" v="2126"/>
    </bk>
    <bk>
      <rc t="2" v="2127"/>
    </bk>
    <bk>
      <rc t="2" v="2128"/>
    </bk>
    <bk>
      <rc t="2" v="2129"/>
    </bk>
    <bk>
      <rc t="2" v="2130"/>
    </bk>
    <bk>
      <rc t="2" v="2131"/>
    </bk>
    <bk>
      <rc t="2" v="2132"/>
    </bk>
    <bk>
      <rc t="2" v="2133"/>
    </bk>
    <bk>
      <rc t="2" v="2134"/>
    </bk>
    <bk>
      <rc t="2" v="2135"/>
    </bk>
    <bk>
      <rc t="2" v="2136"/>
    </bk>
    <bk>
      <rc t="2" v="2137"/>
    </bk>
    <bk>
      <rc t="2" v="2138"/>
    </bk>
    <bk>
      <rc t="2" v="2139"/>
    </bk>
    <bk>
      <rc t="2" v="2140"/>
    </bk>
    <bk>
      <rc t="2" v="2141"/>
    </bk>
    <bk>
      <rc t="2" v="2142"/>
    </bk>
    <bk>
      <rc t="2" v="2143"/>
    </bk>
    <bk>
      <rc t="2" v="2144"/>
    </bk>
    <bk>
      <rc t="2" v="2145"/>
    </bk>
    <bk>
      <rc t="2" v="2146"/>
    </bk>
    <bk>
      <rc t="2" v="2147"/>
    </bk>
    <bk>
      <rc t="2" v="2148"/>
    </bk>
    <bk>
      <rc t="2" v="2149"/>
    </bk>
    <bk>
      <rc t="2" v="2150"/>
    </bk>
    <bk>
      <rc t="2" v="2151"/>
    </bk>
    <bk>
      <rc t="2" v="2152"/>
    </bk>
    <bk>
      <rc t="2" v="2153"/>
    </bk>
    <bk>
      <rc t="2" v="2154"/>
    </bk>
    <bk>
      <rc t="2" v="2155"/>
    </bk>
    <bk>
      <rc t="2" v="2156"/>
    </bk>
    <bk>
      <rc t="2" v="2157"/>
    </bk>
    <bk>
      <rc t="2" v="2158"/>
    </bk>
    <bk>
      <rc t="2" v="2159"/>
    </bk>
    <bk>
      <rc t="2" v="2160"/>
    </bk>
    <bk>
      <rc t="2" v="2161"/>
    </bk>
    <bk>
      <rc t="2" v="2162"/>
    </bk>
    <bk>
      <rc t="2" v="2163"/>
    </bk>
    <bk>
      <rc t="2" v="2164"/>
    </bk>
    <bk>
      <rc t="2" v="2165"/>
    </bk>
    <bk>
      <rc t="2" v="2166"/>
    </bk>
    <bk>
      <rc t="2" v="2167"/>
    </bk>
    <bk>
      <rc t="2" v="2168"/>
    </bk>
    <bk>
      <rc t="2" v="2169"/>
    </bk>
    <bk>
      <rc t="2" v="2170"/>
    </bk>
    <bk>
      <rc t="2" v="2171"/>
    </bk>
    <bk>
      <rc t="2" v="2172"/>
    </bk>
    <bk>
      <rc t="2" v="2173"/>
    </bk>
    <bk>
      <rc t="2" v="2174"/>
    </bk>
    <bk>
      <rc t="2" v="2175"/>
    </bk>
    <bk>
      <rc t="2" v="2176"/>
    </bk>
    <bk>
      <rc t="2" v="2177"/>
    </bk>
    <bk>
      <rc t="2" v="2178"/>
    </bk>
    <bk>
      <rc t="2" v="2179"/>
    </bk>
    <bk>
      <rc t="2" v="2180"/>
    </bk>
    <bk>
      <rc t="2" v="2181"/>
    </bk>
    <bk>
      <rc t="2" v="2182"/>
    </bk>
    <bk>
      <rc t="2" v="2183"/>
    </bk>
    <bk>
      <rc t="2" v="2184"/>
    </bk>
    <bk>
      <rc t="2" v="2185"/>
    </bk>
    <bk>
      <rc t="2" v="2186"/>
    </bk>
    <bk>
      <rc t="2" v="2187"/>
    </bk>
    <bk>
      <rc t="2" v="2188"/>
    </bk>
    <bk>
      <rc t="2" v="2189"/>
    </bk>
    <bk>
      <rc t="2" v="2190"/>
    </bk>
    <bk>
      <rc t="2" v="2191"/>
    </bk>
    <bk>
      <rc t="2" v="2192"/>
    </bk>
    <bk>
      <rc t="2" v="2193"/>
    </bk>
    <bk>
      <rc t="2" v="2194"/>
    </bk>
    <bk>
      <rc t="2" v="2195"/>
    </bk>
    <bk>
      <rc t="2" v="2196"/>
    </bk>
    <bk>
      <rc t="2" v="2197"/>
    </bk>
    <bk>
      <rc t="2" v="2198"/>
    </bk>
    <bk>
      <rc t="2" v="2199"/>
    </bk>
    <bk>
      <rc t="2" v="2200"/>
    </bk>
    <bk>
      <rc t="2" v="2201"/>
    </bk>
    <bk>
      <rc t="2" v="2202"/>
    </bk>
    <bk>
      <rc t="2" v="2203"/>
    </bk>
    <bk>
      <rc t="2" v="2204"/>
    </bk>
    <bk>
      <rc t="2" v="2205"/>
    </bk>
    <bk>
      <rc t="2" v="2206"/>
    </bk>
    <bk>
      <rc t="2" v="2207"/>
    </bk>
    <bk>
      <rc t="2" v="2208"/>
    </bk>
    <bk>
      <rc t="2" v="2209"/>
    </bk>
    <bk>
      <rc t="2" v="2210"/>
    </bk>
    <bk>
      <rc t="2" v="2211"/>
    </bk>
    <bk>
      <rc t="2" v="2212"/>
    </bk>
    <bk>
      <rc t="2" v="2213"/>
    </bk>
    <bk>
      <rc t="2" v="2214"/>
    </bk>
    <bk>
      <rc t="2" v="2215"/>
    </bk>
    <bk>
      <rc t="2" v="2216"/>
    </bk>
    <bk>
      <rc t="2" v="2217"/>
    </bk>
    <bk>
      <rc t="2" v="2218"/>
    </bk>
    <bk>
      <rc t="2" v="2219"/>
    </bk>
    <bk>
      <rc t="2" v="2220"/>
    </bk>
    <bk>
      <rc t="2" v="2221"/>
    </bk>
    <bk>
      <rc t="2" v="2222"/>
    </bk>
    <bk>
      <rc t="2" v="2223"/>
    </bk>
    <bk>
      <rc t="2" v="2224"/>
    </bk>
    <bk>
      <rc t="2" v="2225"/>
    </bk>
    <bk>
      <rc t="2" v="2226"/>
    </bk>
    <bk>
      <rc t="2" v="2227"/>
    </bk>
    <bk>
      <rc t="2" v="2228"/>
    </bk>
    <bk>
      <rc t="2" v="2229"/>
    </bk>
    <bk>
      <rc t="2" v="2230"/>
    </bk>
    <bk>
      <rc t="2" v="2231"/>
    </bk>
    <bk>
      <rc t="2" v="2232"/>
    </bk>
    <bk>
      <rc t="2" v="2233"/>
    </bk>
    <bk>
      <rc t="2" v="2234"/>
    </bk>
    <bk>
      <rc t="2" v="2235"/>
    </bk>
    <bk>
      <rc t="2" v="2236"/>
    </bk>
    <bk>
      <rc t="2" v="2237"/>
    </bk>
    <bk>
      <rc t="2" v="2238"/>
    </bk>
    <bk>
      <rc t="2" v="2239"/>
    </bk>
    <bk>
      <rc t="2" v="2240"/>
    </bk>
    <bk>
      <rc t="2" v="2241"/>
    </bk>
    <bk>
      <rc t="2" v="2242"/>
    </bk>
    <bk>
      <rc t="2" v="2243"/>
    </bk>
    <bk>
      <rc t="2" v="2244"/>
    </bk>
    <bk>
      <rc t="2" v="2245"/>
    </bk>
    <bk>
      <rc t="2" v="2246"/>
    </bk>
    <bk>
      <rc t="2" v="2247"/>
    </bk>
    <bk>
      <rc t="2" v="2248"/>
    </bk>
    <bk>
      <rc t="2" v="2249"/>
    </bk>
    <bk>
      <rc t="2" v="2250"/>
    </bk>
    <bk>
      <rc t="2" v="2251"/>
    </bk>
    <bk>
      <rc t="2" v="2252"/>
    </bk>
    <bk>
      <rc t="2" v="2253"/>
    </bk>
    <bk>
      <rc t="2" v="2254"/>
    </bk>
    <bk>
      <rc t="2" v="2255"/>
    </bk>
    <bk>
      <rc t="2" v="2256"/>
    </bk>
    <bk>
      <rc t="2" v="2257"/>
    </bk>
    <bk>
      <rc t="2" v="2258"/>
    </bk>
    <bk>
      <rc t="2" v="2259"/>
    </bk>
    <bk>
      <rc t="2" v="2260"/>
    </bk>
    <bk>
      <rc t="2" v="2261"/>
    </bk>
    <bk>
      <rc t="2" v="2262"/>
    </bk>
    <bk>
      <rc t="2" v="2263"/>
    </bk>
    <bk>
      <rc t="2" v="2264"/>
    </bk>
    <bk>
      <rc t="2" v="2265"/>
    </bk>
    <bk>
      <rc t="2" v="2266"/>
    </bk>
    <bk>
      <rc t="2" v="2267"/>
    </bk>
    <bk>
      <rc t="2" v="2268"/>
    </bk>
    <bk>
      <rc t="2" v="2269"/>
    </bk>
    <bk>
      <rc t="2" v="2270"/>
    </bk>
    <bk>
      <rc t="2" v="2271"/>
    </bk>
    <bk>
      <rc t="2" v="2272"/>
    </bk>
    <bk>
      <rc t="2" v="2273"/>
    </bk>
    <bk>
      <rc t="2" v="2274"/>
    </bk>
    <bk>
      <rc t="2" v="2275"/>
    </bk>
    <bk>
      <rc t="2" v="2276"/>
    </bk>
    <bk>
      <rc t="2" v="2277"/>
    </bk>
    <bk>
      <rc t="2" v="2278"/>
    </bk>
    <bk>
      <rc t="2" v="2279"/>
    </bk>
    <bk>
      <rc t="2" v="2280"/>
    </bk>
    <bk>
      <rc t="2" v="2281"/>
    </bk>
    <bk>
      <rc t="2" v="2282"/>
    </bk>
    <bk>
      <rc t="2" v="2283"/>
    </bk>
    <bk>
      <rc t="2" v="2284"/>
    </bk>
    <bk>
      <rc t="2" v="2285"/>
    </bk>
    <bk>
      <rc t="2" v="2286"/>
    </bk>
    <bk>
      <rc t="2" v="2287"/>
    </bk>
    <bk>
      <rc t="2" v="2288"/>
    </bk>
    <bk>
      <rc t="2" v="2289"/>
    </bk>
    <bk>
      <rc t="2" v="2290"/>
    </bk>
    <bk>
      <rc t="2" v="2291"/>
    </bk>
    <bk>
      <rc t="2" v="2292"/>
    </bk>
    <bk>
      <rc t="2" v="2293"/>
    </bk>
    <bk>
      <rc t="2" v="2294"/>
    </bk>
    <bk>
      <rc t="2" v="2295"/>
    </bk>
    <bk>
      <rc t="2" v="2296"/>
    </bk>
    <bk>
      <rc t="2" v="2297"/>
    </bk>
    <bk>
      <rc t="2" v="2298"/>
    </bk>
    <bk>
      <rc t="2" v="2299"/>
    </bk>
    <bk>
      <rc t="2" v="2300"/>
    </bk>
    <bk>
      <rc t="2" v="2301"/>
    </bk>
    <bk>
      <rc t="2" v="2302"/>
    </bk>
    <bk>
      <rc t="2" v="2303"/>
    </bk>
    <bk>
      <rc t="2" v="2304"/>
    </bk>
    <bk>
      <rc t="2" v="2305"/>
    </bk>
    <bk>
      <rc t="2" v="2306"/>
    </bk>
    <bk>
      <rc t="2" v="2307"/>
    </bk>
    <bk>
      <rc t="2" v="2308"/>
    </bk>
    <bk>
      <rc t="2" v="2309"/>
    </bk>
    <bk>
      <rc t="2" v="2310"/>
    </bk>
    <bk>
      <rc t="2" v="2311"/>
    </bk>
    <bk>
      <rc t="2" v="2312"/>
    </bk>
    <bk>
      <rc t="2" v="2313"/>
    </bk>
    <bk>
      <rc t="2" v="2314"/>
    </bk>
    <bk>
      <rc t="2" v="2315"/>
    </bk>
    <bk>
      <rc t="2" v="2316"/>
    </bk>
    <bk>
      <rc t="2" v="2317"/>
    </bk>
    <bk>
      <rc t="2" v="2318"/>
    </bk>
    <bk>
      <rc t="2" v="2319"/>
    </bk>
    <bk>
      <rc t="2" v="2320"/>
    </bk>
    <bk>
      <rc t="2" v="2321"/>
    </bk>
    <bk>
      <rc t="2" v="2322"/>
    </bk>
    <bk>
      <rc t="2" v="2323"/>
    </bk>
    <bk>
      <rc t="2" v="2324"/>
    </bk>
    <bk>
      <rc t="2" v="2325"/>
    </bk>
    <bk>
      <rc t="2" v="2326"/>
    </bk>
    <bk>
      <rc t="2" v="2327"/>
    </bk>
    <bk>
      <rc t="2" v="2328"/>
    </bk>
    <bk>
      <rc t="2" v="2329"/>
    </bk>
    <bk>
      <rc t="2" v="2330"/>
    </bk>
    <bk>
      <rc t="2" v="2331"/>
    </bk>
    <bk>
      <rc t="2" v="2332"/>
    </bk>
    <bk>
      <rc t="2" v="2333"/>
    </bk>
    <bk>
      <rc t="2" v="2334"/>
    </bk>
    <bk>
      <rc t="2" v="2335"/>
    </bk>
    <bk>
      <rc t="2" v="2336"/>
    </bk>
    <bk>
      <rc t="2" v="2337"/>
    </bk>
    <bk>
      <rc t="2" v="2338"/>
    </bk>
    <bk>
      <rc t="2" v="2339"/>
    </bk>
    <bk>
      <rc t="2" v="2340"/>
    </bk>
    <bk>
      <rc t="2" v="2341"/>
    </bk>
    <bk>
      <rc t="2" v="2342"/>
    </bk>
    <bk>
      <rc t="2" v="2343"/>
    </bk>
    <bk>
      <rc t="2" v="2344"/>
    </bk>
    <bk>
      <rc t="2" v="2345"/>
    </bk>
    <bk>
      <rc t="2" v="2346"/>
    </bk>
    <bk>
      <rc t="2" v="2347"/>
    </bk>
    <bk>
      <rc t="2" v="2348"/>
    </bk>
    <bk>
      <rc t="2" v="2349"/>
    </bk>
    <bk>
      <rc t="2" v="2350"/>
    </bk>
    <bk>
      <rc t="2" v="2351"/>
    </bk>
    <bk>
      <rc t="2" v="2352"/>
    </bk>
    <bk>
      <rc t="2" v="2353"/>
    </bk>
    <bk>
      <rc t="2" v="2354"/>
    </bk>
    <bk>
      <rc t="2" v="2355"/>
    </bk>
    <bk>
      <rc t="2" v="2356"/>
    </bk>
    <bk>
      <rc t="2" v="2357"/>
    </bk>
    <bk>
      <rc t="2" v="2358"/>
    </bk>
    <bk>
      <rc t="2" v="2359"/>
    </bk>
    <bk>
      <rc t="2" v="2360"/>
    </bk>
    <bk>
      <rc t="2" v="2361"/>
    </bk>
    <bk>
      <rc t="2" v="2362"/>
    </bk>
    <bk>
      <rc t="2" v="2363"/>
    </bk>
    <bk>
      <rc t="2" v="2364"/>
    </bk>
    <bk>
      <rc t="2" v="2365"/>
    </bk>
    <bk>
      <rc t="2" v="2366"/>
    </bk>
    <bk>
      <rc t="2" v="2367"/>
    </bk>
    <bk>
      <rc t="2" v="2368"/>
    </bk>
    <bk>
      <rc t="2" v="2369"/>
    </bk>
    <bk>
      <rc t="2" v="2370"/>
    </bk>
    <bk>
      <rc t="2" v="2371"/>
    </bk>
    <bk>
      <rc t="2" v="2372"/>
    </bk>
    <bk>
      <rc t="2" v="2373"/>
    </bk>
    <bk>
      <rc t="2" v="2374"/>
    </bk>
    <bk>
      <rc t="2" v="2375"/>
    </bk>
    <bk>
      <rc t="2" v="2376"/>
    </bk>
    <bk>
      <rc t="2" v="2377"/>
    </bk>
    <bk>
      <rc t="2" v="2378"/>
    </bk>
    <bk>
      <rc t="2" v="2379"/>
    </bk>
    <bk>
      <rc t="2" v="2380"/>
    </bk>
    <bk>
      <rc t="2" v="2381"/>
    </bk>
    <bk>
      <rc t="2" v="2382"/>
    </bk>
    <bk>
      <rc t="2" v="2383"/>
    </bk>
    <bk>
      <rc t="2" v="2384"/>
    </bk>
    <bk>
      <rc t="2" v="2385"/>
    </bk>
    <bk>
      <rc t="2" v="2386"/>
    </bk>
    <bk>
      <rc t="2" v="2387"/>
    </bk>
    <bk>
      <rc t="2" v="2388"/>
    </bk>
    <bk>
      <rc t="2" v="2389"/>
    </bk>
    <bk>
      <rc t="2" v="2390"/>
    </bk>
    <bk>
      <rc t="2" v="2391"/>
    </bk>
    <bk>
      <rc t="2" v="2392"/>
    </bk>
    <bk>
      <rc t="2" v="2393"/>
    </bk>
    <bk>
      <rc t="2" v="2394"/>
    </bk>
    <bk>
      <rc t="2" v="2395"/>
    </bk>
    <bk>
      <rc t="2" v="2396"/>
    </bk>
    <bk>
      <rc t="2" v="2397"/>
    </bk>
    <bk>
      <rc t="2" v="2398"/>
    </bk>
    <bk>
      <rc t="2" v="2399"/>
    </bk>
    <bk>
      <rc t="2" v="2400"/>
    </bk>
    <bk>
      <rc t="2" v="2401"/>
    </bk>
    <bk>
      <rc t="2" v="2402"/>
    </bk>
    <bk>
      <rc t="2" v="2403"/>
    </bk>
    <bk>
      <rc t="2" v="2404"/>
    </bk>
    <bk>
      <rc t="2" v="2405"/>
    </bk>
    <bk>
      <rc t="2" v="2406"/>
    </bk>
    <bk>
      <rc t="2" v="2407"/>
    </bk>
    <bk>
      <rc t="2" v="2408"/>
    </bk>
    <bk>
      <rc t="2" v="2409"/>
    </bk>
    <bk>
      <rc t="2" v="2410"/>
    </bk>
    <bk>
      <rc t="2" v="2411"/>
    </bk>
    <bk>
      <rc t="2" v="2412"/>
    </bk>
    <bk>
      <rc t="2" v="2413"/>
    </bk>
    <bk>
      <rc t="2" v="2414"/>
    </bk>
    <bk>
      <rc t="2" v="2415"/>
    </bk>
    <bk>
      <rc t="2" v="2416"/>
    </bk>
    <bk>
      <rc t="2" v="2417"/>
    </bk>
    <bk>
      <rc t="2" v="2418"/>
    </bk>
    <bk>
      <rc t="2" v="2419"/>
    </bk>
    <bk>
      <rc t="2" v="2420"/>
    </bk>
    <bk>
      <rc t="2" v="2421"/>
    </bk>
    <bk>
      <rc t="2" v="2422"/>
    </bk>
    <bk>
      <rc t="2" v="2423"/>
    </bk>
    <bk>
      <rc t="2" v="2424"/>
    </bk>
    <bk>
      <rc t="2" v="2425"/>
    </bk>
    <bk>
      <rc t="2" v="2426"/>
    </bk>
    <bk>
      <rc t="2" v="2427"/>
    </bk>
    <bk>
      <rc t="2" v="2428"/>
    </bk>
    <bk>
      <rc t="2" v="2429"/>
    </bk>
    <bk>
      <rc t="2" v="2430"/>
    </bk>
    <bk>
      <rc t="2" v="2431"/>
    </bk>
    <bk>
      <rc t="2" v="2432"/>
    </bk>
    <bk>
      <rc t="2" v="2433"/>
    </bk>
    <bk>
      <rc t="2" v="2434"/>
    </bk>
    <bk>
      <rc t="2" v="2435"/>
    </bk>
    <bk>
      <rc t="2" v="2436"/>
    </bk>
    <bk>
      <rc t="2" v="2437"/>
    </bk>
    <bk>
      <rc t="2" v="2438"/>
    </bk>
    <bk>
      <rc t="2" v="2439"/>
    </bk>
    <bk>
      <rc t="2" v="2440"/>
    </bk>
    <bk>
      <rc t="2" v="2441"/>
    </bk>
    <bk>
      <rc t="2" v="2442"/>
    </bk>
    <bk>
      <rc t="2" v="2443"/>
    </bk>
    <bk>
      <rc t="2" v="2444"/>
    </bk>
    <bk>
      <rc t="2" v="2445"/>
    </bk>
    <bk>
      <rc t="2" v="2446"/>
    </bk>
    <bk>
      <rc t="2" v="2447"/>
    </bk>
    <bk>
      <rc t="2" v="2448"/>
    </bk>
    <bk>
      <rc t="2" v="2449"/>
    </bk>
    <bk>
      <rc t="2" v="2450"/>
    </bk>
    <bk>
      <rc t="2" v="2451"/>
    </bk>
    <bk>
      <rc t="2" v="2452"/>
    </bk>
    <bk>
      <rc t="2" v="2453"/>
    </bk>
    <bk>
      <rc t="2" v="2454"/>
    </bk>
    <bk>
      <rc t="2" v="2455"/>
    </bk>
    <bk>
      <rc t="2" v="2456"/>
    </bk>
    <bk>
      <rc t="2" v="2457"/>
    </bk>
    <bk>
      <rc t="2" v="2458"/>
    </bk>
    <bk>
      <rc t="2" v="2459"/>
    </bk>
    <bk>
      <rc t="2" v="2460"/>
    </bk>
    <bk>
      <rc t="2" v="2461"/>
    </bk>
    <bk>
      <rc t="2" v="2462"/>
    </bk>
    <bk>
      <rc t="2" v="2463"/>
    </bk>
    <bk>
      <rc t="2" v="2464"/>
    </bk>
    <bk>
      <rc t="2" v="2465"/>
    </bk>
    <bk>
      <rc t="2" v="2466"/>
    </bk>
    <bk>
      <rc t="2" v="2467"/>
    </bk>
    <bk>
      <rc t="2" v="2468"/>
    </bk>
    <bk>
      <rc t="2" v="2469"/>
    </bk>
    <bk>
      <rc t="2" v="2470"/>
    </bk>
    <bk>
      <rc t="2" v="2471"/>
    </bk>
    <bk>
      <rc t="2" v="2472"/>
    </bk>
    <bk>
      <rc t="2" v="2473"/>
    </bk>
    <bk>
      <rc t="2" v="2474"/>
    </bk>
    <bk>
      <rc t="2" v="2475"/>
    </bk>
    <bk>
      <rc t="2" v="2476"/>
    </bk>
    <bk>
      <rc t="2" v="2477"/>
    </bk>
    <bk>
      <rc t="2" v="2478"/>
    </bk>
    <bk>
      <rc t="2" v="2479"/>
    </bk>
    <bk>
      <rc t="2" v="2480"/>
    </bk>
    <bk>
      <rc t="2" v="2481"/>
    </bk>
    <bk>
      <rc t="2" v="2482"/>
    </bk>
    <bk>
      <rc t="2" v="2483"/>
    </bk>
    <bk>
      <rc t="2" v="2484"/>
    </bk>
    <bk>
      <rc t="2" v="2485"/>
    </bk>
    <bk>
      <rc t="2" v="2486"/>
    </bk>
    <bk>
      <rc t="2" v="2487"/>
    </bk>
    <bk>
      <rc t="2" v="2488"/>
    </bk>
    <bk>
      <rc t="2" v="2489"/>
    </bk>
    <bk>
      <rc t="2" v="2490"/>
    </bk>
    <bk>
      <rc t="2" v="2491"/>
    </bk>
    <bk>
      <rc t="2" v="2492"/>
    </bk>
    <bk>
      <rc t="2" v="2493"/>
    </bk>
    <bk>
      <rc t="2" v="2494"/>
    </bk>
    <bk>
      <rc t="2" v="2495"/>
    </bk>
    <bk>
      <rc t="2" v="2496"/>
    </bk>
    <bk>
      <rc t="2" v="2497"/>
    </bk>
    <bk>
      <rc t="2" v="2498"/>
    </bk>
    <bk>
      <rc t="2" v="2499"/>
    </bk>
    <bk>
      <rc t="2" v="2500"/>
    </bk>
    <bk>
      <rc t="2" v="2501"/>
    </bk>
    <bk>
      <rc t="2" v="2502"/>
    </bk>
    <bk>
      <rc t="2" v="2503"/>
    </bk>
    <bk>
      <rc t="2" v="2504"/>
    </bk>
    <bk>
      <rc t="2" v="2505"/>
    </bk>
    <bk>
      <rc t="2" v="2506"/>
    </bk>
    <bk>
      <rc t="2" v="2507"/>
    </bk>
    <bk>
      <rc t="2" v="2508"/>
    </bk>
    <bk>
      <rc t="2" v="2509"/>
    </bk>
    <bk>
      <rc t="2" v="2510"/>
    </bk>
    <bk>
      <rc t="2" v="2511"/>
    </bk>
    <bk>
      <rc t="2" v="2512"/>
    </bk>
    <bk>
      <rc t="2" v="2513"/>
    </bk>
    <bk>
      <rc t="2" v="2514"/>
    </bk>
    <bk>
      <rc t="2" v="2515"/>
    </bk>
    <bk>
      <rc t="2" v="2516"/>
    </bk>
    <bk>
      <rc t="2" v="2517"/>
    </bk>
    <bk>
      <rc t="2" v="2518"/>
    </bk>
    <bk>
      <rc t="2" v="2519"/>
    </bk>
    <bk>
      <rc t="2" v="2520"/>
    </bk>
    <bk>
      <rc t="2" v="2521"/>
    </bk>
    <bk>
      <rc t="2" v="2522"/>
    </bk>
    <bk>
      <rc t="2" v="2523"/>
    </bk>
    <bk>
      <rc t="2" v="2524"/>
    </bk>
    <bk>
      <rc t="2" v="2525"/>
    </bk>
    <bk>
      <rc t="2" v="2526"/>
    </bk>
    <bk>
      <rc t="2" v="2527"/>
    </bk>
    <bk>
      <rc t="2" v="2528"/>
    </bk>
    <bk>
      <rc t="2" v="2529"/>
    </bk>
    <bk>
      <rc t="2" v="2530"/>
    </bk>
    <bk>
      <rc t="2" v="2531"/>
    </bk>
    <bk>
      <rc t="2" v="2532"/>
    </bk>
    <bk>
      <rc t="2" v="2533"/>
    </bk>
    <bk>
      <rc t="2" v="2534"/>
    </bk>
    <bk>
      <rc t="2" v="2535"/>
    </bk>
    <bk>
      <rc t="2" v="2536"/>
    </bk>
    <bk>
      <rc t="2" v="2537"/>
    </bk>
    <bk>
      <rc t="2" v="2538"/>
    </bk>
    <bk>
      <rc t="2" v="2539"/>
    </bk>
    <bk>
      <rc t="2" v="2540"/>
    </bk>
    <bk>
      <rc t="2" v="2541"/>
    </bk>
    <bk>
      <rc t="2" v="2542"/>
    </bk>
    <bk>
      <rc t="2" v="2543"/>
    </bk>
    <bk>
      <rc t="2" v="2544"/>
    </bk>
    <bk>
      <rc t="2" v="2545"/>
    </bk>
    <bk>
      <rc t="2" v="2546"/>
    </bk>
    <bk>
      <rc t="2" v="2547"/>
    </bk>
    <bk>
      <rc t="2" v="2548"/>
    </bk>
    <bk>
      <rc t="2" v="2549"/>
    </bk>
    <bk>
      <rc t="2" v="2550"/>
    </bk>
    <bk>
      <rc t="2" v="2551"/>
    </bk>
    <bk>
      <rc t="2" v="2552"/>
    </bk>
    <bk>
      <rc t="2" v="2553"/>
    </bk>
    <bk>
      <rc t="2" v="2554"/>
    </bk>
    <bk>
      <rc t="2" v="2555"/>
    </bk>
    <bk>
      <rc t="2" v="2556"/>
    </bk>
    <bk>
      <rc t="2" v="2557"/>
    </bk>
    <bk>
      <rc t="2" v="2558"/>
    </bk>
    <bk>
      <rc t="2" v="2559"/>
    </bk>
    <bk>
      <rc t="2" v="2560"/>
    </bk>
    <bk>
      <rc t="2" v="2561"/>
    </bk>
    <bk>
      <rc t="2" v="2562"/>
    </bk>
    <bk>
      <rc t="2" v="2563"/>
    </bk>
    <bk>
      <rc t="2" v="2564"/>
    </bk>
    <bk>
      <rc t="2" v="2565"/>
    </bk>
    <bk>
      <rc t="2" v="2566"/>
    </bk>
    <bk>
      <rc t="2" v="2567"/>
    </bk>
    <bk>
      <rc t="2" v="2568"/>
    </bk>
    <bk>
      <rc t="2" v="2569"/>
    </bk>
    <bk>
      <rc t="2" v="2570"/>
    </bk>
    <bk>
      <rc t="2" v="2571"/>
    </bk>
    <bk>
      <rc t="2" v="2572"/>
    </bk>
    <bk>
      <rc t="2" v="2573"/>
    </bk>
    <bk>
      <rc t="2" v="2574"/>
    </bk>
    <bk>
      <rc t="2" v="2575"/>
    </bk>
    <bk>
      <rc t="2" v="2576"/>
    </bk>
    <bk>
      <rc t="2" v="2577"/>
    </bk>
    <bk>
      <rc t="2" v="2578"/>
    </bk>
    <bk>
      <rc t="2" v="2579"/>
    </bk>
    <bk>
      <rc t="2" v="2580"/>
    </bk>
    <bk>
      <rc t="2" v="2581"/>
    </bk>
    <bk>
      <rc t="2" v="2582"/>
    </bk>
    <bk>
      <rc t="2" v="2583"/>
    </bk>
    <bk>
      <rc t="2" v="2584"/>
    </bk>
    <bk>
      <rc t="2" v="2585"/>
    </bk>
    <bk>
      <rc t="2" v="2586"/>
    </bk>
    <bk>
      <rc t="2" v="2587"/>
    </bk>
    <bk>
      <rc t="2" v="2588"/>
    </bk>
    <bk>
      <rc t="2" v="2589"/>
    </bk>
    <bk>
      <rc t="2" v="2590"/>
    </bk>
    <bk>
      <rc t="2" v="2591"/>
    </bk>
    <bk>
      <rc t="2" v="2592"/>
    </bk>
    <bk>
      <rc t="2" v="2593"/>
    </bk>
    <bk>
      <rc t="2" v="2594"/>
    </bk>
    <bk>
      <rc t="2" v="2595"/>
    </bk>
    <bk>
      <rc t="2" v="2596"/>
    </bk>
    <bk>
      <rc t="2" v="2597"/>
    </bk>
    <bk>
      <rc t="2" v="2598"/>
    </bk>
    <bk>
      <rc t="2" v="2599"/>
    </bk>
    <bk>
      <rc t="2" v="2600"/>
    </bk>
    <bk>
      <rc t="2" v="2601"/>
    </bk>
    <bk>
      <rc t="2" v="2602"/>
    </bk>
    <bk>
      <rc t="2" v="2603"/>
    </bk>
    <bk>
      <rc t="2" v="2604"/>
    </bk>
    <bk>
      <rc t="2" v="2605"/>
    </bk>
    <bk>
      <rc t="2" v="2606"/>
    </bk>
    <bk>
      <rc t="2" v="2607"/>
    </bk>
    <bk>
      <rc t="2" v="2608"/>
    </bk>
    <bk>
      <rc t="2" v="2609"/>
    </bk>
    <bk>
      <rc t="2" v="2610"/>
    </bk>
    <bk>
      <rc t="2" v="2611"/>
    </bk>
    <bk>
      <rc t="2" v="2612"/>
    </bk>
    <bk>
      <rc t="2" v="2613"/>
    </bk>
    <bk>
      <rc t="2" v="2614"/>
    </bk>
    <bk>
      <rc t="2" v="2615"/>
    </bk>
    <bk>
      <rc t="2" v="2616"/>
    </bk>
    <bk>
      <rc t="2" v="2617"/>
    </bk>
    <bk>
      <rc t="2" v="2618"/>
    </bk>
    <bk>
      <rc t="2" v="2619"/>
    </bk>
    <bk>
      <rc t="2" v="2620"/>
    </bk>
    <bk>
      <rc t="2" v="2621"/>
    </bk>
    <bk>
      <rc t="2" v="2622"/>
    </bk>
    <bk>
      <rc t="2" v="2623"/>
    </bk>
    <bk>
      <rc t="2" v="2624"/>
    </bk>
    <bk>
      <rc t="2" v="2625"/>
    </bk>
    <bk>
      <rc t="2" v="2626"/>
    </bk>
    <bk>
      <rc t="2" v="2627"/>
    </bk>
    <bk>
      <rc t="2" v="2628"/>
    </bk>
    <bk>
      <rc t="2" v="2629"/>
    </bk>
    <bk>
      <rc t="2" v="2630"/>
    </bk>
    <bk>
      <rc t="2" v="2631"/>
    </bk>
    <bk>
      <rc t="2" v="2632"/>
    </bk>
    <bk>
      <rc t="2" v="2633"/>
    </bk>
    <bk>
      <rc t="2" v="2634"/>
    </bk>
    <bk>
      <rc t="2" v="2635"/>
    </bk>
    <bk>
      <rc t="2" v="2636"/>
    </bk>
    <bk>
      <rc t="2" v="2637"/>
    </bk>
    <bk>
      <rc t="2" v="2638"/>
    </bk>
    <bk>
      <rc t="2" v="2639"/>
    </bk>
    <bk>
      <rc t="2" v="2640"/>
    </bk>
    <bk>
      <rc t="2" v="2641"/>
    </bk>
    <bk>
      <rc t="2" v="2642"/>
    </bk>
    <bk>
      <rc t="2" v="2643"/>
    </bk>
    <bk>
      <rc t="2" v="2644"/>
    </bk>
    <bk>
      <rc t="2" v="2645"/>
    </bk>
    <bk>
      <rc t="2" v="2646"/>
    </bk>
    <bk>
      <rc t="2" v="2647"/>
    </bk>
    <bk>
      <rc t="2" v="2648"/>
    </bk>
    <bk>
      <rc t="2" v="2649"/>
    </bk>
    <bk>
      <rc t="2" v="2650"/>
    </bk>
    <bk>
      <rc t="2" v="2651"/>
    </bk>
    <bk>
      <rc t="2" v="2652"/>
    </bk>
    <bk>
      <rc t="2" v="2653"/>
    </bk>
    <bk>
      <rc t="2" v="2654"/>
    </bk>
    <bk>
      <rc t="2" v="2655"/>
    </bk>
    <bk>
      <rc t="2" v="2656"/>
    </bk>
    <bk>
      <rc t="2" v="2657"/>
    </bk>
    <bk>
      <rc t="2" v="2658"/>
    </bk>
    <bk>
      <rc t="2" v="2659"/>
    </bk>
    <bk>
      <rc t="2" v="2660"/>
    </bk>
    <bk>
      <rc t="2" v="2661"/>
    </bk>
    <bk>
      <rc t="2" v="2662"/>
    </bk>
    <bk>
      <rc t="2" v="2663"/>
    </bk>
    <bk>
      <rc t="2" v="2664"/>
    </bk>
    <bk>
      <rc t="2" v="2665"/>
    </bk>
    <bk>
      <rc t="2" v="2666"/>
    </bk>
    <bk>
      <rc t="2" v="2667"/>
    </bk>
    <bk>
      <rc t="2" v="2668"/>
    </bk>
    <bk>
      <rc t="2" v="2669"/>
    </bk>
    <bk>
      <rc t="2" v="2670"/>
    </bk>
    <bk>
      <rc t="2" v="2671"/>
    </bk>
    <bk>
      <rc t="2" v="2672"/>
    </bk>
    <bk>
      <rc t="2" v="2673"/>
    </bk>
    <bk>
      <rc t="2" v="2674"/>
    </bk>
    <bk>
      <rc t="2" v="2675"/>
    </bk>
    <bk>
      <rc t="2" v="2676"/>
    </bk>
    <bk>
      <rc t="2" v="2677"/>
    </bk>
    <bk>
      <rc t="2" v="2678"/>
    </bk>
    <bk>
      <rc t="2" v="2679"/>
    </bk>
    <bk>
      <rc t="2" v="2680"/>
    </bk>
    <bk>
      <rc t="2" v="2681"/>
    </bk>
    <bk>
      <rc t="2" v="2682"/>
    </bk>
    <bk>
      <rc t="2" v="2683"/>
    </bk>
    <bk>
      <rc t="2" v="2684"/>
    </bk>
    <bk>
      <rc t="2" v="2685"/>
    </bk>
    <bk>
      <rc t="2" v="2686"/>
    </bk>
    <bk>
      <rc t="2" v="2687"/>
    </bk>
    <bk>
      <rc t="2" v="2688"/>
    </bk>
    <bk>
      <rc t="2" v="2689"/>
    </bk>
    <bk>
      <rc t="2" v="2690"/>
    </bk>
    <bk>
      <rc t="2" v="2691"/>
    </bk>
    <bk>
      <rc t="2" v="2692"/>
    </bk>
    <bk>
      <rc t="2" v="2693"/>
    </bk>
    <bk>
      <rc t="2" v="2694"/>
    </bk>
    <bk>
      <rc t="2" v="2695"/>
    </bk>
    <bk>
      <rc t="2" v="2696"/>
    </bk>
    <bk>
      <rc t="2" v="2697"/>
    </bk>
    <bk>
      <rc t="2" v="2698"/>
    </bk>
    <bk>
      <rc t="2" v="2699"/>
    </bk>
    <bk>
      <rc t="2" v="2700"/>
    </bk>
    <bk>
      <rc t="2" v="2701"/>
    </bk>
    <bk>
      <rc t="2" v="2702"/>
    </bk>
    <bk>
      <rc t="2" v="2703"/>
    </bk>
    <bk>
      <rc t="2" v="2704"/>
    </bk>
    <bk>
      <rc t="2" v="2705"/>
    </bk>
    <bk>
      <rc t="2" v="2706"/>
    </bk>
    <bk>
      <rc t="2" v="2707"/>
    </bk>
    <bk>
      <rc t="2" v="2708"/>
    </bk>
    <bk>
      <rc t="2" v="2709"/>
    </bk>
    <bk>
      <rc t="2" v="2710"/>
    </bk>
    <bk>
      <rc t="2" v="2711"/>
    </bk>
    <bk>
      <rc t="2" v="2712"/>
    </bk>
    <bk>
      <rc t="2" v="2713"/>
    </bk>
    <bk>
      <rc t="2" v="2714"/>
    </bk>
    <bk>
      <rc t="2" v="2715"/>
    </bk>
    <bk>
      <rc t="2" v="2716"/>
    </bk>
    <bk>
      <rc t="2" v="2717"/>
    </bk>
    <bk>
      <rc t="2" v="2718"/>
    </bk>
    <bk>
      <rc t="2" v="2719"/>
    </bk>
    <bk>
      <rc t="2" v="2720"/>
    </bk>
    <bk>
      <rc t="2" v="2721"/>
    </bk>
    <bk>
      <rc t="2" v="2722"/>
    </bk>
    <bk>
      <rc t="2" v="2723"/>
    </bk>
    <bk>
      <rc t="2" v="2724"/>
    </bk>
    <bk>
      <rc t="2" v="2725"/>
    </bk>
    <bk>
      <rc t="2" v="2726"/>
    </bk>
    <bk>
      <rc t="2" v="2727"/>
    </bk>
    <bk>
      <rc t="2" v="2728"/>
    </bk>
    <bk>
      <rc t="2" v="2729"/>
    </bk>
    <bk>
      <rc t="2" v="2730"/>
    </bk>
    <bk>
      <rc t="2" v="2731"/>
    </bk>
    <bk>
      <rc t="2" v="2732"/>
    </bk>
    <bk>
      <rc t="2" v="2733"/>
    </bk>
    <bk>
      <rc t="2" v="2734"/>
    </bk>
    <bk>
      <rc t="2" v="2735"/>
    </bk>
    <bk>
      <rc t="2" v="2736"/>
    </bk>
    <bk>
      <rc t="2" v="2737"/>
    </bk>
    <bk>
      <rc t="2" v="2738"/>
    </bk>
    <bk>
      <rc t="2" v="2739"/>
    </bk>
    <bk>
      <rc t="2" v="2740"/>
    </bk>
    <bk>
      <rc t="2" v="2741"/>
    </bk>
    <bk>
      <rc t="2" v="2742"/>
    </bk>
    <bk>
      <rc t="2" v="2743"/>
    </bk>
    <bk>
      <rc t="2" v="2744"/>
    </bk>
    <bk>
      <rc t="2" v="2745"/>
    </bk>
    <bk>
      <rc t="2" v="2746"/>
    </bk>
    <bk>
      <rc t="2" v="2747"/>
    </bk>
    <bk>
      <rc t="2" v="2748"/>
    </bk>
    <bk>
      <rc t="2" v="2749"/>
    </bk>
    <bk>
      <rc t="2" v="2750"/>
    </bk>
    <bk>
      <rc t="2" v="2751"/>
    </bk>
    <bk>
      <rc t="2" v="2752"/>
    </bk>
    <bk>
      <rc t="2" v="2753"/>
    </bk>
    <bk>
      <rc t="2" v="2754"/>
    </bk>
    <bk>
      <rc t="2" v="2755"/>
    </bk>
    <bk>
      <rc t="2" v="2756"/>
    </bk>
    <bk>
      <rc t="2" v="2757"/>
    </bk>
    <bk>
      <rc t="2" v="2758"/>
    </bk>
    <bk>
      <rc t="2" v="2759"/>
    </bk>
    <bk>
      <rc t="2" v="2760"/>
    </bk>
    <bk>
      <rc t="2" v="2761"/>
    </bk>
    <bk>
      <rc t="2" v="2762"/>
    </bk>
    <bk>
      <rc t="2" v="2763"/>
    </bk>
    <bk>
      <rc t="2" v="2764"/>
    </bk>
    <bk>
      <rc t="2" v="2765"/>
    </bk>
    <bk>
      <rc t="2" v="2766"/>
    </bk>
    <bk>
      <rc t="2" v="2767"/>
    </bk>
    <bk>
      <rc t="2" v="2768"/>
    </bk>
    <bk>
      <rc t="2" v="2769"/>
    </bk>
    <bk>
      <rc t="2" v="2770"/>
    </bk>
    <bk>
      <rc t="2" v="2771"/>
    </bk>
    <bk>
      <rc t="2" v="2772"/>
    </bk>
    <bk>
      <rc t="2" v="2773"/>
    </bk>
    <bk>
      <rc t="2" v="2774"/>
    </bk>
    <bk>
      <rc t="2" v="2775"/>
    </bk>
    <bk>
      <rc t="2" v="2776"/>
    </bk>
    <bk>
      <rc t="2" v="2777"/>
    </bk>
    <bk>
      <rc t="2" v="2778"/>
    </bk>
    <bk>
      <rc t="2" v="2779"/>
    </bk>
    <bk>
      <rc t="2" v="2780"/>
    </bk>
    <bk>
      <rc t="2" v="2781"/>
    </bk>
    <bk>
      <rc t="2" v="2782"/>
    </bk>
    <bk>
      <rc t="2" v="2783"/>
    </bk>
    <bk>
      <rc t="2" v="2784"/>
    </bk>
    <bk>
      <rc t="2" v="2785"/>
    </bk>
    <bk>
      <rc t="2" v="2786"/>
    </bk>
    <bk>
      <rc t="2" v="2787"/>
    </bk>
    <bk>
      <rc t="2" v="2788"/>
    </bk>
    <bk>
      <rc t="2" v="2789"/>
    </bk>
    <bk>
      <rc t="2" v="2790"/>
    </bk>
    <bk>
      <rc t="2" v="2791"/>
    </bk>
    <bk>
      <rc t="2" v="2792"/>
    </bk>
    <bk>
      <rc t="2" v="2793"/>
    </bk>
    <bk>
      <rc t="2" v="2794"/>
    </bk>
    <bk>
      <rc t="2" v="2795"/>
    </bk>
    <bk>
      <rc t="2" v="2796"/>
    </bk>
    <bk>
      <rc t="2" v="2797"/>
    </bk>
    <bk>
      <rc t="2" v="2798"/>
    </bk>
    <bk>
      <rc t="2" v="2799"/>
    </bk>
    <bk>
      <rc t="2" v="2800"/>
    </bk>
    <bk>
      <rc t="2" v="2801"/>
    </bk>
    <bk>
      <rc t="2" v="2802"/>
    </bk>
    <bk>
      <rc t="2" v="2803"/>
    </bk>
    <bk>
      <rc t="2" v="2804"/>
    </bk>
    <bk>
      <rc t="2" v="2805"/>
    </bk>
    <bk>
      <rc t="2" v="2806"/>
    </bk>
    <bk>
      <rc t="2" v="2807"/>
    </bk>
    <bk>
      <rc t="2" v="2808"/>
    </bk>
    <bk>
      <rc t="2" v="2809"/>
    </bk>
    <bk>
      <rc t="2" v="2810"/>
    </bk>
    <bk>
      <rc t="2" v="2811"/>
    </bk>
    <bk>
      <rc t="2" v="2812"/>
    </bk>
    <bk>
      <rc t="2" v="2813"/>
    </bk>
    <bk>
      <rc t="2" v="2814"/>
    </bk>
    <bk>
      <rc t="2" v="2815"/>
    </bk>
    <bk>
      <rc t="2" v="2816"/>
    </bk>
    <bk>
      <rc t="2" v="2817"/>
    </bk>
    <bk>
      <rc t="2" v="2818"/>
    </bk>
    <bk>
      <rc t="2" v="2819"/>
    </bk>
    <bk>
      <rc t="2" v="2820"/>
    </bk>
    <bk>
      <rc t="2" v="2821"/>
    </bk>
    <bk>
      <rc t="2" v="2822"/>
    </bk>
    <bk>
      <rc t="2" v="2823"/>
    </bk>
    <bk>
      <rc t="2" v="2824"/>
    </bk>
    <bk>
      <rc t="2" v="2825"/>
    </bk>
    <bk>
      <rc t="2" v="2826"/>
    </bk>
    <bk>
      <rc t="2" v="2827"/>
    </bk>
    <bk>
      <rc t="2" v="2828"/>
    </bk>
    <bk>
      <rc t="2" v="2829"/>
    </bk>
    <bk>
      <rc t="2" v="2830"/>
    </bk>
    <bk>
      <rc t="2" v="2831"/>
    </bk>
    <bk>
      <rc t="2" v="2832"/>
    </bk>
    <bk>
      <rc t="2" v="2833"/>
    </bk>
    <bk>
      <rc t="2" v="2834"/>
    </bk>
    <bk>
      <rc t="2" v="2835"/>
    </bk>
    <bk>
      <rc t="2" v="2836"/>
    </bk>
    <bk>
      <rc t="2" v="2837"/>
    </bk>
    <bk>
      <rc t="2" v="2838"/>
    </bk>
    <bk>
      <rc t="2" v="2839"/>
    </bk>
    <bk>
      <rc t="2" v="2840"/>
    </bk>
    <bk>
      <rc t="2" v="2841"/>
    </bk>
    <bk>
      <rc t="2" v="2842"/>
    </bk>
    <bk>
      <rc t="2" v="2843"/>
    </bk>
    <bk>
      <rc t="2" v="2844"/>
    </bk>
    <bk>
      <rc t="2" v="2845"/>
    </bk>
    <bk>
      <rc t="2" v="2846"/>
    </bk>
    <bk>
      <rc t="2" v="2847"/>
    </bk>
    <bk>
      <rc t="2" v="2848"/>
    </bk>
    <bk>
      <rc t="2" v="2849"/>
    </bk>
    <bk>
      <rc t="2" v="2850"/>
    </bk>
    <bk>
      <rc t="2" v="2851"/>
    </bk>
    <bk>
      <rc t="2" v="2852"/>
    </bk>
    <bk>
      <rc t="2" v="2853"/>
    </bk>
    <bk>
      <rc t="2" v="2854"/>
    </bk>
    <bk>
      <rc t="2" v="2855"/>
    </bk>
    <bk>
      <rc t="2" v="2856"/>
    </bk>
    <bk>
      <rc t="2" v="2857"/>
    </bk>
    <bk>
      <rc t="2" v="2858"/>
    </bk>
    <bk>
      <rc t="2" v="2859"/>
    </bk>
    <bk>
      <rc t="2" v="2860"/>
    </bk>
    <bk>
      <rc t="2" v="2861"/>
    </bk>
    <bk>
      <rc t="2" v="2862"/>
    </bk>
    <bk>
      <rc t="2" v="2863"/>
    </bk>
    <bk>
      <rc t="2" v="2864"/>
    </bk>
    <bk>
      <rc t="2" v="2865"/>
    </bk>
    <bk>
      <rc t="2" v="2866"/>
    </bk>
    <bk>
      <rc t="2" v="2867"/>
    </bk>
    <bk>
      <rc t="2" v="2868"/>
    </bk>
    <bk>
      <rc t="2" v="2869"/>
    </bk>
    <bk>
      <rc t="2" v="2870"/>
    </bk>
    <bk>
      <rc t="2" v="2871"/>
    </bk>
    <bk>
      <rc t="2" v="2872"/>
    </bk>
    <bk>
      <rc t="2" v="2873"/>
    </bk>
    <bk>
      <rc t="2" v="2874"/>
    </bk>
    <bk>
      <rc t="2" v="2875"/>
    </bk>
    <bk>
      <rc t="2" v="2876"/>
    </bk>
    <bk>
      <rc t="2" v="2877"/>
    </bk>
    <bk>
      <rc t="2" v="2878"/>
    </bk>
    <bk>
      <rc t="2" v="2879"/>
    </bk>
    <bk>
      <rc t="2" v="2880"/>
    </bk>
    <bk>
      <rc t="2" v="2881"/>
    </bk>
    <bk>
      <rc t="2" v="2882"/>
    </bk>
    <bk>
      <rc t="2" v="2883"/>
    </bk>
    <bk>
      <rc t="2" v="2884"/>
    </bk>
    <bk>
      <rc t="2" v="2885"/>
    </bk>
    <bk>
      <rc t="2" v="2886"/>
    </bk>
    <bk>
      <rc t="2" v="2887"/>
    </bk>
    <bk>
      <rc t="2" v="2888"/>
    </bk>
    <bk>
      <rc t="2" v="2889"/>
    </bk>
    <bk>
      <rc t="2" v="2890"/>
    </bk>
    <bk>
      <rc t="2" v="2891"/>
    </bk>
    <bk>
      <rc t="2" v="2892"/>
    </bk>
    <bk>
      <rc t="2" v="2893"/>
    </bk>
    <bk>
      <rc t="2" v="2894"/>
    </bk>
    <bk>
      <rc t="2" v="2895"/>
    </bk>
    <bk>
      <rc t="2" v="2896"/>
    </bk>
    <bk>
      <rc t="2" v="2897"/>
    </bk>
    <bk>
      <rc t="2" v="2898"/>
    </bk>
    <bk>
      <rc t="2" v="2899"/>
    </bk>
    <bk>
      <rc t="2" v="2900"/>
    </bk>
    <bk>
      <rc t="2" v="2901"/>
    </bk>
    <bk>
      <rc t="2" v="2902"/>
    </bk>
    <bk>
      <rc t="2" v="2903"/>
    </bk>
    <bk>
      <rc t="2" v="2904"/>
    </bk>
    <bk>
      <rc t="2" v="2905"/>
    </bk>
    <bk>
      <rc t="2" v="2906"/>
    </bk>
    <bk>
      <rc t="2" v="2907"/>
    </bk>
    <bk>
      <rc t="2" v="2908"/>
    </bk>
    <bk>
      <rc t="2" v="2909"/>
    </bk>
    <bk>
      <rc t="2" v="2910"/>
    </bk>
    <bk>
      <rc t="2" v="2911"/>
    </bk>
    <bk>
      <rc t="2" v="2912"/>
    </bk>
    <bk>
      <rc t="2" v="2913"/>
    </bk>
    <bk>
      <rc t="2" v="2914"/>
    </bk>
    <bk>
      <rc t="2" v="2915"/>
    </bk>
    <bk>
      <rc t="2" v="2916"/>
    </bk>
    <bk>
      <rc t="2" v="2917"/>
    </bk>
    <bk>
      <rc t="2" v="2918"/>
    </bk>
    <bk>
      <rc t="2" v="2919"/>
    </bk>
    <bk>
      <rc t="2" v="2920"/>
    </bk>
    <bk>
      <rc t="2" v="2921"/>
    </bk>
    <bk>
      <rc t="2" v="2922"/>
    </bk>
    <bk>
      <rc t="2" v="2923"/>
    </bk>
    <bk>
      <rc t="2" v="2924"/>
    </bk>
    <bk>
      <rc t="2" v="2925"/>
    </bk>
    <bk>
      <rc t="2" v="2926"/>
    </bk>
    <bk>
      <rc t="2" v="2927"/>
    </bk>
    <bk>
      <rc t="2" v="2928"/>
    </bk>
    <bk>
      <rc t="2" v="2929"/>
    </bk>
    <bk>
      <rc t="2" v="2930"/>
    </bk>
    <bk>
      <rc t="2" v="2931"/>
    </bk>
    <bk>
      <rc t="2" v="2932"/>
    </bk>
    <bk>
      <rc t="2" v="2933"/>
    </bk>
    <bk>
      <rc t="2" v="2934"/>
    </bk>
    <bk>
      <rc t="2" v="2935"/>
    </bk>
    <bk>
      <rc t="2" v="2936"/>
    </bk>
    <bk>
      <rc t="2" v="2937"/>
    </bk>
    <bk>
      <rc t="2" v="2938"/>
    </bk>
    <bk>
      <rc t="2" v="2939"/>
    </bk>
    <bk>
      <rc t="2" v="2940"/>
    </bk>
    <bk>
      <rc t="2" v="2941"/>
    </bk>
    <bk>
      <rc t="2" v="2942"/>
    </bk>
    <bk>
      <rc t="2" v="2943"/>
    </bk>
    <bk>
      <rc t="2" v="2944"/>
    </bk>
    <bk>
      <rc t="2" v="2945"/>
    </bk>
    <bk>
      <rc t="2" v="2946"/>
    </bk>
    <bk>
      <rc t="2" v="2947"/>
    </bk>
    <bk>
      <rc t="2" v="2948"/>
    </bk>
    <bk>
      <rc t="2" v="2949"/>
    </bk>
    <bk>
      <rc t="2" v="2950"/>
    </bk>
    <bk>
      <rc t="2" v="2951"/>
    </bk>
    <bk>
      <rc t="2" v="2952"/>
    </bk>
    <bk>
      <rc t="2" v="2953"/>
    </bk>
    <bk>
      <rc t="2" v="2954"/>
    </bk>
    <bk>
      <rc t="2" v="2955"/>
    </bk>
    <bk>
      <rc t="2" v="2956"/>
    </bk>
    <bk>
      <rc t="2" v="2957"/>
    </bk>
    <bk>
      <rc t="2" v="2958"/>
    </bk>
    <bk>
      <rc t="2" v="2959"/>
    </bk>
    <bk>
      <rc t="2" v="2960"/>
    </bk>
    <bk>
      <rc t="2" v="2961"/>
    </bk>
    <bk>
      <rc t="2" v="2962"/>
    </bk>
    <bk>
      <rc t="2" v="2963"/>
    </bk>
    <bk>
      <rc t="2" v="2964"/>
    </bk>
    <bk>
      <rc t="2" v="2965"/>
    </bk>
    <bk>
      <rc t="2" v="2966"/>
    </bk>
    <bk>
      <rc t="2" v="2967"/>
    </bk>
    <bk>
      <rc t="2" v="2968"/>
    </bk>
    <bk>
      <rc t="2" v="2969"/>
    </bk>
    <bk>
      <rc t="2" v="2970"/>
    </bk>
    <bk>
      <rc t="2" v="2971"/>
    </bk>
    <bk>
      <rc t="2" v="2972"/>
    </bk>
    <bk>
      <rc t="2" v="2973"/>
    </bk>
    <bk>
      <rc t="2" v="2974"/>
    </bk>
    <bk>
      <rc t="2" v="2975"/>
    </bk>
    <bk>
      <rc t="2" v="2976"/>
    </bk>
    <bk>
      <rc t="2" v="2977"/>
    </bk>
    <bk>
      <rc t="2" v="2978"/>
    </bk>
    <bk>
      <rc t="2" v="2979"/>
    </bk>
    <bk>
      <rc t="2" v="2980"/>
    </bk>
    <bk>
      <rc t="2" v="2981"/>
    </bk>
    <bk>
      <rc t="2" v="2982"/>
    </bk>
    <bk>
      <rc t="2" v="2983"/>
    </bk>
    <bk>
      <rc t="2" v="2984"/>
    </bk>
    <bk>
      <rc t="2" v="2985"/>
    </bk>
    <bk>
      <rc t="2" v="2986"/>
    </bk>
    <bk>
      <rc t="2" v="2987"/>
    </bk>
    <bk>
      <rc t="2" v="2988"/>
    </bk>
    <bk>
      <rc t="2" v="2989"/>
    </bk>
    <bk>
      <rc t="2" v="2990"/>
    </bk>
    <bk>
      <rc t="2" v="2991"/>
    </bk>
    <bk>
      <rc t="2" v="2992"/>
    </bk>
    <bk>
      <rc t="2" v="2993"/>
    </bk>
    <bk>
      <rc t="2" v="2994"/>
    </bk>
    <bk>
      <rc t="2" v="2995"/>
    </bk>
    <bk>
      <rc t="2" v="2996"/>
    </bk>
    <bk>
      <rc t="2" v="2997"/>
    </bk>
    <bk>
      <rc t="2" v="2998"/>
    </bk>
    <bk>
      <rc t="2" v="2999"/>
    </bk>
    <bk>
      <rc t="2" v="3000"/>
    </bk>
    <bk>
      <rc t="2" v="3001"/>
    </bk>
    <bk>
      <rc t="2" v="3002"/>
    </bk>
    <bk>
      <rc t="2" v="3003"/>
    </bk>
    <bk>
      <rc t="2" v="3004"/>
    </bk>
    <bk>
      <rc t="2" v="3005"/>
    </bk>
    <bk>
      <rc t="2" v="3006"/>
    </bk>
    <bk>
      <rc t="2" v="3007"/>
    </bk>
    <bk>
      <rc t="2" v="3008"/>
    </bk>
    <bk>
      <rc t="2" v="3009"/>
    </bk>
    <bk>
      <rc t="2" v="3010"/>
    </bk>
    <bk>
      <rc t="2" v="3011"/>
    </bk>
    <bk>
      <rc t="2" v="3012"/>
    </bk>
    <bk>
      <rc t="2" v="3013"/>
    </bk>
    <bk>
      <rc t="2" v="3014"/>
    </bk>
    <bk>
      <rc t="2" v="3015"/>
    </bk>
    <bk>
      <rc t="2" v="3016"/>
    </bk>
    <bk>
      <rc t="2" v="3017"/>
    </bk>
    <bk>
      <rc t="2" v="3018"/>
    </bk>
    <bk>
      <rc t="2" v="3019"/>
    </bk>
    <bk>
      <rc t="2" v="3020"/>
    </bk>
    <bk>
      <rc t="2" v="3021"/>
    </bk>
    <bk>
      <rc t="2" v="3022"/>
    </bk>
    <bk>
      <rc t="2" v="3023"/>
    </bk>
    <bk>
      <rc t="2" v="3024"/>
    </bk>
    <bk>
      <rc t="2" v="3025"/>
    </bk>
    <bk>
      <rc t="2" v="3026"/>
    </bk>
    <bk>
      <rc t="2" v="3027"/>
    </bk>
    <bk>
      <rc t="2" v="3028"/>
    </bk>
    <bk>
      <rc t="2" v="3029"/>
    </bk>
    <bk>
      <rc t="2" v="3030"/>
    </bk>
    <bk>
      <rc t="2" v="3031"/>
    </bk>
    <bk>
      <rc t="2" v="3032"/>
    </bk>
    <bk>
      <rc t="2" v="3033"/>
    </bk>
    <bk>
      <rc t="2" v="3034"/>
    </bk>
    <bk>
      <rc t="2" v="3035"/>
    </bk>
    <bk>
      <rc t="2" v="3036"/>
    </bk>
    <bk>
      <rc t="2" v="3037"/>
    </bk>
    <bk>
      <rc t="2" v="3038"/>
    </bk>
    <bk>
      <rc t="2" v="3039"/>
    </bk>
    <bk>
      <rc t="2" v="3040"/>
    </bk>
    <bk>
      <rc t="2" v="3041"/>
    </bk>
    <bk>
      <rc t="2" v="3042"/>
    </bk>
    <bk>
      <rc t="2" v="3043"/>
    </bk>
    <bk>
      <rc t="2" v="3044"/>
    </bk>
    <bk>
      <rc t="2" v="3045"/>
    </bk>
    <bk>
      <rc t="2" v="3046"/>
    </bk>
    <bk>
      <rc t="2" v="3047"/>
    </bk>
    <bk>
      <rc t="2" v="3048"/>
    </bk>
    <bk>
      <rc t="2" v="3049"/>
    </bk>
    <bk>
      <rc t="2" v="3050"/>
    </bk>
    <bk>
      <rc t="2" v="3051"/>
    </bk>
    <bk>
      <rc t="2" v="3052"/>
    </bk>
    <bk>
      <rc t="2" v="3053"/>
    </bk>
    <bk>
      <rc t="2" v="3054"/>
    </bk>
    <bk>
      <rc t="2" v="3055"/>
    </bk>
    <bk>
      <rc t="2" v="3056"/>
    </bk>
    <bk>
      <rc t="2" v="3057"/>
    </bk>
    <bk>
      <rc t="2" v="3058"/>
    </bk>
    <bk>
      <rc t="2" v="3059"/>
    </bk>
    <bk>
      <rc t="2" v="3060"/>
    </bk>
    <bk>
      <rc t="2" v="3061"/>
    </bk>
    <bk>
      <rc t="2" v="3062"/>
    </bk>
    <bk>
      <rc t="2" v="3063"/>
    </bk>
    <bk>
      <rc t="2" v="3064"/>
    </bk>
    <bk>
      <rc t="2" v="3065"/>
    </bk>
    <bk>
      <rc t="2" v="3066"/>
    </bk>
    <bk>
      <rc t="2" v="3067"/>
    </bk>
    <bk>
      <rc t="2" v="3068"/>
    </bk>
    <bk>
      <rc t="2" v="3069"/>
    </bk>
    <bk>
      <rc t="2" v="3070"/>
    </bk>
    <bk>
      <rc t="2" v="3071"/>
    </bk>
    <bk>
      <rc t="2" v="3072"/>
    </bk>
    <bk>
      <rc t="2" v="3073"/>
    </bk>
    <bk>
      <rc t="2" v="3074"/>
    </bk>
    <bk>
      <rc t="2" v="3075"/>
    </bk>
    <bk>
      <rc t="2" v="3076"/>
    </bk>
    <bk>
      <rc t="2" v="3077"/>
    </bk>
    <bk>
      <rc t="2" v="3078"/>
    </bk>
    <bk>
      <rc t="2" v="3079"/>
    </bk>
    <bk>
      <rc t="2" v="3080"/>
    </bk>
    <bk>
      <rc t="2" v="3081"/>
    </bk>
    <bk>
      <rc t="2" v="3082"/>
    </bk>
    <bk>
      <rc t="2" v="3083"/>
    </bk>
    <bk>
      <rc t="2" v="3084"/>
    </bk>
    <bk>
      <rc t="2" v="3085"/>
    </bk>
    <bk>
      <rc t="2" v="3086"/>
    </bk>
    <bk>
      <rc t="2" v="3087"/>
    </bk>
    <bk>
      <rc t="2" v="3088"/>
    </bk>
    <bk>
      <rc t="2" v="3089"/>
    </bk>
    <bk>
      <rc t="2" v="3090"/>
    </bk>
    <bk>
      <rc t="2" v="3091"/>
    </bk>
    <bk>
      <rc t="2" v="3092"/>
    </bk>
    <bk>
      <rc t="2" v="3093"/>
    </bk>
    <bk>
      <rc t="2" v="3094"/>
    </bk>
    <bk>
      <rc t="2" v="3095"/>
    </bk>
    <bk>
      <rc t="2" v="3096"/>
    </bk>
    <bk>
      <rc t="2" v="3097"/>
    </bk>
    <bk>
      <rc t="2" v="3098"/>
    </bk>
    <bk>
      <rc t="2" v="3099"/>
    </bk>
    <bk>
      <rc t="2" v="3100"/>
    </bk>
    <bk>
      <rc t="2" v="3101"/>
    </bk>
    <bk>
      <rc t="2" v="3102"/>
    </bk>
    <bk>
      <rc t="2" v="3103"/>
    </bk>
    <bk>
      <rc t="2" v="3104"/>
    </bk>
    <bk>
      <rc t="2" v="3105"/>
    </bk>
    <bk>
      <rc t="2" v="3106"/>
    </bk>
    <bk>
      <rc t="2" v="3107"/>
    </bk>
    <bk>
      <rc t="2" v="3108"/>
    </bk>
    <bk>
      <rc t="2" v="3109"/>
    </bk>
    <bk>
      <rc t="2" v="3110"/>
    </bk>
    <bk>
      <rc t="2" v="3111"/>
    </bk>
    <bk>
      <rc t="2" v="3112"/>
    </bk>
    <bk>
      <rc t="2" v="3113"/>
    </bk>
    <bk>
      <rc t="2" v="3114"/>
    </bk>
    <bk>
      <rc t="2" v="3115"/>
    </bk>
    <bk>
      <rc t="2" v="3116"/>
    </bk>
    <bk>
      <rc t="2" v="3117"/>
    </bk>
    <bk>
      <rc t="2" v="3118"/>
    </bk>
    <bk>
      <rc t="2" v="3119"/>
    </bk>
    <bk>
      <rc t="2" v="3120"/>
    </bk>
    <bk>
      <rc t="2" v="3121"/>
    </bk>
    <bk>
      <rc t="2" v="3122"/>
    </bk>
    <bk>
      <rc t="2" v="3123"/>
    </bk>
    <bk>
      <rc t="2" v="3124"/>
    </bk>
    <bk>
      <rc t="2" v="3125"/>
    </bk>
    <bk>
      <rc t="2" v="3126"/>
    </bk>
    <bk>
      <rc t="2" v="3127"/>
    </bk>
    <bk>
      <rc t="2" v="3128"/>
    </bk>
    <bk>
      <rc t="2" v="3129"/>
    </bk>
    <bk>
      <rc t="2" v="3130"/>
    </bk>
    <bk>
      <rc t="2" v="3131"/>
    </bk>
    <bk>
      <rc t="2" v="3132"/>
    </bk>
    <bk>
      <rc t="2" v="3133"/>
    </bk>
    <bk>
      <rc t="2" v="3134"/>
    </bk>
    <bk>
      <rc t="2" v="3135"/>
    </bk>
    <bk>
      <rc t="2" v="3136"/>
    </bk>
    <bk>
      <rc t="2" v="3137"/>
    </bk>
    <bk>
      <rc t="2" v="3138"/>
    </bk>
    <bk>
      <rc t="2" v="3139"/>
    </bk>
    <bk>
      <rc t="2" v="3140"/>
    </bk>
    <bk>
      <rc t="2" v="3141"/>
    </bk>
    <bk>
      <rc t="2" v="3142"/>
    </bk>
    <bk>
      <rc t="2" v="3143"/>
    </bk>
    <bk>
      <rc t="2" v="3144"/>
    </bk>
    <bk>
      <rc t="2" v="3145"/>
    </bk>
    <bk>
      <rc t="2" v="3146"/>
    </bk>
    <bk>
      <rc t="2" v="3147"/>
    </bk>
    <bk>
      <rc t="2" v="3148"/>
    </bk>
    <bk>
      <rc t="2" v="3149"/>
    </bk>
    <bk>
      <rc t="2" v="3150"/>
    </bk>
    <bk>
      <rc t="2" v="3151"/>
    </bk>
    <bk>
      <rc t="2" v="3152"/>
    </bk>
    <bk>
      <rc t="2" v="3153"/>
    </bk>
    <bk>
      <rc t="2" v="3154"/>
    </bk>
    <bk>
      <rc t="2" v="3155"/>
    </bk>
    <bk>
      <rc t="2" v="3156"/>
    </bk>
    <bk>
      <rc t="2" v="3157"/>
    </bk>
    <bk>
      <rc t="2" v="3158"/>
    </bk>
    <bk>
      <rc t="2" v="3159"/>
    </bk>
    <bk>
      <rc t="2" v="3160"/>
    </bk>
    <bk>
      <rc t="2" v="3161"/>
    </bk>
    <bk>
      <rc t="2" v="3162"/>
    </bk>
    <bk>
      <rc t="2" v="3163"/>
    </bk>
    <bk>
      <rc t="2" v="3164"/>
    </bk>
    <bk>
      <rc t="2" v="3165"/>
    </bk>
    <bk>
      <rc t="2" v="3166"/>
    </bk>
    <bk>
      <rc t="2" v="3167"/>
    </bk>
    <bk>
      <rc t="2" v="3168"/>
    </bk>
    <bk>
      <rc t="2" v="3169"/>
    </bk>
    <bk>
      <rc t="2" v="3170"/>
    </bk>
    <bk>
      <rc t="2" v="3171"/>
    </bk>
    <bk>
      <rc t="2" v="3172"/>
    </bk>
    <bk>
      <rc t="2" v="3173"/>
    </bk>
    <bk>
      <rc t="2" v="3174"/>
    </bk>
    <bk>
      <rc t="2" v="3175"/>
    </bk>
    <bk>
      <rc t="2" v="3176"/>
    </bk>
    <bk>
      <rc t="2" v="3177"/>
    </bk>
    <bk>
      <rc t="2" v="3178"/>
    </bk>
    <bk>
      <rc t="2" v="3179"/>
    </bk>
    <bk>
      <rc t="2" v="3180"/>
    </bk>
    <bk>
      <rc t="2" v="3181"/>
    </bk>
    <bk>
      <rc t="2" v="3182"/>
    </bk>
    <bk>
      <rc t="2" v="3183"/>
    </bk>
    <bk>
      <rc t="2" v="3184"/>
    </bk>
    <bk>
      <rc t="2" v="3185"/>
    </bk>
    <bk>
      <rc t="2" v="3186"/>
    </bk>
    <bk>
      <rc t="2" v="3187"/>
    </bk>
    <bk>
      <rc t="2" v="3188"/>
    </bk>
    <bk>
      <rc t="2" v="3189"/>
    </bk>
    <bk>
      <rc t="2" v="3190"/>
    </bk>
    <bk>
      <rc t="2" v="3191"/>
    </bk>
    <bk>
      <rc t="2" v="3192"/>
    </bk>
    <bk>
      <rc t="2" v="3193"/>
    </bk>
    <bk>
      <rc t="2" v="3194"/>
    </bk>
    <bk>
      <rc t="2" v="3195"/>
    </bk>
    <bk>
      <rc t="2" v="3196"/>
    </bk>
    <bk>
      <rc t="2" v="3197"/>
    </bk>
    <bk>
      <rc t="2" v="3198"/>
    </bk>
    <bk>
      <rc t="2" v="3199"/>
    </bk>
    <bk>
      <rc t="2" v="3200"/>
    </bk>
    <bk>
      <rc t="2" v="3201"/>
    </bk>
    <bk>
      <rc t="2" v="3202"/>
    </bk>
    <bk>
      <rc t="2" v="3203"/>
    </bk>
    <bk>
      <rc t="2" v="3204"/>
    </bk>
    <bk>
      <rc t="2" v="3205"/>
    </bk>
    <bk>
      <rc t="2" v="3206"/>
    </bk>
    <bk>
      <rc t="2" v="3207"/>
    </bk>
    <bk>
      <rc t="2" v="3208"/>
    </bk>
    <bk>
      <rc t="2" v="3209"/>
    </bk>
    <bk>
      <rc t="2" v="3210"/>
    </bk>
    <bk>
      <rc t="2" v="3211"/>
    </bk>
    <bk>
      <rc t="2" v="3212"/>
    </bk>
    <bk>
      <rc t="2" v="3213"/>
    </bk>
    <bk>
      <rc t="2" v="3214"/>
    </bk>
    <bk>
      <rc t="2" v="3215"/>
    </bk>
    <bk>
      <rc t="2" v="3216"/>
    </bk>
    <bk>
      <rc t="2" v="3217"/>
    </bk>
    <bk>
      <rc t="2" v="3218"/>
    </bk>
    <bk>
      <rc t="2" v="3219"/>
    </bk>
    <bk>
      <rc t="2" v="3220"/>
    </bk>
    <bk>
      <rc t="2" v="3221"/>
    </bk>
    <bk>
      <rc t="2" v="3222"/>
    </bk>
    <bk>
      <rc t="2" v="3223"/>
    </bk>
    <bk>
      <rc t="2" v="3224"/>
    </bk>
    <bk>
      <rc t="2" v="3225"/>
    </bk>
    <bk>
      <rc t="2" v="3226"/>
    </bk>
    <bk>
      <rc t="2" v="3227"/>
    </bk>
    <bk>
      <rc t="2" v="3228"/>
    </bk>
    <bk>
      <rc t="2" v="3229"/>
    </bk>
    <bk>
      <rc t="2" v="3230"/>
    </bk>
    <bk>
      <rc t="2" v="3231"/>
    </bk>
    <bk>
      <rc t="2" v="3232"/>
    </bk>
    <bk>
      <rc t="2" v="3233"/>
    </bk>
    <bk>
      <rc t="2" v="3234"/>
    </bk>
    <bk>
      <rc t="2" v="3235"/>
    </bk>
    <bk>
      <rc t="2" v="3236"/>
    </bk>
    <bk>
      <rc t="2" v="3237"/>
    </bk>
    <bk>
      <rc t="2" v="3238"/>
    </bk>
    <bk>
      <rc t="2" v="3239"/>
    </bk>
    <bk>
      <rc t="2" v="3240"/>
    </bk>
    <bk>
      <rc t="2" v="3241"/>
    </bk>
    <bk>
      <rc t="2" v="3242"/>
    </bk>
    <bk>
      <rc t="2" v="3243"/>
    </bk>
    <bk>
      <rc t="2" v="3244"/>
    </bk>
    <bk>
      <rc t="2" v="3245"/>
    </bk>
    <bk>
      <rc t="2" v="3246"/>
    </bk>
    <bk>
      <rc t="2" v="3247"/>
    </bk>
    <bk>
      <rc t="2" v="3248"/>
    </bk>
    <bk>
      <rc t="2" v="3249"/>
    </bk>
    <bk>
      <rc t="2" v="3250"/>
    </bk>
    <bk>
      <rc t="2" v="3251"/>
    </bk>
    <bk>
      <rc t="2" v="3252"/>
    </bk>
    <bk>
      <rc t="2" v="3253"/>
    </bk>
    <bk>
      <rc t="2" v="3254"/>
    </bk>
    <bk>
      <rc t="2" v="3255"/>
    </bk>
    <bk>
      <rc t="2" v="3256"/>
    </bk>
    <bk>
      <rc t="2" v="3257"/>
    </bk>
    <bk>
      <rc t="2" v="3258"/>
    </bk>
    <bk>
      <rc t="2" v="3259"/>
    </bk>
    <bk>
      <rc t="2" v="3260"/>
    </bk>
    <bk>
      <rc t="2" v="3261"/>
    </bk>
    <bk>
      <rc t="2" v="3262"/>
    </bk>
    <bk>
      <rc t="2" v="3263"/>
    </bk>
    <bk>
      <rc t="2" v="3264"/>
    </bk>
    <bk>
      <rc t="2" v="3265"/>
    </bk>
    <bk>
      <rc t="2" v="3266"/>
    </bk>
    <bk>
      <rc t="2" v="3267"/>
    </bk>
    <bk>
      <rc t="2" v="3268"/>
    </bk>
    <bk>
      <rc t="2" v="3269"/>
    </bk>
    <bk>
      <rc t="2" v="3270"/>
    </bk>
    <bk>
      <rc t="2" v="3271"/>
    </bk>
    <bk>
      <rc t="2" v="3272"/>
    </bk>
    <bk>
      <rc t="2" v="3273"/>
    </bk>
    <bk>
      <rc t="2" v="3274"/>
    </bk>
    <bk>
      <rc t="2" v="3275"/>
    </bk>
    <bk>
      <rc t="2" v="3276"/>
    </bk>
    <bk>
      <rc t="2" v="3277"/>
    </bk>
    <bk>
      <rc t="2" v="3278"/>
    </bk>
    <bk>
      <rc t="2" v="3279"/>
    </bk>
    <bk>
      <rc t="2" v="3280"/>
    </bk>
    <bk>
      <rc t="2" v="3281"/>
    </bk>
    <bk>
      <rc t="2" v="3282"/>
    </bk>
    <bk>
      <rc t="2" v="3283"/>
    </bk>
    <bk>
      <rc t="2" v="3284"/>
    </bk>
    <bk>
      <rc t="2" v="3285"/>
    </bk>
    <bk>
      <rc t="2" v="3286"/>
    </bk>
    <bk>
      <rc t="2" v="3287"/>
    </bk>
    <bk>
      <rc t="2" v="3288"/>
    </bk>
    <bk>
      <rc t="2" v="3289"/>
    </bk>
    <bk>
      <rc t="2" v="3290"/>
    </bk>
    <bk>
      <rc t="2" v="3291"/>
    </bk>
    <bk>
      <rc t="2" v="3292"/>
    </bk>
    <bk>
      <rc t="2" v="3293"/>
    </bk>
    <bk>
      <rc t="2" v="3294"/>
    </bk>
    <bk>
      <rc t="2" v="3295"/>
    </bk>
    <bk>
      <rc t="2" v="3296"/>
    </bk>
    <bk>
      <rc t="2" v="3297"/>
    </bk>
    <bk>
      <rc t="2" v="3298"/>
    </bk>
    <bk>
      <rc t="2" v="3299"/>
    </bk>
    <bk>
      <rc t="2" v="3300"/>
    </bk>
    <bk>
      <rc t="2" v="3301"/>
    </bk>
    <bk>
      <rc t="2" v="3302"/>
    </bk>
    <bk>
      <rc t="2" v="3303"/>
    </bk>
    <bk>
      <rc t="2" v="3304"/>
    </bk>
    <bk>
      <rc t="2" v="3305"/>
    </bk>
    <bk>
      <rc t="2" v="3306"/>
    </bk>
    <bk>
      <rc t="2" v="3307"/>
    </bk>
    <bk>
      <rc t="2" v="3308"/>
    </bk>
    <bk>
      <rc t="2" v="3309"/>
    </bk>
    <bk>
      <rc t="2" v="3310"/>
    </bk>
    <bk>
      <rc t="2" v="3311"/>
    </bk>
    <bk>
      <rc t="2" v="3312"/>
    </bk>
    <bk>
      <rc t="2" v="3313"/>
    </bk>
    <bk>
      <rc t="2" v="3314"/>
    </bk>
    <bk>
      <rc t="2" v="3315"/>
    </bk>
    <bk>
      <rc t="2" v="3316"/>
    </bk>
    <bk>
      <rc t="2" v="3317"/>
    </bk>
    <bk>
      <rc t="2" v="3318"/>
    </bk>
    <bk>
      <rc t="2" v="3319"/>
    </bk>
    <bk>
      <rc t="2" v="3320"/>
    </bk>
    <bk>
      <rc t="2" v="3321"/>
    </bk>
    <bk>
      <rc t="2" v="3322"/>
    </bk>
    <bk>
      <rc t="2" v="3323"/>
    </bk>
    <bk>
      <rc t="2" v="3324"/>
    </bk>
    <bk>
      <rc t="2" v="3325"/>
    </bk>
    <bk>
      <rc t="2" v="3326"/>
    </bk>
    <bk>
      <rc t="2" v="3327"/>
    </bk>
    <bk>
      <rc t="2" v="3328"/>
    </bk>
    <bk>
      <rc t="2" v="3329"/>
    </bk>
    <bk>
      <rc t="2" v="3330"/>
    </bk>
    <bk>
      <rc t="2" v="3331"/>
    </bk>
    <bk>
      <rc t="2" v="3332"/>
    </bk>
    <bk>
      <rc t="2" v="3333"/>
    </bk>
    <bk>
      <rc t="2" v="3334"/>
    </bk>
    <bk>
      <rc t="2" v="3335"/>
    </bk>
    <bk>
      <rc t="2" v="3336"/>
    </bk>
    <bk>
      <rc t="2" v="3337"/>
    </bk>
    <bk>
      <rc t="2" v="3338"/>
    </bk>
    <bk>
      <rc t="2" v="3339"/>
    </bk>
    <bk>
      <rc t="2" v="3340"/>
    </bk>
    <bk>
      <rc t="2" v="3341"/>
    </bk>
    <bk>
      <rc t="2" v="3342"/>
    </bk>
    <bk>
      <rc t="2" v="3343"/>
    </bk>
    <bk>
      <rc t="2" v="3344"/>
    </bk>
    <bk>
      <rc t="2" v="3345"/>
    </bk>
    <bk>
      <rc t="2" v="3346"/>
    </bk>
    <bk>
      <rc t="2" v="3347"/>
    </bk>
    <bk>
      <rc t="2" v="3348"/>
    </bk>
    <bk>
      <rc t="2" v="3349"/>
    </bk>
    <bk>
      <rc t="2" v="3350"/>
    </bk>
    <bk>
      <rc t="2" v="3351"/>
    </bk>
    <bk>
      <rc t="2" v="3352"/>
    </bk>
    <bk>
      <rc t="2" v="3353"/>
    </bk>
    <bk>
      <rc t="2" v="3354"/>
    </bk>
    <bk>
      <rc t="2" v="3355"/>
    </bk>
    <bk>
      <rc t="2" v="3356"/>
    </bk>
    <bk>
      <rc t="2" v="3357"/>
    </bk>
    <bk>
      <rc t="2" v="3358"/>
    </bk>
    <bk>
      <rc t="2" v="3359"/>
    </bk>
    <bk>
      <rc t="2" v="3360"/>
    </bk>
    <bk>
      <rc t="2" v="3361"/>
    </bk>
    <bk>
      <rc t="2" v="3362"/>
    </bk>
    <bk>
      <rc t="2" v="3363"/>
    </bk>
    <bk>
      <rc t="2" v="3364"/>
    </bk>
    <bk>
      <rc t="2" v="3365"/>
    </bk>
    <bk>
      <rc t="2" v="3366"/>
    </bk>
    <bk>
      <rc t="2" v="3367"/>
    </bk>
    <bk>
      <rc t="2" v="3368"/>
    </bk>
    <bk>
      <rc t="2" v="3369"/>
    </bk>
    <bk>
      <rc t="2" v="3370"/>
    </bk>
    <bk>
      <rc t="2" v="3371"/>
    </bk>
    <bk>
      <rc t="2" v="3372"/>
    </bk>
    <bk>
      <rc t="2" v="3373"/>
    </bk>
    <bk>
      <rc t="2" v="3374"/>
    </bk>
    <bk>
      <rc t="2" v="3375"/>
    </bk>
    <bk>
      <rc t="2" v="3376"/>
    </bk>
    <bk>
      <rc t="2" v="3377"/>
    </bk>
    <bk>
      <rc t="2" v="3378"/>
    </bk>
    <bk>
      <rc t="2" v="3379"/>
    </bk>
    <bk>
      <rc t="2" v="3380"/>
    </bk>
    <bk>
      <rc t="2" v="3381"/>
    </bk>
    <bk>
      <rc t="2" v="3382"/>
    </bk>
    <bk>
      <rc t="2" v="3383"/>
    </bk>
    <bk>
      <rc t="2" v="3384"/>
    </bk>
    <bk>
      <rc t="2" v="3385"/>
    </bk>
    <bk>
      <rc t="2" v="3386"/>
    </bk>
    <bk>
      <rc t="2" v="3387"/>
    </bk>
    <bk>
      <rc t="2" v="3388"/>
    </bk>
    <bk>
      <rc t="2" v="3389"/>
    </bk>
    <bk>
      <rc t="2" v="3390"/>
    </bk>
    <bk>
      <rc t="2" v="3391"/>
    </bk>
    <bk>
      <rc t="2" v="3392"/>
    </bk>
    <bk>
      <rc t="2" v="3393"/>
    </bk>
    <bk>
      <rc t="2" v="3394"/>
    </bk>
    <bk>
      <rc t="2" v="3395"/>
    </bk>
    <bk>
      <rc t="2" v="3396"/>
    </bk>
    <bk>
      <rc t="2" v="3397"/>
    </bk>
    <bk>
      <rc t="2" v="3398"/>
    </bk>
    <bk>
      <rc t="2" v="3399"/>
    </bk>
    <bk>
      <rc t="2" v="3400"/>
    </bk>
    <bk>
      <rc t="2" v="3401"/>
    </bk>
    <bk>
      <rc t="2" v="3402"/>
    </bk>
    <bk>
      <rc t="2" v="3403"/>
    </bk>
    <bk>
      <rc t="2" v="3404"/>
    </bk>
    <bk>
      <rc t="2" v="3405"/>
    </bk>
    <bk>
      <rc t="2" v="3406"/>
    </bk>
    <bk>
      <rc t="2" v="3407"/>
    </bk>
    <bk>
      <rc t="2" v="3408"/>
    </bk>
    <bk>
      <rc t="2" v="3409"/>
    </bk>
    <bk>
      <rc t="2" v="3410"/>
    </bk>
    <bk>
      <rc t="2" v="3411"/>
    </bk>
    <bk>
      <rc t="2" v="3412"/>
    </bk>
    <bk>
      <rc t="2" v="3413"/>
    </bk>
    <bk>
      <rc t="2" v="3414"/>
    </bk>
    <bk>
      <rc t="2" v="3415"/>
    </bk>
    <bk>
      <rc t="2" v="3416"/>
    </bk>
    <bk>
      <rc t="2" v="3417"/>
    </bk>
    <bk>
      <rc t="2" v="3418"/>
    </bk>
    <bk>
      <rc t="2" v="3419"/>
    </bk>
    <bk>
      <rc t="2" v="3420"/>
    </bk>
    <bk>
      <rc t="2" v="3421"/>
    </bk>
    <bk>
      <rc t="2" v="3422"/>
    </bk>
    <bk>
      <rc t="2" v="3423"/>
    </bk>
    <bk>
      <rc t="2" v="3424"/>
    </bk>
    <bk>
      <rc t="2" v="3425"/>
    </bk>
    <bk>
      <rc t="2" v="3426"/>
    </bk>
    <bk>
      <rc t="2" v="3427"/>
    </bk>
    <bk>
      <rc t="2" v="3428"/>
    </bk>
    <bk>
      <rc t="2" v="3429"/>
    </bk>
    <bk>
      <rc t="2" v="3430"/>
    </bk>
    <bk>
      <rc t="2" v="3431"/>
    </bk>
    <bk>
      <rc t="2" v="3432"/>
    </bk>
    <bk>
      <rc t="2" v="3433"/>
    </bk>
    <bk>
      <rc t="2" v="3434"/>
    </bk>
    <bk>
      <rc t="2" v="3435"/>
    </bk>
    <bk>
      <rc t="2" v="3436"/>
    </bk>
    <bk>
      <rc t="2" v="3437"/>
    </bk>
    <bk>
      <rc t="2" v="3438"/>
    </bk>
    <bk>
      <rc t="2" v="3439"/>
    </bk>
    <bk>
      <rc t="2" v="3440"/>
    </bk>
    <bk>
      <rc t="2" v="3441"/>
    </bk>
    <bk>
      <rc t="2" v="3442"/>
    </bk>
    <bk>
      <rc t="2" v="3443"/>
    </bk>
    <bk>
      <rc t="2" v="3444"/>
    </bk>
    <bk>
      <rc t="2" v="3445"/>
    </bk>
    <bk>
      <rc t="2" v="3446"/>
    </bk>
    <bk>
      <rc t="2" v="3447"/>
    </bk>
    <bk>
      <rc t="2" v="3448"/>
    </bk>
    <bk>
      <rc t="2" v="3449"/>
    </bk>
    <bk>
      <rc t="2" v="3450"/>
    </bk>
    <bk>
      <rc t="2" v="3451"/>
    </bk>
    <bk>
      <rc t="2" v="3452"/>
    </bk>
    <bk>
      <rc t="2" v="3453"/>
    </bk>
    <bk>
      <rc t="2" v="3454"/>
    </bk>
    <bk>
      <rc t="2" v="3455"/>
    </bk>
    <bk>
      <rc t="2" v="3456"/>
    </bk>
    <bk>
      <rc t="2" v="3457"/>
    </bk>
    <bk>
      <rc t="2" v="3458"/>
    </bk>
    <bk>
      <rc t="2" v="3459"/>
    </bk>
    <bk>
      <rc t="2" v="3460"/>
    </bk>
    <bk>
      <rc t="2" v="3461"/>
    </bk>
    <bk>
      <rc t="2" v="3462"/>
    </bk>
    <bk>
      <rc t="2" v="3463"/>
    </bk>
    <bk>
      <rc t="2" v="3464"/>
    </bk>
    <bk>
      <rc t="2" v="3465"/>
    </bk>
    <bk>
      <rc t="2" v="3466"/>
    </bk>
    <bk>
      <rc t="2" v="3467"/>
    </bk>
    <bk>
      <rc t="2" v="3468"/>
    </bk>
    <bk>
      <rc t="2" v="3469"/>
    </bk>
    <bk>
      <rc t="2" v="3470"/>
    </bk>
    <bk>
      <rc t="2" v="3471"/>
    </bk>
    <bk>
      <rc t="2" v="3472"/>
    </bk>
    <bk>
      <rc t="2" v="3473"/>
    </bk>
    <bk>
      <rc t="2" v="3474"/>
    </bk>
    <bk>
      <rc t="2" v="3475"/>
    </bk>
    <bk>
      <rc t="2" v="3476"/>
    </bk>
    <bk>
      <rc t="2" v="3477"/>
    </bk>
    <bk>
      <rc t="2" v="3478"/>
    </bk>
    <bk>
      <rc t="2" v="3479"/>
    </bk>
    <bk>
      <rc t="2" v="3480"/>
    </bk>
    <bk>
      <rc t="2" v="3481"/>
    </bk>
    <bk>
      <rc t="2" v="3482"/>
    </bk>
    <bk>
      <rc t="2" v="3483"/>
    </bk>
    <bk>
      <rc t="2" v="3484"/>
    </bk>
    <bk>
      <rc t="2" v="3485"/>
    </bk>
    <bk>
      <rc t="2" v="3486"/>
    </bk>
    <bk>
      <rc t="2" v="3487"/>
    </bk>
    <bk>
      <rc t="2" v="3488"/>
    </bk>
    <bk>
      <rc t="2" v="3489"/>
    </bk>
    <bk>
      <rc t="2" v="3490"/>
    </bk>
    <bk>
      <rc t="2" v="3491"/>
    </bk>
    <bk>
      <rc t="2" v="3492"/>
    </bk>
    <bk>
      <rc t="2" v="3493"/>
    </bk>
    <bk>
      <rc t="2" v="3494"/>
    </bk>
    <bk>
      <rc t="2" v="3495"/>
    </bk>
    <bk>
      <rc t="2" v="3496"/>
    </bk>
    <bk>
      <rc t="2" v="3497"/>
    </bk>
    <bk>
      <rc t="2" v="3498"/>
    </bk>
    <bk>
      <rc t="2" v="3499"/>
    </bk>
    <bk>
      <rc t="2" v="3500"/>
    </bk>
    <bk>
      <rc t="2" v="3501"/>
    </bk>
    <bk>
      <rc t="2" v="3502"/>
    </bk>
    <bk>
      <rc t="2" v="3503"/>
    </bk>
    <bk>
      <rc t="2" v="3504"/>
    </bk>
    <bk>
      <rc t="2" v="3505"/>
    </bk>
    <bk>
      <rc t="2" v="3506"/>
    </bk>
    <bk>
      <rc t="2" v="3507"/>
    </bk>
    <bk>
      <rc t="2" v="3508"/>
    </bk>
    <bk>
      <rc t="2" v="3509"/>
    </bk>
    <bk>
      <rc t="2" v="3510"/>
    </bk>
    <bk>
      <rc t="2" v="3511"/>
    </bk>
    <bk>
      <rc t="2" v="3512"/>
    </bk>
    <bk>
      <rc t="2" v="3513"/>
    </bk>
    <bk>
      <rc t="2" v="3514"/>
    </bk>
    <bk>
      <rc t="2" v="3515"/>
    </bk>
    <bk>
      <rc t="2" v="3516"/>
    </bk>
    <bk>
      <rc t="2" v="3517"/>
    </bk>
    <bk>
      <rc t="2" v="3518"/>
    </bk>
    <bk>
      <rc t="2" v="3519"/>
    </bk>
    <bk>
      <rc t="2" v="3520"/>
    </bk>
    <bk>
      <rc t="2" v="3521"/>
    </bk>
    <bk>
      <rc t="2" v="3522"/>
    </bk>
    <bk>
      <rc t="2" v="3523"/>
    </bk>
    <bk>
      <rc t="2" v="3524"/>
    </bk>
    <bk>
      <rc t="2" v="3525"/>
    </bk>
    <bk>
      <rc t="2" v="3526"/>
    </bk>
    <bk>
      <rc t="2" v="3527"/>
    </bk>
    <bk>
      <rc t="2" v="3528"/>
    </bk>
    <bk>
      <rc t="2" v="3529"/>
    </bk>
    <bk>
      <rc t="2" v="3530"/>
    </bk>
    <bk>
      <rc t="2" v="3531"/>
    </bk>
    <bk>
      <rc t="2" v="3532"/>
    </bk>
    <bk>
      <rc t="2" v="3533"/>
    </bk>
    <bk>
      <rc t="2" v="3534"/>
    </bk>
    <bk>
      <rc t="2" v="3535"/>
    </bk>
    <bk>
      <rc t="2" v="3536"/>
    </bk>
    <bk>
      <rc t="2" v="3537"/>
    </bk>
    <bk>
      <rc t="2" v="3538"/>
    </bk>
    <bk>
      <rc t="2" v="3539"/>
    </bk>
    <bk>
      <rc t="2" v="3540"/>
    </bk>
    <bk>
      <rc t="2" v="3541"/>
    </bk>
    <bk>
      <rc t="2" v="3542"/>
    </bk>
    <bk>
      <rc t="2" v="3543"/>
    </bk>
    <bk>
      <rc t="2" v="3544"/>
    </bk>
    <bk>
      <rc t="2" v="3545"/>
    </bk>
    <bk>
      <rc t="2" v="3546"/>
    </bk>
    <bk>
      <rc t="2" v="3547"/>
    </bk>
    <bk>
      <rc t="2" v="3548"/>
    </bk>
    <bk>
      <rc t="2" v="3549"/>
    </bk>
    <bk>
      <rc t="2" v="3550"/>
    </bk>
    <bk>
      <rc t="2" v="3551"/>
    </bk>
    <bk>
      <rc t="2" v="3552"/>
    </bk>
    <bk>
      <rc t="2" v="3553"/>
    </bk>
    <bk>
      <rc t="2" v="3554"/>
    </bk>
    <bk>
      <rc t="2" v="3555"/>
    </bk>
    <bk>
      <rc t="2" v="3556"/>
    </bk>
    <bk>
      <rc t="2" v="3557"/>
    </bk>
    <bk>
      <rc t="2" v="3558"/>
    </bk>
    <bk>
      <rc t="2" v="3559"/>
    </bk>
    <bk>
      <rc t="2" v="3560"/>
    </bk>
    <bk>
      <rc t="2" v="3561"/>
    </bk>
    <bk>
      <rc t="2" v="3562"/>
    </bk>
    <bk>
      <rc t="2" v="3563"/>
    </bk>
    <bk>
      <rc t="2" v="3564"/>
    </bk>
    <bk>
      <rc t="2" v="3565"/>
    </bk>
    <bk>
      <rc t="2" v="3566"/>
    </bk>
    <bk>
      <rc t="2" v="3567"/>
    </bk>
    <bk>
      <rc t="2" v="3568"/>
    </bk>
    <bk>
      <rc t="2" v="3569"/>
    </bk>
    <bk>
      <rc t="2" v="3570"/>
    </bk>
    <bk>
      <rc t="2" v="3571"/>
    </bk>
    <bk>
      <rc t="2" v="3572"/>
    </bk>
    <bk>
      <rc t="2" v="3573"/>
    </bk>
    <bk>
      <rc t="2" v="3574"/>
    </bk>
    <bk>
      <rc t="2" v="3575"/>
    </bk>
    <bk>
      <rc t="2" v="3576"/>
    </bk>
    <bk>
      <rc t="2" v="3577"/>
    </bk>
    <bk>
      <rc t="2" v="3578"/>
    </bk>
    <bk>
      <rc t="2" v="3579"/>
    </bk>
    <bk>
      <rc t="2" v="3580"/>
    </bk>
    <bk>
      <rc t="2" v="3581"/>
    </bk>
    <bk>
      <rc t="2" v="3582"/>
    </bk>
    <bk>
      <rc t="2" v="3583"/>
    </bk>
    <bk>
      <rc t="2" v="3584"/>
    </bk>
    <bk>
      <rc t="2" v="3585"/>
    </bk>
    <bk>
      <rc t="2" v="3586"/>
    </bk>
    <bk>
      <rc t="2" v="3587"/>
    </bk>
    <bk>
      <rc t="2" v="3588"/>
    </bk>
    <bk>
      <rc t="2" v="3589"/>
    </bk>
    <bk>
      <rc t="2" v="3590"/>
    </bk>
    <bk>
      <rc t="2" v="3591"/>
    </bk>
    <bk>
      <rc t="2" v="3592"/>
    </bk>
    <bk>
      <rc t="2" v="3593"/>
    </bk>
    <bk>
      <rc t="2" v="3594"/>
    </bk>
    <bk>
      <rc t="2" v="3595"/>
    </bk>
    <bk>
      <rc t="2" v="3596"/>
    </bk>
    <bk>
      <rc t="2" v="3597"/>
    </bk>
    <bk>
      <rc t="2" v="3598"/>
    </bk>
    <bk>
      <rc t="2" v="3599"/>
    </bk>
    <bk>
      <rc t="2" v="3600"/>
    </bk>
    <bk>
      <rc t="2" v="3601"/>
    </bk>
    <bk>
      <rc t="2" v="3602"/>
    </bk>
    <bk>
      <rc t="2" v="3603"/>
    </bk>
    <bk>
      <rc t="2" v="3604"/>
    </bk>
    <bk>
      <rc t="2" v="3605"/>
    </bk>
    <bk>
      <rc t="2" v="3606"/>
    </bk>
    <bk>
      <rc t="2" v="3607"/>
    </bk>
    <bk>
      <rc t="2" v="3608"/>
    </bk>
    <bk>
      <rc t="2" v="3609"/>
    </bk>
    <bk>
      <rc t="2" v="3610"/>
    </bk>
    <bk>
      <rc t="2" v="3611"/>
    </bk>
    <bk>
      <rc t="2" v="3612"/>
    </bk>
    <bk>
      <rc t="2" v="3613"/>
    </bk>
    <bk>
      <rc t="2" v="3614"/>
    </bk>
    <bk>
      <rc t="2" v="3615"/>
    </bk>
    <bk>
      <rc t="2" v="3616"/>
    </bk>
    <bk>
      <rc t="2" v="3617"/>
    </bk>
    <bk>
      <rc t="2" v="3618"/>
    </bk>
    <bk>
      <rc t="2" v="3619"/>
    </bk>
    <bk>
      <rc t="2" v="3620"/>
    </bk>
    <bk>
      <rc t="2" v="3621"/>
    </bk>
    <bk>
      <rc t="2" v="3622"/>
    </bk>
    <bk>
      <rc t="2" v="3623"/>
    </bk>
    <bk>
      <rc t="2" v="3624"/>
    </bk>
    <bk>
      <rc t="2" v="3625"/>
    </bk>
    <bk>
      <rc t="2" v="3626"/>
    </bk>
    <bk>
      <rc t="2" v="3627"/>
    </bk>
    <bk>
      <rc t="2" v="3628"/>
    </bk>
    <bk>
      <rc t="2" v="3629"/>
    </bk>
    <bk>
      <rc t="2" v="3630"/>
    </bk>
    <bk>
      <rc t="2" v="3631"/>
    </bk>
    <bk>
      <rc t="2" v="3632"/>
    </bk>
    <bk>
      <rc t="2" v="3633"/>
    </bk>
    <bk>
      <rc t="2" v="3634"/>
    </bk>
    <bk>
      <rc t="2" v="3635"/>
    </bk>
    <bk>
      <rc t="2" v="3636"/>
    </bk>
    <bk>
      <rc t="2" v="3637"/>
    </bk>
    <bk>
      <rc t="2" v="3638"/>
    </bk>
    <bk>
      <rc t="2" v="3639"/>
    </bk>
    <bk>
      <rc t="2" v="3640"/>
    </bk>
    <bk>
      <rc t="2" v="3641"/>
    </bk>
    <bk>
      <rc t="2" v="3642"/>
    </bk>
    <bk>
      <rc t="2" v="3643"/>
    </bk>
    <bk>
      <rc t="2" v="3644"/>
    </bk>
    <bk>
      <rc t="2" v="3645"/>
    </bk>
    <bk>
      <rc t="2" v="3646"/>
    </bk>
    <bk>
      <rc t="2" v="3647"/>
    </bk>
    <bk>
      <rc t="2" v="3648"/>
    </bk>
    <bk>
      <rc t="2" v="3649"/>
    </bk>
    <bk>
      <rc t="2" v="3650"/>
    </bk>
    <bk>
      <rc t="2" v="3651"/>
    </bk>
    <bk>
      <rc t="2" v="3652"/>
    </bk>
    <bk>
      <rc t="2" v="3653"/>
    </bk>
    <bk>
      <rc t="2" v="3654"/>
    </bk>
    <bk>
      <rc t="2" v="3655"/>
    </bk>
    <bk>
      <rc t="2" v="3656"/>
    </bk>
    <bk>
      <rc t="2" v="3657"/>
    </bk>
    <bk>
      <rc t="2" v="3658"/>
    </bk>
    <bk>
      <rc t="2" v="3659"/>
    </bk>
    <bk>
      <rc t="2" v="3660"/>
    </bk>
    <bk>
      <rc t="2" v="3661"/>
    </bk>
    <bk>
      <rc t="2" v="3662"/>
    </bk>
    <bk>
      <rc t="2" v="3663"/>
    </bk>
    <bk>
      <rc t="2" v="3664"/>
    </bk>
    <bk>
      <rc t="2" v="3665"/>
    </bk>
    <bk>
      <rc t="2" v="3666"/>
    </bk>
    <bk>
      <rc t="2" v="3667"/>
    </bk>
    <bk>
      <rc t="2" v="3668"/>
    </bk>
    <bk>
      <rc t="2" v="3669"/>
    </bk>
    <bk>
      <rc t="2" v="3670"/>
    </bk>
    <bk>
      <rc t="2" v="3671"/>
    </bk>
    <bk>
      <rc t="2" v="3672"/>
    </bk>
    <bk>
      <rc t="2" v="3673"/>
    </bk>
    <bk>
      <rc t="2" v="3674"/>
    </bk>
    <bk>
      <rc t="2" v="3675"/>
    </bk>
    <bk>
      <rc t="2" v="3676"/>
    </bk>
    <bk>
      <rc t="2" v="3677"/>
    </bk>
    <bk>
      <rc t="2" v="3678"/>
    </bk>
    <bk>
      <rc t="2" v="3679"/>
    </bk>
    <bk>
      <rc t="2" v="3680"/>
    </bk>
    <bk>
      <rc t="2" v="3681"/>
    </bk>
    <bk>
      <rc t="2" v="3682"/>
    </bk>
    <bk>
      <rc t="2" v="3683"/>
    </bk>
    <bk>
      <rc t="2" v="3684"/>
    </bk>
    <bk>
      <rc t="2" v="3685"/>
    </bk>
    <bk>
      <rc t="2" v="3686"/>
    </bk>
    <bk>
      <rc t="2" v="3687"/>
    </bk>
    <bk>
      <rc t="2" v="3688"/>
    </bk>
    <bk>
      <rc t="2" v="3689"/>
    </bk>
    <bk>
      <rc t="2" v="3690"/>
    </bk>
    <bk>
      <rc t="2" v="3691"/>
    </bk>
    <bk>
      <rc t="2" v="3692"/>
    </bk>
    <bk>
      <rc t="2" v="3693"/>
    </bk>
    <bk>
      <rc t="2" v="3694"/>
    </bk>
    <bk>
      <rc t="2" v="3695"/>
    </bk>
    <bk>
      <rc t="2" v="3696"/>
    </bk>
    <bk>
      <rc t="2" v="3697"/>
    </bk>
    <bk>
      <rc t="2" v="3698"/>
    </bk>
    <bk>
      <rc t="2" v="3699"/>
    </bk>
    <bk>
      <rc t="2" v="3700"/>
    </bk>
    <bk>
      <rc t="2" v="3701"/>
    </bk>
    <bk>
      <rc t="2" v="3702"/>
    </bk>
    <bk>
      <rc t="2" v="3703"/>
    </bk>
    <bk>
      <rc t="2" v="3704"/>
    </bk>
    <bk>
      <rc t="2" v="3705"/>
    </bk>
    <bk>
      <rc t="2" v="3706"/>
    </bk>
    <bk>
      <rc t="2" v="3707"/>
    </bk>
    <bk>
      <rc t="2" v="3708"/>
    </bk>
    <bk>
      <rc t="2" v="3709"/>
    </bk>
    <bk>
      <rc t="2" v="3710"/>
    </bk>
    <bk>
      <rc t="2" v="3711"/>
    </bk>
    <bk>
      <rc t="2" v="3712"/>
    </bk>
    <bk>
      <rc t="2" v="3713"/>
    </bk>
    <bk>
      <rc t="2" v="3714"/>
    </bk>
    <bk>
      <rc t="2" v="3715"/>
    </bk>
    <bk>
      <rc t="2" v="3716"/>
    </bk>
    <bk>
      <rc t="2" v="3717"/>
    </bk>
    <bk>
      <rc t="2" v="3718"/>
    </bk>
    <bk>
      <rc t="2" v="3719"/>
    </bk>
    <bk>
      <rc t="2" v="3720"/>
    </bk>
    <bk>
      <rc t="2" v="3721"/>
    </bk>
    <bk>
      <rc t="2" v="3722"/>
    </bk>
    <bk>
      <rc t="2" v="3723"/>
    </bk>
    <bk>
      <rc t="2" v="3724"/>
    </bk>
    <bk>
      <rc t="2" v="3725"/>
    </bk>
    <bk>
      <rc t="2" v="3726"/>
    </bk>
    <bk>
      <rc t="2" v="3727"/>
    </bk>
    <bk>
      <rc t="2" v="3728"/>
    </bk>
    <bk>
      <rc t="2" v="3729"/>
    </bk>
    <bk>
      <rc t="2" v="3730"/>
    </bk>
    <bk>
      <rc t="2" v="3731"/>
    </bk>
    <bk>
      <rc t="2" v="3732"/>
    </bk>
    <bk>
      <rc t="2" v="3733"/>
    </bk>
    <bk>
      <rc t="2" v="3734"/>
    </bk>
    <bk>
      <rc t="2" v="3735"/>
    </bk>
    <bk>
      <rc t="2" v="3736"/>
    </bk>
    <bk>
      <rc t="2" v="3737"/>
    </bk>
    <bk>
      <rc t="2" v="3738"/>
    </bk>
    <bk>
      <rc t="2" v="3739"/>
    </bk>
    <bk>
      <rc t="2" v="3740"/>
    </bk>
    <bk>
      <rc t="2" v="3741"/>
    </bk>
    <bk>
      <rc t="2" v="3742"/>
    </bk>
    <bk>
      <rc t="2" v="3743"/>
    </bk>
    <bk>
      <rc t="2" v="3744"/>
    </bk>
    <bk>
      <rc t="2" v="3745"/>
    </bk>
    <bk>
      <rc t="2" v="3746"/>
    </bk>
    <bk>
      <rc t="2" v="3747"/>
    </bk>
    <bk>
      <rc t="2" v="3748"/>
    </bk>
    <bk>
      <rc t="2" v="3749"/>
    </bk>
    <bk>
      <rc t="2" v="3750"/>
    </bk>
    <bk>
      <rc t="2" v="3751"/>
    </bk>
    <bk>
      <rc t="2" v="3752"/>
    </bk>
    <bk>
      <rc t="2" v="3753"/>
    </bk>
    <bk>
      <rc t="2" v="3754"/>
    </bk>
    <bk>
      <rc t="2" v="3755"/>
    </bk>
    <bk>
      <rc t="2" v="3756"/>
    </bk>
    <bk>
      <rc t="2" v="3757"/>
    </bk>
    <bk>
      <rc t="2" v="3758"/>
    </bk>
    <bk>
      <rc t="2" v="3759"/>
    </bk>
    <bk>
      <rc t="2" v="3760"/>
    </bk>
    <bk>
      <rc t="2" v="3761"/>
    </bk>
    <bk>
      <rc t="2" v="3762"/>
    </bk>
    <bk>
      <rc t="2" v="3763"/>
    </bk>
    <bk>
      <rc t="2" v="3764"/>
    </bk>
    <bk>
      <rc t="2" v="3765"/>
    </bk>
    <bk>
      <rc t="2" v="3766"/>
    </bk>
    <bk>
      <rc t="2" v="3767"/>
    </bk>
    <bk>
      <rc t="2" v="3768"/>
    </bk>
    <bk>
      <rc t="2" v="3769"/>
    </bk>
    <bk>
      <rc t="2" v="3770"/>
    </bk>
    <bk>
      <rc t="2" v="3771"/>
    </bk>
    <bk>
      <rc t="2" v="3772"/>
    </bk>
    <bk>
      <rc t="2" v="3773"/>
    </bk>
    <bk>
      <rc t="2" v="3774"/>
    </bk>
    <bk>
      <rc t="2" v="3775"/>
    </bk>
    <bk>
      <rc t="2" v="3776"/>
    </bk>
    <bk>
      <rc t="2" v="3777"/>
    </bk>
    <bk>
      <rc t="2" v="3778"/>
    </bk>
    <bk>
      <rc t="2" v="3779"/>
    </bk>
    <bk>
      <rc t="2" v="3780"/>
    </bk>
    <bk>
      <rc t="2" v="3781"/>
    </bk>
    <bk>
      <rc t="2" v="3782"/>
    </bk>
    <bk>
      <rc t="2" v="3783"/>
    </bk>
    <bk>
      <rc t="2" v="3784"/>
    </bk>
    <bk>
      <rc t="2" v="3785"/>
    </bk>
    <bk>
      <rc t="2" v="3786"/>
    </bk>
    <bk>
      <rc t="2" v="3787"/>
    </bk>
    <bk>
      <rc t="2" v="3788"/>
    </bk>
    <bk>
      <rc t="2" v="3789"/>
    </bk>
    <bk>
      <rc t="2" v="3790"/>
    </bk>
    <bk>
      <rc t="2" v="3791"/>
    </bk>
    <bk>
      <rc t="2" v="3792"/>
    </bk>
    <bk>
      <rc t="2" v="3793"/>
    </bk>
    <bk>
      <rc t="2" v="3794"/>
    </bk>
    <bk>
      <rc t="2" v="3795"/>
    </bk>
    <bk>
      <rc t="2" v="3796"/>
    </bk>
    <bk>
      <rc t="2" v="3797"/>
    </bk>
    <bk>
      <rc t="2" v="3798"/>
    </bk>
    <bk>
      <rc t="2" v="3799"/>
    </bk>
    <bk>
      <rc t="2" v="3800"/>
    </bk>
    <bk>
      <rc t="2" v="3801"/>
    </bk>
    <bk>
      <rc t="2" v="3802"/>
    </bk>
    <bk>
      <rc t="2" v="3803"/>
    </bk>
    <bk>
      <rc t="2" v="3804"/>
    </bk>
    <bk>
      <rc t="2" v="3805"/>
    </bk>
    <bk>
      <rc t="2" v="3806"/>
    </bk>
    <bk>
      <rc t="2" v="3807"/>
    </bk>
    <bk>
      <rc t="2" v="3808"/>
    </bk>
    <bk>
      <rc t="2" v="3809"/>
    </bk>
    <bk>
      <rc t="2" v="3810"/>
    </bk>
    <bk>
      <rc t="2" v="3811"/>
    </bk>
    <bk>
      <rc t="2" v="3812"/>
    </bk>
    <bk>
      <rc t="2" v="3813"/>
    </bk>
    <bk>
      <rc t="2" v="3814"/>
    </bk>
    <bk>
      <rc t="2" v="3815"/>
    </bk>
    <bk>
      <rc t="2" v="3816"/>
    </bk>
    <bk>
      <rc t="2" v="3817"/>
    </bk>
    <bk>
      <rc t="2" v="3818"/>
    </bk>
    <bk>
      <rc t="2" v="3819"/>
    </bk>
    <bk>
      <rc t="2" v="3820"/>
    </bk>
    <bk>
      <rc t="2" v="3821"/>
    </bk>
    <bk>
      <rc t="2" v="3822"/>
    </bk>
    <bk>
      <rc t="2" v="3823"/>
    </bk>
    <bk>
      <rc t="2" v="3824"/>
    </bk>
    <bk>
      <rc t="2" v="3825"/>
    </bk>
    <bk>
      <rc t="2" v="3826"/>
    </bk>
    <bk>
      <rc t="2" v="3827"/>
    </bk>
    <bk>
      <rc t="2" v="3828"/>
    </bk>
    <bk>
      <rc t="2" v="3829"/>
    </bk>
    <bk>
      <rc t="2" v="3830"/>
    </bk>
    <bk>
      <rc t="2" v="3831"/>
    </bk>
    <bk>
      <rc t="2" v="3832"/>
    </bk>
    <bk>
      <rc t="2" v="3833"/>
    </bk>
    <bk>
      <rc t="2" v="3834"/>
    </bk>
    <bk>
      <rc t="2" v="3835"/>
    </bk>
    <bk>
      <rc t="2" v="3836"/>
    </bk>
    <bk>
      <rc t="2" v="3837"/>
    </bk>
    <bk>
      <rc t="2" v="3838"/>
    </bk>
    <bk>
      <rc t="2" v="3839"/>
    </bk>
    <bk>
      <rc t="2" v="3840"/>
    </bk>
    <bk>
      <rc t="2" v="3841"/>
    </bk>
    <bk>
      <rc t="2" v="3842"/>
    </bk>
    <bk>
      <rc t="2" v="3843"/>
    </bk>
    <bk>
      <rc t="2" v="3844"/>
    </bk>
    <bk>
      <rc t="2" v="3845"/>
    </bk>
    <bk>
      <rc t="2" v="3846"/>
    </bk>
    <bk>
      <rc t="2" v="3847"/>
    </bk>
    <bk>
      <rc t="2" v="3848"/>
    </bk>
    <bk>
      <rc t="2" v="3849"/>
    </bk>
    <bk>
      <rc t="2" v="3850"/>
    </bk>
    <bk>
      <rc t="2" v="3851"/>
    </bk>
    <bk>
      <rc t="2" v="3852"/>
    </bk>
    <bk>
      <rc t="2" v="3853"/>
    </bk>
    <bk>
      <rc t="2" v="3854"/>
    </bk>
    <bk>
      <rc t="2" v="3855"/>
    </bk>
    <bk>
      <rc t="2" v="3856"/>
    </bk>
    <bk>
      <rc t="2" v="3857"/>
    </bk>
    <bk>
      <rc t="2" v="3858"/>
    </bk>
    <bk>
      <rc t="2" v="3859"/>
    </bk>
    <bk>
      <rc t="2" v="3860"/>
    </bk>
    <bk>
      <rc t="2" v="3861"/>
    </bk>
    <bk>
      <rc t="2" v="3862"/>
    </bk>
    <bk>
      <rc t="2" v="3863"/>
    </bk>
    <bk>
      <rc t="2" v="3864"/>
    </bk>
    <bk>
      <rc t="2" v="3865"/>
    </bk>
    <bk>
      <rc t="2" v="3866"/>
    </bk>
    <bk>
      <rc t="2" v="3867"/>
    </bk>
    <bk>
      <rc t="2" v="3868"/>
    </bk>
    <bk>
      <rc t="2" v="3869"/>
    </bk>
    <bk>
      <rc t="2" v="3870"/>
    </bk>
    <bk>
      <rc t="2" v="3871"/>
    </bk>
    <bk>
      <rc t="2" v="3872"/>
    </bk>
    <bk>
      <rc t="2" v="3873"/>
    </bk>
    <bk>
      <rc t="2" v="3874"/>
    </bk>
    <bk>
      <rc t="2" v="3875"/>
    </bk>
    <bk>
      <rc t="2" v="3876"/>
    </bk>
    <bk>
      <rc t="2" v="3877"/>
    </bk>
    <bk>
      <rc t="2" v="3878"/>
    </bk>
    <bk>
      <rc t="2" v="3879"/>
    </bk>
    <bk>
      <rc t="2" v="3880"/>
    </bk>
    <bk>
      <rc t="2" v="3881"/>
    </bk>
    <bk>
      <rc t="2" v="3882"/>
    </bk>
    <bk>
      <rc t="2" v="3883"/>
    </bk>
    <bk>
      <rc t="2" v="3884"/>
    </bk>
    <bk>
      <rc t="2" v="3885"/>
    </bk>
    <bk>
      <rc t="2" v="3886"/>
    </bk>
    <bk>
      <rc t="2" v="3887"/>
    </bk>
    <bk>
      <rc t="2" v="3888"/>
    </bk>
    <bk>
      <rc t="2" v="3889"/>
    </bk>
    <bk>
      <rc t="2" v="3890"/>
    </bk>
    <bk>
      <rc t="2" v="3891"/>
    </bk>
    <bk>
      <rc t="2" v="3892"/>
    </bk>
    <bk>
      <rc t="2" v="3893"/>
    </bk>
    <bk>
      <rc t="2" v="3894"/>
    </bk>
    <bk>
      <rc t="2" v="3895"/>
    </bk>
    <bk>
      <rc t="2" v="3896"/>
    </bk>
    <bk>
      <rc t="2" v="3897"/>
    </bk>
    <bk>
      <rc t="2" v="3898"/>
    </bk>
    <bk>
      <rc t="2" v="3899"/>
    </bk>
    <bk>
      <rc t="2" v="3900"/>
    </bk>
    <bk>
      <rc t="2" v="3901"/>
    </bk>
    <bk>
      <rc t="2" v="3902"/>
    </bk>
    <bk>
      <rc t="2" v="3903"/>
    </bk>
    <bk>
      <rc t="2" v="3904"/>
    </bk>
    <bk>
      <rc t="2" v="3905"/>
    </bk>
    <bk>
      <rc t="2" v="3906"/>
    </bk>
    <bk>
      <rc t="2" v="3907"/>
    </bk>
    <bk>
      <rc t="2" v="3908"/>
    </bk>
    <bk>
      <rc t="2" v="3909"/>
    </bk>
    <bk>
      <rc t="2" v="3910"/>
    </bk>
    <bk>
      <rc t="2" v="3911"/>
    </bk>
    <bk>
      <rc t="2" v="3912"/>
    </bk>
    <bk>
      <rc t="2" v="3913"/>
    </bk>
    <bk>
      <rc t="2" v="3914"/>
    </bk>
    <bk>
      <rc t="2" v="3915"/>
    </bk>
    <bk>
      <rc t="2" v="3916"/>
    </bk>
    <bk>
      <rc t="2" v="3917"/>
    </bk>
    <bk>
      <rc t="2" v="3918"/>
    </bk>
    <bk>
      <rc t="2" v="3919"/>
    </bk>
    <bk>
      <rc t="2" v="3920"/>
    </bk>
    <bk>
      <rc t="2" v="3921"/>
    </bk>
    <bk>
      <rc t="2" v="3922"/>
    </bk>
    <bk>
      <rc t="2" v="3923"/>
    </bk>
    <bk>
      <rc t="2" v="3924"/>
    </bk>
    <bk>
      <rc t="2" v="3925"/>
    </bk>
    <bk>
      <rc t="2" v="3926"/>
    </bk>
    <bk>
      <rc t="2" v="3927"/>
    </bk>
    <bk>
      <rc t="2" v="3928"/>
    </bk>
    <bk>
      <rc t="2" v="3929"/>
    </bk>
    <bk>
      <rc t="2" v="3930"/>
    </bk>
    <bk>
      <rc t="2" v="3931"/>
    </bk>
    <bk>
      <rc t="2" v="3932"/>
    </bk>
    <bk>
      <rc t="2" v="3933"/>
    </bk>
    <bk>
      <rc t="2" v="3934"/>
    </bk>
    <bk>
      <rc t="2" v="3935"/>
    </bk>
    <bk>
      <rc t="2" v="3936"/>
    </bk>
    <bk>
      <rc t="2" v="3937"/>
    </bk>
    <bk>
      <rc t="2" v="3938"/>
    </bk>
    <bk>
      <rc t="2" v="3939"/>
    </bk>
    <bk>
      <rc t="2" v="3940"/>
    </bk>
    <bk>
      <rc t="2" v="3941"/>
    </bk>
    <bk>
      <rc t="2" v="3942"/>
    </bk>
    <bk>
      <rc t="2" v="3943"/>
    </bk>
    <bk>
      <rc t="2" v="3944"/>
    </bk>
    <bk>
      <rc t="2" v="3945"/>
    </bk>
    <bk>
      <rc t="2" v="3946"/>
    </bk>
    <bk>
      <rc t="2" v="3947"/>
    </bk>
    <bk>
      <rc t="2" v="3948"/>
    </bk>
    <bk>
      <rc t="2" v="3949"/>
    </bk>
    <bk>
      <rc t="2" v="3950"/>
    </bk>
    <bk>
      <rc t="2" v="3951"/>
    </bk>
    <bk>
      <rc t="2" v="3952"/>
    </bk>
    <bk>
      <rc t="2" v="3953"/>
    </bk>
    <bk>
      <rc t="2" v="3954"/>
    </bk>
    <bk>
      <rc t="2" v="3955"/>
    </bk>
    <bk>
      <rc t="2" v="3956"/>
    </bk>
    <bk>
      <rc t="2" v="3957"/>
    </bk>
    <bk>
      <rc t="2" v="3958"/>
    </bk>
    <bk>
      <rc t="2" v="3959"/>
    </bk>
    <bk>
      <rc t="2" v="3960"/>
    </bk>
    <bk>
      <rc t="2" v="3961"/>
    </bk>
    <bk>
      <rc t="2" v="3962"/>
    </bk>
    <bk>
      <rc t="2" v="3963"/>
    </bk>
    <bk>
      <rc t="2" v="3964"/>
    </bk>
    <bk>
      <rc t="2" v="3965"/>
    </bk>
    <bk>
      <rc t="2" v="3966"/>
    </bk>
    <bk>
      <rc t="2" v="3967"/>
    </bk>
    <bk>
      <rc t="2" v="3968"/>
    </bk>
    <bk>
      <rc t="2" v="3969"/>
    </bk>
    <bk>
      <rc t="2" v="3970"/>
    </bk>
    <bk>
      <rc t="2" v="3971"/>
    </bk>
    <bk>
      <rc t="2" v="3972"/>
    </bk>
    <bk>
      <rc t="2" v="3973"/>
    </bk>
    <bk>
      <rc t="2" v="3974"/>
    </bk>
    <bk>
      <rc t="2" v="3975"/>
    </bk>
    <bk>
      <rc t="2" v="3976"/>
    </bk>
    <bk>
      <rc t="2" v="3977"/>
    </bk>
    <bk>
      <rc t="2" v="3978"/>
    </bk>
    <bk>
      <rc t="2" v="3979"/>
    </bk>
    <bk>
      <rc t="2" v="3980"/>
    </bk>
    <bk>
      <rc t="2" v="3981"/>
    </bk>
    <bk>
      <rc t="2" v="3982"/>
    </bk>
    <bk>
      <rc t="2" v="3983"/>
    </bk>
    <bk>
      <rc t="2" v="3984"/>
    </bk>
    <bk>
      <rc t="2" v="3985"/>
    </bk>
    <bk>
      <rc t="2" v="3986"/>
    </bk>
    <bk>
      <rc t="2" v="3987"/>
    </bk>
    <bk>
      <rc t="2" v="3988"/>
    </bk>
    <bk>
      <rc t="2" v="3989"/>
    </bk>
    <bk>
      <rc t="2" v="3990"/>
    </bk>
    <bk>
      <rc t="2" v="3991"/>
    </bk>
    <bk>
      <rc t="2" v="3992"/>
    </bk>
    <bk>
      <rc t="2" v="3993"/>
    </bk>
    <bk>
      <rc t="2" v="3994"/>
    </bk>
    <bk>
      <rc t="2" v="3995"/>
    </bk>
    <bk>
      <rc t="2" v="3996"/>
    </bk>
    <bk>
      <rc t="2" v="3997"/>
    </bk>
    <bk>
      <rc t="2" v="3998"/>
    </bk>
    <bk>
      <rc t="2" v="3999"/>
    </bk>
    <bk>
      <rc t="2" v="4000"/>
    </bk>
    <bk>
      <rc t="2" v="4001"/>
    </bk>
    <bk>
      <rc t="2" v="4002"/>
    </bk>
    <bk>
      <rc t="2" v="4003"/>
    </bk>
    <bk>
      <rc t="2" v="4004"/>
    </bk>
    <bk>
      <rc t="2" v="4005"/>
    </bk>
    <bk>
      <rc t="2" v="4006"/>
    </bk>
    <bk>
      <rc t="2" v="4007"/>
    </bk>
    <bk>
      <rc t="2" v="4008"/>
    </bk>
    <bk>
      <rc t="2" v="4009"/>
    </bk>
    <bk>
      <rc t="2" v="4010"/>
    </bk>
    <bk>
      <rc t="2" v="4011"/>
    </bk>
    <bk>
      <rc t="2" v="4012"/>
    </bk>
    <bk>
      <rc t="2" v="4013"/>
    </bk>
    <bk>
      <rc t="2" v="4014"/>
    </bk>
    <bk>
      <rc t="2" v="4015"/>
    </bk>
    <bk>
      <rc t="2" v="4016"/>
    </bk>
    <bk>
      <rc t="2" v="4017"/>
    </bk>
    <bk>
      <rc t="2" v="4018"/>
    </bk>
    <bk>
      <rc t="2" v="4019"/>
    </bk>
    <bk>
      <rc t="2" v="4020"/>
    </bk>
    <bk>
      <rc t="2" v="4021"/>
    </bk>
    <bk>
      <rc t="2" v="4022"/>
    </bk>
    <bk>
      <rc t="2" v="4023"/>
    </bk>
    <bk>
      <rc t="2" v="4024"/>
    </bk>
    <bk>
      <rc t="2" v="4025"/>
    </bk>
    <bk>
      <rc t="2" v="4026"/>
    </bk>
    <bk>
      <rc t="2" v="4027"/>
    </bk>
    <bk>
      <rc t="2" v="4028"/>
    </bk>
    <bk>
      <rc t="2" v="4029"/>
    </bk>
    <bk>
      <rc t="2" v="4030"/>
    </bk>
    <bk>
      <rc t="2" v="4031"/>
    </bk>
    <bk>
      <rc t="2" v="4032"/>
    </bk>
    <bk>
      <rc t="2" v="4033"/>
    </bk>
    <bk>
      <rc t="2" v="4034"/>
    </bk>
    <bk>
      <rc t="2" v="4035"/>
    </bk>
    <bk>
      <rc t="2" v="4036"/>
    </bk>
    <bk>
      <rc t="2" v="4037"/>
    </bk>
    <bk>
      <rc t="2" v="4038"/>
    </bk>
    <bk>
      <rc t="2" v="4039"/>
    </bk>
    <bk>
      <rc t="2" v="4040"/>
    </bk>
    <bk>
      <rc t="2" v="4041"/>
    </bk>
    <bk>
      <rc t="2" v="4042"/>
    </bk>
    <bk>
      <rc t="2" v="4043"/>
    </bk>
    <bk>
      <rc t="2" v="4044"/>
    </bk>
    <bk>
      <rc t="2" v="4045"/>
    </bk>
    <bk>
      <rc t="2" v="4046"/>
    </bk>
    <bk>
      <rc t="2" v="4047"/>
    </bk>
    <bk>
      <rc t="2" v="4048"/>
    </bk>
    <bk>
      <rc t="2" v="4049"/>
    </bk>
    <bk>
      <rc t="2" v="4050"/>
    </bk>
    <bk>
      <rc t="2" v="4051"/>
    </bk>
    <bk>
      <rc t="2" v="4052"/>
    </bk>
    <bk>
      <rc t="2" v="4053"/>
    </bk>
    <bk>
      <rc t="2" v="4054"/>
    </bk>
    <bk>
      <rc t="2" v="4055"/>
    </bk>
    <bk>
      <rc t="2" v="4056"/>
    </bk>
    <bk>
      <rc t="2" v="4057"/>
    </bk>
    <bk>
      <rc t="2" v="4058"/>
    </bk>
    <bk>
      <rc t="2" v="4059"/>
    </bk>
    <bk>
      <rc t="2" v="4060"/>
    </bk>
    <bk>
      <rc t="2" v="4061"/>
    </bk>
    <bk>
      <rc t="2" v="4062"/>
    </bk>
    <bk>
      <rc t="2" v="4063"/>
    </bk>
    <bk>
      <rc t="2" v="4064"/>
    </bk>
    <bk>
      <rc t="2" v="4065"/>
    </bk>
    <bk>
      <rc t="2" v="4066"/>
    </bk>
    <bk>
      <rc t="2" v="4067"/>
    </bk>
    <bk>
      <rc t="2" v="4068"/>
    </bk>
    <bk>
      <rc t="2" v="4069"/>
    </bk>
    <bk>
      <rc t="2" v="4070"/>
    </bk>
    <bk>
      <rc t="2" v="4071"/>
    </bk>
    <bk>
      <rc t="2" v="4072"/>
    </bk>
    <bk>
      <rc t="2" v="4073"/>
    </bk>
    <bk>
      <rc t="2" v="4074"/>
    </bk>
    <bk>
      <rc t="2" v="4075"/>
    </bk>
    <bk>
      <rc t="2" v="4076"/>
    </bk>
    <bk>
      <rc t="2" v="4077"/>
    </bk>
    <bk>
      <rc t="2" v="4078"/>
    </bk>
    <bk>
      <rc t="2" v="4079"/>
    </bk>
    <bk>
      <rc t="2" v="4080"/>
    </bk>
    <bk>
      <rc t="2" v="4081"/>
    </bk>
    <bk>
      <rc t="2" v="4082"/>
    </bk>
    <bk>
      <rc t="2" v="4083"/>
    </bk>
    <bk>
      <rc t="2" v="4084"/>
    </bk>
    <bk>
      <rc t="2" v="4085"/>
    </bk>
    <bk>
      <rc t="2" v="4086"/>
    </bk>
    <bk>
      <rc t="2" v="4087"/>
    </bk>
    <bk>
      <rc t="2" v="4088"/>
    </bk>
    <bk>
      <rc t="2" v="4089"/>
    </bk>
    <bk>
      <rc t="2" v="4090"/>
    </bk>
    <bk>
      <rc t="2" v="4091"/>
    </bk>
    <bk>
      <rc t="2" v="4092"/>
    </bk>
    <bk>
      <rc t="2" v="4093"/>
    </bk>
    <bk>
      <rc t="2" v="4094"/>
    </bk>
    <bk>
      <rc t="2" v="4095"/>
    </bk>
    <bk>
      <rc t="2" v="4096"/>
    </bk>
    <bk>
      <rc t="2" v="4097"/>
    </bk>
    <bk>
      <rc t="2" v="4098"/>
    </bk>
    <bk>
      <rc t="2" v="4099"/>
    </bk>
    <bk>
      <rc t="2" v="4100"/>
    </bk>
    <bk>
      <rc t="2" v="4101"/>
    </bk>
    <bk>
      <rc t="2" v="4102"/>
    </bk>
    <bk>
      <rc t="2" v="4103"/>
    </bk>
    <bk>
      <rc t="2" v="4104"/>
    </bk>
    <bk>
      <rc t="2" v="4105"/>
    </bk>
    <bk>
      <rc t="2" v="4106"/>
    </bk>
    <bk>
      <rc t="2" v="4107"/>
    </bk>
    <bk>
      <rc t="2" v="4108"/>
    </bk>
    <bk>
      <rc t="2" v="4109"/>
    </bk>
    <bk>
      <rc t="2" v="4110"/>
    </bk>
    <bk>
      <rc t="2" v="4111"/>
    </bk>
    <bk>
      <rc t="2" v="4112"/>
    </bk>
    <bk>
      <rc t="2" v="4113"/>
    </bk>
    <bk>
      <rc t="2" v="4114"/>
    </bk>
    <bk>
      <rc t="2" v="4115"/>
    </bk>
    <bk>
      <rc t="2" v="4116"/>
    </bk>
    <bk>
      <rc t="2" v="4117"/>
    </bk>
    <bk>
      <rc t="2" v="4118"/>
    </bk>
    <bk>
      <rc t="2" v="4119"/>
    </bk>
    <bk>
      <rc t="2" v="4120"/>
    </bk>
    <bk>
      <rc t="2" v="4121"/>
    </bk>
    <bk>
      <rc t="2" v="4122"/>
    </bk>
    <bk>
      <rc t="2" v="4123"/>
    </bk>
    <bk>
      <rc t="2" v="4124"/>
    </bk>
    <bk>
      <rc t="2" v="4125"/>
    </bk>
    <bk>
      <rc t="2" v="4126"/>
    </bk>
    <bk>
      <rc t="2" v="4127"/>
    </bk>
    <bk>
      <rc t="2" v="4128"/>
    </bk>
    <bk>
      <rc t="2" v="4129"/>
    </bk>
    <bk>
      <rc t="2" v="4130"/>
    </bk>
    <bk>
      <rc t="2" v="4131"/>
    </bk>
    <bk>
      <rc t="2" v="4132"/>
    </bk>
    <bk>
      <rc t="2" v="4133"/>
    </bk>
    <bk>
      <rc t="2" v="4134"/>
    </bk>
    <bk>
      <rc t="2" v="4135"/>
    </bk>
    <bk>
      <rc t="2" v="4136"/>
    </bk>
    <bk>
      <rc t="2" v="4137"/>
    </bk>
    <bk>
      <rc t="2" v="4138"/>
    </bk>
    <bk>
      <rc t="2" v="4139"/>
    </bk>
    <bk>
      <rc t="2" v="4140"/>
    </bk>
    <bk>
      <rc t="2" v="4141"/>
    </bk>
    <bk>
      <rc t="2" v="4142"/>
    </bk>
    <bk>
      <rc t="2" v="4143"/>
    </bk>
    <bk>
      <rc t="2" v="4144"/>
    </bk>
    <bk>
      <rc t="2" v="4145"/>
    </bk>
    <bk>
      <rc t="2" v="4146"/>
    </bk>
    <bk>
      <rc t="2" v="4147"/>
    </bk>
    <bk>
      <rc t="2" v="4148"/>
    </bk>
    <bk>
      <rc t="2" v="4149"/>
    </bk>
    <bk>
      <rc t="2" v="4150"/>
    </bk>
    <bk>
      <rc t="2" v="4151"/>
    </bk>
    <bk>
      <rc t="2" v="4152"/>
    </bk>
    <bk>
      <rc t="2" v="4153"/>
    </bk>
    <bk>
      <rc t="2" v="4154"/>
    </bk>
    <bk>
      <rc t="2" v="4155"/>
    </bk>
    <bk>
      <rc t="2" v="4156"/>
    </bk>
    <bk>
      <rc t="2" v="4157"/>
    </bk>
    <bk>
      <rc t="2" v="4158"/>
    </bk>
    <bk>
      <rc t="2" v="4159"/>
    </bk>
    <bk>
      <rc t="2" v="4160"/>
    </bk>
    <bk>
      <rc t="2" v="4161"/>
    </bk>
    <bk>
      <rc t="2" v="4162"/>
    </bk>
    <bk>
      <rc t="2" v="4163"/>
    </bk>
    <bk>
      <rc t="2" v="4164"/>
    </bk>
    <bk>
      <rc t="2" v="4165"/>
    </bk>
    <bk>
      <rc t="2" v="4166"/>
    </bk>
    <bk>
      <rc t="2" v="4167"/>
    </bk>
    <bk>
      <rc t="2" v="4168"/>
    </bk>
    <bk>
      <rc t="2" v="4169"/>
    </bk>
    <bk>
      <rc t="2" v="4170"/>
    </bk>
    <bk>
      <rc t="2" v="4171"/>
    </bk>
    <bk>
      <rc t="2" v="4172"/>
    </bk>
    <bk>
      <rc t="2" v="4173"/>
    </bk>
    <bk>
      <rc t="2" v="4174"/>
    </bk>
    <bk>
      <rc t="2" v="4175"/>
    </bk>
    <bk>
      <rc t="2" v="4176"/>
    </bk>
    <bk>
      <rc t="2" v="4177"/>
    </bk>
    <bk>
      <rc t="2" v="4178"/>
    </bk>
    <bk>
      <rc t="2" v="4179"/>
    </bk>
    <bk>
      <rc t="2" v="4180"/>
    </bk>
    <bk>
      <rc t="2" v="4181"/>
    </bk>
    <bk>
      <rc t="2" v="4182"/>
    </bk>
    <bk>
      <rc t="2" v="4183"/>
    </bk>
    <bk>
      <rc t="2" v="4184"/>
    </bk>
    <bk>
      <rc t="2" v="4185"/>
    </bk>
    <bk>
      <rc t="2" v="4186"/>
    </bk>
    <bk>
      <rc t="2" v="4187"/>
    </bk>
    <bk>
      <rc t="2" v="4188"/>
    </bk>
    <bk>
      <rc t="2" v="4189"/>
    </bk>
    <bk>
      <rc t="2" v="4190"/>
    </bk>
    <bk>
      <rc t="2" v="4191"/>
    </bk>
    <bk>
      <rc t="2" v="4192"/>
    </bk>
    <bk>
      <rc t="2" v="4193"/>
    </bk>
    <bk>
      <rc t="2" v="4194"/>
    </bk>
    <bk>
      <rc t="2" v="4195"/>
    </bk>
    <bk>
      <rc t="2" v="4196"/>
    </bk>
    <bk>
      <rc t="2" v="4197"/>
    </bk>
    <bk>
      <rc t="2" v="4198"/>
    </bk>
    <bk>
      <rc t="2" v="4199"/>
    </bk>
    <bk>
      <rc t="2" v="4200"/>
    </bk>
    <bk>
      <rc t="2" v="4201"/>
    </bk>
    <bk>
      <rc t="2" v="4202"/>
    </bk>
    <bk>
      <rc t="2" v="4203"/>
    </bk>
    <bk>
      <rc t="2" v="4204"/>
    </bk>
    <bk>
      <rc t="2" v="4205"/>
    </bk>
    <bk>
      <rc t="2" v="4206"/>
    </bk>
    <bk>
      <rc t="2" v="4207"/>
    </bk>
    <bk>
      <rc t="2" v="4208"/>
    </bk>
    <bk>
      <rc t="2" v="4209"/>
    </bk>
    <bk>
      <rc t="2" v="4210"/>
    </bk>
    <bk>
      <rc t="2" v="4211"/>
    </bk>
    <bk>
      <rc t="2" v="4212"/>
    </bk>
    <bk>
      <rc t="2" v="4213"/>
    </bk>
    <bk>
      <rc t="2" v="4214"/>
    </bk>
    <bk>
      <rc t="2" v="4215"/>
    </bk>
    <bk>
      <rc t="2" v="4216"/>
    </bk>
    <bk>
      <rc t="2" v="4217"/>
    </bk>
    <bk>
      <rc t="2" v="4218"/>
    </bk>
    <bk>
      <rc t="2" v="4219"/>
    </bk>
    <bk>
      <rc t="2" v="4220"/>
    </bk>
    <bk>
      <rc t="2" v="4221"/>
    </bk>
    <bk>
      <rc t="2" v="4222"/>
    </bk>
    <bk>
      <rc t="2" v="4223"/>
    </bk>
    <bk>
      <rc t="2" v="4224"/>
    </bk>
    <bk>
      <rc t="2" v="4225"/>
    </bk>
    <bk>
      <rc t="2" v="4226"/>
    </bk>
    <bk>
      <rc t="2" v="4227"/>
    </bk>
    <bk>
      <rc t="2" v="4228"/>
    </bk>
    <bk>
      <rc t="2" v="4229"/>
    </bk>
    <bk>
      <rc t="2" v="4230"/>
    </bk>
    <bk>
      <rc t="2" v="4231"/>
    </bk>
    <bk>
      <rc t="2" v="4232"/>
    </bk>
    <bk>
      <rc t="2" v="4233"/>
    </bk>
    <bk>
      <rc t="2" v="4234"/>
    </bk>
    <bk>
      <rc t="2" v="4235"/>
    </bk>
    <bk>
      <rc t="2" v="4236"/>
    </bk>
    <bk>
      <rc t="2" v="4237"/>
    </bk>
    <bk>
      <rc t="2" v="4238"/>
    </bk>
    <bk>
      <rc t="2" v="4239"/>
    </bk>
    <bk>
      <rc t="2" v="4240"/>
    </bk>
    <bk>
      <rc t="2" v="4241"/>
    </bk>
    <bk>
      <rc t="2" v="4242"/>
    </bk>
    <bk>
      <rc t="2" v="4243"/>
    </bk>
    <bk>
      <rc t="2" v="4244"/>
    </bk>
    <bk>
      <rc t="2" v="4245"/>
    </bk>
    <bk>
      <rc t="2" v="4246"/>
    </bk>
    <bk>
      <rc t="2" v="4247"/>
    </bk>
    <bk>
      <rc t="2" v="4248"/>
    </bk>
    <bk>
      <rc t="2" v="4249"/>
    </bk>
    <bk>
      <rc t="2" v="4250"/>
    </bk>
    <bk>
      <rc t="2" v="4251"/>
    </bk>
    <bk>
      <rc t="2" v="4252"/>
    </bk>
    <bk>
      <rc t="2" v="4253"/>
    </bk>
    <bk>
      <rc t="2" v="4254"/>
    </bk>
    <bk>
      <rc t="2" v="4255"/>
    </bk>
    <bk>
      <rc t="2" v="4256"/>
    </bk>
    <bk>
      <rc t="2" v="4257"/>
    </bk>
    <bk>
      <rc t="2" v="4258"/>
    </bk>
    <bk>
      <rc t="2" v="4259"/>
    </bk>
    <bk>
      <rc t="2" v="4260"/>
    </bk>
    <bk>
      <rc t="2" v="4261"/>
    </bk>
    <bk>
      <rc t="2" v="4262"/>
    </bk>
    <bk>
      <rc t="2" v="4263"/>
    </bk>
    <bk>
      <rc t="2" v="4264"/>
    </bk>
    <bk>
      <rc t="2" v="4265"/>
    </bk>
    <bk>
      <rc t="2" v="4266"/>
    </bk>
    <bk>
      <rc t="2" v="4267"/>
    </bk>
    <bk>
      <rc t="2" v="4268"/>
    </bk>
    <bk>
      <rc t="2" v="4269"/>
    </bk>
    <bk>
      <rc t="2" v="4270"/>
    </bk>
    <bk>
      <rc t="2" v="4271"/>
    </bk>
    <bk>
      <rc t="2" v="4272"/>
    </bk>
    <bk>
      <rc t="2" v="4273"/>
    </bk>
    <bk>
      <rc t="2" v="4274"/>
    </bk>
    <bk>
      <rc t="2" v="4275"/>
    </bk>
    <bk>
      <rc t="2" v="4276"/>
    </bk>
    <bk>
      <rc t="2" v="4277"/>
    </bk>
    <bk>
      <rc t="2" v="4278"/>
    </bk>
    <bk>
      <rc t="2" v="4279"/>
    </bk>
    <bk>
      <rc t="2" v="4280"/>
    </bk>
    <bk>
      <rc t="2" v="4281"/>
    </bk>
    <bk>
      <rc t="2" v="4282"/>
    </bk>
    <bk>
      <rc t="2" v="4283"/>
    </bk>
    <bk>
      <rc t="2" v="4284"/>
    </bk>
    <bk>
      <rc t="2" v="4285"/>
    </bk>
    <bk>
      <rc t="2" v="4286"/>
    </bk>
    <bk>
      <rc t="2" v="4287"/>
    </bk>
    <bk>
      <rc t="2" v="4288"/>
    </bk>
    <bk>
      <rc t="2" v="4289"/>
    </bk>
    <bk>
      <rc t="2" v="4290"/>
    </bk>
    <bk>
      <rc t="2" v="4291"/>
    </bk>
    <bk>
      <rc t="2" v="4292"/>
    </bk>
    <bk>
      <rc t="2" v="4293"/>
    </bk>
    <bk>
      <rc t="2" v="4294"/>
    </bk>
    <bk>
      <rc t="2" v="4295"/>
    </bk>
    <bk>
      <rc t="2" v="4296"/>
    </bk>
    <bk>
      <rc t="2" v="4297"/>
    </bk>
    <bk>
      <rc t="2" v="4298"/>
    </bk>
    <bk>
      <rc t="2" v="4299"/>
    </bk>
    <bk>
      <rc t="2" v="4300"/>
    </bk>
    <bk>
      <rc t="2" v="4301"/>
    </bk>
    <bk>
      <rc t="2" v="4302"/>
    </bk>
    <bk>
      <rc t="2" v="4303"/>
    </bk>
    <bk>
      <rc t="2" v="4304"/>
    </bk>
    <bk>
      <rc t="2" v="4305"/>
    </bk>
    <bk>
      <rc t="2" v="4306"/>
    </bk>
    <bk>
      <rc t="2" v="4307"/>
    </bk>
    <bk>
      <rc t="2" v="4308"/>
    </bk>
    <bk>
      <rc t="2" v="4309"/>
    </bk>
    <bk>
      <rc t="2" v="4310"/>
    </bk>
    <bk>
      <rc t="2" v="4311"/>
    </bk>
    <bk>
      <rc t="2" v="4312"/>
    </bk>
    <bk>
      <rc t="2" v="4313"/>
    </bk>
    <bk>
      <rc t="2" v="4314"/>
    </bk>
    <bk>
      <rc t="2" v="4315"/>
    </bk>
    <bk>
      <rc t="2" v="4316"/>
    </bk>
    <bk>
      <rc t="2" v="4317"/>
    </bk>
    <bk>
      <rc t="2" v="4318"/>
    </bk>
    <bk>
      <rc t="2" v="4319"/>
    </bk>
    <bk>
      <rc t="2" v="4320"/>
    </bk>
    <bk>
      <rc t="2" v="4321"/>
    </bk>
    <bk>
      <rc t="2" v="4322"/>
    </bk>
    <bk>
      <rc t="2" v="4323"/>
    </bk>
    <bk>
      <rc t="2" v="4324"/>
    </bk>
    <bk>
      <rc t="2" v="4325"/>
    </bk>
    <bk>
      <rc t="2" v="4326"/>
    </bk>
    <bk>
      <rc t="2" v="4327"/>
    </bk>
    <bk>
      <rc t="2" v="4328"/>
    </bk>
    <bk>
      <rc t="2" v="4329"/>
    </bk>
    <bk>
      <rc t="2" v="4330"/>
    </bk>
    <bk>
      <rc t="2" v="4331"/>
    </bk>
    <bk>
      <rc t="2" v="4332"/>
    </bk>
    <bk>
      <rc t="2" v="4333"/>
    </bk>
    <bk>
      <rc t="2" v="4334"/>
    </bk>
    <bk>
      <rc t="2" v="4335"/>
    </bk>
    <bk>
      <rc t="2" v="4336"/>
    </bk>
    <bk>
      <rc t="2" v="4337"/>
    </bk>
    <bk>
      <rc t="2" v="4338"/>
    </bk>
    <bk>
      <rc t="2" v="4339"/>
    </bk>
    <bk>
      <rc t="2" v="4340"/>
    </bk>
    <bk>
      <rc t="2" v="4341"/>
    </bk>
    <bk>
      <rc t="2" v="4342"/>
    </bk>
    <bk>
      <rc t="2" v="4343"/>
    </bk>
    <bk>
      <rc t="2" v="4344"/>
    </bk>
    <bk>
      <rc t="2" v="4345"/>
    </bk>
    <bk>
      <rc t="2" v="4346"/>
    </bk>
    <bk>
      <rc t="2" v="4347"/>
    </bk>
    <bk>
      <rc t="2" v="4348"/>
    </bk>
    <bk>
      <rc t="2" v="4349"/>
    </bk>
    <bk>
      <rc t="2" v="4350"/>
    </bk>
    <bk>
      <rc t="2" v="4351"/>
    </bk>
    <bk>
      <rc t="2" v="4352"/>
    </bk>
    <bk>
      <rc t="2" v="4353"/>
    </bk>
    <bk>
      <rc t="2" v="4354"/>
    </bk>
    <bk>
      <rc t="2" v="4355"/>
    </bk>
    <bk>
      <rc t="2" v="4356"/>
    </bk>
    <bk>
      <rc t="2" v="4357"/>
    </bk>
    <bk>
      <rc t="2" v="4358"/>
    </bk>
    <bk>
      <rc t="2" v="4359"/>
    </bk>
    <bk>
      <rc t="2" v="4360"/>
    </bk>
    <bk>
      <rc t="2" v="4361"/>
    </bk>
    <bk>
      <rc t="2" v="4362"/>
    </bk>
    <bk>
      <rc t="2" v="4363"/>
    </bk>
    <bk>
      <rc t="2" v="4364"/>
    </bk>
    <bk>
      <rc t="2" v="4365"/>
    </bk>
    <bk>
      <rc t="2" v="4366"/>
    </bk>
    <bk>
      <rc t="2" v="4367"/>
    </bk>
    <bk>
      <rc t="2" v="4368"/>
    </bk>
    <bk>
      <rc t="2" v="4369"/>
    </bk>
    <bk>
      <rc t="2" v="4370"/>
    </bk>
    <bk>
      <rc t="2" v="4371"/>
    </bk>
    <bk>
      <rc t="2" v="4372"/>
    </bk>
    <bk>
      <rc t="2" v="4373"/>
    </bk>
    <bk>
      <rc t="2" v="4374"/>
    </bk>
    <bk>
      <rc t="2" v="4375"/>
    </bk>
    <bk>
      <rc t="2" v="4376"/>
    </bk>
    <bk>
      <rc t="2" v="4377"/>
    </bk>
    <bk>
      <rc t="2" v="4378"/>
    </bk>
    <bk>
      <rc t="2" v="4379"/>
    </bk>
    <bk>
      <rc t="2" v="4380"/>
    </bk>
    <bk>
      <rc t="2" v="4381"/>
    </bk>
    <bk>
      <rc t="2" v="4382"/>
    </bk>
    <bk>
      <rc t="2" v="4383"/>
    </bk>
    <bk>
      <rc t="2" v="4384"/>
    </bk>
    <bk>
      <rc t="2" v="4385"/>
    </bk>
    <bk>
      <rc t="2" v="4386"/>
    </bk>
    <bk>
      <rc t="2" v="4387"/>
    </bk>
    <bk>
      <rc t="2" v="4388"/>
    </bk>
    <bk>
      <rc t="2" v="4389"/>
    </bk>
    <bk>
      <rc t="2" v="4390"/>
    </bk>
    <bk>
      <rc t="2" v="4391"/>
    </bk>
    <bk>
      <rc t="2" v="4392"/>
    </bk>
    <bk>
      <rc t="2" v="4393"/>
    </bk>
    <bk>
      <rc t="2" v="4394"/>
    </bk>
    <bk>
      <rc t="2" v="4395"/>
    </bk>
    <bk>
      <rc t="2" v="4396"/>
    </bk>
    <bk>
      <rc t="2" v="4397"/>
    </bk>
    <bk>
      <rc t="2" v="4398"/>
    </bk>
    <bk>
      <rc t="2" v="4399"/>
    </bk>
    <bk>
      <rc t="2" v="4400"/>
    </bk>
    <bk>
      <rc t="2" v="4401"/>
    </bk>
    <bk>
      <rc t="2" v="4402"/>
    </bk>
    <bk>
      <rc t="2" v="4403"/>
    </bk>
    <bk>
      <rc t="2" v="4404"/>
    </bk>
    <bk>
      <rc t="2" v="4405"/>
    </bk>
    <bk>
      <rc t="2" v="4406"/>
    </bk>
    <bk>
      <rc t="2" v="4407"/>
    </bk>
    <bk>
      <rc t="2" v="4408"/>
    </bk>
    <bk>
      <rc t="2" v="4409"/>
    </bk>
    <bk>
      <rc t="2" v="4410"/>
    </bk>
    <bk>
      <rc t="2" v="4411"/>
    </bk>
    <bk>
      <rc t="2" v="4412"/>
    </bk>
    <bk>
      <rc t="2" v="4413"/>
    </bk>
    <bk>
      <rc t="2" v="4414"/>
    </bk>
    <bk>
      <rc t="2" v="4415"/>
    </bk>
    <bk>
      <rc t="2" v="4416"/>
    </bk>
    <bk>
      <rc t="2" v="4417"/>
    </bk>
    <bk>
      <rc t="2" v="4418"/>
    </bk>
    <bk>
      <rc t="2" v="4419"/>
    </bk>
    <bk>
      <rc t="2" v="4420"/>
    </bk>
    <bk>
      <rc t="2" v="4421"/>
    </bk>
    <bk>
      <rc t="2" v="4422"/>
    </bk>
    <bk>
      <rc t="2" v="4423"/>
    </bk>
    <bk>
      <rc t="2" v="4424"/>
    </bk>
    <bk>
      <rc t="2" v="4425"/>
    </bk>
    <bk>
      <rc t="2" v="4426"/>
    </bk>
    <bk>
      <rc t="2" v="4427"/>
    </bk>
    <bk>
      <rc t="2" v="4428"/>
    </bk>
    <bk>
      <rc t="2" v="4429"/>
    </bk>
    <bk>
      <rc t="2" v="4430"/>
    </bk>
    <bk>
      <rc t="2" v="4431"/>
    </bk>
    <bk>
      <rc t="2" v="4432"/>
    </bk>
    <bk>
      <rc t="2" v="4433"/>
    </bk>
    <bk>
      <rc t="2" v="4434"/>
    </bk>
    <bk>
      <rc t="2" v="4435"/>
    </bk>
    <bk>
      <rc t="2" v="4436"/>
    </bk>
    <bk>
      <rc t="2" v="4437"/>
    </bk>
    <bk>
      <rc t="2" v="4438"/>
    </bk>
    <bk>
      <rc t="2" v="4439"/>
    </bk>
    <bk>
      <rc t="2" v="4440"/>
    </bk>
    <bk>
      <rc t="2" v="4441"/>
    </bk>
    <bk>
      <rc t="2" v="4442"/>
    </bk>
    <bk>
      <rc t="2" v="4443"/>
    </bk>
    <bk>
      <rc t="2" v="4444"/>
    </bk>
    <bk>
      <rc t="2" v="4445"/>
    </bk>
    <bk>
      <rc t="2" v="4446"/>
    </bk>
    <bk>
      <rc t="2" v="4447"/>
    </bk>
    <bk>
      <rc t="2" v="4448"/>
    </bk>
    <bk>
      <rc t="2" v="4449"/>
    </bk>
    <bk>
      <rc t="2" v="4450"/>
    </bk>
    <bk>
      <rc t="2" v="4451"/>
    </bk>
    <bk>
      <rc t="2" v="4452"/>
    </bk>
    <bk>
      <rc t="2" v="4453"/>
    </bk>
    <bk>
      <rc t="2" v="4454"/>
    </bk>
    <bk>
      <rc t="2" v="4455"/>
    </bk>
    <bk>
      <rc t="2" v="4456"/>
    </bk>
    <bk>
      <rc t="2" v="4457"/>
    </bk>
    <bk>
      <rc t="2" v="4458"/>
    </bk>
    <bk>
      <rc t="2" v="4459"/>
    </bk>
    <bk>
      <rc t="2" v="4460"/>
    </bk>
    <bk>
      <rc t="2" v="4461"/>
    </bk>
    <bk>
      <rc t="2" v="4462"/>
    </bk>
    <bk>
      <rc t="2" v="4463"/>
    </bk>
    <bk>
      <rc t="2" v="4464"/>
    </bk>
    <bk>
      <rc t="2" v="4465"/>
    </bk>
    <bk>
      <rc t="2" v="4466"/>
    </bk>
    <bk>
      <rc t="2" v="4467"/>
    </bk>
    <bk>
      <rc t="2" v="4468"/>
    </bk>
    <bk>
      <rc t="2" v="4469"/>
    </bk>
    <bk>
      <rc t="2" v="4470"/>
    </bk>
    <bk>
      <rc t="2" v="4471"/>
    </bk>
    <bk>
      <rc t="2" v="4472"/>
    </bk>
    <bk>
      <rc t="2" v="4473"/>
    </bk>
    <bk>
      <rc t="2" v="4474"/>
    </bk>
    <bk>
      <rc t="2" v="4475"/>
    </bk>
    <bk>
      <rc t="2" v="4476"/>
    </bk>
    <bk>
      <rc t="2" v="4477"/>
    </bk>
    <bk>
      <rc t="2" v="4478"/>
    </bk>
    <bk>
      <rc t="2" v="4479"/>
    </bk>
    <bk>
      <rc t="2" v="4480"/>
    </bk>
    <bk>
      <rc t="2" v="4481"/>
    </bk>
    <bk>
      <rc t="2" v="4482"/>
    </bk>
    <bk>
      <rc t="2" v="4483"/>
    </bk>
    <bk>
      <rc t="2" v="4484"/>
    </bk>
    <bk>
      <rc t="2" v="4485"/>
    </bk>
    <bk>
      <rc t="2" v="4486"/>
    </bk>
    <bk>
      <rc t="2" v="4487"/>
    </bk>
    <bk>
      <rc t="2" v="4488"/>
    </bk>
    <bk>
      <rc t="2" v="4489"/>
    </bk>
    <bk>
      <rc t="2" v="4490"/>
    </bk>
    <bk>
      <rc t="2" v="4491"/>
    </bk>
    <bk>
      <rc t="2" v="4492"/>
    </bk>
    <bk>
      <rc t="2" v="4493"/>
    </bk>
    <bk>
      <rc t="2" v="4494"/>
    </bk>
    <bk>
      <rc t="2" v="4495"/>
    </bk>
    <bk>
      <rc t="2" v="4496"/>
    </bk>
    <bk>
      <rc t="2" v="4497"/>
    </bk>
    <bk>
      <rc t="2" v="4498"/>
    </bk>
    <bk>
      <rc t="2" v="4499"/>
    </bk>
    <bk>
      <rc t="2" v="4500"/>
    </bk>
    <bk>
      <rc t="2" v="4501"/>
    </bk>
    <bk>
      <rc t="2" v="4502"/>
    </bk>
    <bk>
      <rc t="2" v="4503"/>
    </bk>
    <bk>
      <rc t="2" v="4504"/>
    </bk>
    <bk>
      <rc t="2" v="4505"/>
    </bk>
    <bk>
      <rc t="2" v="4506"/>
    </bk>
    <bk>
      <rc t="2" v="4507"/>
    </bk>
    <bk>
      <rc t="2" v="4508"/>
    </bk>
    <bk>
      <rc t="2" v="4509"/>
    </bk>
    <bk>
      <rc t="2" v="4510"/>
    </bk>
    <bk>
      <rc t="2" v="4511"/>
    </bk>
    <bk>
      <rc t="2" v="4512"/>
    </bk>
    <bk>
      <rc t="2" v="4513"/>
    </bk>
    <bk>
      <rc t="2" v="4514"/>
    </bk>
    <bk>
      <rc t="2" v="4515"/>
    </bk>
    <bk>
      <rc t="2" v="4516"/>
    </bk>
    <bk>
      <rc t="2" v="4517"/>
    </bk>
    <bk>
      <rc t="2" v="4518"/>
    </bk>
    <bk>
      <rc t="2" v="4519"/>
    </bk>
    <bk>
      <rc t="2" v="4520"/>
    </bk>
    <bk>
      <rc t="2" v="4521"/>
    </bk>
    <bk>
      <rc t="2" v="4522"/>
    </bk>
    <bk>
      <rc t="2" v="4523"/>
    </bk>
    <bk>
      <rc t="2" v="4524"/>
    </bk>
    <bk>
      <rc t="2" v="4525"/>
    </bk>
    <bk>
      <rc t="2" v="4526"/>
    </bk>
    <bk>
      <rc t="2" v="4527"/>
    </bk>
    <bk>
      <rc t="2" v="4528"/>
    </bk>
    <bk>
      <rc t="2" v="4529"/>
    </bk>
    <bk>
      <rc t="2" v="4530"/>
    </bk>
    <bk>
      <rc t="2" v="4531"/>
    </bk>
    <bk>
      <rc t="2" v="4532"/>
    </bk>
    <bk>
      <rc t="2" v="4533"/>
    </bk>
    <bk>
      <rc t="2" v="4534"/>
    </bk>
    <bk>
      <rc t="2" v="4535"/>
    </bk>
    <bk>
      <rc t="2" v="4536"/>
    </bk>
    <bk>
      <rc t="2" v="4537"/>
    </bk>
    <bk>
      <rc t="2" v="4538"/>
    </bk>
    <bk>
      <rc t="2" v="4539"/>
    </bk>
    <bk>
      <rc t="2" v="4540"/>
    </bk>
    <bk>
      <rc t="2" v="4541"/>
    </bk>
    <bk>
      <rc t="2" v="4542"/>
    </bk>
    <bk>
      <rc t="2" v="4543"/>
    </bk>
    <bk>
      <rc t="2" v="4544"/>
    </bk>
    <bk>
      <rc t="2" v="4545"/>
    </bk>
    <bk>
      <rc t="2" v="4546"/>
    </bk>
    <bk>
      <rc t="2" v="4547"/>
    </bk>
    <bk>
      <rc t="2" v="4548"/>
    </bk>
    <bk>
      <rc t="2" v="4549"/>
    </bk>
    <bk>
      <rc t="2" v="4550"/>
    </bk>
    <bk>
      <rc t="2" v="4551"/>
    </bk>
    <bk>
      <rc t="2" v="4552"/>
    </bk>
    <bk>
      <rc t="2" v="4553"/>
    </bk>
    <bk>
      <rc t="2" v="4554"/>
    </bk>
    <bk>
      <rc t="2" v="4555"/>
    </bk>
    <bk>
      <rc t="2" v="4556"/>
    </bk>
    <bk>
      <rc t="2" v="4557"/>
    </bk>
    <bk>
      <rc t="2" v="4558"/>
    </bk>
    <bk>
      <rc t="2" v="4559"/>
    </bk>
    <bk>
      <rc t="2" v="4560"/>
    </bk>
    <bk>
      <rc t="2" v="4561"/>
    </bk>
    <bk>
      <rc t="2" v="4562"/>
    </bk>
    <bk>
      <rc t="2" v="4563"/>
    </bk>
    <bk>
      <rc t="2" v="4564"/>
    </bk>
    <bk>
      <rc t="2" v="4565"/>
    </bk>
    <bk>
      <rc t="2" v="4566"/>
    </bk>
    <bk>
      <rc t="2" v="4567"/>
    </bk>
    <bk>
      <rc t="2" v="4568"/>
    </bk>
    <bk>
      <rc t="2" v="4569"/>
    </bk>
    <bk>
      <rc t="2" v="4570"/>
    </bk>
    <bk>
      <rc t="2" v="4571"/>
    </bk>
    <bk>
      <rc t="2" v="4572"/>
    </bk>
    <bk>
      <rc t="2" v="4573"/>
    </bk>
    <bk>
      <rc t="2" v="4574"/>
    </bk>
    <bk>
      <rc t="2" v="4575"/>
    </bk>
    <bk>
      <rc t="2" v="4576"/>
    </bk>
    <bk>
      <rc t="2" v="4577"/>
    </bk>
    <bk>
      <rc t="2" v="4578"/>
    </bk>
    <bk>
      <rc t="2" v="4579"/>
    </bk>
    <bk>
      <rc t="2" v="4580"/>
    </bk>
    <bk>
      <rc t="2" v="4581"/>
    </bk>
    <bk>
      <rc t="2" v="4582"/>
    </bk>
    <bk>
      <rc t="2" v="4583"/>
    </bk>
    <bk>
      <rc t="2" v="4584"/>
    </bk>
    <bk>
      <rc t="2" v="4585"/>
    </bk>
    <bk>
      <rc t="2" v="4586"/>
    </bk>
    <bk>
      <rc t="2" v="4587"/>
    </bk>
    <bk>
      <rc t="2" v="4588"/>
    </bk>
    <bk>
      <rc t="2" v="4589"/>
    </bk>
    <bk>
      <rc t="2" v="4590"/>
    </bk>
    <bk>
      <rc t="2" v="4591"/>
    </bk>
    <bk>
      <rc t="2" v="4592"/>
    </bk>
    <bk>
      <rc t="2" v="4593"/>
    </bk>
    <bk>
      <rc t="2" v="4594"/>
    </bk>
    <bk>
      <rc t="2" v="4595"/>
    </bk>
    <bk>
      <rc t="2" v="4596"/>
    </bk>
    <bk>
      <rc t="2" v="4597"/>
    </bk>
    <bk>
      <rc t="2" v="4598"/>
    </bk>
    <bk>
      <rc t="2" v="4599"/>
    </bk>
    <bk>
      <rc t="2" v="4600"/>
    </bk>
    <bk>
      <rc t="2" v="4601"/>
    </bk>
    <bk>
      <rc t="2" v="4602"/>
    </bk>
    <bk>
      <rc t="2" v="4603"/>
    </bk>
    <bk>
      <rc t="2" v="4604"/>
    </bk>
    <bk>
      <rc t="2" v="4605"/>
    </bk>
    <bk>
      <rc t="2" v="4606"/>
    </bk>
    <bk>
      <rc t="2" v="4607"/>
    </bk>
    <bk>
      <rc t="2" v="4608"/>
    </bk>
    <bk>
      <rc t="2" v="4609"/>
    </bk>
    <bk>
      <rc t="2" v="4610"/>
    </bk>
    <bk>
      <rc t="2" v="4611"/>
    </bk>
    <bk>
      <rc t="2" v="4612"/>
    </bk>
    <bk>
      <rc t="2" v="4613"/>
    </bk>
    <bk>
      <rc t="2" v="4614"/>
    </bk>
    <bk>
      <rc t="2" v="4615"/>
    </bk>
    <bk>
      <rc t="2" v="4616"/>
    </bk>
    <bk>
      <rc t="2" v="4617"/>
    </bk>
    <bk>
      <rc t="2" v="4618"/>
    </bk>
    <bk>
      <rc t="2" v="4619"/>
    </bk>
    <bk>
      <rc t="2" v="4620"/>
    </bk>
    <bk>
      <rc t="2" v="4621"/>
    </bk>
    <bk>
      <rc t="2" v="4622"/>
    </bk>
    <bk>
      <rc t="2" v="4623"/>
    </bk>
    <bk>
      <rc t="2" v="4624"/>
    </bk>
    <bk>
      <rc t="2" v="4625"/>
    </bk>
    <bk>
      <rc t="2" v="4626"/>
    </bk>
    <bk>
      <rc t="2" v="4627"/>
    </bk>
    <bk>
      <rc t="2" v="4628"/>
    </bk>
    <bk>
      <rc t="2" v="4629"/>
    </bk>
    <bk>
      <rc t="2" v="4630"/>
    </bk>
    <bk>
      <rc t="2" v="4631"/>
    </bk>
    <bk>
      <rc t="2" v="4632"/>
    </bk>
    <bk>
      <rc t="2" v="4633"/>
    </bk>
    <bk>
      <rc t="2" v="4634"/>
    </bk>
    <bk>
      <rc t="2" v="4635"/>
    </bk>
    <bk>
      <rc t="2" v="4636"/>
    </bk>
    <bk>
      <rc t="2" v="4637"/>
    </bk>
    <bk>
      <rc t="2" v="4638"/>
    </bk>
    <bk>
      <rc t="2" v="4639"/>
    </bk>
    <bk>
      <rc t="2" v="4640"/>
    </bk>
    <bk>
      <rc t="2" v="4641"/>
    </bk>
    <bk>
      <rc t="2" v="4642"/>
    </bk>
    <bk>
      <rc t="2" v="4643"/>
    </bk>
    <bk>
      <rc t="2" v="4644"/>
    </bk>
    <bk>
      <rc t="2" v="4645"/>
    </bk>
    <bk>
      <rc t="2" v="4646"/>
    </bk>
    <bk>
      <rc t="2" v="4647"/>
    </bk>
    <bk>
      <rc t="2" v="4648"/>
    </bk>
    <bk>
      <rc t="2" v="4649"/>
    </bk>
    <bk>
      <rc t="2" v="4650"/>
    </bk>
    <bk>
      <rc t="2" v="4651"/>
    </bk>
    <bk>
      <rc t="2" v="4652"/>
    </bk>
    <bk>
      <rc t="2" v="4653"/>
    </bk>
    <bk>
      <rc t="2" v="4654"/>
    </bk>
    <bk>
      <rc t="2" v="4655"/>
    </bk>
    <bk>
      <rc t="2" v="4656"/>
    </bk>
    <bk>
      <rc t="2" v="4657"/>
    </bk>
    <bk>
      <rc t="2" v="4658"/>
    </bk>
    <bk>
      <rc t="2" v="4659"/>
    </bk>
    <bk>
      <rc t="2" v="4660"/>
    </bk>
    <bk>
      <rc t="2" v="4661"/>
    </bk>
    <bk>
      <rc t="2" v="4662"/>
    </bk>
    <bk>
      <rc t="2" v="4663"/>
    </bk>
    <bk>
      <rc t="2" v="4664"/>
    </bk>
    <bk>
      <rc t="2" v="4665"/>
    </bk>
    <bk>
      <rc t="2" v="4666"/>
    </bk>
    <bk>
      <rc t="2" v="4667"/>
    </bk>
    <bk>
      <rc t="2" v="4668"/>
    </bk>
    <bk>
      <rc t="2" v="4669"/>
    </bk>
    <bk>
      <rc t="2" v="4670"/>
    </bk>
    <bk>
      <rc t="2" v="4671"/>
    </bk>
    <bk>
      <rc t="2" v="4672"/>
    </bk>
    <bk>
      <rc t="2" v="4673"/>
    </bk>
    <bk>
      <rc t="2" v="4674"/>
    </bk>
    <bk>
      <rc t="2" v="4675"/>
    </bk>
    <bk>
      <rc t="2" v="4676"/>
    </bk>
    <bk>
      <rc t="2" v="4677"/>
    </bk>
    <bk>
      <rc t="2" v="4678"/>
    </bk>
    <bk>
      <rc t="2" v="4679"/>
    </bk>
    <bk>
      <rc t="2" v="4680"/>
    </bk>
    <bk>
      <rc t="2" v="4681"/>
    </bk>
    <bk>
      <rc t="2" v="4682"/>
    </bk>
    <bk>
      <rc t="2" v="4683"/>
    </bk>
    <bk>
      <rc t="2" v="4684"/>
    </bk>
    <bk>
      <rc t="2" v="4685"/>
    </bk>
    <bk>
      <rc t="2" v="4686"/>
    </bk>
    <bk>
      <rc t="2" v="4687"/>
    </bk>
    <bk>
      <rc t="2" v="4688"/>
    </bk>
    <bk>
      <rc t="2" v="4689"/>
    </bk>
    <bk>
      <rc t="2" v="4690"/>
    </bk>
    <bk>
      <rc t="2" v="4691"/>
    </bk>
    <bk>
      <rc t="2" v="4692"/>
    </bk>
    <bk>
      <rc t="2" v="4693"/>
    </bk>
    <bk>
      <rc t="2" v="4694"/>
    </bk>
    <bk>
      <rc t="2" v="4695"/>
    </bk>
    <bk>
      <rc t="2" v="4696"/>
    </bk>
    <bk>
      <rc t="2" v="4697"/>
    </bk>
    <bk>
      <rc t="2" v="4698"/>
    </bk>
    <bk>
      <rc t="2" v="4699"/>
    </bk>
    <bk>
      <rc t="2" v="4700"/>
    </bk>
    <bk>
      <rc t="2" v="4701"/>
    </bk>
    <bk>
      <rc t="2" v="4702"/>
    </bk>
    <bk>
      <rc t="2" v="4703"/>
    </bk>
    <bk>
      <rc t="2" v="4704"/>
    </bk>
    <bk>
      <rc t="2" v="4705"/>
    </bk>
    <bk>
      <rc t="2" v="4706"/>
    </bk>
    <bk>
      <rc t="2" v="4707"/>
    </bk>
    <bk>
      <rc t="2" v="4708"/>
    </bk>
    <bk>
      <rc t="2" v="4709"/>
    </bk>
    <bk>
      <rc t="2" v="4710"/>
    </bk>
    <bk>
      <rc t="2" v="4711"/>
    </bk>
    <bk>
      <rc t="2" v="4712"/>
    </bk>
    <bk>
      <rc t="2" v="4713"/>
    </bk>
    <bk>
      <rc t="2" v="4714"/>
    </bk>
    <bk>
      <rc t="2" v="4715"/>
    </bk>
    <bk>
      <rc t="2" v="4716"/>
    </bk>
    <bk>
      <rc t="2" v="4717"/>
    </bk>
    <bk>
      <rc t="2" v="4718"/>
    </bk>
    <bk>
      <rc t="2" v="4719"/>
    </bk>
    <bk>
      <rc t="2" v="4720"/>
    </bk>
    <bk>
      <rc t="2" v="4721"/>
    </bk>
    <bk>
      <rc t="2" v="4722"/>
    </bk>
    <bk>
      <rc t="2" v="4723"/>
    </bk>
    <bk>
      <rc t="2" v="4724"/>
    </bk>
    <bk>
      <rc t="2" v="4725"/>
    </bk>
    <bk>
      <rc t="2" v="4726"/>
    </bk>
    <bk>
      <rc t="2" v="4727"/>
    </bk>
    <bk>
      <rc t="2" v="4728"/>
    </bk>
    <bk>
      <rc t="2" v="4729"/>
    </bk>
    <bk>
      <rc t="2" v="4730"/>
    </bk>
    <bk>
      <rc t="2" v="4731"/>
    </bk>
    <bk>
      <rc t="2" v="4732"/>
    </bk>
    <bk>
      <rc t="2" v="4733"/>
    </bk>
    <bk>
      <rc t="2" v="4734"/>
    </bk>
    <bk>
      <rc t="2" v="4735"/>
    </bk>
    <bk>
      <rc t="2" v="4736"/>
    </bk>
    <bk>
      <rc t="2" v="4737"/>
    </bk>
    <bk>
      <rc t="2" v="4738"/>
    </bk>
    <bk>
      <rc t="2" v="4739"/>
    </bk>
    <bk>
      <rc t="2" v="4740"/>
    </bk>
    <bk>
      <rc t="2" v="4741"/>
    </bk>
    <bk>
      <rc t="2" v="4742"/>
    </bk>
    <bk>
      <rc t="2" v="4743"/>
    </bk>
    <bk>
      <rc t="2" v="4744"/>
    </bk>
    <bk>
      <rc t="2" v="4745"/>
    </bk>
    <bk>
      <rc t="2" v="4746"/>
    </bk>
    <bk>
      <rc t="2" v="4747"/>
    </bk>
    <bk>
      <rc t="2" v="4748"/>
    </bk>
    <bk>
      <rc t="2" v="4749"/>
    </bk>
    <bk>
      <rc t="2" v="4750"/>
    </bk>
    <bk>
      <rc t="2" v="4751"/>
    </bk>
    <bk>
      <rc t="2" v="4752"/>
    </bk>
    <bk>
      <rc t="2" v="4753"/>
    </bk>
    <bk>
      <rc t="2" v="4754"/>
    </bk>
    <bk>
      <rc t="2" v="4755"/>
    </bk>
    <bk>
      <rc t="2" v="4756"/>
    </bk>
    <bk>
      <rc t="2" v="4757"/>
    </bk>
    <bk>
      <rc t="2" v="4758"/>
    </bk>
    <bk>
      <rc t="2" v="4759"/>
    </bk>
    <bk>
      <rc t="2" v="4760"/>
    </bk>
    <bk>
      <rc t="2" v="4761"/>
    </bk>
    <bk>
      <rc t="2" v="4762"/>
    </bk>
    <bk>
      <rc t="2" v="4763"/>
    </bk>
    <bk>
      <rc t="2" v="4764"/>
    </bk>
    <bk>
      <rc t="2" v="4765"/>
    </bk>
    <bk>
      <rc t="2" v="4766"/>
    </bk>
    <bk>
      <rc t="2" v="4767"/>
    </bk>
    <bk>
      <rc t="2" v="4768"/>
    </bk>
    <bk>
      <rc t="2" v="4769"/>
    </bk>
    <bk>
      <rc t="2" v="4770"/>
    </bk>
    <bk>
      <rc t="2" v="4771"/>
    </bk>
    <bk>
      <rc t="2" v="4772"/>
    </bk>
    <bk>
      <rc t="2" v="4773"/>
    </bk>
    <bk>
      <rc t="2" v="4774"/>
    </bk>
    <bk>
      <rc t="2" v="4775"/>
    </bk>
    <bk>
      <rc t="2" v="4776"/>
    </bk>
    <bk>
      <rc t="2" v="4777"/>
    </bk>
    <bk>
      <rc t="2" v="4778"/>
    </bk>
    <bk>
      <rc t="2" v="4779"/>
    </bk>
    <bk>
      <rc t="2" v="4780"/>
    </bk>
    <bk>
      <rc t="2" v="4781"/>
    </bk>
    <bk>
      <rc t="2" v="4782"/>
    </bk>
    <bk>
      <rc t="2" v="4783"/>
    </bk>
    <bk>
      <rc t="2" v="4784"/>
    </bk>
    <bk>
      <rc t="2" v="4785"/>
    </bk>
    <bk>
      <rc t="2" v="4786"/>
    </bk>
    <bk>
      <rc t="2" v="4787"/>
    </bk>
    <bk>
      <rc t="2" v="4788"/>
    </bk>
    <bk>
      <rc t="2" v="4789"/>
    </bk>
    <bk>
      <rc t="2" v="4790"/>
    </bk>
    <bk>
      <rc t="2" v="4791"/>
    </bk>
    <bk>
      <rc t="2" v="4792"/>
    </bk>
    <bk>
      <rc t="2" v="4793"/>
    </bk>
    <bk>
      <rc t="2" v="4794"/>
    </bk>
    <bk>
      <rc t="2" v="4795"/>
    </bk>
    <bk>
      <rc t="2" v="4796"/>
    </bk>
    <bk>
      <rc t="2" v="4797"/>
    </bk>
    <bk>
      <rc t="2" v="4798"/>
    </bk>
    <bk>
      <rc t="2" v="4799"/>
    </bk>
    <bk>
      <rc t="2" v="4800"/>
    </bk>
    <bk>
      <rc t="2" v="4801"/>
    </bk>
    <bk>
      <rc t="2" v="4802"/>
    </bk>
    <bk>
      <rc t="2" v="4803"/>
    </bk>
    <bk>
      <rc t="2" v="4804"/>
    </bk>
    <bk>
      <rc t="2" v="4805"/>
    </bk>
    <bk>
      <rc t="2" v="4806"/>
    </bk>
    <bk>
      <rc t="2" v="4807"/>
    </bk>
    <bk>
      <rc t="2" v="4808"/>
    </bk>
    <bk>
      <rc t="2" v="4809"/>
    </bk>
    <bk>
      <rc t="2" v="4810"/>
    </bk>
    <bk>
      <rc t="2" v="4811"/>
    </bk>
    <bk>
      <rc t="2" v="4812"/>
    </bk>
    <bk>
      <rc t="2" v="4813"/>
    </bk>
    <bk>
      <rc t="2" v="4814"/>
    </bk>
    <bk>
      <rc t="2" v="4815"/>
    </bk>
    <bk>
      <rc t="2" v="4816"/>
    </bk>
    <bk>
      <rc t="2" v="4817"/>
    </bk>
    <bk>
      <rc t="2" v="4818"/>
    </bk>
    <bk>
      <rc t="2" v="4819"/>
    </bk>
    <bk>
      <rc t="2" v="4820"/>
    </bk>
    <bk>
      <rc t="2" v="4821"/>
    </bk>
    <bk>
      <rc t="2" v="4822"/>
    </bk>
    <bk>
      <rc t="2" v="4823"/>
    </bk>
    <bk>
      <rc t="2" v="4824"/>
    </bk>
    <bk>
      <rc t="2" v="4825"/>
    </bk>
    <bk>
      <rc t="2" v="4826"/>
    </bk>
    <bk>
      <rc t="2" v="4827"/>
    </bk>
    <bk>
      <rc t="2" v="4828"/>
    </bk>
    <bk>
      <rc t="2" v="4829"/>
    </bk>
    <bk>
      <rc t="2" v="4830"/>
    </bk>
    <bk>
      <rc t="2" v="4831"/>
    </bk>
    <bk>
      <rc t="2" v="4832"/>
    </bk>
    <bk>
      <rc t="2" v="4833"/>
    </bk>
    <bk>
      <rc t="2" v="4834"/>
    </bk>
    <bk>
      <rc t="2" v="4835"/>
    </bk>
    <bk>
      <rc t="2" v="4836"/>
    </bk>
    <bk>
      <rc t="2" v="4837"/>
    </bk>
    <bk>
      <rc t="2" v="4838"/>
    </bk>
    <bk>
      <rc t="2" v="4839"/>
    </bk>
    <bk>
      <rc t="2" v="4840"/>
    </bk>
    <bk>
      <rc t="2" v="4841"/>
    </bk>
    <bk>
      <rc t="2" v="4842"/>
    </bk>
    <bk>
      <rc t="2" v="4843"/>
    </bk>
    <bk>
      <rc t="2" v="4844"/>
    </bk>
    <bk>
      <rc t="2" v="4845"/>
    </bk>
    <bk>
      <rc t="2" v="4846"/>
    </bk>
    <bk>
      <rc t="2" v="4847"/>
    </bk>
    <bk>
      <rc t="2" v="4848"/>
    </bk>
    <bk>
      <rc t="2" v="4849"/>
    </bk>
    <bk>
      <rc t="2" v="4850"/>
    </bk>
    <bk>
      <rc t="2" v="4851"/>
    </bk>
    <bk>
      <rc t="2" v="4852"/>
    </bk>
    <bk>
      <rc t="2" v="4853"/>
    </bk>
    <bk>
      <rc t="2" v="4854"/>
    </bk>
    <bk>
      <rc t="2" v="4855"/>
    </bk>
    <bk>
      <rc t="2" v="4856"/>
    </bk>
    <bk>
      <rc t="2" v="4857"/>
    </bk>
    <bk>
      <rc t="2" v="4858"/>
    </bk>
    <bk>
      <rc t="2" v="4859"/>
    </bk>
    <bk>
      <rc t="2" v="4860"/>
    </bk>
    <bk>
      <rc t="2" v="4861"/>
    </bk>
    <bk>
      <rc t="2" v="4862"/>
    </bk>
    <bk>
      <rc t="2" v="4863"/>
    </bk>
    <bk>
      <rc t="2" v="4864"/>
    </bk>
    <bk>
      <rc t="2" v="4865"/>
    </bk>
    <bk>
      <rc t="2" v="4866"/>
    </bk>
    <bk>
      <rc t="2" v="4867"/>
    </bk>
    <bk>
      <rc t="2" v="4868"/>
    </bk>
    <bk>
      <rc t="2" v="4869"/>
    </bk>
    <bk>
      <rc t="2" v="4870"/>
    </bk>
    <bk>
      <rc t="2" v="4871"/>
    </bk>
    <bk>
      <rc t="2" v="4872"/>
    </bk>
    <bk>
      <rc t="2" v="4873"/>
    </bk>
    <bk>
      <rc t="2" v="4874"/>
    </bk>
    <bk>
      <rc t="2" v="4875"/>
    </bk>
    <bk>
      <rc t="2" v="4876"/>
    </bk>
    <bk>
      <rc t="2" v="4877"/>
    </bk>
    <bk>
      <rc t="2" v="4878"/>
    </bk>
    <bk>
      <rc t="2" v="4879"/>
    </bk>
    <bk>
      <rc t="2" v="4880"/>
    </bk>
    <bk>
      <rc t="2" v="4881"/>
    </bk>
    <bk>
      <rc t="2" v="4882"/>
    </bk>
    <bk>
      <rc t="2" v="4883"/>
    </bk>
    <bk>
      <rc t="2" v="4884"/>
    </bk>
    <bk>
      <rc t="2" v="4885"/>
    </bk>
    <bk>
      <rc t="2" v="4886"/>
    </bk>
    <bk>
      <rc t="2" v="4887"/>
    </bk>
    <bk>
      <rc t="2" v="4888"/>
    </bk>
    <bk>
      <rc t="2" v="4889"/>
    </bk>
    <bk>
      <rc t="2" v="4890"/>
    </bk>
    <bk>
      <rc t="2" v="4891"/>
    </bk>
    <bk>
      <rc t="2" v="4892"/>
    </bk>
    <bk>
      <rc t="2" v="4893"/>
    </bk>
    <bk>
      <rc t="2" v="4894"/>
    </bk>
    <bk>
      <rc t="2" v="4895"/>
    </bk>
    <bk>
      <rc t="2" v="4896"/>
    </bk>
    <bk>
      <rc t="2" v="4897"/>
    </bk>
    <bk>
      <rc t="2" v="4898"/>
    </bk>
    <bk>
      <rc t="2" v="4899"/>
    </bk>
    <bk>
      <rc t="2" v="4900"/>
    </bk>
    <bk>
      <rc t="2" v="4901"/>
    </bk>
    <bk>
      <rc t="2" v="4902"/>
    </bk>
    <bk>
      <rc t="2" v="4903"/>
    </bk>
    <bk>
      <rc t="2" v="4904"/>
    </bk>
    <bk>
      <rc t="2" v="4905"/>
    </bk>
    <bk>
      <rc t="2" v="4906"/>
    </bk>
    <bk>
      <rc t="2" v="4907"/>
    </bk>
    <bk>
      <rc t="2" v="4908"/>
    </bk>
    <bk>
      <rc t="2" v="4909"/>
    </bk>
    <bk>
      <rc t="2" v="4910"/>
    </bk>
    <bk>
      <rc t="2" v="4911"/>
    </bk>
    <bk>
      <rc t="2" v="4912"/>
    </bk>
    <bk>
      <rc t="2" v="4913"/>
    </bk>
    <bk>
      <rc t="2" v="4914"/>
    </bk>
    <bk>
      <rc t="2" v="4915"/>
    </bk>
    <bk>
      <rc t="2" v="4916"/>
    </bk>
    <bk>
      <rc t="2" v="4917"/>
    </bk>
    <bk>
      <rc t="2" v="4918"/>
    </bk>
    <bk>
      <rc t="2" v="4919"/>
    </bk>
    <bk>
      <rc t="2" v="4920"/>
    </bk>
    <bk>
      <rc t="2" v="4921"/>
    </bk>
    <bk>
      <rc t="2" v="4922"/>
    </bk>
    <bk>
      <rc t="2" v="4923"/>
    </bk>
    <bk>
      <rc t="2" v="4924"/>
    </bk>
    <bk>
      <rc t="2" v="4925"/>
    </bk>
    <bk>
      <rc t="2" v="4926"/>
    </bk>
    <bk>
      <rc t="2" v="4927"/>
    </bk>
    <bk>
      <rc t="2" v="4928"/>
    </bk>
    <bk>
      <rc t="2" v="4929"/>
    </bk>
    <bk>
      <rc t="2" v="4930"/>
    </bk>
    <bk>
      <rc t="2" v="4931"/>
    </bk>
    <bk>
      <rc t="2" v="4932"/>
    </bk>
    <bk>
      <rc t="2" v="4933"/>
    </bk>
    <bk>
      <rc t="2" v="4934"/>
    </bk>
    <bk>
      <rc t="2" v="4935"/>
    </bk>
    <bk>
      <rc t="2" v="4936"/>
    </bk>
    <bk>
      <rc t="2" v="4937"/>
    </bk>
    <bk>
      <rc t="2" v="4938"/>
    </bk>
    <bk>
      <rc t="2" v="4939"/>
    </bk>
    <bk>
      <rc t="2" v="4940"/>
    </bk>
    <bk>
      <rc t="2" v="4941"/>
    </bk>
    <bk>
      <rc t="2" v="4942"/>
    </bk>
    <bk>
      <rc t="2" v="4943"/>
    </bk>
    <bk>
      <rc t="2" v="4944"/>
    </bk>
    <bk>
      <rc t="2" v="4945"/>
    </bk>
    <bk>
      <rc t="2" v="4946"/>
    </bk>
    <bk>
      <rc t="2" v="4947"/>
    </bk>
    <bk>
      <rc t="2" v="4948"/>
    </bk>
    <bk>
      <rc t="2" v="4949"/>
    </bk>
    <bk>
      <rc t="2" v="4950"/>
    </bk>
    <bk>
      <rc t="2" v="4951"/>
    </bk>
    <bk>
      <rc t="2" v="4952"/>
    </bk>
    <bk>
      <rc t="2" v="4953"/>
    </bk>
    <bk>
      <rc t="2" v="4954"/>
    </bk>
    <bk>
      <rc t="2" v="4955"/>
    </bk>
    <bk>
      <rc t="2" v="4956"/>
    </bk>
    <bk>
      <rc t="2" v="4957"/>
    </bk>
    <bk>
      <rc t="2" v="4958"/>
    </bk>
    <bk>
      <rc t="2" v="4959"/>
    </bk>
    <bk>
      <rc t="2" v="4960"/>
    </bk>
    <bk>
      <rc t="2" v="4961"/>
    </bk>
    <bk>
      <rc t="2" v="4962"/>
    </bk>
    <bk>
      <rc t="2" v="4963"/>
    </bk>
    <bk>
      <rc t="2" v="4964"/>
    </bk>
    <bk>
      <rc t="2" v="4965"/>
    </bk>
    <bk>
      <rc t="2" v="4966"/>
    </bk>
    <bk>
      <rc t="2" v="4967"/>
    </bk>
    <bk>
      <rc t="2" v="4968"/>
    </bk>
    <bk>
      <rc t="2" v="4969"/>
    </bk>
    <bk>
      <rc t="2" v="4970"/>
    </bk>
    <bk>
      <rc t="2" v="4971"/>
    </bk>
    <bk>
      <rc t="2" v="4972"/>
    </bk>
    <bk>
      <rc t="2" v="4973"/>
    </bk>
    <bk>
      <rc t="2" v="4974"/>
    </bk>
    <bk>
      <rc t="2" v="4975"/>
    </bk>
    <bk>
      <rc t="2" v="4976"/>
    </bk>
    <bk>
      <rc t="2" v="4977"/>
    </bk>
    <bk>
      <rc t="2" v="4978"/>
    </bk>
    <bk>
      <rc t="2" v="4979"/>
    </bk>
    <bk>
      <rc t="2" v="4980"/>
    </bk>
    <bk>
      <rc t="2" v="4981"/>
    </bk>
    <bk>
      <rc t="2" v="4982"/>
    </bk>
    <bk>
      <rc t="2" v="4983"/>
    </bk>
    <bk>
      <rc t="2" v="4984"/>
    </bk>
    <bk>
      <rc t="2" v="4985"/>
    </bk>
    <bk>
      <rc t="2" v="4986"/>
    </bk>
    <bk>
      <rc t="2" v="4987"/>
    </bk>
    <bk>
      <rc t="2" v="4988"/>
    </bk>
    <bk>
      <rc t="2" v="4989"/>
    </bk>
    <bk>
      <rc t="2" v="4990"/>
    </bk>
    <bk>
      <rc t="2" v="4991"/>
    </bk>
    <bk>
      <rc t="2" v="4992"/>
    </bk>
    <bk>
      <rc t="2" v="4993"/>
    </bk>
    <bk>
      <rc t="2" v="4994"/>
    </bk>
    <bk>
      <rc t="2" v="4995"/>
    </bk>
    <bk>
      <rc t="2" v="4996"/>
    </bk>
    <bk>
      <rc t="2" v="4997"/>
    </bk>
    <bk>
      <rc t="2" v="4998"/>
    </bk>
    <bk>
      <rc t="2" v="4999"/>
    </bk>
    <bk>
      <rc t="2" v="5000"/>
    </bk>
    <bk>
      <rc t="2" v="5001"/>
    </bk>
    <bk>
      <rc t="2" v="5002"/>
    </bk>
    <bk>
      <rc t="2" v="5003"/>
    </bk>
    <bk>
      <rc t="2" v="5004"/>
    </bk>
    <bk>
      <rc t="2" v="5005"/>
    </bk>
    <bk>
      <rc t="2" v="5006"/>
    </bk>
    <bk>
      <rc t="2" v="5007"/>
    </bk>
    <bk>
      <rc t="2" v="5008"/>
    </bk>
    <bk>
      <rc t="2" v="5009"/>
    </bk>
    <bk>
      <rc t="2" v="5010"/>
    </bk>
    <bk>
      <rc t="2" v="5011"/>
    </bk>
    <bk>
      <rc t="2" v="5012"/>
    </bk>
    <bk>
      <rc t="2" v="5013"/>
    </bk>
    <bk>
      <rc t="2" v="5014"/>
    </bk>
    <bk>
      <rc t="2" v="5015"/>
    </bk>
    <bk>
      <rc t="2" v="5016"/>
    </bk>
    <bk>
      <rc t="2" v="5017"/>
    </bk>
    <bk>
      <rc t="2" v="5018"/>
    </bk>
    <bk>
      <rc t="2" v="5019"/>
    </bk>
    <bk>
      <rc t="2" v="5020"/>
    </bk>
    <bk>
      <rc t="2" v="5021"/>
    </bk>
    <bk>
      <rc t="2" v="5022"/>
    </bk>
    <bk>
      <rc t="2" v="5023"/>
    </bk>
    <bk>
      <rc t="2" v="5024"/>
    </bk>
    <bk>
      <rc t="2" v="5025"/>
    </bk>
    <bk>
      <rc t="2" v="5026"/>
    </bk>
    <bk>
      <rc t="2" v="5027"/>
    </bk>
    <bk>
      <rc t="2" v="5028"/>
    </bk>
    <bk>
      <rc t="2" v="5029"/>
    </bk>
    <bk>
      <rc t="2" v="5030"/>
    </bk>
    <bk>
      <rc t="2" v="5031"/>
    </bk>
    <bk>
      <rc t="2" v="5032"/>
    </bk>
    <bk>
      <rc t="2" v="5033"/>
    </bk>
    <bk>
      <rc t="2" v="5034"/>
    </bk>
    <bk>
      <rc t="2" v="5035"/>
    </bk>
    <bk>
      <rc t="2" v="5036"/>
    </bk>
    <bk>
      <rc t="2" v="5037"/>
    </bk>
    <bk>
      <rc t="2" v="5038"/>
    </bk>
    <bk>
      <rc t="2" v="5039"/>
    </bk>
    <bk>
      <rc t="2" v="5040"/>
    </bk>
    <bk>
      <rc t="2" v="5041"/>
    </bk>
    <bk>
      <rc t="2" v="5042"/>
    </bk>
    <bk>
      <rc t="2" v="5043"/>
    </bk>
    <bk>
      <rc t="2" v="5044"/>
    </bk>
    <bk>
      <rc t="2" v="5045"/>
    </bk>
    <bk>
      <rc t="2" v="5046"/>
    </bk>
    <bk>
      <rc t="2" v="5047"/>
    </bk>
    <bk>
      <rc t="2" v="5048"/>
    </bk>
    <bk>
      <rc t="2" v="5049"/>
    </bk>
    <bk>
      <rc t="2" v="5050"/>
    </bk>
    <bk>
      <rc t="2" v="5051"/>
    </bk>
    <bk>
      <rc t="2" v="5052"/>
    </bk>
    <bk>
      <rc t="2" v="5053"/>
    </bk>
    <bk>
      <rc t="2" v="5054"/>
    </bk>
    <bk>
      <rc t="2" v="5055"/>
    </bk>
    <bk>
      <rc t="2" v="5056"/>
    </bk>
    <bk>
      <rc t="2" v="5057"/>
    </bk>
    <bk>
      <rc t="2" v="5058"/>
    </bk>
    <bk>
      <rc t="2" v="5059"/>
    </bk>
    <bk>
      <rc t="2" v="5060"/>
    </bk>
    <bk>
      <rc t="2" v="5061"/>
    </bk>
    <bk>
      <rc t="2" v="5062"/>
    </bk>
    <bk>
      <rc t="2" v="5063"/>
    </bk>
    <bk>
      <rc t="2" v="5064"/>
    </bk>
    <bk>
      <rc t="2" v="5065"/>
    </bk>
    <bk>
      <rc t="2" v="5066"/>
    </bk>
    <bk>
      <rc t="2" v="5067"/>
    </bk>
    <bk>
      <rc t="2" v="5068"/>
    </bk>
    <bk>
      <rc t="2" v="5069"/>
    </bk>
    <bk>
      <rc t="2" v="5070"/>
    </bk>
    <bk>
      <rc t="2" v="5071"/>
    </bk>
    <bk>
      <rc t="2" v="5072"/>
    </bk>
    <bk>
      <rc t="2" v="5073"/>
    </bk>
    <bk>
      <rc t="2" v="5074"/>
    </bk>
    <bk>
      <rc t="2" v="5075"/>
    </bk>
    <bk>
      <rc t="2" v="5076"/>
    </bk>
    <bk>
      <rc t="2" v="5077"/>
    </bk>
    <bk>
      <rc t="2" v="5078"/>
    </bk>
    <bk>
      <rc t="2" v="5079"/>
    </bk>
    <bk>
      <rc t="2" v="5080"/>
    </bk>
    <bk>
      <rc t="2" v="5081"/>
    </bk>
    <bk>
      <rc t="2" v="5082"/>
    </bk>
    <bk>
      <rc t="2" v="5083"/>
    </bk>
    <bk>
      <rc t="2" v="5084"/>
    </bk>
    <bk>
      <rc t="2" v="5085"/>
    </bk>
    <bk>
      <rc t="2" v="5086"/>
    </bk>
    <bk>
      <rc t="2" v="5087"/>
    </bk>
    <bk>
      <rc t="2" v="5088"/>
    </bk>
    <bk>
      <rc t="2" v="5089"/>
    </bk>
    <bk>
      <rc t="2" v="5090"/>
    </bk>
    <bk>
      <rc t="2" v="5091"/>
    </bk>
    <bk>
      <rc t="2" v="5092"/>
    </bk>
    <bk>
      <rc t="2" v="5093"/>
    </bk>
    <bk>
      <rc t="2" v="5094"/>
    </bk>
    <bk>
      <rc t="2" v="5095"/>
    </bk>
    <bk>
      <rc t="2" v="5096"/>
    </bk>
    <bk>
      <rc t="2" v="5097"/>
    </bk>
    <bk>
      <rc t="2" v="5098"/>
    </bk>
    <bk>
      <rc t="2" v="5099"/>
    </bk>
    <bk>
      <rc t="2" v="5100"/>
    </bk>
    <bk>
      <rc t="2" v="5101"/>
    </bk>
    <bk>
      <rc t="2" v="5102"/>
    </bk>
    <bk>
      <rc t="2" v="5103"/>
    </bk>
    <bk>
      <rc t="2" v="5104"/>
    </bk>
    <bk>
      <rc t="2" v="5105"/>
    </bk>
    <bk>
      <rc t="2" v="5106"/>
    </bk>
    <bk>
      <rc t="2" v="5107"/>
    </bk>
    <bk>
      <rc t="2" v="5108"/>
    </bk>
    <bk>
      <rc t="2" v="5109"/>
    </bk>
    <bk>
      <rc t="2" v="5110"/>
    </bk>
    <bk>
      <rc t="2" v="5111"/>
    </bk>
    <bk>
      <rc t="2" v="5112"/>
    </bk>
    <bk>
      <rc t="2" v="5113"/>
    </bk>
    <bk>
      <rc t="2" v="5114"/>
    </bk>
    <bk>
      <rc t="2" v="5115"/>
    </bk>
    <bk>
      <rc t="2" v="5116"/>
    </bk>
    <bk>
      <rc t="2" v="5117"/>
    </bk>
    <bk>
      <rc t="2" v="5118"/>
    </bk>
    <bk>
      <rc t="2" v="5119"/>
    </bk>
    <bk>
      <rc t="2" v="5120"/>
    </bk>
    <bk>
      <rc t="2" v="5121"/>
    </bk>
    <bk>
      <rc t="2" v="5122"/>
    </bk>
    <bk>
      <rc t="2" v="5123"/>
    </bk>
    <bk>
      <rc t="2" v="5124"/>
    </bk>
    <bk>
      <rc t="2" v="5125"/>
    </bk>
    <bk>
      <rc t="2" v="5126"/>
    </bk>
    <bk>
      <rc t="2" v="5127"/>
    </bk>
    <bk>
      <rc t="2" v="5128"/>
    </bk>
    <bk>
      <rc t="2" v="5129"/>
    </bk>
    <bk>
      <rc t="2" v="5130"/>
    </bk>
    <bk>
      <rc t="2" v="5131"/>
    </bk>
    <bk>
      <rc t="2" v="5132"/>
    </bk>
    <bk>
      <rc t="2" v="5133"/>
    </bk>
    <bk>
      <rc t="2" v="5134"/>
    </bk>
    <bk>
      <rc t="2" v="5135"/>
    </bk>
    <bk>
      <rc t="2" v="5136"/>
    </bk>
    <bk>
      <rc t="2" v="5137"/>
    </bk>
    <bk>
      <rc t="2" v="5138"/>
    </bk>
    <bk>
      <rc t="2" v="5139"/>
    </bk>
    <bk>
      <rc t="2" v="5140"/>
    </bk>
    <bk>
      <rc t="2" v="5141"/>
    </bk>
    <bk>
      <rc t="2" v="5142"/>
    </bk>
    <bk>
      <rc t="2" v="5143"/>
    </bk>
    <bk>
      <rc t="2" v="5144"/>
    </bk>
    <bk>
      <rc t="2" v="5145"/>
    </bk>
    <bk>
      <rc t="2" v="5146"/>
    </bk>
    <bk>
      <rc t="2" v="5147"/>
    </bk>
    <bk>
      <rc t="2" v="5148"/>
    </bk>
    <bk>
      <rc t="2" v="5149"/>
    </bk>
    <bk>
      <rc t="2" v="5150"/>
    </bk>
    <bk>
      <rc t="2" v="5151"/>
    </bk>
    <bk>
      <rc t="2" v="5152"/>
    </bk>
    <bk>
      <rc t="2" v="5153"/>
    </bk>
    <bk>
      <rc t="2" v="5154"/>
    </bk>
    <bk>
      <rc t="2" v="5155"/>
    </bk>
    <bk>
      <rc t="2" v="5156"/>
    </bk>
    <bk>
      <rc t="2" v="5157"/>
    </bk>
    <bk>
      <rc t="2" v="5158"/>
    </bk>
    <bk>
      <rc t="2" v="5159"/>
    </bk>
    <bk>
      <rc t="2" v="5160"/>
    </bk>
    <bk>
      <rc t="2" v="5161"/>
    </bk>
    <bk>
      <rc t="2" v="5162"/>
    </bk>
    <bk>
      <rc t="2" v="5163"/>
    </bk>
    <bk>
      <rc t="2" v="5164"/>
    </bk>
    <bk>
      <rc t="2" v="5165"/>
    </bk>
    <bk>
      <rc t="2" v="5166"/>
    </bk>
    <bk>
      <rc t="2" v="5167"/>
    </bk>
    <bk>
      <rc t="2" v="5168"/>
    </bk>
    <bk>
      <rc t="2" v="5169"/>
    </bk>
    <bk>
      <rc t="2" v="5170"/>
    </bk>
    <bk>
      <rc t="2" v="5171"/>
    </bk>
    <bk>
      <rc t="2" v="5172"/>
    </bk>
    <bk>
      <rc t="2" v="5173"/>
    </bk>
    <bk>
      <rc t="2" v="5174"/>
    </bk>
    <bk>
      <rc t="2" v="5175"/>
    </bk>
    <bk>
      <rc t="2" v="5176"/>
    </bk>
    <bk>
      <rc t="2" v="5177"/>
    </bk>
    <bk>
      <rc t="2" v="5178"/>
    </bk>
    <bk>
      <rc t="2" v="5179"/>
    </bk>
    <bk>
      <rc t="2" v="5180"/>
    </bk>
    <bk>
      <rc t="2" v="5181"/>
    </bk>
    <bk>
      <rc t="2" v="5182"/>
    </bk>
    <bk>
      <rc t="2" v="5183"/>
    </bk>
    <bk>
      <rc t="2" v="5184"/>
    </bk>
    <bk>
      <rc t="2" v="5185"/>
    </bk>
    <bk>
      <rc t="2" v="5186"/>
    </bk>
    <bk>
      <rc t="2" v="5187"/>
    </bk>
    <bk>
      <rc t="2" v="5188"/>
    </bk>
    <bk>
      <rc t="2" v="5189"/>
    </bk>
    <bk>
      <rc t="2" v="5190"/>
    </bk>
    <bk>
      <rc t="2" v="5191"/>
    </bk>
    <bk>
      <rc t="2" v="5192"/>
    </bk>
    <bk>
      <rc t="2" v="5193"/>
    </bk>
    <bk>
      <rc t="2" v="5194"/>
    </bk>
    <bk>
      <rc t="2" v="5195"/>
    </bk>
    <bk>
      <rc t="2" v="5196"/>
    </bk>
    <bk>
      <rc t="2" v="5197"/>
    </bk>
    <bk>
      <rc t="2" v="5198"/>
    </bk>
    <bk>
      <rc t="2" v="5199"/>
    </bk>
    <bk>
      <rc t="2" v="5200"/>
    </bk>
    <bk>
      <rc t="2" v="5201"/>
    </bk>
    <bk>
      <rc t="2" v="5202"/>
    </bk>
    <bk>
      <rc t="2" v="5203"/>
    </bk>
    <bk>
      <rc t="2" v="5204"/>
    </bk>
    <bk>
      <rc t="2" v="5205"/>
    </bk>
    <bk>
      <rc t="2" v="5206"/>
    </bk>
    <bk>
      <rc t="2" v="5207"/>
    </bk>
    <bk>
      <rc t="2" v="5208"/>
    </bk>
    <bk>
      <rc t="2" v="5209"/>
    </bk>
    <bk>
      <rc t="2" v="5210"/>
    </bk>
    <bk>
      <rc t="2" v="5211"/>
    </bk>
    <bk>
      <rc t="2" v="5212"/>
    </bk>
    <bk>
      <rc t="2" v="5213"/>
    </bk>
    <bk>
      <rc t="2" v="5214"/>
    </bk>
    <bk>
      <rc t="2" v="5215"/>
    </bk>
    <bk>
      <rc t="2" v="5216"/>
    </bk>
    <bk>
      <rc t="2" v="5217"/>
    </bk>
    <bk>
      <rc t="2" v="5218"/>
    </bk>
    <bk>
      <rc t="2" v="5219"/>
    </bk>
    <bk>
      <rc t="2" v="5220"/>
    </bk>
    <bk>
      <rc t="2" v="5221"/>
    </bk>
    <bk>
      <rc t="2" v="5222"/>
    </bk>
    <bk>
      <rc t="2" v="5223"/>
    </bk>
    <bk>
      <rc t="2" v="5224"/>
    </bk>
    <bk>
      <rc t="2" v="5225"/>
    </bk>
    <bk>
      <rc t="2" v="5226"/>
    </bk>
    <bk>
      <rc t="2" v="5227"/>
    </bk>
    <bk>
      <rc t="2" v="5228"/>
    </bk>
    <bk>
      <rc t="2" v="5229"/>
    </bk>
    <bk>
      <rc t="2" v="5230"/>
    </bk>
    <bk>
      <rc t="2" v="5231"/>
    </bk>
    <bk>
      <rc t="2" v="5232"/>
    </bk>
    <bk>
      <rc t="2" v="5233"/>
    </bk>
    <bk>
      <rc t="2" v="5234"/>
    </bk>
    <bk>
      <rc t="2" v="5235"/>
    </bk>
    <bk>
      <rc t="2" v="5236"/>
    </bk>
    <bk>
      <rc t="2" v="5237"/>
    </bk>
    <bk>
      <rc t="2" v="5238"/>
    </bk>
    <bk>
      <rc t="2" v="5239"/>
    </bk>
    <bk>
      <rc t="2" v="5240"/>
    </bk>
    <bk>
      <rc t="2" v="5241"/>
    </bk>
    <bk>
      <rc t="2" v="5242"/>
    </bk>
    <bk>
      <rc t="2" v="5243"/>
    </bk>
    <bk>
      <rc t="2" v="5244"/>
    </bk>
    <bk>
      <rc t="2" v="5245"/>
    </bk>
    <bk>
      <rc t="2" v="5246"/>
    </bk>
    <bk>
      <rc t="2" v="5247"/>
    </bk>
    <bk>
      <rc t="2" v="5248"/>
    </bk>
    <bk>
      <rc t="2" v="5249"/>
    </bk>
    <bk>
      <rc t="2" v="5250"/>
    </bk>
    <bk>
      <rc t="2" v="5251"/>
    </bk>
    <bk>
      <rc t="2" v="5252"/>
    </bk>
    <bk>
      <rc t="2" v="5253"/>
    </bk>
    <bk>
      <rc t="2" v="5254"/>
    </bk>
    <bk>
      <rc t="2" v="5255"/>
    </bk>
    <bk>
      <rc t="2" v="5256"/>
    </bk>
    <bk>
      <rc t="2" v="5257"/>
    </bk>
    <bk>
      <rc t="2" v="5258"/>
    </bk>
    <bk>
      <rc t="2" v="5259"/>
    </bk>
    <bk>
      <rc t="2" v="5260"/>
    </bk>
    <bk>
      <rc t="2" v="5261"/>
    </bk>
    <bk>
      <rc t="2" v="5262"/>
    </bk>
    <bk>
      <rc t="2" v="5263"/>
    </bk>
    <bk>
      <rc t="2" v="5264"/>
    </bk>
    <bk>
      <rc t="2" v="5265"/>
    </bk>
    <bk>
      <rc t="2" v="5266"/>
    </bk>
    <bk>
      <rc t="2" v="5267"/>
    </bk>
    <bk>
      <rc t="2" v="5268"/>
    </bk>
    <bk>
      <rc t="2" v="5269"/>
    </bk>
    <bk>
      <rc t="2" v="5270"/>
    </bk>
    <bk>
      <rc t="2" v="5271"/>
    </bk>
    <bk>
      <rc t="2" v="5272"/>
    </bk>
    <bk>
      <rc t="2" v="5273"/>
    </bk>
    <bk>
      <rc t="2" v="5274"/>
    </bk>
    <bk>
      <rc t="2" v="5275"/>
    </bk>
    <bk>
      <rc t="2" v="5276"/>
    </bk>
    <bk>
      <rc t="2" v="5277"/>
    </bk>
    <bk>
      <rc t="2" v="5278"/>
    </bk>
    <bk>
      <rc t="2" v="5279"/>
    </bk>
    <bk>
      <rc t="2" v="5280"/>
    </bk>
    <bk>
      <rc t="2" v="5281"/>
    </bk>
    <bk>
      <rc t="2" v="5282"/>
    </bk>
    <bk>
      <rc t="2" v="5283"/>
    </bk>
    <bk>
      <rc t="2" v="5284"/>
    </bk>
    <bk>
      <rc t="2" v="5285"/>
    </bk>
    <bk>
      <rc t="2" v="5286"/>
    </bk>
    <bk>
      <rc t="2" v="5287"/>
    </bk>
    <bk>
      <rc t="2" v="5288"/>
    </bk>
    <bk>
      <rc t="2" v="5289"/>
    </bk>
    <bk>
      <rc t="2" v="5290"/>
    </bk>
    <bk>
      <rc t="2" v="5291"/>
    </bk>
    <bk>
      <rc t="2" v="5292"/>
    </bk>
    <bk>
      <rc t="2" v="5293"/>
    </bk>
    <bk>
      <rc t="2" v="5294"/>
    </bk>
    <bk>
      <rc t="2" v="5295"/>
    </bk>
    <bk>
      <rc t="2" v="5296"/>
    </bk>
    <bk>
      <rc t="2" v="5297"/>
    </bk>
    <bk>
      <rc t="2" v="5298"/>
    </bk>
    <bk>
      <rc t="2" v="5299"/>
    </bk>
    <bk>
      <rc t="2" v="5300"/>
    </bk>
    <bk>
      <rc t="2" v="5301"/>
    </bk>
    <bk>
      <rc t="2" v="5302"/>
    </bk>
    <bk>
      <rc t="2" v="5303"/>
    </bk>
    <bk>
      <rc t="2" v="5304"/>
    </bk>
    <bk>
      <rc t="2" v="5305"/>
    </bk>
    <bk>
      <rc t="2" v="5306"/>
    </bk>
    <bk>
      <rc t="2" v="5307"/>
    </bk>
    <bk>
      <rc t="2" v="5308"/>
    </bk>
    <bk>
      <rc t="2" v="5309"/>
    </bk>
    <bk>
      <rc t="2" v="5310"/>
    </bk>
    <bk>
      <rc t="2" v="5311"/>
    </bk>
    <bk>
      <rc t="2" v="5312"/>
    </bk>
    <bk>
      <rc t="2" v="5313"/>
    </bk>
    <bk>
      <rc t="2" v="5314"/>
    </bk>
    <bk>
      <rc t="2" v="5315"/>
    </bk>
    <bk>
      <rc t="2" v="5316"/>
    </bk>
    <bk>
      <rc t="2" v="5317"/>
    </bk>
    <bk>
      <rc t="2" v="5318"/>
    </bk>
    <bk>
      <rc t="2" v="5319"/>
    </bk>
    <bk>
      <rc t="2" v="5320"/>
    </bk>
    <bk>
      <rc t="2" v="5321"/>
    </bk>
    <bk>
      <rc t="2" v="5322"/>
    </bk>
    <bk>
      <rc t="2" v="5323"/>
    </bk>
    <bk>
      <rc t="2" v="5324"/>
    </bk>
    <bk>
      <rc t="2" v="5325"/>
    </bk>
    <bk>
      <rc t="2" v="5326"/>
    </bk>
    <bk>
      <rc t="2" v="5327"/>
    </bk>
    <bk>
      <rc t="2" v="5328"/>
    </bk>
    <bk>
      <rc t="2" v="5329"/>
    </bk>
    <bk>
      <rc t="2" v="5330"/>
    </bk>
    <bk>
      <rc t="2" v="5331"/>
    </bk>
    <bk>
      <rc t="2" v="5332"/>
    </bk>
    <bk>
      <rc t="2" v="5333"/>
    </bk>
    <bk>
      <rc t="2" v="5334"/>
    </bk>
    <bk>
      <rc t="2" v="5335"/>
    </bk>
    <bk>
      <rc t="2" v="5336"/>
    </bk>
    <bk>
      <rc t="2" v="5337"/>
    </bk>
    <bk>
      <rc t="2" v="5338"/>
    </bk>
    <bk>
      <rc t="2" v="5339"/>
    </bk>
    <bk>
      <rc t="2" v="5340"/>
    </bk>
    <bk>
      <rc t="2" v="5341"/>
    </bk>
    <bk>
      <rc t="2" v="5342"/>
    </bk>
    <bk>
      <rc t="2" v="5343"/>
    </bk>
    <bk>
      <rc t="2" v="5344"/>
    </bk>
    <bk>
      <rc t="2" v="5345"/>
    </bk>
    <bk>
      <rc t="2" v="5346"/>
    </bk>
    <bk>
      <rc t="2" v="5347"/>
    </bk>
    <bk>
      <rc t="2" v="5348"/>
    </bk>
    <bk>
      <rc t="2" v="5349"/>
    </bk>
    <bk>
      <rc t="2" v="5350"/>
    </bk>
    <bk>
      <rc t="2" v="5351"/>
    </bk>
    <bk>
      <rc t="2" v="5352"/>
    </bk>
    <bk>
      <rc t="2" v="5353"/>
    </bk>
    <bk>
      <rc t="2" v="5354"/>
    </bk>
    <bk>
      <rc t="2" v="5355"/>
    </bk>
    <bk>
      <rc t="2" v="5356"/>
    </bk>
    <bk>
      <rc t="2" v="5357"/>
    </bk>
    <bk>
      <rc t="2" v="5358"/>
    </bk>
    <bk>
      <rc t="2" v="5359"/>
    </bk>
    <bk>
      <rc t="2" v="5360"/>
    </bk>
    <bk>
      <rc t="2" v="5361"/>
    </bk>
    <bk>
      <rc t="2" v="5362"/>
    </bk>
    <bk>
      <rc t="2" v="5363"/>
    </bk>
    <bk>
      <rc t="2" v="5364"/>
    </bk>
    <bk>
      <rc t="2" v="5365"/>
    </bk>
    <bk>
      <rc t="2" v="5366"/>
    </bk>
    <bk>
      <rc t="2" v="5367"/>
    </bk>
    <bk>
      <rc t="2" v="5368"/>
    </bk>
    <bk>
      <rc t="2" v="5369"/>
    </bk>
    <bk>
      <rc t="2" v="5370"/>
    </bk>
    <bk>
      <rc t="2" v="5371"/>
    </bk>
    <bk>
      <rc t="2" v="5372"/>
    </bk>
    <bk>
      <rc t="2" v="5373"/>
    </bk>
    <bk>
      <rc t="2" v="5374"/>
    </bk>
    <bk>
      <rc t="2" v="5375"/>
    </bk>
    <bk>
      <rc t="2" v="5376"/>
    </bk>
    <bk>
      <rc t="2" v="5377"/>
    </bk>
    <bk>
      <rc t="2" v="5378"/>
    </bk>
    <bk>
      <rc t="2" v="5379"/>
    </bk>
    <bk>
      <rc t="2" v="5380"/>
    </bk>
    <bk>
      <rc t="2" v="5381"/>
    </bk>
    <bk>
      <rc t="2" v="5382"/>
    </bk>
    <bk>
      <rc t="2" v="5383"/>
    </bk>
    <bk>
      <rc t="2" v="5384"/>
    </bk>
    <bk>
      <rc t="2" v="5385"/>
    </bk>
    <bk>
      <rc t="2" v="5386"/>
    </bk>
    <bk>
      <rc t="2" v="5387"/>
    </bk>
    <bk>
      <rc t="2" v="5388"/>
    </bk>
    <bk>
      <rc t="2" v="5389"/>
    </bk>
    <bk>
      <rc t="2" v="5390"/>
    </bk>
    <bk>
      <rc t="2" v="5391"/>
    </bk>
    <bk>
      <rc t="2" v="5392"/>
    </bk>
    <bk>
      <rc t="2" v="5393"/>
    </bk>
    <bk>
      <rc t="2" v="5394"/>
    </bk>
    <bk>
      <rc t="2" v="5395"/>
    </bk>
    <bk>
      <rc t="2" v="5396"/>
    </bk>
    <bk>
      <rc t="2" v="5397"/>
    </bk>
    <bk>
      <rc t="2" v="5398"/>
    </bk>
    <bk>
      <rc t="2" v="5399"/>
    </bk>
    <bk>
      <rc t="2" v="5400"/>
    </bk>
    <bk>
      <rc t="2" v="5401"/>
    </bk>
    <bk>
      <rc t="2" v="5402"/>
    </bk>
    <bk>
      <rc t="2" v="5403"/>
    </bk>
    <bk>
      <rc t="2" v="5404"/>
    </bk>
    <bk>
      <rc t="2" v="5405"/>
    </bk>
    <bk>
      <rc t="2" v="5406"/>
    </bk>
    <bk>
      <rc t="2" v="5407"/>
    </bk>
    <bk>
      <rc t="2" v="5408"/>
    </bk>
    <bk>
      <rc t="2" v="5409"/>
    </bk>
    <bk>
      <rc t="2" v="5410"/>
    </bk>
    <bk>
      <rc t="2" v="5411"/>
    </bk>
    <bk>
      <rc t="2" v="5412"/>
    </bk>
    <bk>
      <rc t="2" v="5413"/>
    </bk>
    <bk>
      <rc t="2" v="5414"/>
    </bk>
    <bk>
      <rc t="2" v="5415"/>
    </bk>
    <bk>
      <rc t="2" v="5416"/>
    </bk>
    <bk>
      <rc t="2" v="5417"/>
    </bk>
    <bk>
      <rc t="2" v="5418"/>
    </bk>
    <bk>
      <rc t="2" v="5419"/>
    </bk>
    <bk>
      <rc t="2" v="5420"/>
    </bk>
    <bk>
      <rc t="2" v="5421"/>
    </bk>
    <bk>
      <rc t="2" v="5422"/>
    </bk>
    <bk>
      <rc t="2" v="5423"/>
    </bk>
    <bk>
      <rc t="2" v="5424"/>
    </bk>
    <bk>
      <rc t="2" v="5425"/>
    </bk>
    <bk>
      <rc t="2" v="5426"/>
    </bk>
    <bk>
      <rc t="2" v="5427"/>
    </bk>
    <bk>
      <rc t="2" v="5428"/>
    </bk>
    <bk>
      <rc t="2" v="5429"/>
    </bk>
    <bk>
      <rc t="2" v="5430"/>
    </bk>
    <bk>
      <rc t="2" v="5431"/>
    </bk>
    <bk>
      <rc t="2" v="5432"/>
    </bk>
    <bk>
      <rc t="2" v="5433"/>
    </bk>
    <bk>
      <rc t="2" v="5434"/>
    </bk>
    <bk>
      <rc t="2" v="5435"/>
    </bk>
    <bk>
      <rc t="2" v="5436"/>
    </bk>
    <bk>
      <rc t="2" v="5437"/>
    </bk>
    <bk>
      <rc t="2" v="5438"/>
    </bk>
    <bk>
      <rc t="2" v="5439"/>
    </bk>
    <bk>
      <rc t="2" v="5440"/>
    </bk>
    <bk>
      <rc t="2" v="5441"/>
    </bk>
    <bk>
      <rc t="2" v="5442"/>
    </bk>
    <bk>
      <rc t="2" v="5443"/>
    </bk>
    <bk>
      <rc t="2" v="5444"/>
    </bk>
    <bk>
      <rc t="2" v="5445"/>
    </bk>
    <bk>
      <rc t="2" v="5446"/>
    </bk>
    <bk>
      <rc t="2" v="5447"/>
    </bk>
    <bk>
      <rc t="2" v="5448"/>
    </bk>
    <bk>
      <rc t="2" v="5449"/>
    </bk>
    <bk>
      <rc t="2" v="5450"/>
    </bk>
    <bk>
      <rc t="2" v="5451"/>
    </bk>
    <bk>
      <rc t="2" v="5452"/>
    </bk>
    <bk>
      <rc t="2" v="5453"/>
    </bk>
    <bk>
      <rc t="2" v="5454"/>
    </bk>
    <bk>
      <rc t="2" v="5455"/>
    </bk>
    <bk>
      <rc t="2" v="5456"/>
    </bk>
    <bk>
      <rc t="2" v="5457"/>
    </bk>
    <bk>
      <rc t="2" v="5458"/>
    </bk>
    <bk>
      <rc t="2" v="5459"/>
    </bk>
    <bk>
      <rc t="2" v="5460"/>
    </bk>
    <bk>
      <rc t="2" v="5461"/>
    </bk>
    <bk>
      <rc t="2" v="5462"/>
    </bk>
    <bk>
      <rc t="2" v="5463"/>
    </bk>
    <bk>
      <rc t="2" v="5464"/>
    </bk>
    <bk>
      <rc t="2" v="5465"/>
    </bk>
    <bk>
      <rc t="2" v="5466"/>
    </bk>
    <bk>
      <rc t="2" v="5467"/>
    </bk>
    <bk>
      <rc t="2" v="5468"/>
    </bk>
    <bk>
      <rc t="2" v="5469"/>
    </bk>
    <bk>
      <rc t="2" v="5470"/>
    </bk>
    <bk>
      <rc t="2" v="5471"/>
    </bk>
    <bk>
      <rc t="2" v="5472"/>
    </bk>
    <bk>
      <rc t="2" v="5473"/>
    </bk>
    <bk>
      <rc t="2" v="5474"/>
    </bk>
    <bk>
      <rc t="2" v="5475"/>
    </bk>
    <bk>
      <rc t="2" v="5476"/>
    </bk>
    <bk>
      <rc t="2" v="5477"/>
    </bk>
    <bk>
      <rc t="2" v="5478"/>
    </bk>
    <bk>
      <rc t="2" v="5479"/>
    </bk>
    <bk>
      <rc t="2" v="5480"/>
    </bk>
    <bk>
      <rc t="2" v="5481"/>
    </bk>
    <bk>
      <rc t="2" v="5482"/>
    </bk>
    <bk>
      <rc t="2" v="5483"/>
    </bk>
    <bk>
      <rc t="2" v="5484"/>
    </bk>
    <bk>
      <rc t="2" v="5485"/>
    </bk>
    <bk>
      <rc t="2" v="5486"/>
    </bk>
    <bk>
      <rc t="2" v="5487"/>
    </bk>
    <bk>
      <rc t="2" v="5488"/>
    </bk>
    <bk>
      <rc t="2" v="5489"/>
    </bk>
    <bk>
      <rc t="2" v="5490"/>
    </bk>
    <bk>
      <rc t="2" v="5491"/>
    </bk>
    <bk>
      <rc t="2" v="5492"/>
    </bk>
    <bk>
      <rc t="2" v="5493"/>
    </bk>
    <bk>
      <rc t="2" v="5494"/>
    </bk>
    <bk>
      <rc t="2" v="5495"/>
    </bk>
    <bk>
      <rc t="2" v="5496"/>
    </bk>
    <bk>
      <rc t="2" v="5497"/>
    </bk>
    <bk>
      <rc t="2" v="5498"/>
    </bk>
    <bk>
      <rc t="2" v="5499"/>
    </bk>
    <bk>
      <rc t="2" v="5500"/>
    </bk>
    <bk>
      <rc t="2" v="5501"/>
    </bk>
    <bk>
      <rc t="2" v="5502"/>
    </bk>
    <bk>
      <rc t="2" v="5503"/>
    </bk>
    <bk>
      <rc t="2" v="5504"/>
    </bk>
    <bk>
      <rc t="2" v="5505"/>
    </bk>
    <bk>
      <rc t="2" v="5506"/>
    </bk>
    <bk>
      <rc t="2" v="5507"/>
    </bk>
    <bk>
      <rc t="2" v="5508"/>
    </bk>
    <bk>
      <rc t="2" v="5509"/>
    </bk>
    <bk>
      <rc t="2" v="5510"/>
    </bk>
    <bk>
      <rc t="2" v="5511"/>
    </bk>
    <bk>
      <rc t="2" v="5512"/>
    </bk>
    <bk>
      <rc t="2" v="5513"/>
    </bk>
    <bk>
      <rc t="2" v="5514"/>
    </bk>
    <bk>
      <rc t="2" v="5515"/>
    </bk>
    <bk>
      <rc t="2" v="5516"/>
    </bk>
    <bk>
      <rc t="2" v="5517"/>
    </bk>
    <bk>
      <rc t="2" v="5518"/>
    </bk>
    <bk>
      <rc t="2" v="5519"/>
    </bk>
    <bk>
      <rc t="2" v="5520"/>
    </bk>
    <bk>
      <rc t="2" v="5521"/>
    </bk>
    <bk>
      <rc t="2" v="5522"/>
    </bk>
    <bk>
      <rc t="2" v="5523"/>
    </bk>
    <bk>
      <rc t="2" v="5524"/>
    </bk>
    <bk>
      <rc t="2" v="5525"/>
    </bk>
    <bk>
      <rc t="2" v="5526"/>
    </bk>
    <bk>
      <rc t="2" v="5527"/>
    </bk>
    <bk>
      <rc t="2" v="5528"/>
    </bk>
    <bk>
      <rc t="2" v="5529"/>
    </bk>
    <bk>
      <rc t="2" v="5530"/>
    </bk>
    <bk>
      <rc t="2" v="5531"/>
    </bk>
    <bk>
      <rc t="2" v="5532"/>
    </bk>
    <bk>
      <rc t="2" v="5533"/>
    </bk>
    <bk>
      <rc t="2" v="5534"/>
    </bk>
    <bk>
      <rc t="2" v="5535"/>
    </bk>
    <bk>
      <rc t="2" v="5536"/>
    </bk>
    <bk>
      <rc t="2" v="5537"/>
    </bk>
    <bk>
      <rc t="2" v="5538"/>
    </bk>
    <bk>
      <rc t="2" v="5539"/>
    </bk>
    <bk>
      <rc t="2" v="5540"/>
    </bk>
    <bk>
      <rc t="2" v="5541"/>
    </bk>
    <bk>
      <rc t="2" v="5542"/>
    </bk>
    <bk>
      <rc t="2" v="5543"/>
    </bk>
    <bk>
      <rc t="2" v="5544"/>
    </bk>
    <bk>
      <rc t="2" v="5545"/>
    </bk>
    <bk>
      <rc t="2" v="5546"/>
    </bk>
    <bk>
      <rc t="2" v="5547"/>
    </bk>
    <bk>
      <rc t="2" v="5548"/>
    </bk>
    <bk>
      <rc t="2" v="5549"/>
    </bk>
    <bk>
      <rc t="2" v="5550"/>
    </bk>
    <bk>
      <rc t="2" v="5551"/>
    </bk>
    <bk>
      <rc t="2" v="5552"/>
    </bk>
    <bk>
      <rc t="2" v="5553"/>
    </bk>
    <bk>
      <rc t="2" v="5554"/>
    </bk>
    <bk>
      <rc t="2" v="5555"/>
    </bk>
    <bk>
      <rc t="2" v="5556"/>
    </bk>
    <bk>
      <rc t="2" v="5557"/>
    </bk>
    <bk>
      <rc t="2" v="5558"/>
    </bk>
    <bk>
      <rc t="2" v="5559"/>
    </bk>
    <bk>
      <rc t="2" v="5560"/>
    </bk>
    <bk>
      <rc t="2" v="5561"/>
    </bk>
    <bk>
      <rc t="2" v="5562"/>
    </bk>
    <bk>
      <rc t="2" v="5563"/>
    </bk>
    <bk>
      <rc t="2" v="5564"/>
    </bk>
    <bk>
      <rc t="2" v="5565"/>
    </bk>
    <bk>
      <rc t="2" v="5566"/>
    </bk>
    <bk>
      <rc t="2" v="5567"/>
    </bk>
    <bk>
      <rc t="2" v="5568"/>
    </bk>
    <bk>
      <rc t="2" v="5569"/>
    </bk>
    <bk>
      <rc t="2" v="5570"/>
    </bk>
    <bk>
      <rc t="2" v="5571"/>
    </bk>
    <bk>
      <rc t="2" v="5572"/>
    </bk>
    <bk>
      <rc t="2" v="5573"/>
    </bk>
    <bk>
      <rc t="2" v="5574"/>
    </bk>
    <bk>
      <rc t="2" v="5575"/>
    </bk>
    <bk>
      <rc t="2" v="5576"/>
    </bk>
    <bk>
      <rc t="2" v="5577"/>
    </bk>
    <bk>
      <rc t="2" v="5578"/>
    </bk>
    <bk>
      <rc t="2" v="5579"/>
    </bk>
    <bk>
      <rc t="2" v="5580"/>
    </bk>
    <bk>
      <rc t="2" v="5581"/>
    </bk>
    <bk>
      <rc t="2" v="5582"/>
    </bk>
    <bk>
      <rc t="2" v="5583"/>
    </bk>
    <bk>
      <rc t="2" v="5584"/>
    </bk>
    <bk>
      <rc t="2" v="5585"/>
    </bk>
    <bk>
      <rc t="2" v="5586"/>
    </bk>
    <bk>
      <rc t="2" v="5587"/>
    </bk>
    <bk>
      <rc t="2" v="5588"/>
    </bk>
    <bk>
      <rc t="2" v="5589"/>
    </bk>
    <bk>
      <rc t="2" v="5590"/>
    </bk>
    <bk>
      <rc t="2" v="5591"/>
    </bk>
    <bk>
      <rc t="2" v="5592"/>
    </bk>
    <bk>
      <rc t="2" v="5593"/>
    </bk>
    <bk>
      <rc t="2" v="5594"/>
    </bk>
    <bk>
      <rc t="2" v="5595"/>
    </bk>
    <bk>
      <rc t="2" v="5596"/>
    </bk>
    <bk>
      <rc t="2" v="5597"/>
    </bk>
    <bk>
      <rc t="2" v="5598"/>
    </bk>
    <bk>
      <rc t="2" v="5599"/>
    </bk>
    <bk>
      <rc t="2" v="5600"/>
    </bk>
    <bk>
      <rc t="2" v="5601"/>
    </bk>
    <bk>
      <rc t="2" v="5602"/>
    </bk>
    <bk>
      <rc t="2" v="5603"/>
    </bk>
    <bk>
      <rc t="2" v="5604"/>
    </bk>
    <bk>
      <rc t="2" v="5605"/>
    </bk>
    <bk>
      <rc t="2" v="5606"/>
    </bk>
    <bk>
      <rc t="2" v="5607"/>
    </bk>
    <bk>
      <rc t="2" v="5608"/>
    </bk>
    <bk>
      <rc t="2" v="5609"/>
    </bk>
    <bk>
      <rc t="2" v="5610"/>
    </bk>
    <bk>
      <rc t="2" v="5611"/>
    </bk>
    <bk>
      <rc t="2" v="5612"/>
    </bk>
    <bk>
      <rc t="2" v="5613"/>
    </bk>
    <bk>
      <rc t="2" v="5614"/>
    </bk>
    <bk>
      <rc t="2" v="5615"/>
    </bk>
    <bk>
      <rc t="2" v="5616"/>
    </bk>
    <bk>
      <rc t="2" v="5617"/>
    </bk>
    <bk>
      <rc t="2" v="5618"/>
    </bk>
    <bk>
      <rc t="2" v="5619"/>
    </bk>
    <bk>
      <rc t="2" v="5620"/>
    </bk>
    <bk>
      <rc t="2" v="5621"/>
    </bk>
    <bk>
      <rc t="2" v="5622"/>
    </bk>
    <bk>
      <rc t="2" v="5623"/>
    </bk>
    <bk>
      <rc t="2" v="5624"/>
    </bk>
    <bk>
      <rc t="2" v="5625"/>
    </bk>
    <bk>
      <rc t="2" v="5626"/>
    </bk>
    <bk>
      <rc t="2" v="5627"/>
    </bk>
    <bk>
      <rc t="2" v="5628"/>
    </bk>
    <bk>
      <rc t="2" v="5629"/>
    </bk>
    <bk>
      <rc t="2" v="5630"/>
    </bk>
    <bk>
      <rc t="2" v="5631"/>
    </bk>
    <bk>
      <rc t="2" v="5632"/>
    </bk>
    <bk>
      <rc t="2" v="5633"/>
    </bk>
    <bk>
      <rc t="2" v="5634"/>
    </bk>
    <bk>
      <rc t="2" v="5635"/>
    </bk>
    <bk>
      <rc t="2" v="5636"/>
    </bk>
    <bk>
      <rc t="2" v="5637"/>
    </bk>
    <bk>
      <rc t="2" v="5638"/>
    </bk>
    <bk>
      <rc t="2" v="5639"/>
    </bk>
    <bk>
      <rc t="2" v="5640"/>
    </bk>
    <bk>
      <rc t="2" v="5641"/>
    </bk>
    <bk>
      <rc t="2" v="5642"/>
    </bk>
    <bk>
      <rc t="2" v="5643"/>
    </bk>
    <bk>
      <rc t="2" v="5644"/>
    </bk>
    <bk>
      <rc t="2" v="5645"/>
    </bk>
    <bk>
      <rc t="2" v="5646"/>
    </bk>
    <bk>
      <rc t="2" v="5647"/>
    </bk>
    <bk>
      <rc t="2" v="5648"/>
    </bk>
    <bk>
      <rc t="2" v="5649"/>
    </bk>
    <bk>
      <rc t="2" v="5650"/>
    </bk>
    <bk>
      <rc t="2" v="5651"/>
    </bk>
    <bk>
      <rc t="2" v="5652"/>
    </bk>
    <bk>
      <rc t="2" v="5653"/>
    </bk>
    <bk>
      <rc t="2" v="5654"/>
    </bk>
    <bk>
      <rc t="2" v="5655"/>
    </bk>
    <bk>
      <rc t="2" v="5656"/>
    </bk>
    <bk>
      <rc t="2" v="5657"/>
    </bk>
    <bk>
      <rc t="2" v="5658"/>
    </bk>
    <bk>
      <rc t="2" v="5659"/>
    </bk>
    <bk>
      <rc t="2" v="5660"/>
    </bk>
    <bk>
      <rc t="2" v="5661"/>
    </bk>
    <bk>
      <rc t="2" v="5662"/>
    </bk>
    <bk>
      <rc t="2" v="5663"/>
    </bk>
    <bk>
      <rc t="2" v="5664"/>
    </bk>
    <bk>
      <rc t="2" v="5665"/>
    </bk>
    <bk>
      <rc t="2" v="5666"/>
    </bk>
    <bk>
      <rc t="2" v="5667"/>
    </bk>
    <bk>
      <rc t="2" v="5668"/>
    </bk>
    <bk>
      <rc t="2" v="5669"/>
    </bk>
    <bk>
      <rc t="2" v="5670"/>
    </bk>
    <bk>
      <rc t="2" v="5671"/>
    </bk>
    <bk>
      <rc t="2" v="5672"/>
    </bk>
    <bk>
      <rc t="2" v="5673"/>
    </bk>
    <bk>
      <rc t="2" v="5674"/>
    </bk>
    <bk>
      <rc t="2" v="5675"/>
    </bk>
    <bk>
      <rc t="2" v="5676"/>
    </bk>
    <bk>
      <rc t="2" v="5677"/>
    </bk>
    <bk>
      <rc t="2" v="5678"/>
    </bk>
    <bk>
      <rc t="2" v="5679"/>
    </bk>
    <bk>
      <rc t="2" v="5680"/>
    </bk>
    <bk>
      <rc t="2" v="5681"/>
    </bk>
    <bk>
      <rc t="2" v="5682"/>
    </bk>
    <bk>
      <rc t="2" v="5683"/>
    </bk>
    <bk>
      <rc t="2" v="5684"/>
    </bk>
    <bk>
      <rc t="2" v="5685"/>
    </bk>
    <bk>
      <rc t="2" v="5686"/>
    </bk>
    <bk>
      <rc t="2" v="5687"/>
    </bk>
    <bk>
      <rc t="2" v="5688"/>
    </bk>
    <bk>
      <rc t="2" v="5689"/>
    </bk>
    <bk>
      <rc t="2" v="5690"/>
    </bk>
    <bk>
      <rc t="2" v="5691"/>
    </bk>
    <bk>
      <rc t="2" v="5692"/>
    </bk>
    <bk>
      <rc t="2" v="5693"/>
    </bk>
    <bk>
      <rc t="2" v="5694"/>
    </bk>
    <bk>
      <rc t="2" v="5695"/>
    </bk>
    <bk>
      <rc t="2" v="5696"/>
    </bk>
    <bk>
      <rc t="2" v="5697"/>
    </bk>
    <bk>
      <rc t="2" v="5698"/>
    </bk>
    <bk>
      <rc t="2" v="5699"/>
    </bk>
    <bk>
      <rc t="2" v="5700"/>
    </bk>
    <bk>
      <rc t="2" v="5701"/>
    </bk>
    <bk>
      <rc t="2" v="5702"/>
    </bk>
    <bk>
      <rc t="2" v="5703"/>
    </bk>
    <bk>
      <rc t="2" v="5704"/>
    </bk>
    <bk>
      <rc t="2" v="5705"/>
    </bk>
    <bk>
      <rc t="2" v="5706"/>
    </bk>
    <bk>
      <rc t="2" v="5707"/>
    </bk>
    <bk>
      <rc t="2" v="5708"/>
    </bk>
    <bk>
      <rc t="2" v="5709"/>
    </bk>
    <bk>
      <rc t="2" v="5710"/>
    </bk>
    <bk>
      <rc t="2" v="5711"/>
    </bk>
    <bk>
      <rc t="2" v="5712"/>
    </bk>
    <bk>
      <rc t="2" v="5713"/>
    </bk>
    <bk>
      <rc t="2" v="5714"/>
    </bk>
    <bk>
      <rc t="2" v="5715"/>
    </bk>
    <bk>
      <rc t="2" v="5716"/>
    </bk>
    <bk>
      <rc t="2" v="5717"/>
    </bk>
    <bk>
      <rc t="2" v="5718"/>
    </bk>
    <bk>
      <rc t="2" v="5719"/>
    </bk>
    <bk>
      <rc t="2" v="5720"/>
    </bk>
    <bk>
      <rc t="2" v="5721"/>
    </bk>
    <bk>
      <rc t="2" v="5722"/>
    </bk>
    <bk>
      <rc t="2" v="5723"/>
    </bk>
    <bk>
      <rc t="2" v="5724"/>
    </bk>
    <bk>
      <rc t="2" v="5725"/>
    </bk>
    <bk>
      <rc t="2" v="5726"/>
    </bk>
    <bk>
      <rc t="2" v="5727"/>
    </bk>
    <bk>
      <rc t="2" v="5728"/>
    </bk>
    <bk>
      <rc t="2" v="5729"/>
    </bk>
    <bk>
      <rc t="2" v="5730"/>
    </bk>
    <bk>
      <rc t="2" v="5731"/>
    </bk>
    <bk>
      <rc t="2" v="5732"/>
    </bk>
    <bk>
      <rc t="2" v="5733"/>
    </bk>
    <bk>
      <rc t="2" v="5734"/>
    </bk>
    <bk>
      <rc t="2" v="5735"/>
    </bk>
    <bk>
      <rc t="2" v="5736"/>
    </bk>
    <bk>
      <rc t="2" v="5737"/>
    </bk>
    <bk>
      <rc t="2" v="5738"/>
    </bk>
    <bk>
      <rc t="2" v="5739"/>
    </bk>
    <bk>
      <rc t="2" v="5740"/>
    </bk>
    <bk>
      <rc t="2" v="5741"/>
    </bk>
    <bk>
      <rc t="2" v="5742"/>
    </bk>
    <bk>
      <rc t="2" v="5743"/>
    </bk>
    <bk>
      <rc t="2" v="5744"/>
    </bk>
    <bk>
      <rc t="2" v="5745"/>
    </bk>
    <bk>
      <rc t="2" v="5746"/>
    </bk>
    <bk>
      <rc t="2" v="5747"/>
    </bk>
    <bk>
      <rc t="2" v="5748"/>
    </bk>
    <bk>
      <rc t="2" v="5749"/>
    </bk>
    <bk>
      <rc t="2" v="5750"/>
    </bk>
    <bk>
      <rc t="2" v="5751"/>
    </bk>
    <bk>
      <rc t="2" v="5752"/>
    </bk>
    <bk>
      <rc t="2" v="5753"/>
    </bk>
    <bk>
      <rc t="2" v="5754"/>
    </bk>
    <bk>
      <rc t="2" v="5755"/>
    </bk>
    <bk>
      <rc t="2" v="5756"/>
    </bk>
    <bk>
      <rc t="2" v="5757"/>
    </bk>
    <bk>
      <rc t="2" v="5758"/>
    </bk>
    <bk>
      <rc t="2" v="5759"/>
    </bk>
    <bk>
      <rc t="2" v="5760"/>
    </bk>
    <bk>
      <rc t="2" v="5761"/>
    </bk>
    <bk>
      <rc t="2" v="5762"/>
    </bk>
    <bk>
      <rc t="2" v="5763"/>
    </bk>
    <bk>
      <rc t="2" v="5764"/>
    </bk>
    <bk>
      <rc t="2" v="5765"/>
    </bk>
    <bk>
      <rc t="2" v="5766"/>
    </bk>
    <bk>
      <rc t="2" v="5767"/>
    </bk>
    <bk>
      <rc t="2" v="5768"/>
    </bk>
    <bk>
      <rc t="2" v="5769"/>
    </bk>
    <bk>
      <rc t="2" v="5770"/>
    </bk>
    <bk>
      <rc t="2" v="5771"/>
    </bk>
    <bk>
      <rc t="2" v="5772"/>
    </bk>
    <bk>
      <rc t="2" v="5773"/>
    </bk>
    <bk>
      <rc t="2" v="5774"/>
    </bk>
    <bk>
      <rc t="2" v="5775"/>
    </bk>
    <bk>
      <rc t="2" v="5776"/>
    </bk>
    <bk>
      <rc t="2" v="5777"/>
    </bk>
    <bk>
      <rc t="2" v="5778"/>
    </bk>
    <bk>
      <rc t="2" v="5779"/>
    </bk>
    <bk>
      <rc t="2" v="5780"/>
    </bk>
    <bk>
      <rc t="2" v="5781"/>
    </bk>
    <bk>
      <rc t="2" v="5782"/>
    </bk>
    <bk>
      <rc t="2" v="5783"/>
    </bk>
    <bk>
      <rc t="2" v="5784"/>
    </bk>
    <bk>
      <rc t="2" v="5785"/>
    </bk>
    <bk>
      <rc t="2" v="5786"/>
    </bk>
    <bk>
      <rc t="2" v="5787"/>
    </bk>
    <bk>
      <rc t="2" v="5788"/>
    </bk>
    <bk>
      <rc t="2" v="5789"/>
    </bk>
    <bk>
      <rc t="2" v="5790"/>
    </bk>
    <bk>
      <rc t="2" v="5791"/>
    </bk>
    <bk>
      <rc t="2" v="5792"/>
    </bk>
    <bk>
      <rc t="2" v="5793"/>
    </bk>
    <bk>
      <rc t="2" v="5794"/>
    </bk>
    <bk>
      <rc t="2" v="5795"/>
    </bk>
    <bk>
      <rc t="2" v="5796"/>
    </bk>
    <bk>
      <rc t="2" v="5797"/>
    </bk>
    <bk>
      <rc t="2" v="5798"/>
    </bk>
    <bk>
      <rc t="2" v="5799"/>
    </bk>
    <bk>
      <rc t="2" v="5800"/>
    </bk>
    <bk>
      <rc t="2" v="5801"/>
    </bk>
    <bk>
      <rc t="2" v="5802"/>
    </bk>
    <bk>
      <rc t="2" v="5803"/>
    </bk>
    <bk>
      <rc t="2" v="5804"/>
    </bk>
    <bk>
      <rc t="2" v="5805"/>
    </bk>
    <bk>
      <rc t="2" v="5806"/>
    </bk>
    <bk>
      <rc t="2" v="5807"/>
    </bk>
    <bk>
      <rc t="2" v="5808"/>
    </bk>
    <bk>
      <rc t="2" v="5809"/>
    </bk>
    <bk>
      <rc t="2" v="5810"/>
    </bk>
    <bk>
      <rc t="2" v="5811"/>
    </bk>
    <bk>
      <rc t="2" v="5812"/>
    </bk>
    <bk>
      <rc t="2" v="5813"/>
    </bk>
    <bk>
      <rc t="2" v="5814"/>
    </bk>
    <bk>
      <rc t="2" v="5815"/>
    </bk>
    <bk>
      <rc t="2" v="5816"/>
    </bk>
    <bk>
      <rc t="2" v="5817"/>
    </bk>
    <bk>
      <rc t="2" v="5818"/>
    </bk>
    <bk>
      <rc t="2" v="5819"/>
    </bk>
    <bk>
      <rc t="2" v="5820"/>
    </bk>
    <bk>
      <rc t="2" v="5821"/>
    </bk>
    <bk>
      <rc t="2" v="5822"/>
    </bk>
    <bk>
      <rc t="2" v="5823"/>
    </bk>
    <bk>
      <rc t="2" v="5824"/>
    </bk>
    <bk>
      <rc t="2" v="5825"/>
    </bk>
    <bk>
      <rc t="2" v="5826"/>
    </bk>
    <bk>
      <rc t="2" v="5827"/>
    </bk>
    <bk>
      <rc t="2" v="5828"/>
    </bk>
    <bk>
      <rc t="2" v="5829"/>
    </bk>
    <bk>
      <rc t="2" v="5830"/>
    </bk>
    <bk>
      <rc t="2" v="5831"/>
    </bk>
    <bk>
      <rc t="2" v="5832"/>
    </bk>
    <bk>
      <rc t="2" v="5833"/>
    </bk>
    <bk>
      <rc t="2" v="5834"/>
    </bk>
    <bk>
      <rc t="2" v="5835"/>
    </bk>
    <bk>
      <rc t="2" v="5836"/>
    </bk>
    <bk>
      <rc t="2" v="5837"/>
    </bk>
    <bk>
      <rc t="2" v="5838"/>
    </bk>
    <bk>
      <rc t="2" v="5839"/>
    </bk>
    <bk>
      <rc t="2" v="5840"/>
    </bk>
    <bk>
      <rc t="2" v="5841"/>
    </bk>
    <bk>
      <rc t="2" v="5842"/>
    </bk>
    <bk>
      <rc t="2" v="5843"/>
    </bk>
    <bk>
      <rc t="2" v="5844"/>
    </bk>
    <bk>
      <rc t="2" v="5845"/>
    </bk>
    <bk>
      <rc t="2" v="5846"/>
    </bk>
    <bk>
      <rc t="2" v="5847"/>
    </bk>
    <bk>
      <rc t="2" v="5848"/>
    </bk>
    <bk>
      <rc t="2" v="5849"/>
    </bk>
    <bk>
      <rc t="2" v="5850"/>
    </bk>
    <bk>
      <rc t="2" v="5851"/>
    </bk>
    <bk>
      <rc t="2" v="5852"/>
    </bk>
    <bk>
      <rc t="2" v="5853"/>
    </bk>
    <bk>
      <rc t="2" v="5854"/>
    </bk>
    <bk>
      <rc t="2" v="5855"/>
    </bk>
    <bk>
      <rc t="2" v="5856"/>
    </bk>
    <bk>
      <rc t="2" v="5857"/>
    </bk>
    <bk>
      <rc t="2" v="5858"/>
    </bk>
    <bk>
      <rc t="2" v="5859"/>
    </bk>
    <bk>
      <rc t="2" v="5860"/>
    </bk>
    <bk>
      <rc t="2" v="5861"/>
    </bk>
    <bk>
      <rc t="2" v="5862"/>
    </bk>
    <bk>
      <rc t="2" v="5863"/>
    </bk>
    <bk>
      <rc t="2" v="5864"/>
    </bk>
    <bk>
      <rc t="2" v="5865"/>
    </bk>
    <bk>
      <rc t="2" v="5866"/>
    </bk>
    <bk>
      <rc t="2" v="5867"/>
    </bk>
    <bk>
      <rc t="2" v="5868"/>
    </bk>
    <bk>
      <rc t="2" v="5869"/>
    </bk>
    <bk>
      <rc t="2" v="5870"/>
    </bk>
    <bk>
      <rc t="2" v="5871"/>
    </bk>
    <bk>
      <rc t="2" v="5872"/>
    </bk>
    <bk>
      <rc t="2" v="5873"/>
    </bk>
    <bk>
      <rc t="2" v="5874"/>
    </bk>
    <bk>
      <rc t="2" v="5875"/>
    </bk>
    <bk>
      <rc t="2" v="5876"/>
    </bk>
    <bk>
      <rc t="2" v="5877"/>
    </bk>
    <bk>
      <rc t="2" v="5878"/>
    </bk>
    <bk>
      <rc t="2" v="5879"/>
    </bk>
    <bk>
      <rc t="2" v="5880"/>
    </bk>
    <bk>
      <rc t="2" v="5881"/>
    </bk>
    <bk>
      <rc t="2" v="5882"/>
    </bk>
    <bk>
      <rc t="2" v="5883"/>
    </bk>
    <bk>
      <rc t="2" v="5884"/>
    </bk>
    <bk>
      <rc t="2" v="5885"/>
    </bk>
    <bk>
      <rc t="2" v="5886"/>
    </bk>
    <bk>
      <rc t="2" v="5887"/>
    </bk>
    <bk>
      <rc t="2" v="5888"/>
    </bk>
    <bk>
      <rc t="2" v="5889"/>
    </bk>
    <bk>
      <rc t="2" v="5890"/>
    </bk>
    <bk>
      <rc t="2" v="5891"/>
    </bk>
    <bk>
      <rc t="2" v="5892"/>
    </bk>
    <bk>
      <rc t="2" v="5893"/>
    </bk>
    <bk>
      <rc t="2" v="5894"/>
    </bk>
    <bk>
      <rc t="2" v="5895"/>
    </bk>
    <bk>
      <rc t="2" v="5896"/>
    </bk>
    <bk>
      <rc t="2" v="5897"/>
    </bk>
    <bk>
      <rc t="2" v="5898"/>
    </bk>
    <bk>
      <rc t="2" v="5899"/>
    </bk>
    <bk>
      <rc t="2" v="5900"/>
    </bk>
    <bk>
      <rc t="2" v="5901"/>
    </bk>
    <bk>
      <rc t="2" v="5902"/>
    </bk>
    <bk>
      <rc t="2" v="5903"/>
    </bk>
    <bk>
      <rc t="2" v="5904"/>
    </bk>
    <bk>
      <rc t="2" v="5905"/>
    </bk>
    <bk>
      <rc t="2" v="5906"/>
    </bk>
    <bk>
      <rc t="2" v="5907"/>
    </bk>
    <bk>
      <rc t="2" v="5908"/>
    </bk>
    <bk>
      <rc t="2" v="5909"/>
    </bk>
    <bk>
      <rc t="2" v="5910"/>
    </bk>
    <bk>
      <rc t="2" v="5911"/>
    </bk>
    <bk>
      <rc t="2" v="5912"/>
    </bk>
    <bk>
      <rc t="2" v="5913"/>
    </bk>
    <bk>
      <rc t="2" v="5914"/>
    </bk>
    <bk>
      <rc t="2" v="5915"/>
    </bk>
    <bk>
      <rc t="2" v="5916"/>
    </bk>
    <bk>
      <rc t="2" v="5917"/>
    </bk>
    <bk>
      <rc t="2" v="5918"/>
    </bk>
    <bk>
      <rc t="2" v="5919"/>
    </bk>
    <bk>
      <rc t="2" v="5920"/>
    </bk>
    <bk>
      <rc t="2" v="5921"/>
    </bk>
    <bk>
      <rc t="2" v="5922"/>
    </bk>
    <bk>
      <rc t="2" v="5923"/>
    </bk>
    <bk>
      <rc t="2" v="5924"/>
    </bk>
    <bk>
      <rc t="2" v="5925"/>
    </bk>
    <bk>
      <rc t="2" v="5926"/>
    </bk>
    <bk>
      <rc t="2" v="5927"/>
    </bk>
    <bk>
      <rc t="2" v="5928"/>
    </bk>
    <bk>
      <rc t="2" v="5929"/>
    </bk>
    <bk>
      <rc t="2" v="5930"/>
    </bk>
    <bk>
      <rc t="2" v="5931"/>
    </bk>
    <bk>
      <rc t="2" v="5932"/>
    </bk>
    <bk>
      <rc t="2" v="5933"/>
    </bk>
    <bk>
      <rc t="2" v="5934"/>
    </bk>
    <bk>
      <rc t="2" v="5935"/>
    </bk>
    <bk>
      <rc t="2" v="5936"/>
    </bk>
    <bk>
      <rc t="2" v="5937"/>
    </bk>
    <bk>
      <rc t="2" v="5938"/>
    </bk>
    <bk>
      <rc t="2" v="5939"/>
    </bk>
    <bk>
      <rc t="2" v="5940"/>
    </bk>
    <bk>
      <rc t="2" v="5941"/>
    </bk>
    <bk>
      <rc t="2" v="5942"/>
    </bk>
    <bk>
      <rc t="2" v="5943"/>
    </bk>
    <bk>
      <rc t="2" v="5944"/>
    </bk>
    <bk>
      <rc t="2" v="5945"/>
    </bk>
    <bk>
      <rc t="2" v="5946"/>
    </bk>
    <bk>
      <rc t="2" v="5947"/>
    </bk>
    <bk>
      <rc t="2" v="5948"/>
    </bk>
    <bk>
      <rc t="2" v="5949"/>
    </bk>
    <bk>
      <rc t="2" v="5950"/>
    </bk>
    <bk>
      <rc t="2" v="5951"/>
    </bk>
    <bk>
      <rc t="2" v="5952"/>
    </bk>
    <bk>
      <rc t="2" v="5953"/>
    </bk>
    <bk>
      <rc t="2" v="5954"/>
    </bk>
    <bk>
      <rc t="2" v="5955"/>
    </bk>
    <bk>
      <rc t="2" v="5956"/>
    </bk>
    <bk>
      <rc t="2" v="5957"/>
    </bk>
    <bk>
      <rc t="2" v="5958"/>
    </bk>
    <bk>
      <rc t="2" v="5959"/>
    </bk>
    <bk>
      <rc t="2" v="5960"/>
    </bk>
    <bk>
      <rc t="2" v="5961"/>
    </bk>
    <bk>
      <rc t="2" v="5962"/>
    </bk>
    <bk>
      <rc t="2" v="5963"/>
    </bk>
    <bk>
      <rc t="2" v="5964"/>
    </bk>
    <bk>
      <rc t="2" v="5965"/>
    </bk>
    <bk>
      <rc t="2" v="5966"/>
    </bk>
    <bk>
      <rc t="2" v="5967"/>
    </bk>
    <bk>
      <rc t="2" v="5968"/>
    </bk>
    <bk>
      <rc t="2" v="5969"/>
    </bk>
    <bk>
      <rc t="2" v="5970"/>
    </bk>
    <bk>
      <rc t="2" v="5971"/>
    </bk>
    <bk>
      <rc t="2" v="5972"/>
    </bk>
    <bk>
      <rc t="2" v="5973"/>
    </bk>
    <bk>
      <rc t="2" v="5974"/>
    </bk>
    <bk>
      <rc t="2" v="5975"/>
    </bk>
    <bk>
      <rc t="2" v="5976"/>
    </bk>
    <bk>
      <rc t="2" v="5977"/>
    </bk>
    <bk>
      <rc t="2" v="5978"/>
    </bk>
    <bk>
      <rc t="2" v="5979"/>
    </bk>
    <bk>
      <rc t="2" v="5980"/>
    </bk>
    <bk>
      <rc t="2" v="5981"/>
    </bk>
    <bk>
      <rc t="2" v="5982"/>
    </bk>
    <bk>
      <rc t="2" v="5983"/>
    </bk>
    <bk>
      <rc t="2" v="5984"/>
    </bk>
    <bk>
      <rc t="2" v="5985"/>
    </bk>
    <bk>
      <rc t="2" v="5986"/>
    </bk>
    <bk>
      <rc t="2" v="5987"/>
    </bk>
    <bk>
      <rc t="2" v="5988"/>
    </bk>
    <bk>
      <rc t="2" v="5989"/>
    </bk>
    <bk>
      <rc t="2" v="5990"/>
    </bk>
    <bk>
      <rc t="2" v="5991"/>
    </bk>
    <bk>
      <rc t="2" v="5992"/>
    </bk>
    <bk>
      <rc t="2" v="5993"/>
    </bk>
    <bk>
      <rc t="2" v="5994"/>
    </bk>
    <bk>
      <rc t="2" v="5995"/>
    </bk>
    <bk>
      <rc t="2" v="5996"/>
    </bk>
    <bk>
      <rc t="2" v="5997"/>
    </bk>
    <bk>
      <rc t="2" v="5998"/>
    </bk>
    <bk>
      <rc t="2" v="5999"/>
    </bk>
    <bk>
      <rc t="2" v="6000"/>
    </bk>
    <bk>
      <rc t="2" v="6001"/>
    </bk>
    <bk>
      <rc t="2" v="6002"/>
    </bk>
    <bk>
      <rc t="2" v="6003"/>
    </bk>
    <bk>
      <rc t="2" v="6004"/>
    </bk>
    <bk>
      <rc t="2" v="6005"/>
    </bk>
    <bk>
      <rc t="2" v="6006"/>
    </bk>
    <bk>
      <rc t="2" v="6007"/>
    </bk>
    <bk>
      <rc t="2" v="6008"/>
    </bk>
    <bk>
      <rc t="2" v="6009"/>
    </bk>
    <bk>
      <rc t="2" v="6010"/>
    </bk>
    <bk>
      <rc t="2" v="6011"/>
    </bk>
    <bk>
      <rc t="2" v="6012"/>
    </bk>
    <bk>
      <rc t="2" v="6013"/>
    </bk>
    <bk>
      <rc t="2" v="6014"/>
    </bk>
    <bk>
      <rc t="2" v="6015"/>
    </bk>
    <bk>
      <rc t="2" v="6016"/>
    </bk>
    <bk>
      <rc t="2" v="6017"/>
    </bk>
    <bk>
      <rc t="2" v="6018"/>
    </bk>
    <bk>
      <rc t="2" v="6019"/>
    </bk>
    <bk>
      <rc t="2" v="6020"/>
    </bk>
    <bk>
      <rc t="2" v="6021"/>
    </bk>
    <bk>
      <rc t="2" v="6022"/>
    </bk>
    <bk>
      <rc t="2" v="6023"/>
    </bk>
    <bk>
      <rc t="2" v="6024"/>
    </bk>
    <bk>
      <rc t="2" v="6025"/>
    </bk>
    <bk>
      <rc t="2" v="6026"/>
    </bk>
    <bk>
      <rc t="2" v="6027"/>
    </bk>
    <bk>
      <rc t="2" v="6028"/>
    </bk>
    <bk>
      <rc t="2" v="6029"/>
    </bk>
    <bk>
      <rc t="2" v="6030"/>
    </bk>
    <bk>
      <rc t="2" v="6031"/>
    </bk>
    <bk>
      <rc t="2" v="6032"/>
    </bk>
    <bk>
      <rc t="2" v="6033"/>
    </bk>
    <bk>
      <rc t="2" v="6034"/>
    </bk>
    <bk>
      <rc t="2" v="6035"/>
    </bk>
    <bk>
      <rc t="2" v="6036"/>
    </bk>
    <bk>
      <rc t="2" v="6037"/>
    </bk>
    <bk>
      <rc t="2" v="6038"/>
    </bk>
    <bk>
      <rc t="2" v="6039"/>
    </bk>
    <bk>
      <rc t="2" v="6040"/>
    </bk>
    <bk>
      <rc t="2" v="6041"/>
    </bk>
    <bk>
      <rc t="2" v="6042"/>
    </bk>
    <bk>
      <rc t="2" v="6043"/>
    </bk>
    <bk>
      <rc t="2" v="6044"/>
    </bk>
    <bk>
      <rc t="2" v="6045"/>
    </bk>
    <bk>
      <rc t="2" v="6046"/>
    </bk>
    <bk>
      <rc t="2" v="6047"/>
    </bk>
    <bk>
      <rc t="2" v="6048"/>
    </bk>
    <bk>
      <rc t="2" v="6049"/>
    </bk>
    <bk>
      <rc t="2" v="6050"/>
    </bk>
    <bk>
      <rc t="2" v="6051"/>
    </bk>
    <bk>
      <rc t="2" v="6052"/>
    </bk>
    <bk>
      <rc t="2" v="6053"/>
    </bk>
    <bk>
      <rc t="2" v="6054"/>
    </bk>
    <bk>
      <rc t="2" v="6055"/>
    </bk>
    <bk>
      <rc t="2" v="6056"/>
    </bk>
    <bk>
      <rc t="2" v="6057"/>
    </bk>
    <bk>
      <rc t="2" v="6058"/>
    </bk>
    <bk>
      <rc t="2" v="6059"/>
    </bk>
    <bk>
      <rc t="2" v="6060"/>
    </bk>
    <bk>
      <rc t="2" v="6061"/>
    </bk>
    <bk>
      <rc t="2" v="6062"/>
    </bk>
    <bk>
      <rc t="2" v="6063"/>
    </bk>
    <bk>
      <rc t="2" v="6064"/>
    </bk>
    <bk>
      <rc t="2" v="6065"/>
    </bk>
    <bk>
      <rc t="2" v="6066"/>
    </bk>
    <bk>
      <rc t="2" v="6067"/>
    </bk>
    <bk>
      <rc t="2" v="6068"/>
    </bk>
    <bk>
      <rc t="2" v="6069"/>
    </bk>
    <bk>
      <rc t="2" v="6070"/>
    </bk>
    <bk>
      <rc t="2" v="6071"/>
    </bk>
    <bk>
      <rc t="2" v="6072"/>
    </bk>
    <bk>
      <rc t="2" v="6073"/>
    </bk>
    <bk>
      <rc t="2" v="6074"/>
    </bk>
    <bk>
      <rc t="2" v="6075"/>
    </bk>
    <bk>
      <rc t="2" v="6076"/>
    </bk>
    <bk>
      <rc t="2" v="6077"/>
    </bk>
    <bk>
      <rc t="2" v="6078"/>
    </bk>
    <bk>
      <rc t="2" v="6079"/>
    </bk>
    <bk>
      <rc t="2" v="6080"/>
    </bk>
    <bk>
      <rc t="2" v="6081"/>
    </bk>
    <bk>
      <rc t="2" v="6082"/>
    </bk>
    <bk>
      <rc t="2" v="6083"/>
    </bk>
    <bk>
      <rc t="2" v="6084"/>
    </bk>
    <bk>
      <rc t="2" v="6085"/>
    </bk>
    <bk>
      <rc t="2" v="6086"/>
    </bk>
    <bk>
      <rc t="2" v="6087"/>
    </bk>
    <bk>
      <rc t="2" v="6088"/>
    </bk>
    <bk>
      <rc t="2" v="6089"/>
    </bk>
    <bk>
      <rc t="2" v="6090"/>
    </bk>
    <bk>
      <rc t="2" v="6091"/>
    </bk>
    <bk>
      <rc t="2" v="6092"/>
    </bk>
    <bk>
      <rc t="2" v="6093"/>
    </bk>
    <bk>
      <rc t="2" v="6094"/>
    </bk>
    <bk>
      <rc t="2" v="6095"/>
    </bk>
    <bk>
      <rc t="2" v="6096"/>
    </bk>
    <bk>
      <rc t="2" v="6097"/>
    </bk>
    <bk>
      <rc t="2" v="6098"/>
    </bk>
    <bk>
      <rc t="2" v="6099"/>
    </bk>
    <bk>
      <rc t="2" v="6100"/>
    </bk>
    <bk>
      <rc t="2" v="6101"/>
    </bk>
    <bk>
      <rc t="2" v="6102"/>
    </bk>
    <bk>
      <rc t="2" v="6103"/>
    </bk>
    <bk>
      <rc t="2" v="6104"/>
    </bk>
    <bk>
      <rc t="2" v="6105"/>
    </bk>
    <bk>
      <rc t="2" v="6106"/>
    </bk>
    <bk>
      <rc t="2" v="6107"/>
    </bk>
    <bk>
      <rc t="2" v="6108"/>
    </bk>
    <bk>
      <rc t="2" v="6109"/>
    </bk>
    <bk>
      <rc t="2" v="6110"/>
    </bk>
    <bk>
      <rc t="2" v="6111"/>
    </bk>
    <bk>
      <rc t="2" v="6112"/>
    </bk>
    <bk>
      <rc t="2" v="6113"/>
    </bk>
    <bk>
      <rc t="2" v="6114"/>
    </bk>
    <bk>
      <rc t="2" v="6115"/>
    </bk>
    <bk>
      <rc t="2" v="6116"/>
    </bk>
    <bk>
      <rc t="2" v="6117"/>
    </bk>
    <bk>
      <rc t="2" v="6118"/>
    </bk>
    <bk>
      <rc t="2" v="6119"/>
    </bk>
    <bk>
      <rc t="2" v="6120"/>
    </bk>
    <bk>
      <rc t="2" v="6121"/>
    </bk>
    <bk>
      <rc t="2" v="6122"/>
    </bk>
    <bk>
      <rc t="2" v="6123"/>
    </bk>
    <bk>
      <rc t="2" v="6124"/>
    </bk>
    <bk>
      <rc t="2" v="6125"/>
    </bk>
    <bk>
      <rc t="2" v="6126"/>
    </bk>
    <bk>
      <rc t="2" v="6127"/>
    </bk>
    <bk>
      <rc t="2" v="6128"/>
    </bk>
    <bk>
      <rc t="2" v="6129"/>
    </bk>
    <bk>
      <rc t="2" v="6130"/>
    </bk>
    <bk>
      <rc t="2" v="6131"/>
    </bk>
    <bk>
      <rc t="2" v="6132"/>
    </bk>
    <bk>
      <rc t="2" v="6133"/>
    </bk>
    <bk>
      <rc t="2" v="6134"/>
    </bk>
    <bk>
      <rc t="2" v="6135"/>
    </bk>
    <bk>
      <rc t="2" v="6136"/>
    </bk>
    <bk>
      <rc t="2" v="6137"/>
    </bk>
    <bk>
      <rc t="2" v="6138"/>
    </bk>
    <bk>
      <rc t="2" v="6139"/>
    </bk>
    <bk>
      <rc t="2" v="6140"/>
    </bk>
    <bk>
      <rc t="2" v="6141"/>
    </bk>
    <bk>
      <rc t="2" v="6142"/>
    </bk>
    <bk>
      <rc t="2" v="6143"/>
    </bk>
    <bk>
      <rc t="2" v="6144"/>
    </bk>
    <bk>
      <rc t="2" v="6145"/>
    </bk>
    <bk>
      <rc t="2" v="6146"/>
    </bk>
    <bk>
      <rc t="2" v="6147"/>
    </bk>
    <bk>
      <rc t="2" v="6148"/>
    </bk>
    <bk>
      <rc t="2" v="6149"/>
    </bk>
    <bk>
      <rc t="2" v="6150"/>
    </bk>
    <bk>
      <rc t="2" v="6151"/>
    </bk>
    <bk>
      <rc t="2" v="6152"/>
    </bk>
    <bk>
      <rc t="2" v="6153"/>
    </bk>
    <bk>
      <rc t="2" v="6154"/>
    </bk>
    <bk>
      <rc t="2" v="6155"/>
    </bk>
    <bk>
      <rc t="2" v="6156"/>
    </bk>
    <bk>
      <rc t="2" v="6157"/>
    </bk>
    <bk>
      <rc t="2" v="6158"/>
    </bk>
    <bk>
      <rc t="2" v="6159"/>
    </bk>
    <bk>
      <rc t="2" v="6160"/>
    </bk>
    <bk>
      <rc t="2" v="6161"/>
    </bk>
    <bk>
      <rc t="2" v="6162"/>
    </bk>
    <bk>
      <rc t="2" v="6163"/>
    </bk>
    <bk>
      <rc t="2" v="6164"/>
    </bk>
    <bk>
      <rc t="2" v="6165"/>
    </bk>
    <bk>
      <rc t="2" v="6166"/>
    </bk>
    <bk>
      <rc t="2" v="6167"/>
    </bk>
    <bk>
      <rc t="2" v="6168"/>
    </bk>
    <bk>
      <rc t="2" v="6169"/>
    </bk>
    <bk>
      <rc t="2" v="6170"/>
    </bk>
    <bk>
      <rc t="2" v="6171"/>
    </bk>
    <bk>
      <rc t="2" v="6172"/>
    </bk>
    <bk>
      <rc t="2" v="6173"/>
    </bk>
    <bk>
      <rc t="2" v="6174"/>
    </bk>
    <bk>
      <rc t="2" v="6175"/>
    </bk>
    <bk>
      <rc t="2" v="6176"/>
    </bk>
    <bk>
      <rc t="2" v="6177"/>
    </bk>
    <bk>
      <rc t="2" v="6178"/>
    </bk>
    <bk>
      <rc t="2" v="6179"/>
    </bk>
    <bk>
      <rc t="2" v="6180"/>
    </bk>
    <bk>
      <rc t="2" v="6181"/>
    </bk>
    <bk>
      <rc t="2" v="6182"/>
    </bk>
    <bk>
      <rc t="2" v="6183"/>
    </bk>
    <bk>
      <rc t="2" v="6184"/>
    </bk>
    <bk>
      <rc t="2" v="6185"/>
    </bk>
    <bk>
      <rc t="2" v="6186"/>
    </bk>
    <bk>
      <rc t="2" v="6187"/>
    </bk>
    <bk>
      <rc t="2" v="6188"/>
    </bk>
    <bk>
      <rc t="2" v="6189"/>
    </bk>
    <bk>
      <rc t="2" v="6190"/>
    </bk>
    <bk>
      <rc t="2" v="6191"/>
    </bk>
    <bk>
      <rc t="2" v="6192"/>
    </bk>
    <bk>
      <rc t="2" v="6193"/>
    </bk>
    <bk>
      <rc t="2" v="6194"/>
    </bk>
    <bk>
      <rc t="2" v="6195"/>
    </bk>
    <bk>
      <rc t="2" v="6196"/>
    </bk>
    <bk>
      <rc t="2" v="6197"/>
    </bk>
    <bk>
      <rc t="2" v="6198"/>
    </bk>
    <bk>
      <rc t="2" v="6199"/>
    </bk>
    <bk>
      <rc t="2" v="6200"/>
    </bk>
    <bk>
      <rc t="2" v="6201"/>
    </bk>
    <bk>
      <rc t="2" v="6202"/>
    </bk>
    <bk>
      <rc t="2" v="6203"/>
    </bk>
    <bk>
      <rc t="2" v="6204"/>
    </bk>
    <bk>
      <rc t="2" v="6205"/>
    </bk>
    <bk>
      <rc t="2" v="6206"/>
    </bk>
    <bk>
      <rc t="2" v="6207"/>
    </bk>
    <bk>
      <rc t="2" v="6208"/>
    </bk>
    <bk>
      <rc t="2" v="6209"/>
    </bk>
    <bk>
      <rc t="2" v="6210"/>
    </bk>
    <bk>
      <rc t="2" v="6211"/>
    </bk>
    <bk>
      <rc t="2" v="6212"/>
    </bk>
    <bk>
      <rc t="2" v="6213"/>
    </bk>
    <bk>
      <rc t="2" v="6214"/>
    </bk>
    <bk>
      <rc t="2" v="6215"/>
    </bk>
    <bk>
      <rc t="2" v="6216"/>
    </bk>
    <bk>
      <rc t="2" v="6217"/>
    </bk>
    <bk>
      <rc t="2" v="6218"/>
    </bk>
    <bk>
      <rc t="2" v="6219"/>
    </bk>
    <bk>
      <rc t="2" v="6220"/>
    </bk>
    <bk>
      <rc t="2" v="6221"/>
    </bk>
    <bk>
      <rc t="2" v="6222"/>
    </bk>
    <bk>
      <rc t="2" v="6223"/>
    </bk>
    <bk>
      <rc t="2" v="6224"/>
    </bk>
    <bk>
      <rc t="2" v="6225"/>
    </bk>
    <bk>
      <rc t="2" v="6226"/>
    </bk>
    <bk>
      <rc t="2" v="6227"/>
    </bk>
    <bk>
      <rc t="2" v="6228"/>
    </bk>
    <bk>
      <rc t="2" v="6229"/>
    </bk>
    <bk>
      <rc t="2" v="6230"/>
    </bk>
    <bk>
      <rc t="2" v="6231"/>
    </bk>
    <bk>
      <rc t="2" v="6232"/>
    </bk>
    <bk>
      <rc t="2" v="6233"/>
    </bk>
    <bk>
      <rc t="2" v="6234"/>
    </bk>
    <bk>
      <rc t="2" v="6235"/>
    </bk>
    <bk>
      <rc t="2" v="6236"/>
    </bk>
    <bk>
      <rc t="2" v="6237"/>
    </bk>
    <bk>
      <rc t="2" v="6238"/>
    </bk>
    <bk>
      <rc t="2" v="6239"/>
    </bk>
    <bk>
      <rc t="2" v="6240"/>
    </bk>
    <bk>
      <rc t="2" v="6241"/>
    </bk>
    <bk>
      <rc t="2" v="6242"/>
    </bk>
    <bk>
      <rc t="2" v="6243"/>
    </bk>
    <bk>
      <rc t="2" v="6244"/>
    </bk>
    <bk>
      <rc t="2" v="6245"/>
    </bk>
    <bk>
      <rc t="2" v="6246"/>
    </bk>
    <bk>
      <rc t="2" v="6247"/>
    </bk>
    <bk>
      <rc t="2" v="6248"/>
    </bk>
    <bk>
      <rc t="2" v="6249"/>
    </bk>
    <bk>
      <rc t="2" v="6250"/>
    </bk>
    <bk>
      <rc t="2" v="6251"/>
    </bk>
    <bk>
      <rc t="2" v="6252"/>
    </bk>
    <bk>
      <rc t="2" v="6253"/>
    </bk>
    <bk>
      <rc t="2" v="6254"/>
    </bk>
    <bk>
      <rc t="2" v="6255"/>
    </bk>
    <bk>
      <rc t="2" v="6256"/>
    </bk>
    <bk>
      <rc t="2" v="6257"/>
    </bk>
    <bk>
      <rc t="2" v="6258"/>
    </bk>
    <bk>
      <rc t="2" v="6259"/>
    </bk>
    <bk>
      <rc t="2" v="6260"/>
    </bk>
    <bk>
      <rc t="2" v="6261"/>
    </bk>
    <bk>
      <rc t="2" v="6262"/>
    </bk>
    <bk>
      <rc t="2" v="6263"/>
    </bk>
    <bk>
      <rc t="2" v="6264"/>
    </bk>
    <bk>
      <rc t="2" v="6265"/>
    </bk>
    <bk>
      <rc t="2" v="6266"/>
    </bk>
    <bk>
      <rc t="2" v="6267"/>
    </bk>
    <bk>
      <rc t="2" v="6268"/>
    </bk>
    <bk>
      <rc t="2" v="6269"/>
    </bk>
    <bk>
      <rc t="2" v="6270"/>
    </bk>
    <bk>
      <rc t="2" v="6271"/>
    </bk>
    <bk>
      <rc t="2" v="6272"/>
    </bk>
    <bk>
      <rc t="2" v="6273"/>
    </bk>
    <bk>
      <rc t="2" v="6274"/>
    </bk>
    <bk>
      <rc t="2" v="6275"/>
    </bk>
    <bk>
      <rc t="2" v="6276"/>
    </bk>
    <bk>
      <rc t="2" v="6277"/>
    </bk>
    <bk>
      <rc t="2" v="6278"/>
    </bk>
    <bk>
      <rc t="2" v="6279"/>
    </bk>
    <bk>
      <rc t="2" v="6280"/>
    </bk>
    <bk>
      <rc t="2" v="6281"/>
    </bk>
    <bk>
      <rc t="2" v="6282"/>
    </bk>
    <bk>
      <rc t="2" v="6283"/>
    </bk>
    <bk>
      <rc t="2" v="6284"/>
    </bk>
    <bk>
      <rc t="2" v="6285"/>
    </bk>
    <bk>
      <rc t="2" v="6286"/>
    </bk>
    <bk>
      <rc t="2" v="6287"/>
    </bk>
    <bk>
      <rc t="2" v="6288"/>
    </bk>
    <bk>
      <rc t="2" v="6289"/>
    </bk>
    <bk>
      <rc t="2" v="6290"/>
    </bk>
    <bk>
      <rc t="2" v="6291"/>
    </bk>
    <bk>
      <rc t="2" v="6292"/>
    </bk>
    <bk>
      <rc t="2" v="6293"/>
    </bk>
    <bk>
      <rc t="2" v="6294"/>
    </bk>
    <bk>
      <rc t="2" v="6295"/>
    </bk>
    <bk>
      <rc t="2" v="6296"/>
    </bk>
    <bk>
      <rc t="2" v="6297"/>
    </bk>
    <bk>
      <rc t="2" v="6298"/>
    </bk>
    <bk>
      <rc t="2" v="6299"/>
    </bk>
    <bk>
      <rc t="2" v="6300"/>
    </bk>
    <bk>
      <rc t="2" v="6301"/>
    </bk>
    <bk>
      <rc t="2" v="6302"/>
    </bk>
    <bk>
      <rc t="2" v="6303"/>
    </bk>
    <bk>
      <rc t="2" v="6304"/>
    </bk>
    <bk>
      <rc t="2" v="6305"/>
    </bk>
    <bk>
      <rc t="2" v="6306"/>
    </bk>
    <bk>
      <rc t="2" v="6307"/>
    </bk>
    <bk>
      <rc t="2" v="6308"/>
    </bk>
    <bk>
      <rc t="2" v="6309"/>
    </bk>
    <bk>
      <rc t="2" v="6310"/>
    </bk>
    <bk>
      <rc t="2" v="6311"/>
    </bk>
    <bk>
      <rc t="2" v="6312"/>
    </bk>
    <bk>
      <rc t="2" v="6313"/>
    </bk>
    <bk>
      <rc t="2" v="6314"/>
    </bk>
    <bk>
      <rc t="2" v="6315"/>
    </bk>
    <bk>
      <rc t="2" v="6316"/>
    </bk>
    <bk>
      <rc t="2" v="6317"/>
    </bk>
    <bk>
      <rc t="2" v="6318"/>
    </bk>
    <bk>
      <rc t="2" v="6319"/>
    </bk>
    <bk>
      <rc t="2" v="6320"/>
    </bk>
    <bk>
      <rc t="2" v="6321"/>
    </bk>
    <bk>
      <rc t="2" v="6322"/>
    </bk>
    <bk>
      <rc t="2" v="6323"/>
    </bk>
    <bk>
      <rc t="2" v="6324"/>
    </bk>
    <bk>
      <rc t="2" v="6325"/>
    </bk>
    <bk>
      <rc t="2" v="6326"/>
    </bk>
    <bk>
      <rc t="2" v="6327"/>
    </bk>
    <bk>
      <rc t="2" v="6328"/>
    </bk>
    <bk>
      <rc t="2" v="6329"/>
    </bk>
    <bk>
      <rc t="2" v="6330"/>
    </bk>
    <bk>
      <rc t="2" v="6331"/>
    </bk>
    <bk>
      <rc t="2" v="6332"/>
    </bk>
    <bk>
      <rc t="2" v="6333"/>
    </bk>
    <bk>
      <rc t="2" v="6334"/>
    </bk>
    <bk>
      <rc t="2" v="6335"/>
    </bk>
    <bk>
      <rc t="2" v="6336"/>
    </bk>
    <bk>
      <rc t="2" v="6337"/>
    </bk>
    <bk>
      <rc t="2" v="6338"/>
    </bk>
    <bk>
      <rc t="2" v="6339"/>
    </bk>
    <bk>
      <rc t="2" v="6340"/>
    </bk>
    <bk>
      <rc t="2" v="6341"/>
    </bk>
    <bk>
      <rc t="2" v="6342"/>
    </bk>
    <bk>
      <rc t="2" v="6343"/>
    </bk>
    <bk>
      <rc t="2" v="6344"/>
    </bk>
    <bk>
      <rc t="2" v="6345"/>
    </bk>
    <bk>
      <rc t="2" v="6346"/>
    </bk>
    <bk>
      <rc t="2" v="6347"/>
    </bk>
    <bk>
      <rc t="2" v="6348"/>
    </bk>
    <bk>
      <rc t="2" v="6349"/>
    </bk>
    <bk>
      <rc t="2" v="6350"/>
    </bk>
    <bk>
      <rc t="2" v="6351"/>
    </bk>
    <bk>
      <rc t="2" v="6352"/>
    </bk>
    <bk>
      <rc t="2" v="6353"/>
    </bk>
    <bk>
      <rc t="2" v="6354"/>
    </bk>
    <bk>
      <rc t="2" v="6355"/>
    </bk>
    <bk>
      <rc t="2" v="6356"/>
    </bk>
    <bk>
      <rc t="2" v="6357"/>
    </bk>
    <bk>
      <rc t="2" v="6358"/>
    </bk>
    <bk>
      <rc t="2" v="6359"/>
    </bk>
    <bk>
      <rc t="2" v="6360"/>
    </bk>
    <bk>
      <rc t="2" v="6361"/>
    </bk>
    <bk>
      <rc t="2" v="6362"/>
    </bk>
    <bk>
      <rc t="2" v="6363"/>
    </bk>
    <bk>
      <rc t="2" v="6364"/>
    </bk>
    <bk>
      <rc t="2" v="6365"/>
    </bk>
    <bk>
      <rc t="2" v="6366"/>
    </bk>
    <bk>
      <rc t="2" v="6367"/>
    </bk>
    <bk>
      <rc t="2" v="6368"/>
    </bk>
    <bk>
      <rc t="2" v="6369"/>
    </bk>
    <bk>
      <rc t="2" v="6370"/>
    </bk>
    <bk>
      <rc t="2" v="6371"/>
    </bk>
    <bk>
      <rc t="2" v="6372"/>
    </bk>
    <bk>
      <rc t="2" v="6373"/>
    </bk>
    <bk>
      <rc t="2" v="6374"/>
    </bk>
    <bk>
      <rc t="2" v="6375"/>
    </bk>
    <bk>
      <rc t="2" v="6376"/>
    </bk>
    <bk>
      <rc t="2" v="6377"/>
    </bk>
    <bk>
      <rc t="2" v="6378"/>
    </bk>
    <bk>
      <rc t="2" v="6379"/>
    </bk>
    <bk>
      <rc t="2" v="6380"/>
    </bk>
    <bk>
      <rc t="2" v="6381"/>
    </bk>
    <bk>
      <rc t="2" v="6382"/>
    </bk>
    <bk>
      <rc t="2" v="6383"/>
    </bk>
    <bk>
      <rc t="2" v="6384"/>
    </bk>
    <bk>
      <rc t="2" v="6385"/>
    </bk>
    <bk>
      <rc t="2" v="6386"/>
    </bk>
    <bk>
      <rc t="2" v="6387"/>
    </bk>
    <bk>
      <rc t="2" v="6388"/>
    </bk>
    <bk>
      <rc t="2" v="6389"/>
    </bk>
    <bk>
      <rc t="2" v="6390"/>
    </bk>
    <bk>
      <rc t="2" v="6391"/>
    </bk>
    <bk>
      <rc t="2" v="6392"/>
    </bk>
    <bk>
      <rc t="2" v="6393"/>
    </bk>
    <bk>
      <rc t="2" v="6394"/>
    </bk>
    <bk>
      <rc t="2" v="6395"/>
    </bk>
    <bk>
      <rc t="2" v="6396"/>
    </bk>
    <bk>
      <rc t="2" v="6397"/>
    </bk>
    <bk>
      <rc t="2" v="6398"/>
    </bk>
    <bk>
      <rc t="2" v="6399"/>
    </bk>
    <bk>
      <rc t="2" v="6400"/>
    </bk>
    <bk>
      <rc t="2" v="6401"/>
    </bk>
    <bk>
      <rc t="2" v="6402"/>
    </bk>
    <bk>
      <rc t="2" v="6403"/>
    </bk>
    <bk>
      <rc t="2" v="6404"/>
    </bk>
    <bk>
      <rc t="2" v="6405"/>
    </bk>
    <bk>
      <rc t="2" v="6406"/>
    </bk>
    <bk>
      <rc t="2" v="6407"/>
    </bk>
    <bk>
      <rc t="2" v="6408"/>
    </bk>
    <bk>
      <rc t="2" v="6409"/>
    </bk>
    <bk>
      <rc t="2" v="6410"/>
    </bk>
    <bk>
      <rc t="2" v="6411"/>
    </bk>
    <bk>
      <rc t="2" v="6412"/>
    </bk>
    <bk>
      <rc t="2" v="6413"/>
    </bk>
    <bk>
      <rc t="2" v="6414"/>
    </bk>
    <bk>
      <rc t="2" v="6415"/>
    </bk>
    <bk>
      <rc t="2" v="6416"/>
    </bk>
    <bk>
      <rc t="2" v="6417"/>
    </bk>
    <bk>
      <rc t="2" v="6418"/>
    </bk>
    <bk>
      <rc t="2" v="6419"/>
    </bk>
    <bk>
      <rc t="2" v="6420"/>
    </bk>
    <bk>
      <rc t="2" v="6421"/>
    </bk>
    <bk>
      <rc t="2" v="6422"/>
    </bk>
    <bk>
      <rc t="2" v="6423"/>
    </bk>
    <bk>
      <rc t="2" v="6424"/>
    </bk>
    <bk>
      <rc t="2" v="6425"/>
    </bk>
    <bk>
      <rc t="2" v="6426"/>
    </bk>
    <bk>
      <rc t="2" v="6427"/>
    </bk>
    <bk>
      <rc t="2" v="6428"/>
    </bk>
    <bk>
      <rc t="2" v="6429"/>
    </bk>
    <bk>
      <rc t="2" v="6430"/>
    </bk>
    <bk>
      <rc t="2" v="6431"/>
    </bk>
    <bk>
      <rc t="2" v="6432"/>
    </bk>
    <bk>
      <rc t="2" v="6433"/>
    </bk>
    <bk>
      <rc t="2" v="6434"/>
    </bk>
    <bk>
      <rc t="2" v="6435"/>
    </bk>
    <bk>
      <rc t="2" v="6436"/>
    </bk>
    <bk>
      <rc t="2" v="6437"/>
    </bk>
    <bk>
      <rc t="2" v="6438"/>
    </bk>
    <bk>
      <rc t="2" v="6439"/>
    </bk>
    <bk>
      <rc t="2" v="6440"/>
    </bk>
    <bk>
      <rc t="2" v="6441"/>
    </bk>
    <bk>
      <rc t="2" v="6442"/>
    </bk>
    <bk>
      <rc t="2" v="6443"/>
    </bk>
    <bk>
      <rc t="2" v="6444"/>
    </bk>
    <bk>
      <rc t="2" v="6445"/>
    </bk>
    <bk>
      <rc t="2" v="6446"/>
    </bk>
    <bk>
      <rc t="2" v="6447"/>
    </bk>
    <bk>
      <rc t="2" v="6448"/>
    </bk>
    <bk>
      <rc t="2" v="6449"/>
    </bk>
    <bk>
      <rc t="2" v="6450"/>
    </bk>
    <bk>
      <rc t="2" v="6451"/>
    </bk>
    <bk>
      <rc t="2" v="6452"/>
    </bk>
    <bk>
      <rc t="2" v="6453"/>
    </bk>
    <bk>
      <rc t="2" v="6454"/>
    </bk>
    <bk>
      <rc t="2" v="6455"/>
    </bk>
    <bk>
      <rc t="2" v="6456"/>
    </bk>
    <bk>
      <rc t="2" v="6457"/>
    </bk>
    <bk>
      <rc t="2" v="6458"/>
    </bk>
    <bk>
      <rc t="2" v="6459"/>
    </bk>
    <bk>
      <rc t="2" v="6460"/>
    </bk>
    <bk>
      <rc t="2" v="6461"/>
    </bk>
    <bk>
      <rc t="2" v="6462"/>
    </bk>
    <bk>
      <rc t="2" v="6463"/>
    </bk>
    <bk>
      <rc t="2" v="6464"/>
    </bk>
    <bk>
      <rc t="2" v="6465"/>
    </bk>
    <bk>
      <rc t="2" v="6466"/>
    </bk>
    <bk>
      <rc t="2" v="6467"/>
    </bk>
    <bk>
      <rc t="2" v="6468"/>
    </bk>
    <bk>
      <rc t="2" v="6469"/>
    </bk>
    <bk>
      <rc t="2" v="6470"/>
    </bk>
    <bk>
      <rc t="2" v="6471"/>
    </bk>
    <bk>
      <rc t="2" v="6472"/>
    </bk>
    <bk>
      <rc t="2" v="6473"/>
    </bk>
    <bk>
      <rc t="2" v="6474"/>
    </bk>
    <bk>
      <rc t="2" v="6475"/>
    </bk>
    <bk>
      <rc t="2" v="6476"/>
    </bk>
    <bk>
      <rc t="2" v="6477"/>
    </bk>
    <bk>
      <rc t="2" v="6478"/>
    </bk>
    <bk>
      <rc t="2" v="6479"/>
    </bk>
    <bk>
      <rc t="2" v="6480"/>
    </bk>
    <bk>
      <rc t="2" v="6481"/>
    </bk>
    <bk>
      <rc t="2" v="6482"/>
    </bk>
    <bk>
      <rc t="2" v="6483"/>
    </bk>
    <bk>
      <rc t="2" v="6484"/>
    </bk>
    <bk>
      <rc t="2" v="6485"/>
    </bk>
    <bk>
      <rc t="2" v="6486"/>
    </bk>
    <bk>
      <rc t="2" v="6487"/>
    </bk>
    <bk>
      <rc t="2" v="6488"/>
    </bk>
    <bk>
      <rc t="2" v="6489"/>
    </bk>
    <bk>
      <rc t="2" v="6490"/>
    </bk>
    <bk>
      <rc t="2" v="6491"/>
    </bk>
    <bk>
      <rc t="2" v="6492"/>
    </bk>
    <bk>
      <rc t="2" v="6493"/>
    </bk>
    <bk>
      <rc t="2" v="6494"/>
    </bk>
    <bk>
      <rc t="2" v="6495"/>
    </bk>
    <bk>
      <rc t="2" v="6496"/>
    </bk>
    <bk>
      <rc t="2" v="6497"/>
    </bk>
    <bk>
      <rc t="2" v="6498"/>
    </bk>
    <bk>
      <rc t="2" v="6499"/>
    </bk>
    <bk>
      <rc t="2" v="6500"/>
    </bk>
    <bk>
      <rc t="2" v="6501"/>
    </bk>
    <bk>
      <rc t="2" v="6502"/>
    </bk>
    <bk>
      <rc t="2" v="6503"/>
    </bk>
    <bk>
      <rc t="2" v="6504"/>
    </bk>
    <bk>
      <rc t="2" v="6505"/>
    </bk>
    <bk>
      <rc t="2" v="6506"/>
    </bk>
    <bk>
      <rc t="2" v="6507"/>
    </bk>
    <bk>
      <rc t="2" v="6508"/>
    </bk>
    <bk>
      <rc t="2" v="6509"/>
    </bk>
    <bk>
      <rc t="2" v="6510"/>
    </bk>
    <bk>
      <rc t="2" v="6511"/>
    </bk>
    <bk>
      <rc t="2" v="6512"/>
    </bk>
    <bk>
      <rc t="2" v="6513"/>
    </bk>
    <bk>
      <rc t="2" v="6514"/>
    </bk>
    <bk>
      <rc t="2" v="6515"/>
    </bk>
    <bk>
      <rc t="2" v="6516"/>
    </bk>
    <bk>
      <rc t="2" v="6517"/>
    </bk>
    <bk>
      <rc t="2" v="6518"/>
    </bk>
    <bk>
      <rc t="2" v="6519"/>
    </bk>
    <bk>
      <rc t="2" v="6520"/>
    </bk>
    <bk>
      <rc t="2" v="6521"/>
    </bk>
    <bk>
      <rc t="2" v="6522"/>
    </bk>
    <bk>
      <rc t="2" v="6523"/>
    </bk>
    <bk>
      <rc t="2" v="6524"/>
    </bk>
    <bk>
      <rc t="2" v="6525"/>
    </bk>
    <bk>
      <rc t="2" v="6526"/>
    </bk>
    <bk>
      <rc t="2" v="6527"/>
    </bk>
    <bk>
      <rc t="2" v="6528"/>
    </bk>
    <bk>
      <rc t="2" v="6529"/>
    </bk>
    <bk>
      <rc t="2" v="6530"/>
    </bk>
    <bk>
      <rc t="2" v="6531"/>
    </bk>
    <bk>
      <rc t="2" v="6532"/>
    </bk>
    <bk>
      <rc t="2" v="6533"/>
    </bk>
    <bk>
      <rc t="2" v="6534"/>
    </bk>
    <bk>
      <rc t="2" v="6535"/>
    </bk>
    <bk>
      <rc t="2" v="6536"/>
    </bk>
    <bk>
      <rc t="2" v="6537"/>
    </bk>
    <bk>
      <rc t="2" v="6538"/>
    </bk>
    <bk>
      <rc t="2" v="6539"/>
    </bk>
    <bk>
      <rc t="2" v="6540"/>
    </bk>
    <bk>
      <rc t="2" v="6541"/>
    </bk>
    <bk>
      <rc t="2" v="6542"/>
    </bk>
    <bk>
      <rc t="2" v="6543"/>
    </bk>
    <bk>
      <rc t="2" v="6544"/>
    </bk>
    <bk>
      <rc t="2" v="6545"/>
    </bk>
    <bk>
      <rc t="2" v="6546"/>
    </bk>
    <bk>
      <rc t="2" v="6547"/>
    </bk>
    <bk>
      <rc t="2" v="6548"/>
    </bk>
    <bk>
      <rc t="2" v="6549"/>
    </bk>
    <bk>
      <rc t="2" v="6550"/>
    </bk>
    <bk>
      <rc t="2" v="6551"/>
    </bk>
    <bk>
      <rc t="2" v="6552"/>
    </bk>
    <bk>
      <rc t="2" v="6553"/>
    </bk>
    <bk>
      <rc t="2" v="6554"/>
    </bk>
    <bk>
      <rc t="2" v="6555"/>
    </bk>
    <bk>
      <rc t="2" v="6556"/>
    </bk>
    <bk>
      <rc t="2" v="6557"/>
    </bk>
    <bk>
      <rc t="2" v="6558"/>
    </bk>
    <bk>
      <rc t="2" v="6559"/>
    </bk>
    <bk>
      <rc t="2" v="6560"/>
    </bk>
    <bk>
      <rc t="2" v="6561"/>
    </bk>
    <bk>
      <rc t="2" v="6562"/>
    </bk>
    <bk>
      <rc t="2" v="6563"/>
    </bk>
    <bk>
      <rc t="2" v="6564"/>
    </bk>
    <bk>
      <rc t="2" v="6565"/>
    </bk>
    <bk>
      <rc t="2" v="6566"/>
    </bk>
    <bk>
      <rc t="2" v="6567"/>
    </bk>
    <bk>
      <rc t="2" v="6568"/>
    </bk>
    <bk>
      <rc t="2" v="6569"/>
    </bk>
    <bk>
      <rc t="2" v="6570"/>
    </bk>
    <bk>
      <rc t="2" v="6571"/>
    </bk>
    <bk>
      <rc t="2" v="6572"/>
    </bk>
    <bk>
      <rc t="2" v="6573"/>
    </bk>
    <bk>
      <rc t="2" v="6574"/>
    </bk>
    <bk>
      <rc t="2" v="6575"/>
    </bk>
    <bk>
      <rc t="2" v="6576"/>
    </bk>
    <bk>
      <rc t="2" v="6577"/>
    </bk>
    <bk>
      <rc t="2" v="6578"/>
    </bk>
    <bk>
      <rc t="2" v="6579"/>
    </bk>
    <bk>
      <rc t="2" v="6580"/>
    </bk>
    <bk>
      <rc t="2" v="6581"/>
    </bk>
    <bk>
      <rc t="2" v="6582"/>
    </bk>
    <bk>
      <rc t="2" v="6583"/>
    </bk>
    <bk>
      <rc t="2" v="6584"/>
    </bk>
    <bk>
      <rc t="2" v="6585"/>
    </bk>
    <bk>
      <rc t="2" v="6586"/>
    </bk>
    <bk>
      <rc t="2" v="6587"/>
    </bk>
    <bk>
      <rc t="2" v="6588"/>
    </bk>
    <bk>
      <rc t="2" v="6589"/>
    </bk>
    <bk>
      <rc t="2" v="6590"/>
    </bk>
    <bk>
      <rc t="2" v="6591"/>
    </bk>
    <bk>
      <rc t="2" v="6592"/>
    </bk>
    <bk>
      <rc t="2" v="6593"/>
    </bk>
    <bk>
      <rc t="2" v="6594"/>
    </bk>
    <bk>
      <rc t="2" v="6595"/>
    </bk>
    <bk>
      <rc t="2" v="6596"/>
    </bk>
    <bk>
      <rc t="2" v="6597"/>
    </bk>
    <bk>
      <rc t="2" v="6598"/>
    </bk>
    <bk>
      <rc t="2" v="6599"/>
    </bk>
    <bk>
      <rc t="2" v="6600"/>
    </bk>
    <bk>
      <rc t="2" v="6601"/>
    </bk>
    <bk>
      <rc t="2" v="6602"/>
    </bk>
    <bk>
      <rc t="2" v="6603"/>
    </bk>
    <bk>
      <rc t="2" v="6604"/>
    </bk>
    <bk>
      <rc t="2" v="6605"/>
    </bk>
    <bk>
      <rc t="2" v="6606"/>
    </bk>
    <bk>
      <rc t="2" v="6607"/>
    </bk>
    <bk>
      <rc t="2" v="6608"/>
    </bk>
    <bk>
      <rc t="2" v="6609"/>
    </bk>
    <bk>
      <rc t="2" v="6610"/>
    </bk>
    <bk>
      <rc t="2" v="6611"/>
    </bk>
    <bk>
      <rc t="2" v="6612"/>
    </bk>
    <bk>
      <rc t="2" v="6613"/>
    </bk>
    <bk>
      <rc t="2" v="6614"/>
    </bk>
    <bk>
      <rc t="2" v="6615"/>
    </bk>
    <bk>
      <rc t="2" v="6616"/>
    </bk>
    <bk>
      <rc t="2" v="6617"/>
    </bk>
    <bk>
      <rc t="2" v="6618"/>
    </bk>
    <bk>
      <rc t="2" v="6619"/>
    </bk>
    <bk>
      <rc t="2" v="6620"/>
    </bk>
    <bk>
      <rc t="2" v="6621"/>
    </bk>
    <bk>
      <rc t="2" v="6622"/>
    </bk>
    <bk>
      <rc t="2" v="6623"/>
    </bk>
    <bk>
      <rc t="2" v="6624"/>
    </bk>
    <bk>
      <rc t="2" v="6625"/>
    </bk>
    <bk>
      <rc t="2" v="6626"/>
    </bk>
    <bk>
      <rc t="2" v="6627"/>
    </bk>
    <bk>
      <rc t="2" v="6628"/>
    </bk>
    <bk>
      <rc t="2" v="6629"/>
    </bk>
    <bk>
      <rc t="2" v="6630"/>
    </bk>
    <bk>
      <rc t="2" v="6631"/>
    </bk>
    <bk>
      <rc t="2" v="6632"/>
    </bk>
    <bk>
      <rc t="2" v="6633"/>
    </bk>
    <bk>
      <rc t="2" v="6634"/>
    </bk>
    <bk>
      <rc t="2" v="6635"/>
    </bk>
    <bk>
      <rc t="2" v="6636"/>
    </bk>
    <bk>
      <rc t="2" v="6637"/>
    </bk>
    <bk>
      <rc t="2" v="6638"/>
    </bk>
    <bk>
      <rc t="2" v="6639"/>
    </bk>
    <bk>
      <rc t="2" v="6640"/>
    </bk>
    <bk>
      <rc t="2" v="6641"/>
    </bk>
    <bk>
      <rc t="2" v="6642"/>
    </bk>
    <bk>
      <rc t="2" v="6643"/>
    </bk>
    <bk>
      <rc t="2" v="6644"/>
    </bk>
    <bk>
      <rc t="2" v="6645"/>
    </bk>
    <bk>
      <rc t="2" v="6646"/>
    </bk>
    <bk>
      <rc t="2" v="6647"/>
    </bk>
    <bk>
      <rc t="2" v="6648"/>
    </bk>
    <bk>
      <rc t="2" v="6649"/>
    </bk>
    <bk>
      <rc t="2" v="6650"/>
    </bk>
    <bk>
      <rc t="2" v="6651"/>
    </bk>
    <bk>
      <rc t="2" v="6652"/>
    </bk>
    <bk>
      <rc t="2" v="6653"/>
    </bk>
    <bk>
      <rc t="2" v="6654"/>
    </bk>
    <bk>
      <rc t="2" v="6655"/>
    </bk>
    <bk>
      <rc t="2" v="6656"/>
    </bk>
    <bk>
      <rc t="2" v="6657"/>
    </bk>
    <bk>
      <rc t="2" v="6658"/>
    </bk>
    <bk>
      <rc t="2" v="6659"/>
    </bk>
    <bk>
      <rc t="2" v="6660"/>
    </bk>
    <bk>
      <rc t="2" v="6661"/>
    </bk>
    <bk>
      <rc t="2" v="6662"/>
    </bk>
    <bk>
      <rc t="2" v="6663"/>
    </bk>
    <bk>
      <rc t="2" v="6664"/>
    </bk>
    <bk>
      <rc t="2" v="6665"/>
    </bk>
    <bk>
      <rc t="2" v="6666"/>
    </bk>
    <bk>
      <rc t="2" v="6667"/>
    </bk>
    <bk>
      <rc t="2" v="6668"/>
    </bk>
    <bk>
      <rc t="2" v="6669"/>
    </bk>
    <bk>
      <rc t="2" v="6670"/>
    </bk>
    <bk>
      <rc t="2" v="6671"/>
    </bk>
    <bk>
      <rc t="2" v="6672"/>
    </bk>
    <bk>
      <rc t="2" v="6673"/>
    </bk>
    <bk>
      <rc t="2" v="6674"/>
    </bk>
    <bk>
      <rc t="2" v="6675"/>
    </bk>
    <bk>
      <rc t="2" v="6676"/>
    </bk>
    <bk>
      <rc t="2" v="6677"/>
    </bk>
    <bk>
      <rc t="2" v="6678"/>
    </bk>
    <bk>
      <rc t="2" v="6679"/>
    </bk>
    <bk>
      <rc t="2" v="6680"/>
    </bk>
    <bk>
      <rc t="2" v="6681"/>
    </bk>
    <bk>
      <rc t="2" v="6682"/>
    </bk>
    <bk>
      <rc t="2" v="6683"/>
    </bk>
    <bk>
      <rc t="2" v="6684"/>
    </bk>
    <bk>
      <rc t="2" v="6685"/>
    </bk>
    <bk>
      <rc t="2" v="6686"/>
    </bk>
    <bk>
      <rc t="2" v="6687"/>
    </bk>
    <bk>
      <rc t="2" v="6688"/>
    </bk>
    <bk>
      <rc t="2" v="6689"/>
    </bk>
    <bk>
      <rc t="2" v="6690"/>
    </bk>
    <bk>
      <rc t="2" v="6691"/>
    </bk>
    <bk>
      <rc t="2" v="6692"/>
    </bk>
    <bk>
      <rc t="2" v="6693"/>
    </bk>
    <bk>
      <rc t="2" v="6694"/>
    </bk>
    <bk>
      <rc t="2" v="6695"/>
    </bk>
    <bk>
      <rc t="2" v="6696"/>
    </bk>
    <bk>
      <rc t="2" v="6697"/>
    </bk>
    <bk>
      <rc t="2" v="6698"/>
    </bk>
    <bk>
      <rc t="2" v="6699"/>
    </bk>
    <bk>
      <rc t="2" v="6700"/>
    </bk>
    <bk>
      <rc t="2" v="6701"/>
    </bk>
    <bk>
      <rc t="2" v="6702"/>
    </bk>
    <bk>
      <rc t="2" v="6703"/>
    </bk>
    <bk>
      <rc t="2" v="6704"/>
    </bk>
    <bk>
      <rc t="2" v="6705"/>
    </bk>
    <bk>
      <rc t="2" v="6706"/>
    </bk>
    <bk>
      <rc t="2" v="6707"/>
    </bk>
    <bk>
      <rc t="2" v="6708"/>
    </bk>
    <bk>
      <rc t="2" v="6709"/>
    </bk>
    <bk>
      <rc t="2" v="6710"/>
    </bk>
    <bk>
      <rc t="2" v="6711"/>
    </bk>
    <bk>
      <rc t="2" v="6712"/>
    </bk>
    <bk>
      <rc t="2" v="6713"/>
    </bk>
    <bk>
      <rc t="2" v="6714"/>
    </bk>
    <bk>
      <rc t="2" v="6715"/>
    </bk>
    <bk>
      <rc t="2" v="6716"/>
    </bk>
    <bk>
      <rc t="2" v="6717"/>
    </bk>
    <bk>
      <rc t="2" v="6718"/>
    </bk>
    <bk>
      <rc t="2" v="6719"/>
    </bk>
    <bk>
      <rc t="2" v="6720"/>
    </bk>
    <bk>
      <rc t="2" v="6721"/>
    </bk>
    <bk>
      <rc t="2" v="6722"/>
    </bk>
    <bk>
      <rc t="2" v="6723"/>
    </bk>
    <bk>
      <rc t="2" v="6724"/>
    </bk>
    <bk>
      <rc t="2" v="6725"/>
    </bk>
    <bk>
      <rc t="2" v="6726"/>
    </bk>
    <bk>
      <rc t="2" v="6727"/>
    </bk>
    <bk>
      <rc t="2" v="6728"/>
    </bk>
    <bk>
      <rc t="2" v="6729"/>
    </bk>
    <bk>
      <rc t="2" v="6730"/>
    </bk>
    <bk>
      <rc t="2" v="6731"/>
    </bk>
    <bk>
      <rc t="2" v="6732"/>
    </bk>
    <bk>
      <rc t="2" v="6733"/>
    </bk>
    <bk>
      <rc t="2" v="6734"/>
    </bk>
    <bk>
      <rc t="2" v="6735"/>
    </bk>
    <bk>
      <rc t="2" v="6736"/>
    </bk>
    <bk>
      <rc t="2" v="6737"/>
    </bk>
    <bk>
      <rc t="2" v="6738"/>
    </bk>
    <bk>
      <rc t="2" v="6739"/>
    </bk>
    <bk>
      <rc t="2" v="6740"/>
    </bk>
    <bk>
      <rc t="2" v="6741"/>
    </bk>
    <bk>
      <rc t="2" v="6742"/>
    </bk>
    <bk>
      <rc t="2" v="6743"/>
    </bk>
    <bk>
      <rc t="2" v="6744"/>
    </bk>
    <bk>
      <rc t="2" v="6745"/>
    </bk>
    <bk>
      <rc t="2" v="6746"/>
    </bk>
    <bk>
      <rc t="2" v="6747"/>
    </bk>
    <bk>
      <rc t="2" v="6748"/>
    </bk>
    <bk>
      <rc t="2" v="6749"/>
    </bk>
    <bk>
      <rc t="2" v="6750"/>
    </bk>
    <bk>
      <rc t="2" v="6751"/>
    </bk>
    <bk>
      <rc t="2" v="6752"/>
    </bk>
    <bk>
      <rc t="2" v="6753"/>
    </bk>
    <bk>
      <rc t="2" v="6754"/>
    </bk>
    <bk>
      <rc t="2" v="6755"/>
    </bk>
    <bk>
      <rc t="2" v="6756"/>
    </bk>
    <bk>
      <rc t="2" v="6757"/>
    </bk>
    <bk>
      <rc t="2" v="6758"/>
    </bk>
    <bk>
      <rc t="2" v="6759"/>
    </bk>
    <bk>
      <rc t="2" v="6760"/>
    </bk>
    <bk>
      <rc t="2" v="6761"/>
    </bk>
    <bk>
      <rc t="2" v="6762"/>
    </bk>
    <bk>
      <rc t="2" v="6763"/>
    </bk>
    <bk>
      <rc t="2" v="6764"/>
    </bk>
    <bk>
      <rc t="2" v="6765"/>
    </bk>
    <bk>
      <rc t="2" v="6766"/>
    </bk>
    <bk>
      <rc t="2" v="6767"/>
    </bk>
    <bk>
      <rc t="2" v="6768"/>
    </bk>
    <bk>
      <rc t="2" v="6769"/>
    </bk>
    <bk>
      <rc t="2" v="6770"/>
    </bk>
    <bk>
      <rc t="2" v="6771"/>
    </bk>
    <bk>
      <rc t="2" v="6772"/>
    </bk>
    <bk>
      <rc t="2" v="6773"/>
    </bk>
    <bk>
      <rc t="2" v="6774"/>
    </bk>
    <bk>
      <rc t="2" v="6775"/>
    </bk>
    <bk>
      <rc t="2" v="6776"/>
    </bk>
    <bk>
      <rc t="2" v="6777"/>
    </bk>
    <bk>
      <rc t="2" v="6778"/>
    </bk>
    <bk>
      <rc t="2" v="6779"/>
    </bk>
    <bk>
      <rc t="2" v="6780"/>
    </bk>
    <bk>
      <rc t="2" v="6781"/>
    </bk>
    <bk>
      <rc t="2" v="6782"/>
    </bk>
    <bk>
      <rc t="2" v="6783"/>
    </bk>
    <bk>
      <rc t="2" v="6784"/>
    </bk>
    <bk>
      <rc t="2" v="6785"/>
    </bk>
    <bk>
      <rc t="2" v="6786"/>
    </bk>
    <bk>
      <rc t="2" v="6787"/>
    </bk>
    <bk>
      <rc t="2" v="6788"/>
    </bk>
    <bk>
      <rc t="2" v="6789"/>
    </bk>
    <bk>
      <rc t="2" v="6790"/>
    </bk>
    <bk>
      <rc t="2" v="6791"/>
    </bk>
    <bk>
      <rc t="2" v="6792"/>
    </bk>
    <bk>
      <rc t="2" v="6793"/>
    </bk>
    <bk>
      <rc t="2" v="6794"/>
    </bk>
    <bk>
      <rc t="2" v="6795"/>
    </bk>
    <bk>
      <rc t="2" v="6796"/>
    </bk>
    <bk>
      <rc t="2" v="6797"/>
    </bk>
    <bk>
      <rc t="2" v="6798"/>
    </bk>
    <bk>
      <rc t="2" v="6799"/>
    </bk>
    <bk>
      <rc t="2" v="6800"/>
    </bk>
    <bk>
      <rc t="2" v="6801"/>
    </bk>
    <bk>
      <rc t="2" v="6802"/>
    </bk>
    <bk>
      <rc t="2" v="6803"/>
    </bk>
    <bk>
      <rc t="2" v="6804"/>
    </bk>
    <bk>
      <rc t="2" v="6805"/>
    </bk>
    <bk>
      <rc t="2" v="6806"/>
    </bk>
    <bk>
      <rc t="2" v="6807"/>
    </bk>
    <bk>
      <rc t="2" v="6808"/>
    </bk>
    <bk>
      <rc t="2" v="6809"/>
    </bk>
    <bk>
      <rc t="2" v="6810"/>
    </bk>
    <bk>
      <rc t="2" v="6811"/>
    </bk>
    <bk>
      <rc t="2" v="6812"/>
    </bk>
    <bk>
      <rc t="2" v="6813"/>
    </bk>
    <bk>
      <rc t="2" v="6814"/>
    </bk>
    <bk>
      <rc t="2" v="6815"/>
    </bk>
    <bk>
      <rc t="2" v="6816"/>
    </bk>
    <bk>
      <rc t="2" v="6817"/>
    </bk>
    <bk>
      <rc t="2" v="6818"/>
    </bk>
    <bk>
      <rc t="2" v="6819"/>
    </bk>
    <bk>
      <rc t="2" v="6820"/>
    </bk>
    <bk>
      <rc t="2" v="6821"/>
    </bk>
    <bk>
      <rc t="2" v="6822"/>
    </bk>
    <bk>
      <rc t="2" v="6823"/>
    </bk>
    <bk>
      <rc t="2" v="6824"/>
    </bk>
    <bk>
      <rc t="2" v="6825"/>
    </bk>
    <bk>
      <rc t="2" v="6826"/>
    </bk>
    <bk>
      <rc t="2" v="6827"/>
    </bk>
    <bk>
      <rc t="2" v="6828"/>
    </bk>
    <bk>
      <rc t="2" v="6829"/>
    </bk>
    <bk>
      <rc t="2" v="6830"/>
    </bk>
    <bk>
      <rc t="2" v="6831"/>
    </bk>
    <bk>
      <rc t="2" v="6832"/>
    </bk>
    <bk>
      <rc t="2" v="6833"/>
    </bk>
    <bk>
      <rc t="2" v="6834"/>
    </bk>
    <bk>
      <rc t="2" v="6835"/>
    </bk>
    <bk>
      <rc t="2" v="6836"/>
    </bk>
    <bk>
      <rc t="2" v="6837"/>
    </bk>
    <bk>
      <rc t="2" v="6838"/>
    </bk>
    <bk>
      <rc t="2" v="6839"/>
    </bk>
    <bk>
      <rc t="2" v="6840"/>
    </bk>
    <bk>
      <rc t="2" v="6841"/>
    </bk>
    <bk>
      <rc t="2" v="6842"/>
    </bk>
    <bk>
      <rc t="2" v="6843"/>
    </bk>
    <bk>
      <rc t="2" v="6844"/>
    </bk>
    <bk>
      <rc t="2" v="6845"/>
    </bk>
    <bk>
      <rc t="2" v="6846"/>
    </bk>
    <bk>
      <rc t="2" v="6847"/>
    </bk>
    <bk>
      <rc t="2" v="6848"/>
    </bk>
    <bk>
      <rc t="2" v="6849"/>
    </bk>
    <bk>
      <rc t="2" v="6850"/>
    </bk>
    <bk>
      <rc t="2" v="6851"/>
    </bk>
    <bk>
      <rc t="2" v="6852"/>
    </bk>
    <bk>
      <rc t="2" v="6853"/>
    </bk>
    <bk>
      <rc t="2" v="6854"/>
    </bk>
    <bk>
      <rc t="2" v="6855"/>
    </bk>
    <bk>
      <rc t="2" v="6856"/>
    </bk>
    <bk>
      <rc t="2" v="6857"/>
    </bk>
    <bk>
      <rc t="2" v="6858"/>
    </bk>
    <bk>
      <rc t="2" v="6859"/>
    </bk>
    <bk>
      <rc t="2" v="6860"/>
    </bk>
    <bk>
      <rc t="2" v="6861"/>
    </bk>
    <bk>
      <rc t="2" v="6862"/>
    </bk>
    <bk>
      <rc t="2" v="6863"/>
    </bk>
    <bk>
      <rc t="2" v="6864"/>
    </bk>
    <bk>
      <rc t="2" v="6865"/>
    </bk>
    <bk>
      <rc t="2" v="6866"/>
    </bk>
    <bk>
      <rc t="2" v="6867"/>
    </bk>
    <bk>
      <rc t="2" v="6868"/>
    </bk>
    <bk>
      <rc t="2" v="6869"/>
    </bk>
    <bk>
      <rc t="2" v="6870"/>
    </bk>
    <bk>
      <rc t="2" v="6871"/>
    </bk>
    <bk>
      <rc t="2" v="6872"/>
    </bk>
    <bk>
      <rc t="2" v="6873"/>
    </bk>
    <bk>
      <rc t="2" v="6874"/>
    </bk>
    <bk>
      <rc t="2" v="6875"/>
    </bk>
    <bk>
      <rc t="2" v="6876"/>
    </bk>
    <bk>
      <rc t="2" v="6877"/>
    </bk>
    <bk>
      <rc t="2" v="6878"/>
    </bk>
    <bk>
      <rc t="2" v="6879"/>
    </bk>
    <bk>
      <rc t="2" v="6880"/>
    </bk>
    <bk>
      <rc t="2" v="6881"/>
    </bk>
    <bk>
      <rc t="2" v="6882"/>
    </bk>
    <bk>
      <rc t="2" v="6883"/>
    </bk>
    <bk>
      <rc t="2" v="6884"/>
    </bk>
    <bk>
      <rc t="2" v="6885"/>
    </bk>
    <bk>
      <rc t="2" v="6886"/>
    </bk>
    <bk>
      <rc t="2" v="6887"/>
    </bk>
    <bk>
      <rc t="2" v="6888"/>
    </bk>
    <bk>
      <rc t="2" v="6889"/>
    </bk>
    <bk>
      <rc t="2" v="6890"/>
    </bk>
    <bk>
      <rc t="2" v="6891"/>
    </bk>
    <bk>
      <rc t="2" v="6892"/>
    </bk>
    <bk>
      <rc t="2" v="6893"/>
    </bk>
    <bk>
      <rc t="2" v="6894"/>
    </bk>
    <bk>
      <rc t="2" v="6895"/>
    </bk>
    <bk>
      <rc t="2" v="6896"/>
    </bk>
    <bk>
      <rc t="2" v="6897"/>
    </bk>
    <bk>
      <rc t="2" v="6898"/>
    </bk>
    <bk>
      <rc t="2" v="6899"/>
    </bk>
    <bk>
      <rc t="2" v="6900"/>
    </bk>
    <bk>
      <rc t="2" v="6901"/>
    </bk>
    <bk>
      <rc t="2" v="6902"/>
    </bk>
    <bk>
      <rc t="2" v="6903"/>
    </bk>
    <bk>
      <rc t="2" v="6904"/>
    </bk>
    <bk>
      <rc t="2" v="6905"/>
    </bk>
    <bk>
      <rc t="2" v="6906"/>
    </bk>
    <bk>
      <rc t="2" v="6907"/>
    </bk>
    <bk>
      <rc t="2" v="6908"/>
    </bk>
    <bk>
      <rc t="2" v="6909"/>
    </bk>
    <bk>
      <rc t="2" v="6910"/>
    </bk>
    <bk>
      <rc t="2" v="6911"/>
    </bk>
    <bk>
      <rc t="2" v="6912"/>
    </bk>
    <bk>
      <rc t="2" v="6913"/>
    </bk>
    <bk>
      <rc t="2" v="6914"/>
    </bk>
    <bk>
      <rc t="2" v="6915"/>
    </bk>
    <bk>
      <rc t="2" v="6916"/>
    </bk>
    <bk>
      <rc t="2" v="6917"/>
    </bk>
    <bk>
      <rc t="2" v="6918"/>
    </bk>
    <bk>
      <rc t="2" v="6919"/>
    </bk>
    <bk>
      <rc t="2" v="6920"/>
    </bk>
    <bk>
      <rc t="2" v="6921"/>
    </bk>
    <bk>
      <rc t="2" v="6922"/>
    </bk>
    <bk>
      <rc t="2" v="6923"/>
    </bk>
    <bk>
      <rc t="2" v="6924"/>
    </bk>
    <bk>
      <rc t="2" v="6925"/>
    </bk>
    <bk>
      <rc t="2" v="6926"/>
    </bk>
    <bk>
      <rc t="2" v="6927"/>
    </bk>
    <bk>
      <rc t="2" v="6928"/>
    </bk>
    <bk>
      <rc t="2" v="6929"/>
    </bk>
    <bk>
      <rc t="2" v="6930"/>
    </bk>
    <bk>
      <rc t="2" v="6931"/>
    </bk>
    <bk>
      <rc t="2" v="6932"/>
    </bk>
    <bk>
      <rc t="2" v="6933"/>
    </bk>
    <bk>
      <rc t="2" v="6934"/>
    </bk>
    <bk>
      <rc t="2" v="6935"/>
    </bk>
    <bk>
      <rc t="2" v="6936"/>
    </bk>
    <bk>
      <rc t="2" v="6937"/>
    </bk>
    <bk>
      <rc t="2" v="6938"/>
    </bk>
    <bk>
      <rc t="2" v="6939"/>
    </bk>
    <bk>
      <rc t="2" v="6940"/>
    </bk>
    <bk>
      <rc t="2" v="6941"/>
    </bk>
    <bk>
      <rc t="2" v="6942"/>
    </bk>
    <bk>
      <rc t="2" v="6943"/>
    </bk>
    <bk>
      <rc t="2" v="6944"/>
    </bk>
    <bk>
      <rc t="2" v="6945"/>
    </bk>
    <bk>
      <rc t="2" v="6946"/>
    </bk>
    <bk>
      <rc t="2" v="6947"/>
    </bk>
    <bk>
      <rc t="2" v="6948"/>
    </bk>
    <bk>
      <rc t="2" v="6949"/>
    </bk>
    <bk>
      <rc t="2" v="6950"/>
    </bk>
    <bk>
      <rc t="2" v="6951"/>
    </bk>
    <bk>
      <rc t="2" v="6952"/>
    </bk>
    <bk>
      <rc t="2" v="6953"/>
    </bk>
    <bk>
      <rc t="2" v="6954"/>
    </bk>
    <bk>
      <rc t="2" v="6955"/>
    </bk>
    <bk>
      <rc t="2" v="6956"/>
    </bk>
    <bk>
      <rc t="2" v="6957"/>
    </bk>
    <bk>
      <rc t="2" v="6958"/>
    </bk>
    <bk>
      <rc t="2" v="6959"/>
    </bk>
    <bk>
      <rc t="2" v="6960"/>
    </bk>
    <bk>
      <rc t="2" v="6961"/>
    </bk>
    <bk>
      <rc t="2" v="6962"/>
    </bk>
    <bk>
      <rc t="2" v="6963"/>
    </bk>
    <bk>
      <rc t="2" v="6964"/>
    </bk>
    <bk>
      <rc t="2" v="6965"/>
    </bk>
    <bk>
      <rc t="2" v="6966"/>
    </bk>
    <bk>
      <rc t="2" v="6967"/>
    </bk>
    <bk>
      <rc t="2" v="6968"/>
    </bk>
    <bk>
      <rc t="2" v="6969"/>
    </bk>
    <bk>
      <rc t="2" v="6970"/>
    </bk>
    <bk>
      <rc t="2" v="6971"/>
    </bk>
    <bk>
      <rc t="2" v="6972"/>
    </bk>
    <bk>
      <rc t="2" v="6973"/>
    </bk>
    <bk>
      <rc t="2" v="6974"/>
    </bk>
    <bk>
      <rc t="2" v="6975"/>
    </bk>
    <bk>
      <rc t="2" v="6976"/>
    </bk>
    <bk>
      <rc t="2" v="6977"/>
    </bk>
    <bk>
      <rc t="2" v="6978"/>
    </bk>
    <bk>
      <rc t="2" v="6979"/>
    </bk>
    <bk>
      <rc t="2" v="6980"/>
    </bk>
    <bk>
      <rc t="2" v="6981"/>
    </bk>
    <bk>
      <rc t="2" v="6982"/>
    </bk>
    <bk>
      <rc t="2" v="6983"/>
    </bk>
    <bk>
      <rc t="2" v="6984"/>
    </bk>
    <bk>
      <rc t="2" v="6985"/>
    </bk>
    <bk>
      <rc t="2" v="6986"/>
    </bk>
    <bk>
      <rc t="2" v="6987"/>
    </bk>
    <bk>
      <rc t="2" v="6988"/>
    </bk>
    <bk>
      <rc t="2" v="6989"/>
    </bk>
    <bk>
      <rc t="2" v="6990"/>
    </bk>
    <bk>
      <rc t="2" v="6991"/>
    </bk>
    <bk>
      <rc t="2" v="6992"/>
    </bk>
    <bk>
      <rc t="2" v="6993"/>
    </bk>
    <bk>
      <rc t="2" v="6994"/>
    </bk>
    <bk>
      <rc t="2" v="6995"/>
    </bk>
    <bk>
      <rc t="2" v="6996"/>
    </bk>
    <bk>
      <rc t="2" v="6997"/>
    </bk>
    <bk>
      <rc t="2" v="6998"/>
    </bk>
    <bk>
      <rc t="2" v="6999"/>
    </bk>
    <bk>
      <rc t="2" v="7000"/>
    </bk>
    <bk>
      <rc t="2" v="7001"/>
    </bk>
    <bk>
      <rc t="2" v="7002"/>
    </bk>
    <bk>
      <rc t="2" v="7003"/>
    </bk>
    <bk>
      <rc t="2" v="7004"/>
    </bk>
    <bk>
      <rc t="2" v="7005"/>
    </bk>
    <bk>
      <rc t="2" v="7006"/>
    </bk>
    <bk>
      <rc t="2" v="7007"/>
    </bk>
    <bk>
      <rc t="2" v="7008"/>
    </bk>
    <bk>
      <rc t="2" v="7009"/>
    </bk>
    <bk>
      <rc t="2" v="7010"/>
    </bk>
    <bk>
      <rc t="2" v="7011"/>
    </bk>
    <bk>
      <rc t="2" v="7012"/>
    </bk>
    <bk>
      <rc t="2" v="7013"/>
    </bk>
    <bk>
      <rc t="2" v="7014"/>
    </bk>
    <bk>
      <rc t="2" v="7015"/>
    </bk>
    <bk>
      <rc t="2" v="7016"/>
    </bk>
    <bk>
      <rc t="2" v="7017"/>
    </bk>
    <bk>
      <rc t="2" v="7018"/>
    </bk>
    <bk>
      <rc t="2" v="7019"/>
    </bk>
    <bk>
      <rc t="2" v="7020"/>
    </bk>
    <bk>
      <rc t="2" v="7021"/>
    </bk>
    <bk>
      <rc t="2" v="7022"/>
    </bk>
    <bk>
      <rc t="2" v="7023"/>
    </bk>
    <bk>
      <rc t="2" v="7024"/>
    </bk>
    <bk>
      <rc t="2" v="7025"/>
    </bk>
    <bk>
      <rc t="2" v="7026"/>
    </bk>
    <bk>
      <rc t="2" v="7027"/>
    </bk>
    <bk>
      <rc t="2" v="7028"/>
    </bk>
    <bk>
      <rc t="2" v="7029"/>
    </bk>
    <bk>
      <rc t="2" v="7030"/>
    </bk>
    <bk>
      <rc t="2" v="7031"/>
    </bk>
    <bk>
      <rc t="2" v="7032"/>
    </bk>
    <bk>
      <rc t="2" v="7033"/>
    </bk>
    <bk>
      <rc t="2" v="7034"/>
    </bk>
    <bk>
      <rc t="2" v="7035"/>
    </bk>
    <bk>
      <rc t="2" v="7036"/>
    </bk>
    <bk>
      <rc t="2" v="7037"/>
    </bk>
    <bk>
      <rc t="2" v="7038"/>
    </bk>
    <bk>
      <rc t="2" v="7039"/>
    </bk>
    <bk>
      <rc t="2" v="7040"/>
    </bk>
    <bk>
      <rc t="2" v="7041"/>
    </bk>
    <bk>
      <rc t="2" v="7042"/>
    </bk>
    <bk>
      <rc t="2" v="7043"/>
    </bk>
    <bk>
      <rc t="2" v="7044"/>
    </bk>
    <bk>
      <rc t="2" v="7045"/>
    </bk>
    <bk>
      <rc t="2" v="7046"/>
    </bk>
    <bk>
      <rc t="2" v="7047"/>
    </bk>
    <bk>
      <rc t="2" v="7048"/>
    </bk>
    <bk>
      <rc t="2" v="7049"/>
    </bk>
    <bk>
      <rc t="2" v="7050"/>
    </bk>
    <bk>
      <rc t="2" v="7051"/>
    </bk>
    <bk>
      <rc t="2" v="7052"/>
    </bk>
    <bk>
      <rc t="2" v="7053"/>
    </bk>
    <bk>
      <rc t="2" v="7054"/>
    </bk>
    <bk>
      <rc t="2" v="7055"/>
    </bk>
    <bk>
      <rc t="2" v="7056"/>
    </bk>
    <bk>
      <rc t="2" v="7057"/>
    </bk>
    <bk>
      <rc t="2" v="7058"/>
    </bk>
    <bk>
      <rc t="2" v="7059"/>
    </bk>
    <bk>
      <rc t="2" v="7060"/>
    </bk>
    <bk>
      <rc t="2" v="7061"/>
    </bk>
    <bk>
      <rc t="2" v="7062"/>
    </bk>
    <bk>
      <rc t="2" v="7063"/>
    </bk>
    <bk>
      <rc t="2" v="7064"/>
    </bk>
    <bk>
      <rc t="2" v="7065"/>
    </bk>
    <bk>
      <rc t="2" v="7066"/>
    </bk>
    <bk>
      <rc t="2" v="7067"/>
    </bk>
    <bk>
      <rc t="2" v="7068"/>
    </bk>
    <bk>
      <rc t="2" v="7069"/>
    </bk>
    <bk>
      <rc t="2" v="7070"/>
    </bk>
    <bk>
      <rc t="2" v="7071"/>
    </bk>
    <bk>
      <rc t="2" v="7072"/>
    </bk>
    <bk>
      <rc t="2" v="7073"/>
    </bk>
    <bk>
      <rc t="2" v="7074"/>
    </bk>
    <bk>
      <rc t="2" v="7075"/>
    </bk>
    <bk>
      <rc t="2" v="7076"/>
    </bk>
    <bk>
      <rc t="2" v="7077"/>
    </bk>
    <bk>
      <rc t="2" v="7078"/>
    </bk>
    <bk>
      <rc t="2" v="7079"/>
    </bk>
    <bk>
      <rc t="2" v="7080"/>
    </bk>
    <bk>
      <rc t="2" v="7081"/>
    </bk>
    <bk>
      <rc t="2" v="7082"/>
    </bk>
    <bk>
      <rc t="2" v="7083"/>
    </bk>
    <bk>
      <rc t="2" v="7084"/>
    </bk>
    <bk>
      <rc t="2" v="7085"/>
    </bk>
    <bk>
      <rc t="2" v="7086"/>
    </bk>
    <bk>
      <rc t="2" v="7087"/>
    </bk>
    <bk>
      <rc t="2" v="7088"/>
    </bk>
    <bk>
      <rc t="2" v="7089"/>
    </bk>
    <bk>
      <rc t="2" v="7090"/>
    </bk>
    <bk>
      <rc t="2" v="7091"/>
    </bk>
    <bk>
      <rc t="2" v="7092"/>
    </bk>
    <bk>
      <rc t="2" v="7093"/>
    </bk>
    <bk>
      <rc t="2" v="7094"/>
    </bk>
    <bk>
      <rc t="2" v="7095"/>
    </bk>
    <bk>
      <rc t="2" v="7096"/>
    </bk>
    <bk>
      <rc t="2" v="7097"/>
    </bk>
    <bk>
      <rc t="2" v="7098"/>
    </bk>
    <bk>
      <rc t="2" v="7099"/>
    </bk>
    <bk>
      <rc t="2" v="7100"/>
    </bk>
    <bk>
      <rc t="2" v="7101"/>
    </bk>
    <bk>
      <rc t="2" v="7102"/>
    </bk>
    <bk>
      <rc t="2" v="7103"/>
    </bk>
    <bk>
      <rc t="2" v="7104"/>
    </bk>
    <bk>
      <rc t="2" v="7105"/>
    </bk>
    <bk>
      <rc t="2" v="7106"/>
    </bk>
    <bk>
      <rc t="2" v="7107"/>
    </bk>
    <bk>
      <rc t="2" v="7108"/>
    </bk>
    <bk>
      <rc t="2" v="7109"/>
    </bk>
    <bk>
      <rc t="2" v="7110"/>
    </bk>
    <bk>
      <rc t="2" v="7111"/>
    </bk>
    <bk>
      <rc t="2" v="7112"/>
    </bk>
    <bk>
      <rc t="2" v="7113"/>
    </bk>
    <bk>
      <rc t="2" v="7114"/>
    </bk>
    <bk>
      <rc t="2" v="7115"/>
    </bk>
    <bk>
      <rc t="2" v="7116"/>
    </bk>
    <bk>
      <rc t="2" v="7117"/>
    </bk>
    <bk>
      <rc t="2" v="7118"/>
    </bk>
    <bk>
      <rc t="2" v="7119"/>
    </bk>
    <bk>
      <rc t="2" v="7120"/>
    </bk>
    <bk>
      <rc t="2" v="7121"/>
    </bk>
    <bk>
      <rc t="2" v="7122"/>
    </bk>
    <bk>
      <rc t="2" v="7123"/>
    </bk>
    <bk>
      <rc t="2" v="7124"/>
    </bk>
    <bk>
      <rc t="2" v="7125"/>
    </bk>
    <bk>
      <rc t="2" v="7126"/>
    </bk>
    <bk>
      <rc t="2" v="7127"/>
    </bk>
    <bk>
      <rc t="2" v="7128"/>
    </bk>
    <bk>
      <rc t="2" v="7129"/>
    </bk>
    <bk>
      <rc t="2" v="7130"/>
    </bk>
    <bk>
      <rc t="2" v="7131"/>
    </bk>
    <bk>
      <rc t="2" v="7132"/>
    </bk>
    <bk>
      <rc t="2" v="7133"/>
    </bk>
    <bk>
      <rc t="2" v="7134"/>
    </bk>
    <bk>
      <rc t="2" v="7135"/>
    </bk>
    <bk>
      <rc t="2" v="7136"/>
    </bk>
    <bk>
      <rc t="2" v="7137"/>
    </bk>
    <bk>
      <rc t="2" v="7138"/>
    </bk>
    <bk>
      <rc t="2" v="7139"/>
    </bk>
    <bk>
      <rc t="2" v="7140"/>
    </bk>
    <bk>
      <rc t="2" v="7141"/>
    </bk>
    <bk>
      <rc t="2" v="7142"/>
    </bk>
    <bk>
      <rc t="2" v="7143"/>
    </bk>
    <bk>
      <rc t="2" v="7144"/>
    </bk>
    <bk>
      <rc t="2" v="7145"/>
    </bk>
    <bk>
      <rc t="2" v="7146"/>
    </bk>
    <bk>
      <rc t="2" v="7147"/>
    </bk>
    <bk>
      <rc t="2" v="7148"/>
    </bk>
    <bk>
      <rc t="2" v="7149"/>
    </bk>
    <bk>
      <rc t="2" v="7150"/>
    </bk>
    <bk>
      <rc t="2" v="7151"/>
    </bk>
    <bk>
      <rc t="2" v="7152"/>
    </bk>
    <bk>
      <rc t="2" v="7153"/>
    </bk>
    <bk>
      <rc t="2" v="7154"/>
    </bk>
    <bk>
      <rc t="2" v="7155"/>
    </bk>
    <bk>
      <rc t="2" v="7156"/>
    </bk>
    <bk>
      <rc t="2" v="7157"/>
    </bk>
    <bk>
      <rc t="2" v="7158"/>
    </bk>
    <bk>
      <rc t="2" v="7159"/>
    </bk>
    <bk>
      <rc t="2" v="7160"/>
    </bk>
    <bk>
      <rc t="2" v="7161"/>
    </bk>
    <bk>
      <rc t="2" v="7162"/>
    </bk>
    <bk>
      <rc t="2" v="7163"/>
    </bk>
    <bk>
      <rc t="2" v="7164"/>
    </bk>
    <bk>
      <rc t="2" v="7165"/>
    </bk>
    <bk>
      <rc t="2" v="7166"/>
    </bk>
    <bk>
      <rc t="2" v="7167"/>
    </bk>
    <bk>
      <rc t="2" v="7168"/>
    </bk>
    <bk>
      <rc t="2" v="7169"/>
    </bk>
    <bk>
      <rc t="2" v="7170"/>
    </bk>
    <bk>
      <rc t="2" v="7171"/>
    </bk>
    <bk>
      <rc t="2" v="7172"/>
    </bk>
    <bk>
      <rc t="2" v="7173"/>
    </bk>
    <bk>
      <rc t="2" v="7174"/>
    </bk>
    <bk>
      <rc t="2" v="7175"/>
    </bk>
    <bk>
      <rc t="2" v="7176"/>
    </bk>
    <bk>
      <rc t="2" v="7177"/>
    </bk>
    <bk>
      <rc t="2" v="7178"/>
    </bk>
    <bk>
      <rc t="2" v="7179"/>
    </bk>
    <bk>
      <rc t="2" v="7180"/>
    </bk>
    <bk>
      <rc t="2" v="7181"/>
    </bk>
    <bk>
      <rc t="2" v="7182"/>
    </bk>
    <bk>
      <rc t="2" v="7183"/>
    </bk>
    <bk>
      <rc t="2" v="7184"/>
    </bk>
    <bk>
      <rc t="2" v="7185"/>
    </bk>
    <bk>
      <rc t="2" v="7186"/>
    </bk>
    <bk>
      <rc t="2" v="7187"/>
    </bk>
    <bk>
      <rc t="2" v="7188"/>
    </bk>
    <bk>
      <rc t="2" v="7189"/>
    </bk>
    <bk>
      <rc t="2" v="7190"/>
    </bk>
    <bk>
      <rc t="2" v="7191"/>
    </bk>
    <bk>
      <rc t="2" v="7192"/>
    </bk>
    <bk>
      <rc t="2" v="7193"/>
    </bk>
    <bk>
      <rc t="2" v="7194"/>
    </bk>
    <bk>
      <rc t="2" v="7195"/>
    </bk>
    <bk>
      <rc t="2" v="7196"/>
    </bk>
    <bk>
      <rc t="2" v="7197"/>
    </bk>
    <bk>
      <rc t="2" v="7198"/>
    </bk>
    <bk>
      <rc t="2" v="7199"/>
    </bk>
    <bk>
      <rc t="2" v="7200"/>
    </bk>
    <bk>
      <rc t="2" v="7201"/>
    </bk>
    <bk>
      <rc t="2" v="7202"/>
    </bk>
    <bk>
      <rc t="2" v="7203"/>
    </bk>
    <bk>
      <rc t="2" v="7204"/>
    </bk>
    <bk>
      <rc t="2" v="7205"/>
    </bk>
    <bk>
      <rc t="2" v="7206"/>
    </bk>
    <bk>
      <rc t="2" v="7207"/>
    </bk>
    <bk>
      <rc t="2" v="7208"/>
    </bk>
    <bk>
      <rc t="2" v="7209"/>
    </bk>
    <bk>
      <rc t="2" v="7210"/>
    </bk>
    <bk>
      <rc t="2" v="7211"/>
    </bk>
    <bk>
      <rc t="2" v="7212"/>
    </bk>
    <bk>
      <rc t="2" v="7213"/>
    </bk>
    <bk>
      <rc t="2" v="7214"/>
    </bk>
    <bk>
      <rc t="2" v="7215"/>
    </bk>
    <bk>
      <rc t="2" v="7216"/>
    </bk>
    <bk>
      <rc t="2" v="7217"/>
    </bk>
    <bk>
      <rc t="2" v="7218"/>
    </bk>
    <bk>
      <rc t="2" v="7219"/>
    </bk>
    <bk>
      <rc t="2" v="7220"/>
    </bk>
    <bk>
      <rc t="2" v="7221"/>
    </bk>
    <bk>
      <rc t="2" v="7222"/>
    </bk>
    <bk>
      <rc t="2" v="7223"/>
    </bk>
    <bk>
      <rc t="2" v="7224"/>
    </bk>
    <bk>
      <rc t="2" v="7225"/>
    </bk>
    <bk>
      <rc t="2" v="7226"/>
    </bk>
    <bk>
      <rc t="2" v="7227"/>
    </bk>
    <bk>
      <rc t="2" v="7228"/>
    </bk>
    <bk>
      <rc t="2" v="7229"/>
    </bk>
    <bk>
      <rc t="2" v="7230"/>
    </bk>
    <bk>
      <rc t="2" v="7231"/>
    </bk>
    <bk>
      <rc t="2" v="7232"/>
    </bk>
    <bk>
      <rc t="2" v="7233"/>
    </bk>
    <bk>
      <rc t="2" v="7234"/>
    </bk>
    <bk>
      <rc t="2" v="7235"/>
    </bk>
    <bk>
      <rc t="2" v="7236"/>
    </bk>
    <bk>
      <rc t="2" v="7237"/>
    </bk>
    <bk>
      <rc t="2" v="7238"/>
    </bk>
    <bk>
      <rc t="2" v="7239"/>
    </bk>
    <bk>
      <rc t="2" v="7240"/>
    </bk>
    <bk>
      <rc t="2" v="7241"/>
    </bk>
    <bk>
      <rc t="2" v="7242"/>
    </bk>
    <bk>
      <rc t="2" v="7243"/>
    </bk>
    <bk>
      <rc t="2" v="7244"/>
    </bk>
    <bk>
      <rc t="2" v="7245"/>
    </bk>
    <bk>
      <rc t="2" v="7246"/>
    </bk>
    <bk>
      <rc t="2" v="7247"/>
    </bk>
    <bk>
      <rc t="2" v="7248"/>
    </bk>
    <bk>
      <rc t="2" v="7249"/>
    </bk>
    <bk>
      <rc t="2" v="7250"/>
    </bk>
    <bk>
      <rc t="2" v="7251"/>
    </bk>
    <bk>
      <rc t="2" v="7252"/>
    </bk>
    <bk>
      <rc t="2" v="7253"/>
    </bk>
    <bk>
      <rc t="2" v="7254"/>
    </bk>
    <bk>
      <rc t="2" v="7255"/>
    </bk>
    <bk>
      <rc t="2" v="7256"/>
    </bk>
    <bk>
      <rc t="2" v="7257"/>
    </bk>
    <bk>
      <rc t="2" v="7258"/>
    </bk>
    <bk>
      <rc t="2" v="7259"/>
    </bk>
    <bk>
      <rc t="2" v="7260"/>
    </bk>
    <bk>
      <rc t="2" v="7261"/>
    </bk>
    <bk>
      <rc t="2" v="7262"/>
    </bk>
    <bk>
      <rc t="2" v="7263"/>
    </bk>
    <bk>
      <rc t="2" v="7264"/>
    </bk>
    <bk>
      <rc t="2" v="7265"/>
    </bk>
    <bk>
      <rc t="2" v="7266"/>
    </bk>
    <bk>
      <rc t="2" v="7267"/>
    </bk>
    <bk>
      <rc t="2" v="7268"/>
    </bk>
    <bk>
      <rc t="2" v="7269"/>
    </bk>
    <bk>
      <rc t="2" v="7270"/>
    </bk>
    <bk>
      <rc t="2" v="7271"/>
    </bk>
    <bk>
      <rc t="2" v="7272"/>
    </bk>
    <bk>
      <rc t="2" v="7273"/>
    </bk>
    <bk>
      <rc t="2" v="7274"/>
    </bk>
    <bk>
      <rc t="2" v="7275"/>
    </bk>
    <bk>
      <rc t="2" v="7276"/>
    </bk>
    <bk>
      <rc t="2" v="7277"/>
    </bk>
    <bk>
      <rc t="2" v="7278"/>
    </bk>
    <bk>
      <rc t="2" v="7279"/>
    </bk>
    <bk>
      <rc t="2" v="7280"/>
    </bk>
    <bk>
      <rc t="2" v="7281"/>
    </bk>
    <bk>
      <rc t="2" v="7282"/>
    </bk>
    <bk>
      <rc t="2" v="7283"/>
    </bk>
    <bk>
      <rc t="2" v="7284"/>
    </bk>
    <bk>
      <rc t="2" v="7285"/>
    </bk>
    <bk>
      <rc t="2" v="7286"/>
    </bk>
    <bk>
      <rc t="2" v="7287"/>
    </bk>
    <bk>
      <rc t="2" v="7288"/>
    </bk>
    <bk>
      <rc t="2" v="7289"/>
    </bk>
    <bk>
      <rc t="2" v="7290"/>
    </bk>
    <bk>
      <rc t="2" v="7291"/>
    </bk>
    <bk>
      <rc t="2" v="7292"/>
    </bk>
    <bk>
      <rc t="2" v="7293"/>
    </bk>
    <bk>
      <rc t="2" v="7294"/>
    </bk>
    <bk>
      <rc t="2" v="7295"/>
    </bk>
    <bk>
      <rc t="2" v="7296"/>
    </bk>
    <bk>
      <rc t="2" v="7297"/>
    </bk>
    <bk>
      <rc t="2" v="7298"/>
    </bk>
    <bk>
      <rc t="2" v="7299"/>
    </bk>
    <bk>
      <rc t="2" v="7300"/>
    </bk>
    <bk>
      <rc t="2" v="7301"/>
    </bk>
    <bk>
      <rc t="2" v="7302"/>
    </bk>
    <bk>
      <rc t="2" v="7303"/>
    </bk>
    <bk>
      <rc t="2" v="7304"/>
    </bk>
    <bk>
      <rc t="2" v="7305"/>
    </bk>
    <bk>
      <rc t="2" v="7306"/>
    </bk>
    <bk>
      <rc t="2" v="7307"/>
    </bk>
    <bk>
      <rc t="2" v="7308"/>
    </bk>
    <bk>
      <rc t="2" v="7309"/>
    </bk>
    <bk>
      <rc t="2" v="7310"/>
    </bk>
    <bk>
      <rc t="2" v="7311"/>
    </bk>
    <bk>
      <rc t="2" v="7312"/>
    </bk>
    <bk>
      <rc t="2" v="7313"/>
    </bk>
    <bk>
      <rc t="2" v="7314"/>
    </bk>
    <bk>
      <rc t="2" v="7315"/>
    </bk>
    <bk>
      <rc t="2" v="7316"/>
    </bk>
    <bk>
      <rc t="2" v="7317"/>
    </bk>
    <bk>
      <rc t="2" v="7318"/>
    </bk>
    <bk>
      <rc t="2" v="7319"/>
    </bk>
    <bk>
      <rc t="2" v="7320"/>
    </bk>
    <bk>
      <rc t="2" v="7321"/>
    </bk>
    <bk>
      <rc t="2" v="7322"/>
    </bk>
    <bk>
      <rc t="2" v="7323"/>
    </bk>
    <bk>
      <rc t="2" v="7324"/>
    </bk>
    <bk>
      <rc t="2" v="7325"/>
    </bk>
    <bk>
      <rc t="2" v="7326"/>
    </bk>
    <bk>
      <rc t="2" v="7327"/>
    </bk>
    <bk>
      <rc t="2" v="7328"/>
    </bk>
    <bk>
      <rc t="2" v="7329"/>
    </bk>
    <bk>
      <rc t="2" v="7330"/>
    </bk>
    <bk>
      <rc t="2" v="7331"/>
    </bk>
    <bk>
      <rc t="2" v="7332"/>
    </bk>
    <bk>
      <rc t="2" v="7333"/>
    </bk>
    <bk>
      <rc t="2" v="7334"/>
    </bk>
    <bk>
      <rc t="2" v="7335"/>
    </bk>
    <bk>
      <rc t="2" v="7336"/>
    </bk>
    <bk>
      <rc t="2" v="7337"/>
    </bk>
    <bk>
      <rc t="2" v="7338"/>
    </bk>
    <bk>
      <rc t="2" v="7339"/>
    </bk>
    <bk>
      <rc t="2" v="7340"/>
    </bk>
    <bk>
      <rc t="2" v="7341"/>
    </bk>
    <bk>
      <rc t="2" v="7342"/>
    </bk>
    <bk>
      <rc t="2" v="7343"/>
    </bk>
    <bk>
      <rc t="2" v="7344"/>
    </bk>
    <bk>
      <rc t="2" v="7345"/>
    </bk>
    <bk>
      <rc t="2" v="7346"/>
    </bk>
    <bk>
      <rc t="2" v="7347"/>
    </bk>
    <bk>
      <rc t="2" v="7348"/>
    </bk>
    <bk>
      <rc t="2" v="7349"/>
    </bk>
    <bk>
      <rc t="2" v="7350"/>
    </bk>
    <bk>
      <rc t="2" v="7351"/>
    </bk>
    <bk>
      <rc t="2" v="7352"/>
    </bk>
    <bk>
      <rc t="2" v="7353"/>
    </bk>
    <bk>
      <rc t="2" v="7354"/>
    </bk>
    <bk>
      <rc t="2" v="7355"/>
    </bk>
    <bk>
      <rc t="2" v="7356"/>
    </bk>
    <bk>
      <rc t="2" v="7357"/>
    </bk>
    <bk>
      <rc t="2" v="7358"/>
    </bk>
    <bk>
      <rc t="2" v="7359"/>
    </bk>
    <bk>
      <rc t="2" v="7360"/>
    </bk>
    <bk>
      <rc t="2" v="7361"/>
    </bk>
    <bk>
      <rc t="2" v="7362"/>
    </bk>
    <bk>
      <rc t="2" v="7363"/>
    </bk>
    <bk>
      <rc t="2" v="7364"/>
    </bk>
    <bk>
      <rc t="2" v="7365"/>
    </bk>
    <bk>
      <rc t="2" v="7366"/>
    </bk>
    <bk>
      <rc t="2" v="7367"/>
    </bk>
    <bk>
      <rc t="2" v="7368"/>
    </bk>
    <bk>
      <rc t="2" v="7369"/>
    </bk>
    <bk>
      <rc t="2" v="7370"/>
    </bk>
    <bk>
      <rc t="2" v="7371"/>
    </bk>
    <bk>
      <rc t="2" v="7372"/>
    </bk>
    <bk>
      <rc t="2" v="7373"/>
    </bk>
    <bk>
      <rc t="2" v="7374"/>
    </bk>
    <bk>
      <rc t="2" v="7375"/>
    </bk>
    <bk>
      <rc t="2" v="7376"/>
    </bk>
    <bk>
      <rc t="2" v="7377"/>
    </bk>
    <bk>
      <rc t="2" v="7378"/>
    </bk>
    <bk>
      <rc t="2" v="7379"/>
    </bk>
    <bk>
      <rc t="2" v="7380"/>
    </bk>
    <bk>
      <rc t="2" v="7381"/>
    </bk>
    <bk>
      <rc t="2" v="7382"/>
    </bk>
    <bk>
      <rc t="2" v="7383"/>
    </bk>
    <bk>
      <rc t="2" v="7384"/>
    </bk>
    <bk>
      <rc t="2" v="7385"/>
    </bk>
    <bk>
      <rc t="2" v="7386"/>
    </bk>
    <bk>
      <rc t="2" v="7387"/>
    </bk>
    <bk>
      <rc t="2" v="7388"/>
    </bk>
    <bk>
      <rc t="2" v="7389"/>
    </bk>
    <bk>
      <rc t="2" v="7390"/>
    </bk>
    <bk>
      <rc t="2" v="7391"/>
    </bk>
    <bk>
      <rc t="2" v="7392"/>
    </bk>
    <bk>
      <rc t="2" v="7393"/>
    </bk>
    <bk>
      <rc t="2" v="7394"/>
    </bk>
    <bk>
      <rc t="2" v="7395"/>
    </bk>
    <bk>
      <rc t="2" v="7396"/>
    </bk>
    <bk>
      <rc t="2" v="7397"/>
    </bk>
    <bk>
      <rc t="2" v="7398"/>
    </bk>
    <bk>
      <rc t="2" v="7399"/>
    </bk>
    <bk>
      <rc t="2" v="7400"/>
    </bk>
    <bk>
      <rc t="2" v="7401"/>
    </bk>
    <bk>
      <rc t="2" v="7402"/>
    </bk>
    <bk>
      <rc t="2" v="7403"/>
    </bk>
    <bk>
      <rc t="2" v="7404"/>
    </bk>
    <bk>
      <rc t="2" v="7405"/>
    </bk>
    <bk>
      <rc t="2" v="7406"/>
    </bk>
    <bk>
      <rc t="2" v="7407"/>
    </bk>
    <bk>
      <rc t="2" v="7408"/>
    </bk>
    <bk>
      <rc t="2" v="7409"/>
    </bk>
    <bk>
      <rc t="2" v="7410"/>
    </bk>
    <bk>
      <rc t="2" v="7411"/>
    </bk>
    <bk>
      <rc t="2" v="7412"/>
    </bk>
    <bk>
      <rc t="2" v="7413"/>
    </bk>
    <bk>
      <rc t="2" v="7414"/>
    </bk>
    <bk>
      <rc t="2" v="7415"/>
    </bk>
    <bk>
      <rc t="2" v="7416"/>
    </bk>
    <bk>
      <rc t="2" v="7417"/>
    </bk>
    <bk>
      <rc t="2" v="7418"/>
    </bk>
    <bk>
      <rc t="2" v="7419"/>
    </bk>
    <bk>
      <rc t="2" v="7420"/>
    </bk>
    <bk>
      <rc t="2" v="7421"/>
    </bk>
    <bk>
      <rc t="2" v="7422"/>
    </bk>
    <bk>
      <rc t="2" v="7423"/>
    </bk>
    <bk>
      <rc t="2" v="7424"/>
    </bk>
    <bk>
      <rc t="2" v="7425"/>
    </bk>
    <bk>
      <rc t="2" v="7426"/>
    </bk>
    <bk>
      <rc t="2" v="7427"/>
    </bk>
    <bk>
      <rc t="2" v="7428"/>
    </bk>
    <bk>
      <rc t="2" v="7429"/>
    </bk>
    <bk>
      <rc t="2" v="7430"/>
    </bk>
    <bk>
      <rc t="2" v="7431"/>
    </bk>
    <bk>
      <rc t="2" v="7432"/>
    </bk>
    <bk>
      <rc t="2" v="7433"/>
    </bk>
    <bk>
      <rc t="2" v="7434"/>
    </bk>
    <bk>
      <rc t="2" v="7435"/>
    </bk>
    <bk>
      <rc t="2" v="7436"/>
    </bk>
    <bk>
      <rc t="2" v="7437"/>
    </bk>
    <bk>
      <rc t="2" v="7438"/>
    </bk>
    <bk>
      <rc t="2" v="7439"/>
    </bk>
    <bk>
      <rc t="2" v="7440"/>
    </bk>
    <bk>
      <rc t="2" v="7441"/>
    </bk>
    <bk>
      <rc t="2" v="7442"/>
    </bk>
    <bk>
      <rc t="2" v="7443"/>
    </bk>
    <bk>
      <rc t="2" v="7444"/>
    </bk>
    <bk>
      <rc t="2" v="7445"/>
    </bk>
    <bk>
      <rc t="2" v="7446"/>
    </bk>
    <bk>
      <rc t="2" v="7447"/>
    </bk>
    <bk>
      <rc t="2" v="7448"/>
    </bk>
    <bk>
      <rc t="2" v="7449"/>
    </bk>
    <bk>
      <rc t="2" v="7450"/>
    </bk>
    <bk>
      <rc t="2" v="7451"/>
    </bk>
    <bk>
      <rc t="2" v="7452"/>
    </bk>
    <bk>
      <rc t="2" v="7453"/>
    </bk>
    <bk>
      <rc t="2" v="7454"/>
    </bk>
    <bk>
      <rc t="2" v="7455"/>
    </bk>
    <bk>
      <rc t="2" v="7456"/>
    </bk>
    <bk>
      <rc t="2" v="7457"/>
    </bk>
    <bk>
      <rc t="2" v="7458"/>
    </bk>
    <bk>
      <rc t="2" v="7459"/>
    </bk>
    <bk>
      <rc t="2" v="7460"/>
    </bk>
    <bk>
      <rc t="2" v="7461"/>
    </bk>
    <bk>
      <rc t="2" v="7462"/>
    </bk>
    <bk>
      <rc t="2" v="7463"/>
    </bk>
    <bk>
      <rc t="2" v="7464"/>
    </bk>
    <bk>
      <rc t="2" v="7465"/>
    </bk>
    <bk>
      <rc t="2" v="7466"/>
    </bk>
    <bk>
      <rc t="2" v="7467"/>
    </bk>
    <bk>
      <rc t="2" v="7468"/>
    </bk>
    <bk>
      <rc t="2" v="7469"/>
    </bk>
    <bk>
      <rc t="2" v="7470"/>
    </bk>
    <bk>
      <rc t="2" v="7471"/>
    </bk>
    <bk>
      <rc t="2" v="7472"/>
    </bk>
    <bk>
      <rc t="2" v="7473"/>
    </bk>
    <bk>
      <rc t="2" v="7474"/>
    </bk>
    <bk>
      <rc t="2" v="7475"/>
    </bk>
    <bk>
      <rc t="2" v="7476"/>
    </bk>
    <bk>
      <rc t="2" v="7477"/>
    </bk>
    <bk>
      <rc t="2" v="7478"/>
    </bk>
    <bk>
      <rc t="2" v="7479"/>
    </bk>
    <bk>
      <rc t="2" v="7480"/>
    </bk>
    <bk>
      <rc t="2" v="7481"/>
    </bk>
    <bk>
      <rc t="2" v="7482"/>
    </bk>
    <bk>
      <rc t="2" v="7483"/>
    </bk>
    <bk>
      <rc t="2" v="7484"/>
    </bk>
    <bk>
      <rc t="2" v="7485"/>
    </bk>
    <bk>
      <rc t="2" v="7486"/>
    </bk>
    <bk>
      <rc t="2" v="7487"/>
    </bk>
    <bk>
      <rc t="2" v="7488"/>
    </bk>
    <bk>
      <rc t="2" v="7489"/>
    </bk>
    <bk>
      <rc t="2" v="7490"/>
    </bk>
    <bk>
      <rc t="2" v="7491"/>
    </bk>
    <bk>
      <rc t="2" v="7492"/>
    </bk>
    <bk>
      <rc t="2" v="7493"/>
    </bk>
    <bk>
      <rc t="2" v="7494"/>
    </bk>
    <bk>
      <rc t="2" v="7495"/>
    </bk>
    <bk>
      <rc t="2" v="7496"/>
    </bk>
    <bk>
      <rc t="2" v="7497"/>
    </bk>
    <bk>
      <rc t="2" v="7498"/>
    </bk>
    <bk>
      <rc t="2" v="7499"/>
    </bk>
    <bk>
      <rc t="2" v="7500"/>
    </bk>
    <bk>
      <rc t="2" v="7501"/>
    </bk>
    <bk>
      <rc t="2" v="7502"/>
    </bk>
    <bk>
      <rc t="2" v="7503"/>
    </bk>
    <bk>
      <rc t="2" v="7504"/>
    </bk>
    <bk>
      <rc t="2" v="7505"/>
    </bk>
    <bk>
      <rc t="2" v="7506"/>
    </bk>
    <bk>
      <rc t="2" v="7507"/>
    </bk>
    <bk>
      <rc t="2" v="7508"/>
    </bk>
    <bk>
      <rc t="2" v="7509"/>
    </bk>
    <bk>
      <rc t="2" v="7510"/>
    </bk>
    <bk>
      <rc t="2" v="7511"/>
    </bk>
    <bk>
      <rc t="2" v="7512"/>
    </bk>
    <bk>
      <rc t="2" v="7513"/>
    </bk>
    <bk>
      <rc t="2" v="7514"/>
    </bk>
    <bk>
      <rc t="2" v="7515"/>
    </bk>
    <bk>
      <rc t="2" v="7516"/>
    </bk>
    <bk>
      <rc t="2" v="7517"/>
    </bk>
    <bk>
      <rc t="2" v="7518"/>
    </bk>
    <bk>
      <rc t="2" v="7519"/>
    </bk>
    <bk>
      <rc t="2" v="7520"/>
    </bk>
    <bk>
      <rc t="2" v="7521"/>
    </bk>
    <bk>
      <rc t="2" v="7522"/>
    </bk>
    <bk>
      <rc t="2" v="7523"/>
    </bk>
    <bk>
      <rc t="2" v="7524"/>
    </bk>
    <bk>
      <rc t="2" v="7525"/>
    </bk>
    <bk>
      <rc t="2" v="7526"/>
    </bk>
    <bk>
      <rc t="2" v="7527"/>
    </bk>
    <bk>
      <rc t="2" v="7528"/>
    </bk>
    <bk>
      <rc t="2" v="7529"/>
    </bk>
    <bk>
      <rc t="2" v="7530"/>
    </bk>
    <bk>
      <rc t="2" v="7531"/>
    </bk>
    <bk>
      <rc t="2" v="7532"/>
    </bk>
    <bk>
      <rc t="2" v="7533"/>
    </bk>
    <bk>
      <rc t="2" v="7534"/>
    </bk>
    <bk>
      <rc t="2" v="7535"/>
    </bk>
    <bk>
      <rc t="2" v="7536"/>
    </bk>
    <bk>
      <rc t="2" v="7537"/>
    </bk>
    <bk>
      <rc t="2" v="7538"/>
    </bk>
    <bk>
      <rc t="2" v="7539"/>
    </bk>
    <bk>
      <rc t="2" v="7540"/>
    </bk>
    <bk>
      <rc t="2" v="7541"/>
    </bk>
    <bk>
      <rc t="2" v="7542"/>
    </bk>
    <bk>
      <rc t="2" v="7543"/>
    </bk>
    <bk>
      <rc t="2" v="7544"/>
    </bk>
    <bk>
      <rc t="2" v="7545"/>
    </bk>
    <bk>
      <rc t="2" v="7546"/>
    </bk>
    <bk>
      <rc t="2" v="7547"/>
    </bk>
    <bk>
      <rc t="2" v="7548"/>
    </bk>
    <bk>
      <rc t="2" v="7549"/>
    </bk>
    <bk>
      <rc t="2" v="7550"/>
    </bk>
    <bk>
      <rc t="2" v="7551"/>
    </bk>
    <bk>
      <rc t="2" v="7552"/>
    </bk>
    <bk>
      <rc t="2" v="7553"/>
    </bk>
    <bk>
      <rc t="2" v="7554"/>
    </bk>
    <bk>
      <rc t="2" v="7555"/>
    </bk>
    <bk>
      <rc t="2" v="7556"/>
    </bk>
    <bk>
      <rc t="2" v="7557"/>
    </bk>
    <bk>
      <rc t="2" v="7558"/>
    </bk>
    <bk>
      <rc t="2" v="7559"/>
    </bk>
    <bk>
      <rc t="2" v="7560"/>
    </bk>
    <bk>
      <rc t="2" v="7561"/>
    </bk>
    <bk>
      <rc t="2" v="7562"/>
    </bk>
    <bk>
      <rc t="2" v="7563"/>
    </bk>
    <bk>
      <rc t="2" v="7564"/>
    </bk>
    <bk>
      <rc t="2" v="7565"/>
    </bk>
    <bk>
      <rc t="2" v="7566"/>
    </bk>
    <bk>
      <rc t="2" v="7567"/>
    </bk>
    <bk>
      <rc t="2" v="7568"/>
    </bk>
    <bk>
      <rc t="2" v="7569"/>
    </bk>
    <bk>
      <rc t="2" v="7570"/>
    </bk>
    <bk>
      <rc t="2" v="7571"/>
    </bk>
    <bk>
      <rc t="2" v="7572"/>
    </bk>
    <bk>
      <rc t="2" v="7573"/>
    </bk>
    <bk>
      <rc t="2" v="7574"/>
    </bk>
    <bk>
      <rc t="2" v="7575"/>
    </bk>
    <bk>
      <rc t="2" v="7576"/>
    </bk>
    <bk>
      <rc t="2" v="7577"/>
    </bk>
    <bk>
      <rc t="2" v="7578"/>
    </bk>
    <bk>
      <rc t="2" v="7579"/>
    </bk>
    <bk>
      <rc t="2" v="7580"/>
    </bk>
    <bk>
      <rc t="2" v="7581"/>
    </bk>
    <bk>
      <rc t="2" v="7582"/>
    </bk>
    <bk>
      <rc t="2" v="7583"/>
    </bk>
    <bk>
      <rc t="2" v="7584"/>
    </bk>
    <bk>
      <rc t="2" v="7585"/>
    </bk>
    <bk>
      <rc t="2" v="7586"/>
    </bk>
    <bk>
      <rc t="2" v="7587"/>
    </bk>
    <bk>
      <rc t="2" v="7588"/>
    </bk>
    <bk>
      <rc t="2" v="7589"/>
    </bk>
    <bk>
      <rc t="2" v="7590"/>
    </bk>
    <bk>
      <rc t="2" v="7591"/>
    </bk>
    <bk>
      <rc t="2" v="7592"/>
    </bk>
    <bk>
      <rc t="2" v="7593"/>
    </bk>
    <bk>
      <rc t="2" v="7594"/>
    </bk>
    <bk>
      <rc t="2" v="7595"/>
    </bk>
    <bk>
      <rc t="2" v="7596"/>
    </bk>
    <bk>
      <rc t="2" v="7597"/>
    </bk>
    <bk>
      <rc t="2" v="7598"/>
    </bk>
    <bk>
      <rc t="2" v="7599"/>
    </bk>
    <bk>
      <rc t="2" v="7600"/>
    </bk>
    <bk>
      <rc t="2" v="7601"/>
    </bk>
    <bk>
      <rc t="2" v="7602"/>
    </bk>
    <bk>
      <rc t="2" v="7603"/>
    </bk>
    <bk>
      <rc t="2" v="7604"/>
    </bk>
    <bk>
      <rc t="2" v="7605"/>
    </bk>
    <bk>
      <rc t="2" v="7606"/>
    </bk>
    <bk>
      <rc t="2" v="7607"/>
    </bk>
    <bk>
      <rc t="2" v="7608"/>
    </bk>
    <bk>
      <rc t="2" v="7609"/>
    </bk>
    <bk>
      <rc t="2" v="7610"/>
    </bk>
    <bk>
      <rc t="2" v="7611"/>
    </bk>
    <bk>
      <rc t="2" v="7612"/>
    </bk>
    <bk>
      <rc t="2" v="7613"/>
    </bk>
    <bk>
      <rc t="2" v="7614"/>
    </bk>
    <bk>
      <rc t="2" v="7615"/>
    </bk>
    <bk>
      <rc t="2" v="7616"/>
    </bk>
    <bk>
      <rc t="2" v="7617"/>
    </bk>
    <bk>
      <rc t="2" v="7618"/>
    </bk>
    <bk>
      <rc t="2" v="7619"/>
    </bk>
    <bk>
      <rc t="2" v="7620"/>
    </bk>
    <bk>
      <rc t="2" v="7621"/>
    </bk>
    <bk>
      <rc t="2" v="7622"/>
    </bk>
    <bk>
      <rc t="2" v="7623"/>
    </bk>
    <bk>
      <rc t="2" v="7624"/>
    </bk>
    <bk>
      <rc t="2" v="7625"/>
    </bk>
    <bk>
      <rc t="2" v="7626"/>
    </bk>
    <bk>
      <rc t="2" v="7627"/>
    </bk>
    <bk>
      <rc t="2" v="7628"/>
    </bk>
    <bk>
      <rc t="2" v="7629"/>
    </bk>
    <bk>
      <rc t="2" v="7630"/>
    </bk>
    <bk>
      <rc t="2" v="7631"/>
    </bk>
    <bk>
      <rc t="2" v="7632"/>
    </bk>
    <bk>
      <rc t="2" v="7633"/>
    </bk>
    <bk>
      <rc t="2" v="7634"/>
    </bk>
    <bk>
      <rc t="2" v="7635"/>
    </bk>
    <bk>
      <rc t="2" v="7636"/>
    </bk>
    <bk>
      <rc t="2" v="7637"/>
    </bk>
    <bk>
      <rc t="2" v="7638"/>
    </bk>
    <bk>
      <rc t="2" v="7639"/>
    </bk>
    <bk>
      <rc t="2" v="7640"/>
    </bk>
    <bk>
      <rc t="2" v="7641"/>
    </bk>
    <bk>
      <rc t="2" v="7642"/>
    </bk>
    <bk>
      <rc t="2" v="7643"/>
    </bk>
    <bk>
      <rc t="2" v="7644"/>
    </bk>
    <bk>
      <rc t="2" v="7645"/>
    </bk>
    <bk>
      <rc t="2" v="7646"/>
    </bk>
    <bk>
      <rc t="2" v="7647"/>
    </bk>
    <bk>
      <rc t="2" v="7648"/>
    </bk>
    <bk>
      <rc t="2" v="7649"/>
    </bk>
    <bk>
      <rc t="2" v="7650"/>
    </bk>
    <bk>
      <rc t="2" v="7651"/>
    </bk>
    <bk>
      <rc t="2" v="7652"/>
    </bk>
    <bk>
      <rc t="2" v="7653"/>
    </bk>
    <bk>
      <rc t="2" v="7654"/>
    </bk>
    <bk>
      <rc t="2" v="7655"/>
    </bk>
    <bk>
      <rc t="2" v="7656"/>
    </bk>
    <bk>
      <rc t="2" v="7657"/>
    </bk>
    <bk>
      <rc t="2" v="7658"/>
    </bk>
    <bk>
      <rc t="2" v="7659"/>
    </bk>
    <bk>
      <rc t="2" v="7660"/>
    </bk>
    <bk>
      <rc t="2" v="7661"/>
    </bk>
    <bk>
      <rc t="2" v="7662"/>
    </bk>
    <bk>
      <rc t="2" v="7663"/>
    </bk>
    <bk>
      <rc t="2" v="7664"/>
    </bk>
    <bk>
      <rc t="2" v="7665"/>
    </bk>
    <bk>
      <rc t="2" v="7666"/>
    </bk>
    <bk>
      <rc t="2" v="7667"/>
    </bk>
    <bk>
      <rc t="2" v="7668"/>
    </bk>
    <bk>
      <rc t="2" v="7669"/>
    </bk>
    <bk>
      <rc t="2" v="7670"/>
    </bk>
    <bk>
      <rc t="2" v="7671"/>
    </bk>
    <bk>
      <rc t="2" v="7672"/>
    </bk>
    <bk>
      <rc t="2" v="7673"/>
    </bk>
    <bk>
      <rc t="2" v="7674"/>
    </bk>
    <bk>
      <rc t="2" v="7675"/>
    </bk>
    <bk>
      <rc t="2" v="7676"/>
    </bk>
    <bk>
      <rc t="2" v="7677"/>
    </bk>
    <bk>
      <rc t="2" v="7678"/>
    </bk>
    <bk>
      <rc t="2" v="7679"/>
    </bk>
    <bk>
      <rc t="2" v="7680"/>
    </bk>
    <bk>
      <rc t="2" v="7681"/>
    </bk>
    <bk>
      <rc t="2" v="7682"/>
    </bk>
    <bk>
      <rc t="2" v="7683"/>
    </bk>
    <bk>
      <rc t="2" v="7684"/>
    </bk>
    <bk>
      <rc t="2" v="7685"/>
    </bk>
    <bk>
      <rc t="2" v="7686"/>
    </bk>
    <bk>
      <rc t="2" v="7687"/>
    </bk>
    <bk>
      <rc t="2" v="7688"/>
    </bk>
    <bk>
      <rc t="2" v="7689"/>
    </bk>
    <bk>
      <rc t="2" v="7690"/>
    </bk>
    <bk>
      <rc t="2" v="7691"/>
    </bk>
    <bk>
      <rc t="2" v="7692"/>
    </bk>
    <bk>
      <rc t="2" v="7693"/>
    </bk>
    <bk>
      <rc t="2" v="7694"/>
    </bk>
    <bk>
      <rc t="2" v="7695"/>
    </bk>
    <bk>
      <rc t="2" v="7696"/>
    </bk>
    <bk>
      <rc t="2" v="7697"/>
    </bk>
    <bk>
      <rc t="2" v="7698"/>
    </bk>
    <bk>
      <rc t="2" v="7699"/>
    </bk>
    <bk>
      <rc t="2" v="7700"/>
    </bk>
    <bk>
      <rc t="2" v="7701"/>
    </bk>
    <bk>
      <rc t="2" v="7702"/>
    </bk>
    <bk>
      <rc t="2" v="7703"/>
    </bk>
    <bk>
      <rc t="2" v="7704"/>
    </bk>
    <bk>
      <rc t="2" v="7705"/>
    </bk>
    <bk>
      <rc t="2" v="7706"/>
    </bk>
    <bk>
      <rc t="2" v="7707"/>
    </bk>
    <bk>
      <rc t="2" v="7708"/>
    </bk>
    <bk>
      <rc t="2" v="7709"/>
    </bk>
    <bk>
      <rc t="2" v="7710"/>
    </bk>
    <bk>
      <rc t="2" v="7711"/>
    </bk>
    <bk>
      <rc t="2" v="7712"/>
    </bk>
    <bk>
      <rc t="2" v="7713"/>
    </bk>
    <bk>
      <rc t="2" v="7714"/>
    </bk>
    <bk>
      <rc t="2" v="7715"/>
    </bk>
    <bk>
      <rc t="2" v="7716"/>
    </bk>
    <bk>
      <rc t="2" v="7717"/>
    </bk>
    <bk>
      <rc t="2" v="7718"/>
    </bk>
    <bk>
      <rc t="2" v="7719"/>
    </bk>
    <bk>
      <rc t="2" v="7720"/>
    </bk>
    <bk>
      <rc t="2" v="7721"/>
    </bk>
    <bk>
      <rc t="2" v="7722"/>
    </bk>
    <bk>
      <rc t="2" v="7723"/>
    </bk>
    <bk>
      <rc t="2" v="7724"/>
    </bk>
    <bk>
      <rc t="2" v="7725"/>
    </bk>
    <bk>
      <rc t="2" v="7726"/>
    </bk>
    <bk>
      <rc t="2" v="7727"/>
    </bk>
    <bk>
      <rc t="2" v="7728"/>
    </bk>
    <bk>
      <rc t="2" v="7729"/>
    </bk>
    <bk>
      <rc t="2" v="7730"/>
    </bk>
    <bk>
      <rc t="2" v="7731"/>
    </bk>
    <bk>
      <rc t="2" v="7732"/>
    </bk>
    <bk>
      <rc t="2" v="7733"/>
    </bk>
    <bk>
      <rc t="2" v="7734"/>
    </bk>
    <bk>
      <rc t="2" v="7735"/>
    </bk>
    <bk>
      <rc t="2" v="7736"/>
    </bk>
    <bk>
      <rc t="2" v="7737"/>
    </bk>
    <bk>
      <rc t="2" v="7738"/>
    </bk>
    <bk>
      <rc t="2" v="7739"/>
    </bk>
    <bk>
      <rc t="2" v="7740"/>
    </bk>
    <bk>
      <rc t="2" v="7741"/>
    </bk>
    <bk>
      <rc t="2" v="7742"/>
    </bk>
    <bk>
      <rc t="2" v="7743"/>
    </bk>
    <bk>
      <rc t="2" v="7744"/>
    </bk>
    <bk>
      <rc t="2" v="7745"/>
    </bk>
    <bk>
      <rc t="2" v="7746"/>
    </bk>
    <bk>
      <rc t="2" v="7747"/>
    </bk>
    <bk>
      <rc t="2" v="7748"/>
    </bk>
    <bk>
      <rc t="2" v="7749"/>
    </bk>
    <bk>
      <rc t="2" v="7750"/>
    </bk>
    <bk>
      <rc t="2" v="7751"/>
    </bk>
    <bk>
      <rc t="2" v="7752"/>
    </bk>
    <bk>
      <rc t="2" v="7753"/>
    </bk>
    <bk>
      <rc t="2" v="7754"/>
    </bk>
    <bk>
      <rc t="2" v="7755"/>
    </bk>
    <bk>
      <rc t="2" v="7756"/>
    </bk>
    <bk>
      <rc t="2" v="7757"/>
    </bk>
    <bk>
      <rc t="2" v="7758"/>
    </bk>
    <bk>
      <rc t="2" v="7759"/>
    </bk>
    <bk>
      <rc t="2" v="7760"/>
    </bk>
    <bk>
      <rc t="2" v="7761"/>
    </bk>
    <bk>
      <rc t="2" v="7762"/>
    </bk>
    <bk>
      <rc t="2" v="7763"/>
    </bk>
    <bk>
      <rc t="2" v="7764"/>
    </bk>
    <bk>
      <rc t="2" v="7765"/>
    </bk>
    <bk>
      <rc t="2" v="7766"/>
    </bk>
    <bk>
      <rc t="2" v="7767"/>
    </bk>
    <bk>
      <rc t="2" v="7768"/>
    </bk>
    <bk>
      <rc t="2" v="7769"/>
    </bk>
    <bk>
      <rc t="2" v="7770"/>
    </bk>
    <bk>
      <rc t="2" v="7771"/>
    </bk>
    <bk>
      <rc t="2" v="7772"/>
    </bk>
    <bk>
      <rc t="2" v="7773"/>
    </bk>
    <bk>
      <rc t="2" v="7774"/>
    </bk>
    <bk>
      <rc t="2" v="7775"/>
    </bk>
    <bk>
      <rc t="2" v="7776"/>
    </bk>
    <bk>
      <rc t="2" v="7777"/>
    </bk>
    <bk>
      <rc t="2" v="7778"/>
    </bk>
    <bk>
      <rc t="2" v="7779"/>
    </bk>
    <bk>
      <rc t="2" v="7780"/>
    </bk>
    <bk>
      <rc t="2" v="7781"/>
    </bk>
    <bk>
      <rc t="2" v="7782"/>
    </bk>
    <bk>
      <rc t="2" v="7783"/>
    </bk>
    <bk>
      <rc t="2" v="7784"/>
    </bk>
    <bk>
      <rc t="2" v="7785"/>
    </bk>
    <bk>
      <rc t="2" v="7786"/>
    </bk>
    <bk>
      <rc t="2" v="7787"/>
    </bk>
    <bk>
      <rc t="2" v="7788"/>
    </bk>
    <bk>
      <rc t="2" v="7789"/>
    </bk>
    <bk>
      <rc t="2" v="7790"/>
    </bk>
    <bk>
      <rc t="2" v="7791"/>
    </bk>
    <bk>
      <rc t="2" v="7792"/>
    </bk>
    <bk>
      <rc t="2" v="7793"/>
    </bk>
    <bk>
      <rc t="2" v="7794"/>
    </bk>
    <bk>
      <rc t="2" v="7795"/>
    </bk>
    <bk>
      <rc t="2" v="7796"/>
    </bk>
    <bk>
      <rc t="2" v="7797"/>
    </bk>
    <bk>
      <rc t="2" v="7798"/>
    </bk>
    <bk>
      <rc t="2" v="7799"/>
    </bk>
    <bk>
      <rc t="2" v="7800"/>
    </bk>
    <bk>
      <rc t="2" v="7801"/>
    </bk>
    <bk>
      <rc t="2" v="7802"/>
    </bk>
    <bk>
      <rc t="2" v="7803"/>
    </bk>
    <bk>
      <rc t="2" v="7804"/>
    </bk>
    <bk>
      <rc t="2" v="7805"/>
    </bk>
    <bk>
      <rc t="2" v="7806"/>
    </bk>
    <bk>
      <rc t="2" v="7807"/>
    </bk>
    <bk>
      <rc t="2" v="7808"/>
    </bk>
    <bk>
      <rc t="2" v="7809"/>
    </bk>
    <bk>
      <rc t="2" v="7810"/>
    </bk>
    <bk>
      <rc t="2" v="7811"/>
    </bk>
    <bk>
      <rc t="2" v="7812"/>
    </bk>
    <bk>
      <rc t="2" v="7813"/>
    </bk>
    <bk>
      <rc t="2" v="7814"/>
    </bk>
    <bk>
      <rc t="2" v="7815"/>
    </bk>
    <bk>
      <rc t="2" v="7816"/>
    </bk>
    <bk>
      <rc t="2" v="7817"/>
    </bk>
    <bk>
      <rc t="2" v="7818"/>
    </bk>
    <bk>
      <rc t="2" v="7819"/>
    </bk>
    <bk>
      <rc t="2" v="7820"/>
    </bk>
    <bk>
      <rc t="2" v="7821"/>
    </bk>
    <bk>
      <rc t="2" v="7822"/>
    </bk>
    <bk>
      <rc t="2" v="7823"/>
    </bk>
    <bk>
      <rc t="2" v="7824"/>
    </bk>
    <bk>
      <rc t="2" v="7825"/>
    </bk>
    <bk>
      <rc t="2" v="7826"/>
    </bk>
    <bk>
      <rc t="2" v="7827"/>
    </bk>
    <bk>
      <rc t="2" v="7828"/>
    </bk>
    <bk>
      <rc t="2" v="7829"/>
    </bk>
    <bk>
      <rc t="2" v="7830"/>
    </bk>
    <bk>
      <rc t="2" v="7831"/>
    </bk>
    <bk>
      <rc t="2" v="7832"/>
    </bk>
    <bk>
      <rc t="2" v="7833"/>
    </bk>
    <bk>
      <rc t="2" v="7834"/>
    </bk>
    <bk>
      <rc t="2" v="7835"/>
    </bk>
    <bk>
      <rc t="2" v="7836"/>
    </bk>
    <bk>
      <rc t="2" v="7837"/>
    </bk>
    <bk>
      <rc t="2" v="7838"/>
    </bk>
    <bk>
      <rc t="2" v="7839"/>
    </bk>
    <bk>
      <rc t="2" v="7840"/>
    </bk>
    <bk>
      <rc t="2" v="7841"/>
    </bk>
    <bk>
      <rc t="2" v="7842"/>
    </bk>
    <bk>
      <rc t="2" v="7843"/>
    </bk>
    <bk>
      <rc t="2" v="7844"/>
    </bk>
    <bk>
      <rc t="2" v="7845"/>
    </bk>
    <bk>
      <rc t="2" v="7846"/>
    </bk>
    <bk>
      <rc t="2" v="7847"/>
    </bk>
    <bk>
      <rc t="2" v="7848"/>
    </bk>
    <bk>
      <rc t="2" v="7849"/>
    </bk>
    <bk>
      <rc t="2" v="7850"/>
    </bk>
    <bk>
      <rc t="2" v="7851"/>
    </bk>
    <bk>
      <rc t="2" v="7852"/>
    </bk>
    <bk>
      <rc t="2" v="7853"/>
    </bk>
    <bk>
      <rc t="2" v="7854"/>
    </bk>
    <bk>
      <rc t="2" v="7855"/>
    </bk>
    <bk>
      <rc t="2" v="7856"/>
    </bk>
    <bk>
      <rc t="2" v="7857"/>
    </bk>
    <bk>
      <rc t="2" v="7858"/>
    </bk>
    <bk>
      <rc t="2" v="7859"/>
    </bk>
    <bk>
      <rc t="2" v="7860"/>
    </bk>
    <bk>
      <rc t="2" v="7861"/>
    </bk>
    <bk>
      <rc t="2" v="7862"/>
    </bk>
    <bk>
      <rc t="2" v="7863"/>
    </bk>
    <bk>
      <rc t="2" v="7864"/>
    </bk>
    <bk>
      <rc t="2" v="7865"/>
    </bk>
    <bk>
      <rc t="2" v="7866"/>
    </bk>
    <bk>
      <rc t="2" v="7867"/>
    </bk>
    <bk>
      <rc t="2" v="7868"/>
    </bk>
    <bk>
      <rc t="2" v="7869"/>
    </bk>
    <bk>
      <rc t="2" v="7870"/>
    </bk>
    <bk>
      <rc t="2" v="7871"/>
    </bk>
    <bk>
      <rc t="2" v="7872"/>
    </bk>
    <bk>
      <rc t="2" v="7873"/>
    </bk>
    <bk>
      <rc t="2" v="7874"/>
    </bk>
    <bk>
      <rc t="2" v="7875"/>
    </bk>
    <bk>
      <rc t="2" v="7876"/>
    </bk>
    <bk>
      <rc t="2" v="7877"/>
    </bk>
    <bk>
      <rc t="2" v="7878"/>
    </bk>
    <bk>
      <rc t="2" v="7879"/>
    </bk>
    <bk>
      <rc t="2" v="7880"/>
    </bk>
    <bk>
      <rc t="2" v="7881"/>
    </bk>
    <bk>
      <rc t="2" v="7882"/>
    </bk>
    <bk>
      <rc t="2" v="7883"/>
    </bk>
    <bk>
      <rc t="2" v="7884"/>
    </bk>
    <bk>
      <rc t="2" v="7885"/>
    </bk>
    <bk>
      <rc t="2" v="7886"/>
    </bk>
    <bk>
      <rc t="2" v="7887"/>
    </bk>
    <bk>
      <rc t="2" v="7888"/>
    </bk>
    <bk>
      <rc t="2" v="7889"/>
    </bk>
    <bk>
      <rc t="2" v="7890"/>
    </bk>
    <bk>
      <rc t="2" v="7891"/>
    </bk>
    <bk>
      <rc t="2" v="7892"/>
    </bk>
    <bk>
      <rc t="2" v="7893"/>
    </bk>
    <bk>
      <rc t="2" v="7894"/>
    </bk>
    <bk>
      <rc t="2" v="7895"/>
    </bk>
    <bk>
      <rc t="2" v="7896"/>
    </bk>
    <bk>
      <rc t="2" v="7897"/>
    </bk>
    <bk>
      <rc t="2" v="7898"/>
    </bk>
    <bk>
      <rc t="2" v="7899"/>
    </bk>
    <bk>
      <rc t="2" v="7900"/>
    </bk>
    <bk>
      <rc t="2" v="7901"/>
    </bk>
    <bk>
      <rc t="2" v="7902"/>
    </bk>
    <bk>
      <rc t="2" v="7903"/>
    </bk>
    <bk>
      <rc t="2" v="7904"/>
    </bk>
    <bk>
      <rc t="2" v="7905"/>
    </bk>
    <bk>
      <rc t="2" v="7906"/>
    </bk>
    <bk>
      <rc t="2" v="7907"/>
    </bk>
    <bk>
      <rc t="2" v="7908"/>
    </bk>
    <bk>
      <rc t="2" v="7909"/>
    </bk>
    <bk>
      <rc t="2" v="7910"/>
    </bk>
    <bk>
      <rc t="2" v="7911"/>
    </bk>
    <bk>
      <rc t="2" v="7912"/>
    </bk>
    <bk>
      <rc t="2" v="7913"/>
    </bk>
    <bk>
      <rc t="2" v="7914"/>
    </bk>
    <bk>
      <rc t="2" v="7915"/>
    </bk>
    <bk>
      <rc t="2" v="7916"/>
    </bk>
    <bk>
      <rc t="2" v="7917"/>
    </bk>
    <bk>
      <rc t="2" v="7918"/>
    </bk>
    <bk>
      <rc t="2" v="7919"/>
    </bk>
    <bk>
      <rc t="2" v="7920"/>
    </bk>
    <bk>
      <rc t="2" v="7921"/>
    </bk>
    <bk>
      <rc t="2" v="7922"/>
    </bk>
    <bk>
      <rc t="2" v="7923"/>
    </bk>
    <bk>
      <rc t="2" v="7924"/>
    </bk>
    <bk>
      <rc t="2" v="7925"/>
    </bk>
    <bk>
      <rc t="2" v="7926"/>
    </bk>
    <bk>
      <rc t="2" v="7927"/>
    </bk>
    <bk>
      <rc t="2" v="7928"/>
    </bk>
    <bk>
      <rc t="2" v="7929"/>
    </bk>
    <bk>
      <rc t="2" v="7930"/>
    </bk>
    <bk>
      <rc t="2" v="7931"/>
    </bk>
    <bk>
      <rc t="2" v="7932"/>
    </bk>
    <bk>
      <rc t="2" v="7933"/>
    </bk>
    <bk>
      <rc t="2" v="7934"/>
    </bk>
    <bk>
      <rc t="2" v="7935"/>
    </bk>
    <bk>
      <rc t="2" v="7936"/>
    </bk>
    <bk>
      <rc t="2" v="7937"/>
    </bk>
    <bk>
      <rc t="2" v="7938"/>
    </bk>
    <bk>
      <rc t="2" v="7939"/>
    </bk>
    <bk>
      <rc t="2" v="7940"/>
    </bk>
    <bk>
      <rc t="2" v="7941"/>
    </bk>
    <bk>
      <rc t="2" v="7942"/>
    </bk>
    <bk>
      <rc t="2" v="7943"/>
    </bk>
    <bk>
      <rc t="2" v="7944"/>
    </bk>
    <bk>
      <rc t="2" v="7945"/>
    </bk>
    <bk>
      <rc t="2" v="7946"/>
    </bk>
    <bk>
      <rc t="2" v="7947"/>
    </bk>
    <bk>
      <rc t="2" v="7948"/>
    </bk>
    <bk>
      <rc t="2" v="7949"/>
    </bk>
    <bk>
      <rc t="2" v="7950"/>
    </bk>
    <bk>
      <rc t="2" v="7951"/>
    </bk>
    <bk>
      <rc t="2" v="7952"/>
    </bk>
    <bk>
      <rc t="2" v="7953"/>
    </bk>
    <bk>
      <rc t="2" v="7954"/>
    </bk>
    <bk>
      <rc t="2" v="7955"/>
    </bk>
    <bk>
      <rc t="2" v="7956"/>
    </bk>
    <bk>
      <rc t="2" v="7957"/>
    </bk>
    <bk>
      <rc t="2" v="7958"/>
    </bk>
    <bk>
      <rc t="2" v="7959"/>
    </bk>
    <bk>
      <rc t="2" v="7960"/>
    </bk>
    <bk>
      <rc t="2" v="7961"/>
    </bk>
    <bk>
      <rc t="2" v="7962"/>
    </bk>
    <bk>
      <rc t="2" v="7963"/>
    </bk>
    <bk>
      <rc t="2" v="7964"/>
    </bk>
    <bk>
      <rc t="2" v="7965"/>
    </bk>
    <bk>
      <rc t="2" v="7966"/>
    </bk>
    <bk>
      <rc t="2" v="7967"/>
    </bk>
    <bk>
      <rc t="2" v="7968"/>
    </bk>
    <bk>
      <rc t="2" v="7969"/>
    </bk>
    <bk>
      <rc t="2" v="7970"/>
    </bk>
    <bk>
      <rc t="2" v="7971"/>
    </bk>
    <bk>
      <rc t="2" v="7972"/>
    </bk>
    <bk>
      <rc t="2" v="7973"/>
    </bk>
    <bk>
      <rc t="2" v="7974"/>
    </bk>
    <bk>
      <rc t="2" v="7975"/>
    </bk>
    <bk>
      <rc t="2" v="7976"/>
    </bk>
    <bk>
      <rc t="2" v="7977"/>
    </bk>
    <bk>
      <rc t="2" v="7978"/>
    </bk>
    <bk>
      <rc t="2" v="7979"/>
    </bk>
    <bk>
      <rc t="2" v="7980"/>
    </bk>
    <bk>
      <rc t="2" v="7981"/>
    </bk>
    <bk>
      <rc t="2" v="7982"/>
    </bk>
    <bk>
      <rc t="2" v="7983"/>
    </bk>
    <bk>
      <rc t="2" v="7984"/>
    </bk>
    <bk>
      <rc t="2" v="7985"/>
    </bk>
    <bk>
      <rc t="2" v="7986"/>
    </bk>
    <bk>
      <rc t="2" v="7987"/>
    </bk>
    <bk>
      <rc t="2" v="7988"/>
    </bk>
    <bk>
      <rc t="2" v="7989"/>
    </bk>
    <bk>
      <rc t="2" v="7990"/>
    </bk>
    <bk>
      <rc t="2" v="7991"/>
    </bk>
    <bk>
      <rc t="2" v="7992"/>
    </bk>
    <bk>
      <rc t="2" v="7993"/>
    </bk>
    <bk>
      <rc t="2" v="7994"/>
    </bk>
    <bk>
      <rc t="2" v="7995"/>
    </bk>
    <bk>
      <rc t="2" v="7996"/>
    </bk>
    <bk>
      <rc t="2" v="7997"/>
    </bk>
    <bk>
      <rc t="2" v="7998"/>
    </bk>
    <bk>
      <rc t="2" v="7999"/>
    </bk>
    <bk>
      <rc t="2" v="8000"/>
    </bk>
    <bk>
      <rc t="2" v="8001"/>
    </bk>
    <bk>
      <rc t="2" v="8002"/>
    </bk>
    <bk>
      <rc t="2" v="8003"/>
    </bk>
    <bk>
      <rc t="2" v="8004"/>
    </bk>
    <bk>
      <rc t="2" v="8005"/>
    </bk>
    <bk>
      <rc t="2" v="8006"/>
    </bk>
    <bk>
      <rc t="2" v="8007"/>
    </bk>
    <bk>
      <rc t="2" v="8008"/>
    </bk>
    <bk>
      <rc t="2" v="8009"/>
    </bk>
    <bk>
      <rc t="2" v="8010"/>
    </bk>
    <bk>
      <rc t="2" v="8011"/>
    </bk>
    <bk>
      <rc t="2" v="8012"/>
    </bk>
    <bk>
      <rc t="2" v="8013"/>
    </bk>
    <bk>
      <rc t="2" v="8014"/>
    </bk>
    <bk>
      <rc t="2" v="8015"/>
    </bk>
    <bk>
      <rc t="2" v="8016"/>
    </bk>
    <bk>
      <rc t="2" v="8017"/>
    </bk>
    <bk>
      <rc t="2" v="8018"/>
    </bk>
    <bk>
      <rc t="2" v="8019"/>
    </bk>
    <bk>
      <rc t="2" v="8020"/>
    </bk>
    <bk>
      <rc t="2" v="8021"/>
    </bk>
    <bk>
      <rc t="2" v="8022"/>
    </bk>
    <bk>
      <rc t="2" v="8023"/>
    </bk>
    <bk>
      <rc t="2" v="8024"/>
    </bk>
    <bk>
      <rc t="2" v="8025"/>
    </bk>
    <bk>
      <rc t="2" v="8026"/>
    </bk>
    <bk>
      <rc t="2" v="8027"/>
    </bk>
    <bk>
      <rc t="2" v="8028"/>
    </bk>
    <bk>
      <rc t="2" v="8029"/>
    </bk>
    <bk>
      <rc t="2" v="8030"/>
    </bk>
    <bk>
      <rc t="2" v="8031"/>
    </bk>
    <bk>
      <rc t="2" v="8032"/>
    </bk>
    <bk>
      <rc t="2" v="8033"/>
    </bk>
    <bk>
      <rc t="2" v="8034"/>
    </bk>
    <bk>
      <rc t="2" v="8035"/>
    </bk>
    <bk>
      <rc t="2" v="8036"/>
    </bk>
    <bk>
      <rc t="2" v="8037"/>
    </bk>
    <bk>
      <rc t="2" v="8038"/>
    </bk>
    <bk>
      <rc t="2" v="8039"/>
    </bk>
    <bk>
      <rc t="2" v="8040"/>
    </bk>
    <bk>
      <rc t="2" v="8041"/>
    </bk>
    <bk>
      <rc t="2" v="8042"/>
    </bk>
    <bk>
      <rc t="2" v="8043"/>
    </bk>
    <bk>
      <rc t="2" v="8044"/>
    </bk>
    <bk>
      <rc t="2" v="8045"/>
    </bk>
    <bk>
      <rc t="2" v="8046"/>
    </bk>
    <bk>
      <rc t="2" v="8047"/>
    </bk>
    <bk>
      <rc t="2" v="8048"/>
    </bk>
    <bk>
      <rc t="2" v="8049"/>
    </bk>
    <bk>
      <rc t="2" v="8050"/>
    </bk>
    <bk>
      <rc t="2" v="8051"/>
    </bk>
    <bk>
      <rc t="2" v="8052"/>
    </bk>
    <bk>
      <rc t="2" v="8053"/>
    </bk>
    <bk>
      <rc t="2" v="8054"/>
    </bk>
    <bk>
      <rc t="2" v="8055"/>
    </bk>
    <bk>
      <rc t="2" v="8056"/>
    </bk>
    <bk>
      <rc t="2" v="8057"/>
    </bk>
    <bk>
      <rc t="2" v="8058"/>
    </bk>
    <bk>
      <rc t="2" v="8059"/>
    </bk>
    <bk>
      <rc t="2" v="8060"/>
    </bk>
    <bk>
      <rc t="2" v="8061"/>
    </bk>
    <bk>
      <rc t="2" v="8062"/>
    </bk>
    <bk>
      <rc t="2" v="8063"/>
    </bk>
    <bk>
      <rc t="2" v="8064"/>
    </bk>
    <bk>
      <rc t="2" v="8065"/>
    </bk>
    <bk>
      <rc t="2" v="8067"/>
    </bk>
    <bk>
      <rc t="2" v="8068"/>
    </bk>
    <bk>
      <rc t="2" v="8069"/>
    </bk>
    <bk>
      <rc t="2" v="8070"/>
    </bk>
    <bk>
      <rc t="2" v="8071"/>
    </bk>
    <bk>
      <rc t="2" v="8072"/>
    </bk>
    <bk>
      <rc t="2" v="8073"/>
    </bk>
    <bk>
      <rc t="2" v="8074"/>
    </bk>
    <bk>
      <rc t="2" v="8075"/>
    </bk>
    <bk>
      <rc t="2" v="8076"/>
    </bk>
    <bk>
      <rc t="2" v="8077"/>
    </bk>
    <bk>
      <rc t="2" v="8078"/>
    </bk>
    <bk>
      <rc t="2" v="8079"/>
    </bk>
    <bk>
      <rc t="2" v="8080"/>
    </bk>
    <bk>
      <rc t="2" v="8081"/>
    </bk>
    <bk>
      <rc t="2" v="8082"/>
    </bk>
    <bk>
      <rc t="2" v="8083"/>
    </bk>
    <bk>
      <rc t="2" v="8084"/>
    </bk>
    <bk>
      <rc t="2" v="8085"/>
    </bk>
    <bk>
      <rc t="2" v="8086"/>
    </bk>
    <bk>
      <rc t="2" v="8066"/>
    </bk>
    <bk>
      <rc t="2" v="8092"/>
    </bk>
    <bk>
      <rc t="2" v="8093"/>
    </bk>
    <bk>
      <rc t="2" v="8087"/>
    </bk>
    <bk>
      <rc t="2" v="8094"/>
    </bk>
    <bk>
      <rc t="2" v="8095"/>
    </bk>
    <bk>
      <rc t="2" v="8096"/>
    </bk>
    <bk>
      <rc t="2" v="8097"/>
    </bk>
    <bk>
      <rc t="2" v="8098"/>
    </bk>
    <bk>
      <rc t="2" v="8099"/>
    </bk>
    <bk>
      <rc t="2" v="8100"/>
    </bk>
    <bk>
      <rc t="2" v="8088"/>
    </bk>
    <bk>
      <rc t="2" v="8101"/>
    </bk>
    <bk>
      <rc t="2" v="8102"/>
    </bk>
    <bk>
      <rc t="2" v="8103"/>
    </bk>
    <bk>
      <rc t="2" v="8104"/>
    </bk>
    <bk>
      <rc t="2" v="8089"/>
    </bk>
    <bk>
      <rc t="2" v="8105"/>
    </bk>
    <bk>
      <rc t="2" v="8090"/>
    </bk>
    <bk>
      <rc t="2" v="8106"/>
    </bk>
    <bk>
      <rc t="2" v="8107"/>
    </bk>
    <bk>
      <rc t="2" v="8108"/>
    </bk>
    <bk>
      <rc t="2" v="8109"/>
    </bk>
    <bk>
      <rc t="2" v="8110"/>
    </bk>
    <bk>
      <rc t="2" v="8111"/>
    </bk>
    <bk>
      <rc t="2" v="8112"/>
    </bk>
    <bk>
      <rc t="2" v="8113"/>
    </bk>
    <bk>
      <rc t="2" v="8114"/>
    </bk>
    <bk>
      <rc t="2" v="8115"/>
    </bk>
    <bk>
      <rc t="2" v="8116"/>
    </bk>
    <bk>
      <rc t="2" v="8117"/>
    </bk>
    <bk>
      <rc t="2" v="8118"/>
    </bk>
    <bk>
      <rc t="2" v="8119"/>
    </bk>
    <bk>
      <rc t="2" v="8120"/>
    </bk>
    <bk>
      <rc t="2" v="8121"/>
    </bk>
    <bk>
      <rc t="2" v="8122"/>
    </bk>
    <bk>
      <rc t="2" v="8091"/>
    </bk>
    <bk>
      <rc t="2" v="8123"/>
    </bk>
    <bk>
      <rc t="2" v="8124"/>
    </bk>
    <bk>
      <rc t="2" v="8125"/>
    </bk>
    <bk>
      <rc t="2" v="8126"/>
    </bk>
    <bk>
      <rc t="2" v="8127"/>
    </bk>
    <bk>
      <rc t="2" v="8128"/>
    </bk>
    <bk>
      <rc t="2" v="8129"/>
    </bk>
    <bk>
      <rc t="2" v="8130"/>
    </bk>
    <bk>
      <rc t="2" v="8131"/>
    </bk>
    <bk>
      <rc t="2" v="8132"/>
    </bk>
    <bk>
      <rc t="2" v="8133"/>
    </bk>
    <bk>
      <rc t="2" v="8134"/>
    </bk>
    <bk>
      <rc t="2" v="8135"/>
    </bk>
    <bk>
      <rc t="2" v="8136"/>
    </bk>
    <bk>
      <rc t="2" v="8137"/>
    </bk>
    <bk>
      <rc t="2" v="8138"/>
    </bk>
    <bk>
      <rc t="2" v="8139"/>
    </bk>
    <bk>
      <rc t="2" v="8140"/>
    </bk>
    <bk>
      <rc t="2" v="8141"/>
    </bk>
    <bk>
      <rc t="2" v="8142"/>
    </bk>
    <bk>
      <rc t="2" v="8143"/>
    </bk>
    <bk>
      <rc t="2" v="8144"/>
    </bk>
    <bk>
      <rc t="2" v="8145"/>
    </bk>
    <bk>
      <rc t="2" v="8146"/>
    </bk>
    <bk>
      <rc t="2" v="8147"/>
    </bk>
    <bk>
      <rc t="2" v="8148"/>
    </bk>
    <bk>
      <rc t="2" v="8149"/>
    </bk>
    <bk>
      <rc t="2" v="8152"/>
    </bk>
    <bk>
      <rc t="2" v="8153"/>
    </bk>
    <bk>
      <rc t="2" v="8154"/>
    </bk>
    <bk>
      <rc t="2" v="8155"/>
    </bk>
    <bk>
      <rc t="2" v="8156"/>
    </bk>
    <bk>
      <rc t="2" v="8157"/>
    </bk>
    <bk>
      <rc t="2" v="8150"/>
    </bk>
    <bk>
      <rc t="2" v="8158"/>
    </bk>
    <bk>
      <rc t="2" v="8159"/>
    </bk>
    <bk>
      <rc t="2" v="8160"/>
    </bk>
    <bk>
      <rc t="2" v="8161"/>
    </bk>
    <bk>
      <rc t="2" v="8162"/>
    </bk>
    <bk>
      <rc t="2" v="8163"/>
    </bk>
    <bk>
      <rc t="2" v="8164"/>
    </bk>
    <bk>
      <rc t="2" v="8165"/>
    </bk>
    <bk>
      <rc t="2" v="8166"/>
    </bk>
    <bk>
      <rc t="2" v="8167"/>
    </bk>
    <bk>
      <rc t="2" v="8168"/>
    </bk>
    <bk>
      <rc t="2" v="8169"/>
    </bk>
    <bk>
      <rc t="2" v="8170"/>
    </bk>
    <bk>
      <rc t="2" v="8171"/>
    </bk>
    <bk>
      <rc t="2" v="8172"/>
    </bk>
    <bk>
      <rc t="2" v="8173"/>
    </bk>
    <bk>
      <rc t="2" v="8151"/>
    </bk>
    <bk>
      <rc t="2" v="8174"/>
    </bk>
    <bk>
      <rc t="2" v="8175"/>
    </bk>
    <bk>
      <rc t="2" v="8176"/>
    </bk>
    <bk>
      <rc t="2" v="8177"/>
    </bk>
    <bk>
      <rc t="2" v="8178"/>
    </bk>
    <bk>
      <rc t="2" v="8179"/>
    </bk>
    <bk>
      <rc t="2" v="8180"/>
    </bk>
    <bk>
      <rc t="2" v="8181"/>
    </bk>
    <bk>
      <rc t="2" v="8182"/>
    </bk>
    <bk>
      <rc t="2" v="8183"/>
    </bk>
    <bk>
      <rc t="2" v="8184"/>
    </bk>
    <bk>
      <rc t="2" v="8185"/>
    </bk>
    <bk>
      <rc t="2" v="8186"/>
    </bk>
    <bk>
      <rc t="2" v="8187"/>
    </bk>
    <bk>
      <rc t="2" v="8188"/>
    </bk>
    <bk>
      <rc t="2" v="8189"/>
    </bk>
    <bk>
      <rc t="2" v="8190"/>
    </bk>
    <bk>
      <rc t="2" v="8191"/>
    </bk>
    <bk>
      <rc t="2" v="8192"/>
    </bk>
    <bk>
      <rc t="2" v="8193"/>
    </bk>
    <bk>
      <rc t="2" v="8194"/>
    </bk>
    <bk>
      <rc t="2" v="8195"/>
    </bk>
    <bk>
      <rc t="2" v="8196"/>
    </bk>
    <bk>
      <rc t="2" v="8197"/>
    </bk>
    <bk>
      <rc t="2" v="8198"/>
    </bk>
    <bk>
      <rc t="2" v="8199"/>
    </bk>
    <bk>
      <rc t="2" v="8200"/>
    </bk>
    <bk>
      <rc t="2" v="8201"/>
    </bk>
    <bk>
      <rc t="2" v="8202"/>
    </bk>
    <bk>
      <rc t="2" v="8203"/>
    </bk>
    <bk>
      <rc t="2" v="8204"/>
    </bk>
    <bk>
      <rc t="2" v="8205"/>
    </bk>
    <bk>
      <rc t="2" v="8206"/>
    </bk>
    <bk>
      <rc t="2" v="8207"/>
    </bk>
    <bk>
      <rc t="2" v="8208"/>
    </bk>
    <bk>
      <rc t="2" v="8209"/>
    </bk>
    <bk>
      <rc t="2" v="8210"/>
    </bk>
    <bk>
      <rc t="2" v="8211"/>
    </bk>
    <bk>
      <rc t="2" v="8212"/>
    </bk>
    <bk>
      <rc t="2" v="8213"/>
    </bk>
    <bk>
      <rc t="2" v="8214"/>
    </bk>
    <bk>
      <rc t="2" v="8215"/>
    </bk>
    <bk>
      <rc t="2" v="8216"/>
    </bk>
    <bk>
      <rc t="2" v="8217"/>
    </bk>
    <bk>
      <rc t="2" v="8218"/>
    </bk>
    <bk>
      <rc t="2" v="8219"/>
    </bk>
    <bk>
      <rc t="2" v="8220"/>
    </bk>
    <bk>
      <rc t="2" v="8221"/>
    </bk>
    <bk>
      <rc t="2" v="8222"/>
    </bk>
    <bk>
      <rc t="2" v="8223"/>
    </bk>
    <bk>
      <rc t="2" v="8224"/>
    </bk>
    <bk>
      <rc t="2" v="8225"/>
    </bk>
    <bk>
      <rc t="2" v="8226"/>
    </bk>
    <bk>
      <rc t="2" v="8227"/>
    </bk>
    <bk>
      <rc t="2" v="8228"/>
    </bk>
    <bk>
      <rc t="2" v="8229"/>
    </bk>
    <bk>
      <rc t="2" v="8230"/>
    </bk>
    <bk>
      <rc t="2" v="8231"/>
    </bk>
    <bk>
      <rc t="2" v="8232"/>
    </bk>
    <bk>
      <rc t="2" v="8233"/>
    </bk>
    <bk>
      <rc t="2" v="8234"/>
    </bk>
    <bk>
      <rc t="2" v="8235"/>
    </bk>
    <bk>
      <rc t="2" v="8236"/>
    </bk>
    <bk>
      <rc t="2" v="8237"/>
    </bk>
    <bk>
      <rc t="2" v="8238"/>
    </bk>
    <bk>
      <rc t="2" v="8239"/>
    </bk>
    <bk>
      <rc t="2" v="8240"/>
    </bk>
    <bk>
      <rc t="2" v="8241"/>
    </bk>
    <bk>
      <rc t="2" v="8242"/>
    </bk>
    <bk>
      <rc t="2" v="8243"/>
    </bk>
    <bk>
      <rc t="2" v="8244"/>
    </bk>
    <bk>
      <rc t="2" v="8245"/>
    </bk>
    <bk>
      <rc t="2" v="8246"/>
    </bk>
    <bk>
      <rc t="2" v="8247"/>
    </bk>
    <bk>
      <rc t="2" v="8248"/>
    </bk>
    <bk>
      <rc t="2" v="8249"/>
    </bk>
    <bk>
      <rc t="2" v="8250"/>
    </bk>
    <bk>
      <rc t="2" v="8251"/>
    </bk>
    <bk>
      <rc t="2" v="8252"/>
    </bk>
    <bk>
      <rc t="2" v="8253"/>
    </bk>
    <bk>
      <rc t="2" v="8254"/>
    </bk>
    <bk>
      <rc t="2" v="8255"/>
    </bk>
    <bk>
      <rc t="2" v="8256"/>
    </bk>
    <bk>
      <rc t="2" v="8257"/>
    </bk>
    <bk>
      <rc t="2" v="8258"/>
    </bk>
    <bk>
      <rc t="2" v="8259"/>
    </bk>
    <bk>
      <rc t="2" v="8260"/>
    </bk>
    <bk>
      <rc t="2" v="8261"/>
    </bk>
    <bk>
      <rc t="2" v="8262"/>
    </bk>
    <bk>
      <rc t="2" v="8263"/>
    </bk>
    <bk>
      <rc t="2" v="8264"/>
    </bk>
    <bk>
      <rc t="2" v="8265"/>
    </bk>
    <bk>
      <rc t="2" v="8266"/>
    </bk>
    <bk>
      <rc t="2" v="8267"/>
    </bk>
    <bk>
      <rc t="2" v="8268"/>
    </bk>
    <bk>
      <rc t="2" v="8269"/>
    </bk>
    <bk>
      <rc t="2" v="8270"/>
    </bk>
    <bk>
      <rc t="2" v="8272"/>
    </bk>
    <bk>
      <rc t="2" v="8271"/>
    </bk>
    <bk>
      <rc t="2" v="8273"/>
    </bk>
    <bk>
      <rc t="2" v="8274"/>
    </bk>
    <bk>
      <rc t="2" v="8275"/>
    </bk>
    <bk>
      <rc t="2" v="8276"/>
    </bk>
    <bk>
      <rc t="2" v="8277"/>
    </bk>
    <bk>
      <rc t="2" v="8278"/>
    </bk>
    <bk>
      <rc t="2" v="8279"/>
    </bk>
    <bk>
      <rc t="2" v="8280"/>
    </bk>
    <bk>
      <rc t="2" v="8281"/>
    </bk>
    <bk>
      <rc t="2" v="8282"/>
    </bk>
    <bk>
      <rc t="2" v="8283"/>
    </bk>
    <bk>
      <rc t="2" v="8284"/>
    </bk>
    <bk>
      <rc t="2" v="8285"/>
    </bk>
    <bk>
      <rc t="2" v="8286"/>
    </bk>
    <bk>
      <rc t="2" v="8287"/>
    </bk>
    <bk>
      <rc t="2" v="8288"/>
    </bk>
    <bk>
      <rc t="2" v="8289"/>
    </bk>
    <bk>
      <rc t="2" v="8290"/>
    </bk>
    <bk>
      <rc t="2" v="8291"/>
    </bk>
    <bk>
      <rc t="2" v="8292"/>
    </bk>
    <bk>
      <rc t="2" v="8293"/>
    </bk>
    <bk>
      <rc t="2" v="8294"/>
    </bk>
    <bk>
      <rc t="2" v="8295"/>
    </bk>
    <bk>
      <rc t="2" v="8296"/>
    </bk>
    <bk>
      <rc t="2" v="8297"/>
    </bk>
    <bk>
      <rc t="2" v="8298"/>
    </bk>
    <bk>
      <rc t="2" v="8299"/>
    </bk>
    <bk>
      <rc t="2" v="8300"/>
    </bk>
    <bk>
      <rc t="2" v="8301"/>
    </bk>
    <bk>
      <rc t="2" v="8302"/>
    </bk>
    <bk>
      <rc t="2" v="8303"/>
    </bk>
    <bk>
      <rc t="2" v="8304"/>
    </bk>
    <bk>
      <rc t="2" v="8305"/>
    </bk>
    <bk>
      <rc t="2" v="8306"/>
    </bk>
    <bk>
      <rc t="2" v="8307"/>
    </bk>
    <bk>
      <rc t="2" v="8308"/>
    </bk>
    <bk>
      <rc t="2" v="8309"/>
    </bk>
    <bk>
      <rc t="2" v="8310"/>
    </bk>
    <bk>
      <rc t="2" v="8311"/>
    </bk>
    <bk>
      <rc t="2" v="8312"/>
    </bk>
    <bk>
      <rc t="2" v="8313"/>
    </bk>
    <bk>
      <rc t="2" v="8314"/>
    </bk>
    <bk>
      <rc t="2" v="8315"/>
    </bk>
    <bk>
      <rc t="2" v="8316"/>
    </bk>
    <bk>
      <rc t="2" v="8317"/>
    </bk>
    <bk>
      <rc t="2" v="8318"/>
    </bk>
    <bk>
      <rc t="2" v="8319"/>
    </bk>
    <bk>
      <rc t="2" v="8320"/>
    </bk>
    <bk>
      <rc t="2" v="8321"/>
    </bk>
    <bk>
      <rc t="2" v="8322"/>
    </bk>
    <bk>
      <rc t="2" v="8323"/>
    </bk>
    <bk>
      <rc t="2" v="8324"/>
    </bk>
    <bk>
      <rc t="2" v="8325"/>
    </bk>
    <bk>
      <rc t="2" v="8326"/>
    </bk>
    <bk>
      <rc t="2" v="8327"/>
    </bk>
    <bk>
      <rc t="2" v="8328"/>
    </bk>
    <bk>
      <rc t="2" v="8329"/>
    </bk>
    <bk>
      <rc t="2" v="8330"/>
    </bk>
    <bk>
      <rc t="2" v="8331"/>
    </bk>
    <bk>
      <rc t="2" v="8332"/>
    </bk>
    <bk>
      <rc t="2" v="8333"/>
    </bk>
    <bk>
      <rc t="2" v="8334"/>
    </bk>
    <bk>
      <rc t="2" v="8335"/>
    </bk>
    <bk>
      <rc t="2" v="8336"/>
    </bk>
    <bk>
      <rc t="2" v="8337"/>
    </bk>
    <bk>
      <rc t="2" v="8338"/>
    </bk>
    <bk>
      <rc t="2" v="8339"/>
    </bk>
    <bk>
      <rc t="2" v="8340"/>
    </bk>
    <bk>
      <rc t="2" v="8341"/>
    </bk>
    <bk>
      <rc t="2" v="8342"/>
    </bk>
    <bk>
      <rc t="2" v="8343"/>
    </bk>
    <bk>
      <rc t="2" v="8349"/>
    </bk>
    <bk>
      <rc t="2" v="8350"/>
    </bk>
    <bk>
      <rc t="2" v="8351"/>
    </bk>
    <bk>
      <rc t="2" v="8352"/>
    </bk>
    <bk>
      <rc t="2" v="8353"/>
    </bk>
    <bk>
      <rc t="2" v="8354"/>
    </bk>
    <bk>
      <rc t="2" v="8355"/>
    </bk>
    <bk>
      <rc t="2" v="8344"/>
    </bk>
    <bk>
      <rc t="2" v="8356"/>
    </bk>
    <bk>
      <rc t="2" v="8357"/>
    </bk>
    <bk>
      <rc t="2" v="8358"/>
    </bk>
    <bk>
      <rc t="2" v="8345"/>
    </bk>
    <bk>
      <rc t="2" v="8359"/>
    </bk>
    <bk>
      <rc t="2" v="8360"/>
    </bk>
    <bk>
      <rc t="2" v="8361"/>
    </bk>
    <bk>
      <rc t="2" v="8362"/>
    </bk>
    <bk>
      <rc t="2" v="8363"/>
    </bk>
    <bk>
      <rc t="2" v="8364"/>
    </bk>
    <bk>
      <rc t="2" v="8365"/>
    </bk>
    <bk>
      <rc t="2" v="8346"/>
    </bk>
    <bk>
      <rc t="2" v="8366"/>
    </bk>
    <bk>
      <rc t="2" v="8367"/>
    </bk>
    <bk>
      <rc t="2" v="8368"/>
    </bk>
    <bk>
      <rc t="2" v="8369"/>
    </bk>
    <bk>
      <rc t="2" v="8370"/>
    </bk>
    <bk>
      <rc t="2" v="8371"/>
    </bk>
    <bk>
      <rc t="2" v="8372"/>
    </bk>
    <bk>
      <rc t="2" v="8373"/>
    </bk>
    <bk>
      <rc t="2" v="8374"/>
    </bk>
    <bk>
      <rc t="2" v="8375"/>
    </bk>
    <bk>
      <rc t="2" v="8376"/>
    </bk>
    <bk>
      <rc t="2" v="8377"/>
    </bk>
    <bk>
      <rc t="2" v="8348"/>
    </bk>
    <bk>
      <rc t="2" v="8378"/>
    </bk>
    <bk>
      <rc t="2" v="8379"/>
    </bk>
    <bk>
      <rc t="2" v="8347"/>
    </bk>
    <bk>
      <rc t="2" v="8380"/>
    </bk>
    <bk>
      <rc t="2" v="8381"/>
    </bk>
    <bk>
      <rc t="2" v="8382"/>
    </bk>
    <bk>
      <rc t="2" v="8383"/>
    </bk>
    <bk>
      <rc t="2" v="8384"/>
    </bk>
    <bk>
      <rc t="2" v="8386"/>
    </bk>
    <bk>
      <rc t="2" v="8385"/>
    </bk>
    <bk>
      <rc t="2" v="8387"/>
    </bk>
    <bk>
      <rc t="2" v="8388"/>
    </bk>
    <bk>
      <rc t="2" v="8389"/>
    </bk>
    <bk>
      <rc t="2" v="8390"/>
    </bk>
    <bk>
      <rc t="2" v="8391"/>
    </bk>
    <bk>
      <rc t="2" v="8392"/>
    </bk>
    <bk>
      <rc t="2" v="8393"/>
    </bk>
    <bk>
      <rc t="2" v="8394"/>
    </bk>
    <bk>
      <rc t="2" v="8395"/>
    </bk>
    <bk>
      <rc t="2" v="8396"/>
    </bk>
    <bk>
      <rc t="2" v="8397"/>
    </bk>
    <bk>
      <rc t="2" v="8398"/>
    </bk>
    <bk>
      <rc t="2" v="8399"/>
    </bk>
    <bk>
      <rc t="2" v="8400"/>
    </bk>
    <bk>
      <rc t="2" v="8401"/>
    </bk>
    <bk>
      <rc t="2" v="8402"/>
    </bk>
    <bk>
      <rc t="2" v="8403"/>
    </bk>
    <bk>
      <rc t="2" v="8404"/>
    </bk>
    <bk>
      <rc t="2" v="8405"/>
    </bk>
    <bk>
      <rc t="2" v="8406"/>
    </bk>
    <bk>
      <rc t="2" v="8407"/>
    </bk>
    <bk>
      <rc t="2" v="8408"/>
    </bk>
    <bk>
      <rc t="2" v="8409"/>
    </bk>
    <bk>
      <rc t="2" v="8410"/>
    </bk>
    <bk>
      <rc t="2" v="8411"/>
    </bk>
    <bk>
      <rc t="2" v="8412"/>
    </bk>
    <bk>
      <rc t="2" v="8413"/>
    </bk>
    <bk>
      <rc t="2" v="8414"/>
    </bk>
    <bk>
      <rc t="2" v="8415"/>
    </bk>
    <bk>
      <rc t="2" v="8416"/>
    </bk>
    <bk>
      <rc t="2" v="8417"/>
    </bk>
    <bk>
      <rc t="2" v="8418"/>
    </bk>
    <bk>
      <rc t="2" v="8419"/>
    </bk>
    <bk>
      <rc t="2" v="8420"/>
    </bk>
    <bk>
      <rc t="2" v="8421"/>
    </bk>
    <bk>
      <rc t="2" v="8422"/>
    </bk>
    <bk>
      <rc t="2" v="8423"/>
    </bk>
    <bk>
      <rc t="2" v="8424"/>
    </bk>
    <bk>
      <rc t="2" v="8425"/>
    </bk>
    <bk>
      <rc t="2" v="8426"/>
    </bk>
    <bk>
      <rc t="2" v="8427"/>
    </bk>
    <bk>
      <rc t="2" v="8428"/>
    </bk>
    <bk>
      <rc t="2" v="8429"/>
    </bk>
    <bk>
      <rc t="2" v="8430"/>
    </bk>
    <bk>
      <rc t="2" v="8431"/>
    </bk>
    <bk>
      <rc t="2" v="8432"/>
    </bk>
    <bk>
      <rc t="2" v="8433"/>
    </bk>
    <bk>
      <rc t="2" v="8434"/>
    </bk>
    <bk>
      <rc t="2" v="8435"/>
    </bk>
    <bk>
      <rc t="2" v="8436"/>
    </bk>
    <bk>
      <rc t="2" v="8437"/>
    </bk>
    <bk>
      <rc t="2" v="8438"/>
    </bk>
    <bk>
      <rc t="2" v="8439"/>
    </bk>
    <bk>
      <rc t="2" v="8440"/>
    </bk>
    <bk>
      <rc t="2" v="8441"/>
    </bk>
    <bk>
      <rc t="2" v="8442"/>
    </bk>
    <bk>
      <rc t="2" v="8443"/>
    </bk>
    <bk>
      <rc t="2" v="8444"/>
    </bk>
    <bk>
      <rc t="2" v="8445"/>
    </bk>
    <bk>
      <rc t="2" v="8446"/>
    </bk>
    <bk>
      <rc t="2" v="8447"/>
    </bk>
    <bk>
      <rc t="2" v="8448"/>
    </bk>
    <bk>
      <rc t="2" v="8449"/>
    </bk>
    <bk>
      <rc t="2" v="8450"/>
    </bk>
    <bk>
      <rc t="2" v="8451"/>
    </bk>
    <bk>
      <rc t="2" v="8452"/>
    </bk>
    <bk>
      <rc t="2" v="8453"/>
    </bk>
    <bk>
      <rc t="2" v="8454"/>
    </bk>
    <bk>
      <rc t="2" v="8455"/>
    </bk>
    <bk>
      <rc t="2" v="8456"/>
    </bk>
    <bk>
      <rc t="2" v="8457"/>
    </bk>
    <bk>
      <rc t="2" v="8458"/>
    </bk>
    <bk>
      <rc t="2" v="8459"/>
    </bk>
    <bk>
      <rc t="2" v="8460"/>
    </bk>
    <bk>
      <rc t="2" v="8461"/>
    </bk>
    <bk>
      <rc t="2" v="8462"/>
    </bk>
    <bk>
      <rc t="2" v="8463"/>
    </bk>
    <bk>
      <rc t="2" v="8464"/>
    </bk>
    <bk>
      <rc t="2" v="8465"/>
    </bk>
    <bk>
      <rc t="2" v="8466"/>
    </bk>
    <bk>
      <rc t="2" v="8467"/>
    </bk>
    <bk>
      <rc t="2" v="8468"/>
    </bk>
    <bk>
      <rc t="2" v="8469"/>
    </bk>
    <bk>
      <rc t="2" v="8470"/>
    </bk>
    <bk>
      <rc t="2" v="8471"/>
    </bk>
    <bk>
      <rc t="2" v="8472"/>
    </bk>
    <bk>
      <rc t="2" v="8473"/>
    </bk>
    <bk>
      <rc t="2" v="8474"/>
    </bk>
    <bk>
      <rc t="2" v="8475"/>
    </bk>
    <bk>
      <rc t="2" v="8476"/>
    </bk>
    <bk>
      <rc t="2" v="8477"/>
    </bk>
    <bk>
      <rc t="2" v="8478"/>
    </bk>
    <bk>
      <rc t="2" v="8479"/>
    </bk>
    <bk>
      <rc t="2" v="8480"/>
    </bk>
    <bk>
      <rc t="2" v="8481"/>
    </bk>
    <bk>
      <rc t="2" v="8482"/>
    </bk>
    <bk>
      <rc t="2" v="8483"/>
    </bk>
    <bk>
      <rc t="2" v="8484"/>
    </bk>
    <bk>
      <rc t="2" v="8485"/>
    </bk>
    <bk>
      <rc t="2" v="8486"/>
    </bk>
    <bk>
      <rc t="2" v="8487"/>
    </bk>
    <bk>
      <rc t="2" v="8488"/>
    </bk>
    <bk>
      <rc t="2" v="8489"/>
    </bk>
    <bk>
      <rc t="2" v="8490"/>
    </bk>
    <bk>
      <rc t="2" v="8491"/>
    </bk>
    <bk>
      <rc t="2" v="8492"/>
    </bk>
    <bk>
      <rc t="2" v="8493"/>
    </bk>
    <bk>
      <rc t="2" v="8494"/>
    </bk>
    <bk>
      <rc t="2" v="8495"/>
    </bk>
    <bk>
      <rc t="2" v="8496"/>
    </bk>
    <bk>
      <rc t="2" v="8497"/>
    </bk>
    <bk>
      <rc t="2" v="8498"/>
    </bk>
    <bk>
      <rc t="2" v="8499"/>
    </bk>
    <bk>
      <rc t="2" v="8500"/>
    </bk>
    <bk>
      <rc t="2" v="8501"/>
    </bk>
    <bk>
      <rc t="2" v="8502"/>
    </bk>
    <bk>
      <rc t="2" v="8503"/>
    </bk>
    <bk>
      <rc t="2" v="8504"/>
    </bk>
    <bk>
      <rc t="2" v="8505"/>
    </bk>
    <bk>
      <rc t="2" v="8506"/>
    </bk>
    <bk>
      <rc t="2" v="8507"/>
    </bk>
    <bk>
      <rc t="2" v="8508"/>
    </bk>
    <bk>
      <rc t="2" v="8509"/>
    </bk>
    <bk>
      <rc t="2" v="8510"/>
    </bk>
    <bk>
      <rc t="2" v="8511"/>
    </bk>
    <bk>
      <rc t="2" v="8512"/>
    </bk>
    <bk>
      <rc t="2" v="8513"/>
    </bk>
    <bk>
      <rc t="2" v="8514"/>
    </bk>
    <bk>
      <rc t="2" v="8515"/>
    </bk>
    <bk>
      <rc t="2" v="8516"/>
    </bk>
    <bk>
      <rc t="2" v="8517"/>
    </bk>
    <bk>
      <rc t="2" v="8518"/>
    </bk>
    <bk>
      <rc t="2" v="8519"/>
    </bk>
    <bk>
      <rc t="2" v="8520"/>
    </bk>
    <bk>
      <rc t="2" v="8521"/>
    </bk>
    <bk>
      <rc t="2" v="8522"/>
    </bk>
    <bk>
      <rc t="2" v="8523"/>
    </bk>
    <bk>
      <rc t="2" v="8524"/>
    </bk>
    <bk>
      <rc t="2" v="8525"/>
    </bk>
    <bk>
      <rc t="2" v="8526"/>
    </bk>
    <bk>
      <rc t="2" v="8527"/>
    </bk>
    <bk>
      <rc t="2" v="8528"/>
    </bk>
    <bk>
      <rc t="2" v="8529"/>
    </bk>
    <bk>
      <rc t="2" v="8530"/>
    </bk>
    <bk>
      <rc t="2" v="8531"/>
    </bk>
    <bk>
      <rc t="2" v="8532"/>
    </bk>
    <bk>
      <rc t="2" v="8533"/>
    </bk>
    <bk>
      <rc t="2" v="8534"/>
    </bk>
    <bk>
      <rc t="2" v="8535"/>
    </bk>
    <bk>
      <rc t="2" v="8536"/>
    </bk>
    <bk>
      <rc t="2" v="8537"/>
    </bk>
    <bk>
      <rc t="2" v="8538"/>
    </bk>
    <bk>
      <rc t="2" v="8539"/>
    </bk>
    <bk>
      <rc t="2" v="8540"/>
    </bk>
    <bk>
      <rc t="2" v="8541"/>
    </bk>
    <bk>
      <rc t="2" v="8542"/>
    </bk>
    <bk>
      <rc t="2" v="8543"/>
    </bk>
    <bk>
      <rc t="2" v="8544"/>
    </bk>
    <bk>
      <rc t="2" v="8545"/>
    </bk>
    <bk>
      <rc t="2" v="8546"/>
    </bk>
    <bk>
      <rc t="2" v="8547"/>
    </bk>
    <bk>
      <rc t="2" v="8548"/>
    </bk>
    <bk>
      <rc t="2" v="8549"/>
    </bk>
    <bk>
      <rc t="2" v="8550"/>
    </bk>
    <bk>
      <rc t="2" v="8551"/>
    </bk>
    <bk>
      <rc t="2" v="8552"/>
    </bk>
    <bk>
      <rc t="2" v="8553"/>
    </bk>
    <bk>
      <rc t="2" v="8554"/>
    </bk>
    <bk>
      <rc t="2" v="8555"/>
    </bk>
    <bk>
      <rc t="2" v="8556"/>
    </bk>
    <bk>
      <rc t="2" v="8557"/>
    </bk>
    <bk>
      <rc t="2" v="8558"/>
    </bk>
    <bk>
      <rc t="2" v="8559"/>
    </bk>
    <bk>
      <rc t="2" v="8560"/>
    </bk>
    <bk>
      <rc t="2" v="8561"/>
    </bk>
    <bk>
      <rc t="2" v="8562"/>
    </bk>
    <bk>
      <rc t="2" v="8563"/>
    </bk>
    <bk>
      <rc t="2" v="8564"/>
    </bk>
    <bk>
      <rc t="2" v="8565"/>
    </bk>
    <bk>
      <rc t="2" v="8566"/>
    </bk>
    <bk>
      <rc t="2" v="8567"/>
    </bk>
    <bk>
      <rc t="2" v="8568"/>
    </bk>
    <bk>
      <rc t="2" v="8569"/>
    </bk>
    <bk>
      <rc t="2" v="8570"/>
    </bk>
    <bk>
      <rc t="2" v="8571"/>
    </bk>
    <bk>
      <rc t="2" v="8572"/>
    </bk>
    <bk>
      <rc t="2" v="8573"/>
    </bk>
    <bk>
      <rc t="2" v="8574"/>
    </bk>
    <bk>
      <rc t="2" v="8575"/>
    </bk>
    <bk>
      <rc t="2" v="8576"/>
    </bk>
    <bk>
      <rc t="2" v="8577"/>
    </bk>
    <bk>
      <rc t="2" v="8578"/>
    </bk>
    <bk>
      <rc t="2" v="8579"/>
    </bk>
    <bk>
      <rc t="2" v="8580"/>
    </bk>
    <bk>
      <rc t="2" v="8581"/>
    </bk>
    <bk>
      <rc t="2" v="8582"/>
    </bk>
    <bk>
      <rc t="2" v="8583"/>
    </bk>
    <bk>
      <rc t="2" v="8584"/>
    </bk>
    <bk>
      <rc t="2" v="8585"/>
    </bk>
    <bk>
      <rc t="2" v="8586"/>
    </bk>
    <bk>
      <rc t="2" v="8587"/>
    </bk>
    <bk>
      <rc t="2" v="8588"/>
    </bk>
    <bk>
      <rc t="2" v="8589"/>
    </bk>
    <bk>
      <rc t="2" v="8590"/>
    </bk>
    <bk>
      <rc t="2" v="8591"/>
    </bk>
    <bk>
      <rc t="2" v="8592"/>
    </bk>
    <bk>
      <rc t="2" v="8593"/>
    </bk>
    <bk>
      <rc t="2" v="8594"/>
    </bk>
    <bk>
      <rc t="2" v="8595"/>
    </bk>
    <bk>
      <rc t="2" v="8596"/>
    </bk>
    <bk>
      <rc t="2" v="8597"/>
    </bk>
    <bk>
      <rc t="2" v="8598"/>
    </bk>
    <bk>
      <rc t="2" v="8599"/>
    </bk>
    <bk>
      <rc t="2" v="8600"/>
    </bk>
    <bk>
      <rc t="2" v="8601"/>
    </bk>
    <bk>
      <rc t="2" v="8602"/>
    </bk>
    <bk>
      <rc t="2" v="8603"/>
    </bk>
    <bk>
      <rc t="2" v="8604"/>
    </bk>
    <bk>
      <rc t="2" v="8605"/>
    </bk>
    <bk>
      <rc t="2" v="8606"/>
    </bk>
    <bk>
      <rc t="2" v="8607"/>
    </bk>
    <bk>
      <rc t="2" v="8608"/>
    </bk>
    <bk>
      <rc t="2" v="8609"/>
    </bk>
    <bk>
      <rc t="2" v="8610"/>
    </bk>
    <bk>
      <rc t="2" v="8611"/>
    </bk>
    <bk>
      <rc t="2" v="8612"/>
    </bk>
    <bk>
      <rc t="2" v="8613"/>
    </bk>
    <bk>
      <rc t="2" v="8614"/>
    </bk>
    <bk>
      <rc t="2" v="8615"/>
    </bk>
    <bk>
      <rc t="2" v="8616"/>
    </bk>
    <bk>
      <rc t="2" v="8617"/>
    </bk>
    <bk>
      <rc t="2" v="8618"/>
    </bk>
    <bk>
      <rc t="2" v="8619"/>
    </bk>
    <bk>
      <rc t="2" v="8620"/>
    </bk>
    <bk>
      <rc t="2" v="8621"/>
    </bk>
    <bk>
      <rc t="2" v="8622"/>
    </bk>
    <bk>
      <rc t="2" v="8623"/>
    </bk>
    <bk>
      <rc t="2" v="8624"/>
    </bk>
    <bk>
      <rc t="2" v="8625"/>
    </bk>
    <bk>
      <rc t="2" v="8626"/>
    </bk>
    <bk>
      <rc t="2" v="8627"/>
    </bk>
    <bk>
      <rc t="2" v="8628"/>
    </bk>
    <bk>
      <rc t="2" v="8629"/>
    </bk>
    <bk>
      <rc t="2" v="8630"/>
    </bk>
    <bk>
      <rc t="2" v="8631"/>
    </bk>
    <bk>
      <rc t="2" v="8632"/>
    </bk>
    <bk>
      <rc t="2" v="8633"/>
    </bk>
    <bk>
      <rc t="2" v="8634"/>
    </bk>
    <bk>
      <rc t="2" v="8635"/>
    </bk>
    <bk>
      <rc t="2" v="8636"/>
    </bk>
    <bk>
      <rc t="2" v="8637"/>
    </bk>
    <bk>
      <rc t="2" v="8638"/>
    </bk>
    <bk>
      <rc t="2" v="8639"/>
    </bk>
    <bk>
      <rc t="2" v="8640"/>
    </bk>
    <bk>
      <rc t="2" v="8641"/>
    </bk>
    <bk>
      <rc t="2" v="8642"/>
    </bk>
    <bk>
      <rc t="2" v="8643"/>
    </bk>
    <bk>
      <rc t="2" v="8644"/>
    </bk>
    <bk>
      <rc t="2" v="8645"/>
    </bk>
    <bk>
      <rc t="2" v="8646"/>
    </bk>
    <bk>
      <rc t="2" v="8647"/>
    </bk>
    <bk>
      <rc t="2" v="8648"/>
    </bk>
    <bk>
      <rc t="2" v="8649"/>
    </bk>
    <bk>
      <rc t="2" v="8650"/>
    </bk>
    <bk>
      <rc t="2" v="8651"/>
    </bk>
    <bk>
      <rc t="2" v="8652"/>
    </bk>
    <bk>
      <rc t="2" v="8653"/>
    </bk>
    <bk>
      <rc t="2" v="8654"/>
    </bk>
    <bk>
      <rc t="2" v="8655"/>
    </bk>
    <bk>
      <rc t="2" v="8656"/>
    </bk>
    <bk>
      <rc t="2" v="8657"/>
    </bk>
    <bk>
      <rc t="2" v="8658"/>
    </bk>
    <bk>
      <rc t="2" v="8659"/>
    </bk>
    <bk>
      <rc t="2" v="8660"/>
    </bk>
    <bk>
      <rc t="2" v="8661"/>
    </bk>
    <bk>
      <rc t="2" v="8662"/>
    </bk>
    <bk>
      <rc t="2" v="8663"/>
    </bk>
    <bk>
      <rc t="2" v="8664"/>
    </bk>
    <bk>
      <rc t="2" v="8665"/>
    </bk>
    <bk>
      <rc t="2" v="8666"/>
    </bk>
    <bk>
      <rc t="2" v="8667"/>
    </bk>
    <bk>
      <rc t="2" v="8668"/>
    </bk>
    <bk>
      <rc t="2" v="8669"/>
    </bk>
    <bk>
      <rc t="2" v="8670"/>
    </bk>
    <bk>
      <rc t="2" v="8671"/>
    </bk>
    <bk>
      <rc t="2" v="8672"/>
    </bk>
    <bk>
      <rc t="2" v="8673"/>
    </bk>
    <bk>
      <rc t="2" v="8674"/>
    </bk>
    <bk>
      <rc t="2" v="8675"/>
    </bk>
    <bk>
      <rc t="2" v="8676"/>
    </bk>
    <bk>
      <rc t="2" v="8677"/>
    </bk>
    <bk>
      <rc t="2" v="8678"/>
    </bk>
    <bk>
      <rc t="2" v="8679"/>
    </bk>
    <bk>
      <rc t="2" v="8680"/>
    </bk>
    <bk>
      <rc t="2" v="8681"/>
    </bk>
    <bk>
      <rc t="2" v="8682"/>
    </bk>
    <bk>
      <rc t="2" v="8683"/>
    </bk>
    <bk>
      <rc t="2" v="8684"/>
    </bk>
    <bk>
      <rc t="2" v="8685"/>
    </bk>
    <bk>
      <rc t="2" v="8686"/>
    </bk>
    <bk>
      <rc t="2" v="8687"/>
    </bk>
    <bk>
      <rc t="2" v="8688"/>
    </bk>
    <bk>
      <rc t="2" v="8689"/>
    </bk>
    <bk>
      <rc t="2" v="8690"/>
    </bk>
    <bk>
      <rc t="2" v="8691"/>
    </bk>
    <bk>
      <rc t="2" v="8692"/>
    </bk>
    <bk>
      <rc t="2" v="8693"/>
    </bk>
    <bk>
      <rc t="2" v="8694"/>
    </bk>
    <bk>
      <rc t="2" v="8695"/>
    </bk>
    <bk>
      <rc t="2" v="8696"/>
    </bk>
    <bk>
      <rc t="2" v="8697"/>
    </bk>
    <bk>
      <rc t="2" v="8698"/>
    </bk>
    <bk>
      <rc t="2" v="8699"/>
    </bk>
    <bk>
      <rc t="2" v="8700"/>
    </bk>
    <bk>
      <rc t="2" v="8701"/>
    </bk>
    <bk>
      <rc t="2" v="8702"/>
    </bk>
    <bk>
      <rc t="2" v="8703"/>
    </bk>
    <bk>
      <rc t="2" v="8704"/>
    </bk>
    <bk>
      <rc t="2" v="8705"/>
    </bk>
    <bk>
      <rc t="2" v="8706"/>
    </bk>
    <bk>
      <rc t="2" v="8707"/>
    </bk>
    <bk>
      <rc t="2" v="8708"/>
    </bk>
    <bk>
      <rc t="2" v="8709"/>
    </bk>
    <bk>
      <rc t="2" v="8710"/>
    </bk>
    <bk>
      <rc t="2" v="8711"/>
    </bk>
    <bk>
      <rc t="2" v="8712"/>
    </bk>
    <bk>
      <rc t="2" v="8713"/>
    </bk>
    <bk>
      <rc t="2" v="8714"/>
    </bk>
    <bk>
      <rc t="2" v="8715"/>
    </bk>
    <bk>
      <rc t="2" v="8716"/>
    </bk>
    <bk>
      <rc t="2" v="8717"/>
    </bk>
    <bk>
      <rc t="2" v="8718"/>
    </bk>
    <bk>
      <rc t="2" v="8719"/>
    </bk>
    <bk>
      <rc t="2" v="8720"/>
    </bk>
    <bk>
      <rc t="2" v="8721"/>
    </bk>
    <bk>
      <rc t="2" v="8722"/>
    </bk>
    <bk>
      <rc t="2" v="8723"/>
    </bk>
    <bk>
      <rc t="2" v="8724"/>
    </bk>
    <bk>
      <rc t="2" v="8725"/>
    </bk>
    <bk>
      <rc t="2" v="8726"/>
    </bk>
    <bk>
      <rc t="2" v="8727"/>
    </bk>
    <bk>
      <rc t="2" v="8728"/>
    </bk>
    <bk>
      <rc t="2" v="8729"/>
    </bk>
    <bk>
      <rc t="2" v="8730"/>
    </bk>
    <bk>
      <rc t="2" v="8731"/>
    </bk>
    <bk>
      <rc t="2" v="8732"/>
    </bk>
    <bk>
      <rc t="2" v="8733"/>
    </bk>
    <bk>
      <rc t="2" v="8734"/>
    </bk>
    <bk>
      <rc t="2" v="8735"/>
    </bk>
    <bk>
      <rc t="2" v="8736"/>
    </bk>
    <bk>
      <rc t="2" v="8737"/>
    </bk>
    <bk>
      <rc t="2" v="8738"/>
    </bk>
    <bk>
      <rc t="2" v="8739"/>
    </bk>
    <bk>
      <rc t="2" v="8740"/>
    </bk>
    <bk>
      <rc t="2" v="8744"/>
    </bk>
    <bk>
      <rc t="2" v="8745"/>
    </bk>
    <bk>
      <rc t="2" v="8741"/>
    </bk>
    <bk>
      <rc t="2" v="8746"/>
    </bk>
    <bk>
      <rc t="2" v="8747"/>
    </bk>
    <bk>
      <rc t="2" v="8748"/>
    </bk>
    <bk>
      <rc t="2" v="8749"/>
    </bk>
    <bk>
      <rc t="2" v="8750"/>
    </bk>
    <bk>
      <rc t="2" v="8751"/>
    </bk>
    <bk>
      <rc t="2" v="8752"/>
    </bk>
    <bk>
      <rc t="2" v="8742"/>
    </bk>
    <bk>
      <rc t="2" v="8743"/>
    </bk>
    <bk>
      <rc t="2" v="8753"/>
    </bk>
    <bk>
      <rc t="2" v="8754"/>
    </bk>
    <bk>
      <rc t="2" v="8755"/>
    </bk>
    <bk>
      <rc t="2" v="8756"/>
    </bk>
    <bk>
      <rc t="2" v="8757"/>
    </bk>
    <bk>
      <rc t="2" v="8758"/>
    </bk>
    <bk>
      <rc t="2" v="8759"/>
    </bk>
    <bk>
      <rc t="2" v="8760"/>
    </bk>
    <bk>
      <rc t="2" v="8761"/>
    </bk>
    <bk>
      <rc t="2" v="8762"/>
    </bk>
    <bk>
      <rc t="2" v="8763"/>
    </bk>
    <bk>
      <rc t="2" v="8764"/>
    </bk>
    <bk>
      <rc t="2" v="8765"/>
    </bk>
    <bk>
      <rc t="2" v="8766"/>
    </bk>
    <bk>
      <rc t="2" v="8767"/>
    </bk>
    <bk>
      <rc t="2" v="8768"/>
    </bk>
    <bk>
      <rc t="2" v="8769"/>
    </bk>
    <bk>
      <rc t="2" v="8770"/>
    </bk>
    <bk>
      <rc t="2" v="8771"/>
    </bk>
    <bk>
      <rc t="2" v="8772"/>
    </bk>
    <bk>
      <rc t="2" v="8773"/>
    </bk>
    <bk>
      <rc t="2" v="8774"/>
    </bk>
    <bk>
      <rc t="2" v="8775"/>
    </bk>
    <bk>
      <rc t="2" v="8776"/>
    </bk>
    <bk>
      <rc t="2" v="8777"/>
    </bk>
    <bk>
      <rc t="2" v="8778"/>
    </bk>
    <bk>
      <rc t="2" v="8779"/>
    </bk>
    <bk>
      <rc t="2" v="8780"/>
    </bk>
    <bk>
      <rc t="2" v="8781"/>
    </bk>
    <bk>
      <rc t="2" v="8782"/>
    </bk>
    <bk>
      <rc t="2" v="8783"/>
    </bk>
    <bk>
      <rc t="2" v="8784"/>
    </bk>
    <bk>
      <rc t="2" v="8785"/>
    </bk>
    <bk>
      <rc t="2" v="8786"/>
    </bk>
    <bk>
      <rc t="2" v="8787"/>
    </bk>
    <bk>
      <rc t="2" v="8788"/>
    </bk>
    <bk>
      <rc t="2" v="8789"/>
    </bk>
    <bk>
      <rc t="2" v="8790"/>
    </bk>
    <bk>
      <rc t="2" v="8791"/>
    </bk>
    <bk>
      <rc t="2" v="8792"/>
    </bk>
    <bk>
      <rc t="2" v="8793"/>
    </bk>
    <bk>
      <rc t="2" v="8794"/>
    </bk>
    <bk>
      <rc t="2" v="8795"/>
    </bk>
    <bk>
      <rc t="2" v="8796"/>
    </bk>
    <bk>
      <rc t="2" v="8797"/>
    </bk>
    <bk>
      <rc t="2" v="8798"/>
    </bk>
    <bk>
      <rc t="2" v="8799"/>
    </bk>
    <bk>
      <rc t="2" v="8800"/>
    </bk>
    <bk>
      <rc t="2" v="8801"/>
    </bk>
    <bk>
      <rc t="2" v="8802"/>
    </bk>
    <bk>
      <rc t="2" v="8803"/>
    </bk>
    <bk>
      <rc t="2" v="8804"/>
    </bk>
    <bk>
      <rc t="2" v="8805"/>
    </bk>
    <bk>
      <rc t="2" v="8806"/>
    </bk>
    <bk>
      <rc t="2" v="8807"/>
    </bk>
    <bk>
      <rc t="2" v="8808"/>
    </bk>
    <bk>
      <rc t="2" v="8809"/>
    </bk>
    <bk>
      <rc t="2" v="8810"/>
    </bk>
    <bk>
      <rc t="2" v="8811"/>
    </bk>
    <bk>
      <rc t="2" v="8812"/>
    </bk>
    <bk>
      <rc t="2" v="8813"/>
    </bk>
    <bk>
      <rc t="2" v="8814"/>
    </bk>
    <bk>
      <rc t="2" v="8815"/>
    </bk>
    <bk>
      <rc t="2" v="8816"/>
    </bk>
    <bk>
      <rc t="2" v="8817"/>
    </bk>
    <bk>
      <rc t="2" v="8818"/>
    </bk>
    <bk>
      <rc t="2" v="8819"/>
    </bk>
    <bk>
      <rc t="2" v="8820"/>
    </bk>
    <bk>
      <rc t="2" v="8821"/>
    </bk>
    <bk>
      <rc t="2" v="8822"/>
    </bk>
    <bk>
      <rc t="2" v="8823"/>
    </bk>
    <bk>
      <rc t="2" v="8824"/>
    </bk>
    <bk>
      <rc t="2" v="8825"/>
    </bk>
    <bk>
      <rc t="2" v="8826"/>
    </bk>
    <bk>
      <rc t="2" v="8827"/>
    </bk>
    <bk>
      <rc t="2" v="8828"/>
    </bk>
    <bk>
      <rc t="2" v="8829"/>
    </bk>
    <bk>
      <rc t="2" v="8830"/>
    </bk>
    <bk>
      <rc t="2" v="8831"/>
    </bk>
    <bk>
      <rc t="2" v="8832"/>
    </bk>
    <bk>
      <rc t="2" v="8833"/>
    </bk>
    <bk>
      <rc t="2" v="8834"/>
    </bk>
    <bk>
      <rc t="2" v="8835"/>
    </bk>
    <bk>
      <rc t="2" v="8836"/>
    </bk>
    <bk>
      <rc t="2" v="8837"/>
    </bk>
    <bk>
      <rc t="2" v="8838"/>
    </bk>
    <bk>
      <rc t="2" v="8839"/>
    </bk>
    <bk>
      <rc t="2" v="8840"/>
    </bk>
    <bk>
      <rc t="2" v="8841"/>
    </bk>
    <bk>
      <rc t="2" v="8842"/>
    </bk>
    <bk>
      <rc t="2" v="8843"/>
    </bk>
    <bk>
      <rc t="2" v="8844"/>
    </bk>
    <bk>
      <rc t="2" v="8845"/>
    </bk>
    <bk>
      <rc t="2" v="8846"/>
    </bk>
    <bk>
      <rc t="2" v="8847"/>
    </bk>
    <bk>
      <rc t="2" v="8848"/>
    </bk>
    <bk>
      <rc t="2" v="8849"/>
    </bk>
    <bk>
      <rc t="2" v="8850"/>
    </bk>
    <bk>
      <rc t="2" v="8851"/>
    </bk>
    <bk>
      <rc t="2" v="8852"/>
    </bk>
    <bk>
      <rc t="2" v="8853"/>
    </bk>
    <bk>
      <rc t="2" v="8854"/>
    </bk>
    <bk>
      <rc t="2" v="8855"/>
    </bk>
    <bk>
      <rc t="2" v="8856"/>
    </bk>
    <bk>
      <rc t="2" v="8857"/>
    </bk>
    <bk>
      <rc t="2" v="8858"/>
    </bk>
    <bk>
      <rc t="2" v="8859"/>
    </bk>
    <bk>
      <rc t="2" v="8860"/>
    </bk>
    <bk>
      <rc t="2" v="8861"/>
    </bk>
    <bk>
      <rc t="2" v="8862"/>
    </bk>
    <bk>
      <rc t="2" v="8863"/>
    </bk>
    <bk>
      <rc t="2" v="8864"/>
    </bk>
    <bk>
      <rc t="2" v="8865"/>
    </bk>
    <bk>
      <rc t="2" v="8866"/>
    </bk>
    <bk>
      <rc t="2" v="8867"/>
    </bk>
    <bk>
      <rc t="2" v="8868"/>
    </bk>
    <bk>
      <rc t="2" v="8869"/>
    </bk>
    <bk>
      <rc t="2" v="8870"/>
    </bk>
    <bk>
      <rc t="2" v="8871"/>
    </bk>
    <bk>
      <rc t="2" v="8872"/>
    </bk>
    <bk>
      <rc t="2" v="8873"/>
    </bk>
    <bk>
      <rc t="2" v="8874"/>
    </bk>
    <bk>
      <rc t="2" v="8875"/>
    </bk>
    <bk>
      <rc t="2" v="8876"/>
    </bk>
    <bk>
      <rc t="2" v="8877"/>
    </bk>
    <bk>
      <rc t="2" v="8878"/>
    </bk>
    <bk>
      <rc t="2" v="8879"/>
    </bk>
    <bk>
      <rc t="2" v="8880"/>
    </bk>
    <bk>
      <rc t="2" v="8881"/>
    </bk>
    <bk>
      <rc t="2" v="8882"/>
    </bk>
    <bk>
      <rc t="2" v="8883"/>
    </bk>
    <bk>
      <rc t="2" v="8884"/>
    </bk>
    <bk>
      <rc t="2" v="8885"/>
    </bk>
    <bk>
      <rc t="2" v="8886"/>
    </bk>
    <bk>
      <rc t="2" v="8887"/>
    </bk>
    <bk>
      <rc t="2" v="8888"/>
    </bk>
    <bk>
      <rc t="2" v="8889"/>
    </bk>
    <bk>
      <rc t="2" v="8890"/>
    </bk>
    <bk>
      <rc t="2" v="8891"/>
    </bk>
    <bk>
      <rc t="2" v="8892"/>
    </bk>
    <bk>
      <rc t="2" v="8893"/>
    </bk>
    <bk>
      <rc t="2" v="8894"/>
    </bk>
    <bk>
      <rc t="2" v="8895"/>
    </bk>
    <bk>
      <rc t="2" v="8896"/>
    </bk>
    <bk>
      <rc t="2" v="8897"/>
    </bk>
    <bk>
      <rc t="2" v="8898"/>
    </bk>
    <bk>
      <rc t="2" v="8899"/>
    </bk>
    <bk>
      <rc t="2" v="8900"/>
    </bk>
    <bk>
      <rc t="2" v="8901"/>
    </bk>
    <bk>
      <rc t="2" v="8902"/>
    </bk>
    <bk>
      <rc t="2" v="8903"/>
    </bk>
    <bk>
      <rc t="2" v="8904"/>
    </bk>
    <bk>
      <rc t="2" v="8905"/>
    </bk>
    <bk>
      <rc t="2" v="8906"/>
    </bk>
    <bk>
      <rc t="2" v="8907"/>
    </bk>
    <bk>
      <rc t="2" v="8908"/>
    </bk>
    <bk>
      <rc t="2" v="8909"/>
    </bk>
    <bk>
      <rc t="2" v="8910"/>
    </bk>
    <bk>
      <rc t="2" v="8911"/>
    </bk>
    <bk>
      <rc t="2" v="8912"/>
    </bk>
    <bk>
      <rc t="2" v="8913"/>
    </bk>
    <bk>
      <rc t="2" v="8914"/>
    </bk>
    <bk>
      <rc t="2" v="8915"/>
    </bk>
    <bk>
      <rc t="2" v="8916"/>
    </bk>
    <bk>
      <rc t="2" v="8917"/>
    </bk>
    <bk>
      <rc t="2" v="8918"/>
    </bk>
    <bk>
      <rc t="2" v="8919"/>
    </bk>
    <bk>
      <rc t="2" v="8920"/>
    </bk>
    <bk>
      <rc t="2" v="8921"/>
    </bk>
    <bk>
      <rc t="2" v="8922"/>
    </bk>
    <bk>
      <rc t="2" v="8924"/>
    </bk>
    <bk>
      <rc t="2" v="8923"/>
    </bk>
    <bk>
      <rc t="2" v="8925"/>
    </bk>
    <bk>
      <rc t="2" v="8926"/>
    </bk>
    <bk>
      <rc t="2" v="8927"/>
    </bk>
    <bk>
      <rc t="2" v="8928"/>
    </bk>
    <bk>
      <rc t="2" v="8929"/>
    </bk>
    <bk>
      <rc t="2" v="8930"/>
    </bk>
    <bk>
      <rc t="2" v="8931"/>
    </bk>
    <bk>
      <rc t="2" v="8932"/>
    </bk>
    <bk>
      <rc t="2" v="8933"/>
    </bk>
    <bk>
      <rc t="2" v="8934"/>
    </bk>
    <bk>
      <rc t="2" v="8935"/>
    </bk>
    <bk>
      <rc t="2" v="8936"/>
    </bk>
    <bk>
      <rc t="2" v="8937"/>
    </bk>
    <bk>
      <rc t="2" v="8938"/>
    </bk>
    <bk>
      <rc t="2" v="8939"/>
    </bk>
    <bk>
      <rc t="2" v="8940"/>
    </bk>
    <bk>
      <rc t="2" v="8941"/>
    </bk>
    <bk>
      <rc t="2" v="8942"/>
    </bk>
    <bk>
      <rc t="2" v="8943"/>
    </bk>
    <bk>
      <rc t="2" v="8944"/>
    </bk>
    <bk>
      <rc t="2" v="8945"/>
    </bk>
    <bk>
      <rc t="2" v="8946"/>
    </bk>
    <bk>
      <rc t="2" v="8947"/>
    </bk>
    <bk>
      <rc t="2" v="8948"/>
    </bk>
    <bk>
      <rc t="2" v="8949"/>
    </bk>
    <bk>
      <rc t="2" v="8950"/>
    </bk>
    <bk>
      <rc t="2" v="8951"/>
    </bk>
    <bk>
      <rc t="2" v="8952"/>
    </bk>
    <bk>
      <rc t="2" v="8953"/>
    </bk>
    <bk>
      <rc t="2" v="8954"/>
    </bk>
    <bk>
      <rc t="2" v="8955"/>
    </bk>
    <bk>
      <rc t="2" v="8956"/>
    </bk>
    <bk>
      <rc t="2" v="8957"/>
    </bk>
    <bk>
      <rc t="2" v="8958"/>
    </bk>
    <bk>
      <rc t="2" v="8959"/>
    </bk>
    <bk>
      <rc t="2" v="8960"/>
    </bk>
    <bk>
      <rc t="2" v="8961"/>
    </bk>
    <bk>
      <rc t="2" v="8962"/>
    </bk>
    <bk>
      <rc t="2" v="8963"/>
    </bk>
    <bk>
      <rc t="2" v="8964"/>
    </bk>
    <bk>
      <rc t="2" v="8965"/>
    </bk>
    <bk>
      <rc t="2" v="8966"/>
    </bk>
    <bk>
      <rc t="2" v="8967"/>
    </bk>
    <bk>
      <rc t="2" v="8968"/>
    </bk>
    <bk>
      <rc t="2" v="8969"/>
    </bk>
    <bk>
      <rc t="2" v="8970"/>
    </bk>
    <bk>
      <rc t="2" v="8971"/>
    </bk>
    <bk>
      <rc t="2" v="8972"/>
    </bk>
    <bk>
      <rc t="2" v="8973"/>
    </bk>
    <bk>
      <rc t="2" v="8974"/>
    </bk>
    <bk>
      <rc t="2" v="8975"/>
    </bk>
    <bk>
      <rc t="2" v="8976"/>
    </bk>
    <bk>
      <rc t="2" v="8977"/>
    </bk>
    <bk>
      <rc t="2" v="8978"/>
    </bk>
    <bk>
      <rc t="2" v="8979"/>
    </bk>
    <bk>
      <rc t="2" v="8980"/>
    </bk>
    <bk>
      <rc t="2" v="8981"/>
    </bk>
    <bk>
      <rc t="2" v="8982"/>
    </bk>
    <bk>
      <rc t="2" v="8983"/>
    </bk>
    <bk>
      <rc t="2" v="8984"/>
    </bk>
    <bk>
      <rc t="2" v="8985"/>
    </bk>
    <bk>
      <rc t="2" v="8986"/>
    </bk>
    <bk>
      <rc t="2" v="8987"/>
    </bk>
    <bk>
      <rc t="2" v="8988"/>
    </bk>
    <bk>
      <rc t="2" v="8989"/>
    </bk>
    <bk>
      <rc t="2" v="8990"/>
    </bk>
    <bk>
      <rc t="2" v="8991"/>
    </bk>
    <bk>
      <rc t="2" v="8992"/>
    </bk>
    <bk>
      <rc t="2" v="8993"/>
    </bk>
    <bk>
      <rc t="2" v="8994"/>
    </bk>
    <bk>
      <rc t="2" v="8995"/>
    </bk>
    <bk>
      <rc t="2" v="8996"/>
    </bk>
    <bk>
      <rc t="2" v="8997"/>
    </bk>
    <bk>
      <rc t="2" v="8998"/>
    </bk>
    <bk>
      <rc t="2" v="8999"/>
    </bk>
    <bk>
      <rc t="2" v="9000"/>
    </bk>
    <bk>
      <rc t="2" v="9001"/>
    </bk>
    <bk>
      <rc t="2" v="9002"/>
    </bk>
    <bk>
      <rc t="2" v="9003"/>
    </bk>
    <bk>
      <rc t="2" v="9004"/>
    </bk>
    <bk>
      <rc t="2" v="9005"/>
    </bk>
    <bk>
      <rc t="2" v="9006"/>
    </bk>
    <bk>
      <rc t="2" v="9007"/>
    </bk>
    <bk>
      <rc t="2" v="9008"/>
    </bk>
    <bk>
      <rc t="2" v="9009"/>
    </bk>
    <bk>
      <rc t="2" v="9010"/>
    </bk>
    <bk>
      <rc t="2" v="9011"/>
    </bk>
    <bk>
      <rc t="2" v="9012"/>
    </bk>
    <bk>
      <rc t="2" v="9013"/>
    </bk>
    <bk>
      <rc t="2" v="9014"/>
    </bk>
    <bk>
      <rc t="2" v="9015"/>
    </bk>
    <bk>
      <rc t="2" v="9016"/>
    </bk>
    <bk>
      <rc t="2" v="9017"/>
    </bk>
    <bk>
      <rc t="2" v="9018"/>
    </bk>
    <bk>
      <rc t="2" v="9019"/>
    </bk>
    <bk>
      <rc t="2" v="9020"/>
    </bk>
    <bk>
      <rc t="2" v="9021"/>
    </bk>
    <bk>
      <rc t="2" v="9022"/>
    </bk>
    <bk>
      <rc t="2" v="9023"/>
    </bk>
    <bk>
      <rc t="2" v="9024"/>
    </bk>
    <bk>
      <rc t="2" v="9025"/>
    </bk>
    <bk>
      <rc t="2" v="9026"/>
    </bk>
    <bk>
      <rc t="2" v="9027"/>
    </bk>
    <bk>
      <rc t="2" v="9028"/>
    </bk>
    <bk>
      <rc t="2" v="9029"/>
    </bk>
    <bk>
      <rc t="2" v="9030"/>
    </bk>
    <bk>
      <rc t="2" v="9031"/>
    </bk>
    <bk>
      <rc t="2" v="9032"/>
    </bk>
    <bk>
      <rc t="2" v="9033"/>
    </bk>
    <bk>
      <rc t="2" v="9034"/>
    </bk>
    <bk>
      <rc t="2" v="9035"/>
    </bk>
    <bk>
      <rc t="2" v="9036"/>
    </bk>
    <bk>
      <rc t="2" v="9037"/>
    </bk>
    <bk>
      <rc t="2" v="9038"/>
    </bk>
    <bk>
      <rc t="2" v="9039"/>
    </bk>
    <bk>
      <rc t="2" v="9040"/>
    </bk>
    <bk>
      <rc t="2" v="9041"/>
    </bk>
    <bk>
      <rc t="2" v="9042"/>
    </bk>
    <bk>
      <rc t="2" v="9043"/>
    </bk>
    <bk>
      <rc t="2" v="9044"/>
    </bk>
    <bk>
      <rc t="2" v="9045"/>
    </bk>
    <bk>
      <rc t="2" v="9046"/>
    </bk>
    <bk>
      <rc t="2" v="9047"/>
    </bk>
    <bk>
      <rc t="2" v="9048"/>
    </bk>
    <bk>
      <rc t="2" v="9049"/>
    </bk>
    <bk>
      <rc t="2" v="9050"/>
    </bk>
    <bk>
      <rc t="2" v="9051"/>
    </bk>
    <bk>
      <rc t="2" v="9052"/>
    </bk>
    <bk>
      <rc t="2" v="9053"/>
    </bk>
    <bk>
      <rc t="2" v="9054"/>
    </bk>
    <bk>
      <rc t="2" v="9055"/>
    </bk>
    <bk>
      <rc t="2" v="9056"/>
    </bk>
    <bk>
      <rc t="2" v="9057"/>
    </bk>
    <bk>
      <rc t="2" v="9058"/>
    </bk>
    <bk>
      <rc t="2" v="9059"/>
    </bk>
    <bk>
      <rc t="2" v="9060"/>
    </bk>
    <bk>
      <rc t="2" v="9061"/>
    </bk>
    <bk>
      <rc t="2" v="9062"/>
    </bk>
    <bk>
      <rc t="2" v="9063"/>
    </bk>
    <bk>
      <rc t="2" v="9064"/>
    </bk>
    <bk>
      <rc t="2" v="9065"/>
    </bk>
    <bk>
      <rc t="2" v="9066"/>
    </bk>
    <bk>
      <rc t="2" v="9067"/>
    </bk>
    <bk>
      <rc t="2" v="9068"/>
    </bk>
    <bk>
      <rc t="2" v="9069"/>
    </bk>
    <bk>
      <rc t="2" v="9070"/>
    </bk>
    <bk>
      <rc t="2" v="9071"/>
    </bk>
    <bk>
      <rc t="2" v="9072"/>
    </bk>
    <bk>
      <rc t="2" v="9073"/>
    </bk>
    <bk>
      <rc t="2" v="9074"/>
    </bk>
    <bk>
      <rc t="2" v="9075"/>
    </bk>
    <bk>
      <rc t="2" v="9076"/>
    </bk>
    <bk>
      <rc t="2" v="9077"/>
    </bk>
    <bk>
      <rc t="2" v="9078"/>
    </bk>
    <bk>
      <rc t="2" v="9079"/>
    </bk>
    <bk>
      <rc t="2" v="9080"/>
    </bk>
    <bk>
      <rc t="2" v="9081"/>
    </bk>
    <bk>
      <rc t="2" v="9082"/>
    </bk>
    <bk>
      <rc t="2" v="9083"/>
    </bk>
    <bk>
      <rc t="2" v="9084"/>
    </bk>
    <bk>
      <rc t="2" v="9085"/>
    </bk>
    <bk>
      <rc t="2" v="9086"/>
    </bk>
    <bk>
      <rc t="2" v="9087"/>
    </bk>
    <bk>
      <rc t="2" v="9088"/>
    </bk>
    <bk>
      <rc t="2" v="9090"/>
    </bk>
    <bk>
      <rc t="2" v="9089"/>
    </bk>
    <bk>
      <rc t="2" v="9091"/>
    </bk>
    <bk>
      <rc t="2" v="9092"/>
    </bk>
    <bk>
      <rc t="2" v="9093"/>
    </bk>
    <bk>
      <rc t="2" v="9095"/>
    </bk>
    <bk>
      <rc t="2" v="9096"/>
    </bk>
    <bk>
      <rc t="2" v="9097"/>
    </bk>
    <bk>
      <rc t="2" v="9098"/>
    </bk>
    <bk>
      <rc t="2" v="9099"/>
    </bk>
    <bk>
      <rc t="2" v="9100"/>
    </bk>
    <bk>
      <rc t="2" v="9101"/>
    </bk>
    <bk>
      <rc t="2" v="9102"/>
    </bk>
    <bk>
      <rc t="2" v="9103"/>
    </bk>
    <bk>
      <rc t="2" v="9104"/>
    </bk>
    <bk>
      <rc t="2" v="9105"/>
    </bk>
    <bk>
      <rc t="2" v="9106"/>
    </bk>
    <bk>
      <rc t="2" v="9107"/>
    </bk>
    <bk>
      <rc t="2" v="9108"/>
    </bk>
    <bk>
      <rc t="2" v="9109"/>
    </bk>
    <bk>
      <rc t="2" v="9110"/>
    </bk>
    <bk>
      <rc t="2" v="9111"/>
    </bk>
    <bk>
      <rc t="2" v="9112"/>
    </bk>
    <bk>
      <rc t="2" v="9113"/>
    </bk>
    <bk>
      <rc t="2" v="9114"/>
    </bk>
    <bk>
      <rc t="2" v="9115"/>
    </bk>
    <bk>
      <rc t="2" v="9116"/>
    </bk>
    <bk>
      <rc t="2" v="9117"/>
    </bk>
    <bk>
      <rc t="2" v="9118"/>
    </bk>
    <bk>
      <rc t="2" v="9094"/>
    </bk>
    <bk>
      <rc t="2" v="9119"/>
    </bk>
    <bk>
      <rc t="2" v="9120"/>
    </bk>
    <bk>
      <rc t="2" v="9121"/>
    </bk>
    <bk>
      <rc t="2" v="9122"/>
    </bk>
    <bk>
      <rc t="2" v="9123"/>
    </bk>
    <bk>
      <rc t="2" v="9124"/>
    </bk>
    <bk>
      <rc t="2" v="9125"/>
    </bk>
    <bk>
      <rc t="2" v="9126"/>
    </bk>
    <bk>
      <rc t="2" v="9127"/>
    </bk>
    <bk>
      <rc t="2" v="9128"/>
    </bk>
    <bk>
      <rc t="2" v="9129"/>
    </bk>
    <bk>
      <rc t="2" v="9130"/>
    </bk>
    <bk>
      <rc t="2" v="9131"/>
    </bk>
    <bk>
      <rc t="2" v="9132"/>
    </bk>
    <bk>
      <rc t="2" v="9133"/>
    </bk>
    <bk>
      <rc t="2" v="9134"/>
    </bk>
    <bk>
      <rc t="2" v="9135"/>
    </bk>
    <bk>
      <rc t="2" v="9136"/>
    </bk>
    <bk>
      <rc t="2" v="9137"/>
    </bk>
    <bk>
      <rc t="2" v="9138"/>
    </bk>
    <bk>
      <rc t="2" v="9139"/>
    </bk>
    <bk>
      <rc t="2" v="9140"/>
    </bk>
    <bk>
      <rc t="2" v="9141"/>
    </bk>
    <bk>
      <rc t="2" v="9142"/>
    </bk>
    <bk>
      <rc t="2" v="9143"/>
    </bk>
    <bk>
      <rc t="2" v="9144"/>
    </bk>
    <bk>
      <rc t="2" v="9145"/>
    </bk>
    <bk>
      <rc t="2" v="9146"/>
    </bk>
    <bk>
      <rc t="2" v="9147"/>
    </bk>
    <bk>
      <rc t="2" v="9148"/>
    </bk>
    <bk>
      <rc t="2" v="9149"/>
    </bk>
    <bk>
      <rc t="2" v="9150"/>
    </bk>
    <bk>
      <rc t="2" v="9151"/>
    </bk>
    <bk>
      <rc t="2" v="9152"/>
    </bk>
    <bk>
      <rc t="2" v="9153"/>
    </bk>
    <bk>
      <rc t="2" v="9154"/>
    </bk>
    <bk>
      <rc t="2" v="9155"/>
    </bk>
    <bk>
      <rc t="2" v="9156"/>
    </bk>
    <bk>
      <rc t="2" v="9157"/>
    </bk>
    <bk>
      <rc t="2" v="9158"/>
    </bk>
    <bk>
      <rc t="2" v="9159"/>
    </bk>
    <bk>
      <rc t="2" v="9160"/>
    </bk>
    <bk>
      <rc t="2" v="9161"/>
    </bk>
    <bk>
      <rc t="2" v="9162"/>
    </bk>
    <bk>
      <rc t="2" v="9163"/>
    </bk>
    <bk>
      <rc t="2" v="9164"/>
    </bk>
    <bk>
      <rc t="2" v="9165"/>
    </bk>
    <bk>
      <rc t="2" v="9166"/>
    </bk>
    <bk>
      <rc t="2" v="9167"/>
    </bk>
    <bk>
      <rc t="2" v="9168"/>
    </bk>
    <bk>
      <rc t="2" v="9169"/>
    </bk>
    <bk>
      <rc t="2" v="9170"/>
    </bk>
    <bk>
      <rc t="2" v="9171"/>
    </bk>
    <bk>
      <rc t="2" v="9172"/>
    </bk>
    <bk>
      <rc t="2" v="9173"/>
    </bk>
    <bk>
      <rc t="2" v="9174"/>
    </bk>
    <bk>
      <rc t="2" v="9175"/>
    </bk>
    <bk>
      <rc t="2" v="9176"/>
    </bk>
    <bk>
      <rc t="2" v="9177"/>
    </bk>
    <bk>
      <rc t="2" v="9178"/>
    </bk>
    <bk>
      <rc t="2" v="9179"/>
    </bk>
    <bk>
      <rc t="2" v="9180"/>
    </bk>
    <bk>
      <rc t="2" v="9181"/>
    </bk>
    <bk>
      <rc t="2" v="9182"/>
    </bk>
    <bk>
      <rc t="2" v="9183"/>
    </bk>
    <bk>
      <rc t="2" v="9184"/>
    </bk>
    <bk>
      <rc t="2" v="9185"/>
    </bk>
    <bk>
      <rc t="2" v="9186"/>
    </bk>
    <bk>
      <rc t="2" v="9187"/>
    </bk>
    <bk>
      <rc t="2" v="9188"/>
    </bk>
    <bk>
      <rc t="2" v="9189"/>
    </bk>
    <bk>
      <rc t="2" v="9190"/>
    </bk>
    <bk>
      <rc t="2" v="9191"/>
    </bk>
    <bk>
      <rc t="2" v="9192"/>
    </bk>
    <bk>
      <rc t="2" v="9193"/>
    </bk>
    <bk>
      <rc t="2" v="9194"/>
    </bk>
    <bk>
      <rc t="2" v="9195"/>
    </bk>
    <bk>
      <rc t="2" v="9196"/>
    </bk>
    <bk>
      <rc t="2" v="9197"/>
    </bk>
    <bk>
      <rc t="2" v="9198"/>
    </bk>
    <bk>
      <rc t="2" v="9199"/>
    </bk>
    <bk>
      <rc t="2" v="9200"/>
    </bk>
    <bk>
      <rc t="2" v="9201"/>
    </bk>
    <bk>
      <rc t="2" v="9202"/>
    </bk>
    <bk>
      <rc t="2" v="9203"/>
    </bk>
    <bk>
      <rc t="2" v="9204"/>
    </bk>
    <bk>
      <rc t="2" v="9205"/>
    </bk>
    <bk>
      <rc t="2" v="9206"/>
    </bk>
    <bk>
      <rc t="2" v="9207"/>
    </bk>
    <bk>
      <rc t="2" v="9208"/>
    </bk>
    <bk>
      <rc t="2" v="9209"/>
    </bk>
    <bk>
      <rc t="2" v="9210"/>
    </bk>
    <bk>
      <rc t="2" v="9211"/>
    </bk>
    <bk>
      <rc t="2" v="9212"/>
    </bk>
    <bk>
      <rc t="2" v="9213"/>
    </bk>
    <bk>
      <rc t="2" v="9214"/>
    </bk>
    <bk>
      <rc t="2" v="9215"/>
    </bk>
    <bk>
      <rc t="2" v="9216"/>
    </bk>
    <bk>
      <rc t="2" v="9217"/>
    </bk>
    <bk>
      <rc t="2" v="9218"/>
    </bk>
    <bk>
      <rc t="2" v="9219"/>
    </bk>
    <bk>
      <rc t="2" v="9220"/>
    </bk>
    <bk>
      <rc t="2" v="9221"/>
    </bk>
    <bk>
      <rc t="2" v="9222"/>
    </bk>
    <bk>
      <rc t="2" v="9223"/>
    </bk>
    <bk>
      <rc t="2" v="9224"/>
    </bk>
    <bk>
      <rc t="2" v="9225"/>
    </bk>
    <bk>
      <rc t="2" v="9226"/>
    </bk>
    <bk>
      <rc t="2" v="9227"/>
    </bk>
    <bk>
      <rc t="2" v="9228"/>
    </bk>
    <bk>
      <rc t="2" v="9229"/>
    </bk>
    <bk>
      <rc t="2" v="9230"/>
    </bk>
    <bk>
      <rc t="2" v="9231"/>
    </bk>
    <bk>
      <rc t="2" v="9232"/>
    </bk>
    <bk>
      <rc t="2" v="9233"/>
    </bk>
    <bk>
      <rc t="2" v="9234"/>
    </bk>
    <bk>
      <rc t="2" v="9235"/>
    </bk>
    <bk>
      <rc t="2" v="9236"/>
    </bk>
    <bk>
      <rc t="2" v="9237"/>
    </bk>
    <bk>
      <rc t="2" v="9238"/>
    </bk>
    <bk>
      <rc t="2" v="9239"/>
    </bk>
    <bk>
      <rc t="2" v="9240"/>
    </bk>
    <bk>
      <rc t="2" v="9241"/>
    </bk>
    <bk>
      <rc t="2" v="9242"/>
    </bk>
    <bk>
      <rc t="2" v="9243"/>
    </bk>
    <bk>
      <rc t="2" v="9244"/>
    </bk>
    <bk>
      <rc t="2" v="9245"/>
    </bk>
    <bk>
      <rc t="2" v="9246"/>
    </bk>
    <bk>
      <rc t="2" v="9247"/>
    </bk>
    <bk>
      <rc t="2" v="9248"/>
    </bk>
    <bk>
      <rc t="2" v="9249"/>
    </bk>
    <bk>
      <rc t="2" v="9250"/>
    </bk>
    <bk>
      <rc t="2" v="9251"/>
    </bk>
    <bk>
      <rc t="2" v="9252"/>
    </bk>
    <bk>
      <rc t="2" v="9253"/>
    </bk>
    <bk>
      <rc t="2" v="9254"/>
    </bk>
    <bk>
      <rc t="2" v="9255"/>
    </bk>
    <bk>
      <rc t="2" v="9256"/>
    </bk>
    <bk>
      <rc t="2" v="9257"/>
    </bk>
    <bk>
      <rc t="2" v="9258"/>
    </bk>
    <bk>
      <rc t="2" v="9259"/>
    </bk>
    <bk>
      <rc t="2" v="9260"/>
    </bk>
    <bk>
      <rc t="2" v="9261"/>
    </bk>
    <bk>
      <rc t="2" v="9262"/>
    </bk>
    <bk>
      <rc t="2" v="9263"/>
    </bk>
    <bk>
      <rc t="2" v="9264"/>
    </bk>
    <bk>
      <rc t="2" v="9265"/>
    </bk>
    <bk>
      <rc t="2" v="9266"/>
    </bk>
    <bk>
      <rc t="2" v="9267"/>
    </bk>
    <bk>
      <rc t="2" v="9268"/>
    </bk>
    <bk>
      <rc t="2" v="9269"/>
    </bk>
    <bk>
      <rc t="2" v="9270"/>
    </bk>
    <bk>
      <rc t="2" v="9271"/>
    </bk>
    <bk>
      <rc t="2" v="9272"/>
    </bk>
    <bk>
      <rc t="2" v="9273"/>
    </bk>
    <bk>
      <rc t="2" v="9274"/>
    </bk>
    <bk>
      <rc t="2" v="9275"/>
    </bk>
    <bk>
      <rc t="2" v="9276"/>
    </bk>
    <bk>
      <rc t="2" v="9277"/>
    </bk>
    <bk>
      <rc t="2" v="9278"/>
    </bk>
    <bk>
      <rc t="2" v="9279"/>
    </bk>
    <bk>
      <rc t="2" v="9280"/>
    </bk>
    <bk>
      <rc t="2" v="9281"/>
    </bk>
    <bk>
      <rc t="2" v="9282"/>
    </bk>
    <bk>
      <rc t="2" v="9283"/>
    </bk>
    <bk>
      <rc t="2" v="9284"/>
    </bk>
    <bk>
      <rc t="2" v="9285"/>
    </bk>
    <bk>
      <rc t="2" v="9286"/>
    </bk>
    <bk>
      <rc t="2" v="9287"/>
    </bk>
    <bk>
      <rc t="2" v="9288"/>
    </bk>
    <bk>
      <rc t="2" v="9289"/>
    </bk>
    <bk>
      <rc t="2" v="9290"/>
    </bk>
    <bk>
      <rc t="2" v="9291"/>
    </bk>
    <bk>
      <rc t="2" v="9292"/>
    </bk>
    <bk>
      <rc t="2" v="9293"/>
    </bk>
    <bk>
      <rc t="2" v="9294"/>
    </bk>
    <bk>
      <rc t="2" v="9295"/>
    </bk>
    <bk>
      <rc t="2" v="9296"/>
    </bk>
    <bk>
      <rc t="2" v="9297"/>
    </bk>
    <bk>
      <rc t="2" v="9298"/>
    </bk>
    <bk>
      <rc t="2" v="9299"/>
    </bk>
    <bk>
      <rc t="2" v="9300"/>
    </bk>
    <bk>
      <rc t="2" v="9301"/>
    </bk>
    <bk>
      <rc t="2" v="9302"/>
    </bk>
    <bk>
      <rc t="2" v="9303"/>
    </bk>
    <bk>
      <rc t="2" v="9304"/>
    </bk>
    <bk>
      <rc t="2" v="9305"/>
    </bk>
    <bk>
      <rc t="2" v="9306"/>
    </bk>
    <bk>
      <rc t="2" v="9307"/>
    </bk>
    <bk>
      <rc t="2" v="9308"/>
    </bk>
    <bk>
      <rc t="2" v="9309"/>
    </bk>
    <bk>
      <rc t="2" v="9310"/>
    </bk>
    <bk>
      <rc t="2" v="9311"/>
    </bk>
    <bk>
      <rc t="2" v="9312"/>
    </bk>
    <bk>
      <rc t="2" v="9313"/>
    </bk>
    <bk>
      <rc t="2" v="9314"/>
    </bk>
    <bk>
      <rc t="2" v="9315"/>
    </bk>
    <bk>
      <rc t="2" v="9316"/>
    </bk>
    <bk>
      <rc t="2" v="9317"/>
    </bk>
    <bk>
      <rc t="2" v="9318"/>
    </bk>
    <bk>
      <rc t="2" v="9319"/>
    </bk>
    <bk>
      <rc t="2" v="9320"/>
    </bk>
    <bk>
      <rc t="2" v="9321"/>
    </bk>
    <bk>
      <rc t="2" v="9322"/>
    </bk>
    <bk>
      <rc t="2" v="9323"/>
    </bk>
    <bk>
      <rc t="2" v="9324"/>
    </bk>
    <bk>
      <rc t="2" v="9325"/>
    </bk>
    <bk>
      <rc t="2" v="9326"/>
    </bk>
    <bk>
      <rc t="2" v="9327"/>
    </bk>
    <bk>
      <rc t="2" v="9328"/>
    </bk>
    <bk>
      <rc t="2" v="9329"/>
    </bk>
    <bk>
      <rc t="2" v="9330"/>
    </bk>
    <bk>
      <rc t="2" v="9331"/>
    </bk>
    <bk>
      <rc t="2" v="9332"/>
    </bk>
    <bk>
      <rc t="2" v="9333"/>
    </bk>
    <bk>
      <rc t="2" v="9334"/>
    </bk>
    <bk>
      <rc t="2" v="9335"/>
    </bk>
    <bk>
      <rc t="2" v="9336"/>
    </bk>
    <bk>
      <rc t="2" v="9337"/>
    </bk>
    <bk>
      <rc t="2" v="9338"/>
    </bk>
    <bk>
      <rc t="2" v="9339"/>
    </bk>
    <bk>
      <rc t="2" v="9340"/>
    </bk>
    <bk>
      <rc t="2" v="9341"/>
    </bk>
    <bk>
      <rc t="2" v="9342"/>
    </bk>
    <bk>
      <rc t="2" v="9343"/>
    </bk>
    <bk>
      <rc t="2" v="9344"/>
    </bk>
    <bk>
      <rc t="2" v="9345"/>
    </bk>
    <bk>
      <rc t="2" v="9346"/>
    </bk>
    <bk>
      <rc t="2" v="9347"/>
    </bk>
    <bk>
      <rc t="2" v="9348"/>
    </bk>
    <bk>
      <rc t="2" v="9349"/>
    </bk>
    <bk>
      <rc t="2" v="9350"/>
    </bk>
    <bk>
      <rc t="2" v="9351"/>
    </bk>
    <bk>
      <rc t="2" v="9352"/>
    </bk>
    <bk>
      <rc t="2" v="9353"/>
    </bk>
    <bk>
      <rc t="2" v="9354"/>
    </bk>
    <bk>
      <rc t="2" v="9355"/>
    </bk>
    <bk>
      <rc t="2" v="9356"/>
    </bk>
    <bk>
      <rc t="2" v="9357"/>
    </bk>
    <bk>
      <rc t="2" v="9358"/>
    </bk>
    <bk>
      <rc t="2" v="9359"/>
    </bk>
    <bk>
      <rc t="2" v="9360"/>
    </bk>
    <bk>
      <rc t="2" v="9361"/>
    </bk>
    <bk>
      <rc t="2" v="9362"/>
    </bk>
    <bk>
      <rc t="2" v="9363"/>
    </bk>
    <bk>
      <rc t="2" v="9364"/>
    </bk>
    <bk>
      <rc t="2" v="9365"/>
    </bk>
    <bk>
      <rc t="2" v="9366"/>
    </bk>
    <bk>
      <rc t="2" v="9367"/>
    </bk>
    <bk>
      <rc t="2" v="9368"/>
    </bk>
    <bk>
      <rc t="2" v="9369"/>
    </bk>
    <bk>
      <rc t="2" v="9370"/>
    </bk>
    <bk>
      <rc t="2" v="9371"/>
    </bk>
    <bk>
      <rc t="2" v="9372"/>
    </bk>
    <bk>
      <rc t="2" v="9373"/>
    </bk>
    <bk>
      <rc t="2" v="9374"/>
    </bk>
    <bk>
      <rc t="2" v="9375"/>
    </bk>
    <bk>
      <rc t="2" v="9376"/>
    </bk>
    <bk>
      <rc t="2" v="9377"/>
    </bk>
    <bk>
      <rc t="2" v="9378"/>
    </bk>
    <bk>
      <rc t="2" v="9379"/>
    </bk>
    <bk>
      <rc t="2" v="9380"/>
    </bk>
    <bk>
      <rc t="2" v="9381"/>
    </bk>
    <bk>
      <rc t="2" v="9382"/>
    </bk>
    <bk>
      <rc t="2" v="9383"/>
    </bk>
    <bk>
      <rc t="2" v="9384"/>
    </bk>
    <bk>
      <rc t="2" v="9385"/>
    </bk>
    <bk>
      <rc t="2" v="9386"/>
    </bk>
    <bk>
      <rc t="2" v="9387"/>
    </bk>
    <bk>
      <rc t="2" v="9388"/>
    </bk>
    <bk>
      <rc t="2" v="9389"/>
    </bk>
    <bk>
      <rc t="2" v="9390"/>
    </bk>
    <bk>
      <rc t="2" v="9391"/>
    </bk>
    <bk>
      <rc t="2" v="9392"/>
    </bk>
    <bk>
      <rc t="2" v="9393"/>
    </bk>
    <bk>
      <rc t="2" v="9394"/>
    </bk>
    <bk>
      <rc t="2" v="9395"/>
    </bk>
    <bk>
      <rc t="2" v="9396"/>
    </bk>
    <bk>
      <rc t="2" v="9397"/>
    </bk>
    <bk>
      <rc t="2" v="9398"/>
    </bk>
    <bk>
      <rc t="2" v="9399"/>
    </bk>
    <bk>
      <rc t="2" v="9400"/>
    </bk>
    <bk>
      <rc t="2" v="9401"/>
    </bk>
    <bk>
      <rc t="2" v="9402"/>
    </bk>
    <bk>
      <rc t="2" v="9403"/>
    </bk>
    <bk>
      <rc t="2" v="9404"/>
    </bk>
    <bk>
      <rc t="2" v="9405"/>
    </bk>
    <bk>
      <rc t="2" v="9406"/>
    </bk>
    <bk>
      <rc t="2" v="9407"/>
    </bk>
    <bk>
      <rc t="2" v="9408"/>
    </bk>
    <bk>
      <rc t="2" v="9409"/>
    </bk>
    <bk>
      <rc t="2" v="9410"/>
    </bk>
    <bk>
      <rc t="2" v="9411"/>
    </bk>
    <bk>
      <rc t="2" v="9412"/>
    </bk>
    <bk>
      <rc t="2" v="9413"/>
    </bk>
    <bk>
      <rc t="2" v="9414"/>
    </bk>
    <bk>
      <rc t="2" v="9415"/>
    </bk>
    <bk>
      <rc t="2" v="9416"/>
    </bk>
    <bk>
      <rc t="2" v="9417"/>
    </bk>
    <bk>
      <rc t="2" v="9418"/>
    </bk>
    <bk>
      <rc t="2" v="9419"/>
    </bk>
    <bk>
      <rc t="2" v="9420"/>
    </bk>
    <bk>
      <rc t="2" v="9421"/>
    </bk>
    <bk>
      <rc t="2" v="9422"/>
    </bk>
    <bk>
      <rc t="2" v="9423"/>
    </bk>
    <bk>
      <rc t="2" v="9424"/>
    </bk>
    <bk>
      <rc t="2" v="9425"/>
    </bk>
    <bk>
      <rc t="2" v="9426"/>
    </bk>
    <bk>
      <rc t="2" v="9427"/>
    </bk>
    <bk>
      <rc t="2" v="9428"/>
    </bk>
    <bk>
      <rc t="2" v="9429"/>
    </bk>
    <bk>
      <rc t="2" v="9430"/>
    </bk>
    <bk>
      <rc t="2" v="9431"/>
    </bk>
    <bk>
      <rc t="2" v="9432"/>
    </bk>
    <bk>
      <rc t="2" v="9433"/>
    </bk>
    <bk>
      <rc t="2" v="9434"/>
    </bk>
    <bk>
      <rc t="2" v="9435"/>
    </bk>
    <bk>
      <rc t="2" v="9436"/>
    </bk>
    <bk>
      <rc t="2" v="9437"/>
    </bk>
    <bk>
      <rc t="2" v="9438"/>
    </bk>
    <bk>
      <rc t="2" v="9439"/>
    </bk>
    <bk>
      <rc t="2" v="9440"/>
    </bk>
    <bk>
      <rc t="2" v="9441"/>
    </bk>
    <bk>
      <rc t="2" v="9442"/>
    </bk>
    <bk>
      <rc t="2" v="9443"/>
    </bk>
    <bk>
      <rc t="2" v="9444"/>
    </bk>
    <bk>
      <rc t="2" v="9445"/>
    </bk>
    <bk>
      <rc t="2" v="9446"/>
    </bk>
    <bk>
      <rc t="2" v="9447"/>
    </bk>
    <bk>
      <rc t="2" v="9448"/>
    </bk>
    <bk>
      <rc t="2" v="9449"/>
    </bk>
    <bk>
      <rc t="2" v="9450"/>
    </bk>
    <bk>
      <rc t="2" v="9451"/>
    </bk>
    <bk>
      <rc t="2" v="9452"/>
    </bk>
    <bk>
      <rc t="2" v="9453"/>
    </bk>
    <bk>
      <rc t="2" v="9454"/>
    </bk>
    <bk>
      <rc t="2" v="9455"/>
    </bk>
    <bk>
      <rc t="2" v="9456"/>
    </bk>
    <bk>
      <rc t="2" v="9457"/>
    </bk>
    <bk>
      <rc t="2" v="9458"/>
    </bk>
    <bk>
      <rc t="2" v="9459"/>
    </bk>
    <bk>
      <rc t="2" v="9460"/>
    </bk>
    <bk>
      <rc t="2" v="9461"/>
    </bk>
    <bk>
      <rc t="2" v="9462"/>
    </bk>
    <bk>
      <rc t="2" v="9463"/>
    </bk>
    <bk>
      <rc t="2" v="9464"/>
    </bk>
    <bk>
      <rc t="2" v="9465"/>
    </bk>
    <bk>
      <rc t="2" v="9466"/>
    </bk>
    <bk>
      <rc t="2" v="9467"/>
    </bk>
    <bk>
      <rc t="2" v="9468"/>
    </bk>
    <bk>
      <rc t="2" v="9469"/>
    </bk>
    <bk>
      <rc t="2" v="9470"/>
    </bk>
    <bk>
      <rc t="2" v="9471"/>
    </bk>
    <bk>
      <rc t="2" v="9472"/>
    </bk>
    <bk>
      <rc t="2" v="9473"/>
    </bk>
    <bk>
      <rc t="2" v="9474"/>
    </bk>
    <bk>
      <rc t="2" v="9475"/>
    </bk>
    <bk>
      <rc t="2" v="9476"/>
    </bk>
    <bk>
      <rc t="2" v="9477"/>
    </bk>
    <bk>
      <rc t="2" v="9478"/>
    </bk>
    <bk>
      <rc t="2" v="9479"/>
    </bk>
    <bk>
      <rc t="2" v="9480"/>
    </bk>
    <bk>
      <rc t="2" v="9481"/>
    </bk>
    <bk>
      <rc t="2" v="9482"/>
    </bk>
    <bk>
      <rc t="2" v="9483"/>
    </bk>
    <bk>
      <rc t="2" v="9484"/>
    </bk>
    <bk>
      <rc t="2" v="9485"/>
    </bk>
    <bk>
      <rc t="2" v="9486"/>
    </bk>
    <bk>
      <rc t="2" v="9487"/>
    </bk>
    <bk>
      <rc t="2" v="9488"/>
    </bk>
    <bk>
      <rc t="2" v="9489"/>
    </bk>
    <bk>
      <rc t="2" v="9490"/>
    </bk>
    <bk>
      <rc t="2" v="9491"/>
    </bk>
    <bk>
      <rc t="2" v="9492"/>
    </bk>
    <bk>
      <rc t="2" v="9493"/>
    </bk>
    <bk>
      <rc t="2" v="9494"/>
    </bk>
    <bk>
      <rc t="2" v="9495"/>
    </bk>
    <bk>
      <rc t="2" v="9496"/>
    </bk>
    <bk>
      <rc t="2" v="9497"/>
    </bk>
    <bk>
      <rc t="2" v="9498"/>
    </bk>
    <bk>
      <rc t="2" v="9499"/>
    </bk>
    <bk>
      <rc t="2" v="9500"/>
    </bk>
    <bk>
      <rc t="2" v="9501"/>
    </bk>
    <bk>
      <rc t="2" v="9502"/>
    </bk>
    <bk>
      <rc t="2" v="9503"/>
    </bk>
    <bk>
      <rc t="2" v="9504"/>
    </bk>
    <bk>
      <rc t="2" v="9505"/>
    </bk>
    <bk>
      <rc t="2" v="9506"/>
    </bk>
    <bk>
      <rc t="2" v="9507"/>
    </bk>
    <bk>
      <rc t="2" v="9508"/>
    </bk>
    <bk>
      <rc t="2" v="9509"/>
    </bk>
    <bk>
      <rc t="2" v="9510"/>
    </bk>
    <bk>
      <rc t="2" v="9511"/>
    </bk>
    <bk>
      <rc t="2" v="9512"/>
    </bk>
    <bk>
      <rc t="2" v="9513"/>
    </bk>
    <bk>
      <rc t="2" v="9514"/>
    </bk>
    <bk>
      <rc t="2" v="9515"/>
    </bk>
    <bk>
      <rc t="2" v="9516"/>
    </bk>
    <bk>
      <rc t="2" v="9517"/>
    </bk>
    <bk>
      <rc t="2" v="9518"/>
    </bk>
    <bk>
      <rc t="2" v="9519"/>
    </bk>
    <bk>
      <rc t="2" v="9520"/>
    </bk>
    <bk>
      <rc t="2" v="9521"/>
    </bk>
    <bk>
      <rc t="2" v="9522"/>
    </bk>
    <bk>
      <rc t="2" v="9523"/>
    </bk>
    <bk>
      <rc t="2" v="9524"/>
    </bk>
    <bk>
      <rc t="2" v="9525"/>
    </bk>
    <bk>
      <rc t="2" v="9526"/>
    </bk>
    <bk>
      <rc t="2" v="9527"/>
    </bk>
    <bk>
      <rc t="2" v="9528"/>
    </bk>
    <bk>
      <rc t="2" v="9529"/>
    </bk>
    <bk>
      <rc t="2" v="9530"/>
    </bk>
    <bk>
      <rc t="2" v="9531"/>
    </bk>
    <bk>
      <rc t="2" v="9532"/>
    </bk>
    <bk>
      <rc t="2" v="9533"/>
    </bk>
    <bk>
      <rc t="2" v="9534"/>
    </bk>
    <bk>
      <rc t="2" v="9535"/>
    </bk>
    <bk>
      <rc t="2" v="9536"/>
    </bk>
    <bk>
      <rc t="2" v="9537"/>
    </bk>
    <bk>
      <rc t="2" v="9538"/>
    </bk>
    <bk>
      <rc t="2" v="9539"/>
    </bk>
    <bk>
      <rc t="2" v="9540"/>
    </bk>
    <bk>
      <rc t="2" v="9541"/>
    </bk>
    <bk>
      <rc t="2" v="9542"/>
    </bk>
    <bk>
      <rc t="2" v="9543"/>
    </bk>
    <bk>
      <rc t="2" v="9544"/>
    </bk>
    <bk>
      <rc t="2" v="9545"/>
    </bk>
    <bk>
      <rc t="2" v="9546"/>
    </bk>
    <bk>
      <rc t="2" v="9547"/>
    </bk>
    <bk>
      <rc t="2" v="9548"/>
    </bk>
    <bk>
      <rc t="2" v="9549"/>
    </bk>
    <bk>
      <rc t="2" v="9550"/>
    </bk>
    <bk>
      <rc t="2" v="9551"/>
    </bk>
    <bk>
      <rc t="2" v="9552"/>
    </bk>
    <bk>
      <rc t="2" v="9553"/>
    </bk>
    <bk>
      <rc t="2" v="9554"/>
    </bk>
    <bk>
      <rc t="2" v="9555"/>
    </bk>
    <bk>
      <rc t="2" v="9556"/>
    </bk>
    <bk>
      <rc t="2" v="9557"/>
    </bk>
    <bk>
      <rc t="2" v="9558"/>
    </bk>
    <bk>
      <rc t="2" v="9559"/>
    </bk>
    <bk>
      <rc t="2" v="9560"/>
    </bk>
    <bk>
      <rc t="2" v="9561"/>
    </bk>
    <bk>
      <rc t="2" v="9562"/>
    </bk>
    <bk>
      <rc t="2" v="9563"/>
    </bk>
    <bk>
      <rc t="2" v="9564"/>
    </bk>
    <bk>
      <rc t="2" v="9565"/>
    </bk>
    <bk>
      <rc t="2" v="9566"/>
    </bk>
    <bk>
      <rc t="2" v="9567"/>
    </bk>
    <bk>
      <rc t="2" v="9568"/>
    </bk>
    <bk>
      <rc t="2" v="9569"/>
    </bk>
    <bk>
      <rc t="2" v="9570"/>
    </bk>
    <bk>
      <rc t="2" v="9571"/>
    </bk>
    <bk>
      <rc t="2" v="9572"/>
    </bk>
    <bk>
      <rc t="2" v="9573"/>
    </bk>
    <bk>
      <rc t="2" v="9574"/>
    </bk>
    <bk>
      <rc t="2" v="9575"/>
    </bk>
    <bk>
      <rc t="2" v="9576"/>
    </bk>
    <bk>
      <rc t="2" v="9577"/>
    </bk>
    <bk>
      <rc t="2" v="9578"/>
    </bk>
    <bk>
      <rc t="2" v="9579"/>
    </bk>
    <bk>
      <rc t="2" v="9580"/>
    </bk>
    <bk>
      <rc t="2" v="9581"/>
    </bk>
    <bk>
      <rc t="2" v="9582"/>
    </bk>
    <bk>
      <rc t="2" v="9583"/>
    </bk>
    <bk>
      <rc t="2" v="9584"/>
    </bk>
    <bk>
      <rc t="2" v="9585"/>
    </bk>
    <bk>
      <rc t="2" v="9586"/>
    </bk>
    <bk>
      <rc t="2" v="9587"/>
    </bk>
    <bk>
      <rc t="2" v="9588"/>
    </bk>
    <bk>
      <rc t="2" v="9589"/>
    </bk>
    <bk>
      <rc t="2" v="9590"/>
    </bk>
    <bk>
      <rc t="2" v="9591"/>
    </bk>
    <bk>
      <rc t="2" v="9592"/>
    </bk>
    <bk>
      <rc t="2" v="9593"/>
    </bk>
    <bk>
      <rc t="2" v="9594"/>
    </bk>
    <bk>
      <rc t="2" v="9595"/>
    </bk>
    <bk>
      <rc t="2" v="9596"/>
    </bk>
    <bk>
      <rc t="2" v="9597"/>
    </bk>
    <bk>
      <rc t="2" v="9598"/>
    </bk>
    <bk>
      <rc t="2" v="9599"/>
    </bk>
    <bk>
      <rc t="2" v="9600"/>
    </bk>
    <bk>
      <rc t="2" v="9601"/>
    </bk>
    <bk>
      <rc t="2" v="9602"/>
    </bk>
    <bk>
      <rc t="2" v="9603"/>
    </bk>
    <bk>
      <rc t="2" v="9604"/>
    </bk>
    <bk>
      <rc t="2" v="9605"/>
    </bk>
    <bk>
      <rc t="2" v="9606"/>
    </bk>
    <bk>
      <rc t="2" v="9607"/>
    </bk>
    <bk>
      <rc t="2" v="9608"/>
    </bk>
    <bk>
      <rc t="2" v="9609"/>
    </bk>
    <bk>
      <rc t="2" v="9610"/>
    </bk>
    <bk>
      <rc t="2" v="9611"/>
    </bk>
    <bk>
      <rc t="2" v="9612"/>
    </bk>
    <bk>
      <rc t="2" v="9613"/>
    </bk>
    <bk>
      <rc t="2" v="9614"/>
    </bk>
    <bk>
      <rc t="2" v="9615"/>
    </bk>
    <bk>
      <rc t="2" v="9616"/>
    </bk>
    <bk>
      <rc t="2" v="9617"/>
    </bk>
    <bk>
      <rc t="2" v="9618"/>
    </bk>
    <bk>
      <rc t="2" v="9619"/>
    </bk>
    <bk>
      <rc t="2" v="9620"/>
    </bk>
    <bk>
      <rc t="2" v="9621"/>
    </bk>
    <bk>
      <rc t="2" v="9622"/>
    </bk>
    <bk>
      <rc t="2" v="9623"/>
    </bk>
    <bk>
      <rc t="2" v="9624"/>
    </bk>
    <bk>
      <rc t="2" v="9625"/>
    </bk>
    <bk>
      <rc t="2" v="9626"/>
    </bk>
    <bk>
      <rc t="2" v="9627"/>
    </bk>
    <bk>
      <rc t="2" v="9628"/>
    </bk>
    <bk>
      <rc t="2" v="9629"/>
    </bk>
    <bk>
      <rc t="2" v="9630"/>
    </bk>
    <bk>
      <rc t="2" v="9631"/>
    </bk>
    <bk>
      <rc t="2" v="9632"/>
    </bk>
    <bk>
      <rc t="2" v="9633"/>
    </bk>
    <bk>
      <rc t="2" v="9634"/>
    </bk>
    <bk>
      <rc t="2" v="9635"/>
    </bk>
    <bk>
      <rc t="2" v="9636"/>
    </bk>
    <bk>
      <rc t="2" v="9637"/>
    </bk>
    <bk>
      <rc t="2" v="9638"/>
    </bk>
    <bk>
      <rc t="2" v="9639"/>
    </bk>
    <bk>
      <rc t="2" v="9640"/>
    </bk>
    <bk>
      <rc t="2" v="9641"/>
    </bk>
    <bk>
      <rc t="2" v="9642"/>
    </bk>
    <bk>
      <rc t="2" v="9643"/>
    </bk>
    <bk>
      <rc t="2" v="9644"/>
    </bk>
    <bk>
      <rc t="2" v="9645"/>
    </bk>
    <bk>
      <rc t="2" v="9646"/>
    </bk>
    <bk>
      <rc t="2" v="9647"/>
    </bk>
    <bk>
      <rc t="2" v="9648"/>
    </bk>
    <bk>
      <rc t="2" v="9649"/>
    </bk>
    <bk>
      <rc t="2" v="9650"/>
    </bk>
    <bk>
      <rc t="2" v="9651"/>
    </bk>
    <bk>
      <rc t="2" v="9652"/>
    </bk>
    <bk>
      <rc t="2" v="9653"/>
    </bk>
    <bk>
      <rc t="2" v="9654"/>
    </bk>
    <bk>
      <rc t="2" v="9655"/>
    </bk>
    <bk>
      <rc t="2" v="9656"/>
    </bk>
    <bk>
      <rc t="2" v="9657"/>
    </bk>
    <bk>
      <rc t="2" v="9658"/>
    </bk>
    <bk>
      <rc t="2" v="9659"/>
    </bk>
    <bk>
      <rc t="2" v="9660"/>
    </bk>
    <bk>
      <rc t="2" v="9661"/>
    </bk>
    <bk>
      <rc t="2" v="9662"/>
    </bk>
    <bk>
      <rc t="2" v="9663"/>
    </bk>
    <bk>
      <rc t="2" v="9664"/>
    </bk>
    <bk>
      <rc t="2" v="9665"/>
    </bk>
    <bk>
      <rc t="2" v="9666"/>
    </bk>
    <bk>
      <rc t="2" v="9667"/>
    </bk>
    <bk>
      <rc t="2" v="9668"/>
    </bk>
    <bk>
      <rc t="2" v="9669"/>
    </bk>
    <bk>
      <rc t="2" v="9670"/>
    </bk>
    <bk>
      <rc t="2" v="9671"/>
    </bk>
    <bk>
      <rc t="2" v="9672"/>
    </bk>
    <bk>
      <rc t="2" v="9673"/>
    </bk>
    <bk>
      <rc t="2" v="9674"/>
    </bk>
    <bk>
      <rc t="2" v="9675"/>
    </bk>
    <bk>
      <rc t="2" v="9676"/>
    </bk>
    <bk>
      <rc t="2" v="9677"/>
    </bk>
    <bk>
      <rc t="2" v="9678"/>
    </bk>
    <bk>
      <rc t="2" v="9679"/>
    </bk>
    <bk>
      <rc t="2" v="9680"/>
    </bk>
    <bk>
      <rc t="2" v="9681"/>
    </bk>
    <bk>
      <rc t="2" v="9682"/>
    </bk>
    <bk>
      <rc t="2" v="9683"/>
    </bk>
    <bk>
      <rc t="2" v="9684"/>
    </bk>
    <bk>
      <rc t="2" v="9685"/>
    </bk>
    <bk>
      <rc t="2" v="9686"/>
    </bk>
    <bk>
      <rc t="2" v="9687"/>
    </bk>
    <bk>
      <rc t="2" v="9688"/>
    </bk>
    <bk>
      <rc t="2" v="9689"/>
    </bk>
    <bk>
      <rc t="2" v="9690"/>
    </bk>
    <bk>
      <rc t="2" v="9691"/>
    </bk>
    <bk>
      <rc t="2" v="9692"/>
    </bk>
    <bk>
      <rc t="2" v="9693"/>
    </bk>
    <bk>
      <rc t="2" v="9694"/>
    </bk>
    <bk>
      <rc t="2" v="9695"/>
    </bk>
    <bk>
      <rc t="2" v="9696"/>
    </bk>
    <bk>
      <rc t="2" v="9697"/>
    </bk>
    <bk>
      <rc t="2" v="9698"/>
    </bk>
    <bk>
      <rc t="2" v="9699"/>
    </bk>
    <bk>
      <rc t="2" v="9700"/>
    </bk>
    <bk>
      <rc t="2" v="9701"/>
    </bk>
    <bk>
      <rc t="2" v="9702"/>
    </bk>
    <bk>
      <rc t="2" v="9703"/>
    </bk>
    <bk>
      <rc t="2" v="9704"/>
    </bk>
    <bk>
      <rc t="2" v="9705"/>
    </bk>
    <bk>
      <rc t="2" v="9706"/>
    </bk>
    <bk>
      <rc t="2" v="9707"/>
    </bk>
    <bk>
      <rc t="2" v="9708"/>
    </bk>
    <bk>
      <rc t="2" v="9709"/>
    </bk>
    <bk>
      <rc t="2" v="9710"/>
    </bk>
    <bk>
      <rc t="2" v="9711"/>
    </bk>
    <bk>
      <rc t="2" v="9712"/>
    </bk>
    <bk>
      <rc t="2" v="9713"/>
    </bk>
    <bk>
      <rc t="2" v="9714"/>
    </bk>
    <bk>
      <rc t="2" v="9715"/>
    </bk>
    <bk>
      <rc t="2" v="9716"/>
    </bk>
    <bk>
      <rc t="2" v="9717"/>
    </bk>
    <bk>
      <rc t="2" v="9718"/>
    </bk>
    <bk>
      <rc t="2" v="9719"/>
    </bk>
    <bk>
      <rc t="2" v="9720"/>
    </bk>
    <bk>
      <rc t="2" v="9721"/>
    </bk>
    <bk>
      <rc t="2" v="9722"/>
    </bk>
    <bk>
      <rc t="2" v="9723"/>
    </bk>
    <bk>
      <rc t="2" v="9724"/>
    </bk>
    <bk>
      <rc t="2" v="9725"/>
    </bk>
    <bk>
      <rc t="2" v="9726"/>
    </bk>
    <bk>
      <rc t="2" v="9727"/>
    </bk>
    <bk>
      <rc t="2" v="9728"/>
    </bk>
    <bk>
      <rc t="2" v="9729"/>
    </bk>
    <bk>
      <rc t="2" v="9730"/>
    </bk>
    <bk>
      <rc t="2" v="9731"/>
    </bk>
    <bk>
      <rc t="2" v="9732"/>
    </bk>
    <bk>
      <rc t="2" v="9733"/>
    </bk>
    <bk>
      <rc t="2" v="9734"/>
    </bk>
    <bk>
      <rc t="2" v="9735"/>
    </bk>
    <bk>
      <rc t="2" v="9736"/>
    </bk>
    <bk>
      <rc t="2" v="9737"/>
    </bk>
    <bk>
      <rc t="2" v="9738"/>
    </bk>
    <bk>
      <rc t="2" v="9739"/>
    </bk>
    <bk>
      <rc t="2" v="9740"/>
    </bk>
    <bk>
      <rc t="2" v="9741"/>
    </bk>
    <bk>
      <rc t="2" v="9742"/>
    </bk>
    <bk>
      <rc t="2" v="9743"/>
    </bk>
    <bk>
      <rc t="2" v="9744"/>
    </bk>
    <bk>
      <rc t="2" v="9745"/>
    </bk>
    <bk>
      <rc t="2" v="9746"/>
    </bk>
    <bk>
      <rc t="2" v="9747"/>
    </bk>
    <bk>
      <rc t="2" v="9748"/>
    </bk>
    <bk>
      <rc t="2" v="9749"/>
    </bk>
    <bk>
      <rc t="2" v="9750"/>
    </bk>
    <bk>
      <rc t="2" v="9751"/>
    </bk>
    <bk>
      <rc t="2" v="9752"/>
    </bk>
    <bk>
      <rc t="2" v="9753"/>
    </bk>
    <bk>
      <rc t="2" v="9754"/>
    </bk>
    <bk>
      <rc t="2" v="9755"/>
    </bk>
    <bk>
      <rc t="2" v="9756"/>
    </bk>
    <bk>
      <rc t="2" v="9757"/>
    </bk>
    <bk>
      <rc t="2" v="9758"/>
    </bk>
    <bk>
      <rc t="2" v="9759"/>
    </bk>
    <bk>
      <rc t="2" v="9760"/>
    </bk>
    <bk>
      <rc t="2" v="9761"/>
    </bk>
    <bk>
      <rc t="2" v="9762"/>
    </bk>
    <bk>
      <rc t="2" v="9763"/>
    </bk>
    <bk>
      <rc t="2" v="9764"/>
    </bk>
    <bk>
      <rc t="2" v="9765"/>
    </bk>
    <bk>
      <rc t="2" v="9766"/>
    </bk>
    <bk>
      <rc t="2" v="9767"/>
    </bk>
    <bk>
      <rc t="2" v="9768"/>
    </bk>
    <bk>
      <rc t="2" v="9769"/>
    </bk>
    <bk>
      <rc t="2" v="9770"/>
    </bk>
    <bk>
      <rc t="2" v="9771"/>
    </bk>
    <bk>
      <rc t="2" v="9772"/>
    </bk>
    <bk>
      <rc t="2" v="9773"/>
    </bk>
    <bk>
      <rc t="2" v="9774"/>
    </bk>
    <bk>
      <rc t="2" v="9775"/>
    </bk>
    <bk>
      <rc t="2" v="9776"/>
    </bk>
    <bk>
      <rc t="2" v="9777"/>
    </bk>
    <bk>
      <rc t="2" v="9778"/>
    </bk>
    <bk>
      <rc t="2" v="9779"/>
    </bk>
    <bk>
      <rc t="2" v="9780"/>
    </bk>
    <bk>
      <rc t="2" v="9781"/>
    </bk>
    <bk>
      <rc t="2" v="9782"/>
    </bk>
    <bk>
      <rc t="2" v="9783"/>
    </bk>
    <bk>
      <rc t="2" v="9784"/>
    </bk>
    <bk>
      <rc t="2" v="9785"/>
    </bk>
    <bk>
      <rc t="2" v="9786"/>
    </bk>
    <bk>
      <rc t="2" v="9787"/>
    </bk>
    <bk>
      <rc t="2" v="9788"/>
    </bk>
    <bk>
      <rc t="2" v="9789"/>
    </bk>
    <bk>
      <rc t="2" v="9790"/>
    </bk>
    <bk>
      <rc t="2" v="9791"/>
    </bk>
    <bk>
      <rc t="2" v="9792"/>
    </bk>
    <bk>
      <rc t="2" v="9793"/>
    </bk>
    <bk>
      <rc t="2" v="9794"/>
    </bk>
    <bk>
      <rc t="2" v="9795"/>
    </bk>
    <bk>
      <rc t="2" v="9796"/>
    </bk>
    <bk>
      <rc t="2" v="9797"/>
    </bk>
    <bk>
      <rc t="2" v="9798"/>
    </bk>
    <bk>
      <rc t="2" v="9799"/>
    </bk>
    <bk>
      <rc t="2" v="9800"/>
    </bk>
    <bk>
      <rc t="2" v="9801"/>
    </bk>
    <bk>
      <rc t="2" v="9802"/>
    </bk>
    <bk>
      <rc t="2" v="9803"/>
    </bk>
    <bk>
      <rc t="2" v="9804"/>
    </bk>
    <bk>
      <rc t="2" v="9805"/>
    </bk>
    <bk>
      <rc t="2" v="9806"/>
    </bk>
    <bk>
      <rc t="2" v="9807"/>
    </bk>
    <bk>
      <rc t="2" v="9808"/>
    </bk>
    <bk>
      <rc t="2" v="9809"/>
    </bk>
    <bk>
      <rc t="2" v="9810"/>
    </bk>
    <bk>
      <rc t="2" v="9811"/>
    </bk>
    <bk>
      <rc t="2" v="9812"/>
    </bk>
    <bk>
      <rc t="2" v="9813"/>
    </bk>
    <bk>
      <rc t="2" v="9814"/>
    </bk>
    <bk>
      <rc t="2" v="9815"/>
    </bk>
    <bk>
      <rc t="2" v="9816"/>
    </bk>
    <bk>
      <rc t="2" v="9817"/>
    </bk>
    <bk>
      <rc t="2" v="9818"/>
    </bk>
    <bk>
      <rc t="2" v="9819"/>
    </bk>
    <bk>
      <rc t="2" v="9820"/>
    </bk>
    <bk>
      <rc t="2" v="9821"/>
    </bk>
    <bk>
      <rc t="2" v="9822"/>
    </bk>
    <bk>
      <rc t="2" v="9823"/>
    </bk>
    <bk>
      <rc t="2" v="9824"/>
    </bk>
    <bk>
      <rc t="2" v="9825"/>
    </bk>
    <bk>
      <rc t="2" v="9826"/>
    </bk>
    <bk>
      <rc t="2" v="9827"/>
    </bk>
    <bk>
      <rc t="2" v="9828"/>
    </bk>
    <bk>
      <rc t="2" v="9829"/>
    </bk>
    <bk>
      <rc t="2" v="9830"/>
    </bk>
    <bk>
      <rc t="2" v="9831"/>
    </bk>
    <bk>
      <rc t="2" v="9832"/>
    </bk>
    <bk>
      <rc t="2" v="9833"/>
    </bk>
    <bk>
      <rc t="2" v="9834"/>
    </bk>
    <bk>
      <rc t="2" v="9835"/>
    </bk>
    <bk>
      <rc t="2" v="9836"/>
    </bk>
    <bk>
      <rc t="2" v="9837"/>
    </bk>
    <bk>
      <rc t="2" v="9838"/>
    </bk>
    <bk>
      <rc t="2" v="9839"/>
    </bk>
    <bk>
      <rc t="2" v="9840"/>
    </bk>
    <bk>
      <rc t="2" v="9841"/>
    </bk>
    <bk>
      <rc t="2" v="9842"/>
    </bk>
    <bk>
      <rc t="2" v="9843"/>
    </bk>
    <bk>
      <rc t="2" v="9844"/>
    </bk>
    <bk>
      <rc t="2" v="9845"/>
    </bk>
    <bk>
      <rc t="2" v="9846"/>
    </bk>
    <bk>
      <rc t="2" v="9847"/>
    </bk>
    <bk>
      <rc t="2" v="9848"/>
    </bk>
    <bk>
      <rc t="2" v="9849"/>
    </bk>
    <bk>
      <rc t="2" v="9850"/>
    </bk>
    <bk>
      <rc t="2" v="9851"/>
    </bk>
    <bk>
      <rc t="2" v="9852"/>
    </bk>
    <bk>
      <rc t="2" v="9853"/>
    </bk>
    <bk>
      <rc t="2" v="9854"/>
    </bk>
    <bk>
      <rc t="2" v="9855"/>
    </bk>
    <bk>
      <rc t="2" v="9856"/>
    </bk>
    <bk>
      <rc t="2" v="9857"/>
    </bk>
    <bk>
      <rc t="2" v="9858"/>
    </bk>
    <bk>
      <rc t="2" v="9859"/>
    </bk>
    <bk>
      <rc t="2" v="9860"/>
    </bk>
    <bk>
      <rc t="2" v="9861"/>
    </bk>
    <bk>
      <rc t="2" v="9862"/>
    </bk>
    <bk>
      <rc t="2" v="9863"/>
    </bk>
    <bk>
      <rc t="2" v="9864"/>
    </bk>
    <bk>
      <rc t="2" v="9865"/>
    </bk>
    <bk>
      <rc t="2" v="9866"/>
    </bk>
    <bk>
      <rc t="2" v="9867"/>
    </bk>
    <bk>
      <rc t="2" v="9868"/>
    </bk>
    <bk>
      <rc t="2" v="9869"/>
    </bk>
    <bk>
      <rc t="2" v="9870"/>
    </bk>
    <bk>
      <rc t="2" v="9871"/>
    </bk>
    <bk>
      <rc t="2" v="9872"/>
    </bk>
    <bk>
      <rc t="2" v="9873"/>
    </bk>
    <bk>
      <rc t="2" v="9874"/>
    </bk>
    <bk>
      <rc t="2" v="9875"/>
    </bk>
    <bk>
      <rc t="2" v="9876"/>
    </bk>
    <bk>
      <rc t="2" v="9877"/>
    </bk>
    <bk>
      <rc t="2" v="9878"/>
    </bk>
    <bk>
      <rc t="2" v="9879"/>
    </bk>
    <bk>
      <rc t="2" v="9880"/>
    </bk>
    <bk>
      <rc t="2" v="9881"/>
    </bk>
    <bk>
      <rc t="2" v="9882"/>
    </bk>
    <bk>
      <rc t="2" v="9883"/>
    </bk>
    <bk>
      <rc t="2" v="9884"/>
    </bk>
    <bk>
      <rc t="2" v="9885"/>
    </bk>
    <bk>
      <rc t="2" v="9886"/>
    </bk>
    <bk>
      <rc t="2" v="9887"/>
    </bk>
    <bk>
      <rc t="2" v="9888"/>
    </bk>
    <bk>
      <rc t="2" v="9889"/>
    </bk>
    <bk>
      <rc t="2" v="9890"/>
    </bk>
    <bk>
      <rc t="2" v="9891"/>
    </bk>
    <bk>
      <rc t="2" v="9892"/>
    </bk>
    <bk>
      <rc t="2" v="9893"/>
    </bk>
    <bk>
      <rc t="2" v="9894"/>
    </bk>
    <bk>
      <rc t="2" v="9895"/>
    </bk>
    <bk>
      <rc t="2" v="9896"/>
    </bk>
    <bk>
      <rc t="2" v="9897"/>
    </bk>
    <bk>
      <rc t="2" v="9898"/>
    </bk>
    <bk>
      <rc t="2" v="9899"/>
    </bk>
    <bk>
      <rc t="2" v="9900"/>
    </bk>
    <bk>
      <rc t="2" v="9901"/>
    </bk>
    <bk>
      <rc t="2" v="9902"/>
    </bk>
    <bk>
      <rc t="2" v="9903"/>
    </bk>
    <bk>
      <rc t="2" v="9904"/>
    </bk>
    <bk>
      <rc t="2" v="9905"/>
    </bk>
    <bk>
      <rc t="2" v="9906"/>
    </bk>
    <bk>
      <rc t="2" v="9907"/>
    </bk>
    <bk>
      <rc t="2" v="9908"/>
    </bk>
    <bk>
      <rc t="2" v="9909"/>
    </bk>
    <bk>
      <rc t="2" v="9910"/>
    </bk>
    <bk>
      <rc t="2" v="9911"/>
    </bk>
    <bk>
      <rc t="2" v="9912"/>
    </bk>
    <bk>
      <rc t="2" v="9913"/>
    </bk>
    <bk>
      <rc t="2" v="9914"/>
    </bk>
    <bk>
      <rc t="2" v="9915"/>
    </bk>
    <bk>
      <rc t="2" v="9916"/>
    </bk>
    <bk>
      <rc t="2" v="9917"/>
    </bk>
    <bk>
      <rc t="2" v="9918"/>
    </bk>
    <bk>
      <rc t="2" v="9919"/>
    </bk>
    <bk>
      <rc t="2" v="9920"/>
    </bk>
    <bk>
      <rc t="2" v="9921"/>
    </bk>
    <bk>
      <rc t="2" v="9922"/>
    </bk>
    <bk>
      <rc t="2" v="9923"/>
    </bk>
    <bk>
      <rc t="2" v="9924"/>
    </bk>
    <bk>
      <rc t="2" v="9925"/>
    </bk>
    <bk>
      <rc t="2" v="9926"/>
    </bk>
    <bk>
      <rc t="2" v="9927"/>
    </bk>
    <bk>
      <rc t="2" v="9928"/>
    </bk>
    <bk>
      <rc t="2" v="9929"/>
    </bk>
    <bk>
      <rc t="2" v="9930"/>
    </bk>
    <bk>
      <rc t="2" v="9931"/>
    </bk>
    <bk>
      <rc t="2" v="9932"/>
    </bk>
    <bk>
      <rc t="2" v="9933"/>
    </bk>
    <bk>
      <rc t="2" v="9934"/>
    </bk>
    <bk>
      <rc t="2" v="9935"/>
    </bk>
    <bk>
      <rc t="2" v="9936"/>
    </bk>
    <bk>
      <rc t="2" v="9937"/>
    </bk>
    <bk>
      <rc t="2" v="9938"/>
    </bk>
    <bk>
      <rc t="2" v="9939"/>
    </bk>
    <bk>
      <rc t="2" v="9940"/>
    </bk>
    <bk>
      <rc t="2" v="9941"/>
    </bk>
    <bk>
      <rc t="2" v="9942"/>
    </bk>
    <bk>
      <rc t="2" v="9943"/>
    </bk>
    <bk>
      <rc t="2" v="9944"/>
    </bk>
    <bk>
      <rc t="2" v="9945"/>
    </bk>
    <bk>
      <rc t="2" v="9946"/>
    </bk>
    <bk>
      <rc t="2" v="9947"/>
    </bk>
    <bk>
      <rc t="2" v="9948"/>
    </bk>
    <bk>
      <rc t="2" v="9949"/>
    </bk>
    <bk>
      <rc t="2" v="9950"/>
    </bk>
    <bk>
      <rc t="2" v="9951"/>
    </bk>
    <bk>
      <rc t="2" v="9952"/>
    </bk>
    <bk>
      <rc t="2" v="9953"/>
    </bk>
    <bk>
      <rc t="2" v="9954"/>
    </bk>
    <bk>
      <rc t="2" v="9955"/>
    </bk>
    <bk>
      <rc t="2" v="9956"/>
    </bk>
    <bk>
      <rc t="2" v="9957"/>
    </bk>
    <bk>
      <rc t="2" v="9958"/>
    </bk>
    <bk>
      <rc t="2" v="9959"/>
    </bk>
    <bk>
      <rc t="2" v="9960"/>
    </bk>
    <bk>
      <rc t="2" v="9961"/>
    </bk>
    <bk>
      <rc t="2" v="9962"/>
    </bk>
    <bk>
      <rc t="2" v="9963"/>
    </bk>
    <bk>
      <rc t="2" v="9964"/>
    </bk>
    <bk>
      <rc t="2" v="9965"/>
    </bk>
    <bk>
      <rc t="2" v="9966"/>
    </bk>
    <bk>
      <rc t="2" v="9967"/>
    </bk>
    <bk>
      <rc t="2" v="9968"/>
    </bk>
    <bk>
      <rc t="2" v="9969"/>
    </bk>
    <bk>
      <rc t="2" v="9970"/>
    </bk>
    <bk>
      <rc t="2" v="9971"/>
    </bk>
    <bk>
      <rc t="2" v="9972"/>
    </bk>
    <bk>
      <rc t="2" v="9973"/>
    </bk>
    <bk>
      <rc t="2" v="9974"/>
    </bk>
    <bk>
      <rc t="2" v="9975"/>
    </bk>
    <bk>
      <rc t="2" v="9976"/>
    </bk>
    <bk>
      <rc t="2" v="9977"/>
    </bk>
    <bk>
      <rc t="2" v="9978"/>
    </bk>
    <bk>
      <rc t="2" v="9979"/>
    </bk>
    <bk>
      <rc t="2" v="9980"/>
    </bk>
    <bk>
      <rc t="2" v="9981"/>
    </bk>
    <bk>
      <rc t="2" v="9982"/>
    </bk>
    <bk>
      <rc t="2" v="9983"/>
    </bk>
    <bk>
      <rc t="2" v="9984"/>
    </bk>
    <bk>
      <rc t="2" v="9985"/>
    </bk>
    <bk>
      <rc t="2" v="9986"/>
    </bk>
    <bk>
      <rc t="2" v="9987"/>
    </bk>
    <bk>
      <rc t="2" v="9988"/>
    </bk>
    <bk>
      <rc t="2" v="9989"/>
    </bk>
    <bk>
      <rc t="2" v="9990"/>
    </bk>
    <bk>
      <rc t="2" v="9991"/>
    </bk>
    <bk>
      <rc t="2" v="9992"/>
    </bk>
    <bk>
      <rc t="2" v="9993"/>
    </bk>
    <bk>
      <rc t="2" v="9994"/>
    </bk>
    <bk>
      <rc t="2" v="9995"/>
    </bk>
    <bk>
      <rc t="2" v="9996"/>
    </bk>
    <bk>
      <rc t="2" v="9997"/>
    </bk>
    <bk>
      <rc t="2" v="9998"/>
    </bk>
    <bk>
      <rc t="2" v="9999"/>
    </bk>
    <bk>
      <rc t="2" v="10000"/>
    </bk>
    <bk>
      <rc t="2" v="10001"/>
    </bk>
    <bk>
      <rc t="2" v="10002"/>
    </bk>
    <bk>
      <rc t="2" v="10003"/>
    </bk>
    <bk>
      <rc t="2" v="10004"/>
    </bk>
    <bk>
      <rc t="2" v="10005"/>
    </bk>
    <bk>
      <rc t="2" v="10006"/>
    </bk>
    <bk>
      <rc t="2" v="10007"/>
    </bk>
    <bk>
      <rc t="2" v="10008"/>
    </bk>
    <bk>
      <rc t="2" v="10009"/>
    </bk>
    <bk>
      <rc t="2" v="10010"/>
    </bk>
    <bk>
      <rc t="2" v="10011"/>
    </bk>
    <bk>
      <rc t="2" v="10012"/>
    </bk>
    <bk>
      <rc t="2" v="10013"/>
    </bk>
    <bk>
      <rc t="2" v="10014"/>
    </bk>
    <bk>
      <rc t="2" v="10015"/>
    </bk>
    <bk>
      <rc t="2" v="10016"/>
    </bk>
    <bk>
      <rc t="2" v="10017"/>
    </bk>
    <bk>
      <rc t="2" v="10018"/>
    </bk>
    <bk>
      <rc t="2" v="10019"/>
    </bk>
    <bk>
      <rc t="2" v="10020"/>
    </bk>
    <bk>
      <rc t="2" v="10021"/>
    </bk>
    <bk>
      <rc t="2" v="10022"/>
    </bk>
    <bk>
      <rc t="2" v="10023"/>
    </bk>
    <bk>
      <rc t="2" v="10024"/>
    </bk>
    <bk>
      <rc t="2" v="10025"/>
    </bk>
    <bk>
      <rc t="2" v="10026"/>
    </bk>
    <bk>
      <rc t="2" v="10027"/>
    </bk>
    <bk>
      <rc t="2" v="10028"/>
    </bk>
    <bk>
      <rc t="2" v="10029"/>
    </bk>
    <bk>
      <rc t="2" v="10030"/>
    </bk>
    <bk>
      <rc t="2" v="10031"/>
    </bk>
    <bk>
      <rc t="2" v="10032"/>
    </bk>
    <bk>
      <rc t="2" v="10033"/>
    </bk>
    <bk>
      <rc t="2" v="10034"/>
    </bk>
    <bk>
      <rc t="2" v="10035"/>
    </bk>
    <bk>
      <rc t="2" v="10036"/>
    </bk>
    <bk>
      <rc t="2" v="10037"/>
    </bk>
    <bk>
      <rc t="2" v="10038"/>
    </bk>
    <bk>
      <rc t="2" v="10039"/>
    </bk>
    <bk>
      <rc t="2" v="10040"/>
    </bk>
    <bk>
      <rc t="2" v="10041"/>
    </bk>
    <bk>
      <rc t="2" v="10042"/>
    </bk>
    <bk>
      <rc t="2" v="10043"/>
    </bk>
    <bk>
      <rc t="2" v="10044"/>
    </bk>
    <bk>
      <rc t="2" v="10045"/>
    </bk>
    <bk>
      <rc t="2" v="10046"/>
    </bk>
    <bk>
      <rc t="2" v="10047"/>
    </bk>
    <bk>
      <rc t="2" v="10048"/>
    </bk>
    <bk>
      <rc t="2" v="10049"/>
    </bk>
    <bk>
      <rc t="2" v="10050"/>
    </bk>
    <bk>
      <rc t="2" v="10051"/>
    </bk>
    <bk>
      <rc t="2" v="10052"/>
    </bk>
    <bk>
      <rc t="2" v="10053"/>
    </bk>
    <bk>
      <rc t="2" v="10054"/>
    </bk>
    <bk>
      <rc t="2" v="10055"/>
    </bk>
    <bk>
      <rc t="2" v="10056"/>
    </bk>
    <bk>
      <rc t="2" v="10057"/>
    </bk>
    <bk>
      <rc t="2" v="10058"/>
    </bk>
    <bk>
      <rc t="2" v="10059"/>
    </bk>
    <bk>
      <rc t="2" v="10060"/>
    </bk>
    <bk>
      <rc t="2" v="10061"/>
    </bk>
    <bk>
      <rc t="2" v="10062"/>
    </bk>
    <bk>
      <rc t="2" v="10063"/>
    </bk>
    <bk>
      <rc t="2" v="10064"/>
    </bk>
    <bk>
      <rc t="2" v="10065"/>
    </bk>
    <bk>
      <rc t="2" v="10066"/>
    </bk>
    <bk>
      <rc t="2" v="10067"/>
    </bk>
    <bk>
      <rc t="2" v="10068"/>
    </bk>
    <bk>
      <rc t="2" v="10069"/>
    </bk>
    <bk>
      <rc t="2" v="10070"/>
    </bk>
    <bk>
      <rc t="2" v="10071"/>
    </bk>
    <bk>
      <rc t="2" v="10072"/>
    </bk>
    <bk>
      <rc t="2" v="10073"/>
    </bk>
    <bk>
      <rc t="2" v="10074"/>
    </bk>
    <bk>
      <rc t="2" v="10075"/>
    </bk>
    <bk>
      <rc t="2" v="10076"/>
    </bk>
    <bk>
      <rc t="2" v="10077"/>
    </bk>
    <bk>
      <rc t="2" v="10078"/>
    </bk>
    <bk>
      <rc t="2" v="10079"/>
    </bk>
    <bk>
      <rc t="2" v="10080"/>
    </bk>
    <bk>
      <rc t="2" v="10081"/>
    </bk>
    <bk>
      <rc t="2" v="10082"/>
    </bk>
    <bk>
      <rc t="2" v="10083"/>
    </bk>
    <bk>
      <rc t="2" v="10084"/>
    </bk>
    <bk>
      <rc t="2" v="10085"/>
    </bk>
    <bk>
      <rc t="2" v="10086"/>
    </bk>
    <bk>
      <rc t="2" v="10087"/>
    </bk>
    <bk>
      <rc t="2" v="10088"/>
    </bk>
    <bk>
      <rc t="2" v="10089"/>
    </bk>
    <bk>
      <rc t="2" v="10090"/>
    </bk>
    <bk>
      <rc t="2" v="10091"/>
    </bk>
    <bk>
      <rc t="2" v="10092"/>
    </bk>
    <bk>
      <rc t="2" v="10093"/>
    </bk>
    <bk>
      <rc t="2" v="10094"/>
    </bk>
    <bk>
      <rc t="2" v="10095"/>
    </bk>
    <bk>
      <rc t="2" v="10096"/>
    </bk>
    <bk>
      <rc t="2" v="10097"/>
    </bk>
    <bk>
      <rc t="2" v="10098"/>
    </bk>
    <bk>
      <rc t="2" v="10099"/>
    </bk>
    <bk>
      <rc t="2" v="10100"/>
    </bk>
    <bk>
      <rc t="2" v="10101"/>
    </bk>
    <bk>
      <rc t="2" v="10102"/>
    </bk>
    <bk>
      <rc t="2" v="10103"/>
    </bk>
    <bk>
      <rc t="2" v="10104"/>
    </bk>
    <bk>
      <rc t="2" v="10105"/>
    </bk>
    <bk>
      <rc t="2" v="10106"/>
    </bk>
    <bk>
      <rc t="2" v="10107"/>
    </bk>
    <bk>
      <rc t="2" v="10108"/>
    </bk>
    <bk>
      <rc t="2" v="10109"/>
    </bk>
    <bk>
      <rc t="2" v="10110"/>
    </bk>
    <bk>
      <rc t="2" v="10111"/>
    </bk>
    <bk>
      <rc t="2" v="10112"/>
    </bk>
    <bk>
      <rc t="2" v="10113"/>
    </bk>
    <bk>
      <rc t="2" v="10114"/>
    </bk>
    <bk>
      <rc t="2" v="10115"/>
    </bk>
    <bk>
      <rc t="2" v="10116"/>
    </bk>
    <bk>
      <rc t="2" v="10117"/>
    </bk>
    <bk>
      <rc t="2" v="10118"/>
    </bk>
    <bk>
      <rc t="2" v="10119"/>
    </bk>
    <bk>
      <rc t="2" v="10120"/>
    </bk>
    <bk>
      <rc t="2" v="10121"/>
    </bk>
    <bk>
      <rc t="2" v="10122"/>
    </bk>
    <bk>
      <rc t="2" v="10123"/>
    </bk>
    <bk>
      <rc t="2" v="10124"/>
    </bk>
    <bk>
      <rc t="2" v="10125"/>
    </bk>
    <bk>
      <rc t="2" v="10126"/>
    </bk>
    <bk>
      <rc t="2" v="10127"/>
    </bk>
    <bk>
      <rc t="2" v="10128"/>
    </bk>
    <bk>
      <rc t="2" v="10129"/>
    </bk>
    <bk>
      <rc t="2" v="10130"/>
    </bk>
    <bk>
      <rc t="2" v="10131"/>
    </bk>
    <bk>
      <rc t="2" v="10132"/>
    </bk>
    <bk>
      <rc t="2" v="10133"/>
    </bk>
    <bk>
      <rc t="2" v="10134"/>
    </bk>
    <bk>
      <rc t="2" v="10135"/>
    </bk>
    <bk>
      <rc t="2" v="10136"/>
    </bk>
    <bk>
      <rc t="2" v="10137"/>
    </bk>
    <bk>
      <rc t="2" v="10138"/>
    </bk>
    <bk>
      <rc t="2" v="10139"/>
    </bk>
    <bk>
      <rc t="2" v="10140"/>
    </bk>
    <bk>
      <rc t="2" v="10141"/>
    </bk>
    <bk>
      <rc t="2" v="10142"/>
    </bk>
    <bk>
      <rc t="2" v="10143"/>
    </bk>
    <bk>
      <rc t="2" v="10144"/>
    </bk>
    <bk>
      <rc t="2" v="10145"/>
    </bk>
    <bk>
      <rc t="2" v="10146"/>
    </bk>
    <bk>
      <rc t="2" v="10147"/>
    </bk>
    <bk>
      <rc t="2" v="10148"/>
    </bk>
    <bk>
      <rc t="2" v="10149"/>
    </bk>
    <bk>
      <rc t="2" v="10150"/>
    </bk>
    <bk>
      <rc t="2" v="10151"/>
    </bk>
    <bk>
      <rc t="2" v="10152"/>
    </bk>
    <bk>
      <rc t="2" v="10153"/>
    </bk>
    <bk>
      <rc t="2" v="10154"/>
    </bk>
    <bk>
      <rc t="2" v="10155"/>
    </bk>
    <bk>
      <rc t="2" v="10156"/>
    </bk>
    <bk>
      <rc t="2" v="10157"/>
    </bk>
    <bk>
      <rc t="2" v="10158"/>
    </bk>
    <bk>
      <rc t="2" v="10159"/>
    </bk>
    <bk>
      <rc t="2" v="10160"/>
    </bk>
    <bk>
      <rc t="2" v="10161"/>
    </bk>
    <bk>
      <rc t="2" v="10162"/>
    </bk>
    <bk>
      <rc t="2" v="10163"/>
    </bk>
    <bk>
      <rc t="2" v="10164"/>
    </bk>
    <bk>
      <rc t="2" v="10165"/>
    </bk>
    <bk>
      <rc t="2" v="10166"/>
    </bk>
    <bk>
      <rc t="2" v="10167"/>
    </bk>
    <bk>
      <rc t="2" v="10168"/>
    </bk>
    <bk>
      <rc t="2" v="10169"/>
    </bk>
    <bk>
      <rc t="2" v="10170"/>
    </bk>
    <bk>
      <rc t="2" v="10171"/>
    </bk>
    <bk>
      <rc t="2" v="10172"/>
    </bk>
    <bk>
      <rc t="2" v="10173"/>
    </bk>
    <bk>
      <rc t="2" v="10174"/>
    </bk>
    <bk>
      <rc t="2" v="10175"/>
    </bk>
    <bk>
      <rc t="2" v="10176"/>
    </bk>
    <bk>
      <rc t="2" v="10177"/>
    </bk>
    <bk>
      <rc t="2" v="10178"/>
    </bk>
    <bk>
      <rc t="2" v="10179"/>
    </bk>
    <bk>
      <rc t="2" v="10180"/>
    </bk>
    <bk>
      <rc t="2" v="10181"/>
    </bk>
    <bk>
      <rc t="2" v="10182"/>
    </bk>
    <bk>
      <rc t="2" v="10183"/>
    </bk>
    <bk>
      <rc t="2" v="10184"/>
    </bk>
    <bk>
      <rc t="2" v="10185"/>
    </bk>
    <bk>
      <rc t="2" v="10186"/>
    </bk>
    <bk>
      <rc t="2" v="10187"/>
    </bk>
    <bk>
      <rc t="2" v="10188"/>
    </bk>
    <bk>
      <rc t="2" v="10189"/>
    </bk>
    <bk>
      <rc t="2" v="10190"/>
    </bk>
    <bk>
      <rc t="2" v="10191"/>
    </bk>
    <bk>
      <rc t="2" v="10192"/>
    </bk>
    <bk>
      <rc t="2" v="10193"/>
    </bk>
    <bk>
      <rc t="2" v="10194"/>
    </bk>
    <bk>
      <rc t="2" v="10195"/>
    </bk>
    <bk>
      <rc t="2" v="10196"/>
    </bk>
    <bk>
      <rc t="2" v="10197"/>
    </bk>
    <bk>
      <rc t="2" v="10198"/>
    </bk>
    <bk>
      <rc t="2" v="10199"/>
    </bk>
    <bk>
      <rc t="2" v="10200"/>
    </bk>
    <bk>
      <rc t="2" v="10201"/>
    </bk>
    <bk>
      <rc t="2" v="10202"/>
    </bk>
    <bk>
      <rc t="2" v="10203"/>
    </bk>
    <bk>
      <rc t="2" v="10204"/>
    </bk>
    <bk>
      <rc t="2" v="10205"/>
    </bk>
    <bk>
      <rc t="2" v="10206"/>
    </bk>
    <bk>
      <rc t="2" v="10207"/>
    </bk>
    <bk>
      <rc t="2" v="10208"/>
    </bk>
    <bk>
      <rc t="2" v="10209"/>
    </bk>
    <bk>
      <rc t="2" v="10210"/>
    </bk>
    <bk>
      <rc t="2" v="10211"/>
    </bk>
    <bk>
      <rc t="2" v="10212"/>
    </bk>
    <bk>
      <rc t="2" v="10213"/>
    </bk>
    <bk>
      <rc t="2" v="10214"/>
    </bk>
    <bk>
      <rc t="2" v="10215"/>
    </bk>
    <bk>
      <rc t="2" v="10216"/>
    </bk>
    <bk>
      <rc t="2" v="10217"/>
    </bk>
    <bk>
      <rc t="2" v="10218"/>
    </bk>
    <bk>
      <rc t="2" v="10219"/>
    </bk>
    <bk>
      <rc t="2" v="10220"/>
    </bk>
    <bk>
      <rc t="2" v="10221"/>
    </bk>
    <bk>
      <rc t="2" v="10222"/>
    </bk>
    <bk>
      <rc t="2" v="10223"/>
    </bk>
    <bk>
      <rc t="2" v="10224"/>
    </bk>
    <bk>
      <rc t="2" v="10225"/>
    </bk>
    <bk>
      <rc t="2" v="10226"/>
    </bk>
    <bk>
      <rc t="2" v="10227"/>
    </bk>
    <bk>
      <rc t="2" v="10228"/>
    </bk>
    <bk>
      <rc t="2" v="10229"/>
    </bk>
    <bk>
      <rc t="2" v="10230"/>
    </bk>
    <bk>
      <rc t="2" v="10231"/>
    </bk>
    <bk>
      <rc t="2" v="10232"/>
    </bk>
    <bk>
      <rc t="2" v="10233"/>
    </bk>
    <bk>
      <rc t="2" v="10234"/>
    </bk>
    <bk>
      <rc t="2" v="10235"/>
    </bk>
    <bk>
      <rc t="2" v="10236"/>
    </bk>
    <bk>
      <rc t="2" v="10237"/>
    </bk>
    <bk>
      <rc t="2" v="10238"/>
    </bk>
    <bk>
      <rc t="2" v="10239"/>
    </bk>
    <bk>
      <rc t="2" v="10240"/>
    </bk>
    <bk>
      <rc t="2" v="10241"/>
    </bk>
    <bk>
      <rc t="2" v="10242"/>
    </bk>
    <bk>
      <rc t="2" v="10243"/>
    </bk>
    <bk>
      <rc t="2" v="10244"/>
    </bk>
    <bk>
      <rc t="2" v="10245"/>
    </bk>
    <bk>
      <rc t="2" v="10246"/>
    </bk>
    <bk>
      <rc t="2" v="10247"/>
    </bk>
    <bk>
      <rc t="2" v="10248"/>
    </bk>
    <bk>
      <rc t="2" v="10249"/>
    </bk>
    <bk>
      <rc t="2" v="10250"/>
    </bk>
    <bk>
      <rc t="2" v="10251"/>
    </bk>
    <bk>
      <rc t="2" v="10252"/>
    </bk>
    <bk>
      <rc t="2" v="10253"/>
    </bk>
    <bk>
      <rc t="2" v="10254"/>
    </bk>
    <bk>
      <rc t="2" v="10255"/>
    </bk>
    <bk>
      <rc t="2" v="10256"/>
    </bk>
    <bk>
      <rc t="2" v="10257"/>
    </bk>
    <bk>
      <rc t="2" v="10258"/>
    </bk>
    <bk>
      <rc t="2" v="10259"/>
    </bk>
    <bk>
      <rc t="2" v="10260"/>
    </bk>
    <bk>
      <rc t="2" v="10261"/>
    </bk>
    <bk>
      <rc t="2" v="10262"/>
    </bk>
    <bk>
      <rc t="2" v="10263"/>
    </bk>
    <bk>
      <rc t="2" v="10264"/>
    </bk>
    <bk>
      <rc t="2" v="10265"/>
    </bk>
    <bk>
      <rc t="2" v="10266"/>
    </bk>
    <bk>
      <rc t="2" v="10267"/>
    </bk>
    <bk>
      <rc t="2" v="10268"/>
    </bk>
    <bk>
      <rc t="2" v="10269"/>
    </bk>
    <bk>
      <rc t="2" v="10270"/>
    </bk>
    <bk>
      <rc t="2" v="10271"/>
    </bk>
    <bk>
      <rc t="2" v="10272"/>
    </bk>
    <bk>
      <rc t="2" v="10273"/>
    </bk>
    <bk>
      <rc t="2" v="10274"/>
    </bk>
    <bk>
      <rc t="2" v="10275"/>
    </bk>
    <bk>
      <rc t="2" v="10276"/>
    </bk>
    <bk>
      <rc t="2" v="10277"/>
    </bk>
    <bk>
      <rc t="2" v="10278"/>
    </bk>
    <bk>
      <rc t="2" v="10279"/>
    </bk>
    <bk>
      <rc t="2" v="10280"/>
    </bk>
    <bk>
      <rc t="2" v="10281"/>
    </bk>
    <bk>
      <rc t="2" v="10282"/>
    </bk>
    <bk>
      <rc t="2" v="10283"/>
    </bk>
    <bk>
      <rc t="2" v="10284"/>
    </bk>
    <bk>
      <rc t="2" v="10285"/>
    </bk>
    <bk>
      <rc t="2" v="10286"/>
    </bk>
    <bk>
      <rc t="2" v="10287"/>
    </bk>
    <bk>
      <rc t="2" v="10288"/>
    </bk>
    <bk>
      <rc t="2" v="10289"/>
    </bk>
    <bk>
      <rc t="2" v="10290"/>
    </bk>
    <bk>
      <rc t="2" v="10291"/>
    </bk>
    <bk>
      <rc t="2" v="10292"/>
    </bk>
    <bk>
      <rc t="2" v="10293"/>
    </bk>
    <bk>
      <rc t="2" v="10294"/>
    </bk>
    <bk>
      <rc t="2" v="10295"/>
    </bk>
    <bk>
      <rc t="2" v="10296"/>
    </bk>
    <bk>
      <rc t="2" v="10297"/>
    </bk>
    <bk>
      <rc t="2" v="10298"/>
    </bk>
    <bk>
      <rc t="2" v="10299"/>
    </bk>
    <bk>
      <rc t="2" v="10300"/>
    </bk>
    <bk>
      <rc t="2" v="10301"/>
    </bk>
    <bk>
      <rc t="2" v="10302"/>
    </bk>
    <bk>
      <rc t="2" v="10303"/>
    </bk>
    <bk>
      <rc t="2" v="10304"/>
    </bk>
    <bk>
      <rc t="2" v="10305"/>
    </bk>
    <bk>
      <rc t="2" v="10306"/>
    </bk>
    <bk>
      <rc t="2" v="10307"/>
    </bk>
    <bk>
      <rc t="2" v="10308"/>
    </bk>
    <bk>
      <rc t="2" v="10309"/>
    </bk>
    <bk>
      <rc t="2" v="10310"/>
    </bk>
    <bk>
      <rc t="2" v="10311"/>
    </bk>
    <bk>
      <rc t="2" v="10312"/>
    </bk>
    <bk>
      <rc t="2" v="10313"/>
    </bk>
    <bk>
      <rc t="2" v="10314"/>
    </bk>
    <bk>
      <rc t="2" v="10315"/>
    </bk>
    <bk>
      <rc t="2" v="10316"/>
    </bk>
    <bk>
      <rc t="2" v="10317"/>
    </bk>
    <bk>
      <rc t="2" v="10318"/>
    </bk>
    <bk>
      <rc t="2" v="10319"/>
    </bk>
    <bk>
      <rc t="2" v="10320"/>
    </bk>
    <bk>
      <rc t="2" v="10321"/>
    </bk>
    <bk>
      <rc t="2" v="10322"/>
    </bk>
    <bk>
      <rc t="2" v="10323"/>
    </bk>
    <bk>
      <rc t="2" v="10324"/>
    </bk>
    <bk>
      <rc t="2" v="10325"/>
    </bk>
    <bk>
      <rc t="2" v="10326"/>
    </bk>
    <bk>
      <rc t="2" v="10327"/>
    </bk>
    <bk>
      <rc t="2" v="10328"/>
    </bk>
    <bk>
      <rc t="2" v="10329"/>
    </bk>
    <bk>
      <rc t="2" v="10330"/>
    </bk>
    <bk>
      <rc t="2" v="10331"/>
    </bk>
    <bk>
      <rc t="2" v="10332"/>
    </bk>
    <bk>
      <rc t="2" v="10333"/>
    </bk>
    <bk>
      <rc t="2" v="10334"/>
    </bk>
    <bk>
      <rc t="2" v="10335"/>
    </bk>
    <bk>
      <rc t="2" v="10336"/>
    </bk>
    <bk>
      <rc t="2" v="10337"/>
    </bk>
    <bk>
      <rc t="2" v="10338"/>
    </bk>
    <bk>
      <rc t="2" v="10339"/>
    </bk>
    <bk>
      <rc t="2" v="10340"/>
    </bk>
    <bk>
      <rc t="2" v="10341"/>
    </bk>
    <bk>
      <rc t="2" v="10342"/>
    </bk>
    <bk>
      <rc t="2" v="10343"/>
    </bk>
    <bk>
      <rc t="2" v="10344"/>
    </bk>
    <bk>
      <rc t="2" v="10345"/>
    </bk>
    <bk>
      <rc t="2" v="10346"/>
    </bk>
    <bk>
      <rc t="2" v="10347"/>
    </bk>
    <bk>
      <rc t="2" v="10348"/>
    </bk>
    <bk>
      <rc t="2" v="10349"/>
    </bk>
    <bk>
      <rc t="2" v="10350"/>
    </bk>
    <bk>
      <rc t="2" v="10351"/>
    </bk>
    <bk>
      <rc t="2" v="10352"/>
    </bk>
    <bk>
      <rc t="2" v="10353"/>
    </bk>
    <bk>
      <rc t="2" v="10354"/>
    </bk>
    <bk>
      <rc t="2" v="10355"/>
    </bk>
    <bk>
      <rc t="2" v="10356"/>
    </bk>
    <bk>
      <rc t="2" v="10357"/>
    </bk>
    <bk>
      <rc t="2" v="10358"/>
    </bk>
    <bk>
      <rc t="2" v="10359"/>
    </bk>
    <bk>
      <rc t="2" v="10360"/>
    </bk>
    <bk>
      <rc t="2" v="10361"/>
    </bk>
    <bk>
      <rc t="2" v="10362"/>
    </bk>
    <bk>
      <rc t="2" v="10363"/>
    </bk>
    <bk>
      <rc t="2" v="10364"/>
    </bk>
    <bk>
      <rc t="2" v="10365"/>
    </bk>
    <bk>
      <rc t="2" v="10366"/>
    </bk>
    <bk>
      <rc t="2" v="10367"/>
    </bk>
    <bk>
      <rc t="2" v="10368"/>
    </bk>
    <bk>
      <rc t="2" v="10369"/>
    </bk>
    <bk>
      <rc t="2" v="10370"/>
    </bk>
    <bk>
      <rc t="2" v="10371"/>
    </bk>
    <bk>
      <rc t="2" v="10372"/>
    </bk>
    <bk>
      <rc t="2" v="10373"/>
    </bk>
    <bk>
      <rc t="2" v="10374"/>
    </bk>
    <bk>
      <rc t="2" v="10375"/>
    </bk>
    <bk>
      <rc t="2" v="10376"/>
    </bk>
    <bk>
      <rc t="2" v="10377"/>
    </bk>
    <bk>
      <rc t="2" v="10378"/>
    </bk>
    <bk>
      <rc t="2" v="10379"/>
    </bk>
    <bk>
      <rc t="2" v="10380"/>
    </bk>
    <bk>
      <rc t="2" v="10381"/>
    </bk>
    <bk>
      <rc t="2" v="10382"/>
    </bk>
    <bk>
      <rc t="2" v="10383"/>
    </bk>
    <bk>
      <rc t="2" v="10384"/>
    </bk>
    <bk>
      <rc t="2" v="10385"/>
    </bk>
    <bk>
      <rc t="2" v="10386"/>
    </bk>
    <bk>
      <rc t="2" v="10387"/>
    </bk>
    <bk>
      <rc t="2" v="10388"/>
    </bk>
    <bk>
      <rc t="2" v="10389"/>
    </bk>
    <bk>
      <rc t="2" v="10390"/>
    </bk>
    <bk>
      <rc t="2" v="10391"/>
    </bk>
    <bk>
      <rc t="2" v="10392"/>
    </bk>
    <bk>
      <rc t="2" v="10393"/>
    </bk>
    <bk>
      <rc t="2" v="10394"/>
    </bk>
    <bk>
      <rc t="2" v="10395"/>
    </bk>
    <bk>
      <rc t="2" v="10396"/>
    </bk>
    <bk>
      <rc t="2" v="10397"/>
    </bk>
    <bk>
      <rc t="2" v="10398"/>
    </bk>
    <bk>
      <rc t="2" v="10399"/>
    </bk>
    <bk>
      <rc t="2" v="10400"/>
    </bk>
    <bk>
      <rc t="2" v="10401"/>
    </bk>
    <bk>
      <rc t="2" v="10402"/>
    </bk>
    <bk>
      <rc t="2" v="10403"/>
    </bk>
    <bk>
      <rc t="2" v="10404"/>
    </bk>
    <bk>
      <rc t="2" v="10405"/>
    </bk>
    <bk>
      <rc t="2" v="10406"/>
    </bk>
    <bk>
      <rc t="2" v="10407"/>
    </bk>
    <bk>
      <rc t="2" v="10408"/>
    </bk>
    <bk>
      <rc t="2" v="10409"/>
    </bk>
    <bk>
      <rc t="2" v="10410"/>
    </bk>
    <bk>
      <rc t="2" v="10411"/>
    </bk>
    <bk>
      <rc t="2" v="10412"/>
    </bk>
    <bk>
      <rc t="2" v="10413"/>
    </bk>
    <bk>
      <rc t="2" v="10414"/>
    </bk>
    <bk>
      <rc t="2" v="10415"/>
    </bk>
    <bk>
      <rc t="2" v="10416"/>
    </bk>
    <bk>
      <rc t="2" v="10417"/>
    </bk>
    <bk>
      <rc t="2" v="10418"/>
    </bk>
    <bk>
      <rc t="2" v="10419"/>
    </bk>
    <bk>
      <rc t="2" v="10420"/>
    </bk>
    <bk>
      <rc t="2" v="10421"/>
    </bk>
    <bk>
      <rc t="2" v="10422"/>
    </bk>
    <bk>
      <rc t="2" v="10423"/>
    </bk>
    <bk>
      <rc t="2" v="10424"/>
    </bk>
    <bk>
      <rc t="2" v="10425"/>
    </bk>
    <bk>
      <rc t="2" v="10426"/>
    </bk>
    <bk>
      <rc t="2" v="10427"/>
    </bk>
    <bk>
      <rc t="2" v="10428"/>
    </bk>
    <bk>
      <rc t="2" v="10429"/>
    </bk>
    <bk>
      <rc t="2" v="10430"/>
    </bk>
    <bk>
      <rc t="2" v="10431"/>
    </bk>
    <bk>
      <rc t="2" v="10432"/>
    </bk>
    <bk>
      <rc t="2" v="10433"/>
    </bk>
    <bk>
      <rc t="2" v="10434"/>
    </bk>
    <bk>
      <rc t="2" v="10435"/>
    </bk>
    <bk>
      <rc t="2" v="10436"/>
    </bk>
    <bk>
      <rc t="2" v="10437"/>
    </bk>
    <bk>
      <rc t="2" v="10438"/>
    </bk>
    <bk>
      <rc t="2" v="10439"/>
    </bk>
    <bk>
      <rc t="2" v="10440"/>
    </bk>
    <bk>
      <rc t="2" v="10441"/>
    </bk>
    <bk>
      <rc t="2" v="10442"/>
    </bk>
    <bk>
      <rc t="2" v="10443"/>
    </bk>
    <bk>
      <rc t="2" v="10444"/>
    </bk>
    <bk>
      <rc t="2" v="10445"/>
    </bk>
    <bk>
      <rc t="2" v="10446"/>
    </bk>
    <bk>
      <rc t="2" v="10447"/>
    </bk>
    <bk>
      <rc t="2" v="10448"/>
    </bk>
    <bk>
      <rc t="2" v="10449"/>
    </bk>
    <bk>
      <rc t="2" v="10450"/>
    </bk>
    <bk>
      <rc t="2" v="10451"/>
    </bk>
    <bk>
      <rc t="2" v="10452"/>
    </bk>
    <bk>
      <rc t="2" v="10453"/>
    </bk>
    <bk>
      <rc t="2" v="10454"/>
    </bk>
    <bk>
      <rc t="2" v="10455"/>
    </bk>
    <bk>
      <rc t="2" v="10456"/>
    </bk>
    <bk>
      <rc t="2" v="10457"/>
    </bk>
    <bk>
      <rc t="2" v="10458"/>
    </bk>
    <bk>
      <rc t="2" v="10459"/>
    </bk>
    <bk>
      <rc t="2" v="10460"/>
    </bk>
    <bk>
      <rc t="2" v="10461"/>
    </bk>
    <bk>
      <rc t="2" v="10462"/>
    </bk>
    <bk>
      <rc t="2" v="10463"/>
    </bk>
    <bk>
      <rc t="2" v="10464"/>
    </bk>
    <bk>
      <rc t="2" v="10465"/>
    </bk>
    <bk>
      <rc t="2" v="10466"/>
    </bk>
    <bk>
      <rc t="2" v="10467"/>
    </bk>
    <bk>
      <rc t="2" v="10468"/>
    </bk>
    <bk>
      <rc t="2" v="10469"/>
    </bk>
    <bk>
      <rc t="2" v="10470"/>
    </bk>
    <bk>
      <rc t="2" v="10471"/>
    </bk>
    <bk>
      <rc t="2" v="10472"/>
    </bk>
    <bk>
      <rc t="2" v="10473"/>
    </bk>
    <bk>
      <rc t="2" v="10474"/>
    </bk>
    <bk>
      <rc t="2" v="10475"/>
    </bk>
    <bk>
      <rc t="2" v="10476"/>
    </bk>
    <bk>
      <rc t="2" v="10477"/>
    </bk>
    <bk>
      <rc t="2" v="10478"/>
    </bk>
    <bk>
      <rc t="2" v="10479"/>
    </bk>
    <bk>
      <rc t="2" v="10480"/>
    </bk>
    <bk>
      <rc t="2" v="10481"/>
    </bk>
    <bk>
      <rc t="2" v="10482"/>
    </bk>
    <bk>
      <rc t="2" v="10483"/>
    </bk>
    <bk>
      <rc t="2" v="10484"/>
    </bk>
    <bk>
      <rc t="2" v="10485"/>
    </bk>
    <bk>
      <rc t="2" v="10486"/>
    </bk>
    <bk>
      <rc t="2" v="10487"/>
    </bk>
    <bk>
      <rc t="2" v="10488"/>
    </bk>
    <bk>
      <rc t="2" v="10489"/>
    </bk>
    <bk>
      <rc t="2" v="10490"/>
    </bk>
    <bk>
      <rc t="2" v="10491"/>
    </bk>
    <bk>
      <rc t="2" v="10492"/>
    </bk>
    <bk>
      <rc t="2" v="10493"/>
    </bk>
    <bk>
      <rc t="2" v="10494"/>
    </bk>
    <bk>
      <rc t="2" v="10495"/>
    </bk>
    <bk>
      <rc t="2" v="10496"/>
    </bk>
    <bk>
      <rc t="2" v="10497"/>
    </bk>
    <bk>
      <rc t="2" v="10498"/>
    </bk>
    <bk>
      <rc t="2" v="10499"/>
    </bk>
    <bk>
      <rc t="2" v="10500"/>
    </bk>
    <bk>
      <rc t="2" v="10501"/>
    </bk>
    <bk>
      <rc t="2" v="10502"/>
    </bk>
    <bk>
      <rc t="2" v="10503"/>
    </bk>
    <bk>
      <rc t="2" v="10504"/>
    </bk>
    <bk>
      <rc t="2" v="10505"/>
    </bk>
    <bk>
      <rc t="2" v="10506"/>
    </bk>
    <bk>
      <rc t="2" v="10507"/>
    </bk>
    <bk>
      <rc t="2" v="10508"/>
    </bk>
    <bk>
      <rc t="2" v="10509"/>
    </bk>
    <bk>
      <rc t="2" v="10510"/>
    </bk>
    <bk>
      <rc t="2" v="10511"/>
    </bk>
    <bk>
      <rc t="2" v="10512"/>
    </bk>
    <bk>
      <rc t="2" v="10513"/>
    </bk>
    <bk>
      <rc t="2" v="10514"/>
    </bk>
    <bk>
      <rc t="2" v="10515"/>
    </bk>
    <bk>
      <rc t="2" v="10516"/>
    </bk>
    <bk>
      <rc t="2" v="10517"/>
    </bk>
    <bk>
      <rc t="2" v="10518"/>
    </bk>
    <bk>
      <rc t="2" v="10519"/>
    </bk>
    <bk>
      <rc t="2" v="10520"/>
    </bk>
    <bk>
      <rc t="2" v="10521"/>
    </bk>
    <bk>
      <rc t="2" v="10522"/>
    </bk>
    <bk>
      <rc t="2" v="10523"/>
    </bk>
    <bk>
      <rc t="2" v="10524"/>
    </bk>
    <bk>
      <rc t="2" v="10525"/>
    </bk>
    <bk>
      <rc t="2" v="10526"/>
    </bk>
    <bk>
      <rc t="2" v="10527"/>
    </bk>
    <bk>
      <rc t="2" v="10528"/>
    </bk>
    <bk>
      <rc t="2" v="10529"/>
    </bk>
    <bk>
      <rc t="2" v="10530"/>
    </bk>
    <bk>
      <rc t="2" v="10531"/>
    </bk>
    <bk>
      <rc t="2" v="10532"/>
    </bk>
    <bk>
      <rc t="2" v="10533"/>
    </bk>
    <bk>
      <rc t="2" v="10534"/>
    </bk>
    <bk>
      <rc t="2" v="10535"/>
    </bk>
    <bk>
      <rc t="2" v="10536"/>
    </bk>
    <bk>
      <rc t="2" v="10537"/>
    </bk>
    <bk>
      <rc t="2" v="10538"/>
    </bk>
    <bk>
      <rc t="2" v="10539"/>
    </bk>
    <bk>
      <rc t="2" v="10540"/>
    </bk>
    <bk>
      <rc t="2" v="10541"/>
    </bk>
    <bk>
      <rc t="2" v="10542"/>
    </bk>
    <bk>
      <rc t="2" v="10543"/>
    </bk>
    <bk>
      <rc t="2" v="10544"/>
    </bk>
    <bk>
      <rc t="2" v="10545"/>
    </bk>
    <bk>
      <rc t="2" v="10546"/>
    </bk>
    <bk>
      <rc t="2" v="10547"/>
    </bk>
    <bk>
      <rc t="2" v="10548"/>
    </bk>
    <bk>
      <rc t="2" v="10549"/>
    </bk>
    <bk>
      <rc t="2" v="10550"/>
    </bk>
    <bk>
      <rc t="2" v="10551"/>
    </bk>
    <bk>
      <rc t="2" v="10552"/>
    </bk>
    <bk>
      <rc t="2" v="10553"/>
    </bk>
    <bk>
      <rc t="2" v="10554"/>
    </bk>
    <bk>
      <rc t="2" v="10555"/>
    </bk>
    <bk>
      <rc t="2" v="10556"/>
    </bk>
    <bk>
      <rc t="2" v="10557"/>
    </bk>
    <bk>
      <rc t="2" v="10558"/>
    </bk>
    <bk>
      <rc t="2" v="10559"/>
    </bk>
    <bk>
      <rc t="2" v="10560"/>
    </bk>
    <bk>
      <rc t="2" v="10561"/>
    </bk>
    <bk>
      <rc t="2" v="10562"/>
    </bk>
    <bk>
      <rc t="2" v="10563"/>
    </bk>
    <bk>
      <rc t="2" v="10564"/>
    </bk>
    <bk>
      <rc t="2" v="10565"/>
    </bk>
    <bk>
      <rc t="2" v="10566"/>
    </bk>
    <bk>
      <rc t="2" v="10567"/>
    </bk>
    <bk>
      <rc t="2" v="10568"/>
    </bk>
    <bk>
      <rc t="2" v="10569"/>
    </bk>
    <bk>
      <rc t="2" v="10570"/>
    </bk>
    <bk>
      <rc t="2" v="10571"/>
    </bk>
    <bk>
      <rc t="2" v="10572"/>
    </bk>
    <bk>
      <rc t="2" v="10573"/>
    </bk>
    <bk>
      <rc t="2" v="10574"/>
    </bk>
    <bk>
      <rc t="2" v="10575"/>
    </bk>
    <bk>
      <rc t="2" v="10576"/>
    </bk>
    <bk>
      <rc t="2" v="10577"/>
    </bk>
    <bk>
      <rc t="2" v="10578"/>
    </bk>
    <bk>
      <rc t="2" v="10579"/>
    </bk>
    <bk>
      <rc t="2" v="10580"/>
    </bk>
    <bk>
      <rc t="2" v="10581"/>
    </bk>
    <bk>
      <rc t="2" v="10582"/>
    </bk>
    <bk>
      <rc t="2" v="10583"/>
    </bk>
    <bk>
      <rc t="2" v="10584"/>
    </bk>
    <bk>
      <rc t="2" v="10585"/>
    </bk>
    <bk>
      <rc t="2" v="10586"/>
    </bk>
    <bk>
      <rc t="2" v="10587"/>
    </bk>
    <bk>
      <rc t="2" v="10588"/>
    </bk>
    <bk>
      <rc t="2" v="10589"/>
    </bk>
    <bk>
      <rc t="2" v="10590"/>
    </bk>
    <bk>
      <rc t="2" v="10591"/>
    </bk>
    <bk>
      <rc t="2" v="10592"/>
    </bk>
    <bk>
      <rc t="2" v="10593"/>
    </bk>
    <bk>
      <rc t="2" v="10594"/>
    </bk>
    <bk>
      <rc t="2" v="10595"/>
    </bk>
    <bk>
      <rc t="2" v="10596"/>
    </bk>
    <bk>
      <rc t="2" v="10597"/>
    </bk>
    <bk>
      <rc t="2" v="10598"/>
    </bk>
    <bk>
      <rc t="2" v="10599"/>
    </bk>
    <bk>
      <rc t="2" v="10600"/>
    </bk>
    <bk>
      <rc t="2" v="10601"/>
    </bk>
    <bk>
      <rc t="2" v="10602"/>
    </bk>
    <bk>
      <rc t="2" v="10603"/>
    </bk>
    <bk>
      <rc t="2" v="10604"/>
    </bk>
    <bk>
      <rc t="2" v="10605"/>
    </bk>
    <bk>
      <rc t="2" v="10606"/>
    </bk>
    <bk>
      <rc t="2" v="10607"/>
    </bk>
    <bk>
      <rc t="2" v="10608"/>
    </bk>
    <bk>
      <rc t="2" v="10609"/>
    </bk>
    <bk>
      <rc t="2" v="10610"/>
    </bk>
    <bk>
      <rc t="2" v="10611"/>
    </bk>
    <bk>
      <rc t="2" v="10612"/>
    </bk>
    <bk>
      <rc t="2" v="10613"/>
    </bk>
    <bk>
      <rc t="2" v="10614"/>
    </bk>
    <bk>
      <rc t="2" v="10615"/>
    </bk>
    <bk>
      <rc t="2" v="10616"/>
    </bk>
    <bk>
      <rc t="2" v="10617"/>
    </bk>
    <bk>
      <rc t="2" v="10618"/>
    </bk>
    <bk>
      <rc t="2" v="10619"/>
    </bk>
    <bk>
      <rc t="2" v="10620"/>
    </bk>
    <bk>
      <rc t="2" v="10621"/>
    </bk>
    <bk>
      <rc t="2" v="10622"/>
    </bk>
    <bk>
      <rc t="2" v="10623"/>
    </bk>
    <bk>
      <rc t="2" v="10624"/>
    </bk>
    <bk>
      <rc t="2" v="10625"/>
    </bk>
    <bk>
      <rc t="2" v="10626"/>
    </bk>
    <bk>
      <rc t="2" v="10627"/>
    </bk>
    <bk>
      <rc t="2" v="10628"/>
    </bk>
    <bk>
      <rc t="2" v="10629"/>
    </bk>
    <bk>
      <rc t="2" v="10630"/>
    </bk>
    <bk>
      <rc t="2" v="10631"/>
    </bk>
    <bk>
      <rc t="2" v="10632"/>
    </bk>
    <bk>
      <rc t="2" v="10633"/>
    </bk>
    <bk>
      <rc t="2" v="10634"/>
    </bk>
    <bk>
      <rc t="2" v="10635"/>
    </bk>
    <bk>
      <rc t="2" v="10636"/>
    </bk>
    <bk>
      <rc t="2" v="10637"/>
    </bk>
    <bk>
      <rc t="2" v="10638"/>
    </bk>
    <bk>
      <rc t="2" v="10639"/>
    </bk>
    <bk>
      <rc t="2" v="10640"/>
    </bk>
    <bk>
      <rc t="2" v="10641"/>
    </bk>
    <bk>
      <rc t="2" v="10642"/>
    </bk>
    <bk>
      <rc t="2" v="10643"/>
    </bk>
    <bk>
      <rc t="2" v="10644"/>
    </bk>
    <bk>
      <rc t="2" v="10645"/>
    </bk>
    <bk>
      <rc t="2" v="10646"/>
    </bk>
    <bk>
      <rc t="2" v="10647"/>
    </bk>
    <bk>
      <rc t="2" v="10648"/>
    </bk>
    <bk>
      <rc t="2" v="10649"/>
    </bk>
    <bk>
      <rc t="2" v="10650"/>
    </bk>
    <bk>
      <rc t="2" v="10651"/>
    </bk>
    <bk>
      <rc t="2" v="10652"/>
    </bk>
    <bk>
      <rc t="2" v="10653"/>
    </bk>
    <bk>
      <rc t="2" v="10654"/>
    </bk>
    <bk>
      <rc t="2" v="10655"/>
    </bk>
    <bk>
      <rc t="2" v="10656"/>
    </bk>
    <bk>
      <rc t="2" v="10657"/>
    </bk>
    <bk>
      <rc t="2" v="10658"/>
    </bk>
    <bk>
      <rc t="2" v="10659"/>
    </bk>
    <bk>
      <rc t="2" v="10660"/>
    </bk>
    <bk>
      <rc t="2" v="10661"/>
    </bk>
    <bk>
      <rc t="2" v="10662"/>
    </bk>
    <bk>
      <rc t="2" v="10663"/>
    </bk>
    <bk>
      <rc t="2" v="10664"/>
    </bk>
    <bk>
      <rc t="2" v="10665"/>
    </bk>
    <bk>
      <rc t="2" v="10666"/>
    </bk>
    <bk>
      <rc t="2" v="10667"/>
    </bk>
    <bk>
      <rc t="2" v="10668"/>
    </bk>
    <bk>
      <rc t="2" v="10669"/>
    </bk>
    <bk>
      <rc t="2" v="10670"/>
    </bk>
    <bk>
      <rc t="2" v="10671"/>
    </bk>
    <bk>
      <rc t="2" v="10672"/>
    </bk>
    <bk>
      <rc t="2" v="10673"/>
    </bk>
    <bk>
      <rc t="2" v="10674"/>
    </bk>
    <bk>
      <rc t="2" v="10675"/>
    </bk>
    <bk>
      <rc t="2" v="10676"/>
    </bk>
    <bk>
      <rc t="2" v="10677"/>
    </bk>
    <bk>
      <rc t="2" v="10678"/>
    </bk>
    <bk>
      <rc t="2" v="10679"/>
    </bk>
    <bk>
      <rc t="2" v="10680"/>
    </bk>
    <bk>
      <rc t="2" v="10681"/>
    </bk>
    <bk>
      <rc t="2" v="10682"/>
    </bk>
    <bk>
      <rc t="2" v="10683"/>
    </bk>
    <bk>
      <rc t="2" v="10684"/>
    </bk>
    <bk>
      <rc t="2" v="10685"/>
    </bk>
    <bk>
      <rc t="2" v="10686"/>
    </bk>
    <bk>
      <rc t="2" v="10687"/>
    </bk>
    <bk>
      <rc t="2" v="10688"/>
    </bk>
    <bk>
      <rc t="2" v="10689"/>
    </bk>
    <bk>
      <rc t="2" v="10690"/>
    </bk>
    <bk>
      <rc t="2" v="10691"/>
    </bk>
    <bk>
      <rc t="2" v="10692"/>
    </bk>
    <bk>
      <rc t="2" v="10693"/>
    </bk>
    <bk>
      <rc t="2" v="10694"/>
    </bk>
    <bk>
      <rc t="2" v="10695"/>
    </bk>
    <bk>
      <rc t="2" v="10696"/>
    </bk>
    <bk>
      <rc t="2" v="10697"/>
    </bk>
    <bk>
      <rc t="2" v="10698"/>
    </bk>
    <bk>
      <rc t="2" v="10699"/>
    </bk>
    <bk>
      <rc t="2" v="10700"/>
    </bk>
    <bk>
      <rc t="2" v="10701"/>
    </bk>
    <bk>
      <rc t="2" v="10702"/>
    </bk>
    <bk>
      <rc t="2" v="10703"/>
    </bk>
    <bk>
      <rc t="2" v="10704"/>
    </bk>
    <bk>
      <rc t="2" v="10705"/>
    </bk>
    <bk>
      <rc t="2" v="10706"/>
    </bk>
    <bk>
      <rc t="2" v="10707"/>
    </bk>
    <bk>
      <rc t="2" v="10708"/>
    </bk>
    <bk>
      <rc t="2" v="10709"/>
    </bk>
    <bk>
      <rc t="2" v="10710"/>
    </bk>
    <bk>
      <rc t="2" v="10711"/>
    </bk>
    <bk>
      <rc t="2" v="10712"/>
    </bk>
    <bk>
      <rc t="2" v="10713"/>
    </bk>
    <bk>
      <rc t="2" v="10714"/>
    </bk>
    <bk>
      <rc t="2" v="10715"/>
    </bk>
    <bk>
      <rc t="2" v="10716"/>
    </bk>
    <bk>
      <rc t="2" v="10717"/>
    </bk>
    <bk>
      <rc t="2" v="10718"/>
    </bk>
    <bk>
      <rc t="2" v="10719"/>
    </bk>
    <bk>
      <rc t="2" v="10720"/>
    </bk>
    <bk>
      <rc t="2" v="10721"/>
    </bk>
    <bk>
      <rc t="2" v="10722"/>
    </bk>
    <bk>
      <rc t="2" v="10723"/>
    </bk>
    <bk>
      <rc t="2" v="10724"/>
    </bk>
    <bk>
      <rc t="2" v="10725"/>
    </bk>
    <bk>
      <rc t="2" v="10726"/>
    </bk>
    <bk>
      <rc t="2" v="10727"/>
    </bk>
    <bk>
      <rc t="2" v="10728"/>
    </bk>
    <bk>
      <rc t="2" v="10729"/>
    </bk>
    <bk>
      <rc t="2" v="10730"/>
    </bk>
    <bk>
      <rc t="2" v="10731"/>
    </bk>
    <bk>
      <rc t="2" v="10732"/>
    </bk>
    <bk>
      <rc t="2" v="10733"/>
    </bk>
    <bk>
      <rc t="2" v="10734"/>
    </bk>
    <bk>
      <rc t="2" v="10735"/>
    </bk>
    <bk>
      <rc t="2" v="10736"/>
    </bk>
    <bk>
      <rc t="2" v="10737"/>
    </bk>
    <bk>
      <rc t="2" v="10738"/>
    </bk>
    <bk>
      <rc t="2" v="10739"/>
    </bk>
    <bk>
      <rc t="2" v="10740"/>
    </bk>
    <bk>
      <rc t="2" v="10741"/>
    </bk>
    <bk>
      <rc t="2" v="10742"/>
    </bk>
    <bk>
      <rc t="2" v="10743"/>
    </bk>
    <bk>
      <rc t="2" v="10744"/>
    </bk>
    <bk>
      <rc t="2" v="10745"/>
    </bk>
    <bk>
      <rc t="2" v="10746"/>
    </bk>
    <bk>
      <rc t="2" v="10747"/>
    </bk>
    <bk>
      <rc t="2" v="10748"/>
    </bk>
    <bk>
      <rc t="2" v="10749"/>
    </bk>
    <bk>
      <rc t="2" v="10750"/>
    </bk>
    <bk>
      <rc t="2" v="10751"/>
    </bk>
    <bk>
      <rc t="2" v="10752"/>
    </bk>
    <bk>
      <rc t="2" v="10753"/>
    </bk>
    <bk>
      <rc t="2" v="10754"/>
    </bk>
    <bk>
      <rc t="2" v="10755"/>
    </bk>
    <bk>
      <rc t="2" v="10756"/>
    </bk>
    <bk>
      <rc t="2" v="10757"/>
    </bk>
    <bk>
      <rc t="2" v="10758"/>
    </bk>
    <bk>
      <rc t="2" v="10759"/>
    </bk>
    <bk>
      <rc t="2" v="10760"/>
    </bk>
    <bk>
      <rc t="2" v="10761"/>
    </bk>
    <bk>
      <rc t="2" v="10762"/>
    </bk>
    <bk>
      <rc t="2" v="10763"/>
    </bk>
    <bk>
      <rc t="2" v="10764"/>
    </bk>
    <bk>
      <rc t="2" v="10765"/>
    </bk>
    <bk>
      <rc t="2" v="10766"/>
    </bk>
    <bk>
      <rc t="2" v="10767"/>
    </bk>
    <bk>
      <rc t="2" v="10768"/>
    </bk>
    <bk>
      <rc t="2" v="10769"/>
    </bk>
    <bk>
      <rc t="2" v="10770"/>
    </bk>
    <bk>
      <rc t="2" v="10771"/>
    </bk>
    <bk>
      <rc t="2" v="10772"/>
    </bk>
    <bk>
      <rc t="2" v="10773"/>
    </bk>
    <bk>
      <rc t="2" v="10774"/>
    </bk>
    <bk>
      <rc t="2" v="10775"/>
    </bk>
    <bk>
      <rc t="2" v="10776"/>
    </bk>
    <bk>
      <rc t="2" v="10777"/>
    </bk>
    <bk>
      <rc t="2" v="10778"/>
    </bk>
    <bk>
      <rc t="2" v="10779"/>
    </bk>
    <bk>
      <rc t="2" v="10780"/>
    </bk>
    <bk>
      <rc t="2" v="10781"/>
    </bk>
    <bk>
      <rc t="2" v="10782"/>
    </bk>
    <bk>
      <rc t="2" v="10783"/>
    </bk>
    <bk>
      <rc t="2" v="10784"/>
    </bk>
    <bk>
      <rc t="2" v="10785"/>
    </bk>
    <bk>
      <rc t="2" v="10786"/>
    </bk>
    <bk>
      <rc t="2" v="10787"/>
    </bk>
    <bk>
      <rc t="2" v="10788"/>
    </bk>
    <bk>
      <rc t="2" v="10789"/>
    </bk>
    <bk>
      <rc t="2" v="10790"/>
    </bk>
    <bk>
      <rc t="2" v="10791"/>
    </bk>
    <bk>
      <rc t="2" v="10792"/>
    </bk>
    <bk>
      <rc t="2" v="10793"/>
    </bk>
    <bk>
      <rc t="2" v="10794"/>
    </bk>
    <bk>
      <rc t="2" v="10795"/>
    </bk>
    <bk>
      <rc t="2" v="10796"/>
    </bk>
    <bk>
      <rc t="2" v="10797"/>
    </bk>
    <bk>
      <rc t="2" v="10798"/>
    </bk>
    <bk>
      <rc t="2" v="10799"/>
    </bk>
    <bk>
      <rc t="2" v="10800"/>
    </bk>
    <bk>
      <rc t="2" v="10801"/>
    </bk>
    <bk>
      <rc t="2" v="10802"/>
    </bk>
    <bk>
      <rc t="2" v="10803"/>
    </bk>
    <bk>
      <rc t="2" v="10804"/>
    </bk>
    <bk>
      <rc t="2" v="10805"/>
    </bk>
    <bk>
      <rc t="2" v="10806"/>
    </bk>
    <bk>
      <rc t="2" v="10807"/>
    </bk>
    <bk>
      <rc t="2" v="10808"/>
    </bk>
    <bk>
      <rc t="2" v="10809"/>
    </bk>
    <bk>
      <rc t="2" v="10810"/>
    </bk>
    <bk>
      <rc t="2" v="10811"/>
    </bk>
    <bk>
      <rc t="2" v="10812"/>
    </bk>
    <bk>
      <rc t="2" v="10813"/>
    </bk>
    <bk>
      <rc t="2" v="10814"/>
    </bk>
    <bk>
      <rc t="2" v="10815"/>
    </bk>
    <bk>
      <rc t="2" v="10816"/>
    </bk>
    <bk>
      <rc t="2" v="10817"/>
    </bk>
    <bk>
      <rc t="2" v="10818"/>
    </bk>
    <bk>
      <rc t="2" v="10819"/>
    </bk>
    <bk>
      <rc t="2" v="10820"/>
    </bk>
    <bk>
      <rc t="2" v="10826"/>
    </bk>
    <bk>
      <rc t="2" v="10824"/>
    </bk>
    <bk>
      <rc t="2" v="10827"/>
    </bk>
    <bk>
      <rc t="2" v="10823"/>
    </bk>
    <bk>
      <rc t="2" v="10828"/>
    </bk>
    <bk>
      <rc t="2" v="10829"/>
    </bk>
    <bk>
      <rc t="2" v="10822"/>
    </bk>
    <bk>
      <rc t="2" v="10821"/>
    </bk>
    <bk>
      <rc t="2" v="10830"/>
    </bk>
    <bk>
      <rc t="2" v="10831"/>
    </bk>
    <bk>
      <rc t="2" v="10832"/>
    </bk>
    <bk>
      <rc t="2" v="10833"/>
    </bk>
    <bk>
      <rc t="2" v="10834"/>
    </bk>
    <bk>
      <rc t="2" v="10835"/>
    </bk>
    <bk>
      <rc t="2" v="10836"/>
    </bk>
    <bk>
      <rc t="2" v="10837"/>
    </bk>
    <bk>
      <rc t="2" v="10838"/>
    </bk>
    <bk>
      <rc t="2" v="10839"/>
    </bk>
    <bk>
      <rc t="2" v="10840"/>
    </bk>
    <bk>
      <rc t="2" v="10841"/>
    </bk>
    <bk>
      <rc t="2" v="10842"/>
    </bk>
    <bk>
      <rc t="2" v="10843"/>
    </bk>
    <bk>
      <rc t="2" v="10844"/>
    </bk>
    <bk>
      <rc t="2" v="10845"/>
    </bk>
    <bk>
      <rc t="2" v="10846"/>
    </bk>
    <bk>
      <rc t="2" v="10847"/>
    </bk>
    <bk>
      <rc t="2" v="10848"/>
    </bk>
    <bk>
      <rc t="2" v="10849"/>
    </bk>
    <bk>
      <rc t="2" v="10850"/>
    </bk>
    <bk>
      <rc t="2" v="10851"/>
    </bk>
    <bk>
      <rc t="2" v="10825"/>
    </bk>
    <bk>
      <rc t="2" v="10852"/>
    </bk>
    <bk>
      <rc t="2" v="10853"/>
    </bk>
    <bk>
      <rc t="2" v="10854"/>
    </bk>
    <bk>
      <rc t="2" v="10855"/>
    </bk>
    <bk>
      <rc t="2" v="10856"/>
    </bk>
    <bk>
      <rc t="2" v="10857"/>
    </bk>
    <bk>
      <rc t="2" v="10858"/>
    </bk>
    <bk>
      <rc t="2" v="10859"/>
    </bk>
    <bk>
      <rc t="2" v="10860"/>
    </bk>
    <bk>
      <rc t="2" v="10861"/>
    </bk>
    <bk>
      <rc t="2" v="10862"/>
    </bk>
    <bk>
      <rc t="2" v="10863"/>
    </bk>
    <bk>
      <rc t="2" v="10864"/>
    </bk>
    <bk>
      <rc t="2" v="10865"/>
    </bk>
    <bk>
      <rc t="2" v="10866"/>
    </bk>
    <bk>
      <rc t="2" v="10867"/>
    </bk>
    <bk>
      <rc t="2" v="10868"/>
    </bk>
    <bk>
      <rc t="2" v="10869"/>
    </bk>
    <bk>
      <rc t="2" v="10870"/>
    </bk>
    <bk>
      <rc t="2" v="10871"/>
    </bk>
    <bk>
      <rc t="2" v="10872"/>
    </bk>
    <bk>
      <rc t="2" v="10873"/>
    </bk>
    <bk>
      <rc t="2" v="10874"/>
    </bk>
    <bk>
      <rc t="2" v="10875"/>
    </bk>
    <bk>
      <rc t="2" v="10876"/>
    </bk>
    <bk>
      <rc t="2" v="10877"/>
    </bk>
    <bk>
      <rc t="2" v="10878"/>
    </bk>
    <bk>
      <rc t="2" v="10879"/>
    </bk>
    <bk>
      <rc t="2" v="10880"/>
    </bk>
    <bk>
      <rc t="2" v="10881"/>
    </bk>
    <bk>
      <rc t="2" v="10882"/>
    </bk>
    <bk>
      <rc t="2" v="10883"/>
    </bk>
    <bk>
      <rc t="2" v="10884"/>
    </bk>
    <bk>
      <rc t="2" v="10885"/>
    </bk>
    <bk>
      <rc t="2" v="10886"/>
    </bk>
    <bk>
      <rc t="2" v="10887"/>
    </bk>
    <bk>
      <rc t="2" v="10888"/>
    </bk>
    <bk>
      <rc t="2" v="10889"/>
    </bk>
    <bk>
      <rc t="2" v="10890"/>
    </bk>
    <bk>
      <rc t="2" v="10891"/>
    </bk>
    <bk>
      <rc t="2" v="10892"/>
    </bk>
    <bk>
      <rc t="2" v="10893"/>
    </bk>
    <bk>
      <rc t="2" v="10894"/>
    </bk>
    <bk>
      <rc t="2" v="10895"/>
    </bk>
    <bk>
      <rc t="2" v="10896"/>
    </bk>
    <bk>
      <rc t="2" v="10897"/>
    </bk>
    <bk>
      <rc t="2" v="10898"/>
    </bk>
    <bk>
      <rc t="2" v="10899"/>
    </bk>
    <bk>
      <rc t="2" v="10900"/>
    </bk>
    <bk>
      <rc t="2" v="10901"/>
    </bk>
    <bk>
      <rc t="2" v="10902"/>
    </bk>
    <bk>
      <rc t="2" v="10903"/>
    </bk>
    <bk>
      <rc t="2" v="10904"/>
    </bk>
    <bk>
      <rc t="2" v="10905"/>
    </bk>
    <bk>
      <rc t="2" v="10906"/>
    </bk>
    <bk>
      <rc t="2" v="10907"/>
    </bk>
    <bk>
      <rc t="2" v="10908"/>
    </bk>
    <bk>
      <rc t="2" v="10909"/>
    </bk>
    <bk>
      <rc t="2" v="10910"/>
    </bk>
    <bk>
      <rc t="2" v="10911"/>
    </bk>
    <bk>
      <rc t="2" v="10912"/>
    </bk>
    <bk>
      <rc t="2" v="10913"/>
    </bk>
    <bk>
      <rc t="2" v="10914"/>
    </bk>
    <bk>
      <rc t="2" v="10915"/>
    </bk>
    <bk>
      <rc t="2" v="10916"/>
    </bk>
    <bk>
      <rc t="2" v="10917"/>
    </bk>
    <bk>
      <rc t="2" v="10918"/>
    </bk>
    <bk>
      <rc t="2" v="10919"/>
    </bk>
    <bk>
      <rc t="2" v="10920"/>
    </bk>
    <bk>
      <rc t="2" v="10921"/>
    </bk>
    <bk>
      <rc t="2" v="10922"/>
    </bk>
    <bk>
      <rc t="2" v="10923"/>
    </bk>
    <bk>
      <rc t="2" v="10924"/>
    </bk>
    <bk>
      <rc t="2" v="10925"/>
    </bk>
    <bk>
      <rc t="2" v="10926"/>
    </bk>
    <bk>
      <rc t="2" v="10927"/>
    </bk>
    <bk>
      <rc t="2" v="10928"/>
    </bk>
    <bk>
      <rc t="2" v="10929"/>
    </bk>
    <bk>
      <rc t="2" v="10930"/>
    </bk>
    <bk>
      <rc t="2" v="10931"/>
    </bk>
    <bk>
      <rc t="2" v="10932"/>
    </bk>
    <bk>
      <rc t="2" v="10933"/>
    </bk>
    <bk>
      <rc t="2" v="10934"/>
    </bk>
    <bk>
      <rc t="2" v="10935"/>
    </bk>
    <bk>
      <rc t="2" v="10936"/>
    </bk>
    <bk>
      <rc t="2" v="10937"/>
    </bk>
    <bk>
      <rc t="2" v="10938"/>
    </bk>
    <bk>
      <rc t="2" v="10939"/>
    </bk>
    <bk>
      <rc t="2" v="10940"/>
    </bk>
    <bk>
      <rc t="2" v="10941"/>
    </bk>
    <bk>
      <rc t="2" v="10942"/>
    </bk>
    <bk>
      <rc t="2" v="10943"/>
    </bk>
    <bk>
      <rc t="2" v="10944"/>
    </bk>
    <bk>
      <rc t="2" v="10945"/>
    </bk>
    <bk>
      <rc t="2" v="10946"/>
    </bk>
    <bk>
      <rc t="2" v="10947"/>
    </bk>
    <bk>
      <rc t="2" v="10948"/>
    </bk>
    <bk>
      <rc t="2" v="10949"/>
    </bk>
    <bk>
      <rc t="2" v="10950"/>
    </bk>
    <bk>
      <rc t="2" v="10951"/>
    </bk>
    <bk>
      <rc t="2" v="10952"/>
    </bk>
    <bk>
      <rc t="2" v="10953"/>
    </bk>
    <bk>
      <rc t="2" v="10954"/>
    </bk>
    <bk>
      <rc t="2" v="10955"/>
    </bk>
    <bk>
      <rc t="2" v="10956"/>
    </bk>
    <bk>
      <rc t="2" v="10957"/>
    </bk>
    <bk>
      <rc t="2" v="10958"/>
    </bk>
    <bk>
      <rc t="2" v="10959"/>
    </bk>
    <bk>
      <rc t="2" v="10960"/>
    </bk>
    <bk>
      <rc t="2" v="10961"/>
    </bk>
    <bk>
      <rc t="2" v="10962"/>
    </bk>
    <bk>
      <rc t="2" v="10963"/>
    </bk>
    <bk>
      <rc t="2" v="10964"/>
    </bk>
    <bk>
      <rc t="2" v="10965"/>
    </bk>
    <bk>
      <rc t="2" v="10966"/>
    </bk>
    <bk>
      <rc t="2" v="10967"/>
    </bk>
    <bk>
      <rc t="2" v="10968"/>
    </bk>
    <bk>
      <rc t="2" v="10969"/>
    </bk>
    <bk>
      <rc t="2" v="10970"/>
    </bk>
    <bk>
      <rc t="2" v="10971"/>
    </bk>
    <bk>
      <rc t="2" v="10972"/>
    </bk>
    <bk>
      <rc t="2" v="10973"/>
    </bk>
    <bk>
      <rc t="2" v="10974"/>
    </bk>
    <bk>
      <rc t="2" v="10975"/>
    </bk>
    <bk>
      <rc t="2" v="10976"/>
    </bk>
    <bk>
      <rc t="2" v="10977"/>
    </bk>
    <bk>
      <rc t="2" v="10978"/>
    </bk>
    <bk>
      <rc t="2" v="10979"/>
    </bk>
    <bk>
      <rc t="2" v="10980"/>
    </bk>
    <bk>
      <rc t="2" v="10981"/>
    </bk>
    <bk>
      <rc t="2" v="10982"/>
    </bk>
    <bk>
      <rc t="2" v="10983"/>
    </bk>
    <bk>
      <rc t="2" v="10984"/>
    </bk>
    <bk>
      <rc t="2" v="10985"/>
    </bk>
    <bk>
      <rc t="2" v="10986"/>
    </bk>
    <bk>
      <rc t="2" v="10987"/>
    </bk>
    <bk>
      <rc t="2" v="10988"/>
    </bk>
    <bk>
      <rc t="2" v="10989"/>
    </bk>
    <bk>
      <rc t="2" v="10990"/>
    </bk>
    <bk>
      <rc t="2" v="10991"/>
    </bk>
    <bk>
      <rc t="2" v="10992"/>
    </bk>
    <bk>
      <rc t="2" v="10993"/>
    </bk>
    <bk>
      <rc t="2" v="10994"/>
    </bk>
    <bk>
      <rc t="2" v="10995"/>
    </bk>
    <bk>
      <rc t="2" v="10996"/>
    </bk>
    <bk>
      <rc t="2" v="10997"/>
    </bk>
    <bk>
      <rc t="2" v="10998"/>
    </bk>
    <bk>
      <rc t="2" v="10999"/>
    </bk>
    <bk>
      <rc t="2" v="11000"/>
    </bk>
    <bk>
      <rc t="2" v="11001"/>
    </bk>
    <bk>
      <rc t="2" v="11002"/>
    </bk>
    <bk>
      <rc t="2" v="11003"/>
    </bk>
    <bk>
      <rc t="2" v="11004"/>
    </bk>
    <bk>
      <rc t="2" v="11005"/>
    </bk>
    <bk>
      <rc t="2" v="11006"/>
    </bk>
    <bk>
      <rc t="2" v="11007"/>
    </bk>
    <bk>
      <rc t="2" v="11008"/>
    </bk>
    <bk>
      <rc t="2" v="11009"/>
    </bk>
    <bk>
      <rc t="2" v="11010"/>
    </bk>
    <bk>
      <rc t="2" v="11011"/>
    </bk>
    <bk>
      <rc t="2" v="11012"/>
    </bk>
    <bk>
      <rc t="2" v="11013"/>
    </bk>
    <bk>
      <rc t="2" v="11014"/>
    </bk>
    <bk>
      <rc t="2" v="11015"/>
    </bk>
    <bk>
      <rc t="2" v="11016"/>
    </bk>
    <bk>
      <rc t="2" v="11017"/>
    </bk>
    <bk>
      <rc t="2" v="11018"/>
    </bk>
    <bk>
      <rc t="2" v="11019"/>
    </bk>
    <bk>
      <rc t="2" v="11020"/>
    </bk>
    <bk>
      <rc t="2" v="11021"/>
    </bk>
    <bk>
      <rc t="2" v="11022"/>
    </bk>
    <bk>
      <rc t="2" v="11023"/>
    </bk>
    <bk>
      <rc t="2" v="11024"/>
    </bk>
    <bk>
      <rc t="2" v="11025"/>
    </bk>
    <bk>
      <rc t="2" v="11026"/>
    </bk>
    <bk>
      <rc t="2" v="11027"/>
    </bk>
    <bk>
      <rc t="2" v="11028"/>
    </bk>
    <bk>
      <rc t="2" v="11029"/>
    </bk>
    <bk>
      <rc t="2" v="11030"/>
    </bk>
    <bk>
      <rc t="2" v="11031"/>
    </bk>
    <bk>
      <rc t="2" v="11032"/>
    </bk>
    <bk>
      <rc t="2" v="11033"/>
    </bk>
    <bk>
      <rc t="2" v="11034"/>
    </bk>
    <bk>
      <rc t="2" v="11035"/>
    </bk>
    <bk>
      <rc t="2" v="11036"/>
    </bk>
    <bk>
      <rc t="2" v="11037"/>
    </bk>
    <bk>
      <rc t="2" v="11038"/>
    </bk>
    <bk>
      <rc t="2" v="11039"/>
    </bk>
    <bk>
      <rc t="2" v="11040"/>
    </bk>
    <bk>
      <rc t="2" v="11041"/>
    </bk>
    <bk>
      <rc t="2" v="11042"/>
    </bk>
    <bk>
      <rc t="2" v="11043"/>
    </bk>
    <bk>
      <rc t="2" v="11044"/>
    </bk>
    <bk>
      <rc t="2" v="11045"/>
    </bk>
    <bk>
      <rc t="2" v="11046"/>
    </bk>
    <bk>
      <rc t="2" v="11047"/>
    </bk>
    <bk>
      <rc t="2" v="11048"/>
    </bk>
    <bk>
      <rc t="2" v="11049"/>
    </bk>
    <bk>
      <rc t="2" v="11050"/>
    </bk>
    <bk>
      <rc t="2" v="11051"/>
    </bk>
    <bk>
      <rc t="2" v="11052"/>
    </bk>
    <bk>
      <rc t="2" v="11053"/>
    </bk>
    <bk>
      <rc t="2" v="11054"/>
    </bk>
    <bk>
      <rc t="2" v="11055"/>
    </bk>
    <bk>
      <rc t="2" v="11056"/>
    </bk>
    <bk>
      <rc t="2" v="11057"/>
    </bk>
    <bk>
      <rc t="2" v="11058"/>
    </bk>
    <bk>
      <rc t="2" v="11059"/>
    </bk>
    <bk>
      <rc t="2" v="11060"/>
    </bk>
    <bk>
      <rc t="2" v="11061"/>
    </bk>
    <bk>
      <rc t="2" v="11062"/>
    </bk>
    <bk>
      <rc t="2" v="11063"/>
    </bk>
    <bk>
      <rc t="2" v="11064"/>
    </bk>
    <bk>
      <rc t="2" v="11065"/>
    </bk>
    <bk>
      <rc t="2" v="11066"/>
    </bk>
    <bk>
      <rc t="2" v="11067"/>
    </bk>
    <bk>
      <rc t="2" v="11068"/>
    </bk>
    <bk>
      <rc t="2" v="11069"/>
    </bk>
    <bk>
      <rc t="2" v="11070"/>
    </bk>
    <bk>
      <rc t="2" v="11071"/>
    </bk>
    <bk>
      <rc t="2" v="11072"/>
    </bk>
    <bk>
      <rc t="2" v="11073"/>
    </bk>
    <bk>
      <rc t="2" v="11074"/>
    </bk>
    <bk>
      <rc t="2" v="11075"/>
    </bk>
    <bk>
      <rc t="2" v="11076"/>
    </bk>
    <bk>
      <rc t="2" v="11077"/>
    </bk>
    <bk>
      <rc t="2" v="11078"/>
    </bk>
    <bk>
      <rc t="2" v="11079"/>
    </bk>
    <bk>
      <rc t="2" v="11080"/>
    </bk>
    <bk>
      <rc t="2" v="11081"/>
    </bk>
    <bk>
      <rc t="2" v="11082"/>
    </bk>
    <bk>
      <rc t="2" v="11083"/>
    </bk>
    <bk>
      <rc t="2" v="11084"/>
    </bk>
    <bk>
      <rc t="2" v="11085"/>
    </bk>
    <bk>
      <rc t="2" v="11086"/>
    </bk>
    <bk>
      <rc t="2" v="11087"/>
    </bk>
    <bk>
      <rc t="2" v="11088"/>
    </bk>
    <bk>
      <rc t="2" v="11089"/>
    </bk>
    <bk>
      <rc t="2" v="11090"/>
    </bk>
    <bk>
      <rc t="2" v="11091"/>
    </bk>
    <bk>
      <rc t="2" v="11092"/>
    </bk>
    <bk>
      <rc t="2" v="11093"/>
    </bk>
    <bk>
      <rc t="2" v="11094"/>
    </bk>
    <bk>
      <rc t="2" v="11095"/>
    </bk>
    <bk>
      <rc t="2" v="11096"/>
    </bk>
    <bk>
      <rc t="2" v="11097"/>
    </bk>
    <bk>
      <rc t="2" v="11098"/>
    </bk>
    <bk>
      <rc t="2" v="11099"/>
    </bk>
    <bk>
      <rc t="2" v="11100"/>
    </bk>
    <bk>
      <rc t="2" v="11101"/>
    </bk>
    <bk>
      <rc t="2" v="11102"/>
    </bk>
    <bk>
      <rc t="2" v="11103"/>
    </bk>
    <bk>
      <rc t="2" v="11104"/>
    </bk>
    <bk>
      <rc t="2" v="11105"/>
    </bk>
    <bk>
      <rc t="2" v="11106"/>
    </bk>
    <bk>
      <rc t="2" v="11107"/>
    </bk>
    <bk>
      <rc t="2" v="11108"/>
    </bk>
    <bk>
      <rc t="2" v="11109"/>
    </bk>
    <bk>
      <rc t="2" v="11110"/>
    </bk>
    <bk>
      <rc t="2" v="11111"/>
    </bk>
    <bk>
      <rc t="2" v="11112"/>
    </bk>
    <bk>
      <rc t="2" v="11113"/>
    </bk>
    <bk>
      <rc t="2" v="11114"/>
    </bk>
    <bk>
      <rc t="2" v="11115"/>
    </bk>
    <bk>
      <rc t="2" v="11116"/>
    </bk>
    <bk>
      <rc t="2" v="11117"/>
    </bk>
    <bk>
      <rc t="2" v="11118"/>
    </bk>
    <bk>
      <rc t="2" v="11119"/>
    </bk>
    <bk>
      <rc t="2" v="11120"/>
    </bk>
    <bk>
      <rc t="2" v="11121"/>
    </bk>
    <bk>
      <rc t="2" v="11122"/>
    </bk>
    <bk>
      <rc t="2" v="11123"/>
    </bk>
    <bk>
      <rc t="2" v="11124"/>
    </bk>
    <bk>
      <rc t="2" v="11125"/>
    </bk>
    <bk>
      <rc t="2" v="11126"/>
    </bk>
    <bk>
      <rc t="2" v="11127"/>
    </bk>
    <bk>
      <rc t="2" v="11128"/>
    </bk>
    <bk>
      <rc t="2" v="11129"/>
    </bk>
    <bk>
      <rc t="2" v="11130"/>
    </bk>
    <bk>
      <rc t="2" v="11131"/>
    </bk>
    <bk>
      <rc t="2" v="11132"/>
    </bk>
    <bk>
      <rc t="2" v="11133"/>
    </bk>
    <bk>
      <rc t="2" v="11134"/>
    </bk>
    <bk>
      <rc t="2" v="11135"/>
    </bk>
    <bk>
      <rc t="2" v="11136"/>
    </bk>
    <bk>
      <rc t="2" v="11137"/>
    </bk>
    <bk>
      <rc t="2" v="11138"/>
    </bk>
    <bk>
      <rc t="2" v="11139"/>
    </bk>
    <bk>
      <rc t="2" v="11140"/>
    </bk>
    <bk>
      <rc t="2" v="11141"/>
    </bk>
    <bk>
      <rc t="2" v="11142"/>
    </bk>
    <bk>
      <rc t="2" v="11143"/>
    </bk>
    <bk>
      <rc t="2" v="11144"/>
    </bk>
    <bk>
      <rc t="2" v="11145"/>
    </bk>
    <bk>
      <rc t="2" v="11146"/>
    </bk>
    <bk>
      <rc t="2" v="11147"/>
    </bk>
    <bk>
      <rc t="2" v="11148"/>
    </bk>
    <bk>
      <rc t="2" v="11149"/>
    </bk>
    <bk>
      <rc t="2" v="11150"/>
    </bk>
    <bk>
      <rc t="2" v="11151"/>
    </bk>
    <bk>
      <rc t="2" v="11152"/>
    </bk>
    <bk>
      <rc t="2" v="11153"/>
    </bk>
    <bk>
      <rc t="2" v="11154"/>
    </bk>
    <bk>
      <rc t="2" v="11155"/>
    </bk>
    <bk>
      <rc t="2" v="11156"/>
    </bk>
    <bk>
      <rc t="2" v="11157"/>
    </bk>
    <bk>
      <rc t="2" v="11158"/>
    </bk>
    <bk>
      <rc t="2" v="11159"/>
    </bk>
    <bk>
      <rc t="2" v="11160"/>
    </bk>
    <bk>
      <rc t="2" v="11161"/>
    </bk>
    <bk>
      <rc t="2" v="11162"/>
    </bk>
    <bk>
      <rc t="2" v="11163"/>
    </bk>
    <bk>
      <rc t="2" v="11164"/>
    </bk>
    <bk>
      <rc t="2" v="11165"/>
    </bk>
    <bk>
      <rc t="2" v="11166"/>
    </bk>
    <bk>
      <rc t="2" v="11167"/>
    </bk>
    <bk>
      <rc t="2" v="11168"/>
    </bk>
    <bk>
      <rc t="2" v="11169"/>
    </bk>
    <bk>
      <rc t="2" v="11170"/>
    </bk>
    <bk>
      <rc t="2" v="11171"/>
    </bk>
    <bk>
      <rc t="2" v="11172"/>
    </bk>
    <bk>
      <rc t="2" v="11173"/>
    </bk>
    <bk>
      <rc t="2" v="11174"/>
    </bk>
    <bk>
      <rc t="2" v="11175"/>
    </bk>
    <bk>
      <rc t="2" v="11176"/>
    </bk>
    <bk>
      <rc t="2" v="11177"/>
    </bk>
    <bk>
      <rc t="2" v="11178"/>
    </bk>
    <bk>
      <rc t="2" v="11179"/>
    </bk>
    <bk>
      <rc t="2" v="11180"/>
    </bk>
    <bk>
      <rc t="2" v="11181"/>
    </bk>
    <bk>
      <rc t="2" v="11182"/>
    </bk>
    <bk>
      <rc t="2" v="11183"/>
    </bk>
    <bk>
      <rc t="2" v="11184"/>
    </bk>
    <bk>
      <rc t="2" v="11185"/>
    </bk>
    <bk>
      <rc t="2" v="11186"/>
    </bk>
    <bk>
      <rc t="2" v="11187"/>
    </bk>
    <bk>
      <rc t="2" v="11188"/>
    </bk>
    <bk>
      <rc t="2" v="11189"/>
    </bk>
    <bk>
      <rc t="2" v="11190"/>
    </bk>
    <bk>
      <rc t="2" v="11191"/>
    </bk>
    <bk>
      <rc t="2" v="11192"/>
    </bk>
    <bk>
      <rc t="2" v="11193"/>
    </bk>
    <bk>
      <rc t="2" v="11194"/>
    </bk>
    <bk>
      <rc t="2" v="11195"/>
    </bk>
    <bk>
      <rc t="2" v="11196"/>
    </bk>
    <bk>
      <rc t="2" v="11197"/>
    </bk>
    <bk>
      <rc t="2" v="11198"/>
    </bk>
    <bk>
      <rc t="2" v="11199"/>
    </bk>
    <bk>
      <rc t="2" v="11200"/>
    </bk>
    <bk>
      <rc t="2" v="11201"/>
    </bk>
    <bk>
      <rc t="2" v="11202"/>
    </bk>
    <bk>
      <rc t="2" v="11203"/>
    </bk>
    <bk>
      <rc t="2" v="11204"/>
    </bk>
    <bk>
      <rc t="2" v="11205"/>
    </bk>
    <bk>
      <rc t="2" v="11206"/>
    </bk>
    <bk>
      <rc t="2" v="11207"/>
    </bk>
    <bk>
      <rc t="2" v="11208"/>
    </bk>
    <bk>
      <rc t="2" v="11209"/>
    </bk>
    <bk>
      <rc t="2" v="11210"/>
    </bk>
    <bk>
      <rc t="2" v="11211"/>
    </bk>
    <bk>
      <rc t="2" v="11212"/>
    </bk>
    <bk>
      <rc t="2" v="11213"/>
    </bk>
    <bk>
      <rc t="2" v="11214"/>
    </bk>
    <bk>
      <rc t="2" v="11215"/>
    </bk>
    <bk>
      <rc t="2" v="11216"/>
    </bk>
    <bk>
      <rc t="2" v="11217"/>
    </bk>
    <bk>
      <rc t="2" v="11218"/>
    </bk>
    <bk>
      <rc t="2" v="11219"/>
    </bk>
    <bk>
      <rc t="2" v="11220"/>
    </bk>
    <bk>
      <rc t="2" v="11221"/>
    </bk>
    <bk>
      <rc t="2" v="11222"/>
    </bk>
    <bk>
      <rc t="2" v="11223"/>
    </bk>
    <bk>
      <rc t="2" v="11224"/>
    </bk>
    <bk>
      <rc t="2" v="11225"/>
    </bk>
    <bk>
      <rc t="2" v="11226"/>
    </bk>
    <bk>
      <rc t="2" v="11227"/>
    </bk>
    <bk>
      <rc t="2" v="11228"/>
    </bk>
    <bk>
      <rc t="2" v="11229"/>
    </bk>
    <bk>
      <rc t="2" v="11230"/>
    </bk>
    <bk>
      <rc t="2" v="11231"/>
    </bk>
    <bk>
      <rc t="2" v="11232"/>
    </bk>
    <bk>
      <rc t="2" v="11233"/>
    </bk>
    <bk>
      <rc t="2" v="11234"/>
    </bk>
    <bk>
      <rc t="2" v="11235"/>
    </bk>
    <bk>
      <rc t="2" v="11236"/>
    </bk>
    <bk>
      <rc t="2" v="11237"/>
    </bk>
    <bk>
      <rc t="2" v="11238"/>
    </bk>
    <bk>
      <rc t="2" v="11239"/>
    </bk>
    <bk>
      <rc t="2" v="11240"/>
    </bk>
    <bk>
      <rc t="2" v="11241"/>
    </bk>
    <bk>
      <rc t="2" v="11242"/>
    </bk>
    <bk>
      <rc t="2" v="11243"/>
    </bk>
    <bk>
      <rc t="2" v="11244"/>
    </bk>
    <bk>
      <rc t="2" v="11245"/>
    </bk>
    <bk>
      <rc t="2" v="11246"/>
    </bk>
    <bk>
      <rc t="2" v="11247"/>
    </bk>
    <bk>
      <rc t="2" v="11248"/>
    </bk>
    <bk>
      <rc t="2" v="11249"/>
    </bk>
    <bk>
      <rc t="2" v="11250"/>
    </bk>
    <bk>
      <rc t="2" v="11251"/>
    </bk>
    <bk>
      <rc t="2" v="11252"/>
    </bk>
    <bk>
      <rc t="2" v="11253"/>
    </bk>
    <bk>
      <rc t="2" v="11254"/>
    </bk>
    <bk>
      <rc t="2" v="11255"/>
    </bk>
    <bk>
      <rc t="2" v="11256"/>
    </bk>
    <bk>
      <rc t="2" v="11257"/>
    </bk>
    <bk>
      <rc t="2" v="11258"/>
    </bk>
    <bk>
      <rc t="2" v="11259"/>
    </bk>
    <bk>
      <rc t="2" v="11260"/>
    </bk>
    <bk>
      <rc t="2" v="11261"/>
    </bk>
    <bk>
      <rc t="2" v="11262"/>
    </bk>
    <bk>
      <rc t="2" v="11263"/>
    </bk>
    <bk>
      <rc t="2" v="11264"/>
    </bk>
    <bk>
      <rc t="2" v="11265"/>
    </bk>
    <bk>
      <rc t="2" v="11266"/>
    </bk>
    <bk>
      <rc t="2" v="11267"/>
    </bk>
    <bk>
      <rc t="2" v="11268"/>
    </bk>
    <bk>
      <rc t="2" v="11269"/>
    </bk>
    <bk>
      <rc t="2" v="11270"/>
    </bk>
    <bk>
      <rc t="2" v="11271"/>
    </bk>
    <bk>
      <rc t="2" v="11272"/>
    </bk>
    <bk>
      <rc t="2" v="11273"/>
    </bk>
    <bk>
      <rc t="2" v="11274"/>
    </bk>
    <bk>
      <rc t="2" v="11275"/>
    </bk>
    <bk>
      <rc t="2" v="11276"/>
    </bk>
    <bk>
      <rc t="2" v="11277"/>
    </bk>
    <bk>
      <rc t="2" v="11278"/>
    </bk>
    <bk>
      <rc t="2" v="11279"/>
    </bk>
    <bk>
      <rc t="2" v="11280"/>
    </bk>
    <bk>
      <rc t="2" v="11281"/>
    </bk>
    <bk>
      <rc t="2" v="11282"/>
    </bk>
    <bk>
      <rc t="2" v="11283"/>
    </bk>
    <bk>
      <rc t="2" v="11284"/>
    </bk>
    <bk>
      <rc t="2" v="11285"/>
    </bk>
    <bk>
      <rc t="2" v="11286"/>
    </bk>
    <bk>
      <rc t="2" v="11287"/>
    </bk>
    <bk>
      <rc t="2" v="11288"/>
    </bk>
    <bk>
      <rc t="2" v="11289"/>
    </bk>
    <bk>
      <rc t="2" v="11290"/>
    </bk>
    <bk>
      <rc t="2" v="11291"/>
    </bk>
    <bk>
      <rc t="2" v="11292"/>
    </bk>
    <bk>
      <rc t="2" v="11293"/>
    </bk>
    <bk>
      <rc t="2" v="11294"/>
    </bk>
    <bk>
      <rc t="2" v="11295"/>
    </bk>
    <bk>
      <rc t="2" v="11296"/>
    </bk>
    <bk>
      <rc t="2" v="11297"/>
    </bk>
    <bk>
      <rc t="2" v="11298"/>
    </bk>
    <bk>
      <rc t="2" v="11299"/>
    </bk>
    <bk>
      <rc t="2" v="11300"/>
    </bk>
    <bk>
      <rc t="2" v="11301"/>
    </bk>
    <bk>
      <rc t="2" v="11302"/>
    </bk>
    <bk>
      <rc t="2" v="11303"/>
    </bk>
    <bk>
      <rc t="2" v="11304"/>
    </bk>
    <bk>
      <rc t="2" v="11305"/>
    </bk>
    <bk>
      <rc t="2" v="11306"/>
    </bk>
    <bk>
      <rc t="2" v="11307"/>
    </bk>
    <bk>
      <rc t="2" v="11308"/>
    </bk>
    <bk>
      <rc t="2" v="11309"/>
    </bk>
    <bk>
      <rc t="2" v="11310"/>
    </bk>
    <bk>
      <rc t="2" v="11311"/>
    </bk>
    <bk>
      <rc t="2" v="11312"/>
    </bk>
    <bk>
      <rc t="2" v="11313"/>
    </bk>
    <bk>
      <rc t="2" v="11314"/>
    </bk>
    <bk>
      <rc t="2" v="11315"/>
    </bk>
    <bk>
      <rc t="2" v="11316"/>
    </bk>
    <bk>
      <rc t="2" v="11317"/>
    </bk>
    <bk>
      <rc t="2" v="11318"/>
    </bk>
    <bk>
      <rc t="2" v="11319"/>
    </bk>
    <bk>
      <rc t="2" v="11320"/>
    </bk>
    <bk>
      <rc t="2" v="11321"/>
    </bk>
    <bk>
      <rc t="2" v="11322"/>
    </bk>
    <bk>
      <rc t="2" v="11323"/>
    </bk>
    <bk>
      <rc t="2" v="11324"/>
    </bk>
    <bk>
      <rc t="2" v="11325"/>
    </bk>
    <bk>
      <rc t="2" v="11326"/>
    </bk>
    <bk>
      <rc t="2" v="11327"/>
    </bk>
    <bk>
      <rc t="2" v="11328"/>
    </bk>
    <bk>
      <rc t="2" v="11329"/>
    </bk>
    <bk>
      <rc t="2" v="11330"/>
    </bk>
    <bk>
      <rc t="2" v="11331"/>
    </bk>
    <bk>
      <rc t="2" v="11332"/>
    </bk>
    <bk>
      <rc t="2" v="11333"/>
    </bk>
    <bk>
      <rc t="2" v="11334"/>
    </bk>
    <bk>
      <rc t="2" v="11335"/>
    </bk>
    <bk>
      <rc t="2" v="11336"/>
    </bk>
    <bk>
      <rc t="2" v="11337"/>
    </bk>
    <bk>
      <rc t="2" v="11338"/>
    </bk>
    <bk>
      <rc t="2" v="11339"/>
    </bk>
    <bk>
      <rc t="2" v="11340"/>
    </bk>
    <bk>
      <rc t="2" v="11341"/>
    </bk>
    <bk>
      <rc t="2" v="11342"/>
    </bk>
    <bk>
      <rc t="2" v="11343"/>
    </bk>
    <bk>
      <rc t="2" v="11344"/>
    </bk>
    <bk>
      <rc t="2" v="11345"/>
    </bk>
    <bk>
      <rc t="2" v="11346"/>
    </bk>
    <bk>
      <rc t="2" v="11347"/>
    </bk>
    <bk>
      <rc t="2" v="11348"/>
    </bk>
    <bk>
      <rc t="2" v="11349"/>
    </bk>
    <bk>
      <rc t="2" v="11350"/>
    </bk>
    <bk>
      <rc t="2" v="11351"/>
    </bk>
    <bk>
      <rc t="2" v="11352"/>
    </bk>
    <bk>
      <rc t="2" v="11353"/>
    </bk>
    <bk>
      <rc t="2" v="11354"/>
    </bk>
    <bk>
      <rc t="2" v="11355"/>
    </bk>
    <bk>
      <rc t="2" v="11356"/>
    </bk>
    <bk>
      <rc t="2" v="11357"/>
    </bk>
    <bk>
      <rc t="2" v="11358"/>
    </bk>
    <bk>
      <rc t="2" v="11359"/>
    </bk>
    <bk>
      <rc t="2" v="11360"/>
    </bk>
    <bk>
      <rc t="2" v="11361"/>
    </bk>
    <bk>
      <rc t="2" v="11362"/>
    </bk>
    <bk>
      <rc t="2" v="11363"/>
    </bk>
    <bk>
      <rc t="2" v="11364"/>
    </bk>
    <bk>
      <rc t="2" v="11365"/>
    </bk>
    <bk>
      <rc t="2" v="11366"/>
    </bk>
    <bk>
      <rc t="2" v="11367"/>
    </bk>
    <bk>
      <rc t="2" v="11368"/>
    </bk>
    <bk>
      <rc t="2" v="11369"/>
    </bk>
    <bk>
      <rc t="2" v="11370"/>
    </bk>
    <bk>
      <rc t="2" v="11371"/>
    </bk>
    <bk>
      <rc t="2" v="11372"/>
    </bk>
    <bk>
      <rc t="2" v="11373"/>
    </bk>
    <bk>
      <rc t="2" v="11374"/>
    </bk>
    <bk>
      <rc t="2" v="11375"/>
    </bk>
    <bk>
      <rc t="2" v="11376"/>
    </bk>
    <bk>
      <rc t="2" v="11377"/>
    </bk>
    <bk>
      <rc t="2" v="11378"/>
    </bk>
    <bk>
      <rc t="2" v="11379"/>
    </bk>
    <bk>
      <rc t="2" v="11380"/>
    </bk>
    <bk>
      <rc t="2" v="11381"/>
    </bk>
    <bk>
      <rc t="2" v="11382"/>
    </bk>
    <bk>
      <rc t="2" v="11383"/>
    </bk>
    <bk>
      <rc t="2" v="11384"/>
    </bk>
    <bk>
      <rc t="2" v="11385"/>
    </bk>
    <bk>
      <rc t="2" v="11386"/>
    </bk>
    <bk>
      <rc t="2" v="11387"/>
    </bk>
    <bk>
      <rc t="2" v="11388"/>
    </bk>
    <bk>
      <rc t="2" v="11389"/>
    </bk>
    <bk>
      <rc t="2" v="11390"/>
    </bk>
    <bk>
      <rc t="2" v="11391"/>
    </bk>
    <bk>
      <rc t="2" v="11392"/>
    </bk>
    <bk>
      <rc t="2" v="11393"/>
    </bk>
    <bk>
      <rc t="2" v="11394"/>
    </bk>
    <bk>
      <rc t="2" v="11395"/>
    </bk>
    <bk>
      <rc t="2" v="11396"/>
    </bk>
    <bk>
      <rc t="2" v="11397"/>
    </bk>
    <bk>
      <rc t="2" v="11398"/>
    </bk>
    <bk>
      <rc t="2" v="11399"/>
    </bk>
    <bk>
      <rc t="2" v="11400"/>
    </bk>
    <bk>
      <rc t="2" v="11401"/>
    </bk>
    <bk>
      <rc t="2" v="11402"/>
    </bk>
    <bk>
      <rc t="2" v="11403"/>
    </bk>
    <bk>
      <rc t="2" v="11404"/>
    </bk>
    <bk>
      <rc t="2" v="11405"/>
    </bk>
    <bk>
      <rc t="2" v="11406"/>
    </bk>
    <bk>
      <rc t="2" v="11407"/>
    </bk>
    <bk>
      <rc t="2" v="11408"/>
    </bk>
    <bk>
      <rc t="2" v="11409"/>
    </bk>
    <bk>
      <rc t="2" v="11410"/>
    </bk>
    <bk>
      <rc t="2" v="11411"/>
    </bk>
    <bk>
      <rc t="2" v="11412"/>
    </bk>
    <bk>
      <rc t="2" v="11413"/>
    </bk>
    <bk>
      <rc t="2" v="11414"/>
    </bk>
    <bk>
      <rc t="2" v="11415"/>
    </bk>
    <bk>
      <rc t="2" v="11416"/>
    </bk>
    <bk>
      <rc t="2" v="11417"/>
    </bk>
    <bk>
      <rc t="2" v="11418"/>
    </bk>
    <bk>
      <rc t="2" v="11419"/>
    </bk>
    <bk>
      <rc t="2" v="11420"/>
    </bk>
    <bk>
      <rc t="2" v="11421"/>
    </bk>
    <bk>
      <rc t="2" v="11422"/>
    </bk>
    <bk>
      <rc t="2" v="11423"/>
    </bk>
    <bk>
      <rc t="2" v="11424"/>
    </bk>
    <bk>
      <rc t="2" v="11425"/>
    </bk>
    <bk>
      <rc t="2" v="11426"/>
    </bk>
    <bk>
      <rc t="2" v="11427"/>
    </bk>
    <bk>
      <rc t="2" v="11428"/>
    </bk>
    <bk>
      <rc t="2" v="11429"/>
    </bk>
    <bk>
      <rc t="2" v="11430"/>
    </bk>
    <bk>
      <rc t="2" v="11431"/>
    </bk>
    <bk>
      <rc t="2" v="11432"/>
    </bk>
    <bk>
      <rc t="2" v="11433"/>
    </bk>
    <bk>
      <rc t="2" v="11434"/>
    </bk>
    <bk>
      <rc t="2" v="11435"/>
    </bk>
    <bk>
      <rc t="2" v="11436"/>
    </bk>
    <bk>
      <rc t="2" v="11437"/>
    </bk>
    <bk>
      <rc t="2" v="11438"/>
    </bk>
    <bk>
      <rc t="2" v="11439"/>
    </bk>
    <bk>
      <rc t="2" v="11440"/>
    </bk>
    <bk>
      <rc t="2" v="11441"/>
    </bk>
    <bk>
      <rc t="2" v="11442"/>
    </bk>
    <bk>
      <rc t="2" v="11443"/>
    </bk>
    <bk>
      <rc t="2" v="11444"/>
    </bk>
    <bk>
      <rc t="2" v="11445"/>
    </bk>
    <bk>
      <rc t="2" v="11446"/>
    </bk>
    <bk>
      <rc t="2" v="11447"/>
    </bk>
    <bk>
      <rc t="2" v="11448"/>
    </bk>
    <bk>
      <rc t="2" v="11449"/>
    </bk>
    <bk>
      <rc t="2" v="11450"/>
    </bk>
    <bk>
      <rc t="2" v="11451"/>
    </bk>
    <bk>
      <rc t="2" v="11452"/>
    </bk>
    <bk>
      <rc t="2" v="11453"/>
    </bk>
    <bk>
      <rc t="2" v="11454"/>
    </bk>
    <bk>
      <rc t="2" v="11455"/>
    </bk>
    <bk>
      <rc t="2" v="11456"/>
    </bk>
    <bk>
      <rc t="2" v="11457"/>
    </bk>
    <bk>
      <rc t="2" v="11458"/>
    </bk>
    <bk>
      <rc t="2" v="11459"/>
    </bk>
    <bk>
      <rc t="2" v="11460"/>
    </bk>
    <bk>
      <rc t="2" v="11461"/>
    </bk>
    <bk>
      <rc t="2" v="11462"/>
    </bk>
    <bk>
      <rc t="2" v="11463"/>
    </bk>
    <bk>
      <rc t="2" v="11464"/>
    </bk>
    <bk>
      <rc t="2" v="11465"/>
    </bk>
    <bk>
      <rc t="2" v="11466"/>
    </bk>
    <bk>
      <rc t="2" v="11467"/>
    </bk>
    <bk>
      <rc t="2" v="11468"/>
    </bk>
    <bk>
      <rc t="2" v="11469"/>
    </bk>
    <bk>
      <rc t="2" v="11470"/>
    </bk>
    <bk>
      <rc t="2" v="11471"/>
    </bk>
    <bk>
      <rc t="2" v="11472"/>
    </bk>
    <bk>
      <rc t="2" v="11473"/>
    </bk>
    <bk>
      <rc t="2" v="11474"/>
    </bk>
    <bk>
      <rc t="2" v="11475"/>
    </bk>
    <bk>
      <rc t="2" v="11476"/>
    </bk>
    <bk>
      <rc t="2" v="11477"/>
    </bk>
    <bk>
      <rc t="2" v="11478"/>
    </bk>
    <bk>
      <rc t="2" v="11479"/>
    </bk>
    <bk>
      <rc t="2" v="11480"/>
    </bk>
    <bk>
      <rc t="2" v="11481"/>
    </bk>
    <bk>
      <rc t="2" v="11482"/>
    </bk>
    <bk>
      <rc t="2" v="11483"/>
    </bk>
    <bk>
      <rc t="2" v="11484"/>
    </bk>
    <bk>
      <rc t="2" v="11485"/>
    </bk>
    <bk>
      <rc t="2" v="11486"/>
    </bk>
    <bk>
      <rc t="2" v="11487"/>
    </bk>
    <bk>
      <rc t="2" v="11488"/>
    </bk>
    <bk>
      <rc t="2" v="11489"/>
    </bk>
    <bk>
      <rc t="2" v="11490"/>
    </bk>
    <bk>
      <rc t="2" v="11491"/>
    </bk>
    <bk>
      <rc t="2" v="11492"/>
    </bk>
    <bk>
      <rc t="2" v="11493"/>
    </bk>
    <bk>
      <rc t="2" v="11494"/>
    </bk>
    <bk>
      <rc t="2" v="11495"/>
    </bk>
    <bk>
      <rc t="2" v="11496"/>
    </bk>
    <bk>
      <rc t="2" v="11497"/>
    </bk>
    <bk>
      <rc t="2" v="11498"/>
    </bk>
    <bk>
      <rc t="2" v="11499"/>
    </bk>
    <bk>
      <rc t="2" v="11500"/>
    </bk>
    <bk>
      <rc t="2" v="11501"/>
    </bk>
    <bk>
      <rc t="2" v="11502"/>
    </bk>
    <bk>
      <rc t="2" v="11503"/>
    </bk>
    <bk>
      <rc t="2" v="11504"/>
    </bk>
    <bk>
      <rc t="2" v="11505"/>
    </bk>
    <bk>
      <rc t="2" v="11506"/>
    </bk>
    <bk>
      <rc t="2" v="11507"/>
    </bk>
    <bk>
      <rc t="2" v="11508"/>
    </bk>
    <bk>
      <rc t="2" v="11509"/>
    </bk>
    <bk>
      <rc t="2" v="11510"/>
    </bk>
    <bk>
      <rc t="2" v="11511"/>
    </bk>
    <bk>
      <rc t="2" v="11512"/>
    </bk>
    <bk>
      <rc t="2" v="11513"/>
    </bk>
    <bk>
      <rc t="2" v="11514"/>
    </bk>
    <bk>
      <rc t="2" v="11515"/>
    </bk>
    <bk>
      <rc t="2" v="11516"/>
    </bk>
    <bk>
      <rc t="2" v="11517"/>
    </bk>
    <bk>
      <rc t="2" v="11518"/>
    </bk>
    <bk>
      <rc t="2" v="11519"/>
    </bk>
    <bk>
      <rc t="2" v="11520"/>
    </bk>
    <bk>
      <rc t="2" v="11521"/>
    </bk>
    <bk>
      <rc t="2" v="11522"/>
    </bk>
    <bk>
      <rc t="2" v="11523"/>
    </bk>
    <bk>
      <rc t="2" v="11524"/>
    </bk>
    <bk>
      <rc t="2" v="11525"/>
    </bk>
    <bk>
      <rc t="2" v="11526"/>
    </bk>
    <bk>
      <rc t="2" v="11527"/>
    </bk>
    <bk>
      <rc t="2" v="11528"/>
    </bk>
    <bk>
      <rc t="2" v="11529"/>
    </bk>
    <bk>
      <rc t="2" v="11530"/>
    </bk>
    <bk>
      <rc t="2" v="11531"/>
    </bk>
    <bk>
      <rc t="2" v="11532"/>
    </bk>
    <bk>
      <rc t="2" v="11533"/>
    </bk>
    <bk>
      <rc t="2" v="11534"/>
    </bk>
    <bk>
      <rc t="2" v="11535"/>
    </bk>
    <bk>
      <rc t="2" v="11536"/>
    </bk>
    <bk>
      <rc t="2" v="11537"/>
    </bk>
    <bk>
      <rc t="2" v="11538"/>
    </bk>
    <bk>
      <rc t="2" v="11539"/>
    </bk>
    <bk>
      <rc t="2" v="11540"/>
    </bk>
    <bk>
      <rc t="2" v="11541"/>
    </bk>
    <bk>
      <rc t="2" v="11542"/>
    </bk>
    <bk>
      <rc t="2" v="11543"/>
    </bk>
    <bk>
      <rc t="2" v="11544"/>
    </bk>
    <bk>
      <rc t="2" v="11545"/>
    </bk>
    <bk>
      <rc t="2" v="11546"/>
    </bk>
    <bk>
      <rc t="2" v="11547"/>
    </bk>
    <bk>
      <rc t="2" v="11548"/>
    </bk>
    <bk>
      <rc t="2" v="11549"/>
    </bk>
    <bk>
      <rc t="2" v="11550"/>
    </bk>
    <bk>
      <rc t="2" v="11551"/>
    </bk>
    <bk>
      <rc t="2" v="11552"/>
    </bk>
    <bk>
      <rc t="2" v="11553"/>
    </bk>
    <bk>
      <rc t="2" v="11554"/>
    </bk>
    <bk>
      <rc t="2" v="11555"/>
    </bk>
    <bk>
      <rc t="2" v="11556"/>
    </bk>
    <bk>
      <rc t="2" v="11557"/>
    </bk>
    <bk>
      <rc t="2" v="11558"/>
    </bk>
    <bk>
      <rc t="2" v="11559"/>
    </bk>
    <bk>
      <rc t="2" v="11560"/>
    </bk>
    <bk>
      <rc t="2" v="11561"/>
    </bk>
    <bk>
      <rc t="2" v="11562"/>
    </bk>
    <bk>
      <rc t="2" v="11563"/>
    </bk>
    <bk>
      <rc t="2" v="11564"/>
    </bk>
    <bk>
      <rc t="2" v="11565"/>
    </bk>
    <bk>
      <rc t="2" v="11566"/>
    </bk>
    <bk>
      <rc t="2" v="11567"/>
    </bk>
    <bk>
      <rc t="2" v="11568"/>
    </bk>
    <bk>
      <rc t="2" v="11569"/>
    </bk>
    <bk>
      <rc t="2" v="11570"/>
    </bk>
    <bk>
      <rc t="2" v="11571"/>
    </bk>
    <bk>
      <rc t="2" v="11572"/>
    </bk>
    <bk>
      <rc t="2" v="11573"/>
    </bk>
    <bk>
      <rc t="2" v="11574"/>
    </bk>
    <bk>
      <rc t="2" v="11575"/>
    </bk>
    <bk>
      <rc t="2" v="11576"/>
    </bk>
    <bk>
      <rc t="2" v="11577"/>
    </bk>
    <bk>
      <rc t="2" v="11578"/>
    </bk>
    <bk>
      <rc t="2" v="11579"/>
    </bk>
    <bk>
      <rc t="2" v="11580"/>
    </bk>
    <bk>
      <rc t="2" v="11581"/>
    </bk>
    <bk>
      <rc t="2" v="11582"/>
    </bk>
    <bk>
      <rc t="2" v="11583"/>
    </bk>
    <bk>
      <rc t="2" v="11584"/>
    </bk>
    <bk>
      <rc t="2" v="11585"/>
    </bk>
    <bk>
      <rc t="2" v="11586"/>
    </bk>
    <bk>
      <rc t="2" v="11587"/>
    </bk>
    <bk>
      <rc t="2" v="11588"/>
    </bk>
    <bk>
      <rc t="2" v="11589"/>
    </bk>
    <bk>
      <rc t="2" v="11590"/>
    </bk>
    <bk>
      <rc t="2" v="11591"/>
    </bk>
    <bk>
      <rc t="2" v="11592"/>
    </bk>
    <bk>
      <rc t="2" v="11593"/>
    </bk>
    <bk>
      <rc t="2" v="11594"/>
    </bk>
    <bk>
      <rc t="2" v="11595"/>
    </bk>
    <bk>
      <rc t="2" v="11596"/>
    </bk>
    <bk>
      <rc t="2" v="11597"/>
    </bk>
    <bk>
      <rc t="2" v="11598"/>
    </bk>
    <bk>
      <rc t="2" v="11599"/>
    </bk>
    <bk>
      <rc t="2" v="11600"/>
    </bk>
    <bk>
      <rc t="2" v="11601"/>
    </bk>
    <bk>
      <rc t="2" v="11602"/>
    </bk>
    <bk>
      <rc t="2" v="11603"/>
    </bk>
    <bk>
      <rc t="2" v="11604"/>
    </bk>
    <bk>
      <rc t="2" v="11605"/>
    </bk>
    <bk>
      <rc t="2" v="11606"/>
    </bk>
    <bk>
      <rc t="2" v="11607"/>
    </bk>
    <bk>
      <rc t="2" v="11608"/>
    </bk>
    <bk>
      <rc t="2" v="11609"/>
    </bk>
    <bk>
      <rc t="2" v="11610"/>
    </bk>
    <bk>
      <rc t="2" v="11611"/>
    </bk>
    <bk>
      <rc t="2" v="11612"/>
    </bk>
    <bk>
      <rc t="2" v="11613"/>
    </bk>
    <bk>
      <rc t="2" v="11614"/>
    </bk>
    <bk>
      <rc t="2" v="11615"/>
    </bk>
    <bk>
      <rc t="2" v="11616"/>
    </bk>
    <bk>
      <rc t="2" v="11617"/>
    </bk>
    <bk>
      <rc t="2" v="11618"/>
    </bk>
    <bk>
      <rc t="2" v="11619"/>
    </bk>
    <bk>
      <rc t="2" v="11620"/>
    </bk>
    <bk>
      <rc t="2" v="11621"/>
    </bk>
    <bk>
      <rc t="2" v="11622"/>
    </bk>
    <bk>
      <rc t="2" v="11623"/>
    </bk>
    <bk>
      <rc t="2" v="11624"/>
    </bk>
    <bk>
      <rc t="2" v="11625"/>
    </bk>
    <bk>
      <rc t="2" v="11626"/>
    </bk>
    <bk>
      <rc t="2" v="11627"/>
    </bk>
    <bk>
      <rc t="2" v="11628"/>
    </bk>
    <bk>
      <rc t="2" v="11629"/>
    </bk>
    <bk>
      <rc t="2" v="11630"/>
    </bk>
    <bk>
      <rc t="2" v="11631"/>
    </bk>
    <bk>
      <rc t="2" v="11632"/>
    </bk>
    <bk>
      <rc t="2" v="11633"/>
    </bk>
    <bk>
      <rc t="2" v="11634"/>
    </bk>
    <bk>
      <rc t="2" v="11635"/>
    </bk>
    <bk>
      <rc t="2" v="11636"/>
    </bk>
    <bk>
      <rc t="2" v="11637"/>
    </bk>
    <bk>
      <rc t="2" v="11638"/>
    </bk>
    <bk>
      <rc t="2" v="11639"/>
    </bk>
    <bk>
      <rc t="2" v="11640"/>
    </bk>
    <bk>
      <rc t="2" v="11641"/>
    </bk>
    <bk>
      <rc t="2" v="11642"/>
    </bk>
    <bk>
      <rc t="2" v="11643"/>
    </bk>
    <bk>
      <rc t="2" v="11644"/>
    </bk>
    <bk>
      <rc t="2" v="11645"/>
    </bk>
    <bk>
      <rc t="2" v="11646"/>
    </bk>
    <bk>
      <rc t="2" v="11647"/>
    </bk>
    <bk>
      <rc t="2" v="11648"/>
    </bk>
    <bk>
      <rc t="2" v="11649"/>
    </bk>
    <bk>
      <rc t="2" v="11650"/>
    </bk>
    <bk>
      <rc t="2" v="11651"/>
    </bk>
    <bk>
      <rc t="2" v="11652"/>
    </bk>
    <bk>
      <rc t="2" v="11653"/>
    </bk>
    <bk>
      <rc t="2" v="11654"/>
    </bk>
    <bk>
      <rc t="2" v="11655"/>
    </bk>
    <bk>
      <rc t="2" v="11656"/>
    </bk>
    <bk>
      <rc t="2" v="11657"/>
    </bk>
    <bk>
      <rc t="2" v="11658"/>
    </bk>
    <bk>
      <rc t="2" v="11659"/>
    </bk>
    <bk>
      <rc t="2" v="11660"/>
    </bk>
    <bk>
      <rc t="2" v="11661"/>
    </bk>
    <bk>
      <rc t="2" v="11662"/>
    </bk>
    <bk>
      <rc t="2" v="11663"/>
    </bk>
    <bk>
      <rc t="2" v="11664"/>
    </bk>
    <bk>
      <rc t="2" v="11665"/>
    </bk>
    <bk>
      <rc t="2" v="11666"/>
    </bk>
    <bk>
      <rc t="2" v="11667"/>
    </bk>
    <bk>
      <rc t="2" v="11668"/>
    </bk>
    <bk>
      <rc t="2" v="11669"/>
    </bk>
    <bk>
      <rc t="2" v="11670"/>
    </bk>
    <bk>
      <rc t="2" v="11671"/>
    </bk>
    <bk>
      <rc t="2" v="11672"/>
    </bk>
    <bk>
      <rc t="2" v="11673"/>
    </bk>
    <bk>
      <rc t="2" v="11674"/>
    </bk>
    <bk>
      <rc t="2" v="11675"/>
    </bk>
    <bk>
      <rc t="2" v="11676"/>
    </bk>
    <bk>
      <rc t="2" v="11677"/>
    </bk>
    <bk>
      <rc t="2" v="11678"/>
    </bk>
    <bk>
      <rc t="2" v="11679"/>
    </bk>
    <bk>
      <rc t="2" v="11680"/>
    </bk>
    <bk>
      <rc t="2" v="11681"/>
    </bk>
    <bk>
      <rc t="2" v="11682"/>
    </bk>
    <bk>
      <rc t="2" v="11683"/>
    </bk>
    <bk>
      <rc t="2" v="11684"/>
    </bk>
    <bk>
      <rc t="2" v="11685"/>
    </bk>
    <bk>
      <rc t="2" v="11686"/>
    </bk>
    <bk>
      <rc t="2" v="11687"/>
    </bk>
    <bk>
      <rc t="2" v="11688"/>
    </bk>
    <bk>
      <rc t="2" v="11689"/>
    </bk>
    <bk>
      <rc t="2" v="11690"/>
    </bk>
    <bk>
      <rc t="2" v="11691"/>
    </bk>
    <bk>
      <rc t="2" v="11692"/>
    </bk>
    <bk>
      <rc t="2" v="11693"/>
    </bk>
    <bk>
      <rc t="2" v="11694"/>
    </bk>
    <bk>
      <rc t="2" v="11695"/>
    </bk>
    <bk>
      <rc t="2" v="11696"/>
    </bk>
    <bk>
      <rc t="2" v="11697"/>
    </bk>
    <bk>
      <rc t="2" v="11698"/>
    </bk>
    <bk>
      <rc t="2" v="11699"/>
    </bk>
    <bk>
      <rc t="2" v="11700"/>
    </bk>
    <bk>
      <rc t="2" v="11701"/>
    </bk>
    <bk>
      <rc t="2" v="11702"/>
    </bk>
    <bk>
      <rc t="2" v="11703"/>
    </bk>
    <bk>
      <rc t="2" v="11704"/>
    </bk>
    <bk>
      <rc t="2" v="11705"/>
    </bk>
    <bk>
      <rc t="2" v="11706"/>
    </bk>
    <bk>
      <rc t="2" v="11707"/>
    </bk>
    <bk>
      <rc t="2" v="11708"/>
    </bk>
    <bk>
      <rc t="2" v="11709"/>
    </bk>
    <bk>
      <rc t="2" v="11710"/>
    </bk>
    <bk>
      <rc t="2" v="11711"/>
    </bk>
    <bk>
      <rc t="2" v="11712"/>
    </bk>
    <bk>
      <rc t="2" v="11713"/>
    </bk>
    <bk>
      <rc t="2" v="11714"/>
    </bk>
    <bk>
      <rc t="2" v="11715"/>
    </bk>
    <bk>
      <rc t="2" v="11716"/>
    </bk>
    <bk>
      <rc t="2" v="11717"/>
    </bk>
    <bk>
      <rc t="2" v="11718"/>
    </bk>
    <bk>
      <rc t="2" v="11719"/>
    </bk>
    <bk>
      <rc t="2" v="11720"/>
    </bk>
    <bk>
      <rc t="2" v="11721"/>
    </bk>
    <bk>
      <rc t="2" v="11722"/>
    </bk>
    <bk>
      <rc t="2" v="11723"/>
    </bk>
    <bk>
      <rc t="2" v="11724"/>
    </bk>
    <bk>
      <rc t="2" v="11725"/>
    </bk>
    <bk>
      <rc t="2" v="11726"/>
    </bk>
    <bk>
      <rc t="2" v="11727"/>
    </bk>
    <bk>
      <rc t="2" v="11728"/>
    </bk>
    <bk>
      <rc t="2" v="11729"/>
    </bk>
    <bk>
      <rc t="2" v="11730"/>
    </bk>
    <bk>
      <rc t="2" v="11731"/>
    </bk>
    <bk>
      <rc t="2" v="11732"/>
    </bk>
    <bk>
      <rc t="2" v="11733"/>
    </bk>
    <bk>
      <rc t="2" v="11734"/>
    </bk>
    <bk>
      <rc t="2" v="11735"/>
    </bk>
    <bk>
      <rc t="2" v="11736"/>
    </bk>
    <bk>
      <rc t="2" v="11737"/>
    </bk>
    <bk>
      <rc t="2" v="11738"/>
    </bk>
    <bk>
      <rc t="2" v="11739"/>
    </bk>
    <bk>
      <rc t="2" v="11740"/>
    </bk>
    <bk>
      <rc t="2" v="11741"/>
    </bk>
    <bk>
      <rc t="2" v="11742"/>
    </bk>
    <bk>
      <rc t="2" v="11743"/>
    </bk>
    <bk>
      <rc t="2" v="11744"/>
    </bk>
    <bk>
      <rc t="2" v="11745"/>
    </bk>
    <bk>
      <rc t="2" v="11746"/>
    </bk>
    <bk>
      <rc t="2" v="11747"/>
    </bk>
    <bk>
      <rc t="2" v="11748"/>
    </bk>
    <bk>
      <rc t="2" v="11749"/>
    </bk>
    <bk>
      <rc t="2" v="11750"/>
    </bk>
    <bk>
      <rc t="2" v="11751"/>
    </bk>
    <bk>
      <rc t="2" v="11752"/>
    </bk>
    <bk>
      <rc t="2" v="11753"/>
    </bk>
    <bk>
      <rc t="2" v="11754"/>
    </bk>
    <bk>
      <rc t="2" v="11755"/>
    </bk>
    <bk>
      <rc t="2" v="11756"/>
    </bk>
    <bk>
      <rc t="2" v="11757"/>
    </bk>
    <bk>
      <rc t="2" v="11758"/>
    </bk>
    <bk>
      <rc t="2" v="11759"/>
    </bk>
    <bk>
      <rc t="2" v="11760"/>
    </bk>
    <bk>
      <rc t="2" v="11761"/>
    </bk>
    <bk>
      <rc t="2" v="11762"/>
    </bk>
    <bk>
      <rc t="2" v="11763"/>
    </bk>
    <bk>
      <rc t="2" v="11764"/>
    </bk>
    <bk>
      <rc t="2" v="11765"/>
    </bk>
    <bk>
      <rc t="2" v="11766"/>
    </bk>
    <bk>
      <rc t="2" v="11767"/>
    </bk>
    <bk>
      <rc t="2" v="11768"/>
    </bk>
    <bk>
      <rc t="2" v="11769"/>
    </bk>
    <bk>
      <rc t="2" v="11770"/>
    </bk>
    <bk>
      <rc t="2" v="11771"/>
    </bk>
    <bk>
      <rc t="2" v="11772"/>
    </bk>
    <bk>
      <rc t="2" v="11773"/>
    </bk>
    <bk>
      <rc t="2" v="11774"/>
    </bk>
    <bk>
      <rc t="2" v="11775"/>
    </bk>
    <bk>
      <rc t="2" v="11776"/>
    </bk>
    <bk>
      <rc t="2" v="11777"/>
    </bk>
    <bk>
      <rc t="2" v="11778"/>
    </bk>
    <bk>
      <rc t="2" v="11779"/>
    </bk>
    <bk>
      <rc t="2" v="11780"/>
    </bk>
    <bk>
      <rc t="2" v="11781"/>
    </bk>
    <bk>
      <rc t="2" v="11782"/>
    </bk>
    <bk>
      <rc t="2" v="11783"/>
    </bk>
    <bk>
      <rc t="2" v="11784"/>
    </bk>
    <bk>
      <rc t="2" v="11785"/>
    </bk>
    <bk>
      <rc t="2" v="11786"/>
    </bk>
    <bk>
      <rc t="2" v="11787"/>
    </bk>
    <bk>
      <rc t="2" v="11788"/>
    </bk>
    <bk>
      <rc t="2" v="11789"/>
    </bk>
    <bk>
      <rc t="2" v="11790"/>
    </bk>
    <bk>
      <rc t="2" v="11791"/>
    </bk>
    <bk>
      <rc t="2" v="11792"/>
    </bk>
    <bk>
      <rc t="2" v="11793"/>
    </bk>
    <bk>
      <rc t="2" v="11794"/>
    </bk>
    <bk>
      <rc t="2" v="11795"/>
    </bk>
    <bk>
      <rc t="2" v="11796"/>
    </bk>
    <bk>
      <rc t="2" v="11797"/>
    </bk>
    <bk>
      <rc t="2" v="11798"/>
    </bk>
    <bk>
      <rc t="2" v="11799"/>
    </bk>
    <bk>
      <rc t="2" v="11800"/>
    </bk>
    <bk>
      <rc t="2" v="11801"/>
    </bk>
    <bk>
      <rc t="2" v="11802"/>
    </bk>
    <bk>
      <rc t="2" v="11803"/>
    </bk>
    <bk>
      <rc t="2" v="11804"/>
    </bk>
    <bk>
      <rc t="2" v="11805"/>
    </bk>
    <bk>
      <rc t="2" v="11806"/>
    </bk>
    <bk>
      <rc t="2" v="11807"/>
    </bk>
    <bk>
      <rc t="2" v="11808"/>
    </bk>
    <bk>
      <rc t="2" v="11809"/>
    </bk>
    <bk>
      <rc t="2" v="11810"/>
    </bk>
    <bk>
      <rc t="2" v="11811"/>
    </bk>
    <bk>
      <rc t="2" v="11812"/>
    </bk>
    <bk>
      <rc t="2" v="11813"/>
    </bk>
    <bk>
      <rc t="2" v="11814"/>
    </bk>
    <bk>
      <rc t="2" v="11815"/>
    </bk>
    <bk>
      <rc t="2" v="11816"/>
    </bk>
    <bk>
      <rc t="2" v="11817"/>
    </bk>
    <bk>
      <rc t="2" v="11818"/>
    </bk>
    <bk>
      <rc t="2" v="11819"/>
    </bk>
    <bk>
      <rc t="2" v="11820"/>
    </bk>
    <bk>
      <rc t="2" v="11821"/>
    </bk>
    <bk>
      <rc t="2" v="11822"/>
    </bk>
    <bk>
      <rc t="2" v="11823"/>
    </bk>
    <bk>
      <rc t="2" v="11824"/>
    </bk>
    <bk>
      <rc t="2" v="11825"/>
    </bk>
    <bk>
      <rc t="2" v="11826"/>
    </bk>
    <bk>
      <rc t="2" v="11827"/>
    </bk>
    <bk>
      <rc t="2" v="11828"/>
    </bk>
    <bk>
      <rc t="2" v="11829"/>
    </bk>
    <bk>
      <rc t="2" v="11830"/>
    </bk>
    <bk>
      <rc t="2" v="11831"/>
    </bk>
    <bk>
      <rc t="2" v="11832"/>
    </bk>
    <bk>
      <rc t="2" v="11833"/>
    </bk>
    <bk>
      <rc t="2" v="11834"/>
    </bk>
    <bk>
      <rc t="2" v="11835"/>
    </bk>
    <bk>
      <rc t="2" v="11836"/>
    </bk>
    <bk>
      <rc t="2" v="11837"/>
    </bk>
    <bk>
      <rc t="2" v="11838"/>
    </bk>
    <bk>
      <rc t="2" v="11839"/>
    </bk>
    <bk>
      <rc t="2" v="11840"/>
    </bk>
    <bk>
      <rc t="2" v="11841"/>
    </bk>
    <bk>
      <rc t="2" v="11842"/>
    </bk>
    <bk>
      <rc t="2" v="11843"/>
    </bk>
    <bk>
      <rc t="2" v="11844"/>
    </bk>
    <bk>
      <rc t="2" v="11845"/>
    </bk>
    <bk>
      <rc t="2" v="11846"/>
    </bk>
    <bk>
      <rc t="2" v="11847"/>
    </bk>
    <bk>
      <rc t="2" v="11848"/>
    </bk>
    <bk>
      <rc t="2" v="11849"/>
    </bk>
    <bk>
      <rc t="2" v="11850"/>
    </bk>
    <bk>
      <rc t="2" v="11851"/>
    </bk>
    <bk>
      <rc t="2" v="11852"/>
    </bk>
    <bk>
      <rc t="2" v="11853"/>
    </bk>
    <bk>
      <rc t="2" v="11854"/>
    </bk>
    <bk>
      <rc t="2" v="11855"/>
    </bk>
    <bk>
      <rc t="2" v="11856"/>
    </bk>
    <bk>
      <rc t="2" v="11857"/>
    </bk>
    <bk>
      <rc t="2" v="11858"/>
    </bk>
    <bk>
      <rc t="2" v="11859"/>
    </bk>
    <bk>
      <rc t="2" v="11860"/>
    </bk>
    <bk>
      <rc t="2" v="11861"/>
    </bk>
    <bk>
      <rc t="2" v="11862"/>
    </bk>
    <bk>
      <rc t="2" v="11863"/>
    </bk>
    <bk>
      <rc t="2" v="11864"/>
    </bk>
    <bk>
      <rc t="2" v="11865"/>
    </bk>
    <bk>
      <rc t="2" v="11866"/>
    </bk>
    <bk>
      <rc t="2" v="11867"/>
    </bk>
    <bk>
      <rc t="2" v="11868"/>
    </bk>
    <bk>
      <rc t="2" v="11869"/>
    </bk>
    <bk>
      <rc t="2" v="11870"/>
    </bk>
    <bk>
      <rc t="2" v="11871"/>
    </bk>
    <bk>
      <rc t="2" v="11872"/>
    </bk>
    <bk>
      <rc t="2" v="11873"/>
    </bk>
    <bk>
      <rc t="2" v="11874"/>
    </bk>
    <bk>
      <rc t="2" v="11875"/>
    </bk>
    <bk>
      <rc t="2" v="11876"/>
    </bk>
    <bk>
      <rc t="2" v="11877"/>
    </bk>
    <bk>
      <rc t="2" v="11878"/>
    </bk>
    <bk>
      <rc t="2" v="11879"/>
    </bk>
    <bk>
      <rc t="2" v="11880"/>
    </bk>
    <bk>
      <rc t="2" v="11881"/>
    </bk>
    <bk>
      <rc t="2" v="11882"/>
    </bk>
    <bk>
      <rc t="2" v="11883"/>
    </bk>
    <bk>
      <rc t="2" v="11884"/>
    </bk>
    <bk>
      <rc t="2" v="11885"/>
    </bk>
    <bk>
      <rc t="2" v="11886"/>
    </bk>
    <bk>
      <rc t="2" v="11887"/>
    </bk>
    <bk>
      <rc t="2" v="11888"/>
    </bk>
    <bk>
      <rc t="2" v="11889"/>
    </bk>
    <bk>
      <rc t="2" v="11890"/>
    </bk>
    <bk>
      <rc t="2" v="11891"/>
    </bk>
    <bk>
      <rc t="2" v="11892"/>
    </bk>
    <bk>
      <rc t="2" v="11893"/>
    </bk>
    <bk>
      <rc t="2" v="11894"/>
    </bk>
    <bk>
      <rc t="2" v="11895"/>
    </bk>
    <bk>
      <rc t="2" v="11896"/>
    </bk>
    <bk>
      <rc t="2" v="11897"/>
    </bk>
    <bk>
      <rc t="2" v="11898"/>
    </bk>
    <bk>
      <rc t="2" v="11899"/>
    </bk>
    <bk>
      <rc t="2" v="11900"/>
    </bk>
    <bk>
      <rc t="2" v="11901"/>
    </bk>
    <bk>
      <rc t="2" v="11902"/>
    </bk>
    <bk>
      <rc t="2" v="11903"/>
    </bk>
    <bk>
      <rc t="2" v="11904"/>
    </bk>
    <bk>
      <rc t="2" v="11905"/>
    </bk>
    <bk>
      <rc t="2" v="11906"/>
    </bk>
    <bk>
      <rc t="2" v="11907"/>
    </bk>
    <bk>
      <rc t="2" v="11908"/>
    </bk>
    <bk>
      <rc t="2" v="11909"/>
    </bk>
    <bk>
      <rc t="2" v="11910"/>
    </bk>
    <bk>
      <rc t="2" v="11911"/>
    </bk>
    <bk>
      <rc t="2" v="11912"/>
    </bk>
    <bk>
      <rc t="2" v="11913"/>
    </bk>
    <bk>
      <rc t="2" v="11914"/>
    </bk>
    <bk>
      <rc t="2" v="11915"/>
    </bk>
    <bk>
      <rc t="2" v="11916"/>
    </bk>
    <bk>
      <rc t="2" v="11917"/>
    </bk>
    <bk>
      <rc t="2" v="11918"/>
    </bk>
    <bk>
      <rc t="2" v="11919"/>
    </bk>
    <bk>
      <rc t="2" v="11920"/>
    </bk>
    <bk>
      <rc t="2" v="11921"/>
    </bk>
    <bk>
      <rc t="2" v="11922"/>
    </bk>
    <bk>
      <rc t="2" v="11923"/>
    </bk>
    <bk>
      <rc t="2" v="11924"/>
    </bk>
    <bk>
      <rc t="2" v="11925"/>
    </bk>
    <bk>
      <rc t="2" v="11926"/>
    </bk>
    <bk>
      <rc t="2" v="11927"/>
    </bk>
    <bk>
      <rc t="2" v="11928"/>
    </bk>
    <bk>
      <rc t="2" v="11929"/>
    </bk>
    <bk>
      <rc t="2" v="11930"/>
    </bk>
    <bk>
      <rc t="2" v="11931"/>
    </bk>
    <bk>
      <rc t="2" v="11932"/>
    </bk>
    <bk>
      <rc t="2" v="11933"/>
    </bk>
    <bk>
      <rc t="2" v="11934"/>
    </bk>
    <bk>
      <rc t="2" v="11935"/>
    </bk>
    <bk>
      <rc t="2" v="11936"/>
    </bk>
    <bk>
      <rc t="2" v="11937"/>
    </bk>
    <bk>
      <rc t="2" v="11938"/>
    </bk>
    <bk>
      <rc t="2" v="11939"/>
    </bk>
    <bk>
      <rc t="2" v="11940"/>
    </bk>
    <bk>
      <rc t="2" v="11941"/>
    </bk>
    <bk>
      <rc t="2" v="11942"/>
    </bk>
    <bk>
      <rc t="2" v="11943"/>
    </bk>
    <bk>
      <rc t="2" v="11944"/>
    </bk>
    <bk>
      <rc t="2" v="11945"/>
    </bk>
    <bk>
      <rc t="2" v="11946"/>
    </bk>
    <bk>
      <rc t="2" v="11947"/>
    </bk>
    <bk>
      <rc t="2" v="11948"/>
    </bk>
    <bk>
      <rc t="2" v="11949"/>
    </bk>
    <bk>
      <rc t="2" v="11950"/>
    </bk>
    <bk>
      <rc t="2" v="11951"/>
    </bk>
    <bk>
      <rc t="2" v="11952"/>
    </bk>
    <bk>
      <rc t="2" v="11953"/>
    </bk>
    <bk>
      <rc t="2" v="11954"/>
    </bk>
    <bk>
      <rc t="2" v="11955"/>
    </bk>
    <bk>
      <rc t="2" v="11956"/>
    </bk>
    <bk>
      <rc t="2" v="11957"/>
    </bk>
    <bk>
      <rc t="2" v="11958"/>
    </bk>
    <bk>
      <rc t="2" v="11959"/>
    </bk>
    <bk>
      <rc t="2" v="11960"/>
    </bk>
    <bk>
      <rc t="2" v="11961"/>
    </bk>
    <bk>
      <rc t="2" v="11962"/>
    </bk>
    <bk>
      <rc t="2" v="11963"/>
    </bk>
    <bk>
      <rc t="2" v="11964"/>
    </bk>
    <bk>
      <rc t="2" v="11965"/>
    </bk>
    <bk>
      <rc t="2" v="11966"/>
    </bk>
    <bk>
      <rc t="2" v="11967"/>
    </bk>
    <bk>
      <rc t="2" v="11968"/>
    </bk>
    <bk>
      <rc t="2" v="11969"/>
    </bk>
    <bk>
      <rc t="2" v="11970"/>
    </bk>
    <bk>
      <rc t="2" v="11971"/>
    </bk>
    <bk>
      <rc t="2" v="11972"/>
    </bk>
    <bk>
      <rc t="2" v="11973"/>
    </bk>
    <bk>
      <rc t="2" v="11974"/>
    </bk>
    <bk>
      <rc t="2" v="11975"/>
    </bk>
    <bk>
      <rc t="2" v="11976"/>
    </bk>
    <bk>
      <rc t="2" v="11977"/>
    </bk>
    <bk>
      <rc t="2" v="11978"/>
    </bk>
    <bk>
      <rc t="2" v="11979"/>
    </bk>
    <bk>
      <rc t="2" v="11980"/>
    </bk>
    <bk>
      <rc t="2" v="11981"/>
    </bk>
    <bk>
      <rc t="2" v="11982"/>
    </bk>
    <bk>
      <rc t="2" v="11983"/>
    </bk>
    <bk>
      <rc t="2" v="11984"/>
    </bk>
    <bk>
      <rc t="2" v="11985"/>
    </bk>
    <bk>
      <rc t="2" v="11986"/>
    </bk>
    <bk>
      <rc t="2" v="11987"/>
    </bk>
    <bk>
      <rc t="2" v="11988"/>
    </bk>
    <bk>
      <rc t="2" v="11989"/>
    </bk>
    <bk>
      <rc t="2" v="11990"/>
    </bk>
    <bk>
      <rc t="2" v="11991"/>
    </bk>
    <bk>
      <rc t="2" v="11992"/>
    </bk>
    <bk>
      <rc t="2" v="11993"/>
    </bk>
    <bk>
      <rc t="2" v="11994"/>
    </bk>
    <bk>
      <rc t="2" v="11995"/>
    </bk>
    <bk>
      <rc t="2" v="11996"/>
    </bk>
    <bk>
      <rc t="2" v="11997"/>
    </bk>
    <bk>
      <rc t="2" v="11998"/>
    </bk>
    <bk>
      <rc t="2" v="11999"/>
    </bk>
    <bk>
      <rc t="2" v="12000"/>
    </bk>
    <bk>
      <rc t="2" v="12001"/>
    </bk>
    <bk>
      <rc t="2" v="12002"/>
    </bk>
    <bk>
      <rc t="2" v="12003"/>
    </bk>
    <bk>
      <rc t="2" v="12004"/>
    </bk>
    <bk>
      <rc t="2" v="12005"/>
    </bk>
    <bk>
      <rc t="2" v="12006"/>
    </bk>
    <bk>
      <rc t="2" v="12007"/>
    </bk>
    <bk>
      <rc t="2" v="12008"/>
    </bk>
    <bk>
      <rc t="2" v="12009"/>
    </bk>
    <bk>
      <rc t="2" v="12010"/>
    </bk>
    <bk>
      <rc t="2" v="12011"/>
    </bk>
    <bk>
      <rc t="2" v="12012"/>
    </bk>
    <bk>
      <rc t="2" v="12013"/>
    </bk>
    <bk>
      <rc t="2" v="12014"/>
    </bk>
    <bk>
      <rc t="2" v="12015"/>
    </bk>
    <bk>
      <rc t="2" v="12016"/>
    </bk>
    <bk>
      <rc t="2" v="12017"/>
    </bk>
    <bk>
      <rc t="2" v="12018"/>
    </bk>
    <bk>
      <rc t="2" v="12019"/>
    </bk>
    <bk>
      <rc t="2" v="12020"/>
    </bk>
    <bk>
      <rc t="2" v="12021"/>
    </bk>
    <bk>
      <rc t="2" v="12022"/>
    </bk>
    <bk>
      <rc t="2" v="12023"/>
    </bk>
    <bk>
      <rc t="2" v="12024"/>
    </bk>
    <bk>
      <rc t="2" v="12025"/>
    </bk>
    <bk>
      <rc t="2" v="12026"/>
    </bk>
    <bk>
      <rc t="2" v="12027"/>
    </bk>
    <bk>
      <rc t="2" v="12028"/>
    </bk>
    <bk>
      <rc t="2" v="12029"/>
    </bk>
    <bk>
      <rc t="2" v="12030"/>
    </bk>
    <bk>
      <rc t="2" v="12031"/>
    </bk>
    <bk>
      <rc t="2" v="12032"/>
    </bk>
    <bk>
      <rc t="2" v="12033"/>
    </bk>
    <bk>
      <rc t="2" v="12034"/>
    </bk>
    <bk>
      <rc t="2" v="12035"/>
    </bk>
    <bk>
      <rc t="2" v="12036"/>
    </bk>
    <bk>
      <rc t="2" v="12037"/>
    </bk>
    <bk>
      <rc t="2" v="12038"/>
    </bk>
    <bk>
      <rc t="2" v="12039"/>
    </bk>
    <bk>
      <rc t="2" v="12040"/>
    </bk>
    <bk>
      <rc t="2" v="12041"/>
    </bk>
    <bk>
      <rc t="2" v="12042"/>
    </bk>
    <bk>
      <rc t="2" v="12043"/>
    </bk>
    <bk>
      <rc t="2" v="12044"/>
    </bk>
    <bk>
      <rc t="2" v="12045"/>
    </bk>
    <bk>
      <rc t="2" v="12046"/>
    </bk>
    <bk>
      <rc t="2" v="12047"/>
    </bk>
    <bk>
      <rc t="2" v="12048"/>
    </bk>
    <bk>
      <rc t="2" v="12049"/>
    </bk>
    <bk>
      <rc t="2" v="12050"/>
    </bk>
    <bk>
      <rc t="2" v="12051"/>
    </bk>
    <bk>
      <rc t="2" v="12052"/>
    </bk>
    <bk>
      <rc t="2" v="12053"/>
    </bk>
    <bk>
      <rc t="2" v="12054"/>
    </bk>
    <bk>
      <rc t="2" v="12055"/>
    </bk>
    <bk>
      <rc t="2" v="12056"/>
    </bk>
    <bk>
      <rc t="2" v="12057"/>
    </bk>
    <bk>
      <rc t="2" v="12058"/>
    </bk>
    <bk>
      <rc t="2" v="12059"/>
    </bk>
    <bk>
      <rc t="2" v="12060"/>
    </bk>
    <bk>
      <rc t="2" v="12061"/>
    </bk>
    <bk>
      <rc t="2" v="12062"/>
    </bk>
    <bk>
      <rc t="2" v="12063"/>
    </bk>
    <bk>
      <rc t="2" v="12064"/>
    </bk>
    <bk>
      <rc t="2" v="12065"/>
    </bk>
    <bk>
      <rc t="2" v="12066"/>
    </bk>
    <bk>
      <rc t="2" v="12067"/>
    </bk>
    <bk>
      <rc t="2" v="12068"/>
    </bk>
    <bk>
      <rc t="2" v="12069"/>
    </bk>
    <bk>
      <rc t="2" v="12070"/>
    </bk>
    <bk>
      <rc t="2" v="12071"/>
    </bk>
    <bk>
      <rc t="2" v="12072"/>
    </bk>
    <bk>
      <rc t="2" v="12073"/>
    </bk>
    <bk>
      <rc t="2" v="12074"/>
    </bk>
    <bk>
      <rc t="2" v="12075"/>
    </bk>
    <bk>
      <rc t="2" v="12076"/>
    </bk>
    <bk>
      <rc t="2" v="12077"/>
    </bk>
    <bk>
      <rc t="2" v="12078"/>
    </bk>
    <bk>
      <rc t="2" v="12079"/>
    </bk>
    <bk>
      <rc t="2" v="12080"/>
    </bk>
    <bk>
      <rc t="2" v="12081"/>
    </bk>
    <bk>
      <rc t="2" v="12082"/>
    </bk>
    <bk>
      <rc t="2" v="12083"/>
    </bk>
    <bk>
      <rc t="2" v="12084"/>
    </bk>
    <bk>
      <rc t="2" v="12085"/>
    </bk>
    <bk>
      <rc t="2" v="12086"/>
    </bk>
    <bk>
      <rc t="2" v="12087"/>
    </bk>
    <bk>
      <rc t="2" v="12088"/>
    </bk>
    <bk>
      <rc t="2" v="12089"/>
    </bk>
    <bk>
      <rc t="2" v="12090"/>
    </bk>
    <bk>
      <rc t="2" v="12091"/>
    </bk>
    <bk>
      <rc t="2" v="12092"/>
    </bk>
    <bk>
      <rc t="2" v="12093"/>
    </bk>
    <bk>
      <rc t="2" v="12094"/>
    </bk>
    <bk>
      <rc t="2" v="12095"/>
    </bk>
    <bk>
      <rc t="2" v="12096"/>
    </bk>
    <bk>
      <rc t="2" v="12097"/>
    </bk>
    <bk>
      <rc t="2" v="12098"/>
    </bk>
    <bk>
      <rc t="2" v="12099"/>
    </bk>
    <bk>
      <rc t="2" v="12100"/>
    </bk>
    <bk>
      <rc t="2" v="12101"/>
    </bk>
    <bk>
      <rc t="2" v="12102"/>
    </bk>
    <bk>
      <rc t="2" v="12103"/>
    </bk>
    <bk>
      <rc t="2" v="12104"/>
    </bk>
    <bk>
      <rc t="2" v="12105"/>
    </bk>
    <bk>
      <rc t="2" v="12106"/>
    </bk>
    <bk>
      <rc t="2" v="12107"/>
    </bk>
    <bk>
      <rc t="2" v="12108"/>
    </bk>
    <bk>
      <rc t="2" v="12109"/>
    </bk>
    <bk>
      <rc t="2" v="12110"/>
    </bk>
    <bk>
      <rc t="2" v="12111"/>
    </bk>
    <bk>
      <rc t="2" v="12112"/>
    </bk>
    <bk>
      <rc t="2" v="12113"/>
    </bk>
    <bk>
      <rc t="2" v="12114"/>
    </bk>
    <bk>
      <rc t="2" v="12115"/>
    </bk>
    <bk>
      <rc t="2" v="12116"/>
    </bk>
    <bk>
      <rc t="2" v="12117"/>
    </bk>
    <bk>
      <rc t="2" v="12118"/>
    </bk>
    <bk>
      <rc t="2" v="12119"/>
    </bk>
    <bk>
      <rc t="2" v="12120"/>
    </bk>
    <bk>
      <rc t="2" v="12121"/>
    </bk>
    <bk>
      <rc t="2" v="12122"/>
    </bk>
    <bk>
      <rc t="2" v="12123"/>
    </bk>
    <bk>
      <rc t="2" v="12124"/>
    </bk>
    <bk>
      <rc t="2" v="12125"/>
    </bk>
    <bk>
      <rc t="2" v="12126"/>
    </bk>
    <bk>
      <rc t="2" v="12127"/>
    </bk>
    <bk>
      <rc t="2" v="12128"/>
    </bk>
    <bk>
      <rc t="2" v="12129"/>
    </bk>
    <bk>
      <rc t="2" v="12130"/>
    </bk>
    <bk>
      <rc t="2" v="12131"/>
    </bk>
    <bk>
      <rc t="2" v="12132"/>
    </bk>
    <bk>
      <rc t="2" v="12133"/>
    </bk>
    <bk>
      <rc t="2" v="12134"/>
    </bk>
    <bk>
      <rc t="2" v="12135"/>
    </bk>
    <bk>
      <rc t="2" v="12136"/>
    </bk>
    <bk>
      <rc t="2" v="12137"/>
    </bk>
    <bk>
      <rc t="2" v="12138"/>
    </bk>
    <bk>
      <rc t="2" v="12139"/>
    </bk>
    <bk>
      <rc t="2" v="12140"/>
    </bk>
    <bk>
      <rc t="2" v="12141"/>
    </bk>
    <bk>
      <rc t="2" v="12142"/>
    </bk>
    <bk>
      <rc t="2" v="12143"/>
    </bk>
    <bk>
      <rc t="2" v="12144"/>
    </bk>
    <bk>
      <rc t="2" v="12145"/>
    </bk>
    <bk>
      <rc t="2" v="12146"/>
    </bk>
    <bk>
      <rc t="2" v="12147"/>
    </bk>
    <bk>
      <rc t="2" v="12148"/>
    </bk>
    <bk>
      <rc t="2" v="12149"/>
    </bk>
    <bk>
      <rc t="2" v="12150"/>
    </bk>
    <bk>
      <rc t="2" v="12151"/>
    </bk>
    <bk>
      <rc t="2" v="12152"/>
    </bk>
    <bk>
      <rc t="2" v="12153"/>
    </bk>
    <bk>
      <rc t="2" v="12154"/>
    </bk>
    <bk>
      <rc t="2" v="12155"/>
    </bk>
    <bk>
      <rc t="2" v="12156"/>
    </bk>
    <bk>
      <rc t="2" v="12157"/>
    </bk>
    <bk>
      <rc t="2" v="12158"/>
    </bk>
    <bk>
      <rc t="2" v="12159"/>
    </bk>
    <bk>
      <rc t="2" v="12160"/>
    </bk>
    <bk>
      <rc t="2" v="12161"/>
    </bk>
    <bk>
      <rc t="2" v="12162"/>
    </bk>
    <bk>
      <rc t="2" v="12163"/>
    </bk>
    <bk>
      <rc t="2" v="12164"/>
    </bk>
    <bk>
      <rc t="2" v="12165"/>
    </bk>
    <bk>
      <rc t="2" v="12166"/>
    </bk>
    <bk>
      <rc t="2" v="12167"/>
    </bk>
    <bk>
      <rc t="2" v="12168"/>
    </bk>
    <bk>
      <rc t="2" v="12169"/>
    </bk>
    <bk>
      <rc t="2" v="12170"/>
    </bk>
    <bk>
      <rc t="2" v="12171"/>
    </bk>
    <bk>
      <rc t="2" v="12172"/>
    </bk>
    <bk>
      <rc t="2" v="12173"/>
    </bk>
    <bk>
      <rc t="2" v="12174"/>
    </bk>
    <bk>
      <rc t="2" v="12175"/>
    </bk>
    <bk>
      <rc t="2" v="12176"/>
    </bk>
    <bk>
      <rc t="2" v="12177"/>
    </bk>
    <bk>
      <rc t="2" v="12178"/>
    </bk>
    <bk>
      <rc t="2" v="12179"/>
    </bk>
    <bk>
      <rc t="2" v="12180"/>
    </bk>
    <bk>
      <rc t="2" v="12181"/>
    </bk>
    <bk>
      <rc t="2" v="12182"/>
    </bk>
    <bk>
      <rc t="2" v="12183"/>
    </bk>
    <bk>
      <rc t="2" v="12184"/>
    </bk>
    <bk>
      <rc t="2" v="12185"/>
    </bk>
    <bk>
      <rc t="2" v="12186"/>
    </bk>
    <bk>
      <rc t="2" v="12187"/>
    </bk>
    <bk>
      <rc t="2" v="12188"/>
    </bk>
    <bk>
      <rc t="2" v="12189"/>
    </bk>
    <bk>
      <rc t="2" v="12190"/>
    </bk>
    <bk>
      <rc t="2" v="12191"/>
    </bk>
    <bk>
      <rc t="2" v="12192"/>
    </bk>
    <bk>
      <rc t="2" v="12193"/>
    </bk>
    <bk>
      <rc t="2" v="12194"/>
    </bk>
    <bk>
      <rc t="2" v="12195"/>
    </bk>
    <bk>
      <rc t="2" v="12196"/>
    </bk>
    <bk>
      <rc t="2" v="12197"/>
    </bk>
    <bk>
      <rc t="2" v="12198"/>
    </bk>
    <bk>
      <rc t="2" v="12199"/>
    </bk>
    <bk>
      <rc t="2" v="12200"/>
    </bk>
    <bk>
      <rc t="2" v="12201"/>
    </bk>
    <bk>
      <rc t="2" v="12202"/>
    </bk>
    <bk>
      <rc t="2" v="12203"/>
    </bk>
    <bk>
      <rc t="2" v="12204"/>
    </bk>
    <bk>
      <rc t="2" v="12205"/>
    </bk>
    <bk>
      <rc t="2" v="12206"/>
    </bk>
    <bk>
      <rc t="2" v="12207"/>
    </bk>
    <bk>
      <rc t="2" v="12208"/>
    </bk>
    <bk>
      <rc t="2" v="12209"/>
    </bk>
    <bk>
      <rc t="2" v="12210"/>
    </bk>
    <bk>
      <rc t="2" v="12211"/>
    </bk>
    <bk>
      <rc t="2" v="12212"/>
    </bk>
    <bk>
      <rc t="2" v="12213"/>
    </bk>
    <bk>
      <rc t="2" v="12214"/>
    </bk>
    <bk>
      <rc t="2" v="12215"/>
    </bk>
    <bk>
      <rc t="2" v="12216"/>
    </bk>
    <bk>
      <rc t="2" v="12217"/>
    </bk>
    <bk>
      <rc t="2" v="12218"/>
    </bk>
    <bk>
      <rc t="2" v="12219"/>
    </bk>
    <bk>
      <rc t="2" v="12220"/>
    </bk>
    <bk>
      <rc t="2" v="12221"/>
    </bk>
    <bk>
      <rc t="2" v="12222"/>
    </bk>
    <bk>
      <rc t="2" v="12223"/>
    </bk>
    <bk>
      <rc t="2" v="12224"/>
    </bk>
    <bk>
      <rc t="2" v="12225"/>
    </bk>
    <bk>
      <rc t="2" v="12226"/>
    </bk>
    <bk>
      <rc t="2" v="12227"/>
    </bk>
    <bk>
      <rc t="2" v="12228"/>
    </bk>
    <bk>
      <rc t="2" v="12229"/>
    </bk>
    <bk>
      <rc t="2" v="12230"/>
    </bk>
    <bk>
      <rc t="2" v="12231"/>
    </bk>
    <bk>
      <rc t="2" v="12232"/>
    </bk>
    <bk>
      <rc t="2" v="12233"/>
    </bk>
    <bk>
      <rc t="2" v="12234"/>
    </bk>
    <bk>
      <rc t="2" v="12235"/>
    </bk>
    <bk>
      <rc t="2" v="12236"/>
    </bk>
    <bk>
      <rc t="2" v="12237"/>
    </bk>
    <bk>
      <rc t="2" v="12238"/>
    </bk>
    <bk>
      <rc t="2" v="12239"/>
    </bk>
    <bk>
      <rc t="2" v="12240"/>
    </bk>
    <bk>
      <rc t="2" v="12241"/>
    </bk>
    <bk>
      <rc t="2" v="12242"/>
    </bk>
    <bk>
      <rc t="2" v="12243"/>
    </bk>
    <bk>
      <rc t="2" v="12244"/>
    </bk>
    <bk>
      <rc t="2" v="12245"/>
    </bk>
    <bk>
      <rc t="2" v="12246"/>
    </bk>
    <bk>
      <rc t="2" v="12247"/>
    </bk>
    <bk>
      <rc t="2" v="12248"/>
    </bk>
    <bk>
      <rc t="2" v="12249"/>
    </bk>
    <bk>
      <rc t="2" v="12250"/>
    </bk>
    <bk>
      <rc t="2" v="12251"/>
    </bk>
    <bk>
      <rc t="2" v="12252"/>
    </bk>
    <bk>
      <rc t="2" v="12253"/>
    </bk>
    <bk>
      <rc t="2" v="12254"/>
    </bk>
    <bk>
      <rc t="2" v="12255"/>
    </bk>
    <bk>
      <rc t="2" v="12256"/>
    </bk>
    <bk>
      <rc t="2" v="12257"/>
    </bk>
    <bk>
      <rc t="2" v="12258"/>
    </bk>
    <bk>
      <rc t="2" v="12259"/>
    </bk>
    <bk>
      <rc t="2" v="12260"/>
    </bk>
    <bk>
      <rc t="2" v="12261"/>
    </bk>
    <bk>
      <rc t="2" v="12262"/>
    </bk>
    <bk>
      <rc t="2" v="12263"/>
    </bk>
    <bk>
      <rc t="2" v="12264"/>
    </bk>
    <bk>
      <rc t="2" v="12265"/>
    </bk>
    <bk>
      <rc t="2" v="12266"/>
    </bk>
    <bk>
      <rc t="2" v="12267"/>
    </bk>
    <bk>
      <rc t="2" v="12268"/>
    </bk>
    <bk>
      <rc t="2" v="12269"/>
    </bk>
    <bk>
      <rc t="2" v="12270"/>
    </bk>
    <bk>
      <rc t="2" v="12271"/>
    </bk>
    <bk>
      <rc t="2" v="12272"/>
    </bk>
    <bk>
      <rc t="2" v="12273"/>
    </bk>
    <bk>
      <rc t="2" v="12274"/>
    </bk>
    <bk>
      <rc t="2" v="12275"/>
    </bk>
    <bk>
      <rc t="2" v="12276"/>
    </bk>
    <bk>
      <rc t="2" v="12277"/>
    </bk>
    <bk>
      <rc t="2" v="12278"/>
    </bk>
    <bk>
      <rc t="2" v="12279"/>
    </bk>
    <bk>
      <rc t="2" v="12280"/>
    </bk>
    <bk>
      <rc t="2" v="12281"/>
    </bk>
    <bk>
      <rc t="2" v="12282"/>
    </bk>
    <bk>
      <rc t="2" v="12283"/>
    </bk>
    <bk>
      <rc t="2" v="12284"/>
    </bk>
    <bk>
      <rc t="2" v="12285"/>
    </bk>
    <bk>
      <rc t="2" v="12286"/>
    </bk>
    <bk>
      <rc t="2" v="12287"/>
    </bk>
    <bk>
      <rc t="2" v="12288"/>
    </bk>
    <bk>
      <rc t="2" v="12289"/>
    </bk>
    <bk>
      <rc t="2" v="12290"/>
    </bk>
    <bk>
      <rc t="2" v="12291"/>
    </bk>
    <bk>
      <rc t="2" v="12292"/>
    </bk>
    <bk>
      <rc t="2" v="12293"/>
    </bk>
    <bk>
      <rc t="2" v="12294"/>
    </bk>
    <bk>
      <rc t="2" v="12295"/>
    </bk>
    <bk>
      <rc t="2" v="12296"/>
    </bk>
    <bk>
      <rc t="2" v="12297"/>
    </bk>
    <bk>
      <rc t="2" v="12298"/>
    </bk>
    <bk>
      <rc t="2" v="12299"/>
    </bk>
    <bk>
      <rc t="2" v="12300"/>
    </bk>
    <bk>
      <rc t="2" v="12301"/>
    </bk>
    <bk>
      <rc t="2" v="12302"/>
    </bk>
    <bk>
      <rc t="2" v="12303"/>
    </bk>
    <bk>
      <rc t="2" v="12304"/>
    </bk>
    <bk>
      <rc t="2" v="12305"/>
    </bk>
    <bk>
      <rc t="2" v="12306"/>
    </bk>
    <bk>
      <rc t="2" v="12307"/>
    </bk>
    <bk>
      <rc t="2" v="12308"/>
    </bk>
    <bk>
      <rc t="2" v="12309"/>
    </bk>
    <bk>
      <rc t="2" v="12310"/>
    </bk>
    <bk>
      <rc t="2" v="12311"/>
    </bk>
    <bk>
      <rc t="2" v="12312"/>
    </bk>
    <bk>
      <rc t="2" v="12313"/>
    </bk>
    <bk>
      <rc t="2" v="12314"/>
    </bk>
    <bk>
      <rc t="2" v="12315"/>
    </bk>
    <bk>
      <rc t="2" v="12316"/>
    </bk>
    <bk>
      <rc t="2" v="12317"/>
    </bk>
    <bk>
      <rc t="2" v="12318"/>
    </bk>
    <bk>
      <rc t="2" v="12319"/>
    </bk>
    <bk>
      <rc t="2" v="12320"/>
    </bk>
    <bk>
      <rc t="2" v="12321"/>
    </bk>
    <bk>
      <rc t="2" v="12322"/>
    </bk>
    <bk>
      <rc t="2" v="12323"/>
    </bk>
    <bk>
      <rc t="2" v="12324"/>
    </bk>
    <bk>
      <rc t="2" v="12325"/>
    </bk>
    <bk>
      <rc t="2" v="12326"/>
    </bk>
    <bk>
      <rc t="2" v="12327"/>
    </bk>
    <bk>
      <rc t="2" v="12328"/>
    </bk>
    <bk>
      <rc t="2" v="12329"/>
    </bk>
    <bk>
      <rc t="2" v="12330"/>
    </bk>
    <bk>
      <rc t="2" v="12331"/>
    </bk>
    <bk>
      <rc t="2" v="12332"/>
    </bk>
    <bk>
      <rc t="2" v="12333"/>
    </bk>
    <bk>
      <rc t="2" v="12334"/>
    </bk>
    <bk>
      <rc t="2" v="12335"/>
    </bk>
    <bk>
      <rc t="2" v="12336"/>
    </bk>
    <bk>
      <rc t="2" v="12337"/>
    </bk>
    <bk>
      <rc t="2" v="12338"/>
    </bk>
    <bk>
      <rc t="2" v="12339"/>
    </bk>
    <bk>
      <rc t="2" v="12340"/>
    </bk>
    <bk>
      <rc t="2" v="12341"/>
    </bk>
    <bk>
      <rc t="2" v="12342"/>
    </bk>
    <bk>
      <rc t="2" v="12343"/>
    </bk>
    <bk>
      <rc t="2" v="12344"/>
    </bk>
    <bk>
      <rc t="2" v="12345"/>
    </bk>
    <bk>
      <rc t="2" v="12346"/>
    </bk>
    <bk>
      <rc t="2" v="12347"/>
    </bk>
    <bk>
      <rc t="2" v="12348"/>
    </bk>
    <bk>
      <rc t="2" v="12349"/>
    </bk>
    <bk>
      <rc t="2" v="12350"/>
    </bk>
    <bk>
      <rc t="2" v="12351"/>
    </bk>
    <bk>
      <rc t="2" v="12352"/>
    </bk>
    <bk>
      <rc t="2" v="12353"/>
    </bk>
    <bk>
      <rc t="2" v="12354"/>
    </bk>
    <bk>
      <rc t="2" v="12355"/>
    </bk>
    <bk>
      <rc t="2" v="12356"/>
    </bk>
    <bk>
      <rc t="2" v="12357"/>
    </bk>
    <bk>
      <rc t="2" v="12358"/>
    </bk>
    <bk>
      <rc t="2" v="12359"/>
    </bk>
    <bk>
      <rc t="2" v="12360"/>
    </bk>
    <bk>
      <rc t="2" v="12361"/>
    </bk>
    <bk>
      <rc t="2" v="12362"/>
    </bk>
    <bk>
      <rc t="2" v="12363"/>
    </bk>
    <bk>
      <rc t="2" v="12364"/>
    </bk>
    <bk>
      <rc t="2" v="12365"/>
    </bk>
    <bk>
      <rc t="2" v="12366"/>
    </bk>
    <bk>
      <rc t="2" v="12367"/>
    </bk>
    <bk>
      <rc t="2" v="12368"/>
    </bk>
    <bk>
      <rc t="2" v="12369"/>
    </bk>
    <bk>
      <rc t="2" v="12370"/>
    </bk>
    <bk>
      <rc t="2" v="12371"/>
    </bk>
    <bk>
      <rc t="2" v="12372"/>
    </bk>
    <bk>
      <rc t="2" v="12373"/>
    </bk>
    <bk>
      <rc t="2" v="12374"/>
    </bk>
    <bk>
      <rc t="2" v="12375"/>
    </bk>
    <bk>
      <rc t="2" v="12376"/>
    </bk>
    <bk>
      <rc t="2" v="12377"/>
    </bk>
    <bk>
      <rc t="2" v="12378"/>
    </bk>
    <bk>
      <rc t="2" v="12379"/>
    </bk>
    <bk>
      <rc t="2" v="12380"/>
    </bk>
    <bk>
      <rc t="2" v="12381"/>
    </bk>
    <bk>
      <rc t="2" v="12382"/>
    </bk>
    <bk>
      <rc t="2" v="12383"/>
    </bk>
    <bk>
      <rc t="2" v="12384"/>
    </bk>
    <bk>
      <rc t="2" v="12385"/>
    </bk>
    <bk>
      <rc t="2" v="12386"/>
    </bk>
    <bk>
      <rc t="2" v="12387"/>
    </bk>
    <bk>
      <rc t="2" v="12388"/>
    </bk>
    <bk>
      <rc t="2" v="12389"/>
    </bk>
    <bk>
      <rc t="2" v="12390"/>
    </bk>
    <bk>
      <rc t="2" v="12391"/>
    </bk>
    <bk>
      <rc t="2" v="12392"/>
    </bk>
    <bk>
      <rc t="2" v="12393"/>
    </bk>
    <bk>
      <rc t="2" v="12394"/>
    </bk>
    <bk>
      <rc t="2" v="12395"/>
    </bk>
    <bk>
      <rc t="2" v="12396"/>
    </bk>
    <bk>
      <rc t="2" v="12397"/>
    </bk>
    <bk>
      <rc t="2" v="12398"/>
    </bk>
    <bk>
      <rc t="2" v="12399"/>
    </bk>
    <bk>
      <rc t="2" v="12400"/>
    </bk>
    <bk>
      <rc t="2" v="12401"/>
    </bk>
    <bk>
      <rc t="2" v="12402"/>
    </bk>
    <bk>
      <rc t="2" v="12403"/>
    </bk>
    <bk>
      <rc t="2" v="12404"/>
    </bk>
    <bk>
      <rc t="2" v="12405"/>
    </bk>
    <bk>
      <rc t="2" v="12406"/>
    </bk>
    <bk>
      <rc t="2" v="12407"/>
    </bk>
    <bk>
      <rc t="2" v="12408"/>
    </bk>
    <bk>
      <rc t="2" v="12409"/>
    </bk>
    <bk>
      <rc t="2" v="12410"/>
    </bk>
    <bk>
      <rc t="2" v="12411"/>
    </bk>
    <bk>
      <rc t="2" v="12412"/>
    </bk>
    <bk>
      <rc t="2" v="12413"/>
    </bk>
    <bk>
      <rc t="2" v="12414"/>
    </bk>
    <bk>
      <rc t="2" v="12415"/>
    </bk>
    <bk>
      <rc t="2" v="12416"/>
    </bk>
    <bk>
      <rc t="2" v="12417"/>
    </bk>
    <bk>
      <rc t="2" v="12418"/>
    </bk>
    <bk>
      <rc t="2" v="12419"/>
    </bk>
    <bk>
      <rc t="2" v="12420"/>
    </bk>
    <bk>
      <rc t="2" v="12421"/>
    </bk>
    <bk>
      <rc t="2" v="12422"/>
    </bk>
    <bk>
      <rc t="2" v="12423"/>
    </bk>
    <bk>
      <rc t="2" v="12424"/>
    </bk>
    <bk>
      <rc t="2" v="12425"/>
    </bk>
    <bk>
      <rc t="2" v="12426"/>
    </bk>
    <bk>
      <rc t="2" v="12427"/>
    </bk>
    <bk>
      <rc t="2" v="12428"/>
    </bk>
    <bk>
      <rc t="2" v="12429"/>
    </bk>
    <bk>
      <rc t="2" v="12430"/>
    </bk>
    <bk>
      <rc t="2" v="12431"/>
    </bk>
    <bk>
      <rc t="2" v="12432"/>
    </bk>
    <bk>
      <rc t="2" v="12433"/>
    </bk>
    <bk>
      <rc t="2" v="12434"/>
    </bk>
    <bk>
      <rc t="2" v="12435"/>
    </bk>
    <bk>
      <rc t="2" v="12436"/>
    </bk>
    <bk>
      <rc t="2" v="12437"/>
    </bk>
    <bk>
      <rc t="2" v="12438"/>
    </bk>
    <bk>
      <rc t="2" v="12439"/>
    </bk>
    <bk>
      <rc t="2" v="12440"/>
    </bk>
    <bk>
      <rc t="2" v="12441"/>
    </bk>
    <bk>
      <rc t="2" v="12442"/>
    </bk>
    <bk>
      <rc t="2" v="12443"/>
    </bk>
    <bk>
      <rc t="2" v="12444"/>
    </bk>
    <bk>
      <rc t="2" v="12445"/>
    </bk>
    <bk>
      <rc t="2" v="12446"/>
    </bk>
    <bk>
      <rc t="2" v="12447"/>
    </bk>
    <bk>
      <rc t="2" v="12448"/>
    </bk>
    <bk>
      <rc t="2" v="12449"/>
    </bk>
    <bk>
      <rc t="2" v="12450"/>
    </bk>
    <bk>
      <rc t="2" v="12451"/>
    </bk>
    <bk>
      <rc t="2" v="12452"/>
    </bk>
    <bk>
      <rc t="2" v="12453"/>
    </bk>
    <bk>
      <rc t="2" v="12454"/>
    </bk>
    <bk>
      <rc t="2" v="12455"/>
    </bk>
    <bk>
      <rc t="2" v="12456"/>
    </bk>
    <bk>
      <rc t="2" v="12457"/>
    </bk>
    <bk>
      <rc t="2" v="12458"/>
    </bk>
    <bk>
      <rc t="2" v="12459"/>
    </bk>
    <bk>
      <rc t="2" v="12460"/>
    </bk>
    <bk>
      <rc t="2" v="12461"/>
    </bk>
    <bk>
      <rc t="2" v="12462"/>
    </bk>
    <bk>
      <rc t="2" v="12463"/>
    </bk>
    <bk>
      <rc t="2" v="12464"/>
    </bk>
    <bk>
      <rc t="2" v="12465"/>
    </bk>
    <bk>
      <rc t="2" v="12466"/>
    </bk>
    <bk>
      <rc t="2" v="12467"/>
    </bk>
    <bk>
      <rc t="2" v="12468"/>
    </bk>
    <bk>
      <rc t="2" v="12469"/>
    </bk>
    <bk>
      <rc t="2" v="12470"/>
    </bk>
    <bk>
      <rc t="2" v="12471"/>
    </bk>
    <bk>
      <rc t="2" v="12472"/>
    </bk>
    <bk>
      <rc t="2" v="12473"/>
    </bk>
    <bk>
      <rc t="2" v="12474"/>
    </bk>
    <bk>
      <rc t="2" v="12475"/>
    </bk>
    <bk>
      <rc t="2" v="12476"/>
    </bk>
    <bk>
      <rc t="2" v="12477"/>
    </bk>
    <bk>
      <rc t="2" v="12478"/>
    </bk>
    <bk>
      <rc t="2" v="12479"/>
    </bk>
    <bk>
      <rc t="2" v="12480"/>
    </bk>
    <bk>
      <rc t="2" v="12481"/>
    </bk>
    <bk>
      <rc t="2" v="12482"/>
    </bk>
    <bk>
      <rc t="2" v="12483"/>
    </bk>
    <bk>
      <rc t="2" v="12484"/>
    </bk>
    <bk>
      <rc t="2" v="12485"/>
    </bk>
    <bk>
      <rc t="2" v="12486"/>
    </bk>
    <bk>
      <rc t="2" v="12487"/>
    </bk>
    <bk>
      <rc t="2" v="12488"/>
    </bk>
    <bk>
      <rc t="2" v="12489"/>
    </bk>
    <bk>
      <rc t="2" v="12490"/>
    </bk>
    <bk>
      <rc t="2" v="12491"/>
    </bk>
    <bk>
      <rc t="2" v="12492"/>
    </bk>
    <bk>
      <rc t="2" v="12493"/>
    </bk>
    <bk>
      <rc t="2" v="12494"/>
    </bk>
    <bk>
      <rc t="2" v="12495"/>
    </bk>
    <bk>
      <rc t="2" v="12496"/>
    </bk>
    <bk>
      <rc t="2" v="12497"/>
    </bk>
    <bk>
      <rc t="2" v="12498"/>
    </bk>
    <bk>
      <rc t="2" v="12499"/>
    </bk>
    <bk>
      <rc t="2" v="12500"/>
    </bk>
    <bk>
      <rc t="2" v="12501"/>
    </bk>
    <bk>
      <rc t="2" v="12502"/>
    </bk>
    <bk>
      <rc t="2" v="12503"/>
    </bk>
    <bk>
      <rc t="2" v="12504"/>
    </bk>
    <bk>
      <rc t="2" v="12505"/>
    </bk>
    <bk>
      <rc t="2" v="12506"/>
    </bk>
    <bk>
      <rc t="2" v="12507"/>
    </bk>
    <bk>
      <rc t="2" v="12508"/>
    </bk>
    <bk>
      <rc t="2" v="12509"/>
    </bk>
    <bk>
      <rc t="2" v="12510"/>
    </bk>
    <bk>
      <rc t="2" v="12511"/>
    </bk>
    <bk>
      <rc t="2" v="12512"/>
    </bk>
    <bk>
      <rc t="2" v="12513"/>
    </bk>
    <bk>
      <rc t="2" v="12514"/>
    </bk>
    <bk>
      <rc t="2" v="12515"/>
    </bk>
    <bk>
      <rc t="2" v="12516"/>
    </bk>
    <bk>
      <rc t="2" v="12517"/>
    </bk>
    <bk>
      <rc t="2" v="12518"/>
    </bk>
    <bk>
      <rc t="2" v="12519"/>
    </bk>
    <bk>
      <rc t="2" v="12520"/>
    </bk>
    <bk>
      <rc t="2" v="12521"/>
    </bk>
    <bk>
      <rc t="2" v="12522"/>
    </bk>
    <bk>
      <rc t="2" v="12523"/>
    </bk>
    <bk>
      <rc t="2" v="12524"/>
    </bk>
    <bk>
      <rc t="2" v="12525"/>
    </bk>
    <bk>
      <rc t="2" v="12526"/>
    </bk>
    <bk>
      <rc t="2" v="12527"/>
    </bk>
    <bk>
      <rc t="2" v="12528"/>
    </bk>
    <bk>
      <rc t="2" v="12529"/>
    </bk>
    <bk>
      <rc t="2" v="12530"/>
    </bk>
    <bk>
      <rc t="2" v="12531"/>
    </bk>
    <bk>
      <rc t="2" v="12532"/>
    </bk>
    <bk>
      <rc t="2" v="12533"/>
    </bk>
    <bk>
      <rc t="2" v="12534"/>
    </bk>
    <bk>
      <rc t="2" v="12535"/>
    </bk>
    <bk>
      <rc t="2" v="12536"/>
    </bk>
    <bk>
      <rc t="2" v="12537"/>
    </bk>
    <bk>
      <rc t="2" v="12538"/>
    </bk>
    <bk>
      <rc t="2" v="12539"/>
    </bk>
    <bk>
      <rc t="2" v="12540"/>
    </bk>
    <bk>
      <rc t="2" v="12541"/>
    </bk>
    <bk>
      <rc t="2" v="12542"/>
    </bk>
    <bk>
      <rc t="2" v="12543"/>
    </bk>
    <bk>
      <rc t="2" v="12544"/>
    </bk>
    <bk>
      <rc t="2" v="12545"/>
    </bk>
    <bk>
      <rc t="2" v="12546"/>
    </bk>
    <bk>
      <rc t="2" v="12547"/>
    </bk>
    <bk>
      <rc t="2" v="12548"/>
    </bk>
    <bk>
      <rc t="2" v="12549"/>
    </bk>
    <bk>
      <rc t="2" v="12550"/>
    </bk>
    <bk>
      <rc t="2" v="12551"/>
    </bk>
    <bk>
      <rc t="2" v="12552"/>
    </bk>
    <bk>
      <rc t="2" v="12553"/>
    </bk>
    <bk>
      <rc t="2" v="12554"/>
    </bk>
    <bk>
      <rc t="2" v="12555"/>
    </bk>
    <bk>
      <rc t="2" v="12556"/>
    </bk>
    <bk>
      <rc t="2" v="12557"/>
    </bk>
    <bk>
      <rc t="2" v="12558"/>
    </bk>
    <bk>
      <rc t="2" v="12559"/>
    </bk>
    <bk>
      <rc t="2" v="12560"/>
    </bk>
    <bk>
      <rc t="2" v="12561"/>
    </bk>
    <bk>
      <rc t="2" v="12562"/>
    </bk>
    <bk>
      <rc t="2" v="12563"/>
    </bk>
    <bk>
      <rc t="2" v="12564"/>
    </bk>
    <bk>
      <rc t="2" v="12565"/>
    </bk>
    <bk>
      <rc t="2" v="12566"/>
    </bk>
    <bk>
      <rc t="2" v="12567"/>
    </bk>
    <bk>
      <rc t="2" v="12568"/>
    </bk>
    <bk>
      <rc t="2" v="12569"/>
    </bk>
    <bk>
      <rc t="2" v="12570"/>
    </bk>
    <bk>
      <rc t="2" v="12571"/>
    </bk>
    <bk>
      <rc t="2" v="12572"/>
    </bk>
    <bk>
      <rc t="2" v="12573"/>
    </bk>
    <bk>
      <rc t="2" v="12574"/>
    </bk>
    <bk>
      <rc t="2" v="12575"/>
    </bk>
    <bk>
      <rc t="2" v="12576"/>
    </bk>
    <bk>
      <rc t="2" v="12577"/>
    </bk>
    <bk>
      <rc t="2" v="12578"/>
    </bk>
    <bk>
      <rc t="2" v="12579"/>
    </bk>
    <bk>
      <rc t="2" v="12580"/>
    </bk>
    <bk>
      <rc t="2" v="12581"/>
    </bk>
    <bk>
      <rc t="2" v="12582"/>
    </bk>
    <bk>
      <rc t="2" v="12583"/>
    </bk>
    <bk>
      <rc t="2" v="12584"/>
    </bk>
    <bk>
      <rc t="2" v="12585"/>
    </bk>
    <bk>
      <rc t="2" v="12586"/>
    </bk>
    <bk>
      <rc t="2" v="12587"/>
    </bk>
    <bk>
      <rc t="2" v="12588"/>
    </bk>
    <bk>
      <rc t="2" v="12589"/>
    </bk>
    <bk>
      <rc t="2" v="12590"/>
    </bk>
    <bk>
      <rc t="2" v="12591"/>
    </bk>
    <bk>
      <rc t="2" v="12592"/>
    </bk>
    <bk>
      <rc t="2" v="12593"/>
    </bk>
    <bk>
      <rc t="2" v="12594"/>
    </bk>
    <bk>
      <rc t="2" v="12595"/>
    </bk>
    <bk>
      <rc t="2" v="12596"/>
    </bk>
    <bk>
      <rc t="2" v="12597"/>
    </bk>
    <bk>
      <rc t="2" v="12598"/>
    </bk>
    <bk>
      <rc t="2" v="12599"/>
    </bk>
    <bk>
      <rc t="2" v="12600"/>
    </bk>
    <bk>
      <rc t="2" v="12601"/>
    </bk>
    <bk>
      <rc t="2" v="12602"/>
    </bk>
    <bk>
      <rc t="2" v="12603"/>
    </bk>
    <bk>
      <rc t="2" v="12604"/>
    </bk>
    <bk>
      <rc t="2" v="12605"/>
    </bk>
    <bk>
      <rc t="2" v="12606"/>
    </bk>
    <bk>
      <rc t="2" v="12607"/>
    </bk>
    <bk>
      <rc t="2" v="12608"/>
    </bk>
    <bk>
      <rc t="2" v="12609"/>
    </bk>
    <bk>
      <rc t="2" v="12610"/>
    </bk>
    <bk>
      <rc t="2" v="12611"/>
    </bk>
    <bk>
      <rc t="2" v="12612"/>
    </bk>
    <bk>
      <rc t="2" v="12613"/>
    </bk>
    <bk>
      <rc t="2" v="12614"/>
    </bk>
    <bk>
      <rc t="2" v="12615"/>
    </bk>
    <bk>
      <rc t="2" v="12616"/>
    </bk>
    <bk>
      <rc t="2" v="12617"/>
    </bk>
    <bk>
      <rc t="2" v="12618"/>
    </bk>
    <bk>
      <rc t="2" v="12619"/>
    </bk>
    <bk>
      <rc t="2" v="12620"/>
    </bk>
    <bk>
      <rc t="2" v="12621"/>
    </bk>
    <bk>
      <rc t="2" v="12622"/>
    </bk>
    <bk>
      <rc t="2" v="12623"/>
    </bk>
    <bk>
      <rc t="2" v="12624"/>
    </bk>
    <bk>
      <rc t="2" v="12625"/>
    </bk>
    <bk>
      <rc t="2" v="12626"/>
    </bk>
    <bk>
      <rc t="2" v="12627"/>
    </bk>
    <bk>
      <rc t="2" v="12628"/>
    </bk>
    <bk>
      <rc t="2" v="12629"/>
    </bk>
    <bk>
      <rc t="2" v="12630"/>
    </bk>
    <bk>
      <rc t="2" v="12631"/>
    </bk>
    <bk>
      <rc t="2" v="12632"/>
    </bk>
    <bk>
      <rc t="2" v="12633"/>
    </bk>
    <bk>
      <rc t="2" v="12634"/>
    </bk>
    <bk>
      <rc t="2" v="12635"/>
    </bk>
    <bk>
      <rc t="2" v="12636"/>
    </bk>
    <bk>
      <rc t="2" v="12637"/>
    </bk>
    <bk>
      <rc t="2" v="12638"/>
    </bk>
    <bk>
      <rc t="2" v="12639"/>
    </bk>
    <bk>
      <rc t="2" v="12640"/>
    </bk>
    <bk>
      <rc t="2" v="12641"/>
    </bk>
    <bk>
      <rc t="2" v="12642"/>
    </bk>
    <bk>
      <rc t="2" v="12643"/>
    </bk>
    <bk>
      <rc t="2" v="12644"/>
    </bk>
    <bk>
      <rc t="2" v="12645"/>
    </bk>
    <bk>
      <rc t="2" v="12646"/>
    </bk>
    <bk>
      <rc t="2" v="12647"/>
    </bk>
    <bk>
      <rc t="2" v="12648"/>
    </bk>
    <bk>
      <rc t="2" v="12649"/>
    </bk>
    <bk>
      <rc t="2" v="12650"/>
    </bk>
    <bk>
      <rc t="2" v="12651"/>
    </bk>
    <bk>
      <rc t="2" v="12652"/>
    </bk>
    <bk>
      <rc t="2" v="12653"/>
    </bk>
    <bk>
      <rc t="2" v="12654"/>
    </bk>
    <bk>
      <rc t="2" v="12655"/>
    </bk>
    <bk>
      <rc t="2" v="12656"/>
    </bk>
    <bk>
      <rc t="2" v="12657"/>
    </bk>
    <bk>
      <rc t="2" v="12658"/>
    </bk>
    <bk>
      <rc t="2" v="12659"/>
    </bk>
    <bk>
      <rc t="2" v="12660"/>
    </bk>
    <bk>
      <rc t="2" v="12661"/>
    </bk>
    <bk>
      <rc t="2" v="12662"/>
    </bk>
    <bk>
      <rc t="2" v="12663"/>
    </bk>
    <bk>
      <rc t="2" v="12664"/>
    </bk>
    <bk>
      <rc t="2" v="12665"/>
    </bk>
    <bk>
      <rc t="2" v="12666"/>
    </bk>
    <bk>
      <rc t="2" v="12667"/>
    </bk>
    <bk>
      <rc t="2" v="12668"/>
    </bk>
    <bk>
      <rc t="2" v="12669"/>
    </bk>
    <bk>
      <rc t="2" v="12670"/>
    </bk>
    <bk>
      <rc t="2" v="12671"/>
    </bk>
    <bk>
      <rc t="2" v="12672"/>
    </bk>
    <bk>
      <rc t="2" v="12673"/>
    </bk>
    <bk>
      <rc t="2" v="12674"/>
    </bk>
    <bk>
      <rc t="2" v="12675"/>
    </bk>
    <bk>
      <rc t="2" v="12676"/>
    </bk>
    <bk>
      <rc t="2" v="12677"/>
    </bk>
    <bk>
      <rc t="2" v="12678"/>
    </bk>
    <bk>
      <rc t="2" v="12679"/>
    </bk>
    <bk>
      <rc t="2" v="12680"/>
    </bk>
    <bk>
      <rc t="2" v="12681"/>
    </bk>
    <bk>
      <rc t="2" v="12682"/>
    </bk>
    <bk>
      <rc t="2" v="12683"/>
    </bk>
    <bk>
      <rc t="2" v="12684"/>
    </bk>
    <bk>
      <rc t="2" v="12685"/>
    </bk>
    <bk>
      <rc t="2" v="12686"/>
    </bk>
    <bk>
      <rc t="2" v="12687"/>
    </bk>
    <bk>
      <rc t="2" v="12688"/>
    </bk>
    <bk>
      <rc t="2" v="12689"/>
    </bk>
    <bk>
      <rc t="2" v="12690"/>
    </bk>
    <bk>
      <rc t="2" v="12691"/>
    </bk>
    <bk>
      <rc t="2" v="12692"/>
    </bk>
    <bk>
      <rc t="2" v="12693"/>
    </bk>
    <bk>
      <rc t="2" v="12694"/>
    </bk>
    <bk>
      <rc t="2" v="12695"/>
    </bk>
    <bk>
      <rc t="2" v="12696"/>
    </bk>
    <bk>
      <rc t="2" v="12697"/>
    </bk>
    <bk>
      <rc t="2" v="12698"/>
    </bk>
    <bk>
      <rc t="2" v="12699"/>
    </bk>
    <bk>
      <rc t="2" v="12700"/>
    </bk>
    <bk>
      <rc t="2" v="12701"/>
    </bk>
    <bk>
      <rc t="2" v="12702"/>
    </bk>
    <bk>
      <rc t="2" v="12703"/>
    </bk>
    <bk>
      <rc t="2" v="12704"/>
    </bk>
    <bk>
      <rc t="2" v="12705"/>
    </bk>
    <bk>
      <rc t="2" v="12706"/>
    </bk>
    <bk>
      <rc t="2" v="12707"/>
    </bk>
    <bk>
      <rc t="2" v="12708"/>
    </bk>
    <bk>
      <rc t="2" v="12709"/>
    </bk>
    <bk>
      <rc t="2" v="12710"/>
    </bk>
    <bk>
      <rc t="2" v="12711"/>
    </bk>
    <bk>
      <rc t="2" v="12712"/>
    </bk>
    <bk>
      <rc t="2" v="12713"/>
    </bk>
    <bk>
      <rc t="2" v="12714"/>
    </bk>
    <bk>
      <rc t="2" v="12715"/>
    </bk>
    <bk>
      <rc t="2" v="12716"/>
    </bk>
    <bk>
      <rc t="2" v="12717"/>
    </bk>
    <bk>
      <rc t="2" v="12718"/>
    </bk>
    <bk>
      <rc t="2" v="12719"/>
    </bk>
    <bk>
      <rc t="2" v="12720"/>
    </bk>
    <bk>
      <rc t="2" v="12721"/>
    </bk>
    <bk>
      <rc t="2" v="12722"/>
    </bk>
    <bk>
      <rc t="2" v="12723"/>
    </bk>
    <bk>
      <rc t="2" v="12724"/>
    </bk>
    <bk>
      <rc t="2" v="12725"/>
    </bk>
    <bk>
      <rc t="2" v="12726"/>
    </bk>
    <bk>
      <rc t="2" v="12727"/>
    </bk>
    <bk>
      <rc t="2" v="12728"/>
    </bk>
    <bk>
      <rc t="2" v="12729"/>
    </bk>
    <bk>
      <rc t="2" v="12730"/>
    </bk>
    <bk>
      <rc t="2" v="12731"/>
    </bk>
    <bk>
      <rc t="2" v="12732"/>
    </bk>
    <bk>
      <rc t="2" v="12733"/>
    </bk>
    <bk>
      <rc t="2" v="12734"/>
    </bk>
    <bk>
      <rc t="2" v="12735"/>
    </bk>
    <bk>
      <rc t="2" v="12736"/>
    </bk>
    <bk>
      <rc t="2" v="12737"/>
    </bk>
    <bk>
      <rc t="2" v="12738"/>
    </bk>
    <bk>
      <rc t="2" v="12739"/>
    </bk>
    <bk>
      <rc t="2" v="12740"/>
    </bk>
    <bk>
      <rc t="2" v="12741"/>
    </bk>
    <bk>
      <rc t="2" v="12742"/>
    </bk>
    <bk>
      <rc t="2" v="12743"/>
    </bk>
    <bk>
      <rc t="2" v="12744"/>
    </bk>
    <bk>
      <rc t="2" v="12745"/>
    </bk>
    <bk>
      <rc t="2" v="12746"/>
    </bk>
    <bk>
      <rc t="2" v="12747"/>
    </bk>
    <bk>
      <rc t="2" v="12748"/>
    </bk>
    <bk>
      <rc t="2" v="12749"/>
    </bk>
    <bk>
      <rc t="2" v="12750"/>
    </bk>
    <bk>
      <rc t="2" v="12751"/>
    </bk>
    <bk>
      <rc t="2" v="12752"/>
    </bk>
    <bk>
      <rc t="2" v="12753"/>
    </bk>
    <bk>
      <rc t="2" v="12754"/>
    </bk>
    <bk>
      <rc t="2" v="12755"/>
    </bk>
    <bk>
      <rc t="2" v="12756"/>
    </bk>
    <bk>
      <rc t="2" v="12757"/>
    </bk>
    <bk>
      <rc t="2" v="12758"/>
    </bk>
    <bk>
      <rc t="2" v="12759"/>
    </bk>
    <bk>
      <rc t="2" v="12760"/>
    </bk>
    <bk>
      <rc t="2" v="12761"/>
    </bk>
    <bk>
      <rc t="2" v="12762"/>
    </bk>
    <bk>
      <rc t="2" v="12763"/>
    </bk>
    <bk>
      <rc t="2" v="12764"/>
    </bk>
    <bk>
      <rc t="2" v="12765"/>
    </bk>
    <bk>
      <rc t="2" v="12766"/>
    </bk>
    <bk>
      <rc t="2" v="12767"/>
    </bk>
    <bk>
      <rc t="2" v="12768"/>
    </bk>
    <bk>
      <rc t="2" v="12769"/>
    </bk>
    <bk>
      <rc t="2" v="12770"/>
    </bk>
    <bk>
      <rc t="2" v="12771"/>
    </bk>
    <bk>
      <rc t="2" v="12772"/>
    </bk>
    <bk>
      <rc t="2" v="12773"/>
    </bk>
    <bk>
      <rc t="2" v="12774"/>
    </bk>
    <bk>
      <rc t="2" v="12775"/>
    </bk>
    <bk>
      <rc t="2" v="12776"/>
    </bk>
    <bk>
      <rc t="2" v="12777"/>
    </bk>
    <bk>
      <rc t="2" v="12778"/>
    </bk>
    <bk>
      <rc t="2" v="12779"/>
    </bk>
    <bk>
      <rc t="2" v="12780"/>
    </bk>
    <bk>
      <rc t="2" v="12781"/>
    </bk>
    <bk>
      <rc t="2" v="12782"/>
    </bk>
    <bk>
      <rc t="2" v="12783"/>
    </bk>
    <bk>
      <rc t="2" v="12784"/>
    </bk>
    <bk>
      <rc t="2" v="12785"/>
    </bk>
    <bk>
      <rc t="2" v="12786"/>
    </bk>
    <bk>
      <rc t="2" v="12787"/>
    </bk>
    <bk>
      <rc t="2" v="12788"/>
    </bk>
    <bk>
      <rc t="2" v="12789"/>
    </bk>
    <bk>
      <rc t="2" v="12790"/>
    </bk>
    <bk>
      <rc t="2" v="12791"/>
    </bk>
    <bk>
      <rc t="2" v="12792"/>
    </bk>
    <bk>
      <rc t="2" v="12793"/>
    </bk>
    <bk>
      <rc t="2" v="12794"/>
    </bk>
    <bk>
      <rc t="2" v="12795"/>
    </bk>
    <bk>
      <rc t="2" v="12796"/>
    </bk>
    <bk>
      <rc t="2" v="12797"/>
    </bk>
    <bk>
      <rc t="2" v="12798"/>
    </bk>
    <bk>
      <rc t="2" v="12799"/>
    </bk>
    <bk>
      <rc t="2" v="12800"/>
    </bk>
    <bk>
      <rc t="2" v="12801"/>
    </bk>
    <bk>
      <rc t="2" v="12802"/>
    </bk>
    <bk>
      <rc t="2" v="12803"/>
    </bk>
    <bk>
      <rc t="2" v="12804"/>
    </bk>
    <bk>
      <rc t="2" v="12805"/>
    </bk>
    <bk>
      <rc t="2" v="12806"/>
    </bk>
    <bk>
      <rc t="2" v="12807"/>
    </bk>
    <bk>
      <rc t="2" v="12808"/>
    </bk>
    <bk>
      <rc t="2" v="12809"/>
    </bk>
    <bk>
      <rc t="2" v="12810"/>
    </bk>
    <bk>
      <rc t="2" v="12811"/>
    </bk>
    <bk>
      <rc t="2" v="12812"/>
    </bk>
    <bk>
      <rc t="2" v="12813"/>
    </bk>
    <bk>
      <rc t="2" v="12814"/>
    </bk>
    <bk>
      <rc t="2" v="12815"/>
    </bk>
    <bk>
      <rc t="2" v="12816"/>
    </bk>
    <bk>
      <rc t="2" v="12817"/>
    </bk>
    <bk>
      <rc t="2" v="12818"/>
    </bk>
    <bk>
      <rc t="2" v="12819"/>
    </bk>
    <bk>
      <rc t="2" v="12820"/>
    </bk>
    <bk>
      <rc t="2" v="12821"/>
    </bk>
    <bk>
      <rc t="2" v="12822"/>
    </bk>
    <bk>
      <rc t="2" v="12823"/>
    </bk>
    <bk>
      <rc t="2" v="12824"/>
    </bk>
    <bk>
      <rc t="2" v="12825"/>
    </bk>
    <bk>
      <rc t="2" v="12826"/>
    </bk>
    <bk>
      <rc t="2" v="12827"/>
    </bk>
    <bk>
      <rc t="2" v="12828"/>
    </bk>
    <bk>
      <rc t="2" v="12829"/>
    </bk>
    <bk>
      <rc t="2" v="12830"/>
    </bk>
    <bk>
      <rc t="2" v="12831"/>
    </bk>
    <bk>
      <rc t="2" v="12832"/>
    </bk>
    <bk>
      <rc t="2" v="12833"/>
    </bk>
    <bk>
      <rc t="2" v="12834"/>
    </bk>
    <bk>
      <rc t="2" v="12835"/>
    </bk>
    <bk>
      <rc t="2" v="12836"/>
    </bk>
    <bk>
      <rc t="2" v="12837"/>
    </bk>
    <bk>
      <rc t="2" v="12838"/>
    </bk>
    <bk>
      <rc t="2" v="12839"/>
    </bk>
    <bk>
      <rc t="2" v="12840"/>
    </bk>
    <bk>
      <rc t="2" v="12841"/>
    </bk>
    <bk>
      <rc t="2" v="12842"/>
    </bk>
    <bk>
      <rc t="2" v="12843"/>
    </bk>
    <bk>
      <rc t="2" v="12844"/>
    </bk>
    <bk>
      <rc t="2" v="12845"/>
    </bk>
    <bk>
      <rc t="2" v="12846"/>
    </bk>
    <bk>
      <rc t="2" v="12847"/>
    </bk>
    <bk>
      <rc t="2" v="12848"/>
    </bk>
    <bk>
      <rc t="2" v="12849"/>
    </bk>
    <bk>
      <rc t="2" v="12850"/>
    </bk>
    <bk>
      <rc t="2" v="12851"/>
    </bk>
    <bk>
      <rc t="2" v="12852"/>
    </bk>
    <bk>
      <rc t="2" v="12853"/>
    </bk>
    <bk>
      <rc t="2" v="12854"/>
    </bk>
    <bk>
      <rc t="2" v="12855"/>
    </bk>
    <bk>
      <rc t="2" v="12856"/>
    </bk>
    <bk>
      <rc t="2" v="12857"/>
    </bk>
    <bk>
      <rc t="2" v="12858"/>
    </bk>
    <bk>
      <rc t="2" v="12859"/>
    </bk>
    <bk>
      <rc t="2" v="12860"/>
    </bk>
    <bk>
      <rc t="2" v="12861"/>
    </bk>
    <bk>
      <rc t="2" v="12862"/>
    </bk>
    <bk>
      <rc t="2" v="12863"/>
    </bk>
    <bk>
      <rc t="2" v="12864"/>
    </bk>
    <bk>
      <rc t="2" v="12865"/>
    </bk>
    <bk>
      <rc t="2" v="12866"/>
    </bk>
    <bk>
      <rc t="2" v="12867"/>
    </bk>
    <bk>
      <rc t="2" v="12868"/>
    </bk>
    <bk>
      <rc t="2" v="12869"/>
    </bk>
    <bk>
      <rc t="2" v="12870"/>
    </bk>
    <bk>
      <rc t="2" v="12871"/>
    </bk>
    <bk>
      <rc t="2" v="12872"/>
    </bk>
    <bk>
      <rc t="2" v="12873"/>
    </bk>
    <bk>
      <rc t="2" v="12874"/>
    </bk>
    <bk>
      <rc t="2" v="12875"/>
    </bk>
    <bk>
      <rc t="2" v="12876"/>
    </bk>
    <bk>
      <rc t="2" v="12877"/>
    </bk>
    <bk>
      <rc t="2" v="12878"/>
    </bk>
    <bk>
      <rc t="2" v="12879"/>
    </bk>
    <bk>
      <rc t="2" v="12880"/>
    </bk>
    <bk>
      <rc t="2" v="12881"/>
    </bk>
    <bk>
      <rc t="2" v="12882"/>
    </bk>
    <bk>
      <rc t="2" v="12883"/>
    </bk>
    <bk>
      <rc t="2" v="12884"/>
    </bk>
    <bk>
      <rc t="2" v="12885"/>
    </bk>
    <bk>
      <rc t="2" v="12886"/>
    </bk>
    <bk>
      <rc t="2" v="12887"/>
    </bk>
    <bk>
      <rc t="2" v="12888"/>
    </bk>
    <bk>
      <rc t="2" v="12889"/>
    </bk>
    <bk>
      <rc t="2" v="12890"/>
    </bk>
    <bk>
      <rc t="2" v="12891"/>
    </bk>
    <bk>
      <rc t="2" v="12892"/>
    </bk>
    <bk>
      <rc t="2" v="12893"/>
    </bk>
    <bk>
      <rc t="2" v="12894"/>
    </bk>
    <bk>
      <rc t="2" v="12895"/>
    </bk>
    <bk>
      <rc t="2" v="12896"/>
    </bk>
    <bk>
      <rc t="2" v="12897"/>
    </bk>
    <bk>
      <rc t="2" v="12898"/>
    </bk>
    <bk>
      <rc t="2" v="12899"/>
    </bk>
    <bk>
      <rc t="2" v="12900"/>
    </bk>
    <bk>
      <rc t="2" v="12901"/>
    </bk>
    <bk>
      <rc t="2" v="12902"/>
    </bk>
    <bk>
      <rc t="2" v="12903"/>
    </bk>
    <bk>
      <rc t="2" v="12904"/>
    </bk>
    <bk>
      <rc t="2" v="12905"/>
    </bk>
    <bk>
      <rc t="2" v="12906"/>
    </bk>
    <bk>
      <rc t="2" v="12907"/>
    </bk>
    <bk>
      <rc t="2" v="12908"/>
    </bk>
    <bk>
      <rc t="2" v="12909"/>
    </bk>
    <bk>
      <rc t="2" v="12910"/>
    </bk>
    <bk>
      <rc t="2" v="12911"/>
    </bk>
    <bk>
      <rc t="2" v="12912"/>
    </bk>
    <bk>
      <rc t="2" v="12913"/>
    </bk>
    <bk>
      <rc t="2" v="12914"/>
    </bk>
    <bk>
      <rc t="2" v="12915"/>
    </bk>
    <bk>
      <rc t="2" v="12916"/>
    </bk>
    <bk>
      <rc t="2" v="12917"/>
    </bk>
    <bk>
      <rc t="2" v="12918"/>
    </bk>
    <bk>
      <rc t="2" v="12919"/>
    </bk>
    <bk>
      <rc t="2" v="12920"/>
    </bk>
    <bk>
      <rc t="2" v="12921"/>
    </bk>
    <bk>
      <rc t="2" v="12922"/>
    </bk>
    <bk>
      <rc t="2" v="12923"/>
    </bk>
    <bk>
      <rc t="2" v="12924"/>
    </bk>
    <bk>
      <rc t="2" v="12925"/>
    </bk>
    <bk>
      <rc t="2" v="12926"/>
    </bk>
    <bk>
      <rc t="2" v="12927"/>
    </bk>
    <bk>
      <rc t="2" v="12928"/>
    </bk>
    <bk>
      <rc t="2" v="12929"/>
    </bk>
    <bk>
      <rc t="2" v="12930"/>
    </bk>
    <bk>
      <rc t="2" v="12931"/>
    </bk>
    <bk>
      <rc t="2" v="12932"/>
    </bk>
    <bk>
      <rc t="2" v="12933"/>
    </bk>
    <bk>
      <rc t="2" v="12934"/>
    </bk>
    <bk>
      <rc t="2" v="12935"/>
    </bk>
    <bk>
      <rc t="2" v="12936"/>
    </bk>
    <bk>
      <rc t="2" v="12937"/>
    </bk>
    <bk>
      <rc t="2" v="12938"/>
    </bk>
    <bk>
      <rc t="2" v="12939"/>
    </bk>
    <bk>
      <rc t="2" v="12940"/>
    </bk>
    <bk>
      <rc t="2" v="12941"/>
    </bk>
    <bk>
      <rc t="2" v="12942"/>
    </bk>
    <bk>
      <rc t="2" v="12943"/>
    </bk>
    <bk>
      <rc t="2" v="12944"/>
    </bk>
    <bk>
      <rc t="2" v="12945"/>
    </bk>
    <bk>
      <rc t="2" v="12946"/>
    </bk>
    <bk>
      <rc t="2" v="12947"/>
    </bk>
    <bk>
      <rc t="2" v="12948"/>
    </bk>
    <bk>
      <rc t="2" v="12949"/>
    </bk>
    <bk>
      <rc t="2" v="12950"/>
    </bk>
    <bk>
      <rc t="2" v="12951"/>
    </bk>
    <bk>
      <rc t="2" v="12952"/>
    </bk>
    <bk>
      <rc t="2" v="12953"/>
    </bk>
    <bk>
      <rc t="2" v="12954"/>
    </bk>
    <bk>
      <rc t="2" v="12955"/>
    </bk>
    <bk>
      <rc t="2" v="12956"/>
    </bk>
    <bk>
      <rc t="2" v="12957"/>
    </bk>
    <bk>
      <rc t="2" v="12958"/>
    </bk>
    <bk>
      <rc t="2" v="12959"/>
    </bk>
    <bk>
      <rc t="2" v="12960"/>
    </bk>
    <bk>
      <rc t="2" v="12961"/>
    </bk>
    <bk>
      <rc t="2" v="12962"/>
    </bk>
    <bk>
      <rc t="2" v="12963"/>
    </bk>
    <bk>
      <rc t="2" v="12964"/>
    </bk>
    <bk>
      <rc t="2" v="12965"/>
    </bk>
    <bk>
      <rc t="2" v="12966"/>
    </bk>
    <bk>
      <rc t="2" v="12967"/>
    </bk>
    <bk>
      <rc t="2" v="12968"/>
    </bk>
    <bk>
      <rc t="2" v="12969"/>
    </bk>
    <bk>
      <rc t="2" v="12970"/>
    </bk>
    <bk>
      <rc t="2" v="12971"/>
    </bk>
    <bk>
      <rc t="2" v="12972"/>
    </bk>
    <bk>
      <rc t="2" v="12973"/>
    </bk>
    <bk>
      <rc t="2" v="12974"/>
    </bk>
    <bk>
      <rc t="2" v="12975"/>
    </bk>
    <bk>
      <rc t="2" v="12976"/>
    </bk>
    <bk>
      <rc t="2" v="12977"/>
    </bk>
    <bk>
      <rc t="2" v="12978"/>
    </bk>
    <bk>
      <rc t="2" v="12979"/>
    </bk>
    <bk>
      <rc t="2" v="12980"/>
    </bk>
    <bk>
      <rc t="2" v="12981"/>
    </bk>
    <bk>
      <rc t="2" v="12982"/>
    </bk>
    <bk>
      <rc t="2" v="12983"/>
    </bk>
    <bk>
      <rc t="2" v="12984"/>
    </bk>
    <bk>
      <rc t="2" v="12985"/>
    </bk>
    <bk>
      <rc t="2" v="12986"/>
    </bk>
    <bk>
      <rc t="2" v="12987"/>
    </bk>
    <bk>
      <rc t="2" v="12988"/>
    </bk>
    <bk>
      <rc t="2" v="12989"/>
    </bk>
    <bk>
      <rc t="2" v="12990"/>
    </bk>
    <bk>
      <rc t="2" v="12991"/>
    </bk>
    <bk>
      <rc t="2" v="12992"/>
    </bk>
    <bk>
      <rc t="2" v="12993"/>
    </bk>
    <bk>
      <rc t="2" v="12994"/>
    </bk>
    <bk>
      <rc t="2" v="12995"/>
    </bk>
    <bk>
      <rc t="2" v="12996"/>
    </bk>
    <bk>
      <rc t="2" v="12997"/>
    </bk>
    <bk>
      <rc t="2" v="12998"/>
    </bk>
    <bk>
      <rc t="2" v="12999"/>
    </bk>
    <bk>
      <rc t="2" v="13000"/>
    </bk>
    <bk>
      <rc t="2" v="13001"/>
    </bk>
    <bk>
      <rc t="2" v="13002"/>
    </bk>
    <bk>
      <rc t="2" v="13003"/>
    </bk>
    <bk>
      <rc t="2" v="13004"/>
    </bk>
    <bk>
      <rc t="2" v="13005"/>
    </bk>
    <bk>
      <rc t="2" v="13006"/>
    </bk>
    <bk>
      <rc t="2" v="13007"/>
    </bk>
    <bk>
      <rc t="2" v="13008"/>
    </bk>
    <bk>
      <rc t="2" v="13009"/>
    </bk>
    <bk>
      <rc t="2" v="13010"/>
    </bk>
    <bk>
      <rc t="2" v="13011"/>
    </bk>
    <bk>
      <rc t="2" v="13012"/>
    </bk>
    <bk>
      <rc t="2" v="13013"/>
    </bk>
    <bk>
      <rc t="2" v="13014"/>
    </bk>
    <bk>
      <rc t="2" v="13015"/>
    </bk>
    <bk>
      <rc t="2" v="13016"/>
    </bk>
    <bk>
      <rc t="2" v="13017"/>
    </bk>
    <bk>
      <rc t="2" v="13018"/>
    </bk>
    <bk>
      <rc t="2" v="13019"/>
    </bk>
    <bk>
      <rc t="2" v="13020"/>
    </bk>
    <bk>
      <rc t="2" v="13021"/>
    </bk>
    <bk>
      <rc t="2" v="13022"/>
    </bk>
    <bk>
      <rc t="2" v="13023"/>
    </bk>
    <bk>
      <rc t="2" v="13024"/>
    </bk>
    <bk>
      <rc t="2" v="13025"/>
    </bk>
    <bk>
      <rc t="2" v="13026"/>
    </bk>
    <bk>
      <rc t="2" v="13027"/>
    </bk>
    <bk>
      <rc t="2" v="13028"/>
    </bk>
    <bk>
      <rc t="2" v="13029"/>
    </bk>
    <bk>
      <rc t="2" v="13030"/>
    </bk>
    <bk>
      <rc t="2" v="13031"/>
    </bk>
    <bk>
      <rc t="2" v="13032"/>
    </bk>
    <bk>
      <rc t="2" v="13033"/>
    </bk>
    <bk>
      <rc t="2" v="13034"/>
    </bk>
    <bk>
      <rc t="2" v="13035"/>
    </bk>
    <bk>
      <rc t="2" v="13036"/>
    </bk>
    <bk>
      <rc t="2" v="13037"/>
    </bk>
    <bk>
      <rc t="2" v="13038"/>
    </bk>
    <bk>
      <rc t="2" v="13039"/>
    </bk>
    <bk>
      <rc t="2" v="13040"/>
    </bk>
    <bk>
      <rc t="2" v="13041"/>
    </bk>
    <bk>
      <rc t="2" v="13042"/>
    </bk>
    <bk>
      <rc t="2" v="13043"/>
    </bk>
    <bk>
      <rc t="2" v="13044"/>
    </bk>
    <bk>
      <rc t="2" v="13045"/>
    </bk>
    <bk>
      <rc t="2" v="13046"/>
    </bk>
    <bk>
      <rc t="2" v="13047"/>
    </bk>
    <bk>
      <rc t="2" v="13048"/>
    </bk>
    <bk>
      <rc t="2" v="13049"/>
    </bk>
    <bk>
      <rc t="2" v="13050"/>
    </bk>
    <bk>
      <rc t="2" v="13051"/>
    </bk>
    <bk>
      <rc t="2" v="13052"/>
    </bk>
    <bk>
      <rc t="2" v="13053"/>
    </bk>
    <bk>
      <rc t="2" v="13054"/>
    </bk>
    <bk>
      <rc t="2" v="13055"/>
    </bk>
    <bk>
      <rc t="2" v="13056"/>
    </bk>
    <bk>
      <rc t="2" v="13057"/>
    </bk>
    <bk>
      <rc t="2" v="13058"/>
    </bk>
    <bk>
      <rc t="2" v="13059"/>
    </bk>
    <bk>
      <rc t="2" v="13060"/>
    </bk>
    <bk>
      <rc t="2" v="13061"/>
    </bk>
    <bk>
      <rc t="2" v="13062"/>
    </bk>
    <bk>
      <rc t="2" v="13063"/>
    </bk>
    <bk>
      <rc t="2" v="13064"/>
    </bk>
    <bk>
      <rc t="2" v="13065"/>
    </bk>
    <bk>
      <rc t="2" v="13066"/>
    </bk>
    <bk>
      <rc t="2" v="13067"/>
    </bk>
    <bk>
      <rc t="2" v="13068"/>
    </bk>
    <bk>
      <rc t="2" v="13069"/>
    </bk>
    <bk>
      <rc t="2" v="13070"/>
    </bk>
    <bk>
      <rc t="2" v="13071"/>
    </bk>
    <bk>
      <rc t="2" v="13072"/>
    </bk>
    <bk>
      <rc t="2" v="13073"/>
    </bk>
    <bk>
      <rc t="2" v="13074"/>
    </bk>
    <bk>
      <rc t="2" v="13075"/>
    </bk>
    <bk>
      <rc t="2" v="13076"/>
    </bk>
    <bk>
      <rc t="2" v="13077"/>
    </bk>
    <bk>
      <rc t="2" v="13078"/>
    </bk>
    <bk>
      <rc t="2" v="13079"/>
    </bk>
    <bk>
      <rc t="2" v="13080"/>
    </bk>
    <bk>
      <rc t="2" v="13081"/>
    </bk>
    <bk>
      <rc t="2" v="13082"/>
    </bk>
    <bk>
      <rc t="2" v="13083"/>
    </bk>
    <bk>
      <rc t="2" v="13084"/>
    </bk>
    <bk>
      <rc t="2" v="13085"/>
    </bk>
    <bk>
      <rc t="2" v="13086"/>
    </bk>
    <bk>
      <rc t="2" v="13087"/>
    </bk>
    <bk>
      <rc t="2" v="13088"/>
    </bk>
    <bk>
      <rc t="2" v="13089"/>
    </bk>
    <bk>
      <rc t="2" v="13090"/>
    </bk>
    <bk>
      <rc t="2" v="13091"/>
    </bk>
    <bk>
      <rc t="2" v="13092"/>
    </bk>
    <bk>
      <rc t="2" v="13093"/>
    </bk>
    <bk>
      <rc t="2" v="13094"/>
    </bk>
    <bk>
      <rc t="2" v="13095"/>
    </bk>
    <bk>
      <rc t="2" v="13096"/>
    </bk>
    <bk>
      <rc t="2" v="13097"/>
    </bk>
    <bk>
      <rc t="2" v="13098"/>
    </bk>
    <bk>
      <rc t="2" v="13099"/>
    </bk>
    <bk>
      <rc t="2" v="13100"/>
    </bk>
    <bk>
      <rc t="2" v="13101"/>
    </bk>
    <bk>
      <rc t="2" v="13102"/>
    </bk>
    <bk>
      <rc t="2" v="13103"/>
    </bk>
    <bk>
      <rc t="2" v="13104"/>
    </bk>
    <bk>
      <rc t="2" v="13105"/>
    </bk>
    <bk>
      <rc t="2" v="13106"/>
    </bk>
    <bk>
      <rc t="2" v="13107"/>
    </bk>
    <bk>
      <rc t="2" v="13108"/>
    </bk>
    <bk>
      <rc t="2" v="13109"/>
    </bk>
    <bk>
      <rc t="2" v="13110"/>
    </bk>
    <bk>
      <rc t="2" v="13111"/>
    </bk>
    <bk>
      <rc t="2" v="13112"/>
    </bk>
    <bk>
      <rc t="2" v="13113"/>
    </bk>
    <bk>
      <rc t="2" v="13114"/>
    </bk>
    <bk>
      <rc t="2" v="13115"/>
    </bk>
    <bk>
      <rc t="2" v="13116"/>
    </bk>
    <bk>
      <rc t="2" v="13117"/>
    </bk>
    <bk>
      <rc t="2" v="13118"/>
    </bk>
    <bk>
      <rc t="2" v="13119"/>
    </bk>
    <bk>
      <rc t="2" v="13120"/>
    </bk>
    <bk>
      <rc t="2" v="13121"/>
    </bk>
    <bk>
      <rc t="2" v="13122"/>
    </bk>
    <bk>
      <rc t="2" v="13123"/>
    </bk>
    <bk>
      <rc t="2" v="13124"/>
    </bk>
    <bk>
      <rc t="2" v="13125"/>
    </bk>
    <bk>
      <rc t="2" v="13126"/>
    </bk>
    <bk>
      <rc t="2" v="13127"/>
    </bk>
    <bk>
      <rc t="2" v="13128"/>
    </bk>
    <bk>
      <rc t="2" v="13129"/>
    </bk>
    <bk>
      <rc t="2" v="13130"/>
    </bk>
    <bk>
      <rc t="2" v="13131"/>
    </bk>
    <bk>
      <rc t="2" v="13132"/>
    </bk>
    <bk>
      <rc t="2" v="13133"/>
    </bk>
    <bk>
      <rc t="2" v="13134"/>
    </bk>
    <bk>
      <rc t="2" v="13135"/>
    </bk>
    <bk>
      <rc t="2" v="13136"/>
    </bk>
    <bk>
      <rc t="2" v="13137"/>
    </bk>
    <bk>
      <rc t="2" v="13138"/>
    </bk>
    <bk>
      <rc t="2" v="13139"/>
    </bk>
    <bk>
      <rc t="2" v="13140"/>
    </bk>
    <bk>
      <rc t="2" v="13141"/>
    </bk>
    <bk>
      <rc t="2" v="13142"/>
    </bk>
    <bk>
      <rc t="2" v="13143"/>
    </bk>
    <bk>
      <rc t="2" v="13144"/>
    </bk>
    <bk>
      <rc t="2" v="13145"/>
    </bk>
    <bk>
      <rc t="2" v="13146"/>
    </bk>
    <bk>
      <rc t="2" v="13147"/>
    </bk>
    <bk>
      <rc t="2" v="13148"/>
    </bk>
    <bk>
      <rc t="2" v="13149"/>
    </bk>
    <bk>
      <rc t="2" v="13150"/>
    </bk>
    <bk>
      <rc t="2" v="13151"/>
    </bk>
    <bk>
      <rc t="2" v="13152"/>
    </bk>
    <bk>
      <rc t="2" v="13153"/>
    </bk>
    <bk>
      <rc t="2" v="13154"/>
    </bk>
    <bk>
      <rc t="2" v="13155"/>
    </bk>
    <bk>
      <rc t="2" v="13156"/>
    </bk>
    <bk>
      <rc t="2" v="13157"/>
    </bk>
    <bk>
      <rc t="2" v="13158"/>
    </bk>
    <bk>
      <rc t="2" v="13159"/>
    </bk>
    <bk>
      <rc t="2" v="13160"/>
    </bk>
    <bk>
      <rc t="2" v="13161"/>
    </bk>
    <bk>
      <rc t="2" v="13162"/>
    </bk>
    <bk>
      <rc t="2" v="13163"/>
    </bk>
    <bk>
      <rc t="2" v="13164"/>
    </bk>
    <bk>
      <rc t="2" v="13165"/>
    </bk>
    <bk>
      <rc t="2" v="13166"/>
    </bk>
    <bk>
      <rc t="2" v="13167"/>
    </bk>
    <bk>
      <rc t="2" v="13168"/>
    </bk>
    <bk>
      <rc t="2" v="13169"/>
    </bk>
    <bk>
      <rc t="2" v="13170"/>
    </bk>
    <bk>
      <rc t="2" v="13171"/>
    </bk>
    <bk>
      <rc t="2" v="13172"/>
    </bk>
    <bk>
      <rc t="2" v="13173"/>
    </bk>
    <bk>
      <rc t="2" v="13174"/>
    </bk>
    <bk>
      <rc t="2" v="13175"/>
    </bk>
    <bk>
      <rc t="2" v="13176"/>
    </bk>
    <bk>
      <rc t="2" v="13177"/>
    </bk>
    <bk>
      <rc t="2" v="13178"/>
    </bk>
    <bk>
      <rc t="2" v="13179"/>
    </bk>
    <bk>
      <rc t="2" v="13180"/>
    </bk>
    <bk>
      <rc t="2" v="13181"/>
    </bk>
    <bk>
      <rc t="2" v="13182"/>
    </bk>
    <bk>
      <rc t="2" v="13183"/>
    </bk>
    <bk>
      <rc t="2" v="13184"/>
    </bk>
    <bk>
      <rc t="2" v="13185"/>
    </bk>
    <bk>
      <rc t="2" v="13186"/>
    </bk>
    <bk>
      <rc t="2" v="13187"/>
    </bk>
    <bk>
      <rc t="2" v="13188"/>
    </bk>
    <bk>
      <rc t="2" v="13189"/>
    </bk>
    <bk>
      <rc t="2" v="13190"/>
    </bk>
    <bk>
      <rc t="2" v="13191"/>
    </bk>
    <bk>
      <rc t="2" v="13192"/>
    </bk>
    <bk>
      <rc t="2" v="13193"/>
    </bk>
    <bk>
      <rc t="2" v="13194"/>
    </bk>
    <bk>
      <rc t="2" v="13195"/>
    </bk>
    <bk>
      <rc t="2" v="13196"/>
    </bk>
    <bk>
      <rc t="2" v="13197"/>
    </bk>
    <bk>
      <rc t="2" v="13198"/>
    </bk>
    <bk>
      <rc t="2" v="13199"/>
    </bk>
    <bk>
      <rc t="2" v="13200"/>
    </bk>
    <bk>
      <rc t="2" v="13201"/>
    </bk>
    <bk>
      <rc t="2" v="13202"/>
    </bk>
    <bk>
      <rc t="2" v="13203"/>
    </bk>
    <bk>
      <rc t="2" v="13204"/>
    </bk>
    <bk>
      <rc t="2" v="13205"/>
    </bk>
    <bk>
      <rc t="2" v="13206"/>
    </bk>
    <bk>
      <rc t="2" v="13207"/>
    </bk>
    <bk>
      <rc t="2" v="13208"/>
    </bk>
    <bk>
      <rc t="2" v="13209"/>
    </bk>
    <bk>
      <rc t="2" v="13210"/>
    </bk>
    <bk>
      <rc t="2" v="13211"/>
    </bk>
    <bk>
      <rc t="2" v="13212"/>
    </bk>
    <bk>
      <rc t="2" v="13213"/>
    </bk>
    <bk>
      <rc t="2" v="13214"/>
    </bk>
    <bk>
      <rc t="2" v="13215"/>
    </bk>
    <bk>
      <rc t="2" v="13216"/>
    </bk>
    <bk>
      <rc t="2" v="13217"/>
    </bk>
    <bk>
      <rc t="2" v="13218"/>
    </bk>
    <bk>
      <rc t="2" v="13219"/>
    </bk>
    <bk>
      <rc t="2" v="13220"/>
    </bk>
    <bk>
      <rc t="2" v="13221"/>
    </bk>
    <bk>
      <rc t="2" v="13222"/>
    </bk>
    <bk>
      <rc t="2" v="13223"/>
    </bk>
    <bk>
      <rc t="2" v="13224"/>
    </bk>
    <bk>
      <rc t="2" v="13225"/>
    </bk>
    <bk>
      <rc t="2" v="13226"/>
    </bk>
    <bk>
      <rc t="2" v="13227"/>
    </bk>
    <bk>
      <rc t="2" v="13228"/>
    </bk>
    <bk>
      <rc t="2" v="13229"/>
    </bk>
    <bk>
      <rc t="2" v="13230"/>
    </bk>
    <bk>
      <rc t="2" v="13231"/>
    </bk>
    <bk>
      <rc t="2" v="13232"/>
    </bk>
    <bk>
      <rc t="2" v="13233"/>
    </bk>
    <bk>
      <rc t="2" v="13234"/>
    </bk>
    <bk>
      <rc t="2" v="13235"/>
    </bk>
    <bk>
      <rc t="2" v="13236"/>
    </bk>
    <bk>
      <rc t="2" v="13237"/>
    </bk>
    <bk>
      <rc t="2" v="13238"/>
    </bk>
    <bk>
      <rc t="2" v="13239"/>
    </bk>
    <bk>
      <rc t="2" v="13240"/>
    </bk>
    <bk>
      <rc t="2" v="13241"/>
    </bk>
    <bk>
      <rc t="2" v="13242"/>
    </bk>
    <bk>
      <rc t="2" v="13243"/>
    </bk>
    <bk>
      <rc t="2" v="13244"/>
    </bk>
    <bk>
      <rc t="2" v="13245"/>
    </bk>
    <bk>
      <rc t="2" v="13246"/>
    </bk>
    <bk>
      <rc t="2" v="13247"/>
    </bk>
    <bk>
      <rc t="2" v="13248"/>
    </bk>
    <bk>
      <rc t="2" v="13249"/>
    </bk>
    <bk>
      <rc t="2" v="13250"/>
    </bk>
    <bk>
      <rc t="2" v="13251"/>
    </bk>
    <bk>
      <rc t="2" v="13252"/>
    </bk>
    <bk>
      <rc t="2" v="13253"/>
    </bk>
    <bk>
      <rc t="2" v="13254"/>
    </bk>
    <bk>
      <rc t="2" v="13255"/>
    </bk>
    <bk>
      <rc t="2" v="13256"/>
    </bk>
    <bk>
      <rc t="2" v="13257"/>
    </bk>
    <bk>
      <rc t="2" v="13258"/>
    </bk>
    <bk>
      <rc t="2" v="13259"/>
    </bk>
    <bk>
      <rc t="2" v="13260"/>
    </bk>
    <bk>
      <rc t="2" v="13261"/>
    </bk>
    <bk>
      <rc t="2" v="13262"/>
    </bk>
    <bk>
      <rc t="2" v="13263"/>
    </bk>
    <bk>
      <rc t="2" v="13264"/>
    </bk>
    <bk>
      <rc t="2" v="13265"/>
    </bk>
    <bk>
      <rc t="2" v="13266"/>
    </bk>
    <bk>
      <rc t="2" v="13267"/>
    </bk>
    <bk>
      <rc t="2" v="13268"/>
    </bk>
    <bk>
      <rc t="2" v="13269"/>
    </bk>
    <bk>
      <rc t="2" v="13270"/>
    </bk>
    <bk>
      <rc t="2" v="13271"/>
    </bk>
    <bk>
      <rc t="2" v="13272"/>
    </bk>
    <bk>
      <rc t="2" v="13273"/>
    </bk>
    <bk>
      <rc t="2" v="13274"/>
    </bk>
    <bk>
      <rc t="2" v="13275"/>
    </bk>
    <bk>
      <rc t="2" v="13276"/>
    </bk>
    <bk>
      <rc t="2" v="13277"/>
    </bk>
    <bk>
      <rc t="2" v="13278"/>
    </bk>
    <bk>
      <rc t="2" v="13279"/>
    </bk>
    <bk>
      <rc t="2" v="13280"/>
    </bk>
    <bk>
      <rc t="2" v="13281"/>
    </bk>
    <bk>
      <rc t="2" v="13282"/>
    </bk>
    <bk>
      <rc t="2" v="13283"/>
    </bk>
    <bk>
      <rc t="2" v="13284"/>
    </bk>
    <bk>
      <rc t="2" v="13285"/>
    </bk>
    <bk>
      <rc t="2" v="13286"/>
    </bk>
    <bk>
      <rc t="2" v="13287"/>
    </bk>
    <bk>
      <rc t="2" v="13288"/>
    </bk>
    <bk>
      <rc t="2" v="13289"/>
    </bk>
    <bk>
      <rc t="2" v="13290"/>
    </bk>
    <bk>
      <rc t="2" v="13291"/>
    </bk>
    <bk>
      <rc t="2" v="13292"/>
    </bk>
    <bk>
      <rc t="2" v="13293"/>
    </bk>
    <bk>
      <rc t="2" v="13294"/>
    </bk>
    <bk>
      <rc t="2" v="13295"/>
    </bk>
    <bk>
      <rc t="2" v="13296"/>
    </bk>
    <bk>
      <rc t="2" v="13297"/>
    </bk>
    <bk>
      <rc t="2" v="13298"/>
    </bk>
    <bk>
      <rc t="2" v="13299"/>
    </bk>
    <bk>
      <rc t="2" v="13300"/>
    </bk>
    <bk>
      <rc t="2" v="13301"/>
    </bk>
    <bk>
      <rc t="2" v="13302"/>
    </bk>
    <bk>
      <rc t="2" v="13303"/>
    </bk>
    <bk>
      <rc t="2" v="13304"/>
    </bk>
    <bk>
      <rc t="2" v="13305"/>
    </bk>
    <bk>
      <rc t="2" v="13306"/>
    </bk>
    <bk>
      <rc t="2" v="13307"/>
    </bk>
    <bk>
      <rc t="2" v="13308"/>
    </bk>
    <bk>
      <rc t="2" v="13309"/>
    </bk>
    <bk>
      <rc t="2" v="13310"/>
    </bk>
    <bk>
      <rc t="2" v="13311"/>
    </bk>
    <bk>
      <rc t="2" v="13312"/>
    </bk>
    <bk>
      <rc t="2" v="13313"/>
    </bk>
    <bk>
      <rc t="2" v="13314"/>
    </bk>
    <bk>
      <rc t="2" v="13315"/>
    </bk>
    <bk>
      <rc t="2" v="13316"/>
    </bk>
    <bk>
      <rc t="2" v="13317"/>
    </bk>
    <bk>
      <rc t="2" v="13318"/>
    </bk>
    <bk>
      <rc t="2" v="13319"/>
    </bk>
    <bk>
      <rc t="2" v="13320"/>
    </bk>
    <bk>
      <rc t="2" v="13321"/>
    </bk>
    <bk>
      <rc t="2" v="13322"/>
    </bk>
    <bk>
      <rc t="2" v="13323"/>
    </bk>
    <bk>
      <rc t="2" v="13324"/>
    </bk>
    <bk>
      <rc t="2" v="13325"/>
    </bk>
    <bk>
      <rc t="2" v="13326"/>
    </bk>
    <bk>
      <rc t="2" v="13327"/>
    </bk>
    <bk>
      <rc t="2" v="13328"/>
    </bk>
    <bk>
      <rc t="2" v="13329"/>
    </bk>
    <bk>
      <rc t="2" v="13330"/>
    </bk>
    <bk>
      <rc t="2" v="13331"/>
    </bk>
    <bk>
      <rc t="2" v="13332"/>
    </bk>
    <bk>
      <rc t="2" v="13333"/>
    </bk>
    <bk>
      <rc t="2" v="13334"/>
    </bk>
    <bk>
      <rc t="2" v="13335"/>
    </bk>
    <bk>
      <rc t="2" v="13336"/>
    </bk>
    <bk>
      <rc t="2" v="13337"/>
    </bk>
    <bk>
      <rc t="2" v="13338"/>
    </bk>
    <bk>
      <rc t="2" v="13339"/>
    </bk>
    <bk>
      <rc t="2" v="13340"/>
    </bk>
    <bk>
      <rc t="2" v="13341"/>
    </bk>
    <bk>
      <rc t="2" v="13342"/>
    </bk>
    <bk>
      <rc t="2" v="13343"/>
    </bk>
    <bk>
      <rc t="2" v="13344"/>
    </bk>
    <bk>
      <rc t="2" v="13345"/>
    </bk>
    <bk>
      <rc t="2" v="13346"/>
    </bk>
    <bk>
      <rc t="2" v="13347"/>
    </bk>
    <bk>
      <rc t="2" v="13348"/>
    </bk>
    <bk>
      <rc t="2" v="13349"/>
    </bk>
    <bk>
      <rc t="2" v="13350"/>
    </bk>
    <bk>
      <rc t="2" v="13351"/>
    </bk>
    <bk>
      <rc t="2" v="13352"/>
    </bk>
    <bk>
      <rc t="2" v="13353"/>
    </bk>
    <bk>
      <rc t="2" v="13354"/>
    </bk>
    <bk>
      <rc t="2" v="13355"/>
    </bk>
    <bk>
      <rc t="2" v="13356"/>
    </bk>
    <bk>
      <rc t="2" v="13357"/>
    </bk>
    <bk>
      <rc t="2" v="13358"/>
    </bk>
    <bk>
      <rc t="2" v="13359"/>
    </bk>
    <bk>
      <rc t="2" v="13360"/>
    </bk>
    <bk>
      <rc t="2" v="13361"/>
    </bk>
    <bk>
      <rc t="2" v="13362"/>
    </bk>
    <bk>
      <rc t="2" v="13363"/>
    </bk>
    <bk>
      <rc t="2" v="13364"/>
    </bk>
    <bk>
      <rc t="2" v="13365"/>
    </bk>
    <bk>
      <rc t="2" v="13366"/>
    </bk>
    <bk>
      <rc t="2" v="13367"/>
    </bk>
    <bk>
      <rc t="2" v="13368"/>
    </bk>
    <bk>
      <rc t="2" v="13369"/>
    </bk>
    <bk>
      <rc t="2" v="13370"/>
    </bk>
    <bk>
      <rc t="2" v="13371"/>
    </bk>
    <bk>
      <rc t="2" v="13372"/>
    </bk>
    <bk>
      <rc t="2" v="13373"/>
    </bk>
    <bk>
      <rc t="2" v="13374"/>
    </bk>
    <bk>
      <rc t="2" v="13375"/>
    </bk>
    <bk>
      <rc t="2" v="13376"/>
    </bk>
    <bk>
      <rc t="2" v="13377"/>
    </bk>
    <bk>
      <rc t="2" v="13378"/>
    </bk>
    <bk>
      <rc t="2" v="13379"/>
    </bk>
    <bk>
      <rc t="2" v="13380"/>
    </bk>
    <bk>
      <rc t="2" v="13381"/>
    </bk>
    <bk>
      <rc t="2" v="13382"/>
    </bk>
    <bk>
      <rc t="2" v="13383"/>
    </bk>
    <bk>
      <rc t="2" v="13384"/>
    </bk>
    <bk>
      <rc t="2" v="13385"/>
    </bk>
    <bk>
      <rc t="2" v="13386"/>
    </bk>
    <bk>
      <rc t="2" v="13387"/>
    </bk>
    <bk>
      <rc t="2" v="13388"/>
    </bk>
    <bk>
      <rc t="2" v="13389"/>
    </bk>
    <bk>
      <rc t="2" v="13390"/>
    </bk>
    <bk>
      <rc t="2" v="13391"/>
    </bk>
    <bk>
      <rc t="2" v="13392"/>
    </bk>
    <bk>
      <rc t="2" v="13393"/>
    </bk>
    <bk>
      <rc t="2" v="13394"/>
    </bk>
    <bk>
      <rc t="2" v="13395"/>
    </bk>
    <bk>
      <rc t="2" v="13396"/>
    </bk>
    <bk>
      <rc t="2" v="13397"/>
    </bk>
    <bk>
      <rc t="2" v="13398"/>
    </bk>
    <bk>
      <rc t="2" v="13399"/>
    </bk>
    <bk>
      <rc t="2" v="13400"/>
    </bk>
    <bk>
      <rc t="2" v="13401"/>
    </bk>
    <bk>
      <rc t="2" v="13402"/>
    </bk>
    <bk>
      <rc t="2" v="13403"/>
    </bk>
    <bk>
      <rc t="2" v="13404"/>
    </bk>
    <bk>
      <rc t="2" v="13405"/>
    </bk>
    <bk>
      <rc t="2" v="13406"/>
    </bk>
    <bk>
      <rc t="2" v="13407"/>
    </bk>
    <bk>
      <rc t="2" v="13408"/>
    </bk>
    <bk>
      <rc t="2" v="13409"/>
    </bk>
    <bk>
      <rc t="2" v="13410"/>
    </bk>
    <bk>
      <rc t="2" v="13411"/>
    </bk>
    <bk>
      <rc t="2" v="13412"/>
    </bk>
    <bk>
      <rc t="2" v="13413"/>
    </bk>
    <bk>
      <rc t="2" v="13414"/>
    </bk>
    <bk>
      <rc t="2" v="13415"/>
    </bk>
    <bk>
      <rc t="2" v="13416"/>
    </bk>
    <bk>
      <rc t="2" v="13417"/>
    </bk>
    <bk>
      <rc t="2" v="13418"/>
    </bk>
    <bk>
      <rc t="2" v="13419"/>
    </bk>
    <bk>
      <rc t="2" v="13420"/>
    </bk>
    <bk>
      <rc t="2" v="13421"/>
    </bk>
    <bk>
      <rc t="2" v="13422"/>
    </bk>
    <bk>
      <rc t="2" v="13423"/>
    </bk>
    <bk>
      <rc t="2" v="13424"/>
    </bk>
    <bk>
      <rc t="2" v="13425"/>
    </bk>
    <bk>
      <rc t="2" v="13426"/>
    </bk>
    <bk>
      <rc t="2" v="13427"/>
    </bk>
    <bk>
      <rc t="2" v="13428"/>
    </bk>
    <bk>
      <rc t="2" v="13429"/>
    </bk>
    <bk>
      <rc t="2" v="13430"/>
    </bk>
    <bk>
      <rc t="2" v="13431"/>
    </bk>
    <bk>
      <rc t="2" v="13432"/>
    </bk>
    <bk>
      <rc t="2" v="13433"/>
    </bk>
    <bk>
      <rc t="2" v="13434"/>
    </bk>
    <bk>
      <rc t="2" v="13435"/>
    </bk>
    <bk>
      <rc t="2" v="13436"/>
    </bk>
    <bk>
      <rc t="2" v="13437"/>
    </bk>
    <bk>
      <rc t="2" v="13438"/>
    </bk>
    <bk>
      <rc t="2" v="13439"/>
    </bk>
    <bk>
      <rc t="2" v="13440"/>
    </bk>
    <bk>
      <rc t="2" v="13441"/>
    </bk>
    <bk>
      <rc t="2" v="13442"/>
    </bk>
    <bk>
      <rc t="2" v="13443"/>
    </bk>
    <bk>
      <rc t="2" v="13444"/>
    </bk>
    <bk>
      <rc t="2" v="13445"/>
    </bk>
    <bk>
      <rc t="2" v="13446"/>
    </bk>
    <bk>
      <rc t="2" v="13447"/>
    </bk>
    <bk>
      <rc t="2" v="13448"/>
    </bk>
    <bk>
      <rc t="2" v="13449"/>
    </bk>
    <bk>
      <rc t="2" v="13450"/>
    </bk>
    <bk>
      <rc t="2" v="13451"/>
    </bk>
    <bk>
      <rc t="2" v="13452"/>
    </bk>
    <bk>
      <rc t="2" v="13453"/>
    </bk>
    <bk>
      <rc t="2" v="13454"/>
    </bk>
    <bk>
      <rc t="2" v="13455"/>
    </bk>
    <bk>
      <rc t="2" v="13456"/>
    </bk>
    <bk>
      <rc t="2" v="13457"/>
    </bk>
    <bk>
      <rc t="2" v="13458"/>
    </bk>
    <bk>
      <rc t="2" v="13459"/>
    </bk>
    <bk>
      <rc t="2" v="13460"/>
    </bk>
    <bk>
      <rc t="2" v="13461"/>
    </bk>
    <bk>
      <rc t="2" v="13462"/>
    </bk>
    <bk>
      <rc t="2" v="13463"/>
    </bk>
    <bk>
      <rc t="2" v="13464"/>
    </bk>
    <bk>
      <rc t="2" v="13465"/>
    </bk>
    <bk>
      <rc t="2" v="13466"/>
    </bk>
    <bk>
      <rc t="2" v="13467"/>
    </bk>
    <bk>
      <rc t="2" v="13468"/>
    </bk>
    <bk>
      <rc t="2" v="13469"/>
    </bk>
    <bk>
      <rc t="2" v="13470"/>
    </bk>
    <bk>
      <rc t="2" v="13471"/>
    </bk>
    <bk>
      <rc t="2" v="13472"/>
    </bk>
    <bk>
      <rc t="2" v="13473"/>
    </bk>
    <bk>
      <rc t="2" v="13474"/>
    </bk>
    <bk>
      <rc t="2" v="13475"/>
    </bk>
    <bk>
      <rc t="2" v="13476"/>
    </bk>
    <bk>
      <rc t="2" v="13477"/>
    </bk>
    <bk>
      <rc t="2" v="13478"/>
    </bk>
    <bk>
      <rc t="2" v="13479"/>
    </bk>
    <bk>
      <rc t="2" v="13480"/>
    </bk>
    <bk>
      <rc t="2" v="13481"/>
    </bk>
    <bk>
      <rc t="2" v="13482"/>
    </bk>
    <bk>
      <rc t="2" v="13483"/>
    </bk>
    <bk>
      <rc t="2" v="13484"/>
    </bk>
    <bk>
      <rc t="2" v="13485"/>
    </bk>
    <bk>
      <rc t="2" v="13486"/>
    </bk>
    <bk>
      <rc t="2" v="13487"/>
    </bk>
    <bk>
      <rc t="2" v="13488"/>
    </bk>
    <bk>
      <rc t="2" v="13489"/>
    </bk>
    <bk>
      <rc t="2" v="13490"/>
    </bk>
    <bk>
      <rc t="2" v="13491"/>
    </bk>
    <bk>
      <rc t="2" v="13492"/>
    </bk>
    <bk>
      <rc t="2" v="13493"/>
    </bk>
    <bk>
      <rc t="2" v="13494"/>
    </bk>
    <bk>
      <rc t="2" v="13495"/>
    </bk>
    <bk>
      <rc t="2" v="13496"/>
    </bk>
    <bk>
      <rc t="2" v="13497"/>
    </bk>
    <bk>
      <rc t="2" v="13498"/>
    </bk>
    <bk>
      <rc t="2" v="13499"/>
    </bk>
    <bk>
      <rc t="2" v="13500"/>
    </bk>
    <bk>
      <rc t="2" v="13501"/>
    </bk>
    <bk>
      <rc t="2" v="13502"/>
    </bk>
    <bk>
      <rc t="2" v="13503"/>
    </bk>
    <bk>
      <rc t="2" v="13504"/>
    </bk>
    <bk>
      <rc t="2" v="13505"/>
    </bk>
    <bk>
      <rc t="2" v="13506"/>
    </bk>
    <bk>
      <rc t="2" v="13507"/>
    </bk>
    <bk>
      <rc t="2" v="13508"/>
    </bk>
    <bk>
      <rc t="2" v="13509"/>
    </bk>
    <bk>
      <rc t="2" v="13510"/>
    </bk>
    <bk>
      <rc t="2" v="13511"/>
    </bk>
    <bk>
      <rc t="2" v="13512"/>
    </bk>
    <bk>
      <rc t="2" v="13513"/>
    </bk>
    <bk>
      <rc t="2" v="13514"/>
    </bk>
    <bk>
      <rc t="2" v="13515"/>
    </bk>
    <bk>
      <rc t="2" v="13516"/>
    </bk>
    <bk>
      <rc t="2" v="13517"/>
    </bk>
    <bk>
      <rc t="2" v="13518"/>
    </bk>
    <bk>
      <rc t="2" v="13519"/>
    </bk>
    <bk>
      <rc t="2" v="13520"/>
    </bk>
    <bk>
      <rc t="2" v="13521"/>
    </bk>
    <bk>
      <rc t="2" v="13522"/>
    </bk>
    <bk>
      <rc t="2" v="13523"/>
    </bk>
    <bk>
      <rc t="2" v="13524"/>
    </bk>
    <bk>
      <rc t="2" v="13525"/>
    </bk>
    <bk>
      <rc t="2" v="13526"/>
    </bk>
    <bk>
      <rc t="2" v="13527"/>
    </bk>
    <bk>
      <rc t="2" v="13528"/>
    </bk>
    <bk>
      <rc t="2" v="13529"/>
    </bk>
    <bk>
      <rc t="2" v="13530"/>
    </bk>
    <bk>
      <rc t="2" v="13531"/>
    </bk>
    <bk>
      <rc t="2" v="13532"/>
    </bk>
    <bk>
      <rc t="2" v="13533"/>
    </bk>
    <bk>
      <rc t="2" v="13534"/>
    </bk>
    <bk>
      <rc t="2" v="13535"/>
    </bk>
    <bk>
      <rc t="2" v="13536"/>
    </bk>
    <bk>
      <rc t="2" v="13537"/>
    </bk>
    <bk>
      <rc t="2" v="13538"/>
    </bk>
    <bk>
      <rc t="2" v="13539"/>
    </bk>
    <bk>
      <rc t="2" v="13540"/>
    </bk>
    <bk>
      <rc t="2" v="13541"/>
    </bk>
    <bk>
      <rc t="2" v="13542"/>
    </bk>
    <bk>
      <rc t="2" v="13543"/>
    </bk>
    <bk>
      <rc t="2" v="13544"/>
    </bk>
    <bk>
      <rc t="2" v="13545"/>
    </bk>
    <bk>
      <rc t="2" v="13546"/>
    </bk>
    <bk>
      <rc t="2" v="13547"/>
    </bk>
    <bk>
      <rc t="2" v="13548"/>
    </bk>
    <bk>
      <rc t="2" v="13549"/>
    </bk>
    <bk>
      <rc t="2" v="13550"/>
    </bk>
    <bk>
      <rc t="2" v="13551"/>
    </bk>
    <bk>
      <rc t="2" v="13552"/>
    </bk>
    <bk>
      <rc t="2" v="13553"/>
    </bk>
    <bk>
      <rc t="2" v="13554"/>
    </bk>
    <bk>
      <rc t="2" v="13555"/>
    </bk>
    <bk>
      <rc t="2" v="13556"/>
    </bk>
    <bk>
      <rc t="2" v="13557"/>
    </bk>
    <bk>
      <rc t="2" v="13558"/>
    </bk>
    <bk>
      <rc t="2" v="13559"/>
    </bk>
    <bk>
      <rc t="2" v="13560"/>
    </bk>
    <bk>
      <rc t="2" v="13561"/>
    </bk>
    <bk>
      <rc t="2" v="13562"/>
    </bk>
    <bk>
      <rc t="2" v="13563"/>
    </bk>
    <bk>
      <rc t="2" v="13564"/>
    </bk>
    <bk>
      <rc t="2" v="13565"/>
    </bk>
    <bk>
      <rc t="2" v="13566"/>
    </bk>
    <bk>
      <rc t="2" v="13567"/>
    </bk>
    <bk>
      <rc t="2" v="13568"/>
    </bk>
    <bk>
      <rc t="2" v="13569"/>
    </bk>
    <bk>
      <rc t="2" v="13570"/>
    </bk>
    <bk>
      <rc t="2" v="13571"/>
    </bk>
    <bk>
      <rc t="2" v="13572"/>
    </bk>
    <bk>
      <rc t="2" v="13573"/>
    </bk>
    <bk>
      <rc t="2" v="13574"/>
    </bk>
    <bk>
      <rc t="2" v="13575"/>
    </bk>
    <bk>
      <rc t="2" v="13576"/>
    </bk>
    <bk>
      <rc t="2" v="13577"/>
    </bk>
    <bk>
      <rc t="2" v="13578"/>
    </bk>
    <bk>
      <rc t="2" v="13579"/>
    </bk>
    <bk>
      <rc t="2" v="13580"/>
    </bk>
    <bk>
      <rc t="2" v="13581"/>
    </bk>
    <bk>
      <rc t="2" v="13582"/>
    </bk>
    <bk>
      <rc t="2" v="13583"/>
    </bk>
    <bk>
      <rc t="2" v="13584"/>
    </bk>
    <bk>
      <rc t="2" v="13585"/>
    </bk>
    <bk>
      <rc t="2" v="13586"/>
    </bk>
    <bk>
      <rc t="2" v="13587"/>
    </bk>
    <bk>
      <rc t="2" v="13588"/>
    </bk>
    <bk>
      <rc t="2" v="13589"/>
    </bk>
    <bk>
      <rc t="2" v="13590"/>
    </bk>
    <bk>
      <rc t="2" v="13591"/>
    </bk>
    <bk>
      <rc t="2" v="13592"/>
    </bk>
    <bk>
      <rc t="2" v="13593"/>
    </bk>
    <bk>
      <rc t="2" v="13594"/>
    </bk>
    <bk>
      <rc t="2" v="13595"/>
    </bk>
    <bk>
      <rc t="2" v="13596"/>
    </bk>
    <bk>
      <rc t="2" v="13597"/>
    </bk>
    <bk>
      <rc t="2" v="13598"/>
    </bk>
    <bk>
      <rc t="2" v="13599"/>
    </bk>
    <bk>
      <rc t="2" v="13600"/>
    </bk>
    <bk>
      <rc t="2" v="13601"/>
    </bk>
    <bk>
      <rc t="2" v="13602"/>
    </bk>
    <bk>
      <rc t="2" v="13603"/>
    </bk>
    <bk>
      <rc t="2" v="13604"/>
    </bk>
    <bk>
      <rc t="2" v="13605"/>
    </bk>
    <bk>
      <rc t="2" v="13606"/>
    </bk>
    <bk>
      <rc t="2" v="13607"/>
    </bk>
    <bk>
      <rc t="2" v="13608"/>
    </bk>
    <bk>
      <rc t="2" v="13609"/>
    </bk>
    <bk>
      <rc t="2" v="13610"/>
    </bk>
    <bk>
      <rc t="2" v="13611"/>
    </bk>
    <bk>
      <rc t="2" v="13612"/>
    </bk>
    <bk>
      <rc t="2" v="13613"/>
    </bk>
    <bk>
      <rc t="2" v="13614"/>
    </bk>
    <bk>
      <rc t="2" v="13615"/>
    </bk>
    <bk>
      <rc t="2" v="13616"/>
    </bk>
    <bk>
      <rc t="2" v="13617"/>
    </bk>
    <bk>
      <rc t="2" v="13618"/>
    </bk>
    <bk>
      <rc t="2" v="13619"/>
    </bk>
    <bk>
      <rc t="2" v="13620"/>
    </bk>
    <bk>
      <rc t="2" v="13621"/>
    </bk>
    <bk>
      <rc t="2" v="13622"/>
    </bk>
    <bk>
      <rc t="2" v="13623"/>
    </bk>
    <bk>
      <rc t="2" v="13624"/>
    </bk>
    <bk>
      <rc t="2" v="13625"/>
    </bk>
    <bk>
      <rc t="2" v="13626"/>
    </bk>
    <bk>
      <rc t="2" v="13627"/>
    </bk>
    <bk>
      <rc t="2" v="13628"/>
    </bk>
    <bk>
      <rc t="2" v="13629"/>
    </bk>
    <bk>
      <rc t="2" v="13630"/>
    </bk>
    <bk>
      <rc t="2" v="13631"/>
    </bk>
    <bk>
      <rc t="2" v="13632"/>
    </bk>
    <bk>
      <rc t="2" v="13633"/>
    </bk>
    <bk>
      <rc t="2" v="13634"/>
    </bk>
    <bk>
      <rc t="2" v="13635"/>
    </bk>
    <bk>
      <rc t="2" v="13636"/>
    </bk>
    <bk>
      <rc t="2" v="13637"/>
    </bk>
    <bk>
      <rc t="2" v="13638"/>
    </bk>
    <bk>
      <rc t="2" v="13639"/>
    </bk>
    <bk>
      <rc t="2" v="13640"/>
    </bk>
    <bk>
      <rc t="2" v="13641"/>
    </bk>
    <bk>
      <rc t="2" v="13642"/>
    </bk>
    <bk>
      <rc t="2" v="13643"/>
    </bk>
    <bk>
      <rc t="2" v="13644"/>
    </bk>
    <bk>
      <rc t="2" v="13645"/>
    </bk>
    <bk>
      <rc t="2" v="13646"/>
    </bk>
    <bk>
      <rc t="2" v="13647"/>
    </bk>
    <bk>
      <rc t="2" v="13648"/>
    </bk>
    <bk>
      <rc t="2" v="13649"/>
    </bk>
    <bk>
      <rc t="2" v="13650"/>
    </bk>
    <bk>
      <rc t="2" v="13651"/>
    </bk>
    <bk>
      <rc t="2" v="13652"/>
    </bk>
    <bk>
      <rc t="2" v="13653"/>
    </bk>
    <bk>
      <rc t="2" v="13654"/>
    </bk>
    <bk>
      <rc t="2" v="13655"/>
    </bk>
    <bk>
      <rc t="2" v="13656"/>
    </bk>
    <bk>
      <rc t="2" v="13657"/>
    </bk>
    <bk>
      <rc t="2" v="13658"/>
    </bk>
    <bk>
      <rc t="2" v="13659"/>
    </bk>
    <bk>
      <rc t="2" v="13660"/>
    </bk>
    <bk>
      <rc t="2" v="13661"/>
    </bk>
    <bk>
      <rc t="2" v="13662"/>
    </bk>
    <bk>
      <rc t="2" v="13663"/>
    </bk>
    <bk>
      <rc t="2" v="13664"/>
    </bk>
    <bk>
      <rc t="2" v="13665"/>
    </bk>
    <bk>
      <rc t="2" v="13666"/>
    </bk>
    <bk>
      <rc t="2" v="13667"/>
    </bk>
    <bk>
      <rc t="2" v="13668"/>
    </bk>
    <bk>
      <rc t="2" v="13669"/>
    </bk>
    <bk>
      <rc t="2" v="13670"/>
    </bk>
    <bk>
      <rc t="2" v="13671"/>
    </bk>
    <bk>
      <rc t="2" v="13672"/>
    </bk>
    <bk>
      <rc t="2" v="13673"/>
    </bk>
    <bk>
      <rc t="2" v="13674"/>
    </bk>
    <bk>
      <rc t="2" v="13675"/>
    </bk>
    <bk>
      <rc t="2" v="13676"/>
    </bk>
    <bk>
      <rc t="2" v="13677"/>
    </bk>
    <bk>
      <rc t="2" v="13678"/>
    </bk>
    <bk>
      <rc t="2" v="13679"/>
    </bk>
    <bk>
      <rc t="2" v="13680"/>
    </bk>
    <bk>
      <rc t="2" v="13681"/>
    </bk>
    <bk>
      <rc t="2" v="13682"/>
    </bk>
    <bk>
      <rc t="2" v="13683"/>
    </bk>
    <bk>
      <rc t="2" v="13684"/>
    </bk>
    <bk>
      <rc t="2" v="13685"/>
    </bk>
    <bk>
      <rc t="2" v="13686"/>
    </bk>
    <bk>
      <rc t="2" v="13687"/>
    </bk>
    <bk>
      <rc t="2" v="13688"/>
    </bk>
    <bk>
      <rc t="2" v="13689"/>
    </bk>
    <bk>
      <rc t="2" v="13690"/>
    </bk>
    <bk>
      <rc t="2" v="13691"/>
    </bk>
    <bk>
      <rc t="2" v="13692"/>
    </bk>
    <bk>
      <rc t="2" v="13693"/>
    </bk>
    <bk>
      <rc t="2" v="13694"/>
    </bk>
    <bk>
      <rc t="2" v="13695"/>
    </bk>
    <bk>
      <rc t="2" v="13696"/>
    </bk>
    <bk>
      <rc t="2" v="13697"/>
    </bk>
    <bk>
      <rc t="2" v="13698"/>
    </bk>
    <bk>
      <rc t="2" v="13699"/>
    </bk>
    <bk>
      <rc t="2" v="13700"/>
    </bk>
    <bk>
      <rc t="2" v="13701"/>
    </bk>
    <bk>
      <rc t="2" v="13702"/>
    </bk>
    <bk>
      <rc t="2" v="13703"/>
    </bk>
    <bk>
      <rc t="2" v="13704"/>
    </bk>
    <bk>
      <rc t="2" v="13705"/>
    </bk>
    <bk>
      <rc t="2" v="13706"/>
    </bk>
    <bk>
      <rc t="2" v="13707"/>
    </bk>
    <bk>
      <rc t="2" v="13708"/>
    </bk>
    <bk>
      <rc t="2" v="13709"/>
    </bk>
    <bk>
      <rc t="2" v="13710"/>
    </bk>
    <bk>
      <rc t="2" v="13711"/>
    </bk>
    <bk>
      <rc t="2" v="13712"/>
    </bk>
    <bk>
      <rc t="2" v="13713"/>
    </bk>
    <bk>
      <rc t="2" v="13714"/>
    </bk>
    <bk>
      <rc t="2" v="13715"/>
    </bk>
    <bk>
      <rc t="2" v="13716"/>
    </bk>
    <bk>
      <rc t="2" v="13717"/>
    </bk>
    <bk>
      <rc t="2" v="13718"/>
    </bk>
    <bk>
      <rc t="2" v="13719"/>
    </bk>
    <bk>
      <rc t="2" v="13720"/>
    </bk>
    <bk>
      <rc t="2" v="13721"/>
    </bk>
    <bk>
      <rc t="2" v="13722"/>
    </bk>
    <bk>
      <rc t="2" v="13723"/>
    </bk>
    <bk>
      <rc t="2" v="13724"/>
    </bk>
    <bk>
      <rc t="2" v="13725"/>
    </bk>
    <bk>
      <rc t="2" v="13726"/>
    </bk>
    <bk>
      <rc t="2" v="13727"/>
    </bk>
    <bk>
      <rc t="2" v="13728"/>
    </bk>
    <bk>
      <rc t="2" v="13729"/>
    </bk>
    <bk>
      <rc t="2" v="13730"/>
    </bk>
    <bk>
      <rc t="2" v="13731"/>
    </bk>
    <bk>
      <rc t="2" v="13732"/>
    </bk>
    <bk>
      <rc t="2" v="13733"/>
    </bk>
    <bk>
      <rc t="2" v="13734"/>
    </bk>
    <bk>
      <rc t="2" v="13735"/>
    </bk>
    <bk>
      <rc t="2" v="13736"/>
    </bk>
    <bk>
      <rc t="2" v="13737"/>
    </bk>
    <bk>
      <rc t="2" v="13738"/>
    </bk>
    <bk>
      <rc t="2" v="13739"/>
    </bk>
    <bk>
      <rc t="2" v="13740"/>
    </bk>
    <bk>
      <rc t="2" v="13741"/>
    </bk>
    <bk>
      <rc t="2" v="13742"/>
    </bk>
    <bk>
      <rc t="2" v="13743"/>
    </bk>
    <bk>
      <rc t="2" v="13744"/>
    </bk>
    <bk>
      <rc t="2" v="13745"/>
    </bk>
    <bk>
      <rc t="2" v="13746"/>
    </bk>
    <bk>
      <rc t="2" v="13747"/>
    </bk>
    <bk>
      <rc t="2" v="13748"/>
    </bk>
    <bk>
      <rc t="2" v="13749"/>
    </bk>
    <bk>
      <rc t="2" v="13750"/>
    </bk>
    <bk>
      <rc t="2" v="13751"/>
    </bk>
    <bk>
      <rc t="2" v="13752"/>
    </bk>
    <bk>
      <rc t="2" v="13753"/>
    </bk>
    <bk>
      <rc t="2" v="13754"/>
    </bk>
    <bk>
      <rc t="2" v="13755"/>
    </bk>
    <bk>
      <rc t="2" v="13756"/>
    </bk>
    <bk>
      <rc t="2" v="13757"/>
    </bk>
    <bk>
      <rc t="2" v="13758"/>
    </bk>
    <bk>
      <rc t="2" v="13759"/>
    </bk>
    <bk>
      <rc t="2" v="13760"/>
    </bk>
    <bk>
      <rc t="2" v="13761"/>
    </bk>
    <bk>
      <rc t="2" v="13762"/>
    </bk>
    <bk>
      <rc t="2" v="13763"/>
    </bk>
    <bk>
      <rc t="2" v="13764"/>
    </bk>
    <bk>
      <rc t="2" v="13765"/>
    </bk>
    <bk>
      <rc t="2" v="13766"/>
    </bk>
    <bk>
      <rc t="2" v="13767"/>
    </bk>
    <bk>
      <rc t="2" v="13768"/>
    </bk>
    <bk>
      <rc t="2" v="13769"/>
    </bk>
    <bk>
      <rc t="2" v="13770"/>
    </bk>
    <bk>
      <rc t="2" v="13771"/>
    </bk>
    <bk>
      <rc t="2" v="13772"/>
    </bk>
    <bk>
      <rc t="2" v="13773"/>
    </bk>
    <bk>
      <rc t="2" v="13774"/>
    </bk>
    <bk>
      <rc t="2" v="13775"/>
    </bk>
    <bk>
      <rc t="2" v="13776"/>
    </bk>
    <bk>
      <rc t="2" v="13777"/>
    </bk>
    <bk>
      <rc t="2" v="13778"/>
    </bk>
    <bk>
      <rc t="2" v="13779"/>
    </bk>
    <bk>
      <rc t="2" v="13780"/>
    </bk>
    <bk>
      <rc t="2" v="13781"/>
    </bk>
    <bk>
      <rc t="2" v="13782"/>
    </bk>
    <bk>
      <rc t="2" v="13783"/>
    </bk>
    <bk>
      <rc t="2" v="13784"/>
    </bk>
    <bk>
      <rc t="2" v="13785"/>
    </bk>
    <bk>
      <rc t="2" v="13786"/>
    </bk>
    <bk>
      <rc t="2" v="13787"/>
    </bk>
    <bk>
      <rc t="2" v="13788"/>
    </bk>
    <bk>
      <rc t="2" v="13789"/>
    </bk>
    <bk>
      <rc t="2" v="13790"/>
    </bk>
    <bk>
      <rc t="2" v="13791"/>
    </bk>
    <bk>
      <rc t="2" v="13792"/>
    </bk>
    <bk>
      <rc t="2" v="13793"/>
    </bk>
    <bk>
      <rc t="2" v="13794"/>
    </bk>
    <bk>
      <rc t="2" v="13795"/>
    </bk>
    <bk>
      <rc t="2" v="13796"/>
    </bk>
    <bk>
      <rc t="2" v="13797"/>
    </bk>
    <bk>
      <rc t="2" v="13798"/>
    </bk>
    <bk>
      <rc t="2" v="13799"/>
    </bk>
    <bk>
      <rc t="2" v="13800"/>
    </bk>
    <bk>
      <rc t="2" v="13801"/>
    </bk>
    <bk>
      <rc t="2" v="13802"/>
    </bk>
    <bk>
      <rc t="2" v="13803"/>
    </bk>
    <bk>
      <rc t="2" v="13804"/>
    </bk>
    <bk>
      <rc t="2" v="13805"/>
    </bk>
    <bk>
      <rc t="2" v="13806"/>
    </bk>
    <bk>
      <rc t="2" v="13807"/>
    </bk>
    <bk>
      <rc t="2" v="13808"/>
    </bk>
    <bk>
      <rc t="2" v="13809"/>
    </bk>
    <bk>
      <rc t="2" v="13810"/>
    </bk>
    <bk>
      <rc t="2" v="13811"/>
    </bk>
    <bk>
      <rc t="2" v="13812"/>
    </bk>
    <bk>
      <rc t="2" v="13813"/>
    </bk>
    <bk>
      <rc t="2" v="13814"/>
    </bk>
    <bk>
      <rc t="2" v="13815"/>
    </bk>
    <bk>
      <rc t="2" v="13816"/>
    </bk>
    <bk>
      <rc t="2" v="13817"/>
    </bk>
    <bk>
      <rc t="2" v="13818"/>
    </bk>
    <bk>
      <rc t="2" v="13819"/>
    </bk>
    <bk>
      <rc t="2" v="13820"/>
    </bk>
    <bk>
      <rc t="2" v="13821"/>
    </bk>
    <bk>
      <rc t="2" v="13822"/>
    </bk>
    <bk>
      <rc t="2" v="13823"/>
    </bk>
    <bk>
      <rc t="2" v="13824"/>
    </bk>
    <bk>
      <rc t="2" v="13825"/>
    </bk>
    <bk>
      <rc t="2" v="13826"/>
    </bk>
    <bk>
      <rc t="2" v="13827"/>
    </bk>
    <bk>
      <rc t="2" v="13828"/>
    </bk>
    <bk>
      <rc t="2" v="13829"/>
    </bk>
    <bk>
      <rc t="2" v="13830"/>
    </bk>
    <bk>
      <rc t="2" v="13831"/>
    </bk>
    <bk>
      <rc t="2" v="13832"/>
    </bk>
    <bk>
      <rc t="2" v="13833"/>
    </bk>
    <bk>
      <rc t="2" v="13834"/>
    </bk>
    <bk>
      <rc t="2" v="13835"/>
    </bk>
    <bk>
      <rc t="2" v="13836"/>
    </bk>
    <bk>
      <rc t="2" v="13837"/>
    </bk>
    <bk>
      <rc t="2" v="13838"/>
    </bk>
    <bk>
      <rc t="2" v="13839"/>
    </bk>
    <bk>
      <rc t="2" v="13840"/>
    </bk>
    <bk>
      <rc t="2" v="13841"/>
    </bk>
    <bk>
      <rc t="2" v="13842"/>
    </bk>
    <bk>
      <rc t="2" v="13843"/>
    </bk>
    <bk>
      <rc t="2" v="13844"/>
    </bk>
    <bk>
      <rc t="2" v="13845"/>
    </bk>
    <bk>
      <rc t="2" v="13846"/>
    </bk>
    <bk>
      <rc t="2" v="13847"/>
    </bk>
    <bk>
      <rc t="2" v="13848"/>
    </bk>
    <bk>
      <rc t="2" v="13849"/>
    </bk>
    <bk>
      <rc t="2" v="13850"/>
    </bk>
    <bk>
      <rc t="2" v="13851"/>
    </bk>
    <bk>
      <rc t="2" v="13852"/>
    </bk>
    <bk>
      <rc t="2" v="13853"/>
    </bk>
    <bk>
      <rc t="2" v="13854"/>
    </bk>
    <bk>
      <rc t="2" v="13855"/>
    </bk>
    <bk>
      <rc t="2" v="13856"/>
    </bk>
    <bk>
      <rc t="2" v="13857"/>
    </bk>
    <bk>
      <rc t="2" v="13858"/>
    </bk>
    <bk>
      <rc t="2" v="13859"/>
    </bk>
    <bk>
      <rc t="2" v="13860"/>
    </bk>
    <bk>
      <rc t="2" v="13861"/>
    </bk>
    <bk>
      <rc t="2" v="13862"/>
    </bk>
    <bk>
      <rc t="2" v="13863"/>
    </bk>
    <bk>
      <rc t="2" v="13864"/>
    </bk>
    <bk>
      <rc t="2" v="13865"/>
    </bk>
    <bk>
      <rc t="2" v="13866"/>
    </bk>
    <bk>
      <rc t="2" v="13867"/>
    </bk>
    <bk>
      <rc t="2" v="13868"/>
    </bk>
    <bk>
      <rc t="2" v="13869"/>
    </bk>
    <bk>
      <rc t="2" v="13870"/>
    </bk>
    <bk>
      <rc t="2" v="13871"/>
    </bk>
    <bk>
      <rc t="2" v="13872"/>
    </bk>
    <bk>
      <rc t="2" v="13873"/>
    </bk>
    <bk>
      <rc t="2" v="13874"/>
    </bk>
    <bk>
      <rc t="2" v="13875"/>
    </bk>
    <bk>
      <rc t="2" v="13876"/>
    </bk>
    <bk>
      <rc t="2" v="13877"/>
    </bk>
    <bk>
      <rc t="2" v="13878"/>
    </bk>
    <bk>
      <rc t="2" v="13879"/>
    </bk>
    <bk>
      <rc t="2" v="13880"/>
    </bk>
    <bk>
      <rc t="2" v="13881"/>
    </bk>
    <bk>
      <rc t="2" v="13882"/>
    </bk>
    <bk>
      <rc t="2" v="13883"/>
    </bk>
    <bk>
      <rc t="2" v="13884"/>
    </bk>
    <bk>
      <rc t="2" v="13885"/>
    </bk>
    <bk>
      <rc t="2" v="13886"/>
    </bk>
    <bk>
      <rc t="2" v="13887"/>
    </bk>
    <bk>
      <rc t="2" v="13888"/>
    </bk>
    <bk>
      <rc t="2" v="13889"/>
    </bk>
    <bk>
      <rc t="2" v="13890"/>
    </bk>
    <bk>
      <rc t="2" v="13891"/>
    </bk>
    <bk>
      <rc t="2" v="13892"/>
    </bk>
    <bk>
      <rc t="2" v="13893"/>
    </bk>
    <bk>
      <rc t="2" v="13894"/>
    </bk>
    <bk>
      <rc t="2" v="13895"/>
    </bk>
    <bk>
      <rc t="2" v="13896"/>
    </bk>
    <bk>
      <rc t="2" v="13897"/>
    </bk>
    <bk>
      <rc t="2" v="13898"/>
    </bk>
    <bk>
      <rc t="2" v="13899"/>
    </bk>
    <bk>
      <rc t="2" v="13900"/>
    </bk>
    <bk>
      <rc t="2" v="13901"/>
    </bk>
    <bk>
      <rc t="2" v="13902"/>
    </bk>
    <bk>
      <rc t="2" v="13903"/>
    </bk>
    <bk>
      <rc t="2" v="13904"/>
    </bk>
    <bk>
      <rc t="2" v="13905"/>
    </bk>
    <bk>
      <rc t="2" v="13906"/>
    </bk>
    <bk>
      <rc t="2" v="13907"/>
    </bk>
    <bk>
      <rc t="2" v="13908"/>
    </bk>
    <bk>
      <rc t="2" v="13909"/>
    </bk>
    <bk>
      <rc t="2" v="13910"/>
    </bk>
    <bk>
      <rc t="2" v="13911"/>
    </bk>
    <bk>
      <rc t="2" v="13912"/>
    </bk>
    <bk>
      <rc t="2" v="13913"/>
    </bk>
    <bk>
      <rc t="2" v="13914"/>
    </bk>
    <bk>
      <rc t="2" v="13915"/>
    </bk>
    <bk>
      <rc t="2" v="13916"/>
    </bk>
    <bk>
      <rc t="2" v="13917"/>
    </bk>
    <bk>
      <rc t="2" v="13918"/>
    </bk>
    <bk>
      <rc t="2" v="13919"/>
    </bk>
    <bk>
      <rc t="2" v="13920"/>
    </bk>
    <bk>
      <rc t="2" v="13921"/>
    </bk>
    <bk>
      <rc t="2" v="13922"/>
    </bk>
    <bk>
      <rc t="2" v="13923"/>
    </bk>
    <bk>
      <rc t="2" v="13924"/>
    </bk>
    <bk>
      <rc t="2" v="13925"/>
    </bk>
    <bk>
      <rc t="2" v="13926"/>
    </bk>
    <bk>
      <rc t="2" v="13927"/>
    </bk>
    <bk>
      <rc t="2" v="13928"/>
    </bk>
    <bk>
      <rc t="2" v="13929"/>
    </bk>
    <bk>
      <rc t="2" v="13930"/>
    </bk>
    <bk>
      <rc t="2" v="13931"/>
    </bk>
    <bk>
      <rc t="2" v="13932"/>
    </bk>
    <bk>
      <rc t="2" v="13933"/>
    </bk>
    <bk>
      <rc t="2" v="13934"/>
    </bk>
    <bk>
      <rc t="2" v="13935"/>
    </bk>
    <bk>
      <rc t="2" v="13936"/>
    </bk>
    <bk>
      <rc t="2" v="13937"/>
    </bk>
    <bk>
      <rc t="2" v="13938"/>
    </bk>
    <bk>
      <rc t="2" v="13939"/>
    </bk>
    <bk>
      <rc t="2" v="13940"/>
    </bk>
    <bk>
      <rc t="2" v="13941"/>
    </bk>
    <bk>
      <rc t="2" v="13942"/>
    </bk>
    <bk>
      <rc t="2" v="13943"/>
    </bk>
    <bk>
      <rc t="2" v="13944"/>
    </bk>
    <bk>
      <rc t="2" v="13945"/>
    </bk>
    <bk>
      <rc t="2" v="13946"/>
    </bk>
    <bk>
      <rc t="2" v="13947"/>
    </bk>
    <bk>
      <rc t="2" v="13948"/>
    </bk>
    <bk>
      <rc t="2" v="13949"/>
    </bk>
    <bk>
      <rc t="2" v="13950"/>
    </bk>
    <bk>
      <rc t="2" v="13951"/>
    </bk>
    <bk>
      <rc t="2" v="13952"/>
    </bk>
    <bk>
      <rc t="2" v="13953"/>
    </bk>
    <bk>
      <rc t="2" v="13954"/>
    </bk>
    <bk>
      <rc t="2" v="13955"/>
    </bk>
    <bk>
      <rc t="2" v="13956"/>
    </bk>
    <bk>
      <rc t="2" v="13957"/>
    </bk>
    <bk>
      <rc t="2" v="13958"/>
    </bk>
    <bk>
      <rc t="2" v="13959"/>
    </bk>
    <bk>
      <rc t="2" v="13960"/>
    </bk>
    <bk>
      <rc t="2" v="13961"/>
    </bk>
    <bk>
      <rc t="2" v="13962"/>
    </bk>
    <bk>
      <rc t="2" v="13963"/>
    </bk>
    <bk>
      <rc t="2" v="13964"/>
    </bk>
    <bk>
      <rc t="2" v="13965"/>
    </bk>
    <bk>
      <rc t="2" v="13966"/>
    </bk>
    <bk>
      <rc t="2" v="13967"/>
    </bk>
    <bk>
      <rc t="2" v="13968"/>
    </bk>
    <bk>
      <rc t="2" v="13969"/>
    </bk>
    <bk>
      <rc t="2" v="13970"/>
    </bk>
    <bk>
      <rc t="2" v="13971"/>
    </bk>
    <bk>
      <rc t="2" v="13972"/>
    </bk>
    <bk>
      <rc t="2" v="13973"/>
    </bk>
    <bk>
      <rc t="2" v="13974"/>
    </bk>
    <bk>
      <rc t="2" v="13975"/>
    </bk>
    <bk>
      <rc t="2" v="13976"/>
    </bk>
    <bk>
      <rc t="2" v="13977"/>
    </bk>
    <bk>
      <rc t="2" v="13978"/>
    </bk>
    <bk>
      <rc t="2" v="13979"/>
    </bk>
    <bk>
      <rc t="2" v="13980"/>
    </bk>
    <bk>
      <rc t="2" v="13981"/>
    </bk>
    <bk>
      <rc t="2" v="13982"/>
    </bk>
    <bk>
      <rc t="2" v="13983"/>
    </bk>
    <bk>
      <rc t="2" v="13984"/>
    </bk>
    <bk>
      <rc t="2" v="13985"/>
    </bk>
    <bk>
      <rc t="2" v="13986"/>
    </bk>
    <bk>
      <rc t="2" v="13987"/>
    </bk>
    <bk>
      <rc t="2" v="13988"/>
    </bk>
    <bk>
      <rc t="2" v="13989"/>
    </bk>
    <bk>
      <rc t="2" v="13990"/>
    </bk>
    <bk>
      <rc t="2" v="13991"/>
    </bk>
    <bk>
      <rc t="2" v="13992"/>
    </bk>
    <bk>
      <rc t="2" v="13993"/>
    </bk>
    <bk>
      <rc t="2" v="13994"/>
    </bk>
    <bk>
      <rc t="2" v="13995"/>
    </bk>
    <bk>
      <rc t="2" v="13996"/>
    </bk>
    <bk>
      <rc t="2" v="13997"/>
    </bk>
    <bk>
      <rc t="2" v="13998"/>
    </bk>
    <bk>
      <rc t="2" v="13999"/>
    </bk>
    <bk>
      <rc t="2" v="14000"/>
    </bk>
    <bk>
      <rc t="2" v="14001"/>
    </bk>
    <bk>
      <rc t="2" v="14002"/>
    </bk>
    <bk>
      <rc t="2" v="14003"/>
    </bk>
    <bk>
      <rc t="2" v="14004"/>
    </bk>
    <bk>
      <rc t="2" v="14005"/>
    </bk>
    <bk>
      <rc t="2" v="14006"/>
    </bk>
    <bk>
      <rc t="2" v="14007"/>
    </bk>
    <bk>
      <rc t="2" v="14008"/>
    </bk>
    <bk>
      <rc t="2" v="14009"/>
    </bk>
    <bk>
      <rc t="2" v="14010"/>
    </bk>
    <bk>
      <rc t="2" v="14011"/>
    </bk>
    <bk>
      <rc t="2" v="14012"/>
    </bk>
    <bk>
      <rc t="2" v="14013"/>
    </bk>
    <bk>
      <rc t="2" v="14014"/>
    </bk>
    <bk>
      <rc t="2" v="14015"/>
    </bk>
    <bk>
      <rc t="2" v="14016"/>
    </bk>
    <bk>
      <rc t="2" v="14017"/>
    </bk>
    <bk>
      <rc t="2" v="14018"/>
    </bk>
    <bk>
      <rc t="2" v="14019"/>
    </bk>
    <bk>
      <rc t="2" v="14020"/>
    </bk>
    <bk>
      <rc t="2" v="14021"/>
    </bk>
    <bk>
      <rc t="2" v="14022"/>
    </bk>
    <bk>
      <rc t="2" v="14023"/>
    </bk>
    <bk>
      <rc t="2" v="14024"/>
    </bk>
    <bk>
      <rc t="2" v="14025"/>
    </bk>
    <bk>
      <rc t="2" v="14026"/>
    </bk>
    <bk>
      <rc t="2" v="14027"/>
    </bk>
    <bk>
      <rc t="2" v="14028"/>
    </bk>
    <bk>
      <rc t="2" v="14029"/>
    </bk>
    <bk>
      <rc t="2" v="14030"/>
    </bk>
    <bk>
      <rc t="2" v="14031"/>
    </bk>
    <bk>
      <rc t="2" v="14032"/>
    </bk>
    <bk>
      <rc t="2" v="14033"/>
    </bk>
    <bk>
      <rc t="2" v="14034"/>
    </bk>
    <bk>
      <rc t="2" v="14035"/>
    </bk>
    <bk>
      <rc t="2" v="14036"/>
    </bk>
    <bk>
      <rc t="2" v="14037"/>
    </bk>
    <bk>
      <rc t="2" v="14038"/>
    </bk>
    <bk>
      <rc t="2" v="14039"/>
    </bk>
    <bk>
      <rc t="2" v="14040"/>
    </bk>
    <bk>
      <rc t="2" v="14041"/>
    </bk>
    <bk>
      <rc t="2" v="14042"/>
    </bk>
    <bk>
      <rc t="2" v="14043"/>
    </bk>
    <bk>
      <rc t="2" v="14044"/>
    </bk>
    <bk>
      <rc t="2" v="14045"/>
    </bk>
    <bk>
      <rc t="2" v="14046"/>
    </bk>
    <bk>
      <rc t="2" v="14047"/>
    </bk>
    <bk>
      <rc t="2" v="14048"/>
    </bk>
    <bk>
      <rc t="2" v="14049"/>
    </bk>
    <bk>
      <rc t="2" v="14050"/>
    </bk>
    <bk>
      <rc t="2" v="14051"/>
    </bk>
    <bk>
      <rc t="2" v="14052"/>
    </bk>
    <bk>
      <rc t="2" v="14053"/>
    </bk>
    <bk>
      <rc t="2" v="14054"/>
    </bk>
    <bk>
      <rc t="2" v="14055"/>
    </bk>
    <bk>
      <rc t="2" v="14056"/>
    </bk>
    <bk>
      <rc t="2" v="14057"/>
    </bk>
    <bk>
      <rc t="2" v="14058"/>
    </bk>
    <bk>
      <rc t="2" v="14059"/>
    </bk>
    <bk>
      <rc t="2" v="14060"/>
    </bk>
    <bk>
      <rc t="2" v="14061"/>
    </bk>
    <bk>
      <rc t="2" v="14062"/>
    </bk>
    <bk>
      <rc t="2" v="14063"/>
    </bk>
    <bk>
      <rc t="2" v="14064"/>
    </bk>
    <bk>
      <rc t="2" v="14065"/>
    </bk>
    <bk>
      <rc t="2" v="14066"/>
    </bk>
    <bk>
      <rc t="2" v="14067"/>
    </bk>
    <bk>
      <rc t="2" v="14068"/>
    </bk>
    <bk>
      <rc t="2" v="14069"/>
    </bk>
    <bk>
      <rc t="2" v="14070"/>
    </bk>
    <bk>
      <rc t="2" v="14071"/>
    </bk>
    <bk>
      <rc t="2" v="14072"/>
    </bk>
    <bk>
      <rc t="2" v="14073"/>
    </bk>
    <bk>
      <rc t="2" v="14074"/>
    </bk>
    <bk>
      <rc t="2" v="14075"/>
    </bk>
    <bk>
      <rc t="2" v="14076"/>
    </bk>
    <bk>
      <rc t="2" v="14077"/>
    </bk>
    <bk>
      <rc t="2" v="14078"/>
    </bk>
    <bk>
      <rc t="2" v="14079"/>
    </bk>
    <bk>
      <rc t="2" v="14080"/>
    </bk>
    <bk>
      <rc t="2" v="14081"/>
    </bk>
    <bk>
      <rc t="2" v="14082"/>
    </bk>
    <bk>
      <rc t="2" v="14083"/>
    </bk>
    <bk>
      <rc t="2" v="14084"/>
    </bk>
    <bk>
      <rc t="2" v="14085"/>
    </bk>
    <bk>
      <rc t="2" v="14086"/>
    </bk>
    <bk>
      <rc t="2" v="14087"/>
    </bk>
    <bk>
      <rc t="2" v="14088"/>
    </bk>
    <bk>
      <rc t="2" v="14089"/>
    </bk>
    <bk>
      <rc t="2" v="14090"/>
    </bk>
    <bk>
      <rc t="2" v="14091"/>
    </bk>
    <bk>
      <rc t="2" v="14092"/>
    </bk>
    <bk>
      <rc t="2" v="14093"/>
    </bk>
    <bk>
      <rc t="2" v="14094"/>
    </bk>
    <bk>
      <rc t="2" v="14095"/>
    </bk>
    <bk>
      <rc t="2" v="14096"/>
    </bk>
    <bk>
      <rc t="2" v="14097"/>
    </bk>
    <bk>
      <rc t="2" v="14098"/>
    </bk>
    <bk>
      <rc t="2" v="14099"/>
    </bk>
    <bk>
      <rc t="2" v="14100"/>
    </bk>
    <bk>
      <rc t="2" v="14101"/>
    </bk>
    <bk>
      <rc t="2" v="14102"/>
    </bk>
    <bk>
      <rc t="2" v="14103"/>
    </bk>
    <bk>
      <rc t="2" v="14104"/>
    </bk>
    <bk>
      <rc t="2" v="14105"/>
    </bk>
    <bk>
      <rc t="2" v="14106"/>
    </bk>
    <bk>
      <rc t="2" v="14107"/>
    </bk>
    <bk>
      <rc t="2" v="14108"/>
    </bk>
    <bk>
      <rc t="2" v="14109"/>
    </bk>
    <bk>
      <rc t="2" v="14110"/>
    </bk>
    <bk>
      <rc t="2" v="14111"/>
    </bk>
    <bk>
      <rc t="2" v="14112"/>
    </bk>
    <bk>
      <rc t="2" v="14113"/>
    </bk>
    <bk>
      <rc t="2" v="14114"/>
    </bk>
    <bk>
      <rc t="2" v="14115"/>
    </bk>
    <bk>
      <rc t="2" v="14116"/>
    </bk>
    <bk>
      <rc t="2" v="14117"/>
    </bk>
    <bk>
      <rc t="2" v="14118"/>
    </bk>
    <bk>
      <rc t="2" v="14119"/>
    </bk>
    <bk>
      <rc t="2" v="14120"/>
    </bk>
    <bk>
      <rc t="2" v="14121"/>
    </bk>
    <bk>
      <rc t="2" v="14122"/>
    </bk>
    <bk>
      <rc t="2" v="14123"/>
    </bk>
    <bk>
      <rc t="2" v="14124"/>
    </bk>
    <bk>
      <rc t="2" v="14125"/>
    </bk>
    <bk>
      <rc t="2" v="14126"/>
    </bk>
    <bk>
      <rc t="2" v="14127"/>
    </bk>
    <bk>
      <rc t="2" v="14128"/>
    </bk>
    <bk>
      <rc t="2" v="14129"/>
    </bk>
    <bk>
      <rc t="2" v="14130"/>
    </bk>
    <bk>
      <rc t="2" v="14131"/>
    </bk>
    <bk>
      <rc t="2" v="14132"/>
    </bk>
    <bk>
      <rc t="2" v="14133"/>
    </bk>
    <bk>
      <rc t="2" v="14134"/>
    </bk>
    <bk>
      <rc t="2" v="14135"/>
    </bk>
    <bk>
      <rc t="2" v="14136"/>
    </bk>
    <bk>
      <rc t="2" v="14137"/>
    </bk>
    <bk>
      <rc t="2" v="14138"/>
    </bk>
    <bk>
      <rc t="2" v="14139"/>
    </bk>
    <bk>
      <rc t="2" v="14140"/>
    </bk>
    <bk>
      <rc t="2" v="14141"/>
    </bk>
    <bk>
      <rc t="2" v="14142"/>
    </bk>
    <bk>
      <rc t="2" v="14143"/>
    </bk>
    <bk>
      <rc t="2" v="14144"/>
    </bk>
    <bk>
      <rc t="2" v="14145"/>
    </bk>
    <bk>
      <rc t="2" v="14146"/>
    </bk>
    <bk>
      <rc t="2" v="14147"/>
    </bk>
    <bk>
      <rc t="2" v="14148"/>
    </bk>
    <bk>
      <rc t="2" v="14149"/>
    </bk>
    <bk>
      <rc t="2" v="14150"/>
    </bk>
    <bk>
      <rc t="2" v="14151"/>
    </bk>
    <bk>
      <rc t="2" v="14152"/>
    </bk>
    <bk>
      <rc t="2" v="14153"/>
    </bk>
    <bk>
      <rc t="2" v="14154"/>
    </bk>
    <bk>
      <rc t="2" v="14155"/>
    </bk>
    <bk>
      <rc t="2" v="14156"/>
    </bk>
    <bk>
      <rc t="2" v="14157"/>
    </bk>
    <bk>
      <rc t="2" v="14158"/>
    </bk>
    <bk>
      <rc t="2" v="14159"/>
    </bk>
    <bk>
      <rc t="2" v="14160"/>
    </bk>
    <bk>
      <rc t="2" v="14161"/>
    </bk>
    <bk>
      <rc t="2" v="14162"/>
    </bk>
    <bk>
      <rc t="2" v="14163"/>
    </bk>
    <bk>
      <rc t="2" v="14164"/>
    </bk>
    <bk>
      <rc t="2" v="14165"/>
    </bk>
    <bk>
      <rc t="2" v="14166"/>
    </bk>
    <bk>
      <rc t="2" v="14167"/>
    </bk>
    <bk>
      <rc t="2" v="14168"/>
    </bk>
    <bk>
      <rc t="2" v="14169"/>
    </bk>
    <bk>
      <rc t="2" v="14170"/>
    </bk>
    <bk>
      <rc t="2" v="14171"/>
    </bk>
    <bk>
      <rc t="2" v="14172"/>
    </bk>
    <bk>
      <rc t="2" v="14173"/>
    </bk>
    <bk>
      <rc t="2" v="14174"/>
    </bk>
    <bk>
      <rc t="2" v="14175"/>
    </bk>
    <bk>
      <rc t="2" v="14176"/>
    </bk>
    <bk>
      <rc t="2" v="14177"/>
    </bk>
    <bk>
      <rc t="2" v="14178"/>
    </bk>
    <bk>
      <rc t="2" v="14179"/>
    </bk>
    <bk>
      <rc t="2" v="14180"/>
    </bk>
    <bk>
      <rc t="2" v="14181"/>
    </bk>
    <bk>
      <rc t="2" v="14182"/>
    </bk>
    <bk>
      <rc t="2" v="14183"/>
    </bk>
    <bk>
      <rc t="2" v="14184"/>
    </bk>
    <bk>
      <rc t="2" v="14185"/>
    </bk>
    <bk>
      <rc t="2" v="14186"/>
    </bk>
    <bk>
      <rc t="2" v="14187"/>
    </bk>
    <bk>
      <rc t="2" v="14188"/>
    </bk>
    <bk>
      <rc t="2" v="14189"/>
    </bk>
    <bk>
      <rc t="2" v="14190"/>
    </bk>
    <bk>
      <rc t="2" v="14191"/>
    </bk>
    <bk>
      <rc t="2" v="14192"/>
    </bk>
    <bk>
      <rc t="2" v="14193"/>
    </bk>
    <bk>
      <rc t="2" v="14194"/>
    </bk>
    <bk>
      <rc t="2" v="14195"/>
    </bk>
    <bk>
      <rc t="2" v="14196"/>
    </bk>
    <bk>
      <rc t="2" v="14197"/>
    </bk>
    <bk>
      <rc t="2" v="14198"/>
    </bk>
    <bk>
      <rc t="2" v="14199"/>
    </bk>
    <bk>
      <rc t="2" v="14200"/>
    </bk>
    <bk>
      <rc t="2" v="14201"/>
    </bk>
    <bk>
      <rc t="2" v="14202"/>
    </bk>
    <bk>
      <rc t="2" v="14203"/>
    </bk>
    <bk>
      <rc t="2" v="14204"/>
    </bk>
    <bk>
      <rc t="2" v="14205"/>
    </bk>
    <bk>
      <rc t="2" v="14206"/>
    </bk>
    <bk>
      <rc t="2" v="14207"/>
    </bk>
    <bk>
      <rc t="2" v="14208"/>
    </bk>
    <bk>
      <rc t="2" v="14209"/>
    </bk>
    <bk>
      <rc t="2" v="14210"/>
    </bk>
    <bk>
      <rc t="2" v="14211"/>
    </bk>
    <bk>
      <rc t="2" v="14212"/>
    </bk>
    <bk>
      <rc t="2" v="14213"/>
    </bk>
    <bk>
      <rc t="2" v="14214"/>
    </bk>
    <bk>
      <rc t="2" v="14215"/>
    </bk>
    <bk>
      <rc t="2" v="14216"/>
    </bk>
    <bk>
      <rc t="2" v="14217"/>
    </bk>
    <bk>
      <rc t="2" v="14218"/>
    </bk>
    <bk>
      <rc t="2" v="14219"/>
    </bk>
    <bk>
      <rc t="2" v="14220"/>
    </bk>
    <bk>
      <rc t="2" v="14221"/>
    </bk>
    <bk>
      <rc t="2" v="14222"/>
    </bk>
    <bk>
      <rc t="2" v="14223"/>
    </bk>
    <bk>
      <rc t="2" v="14224"/>
    </bk>
    <bk>
      <rc t="2" v="14225"/>
    </bk>
    <bk>
      <rc t="2" v="14226"/>
    </bk>
    <bk>
      <rc t="2" v="14227"/>
    </bk>
    <bk>
      <rc t="2" v="14228"/>
    </bk>
    <bk>
      <rc t="2" v="14229"/>
    </bk>
    <bk>
      <rc t="2" v="14230"/>
    </bk>
    <bk>
      <rc t="2" v="14231"/>
    </bk>
    <bk>
      <rc t="2" v="14232"/>
    </bk>
    <bk>
      <rc t="2" v="14233"/>
    </bk>
    <bk>
      <rc t="2" v="14234"/>
    </bk>
    <bk>
      <rc t="2" v="14235"/>
    </bk>
    <bk>
      <rc t="2" v="14236"/>
    </bk>
    <bk>
      <rc t="2" v="14237"/>
    </bk>
    <bk>
      <rc t="2" v="14238"/>
    </bk>
    <bk>
      <rc t="2" v="14239"/>
    </bk>
    <bk>
      <rc t="2" v="14240"/>
    </bk>
    <bk>
      <rc t="2" v="14241"/>
    </bk>
    <bk>
      <rc t="2" v="14242"/>
    </bk>
    <bk>
      <rc t="2" v="14243"/>
    </bk>
    <bk>
      <rc t="2" v="14244"/>
    </bk>
    <bk>
      <rc t="2" v="14245"/>
    </bk>
    <bk>
      <rc t="2" v="14246"/>
    </bk>
    <bk>
      <rc t="2" v="14247"/>
    </bk>
    <bk>
      <rc t="2" v="14248"/>
    </bk>
    <bk>
      <rc t="2" v="14249"/>
    </bk>
    <bk>
      <rc t="2" v="14250"/>
    </bk>
    <bk>
      <rc t="2" v="14251"/>
    </bk>
    <bk>
      <rc t="2" v="14252"/>
    </bk>
    <bk>
      <rc t="2" v="14253"/>
    </bk>
    <bk>
      <rc t="2" v="14254"/>
    </bk>
    <bk>
      <rc t="2" v="14255"/>
    </bk>
    <bk>
      <rc t="2" v="14256"/>
    </bk>
    <bk>
      <rc t="2" v="14257"/>
    </bk>
    <bk>
      <rc t="2" v="14258"/>
    </bk>
    <bk>
      <rc t="2" v="14259"/>
    </bk>
    <bk>
      <rc t="2" v="14260"/>
    </bk>
    <bk>
      <rc t="2" v="14261"/>
    </bk>
    <bk>
      <rc t="2" v="14262"/>
    </bk>
    <bk>
      <rc t="2" v="14263"/>
    </bk>
    <bk>
      <rc t="2" v="14264"/>
    </bk>
    <bk>
      <rc t="2" v="14265"/>
    </bk>
    <bk>
      <rc t="2" v="14266"/>
    </bk>
    <bk>
      <rc t="2" v="14267"/>
    </bk>
    <bk>
      <rc t="2" v="14268"/>
    </bk>
    <bk>
      <rc t="2" v="14269"/>
    </bk>
    <bk>
      <rc t="2" v="14270"/>
    </bk>
    <bk>
      <rc t="2" v="14271"/>
    </bk>
    <bk>
      <rc t="2" v="14272"/>
    </bk>
    <bk>
      <rc t="2" v="14273"/>
    </bk>
    <bk>
      <rc t="2" v="14274"/>
    </bk>
    <bk>
      <rc t="2" v="14275"/>
    </bk>
    <bk>
      <rc t="2" v="14276"/>
    </bk>
    <bk>
      <rc t="2" v="14277"/>
    </bk>
    <bk>
      <rc t="2" v="14278"/>
    </bk>
    <bk>
      <rc t="2" v="14279"/>
    </bk>
    <bk>
      <rc t="2" v="14280"/>
    </bk>
    <bk>
      <rc t="2" v="14281"/>
    </bk>
    <bk>
      <rc t="2" v="14282"/>
    </bk>
    <bk>
      <rc t="2" v="14283"/>
    </bk>
    <bk>
      <rc t="2" v="14284"/>
    </bk>
    <bk>
      <rc t="2" v="14285"/>
    </bk>
    <bk>
      <rc t="2" v="14286"/>
    </bk>
    <bk>
      <rc t="2" v="14287"/>
    </bk>
    <bk>
      <rc t="2" v="14288"/>
    </bk>
    <bk>
      <rc t="2" v="14289"/>
    </bk>
    <bk>
      <rc t="2" v="14290"/>
    </bk>
    <bk>
      <rc t="2" v="14291"/>
    </bk>
    <bk>
      <rc t="2" v="14292"/>
    </bk>
    <bk>
      <rc t="2" v="14293"/>
    </bk>
    <bk>
      <rc t="2" v="14294"/>
    </bk>
    <bk>
      <rc t="2" v="14295"/>
    </bk>
    <bk>
      <rc t="2" v="14296"/>
    </bk>
    <bk>
      <rc t="2" v="14297"/>
    </bk>
    <bk>
      <rc t="2" v="14298"/>
    </bk>
    <bk>
      <rc t="2" v="14299"/>
    </bk>
    <bk>
      <rc t="2" v="14300"/>
    </bk>
    <bk>
      <rc t="2" v="14301"/>
    </bk>
    <bk>
      <rc t="2" v="14302"/>
    </bk>
    <bk>
      <rc t="2" v="14303"/>
    </bk>
    <bk>
      <rc t="2" v="14304"/>
    </bk>
    <bk>
      <rc t="2" v="14305"/>
    </bk>
    <bk>
      <rc t="2" v="14306"/>
    </bk>
    <bk>
      <rc t="2" v="14307"/>
    </bk>
    <bk>
      <rc t="2" v="14308"/>
    </bk>
    <bk>
      <rc t="2" v="14309"/>
    </bk>
    <bk>
      <rc t="2" v="14310"/>
    </bk>
    <bk>
      <rc t="2" v="14311"/>
    </bk>
    <bk>
      <rc t="2" v="14312"/>
    </bk>
    <bk>
      <rc t="2" v="14313"/>
    </bk>
    <bk>
      <rc t="2" v="14314"/>
    </bk>
    <bk>
      <rc t="2" v="14315"/>
    </bk>
    <bk>
      <rc t="2" v="14316"/>
    </bk>
    <bk>
      <rc t="2" v="14317"/>
    </bk>
    <bk>
      <rc t="2" v="14318"/>
    </bk>
    <bk>
      <rc t="2" v="14319"/>
    </bk>
    <bk>
      <rc t="2" v="14320"/>
    </bk>
    <bk>
      <rc t="2" v="14321"/>
    </bk>
    <bk>
      <rc t="2" v="14322"/>
    </bk>
    <bk>
      <rc t="2" v="14323"/>
    </bk>
    <bk>
      <rc t="2" v="14324"/>
    </bk>
    <bk>
      <rc t="2" v="14325"/>
    </bk>
    <bk>
      <rc t="2" v="14326"/>
    </bk>
    <bk>
      <rc t="2" v="14327"/>
    </bk>
    <bk>
      <rc t="2" v="14328"/>
    </bk>
    <bk>
      <rc t="2" v="14329"/>
    </bk>
    <bk>
      <rc t="2" v="14330"/>
    </bk>
    <bk>
      <rc t="2" v="14331"/>
    </bk>
    <bk>
      <rc t="2" v="14332"/>
    </bk>
    <bk>
      <rc t="2" v="14333"/>
    </bk>
    <bk>
      <rc t="2" v="14334"/>
    </bk>
    <bk>
      <rc t="2" v="14335"/>
    </bk>
    <bk>
      <rc t="2" v="14336"/>
    </bk>
    <bk>
      <rc t="2" v="14337"/>
    </bk>
    <bk>
      <rc t="2" v="14338"/>
    </bk>
    <bk>
      <rc t="2" v="14339"/>
    </bk>
    <bk>
      <rc t="2" v="14340"/>
    </bk>
    <bk>
      <rc t="2" v="14341"/>
    </bk>
    <bk>
      <rc t="2" v="14342"/>
    </bk>
    <bk>
      <rc t="2" v="14343"/>
    </bk>
    <bk>
      <rc t="2" v="14344"/>
    </bk>
    <bk>
      <rc t="2" v="14345"/>
    </bk>
    <bk>
      <rc t="2" v="14346"/>
    </bk>
    <bk>
      <rc t="2" v="14347"/>
    </bk>
    <bk>
      <rc t="2" v="14348"/>
    </bk>
    <bk>
      <rc t="2" v="14349"/>
    </bk>
    <bk>
      <rc t="2" v="14350"/>
    </bk>
    <bk>
      <rc t="2" v="14351"/>
    </bk>
    <bk>
      <rc t="2" v="14352"/>
    </bk>
    <bk>
      <rc t="2" v="14353"/>
    </bk>
    <bk>
      <rc t="2" v="14354"/>
    </bk>
    <bk>
      <rc t="2" v="14355"/>
    </bk>
    <bk>
      <rc t="2" v="14356"/>
    </bk>
    <bk>
      <rc t="2" v="14357"/>
    </bk>
    <bk>
      <rc t="2" v="14358"/>
    </bk>
    <bk>
      <rc t="2" v="14359"/>
    </bk>
    <bk>
      <rc t="2" v="14360"/>
    </bk>
    <bk>
      <rc t="2" v="14361"/>
    </bk>
    <bk>
      <rc t="2" v="14362"/>
    </bk>
    <bk>
      <rc t="2" v="14363"/>
    </bk>
    <bk>
      <rc t="2" v="14364"/>
    </bk>
    <bk>
      <rc t="2" v="14365"/>
    </bk>
    <bk>
      <rc t="2" v="14366"/>
    </bk>
    <bk>
      <rc t="2" v="14367"/>
    </bk>
    <bk>
      <rc t="2" v="14368"/>
    </bk>
    <bk>
      <rc t="2" v="14369"/>
    </bk>
    <bk>
      <rc t="2" v="14370"/>
    </bk>
    <bk>
      <rc t="2" v="14371"/>
    </bk>
    <bk>
      <rc t="2" v="14372"/>
    </bk>
    <bk>
      <rc t="2" v="14373"/>
    </bk>
    <bk>
      <rc t="2" v="14374"/>
    </bk>
    <bk>
      <rc t="2" v="14375"/>
    </bk>
    <bk>
      <rc t="2" v="14376"/>
    </bk>
    <bk>
      <rc t="2" v="14377"/>
    </bk>
    <bk>
      <rc t="2" v="14378"/>
    </bk>
    <bk>
      <rc t="2" v="14379"/>
    </bk>
    <bk>
      <rc t="2" v="14380"/>
    </bk>
    <bk>
      <rc t="2" v="14381"/>
    </bk>
    <bk>
      <rc t="2" v="14382"/>
    </bk>
    <bk>
      <rc t="2" v="14383"/>
    </bk>
    <bk>
      <rc t="2" v="14384"/>
    </bk>
    <bk>
      <rc t="2" v="14385"/>
    </bk>
    <bk>
      <rc t="2" v="14386"/>
    </bk>
    <bk>
      <rc t="2" v="14387"/>
    </bk>
    <bk>
      <rc t="2" v="14388"/>
    </bk>
    <bk>
      <rc t="2" v="14389"/>
    </bk>
    <bk>
      <rc t="2" v="14390"/>
    </bk>
    <bk>
      <rc t="2" v="14391"/>
    </bk>
    <bk>
      <rc t="2" v="14392"/>
    </bk>
    <bk>
      <rc t="2" v="14393"/>
    </bk>
    <bk>
      <rc t="2" v="14394"/>
    </bk>
    <bk>
      <rc t="2" v="14395"/>
    </bk>
    <bk>
      <rc t="2" v="14396"/>
    </bk>
    <bk>
      <rc t="2" v="14397"/>
    </bk>
    <bk>
      <rc t="2" v="14398"/>
    </bk>
    <bk>
      <rc t="2" v="14399"/>
    </bk>
    <bk>
      <rc t="2" v="14400"/>
    </bk>
    <bk>
      <rc t="2" v="14401"/>
    </bk>
    <bk>
      <rc t="2" v="14402"/>
    </bk>
    <bk>
      <rc t="2" v="14403"/>
    </bk>
    <bk>
      <rc t="2" v="14404"/>
    </bk>
    <bk>
      <rc t="2" v="14405"/>
    </bk>
    <bk>
      <rc t="2" v="14406"/>
    </bk>
    <bk>
      <rc t="2" v="14407"/>
    </bk>
    <bk>
      <rc t="2" v="14408"/>
    </bk>
    <bk>
      <rc t="2" v="14409"/>
    </bk>
    <bk>
      <rc t="2" v="14410"/>
    </bk>
    <bk>
      <rc t="2" v="14411"/>
    </bk>
    <bk>
      <rc t="2" v="14412"/>
    </bk>
    <bk>
      <rc t="2" v="14413"/>
    </bk>
    <bk>
      <rc t="2" v="14414"/>
    </bk>
    <bk>
      <rc t="2" v="14415"/>
    </bk>
    <bk>
      <rc t="2" v="14416"/>
    </bk>
    <bk>
      <rc t="2" v="14417"/>
    </bk>
    <bk>
      <rc t="2" v="14418"/>
    </bk>
    <bk>
      <rc t="2" v="14419"/>
    </bk>
    <bk>
      <rc t="2" v="14420"/>
    </bk>
    <bk>
      <rc t="2" v="14421"/>
    </bk>
    <bk>
      <rc t="2" v="14422"/>
    </bk>
    <bk>
      <rc t="2" v="14423"/>
    </bk>
    <bk>
      <rc t="2" v="14424"/>
    </bk>
    <bk>
      <rc t="2" v="14425"/>
    </bk>
    <bk>
      <rc t="2" v="14426"/>
    </bk>
    <bk>
      <rc t="2" v="14427"/>
    </bk>
    <bk>
      <rc t="2" v="14428"/>
    </bk>
    <bk>
      <rc t="2" v="14429"/>
    </bk>
    <bk>
      <rc t="2" v="14430"/>
    </bk>
    <bk>
      <rc t="2" v="14431"/>
    </bk>
    <bk>
      <rc t="2" v="14432"/>
    </bk>
    <bk>
      <rc t="2" v="14433"/>
    </bk>
    <bk>
      <rc t="2" v="14434"/>
    </bk>
    <bk>
      <rc t="2" v="14435"/>
    </bk>
    <bk>
      <rc t="2" v="14436"/>
    </bk>
    <bk>
      <rc t="2" v="14437"/>
    </bk>
    <bk>
      <rc t="2" v="14438"/>
    </bk>
    <bk>
      <rc t="2" v="14439"/>
    </bk>
    <bk>
      <rc t="2" v="14440"/>
    </bk>
    <bk>
      <rc t="2" v="14441"/>
    </bk>
    <bk>
      <rc t="2" v="14442"/>
    </bk>
    <bk>
      <rc t="2" v="14443"/>
    </bk>
    <bk>
      <rc t="2" v="14444"/>
    </bk>
    <bk>
      <rc t="2" v="14445"/>
    </bk>
    <bk>
      <rc t="2" v="14446"/>
    </bk>
    <bk>
      <rc t="2" v="14447"/>
    </bk>
    <bk>
      <rc t="2" v="14448"/>
    </bk>
    <bk>
      <rc t="2" v="14449"/>
    </bk>
    <bk>
      <rc t="2" v="14450"/>
    </bk>
    <bk>
      <rc t="2" v="14451"/>
    </bk>
    <bk>
      <rc t="2" v="14452"/>
    </bk>
    <bk>
      <rc t="2" v="14453"/>
    </bk>
    <bk>
      <rc t="2" v="14454"/>
    </bk>
    <bk>
      <rc t="2" v="14455"/>
    </bk>
    <bk>
      <rc t="2" v="14456"/>
    </bk>
    <bk>
      <rc t="2" v="14457"/>
    </bk>
    <bk>
      <rc t="2" v="14458"/>
    </bk>
    <bk>
      <rc t="2" v="14459"/>
    </bk>
    <bk>
      <rc t="2" v="14460"/>
    </bk>
    <bk>
      <rc t="2" v="14461"/>
    </bk>
    <bk>
      <rc t="2" v="14462"/>
    </bk>
    <bk>
      <rc t="2" v="14463"/>
    </bk>
    <bk>
      <rc t="2" v="14464"/>
    </bk>
    <bk>
      <rc t="2" v="14465"/>
    </bk>
    <bk>
      <rc t="2" v="14466"/>
    </bk>
    <bk>
      <rc t="2" v="14467"/>
    </bk>
    <bk>
      <rc t="2" v="14468"/>
    </bk>
    <bk>
      <rc t="2" v="14469"/>
    </bk>
    <bk>
      <rc t="2" v="14470"/>
    </bk>
    <bk>
      <rc t="2" v="14471"/>
    </bk>
    <bk>
      <rc t="2" v="14472"/>
    </bk>
    <bk>
      <rc t="2" v="14473"/>
    </bk>
    <bk>
      <rc t="2" v="14474"/>
    </bk>
    <bk>
      <rc t="2" v="14475"/>
    </bk>
    <bk>
      <rc t="2" v="14476"/>
    </bk>
    <bk>
      <rc t="2" v="14477"/>
    </bk>
    <bk>
      <rc t="2" v="14478"/>
    </bk>
    <bk>
      <rc t="2" v="14479"/>
    </bk>
    <bk>
      <rc t="2" v="14480"/>
    </bk>
    <bk>
      <rc t="2" v="14481"/>
    </bk>
    <bk>
      <rc t="2" v="14482"/>
    </bk>
    <bk>
      <rc t="2" v="14483"/>
    </bk>
    <bk>
      <rc t="2" v="14484"/>
    </bk>
    <bk>
      <rc t="2" v="14485"/>
    </bk>
    <bk>
      <rc t="2" v="14486"/>
    </bk>
    <bk>
      <rc t="2" v="14487"/>
    </bk>
    <bk>
      <rc t="2" v="14488"/>
    </bk>
    <bk>
      <rc t="2" v="14489"/>
    </bk>
    <bk>
      <rc t="2" v="14490"/>
    </bk>
    <bk>
      <rc t="2" v="14491"/>
    </bk>
    <bk>
      <rc t="2" v="14492"/>
    </bk>
    <bk>
      <rc t="2" v="14493"/>
    </bk>
    <bk>
      <rc t="2" v="14494"/>
    </bk>
    <bk>
      <rc t="2" v="14495"/>
    </bk>
    <bk>
      <rc t="2" v="14496"/>
    </bk>
    <bk>
      <rc t="2" v="14497"/>
    </bk>
    <bk>
      <rc t="2" v="14498"/>
    </bk>
    <bk>
      <rc t="2" v="14499"/>
    </bk>
    <bk>
      <rc t="2" v="14500"/>
    </bk>
    <bk>
      <rc t="2" v="14501"/>
    </bk>
    <bk>
      <rc t="2" v="14502"/>
    </bk>
    <bk>
      <rc t="2" v="14503"/>
    </bk>
    <bk>
      <rc t="2" v="14504"/>
    </bk>
    <bk>
      <rc t="2" v="14505"/>
    </bk>
    <bk>
      <rc t="2" v="14506"/>
    </bk>
    <bk>
      <rc t="2" v="14507"/>
    </bk>
    <bk>
      <rc t="2" v="14508"/>
    </bk>
    <bk>
      <rc t="2" v="14509"/>
    </bk>
    <bk>
      <rc t="2" v="14510"/>
    </bk>
    <bk>
      <rc t="2" v="14511"/>
    </bk>
    <bk>
      <rc t="2" v="14512"/>
    </bk>
    <bk>
      <rc t="2" v="14513"/>
    </bk>
    <bk>
      <rc t="2" v="14514"/>
    </bk>
    <bk>
      <rc t="2" v="14515"/>
    </bk>
    <bk>
      <rc t="2" v="14516"/>
    </bk>
    <bk>
      <rc t="2" v="14517"/>
    </bk>
    <bk>
      <rc t="2" v="14518"/>
    </bk>
    <bk>
      <rc t="2" v="14519"/>
    </bk>
    <bk>
      <rc t="2" v="14520"/>
    </bk>
    <bk>
      <rc t="2" v="14521"/>
    </bk>
    <bk>
      <rc t="2" v="14522"/>
    </bk>
    <bk>
      <rc t="2" v="14523"/>
    </bk>
    <bk>
      <rc t="2" v="14524"/>
    </bk>
    <bk>
      <rc t="2" v="14525"/>
    </bk>
    <bk>
      <rc t="2" v="14526"/>
    </bk>
    <bk>
      <rc t="2" v="14527"/>
    </bk>
    <bk>
      <rc t="2" v="14528"/>
    </bk>
    <bk>
      <rc t="2" v="14529"/>
    </bk>
    <bk>
      <rc t="2" v="14530"/>
    </bk>
    <bk>
      <rc t="2" v="14531"/>
    </bk>
    <bk>
      <rc t="2" v="14532"/>
    </bk>
    <bk>
      <rc t="2" v="14533"/>
    </bk>
    <bk>
      <rc t="2" v="14534"/>
    </bk>
    <bk>
      <rc t="2" v="14535"/>
    </bk>
    <bk>
      <rc t="2" v="14536"/>
    </bk>
    <bk>
      <rc t="2" v="14537"/>
    </bk>
    <bk>
      <rc t="2" v="14538"/>
    </bk>
    <bk>
      <rc t="2" v="14539"/>
    </bk>
    <bk>
      <rc t="2" v="14540"/>
    </bk>
    <bk>
      <rc t="2" v="14541"/>
    </bk>
    <bk>
      <rc t="2" v="14542"/>
    </bk>
    <bk>
      <rc t="2" v="14543"/>
    </bk>
    <bk>
      <rc t="2" v="14544"/>
    </bk>
    <bk>
      <rc t="2" v="14545"/>
    </bk>
    <bk>
      <rc t="2" v="14546"/>
    </bk>
    <bk>
      <rc t="2" v="14547"/>
    </bk>
    <bk>
      <rc t="2" v="14548"/>
    </bk>
    <bk>
      <rc t="2" v="14549"/>
    </bk>
    <bk>
      <rc t="2" v="14550"/>
    </bk>
    <bk>
      <rc t="2" v="14551"/>
    </bk>
    <bk>
      <rc t="2" v="14552"/>
    </bk>
    <bk>
      <rc t="2" v="14553"/>
    </bk>
    <bk>
      <rc t="2" v="14554"/>
    </bk>
    <bk>
      <rc t="2" v="14555"/>
    </bk>
    <bk>
      <rc t="2" v="14556"/>
    </bk>
    <bk>
      <rc t="2" v="14557"/>
    </bk>
    <bk>
      <rc t="2" v="14558"/>
    </bk>
    <bk>
      <rc t="2" v="14559"/>
    </bk>
    <bk>
      <rc t="2" v="14560"/>
    </bk>
    <bk>
      <rc t="2" v="14561"/>
    </bk>
    <bk>
      <rc t="2" v="14562"/>
    </bk>
    <bk>
      <rc t="2" v="14563"/>
    </bk>
    <bk>
      <rc t="2" v="14564"/>
    </bk>
    <bk>
      <rc t="2" v="14565"/>
    </bk>
    <bk>
      <rc t="2" v="14566"/>
    </bk>
    <bk>
      <rc t="2" v="14567"/>
    </bk>
    <bk>
      <rc t="2" v="14568"/>
    </bk>
    <bk>
      <rc t="2" v="14569"/>
    </bk>
    <bk>
      <rc t="2" v="14570"/>
    </bk>
    <bk>
      <rc t="2" v="14571"/>
    </bk>
    <bk>
      <rc t="2" v="14572"/>
    </bk>
    <bk>
      <rc t="2" v="14573"/>
    </bk>
    <bk>
      <rc t="2" v="14574"/>
    </bk>
    <bk>
      <rc t="2" v="14575"/>
    </bk>
    <bk>
      <rc t="2" v="14576"/>
    </bk>
    <bk>
      <rc t="2" v="14577"/>
    </bk>
    <bk>
      <rc t="2" v="14578"/>
    </bk>
    <bk>
      <rc t="2" v="14579"/>
    </bk>
    <bk>
      <rc t="2" v="14580"/>
    </bk>
    <bk>
      <rc t="2" v="14581"/>
    </bk>
    <bk>
      <rc t="2" v="14582"/>
    </bk>
    <bk>
      <rc t="2" v="14583"/>
    </bk>
    <bk>
      <rc t="2" v="14584"/>
    </bk>
    <bk>
      <rc t="2" v="14585"/>
    </bk>
    <bk>
      <rc t="2" v="14586"/>
    </bk>
    <bk>
      <rc t="2" v="14587"/>
    </bk>
    <bk>
      <rc t="2" v="14588"/>
    </bk>
    <bk>
      <rc t="2" v="14589"/>
    </bk>
    <bk>
      <rc t="2" v="14590"/>
    </bk>
    <bk>
      <rc t="2" v="14591"/>
    </bk>
    <bk>
      <rc t="2" v="14592"/>
    </bk>
    <bk>
      <rc t="2" v="14593"/>
    </bk>
    <bk>
      <rc t="2" v="14594"/>
    </bk>
    <bk>
      <rc t="2" v="14595"/>
    </bk>
    <bk>
      <rc t="2" v="14596"/>
    </bk>
    <bk>
      <rc t="2" v="14597"/>
    </bk>
    <bk>
      <rc t="2" v="14598"/>
    </bk>
    <bk>
      <rc t="2" v="14599"/>
    </bk>
    <bk>
      <rc t="2" v="14600"/>
    </bk>
    <bk>
      <rc t="2" v="14601"/>
    </bk>
    <bk>
      <rc t="2" v="14602"/>
    </bk>
    <bk>
      <rc t="2" v="14603"/>
    </bk>
    <bk>
      <rc t="2" v="14604"/>
    </bk>
    <bk>
      <rc t="2" v="14605"/>
    </bk>
    <bk>
      <rc t="2" v="14606"/>
    </bk>
    <bk>
      <rc t="2" v="14607"/>
    </bk>
    <bk>
      <rc t="2" v="14608"/>
    </bk>
    <bk>
      <rc t="2" v="14609"/>
    </bk>
    <bk>
      <rc t="2" v="14610"/>
    </bk>
    <bk>
      <rc t="2" v="14611"/>
    </bk>
    <bk>
      <rc t="2" v="14612"/>
    </bk>
    <bk>
      <rc t="2" v="14613"/>
    </bk>
    <bk>
      <rc t="2" v="14614"/>
    </bk>
    <bk>
      <rc t="2" v="14615"/>
    </bk>
    <bk>
      <rc t="2" v="14616"/>
    </bk>
    <bk>
      <rc t="2" v="14617"/>
    </bk>
    <bk>
      <rc t="2" v="14618"/>
    </bk>
    <bk>
      <rc t="2" v="14619"/>
    </bk>
    <bk>
      <rc t="2" v="14620"/>
    </bk>
    <bk>
      <rc t="2" v="14621"/>
    </bk>
    <bk>
      <rc t="2" v="14622"/>
    </bk>
    <bk>
      <rc t="2" v="14623"/>
    </bk>
    <bk>
      <rc t="2" v="14624"/>
    </bk>
    <bk>
      <rc t="2" v="14625"/>
    </bk>
    <bk>
      <rc t="2" v="14626"/>
    </bk>
    <bk>
      <rc t="2" v="14627"/>
    </bk>
    <bk>
      <rc t="2" v="14628"/>
    </bk>
    <bk>
      <rc t="2" v="14629"/>
    </bk>
    <bk>
      <rc t="2" v="14630"/>
    </bk>
    <bk>
      <rc t="2" v="14631"/>
    </bk>
    <bk>
      <rc t="2" v="14632"/>
    </bk>
    <bk>
      <rc t="2" v="14633"/>
    </bk>
    <bk>
      <rc t="2" v="14634"/>
    </bk>
    <bk>
      <rc t="2" v="14635"/>
    </bk>
    <bk>
      <rc t="2" v="14636"/>
    </bk>
    <bk>
      <rc t="2" v="14637"/>
    </bk>
    <bk>
      <rc t="2" v="14638"/>
    </bk>
    <bk>
      <rc t="2" v="14639"/>
    </bk>
    <bk>
      <rc t="2" v="14640"/>
    </bk>
    <bk>
      <rc t="2" v="14641"/>
    </bk>
    <bk>
      <rc t="2" v="14642"/>
    </bk>
    <bk>
      <rc t="2" v="14643"/>
    </bk>
    <bk>
      <rc t="2" v="14644"/>
    </bk>
    <bk>
      <rc t="2" v="14645"/>
    </bk>
    <bk>
      <rc t="2" v="14646"/>
    </bk>
    <bk>
      <rc t="2" v="14647"/>
    </bk>
    <bk>
      <rc t="2" v="14648"/>
    </bk>
    <bk>
      <rc t="2" v="14649"/>
    </bk>
    <bk>
      <rc t="2" v="14650"/>
    </bk>
    <bk>
      <rc t="2" v="14651"/>
    </bk>
    <bk>
      <rc t="2" v="14652"/>
    </bk>
    <bk>
      <rc t="2" v="14653"/>
    </bk>
    <bk>
      <rc t="2" v="14654"/>
    </bk>
    <bk>
      <rc t="2" v="14655"/>
    </bk>
    <bk>
      <rc t="2" v="14656"/>
    </bk>
    <bk>
      <rc t="2" v="14657"/>
    </bk>
    <bk>
      <rc t="2" v="14658"/>
    </bk>
    <bk>
      <rc t="2" v="14659"/>
    </bk>
    <bk>
      <rc t="2" v="14660"/>
    </bk>
    <bk>
      <rc t="2" v="14661"/>
    </bk>
    <bk>
      <rc t="2" v="14662"/>
    </bk>
    <bk>
      <rc t="2" v="14663"/>
    </bk>
    <bk>
      <rc t="2" v="14664"/>
    </bk>
    <bk>
      <rc t="2" v="14665"/>
    </bk>
    <bk>
      <rc t="2" v="14666"/>
    </bk>
    <bk>
      <rc t="2" v="14667"/>
    </bk>
    <bk>
      <rc t="2" v="14668"/>
    </bk>
    <bk>
      <rc t="2" v="14669"/>
    </bk>
    <bk>
      <rc t="2" v="14670"/>
    </bk>
    <bk>
      <rc t="2" v="14671"/>
    </bk>
    <bk>
      <rc t="2" v="14672"/>
    </bk>
    <bk>
      <rc t="2" v="14673"/>
    </bk>
    <bk>
      <rc t="2" v="14674"/>
    </bk>
    <bk>
      <rc t="2" v="14675"/>
    </bk>
    <bk>
      <rc t="2" v="14676"/>
    </bk>
    <bk>
      <rc t="2" v="14677"/>
    </bk>
    <bk>
      <rc t="2" v="14678"/>
    </bk>
    <bk>
      <rc t="2" v="14679"/>
    </bk>
    <bk>
      <rc t="2" v="14680"/>
    </bk>
    <bk>
      <rc t="2" v="14681"/>
    </bk>
    <bk>
      <rc t="2" v="14682"/>
    </bk>
    <bk>
      <rc t="2" v="14683"/>
    </bk>
    <bk>
      <rc t="2" v="14684"/>
    </bk>
    <bk>
      <rc t="2" v="14685"/>
    </bk>
    <bk>
      <rc t="2" v="14686"/>
    </bk>
    <bk>
      <rc t="2" v="14687"/>
    </bk>
    <bk>
      <rc t="2" v="14688"/>
    </bk>
    <bk>
      <rc t="2" v="14689"/>
    </bk>
    <bk>
      <rc t="2" v="14690"/>
    </bk>
    <bk>
      <rc t="2" v="14691"/>
    </bk>
    <bk>
      <rc t="2" v="14692"/>
    </bk>
    <bk>
      <rc t="2" v="14693"/>
    </bk>
    <bk>
      <rc t="2" v="14694"/>
    </bk>
    <bk>
      <rc t="2" v="14695"/>
    </bk>
    <bk>
      <rc t="2" v="14696"/>
    </bk>
    <bk>
      <rc t="2" v="14697"/>
    </bk>
    <bk>
      <rc t="2" v="14698"/>
    </bk>
    <bk>
      <rc t="2" v="14699"/>
    </bk>
    <bk>
      <rc t="2" v="14700"/>
    </bk>
    <bk>
      <rc t="2" v="14701"/>
    </bk>
    <bk>
      <rc t="2" v="14702"/>
    </bk>
    <bk>
      <rc t="2" v="14703"/>
    </bk>
    <bk>
      <rc t="2" v="14704"/>
    </bk>
    <bk>
      <rc t="2" v="14705"/>
    </bk>
    <bk>
      <rc t="2" v="14706"/>
    </bk>
    <bk>
      <rc t="2" v="14707"/>
    </bk>
    <bk>
      <rc t="2" v="14708"/>
    </bk>
    <bk>
      <rc t="2" v="14709"/>
    </bk>
    <bk>
      <rc t="2" v="14710"/>
    </bk>
    <bk>
      <rc t="2" v="14711"/>
    </bk>
    <bk>
      <rc t="2" v="14712"/>
    </bk>
    <bk>
      <rc t="2" v="14713"/>
    </bk>
    <bk>
      <rc t="2" v="14714"/>
    </bk>
    <bk>
      <rc t="2" v="14715"/>
    </bk>
    <bk>
      <rc t="2" v="14716"/>
    </bk>
    <bk>
      <rc t="2" v="14717"/>
    </bk>
    <bk>
      <rc t="2" v="14718"/>
    </bk>
    <bk>
      <rc t="2" v="14719"/>
    </bk>
    <bk>
      <rc t="2" v="14720"/>
    </bk>
    <bk>
      <rc t="2" v="14721"/>
    </bk>
    <bk>
      <rc t="2" v="14722"/>
    </bk>
    <bk>
      <rc t="2" v="14723"/>
    </bk>
    <bk>
      <rc t="2" v="14724"/>
    </bk>
    <bk>
      <rc t="2" v="14725"/>
    </bk>
    <bk>
      <rc t="2" v="14726"/>
    </bk>
    <bk>
      <rc t="2" v="14727"/>
    </bk>
    <bk>
      <rc t="2" v="14728"/>
    </bk>
    <bk>
      <rc t="2" v="14729"/>
    </bk>
    <bk>
      <rc t="2" v="14730"/>
    </bk>
    <bk>
      <rc t="2" v="14731"/>
    </bk>
    <bk>
      <rc t="2" v="14732"/>
    </bk>
    <bk>
      <rc t="2" v="14733"/>
    </bk>
    <bk>
      <rc t="2" v="14734"/>
    </bk>
    <bk>
      <rc t="2" v="14735"/>
    </bk>
    <bk>
      <rc t="2" v="14736"/>
    </bk>
    <bk>
      <rc t="2" v="14737"/>
    </bk>
    <bk>
      <rc t="2" v="14738"/>
    </bk>
    <bk>
      <rc t="2" v="14739"/>
    </bk>
    <bk>
      <rc t="2" v="14740"/>
    </bk>
    <bk>
      <rc t="2" v="14741"/>
    </bk>
    <bk>
      <rc t="2" v="14742"/>
    </bk>
    <bk>
      <rc t="2" v="14743"/>
    </bk>
    <bk>
      <rc t="2" v="14744"/>
    </bk>
    <bk>
      <rc t="2" v="14745"/>
    </bk>
    <bk>
      <rc t="2" v="14746"/>
    </bk>
    <bk>
      <rc t="2" v="14747"/>
    </bk>
    <bk>
      <rc t="2" v="14748"/>
    </bk>
    <bk>
      <rc t="2" v="14749"/>
    </bk>
    <bk>
      <rc t="2" v="14750"/>
    </bk>
    <bk>
      <rc t="2" v="14751"/>
    </bk>
    <bk>
      <rc t="2" v="14752"/>
    </bk>
    <bk>
      <rc t="2" v="14753"/>
    </bk>
    <bk>
      <rc t="2" v="14754"/>
    </bk>
    <bk>
      <rc t="2" v="14755"/>
    </bk>
    <bk>
      <rc t="2" v="14756"/>
    </bk>
    <bk>
      <rc t="2" v="14757"/>
    </bk>
    <bk>
      <rc t="2" v="14758"/>
    </bk>
    <bk>
      <rc t="2" v="14759"/>
    </bk>
    <bk>
      <rc t="2" v="14760"/>
    </bk>
    <bk>
      <rc t="2" v="14761"/>
    </bk>
    <bk>
      <rc t="2" v="14762"/>
    </bk>
    <bk>
      <rc t="2" v="14763"/>
    </bk>
    <bk>
      <rc t="2" v="14764"/>
    </bk>
    <bk>
      <rc t="2" v="14765"/>
    </bk>
    <bk>
      <rc t="2" v="14766"/>
    </bk>
    <bk>
      <rc t="2" v="14767"/>
    </bk>
    <bk>
      <rc t="2" v="14768"/>
    </bk>
    <bk>
      <rc t="2" v="14769"/>
    </bk>
    <bk>
      <rc t="2" v="14770"/>
    </bk>
    <bk>
      <rc t="2" v="14771"/>
    </bk>
    <bk>
      <rc t="2" v="14772"/>
    </bk>
    <bk>
      <rc t="2" v="14773"/>
    </bk>
    <bk>
      <rc t="2" v="14774"/>
    </bk>
    <bk>
      <rc t="2" v="14775"/>
    </bk>
    <bk>
      <rc t="2" v="14776"/>
    </bk>
    <bk>
      <rc t="2" v="14777"/>
    </bk>
    <bk>
      <rc t="2" v="14778"/>
    </bk>
    <bk>
      <rc t="2" v="14779"/>
    </bk>
    <bk>
      <rc t="2" v="14780"/>
    </bk>
    <bk>
      <rc t="2" v="14781"/>
    </bk>
    <bk>
      <rc t="2" v="14782"/>
    </bk>
    <bk>
      <rc t="2" v="14783"/>
    </bk>
    <bk>
      <rc t="2" v="14784"/>
    </bk>
    <bk>
      <rc t="2" v="14785"/>
    </bk>
    <bk>
      <rc t="2" v="14786"/>
    </bk>
    <bk>
      <rc t="2" v="14787"/>
    </bk>
    <bk>
      <rc t="2" v="14788"/>
    </bk>
    <bk>
      <rc t="2" v="14789"/>
    </bk>
    <bk>
      <rc t="2" v="14790"/>
    </bk>
    <bk>
      <rc t="2" v="14791"/>
    </bk>
    <bk>
      <rc t="2" v="14792"/>
    </bk>
    <bk>
      <rc t="2" v="14793"/>
    </bk>
    <bk>
      <rc t="2" v="14794"/>
    </bk>
    <bk>
      <rc t="2" v="14795"/>
    </bk>
    <bk>
      <rc t="2" v="14796"/>
    </bk>
    <bk>
      <rc t="2" v="14797"/>
    </bk>
    <bk>
      <rc t="2" v="14798"/>
    </bk>
    <bk>
      <rc t="2" v="14799"/>
    </bk>
    <bk>
      <rc t="2" v="14800"/>
    </bk>
    <bk>
      <rc t="2" v="14801"/>
    </bk>
    <bk>
      <rc t="2" v="14802"/>
    </bk>
    <bk>
      <rc t="2" v="14803"/>
    </bk>
    <bk>
      <rc t="2" v="14804"/>
    </bk>
    <bk>
      <rc t="2" v="14805"/>
    </bk>
    <bk>
      <rc t="2" v="14806"/>
    </bk>
    <bk>
      <rc t="2" v="14807"/>
    </bk>
    <bk>
      <rc t="2" v="14808"/>
    </bk>
    <bk>
      <rc t="2" v="14809"/>
    </bk>
    <bk>
      <rc t="2" v="14810"/>
    </bk>
    <bk>
      <rc t="2" v="14811"/>
    </bk>
    <bk>
      <rc t="2" v="14812"/>
    </bk>
    <bk>
      <rc t="2" v="14813"/>
    </bk>
    <bk>
      <rc t="2" v="14814"/>
    </bk>
    <bk>
      <rc t="2" v="14815"/>
    </bk>
    <bk>
      <rc t="2" v="14816"/>
    </bk>
    <bk>
      <rc t="2" v="14817"/>
    </bk>
    <bk>
      <rc t="2" v="14818"/>
    </bk>
    <bk>
      <rc t="2" v="14819"/>
    </bk>
    <bk>
      <rc t="2" v="14820"/>
    </bk>
    <bk>
      <rc t="2" v="14821"/>
    </bk>
    <bk>
      <rc t="2" v="14822"/>
    </bk>
    <bk>
      <rc t="2" v="14823"/>
    </bk>
    <bk>
      <rc t="2" v="14824"/>
    </bk>
    <bk>
      <rc t="2" v="14825"/>
    </bk>
    <bk>
      <rc t="2" v="14826"/>
    </bk>
    <bk>
      <rc t="2" v="14827"/>
    </bk>
    <bk>
      <rc t="2" v="14828"/>
    </bk>
    <bk>
      <rc t="2" v="14829"/>
    </bk>
    <bk>
      <rc t="2" v="14830"/>
    </bk>
    <bk>
      <rc t="2" v="14831"/>
    </bk>
    <bk>
      <rc t="2" v="14832"/>
    </bk>
    <bk>
      <rc t="2" v="14833"/>
    </bk>
    <bk>
      <rc t="2" v="14834"/>
    </bk>
    <bk>
      <rc t="2" v="14835"/>
    </bk>
    <bk>
      <rc t="2" v="14836"/>
    </bk>
    <bk>
      <rc t="2" v="14837"/>
    </bk>
    <bk>
      <rc t="2" v="14838"/>
    </bk>
    <bk>
      <rc t="2" v="14839"/>
    </bk>
    <bk>
      <rc t="2" v="14840"/>
    </bk>
    <bk>
      <rc t="2" v="14841"/>
    </bk>
    <bk>
      <rc t="2" v="14842"/>
    </bk>
    <bk>
      <rc t="2" v="14843"/>
    </bk>
    <bk>
      <rc t="2" v="14844"/>
    </bk>
    <bk>
      <rc t="2" v="14845"/>
    </bk>
    <bk>
      <rc t="2" v="14846"/>
    </bk>
    <bk>
      <rc t="2" v="14847"/>
    </bk>
    <bk>
      <rc t="2" v="14848"/>
    </bk>
    <bk>
      <rc t="2" v="14849"/>
    </bk>
    <bk>
      <rc t="2" v="14850"/>
    </bk>
    <bk>
      <rc t="2" v="14851"/>
    </bk>
    <bk>
      <rc t="2" v="14852"/>
    </bk>
    <bk>
      <rc t="2" v="14853"/>
    </bk>
    <bk>
      <rc t="2" v="14854"/>
    </bk>
    <bk>
      <rc t="2" v="14855"/>
    </bk>
    <bk>
      <rc t="2" v="14856"/>
    </bk>
    <bk>
      <rc t="2" v="14857"/>
    </bk>
    <bk>
      <rc t="2" v="14858"/>
    </bk>
    <bk>
      <rc t="2" v="14859"/>
    </bk>
    <bk>
      <rc t="2" v="14860"/>
    </bk>
    <bk>
      <rc t="2" v="14861"/>
    </bk>
    <bk>
      <rc t="2" v="14862"/>
    </bk>
    <bk>
      <rc t="2" v="14863"/>
    </bk>
    <bk>
      <rc t="2" v="14864"/>
    </bk>
    <bk>
      <rc t="2" v="14865"/>
    </bk>
    <bk>
      <rc t="2" v="14866"/>
    </bk>
    <bk>
      <rc t="2" v="14867"/>
    </bk>
    <bk>
      <rc t="2" v="14868"/>
    </bk>
    <bk>
      <rc t="2" v="14869"/>
    </bk>
    <bk>
      <rc t="2" v="14870"/>
    </bk>
    <bk>
      <rc t="2" v="14871"/>
    </bk>
    <bk>
      <rc t="2" v="14872"/>
    </bk>
    <bk>
      <rc t="2" v="14873"/>
    </bk>
    <bk>
      <rc t="2" v="14874"/>
    </bk>
    <bk>
      <rc t="2" v="14875"/>
    </bk>
    <bk>
      <rc t="2" v="14876"/>
    </bk>
    <bk>
      <rc t="2" v="14877"/>
    </bk>
    <bk>
      <rc t="2" v="14878"/>
    </bk>
    <bk>
      <rc t="2" v="14879"/>
    </bk>
    <bk>
      <rc t="2" v="14880"/>
    </bk>
    <bk>
      <rc t="2" v="14881"/>
    </bk>
    <bk>
      <rc t="2" v="14882"/>
    </bk>
    <bk>
      <rc t="2" v="14883"/>
    </bk>
    <bk>
      <rc t="2" v="14884"/>
    </bk>
    <bk>
      <rc t="2" v="14885"/>
    </bk>
    <bk>
      <rc t="2" v="14886"/>
    </bk>
    <bk>
      <rc t="2" v="14887"/>
    </bk>
    <bk>
      <rc t="2" v="14888"/>
    </bk>
    <bk>
      <rc t="2" v="14889"/>
    </bk>
    <bk>
      <rc t="2" v="14890"/>
    </bk>
    <bk>
      <rc t="2" v="14891"/>
    </bk>
    <bk>
      <rc t="2" v="14892"/>
    </bk>
    <bk>
      <rc t="2" v="14893"/>
    </bk>
    <bk>
      <rc t="2" v="14894"/>
    </bk>
    <bk>
      <rc t="2" v="14895"/>
    </bk>
    <bk>
      <rc t="2" v="14896"/>
    </bk>
    <bk>
      <rc t="2" v="14897"/>
    </bk>
    <bk>
      <rc t="2" v="14898"/>
    </bk>
    <bk>
      <rc t="2" v="14899"/>
    </bk>
    <bk>
      <rc t="2" v="14900"/>
    </bk>
    <bk>
      <rc t="2" v="14901"/>
    </bk>
    <bk>
      <rc t="2" v="14902"/>
    </bk>
    <bk>
      <rc t="2" v="14903"/>
    </bk>
    <bk>
      <rc t="2" v="14904"/>
    </bk>
    <bk>
      <rc t="2" v="14905"/>
    </bk>
    <bk>
      <rc t="2" v="14906"/>
    </bk>
    <bk>
      <rc t="2" v="14907"/>
    </bk>
    <bk>
      <rc t="2" v="14908"/>
    </bk>
    <bk>
      <rc t="2" v="14909"/>
    </bk>
    <bk>
      <rc t="2" v="14910"/>
    </bk>
    <bk>
      <rc t="2" v="14911"/>
    </bk>
    <bk>
      <rc t="2" v="14912"/>
    </bk>
    <bk>
      <rc t="2" v="14913"/>
    </bk>
    <bk>
      <rc t="2" v="14914"/>
    </bk>
    <bk>
      <rc t="2" v="14915"/>
    </bk>
    <bk>
      <rc t="2" v="14916"/>
    </bk>
    <bk>
      <rc t="2" v="14917"/>
    </bk>
    <bk>
      <rc t="2" v="14918"/>
    </bk>
    <bk>
      <rc t="2" v="14919"/>
    </bk>
    <bk>
      <rc t="2" v="14920"/>
    </bk>
    <bk>
      <rc t="2" v="14921"/>
    </bk>
    <bk>
      <rc t="2" v="14922"/>
    </bk>
    <bk>
      <rc t="2" v="14923"/>
    </bk>
    <bk>
      <rc t="2" v="14924"/>
    </bk>
    <bk>
      <rc t="2" v="14925"/>
    </bk>
    <bk>
      <rc t="2" v="14926"/>
    </bk>
    <bk>
      <rc t="2" v="14927"/>
    </bk>
    <bk>
      <rc t="2" v="14928"/>
    </bk>
    <bk>
      <rc t="2" v="14929"/>
    </bk>
    <bk>
      <rc t="2" v="14930"/>
    </bk>
    <bk>
      <rc t="2" v="14931"/>
    </bk>
    <bk>
      <rc t="2" v="14932"/>
    </bk>
    <bk>
      <rc t="2" v="14933"/>
    </bk>
    <bk>
      <rc t="2" v="14934"/>
    </bk>
    <bk>
      <rc t="2" v="14935"/>
    </bk>
    <bk>
      <rc t="2" v="14936"/>
    </bk>
    <bk>
      <rc t="2" v="14937"/>
    </bk>
    <bk>
      <rc t="2" v="14938"/>
    </bk>
    <bk>
      <rc t="2" v="14939"/>
    </bk>
    <bk>
      <rc t="2" v="14940"/>
    </bk>
    <bk>
      <rc t="2" v="14941"/>
    </bk>
    <bk>
      <rc t="2" v="14942"/>
    </bk>
    <bk>
      <rc t="2" v="14943"/>
    </bk>
    <bk>
      <rc t="2" v="14944"/>
    </bk>
    <bk>
      <rc t="2" v="14945"/>
    </bk>
    <bk>
      <rc t="2" v="14946"/>
    </bk>
    <bk>
      <rc t="2" v="14947"/>
    </bk>
    <bk>
      <rc t="2" v="14948"/>
    </bk>
    <bk>
      <rc t="2" v="14949"/>
    </bk>
    <bk>
      <rc t="2" v="14950"/>
    </bk>
    <bk>
      <rc t="2" v="14951"/>
    </bk>
    <bk>
      <rc t="2" v="14952"/>
    </bk>
    <bk>
      <rc t="2" v="14953"/>
    </bk>
    <bk>
      <rc t="2" v="14954"/>
    </bk>
    <bk>
      <rc t="2" v="14955"/>
    </bk>
    <bk>
      <rc t="2" v="14956"/>
    </bk>
    <bk>
      <rc t="2" v="14957"/>
    </bk>
    <bk>
      <rc t="2" v="14958"/>
    </bk>
    <bk>
      <rc t="2" v="14959"/>
    </bk>
    <bk>
      <rc t="2" v="14960"/>
    </bk>
    <bk>
      <rc t="2" v="14961"/>
    </bk>
    <bk>
      <rc t="2" v="14962"/>
    </bk>
    <bk>
      <rc t="2" v="14963"/>
    </bk>
    <bk>
      <rc t="2" v="14964"/>
    </bk>
    <bk>
      <rc t="2" v="14965"/>
    </bk>
    <bk>
      <rc t="2" v="14966"/>
    </bk>
    <bk>
      <rc t="2" v="14967"/>
    </bk>
    <bk>
      <rc t="2" v="14968"/>
    </bk>
    <bk>
      <rc t="2" v="14969"/>
    </bk>
    <bk>
      <rc t="2" v="14970"/>
    </bk>
    <bk>
      <rc t="2" v="14971"/>
    </bk>
    <bk>
      <rc t="2" v="14972"/>
    </bk>
    <bk>
      <rc t="2" v="14973"/>
    </bk>
    <bk>
      <rc t="2" v="14974"/>
    </bk>
    <bk>
      <rc t="2" v="14975"/>
    </bk>
    <bk>
      <rc t="2" v="14976"/>
    </bk>
    <bk>
      <rc t="2" v="14977"/>
    </bk>
    <bk>
      <rc t="2" v="14978"/>
    </bk>
    <bk>
      <rc t="2" v="14979"/>
    </bk>
    <bk>
      <rc t="2" v="14980"/>
    </bk>
    <bk>
      <rc t="2" v="14981"/>
    </bk>
    <bk>
      <rc t="2" v="14982"/>
    </bk>
    <bk>
      <rc t="2" v="14983"/>
    </bk>
    <bk>
      <rc t="2" v="14984"/>
    </bk>
    <bk>
      <rc t="2" v="14985"/>
    </bk>
    <bk>
      <rc t="2" v="14986"/>
    </bk>
    <bk>
      <rc t="2" v="14987"/>
    </bk>
    <bk>
      <rc t="2" v="14988"/>
    </bk>
    <bk>
      <rc t="2" v="14989"/>
    </bk>
    <bk>
      <rc t="2" v="14990"/>
    </bk>
    <bk>
      <rc t="2" v="14991"/>
    </bk>
    <bk>
      <rc t="2" v="14992"/>
    </bk>
    <bk>
      <rc t="2" v="14993"/>
    </bk>
    <bk>
      <rc t="2" v="14994"/>
    </bk>
    <bk>
      <rc t="2" v="14995"/>
    </bk>
    <bk>
      <rc t="2" v="14996"/>
    </bk>
    <bk>
      <rc t="2" v="14997"/>
    </bk>
    <bk>
      <rc t="2" v="14998"/>
    </bk>
    <bk>
      <rc t="2" v="14999"/>
    </bk>
    <bk>
      <rc t="2" v="15000"/>
    </bk>
    <bk>
      <rc t="2" v="15001"/>
    </bk>
    <bk>
      <rc t="2" v="15002"/>
    </bk>
    <bk>
      <rc t="2" v="15003"/>
    </bk>
    <bk>
      <rc t="2" v="15004"/>
    </bk>
    <bk>
      <rc t="2" v="15005"/>
    </bk>
    <bk>
      <rc t="2" v="15006"/>
    </bk>
    <bk>
      <rc t="2" v="15007"/>
    </bk>
    <bk>
      <rc t="2" v="15008"/>
    </bk>
    <bk>
      <rc t="2" v="15009"/>
    </bk>
    <bk>
      <rc t="2" v="15010"/>
    </bk>
    <bk>
      <rc t="2" v="15011"/>
    </bk>
    <bk>
      <rc t="2" v="15012"/>
    </bk>
    <bk>
      <rc t="2" v="15013"/>
    </bk>
    <bk>
      <rc t="2" v="15014"/>
    </bk>
    <bk>
      <rc t="2" v="15015"/>
    </bk>
    <bk>
      <rc t="2" v="15016"/>
    </bk>
    <bk>
      <rc t="2" v="15017"/>
    </bk>
    <bk>
      <rc t="2" v="15018"/>
    </bk>
    <bk>
      <rc t="2" v="15019"/>
    </bk>
    <bk>
      <rc t="2" v="15020"/>
    </bk>
    <bk>
      <rc t="2" v="15021"/>
    </bk>
    <bk>
      <rc t="2" v="15022"/>
    </bk>
    <bk>
      <rc t="2" v="15023"/>
    </bk>
    <bk>
      <rc t="2" v="15024"/>
    </bk>
    <bk>
      <rc t="2" v="15025"/>
    </bk>
    <bk>
      <rc t="2" v="15026"/>
    </bk>
    <bk>
      <rc t="2" v="15027"/>
    </bk>
    <bk>
      <rc t="2" v="15028"/>
    </bk>
    <bk>
      <rc t="2" v="15029"/>
    </bk>
    <bk>
      <rc t="2" v="15030"/>
    </bk>
    <bk>
      <rc t="2" v="15031"/>
    </bk>
    <bk>
      <rc t="2" v="15032"/>
    </bk>
    <bk>
      <rc t="2" v="15033"/>
    </bk>
    <bk>
      <rc t="2" v="15034"/>
    </bk>
    <bk>
      <rc t="2" v="15035"/>
    </bk>
    <bk>
      <rc t="2" v="15036"/>
    </bk>
    <bk>
      <rc t="2" v="15037"/>
    </bk>
    <bk>
      <rc t="2" v="15038"/>
    </bk>
    <bk>
      <rc t="2" v="15039"/>
    </bk>
    <bk>
      <rc t="2" v="15040"/>
    </bk>
    <bk>
      <rc t="2" v="15041"/>
    </bk>
    <bk>
      <rc t="2" v="15042"/>
    </bk>
    <bk>
      <rc t="2" v="15043"/>
    </bk>
    <bk>
      <rc t="2" v="15044"/>
    </bk>
    <bk>
      <rc t="2" v="15045"/>
    </bk>
    <bk>
      <rc t="2" v="15046"/>
    </bk>
    <bk>
      <rc t="2" v="15047"/>
    </bk>
    <bk>
      <rc t="2" v="15048"/>
    </bk>
    <bk>
      <rc t="2" v="15049"/>
    </bk>
    <bk>
      <rc t="2" v="15050"/>
    </bk>
    <bk>
      <rc t="2" v="15051"/>
    </bk>
    <bk>
      <rc t="2" v="15052"/>
    </bk>
    <bk>
      <rc t="2" v="15053"/>
    </bk>
    <bk>
      <rc t="2" v="15054"/>
    </bk>
    <bk>
      <rc t="2" v="15055"/>
    </bk>
    <bk>
      <rc t="2" v="15056"/>
    </bk>
    <bk>
      <rc t="2" v="15057"/>
    </bk>
    <bk>
      <rc t="2" v="15058"/>
    </bk>
    <bk>
      <rc t="2" v="15059"/>
    </bk>
    <bk>
      <rc t="2" v="15060"/>
    </bk>
    <bk>
      <rc t="2" v="15061"/>
    </bk>
    <bk>
      <rc t="2" v="15062"/>
    </bk>
    <bk>
      <rc t="2" v="15063"/>
    </bk>
    <bk>
      <rc t="2" v="15064"/>
    </bk>
    <bk>
      <rc t="2" v="15065"/>
    </bk>
    <bk>
      <rc t="2" v="15066"/>
    </bk>
    <bk>
      <rc t="2" v="15067"/>
    </bk>
    <bk>
      <rc t="2" v="15068"/>
    </bk>
    <bk>
      <rc t="2" v="15069"/>
    </bk>
    <bk>
      <rc t="2" v="15070"/>
    </bk>
    <bk>
      <rc t="2" v="15071"/>
    </bk>
    <bk>
      <rc t="2" v="15072"/>
    </bk>
    <bk>
      <rc t="2" v="15073"/>
    </bk>
    <bk>
      <rc t="2" v="15074"/>
    </bk>
    <bk>
      <rc t="2" v="15075"/>
    </bk>
    <bk>
      <rc t="2" v="15076"/>
    </bk>
    <bk>
      <rc t="2" v="15077"/>
    </bk>
    <bk>
      <rc t="2" v="15078"/>
    </bk>
    <bk>
      <rc t="2" v="15079"/>
    </bk>
    <bk>
      <rc t="2" v="15080"/>
    </bk>
    <bk>
      <rc t="2" v="15081"/>
    </bk>
    <bk>
      <rc t="2" v="15082"/>
    </bk>
    <bk>
      <rc t="2" v="15083"/>
    </bk>
    <bk>
      <rc t="2" v="15084"/>
    </bk>
    <bk>
      <rc t="2" v="15085"/>
    </bk>
    <bk>
      <rc t="2" v="15086"/>
    </bk>
    <bk>
      <rc t="2" v="15087"/>
    </bk>
    <bk>
      <rc t="2" v="15088"/>
    </bk>
    <bk>
      <rc t="2" v="15089"/>
    </bk>
    <bk>
      <rc t="2" v="15090"/>
    </bk>
    <bk>
      <rc t="2" v="15091"/>
    </bk>
    <bk>
      <rc t="2" v="15092"/>
    </bk>
    <bk>
      <rc t="2" v="15093"/>
    </bk>
    <bk>
      <rc t="2" v="15094"/>
    </bk>
    <bk>
      <rc t="2" v="15095"/>
    </bk>
    <bk>
      <rc t="2" v="15096"/>
    </bk>
    <bk>
      <rc t="2" v="15097"/>
    </bk>
    <bk>
      <rc t="2" v="15098"/>
    </bk>
    <bk>
      <rc t="2" v="15099"/>
    </bk>
    <bk>
      <rc t="2" v="15100"/>
    </bk>
    <bk>
      <rc t="2" v="15101"/>
    </bk>
    <bk>
      <rc t="2" v="15102"/>
    </bk>
    <bk>
      <rc t="2" v="15103"/>
    </bk>
    <bk>
      <rc t="2" v="15104"/>
    </bk>
    <bk>
      <rc t="2" v="15105"/>
    </bk>
    <bk>
      <rc t="2" v="15106"/>
    </bk>
    <bk>
      <rc t="2" v="15107"/>
    </bk>
    <bk>
      <rc t="2" v="15108"/>
    </bk>
    <bk>
      <rc t="2" v="15109"/>
    </bk>
    <bk>
      <rc t="2" v="15110"/>
    </bk>
    <bk>
      <rc t="2" v="15111"/>
    </bk>
    <bk>
      <rc t="2" v="15112"/>
    </bk>
    <bk>
      <rc t="2" v="15113"/>
    </bk>
    <bk>
      <rc t="2" v="15114"/>
    </bk>
    <bk>
      <rc t="2" v="15115"/>
    </bk>
    <bk>
      <rc t="2" v="15116"/>
    </bk>
    <bk>
      <rc t="2" v="15117"/>
    </bk>
    <bk>
      <rc t="2" v="15118"/>
    </bk>
    <bk>
      <rc t="2" v="15119"/>
    </bk>
    <bk>
      <rc t="2" v="15120"/>
    </bk>
    <bk>
      <rc t="2" v="15121"/>
    </bk>
    <bk>
      <rc t="2" v="15122"/>
    </bk>
    <bk>
      <rc t="2" v="15123"/>
    </bk>
    <bk>
      <rc t="2" v="15124"/>
    </bk>
    <bk>
      <rc t="2" v="15125"/>
    </bk>
    <bk>
      <rc t="2" v="15126"/>
    </bk>
    <bk>
      <rc t="2" v="15127"/>
    </bk>
    <bk>
      <rc t="2" v="15128"/>
    </bk>
    <bk>
      <rc t="2" v="15129"/>
    </bk>
    <bk>
      <rc t="2" v="15130"/>
    </bk>
    <bk>
      <rc t="2" v="15131"/>
    </bk>
    <bk>
      <rc t="2" v="15132"/>
    </bk>
    <bk>
      <rc t="2" v="15133"/>
    </bk>
    <bk>
      <rc t="2" v="15134"/>
    </bk>
    <bk>
      <rc t="2" v="15135"/>
    </bk>
    <bk>
      <rc t="2" v="15136"/>
    </bk>
    <bk>
      <rc t="2" v="15137"/>
    </bk>
    <bk>
      <rc t="2" v="15138"/>
    </bk>
    <bk>
      <rc t="2" v="15139"/>
    </bk>
    <bk>
      <rc t="2" v="15140"/>
    </bk>
    <bk>
      <rc t="2" v="15141"/>
    </bk>
    <bk>
      <rc t="2" v="15142"/>
    </bk>
    <bk>
      <rc t="2" v="15143"/>
    </bk>
    <bk>
      <rc t="2" v="15144"/>
    </bk>
    <bk>
      <rc t="2" v="15145"/>
    </bk>
    <bk>
      <rc t="2" v="15146"/>
    </bk>
    <bk>
      <rc t="2" v="15147"/>
    </bk>
    <bk>
      <rc t="2" v="15148"/>
    </bk>
    <bk>
      <rc t="2" v="15149"/>
    </bk>
    <bk>
      <rc t="2" v="15150"/>
    </bk>
    <bk>
      <rc t="2" v="15151"/>
    </bk>
    <bk>
      <rc t="2" v="15152"/>
    </bk>
    <bk>
      <rc t="2" v="15153"/>
    </bk>
    <bk>
      <rc t="2" v="15154"/>
    </bk>
    <bk>
      <rc t="2" v="15155"/>
    </bk>
    <bk>
      <rc t="2" v="15156"/>
    </bk>
    <bk>
      <rc t="2" v="15157"/>
    </bk>
    <bk>
      <rc t="2" v="15158"/>
    </bk>
    <bk>
      <rc t="2" v="15159"/>
    </bk>
    <bk>
      <rc t="2" v="15160"/>
    </bk>
    <bk>
      <rc t="2" v="15161"/>
    </bk>
    <bk>
      <rc t="2" v="15162"/>
    </bk>
    <bk>
      <rc t="2" v="15163"/>
    </bk>
    <bk>
      <rc t="2" v="15164"/>
    </bk>
    <bk>
      <rc t="2" v="15165"/>
    </bk>
    <bk>
      <rc t="2" v="15166"/>
    </bk>
    <bk>
      <rc t="2" v="15167"/>
    </bk>
    <bk>
      <rc t="2" v="15168"/>
    </bk>
    <bk>
      <rc t="2" v="15169"/>
    </bk>
    <bk>
      <rc t="2" v="15170"/>
    </bk>
    <bk>
      <rc t="2" v="15171"/>
    </bk>
    <bk>
      <rc t="2" v="15172"/>
    </bk>
    <bk>
      <rc t="2" v="15173"/>
    </bk>
    <bk>
      <rc t="2" v="15174"/>
    </bk>
    <bk>
      <rc t="2" v="15175"/>
    </bk>
    <bk>
      <rc t="2" v="15176"/>
    </bk>
    <bk>
      <rc t="2" v="15177"/>
    </bk>
    <bk>
      <rc t="2" v="15178"/>
    </bk>
    <bk>
      <rc t="2" v="15179"/>
    </bk>
    <bk>
      <rc t="2" v="15180"/>
    </bk>
    <bk>
      <rc t="2" v="15181"/>
    </bk>
    <bk>
      <rc t="2" v="15182"/>
    </bk>
    <bk>
      <rc t="2" v="15183"/>
    </bk>
    <bk>
      <rc t="2" v="15184"/>
    </bk>
    <bk>
      <rc t="2" v="15185"/>
    </bk>
    <bk>
      <rc t="2" v="15186"/>
    </bk>
    <bk>
      <rc t="2" v="15187"/>
    </bk>
    <bk>
      <rc t="2" v="15188"/>
    </bk>
    <bk>
      <rc t="2" v="15189"/>
    </bk>
    <bk>
      <rc t="2" v="15190"/>
    </bk>
    <bk>
      <rc t="2" v="15191"/>
    </bk>
    <bk>
      <rc t="2" v="15192"/>
    </bk>
    <bk>
      <rc t="2" v="15193"/>
    </bk>
    <bk>
      <rc t="2" v="15194"/>
    </bk>
    <bk>
      <rc t="2" v="15195"/>
    </bk>
    <bk>
      <rc t="2" v="15196"/>
    </bk>
    <bk>
      <rc t="2" v="15197"/>
    </bk>
    <bk>
      <rc t="2" v="15198"/>
    </bk>
    <bk>
      <rc t="2" v="15199"/>
    </bk>
    <bk>
      <rc t="2" v="15200"/>
    </bk>
    <bk>
      <rc t="2" v="15201"/>
    </bk>
    <bk>
      <rc t="2" v="15202"/>
    </bk>
    <bk>
      <rc t="2" v="15203"/>
    </bk>
    <bk>
      <rc t="2" v="15204"/>
    </bk>
    <bk>
      <rc t="2" v="15205"/>
    </bk>
    <bk>
      <rc t="2" v="15206"/>
    </bk>
    <bk>
      <rc t="2" v="15207"/>
    </bk>
    <bk>
      <rc t="2" v="15208"/>
    </bk>
    <bk>
      <rc t="2" v="15209"/>
    </bk>
    <bk>
      <rc t="2" v="15210"/>
    </bk>
    <bk>
      <rc t="2" v="15211"/>
    </bk>
    <bk>
      <rc t="2" v="15212"/>
    </bk>
    <bk>
      <rc t="2" v="15213"/>
    </bk>
    <bk>
      <rc t="2" v="15214"/>
    </bk>
    <bk>
      <rc t="2" v="15215"/>
    </bk>
    <bk>
      <rc t="2" v="15216"/>
    </bk>
    <bk>
      <rc t="2" v="15217"/>
    </bk>
    <bk>
      <rc t="2" v="15218"/>
    </bk>
    <bk>
      <rc t="2" v="15219"/>
    </bk>
    <bk>
      <rc t="2" v="15220"/>
    </bk>
    <bk>
      <rc t="2" v="15221"/>
    </bk>
    <bk>
      <rc t="2" v="15222"/>
    </bk>
    <bk>
      <rc t="2" v="15223"/>
    </bk>
    <bk>
      <rc t="2" v="15224"/>
    </bk>
    <bk>
      <rc t="2" v="15225"/>
    </bk>
    <bk>
      <rc t="2" v="15226"/>
    </bk>
    <bk>
      <rc t="2" v="15227"/>
    </bk>
    <bk>
      <rc t="2" v="15228"/>
    </bk>
    <bk>
      <rc t="2" v="15229"/>
    </bk>
    <bk>
      <rc t="2" v="15230"/>
    </bk>
    <bk>
      <rc t="2" v="15231"/>
    </bk>
    <bk>
      <rc t="2" v="15232"/>
    </bk>
    <bk>
      <rc t="2" v="15233"/>
    </bk>
    <bk>
      <rc t="2" v="15234"/>
    </bk>
    <bk>
      <rc t="2" v="15235"/>
    </bk>
    <bk>
      <rc t="2" v="15236"/>
    </bk>
    <bk>
      <rc t="2" v="15237"/>
    </bk>
    <bk>
      <rc t="2" v="15238"/>
    </bk>
    <bk>
      <rc t="2" v="15239"/>
    </bk>
    <bk>
      <rc t="2" v="15240"/>
    </bk>
    <bk>
      <rc t="2" v="15241"/>
    </bk>
    <bk>
      <rc t="2" v="15242"/>
    </bk>
    <bk>
      <rc t="2" v="15243"/>
    </bk>
    <bk>
      <rc t="2" v="15244"/>
    </bk>
    <bk>
      <rc t="2" v="15245"/>
    </bk>
    <bk>
      <rc t="2" v="15246"/>
    </bk>
    <bk>
      <rc t="2" v="15247"/>
    </bk>
    <bk>
      <rc t="2" v="15248"/>
    </bk>
    <bk>
      <rc t="2" v="15249"/>
    </bk>
    <bk>
      <rc t="2" v="15250"/>
    </bk>
    <bk>
      <rc t="2" v="15251"/>
    </bk>
    <bk>
      <rc t="2" v="15252"/>
    </bk>
    <bk>
      <rc t="2" v="15253"/>
    </bk>
    <bk>
      <rc t="2" v="15254"/>
    </bk>
    <bk>
      <rc t="2" v="15255"/>
    </bk>
    <bk>
      <rc t="2" v="15256"/>
    </bk>
    <bk>
      <rc t="2" v="15257"/>
    </bk>
    <bk>
      <rc t="2" v="15258"/>
    </bk>
    <bk>
      <rc t="2" v="15259"/>
    </bk>
    <bk>
      <rc t="2" v="15260"/>
    </bk>
    <bk>
      <rc t="2" v="15261"/>
    </bk>
    <bk>
      <rc t="2" v="15262"/>
    </bk>
    <bk>
      <rc t="2" v="15263"/>
    </bk>
    <bk>
      <rc t="2" v="15264"/>
    </bk>
    <bk>
      <rc t="2" v="15265"/>
    </bk>
    <bk>
      <rc t="2" v="15266"/>
    </bk>
    <bk>
      <rc t="2" v="15267"/>
    </bk>
    <bk>
      <rc t="2" v="15268"/>
    </bk>
    <bk>
      <rc t="2" v="15269"/>
    </bk>
    <bk>
      <rc t="2" v="15270"/>
    </bk>
    <bk>
      <rc t="2" v="15271"/>
    </bk>
    <bk>
      <rc t="2" v="15272"/>
    </bk>
    <bk>
      <rc t="2" v="15273"/>
    </bk>
    <bk>
      <rc t="2" v="15274"/>
    </bk>
    <bk>
      <rc t="2" v="15275"/>
    </bk>
    <bk>
      <rc t="2" v="15276"/>
    </bk>
    <bk>
      <rc t="2" v="15277"/>
    </bk>
    <bk>
      <rc t="2" v="15278"/>
    </bk>
    <bk>
      <rc t="2" v="15279"/>
    </bk>
    <bk>
      <rc t="2" v="15280"/>
    </bk>
    <bk>
      <rc t="2" v="15281"/>
    </bk>
    <bk>
      <rc t="2" v="15282"/>
    </bk>
    <bk>
      <rc t="2" v="15283"/>
    </bk>
    <bk>
      <rc t="2" v="15284"/>
    </bk>
    <bk>
      <rc t="2" v="15285"/>
    </bk>
    <bk>
      <rc t="2" v="15286"/>
    </bk>
    <bk>
      <rc t="2" v="15287"/>
    </bk>
    <bk>
      <rc t="2" v="15288"/>
    </bk>
    <bk>
      <rc t="2" v="15289"/>
    </bk>
    <bk>
      <rc t="2" v="15290"/>
    </bk>
    <bk>
      <rc t="2" v="15291"/>
    </bk>
    <bk>
      <rc t="2" v="15292"/>
    </bk>
    <bk>
      <rc t="2" v="15293"/>
    </bk>
    <bk>
      <rc t="2" v="15294"/>
    </bk>
    <bk>
      <rc t="2" v="15295"/>
    </bk>
    <bk>
      <rc t="2" v="15296"/>
    </bk>
    <bk>
      <rc t="2" v="15297"/>
    </bk>
    <bk>
      <rc t="2" v="15298"/>
    </bk>
    <bk>
      <rc t="2" v="15299"/>
    </bk>
    <bk>
      <rc t="2" v="15300"/>
    </bk>
    <bk>
      <rc t="2" v="15301"/>
    </bk>
    <bk>
      <rc t="2" v="15302"/>
    </bk>
    <bk>
      <rc t="2" v="15303"/>
    </bk>
    <bk>
      <rc t="2" v="15304"/>
    </bk>
    <bk>
      <rc t="2" v="15305"/>
    </bk>
    <bk>
      <rc t="2" v="15306"/>
    </bk>
    <bk>
      <rc t="2" v="15307"/>
    </bk>
    <bk>
      <rc t="2" v="15308"/>
    </bk>
    <bk>
      <rc t="2" v="15309"/>
    </bk>
    <bk>
      <rc t="2" v="15310"/>
    </bk>
    <bk>
      <rc t="2" v="15311"/>
    </bk>
    <bk>
      <rc t="2" v="15312"/>
    </bk>
    <bk>
      <rc t="2" v="15313"/>
    </bk>
    <bk>
      <rc t="2" v="15314"/>
    </bk>
    <bk>
      <rc t="2" v="15315"/>
    </bk>
    <bk>
      <rc t="2" v="15316"/>
    </bk>
    <bk>
      <rc t="2" v="15317"/>
    </bk>
    <bk>
      <rc t="2" v="15318"/>
    </bk>
    <bk>
      <rc t="2" v="15319"/>
    </bk>
    <bk>
      <rc t="2" v="15320"/>
    </bk>
    <bk>
      <rc t="2" v="15321"/>
    </bk>
    <bk>
      <rc t="2" v="15322"/>
    </bk>
    <bk>
      <rc t="2" v="15323"/>
    </bk>
    <bk>
      <rc t="2" v="15324"/>
    </bk>
    <bk>
      <rc t="2" v="15325"/>
    </bk>
    <bk>
      <rc t="2" v="15326"/>
    </bk>
    <bk>
      <rc t="2" v="15327"/>
    </bk>
    <bk>
      <rc t="2" v="15328"/>
    </bk>
    <bk>
      <rc t="2" v="15329"/>
    </bk>
    <bk>
      <rc t="2" v="15330"/>
    </bk>
    <bk>
      <rc t="2" v="15331"/>
    </bk>
    <bk>
      <rc t="2" v="15332"/>
    </bk>
    <bk>
      <rc t="2" v="15333"/>
    </bk>
    <bk>
      <rc t="2" v="15334"/>
    </bk>
    <bk>
      <rc t="2" v="15335"/>
    </bk>
    <bk>
      <rc t="2" v="15336"/>
    </bk>
    <bk>
      <rc t="2" v="15337"/>
    </bk>
    <bk>
      <rc t="2" v="15338"/>
    </bk>
    <bk>
      <rc t="2" v="15339"/>
    </bk>
    <bk>
      <rc t="2" v="15340"/>
    </bk>
    <bk>
      <rc t="2" v="15341"/>
    </bk>
    <bk>
      <rc t="2" v="15342"/>
    </bk>
    <bk>
      <rc t="2" v="15343"/>
    </bk>
    <bk>
      <rc t="2" v="15344"/>
    </bk>
    <bk>
      <rc t="2" v="15345"/>
    </bk>
    <bk>
      <rc t="2" v="15346"/>
    </bk>
    <bk>
      <rc t="2" v="15347"/>
    </bk>
    <bk>
      <rc t="2" v="15348"/>
    </bk>
    <bk>
      <rc t="2" v="15349"/>
    </bk>
    <bk>
      <rc t="2" v="15350"/>
    </bk>
    <bk>
      <rc t="2" v="15351"/>
    </bk>
    <bk>
      <rc t="2" v="15352"/>
    </bk>
    <bk>
      <rc t="2" v="15353"/>
    </bk>
    <bk>
      <rc t="2" v="15354"/>
    </bk>
    <bk>
      <rc t="2" v="15355"/>
    </bk>
    <bk>
      <rc t="2" v="15356"/>
    </bk>
    <bk>
      <rc t="2" v="15357"/>
    </bk>
    <bk>
      <rc t="2" v="15358"/>
    </bk>
    <bk>
      <rc t="2" v="15359"/>
    </bk>
    <bk>
      <rc t="2" v="15360"/>
    </bk>
    <bk>
      <rc t="2" v="15361"/>
    </bk>
    <bk>
      <rc t="2" v="15362"/>
    </bk>
    <bk>
      <rc t="2" v="15363"/>
    </bk>
    <bk>
      <rc t="2" v="15364"/>
    </bk>
    <bk>
      <rc t="2" v="15365"/>
    </bk>
    <bk>
      <rc t="2" v="15366"/>
    </bk>
    <bk>
      <rc t="2" v="15367"/>
    </bk>
    <bk>
      <rc t="2" v="15368"/>
    </bk>
    <bk>
      <rc t="2" v="15369"/>
    </bk>
    <bk>
      <rc t="2" v="15370"/>
    </bk>
    <bk>
      <rc t="2" v="15371"/>
    </bk>
    <bk>
      <rc t="2" v="15372"/>
    </bk>
    <bk>
      <rc t="2" v="15373"/>
    </bk>
    <bk>
      <rc t="2" v="15374"/>
    </bk>
    <bk>
      <rc t="2" v="15375"/>
    </bk>
    <bk>
      <rc t="2" v="15376"/>
    </bk>
    <bk>
      <rc t="2" v="15377"/>
    </bk>
    <bk>
      <rc t="2" v="15378"/>
    </bk>
    <bk>
      <rc t="2" v="15379"/>
    </bk>
    <bk>
      <rc t="2" v="15380"/>
    </bk>
    <bk>
      <rc t="2" v="15381"/>
    </bk>
    <bk>
      <rc t="2" v="15382"/>
    </bk>
    <bk>
      <rc t="2" v="15383"/>
    </bk>
    <bk>
      <rc t="2" v="15384"/>
    </bk>
    <bk>
      <rc t="2" v="15385"/>
    </bk>
    <bk>
      <rc t="2" v="15386"/>
    </bk>
    <bk>
      <rc t="2" v="15387"/>
    </bk>
    <bk>
      <rc t="2" v="15388"/>
    </bk>
    <bk>
      <rc t="2" v="15389"/>
    </bk>
    <bk>
      <rc t="2" v="15390"/>
    </bk>
    <bk>
      <rc t="2" v="15391"/>
    </bk>
    <bk>
      <rc t="2" v="15392"/>
    </bk>
    <bk>
      <rc t="2" v="15393"/>
    </bk>
    <bk>
      <rc t="2" v="15394"/>
    </bk>
    <bk>
      <rc t="2" v="15395"/>
    </bk>
    <bk>
      <rc t="2" v="15396"/>
    </bk>
    <bk>
      <rc t="2" v="15397"/>
    </bk>
    <bk>
      <rc t="2" v="15398"/>
    </bk>
    <bk>
      <rc t="2" v="15399"/>
    </bk>
    <bk>
      <rc t="2" v="15400"/>
    </bk>
    <bk>
      <rc t="2" v="15401"/>
    </bk>
    <bk>
      <rc t="2" v="15402"/>
    </bk>
    <bk>
      <rc t="2" v="15403"/>
    </bk>
    <bk>
      <rc t="2" v="15404"/>
    </bk>
    <bk>
      <rc t="2" v="15405"/>
    </bk>
    <bk>
      <rc t="2" v="15406"/>
    </bk>
    <bk>
      <rc t="2" v="15407"/>
    </bk>
    <bk>
      <rc t="2" v="15408"/>
    </bk>
    <bk>
      <rc t="2" v="15409"/>
    </bk>
    <bk>
      <rc t="2" v="15410"/>
    </bk>
    <bk>
      <rc t="2" v="15412"/>
    </bk>
    <bk>
      <rc t="2" v="15413"/>
    </bk>
    <bk>
      <rc t="2" v="15414"/>
    </bk>
    <bk>
      <rc t="2" v="15415"/>
    </bk>
    <bk>
      <rc t="2" v="15416"/>
    </bk>
    <bk>
      <rc t="2" v="15417"/>
    </bk>
    <bk>
      <rc t="2" v="15418"/>
    </bk>
    <bk>
      <rc t="2" v="15419"/>
    </bk>
    <bk>
      <rc t="2" v="15420"/>
    </bk>
    <bk>
      <rc t="2" v="15421"/>
    </bk>
    <bk>
      <rc t="2" v="15422"/>
    </bk>
    <bk>
      <rc t="2" v="15423"/>
    </bk>
    <bk>
      <rc t="2" v="15424"/>
    </bk>
    <bk>
      <rc t="2" v="15425"/>
    </bk>
    <bk>
      <rc t="2" v="15426"/>
    </bk>
    <bk>
      <rc t="2" v="15427"/>
    </bk>
    <bk>
      <rc t="2" v="15428"/>
    </bk>
    <bk>
      <rc t="2" v="15429"/>
    </bk>
    <bk>
      <rc t="2" v="15430"/>
    </bk>
    <bk>
      <rc t="2" v="15431"/>
    </bk>
    <bk>
      <rc t="2" v="15432"/>
    </bk>
    <bk>
      <rc t="2" v="15433"/>
    </bk>
    <bk>
      <rc t="2" v="15434"/>
    </bk>
    <bk>
      <rc t="2" v="15435"/>
    </bk>
    <bk>
      <rc t="2" v="15436"/>
    </bk>
    <bk>
      <rc t="2" v="15437"/>
    </bk>
    <bk>
      <rc t="2" v="15438"/>
    </bk>
    <bk>
      <rc t="2" v="15439"/>
    </bk>
    <bk>
      <rc t="2" v="15440"/>
    </bk>
    <bk>
      <rc t="2" v="15441"/>
    </bk>
    <bk>
      <rc t="2" v="15442"/>
    </bk>
    <bk>
      <rc t="2" v="15443"/>
    </bk>
    <bk>
      <rc t="2" v="15444"/>
    </bk>
    <bk>
      <rc t="2" v="15445"/>
    </bk>
    <bk>
      <rc t="2" v="15446"/>
    </bk>
    <bk>
      <rc t="2" v="15447"/>
    </bk>
    <bk>
      <rc t="2" v="15448"/>
    </bk>
    <bk>
      <rc t="2" v="15449"/>
    </bk>
    <bk>
      <rc t="2" v="15450"/>
    </bk>
    <bk>
      <rc t="2" v="15451"/>
    </bk>
    <bk>
      <rc t="2" v="15452"/>
    </bk>
    <bk>
      <rc t="2" v="15453"/>
    </bk>
    <bk>
      <rc t="2" v="15454"/>
    </bk>
    <bk>
      <rc t="2" v="15455"/>
    </bk>
    <bk>
      <rc t="2" v="15456"/>
    </bk>
    <bk>
      <rc t="2" v="15457"/>
    </bk>
    <bk>
      <rc t="2" v="15458"/>
    </bk>
    <bk>
      <rc t="2" v="15459"/>
    </bk>
    <bk>
      <rc t="2" v="15460"/>
    </bk>
    <bk>
      <rc t="2" v="15461"/>
    </bk>
    <bk>
      <rc t="2" v="15462"/>
    </bk>
    <bk>
      <rc t="2" v="15463"/>
    </bk>
    <bk>
      <rc t="2" v="15464"/>
    </bk>
    <bk>
      <rc t="2" v="15465"/>
    </bk>
    <bk>
      <rc t="2" v="15466"/>
    </bk>
    <bk>
      <rc t="2" v="15467"/>
    </bk>
    <bk>
      <rc t="2" v="15468"/>
    </bk>
    <bk>
      <rc t="2" v="15469"/>
    </bk>
    <bk>
      <rc t="2" v="15470"/>
    </bk>
    <bk>
      <rc t="2" v="15471"/>
    </bk>
    <bk>
      <rc t="2" v="15472"/>
    </bk>
    <bk>
      <rc t="2" v="15473"/>
    </bk>
    <bk>
      <rc t="2" v="15474"/>
    </bk>
    <bk>
      <rc t="2" v="15475"/>
    </bk>
    <bk>
      <rc t="2" v="15476"/>
    </bk>
    <bk>
      <rc t="2" v="15477"/>
    </bk>
    <bk>
      <rc t="2" v="15478"/>
    </bk>
    <bk>
      <rc t="2" v="15479"/>
    </bk>
    <bk>
      <rc t="2" v="15480"/>
    </bk>
    <bk>
      <rc t="2" v="15481"/>
    </bk>
    <bk>
      <rc t="2" v="15482"/>
    </bk>
    <bk>
      <rc t="2" v="15483"/>
    </bk>
    <bk>
      <rc t="2" v="15484"/>
    </bk>
    <bk>
      <rc t="2" v="15485"/>
    </bk>
    <bk>
      <rc t="2" v="15486"/>
    </bk>
    <bk>
      <rc t="2" v="15487"/>
    </bk>
    <bk>
      <rc t="2" v="15488"/>
    </bk>
    <bk>
      <rc t="2" v="15489"/>
    </bk>
    <bk>
      <rc t="2" v="15490"/>
    </bk>
    <bk>
      <rc t="2" v="15491"/>
    </bk>
    <bk>
      <rc t="2" v="15492"/>
    </bk>
    <bk>
      <rc t="2" v="15493"/>
    </bk>
    <bk>
      <rc t="2" v="15494"/>
    </bk>
    <bk>
      <rc t="2" v="15495"/>
    </bk>
    <bk>
      <rc t="2" v="15496"/>
    </bk>
    <bk>
      <rc t="2" v="15497"/>
    </bk>
    <bk>
      <rc t="2" v="15498"/>
    </bk>
    <bk>
      <rc t="2" v="15499"/>
    </bk>
    <bk>
      <rc t="2" v="15500"/>
    </bk>
    <bk>
      <rc t="2" v="15501"/>
    </bk>
    <bk>
      <rc t="2" v="15502"/>
    </bk>
    <bk>
      <rc t="2" v="15503"/>
    </bk>
    <bk>
      <rc t="2" v="15504"/>
    </bk>
    <bk>
      <rc t="2" v="15505"/>
    </bk>
    <bk>
      <rc t="2" v="15411"/>
    </bk>
    <bk>
      <rc t="2" v="15506"/>
    </bk>
    <bk>
      <rc t="2" v="15507"/>
    </bk>
    <bk>
      <rc t="2" v="15508"/>
    </bk>
    <bk>
      <rc t="2" v="15509"/>
    </bk>
    <bk>
      <rc t="2" v="15510"/>
    </bk>
    <bk>
      <rc t="2" v="15511"/>
    </bk>
    <bk>
      <rc t="2" v="15512"/>
    </bk>
    <bk>
      <rc t="2" v="15513"/>
    </bk>
    <bk>
      <rc t="2" v="15514"/>
    </bk>
    <bk>
      <rc t="2" v="15515"/>
    </bk>
    <bk>
      <rc t="2" v="15516"/>
    </bk>
    <bk>
      <rc t="2" v="15517"/>
    </bk>
    <bk>
      <rc t="2" v="15518"/>
    </bk>
    <bk>
      <rc t="2" v="15519"/>
    </bk>
    <bk>
      <rc t="2" v="15520"/>
    </bk>
    <bk>
      <rc t="2" v="15521"/>
    </bk>
    <bk>
      <rc t="2" v="15522"/>
    </bk>
    <bk>
      <rc t="2" v="15523"/>
    </bk>
    <bk>
      <rc t="2" v="15524"/>
    </bk>
    <bk>
      <rc t="2" v="15525"/>
    </bk>
    <bk>
      <rc t="2" v="15526"/>
    </bk>
    <bk>
      <rc t="2" v="15527"/>
    </bk>
    <bk>
      <rc t="2" v="15528"/>
    </bk>
    <bk>
      <rc t="2" v="15529"/>
    </bk>
    <bk>
      <rc t="2" v="15530"/>
    </bk>
    <bk>
      <rc t="2" v="15531"/>
    </bk>
    <bk>
      <rc t="2" v="15532"/>
    </bk>
    <bk>
      <rc t="2" v="15533"/>
    </bk>
    <bk>
      <rc t="2" v="15534"/>
    </bk>
    <bk>
      <rc t="2" v="15535"/>
    </bk>
    <bk>
      <rc t="2" v="15536"/>
    </bk>
    <bk>
      <rc t="2" v="15537"/>
    </bk>
    <bk>
      <rc t="2" v="15538"/>
    </bk>
    <bk>
      <rc t="2" v="15539"/>
    </bk>
    <bk>
      <rc t="2" v="15540"/>
    </bk>
    <bk>
      <rc t="2" v="15541"/>
    </bk>
    <bk>
      <rc t="2" v="15542"/>
    </bk>
    <bk>
      <rc t="2" v="15543"/>
    </bk>
    <bk>
      <rc t="2" v="15544"/>
    </bk>
    <bk>
      <rc t="2" v="15545"/>
    </bk>
    <bk>
      <rc t="2" v="15546"/>
    </bk>
    <bk>
      <rc t="2" v="15547"/>
    </bk>
    <bk>
      <rc t="2" v="15548"/>
    </bk>
    <bk>
      <rc t="2" v="15549"/>
    </bk>
    <bk>
      <rc t="2" v="15550"/>
    </bk>
    <bk>
      <rc t="2" v="15551"/>
    </bk>
    <bk>
      <rc t="2" v="15552"/>
    </bk>
    <bk>
      <rc t="2" v="15553"/>
    </bk>
    <bk>
      <rc t="2" v="15554"/>
    </bk>
    <bk>
      <rc t="2" v="15555"/>
    </bk>
    <bk>
      <rc t="2" v="15556"/>
    </bk>
    <bk>
      <rc t="2" v="15557"/>
    </bk>
    <bk>
      <rc t="2" v="15558"/>
    </bk>
    <bk>
      <rc t="2" v="15559"/>
    </bk>
    <bk>
      <rc t="2" v="15560"/>
    </bk>
    <bk>
      <rc t="2" v="15561"/>
    </bk>
    <bk>
      <rc t="2" v="15562"/>
    </bk>
    <bk>
      <rc t="2" v="15563"/>
    </bk>
    <bk>
      <rc t="2" v="15564"/>
    </bk>
    <bk>
      <rc t="2" v="15565"/>
    </bk>
    <bk>
      <rc t="2" v="15566"/>
    </bk>
    <bk>
      <rc t="2" v="15567"/>
    </bk>
    <bk>
      <rc t="2" v="15568"/>
    </bk>
    <bk>
      <rc t="2" v="15569"/>
    </bk>
    <bk>
      <rc t="2" v="15570"/>
    </bk>
    <bk>
      <rc t="2" v="15571"/>
    </bk>
    <bk>
      <rc t="2" v="15572"/>
    </bk>
    <bk>
      <rc t="2" v="15573"/>
    </bk>
    <bk>
      <rc t="2" v="15574"/>
    </bk>
    <bk>
      <rc t="2" v="15575"/>
    </bk>
    <bk>
      <rc t="2" v="15576"/>
    </bk>
    <bk>
      <rc t="2" v="15577"/>
    </bk>
    <bk>
      <rc t="2" v="15578"/>
    </bk>
    <bk>
      <rc t="2" v="15579"/>
    </bk>
    <bk>
      <rc t="2" v="15580"/>
    </bk>
    <bk>
      <rc t="2" v="15581"/>
    </bk>
    <bk>
      <rc t="2" v="15582"/>
    </bk>
    <bk>
      <rc t="2" v="15583"/>
    </bk>
    <bk>
      <rc t="2" v="15584"/>
    </bk>
    <bk>
      <rc t="2" v="15585"/>
    </bk>
    <bk>
      <rc t="2" v="15586"/>
    </bk>
    <bk>
      <rc t="2" v="15587"/>
    </bk>
    <bk>
      <rc t="2" v="15588"/>
    </bk>
    <bk>
      <rc t="2" v="15589"/>
    </bk>
    <bk>
      <rc t="2" v="15590"/>
    </bk>
    <bk>
      <rc t="2" v="15591"/>
    </bk>
    <bk>
      <rc t="2" v="15592"/>
    </bk>
    <bk>
      <rc t="2" v="15593"/>
    </bk>
    <bk>
      <rc t="2" v="15594"/>
    </bk>
    <bk>
      <rc t="2" v="15595"/>
    </bk>
    <bk>
      <rc t="2" v="15596"/>
    </bk>
    <bk>
      <rc t="2" v="15597"/>
    </bk>
    <bk>
      <rc t="2" v="15598"/>
    </bk>
    <bk>
      <rc t="2" v="15599"/>
    </bk>
    <bk>
      <rc t="2" v="15600"/>
    </bk>
    <bk>
      <rc t="2" v="15601"/>
    </bk>
    <bk>
      <rc t="2" v="15602"/>
    </bk>
    <bk>
      <rc t="2" v="15603"/>
    </bk>
    <bk>
      <rc t="2" v="15604"/>
    </bk>
    <bk>
      <rc t="2" v="15605"/>
    </bk>
    <bk>
      <rc t="2" v="15606"/>
    </bk>
    <bk>
      <rc t="2" v="15607"/>
    </bk>
    <bk>
      <rc t="2" v="15608"/>
    </bk>
    <bk>
      <rc t="2" v="15609"/>
    </bk>
    <bk>
      <rc t="2" v="15610"/>
    </bk>
    <bk>
      <rc t="2" v="15611"/>
    </bk>
    <bk>
      <rc t="2" v="15612"/>
    </bk>
    <bk>
      <rc t="2" v="15613"/>
    </bk>
    <bk>
      <rc t="2" v="15614"/>
    </bk>
    <bk>
      <rc t="2" v="15615"/>
    </bk>
    <bk>
      <rc t="2" v="15616"/>
    </bk>
    <bk>
      <rc t="2" v="15617"/>
    </bk>
    <bk>
      <rc t="2" v="15618"/>
    </bk>
    <bk>
      <rc t="2" v="15619"/>
    </bk>
    <bk>
      <rc t="2" v="15620"/>
    </bk>
    <bk>
      <rc t="2" v="15621"/>
    </bk>
    <bk>
      <rc t="2" v="15622"/>
    </bk>
    <bk>
      <rc t="2" v="15623"/>
    </bk>
    <bk>
      <rc t="2" v="15624"/>
    </bk>
    <bk>
      <rc t="2" v="15625"/>
    </bk>
    <bk>
      <rc t="2" v="15626"/>
    </bk>
    <bk>
      <rc t="2" v="15627"/>
    </bk>
    <bk>
      <rc t="2" v="15628"/>
    </bk>
    <bk>
      <rc t="2" v="15629"/>
    </bk>
    <bk>
      <rc t="2" v="15630"/>
    </bk>
    <bk>
      <rc t="2" v="15631"/>
    </bk>
    <bk>
      <rc t="2" v="15632"/>
    </bk>
    <bk>
      <rc t="2" v="15634"/>
    </bk>
    <bk>
      <rc t="2" v="15635"/>
    </bk>
    <bk>
      <rc t="2" v="15633"/>
    </bk>
    <bk>
      <rc t="2" v="15636"/>
    </bk>
    <bk>
      <rc t="2" v="15637"/>
    </bk>
    <bk>
      <rc t="2" v="15638"/>
    </bk>
    <bk>
      <rc t="2" v="15639"/>
    </bk>
    <bk>
      <rc t="2" v="15640"/>
    </bk>
    <bk>
      <rc t="2" v="15641"/>
    </bk>
    <bk>
      <rc t="2" v="15642"/>
    </bk>
    <bk>
      <rc t="2" v="15643"/>
    </bk>
    <bk>
      <rc t="2" v="15644"/>
    </bk>
    <bk>
      <rc t="2" v="15645"/>
    </bk>
    <bk>
      <rc t="2" v="15646"/>
    </bk>
    <bk>
      <rc t="2" v="15647"/>
    </bk>
    <bk>
      <rc t="2" v="15648"/>
    </bk>
    <bk>
      <rc t="2" v="15649"/>
    </bk>
    <bk>
      <rc t="2" v="15650"/>
    </bk>
    <bk>
      <rc t="2" v="15651"/>
    </bk>
    <bk>
      <rc t="2" v="15652"/>
    </bk>
    <bk>
      <rc t="2" v="15653"/>
    </bk>
    <bk>
      <rc t="2" v="15654"/>
    </bk>
    <bk>
      <rc t="2" v="15655"/>
    </bk>
    <bk>
      <rc t="2" v="15656"/>
    </bk>
    <bk>
      <rc t="2" v="15657"/>
    </bk>
    <bk>
      <rc t="2" v="15658"/>
    </bk>
    <bk>
      <rc t="2" v="15659"/>
    </bk>
    <bk>
      <rc t="2" v="15660"/>
    </bk>
    <bk>
      <rc t="2" v="15661"/>
    </bk>
    <bk>
      <rc t="2" v="15662"/>
    </bk>
    <bk>
      <rc t="2" v="15663"/>
    </bk>
    <bk>
      <rc t="2" v="15664"/>
    </bk>
    <bk>
      <rc t="2" v="15665"/>
    </bk>
    <bk>
      <rc t="2" v="15666"/>
    </bk>
    <bk>
      <rc t="2" v="15667"/>
    </bk>
    <bk>
      <rc t="2" v="15668"/>
    </bk>
    <bk>
      <rc t="2" v="15669"/>
    </bk>
    <bk>
      <rc t="2" v="15670"/>
    </bk>
    <bk>
      <rc t="2" v="15671"/>
    </bk>
    <bk>
      <rc t="2" v="15672"/>
    </bk>
    <bk>
      <rc t="2" v="15673"/>
    </bk>
    <bk>
      <rc t="2" v="15674"/>
    </bk>
    <bk>
      <rc t="2" v="15675"/>
    </bk>
    <bk>
      <rc t="2" v="15676"/>
    </bk>
    <bk>
      <rc t="2" v="15677"/>
    </bk>
    <bk>
      <rc t="2" v="15678"/>
    </bk>
    <bk>
      <rc t="2" v="15679"/>
    </bk>
    <bk>
      <rc t="2" v="15680"/>
    </bk>
    <bk>
      <rc t="2" v="15681"/>
    </bk>
    <bk>
      <rc t="2" v="15682"/>
    </bk>
    <bk>
      <rc t="2" v="15683"/>
    </bk>
    <bk>
      <rc t="2" v="15684"/>
    </bk>
    <bk>
      <rc t="2" v="15685"/>
    </bk>
    <bk>
      <rc t="2" v="15686"/>
    </bk>
    <bk>
      <rc t="2" v="15687"/>
    </bk>
    <bk>
      <rc t="2" v="15688"/>
    </bk>
    <bk>
      <rc t="2" v="15689"/>
    </bk>
    <bk>
      <rc t="2" v="15690"/>
    </bk>
    <bk>
      <rc t="2" v="15691"/>
    </bk>
    <bk>
      <rc t="2" v="15692"/>
    </bk>
    <bk>
      <rc t="2" v="15693"/>
    </bk>
    <bk>
      <rc t="2" v="15694"/>
    </bk>
    <bk>
      <rc t="2" v="15695"/>
    </bk>
    <bk>
      <rc t="2" v="15696"/>
    </bk>
    <bk>
      <rc t="2" v="15697"/>
    </bk>
    <bk>
      <rc t="2" v="15698"/>
    </bk>
    <bk>
      <rc t="2" v="15699"/>
    </bk>
    <bk>
      <rc t="2" v="15700"/>
    </bk>
    <bk>
      <rc t="2" v="15701"/>
    </bk>
    <bk>
      <rc t="2" v="15702"/>
    </bk>
    <bk>
      <rc t="2" v="15703"/>
    </bk>
    <bk>
      <rc t="2" v="15704"/>
    </bk>
    <bk>
      <rc t="2" v="15705"/>
    </bk>
    <bk>
      <rc t="2" v="15706"/>
    </bk>
    <bk>
      <rc t="2" v="15707"/>
    </bk>
    <bk>
      <rc t="2" v="15708"/>
    </bk>
    <bk>
      <rc t="2" v="15709"/>
    </bk>
    <bk>
      <rc t="2" v="15710"/>
    </bk>
    <bk>
      <rc t="2" v="15711"/>
    </bk>
    <bk>
      <rc t="2" v="15712"/>
    </bk>
    <bk>
      <rc t="2" v="15713"/>
    </bk>
    <bk>
      <rc t="2" v="15714"/>
    </bk>
    <bk>
      <rc t="2" v="15715"/>
    </bk>
    <bk>
      <rc t="2" v="15716"/>
    </bk>
    <bk>
      <rc t="2" v="15717"/>
    </bk>
    <bk>
      <rc t="2" v="15718"/>
    </bk>
    <bk>
      <rc t="2" v="15719"/>
    </bk>
    <bk>
      <rc t="2" v="15720"/>
    </bk>
    <bk>
      <rc t="2" v="15721"/>
    </bk>
    <bk>
      <rc t="2" v="15722"/>
    </bk>
    <bk>
      <rc t="2" v="15723"/>
    </bk>
    <bk>
      <rc t="2" v="15724"/>
    </bk>
    <bk>
      <rc t="2" v="15725"/>
    </bk>
    <bk>
      <rc t="2" v="15726"/>
    </bk>
    <bk>
      <rc t="2" v="15727"/>
    </bk>
    <bk>
      <rc t="2" v="15728"/>
    </bk>
    <bk>
      <rc t="2" v="15729"/>
    </bk>
    <bk>
      <rc t="2" v="15730"/>
    </bk>
    <bk>
      <rc t="2" v="15731"/>
    </bk>
    <bk>
      <rc t="2" v="15732"/>
    </bk>
    <bk>
      <rc t="2" v="15733"/>
    </bk>
    <bk>
      <rc t="2" v="15734"/>
    </bk>
    <bk>
      <rc t="2" v="15735"/>
    </bk>
    <bk>
      <rc t="2" v="15736"/>
    </bk>
    <bk>
      <rc t="2" v="15737"/>
    </bk>
    <bk>
      <rc t="2" v="15738"/>
    </bk>
    <bk>
      <rc t="2" v="15739"/>
    </bk>
    <bk>
      <rc t="2" v="15740"/>
    </bk>
    <bk>
      <rc t="2" v="15741"/>
    </bk>
    <bk>
      <rc t="2" v="15742"/>
    </bk>
    <bk>
      <rc t="2" v="15743"/>
    </bk>
    <bk>
      <rc t="2" v="15744"/>
    </bk>
    <bk>
      <rc t="2" v="15745"/>
    </bk>
    <bk>
      <rc t="2" v="15746"/>
    </bk>
    <bk>
      <rc t="2" v="15747"/>
    </bk>
    <bk>
      <rc t="2" v="15748"/>
    </bk>
    <bk>
      <rc t="2" v="15749"/>
    </bk>
    <bk>
      <rc t="2" v="15750"/>
    </bk>
    <bk>
      <rc t="2" v="15751"/>
    </bk>
    <bk>
      <rc t="2" v="15752"/>
    </bk>
    <bk>
      <rc t="2" v="15753"/>
    </bk>
    <bk>
      <rc t="2" v="15754"/>
    </bk>
    <bk>
      <rc t="2" v="15755"/>
    </bk>
    <bk>
      <rc t="2" v="15756"/>
    </bk>
    <bk>
      <rc t="2" v="15757"/>
    </bk>
    <bk>
      <rc t="2" v="15758"/>
    </bk>
    <bk>
      <rc t="2" v="15759"/>
    </bk>
    <bk>
      <rc t="2" v="15760"/>
    </bk>
    <bk>
      <rc t="2" v="15761"/>
    </bk>
    <bk>
      <rc t="2" v="15762"/>
    </bk>
    <bk>
      <rc t="2" v="15763"/>
    </bk>
    <bk>
      <rc t="2" v="15764"/>
    </bk>
    <bk>
      <rc t="2" v="15765"/>
    </bk>
    <bk>
      <rc t="2" v="15766"/>
    </bk>
    <bk>
      <rc t="2" v="15767"/>
    </bk>
    <bk>
      <rc t="2" v="15768"/>
    </bk>
    <bk>
      <rc t="2" v="15769"/>
    </bk>
    <bk>
      <rc t="2" v="15770"/>
    </bk>
    <bk>
      <rc t="2" v="15771"/>
    </bk>
    <bk>
      <rc t="2" v="15772"/>
    </bk>
    <bk>
      <rc t="2" v="15773"/>
    </bk>
    <bk>
      <rc t="2" v="15774"/>
    </bk>
    <bk>
      <rc t="2" v="15775"/>
    </bk>
    <bk>
      <rc t="2" v="15776"/>
    </bk>
    <bk>
      <rc t="2" v="15777"/>
    </bk>
    <bk>
      <rc t="2" v="15778"/>
    </bk>
    <bk>
      <rc t="2" v="15779"/>
    </bk>
    <bk>
      <rc t="2" v="15780"/>
    </bk>
    <bk>
      <rc t="2" v="15781"/>
    </bk>
    <bk>
      <rc t="2" v="15782"/>
    </bk>
    <bk>
      <rc t="2" v="15783"/>
    </bk>
    <bk>
      <rc t="2" v="15784"/>
    </bk>
    <bk>
      <rc t="2" v="15785"/>
    </bk>
    <bk>
      <rc t="2" v="15786"/>
    </bk>
    <bk>
      <rc t="2" v="15787"/>
    </bk>
    <bk>
      <rc t="2" v="15788"/>
    </bk>
    <bk>
      <rc t="2" v="15789"/>
    </bk>
    <bk>
      <rc t="2" v="15790"/>
    </bk>
    <bk>
      <rc t="2" v="15791"/>
    </bk>
    <bk>
      <rc t="2" v="15792"/>
    </bk>
    <bk>
      <rc t="2" v="15793"/>
    </bk>
    <bk>
      <rc t="2" v="15794"/>
    </bk>
    <bk>
      <rc t="2" v="15795"/>
    </bk>
    <bk>
      <rc t="2" v="15796"/>
    </bk>
    <bk>
      <rc t="2" v="15797"/>
    </bk>
    <bk>
      <rc t="2" v="15798"/>
    </bk>
    <bk>
      <rc t="2" v="15799"/>
    </bk>
    <bk>
      <rc t="2" v="15800"/>
    </bk>
    <bk>
      <rc t="2" v="15801"/>
    </bk>
    <bk>
      <rc t="2" v="15802"/>
    </bk>
    <bk>
      <rc t="2" v="15803"/>
    </bk>
    <bk>
      <rc t="2" v="15804"/>
    </bk>
    <bk>
      <rc t="2" v="15805"/>
    </bk>
    <bk>
      <rc t="2" v="15806"/>
    </bk>
    <bk>
      <rc t="2" v="15807"/>
    </bk>
    <bk>
      <rc t="2" v="15808"/>
    </bk>
    <bk>
      <rc t="2" v="15809"/>
    </bk>
    <bk>
      <rc t="2" v="15810"/>
    </bk>
    <bk>
      <rc t="2" v="15811"/>
    </bk>
    <bk>
      <rc t="2" v="15812"/>
    </bk>
    <bk>
      <rc t="2" v="15813"/>
    </bk>
    <bk>
      <rc t="2" v="15814"/>
    </bk>
    <bk>
      <rc t="2" v="15815"/>
    </bk>
    <bk>
      <rc t="2" v="15816"/>
    </bk>
    <bk>
      <rc t="2" v="15817"/>
    </bk>
    <bk>
      <rc t="2" v="15818"/>
    </bk>
    <bk>
      <rc t="2" v="15819"/>
    </bk>
    <bk>
      <rc t="2" v="15820"/>
    </bk>
    <bk>
      <rc t="2" v="15821"/>
    </bk>
    <bk>
      <rc t="2" v="15822"/>
    </bk>
    <bk>
      <rc t="2" v="15823"/>
    </bk>
    <bk>
      <rc t="2" v="15824"/>
    </bk>
    <bk>
      <rc t="2" v="15825"/>
    </bk>
    <bk>
      <rc t="2" v="15826"/>
    </bk>
    <bk>
      <rc t="2" v="15827"/>
    </bk>
    <bk>
      <rc t="2" v="15828"/>
    </bk>
    <bk>
      <rc t="2" v="15829"/>
    </bk>
    <bk>
      <rc t="2" v="15830"/>
    </bk>
    <bk>
      <rc t="2" v="15831"/>
    </bk>
    <bk>
      <rc t="2" v="15832"/>
    </bk>
    <bk>
      <rc t="2" v="15833"/>
    </bk>
    <bk>
      <rc t="2" v="15834"/>
    </bk>
    <bk>
      <rc t="2" v="15835"/>
    </bk>
    <bk>
      <rc t="2" v="15836"/>
    </bk>
    <bk>
      <rc t="2" v="15837"/>
    </bk>
    <bk>
      <rc t="2" v="15838"/>
    </bk>
    <bk>
      <rc t="2" v="15839"/>
    </bk>
    <bk>
      <rc t="2" v="15840"/>
    </bk>
    <bk>
      <rc t="2" v="15841"/>
    </bk>
    <bk>
      <rc t="2" v="15842"/>
    </bk>
    <bk>
      <rc t="2" v="15843"/>
    </bk>
    <bk>
      <rc t="2" v="15844"/>
    </bk>
    <bk>
      <rc t="2" v="15845"/>
    </bk>
    <bk>
      <rc t="2" v="15846"/>
    </bk>
    <bk>
      <rc t="2" v="15847"/>
    </bk>
    <bk>
      <rc t="2" v="15848"/>
    </bk>
    <bk>
      <rc t="2" v="15849"/>
    </bk>
    <bk>
      <rc t="2" v="15850"/>
    </bk>
    <bk>
      <rc t="2" v="15851"/>
    </bk>
    <bk>
      <rc t="2" v="15852"/>
    </bk>
    <bk>
      <rc t="2" v="15853"/>
    </bk>
    <bk>
      <rc t="2" v="15854"/>
    </bk>
    <bk>
      <rc t="2" v="15855"/>
    </bk>
    <bk>
      <rc t="2" v="15856"/>
    </bk>
    <bk>
      <rc t="2" v="15857"/>
    </bk>
    <bk>
      <rc t="2" v="15858"/>
    </bk>
    <bk>
      <rc t="2" v="15859"/>
    </bk>
    <bk>
      <rc t="2" v="15860"/>
    </bk>
    <bk>
      <rc t="2" v="15861"/>
    </bk>
    <bk>
      <rc t="2" v="15862"/>
    </bk>
    <bk>
      <rc t="2" v="15863"/>
    </bk>
    <bk>
      <rc t="2" v="15864"/>
    </bk>
    <bk>
      <rc t="2" v="15865"/>
    </bk>
    <bk>
      <rc t="2" v="15866"/>
    </bk>
    <bk>
      <rc t="2" v="15867"/>
    </bk>
    <bk>
      <rc t="2" v="15868"/>
    </bk>
    <bk>
      <rc t="2" v="15869"/>
    </bk>
    <bk>
      <rc t="2" v="15870"/>
    </bk>
    <bk>
      <rc t="2" v="15871"/>
    </bk>
    <bk>
      <rc t="2" v="15872"/>
    </bk>
    <bk>
      <rc t="2" v="15873"/>
    </bk>
    <bk>
      <rc t="2" v="15874"/>
    </bk>
    <bk>
      <rc t="2" v="15875"/>
    </bk>
    <bk>
      <rc t="2" v="15876"/>
    </bk>
    <bk>
      <rc t="2" v="15877"/>
    </bk>
    <bk>
      <rc t="2" v="15878"/>
    </bk>
    <bk>
      <rc t="2" v="15879"/>
    </bk>
    <bk>
      <rc t="2" v="15880"/>
    </bk>
    <bk>
      <rc t="2" v="15881"/>
    </bk>
    <bk>
      <rc t="2" v="15882"/>
    </bk>
    <bk>
      <rc t="2" v="15883"/>
    </bk>
    <bk>
      <rc t="2" v="15884"/>
    </bk>
    <bk>
      <rc t="2" v="15885"/>
    </bk>
    <bk>
      <rc t="2" v="15886"/>
    </bk>
    <bk>
      <rc t="2" v="15887"/>
    </bk>
    <bk>
      <rc t="2" v="15888"/>
    </bk>
    <bk>
      <rc t="2" v="15889"/>
    </bk>
    <bk>
      <rc t="2" v="15890"/>
    </bk>
    <bk>
      <rc t="2" v="15891"/>
    </bk>
    <bk>
      <rc t="2" v="15892"/>
    </bk>
    <bk>
      <rc t="2" v="15893"/>
    </bk>
    <bk>
      <rc t="2" v="15894"/>
    </bk>
    <bk>
      <rc t="2" v="15895"/>
    </bk>
    <bk>
      <rc t="2" v="15896"/>
    </bk>
    <bk>
      <rc t="2" v="15897"/>
    </bk>
    <bk>
      <rc t="2" v="15898"/>
    </bk>
    <bk>
      <rc t="2" v="15899"/>
    </bk>
    <bk>
      <rc t="2" v="15900"/>
    </bk>
    <bk>
      <rc t="2" v="15901"/>
    </bk>
    <bk>
      <rc t="2" v="15902"/>
    </bk>
    <bk>
      <rc t="2" v="15903"/>
    </bk>
    <bk>
      <rc t="2" v="15904"/>
    </bk>
    <bk>
      <rc t="2" v="15905"/>
    </bk>
    <bk>
      <rc t="2" v="15906"/>
    </bk>
    <bk>
      <rc t="2" v="15907"/>
    </bk>
    <bk>
      <rc t="2" v="15908"/>
    </bk>
    <bk>
      <rc t="2" v="15909"/>
    </bk>
    <bk>
      <rc t="2" v="15910"/>
    </bk>
    <bk>
      <rc t="2" v="15911"/>
    </bk>
    <bk>
      <rc t="2" v="15912"/>
    </bk>
    <bk>
      <rc t="2" v="15913"/>
    </bk>
    <bk>
      <rc t="2" v="15914"/>
    </bk>
    <bk>
      <rc t="2" v="15915"/>
    </bk>
    <bk>
      <rc t="2" v="15916"/>
    </bk>
    <bk>
      <rc t="2" v="15917"/>
    </bk>
    <bk>
      <rc t="2" v="15918"/>
    </bk>
    <bk>
      <rc t="2" v="15919"/>
    </bk>
    <bk>
      <rc t="2" v="15920"/>
    </bk>
    <bk>
      <rc t="2" v="15921"/>
    </bk>
    <bk>
      <rc t="2" v="15922"/>
    </bk>
    <bk>
      <rc t="2" v="15923"/>
    </bk>
    <bk>
      <rc t="2" v="15924"/>
    </bk>
    <bk>
      <rc t="2" v="15925"/>
    </bk>
    <bk>
      <rc t="2" v="15926"/>
    </bk>
    <bk>
      <rc t="2" v="15927"/>
    </bk>
    <bk>
      <rc t="2" v="15928"/>
    </bk>
    <bk>
      <rc t="2" v="15929"/>
    </bk>
    <bk>
      <rc t="2" v="15930"/>
    </bk>
    <bk>
      <rc t="2" v="15931"/>
    </bk>
    <bk>
      <rc t="2" v="15932"/>
    </bk>
    <bk>
      <rc t="2" v="15933"/>
    </bk>
    <bk>
      <rc t="2" v="15934"/>
    </bk>
    <bk>
      <rc t="2" v="15935"/>
    </bk>
    <bk>
      <rc t="2" v="15936"/>
    </bk>
    <bk>
      <rc t="2" v="15937"/>
    </bk>
    <bk>
      <rc t="2" v="15938"/>
    </bk>
    <bk>
      <rc t="2" v="15939"/>
    </bk>
    <bk>
      <rc t="2" v="15940"/>
    </bk>
    <bk>
      <rc t="2" v="15941"/>
    </bk>
    <bk>
      <rc t="2" v="15942"/>
    </bk>
    <bk>
      <rc t="2" v="15943"/>
    </bk>
    <bk>
      <rc t="2" v="15944"/>
    </bk>
    <bk>
      <rc t="2" v="15945"/>
    </bk>
    <bk>
      <rc t="2" v="15946"/>
    </bk>
    <bk>
      <rc t="2" v="15947"/>
    </bk>
    <bk>
      <rc t="2" v="15948"/>
    </bk>
    <bk>
      <rc t="2" v="15949"/>
    </bk>
    <bk>
      <rc t="2" v="15950"/>
    </bk>
    <bk>
      <rc t="2" v="15951"/>
    </bk>
    <bk>
      <rc t="2" v="15952"/>
    </bk>
    <bk>
      <rc t="2" v="15953"/>
    </bk>
    <bk>
      <rc t="2" v="15954"/>
    </bk>
    <bk>
      <rc t="2" v="15955"/>
    </bk>
    <bk>
      <rc t="2" v="15956"/>
    </bk>
    <bk>
      <rc t="2" v="15957"/>
    </bk>
    <bk>
      <rc t="2" v="15958"/>
    </bk>
    <bk>
      <rc t="2" v="15959"/>
    </bk>
    <bk>
      <rc t="2" v="15960"/>
    </bk>
    <bk>
      <rc t="2" v="15961"/>
    </bk>
    <bk>
      <rc t="2" v="15962"/>
    </bk>
    <bk>
      <rc t="2" v="15963"/>
    </bk>
    <bk>
      <rc t="2" v="15964"/>
    </bk>
    <bk>
      <rc t="2" v="15965"/>
    </bk>
    <bk>
      <rc t="2" v="15966"/>
    </bk>
    <bk>
      <rc t="2" v="15967"/>
    </bk>
    <bk>
      <rc t="2" v="15968"/>
    </bk>
    <bk>
      <rc t="2" v="15969"/>
    </bk>
    <bk>
      <rc t="2" v="15970"/>
    </bk>
    <bk>
      <rc t="2" v="15971"/>
    </bk>
    <bk>
      <rc t="2" v="15972"/>
    </bk>
    <bk>
      <rc t="2" v="15973"/>
    </bk>
    <bk>
      <rc t="2" v="15974"/>
    </bk>
    <bk>
      <rc t="2" v="15975"/>
    </bk>
    <bk>
      <rc t="2" v="15976"/>
    </bk>
    <bk>
      <rc t="2" v="15977"/>
    </bk>
    <bk>
      <rc t="2" v="15978"/>
    </bk>
    <bk>
      <rc t="2" v="15979"/>
    </bk>
    <bk>
      <rc t="2" v="15980"/>
    </bk>
    <bk>
      <rc t="2" v="15981"/>
    </bk>
    <bk>
      <rc t="2" v="15982"/>
    </bk>
    <bk>
      <rc t="2" v="15983"/>
    </bk>
    <bk>
      <rc t="2" v="15984"/>
    </bk>
    <bk>
      <rc t="2" v="15985"/>
    </bk>
    <bk>
      <rc t="2" v="15986"/>
    </bk>
    <bk>
      <rc t="2" v="15987"/>
    </bk>
    <bk>
      <rc t="2" v="15988"/>
    </bk>
    <bk>
      <rc t="2" v="15989"/>
    </bk>
    <bk>
      <rc t="2" v="15990"/>
    </bk>
    <bk>
      <rc t="2" v="15991"/>
    </bk>
    <bk>
      <rc t="2" v="15992"/>
    </bk>
    <bk>
      <rc t="2" v="15993"/>
    </bk>
    <bk>
      <rc t="2" v="15994"/>
    </bk>
    <bk>
      <rc t="2" v="15995"/>
    </bk>
    <bk>
      <rc t="2" v="15996"/>
    </bk>
    <bk>
      <rc t="2" v="15997"/>
    </bk>
    <bk>
      <rc t="2" v="15998"/>
    </bk>
    <bk>
      <rc t="2" v="15999"/>
    </bk>
    <bk>
      <rc t="2" v="16000"/>
    </bk>
    <bk>
      <rc t="2" v="16001"/>
    </bk>
    <bk>
      <rc t="2" v="16002"/>
    </bk>
    <bk>
      <rc t="2" v="16003"/>
    </bk>
    <bk>
      <rc t="2" v="16004"/>
    </bk>
    <bk>
      <rc t="2" v="16005"/>
    </bk>
    <bk>
      <rc t="2" v="16006"/>
    </bk>
    <bk>
      <rc t="2" v="16007"/>
    </bk>
    <bk>
      <rc t="2" v="16008"/>
    </bk>
    <bk>
      <rc t="2" v="16009"/>
    </bk>
    <bk>
      <rc t="2" v="16010"/>
    </bk>
    <bk>
      <rc t="2" v="16011"/>
    </bk>
    <bk>
      <rc t="2" v="16012"/>
    </bk>
    <bk>
      <rc t="2" v="16013"/>
    </bk>
    <bk>
      <rc t="2" v="16014"/>
    </bk>
    <bk>
      <rc t="2" v="16015"/>
    </bk>
    <bk>
      <rc t="2" v="16016"/>
    </bk>
    <bk>
      <rc t="2" v="16017"/>
    </bk>
    <bk>
      <rc t="2" v="16018"/>
    </bk>
    <bk>
      <rc t="2" v="16019"/>
    </bk>
    <bk>
      <rc t="2" v="16020"/>
    </bk>
    <bk>
      <rc t="2" v="16021"/>
    </bk>
    <bk>
      <rc t="2" v="16022"/>
    </bk>
    <bk>
      <rc t="2" v="16023"/>
    </bk>
    <bk>
      <rc t="2" v="16024"/>
    </bk>
    <bk>
      <rc t="2" v="16025"/>
    </bk>
    <bk>
      <rc t="2" v="16026"/>
    </bk>
    <bk>
      <rc t="2" v="16027"/>
    </bk>
    <bk>
      <rc t="2" v="16028"/>
    </bk>
    <bk>
      <rc t="2" v="16029"/>
    </bk>
    <bk>
      <rc t="2" v="16030"/>
    </bk>
    <bk>
      <rc t="2" v="16031"/>
    </bk>
    <bk>
      <rc t="2" v="16032"/>
    </bk>
    <bk>
      <rc t="2" v="16033"/>
    </bk>
    <bk>
      <rc t="2" v="16034"/>
    </bk>
    <bk>
      <rc t="2" v="16035"/>
    </bk>
    <bk>
      <rc t="2" v="16036"/>
    </bk>
    <bk>
      <rc t="2" v="16037"/>
    </bk>
    <bk>
      <rc t="2" v="16038"/>
    </bk>
    <bk>
      <rc t="2" v="16039"/>
    </bk>
    <bk>
      <rc t="2" v="16040"/>
    </bk>
    <bk>
      <rc t="2" v="16041"/>
    </bk>
    <bk>
      <rc t="2" v="16042"/>
    </bk>
    <bk>
      <rc t="2" v="16043"/>
    </bk>
    <bk>
      <rc t="2" v="16044"/>
    </bk>
    <bk>
      <rc t="2" v="16045"/>
    </bk>
    <bk>
      <rc t="2" v="16046"/>
    </bk>
    <bk>
      <rc t="2" v="16047"/>
    </bk>
    <bk>
      <rc t="2" v="16048"/>
    </bk>
    <bk>
      <rc t="2" v="16049"/>
    </bk>
    <bk>
      <rc t="2" v="16050"/>
    </bk>
    <bk>
      <rc t="2" v="16051"/>
    </bk>
    <bk>
      <rc t="2" v="16052"/>
    </bk>
    <bk>
      <rc t="2" v="16053"/>
    </bk>
    <bk>
      <rc t="2" v="16054"/>
    </bk>
    <bk>
      <rc t="2" v="16055"/>
    </bk>
    <bk>
      <rc t="2" v="16056"/>
    </bk>
    <bk>
      <rc t="2" v="16057"/>
    </bk>
    <bk>
      <rc t="2" v="16058"/>
    </bk>
    <bk>
      <rc t="2" v="16059"/>
    </bk>
    <bk>
      <rc t="2" v="16060"/>
    </bk>
    <bk>
      <rc t="2" v="16061"/>
    </bk>
    <bk>
      <rc t="2" v="16062"/>
    </bk>
    <bk>
      <rc t="2" v="16063"/>
    </bk>
    <bk>
      <rc t="2" v="16064"/>
    </bk>
    <bk>
      <rc t="2" v="16065"/>
    </bk>
    <bk>
      <rc t="2" v="16066"/>
    </bk>
    <bk>
      <rc t="2" v="16067"/>
    </bk>
    <bk>
      <rc t="2" v="16068"/>
    </bk>
    <bk>
      <rc t="2" v="16069"/>
    </bk>
    <bk>
      <rc t="2" v="16070"/>
    </bk>
    <bk>
      <rc t="2" v="16071"/>
    </bk>
    <bk>
      <rc t="2" v="16072"/>
    </bk>
    <bk>
      <rc t="2" v="16073"/>
    </bk>
    <bk>
      <rc t="2" v="16074"/>
    </bk>
    <bk>
      <rc t="2" v="16075"/>
    </bk>
    <bk>
      <rc t="2" v="16076"/>
    </bk>
    <bk>
      <rc t="2" v="16077"/>
    </bk>
    <bk>
      <rc t="2" v="16078"/>
    </bk>
    <bk>
      <rc t="2" v="16079"/>
    </bk>
    <bk>
      <rc t="2" v="16080"/>
    </bk>
    <bk>
      <rc t="2" v="16081"/>
    </bk>
    <bk>
      <rc t="2" v="16082"/>
    </bk>
    <bk>
      <rc t="2" v="16083"/>
    </bk>
    <bk>
      <rc t="2" v="16084"/>
    </bk>
    <bk>
      <rc t="2" v="16085"/>
    </bk>
    <bk>
      <rc t="2" v="16086"/>
    </bk>
    <bk>
      <rc t="2" v="16087"/>
    </bk>
    <bk>
      <rc t="2" v="16088"/>
    </bk>
    <bk>
      <rc t="2" v="16089"/>
    </bk>
    <bk>
      <rc t="2" v="16090"/>
    </bk>
    <bk>
      <rc t="2" v="16091"/>
    </bk>
    <bk>
      <rc t="2" v="16092"/>
    </bk>
    <bk>
      <rc t="2" v="16093"/>
    </bk>
    <bk>
      <rc t="2" v="16094"/>
    </bk>
    <bk>
      <rc t="2" v="16095"/>
    </bk>
    <bk>
      <rc t="2" v="16096"/>
    </bk>
    <bk>
      <rc t="2" v="16097"/>
    </bk>
    <bk>
      <rc t="2" v="16098"/>
    </bk>
    <bk>
      <rc t="2" v="16099"/>
    </bk>
    <bk>
      <rc t="2" v="16100"/>
    </bk>
    <bk>
      <rc t="2" v="16101"/>
    </bk>
    <bk>
      <rc t="2" v="16102"/>
    </bk>
    <bk>
      <rc t="2" v="16103"/>
    </bk>
    <bk>
      <rc t="2" v="16104"/>
    </bk>
    <bk>
      <rc t="2" v="16105"/>
    </bk>
    <bk>
      <rc t="2" v="16106"/>
    </bk>
    <bk>
      <rc t="2" v="16107"/>
    </bk>
    <bk>
      <rc t="2" v="16108"/>
    </bk>
    <bk>
      <rc t="2" v="16109"/>
    </bk>
    <bk>
      <rc t="2" v="16110"/>
    </bk>
    <bk>
      <rc t="2" v="16111"/>
    </bk>
    <bk>
      <rc t="2" v="16112"/>
    </bk>
    <bk>
      <rc t="2" v="16113"/>
    </bk>
    <bk>
      <rc t="2" v="16114"/>
    </bk>
    <bk>
      <rc t="2" v="16115"/>
    </bk>
    <bk>
      <rc t="2" v="16116"/>
    </bk>
    <bk>
      <rc t="2" v="16117"/>
    </bk>
    <bk>
      <rc t="2" v="16118"/>
    </bk>
    <bk>
      <rc t="2" v="16119"/>
    </bk>
    <bk>
      <rc t="2" v="16120"/>
    </bk>
    <bk>
      <rc t="2" v="16121"/>
    </bk>
    <bk>
      <rc t="2" v="16122"/>
    </bk>
    <bk>
      <rc t="2" v="16123"/>
    </bk>
    <bk>
      <rc t="2" v="16124"/>
    </bk>
    <bk>
      <rc t="2" v="16125"/>
    </bk>
    <bk>
      <rc t="2" v="16126"/>
    </bk>
    <bk>
      <rc t="2" v="16127"/>
    </bk>
    <bk>
      <rc t="2" v="16128"/>
    </bk>
    <bk>
      <rc t="2" v="16129"/>
    </bk>
    <bk>
      <rc t="2" v="16130"/>
    </bk>
    <bk>
      <rc t="2" v="16131"/>
    </bk>
    <bk>
      <rc t="2" v="16132"/>
    </bk>
    <bk>
      <rc t="2" v="16133"/>
    </bk>
    <bk>
      <rc t="2" v="16134"/>
    </bk>
    <bk>
      <rc t="2" v="16135"/>
    </bk>
    <bk>
      <rc t="2" v="16136"/>
    </bk>
    <bk>
      <rc t="2" v="16137"/>
    </bk>
    <bk>
      <rc t="2" v="16138"/>
    </bk>
    <bk>
      <rc t="2" v="16139"/>
    </bk>
    <bk>
      <rc t="2" v="16140"/>
    </bk>
    <bk>
      <rc t="2" v="16141"/>
    </bk>
    <bk>
      <rc t="2" v="16142"/>
    </bk>
    <bk>
      <rc t="2" v="16143"/>
    </bk>
    <bk>
      <rc t="2" v="16144"/>
    </bk>
    <bk>
      <rc t="2" v="16145"/>
    </bk>
    <bk>
      <rc t="2" v="16146"/>
    </bk>
    <bk>
      <rc t="2" v="16147"/>
    </bk>
    <bk>
      <rc t="2" v="16148"/>
    </bk>
    <bk>
      <rc t="2" v="16149"/>
    </bk>
    <bk>
      <rc t="2" v="16150"/>
    </bk>
    <bk>
      <rc t="2" v="16151"/>
    </bk>
    <bk>
      <rc t="2" v="16152"/>
    </bk>
    <bk>
      <rc t="2" v="16153"/>
    </bk>
    <bk>
      <rc t="2" v="16154"/>
    </bk>
    <bk>
      <rc t="2" v="16155"/>
    </bk>
    <bk>
      <rc t="2" v="16156"/>
    </bk>
    <bk>
      <rc t="2" v="16157"/>
    </bk>
    <bk>
      <rc t="2" v="16158"/>
    </bk>
    <bk>
      <rc t="2" v="16159"/>
    </bk>
    <bk>
      <rc t="2" v="16160"/>
    </bk>
    <bk>
      <rc t="2" v="16161"/>
    </bk>
    <bk>
      <rc t="2" v="16162"/>
    </bk>
    <bk>
      <rc t="2" v="16163"/>
    </bk>
    <bk>
      <rc t="2" v="16164"/>
    </bk>
    <bk>
      <rc t="2" v="16165"/>
    </bk>
    <bk>
      <rc t="2" v="16166"/>
    </bk>
    <bk>
      <rc t="2" v="16167"/>
    </bk>
    <bk>
      <rc t="2" v="16168"/>
    </bk>
    <bk>
      <rc t="2" v="16169"/>
    </bk>
    <bk>
      <rc t="2" v="16170"/>
    </bk>
    <bk>
      <rc t="2" v="16171"/>
    </bk>
    <bk>
      <rc t="2" v="16172"/>
    </bk>
    <bk>
      <rc t="2" v="16173"/>
    </bk>
    <bk>
      <rc t="2" v="16174"/>
    </bk>
    <bk>
      <rc t="2" v="16175"/>
    </bk>
    <bk>
      <rc t="2" v="16176"/>
    </bk>
    <bk>
      <rc t="2" v="16177"/>
    </bk>
    <bk>
      <rc t="2" v="16178"/>
    </bk>
    <bk>
      <rc t="2" v="16179"/>
    </bk>
    <bk>
      <rc t="2" v="16180"/>
    </bk>
    <bk>
      <rc t="2" v="16181"/>
    </bk>
    <bk>
      <rc t="2" v="16182"/>
    </bk>
    <bk>
      <rc t="2" v="16183"/>
    </bk>
    <bk>
      <rc t="2" v="16184"/>
    </bk>
    <bk>
      <rc t="2" v="16185"/>
    </bk>
    <bk>
      <rc t="2" v="16186"/>
    </bk>
    <bk>
      <rc t="2" v="16187"/>
    </bk>
    <bk>
      <rc t="2" v="16188"/>
    </bk>
    <bk>
      <rc t="2" v="16189"/>
    </bk>
    <bk>
      <rc t="2" v="16190"/>
    </bk>
    <bk>
      <rc t="2" v="16191"/>
    </bk>
    <bk>
      <rc t="2" v="16192"/>
    </bk>
    <bk>
      <rc t="2" v="16193"/>
    </bk>
    <bk>
      <rc t="2" v="16194"/>
    </bk>
    <bk>
      <rc t="2" v="16195"/>
    </bk>
    <bk>
      <rc t="2" v="16196"/>
    </bk>
    <bk>
      <rc t="2" v="16197"/>
    </bk>
    <bk>
      <rc t="2" v="16198"/>
    </bk>
    <bk>
      <rc t="2" v="16199"/>
    </bk>
    <bk>
      <rc t="2" v="16200"/>
    </bk>
    <bk>
      <rc t="2" v="16201"/>
    </bk>
    <bk>
      <rc t="2" v="16202"/>
    </bk>
    <bk>
      <rc t="2" v="16203"/>
    </bk>
    <bk>
      <rc t="2" v="16204"/>
    </bk>
    <bk>
      <rc t="2" v="16205"/>
    </bk>
    <bk>
      <rc t="2" v="16206"/>
    </bk>
    <bk>
      <rc t="2" v="16207"/>
    </bk>
    <bk>
      <rc t="2" v="16208"/>
    </bk>
    <bk>
      <rc t="2" v="16209"/>
    </bk>
    <bk>
      <rc t="2" v="16210"/>
    </bk>
    <bk>
      <rc t="2" v="16211"/>
    </bk>
    <bk>
      <rc t="2" v="16212"/>
    </bk>
    <bk>
      <rc t="2" v="16213"/>
    </bk>
    <bk>
      <rc t="2" v="16214"/>
    </bk>
    <bk>
      <rc t="2" v="16215"/>
    </bk>
    <bk>
      <rc t="2" v="16216"/>
    </bk>
    <bk>
      <rc t="2" v="16217"/>
    </bk>
    <bk>
      <rc t="2" v="16218"/>
    </bk>
    <bk>
      <rc t="2" v="16219"/>
    </bk>
    <bk>
      <rc t="2" v="16220"/>
    </bk>
    <bk>
      <rc t="2" v="16221"/>
    </bk>
    <bk>
      <rc t="2" v="16222"/>
    </bk>
    <bk>
      <rc t="2" v="16223"/>
    </bk>
    <bk>
      <rc t="2" v="16224"/>
    </bk>
    <bk>
      <rc t="2" v="16225"/>
    </bk>
    <bk>
      <rc t="2" v="16226"/>
    </bk>
    <bk>
      <rc t="2" v="16227"/>
    </bk>
    <bk>
      <rc t="2" v="16228"/>
    </bk>
    <bk>
      <rc t="2" v="16229"/>
    </bk>
    <bk>
      <rc t="2" v="16230"/>
    </bk>
    <bk>
      <rc t="2" v="16231"/>
    </bk>
    <bk>
      <rc t="2" v="16232"/>
    </bk>
    <bk>
      <rc t="2" v="16233"/>
    </bk>
    <bk>
      <rc t="2" v="16234"/>
    </bk>
    <bk>
      <rc t="2" v="16235"/>
    </bk>
    <bk>
      <rc t="2" v="16236"/>
    </bk>
    <bk>
      <rc t="2" v="16237"/>
    </bk>
    <bk>
      <rc t="2" v="16238"/>
    </bk>
    <bk>
      <rc t="2" v="16239"/>
    </bk>
    <bk>
      <rc t="2" v="16240"/>
    </bk>
    <bk>
      <rc t="2" v="16241"/>
    </bk>
    <bk>
      <rc t="2" v="16242"/>
    </bk>
    <bk>
      <rc t="2" v="16243"/>
    </bk>
    <bk>
      <rc t="2" v="16244"/>
    </bk>
    <bk>
      <rc t="2" v="16245"/>
    </bk>
    <bk>
      <rc t="2" v="16246"/>
    </bk>
    <bk>
      <rc t="2" v="16247"/>
    </bk>
    <bk>
      <rc t="2" v="16248"/>
    </bk>
    <bk>
      <rc t="2" v="16249"/>
    </bk>
    <bk>
      <rc t="2" v="16250"/>
    </bk>
    <bk>
      <rc t="2" v="16251"/>
    </bk>
    <bk>
      <rc t="2" v="16252"/>
    </bk>
    <bk>
      <rc t="2" v="16253"/>
    </bk>
    <bk>
      <rc t="2" v="16254"/>
    </bk>
    <bk>
      <rc t="2" v="16255"/>
    </bk>
    <bk>
      <rc t="2" v="16256"/>
    </bk>
    <bk>
      <rc t="2" v="16257"/>
    </bk>
    <bk>
      <rc t="2" v="16258"/>
    </bk>
    <bk>
      <rc t="2" v="16259"/>
    </bk>
    <bk>
      <rc t="2" v="16260"/>
    </bk>
    <bk>
      <rc t="2" v="16261"/>
    </bk>
    <bk>
      <rc t="2" v="16262"/>
    </bk>
    <bk>
      <rc t="2" v="16263"/>
    </bk>
    <bk>
      <rc t="2" v="16264"/>
    </bk>
    <bk>
      <rc t="2" v="16265"/>
    </bk>
    <bk>
      <rc t="2" v="16266"/>
    </bk>
    <bk>
      <rc t="2" v="16267"/>
    </bk>
    <bk>
      <rc t="2" v="16268"/>
    </bk>
    <bk>
      <rc t="2" v="16269"/>
    </bk>
    <bk>
      <rc t="2" v="16270"/>
    </bk>
    <bk>
      <rc t="2" v="16271"/>
    </bk>
    <bk>
      <rc t="2" v="16272"/>
    </bk>
    <bk>
      <rc t="2" v="16273"/>
    </bk>
    <bk>
      <rc t="2" v="16274"/>
    </bk>
    <bk>
      <rc t="2" v="16275"/>
    </bk>
    <bk>
      <rc t="2" v="16276"/>
    </bk>
    <bk>
      <rc t="2" v="16277"/>
    </bk>
    <bk>
      <rc t="2" v="16278"/>
    </bk>
    <bk>
      <rc t="2" v="16279"/>
    </bk>
    <bk>
      <rc t="2" v="16280"/>
    </bk>
    <bk>
      <rc t="2" v="16281"/>
    </bk>
    <bk>
      <rc t="2" v="16282"/>
    </bk>
    <bk>
      <rc t="2" v="16283"/>
    </bk>
    <bk>
      <rc t="2" v="16284"/>
    </bk>
    <bk>
      <rc t="2" v="16285"/>
    </bk>
    <bk>
      <rc t="2" v="16286"/>
    </bk>
    <bk>
      <rc t="2" v="16287"/>
    </bk>
    <bk>
      <rc t="2" v="16288"/>
    </bk>
    <bk>
      <rc t="2" v="16289"/>
    </bk>
    <bk>
      <rc t="2" v="16290"/>
    </bk>
    <bk>
      <rc t="2" v="16291"/>
    </bk>
    <bk>
      <rc t="2" v="16292"/>
    </bk>
    <bk>
      <rc t="2" v="16293"/>
    </bk>
    <bk>
      <rc t="2" v="16294"/>
    </bk>
    <bk>
      <rc t="2" v="16295"/>
    </bk>
    <bk>
      <rc t="2" v="16296"/>
    </bk>
    <bk>
      <rc t="2" v="16297"/>
    </bk>
    <bk>
      <rc t="2" v="16298"/>
    </bk>
    <bk>
      <rc t="2" v="16299"/>
    </bk>
    <bk>
      <rc t="2" v="16300"/>
    </bk>
    <bk>
      <rc t="2" v="16301"/>
    </bk>
    <bk>
      <rc t="2" v="16302"/>
    </bk>
    <bk>
      <rc t="2" v="16303"/>
    </bk>
    <bk>
      <rc t="2" v="16304"/>
    </bk>
    <bk>
      <rc t="2" v="16305"/>
    </bk>
    <bk>
      <rc t="2" v="16306"/>
    </bk>
    <bk>
      <rc t="2" v="16307"/>
    </bk>
    <bk>
      <rc t="2" v="16308"/>
    </bk>
    <bk>
      <rc t="2" v="16309"/>
    </bk>
    <bk>
      <rc t="2" v="16310"/>
    </bk>
    <bk>
      <rc t="2" v="16311"/>
    </bk>
    <bk>
      <rc t="2" v="16312"/>
    </bk>
    <bk>
      <rc t="2" v="16313"/>
    </bk>
    <bk>
      <rc t="2" v="16314"/>
    </bk>
    <bk>
      <rc t="2" v="16315"/>
    </bk>
    <bk>
      <rc t="2" v="16316"/>
    </bk>
    <bk>
      <rc t="2" v="16317"/>
    </bk>
    <bk>
      <rc t="2" v="16318"/>
    </bk>
    <bk>
      <rc t="2" v="16319"/>
    </bk>
    <bk>
      <rc t="2" v="16320"/>
    </bk>
    <bk>
      <rc t="2" v="16321"/>
    </bk>
    <bk>
      <rc t="2" v="16322"/>
    </bk>
    <bk>
      <rc t="2" v="16323"/>
    </bk>
    <bk>
      <rc t="2" v="16324"/>
    </bk>
    <bk>
      <rc t="2" v="16325"/>
    </bk>
    <bk>
      <rc t="2" v="16326"/>
    </bk>
    <bk>
      <rc t="2" v="16327"/>
    </bk>
    <bk>
      <rc t="2" v="16328"/>
    </bk>
    <bk>
      <rc t="2" v="16329"/>
    </bk>
    <bk>
      <rc t="2" v="16330"/>
    </bk>
    <bk>
      <rc t="2" v="16331"/>
    </bk>
    <bk>
      <rc t="2" v="16332"/>
    </bk>
    <bk>
      <rc t="2" v="16333"/>
    </bk>
    <bk>
      <rc t="2" v="16334"/>
    </bk>
    <bk>
      <rc t="2" v="16335"/>
    </bk>
    <bk>
      <rc t="2" v="16336"/>
    </bk>
    <bk>
      <rc t="2" v="16337"/>
    </bk>
    <bk>
      <rc t="2" v="16338"/>
    </bk>
    <bk>
      <rc t="2" v="16339"/>
    </bk>
    <bk>
      <rc t="2" v="16340"/>
    </bk>
    <bk>
      <rc t="2" v="16341"/>
    </bk>
    <bk>
      <rc t="2" v="16342"/>
    </bk>
    <bk>
      <rc t="2" v="16343"/>
    </bk>
    <bk>
      <rc t="2" v="16344"/>
    </bk>
    <bk>
      <rc t="2" v="16345"/>
    </bk>
    <bk>
      <rc t="2" v="16346"/>
    </bk>
    <bk>
      <rc t="2" v="16347"/>
    </bk>
    <bk>
      <rc t="2" v="16348"/>
    </bk>
    <bk>
      <rc t="2" v="16349"/>
    </bk>
    <bk>
      <rc t="2" v="16350"/>
    </bk>
    <bk>
      <rc t="2" v="16351"/>
    </bk>
    <bk>
      <rc t="2" v="16352"/>
    </bk>
    <bk>
      <rc t="2" v="16353"/>
    </bk>
    <bk>
      <rc t="2" v="16354"/>
    </bk>
    <bk>
      <rc t="2" v="16355"/>
    </bk>
    <bk>
      <rc t="2" v="16356"/>
    </bk>
    <bk>
      <rc t="2" v="16357"/>
    </bk>
    <bk>
      <rc t="2" v="16358"/>
    </bk>
    <bk>
      <rc t="2" v="16359"/>
    </bk>
    <bk>
      <rc t="2" v="16360"/>
    </bk>
    <bk>
      <rc t="2" v="16361"/>
    </bk>
    <bk>
      <rc t="2" v="16362"/>
    </bk>
    <bk>
      <rc t="2" v="16363"/>
    </bk>
    <bk>
      <rc t="2" v="16364"/>
    </bk>
    <bk>
      <rc t="2" v="16365"/>
    </bk>
    <bk>
      <rc t="2" v="16366"/>
    </bk>
    <bk>
      <rc t="2" v="16367"/>
    </bk>
    <bk>
      <rc t="2" v="16368"/>
    </bk>
    <bk>
      <rc t="2" v="16369"/>
    </bk>
    <bk>
      <rc t="2" v="16370"/>
    </bk>
    <bk>
      <rc t="2" v="16371"/>
    </bk>
    <bk>
      <rc t="2" v="16372"/>
    </bk>
    <bk>
      <rc t="2" v="16373"/>
    </bk>
    <bk>
      <rc t="2" v="16374"/>
    </bk>
    <bk>
      <rc t="2" v="16375"/>
    </bk>
    <bk>
      <rc t="2" v="16376"/>
    </bk>
    <bk>
      <rc t="2" v="16377"/>
    </bk>
    <bk>
      <rc t="2" v="16378"/>
    </bk>
    <bk>
      <rc t="2" v="16379"/>
    </bk>
    <bk>
      <rc t="2" v="16380"/>
    </bk>
    <bk>
      <rc t="2" v="16381"/>
    </bk>
    <bk>
      <rc t="2" v="16382"/>
    </bk>
    <bk>
      <rc t="2" v="16383"/>
    </bk>
    <bk>
      <rc t="2" v="16384"/>
    </bk>
    <bk>
      <rc t="2" v="16385"/>
    </bk>
    <bk>
      <rc t="2" v="16386"/>
    </bk>
    <bk>
      <rc t="2" v="16387"/>
    </bk>
    <bk>
      <rc t="2" v="16388"/>
    </bk>
    <bk>
      <rc t="2" v="16389"/>
    </bk>
    <bk>
      <rc t="2" v="16390"/>
    </bk>
    <bk>
      <rc t="2" v="16391"/>
    </bk>
    <bk>
      <rc t="2" v="16392"/>
    </bk>
    <bk>
      <rc t="2" v="16393"/>
    </bk>
    <bk>
      <rc t="2" v="16394"/>
    </bk>
    <bk>
      <rc t="2" v="16395"/>
    </bk>
    <bk>
      <rc t="2" v="16396"/>
    </bk>
    <bk>
      <rc t="2" v="16397"/>
    </bk>
    <bk>
      <rc t="2" v="16398"/>
    </bk>
    <bk>
      <rc t="2" v="16399"/>
    </bk>
    <bk>
      <rc t="2" v="16400"/>
    </bk>
    <bk>
      <rc t="2" v="16401"/>
    </bk>
    <bk>
      <rc t="2" v="16402"/>
    </bk>
    <bk>
      <rc t="2" v="16403"/>
    </bk>
    <bk>
      <rc t="2" v="16404"/>
    </bk>
    <bk>
      <rc t="2" v="16405"/>
    </bk>
    <bk>
      <rc t="2" v="16406"/>
    </bk>
    <bk>
      <rc t="2" v="16407"/>
    </bk>
    <bk>
      <rc t="2" v="16408"/>
    </bk>
    <bk>
      <rc t="2" v="16409"/>
    </bk>
    <bk>
      <rc t="2" v="16410"/>
    </bk>
    <bk>
      <rc t="2" v="16411"/>
    </bk>
    <bk>
      <rc t="2" v="16412"/>
    </bk>
    <bk>
      <rc t="2" v="16413"/>
    </bk>
    <bk>
      <rc t="2" v="16414"/>
    </bk>
    <bk>
      <rc t="2" v="16415"/>
    </bk>
    <bk>
      <rc t="2" v="16416"/>
    </bk>
    <bk>
      <rc t="2" v="16417"/>
    </bk>
    <bk>
      <rc t="2" v="16418"/>
    </bk>
    <bk>
      <rc t="2" v="16419"/>
    </bk>
    <bk>
      <rc t="2" v="16420"/>
    </bk>
    <bk>
      <rc t="2" v="16421"/>
    </bk>
    <bk>
      <rc t="2" v="16422"/>
    </bk>
    <bk>
      <rc t="2" v="16423"/>
    </bk>
    <bk>
      <rc t="2" v="16424"/>
    </bk>
    <bk>
      <rc t="2" v="16425"/>
    </bk>
    <bk>
      <rc t="2" v="16426"/>
    </bk>
    <bk>
      <rc t="2" v="16427"/>
    </bk>
    <bk>
      <rc t="2" v="16428"/>
    </bk>
    <bk>
      <rc t="2" v="16429"/>
    </bk>
    <bk>
      <rc t="2" v="16430"/>
    </bk>
    <bk>
      <rc t="2" v="16431"/>
    </bk>
    <bk>
      <rc t="2" v="16432"/>
    </bk>
    <bk>
      <rc t="2" v="16433"/>
    </bk>
    <bk>
      <rc t="2" v="16434"/>
    </bk>
    <bk>
      <rc t="2" v="16435"/>
    </bk>
    <bk>
      <rc t="2" v="16436"/>
    </bk>
    <bk>
      <rc t="2" v="16437"/>
    </bk>
    <bk>
      <rc t="2" v="16438"/>
    </bk>
    <bk>
      <rc t="2" v="16439"/>
    </bk>
    <bk>
      <rc t="2" v="16440"/>
    </bk>
    <bk>
      <rc t="2" v="16441"/>
    </bk>
    <bk>
      <rc t="2" v="16442"/>
    </bk>
    <bk>
      <rc t="2" v="16443"/>
    </bk>
    <bk>
      <rc t="2" v="16444"/>
    </bk>
    <bk>
      <rc t="2" v="16445"/>
    </bk>
    <bk>
      <rc t="2" v="16446"/>
    </bk>
    <bk>
      <rc t="2" v="16447"/>
    </bk>
    <bk>
      <rc t="2" v="16448"/>
    </bk>
    <bk>
      <rc t="2" v="16449"/>
    </bk>
    <bk>
      <rc t="2" v="16450"/>
    </bk>
    <bk>
      <rc t="2" v="16451"/>
    </bk>
    <bk>
      <rc t="2" v="16452"/>
    </bk>
    <bk>
      <rc t="2" v="16453"/>
    </bk>
    <bk>
      <rc t="2" v="16454"/>
    </bk>
    <bk>
      <rc t="2" v="16455"/>
    </bk>
    <bk>
      <rc t="2" v="16456"/>
    </bk>
    <bk>
      <rc t="2" v="16457"/>
    </bk>
    <bk>
      <rc t="2" v="16458"/>
    </bk>
    <bk>
      <rc t="2" v="16459"/>
    </bk>
    <bk>
      <rc t="2" v="16460"/>
    </bk>
    <bk>
      <rc t="2" v="16461"/>
    </bk>
    <bk>
      <rc t="2" v="16462"/>
    </bk>
    <bk>
      <rc t="2" v="16463"/>
    </bk>
    <bk>
      <rc t="2" v="16464"/>
    </bk>
    <bk>
      <rc t="2" v="16465"/>
    </bk>
    <bk>
      <rc t="2" v="16466"/>
    </bk>
    <bk>
      <rc t="2" v="16467"/>
    </bk>
    <bk>
      <rc t="2" v="16468"/>
    </bk>
    <bk>
      <rc t="2" v="16469"/>
    </bk>
    <bk>
      <rc t="2" v="16470"/>
    </bk>
    <bk>
      <rc t="2" v="16471"/>
    </bk>
    <bk>
      <rc t="2" v="16472"/>
    </bk>
    <bk>
      <rc t="2" v="16473"/>
    </bk>
    <bk>
      <rc t="2" v="16474"/>
    </bk>
    <bk>
      <rc t="2" v="16475"/>
    </bk>
    <bk>
      <rc t="2" v="16476"/>
    </bk>
    <bk>
      <rc t="2" v="16477"/>
    </bk>
    <bk>
      <rc t="2" v="16478"/>
    </bk>
    <bk>
      <rc t="2" v="16479"/>
    </bk>
    <bk>
      <rc t="2" v="16480"/>
    </bk>
    <bk>
      <rc t="2" v="16481"/>
    </bk>
    <bk>
      <rc t="2" v="16482"/>
    </bk>
    <bk>
      <rc t="2" v="16483"/>
    </bk>
    <bk>
      <rc t="2" v="16484"/>
    </bk>
    <bk>
      <rc t="2" v="16485"/>
    </bk>
    <bk>
      <rc t="2" v="16486"/>
    </bk>
    <bk>
      <rc t="2" v="16487"/>
    </bk>
    <bk>
      <rc t="2" v="16488"/>
    </bk>
    <bk>
      <rc t="2" v="16489"/>
    </bk>
    <bk>
      <rc t="2" v="16490"/>
    </bk>
    <bk>
      <rc t="2" v="16491"/>
    </bk>
    <bk>
      <rc t="2" v="16492"/>
    </bk>
    <bk>
      <rc t="2" v="16493"/>
    </bk>
    <bk>
      <rc t="2" v="16494"/>
    </bk>
    <bk>
      <rc t="2" v="16495"/>
    </bk>
    <bk>
      <rc t="2" v="16496"/>
    </bk>
    <bk>
      <rc t="2" v="16497"/>
    </bk>
    <bk>
      <rc t="2" v="16498"/>
    </bk>
    <bk>
      <rc t="2" v="16499"/>
    </bk>
    <bk>
      <rc t="2" v="16500"/>
    </bk>
    <bk>
      <rc t="2" v="16501"/>
    </bk>
    <bk>
      <rc t="2" v="16502"/>
    </bk>
    <bk>
      <rc t="2" v="16503"/>
    </bk>
    <bk>
      <rc t="2" v="16504"/>
    </bk>
    <bk>
      <rc t="2" v="16505"/>
    </bk>
    <bk>
      <rc t="2" v="16506"/>
    </bk>
    <bk>
      <rc t="2" v="16507"/>
    </bk>
    <bk>
      <rc t="2" v="16508"/>
    </bk>
    <bk>
      <rc t="2" v="16509"/>
    </bk>
    <bk>
      <rc t="2" v="16510"/>
    </bk>
    <bk>
      <rc t="2" v="16511"/>
    </bk>
    <bk>
      <rc t="2" v="16512"/>
    </bk>
    <bk>
      <rc t="2" v="16513"/>
    </bk>
    <bk>
      <rc t="2" v="16514"/>
    </bk>
    <bk>
      <rc t="2" v="16515"/>
    </bk>
    <bk>
      <rc t="2" v="16516"/>
    </bk>
    <bk>
      <rc t="2" v="16517"/>
    </bk>
    <bk>
      <rc t="2" v="16518"/>
    </bk>
    <bk>
      <rc t="2" v="16519"/>
    </bk>
    <bk>
      <rc t="2" v="16520"/>
    </bk>
    <bk>
      <rc t="2" v="16521"/>
    </bk>
    <bk>
      <rc t="2" v="16522"/>
    </bk>
    <bk>
      <rc t="2" v="16523"/>
    </bk>
    <bk>
      <rc t="2" v="16524"/>
    </bk>
    <bk>
      <rc t="2" v="16525"/>
    </bk>
    <bk>
      <rc t="2" v="16526"/>
    </bk>
    <bk>
      <rc t="2" v="16527"/>
    </bk>
    <bk>
      <rc t="2" v="16528"/>
    </bk>
    <bk>
      <rc t="2" v="16529"/>
    </bk>
    <bk>
      <rc t="2" v="16530"/>
    </bk>
    <bk>
      <rc t="2" v="16531"/>
    </bk>
    <bk>
      <rc t="2" v="16532"/>
    </bk>
    <bk>
      <rc t="2" v="16533"/>
    </bk>
    <bk>
      <rc t="2" v="16534"/>
    </bk>
    <bk>
      <rc t="2" v="16535"/>
    </bk>
    <bk>
      <rc t="2" v="16536"/>
    </bk>
    <bk>
      <rc t="2" v="16537"/>
    </bk>
    <bk>
      <rc t="2" v="16538"/>
    </bk>
    <bk>
      <rc t="2" v="16539"/>
    </bk>
    <bk>
      <rc t="2" v="16540"/>
    </bk>
    <bk>
      <rc t="2" v="16541"/>
    </bk>
    <bk>
      <rc t="2" v="16542"/>
    </bk>
    <bk>
      <rc t="2" v="16543"/>
    </bk>
    <bk>
      <rc t="2" v="16544"/>
    </bk>
    <bk>
      <rc t="2" v="16545"/>
    </bk>
    <bk>
      <rc t="2" v="16546"/>
    </bk>
    <bk>
      <rc t="2" v="16547"/>
    </bk>
    <bk>
      <rc t="2" v="16548"/>
    </bk>
    <bk>
      <rc t="2" v="16549"/>
    </bk>
    <bk>
      <rc t="2" v="16550"/>
    </bk>
    <bk>
      <rc t="2" v="16551"/>
    </bk>
    <bk>
      <rc t="2" v="16552"/>
    </bk>
    <bk>
      <rc t="2" v="16553"/>
    </bk>
    <bk>
      <rc t="2" v="16554"/>
    </bk>
    <bk>
      <rc t="2" v="16555"/>
    </bk>
    <bk>
      <rc t="2" v="16556"/>
    </bk>
    <bk>
      <rc t="2" v="16557"/>
    </bk>
    <bk>
      <rc t="2" v="16558"/>
    </bk>
    <bk>
      <rc t="2" v="16559"/>
    </bk>
    <bk>
      <rc t="2" v="16560"/>
    </bk>
    <bk>
      <rc t="2" v="16561"/>
    </bk>
    <bk>
      <rc t="2" v="16562"/>
    </bk>
    <bk>
      <rc t="2" v="16563"/>
    </bk>
    <bk>
      <rc t="2" v="16564"/>
    </bk>
    <bk>
      <rc t="2" v="16565"/>
    </bk>
    <bk>
      <rc t="2" v="16566"/>
    </bk>
    <bk>
      <rc t="2" v="16567"/>
    </bk>
    <bk>
      <rc t="2" v="16568"/>
    </bk>
    <bk>
      <rc t="2" v="16569"/>
    </bk>
    <bk>
      <rc t="2" v="16570"/>
    </bk>
    <bk>
      <rc t="2" v="16571"/>
    </bk>
    <bk>
      <rc t="2" v="16572"/>
    </bk>
    <bk>
      <rc t="2" v="16573"/>
    </bk>
    <bk>
      <rc t="2" v="16574"/>
    </bk>
    <bk>
      <rc t="2" v="16575"/>
    </bk>
    <bk>
      <rc t="2" v="16576"/>
    </bk>
    <bk>
      <rc t="2" v="16577"/>
    </bk>
    <bk>
      <rc t="2" v="16578"/>
    </bk>
    <bk>
      <rc t="2" v="16579"/>
    </bk>
    <bk>
      <rc t="2" v="16580"/>
    </bk>
    <bk>
      <rc t="2" v="16581"/>
    </bk>
    <bk>
      <rc t="2" v="16582"/>
    </bk>
    <bk>
      <rc t="2" v="16583"/>
    </bk>
    <bk>
      <rc t="2" v="16584"/>
    </bk>
    <bk>
      <rc t="2" v="16585"/>
    </bk>
    <bk>
      <rc t="2" v="16586"/>
    </bk>
    <bk>
      <rc t="2" v="16587"/>
    </bk>
    <bk>
      <rc t="2" v="16588"/>
    </bk>
    <bk>
      <rc t="2" v="16589"/>
    </bk>
    <bk>
      <rc t="2" v="16590"/>
    </bk>
    <bk>
      <rc t="2" v="16591"/>
    </bk>
    <bk>
      <rc t="2" v="16592"/>
    </bk>
    <bk>
      <rc t="2" v="16593"/>
    </bk>
    <bk>
      <rc t="2" v="16594"/>
    </bk>
    <bk>
      <rc t="2" v="16595"/>
    </bk>
    <bk>
      <rc t="2" v="16596"/>
    </bk>
    <bk>
      <rc t="2" v="16597"/>
    </bk>
    <bk>
      <rc t="2" v="16598"/>
    </bk>
    <bk>
      <rc t="2" v="16599"/>
    </bk>
    <bk>
      <rc t="2" v="16600"/>
    </bk>
    <bk>
      <rc t="2" v="16601"/>
    </bk>
    <bk>
      <rc t="2" v="16602"/>
    </bk>
    <bk>
      <rc t="2" v="16603"/>
    </bk>
    <bk>
      <rc t="2" v="16604"/>
    </bk>
    <bk>
      <rc t="2" v="16605"/>
    </bk>
    <bk>
      <rc t="2" v="16606"/>
    </bk>
    <bk>
      <rc t="2" v="16607"/>
    </bk>
    <bk>
      <rc t="2" v="16608"/>
    </bk>
    <bk>
      <rc t="2" v="16609"/>
    </bk>
    <bk>
      <rc t="2" v="16610"/>
    </bk>
    <bk>
      <rc t="2" v="16611"/>
    </bk>
    <bk>
      <rc t="2" v="16612"/>
    </bk>
    <bk>
      <rc t="2" v="16613"/>
    </bk>
    <bk>
      <rc t="2" v="16614"/>
    </bk>
    <bk>
      <rc t="2" v="16615"/>
    </bk>
    <bk>
      <rc t="2" v="16616"/>
    </bk>
    <bk>
      <rc t="2" v="16617"/>
    </bk>
    <bk>
      <rc t="2" v="16618"/>
    </bk>
    <bk>
      <rc t="2" v="16619"/>
    </bk>
    <bk>
      <rc t="2" v="16620"/>
    </bk>
    <bk>
      <rc t="2" v="16621"/>
    </bk>
    <bk>
      <rc t="2" v="16622"/>
    </bk>
    <bk>
      <rc t="2" v="16623"/>
    </bk>
    <bk>
      <rc t="2" v="16624"/>
    </bk>
    <bk>
      <rc t="2" v="16625"/>
    </bk>
    <bk>
      <rc t="2" v="16626"/>
    </bk>
    <bk>
      <rc t="2" v="16627"/>
    </bk>
    <bk>
      <rc t="2" v="16628"/>
    </bk>
    <bk>
      <rc t="2" v="16629"/>
    </bk>
    <bk>
      <rc t="2" v="16630"/>
    </bk>
    <bk>
      <rc t="2" v="16631"/>
    </bk>
    <bk>
      <rc t="2" v="16632"/>
    </bk>
    <bk>
      <rc t="2" v="16633"/>
    </bk>
    <bk>
      <rc t="2" v="16634"/>
    </bk>
    <bk>
      <rc t="2" v="16635"/>
    </bk>
    <bk>
      <rc t="2" v="16636"/>
    </bk>
    <bk>
      <rc t="2" v="16637"/>
    </bk>
    <bk>
      <rc t="2" v="16638"/>
    </bk>
    <bk>
      <rc t="2" v="16639"/>
    </bk>
    <bk>
      <rc t="2" v="16640"/>
    </bk>
    <bk>
      <rc t="2" v="16641"/>
    </bk>
    <bk>
      <rc t="2" v="16642"/>
    </bk>
    <bk>
      <rc t="2" v="16643"/>
    </bk>
    <bk>
      <rc t="2" v="16644"/>
    </bk>
    <bk>
      <rc t="2" v="16645"/>
    </bk>
    <bk>
      <rc t="2" v="16646"/>
    </bk>
    <bk>
      <rc t="2" v="16647"/>
    </bk>
    <bk>
      <rc t="2" v="16648"/>
    </bk>
    <bk>
      <rc t="2" v="16649"/>
    </bk>
    <bk>
      <rc t="2" v="16650"/>
    </bk>
    <bk>
      <rc t="2" v="16651"/>
    </bk>
    <bk>
      <rc t="2" v="16652"/>
    </bk>
    <bk>
      <rc t="2" v="16653"/>
    </bk>
    <bk>
      <rc t="2" v="16654"/>
    </bk>
    <bk>
      <rc t="2" v="16655"/>
    </bk>
    <bk>
      <rc t="2" v="16656"/>
    </bk>
    <bk>
      <rc t="2" v="16657"/>
    </bk>
    <bk>
      <rc t="2" v="16658"/>
    </bk>
    <bk>
      <rc t="2" v="16659"/>
    </bk>
    <bk>
      <rc t="2" v="16660"/>
    </bk>
    <bk>
      <rc t="2" v="16661"/>
    </bk>
    <bk>
      <rc t="2" v="16662"/>
    </bk>
    <bk>
      <rc t="2" v="16663"/>
    </bk>
    <bk>
      <rc t="2" v="16664"/>
    </bk>
    <bk>
      <rc t="2" v="16665"/>
    </bk>
    <bk>
      <rc t="2" v="16666"/>
    </bk>
    <bk>
      <rc t="2" v="16667"/>
    </bk>
    <bk>
      <rc t="2" v="16668"/>
    </bk>
    <bk>
      <rc t="2" v="16669"/>
    </bk>
    <bk>
      <rc t="2" v="16670"/>
    </bk>
    <bk>
      <rc t="2" v="16671"/>
    </bk>
    <bk>
      <rc t="2" v="16672"/>
    </bk>
    <bk>
      <rc t="2" v="16673"/>
    </bk>
    <bk>
      <rc t="2" v="16674"/>
    </bk>
    <bk>
      <rc t="2" v="16675"/>
    </bk>
    <bk>
      <rc t="2" v="16676"/>
    </bk>
    <bk>
      <rc t="2" v="16677"/>
    </bk>
    <bk>
      <rc t="2" v="16678"/>
    </bk>
    <bk>
      <rc t="2" v="16679"/>
    </bk>
    <bk>
      <rc t="2" v="16680"/>
    </bk>
    <bk>
      <rc t="2" v="16681"/>
    </bk>
    <bk>
      <rc t="2" v="16682"/>
    </bk>
    <bk>
      <rc t="2" v="16683"/>
    </bk>
    <bk>
      <rc t="2" v="16684"/>
    </bk>
    <bk>
      <rc t="2" v="16685"/>
    </bk>
    <bk>
      <rc t="2" v="16686"/>
    </bk>
    <bk>
      <rc t="2" v="16687"/>
    </bk>
    <bk>
      <rc t="2" v="16688"/>
    </bk>
    <bk>
      <rc t="2" v="16689"/>
    </bk>
    <bk>
      <rc t="2" v="16690"/>
    </bk>
    <bk>
      <rc t="2" v="16691"/>
    </bk>
    <bk>
      <rc t="2" v="16692"/>
    </bk>
    <bk>
      <rc t="2" v="16693"/>
    </bk>
    <bk>
      <rc t="2" v="16694"/>
    </bk>
    <bk>
      <rc t="2" v="16695"/>
    </bk>
    <bk>
      <rc t="2" v="16696"/>
    </bk>
    <bk>
      <rc t="2" v="16697"/>
    </bk>
    <bk>
      <rc t="2" v="16698"/>
    </bk>
    <bk>
      <rc t="2" v="16699"/>
    </bk>
    <bk>
      <rc t="2" v="16700"/>
    </bk>
    <bk>
      <rc t="2" v="16701"/>
    </bk>
    <bk>
      <rc t="2" v="16702"/>
    </bk>
    <bk>
      <rc t="2" v="16703"/>
    </bk>
    <bk>
      <rc t="2" v="16704"/>
    </bk>
    <bk>
      <rc t="2" v="16705"/>
    </bk>
    <bk>
      <rc t="2" v="16706"/>
    </bk>
    <bk>
      <rc t="2" v="16707"/>
    </bk>
    <bk>
      <rc t="2" v="16708"/>
    </bk>
    <bk>
      <rc t="2" v="16709"/>
    </bk>
    <bk>
      <rc t="2" v="16710"/>
    </bk>
    <bk>
      <rc t="2" v="16711"/>
    </bk>
    <bk>
      <rc t="2" v="16712"/>
    </bk>
    <bk>
      <rc t="2" v="16713"/>
    </bk>
    <bk>
      <rc t="2" v="16714"/>
    </bk>
    <bk>
      <rc t="2" v="16715"/>
    </bk>
    <bk>
      <rc t="2" v="16716"/>
    </bk>
    <bk>
      <rc t="2" v="16717"/>
    </bk>
    <bk>
      <rc t="2" v="16718"/>
    </bk>
    <bk>
      <rc t="2" v="16719"/>
    </bk>
    <bk>
      <rc t="2" v="16720"/>
    </bk>
    <bk>
      <rc t="2" v="16721"/>
    </bk>
    <bk>
      <rc t="2" v="16722"/>
    </bk>
    <bk>
      <rc t="2" v="16723"/>
    </bk>
    <bk>
      <rc t="2" v="16724"/>
    </bk>
    <bk>
      <rc t="2" v="16725"/>
    </bk>
    <bk>
      <rc t="2" v="16726"/>
    </bk>
    <bk>
      <rc t="2" v="16727"/>
    </bk>
    <bk>
      <rc t="2" v="16728"/>
    </bk>
    <bk>
      <rc t="2" v="16729"/>
    </bk>
    <bk>
      <rc t="2" v="16730"/>
    </bk>
    <bk>
      <rc t="2" v="16731"/>
    </bk>
    <bk>
      <rc t="2" v="16732"/>
    </bk>
    <bk>
      <rc t="2" v="16733"/>
    </bk>
    <bk>
      <rc t="2" v="16734"/>
    </bk>
    <bk>
      <rc t="2" v="16735"/>
    </bk>
    <bk>
      <rc t="2" v="16736"/>
    </bk>
    <bk>
      <rc t="2" v="16737"/>
    </bk>
    <bk>
      <rc t="2" v="16738"/>
    </bk>
    <bk>
      <rc t="2" v="16739"/>
    </bk>
    <bk>
      <rc t="2" v="16740"/>
    </bk>
    <bk>
      <rc t="2" v="16741"/>
    </bk>
    <bk>
      <rc t="2" v="16742"/>
    </bk>
    <bk>
      <rc t="2" v="16743"/>
    </bk>
    <bk>
      <rc t="2" v="16744"/>
    </bk>
    <bk>
      <rc t="2" v="16745"/>
    </bk>
    <bk>
      <rc t="2" v="16746"/>
    </bk>
    <bk>
      <rc t="2" v="16747"/>
    </bk>
    <bk>
      <rc t="2" v="16748"/>
    </bk>
    <bk>
      <rc t="2" v="16749"/>
    </bk>
    <bk>
      <rc t="2" v="16750"/>
    </bk>
    <bk>
      <rc t="2" v="16751"/>
    </bk>
    <bk>
      <rc t="2" v="16752"/>
    </bk>
    <bk>
      <rc t="2" v="16753"/>
    </bk>
    <bk>
      <rc t="2" v="16754"/>
    </bk>
    <bk>
      <rc t="2" v="16755"/>
    </bk>
    <bk>
      <rc t="2" v="16756"/>
    </bk>
    <bk>
      <rc t="2" v="16757"/>
    </bk>
    <bk>
      <rc t="2" v="16758"/>
    </bk>
    <bk>
      <rc t="2" v="16759"/>
    </bk>
    <bk>
      <rc t="2" v="16760"/>
    </bk>
    <bk>
      <rc t="2" v="16761"/>
    </bk>
    <bk>
      <rc t="2" v="16762"/>
    </bk>
    <bk>
      <rc t="2" v="16763"/>
    </bk>
    <bk>
      <rc t="2" v="16764"/>
    </bk>
    <bk>
      <rc t="2" v="16765"/>
    </bk>
    <bk>
      <rc t="2" v="16766"/>
    </bk>
    <bk>
      <rc t="2" v="16767"/>
    </bk>
    <bk>
      <rc t="2" v="16768"/>
    </bk>
    <bk>
      <rc t="2" v="16769"/>
    </bk>
    <bk>
      <rc t="2" v="16770"/>
    </bk>
    <bk>
      <rc t="2" v="16771"/>
    </bk>
    <bk>
      <rc t="2" v="16772"/>
    </bk>
    <bk>
      <rc t="2" v="16773"/>
    </bk>
    <bk>
      <rc t="2" v="16774"/>
    </bk>
    <bk>
      <rc t="2" v="16775"/>
    </bk>
    <bk>
      <rc t="2" v="16776"/>
    </bk>
    <bk>
      <rc t="2" v="16777"/>
    </bk>
    <bk>
      <rc t="2" v="16778"/>
    </bk>
    <bk>
      <rc t="2" v="16779"/>
    </bk>
    <bk>
      <rc t="2" v="16780"/>
    </bk>
    <bk>
      <rc t="2" v="16781"/>
    </bk>
    <bk>
      <rc t="2" v="16782"/>
    </bk>
    <bk>
      <rc t="2" v="16783"/>
    </bk>
    <bk>
      <rc t="2" v="16784"/>
    </bk>
    <bk>
      <rc t="2" v="16785"/>
    </bk>
    <bk>
      <rc t="2" v="16786"/>
    </bk>
    <bk>
      <rc t="2" v="16787"/>
    </bk>
    <bk>
      <rc t="2" v="16788"/>
    </bk>
    <bk>
      <rc t="2" v="16789"/>
    </bk>
    <bk>
      <rc t="2" v="16790"/>
    </bk>
    <bk>
      <rc t="2" v="16791"/>
    </bk>
    <bk>
      <rc t="2" v="16792"/>
    </bk>
    <bk>
      <rc t="2" v="16793"/>
    </bk>
    <bk>
      <rc t="2" v="16794"/>
    </bk>
    <bk>
      <rc t="2" v="16795"/>
    </bk>
    <bk>
      <rc t="2" v="16796"/>
    </bk>
    <bk>
      <rc t="2" v="16797"/>
    </bk>
    <bk>
      <rc t="2" v="16798"/>
    </bk>
    <bk>
      <rc t="2" v="16799"/>
    </bk>
    <bk>
      <rc t="2" v="16800"/>
    </bk>
    <bk>
      <rc t="2" v="16801"/>
    </bk>
    <bk>
      <rc t="2" v="16802"/>
    </bk>
    <bk>
      <rc t="2" v="16803"/>
    </bk>
    <bk>
      <rc t="2" v="16804"/>
    </bk>
    <bk>
      <rc t="2" v="16805"/>
    </bk>
    <bk>
      <rc t="2" v="16806"/>
    </bk>
    <bk>
      <rc t="2" v="16807"/>
    </bk>
    <bk>
      <rc t="2" v="16808"/>
    </bk>
    <bk>
      <rc t="2" v="16809"/>
    </bk>
    <bk>
      <rc t="2" v="16810"/>
    </bk>
    <bk>
      <rc t="2" v="16811"/>
    </bk>
    <bk>
      <rc t="2" v="16812"/>
    </bk>
    <bk>
      <rc t="2" v="16813"/>
    </bk>
    <bk>
      <rc t="2" v="16814"/>
    </bk>
    <bk>
      <rc t="2" v="16815"/>
    </bk>
    <bk>
      <rc t="2" v="16816"/>
    </bk>
    <bk>
      <rc t="2" v="16817"/>
    </bk>
    <bk>
      <rc t="2" v="16818"/>
    </bk>
    <bk>
      <rc t="2" v="16819"/>
    </bk>
    <bk>
      <rc t="2" v="16820"/>
    </bk>
    <bk>
      <rc t="2" v="16821"/>
    </bk>
    <bk>
      <rc t="2" v="16822"/>
    </bk>
    <bk>
      <rc t="2" v="16823"/>
    </bk>
    <bk>
      <rc t="2" v="16824"/>
    </bk>
    <bk>
      <rc t="2" v="16825"/>
    </bk>
    <bk>
      <rc t="2" v="16826"/>
    </bk>
    <bk>
      <rc t="2" v="16827"/>
    </bk>
    <bk>
      <rc t="2" v="16828"/>
    </bk>
    <bk>
      <rc t="2" v="16829"/>
    </bk>
    <bk>
      <rc t="2" v="16830"/>
    </bk>
    <bk>
      <rc t="2" v="16831"/>
    </bk>
    <bk>
      <rc t="2" v="16832"/>
    </bk>
    <bk>
      <rc t="2" v="16833"/>
    </bk>
    <bk>
      <rc t="2" v="16834"/>
    </bk>
    <bk>
      <rc t="2" v="16835"/>
    </bk>
    <bk>
      <rc t="2" v="16836"/>
    </bk>
    <bk>
      <rc t="2" v="16837"/>
    </bk>
    <bk>
      <rc t="2" v="16838"/>
    </bk>
    <bk>
      <rc t="2" v="16839"/>
    </bk>
    <bk>
      <rc t="2" v="16840"/>
    </bk>
    <bk>
      <rc t="2" v="16841"/>
    </bk>
    <bk>
      <rc t="2" v="16842"/>
    </bk>
    <bk>
      <rc t="2" v="16843"/>
    </bk>
    <bk>
      <rc t="2" v="16844"/>
    </bk>
    <bk>
      <rc t="2" v="16845"/>
    </bk>
    <bk>
      <rc t="2" v="16846"/>
    </bk>
    <bk>
      <rc t="2" v="16847"/>
    </bk>
    <bk>
      <rc t="2" v="16848"/>
    </bk>
    <bk>
      <rc t="2" v="16849"/>
    </bk>
    <bk>
      <rc t="2" v="16850"/>
    </bk>
    <bk>
      <rc t="2" v="16851"/>
    </bk>
    <bk>
      <rc t="2" v="16852"/>
    </bk>
    <bk>
      <rc t="2" v="16853"/>
    </bk>
    <bk>
      <rc t="2" v="16854"/>
    </bk>
    <bk>
      <rc t="2" v="16855"/>
    </bk>
    <bk>
      <rc t="2" v="16856"/>
    </bk>
    <bk>
      <rc t="2" v="16857"/>
    </bk>
    <bk>
      <rc t="2" v="16858"/>
    </bk>
    <bk>
      <rc t="2" v="16859"/>
    </bk>
    <bk>
      <rc t="2" v="16860"/>
    </bk>
    <bk>
      <rc t="2" v="16861"/>
    </bk>
    <bk>
      <rc t="2" v="16862"/>
    </bk>
    <bk>
      <rc t="2" v="16863"/>
    </bk>
    <bk>
      <rc t="2" v="16864"/>
    </bk>
    <bk>
      <rc t="2" v="16865"/>
    </bk>
    <bk>
      <rc t="2" v="16866"/>
    </bk>
    <bk>
      <rc t="2" v="16867"/>
    </bk>
    <bk>
      <rc t="2" v="16868"/>
    </bk>
    <bk>
      <rc t="2" v="16869"/>
    </bk>
    <bk>
      <rc t="2" v="16870"/>
    </bk>
    <bk>
      <rc t="2" v="16871"/>
    </bk>
    <bk>
      <rc t="2" v="16872"/>
    </bk>
    <bk>
      <rc t="2" v="16873"/>
    </bk>
    <bk>
      <rc t="2" v="16874"/>
    </bk>
    <bk>
      <rc t="2" v="16875"/>
    </bk>
    <bk>
      <rc t="2" v="16876"/>
    </bk>
    <bk>
      <rc t="2" v="16877"/>
    </bk>
    <bk>
      <rc t="2" v="16878"/>
    </bk>
    <bk>
      <rc t="2" v="16879"/>
    </bk>
    <bk>
      <rc t="2" v="16880"/>
    </bk>
    <bk>
      <rc t="2" v="16881"/>
    </bk>
    <bk>
      <rc t="2" v="16882"/>
    </bk>
    <bk>
      <rc t="2" v="16883"/>
    </bk>
    <bk>
      <rc t="2" v="16884"/>
    </bk>
    <bk>
      <rc t="2" v="16885"/>
    </bk>
    <bk>
      <rc t="2" v="16886"/>
    </bk>
    <bk>
      <rc t="2" v="16887"/>
    </bk>
    <bk>
      <rc t="2" v="16888"/>
    </bk>
    <bk>
      <rc t="2" v="16889"/>
    </bk>
    <bk>
      <rc t="2" v="16890"/>
    </bk>
    <bk>
      <rc t="2" v="16891"/>
    </bk>
    <bk>
      <rc t="2" v="16892"/>
    </bk>
    <bk>
      <rc t="2" v="16893"/>
    </bk>
    <bk>
      <rc t="2" v="16894"/>
    </bk>
    <bk>
      <rc t="2" v="16895"/>
    </bk>
    <bk>
      <rc t="2" v="16896"/>
    </bk>
    <bk>
      <rc t="2" v="16897"/>
    </bk>
    <bk>
      <rc t="2" v="16898"/>
    </bk>
    <bk>
      <rc t="2" v="16899"/>
    </bk>
    <bk>
      <rc t="2" v="16900"/>
    </bk>
    <bk>
      <rc t="2" v="16901"/>
    </bk>
    <bk>
      <rc t="2" v="16902"/>
    </bk>
    <bk>
      <rc t="2" v="16903"/>
    </bk>
    <bk>
      <rc t="2" v="16904"/>
    </bk>
    <bk>
      <rc t="2" v="16905"/>
    </bk>
    <bk>
      <rc t="2" v="16906"/>
    </bk>
    <bk>
      <rc t="2" v="16907"/>
    </bk>
    <bk>
      <rc t="2" v="16908"/>
    </bk>
    <bk>
      <rc t="2" v="16909"/>
    </bk>
    <bk>
      <rc t="2" v="16910"/>
    </bk>
    <bk>
      <rc t="2" v="16911"/>
    </bk>
    <bk>
      <rc t="2" v="16912"/>
    </bk>
    <bk>
      <rc t="2" v="16913"/>
    </bk>
    <bk>
      <rc t="2" v="16914"/>
    </bk>
    <bk>
      <rc t="2" v="16915"/>
    </bk>
    <bk>
      <rc t="2" v="16916"/>
    </bk>
    <bk>
      <rc t="2" v="16917"/>
    </bk>
    <bk>
      <rc t="2" v="16918"/>
    </bk>
    <bk>
      <rc t="2" v="16919"/>
    </bk>
    <bk>
      <rc t="2" v="16920"/>
    </bk>
    <bk>
      <rc t="2" v="16921"/>
    </bk>
    <bk>
      <rc t="2" v="16922"/>
    </bk>
    <bk>
      <rc t="2" v="16923"/>
    </bk>
    <bk>
      <rc t="2" v="16924"/>
    </bk>
    <bk>
      <rc t="2" v="16925"/>
    </bk>
    <bk>
      <rc t="2" v="16926"/>
    </bk>
    <bk>
      <rc t="2" v="16927"/>
    </bk>
    <bk>
      <rc t="2" v="16928"/>
    </bk>
    <bk>
      <rc t="2" v="16929"/>
    </bk>
    <bk>
      <rc t="2" v="16930"/>
    </bk>
    <bk>
      <rc t="2" v="16931"/>
    </bk>
    <bk>
      <rc t="2" v="16932"/>
    </bk>
    <bk>
      <rc t="2" v="16933"/>
    </bk>
    <bk>
      <rc t="2" v="16934"/>
    </bk>
    <bk>
      <rc t="2" v="16935"/>
    </bk>
    <bk>
      <rc t="2" v="16936"/>
    </bk>
    <bk>
      <rc t="2" v="16937"/>
    </bk>
    <bk>
      <rc t="2" v="16938"/>
    </bk>
    <bk>
      <rc t="2" v="16939"/>
    </bk>
    <bk>
      <rc t="2" v="16940"/>
    </bk>
    <bk>
      <rc t="2" v="16941"/>
    </bk>
    <bk>
      <rc t="2" v="16942"/>
    </bk>
    <bk>
      <rc t="2" v="16943"/>
    </bk>
    <bk>
      <rc t="2" v="16944"/>
    </bk>
    <bk>
      <rc t="2" v="16945"/>
    </bk>
    <bk>
      <rc t="2" v="16946"/>
    </bk>
    <bk>
      <rc t="2" v="16947"/>
    </bk>
    <bk>
      <rc t="2" v="16948"/>
    </bk>
    <bk>
      <rc t="2" v="16949"/>
    </bk>
    <bk>
      <rc t="2" v="16950"/>
    </bk>
    <bk>
      <rc t="2" v="16951"/>
    </bk>
    <bk>
      <rc t="2" v="16952"/>
    </bk>
    <bk>
      <rc t="2" v="16953"/>
    </bk>
    <bk>
      <rc t="2" v="16954"/>
    </bk>
    <bk>
      <rc t="2" v="16955"/>
    </bk>
    <bk>
      <rc t="2" v="16956"/>
    </bk>
    <bk>
      <rc t="2" v="16957"/>
    </bk>
    <bk>
      <rc t="2" v="16958"/>
    </bk>
    <bk>
      <rc t="2" v="16959"/>
    </bk>
    <bk>
      <rc t="2" v="16960"/>
    </bk>
    <bk>
      <rc t="2" v="16961"/>
    </bk>
    <bk>
      <rc t="2" v="16962"/>
    </bk>
    <bk>
      <rc t="2" v="16963"/>
    </bk>
    <bk>
      <rc t="2" v="16964"/>
    </bk>
    <bk>
      <rc t="2" v="16965"/>
    </bk>
    <bk>
      <rc t="2" v="16966"/>
    </bk>
    <bk>
      <rc t="2" v="16967"/>
    </bk>
    <bk>
      <rc t="2" v="16968"/>
    </bk>
    <bk>
      <rc t="2" v="16969"/>
    </bk>
    <bk>
      <rc t="2" v="16970"/>
    </bk>
    <bk>
      <rc t="2" v="16971"/>
    </bk>
    <bk>
      <rc t="2" v="16972"/>
    </bk>
    <bk>
      <rc t="2" v="16973"/>
    </bk>
    <bk>
      <rc t="2" v="16974"/>
    </bk>
    <bk>
      <rc t="2" v="16975"/>
    </bk>
    <bk>
      <rc t="2" v="16976"/>
    </bk>
    <bk>
      <rc t="2" v="16977"/>
    </bk>
    <bk>
      <rc t="2" v="16978"/>
    </bk>
    <bk>
      <rc t="2" v="16979"/>
    </bk>
    <bk>
      <rc t="2" v="16980"/>
    </bk>
    <bk>
      <rc t="2" v="16981"/>
    </bk>
    <bk>
      <rc t="2" v="16982"/>
    </bk>
    <bk>
      <rc t="2" v="16983"/>
    </bk>
    <bk>
      <rc t="2" v="16984"/>
    </bk>
    <bk>
      <rc t="2" v="16985"/>
    </bk>
    <bk>
      <rc t="2" v="16986"/>
    </bk>
    <bk>
      <rc t="2" v="16987"/>
    </bk>
    <bk>
      <rc t="2" v="16988"/>
    </bk>
    <bk>
      <rc t="2" v="16989"/>
    </bk>
    <bk>
      <rc t="2" v="16990"/>
    </bk>
    <bk>
      <rc t="2" v="16991"/>
    </bk>
    <bk>
      <rc t="2" v="16992"/>
    </bk>
    <bk>
      <rc t="2" v="16993"/>
    </bk>
    <bk>
      <rc t="2" v="16994"/>
    </bk>
    <bk>
      <rc t="2" v="16995"/>
    </bk>
    <bk>
      <rc t="2" v="16996"/>
    </bk>
    <bk>
      <rc t="2" v="16997"/>
    </bk>
    <bk>
      <rc t="2" v="16998"/>
    </bk>
    <bk>
      <rc t="2" v="16999"/>
    </bk>
    <bk>
      <rc t="2" v="17000"/>
    </bk>
    <bk>
      <rc t="2" v="17001"/>
    </bk>
    <bk>
      <rc t="2" v="17002"/>
    </bk>
    <bk>
      <rc t="2" v="17003"/>
    </bk>
    <bk>
      <rc t="2" v="17004"/>
    </bk>
    <bk>
      <rc t="2" v="17005"/>
    </bk>
    <bk>
      <rc t="2" v="17006"/>
    </bk>
    <bk>
      <rc t="2" v="17007"/>
    </bk>
    <bk>
      <rc t="2" v="17008"/>
    </bk>
    <bk>
      <rc t="2" v="17009"/>
    </bk>
    <bk>
      <rc t="2" v="17010"/>
    </bk>
    <bk>
      <rc t="2" v="17011"/>
    </bk>
    <bk>
      <rc t="2" v="17012"/>
    </bk>
    <bk>
      <rc t="2" v="17013"/>
    </bk>
    <bk>
      <rc t="2" v="17014"/>
    </bk>
    <bk>
      <rc t="2" v="17015"/>
    </bk>
    <bk>
      <rc t="2" v="17016"/>
    </bk>
    <bk>
      <rc t="2" v="17017"/>
    </bk>
    <bk>
      <rc t="2" v="17018"/>
    </bk>
    <bk>
      <rc t="2" v="17019"/>
    </bk>
    <bk>
      <rc t="2" v="17020"/>
    </bk>
    <bk>
      <rc t="2" v="17021"/>
    </bk>
    <bk>
      <rc t="2" v="17022"/>
    </bk>
    <bk>
      <rc t="2" v="17023"/>
    </bk>
    <bk>
      <rc t="2" v="17024"/>
    </bk>
    <bk>
      <rc t="2" v="17025"/>
    </bk>
    <bk>
      <rc t="2" v="17026"/>
    </bk>
    <bk>
      <rc t="2" v="17027"/>
    </bk>
    <bk>
      <rc t="2" v="17028"/>
    </bk>
    <bk>
      <rc t="2" v="17029"/>
    </bk>
    <bk>
      <rc t="2" v="17030"/>
    </bk>
    <bk>
      <rc t="2" v="17031"/>
    </bk>
    <bk>
      <rc t="2" v="17032"/>
    </bk>
    <bk>
      <rc t="2" v="17033"/>
    </bk>
    <bk>
      <rc t="2" v="17034"/>
    </bk>
    <bk>
      <rc t="2" v="17035"/>
    </bk>
    <bk>
      <rc t="2" v="17036"/>
    </bk>
    <bk>
      <rc t="2" v="17037"/>
    </bk>
    <bk>
      <rc t="2" v="17038"/>
    </bk>
    <bk>
      <rc t="2" v="17039"/>
    </bk>
    <bk>
      <rc t="2" v="17040"/>
    </bk>
    <bk>
      <rc t="2" v="17041"/>
    </bk>
    <bk>
      <rc t="2" v="17042"/>
    </bk>
    <bk>
      <rc t="2" v="17043"/>
    </bk>
    <bk>
      <rc t="2" v="17044"/>
    </bk>
    <bk>
      <rc t="2" v="17045"/>
    </bk>
    <bk>
      <rc t="2" v="17046"/>
    </bk>
    <bk>
      <rc t="2" v="17047"/>
    </bk>
    <bk>
      <rc t="2" v="17048"/>
    </bk>
    <bk>
      <rc t="2" v="17049"/>
    </bk>
    <bk>
      <rc t="2" v="17050"/>
    </bk>
    <bk>
      <rc t="2" v="17051"/>
    </bk>
    <bk>
      <rc t="2" v="17052"/>
    </bk>
    <bk>
      <rc t="2" v="17053"/>
    </bk>
    <bk>
      <rc t="2" v="17054"/>
    </bk>
    <bk>
      <rc t="2" v="17055"/>
    </bk>
    <bk>
      <rc t="2" v="17056"/>
    </bk>
    <bk>
      <rc t="2" v="17057"/>
    </bk>
    <bk>
      <rc t="2" v="17058"/>
    </bk>
    <bk>
      <rc t="2" v="17059"/>
    </bk>
    <bk>
      <rc t="2" v="17060"/>
    </bk>
    <bk>
      <rc t="2" v="17061"/>
    </bk>
    <bk>
      <rc t="2" v="17062"/>
    </bk>
    <bk>
      <rc t="2" v="17063"/>
    </bk>
    <bk>
      <rc t="2" v="17064"/>
    </bk>
    <bk>
      <rc t="2" v="17065"/>
    </bk>
    <bk>
      <rc t="2" v="17066"/>
    </bk>
    <bk>
      <rc t="2" v="17067"/>
    </bk>
    <bk>
      <rc t="2" v="17068"/>
    </bk>
    <bk>
      <rc t="2" v="17069"/>
    </bk>
    <bk>
      <rc t="2" v="17070"/>
    </bk>
    <bk>
      <rc t="2" v="17071"/>
    </bk>
    <bk>
      <rc t="2" v="17072"/>
    </bk>
    <bk>
      <rc t="2" v="17073"/>
    </bk>
    <bk>
      <rc t="2" v="17074"/>
    </bk>
    <bk>
      <rc t="2" v="17075"/>
    </bk>
    <bk>
      <rc t="2" v="17076"/>
    </bk>
    <bk>
      <rc t="2" v="17077"/>
    </bk>
    <bk>
      <rc t="2" v="17078"/>
    </bk>
    <bk>
      <rc t="2" v="17079"/>
    </bk>
    <bk>
      <rc t="2" v="17080"/>
    </bk>
    <bk>
      <rc t="2" v="17081"/>
    </bk>
    <bk>
      <rc t="2" v="17082"/>
    </bk>
    <bk>
      <rc t="2" v="17083"/>
    </bk>
    <bk>
      <rc t="2" v="17084"/>
    </bk>
    <bk>
      <rc t="2" v="17085"/>
    </bk>
    <bk>
      <rc t="2" v="17086"/>
    </bk>
    <bk>
      <rc t="2" v="17087"/>
    </bk>
    <bk>
      <rc t="2" v="17088"/>
    </bk>
    <bk>
      <rc t="2" v="17089"/>
    </bk>
    <bk>
      <rc t="2" v="17090"/>
    </bk>
    <bk>
      <rc t="2" v="17091"/>
    </bk>
    <bk>
      <rc t="2" v="17092"/>
    </bk>
    <bk>
      <rc t="2" v="17093"/>
    </bk>
    <bk>
      <rc t="2" v="17094"/>
    </bk>
    <bk>
      <rc t="2" v="17095"/>
    </bk>
    <bk>
      <rc t="2" v="17096"/>
    </bk>
    <bk>
      <rc t="2" v="17097"/>
    </bk>
    <bk>
      <rc t="2" v="17098"/>
    </bk>
    <bk>
      <rc t="2" v="17099"/>
    </bk>
    <bk>
      <rc t="2" v="17100"/>
    </bk>
    <bk>
      <rc t="2" v="17101"/>
    </bk>
    <bk>
      <rc t="2" v="17102"/>
    </bk>
    <bk>
      <rc t="2" v="17103"/>
    </bk>
    <bk>
      <rc t="2" v="17104"/>
    </bk>
    <bk>
      <rc t="2" v="17105"/>
    </bk>
    <bk>
      <rc t="2" v="17106"/>
    </bk>
    <bk>
      <rc t="2" v="17107"/>
    </bk>
    <bk>
      <rc t="2" v="17108"/>
    </bk>
    <bk>
      <rc t="2" v="17109"/>
    </bk>
    <bk>
      <rc t="2" v="17110"/>
    </bk>
    <bk>
      <rc t="2" v="17111"/>
    </bk>
    <bk>
      <rc t="2" v="17112"/>
    </bk>
    <bk>
      <rc t="2" v="17113"/>
    </bk>
    <bk>
      <rc t="2" v="17114"/>
    </bk>
    <bk>
      <rc t="2" v="17115"/>
    </bk>
    <bk>
      <rc t="2" v="17116"/>
    </bk>
    <bk>
      <rc t="2" v="17117"/>
    </bk>
    <bk>
      <rc t="2" v="17118"/>
    </bk>
    <bk>
      <rc t="2" v="17119"/>
    </bk>
    <bk>
      <rc t="2" v="17120"/>
    </bk>
    <bk>
      <rc t="2" v="17121"/>
    </bk>
    <bk>
      <rc t="2" v="17122"/>
    </bk>
    <bk>
      <rc t="2" v="17123"/>
    </bk>
    <bk>
      <rc t="2" v="17124"/>
    </bk>
    <bk>
      <rc t="2" v="17125"/>
    </bk>
    <bk>
      <rc t="2" v="17126"/>
    </bk>
    <bk>
      <rc t="2" v="17127"/>
    </bk>
    <bk>
      <rc t="2" v="17128"/>
    </bk>
    <bk>
      <rc t="2" v="17129"/>
    </bk>
    <bk>
      <rc t="2" v="17130"/>
    </bk>
    <bk>
      <rc t="2" v="17131"/>
    </bk>
    <bk>
      <rc t="2" v="17132"/>
    </bk>
    <bk>
      <rc t="2" v="17133"/>
    </bk>
    <bk>
      <rc t="2" v="17134"/>
    </bk>
    <bk>
      <rc t="2" v="17135"/>
    </bk>
    <bk>
      <rc t="2" v="17136"/>
    </bk>
    <bk>
      <rc t="2" v="17137"/>
    </bk>
    <bk>
      <rc t="2" v="17138"/>
    </bk>
    <bk>
      <rc t="2" v="17139"/>
    </bk>
    <bk>
      <rc t="2" v="17140"/>
    </bk>
    <bk>
      <rc t="2" v="17141"/>
    </bk>
    <bk>
      <rc t="2" v="17142"/>
    </bk>
    <bk>
      <rc t="2" v="17143"/>
    </bk>
    <bk>
      <rc t="2" v="17144"/>
    </bk>
    <bk>
      <rc t="2" v="17145"/>
    </bk>
    <bk>
      <rc t="2" v="17146"/>
    </bk>
    <bk>
      <rc t="2" v="17147"/>
    </bk>
    <bk>
      <rc t="2" v="17148"/>
    </bk>
    <bk>
      <rc t="2" v="17149"/>
    </bk>
    <bk>
      <rc t="2" v="17150"/>
    </bk>
    <bk>
      <rc t="2" v="17151"/>
    </bk>
    <bk>
      <rc t="2" v="17152"/>
    </bk>
    <bk>
      <rc t="2" v="17153"/>
    </bk>
    <bk>
      <rc t="2" v="17154"/>
    </bk>
    <bk>
      <rc t="2" v="17155"/>
    </bk>
    <bk>
      <rc t="2" v="17156"/>
    </bk>
    <bk>
      <rc t="2" v="17157"/>
    </bk>
    <bk>
      <rc t="2" v="17158"/>
    </bk>
    <bk>
      <rc t="2" v="17159"/>
    </bk>
    <bk>
      <rc t="2" v="17160"/>
    </bk>
    <bk>
      <rc t="2" v="17161"/>
    </bk>
    <bk>
      <rc t="2" v="17162"/>
    </bk>
    <bk>
      <rc t="2" v="17163"/>
    </bk>
    <bk>
      <rc t="2" v="17164"/>
    </bk>
    <bk>
      <rc t="2" v="17165"/>
    </bk>
    <bk>
      <rc t="2" v="17166"/>
    </bk>
    <bk>
      <rc t="2" v="17167"/>
    </bk>
    <bk>
      <rc t="2" v="17168"/>
    </bk>
    <bk>
      <rc t="2" v="17169"/>
    </bk>
    <bk>
      <rc t="2" v="17170"/>
    </bk>
    <bk>
      <rc t="2" v="17171"/>
    </bk>
    <bk>
      <rc t="2" v="17172"/>
    </bk>
    <bk>
      <rc t="2" v="17173"/>
    </bk>
    <bk>
      <rc t="2" v="17174"/>
    </bk>
    <bk>
      <rc t="2" v="17175"/>
    </bk>
    <bk>
      <rc t="2" v="17176"/>
    </bk>
    <bk>
      <rc t="2" v="17177"/>
    </bk>
    <bk>
      <rc t="2" v="17178"/>
    </bk>
    <bk>
      <rc t="2" v="17179"/>
    </bk>
    <bk>
      <rc t="2" v="17180"/>
    </bk>
    <bk>
      <rc t="2" v="17181"/>
    </bk>
    <bk>
      <rc t="2" v="17182"/>
    </bk>
    <bk>
      <rc t="2" v="17183"/>
    </bk>
    <bk>
      <rc t="2" v="17184"/>
    </bk>
    <bk>
      <rc t="2" v="17185"/>
    </bk>
    <bk>
      <rc t="2" v="17186"/>
    </bk>
    <bk>
      <rc t="2" v="17187"/>
    </bk>
    <bk>
      <rc t="2" v="17188"/>
    </bk>
    <bk>
      <rc t="2" v="17189"/>
    </bk>
    <bk>
      <rc t="2" v="17190"/>
    </bk>
    <bk>
      <rc t="2" v="17191"/>
    </bk>
    <bk>
      <rc t="2" v="17192"/>
    </bk>
    <bk>
      <rc t="2" v="17193"/>
    </bk>
    <bk>
      <rc t="2" v="17194"/>
    </bk>
    <bk>
      <rc t="2" v="17195"/>
    </bk>
    <bk>
      <rc t="2" v="17196"/>
    </bk>
    <bk>
      <rc t="2" v="17197"/>
    </bk>
    <bk>
      <rc t="2" v="17198"/>
    </bk>
    <bk>
      <rc t="2" v="17199"/>
    </bk>
    <bk>
      <rc t="2" v="17200"/>
    </bk>
    <bk>
      <rc t="2" v="17201"/>
    </bk>
    <bk>
      <rc t="2" v="17202"/>
    </bk>
    <bk>
      <rc t="2" v="17203"/>
    </bk>
    <bk>
      <rc t="2" v="17204"/>
    </bk>
    <bk>
      <rc t="2" v="17205"/>
    </bk>
    <bk>
      <rc t="2" v="17206"/>
    </bk>
    <bk>
      <rc t="2" v="17207"/>
    </bk>
    <bk>
      <rc t="2" v="17208"/>
    </bk>
    <bk>
      <rc t="2" v="17209"/>
    </bk>
    <bk>
      <rc t="2" v="17210"/>
    </bk>
    <bk>
      <rc t="2" v="17211"/>
    </bk>
    <bk>
      <rc t="2" v="17212"/>
    </bk>
    <bk>
      <rc t="2" v="17213"/>
    </bk>
    <bk>
      <rc t="2" v="17214"/>
    </bk>
    <bk>
      <rc t="2" v="17215"/>
    </bk>
    <bk>
      <rc t="2" v="17216"/>
    </bk>
    <bk>
      <rc t="2" v="17217"/>
    </bk>
    <bk>
      <rc t="2" v="17218"/>
    </bk>
    <bk>
      <rc t="2" v="17219"/>
    </bk>
    <bk>
      <rc t="2" v="17220"/>
    </bk>
    <bk>
      <rc t="2" v="17221"/>
    </bk>
    <bk>
      <rc t="2" v="17222"/>
    </bk>
    <bk>
      <rc t="2" v="17223"/>
    </bk>
    <bk>
      <rc t="2" v="17224"/>
    </bk>
    <bk>
      <rc t="2" v="17225"/>
    </bk>
    <bk>
      <rc t="2" v="17226"/>
    </bk>
    <bk>
      <rc t="2" v="17227"/>
    </bk>
    <bk>
      <rc t="2" v="17228"/>
    </bk>
    <bk>
      <rc t="2" v="17229"/>
    </bk>
    <bk>
      <rc t="2" v="17230"/>
    </bk>
    <bk>
      <rc t="2" v="17231"/>
    </bk>
    <bk>
      <rc t="2" v="17232"/>
    </bk>
    <bk>
      <rc t="2" v="17233"/>
    </bk>
    <bk>
      <rc t="2" v="17234"/>
    </bk>
    <bk>
      <rc t="2" v="17235"/>
    </bk>
    <bk>
      <rc t="2" v="17236"/>
    </bk>
    <bk>
      <rc t="2" v="17237"/>
    </bk>
    <bk>
      <rc t="2" v="17238"/>
    </bk>
    <bk>
      <rc t="2" v="17239"/>
    </bk>
    <bk>
      <rc t="2" v="17240"/>
    </bk>
    <bk>
      <rc t="2" v="17241"/>
    </bk>
    <bk>
      <rc t="2" v="17242"/>
    </bk>
    <bk>
      <rc t="2" v="17243"/>
    </bk>
    <bk>
      <rc t="2" v="17244"/>
    </bk>
    <bk>
      <rc t="2" v="17245"/>
    </bk>
    <bk>
      <rc t="2" v="17246"/>
    </bk>
    <bk>
      <rc t="2" v="17247"/>
    </bk>
    <bk>
      <rc t="2" v="17248"/>
    </bk>
    <bk>
      <rc t="2" v="17249"/>
    </bk>
    <bk>
      <rc t="2" v="17250"/>
    </bk>
    <bk>
      <rc t="2" v="17251"/>
    </bk>
    <bk>
      <rc t="2" v="17252"/>
    </bk>
    <bk>
      <rc t="2" v="17253"/>
    </bk>
    <bk>
      <rc t="2" v="17254"/>
    </bk>
    <bk>
      <rc t="2" v="17255"/>
    </bk>
    <bk>
      <rc t="2" v="17256"/>
    </bk>
    <bk>
      <rc t="2" v="17257"/>
    </bk>
    <bk>
      <rc t="2" v="17258"/>
    </bk>
    <bk>
      <rc t="2" v="17259"/>
    </bk>
    <bk>
      <rc t="2" v="17260"/>
    </bk>
    <bk>
      <rc t="2" v="17261"/>
    </bk>
    <bk>
      <rc t="2" v="17262"/>
    </bk>
    <bk>
      <rc t="2" v="17263"/>
    </bk>
    <bk>
      <rc t="2" v="17264"/>
    </bk>
    <bk>
      <rc t="2" v="17265"/>
    </bk>
    <bk>
      <rc t="2" v="17266"/>
    </bk>
    <bk>
      <rc t="2" v="17267"/>
    </bk>
    <bk>
      <rc t="2" v="17268"/>
    </bk>
    <bk>
      <rc t="2" v="17269"/>
    </bk>
    <bk>
      <rc t="2" v="17270"/>
    </bk>
    <bk>
      <rc t="2" v="17271"/>
    </bk>
    <bk>
      <rc t="2" v="17272"/>
    </bk>
    <bk>
      <rc t="2" v="17273"/>
    </bk>
    <bk>
      <rc t="2" v="17274"/>
    </bk>
    <bk>
      <rc t="2" v="17275"/>
    </bk>
    <bk>
      <rc t="2" v="17276"/>
    </bk>
    <bk>
      <rc t="2" v="17277"/>
    </bk>
    <bk>
      <rc t="2" v="17278"/>
    </bk>
    <bk>
      <rc t="2" v="17279"/>
    </bk>
    <bk>
      <rc t="2" v="17280"/>
    </bk>
    <bk>
      <rc t="2" v="17281"/>
    </bk>
    <bk>
      <rc t="2" v="17282"/>
    </bk>
    <bk>
      <rc t="2" v="17283"/>
    </bk>
    <bk>
      <rc t="2" v="17284"/>
    </bk>
    <bk>
      <rc t="2" v="17285"/>
    </bk>
    <bk>
      <rc t="2" v="17286"/>
    </bk>
    <bk>
      <rc t="2" v="17287"/>
    </bk>
    <bk>
      <rc t="2" v="17288"/>
    </bk>
    <bk>
      <rc t="2" v="17289"/>
    </bk>
    <bk>
      <rc t="2" v="17290"/>
    </bk>
    <bk>
      <rc t="2" v="17291"/>
    </bk>
    <bk>
      <rc t="2" v="17292"/>
    </bk>
    <bk>
      <rc t="2" v="17293"/>
    </bk>
    <bk>
      <rc t="2" v="17294"/>
    </bk>
    <bk>
      <rc t="2" v="17295"/>
    </bk>
    <bk>
      <rc t="2" v="17296"/>
    </bk>
    <bk>
      <rc t="2" v="17297"/>
    </bk>
    <bk>
      <rc t="2" v="17298"/>
    </bk>
    <bk>
      <rc t="2" v="17299"/>
    </bk>
    <bk>
      <rc t="2" v="17300"/>
    </bk>
    <bk>
      <rc t="2" v="17301"/>
    </bk>
    <bk>
      <rc t="2" v="17302"/>
    </bk>
    <bk>
      <rc t="2" v="17303"/>
    </bk>
    <bk>
      <rc t="2" v="17304"/>
    </bk>
    <bk>
      <rc t="2" v="17305"/>
    </bk>
    <bk>
      <rc t="2" v="17306"/>
    </bk>
    <bk>
      <rc t="2" v="17307"/>
    </bk>
    <bk>
      <rc t="2" v="17308"/>
    </bk>
    <bk>
      <rc t="2" v="17309"/>
    </bk>
    <bk>
      <rc t="2" v="17310"/>
    </bk>
    <bk>
      <rc t="2" v="17311"/>
    </bk>
    <bk>
      <rc t="2" v="17312"/>
    </bk>
    <bk>
      <rc t="2" v="17313"/>
    </bk>
    <bk>
      <rc t="2" v="17314"/>
    </bk>
    <bk>
      <rc t="2" v="17315"/>
    </bk>
    <bk>
      <rc t="2" v="17316"/>
    </bk>
    <bk>
      <rc t="2" v="17317"/>
    </bk>
    <bk>
      <rc t="2" v="17318"/>
    </bk>
    <bk>
      <rc t="2" v="17319"/>
    </bk>
    <bk>
      <rc t="2" v="17320"/>
    </bk>
    <bk>
      <rc t="2" v="17321"/>
    </bk>
    <bk>
      <rc t="2" v="17322"/>
    </bk>
    <bk>
      <rc t="2" v="17323"/>
    </bk>
    <bk>
      <rc t="2" v="17324"/>
    </bk>
    <bk>
      <rc t="2" v="17325"/>
    </bk>
    <bk>
      <rc t="2" v="17326"/>
    </bk>
    <bk>
      <rc t="2" v="17327"/>
    </bk>
    <bk>
      <rc t="2" v="17328"/>
    </bk>
    <bk>
      <rc t="2" v="17329"/>
    </bk>
    <bk>
      <rc t="2" v="17330"/>
    </bk>
    <bk>
      <rc t="2" v="17331"/>
    </bk>
    <bk>
      <rc t="2" v="17332"/>
    </bk>
    <bk>
      <rc t="2" v="17333"/>
    </bk>
    <bk>
      <rc t="2" v="17334"/>
    </bk>
    <bk>
      <rc t="2" v="17335"/>
    </bk>
    <bk>
      <rc t="2" v="17336"/>
    </bk>
    <bk>
      <rc t="2" v="17337"/>
    </bk>
    <bk>
      <rc t="2" v="17338"/>
    </bk>
    <bk>
      <rc t="2" v="17339"/>
    </bk>
    <bk>
      <rc t="2" v="17340"/>
    </bk>
    <bk>
      <rc t="2" v="17341"/>
    </bk>
    <bk>
      <rc t="2" v="17342"/>
    </bk>
    <bk>
      <rc t="2" v="17343"/>
    </bk>
    <bk>
      <rc t="2" v="17344"/>
    </bk>
    <bk>
      <rc t="2" v="17345"/>
    </bk>
    <bk>
      <rc t="2" v="17346"/>
    </bk>
    <bk>
      <rc t="2" v="17347"/>
    </bk>
    <bk>
      <rc t="2" v="17348"/>
    </bk>
    <bk>
      <rc t="2" v="17349"/>
    </bk>
    <bk>
      <rc t="2" v="17350"/>
    </bk>
    <bk>
      <rc t="2" v="17351"/>
    </bk>
    <bk>
      <rc t="2" v="17352"/>
    </bk>
    <bk>
      <rc t="2" v="17353"/>
    </bk>
    <bk>
      <rc t="2" v="17354"/>
    </bk>
    <bk>
      <rc t="2" v="17355"/>
    </bk>
    <bk>
      <rc t="2" v="17356"/>
    </bk>
    <bk>
      <rc t="2" v="17357"/>
    </bk>
    <bk>
      <rc t="2" v="17358"/>
    </bk>
    <bk>
      <rc t="2" v="17359"/>
    </bk>
    <bk>
      <rc t="2" v="17360"/>
    </bk>
    <bk>
      <rc t="2" v="17361"/>
    </bk>
    <bk>
      <rc t="2" v="17362"/>
    </bk>
    <bk>
      <rc t="2" v="17363"/>
    </bk>
    <bk>
      <rc t="2" v="17364"/>
    </bk>
    <bk>
      <rc t="2" v="17365"/>
    </bk>
    <bk>
      <rc t="2" v="17366"/>
    </bk>
    <bk>
      <rc t="2" v="17367"/>
    </bk>
    <bk>
      <rc t="2" v="17368"/>
    </bk>
    <bk>
      <rc t="2" v="17369"/>
    </bk>
    <bk>
      <rc t="2" v="17370"/>
    </bk>
    <bk>
      <rc t="2" v="17371"/>
    </bk>
    <bk>
      <rc t="2" v="17372"/>
    </bk>
    <bk>
      <rc t="2" v="17373"/>
    </bk>
    <bk>
      <rc t="2" v="17374"/>
    </bk>
    <bk>
      <rc t="2" v="17375"/>
    </bk>
    <bk>
      <rc t="2" v="17376"/>
    </bk>
    <bk>
      <rc t="2" v="17377"/>
    </bk>
    <bk>
      <rc t="2" v="17378"/>
    </bk>
    <bk>
      <rc t="2" v="17379"/>
    </bk>
    <bk>
      <rc t="2" v="17380"/>
    </bk>
    <bk>
      <rc t="2" v="17381"/>
    </bk>
    <bk>
      <rc t="2" v="17382"/>
    </bk>
    <bk>
      <rc t="2" v="17383"/>
    </bk>
    <bk>
      <rc t="2" v="17384"/>
    </bk>
    <bk>
      <rc t="2" v="17385"/>
    </bk>
    <bk>
      <rc t="2" v="17386"/>
    </bk>
    <bk>
      <rc t="2" v="17387"/>
    </bk>
    <bk>
      <rc t="2" v="17388"/>
    </bk>
    <bk>
      <rc t="2" v="17389"/>
    </bk>
    <bk>
      <rc t="2" v="17390"/>
    </bk>
    <bk>
      <rc t="2" v="17391"/>
    </bk>
    <bk>
      <rc t="2" v="17392"/>
    </bk>
    <bk>
      <rc t="2" v="17393"/>
    </bk>
    <bk>
      <rc t="2" v="17394"/>
    </bk>
    <bk>
      <rc t="2" v="17395"/>
    </bk>
    <bk>
      <rc t="2" v="17396"/>
    </bk>
    <bk>
      <rc t="2" v="17397"/>
    </bk>
    <bk>
      <rc t="2" v="17398"/>
    </bk>
    <bk>
      <rc t="2" v="17399"/>
    </bk>
    <bk>
      <rc t="2" v="17400"/>
    </bk>
    <bk>
      <rc t="2" v="17401"/>
    </bk>
    <bk>
      <rc t="2" v="17402"/>
    </bk>
    <bk>
      <rc t="2" v="17403"/>
    </bk>
    <bk>
      <rc t="2" v="17404"/>
    </bk>
    <bk>
      <rc t="2" v="17405"/>
    </bk>
    <bk>
      <rc t="2" v="17406"/>
    </bk>
    <bk>
      <rc t="2" v="17407"/>
    </bk>
    <bk>
      <rc t="2" v="17408"/>
    </bk>
    <bk>
      <rc t="2" v="17409"/>
    </bk>
    <bk>
      <rc t="2" v="17410"/>
    </bk>
    <bk>
      <rc t="2" v="17411"/>
    </bk>
    <bk>
      <rc t="2" v="17412"/>
    </bk>
    <bk>
      <rc t="2" v="17413"/>
    </bk>
    <bk>
      <rc t="2" v="17414"/>
    </bk>
    <bk>
      <rc t="2" v="17415"/>
    </bk>
    <bk>
      <rc t="2" v="17416"/>
    </bk>
    <bk>
      <rc t="2" v="17417"/>
    </bk>
    <bk>
      <rc t="2" v="17418"/>
    </bk>
    <bk>
      <rc t="2" v="17419"/>
    </bk>
    <bk>
      <rc t="2" v="17420"/>
    </bk>
    <bk>
      <rc t="2" v="17421"/>
    </bk>
    <bk>
      <rc t="2" v="17422"/>
    </bk>
    <bk>
      <rc t="2" v="17423"/>
    </bk>
    <bk>
      <rc t="2" v="17424"/>
    </bk>
    <bk>
      <rc t="2" v="17425"/>
    </bk>
    <bk>
      <rc t="2" v="17426"/>
    </bk>
    <bk>
      <rc t="2" v="17427"/>
    </bk>
    <bk>
      <rc t="2" v="17428"/>
    </bk>
    <bk>
      <rc t="2" v="17429"/>
    </bk>
    <bk>
      <rc t="2" v="17430"/>
    </bk>
    <bk>
      <rc t="2" v="17431"/>
    </bk>
    <bk>
      <rc t="2" v="17432"/>
    </bk>
    <bk>
      <rc t="2" v="17433"/>
    </bk>
    <bk>
      <rc t="2" v="17434"/>
    </bk>
    <bk>
      <rc t="2" v="17435"/>
    </bk>
    <bk>
      <rc t="2" v="17436"/>
    </bk>
    <bk>
      <rc t="2" v="17437"/>
    </bk>
    <bk>
      <rc t="2" v="17438"/>
    </bk>
    <bk>
      <rc t="2" v="17439"/>
    </bk>
    <bk>
      <rc t="2" v="17440"/>
    </bk>
    <bk>
      <rc t="2" v="17441"/>
    </bk>
    <bk>
      <rc t="2" v="17442"/>
    </bk>
    <bk>
      <rc t="2" v="17443"/>
    </bk>
    <bk>
      <rc t="2" v="17444"/>
    </bk>
    <bk>
      <rc t="2" v="17445"/>
    </bk>
    <bk>
      <rc t="2" v="17446"/>
    </bk>
    <bk>
      <rc t="2" v="17447"/>
    </bk>
    <bk>
      <rc t="2" v="17448"/>
    </bk>
    <bk>
      <rc t="2" v="17449"/>
    </bk>
    <bk>
      <rc t="2" v="17450"/>
    </bk>
    <bk>
      <rc t="2" v="17451"/>
    </bk>
    <bk>
      <rc t="2" v="17452"/>
    </bk>
    <bk>
      <rc t="2" v="17453"/>
    </bk>
    <bk>
      <rc t="2" v="17454"/>
    </bk>
    <bk>
      <rc t="2" v="17455"/>
    </bk>
    <bk>
      <rc t="2" v="17456"/>
    </bk>
    <bk>
      <rc t="2" v="17457"/>
    </bk>
    <bk>
      <rc t="2" v="17458"/>
    </bk>
    <bk>
      <rc t="2" v="17459"/>
    </bk>
    <bk>
      <rc t="2" v="17460"/>
    </bk>
    <bk>
      <rc t="2" v="17461"/>
    </bk>
    <bk>
      <rc t="2" v="17462"/>
    </bk>
    <bk>
      <rc t="2" v="17463"/>
    </bk>
    <bk>
      <rc t="2" v="17464"/>
    </bk>
    <bk>
      <rc t="2" v="17465"/>
    </bk>
    <bk>
      <rc t="2" v="17466"/>
    </bk>
    <bk>
      <rc t="2" v="17467"/>
    </bk>
    <bk>
      <rc t="2" v="17468"/>
    </bk>
    <bk>
      <rc t="2" v="17469"/>
    </bk>
    <bk>
      <rc t="2" v="17470"/>
    </bk>
    <bk>
      <rc t="2" v="17471"/>
    </bk>
    <bk>
      <rc t="2" v="17472"/>
    </bk>
    <bk>
      <rc t="2" v="17473"/>
    </bk>
    <bk>
      <rc t="2" v="17474"/>
    </bk>
    <bk>
      <rc t="2" v="17475"/>
    </bk>
    <bk>
      <rc t="2" v="17476"/>
    </bk>
    <bk>
      <rc t="2" v="17477"/>
    </bk>
    <bk>
      <rc t="2" v="17478"/>
    </bk>
    <bk>
      <rc t="2" v="17479"/>
    </bk>
    <bk>
      <rc t="2" v="17480"/>
    </bk>
    <bk>
      <rc t="2" v="17481"/>
    </bk>
    <bk>
      <rc t="2" v="17482"/>
    </bk>
    <bk>
      <rc t="2" v="17483"/>
    </bk>
    <bk>
      <rc t="2" v="17484"/>
    </bk>
    <bk>
      <rc t="2" v="17485"/>
    </bk>
    <bk>
      <rc t="2" v="17486"/>
    </bk>
    <bk>
      <rc t="2" v="17487"/>
    </bk>
    <bk>
      <rc t="2" v="17488"/>
    </bk>
    <bk>
      <rc t="2" v="17489"/>
    </bk>
    <bk>
      <rc t="2" v="17490"/>
    </bk>
    <bk>
      <rc t="2" v="17491"/>
    </bk>
    <bk>
      <rc t="2" v="17492"/>
    </bk>
    <bk>
      <rc t="2" v="17493"/>
    </bk>
    <bk>
      <rc t="2" v="17494"/>
    </bk>
    <bk>
      <rc t="2" v="17495"/>
    </bk>
    <bk>
      <rc t="2" v="17496"/>
    </bk>
    <bk>
      <rc t="2" v="17497"/>
    </bk>
    <bk>
      <rc t="2" v="17498"/>
    </bk>
    <bk>
      <rc t="2" v="17499"/>
    </bk>
    <bk>
      <rc t="2" v="17500"/>
    </bk>
    <bk>
      <rc t="2" v="17501"/>
    </bk>
    <bk>
      <rc t="2" v="17502"/>
    </bk>
    <bk>
      <rc t="2" v="17503"/>
    </bk>
    <bk>
      <rc t="2" v="17504"/>
    </bk>
    <bk>
      <rc t="2" v="17505"/>
    </bk>
    <bk>
      <rc t="2" v="17506"/>
    </bk>
    <bk>
      <rc t="2" v="17507"/>
    </bk>
    <bk>
      <rc t="2" v="17508"/>
    </bk>
    <bk>
      <rc t="2" v="17509"/>
    </bk>
    <bk>
      <rc t="2" v="17510"/>
    </bk>
    <bk>
      <rc t="2" v="17511"/>
    </bk>
    <bk>
      <rc t="2" v="17512"/>
    </bk>
    <bk>
      <rc t="2" v="17513"/>
    </bk>
    <bk>
      <rc t="2" v="17514"/>
    </bk>
    <bk>
      <rc t="2" v="17515"/>
    </bk>
    <bk>
      <rc t="2" v="17516"/>
    </bk>
    <bk>
      <rc t="2" v="17517"/>
    </bk>
    <bk>
      <rc t="2" v="17518"/>
    </bk>
    <bk>
      <rc t="2" v="17519"/>
    </bk>
    <bk>
      <rc t="2" v="17520"/>
    </bk>
    <bk>
      <rc t="2" v="17521"/>
    </bk>
    <bk>
      <rc t="2" v="17522"/>
    </bk>
    <bk>
      <rc t="2" v="17523"/>
    </bk>
    <bk>
      <rc t="2" v="17524"/>
    </bk>
    <bk>
      <rc t="2" v="17525"/>
    </bk>
    <bk>
      <rc t="2" v="17526"/>
    </bk>
    <bk>
      <rc t="2" v="17527"/>
    </bk>
    <bk>
      <rc t="2" v="17528"/>
    </bk>
    <bk>
      <rc t="2" v="17529"/>
    </bk>
    <bk>
      <rc t="2" v="17530"/>
    </bk>
    <bk>
      <rc t="2" v="17531"/>
    </bk>
    <bk>
      <rc t="2" v="17532"/>
    </bk>
    <bk>
      <rc t="2" v="17533"/>
    </bk>
    <bk>
      <rc t="2" v="17534"/>
    </bk>
    <bk>
      <rc t="2" v="17535"/>
    </bk>
    <bk>
      <rc t="2" v="17536"/>
    </bk>
    <bk>
      <rc t="2" v="17537"/>
    </bk>
    <bk>
      <rc t="2" v="17538"/>
    </bk>
    <bk>
      <rc t="2" v="17539"/>
    </bk>
    <bk>
      <rc t="2" v="17540"/>
    </bk>
    <bk>
      <rc t="2" v="17541"/>
    </bk>
    <bk>
      <rc t="2" v="17542"/>
    </bk>
    <bk>
      <rc t="2" v="17543"/>
    </bk>
    <bk>
      <rc t="2" v="17544"/>
    </bk>
    <bk>
      <rc t="2" v="17545"/>
    </bk>
    <bk>
      <rc t="2" v="17546"/>
    </bk>
    <bk>
      <rc t="2" v="17547"/>
    </bk>
    <bk>
      <rc t="2" v="17548"/>
    </bk>
    <bk>
      <rc t="2" v="17549"/>
    </bk>
    <bk>
      <rc t="2" v="17550"/>
    </bk>
    <bk>
      <rc t="2" v="17551"/>
    </bk>
    <bk>
      <rc t="2" v="17552"/>
    </bk>
    <bk>
      <rc t="2" v="17553"/>
    </bk>
    <bk>
      <rc t="2" v="17554"/>
    </bk>
    <bk>
      <rc t="2" v="17555"/>
    </bk>
    <bk>
      <rc t="2" v="17556"/>
    </bk>
    <bk>
      <rc t="2" v="17557"/>
    </bk>
    <bk>
      <rc t="2" v="17558"/>
    </bk>
    <bk>
      <rc t="2" v="17559"/>
    </bk>
    <bk>
      <rc t="2" v="17560"/>
    </bk>
    <bk>
      <rc t="2" v="17561"/>
    </bk>
    <bk>
      <rc t="2" v="17562"/>
    </bk>
    <bk>
      <rc t="2" v="17563"/>
    </bk>
    <bk>
      <rc t="2" v="17564"/>
    </bk>
    <bk>
      <rc t="2" v="17565"/>
    </bk>
    <bk>
      <rc t="2" v="17566"/>
    </bk>
    <bk>
      <rc t="2" v="17567"/>
    </bk>
    <bk>
      <rc t="2" v="17568"/>
    </bk>
    <bk>
      <rc t="2" v="17569"/>
    </bk>
    <bk>
      <rc t="2" v="17570"/>
    </bk>
    <bk>
      <rc t="2" v="17571"/>
    </bk>
    <bk>
      <rc t="2" v="17572"/>
    </bk>
    <bk>
      <rc t="2" v="17573"/>
    </bk>
    <bk>
      <rc t="2" v="17574"/>
    </bk>
    <bk>
      <rc t="2" v="17575"/>
    </bk>
    <bk>
      <rc t="2" v="17576"/>
    </bk>
    <bk>
      <rc t="2" v="17577"/>
    </bk>
    <bk>
      <rc t="2" v="17578"/>
    </bk>
    <bk>
      <rc t="2" v="17579"/>
    </bk>
    <bk>
      <rc t="2" v="17580"/>
    </bk>
    <bk>
      <rc t="2" v="17581"/>
    </bk>
    <bk>
      <rc t="2" v="17582"/>
    </bk>
    <bk>
      <rc t="2" v="17583"/>
    </bk>
    <bk>
      <rc t="2" v="17584"/>
    </bk>
    <bk>
      <rc t="2" v="17585"/>
    </bk>
    <bk>
      <rc t="2" v="17586"/>
    </bk>
    <bk>
      <rc t="2" v="17587"/>
    </bk>
    <bk>
      <rc t="2" v="17588"/>
    </bk>
    <bk>
      <rc t="2" v="17589"/>
    </bk>
    <bk>
      <rc t="2" v="17590"/>
    </bk>
    <bk>
      <rc t="2" v="17591"/>
    </bk>
    <bk>
      <rc t="2" v="17592"/>
    </bk>
    <bk>
      <rc t="2" v="17593"/>
    </bk>
    <bk>
      <rc t="2" v="17594"/>
    </bk>
    <bk>
      <rc t="2" v="17595"/>
    </bk>
    <bk>
      <rc t="2" v="17596"/>
    </bk>
    <bk>
      <rc t="2" v="17597"/>
    </bk>
    <bk>
      <rc t="2" v="17598"/>
    </bk>
    <bk>
      <rc t="2" v="17599"/>
    </bk>
    <bk>
      <rc t="2" v="17600"/>
    </bk>
    <bk>
      <rc t="2" v="17601"/>
    </bk>
    <bk>
      <rc t="2" v="17602"/>
    </bk>
    <bk>
      <rc t="2" v="17603"/>
    </bk>
    <bk>
      <rc t="2" v="17604"/>
    </bk>
    <bk>
      <rc t="2" v="17605"/>
    </bk>
    <bk>
      <rc t="2" v="17606"/>
    </bk>
    <bk>
      <rc t="2" v="17607"/>
    </bk>
    <bk>
      <rc t="2" v="17608"/>
    </bk>
    <bk>
      <rc t="2" v="17609"/>
    </bk>
    <bk>
      <rc t="2" v="17610"/>
    </bk>
    <bk>
      <rc t="2" v="17611"/>
    </bk>
    <bk>
      <rc t="2" v="17612"/>
    </bk>
    <bk>
      <rc t="2" v="17613"/>
    </bk>
    <bk>
      <rc t="2" v="17614"/>
    </bk>
    <bk>
      <rc t="2" v="17615"/>
    </bk>
    <bk>
      <rc t="2" v="17616"/>
    </bk>
    <bk>
      <rc t="2" v="17617"/>
    </bk>
    <bk>
      <rc t="2" v="17618"/>
    </bk>
    <bk>
      <rc t="2" v="17619"/>
    </bk>
    <bk>
      <rc t="2" v="17620"/>
    </bk>
    <bk>
      <rc t="2" v="17621"/>
    </bk>
    <bk>
      <rc t="2" v="17622"/>
    </bk>
    <bk>
      <rc t="2" v="17623"/>
    </bk>
    <bk>
      <rc t="2" v="17624"/>
    </bk>
    <bk>
      <rc t="2" v="17625"/>
    </bk>
    <bk>
      <rc t="2" v="17626"/>
    </bk>
    <bk>
      <rc t="2" v="17627"/>
    </bk>
    <bk>
      <rc t="2" v="17628"/>
    </bk>
    <bk>
      <rc t="2" v="17629"/>
    </bk>
    <bk>
      <rc t="2" v="17630"/>
    </bk>
    <bk>
      <rc t="2" v="17631"/>
    </bk>
    <bk>
      <rc t="2" v="17632"/>
    </bk>
    <bk>
      <rc t="2" v="17633"/>
    </bk>
    <bk>
      <rc t="2" v="17634"/>
    </bk>
    <bk>
      <rc t="2" v="17635"/>
    </bk>
    <bk>
      <rc t="2" v="17636"/>
    </bk>
    <bk>
      <rc t="2" v="17637"/>
    </bk>
    <bk>
      <rc t="2" v="17638"/>
    </bk>
    <bk>
      <rc t="2" v="17639"/>
    </bk>
    <bk>
      <rc t="2" v="17640"/>
    </bk>
    <bk>
      <rc t="2" v="17641"/>
    </bk>
    <bk>
      <rc t="2" v="17642"/>
    </bk>
    <bk>
      <rc t="2" v="17643"/>
    </bk>
    <bk>
      <rc t="2" v="17644"/>
    </bk>
    <bk>
      <rc t="2" v="17645"/>
    </bk>
    <bk>
      <rc t="2" v="17646"/>
    </bk>
    <bk>
      <rc t="2" v="17647"/>
    </bk>
    <bk>
      <rc t="2" v="17648"/>
    </bk>
    <bk>
      <rc t="2" v="17649"/>
    </bk>
    <bk>
      <rc t="2" v="17650"/>
    </bk>
    <bk>
      <rc t="2" v="17651"/>
    </bk>
    <bk>
      <rc t="2" v="17652"/>
    </bk>
    <bk>
      <rc t="2" v="17653"/>
    </bk>
    <bk>
      <rc t="2" v="17654"/>
    </bk>
    <bk>
      <rc t="2" v="17655"/>
    </bk>
    <bk>
      <rc t="2" v="17656"/>
    </bk>
    <bk>
      <rc t="2" v="17657"/>
    </bk>
    <bk>
      <rc t="2" v="17658"/>
    </bk>
    <bk>
      <rc t="2" v="17659"/>
    </bk>
    <bk>
      <rc t="2" v="17660"/>
    </bk>
    <bk>
      <rc t="2" v="17661"/>
    </bk>
    <bk>
      <rc t="2" v="17662"/>
    </bk>
    <bk>
      <rc t="2" v="17663"/>
    </bk>
    <bk>
      <rc t="2" v="17664"/>
    </bk>
    <bk>
      <rc t="2" v="17665"/>
    </bk>
    <bk>
      <rc t="2" v="17666"/>
    </bk>
    <bk>
      <rc t="2" v="17667"/>
    </bk>
    <bk>
      <rc t="2" v="17668"/>
    </bk>
    <bk>
      <rc t="2" v="17669"/>
    </bk>
    <bk>
      <rc t="2" v="17670"/>
    </bk>
    <bk>
      <rc t="2" v="17671"/>
    </bk>
    <bk>
      <rc t="2" v="17672"/>
    </bk>
    <bk>
      <rc t="2" v="17673"/>
    </bk>
    <bk>
      <rc t="2" v="17674"/>
    </bk>
    <bk>
      <rc t="2" v="17675"/>
    </bk>
    <bk>
      <rc t="2" v="17676"/>
    </bk>
    <bk>
      <rc t="2" v="17677"/>
    </bk>
    <bk>
      <rc t="2" v="17678"/>
    </bk>
    <bk>
      <rc t="2" v="17679"/>
    </bk>
    <bk>
      <rc t="2" v="17680"/>
    </bk>
    <bk>
      <rc t="2" v="17681"/>
    </bk>
    <bk>
      <rc t="2" v="17682"/>
    </bk>
    <bk>
      <rc t="2" v="17683"/>
    </bk>
    <bk>
      <rc t="2" v="17684"/>
    </bk>
    <bk>
      <rc t="2" v="17685"/>
    </bk>
    <bk>
      <rc t="2" v="17686"/>
    </bk>
    <bk>
      <rc t="2" v="17687"/>
    </bk>
    <bk>
      <rc t="2" v="17688"/>
    </bk>
    <bk>
      <rc t="2" v="17689"/>
    </bk>
    <bk>
      <rc t="2" v="17690"/>
    </bk>
    <bk>
      <rc t="2" v="17691"/>
    </bk>
    <bk>
      <rc t="2" v="17692"/>
    </bk>
    <bk>
      <rc t="2" v="17693"/>
    </bk>
    <bk>
      <rc t="2" v="17694"/>
    </bk>
    <bk>
      <rc t="2" v="17695"/>
    </bk>
    <bk>
      <rc t="2" v="17696"/>
    </bk>
    <bk>
      <rc t="2" v="17697"/>
    </bk>
    <bk>
      <rc t="2" v="17698"/>
    </bk>
    <bk>
      <rc t="2" v="17699"/>
    </bk>
    <bk>
      <rc t="2" v="17700"/>
    </bk>
    <bk>
      <rc t="2" v="17701"/>
    </bk>
    <bk>
      <rc t="2" v="17702"/>
    </bk>
    <bk>
      <rc t="2" v="17703"/>
    </bk>
    <bk>
      <rc t="2" v="17704"/>
    </bk>
    <bk>
      <rc t="2" v="17705"/>
    </bk>
    <bk>
      <rc t="2" v="17706"/>
    </bk>
    <bk>
      <rc t="2" v="17707"/>
    </bk>
    <bk>
      <rc t="2" v="17708"/>
    </bk>
    <bk>
      <rc t="2" v="17709"/>
    </bk>
    <bk>
      <rc t="2" v="17710"/>
    </bk>
    <bk>
      <rc t="2" v="17711"/>
    </bk>
    <bk>
      <rc t="2" v="17712"/>
    </bk>
    <bk>
      <rc t="2" v="17713"/>
    </bk>
    <bk>
      <rc t="2" v="17714"/>
    </bk>
    <bk>
      <rc t="2" v="17715"/>
    </bk>
    <bk>
      <rc t="2" v="17716"/>
    </bk>
    <bk>
      <rc t="2" v="17717"/>
    </bk>
    <bk>
      <rc t="2" v="17718"/>
    </bk>
    <bk>
      <rc t="2" v="17719"/>
    </bk>
    <bk>
      <rc t="2" v="17720"/>
    </bk>
    <bk>
      <rc t="2" v="17721"/>
    </bk>
    <bk>
      <rc t="2" v="17722"/>
    </bk>
    <bk>
      <rc t="2" v="17723"/>
    </bk>
    <bk>
      <rc t="2" v="17724"/>
    </bk>
    <bk>
      <rc t="2" v="17725"/>
    </bk>
    <bk>
      <rc t="2" v="17726"/>
    </bk>
    <bk>
      <rc t="2" v="17727"/>
    </bk>
    <bk>
      <rc t="2" v="17728"/>
    </bk>
    <bk>
      <rc t="2" v="17729"/>
    </bk>
    <bk>
      <rc t="2" v="17730"/>
    </bk>
    <bk>
      <rc t="2" v="17731"/>
    </bk>
    <bk>
      <rc t="2" v="17732"/>
    </bk>
    <bk>
      <rc t="2" v="17733"/>
    </bk>
    <bk>
      <rc t="2" v="17734"/>
    </bk>
    <bk>
      <rc t="2" v="17735"/>
    </bk>
    <bk>
      <rc t="2" v="17736"/>
    </bk>
    <bk>
      <rc t="2" v="17737"/>
    </bk>
    <bk>
      <rc t="2" v="17738"/>
    </bk>
    <bk>
      <rc t="2" v="17739"/>
    </bk>
    <bk>
      <rc t="2" v="17740"/>
    </bk>
    <bk>
      <rc t="2" v="17741"/>
    </bk>
    <bk>
      <rc t="2" v="17742"/>
    </bk>
    <bk>
      <rc t="2" v="17743"/>
    </bk>
    <bk>
      <rc t="2" v="17744"/>
    </bk>
    <bk>
      <rc t="2" v="17745"/>
    </bk>
    <bk>
      <rc t="2" v="17746"/>
    </bk>
    <bk>
      <rc t="2" v="17747"/>
    </bk>
    <bk>
      <rc t="2" v="17748"/>
    </bk>
    <bk>
      <rc t="2" v="17749"/>
    </bk>
    <bk>
      <rc t="2" v="17750"/>
    </bk>
    <bk>
      <rc t="2" v="17751"/>
    </bk>
    <bk>
      <rc t="2" v="17752"/>
    </bk>
    <bk>
      <rc t="2" v="17753"/>
    </bk>
    <bk>
      <rc t="2" v="17754"/>
    </bk>
    <bk>
      <rc t="2" v="17755"/>
    </bk>
    <bk>
      <rc t="2" v="17756"/>
    </bk>
    <bk>
      <rc t="2" v="17757"/>
    </bk>
    <bk>
      <rc t="2" v="17758"/>
    </bk>
    <bk>
      <rc t="2" v="17759"/>
    </bk>
    <bk>
      <rc t="2" v="17760"/>
    </bk>
    <bk>
      <rc t="2" v="17761"/>
    </bk>
    <bk>
      <rc t="2" v="17762"/>
    </bk>
    <bk>
      <rc t="2" v="17763"/>
    </bk>
    <bk>
      <rc t="2" v="17764"/>
    </bk>
    <bk>
      <rc t="2" v="17765"/>
    </bk>
    <bk>
      <rc t="2" v="17766"/>
    </bk>
    <bk>
      <rc t="2" v="17767"/>
    </bk>
    <bk>
      <rc t="2" v="17768"/>
    </bk>
    <bk>
      <rc t="2" v="17769"/>
    </bk>
    <bk>
      <rc t="2" v="17770"/>
    </bk>
    <bk>
      <rc t="2" v="17771"/>
    </bk>
    <bk>
      <rc t="2" v="17772"/>
    </bk>
    <bk>
      <rc t="2" v="17773"/>
    </bk>
    <bk>
      <rc t="2" v="17774"/>
    </bk>
    <bk>
      <rc t="2" v="17775"/>
    </bk>
    <bk>
      <rc t="2" v="17776"/>
    </bk>
    <bk>
      <rc t="2" v="17777"/>
    </bk>
    <bk>
      <rc t="2" v="17778"/>
    </bk>
    <bk>
      <rc t="2" v="17779"/>
    </bk>
    <bk>
      <rc t="2" v="17780"/>
    </bk>
    <bk>
      <rc t="2" v="17781"/>
    </bk>
    <bk>
      <rc t="2" v="17782"/>
    </bk>
    <bk>
      <rc t="2" v="17783"/>
    </bk>
    <bk>
      <rc t="2" v="17784"/>
    </bk>
    <bk>
      <rc t="2" v="17785"/>
    </bk>
    <bk>
      <rc t="2" v="17786"/>
    </bk>
    <bk>
      <rc t="2" v="17787"/>
    </bk>
    <bk>
      <rc t="2" v="17788"/>
    </bk>
    <bk>
      <rc t="2" v="17789"/>
    </bk>
    <bk>
      <rc t="2" v="17790"/>
    </bk>
    <bk>
      <rc t="2" v="17791"/>
    </bk>
    <bk>
      <rc t="2" v="17792"/>
    </bk>
    <bk>
      <rc t="2" v="17793"/>
    </bk>
    <bk>
      <rc t="2" v="17794"/>
    </bk>
    <bk>
      <rc t="2" v="17795"/>
    </bk>
    <bk>
      <rc t="2" v="17796"/>
    </bk>
    <bk>
      <rc t="2" v="17797"/>
    </bk>
    <bk>
      <rc t="2" v="17798"/>
    </bk>
    <bk>
      <rc t="2" v="17799"/>
    </bk>
    <bk>
      <rc t="2" v="17801"/>
    </bk>
    <bk>
      <rc t="2" v="17800"/>
    </bk>
    <bk>
      <rc t="2" v="17802"/>
    </bk>
    <bk>
      <rc t="2" v="17803"/>
    </bk>
    <bk>
      <rc t="2" v="17804"/>
    </bk>
    <bk>
      <rc t="2" v="17805"/>
    </bk>
    <bk>
      <rc t="2" v="17806"/>
    </bk>
    <bk>
      <rc t="2" v="17807"/>
    </bk>
    <bk>
      <rc t="2" v="17808"/>
    </bk>
    <bk>
      <rc t="2" v="17809"/>
    </bk>
    <bk>
      <rc t="2" v="17810"/>
    </bk>
    <bk>
      <rc t="2" v="17811"/>
    </bk>
    <bk>
      <rc t="2" v="17812"/>
    </bk>
    <bk>
      <rc t="2" v="17813"/>
    </bk>
    <bk>
      <rc t="2" v="17814"/>
    </bk>
    <bk>
      <rc t="2" v="17815"/>
    </bk>
    <bk>
      <rc t="2" v="17816"/>
    </bk>
    <bk>
      <rc t="2" v="17817"/>
    </bk>
    <bk>
      <rc t="2" v="17818"/>
    </bk>
    <bk>
      <rc t="2" v="17819"/>
    </bk>
    <bk>
      <rc t="2" v="17820"/>
    </bk>
    <bk>
      <rc t="2" v="17821"/>
    </bk>
    <bk>
      <rc t="2" v="17822"/>
    </bk>
    <bk>
      <rc t="2" v="17823"/>
    </bk>
    <bk>
      <rc t="2" v="17824"/>
    </bk>
    <bk>
      <rc t="2" v="17825"/>
    </bk>
    <bk>
      <rc t="2" v="17826"/>
    </bk>
    <bk>
      <rc t="2" v="17827"/>
    </bk>
    <bk>
      <rc t="2" v="17828"/>
    </bk>
    <bk>
      <rc t="2" v="17829"/>
    </bk>
    <bk>
      <rc t="2" v="17830"/>
    </bk>
    <bk>
      <rc t="2" v="17831"/>
    </bk>
    <bk>
      <rc t="2" v="17832"/>
    </bk>
    <bk>
      <rc t="2" v="17833"/>
    </bk>
    <bk>
      <rc t="2" v="17834"/>
    </bk>
    <bk>
      <rc t="2" v="17835"/>
    </bk>
    <bk>
      <rc t="2" v="17836"/>
    </bk>
    <bk>
      <rc t="2" v="17837"/>
    </bk>
    <bk>
      <rc t="2" v="17838"/>
    </bk>
    <bk>
      <rc t="2" v="17839"/>
    </bk>
    <bk>
      <rc t="2" v="17840"/>
    </bk>
    <bk>
      <rc t="2" v="17841"/>
    </bk>
    <bk>
      <rc t="2" v="17842"/>
    </bk>
    <bk>
      <rc t="2" v="17843"/>
    </bk>
    <bk>
      <rc t="2" v="17844"/>
    </bk>
    <bk>
      <rc t="2" v="17845"/>
    </bk>
    <bk>
      <rc t="2" v="17846"/>
    </bk>
    <bk>
      <rc t="2" v="17847"/>
    </bk>
    <bk>
      <rc t="2" v="17848"/>
    </bk>
    <bk>
      <rc t="2" v="17849"/>
    </bk>
    <bk>
      <rc t="2" v="17850"/>
    </bk>
    <bk>
      <rc t="2" v="17851"/>
    </bk>
    <bk>
      <rc t="2" v="17852"/>
    </bk>
    <bk>
      <rc t="2" v="17853"/>
    </bk>
    <bk>
      <rc t="2" v="17854"/>
    </bk>
    <bk>
      <rc t="2" v="17855"/>
    </bk>
    <bk>
      <rc t="2" v="17856"/>
    </bk>
    <bk>
      <rc t="2" v="17857"/>
    </bk>
    <bk>
      <rc t="2" v="17858"/>
    </bk>
    <bk>
      <rc t="2" v="17859"/>
    </bk>
    <bk>
      <rc t="2" v="17860"/>
    </bk>
    <bk>
      <rc t="2" v="17861"/>
    </bk>
    <bk>
      <rc t="2" v="17862"/>
    </bk>
    <bk>
      <rc t="2" v="17863"/>
    </bk>
    <bk>
      <rc t="2" v="17864"/>
    </bk>
    <bk>
      <rc t="2" v="17865"/>
    </bk>
    <bk>
      <rc t="2" v="17866"/>
    </bk>
    <bk>
      <rc t="2" v="17867"/>
    </bk>
    <bk>
      <rc t="2" v="17868"/>
    </bk>
    <bk>
      <rc t="2" v="17869"/>
    </bk>
    <bk>
      <rc t="2" v="17870"/>
    </bk>
    <bk>
      <rc t="2" v="17871"/>
    </bk>
    <bk>
      <rc t="2" v="17872"/>
    </bk>
    <bk>
      <rc t="2" v="17873"/>
    </bk>
    <bk>
      <rc t="2" v="17874"/>
    </bk>
    <bk>
      <rc t="2" v="17875"/>
    </bk>
    <bk>
      <rc t="2" v="17876"/>
    </bk>
    <bk>
      <rc t="2" v="17877"/>
    </bk>
    <bk>
      <rc t="2" v="17878"/>
    </bk>
    <bk>
      <rc t="2" v="17879"/>
    </bk>
    <bk>
      <rc t="2" v="17880"/>
    </bk>
    <bk>
      <rc t="2" v="17881"/>
    </bk>
    <bk>
      <rc t="2" v="17882"/>
    </bk>
    <bk>
      <rc t="2" v="17883"/>
    </bk>
    <bk>
      <rc t="2" v="17884"/>
    </bk>
    <bk>
      <rc t="2" v="17885"/>
    </bk>
    <bk>
      <rc t="2" v="17886"/>
    </bk>
    <bk>
      <rc t="2" v="17887"/>
    </bk>
    <bk>
      <rc t="2" v="17888"/>
    </bk>
    <bk>
      <rc t="2" v="17889"/>
    </bk>
    <bk>
      <rc t="2" v="17890"/>
    </bk>
    <bk>
      <rc t="2" v="17891"/>
    </bk>
    <bk>
      <rc t="2" v="17892"/>
    </bk>
    <bk>
      <rc t="2" v="17893"/>
    </bk>
    <bk>
      <rc t="2" v="17894"/>
    </bk>
    <bk>
      <rc t="2" v="17895"/>
    </bk>
    <bk>
      <rc t="2" v="17896"/>
    </bk>
    <bk>
      <rc t="2" v="17897"/>
    </bk>
    <bk>
      <rc t="2" v="17898"/>
    </bk>
    <bk>
      <rc t="2" v="17899"/>
    </bk>
    <bk>
      <rc t="2" v="17900"/>
    </bk>
    <bk>
      <rc t="2" v="17901"/>
    </bk>
    <bk>
      <rc t="2" v="17902"/>
    </bk>
    <bk>
      <rc t="2" v="17903"/>
    </bk>
    <bk>
      <rc t="2" v="17904"/>
    </bk>
    <bk>
      <rc t="2" v="17905"/>
    </bk>
    <bk>
      <rc t="2" v="17906"/>
    </bk>
    <bk>
      <rc t="2" v="17907"/>
    </bk>
    <bk>
      <rc t="2" v="17908"/>
    </bk>
    <bk>
      <rc t="2" v="17909"/>
    </bk>
    <bk>
      <rc t="2" v="17910"/>
    </bk>
    <bk>
      <rc t="2" v="17911"/>
    </bk>
    <bk>
      <rc t="2" v="17912"/>
    </bk>
    <bk>
      <rc t="2" v="17913"/>
    </bk>
    <bk>
      <rc t="2" v="17914"/>
    </bk>
    <bk>
      <rc t="2" v="17915"/>
    </bk>
    <bk>
      <rc t="2" v="17916"/>
    </bk>
    <bk>
      <rc t="2" v="17917"/>
    </bk>
    <bk>
      <rc t="2" v="17918"/>
    </bk>
    <bk>
      <rc t="2" v="17919"/>
    </bk>
    <bk>
      <rc t="2" v="17920"/>
    </bk>
    <bk>
      <rc t="2" v="17921"/>
    </bk>
    <bk>
      <rc t="2" v="17922"/>
    </bk>
    <bk>
      <rc t="2" v="17923"/>
    </bk>
    <bk>
      <rc t="2" v="17924"/>
    </bk>
    <bk>
      <rc t="2" v="17925"/>
    </bk>
    <bk>
      <rc t="2" v="17926"/>
    </bk>
    <bk>
      <rc t="2" v="17927"/>
    </bk>
    <bk>
      <rc t="2" v="17928"/>
    </bk>
    <bk>
      <rc t="2" v="17929"/>
    </bk>
    <bk>
      <rc t="2" v="17930"/>
    </bk>
    <bk>
      <rc t="2" v="17931"/>
    </bk>
    <bk>
      <rc t="2" v="17932"/>
    </bk>
    <bk>
      <rc t="2" v="17933"/>
    </bk>
    <bk>
      <rc t="2" v="17934"/>
    </bk>
    <bk>
      <rc t="2" v="17935"/>
    </bk>
    <bk>
      <rc t="2" v="17936"/>
    </bk>
    <bk>
      <rc t="2" v="17937"/>
    </bk>
    <bk>
      <rc t="2" v="17938"/>
    </bk>
    <bk>
      <rc t="2" v="17939"/>
    </bk>
    <bk>
      <rc t="2" v="17940"/>
    </bk>
    <bk>
      <rc t="2" v="17941"/>
    </bk>
    <bk>
      <rc t="2" v="17942"/>
    </bk>
    <bk>
      <rc t="2" v="17943"/>
    </bk>
    <bk>
      <rc t="2" v="17944"/>
    </bk>
    <bk>
      <rc t="2" v="17945"/>
    </bk>
    <bk>
      <rc t="2" v="17946"/>
    </bk>
    <bk>
      <rc t="2" v="17947"/>
    </bk>
    <bk>
      <rc t="2" v="17948"/>
    </bk>
    <bk>
      <rc t="2" v="17949"/>
    </bk>
    <bk>
      <rc t="2" v="17950"/>
    </bk>
    <bk>
      <rc t="2" v="17951"/>
    </bk>
    <bk>
      <rc t="2" v="17952"/>
    </bk>
    <bk>
      <rc t="2" v="17953"/>
    </bk>
    <bk>
      <rc t="2" v="17954"/>
    </bk>
    <bk>
      <rc t="2" v="17955"/>
    </bk>
    <bk>
      <rc t="2" v="17956"/>
    </bk>
    <bk>
      <rc t="2" v="17957"/>
    </bk>
    <bk>
      <rc t="2" v="17958"/>
    </bk>
    <bk>
      <rc t="2" v="17959"/>
    </bk>
    <bk>
      <rc t="2" v="17960"/>
    </bk>
    <bk>
      <rc t="2" v="17961"/>
    </bk>
    <bk>
      <rc t="2" v="17962"/>
    </bk>
    <bk>
      <rc t="2" v="17963"/>
    </bk>
    <bk>
      <rc t="2" v="17964"/>
    </bk>
    <bk>
      <rc t="2" v="17965"/>
    </bk>
    <bk>
      <rc t="2" v="17966"/>
    </bk>
    <bk>
      <rc t="2" v="17967"/>
    </bk>
    <bk>
      <rc t="2" v="17968"/>
    </bk>
    <bk>
      <rc t="2" v="17969"/>
    </bk>
    <bk>
      <rc t="2" v="17970"/>
    </bk>
    <bk>
      <rc t="2" v="17971"/>
    </bk>
    <bk>
      <rc t="2" v="17972"/>
    </bk>
    <bk>
      <rc t="2" v="17973"/>
    </bk>
    <bk>
      <rc t="2" v="17974"/>
    </bk>
    <bk>
      <rc t="2" v="17975"/>
    </bk>
    <bk>
      <rc t="2" v="17976"/>
    </bk>
    <bk>
      <rc t="2" v="17977"/>
    </bk>
    <bk>
      <rc t="2" v="17978"/>
    </bk>
    <bk>
      <rc t="2" v="17979"/>
    </bk>
    <bk>
      <rc t="2" v="17980"/>
    </bk>
    <bk>
      <rc t="2" v="17981"/>
    </bk>
    <bk>
      <rc t="2" v="17982"/>
    </bk>
    <bk>
      <rc t="2" v="17983"/>
    </bk>
    <bk>
      <rc t="2" v="17984"/>
    </bk>
    <bk>
      <rc t="2" v="17985"/>
    </bk>
    <bk>
      <rc t="2" v="17986"/>
    </bk>
    <bk>
      <rc t="2" v="17987"/>
    </bk>
    <bk>
      <rc t="2" v="17988"/>
    </bk>
    <bk>
      <rc t="2" v="17989"/>
    </bk>
    <bk>
      <rc t="2" v="17990"/>
    </bk>
    <bk>
      <rc t="2" v="17991"/>
    </bk>
    <bk>
      <rc t="2" v="17992"/>
    </bk>
    <bk>
      <rc t="2" v="17993"/>
    </bk>
    <bk>
      <rc t="2" v="17994"/>
    </bk>
    <bk>
      <rc t="2" v="17995"/>
    </bk>
    <bk>
      <rc t="2" v="17996"/>
    </bk>
    <bk>
      <rc t="2" v="17997"/>
    </bk>
    <bk>
      <rc t="2" v="17998"/>
    </bk>
    <bk>
      <rc t="2" v="17999"/>
    </bk>
    <bk>
      <rc t="2" v="18000"/>
    </bk>
    <bk>
      <rc t="2" v="18001"/>
    </bk>
    <bk>
      <rc t="2" v="18002"/>
    </bk>
    <bk>
      <rc t="2" v="18003"/>
    </bk>
    <bk>
      <rc t="2" v="18004"/>
    </bk>
    <bk>
      <rc t="2" v="18005"/>
    </bk>
    <bk>
      <rc t="2" v="18006"/>
    </bk>
    <bk>
      <rc t="2" v="18007"/>
    </bk>
    <bk>
      <rc t="2" v="18008"/>
    </bk>
    <bk>
      <rc t="2" v="18009"/>
    </bk>
    <bk>
      <rc t="2" v="18010"/>
    </bk>
    <bk>
      <rc t="2" v="18011"/>
    </bk>
    <bk>
      <rc t="2" v="18012"/>
    </bk>
    <bk>
      <rc t="2" v="18013"/>
    </bk>
    <bk>
      <rc t="2" v="18014"/>
    </bk>
    <bk>
      <rc t="2" v="18015"/>
    </bk>
    <bk>
      <rc t="2" v="18016"/>
    </bk>
    <bk>
      <rc t="2" v="18017"/>
    </bk>
    <bk>
      <rc t="2" v="18018"/>
    </bk>
    <bk>
      <rc t="2" v="18019"/>
    </bk>
    <bk>
      <rc t="2" v="18020"/>
    </bk>
    <bk>
      <rc t="2" v="18021"/>
    </bk>
    <bk>
      <rc t="2" v="18022"/>
    </bk>
    <bk>
      <rc t="2" v="18023"/>
    </bk>
    <bk>
      <rc t="2" v="18024"/>
    </bk>
    <bk>
      <rc t="2" v="18025"/>
    </bk>
    <bk>
      <rc t="2" v="18026"/>
    </bk>
    <bk>
      <rc t="2" v="18027"/>
    </bk>
    <bk>
      <rc t="2" v="18028"/>
    </bk>
    <bk>
      <rc t="2" v="18029"/>
    </bk>
    <bk>
      <rc t="2" v="18030"/>
    </bk>
    <bk>
      <rc t="2" v="18031"/>
    </bk>
    <bk>
      <rc t="2" v="18032"/>
    </bk>
    <bk>
      <rc t="2" v="18033"/>
    </bk>
    <bk>
      <rc t="2" v="18034"/>
    </bk>
    <bk>
      <rc t="2" v="18035"/>
    </bk>
    <bk>
      <rc t="2" v="18036"/>
    </bk>
    <bk>
      <rc t="2" v="18037"/>
    </bk>
    <bk>
      <rc t="2" v="18038"/>
    </bk>
    <bk>
      <rc t="2" v="18039"/>
    </bk>
    <bk>
      <rc t="2" v="18040"/>
    </bk>
    <bk>
      <rc t="2" v="18041"/>
    </bk>
    <bk>
      <rc t="2" v="18042"/>
    </bk>
    <bk>
      <rc t="2" v="18043"/>
    </bk>
    <bk>
      <rc t="2" v="18044"/>
    </bk>
    <bk>
      <rc t="2" v="18045"/>
    </bk>
    <bk>
      <rc t="2" v="18046"/>
    </bk>
    <bk>
      <rc t="2" v="18047"/>
    </bk>
    <bk>
      <rc t="2" v="18048"/>
    </bk>
    <bk>
      <rc t="2" v="18049"/>
    </bk>
    <bk>
      <rc t="2" v="18050"/>
    </bk>
    <bk>
      <rc t="2" v="18051"/>
    </bk>
    <bk>
      <rc t="2" v="18052"/>
    </bk>
    <bk>
      <rc t="2" v="18053"/>
    </bk>
    <bk>
      <rc t="2" v="18054"/>
    </bk>
    <bk>
      <rc t="2" v="18055"/>
    </bk>
    <bk>
      <rc t="2" v="18056"/>
    </bk>
    <bk>
      <rc t="2" v="18057"/>
    </bk>
    <bk>
      <rc t="2" v="18058"/>
    </bk>
    <bk>
      <rc t="2" v="18059"/>
    </bk>
    <bk>
      <rc t="2" v="18060"/>
    </bk>
    <bk>
      <rc t="2" v="18061"/>
    </bk>
    <bk>
      <rc t="2" v="18062"/>
    </bk>
    <bk>
      <rc t="2" v="18063"/>
    </bk>
    <bk>
      <rc t="2" v="18064"/>
    </bk>
    <bk>
      <rc t="2" v="18065"/>
    </bk>
    <bk>
      <rc t="2" v="18066"/>
    </bk>
    <bk>
      <rc t="2" v="18067"/>
    </bk>
    <bk>
      <rc t="2" v="18068"/>
    </bk>
    <bk>
      <rc t="2" v="18069"/>
    </bk>
    <bk>
      <rc t="2" v="18070"/>
    </bk>
    <bk>
      <rc t="2" v="18071"/>
    </bk>
    <bk>
      <rc t="2" v="18072"/>
    </bk>
    <bk>
      <rc t="2" v="18073"/>
    </bk>
    <bk>
      <rc t="2" v="18074"/>
    </bk>
    <bk>
      <rc t="2" v="18075"/>
    </bk>
    <bk>
      <rc t="2" v="18076"/>
    </bk>
    <bk>
      <rc t="2" v="18077"/>
    </bk>
    <bk>
      <rc t="2" v="18078"/>
    </bk>
    <bk>
      <rc t="2" v="18079"/>
    </bk>
    <bk>
      <rc t="2" v="18080"/>
    </bk>
    <bk>
      <rc t="2" v="18081"/>
    </bk>
    <bk>
      <rc t="2" v="18082"/>
    </bk>
    <bk>
      <rc t="2" v="18083"/>
    </bk>
    <bk>
      <rc t="2" v="18084"/>
    </bk>
    <bk>
      <rc t="2" v="18085"/>
    </bk>
    <bk>
      <rc t="2" v="18086"/>
    </bk>
    <bk>
      <rc t="2" v="18087"/>
    </bk>
    <bk>
      <rc t="2" v="18088"/>
    </bk>
    <bk>
      <rc t="2" v="18089"/>
    </bk>
    <bk>
      <rc t="2" v="18090"/>
    </bk>
    <bk>
      <rc t="2" v="18091"/>
    </bk>
    <bk>
      <rc t="2" v="18092"/>
    </bk>
    <bk>
      <rc t="2" v="18093"/>
    </bk>
    <bk>
      <rc t="2" v="18094"/>
    </bk>
    <bk>
      <rc t="2" v="18095"/>
    </bk>
    <bk>
      <rc t="2" v="18096"/>
    </bk>
    <bk>
      <rc t="2" v="18097"/>
    </bk>
    <bk>
      <rc t="2" v="18098"/>
    </bk>
    <bk>
      <rc t="2" v="18099"/>
    </bk>
    <bk>
      <rc t="2" v="18100"/>
    </bk>
    <bk>
      <rc t="2" v="18101"/>
    </bk>
    <bk>
      <rc t="2" v="18102"/>
    </bk>
    <bk>
      <rc t="2" v="18103"/>
    </bk>
    <bk>
      <rc t="2" v="18104"/>
    </bk>
    <bk>
      <rc t="2" v="18105"/>
    </bk>
    <bk>
      <rc t="2" v="18106"/>
    </bk>
    <bk>
      <rc t="2" v="18107"/>
    </bk>
    <bk>
      <rc t="2" v="18108"/>
    </bk>
    <bk>
      <rc t="2" v="18109"/>
    </bk>
    <bk>
      <rc t="2" v="18110"/>
    </bk>
    <bk>
      <rc t="2" v="18111"/>
    </bk>
    <bk>
      <rc t="2" v="18112"/>
    </bk>
    <bk>
      <rc t="2" v="18113"/>
    </bk>
    <bk>
      <rc t="2" v="18114"/>
    </bk>
    <bk>
      <rc t="2" v="18115"/>
    </bk>
    <bk>
      <rc t="2" v="18116"/>
    </bk>
    <bk>
      <rc t="2" v="18117"/>
    </bk>
    <bk>
      <rc t="2" v="18118"/>
    </bk>
    <bk>
      <rc t="2" v="18119"/>
    </bk>
    <bk>
      <rc t="2" v="18120"/>
    </bk>
    <bk>
      <rc t="2" v="18121"/>
    </bk>
    <bk>
      <rc t="2" v="18122"/>
    </bk>
    <bk>
      <rc t="2" v="18123"/>
    </bk>
    <bk>
      <rc t="2" v="18124"/>
    </bk>
    <bk>
      <rc t="2" v="18125"/>
    </bk>
    <bk>
      <rc t="2" v="18126"/>
    </bk>
    <bk>
      <rc t="2" v="18127"/>
    </bk>
    <bk>
      <rc t="2" v="18128"/>
    </bk>
    <bk>
      <rc t="2" v="18129"/>
    </bk>
    <bk>
      <rc t="2" v="18130"/>
    </bk>
    <bk>
      <rc t="2" v="18131"/>
    </bk>
    <bk>
      <rc t="2" v="18132"/>
    </bk>
    <bk>
      <rc t="2" v="18133"/>
    </bk>
    <bk>
      <rc t="2" v="18134"/>
    </bk>
    <bk>
      <rc t="2" v="18135"/>
    </bk>
    <bk>
      <rc t="2" v="18136"/>
    </bk>
    <bk>
      <rc t="2" v="18137"/>
    </bk>
    <bk>
      <rc t="2" v="18138"/>
    </bk>
    <bk>
      <rc t="2" v="18139"/>
    </bk>
    <bk>
      <rc t="2" v="18140"/>
    </bk>
    <bk>
      <rc t="2" v="18141"/>
    </bk>
    <bk>
      <rc t="2" v="18142"/>
    </bk>
    <bk>
      <rc t="2" v="18143"/>
    </bk>
    <bk>
      <rc t="2" v="18144"/>
    </bk>
    <bk>
      <rc t="2" v="18145"/>
    </bk>
    <bk>
      <rc t="2" v="18146"/>
    </bk>
    <bk>
      <rc t="2" v="18147"/>
    </bk>
    <bk>
      <rc t="2" v="18148"/>
    </bk>
    <bk>
      <rc t="2" v="18149"/>
    </bk>
    <bk>
      <rc t="2" v="18150"/>
    </bk>
    <bk>
      <rc t="2" v="18151"/>
    </bk>
    <bk>
      <rc t="2" v="18152"/>
    </bk>
    <bk>
      <rc t="2" v="18153"/>
    </bk>
    <bk>
      <rc t="2" v="18154"/>
    </bk>
    <bk>
      <rc t="2" v="18155"/>
    </bk>
    <bk>
      <rc t="2" v="18156"/>
    </bk>
    <bk>
      <rc t="2" v="18157"/>
    </bk>
    <bk>
      <rc t="2" v="18158"/>
    </bk>
    <bk>
      <rc t="2" v="18159"/>
    </bk>
    <bk>
      <rc t="2" v="18160"/>
    </bk>
    <bk>
      <rc t="2" v="18162"/>
    </bk>
    <bk>
      <rc t="2" v="18161"/>
    </bk>
    <bk>
      <rc t="2" v="18163"/>
    </bk>
    <bk>
      <rc t="2" v="18164"/>
    </bk>
    <bk>
      <rc t="2" v="18165"/>
    </bk>
    <bk>
      <rc t="2" v="18166"/>
    </bk>
    <bk>
      <rc t="2" v="18167"/>
    </bk>
    <bk>
      <rc t="2" v="18168"/>
    </bk>
    <bk>
      <rc t="2" v="18169"/>
    </bk>
    <bk>
      <rc t="2" v="18170"/>
    </bk>
    <bk>
      <rc t="2" v="18171"/>
    </bk>
    <bk>
      <rc t="2" v="18172"/>
    </bk>
    <bk>
      <rc t="2" v="18173"/>
    </bk>
    <bk>
      <rc t="2" v="18174"/>
    </bk>
    <bk>
      <rc t="2" v="18175"/>
    </bk>
    <bk>
      <rc t="2" v="18176"/>
    </bk>
    <bk>
      <rc t="2" v="18177"/>
    </bk>
    <bk>
      <rc t="2" v="18178"/>
    </bk>
    <bk>
      <rc t="2" v="18179"/>
    </bk>
    <bk>
      <rc t="2" v="18180"/>
    </bk>
    <bk>
      <rc t="2" v="18181"/>
    </bk>
    <bk>
      <rc t="2" v="18182"/>
    </bk>
    <bk>
      <rc t="2" v="18183"/>
    </bk>
    <bk>
      <rc t="2" v="18184"/>
    </bk>
    <bk>
      <rc t="2" v="18185"/>
    </bk>
    <bk>
      <rc t="2" v="18186"/>
    </bk>
    <bk>
      <rc t="2" v="18187"/>
    </bk>
    <bk>
      <rc t="2" v="18188"/>
    </bk>
    <bk>
      <rc t="2" v="18189"/>
    </bk>
    <bk>
      <rc t="2" v="18190"/>
    </bk>
    <bk>
      <rc t="2" v="18191"/>
    </bk>
    <bk>
      <rc t="2" v="18192"/>
    </bk>
    <bk>
      <rc t="2" v="18193"/>
    </bk>
    <bk>
      <rc t="2" v="18194"/>
    </bk>
    <bk>
      <rc t="2" v="18195"/>
    </bk>
    <bk>
      <rc t="2" v="18196"/>
    </bk>
    <bk>
      <rc t="2" v="18197"/>
    </bk>
    <bk>
      <rc t="2" v="18198"/>
    </bk>
    <bk>
      <rc t="2" v="18199"/>
    </bk>
    <bk>
      <rc t="2" v="18200"/>
    </bk>
    <bk>
      <rc t="2" v="18201"/>
    </bk>
    <bk>
      <rc t="2" v="18202"/>
    </bk>
    <bk>
      <rc t="2" v="18203"/>
    </bk>
    <bk>
      <rc t="2" v="18204"/>
    </bk>
    <bk>
      <rc t="2" v="18205"/>
    </bk>
    <bk>
      <rc t="2" v="18206"/>
    </bk>
    <bk>
      <rc t="2" v="18207"/>
    </bk>
    <bk>
      <rc t="2" v="18208"/>
    </bk>
    <bk>
      <rc t="2" v="18209"/>
    </bk>
    <bk>
      <rc t="2" v="18210"/>
    </bk>
    <bk>
      <rc t="2" v="18211"/>
    </bk>
    <bk>
      <rc t="2" v="18212"/>
    </bk>
    <bk>
      <rc t="2" v="18213"/>
    </bk>
    <bk>
      <rc t="2" v="18214"/>
    </bk>
    <bk>
      <rc t="2" v="18215"/>
    </bk>
    <bk>
      <rc t="2" v="18216"/>
    </bk>
    <bk>
      <rc t="2" v="18217"/>
    </bk>
    <bk>
      <rc t="2" v="18218"/>
    </bk>
    <bk>
      <rc t="2" v="18219"/>
    </bk>
    <bk>
      <rc t="2" v="18220"/>
    </bk>
    <bk>
      <rc t="2" v="18221"/>
    </bk>
    <bk>
      <rc t="2" v="18222"/>
    </bk>
    <bk>
      <rc t="2" v="18223"/>
    </bk>
    <bk>
      <rc t="2" v="18224"/>
    </bk>
    <bk>
      <rc t="2" v="18225"/>
    </bk>
    <bk>
      <rc t="2" v="18226"/>
    </bk>
    <bk>
      <rc t="2" v="18227"/>
    </bk>
    <bk>
      <rc t="2" v="18228"/>
    </bk>
    <bk>
      <rc t="2" v="18229"/>
    </bk>
    <bk>
      <rc t="2" v="18230"/>
    </bk>
    <bk>
      <rc t="2" v="18231"/>
    </bk>
    <bk>
      <rc t="2" v="18232"/>
    </bk>
    <bk>
      <rc t="2" v="18233"/>
    </bk>
    <bk>
      <rc t="2" v="18234"/>
    </bk>
    <bk>
      <rc t="2" v="18235"/>
    </bk>
    <bk>
      <rc t="2" v="18236"/>
    </bk>
    <bk>
      <rc t="2" v="18237"/>
    </bk>
    <bk>
      <rc t="2" v="18238"/>
    </bk>
    <bk>
      <rc t="2" v="18239"/>
    </bk>
    <bk>
      <rc t="2" v="18240"/>
    </bk>
    <bk>
      <rc t="2" v="18241"/>
    </bk>
    <bk>
      <rc t="2" v="18242"/>
    </bk>
    <bk>
      <rc t="2" v="18243"/>
    </bk>
    <bk>
      <rc t="2" v="18244"/>
    </bk>
    <bk>
      <rc t="2" v="18245"/>
    </bk>
    <bk>
      <rc t="2" v="18246"/>
    </bk>
    <bk>
      <rc t="2" v="18247"/>
    </bk>
    <bk>
      <rc t="2" v="18248"/>
    </bk>
    <bk>
      <rc t="2" v="18249"/>
    </bk>
    <bk>
      <rc t="2" v="18250"/>
    </bk>
    <bk>
      <rc t="2" v="18251"/>
    </bk>
    <bk>
      <rc t="2" v="18252"/>
    </bk>
    <bk>
      <rc t="2" v="18253"/>
    </bk>
    <bk>
      <rc t="2" v="18254"/>
    </bk>
    <bk>
      <rc t="2" v="18255"/>
    </bk>
    <bk>
      <rc t="2" v="18256"/>
    </bk>
    <bk>
      <rc t="2" v="18257"/>
    </bk>
    <bk>
      <rc t="2" v="18258"/>
    </bk>
    <bk>
      <rc t="2" v="18259"/>
    </bk>
    <bk>
      <rc t="2" v="18260"/>
    </bk>
    <bk>
      <rc t="2" v="18261"/>
    </bk>
    <bk>
      <rc t="2" v="18262"/>
    </bk>
    <bk>
      <rc t="2" v="18263"/>
    </bk>
    <bk>
      <rc t="2" v="18264"/>
    </bk>
    <bk>
      <rc t="2" v="18265"/>
    </bk>
    <bk>
      <rc t="2" v="18266"/>
    </bk>
    <bk>
      <rc t="2" v="18267"/>
    </bk>
    <bk>
      <rc t="2" v="18268"/>
    </bk>
    <bk>
      <rc t="2" v="18269"/>
    </bk>
    <bk>
      <rc t="2" v="18270"/>
    </bk>
    <bk>
      <rc t="2" v="18271"/>
    </bk>
    <bk>
      <rc t="2" v="18272"/>
    </bk>
    <bk>
      <rc t="2" v="18273"/>
    </bk>
    <bk>
      <rc t="2" v="18274"/>
    </bk>
    <bk>
      <rc t="2" v="18275"/>
    </bk>
    <bk>
      <rc t="2" v="18276"/>
    </bk>
    <bk>
      <rc t="2" v="18277"/>
    </bk>
    <bk>
      <rc t="2" v="18278"/>
    </bk>
    <bk>
      <rc t="2" v="18279"/>
    </bk>
    <bk>
      <rc t="2" v="18280"/>
    </bk>
    <bk>
      <rc t="2" v="18281"/>
    </bk>
    <bk>
      <rc t="2" v="18282"/>
    </bk>
    <bk>
      <rc t="2" v="18283"/>
    </bk>
    <bk>
      <rc t="2" v="18284"/>
    </bk>
    <bk>
      <rc t="2" v="18285"/>
    </bk>
    <bk>
      <rc t="2" v="18286"/>
    </bk>
    <bk>
      <rc t="2" v="18287"/>
    </bk>
    <bk>
      <rc t="2" v="18288"/>
    </bk>
    <bk>
      <rc t="2" v="18289"/>
    </bk>
    <bk>
      <rc t="2" v="18290"/>
    </bk>
    <bk>
      <rc t="2" v="18291"/>
    </bk>
    <bk>
      <rc t="2" v="18292"/>
    </bk>
    <bk>
      <rc t="2" v="18293"/>
    </bk>
    <bk>
      <rc t="2" v="18294"/>
    </bk>
    <bk>
      <rc t="2" v="18295"/>
    </bk>
    <bk>
      <rc t="2" v="18296"/>
    </bk>
    <bk>
      <rc t="2" v="18297"/>
    </bk>
    <bk>
      <rc t="2" v="18298"/>
    </bk>
    <bk>
      <rc t="2" v="18299"/>
    </bk>
    <bk>
      <rc t="2" v="18300"/>
    </bk>
    <bk>
      <rc t="2" v="18301"/>
    </bk>
    <bk>
      <rc t="2" v="18302"/>
    </bk>
    <bk>
      <rc t="2" v="18303"/>
    </bk>
    <bk>
      <rc t="2" v="18304"/>
    </bk>
    <bk>
      <rc t="2" v="18305"/>
    </bk>
    <bk>
      <rc t="2" v="18306"/>
    </bk>
    <bk>
      <rc t="2" v="18307"/>
    </bk>
    <bk>
      <rc t="2" v="18308"/>
    </bk>
    <bk>
      <rc t="2" v="18309"/>
    </bk>
    <bk>
      <rc t="2" v="18310"/>
    </bk>
    <bk>
      <rc t="2" v="18311"/>
    </bk>
    <bk>
      <rc t="2" v="18312"/>
    </bk>
    <bk>
      <rc t="2" v="18313"/>
    </bk>
    <bk>
      <rc t="2" v="18314"/>
    </bk>
    <bk>
      <rc t="2" v="18315"/>
    </bk>
    <bk>
      <rc t="2" v="18316"/>
    </bk>
    <bk>
      <rc t="2" v="18317"/>
    </bk>
    <bk>
      <rc t="2" v="18318"/>
    </bk>
    <bk>
      <rc t="2" v="18319"/>
    </bk>
    <bk>
      <rc t="2" v="18320"/>
    </bk>
    <bk>
      <rc t="2" v="18321"/>
    </bk>
    <bk>
      <rc t="2" v="18322"/>
    </bk>
    <bk>
      <rc t="2" v="18323"/>
    </bk>
    <bk>
      <rc t="2" v="18324"/>
    </bk>
    <bk>
      <rc t="2" v="18325"/>
    </bk>
    <bk>
      <rc t="2" v="18326"/>
    </bk>
    <bk>
      <rc t="2" v="18327"/>
    </bk>
    <bk>
      <rc t="2" v="18328"/>
    </bk>
    <bk>
      <rc t="2" v="18329"/>
    </bk>
    <bk>
      <rc t="2" v="18330"/>
    </bk>
    <bk>
      <rc t="2" v="18331"/>
    </bk>
    <bk>
      <rc t="2" v="18332"/>
    </bk>
    <bk>
      <rc t="2" v="18333"/>
    </bk>
    <bk>
      <rc t="2" v="18334"/>
    </bk>
    <bk>
      <rc t="2" v="18335"/>
    </bk>
    <bk>
      <rc t="2" v="18336"/>
    </bk>
    <bk>
      <rc t="2" v="18337"/>
    </bk>
    <bk>
      <rc t="2" v="18338"/>
    </bk>
    <bk>
      <rc t="2" v="18339"/>
    </bk>
    <bk>
      <rc t="2" v="18340"/>
    </bk>
    <bk>
      <rc t="2" v="18341"/>
    </bk>
    <bk>
      <rc t="2" v="18342"/>
    </bk>
    <bk>
      <rc t="2" v="18343"/>
    </bk>
    <bk>
      <rc t="2" v="18344"/>
    </bk>
    <bk>
      <rc t="2" v="18345"/>
    </bk>
    <bk>
      <rc t="2" v="18346"/>
    </bk>
    <bk>
      <rc t="2" v="18347"/>
    </bk>
    <bk>
      <rc t="2" v="18348"/>
    </bk>
    <bk>
      <rc t="2" v="18349"/>
    </bk>
    <bk>
      <rc t="2" v="18350"/>
    </bk>
    <bk>
      <rc t="2" v="18351"/>
    </bk>
    <bk>
      <rc t="2" v="18352"/>
    </bk>
    <bk>
      <rc t="2" v="18353"/>
    </bk>
    <bk>
      <rc t="2" v="18354"/>
    </bk>
    <bk>
      <rc t="2" v="18355"/>
    </bk>
    <bk>
      <rc t="2" v="18356"/>
    </bk>
    <bk>
      <rc t="2" v="18357"/>
    </bk>
    <bk>
      <rc t="2" v="18358"/>
    </bk>
    <bk>
      <rc t="2" v="18359"/>
    </bk>
    <bk>
      <rc t="2" v="18360"/>
    </bk>
    <bk>
      <rc t="2" v="18361"/>
    </bk>
    <bk>
      <rc t="2" v="18362"/>
    </bk>
    <bk>
      <rc t="2" v="18363"/>
    </bk>
    <bk>
      <rc t="2" v="18364"/>
    </bk>
    <bk>
      <rc t="2" v="18365"/>
    </bk>
    <bk>
      <rc t="2" v="18366"/>
    </bk>
    <bk>
      <rc t="2" v="18367"/>
    </bk>
    <bk>
      <rc t="2" v="18368"/>
    </bk>
    <bk>
      <rc t="2" v="18369"/>
    </bk>
    <bk>
      <rc t="2" v="18370"/>
    </bk>
    <bk>
      <rc t="2" v="18371"/>
    </bk>
    <bk>
      <rc t="2" v="18372"/>
    </bk>
    <bk>
      <rc t="2" v="18373"/>
    </bk>
    <bk>
      <rc t="2" v="18374"/>
    </bk>
    <bk>
      <rc t="2" v="18375"/>
    </bk>
    <bk>
      <rc t="2" v="18376"/>
    </bk>
    <bk>
      <rc t="2" v="18377"/>
    </bk>
    <bk>
      <rc t="2" v="18378"/>
    </bk>
    <bk>
      <rc t="2" v="18379"/>
    </bk>
    <bk>
      <rc t="2" v="18380"/>
    </bk>
    <bk>
      <rc t="2" v="18381"/>
    </bk>
    <bk>
      <rc t="2" v="18382"/>
    </bk>
    <bk>
      <rc t="2" v="18383"/>
    </bk>
    <bk>
      <rc t="2" v="18384"/>
    </bk>
    <bk>
      <rc t="2" v="18385"/>
    </bk>
    <bk>
      <rc t="2" v="18386"/>
    </bk>
    <bk>
      <rc t="2" v="18387"/>
    </bk>
    <bk>
      <rc t="2" v="18388"/>
    </bk>
    <bk>
      <rc t="2" v="18389"/>
    </bk>
    <bk>
      <rc t="2" v="18390"/>
    </bk>
    <bk>
      <rc t="2" v="18391"/>
    </bk>
    <bk>
      <rc t="2" v="18392"/>
    </bk>
    <bk>
      <rc t="2" v="18393"/>
    </bk>
    <bk>
      <rc t="2" v="18394"/>
    </bk>
    <bk>
      <rc t="2" v="18395"/>
    </bk>
    <bk>
      <rc t="2" v="18396"/>
    </bk>
    <bk>
      <rc t="2" v="18397"/>
    </bk>
    <bk>
      <rc t="2" v="18398"/>
    </bk>
    <bk>
      <rc t="2" v="18399"/>
    </bk>
    <bk>
      <rc t="2" v="18400"/>
    </bk>
    <bk>
      <rc t="2" v="18401"/>
    </bk>
    <bk>
      <rc t="2" v="18402"/>
    </bk>
    <bk>
      <rc t="2" v="18403"/>
    </bk>
    <bk>
      <rc t="2" v="18404"/>
    </bk>
    <bk>
      <rc t="2" v="18405"/>
    </bk>
    <bk>
      <rc t="2" v="18406"/>
    </bk>
    <bk>
      <rc t="2" v="18407"/>
    </bk>
    <bk>
      <rc t="2" v="18408"/>
    </bk>
    <bk>
      <rc t="2" v="18409"/>
    </bk>
    <bk>
      <rc t="2" v="18410"/>
    </bk>
    <bk>
      <rc t="2" v="18411"/>
    </bk>
    <bk>
      <rc t="2" v="18412"/>
    </bk>
    <bk>
      <rc t="2" v="18413"/>
    </bk>
    <bk>
      <rc t="2" v="18414"/>
    </bk>
    <bk>
      <rc t="2" v="18415"/>
    </bk>
    <bk>
      <rc t="2" v="18416"/>
    </bk>
    <bk>
      <rc t="2" v="18417"/>
    </bk>
    <bk>
      <rc t="2" v="18418"/>
    </bk>
    <bk>
      <rc t="2" v="18419"/>
    </bk>
    <bk>
      <rc t="2" v="18420"/>
    </bk>
    <bk>
      <rc t="2" v="18421"/>
    </bk>
    <bk>
      <rc t="2" v="18422"/>
    </bk>
    <bk>
      <rc t="2" v="18423"/>
    </bk>
    <bk>
      <rc t="2" v="18424"/>
    </bk>
    <bk>
      <rc t="2" v="18425"/>
    </bk>
    <bk>
      <rc t="2" v="18426"/>
    </bk>
    <bk>
      <rc t="2" v="18427"/>
    </bk>
    <bk>
      <rc t="2" v="18428"/>
    </bk>
    <bk>
      <rc t="2" v="18429"/>
    </bk>
    <bk>
      <rc t="2" v="18430"/>
    </bk>
    <bk>
      <rc t="2" v="18431"/>
    </bk>
    <bk>
      <rc t="2" v="18432"/>
    </bk>
    <bk>
      <rc t="2" v="18433"/>
    </bk>
    <bk>
      <rc t="2" v="18434"/>
    </bk>
    <bk>
      <rc t="2" v="18435"/>
    </bk>
    <bk>
      <rc t="2" v="18436"/>
    </bk>
    <bk>
      <rc t="2" v="18437"/>
    </bk>
    <bk>
      <rc t="2" v="18438"/>
    </bk>
    <bk>
      <rc t="2" v="18439"/>
    </bk>
    <bk>
      <rc t="2" v="18440"/>
    </bk>
    <bk>
      <rc t="2" v="18441"/>
    </bk>
    <bk>
      <rc t="2" v="18442"/>
    </bk>
    <bk>
      <rc t="2" v="18443"/>
    </bk>
    <bk>
      <rc t="2" v="18444"/>
    </bk>
    <bk>
      <rc t="2" v="18445"/>
    </bk>
    <bk>
      <rc t="2" v="18446"/>
    </bk>
    <bk>
      <rc t="2" v="18447"/>
    </bk>
    <bk>
      <rc t="2" v="18448"/>
    </bk>
    <bk>
      <rc t="2" v="18449"/>
    </bk>
    <bk>
      <rc t="2" v="18450"/>
    </bk>
    <bk>
      <rc t="2" v="18451"/>
    </bk>
    <bk>
      <rc t="2" v="18452"/>
    </bk>
    <bk>
      <rc t="2" v="18453"/>
    </bk>
    <bk>
      <rc t="2" v="18454"/>
    </bk>
    <bk>
      <rc t="2" v="18455"/>
    </bk>
    <bk>
      <rc t="2" v="18456"/>
    </bk>
    <bk>
      <rc t="2" v="18457"/>
    </bk>
    <bk>
      <rc t="2" v="18458"/>
    </bk>
    <bk>
      <rc t="2" v="18459"/>
    </bk>
    <bk>
      <rc t="2" v="18460"/>
    </bk>
    <bk>
      <rc t="2" v="18461"/>
    </bk>
    <bk>
      <rc t="2" v="18462"/>
    </bk>
    <bk>
      <rc t="2" v="18463"/>
    </bk>
    <bk>
      <rc t="2" v="18464"/>
    </bk>
    <bk>
      <rc t="2" v="18465"/>
    </bk>
    <bk>
      <rc t="2" v="18466"/>
    </bk>
    <bk>
      <rc t="2" v="18467"/>
    </bk>
    <bk>
      <rc t="2" v="18468"/>
    </bk>
    <bk>
      <rc t="2" v="18469"/>
    </bk>
    <bk>
      <rc t="2" v="18470"/>
    </bk>
    <bk>
      <rc t="2" v="18471"/>
    </bk>
    <bk>
      <rc t="2" v="18472"/>
    </bk>
    <bk>
      <rc t="2" v="18473"/>
    </bk>
    <bk>
      <rc t="2" v="18474"/>
    </bk>
    <bk>
      <rc t="2" v="18475"/>
    </bk>
    <bk>
      <rc t="2" v="18476"/>
    </bk>
    <bk>
      <rc t="2" v="18477"/>
    </bk>
    <bk>
      <rc t="2" v="18478"/>
    </bk>
    <bk>
      <rc t="2" v="18479"/>
    </bk>
    <bk>
      <rc t="2" v="18480"/>
    </bk>
    <bk>
      <rc t="2" v="18481"/>
    </bk>
    <bk>
      <rc t="2" v="18482"/>
    </bk>
    <bk>
      <rc t="2" v="18483"/>
    </bk>
    <bk>
      <rc t="2" v="18484"/>
    </bk>
    <bk>
      <rc t="2" v="18485"/>
    </bk>
    <bk>
      <rc t="2" v="18486"/>
    </bk>
    <bk>
      <rc t="2" v="18487"/>
    </bk>
    <bk>
      <rc t="2" v="18488"/>
    </bk>
    <bk>
      <rc t="2" v="18489"/>
    </bk>
    <bk>
      <rc t="2" v="18490"/>
    </bk>
    <bk>
      <rc t="2" v="18491"/>
    </bk>
    <bk>
      <rc t="2" v="18492"/>
    </bk>
    <bk>
      <rc t="2" v="18493"/>
    </bk>
    <bk>
      <rc t="2" v="18494"/>
    </bk>
    <bk>
      <rc t="2" v="18495"/>
    </bk>
    <bk>
      <rc t="2" v="18496"/>
    </bk>
    <bk>
      <rc t="2" v="18497"/>
    </bk>
    <bk>
      <rc t="2" v="18498"/>
    </bk>
    <bk>
      <rc t="2" v="18499"/>
    </bk>
    <bk>
      <rc t="2" v="18500"/>
    </bk>
    <bk>
      <rc t="2" v="18501"/>
    </bk>
    <bk>
      <rc t="2" v="18502"/>
    </bk>
    <bk>
      <rc t="2" v="18503"/>
    </bk>
    <bk>
      <rc t="2" v="18504"/>
    </bk>
    <bk>
      <rc t="2" v="18505"/>
    </bk>
    <bk>
      <rc t="2" v="18506"/>
    </bk>
    <bk>
      <rc t="2" v="18507"/>
    </bk>
    <bk>
      <rc t="2" v="18508"/>
    </bk>
    <bk>
      <rc t="2" v="18509"/>
    </bk>
    <bk>
      <rc t="2" v="18510"/>
    </bk>
    <bk>
      <rc t="2" v="18511"/>
    </bk>
    <bk>
      <rc t="2" v="18512"/>
    </bk>
    <bk>
      <rc t="2" v="18513"/>
    </bk>
    <bk>
      <rc t="2" v="18514"/>
    </bk>
    <bk>
      <rc t="2" v="18515"/>
    </bk>
    <bk>
      <rc t="2" v="18516"/>
    </bk>
    <bk>
      <rc t="2" v="18517"/>
    </bk>
    <bk>
      <rc t="2" v="18518"/>
    </bk>
    <bk>
      <rc t="2" v="18519"/>
    </bk>
    <bk>
      <rc t="2" v="18520"/>
    </bk>
    <bk>
      <rc t="2" v="18521"/>
    </bk>
    <bk>
      <rc t="2" v="18522"/>
    </bk>
    <bk>
      <rc t="2" v="18523"/>
    </bk>
    <bk>
      <rc t="2" v="18524"/>
    </bk>
    <bk>
      <rc t="2" v="18525"/>
    </bk>
    <bk>
      <rc t="2" v="18526"/>
    </bk>
    <bk>
      <rc t="2" v="18527"/>
    </bk>
    <bk>
      <rc t="2" v="18528"/>
    </bk>
    <bk>
      <rc t="2" v="18529"/>
    </bk>
    <bk>
      <rc t="2" v="18530"/>
    </bk>
    <bk>
      <rc t="2" v="18531"/>
    </bk>
    <bk>
      <rc t="2" v="18532"/>
    </bk>
    <bk>
      <rc t="2" v="18533"/>
    </bk>
    <bk>
      <rc t="2" v="18534"/>
    </bk>
    <bk>
      <rc t="2" v="18535"/>
    </bk>
    <bk>
      <rc t="2" v="18536"/>
    </bk>
    <bk>
      <rc t="2" v="18537"/>
    </bk>
    <bk>
      <rc t="2" v="18538"/>
    </bk>
    <bk>
      <rc t="2" v="18539"/>
    </bk>
    <bk>
      <rc t="2" v="18540"/>
    </bk>
    <bk>
      <rc t="2" v="18541"/>
    </bk>
    <bk>
      <rc t="2" v="18542"/>
    </bk>
    <bk>
      <rc t="2" v="18543"/>
    </bk>
    <bk>
      <rc t="2" v="18544"/>
    </bk>
    <bk>
      <rc t="2" v="18545"/>
    </bk>
    <bk>
      <rc t="2" v="18546"/>
    </bk>
    <bk>
      <rc t="2" v="18547"/>
    </bk>
    <bk>
      <rc t="2" v="18548"/>
    </bk>
    <bk>
      <rc t="2" v="18549"/>
    </bk>
    <bk>
      <rc t="2" v="18550"/>
    </bk>
    <bk>
      <rc t="2" v="18551"/>
    </bk>
    <bk>
      <rc t="2" v="18552"/>
    </bk>
    <bk>
      <rc t="2" v="18553"/>
    </bk>
    <bk>
      <rc t="2" v="18554"/>
    </bk>
    <bk>
      <rc t="2" v="18555"/>
    </bk>
    <bk>
      <rc t="2" v="18556"/>
    </bk>
    <bk>
      <rc t="2" v="18557"/>
    </bk>
    <bk>
      <rc t="2" v="18558"/>
    </bk>
    <bk>
      <rc t="2" v="18559"/>
    </bk>
    <bk>
      <rc t="2" v="18560"/>
    </bk>
    <bk>
      <rc t="2" v="18561"/>
    </bk>
    <bk>
      <rc t="2" v="18562"/>
    </bk>
    <bk>
      <rc t="2" v="18563"/>
    </bk>
    <bk>
      <rc t="2" v="18564"/>
    </bk>
    <bk>
      <rc t="2" v="18565"/>
    </bk>
    <bk>
      <rc t="2" v="18566"/>
    </bk>
    <bk>
      <rc t="2" v="18567"/>
    </bk>
    <bk>
      <rc t="2" v="18568"/>
    </bk>
    <bk>
      <rc t="2" v="18569"/>
    </bk>
    <bk>
      <rc t="2" v="18570"/>
    </bk>
    <bk>
      <rc t="2" v="18571"/>
    </bk>
    <bk>
      <rc t="2" v="18572"/>
    </bk>
    <bk>
      <rc t="2" v="18573"/>
    </bk>
    <bk>
      <rc t="2" v="18574"/>
    </bk>
    <bk>
      <rc t="2" v="18575"/>
    </bk>
    <bk>
      <rc t="2" v="18576"/>
    </bk>
    <bk>
      <rc t="2" v="18577"/>
    </bk>
    <bk>
      <rc t="2" v="18578"/>
    </bk>
    <bk>
      <rc t="2" v="18579"/>
    </bk>
    <bk>
      <rc t="2" v="18580"/>
    </bk>
    <bk>
      <rc t="2" v="18581"/>
    </bk>
    <bk>
      <rc t="2" v="18582"/>
    </bk>
    <bk>
      <rc t="2" v="18583"/>
    </bk>
    <bk>
      <rc t="2" v="18584"/>
    </bk>
    <bk>
      <rc t="2" v="18585"/>
    </bk>
    <bk>
      <rc t="2" v="18586"/>
    </bk>
    <bk>
      <rc t="2" v="18587"/>
    </bk>
    <bk>
      <rc t="2" v="18588"/>
    </bk>
    <bk>
      <rc t="2" v="18589"/>
    </bk>
    <bk>
      <rc t="2" v="18590"/>
    </bk>
    <bk>
      <rc t="2" v="18591"/>
    </bk>
    <bk>
      <rc t="2" v="18592"/>
    </bk>
    <bk>
      <rc t="2" v="18593"/>
    </bk>
    <bk>
      <rc t="2" v="18594"/>
    </bk>
    <bk>
      <rc t="2" v="18595"/>
    </bk>
    <bk>
      <rc t="2" v="18596"/>
    </bk>
    <bk>
      <rc t="2" v="18597"/>
    </bk>
    <bk>
      <rc t="2" v="18598"/>
    </bk>
    <bk>
      <rc t="2" v="18599"/>
    </bk>
    <bk>
      <rc t="2" v="18600"/>
    </bk>
    <bk>
      <rc t="2" v="18601"/>
    </bk>
    <bk>
      <rc t="2" v="18602"/>
    </bk>
    <bk>
      <rc t="2" v="18603"/>
    </bk>
    <bk>
      <rc t="2" v="18604"/>
    </bk>
    <bk>
      <rc t="2" v="18605"/>
    </bk>
    <bk>
      <rc t="2" v="18606"/>
    </bk>
    <bk>
      <rc t="2" v="18607"/>
    </bk>
    <bk>
      <rc t="2" v="18608"/>
    </bk>
    <bk>
      <rc t="2" v="18609"/>
    </bk>
    <bk>
      <rc t="2" v="18610"/>
    </bk>
    <bk>
      <rc t="2" v="18611"/>
    </bk>
    <bk>
      <rc t="2" v="18612"/>
    </bk>
    <bk>
      <rc t="2" v="18613"/>
    </bk>
    <bk>
      <rc t="2" v="18614"/>
    </bk>
    <bk>
      <rc t="2" v="18615"/>
    </bk>
    <bk>
      <rc t="2" v="18616"/>
    </bk>
    <bk>
      <rc t="2" v="18617"/>
    </bk>
    <bk>
      <rc t="2" v="18618"/>
    </bk>
    <bk>
      <rc t="2" v="18619"/>
    </bk>
    <bk>
      <rc t="2" v="18620"/>
    </bk>
    <bk>
      <rc t="2" v="18621"/>
    </bk>
    <bk>
      <rc t="2" v="18622"/>
    </bk>
    <bk>
      <rc t="2" v="18623"/>
    </bk>
    <bk>
      <rc t="2" v="18624"/>
    </bk>
    <bk>
      <rc t="2" v="18625"/>
    </bk>
    <bk>
      <rc t="2" v="18626"/>
    </bk>
    <bk>
      <rc t="2" v="18627"/>
    </bk>
    <bk>
      <rc t="2" v="18628"/>
    </bk>
    <bk>
      <rc t="2" v="18629"/>
    </bk>
    <bk>
      <rc t="2" v="18630"/>
    </bk>
    <bk>
      <rc t="2" v="18631"/>
    </bk>
    <bk>
      <rc t="2" v="18632"/>
    </bk>
    <bk>
      <rc t="2" v="18633"/>
    </bk>
    <bk>
      <rc t="2" v="18634"/>
    </bk>
    <bk>
      <rc t="2" v="18635"/>
    </bk>
    <bk>
      <rc t="2" v="18636"/>
    </bk>
    <bk>
      <rc t="2" v="18637"/>
    </bk>
    <bk>
      <rc t="2" v="18638"/>
    </bk>
    <bk>
      <rc t="2" v="18639"/>
    </bk>
    <bk>
      <rc t="2" v="18640"/>
    </bk>
    <bk>
      <rc t="2" v="18641"/>
    </bk>
    <bk>
      <rc t="2" v="18642"/>
    </bk>
    <bk>
      <rc t="2" v="18643"/>
    </bk>
    <bk>
      <rc t="2" v="18644"/>
    </bk>
    <bk>
      <rc t="2" v="18645"/>
    </bk>
    <bk>
      <rc t="2" v="18646"/>
    </bk>
    <bk>
      <rc t="2" v="18647"/>
    </bk>
    <bk>
      <rc t="2" v="18648"/>
    </bk>
    <bk>
      <rc t="2" v="18649"/>
    </bk>
    <bk>
      <rc t="2" v="18650"/>
    </bk>
    <bk>
      <rc t="2" v="18651"/>
    </bk>
    <bk>
      <rc t="2" v="18652"/>
    </bk>
    <bk>
      <rc t="2" v="18653"/>
    </bk>
    <bk>
      <rc t="2" v="18654"/>
    </bk>
    <bk>
      <rc t="2" v="18655"/>
    </bk>
    <bk>
      <rc t="2" v="18656"/>
    </bk>
    <bk>
      <rc t="2" v="18657"/>
    </bk>
    <bk>
      <rc t="2" v="18658"/>
    </bk>
    <bk>
      <rc t="2" v="18659"/>
    </bk>
    <bk>
      <rc t="2" v="18660"/>
    </bk>
    <bk>
      <rc t="2" v="18661"/>
    </bk>
    <bk>
      <rc t="2" v="18662"/>
    </bk>
    <bk>
      <rc t="2" v="18663"/>
    </bk>
    <bk>
      <rc t="2" v="18664"/>
    </bk>
    <bk>
      <rc t="2" v="18665"/>
    </bk>
    <bk>
      <rc t="2" v="18666"/>
    </bk>
    <bk>
      <rc t="2" v="18667"/>
    </bk>
    <bk>
      <rc t="2" v="18668"/>
    </bk>
    <bk>
      <rc t="2" v="18669"/>
    </bk>
    <bk>
      <rc t="2" v="18670"/>
    </bk>
    <bk>
      <rc t="2" v="18671"/>
    </bk>
    <bk>
      <rc t="2" v="18672"/>
    </bk>
    <bk>
      <rc t="2" v="18673"/>
    </bk>
    <bk>
      <rc t="2" v="18674"/>
    </bk>
    <bk>
      <rc t="2" v="18675"/>
    </bk>
    <bk>
      <rc t="2" v="18676"/>
    </bk>
    <bk>
      <rc t="2" v="18677"/>
    </bk>
    <bk>
      <rc t="2" v="18678"/>
    </bk>
    <bk>
      <rc t="2" v="18679"/>
    </bk>
    <bk>
      <rc t="2" v="18680"/>
    </bk>
    <bk>
      <rc t="2" v="18681"/>
    </bk>
    <bk>
      <rc t="2" v="18682"/>
    </bk>
    <bk>
      <rc t="2" v="18683"/>
    </bk>
    <bk>
      <rc t="2" v="18684"/>
    </bk>
    <bk>
      <rc t="2" v="18685"/>
    </bk>
    <bk>
      <rc t="2" v="18686"/>
    </bk>
    <bk>
      <rc t="2" v="18687"/>
    </bk>
    <bk>
      <rc t="2" v="18688"/>
    </bk>
    <bk>
      <rc t="2" v="18689"/>
    </bk>
    <bk>
      <rc t="2" v="18690"/>
    </bk>
    <bk>
      <rc t="2" v="18691"/>
    </bk>
    <bk>
      <rc t="2" v="18692"/>
    </bk>
    <bk>
      <rc t="2" v="18693"/>
    </bk>
    <bk>
      <rc t="2" v="18694"/>
    </bk>
    <bk>
      <rc t="2" v="18695"/>
    </bk>
    <bk>
      <rc t="2" v="18696"/>
    </bk>
    <bk>
      <rc t="2" v="18697"/>
    </bk>
    <bk>
      <rc t="2" v="18698"/>
    </bk>
    <bk>
      <rc t="2" v="18699"/>
    </bk>
    <bk>
      <rc t="2" v="18700"/>
    </bk>
    <bk>
      <rc t="2" v="18701"/>
    </bk>
    <bk>
      <rc t="2" v="18702"/>
    </bk>
    <bk>
      <rc t="2" v="18703"/>
    </bk>
    <bk>
      <rc t="2" v="18704"/>
    </bk>
    <bk>
      <rc t="2" v="18705"/>
    </bk>
    <bk>
      <rc t="2" v="18706"/>
    </bk>
    <bk>
      <rc t="2" v="18707"/>
    </bk>
    <bk>
      <rc t="2" v="18708"/>
    </bk>
    <bk>
      <rc t="2" v="18709"/>
    </bk>
    <bk>
      <rc t="2" v="18710"/>
    </bk>
    <bk>
      <rc t="2" v="18711"/>
    </bk>
    <bk>
      <rc t="2" v="18712"/>
    </bk>
    <bk>
      <rc t="2" v="18713"/>
    </bk>
    <bk>
      <rc t="2" v="18714"/>
    </bk>
    <bk>
      <rc t="2" v="18715"/>
    </bk>
    <bk>
      <rc t="2" v="18716"/>
    </bk>
    <bk>
      <rc t="2" v="18717"/>
    </bk>
    <bk>
      <rc t="2" v="18718"/>
    </bk>
    <bk>
      <rc t="2" v="18719"/>
    </bk>
    <bk>
      <rc t="2" v="18720"/>
    </bk>
    <bk>
      <rc t="2" v="18721"/>
    </bk>
    <bk>
      <rc t="2" v="18722"/>
    </bk>
    <bk>
      <rc t="2" v="18723"/>
    </bk>
    <bk>
      <rc t="2" v="18724"/>
    </bk>
    <bk>
      <rc t="2" v="18725"/>
    </bk>
    <bk>
      <rc t="2" v="18726"/>
    </bk>
    <bk>
      <rc t="2" v="18727"/>
    </bk>
    <bk>
      <rc t="2" v="18728"/>
    </bk>
    <bk>
      <rc t="2" v="18729"/>
    </bk>
    <bk>
      <rc t="2" v="18730"/>
    </bk>
    <bk>
      <rc t="2" v="18731"/>
    </bk>
    <bk>
      <rc t="2" v="18732"/>
    </bk>
    <bk>
      <rc t="2" v="18733"/>
    </bk>
    <bk>
      <rc t="2" v="18734"/>
    </bk>
    <bk>
      <rc t="2" v="18735"/>
    </bk>
    <bk>
      <rc t="2" v="18736"/>
    </bk>
    <bk>
      <rc t="2" v="18737"/>
    </bk>
    <bk>
      <rc t="2" v="18738"/>
    </bk>
    <bk>
      <rc t="2" v="18739"/>
    </bk>
    <bk>
      <rc t="2" v="18740"/>
    </bk>
    <bk>
      <rc t="2" v="18741"/>
    </bk>
    <bk>
      <rc t="2" v="18742"/>
    </bk>
    <bk>
      <rc t="2" v="18743"/>
    </bk>
    <bk>
      <rc t="2" v="18744"/>
    </bk>
    <bk>
      <rc t="2" v="18745"/>
    </bk>
    <bk>
      <rc t="2" v="18746"/>
    </bk>
    <bk>
      <rc t="2" v="18747"/>
    </bk>
    <bk>
      <rc t="2" v="18748"/>
    </bk>
    <bk>
      <rc t="2" v="18749"/>
    </bk>
    <bk>
      <rc t="2" v="18750"/>
    </bk>
    <bk>
      <rc t="2" v="18751"/>
    </bk>
    <bk>
      <rc t="2" v="18752"/>
    </bk>
    <bk>
      <rc t="2" v="18753"/>
    </bk>
    <bk>
      <rc t="2" v="18754"/>
    </bk>
    <bk>
      <rc t="2" v="18755"/>
    </bk>
    <bk>
      <rc t="2" v="18756"/>
    </bk>
    <bk>
      <rc t="2" v="18757"/>
    </bk>
    <bk>
      <rc t="2" v="18758"/>
    </bk>
    <bk>
      <rc t="2" v="18759"/>
    </bk>
    <bk>
      <rc t="2" v="18760"/>
    </bk>
    <bk>
      <rc t="2" v="18761"/>
    </bk>
    <bk>
      <rc t="2" v="18762"/>
    </bk>
    <bk>
      <rc t="2" v="18763"/>
    </bk>
    <bk>
      <rc t="2" v="18764"/>
    </bk>
    <bk>
      <rc t="2" v="18765"/>
    </bk>
    <bk>
      <rc t="2" v="18766"/>
    </bk>
    <bk>
      <rc t="2" v="18767"/>
    </bk>
    <bk>
      <rc t="2" v="18768"/>
    </bk>
    <bk>
      <rc t="2" v="18769"/>
    </bk>
    <bk>
      <rc t="2" v="18770"/>
    </bk>
    <bk>
      <rc t="2" v="18771"/>
    </bk>
    <bk>
      <rc t="2" v="18772"/>
    </bk>
    <bk>
      <rc t="2" v="18773"/>
    </bk>
    <bk>
      <rc t="2" v="18774"/>
    </bk>
    <bk>
      <rc t="2" v="18775"/>
    </bk>
    <bk>
      <rc t="2" v="18776"/>
    </bk>
    <bk>
      <rc t="2" v="18777"/>
    </bk>
    <bk>
      <rc t="2" v="18778"/>
    </bk>
    <bk>
      <rc t="2" v="18779"/>
    </bk>
    <bk>
      <rc t="2" v="18780"/>
    </bk>
    <bk>
      <rc t="2" v="18781"/>
    </bk>
    <bk>
      <rc t="2" v="18782"/>
    </bk>
    <bk>
      <rc t="2" v="18783"/>
    </bk>
    <bk>
      <rc t="2" v="18784"/>
    </bk>
    <bk>
      <rc t="2" v="18785"/>
    </bk>
    <bk>
      <rc t="2" v="18786"/>
    </bk>
    <bk>
      <rc t="2" v="18787"/>
    </bk>
    <bk>
      <rc t="2" v="18788"/>
    </bk>
    <bk>
      <rc t="2" v="18789"/>
    </bk>
    <bk>
      <rc t="2" v="18790"/>
    </bk>
    <bk>
      <rc t="2" v="18791"/>
    </bk>
    <bk>
      <rc t="2" v="18792"/>
    </bk>
    <bk>
      <rc t="2" v="18793"/>
    </bk>
    <bk>
      <rc t="2" v="18794"/>
    </bk>
    <bk>
      <rc t="2" v="18795"/>
    </bk>
    <bk>
      <rc t="2" v="18796"/>
    </bk>
    <bk>
      <rc t="2" v="18797"/>
    </bk>
    <bk>
      <rc t="2" v="18798"/>
    </bk>
    <bk>
      <rc t="2" v="18799"/>
    </bk>
    <bk>
      <rc t="2" v="18800"/>
    </bk>
    <bk>
      <rc t="2" v="18801"/>
    </bk>
    <bk>
      <rc t="2" v="18802"/>
    </bk>
    <bk>
      <rc t="2" v="18803"/>
    </bk>
    <bk>
      <rc t="2" v="18804"/>
    </bk>
    <bk>
      <rc t="2" v="18805"/>
    </bk>
    <bk>
      <rc t="2" v="18806"/>
    </bk>
    <bk>
      <rc t="2" v="18807"/>
    </bk>
    <bk>
      <rc t="2" v="18808"/>
    </bk>
    <bk>
      <rc t="2" v="18809"/>
    </bk>
    <bk>
      <rc t="2" v="18810"/>
    </bk>
    <bk>
      <rc t="2" v="18811"/>
    </bk>
    <bk>
      <rc t="2" v="18812"/>
    </bk>
    <bk>
      <rc t="2" v="18813"/>
    </bk>
    <bk>
      <rc t="2" v="18814"/>
    </bk>
    <bk>
      <rc t="2" v="18815"/>
    </bk>
    <bk>
      <rc t="2" v="18816"/>
    </bk>
    <bk>
      <rc t="2" v="18817"/>
    </bk>
    <bk>
      <rc t="2" v="18818"/>
    </bk>
    <bk>
      <rc t="2" v="18819"/>
    </bk>
    <bk>
      <rc t="2" v="18820"/>
    </bk>
    <bk>
      <rc t="2" v="18821"/>
    </bk>
    <bk>
      <rc t="2" v="18822"/>
    </bk>
    <bk>
      <rc t="2" v="18823"/>
    </bk>
    <bk>
      <rc t="2" v="18824"/>
    </bk>
    <bk>
      <rc t="2" v="18825"/>
    </bk>
    <bk>
      <rc t="2" v="18826"/>
    </bk>
    <bk>
      <rc t="2" v="18827"/>
    </bk>
    <bk>
      <rc t="2" v="18828"/>
    </bk>
    <bk>
      <rc t="2" v="18829"/>
    </bk>
    <bk>
      <rc t="2" v="18830"/>
    </bk>
    <bk>
      <rc t="2" v="18831"/>
    </bk>
    <bk>
      <rc t="2" v="18832"/>
    </bk>
    <bk>
      <rc t="2" v="18833"/>
    </bk>
    <bk>
      <rc t="2" v="18834"/>
    </bk>
    <bk>
      <rc t="2" v="18835"/>
    </bk>
    <bk>
      <rc t="2" v="18836"/>
    </bk>
    <bk>
      <rc t="2" v="18837"/>
    </bk>
    <bk>
      <rc t="2" v="18838"/>
    </bk>
    <bk>
      <rc t="2" v="18839"/>
    </bk>
    <bk>
      <rc t="2" v="18840"/>
    </bk>
    <bk>
      <rc t="2" v="18841"/>
    </bk>
    <bk>
      <rc t="2" v="18842"/>
    </bk>
    <bk>
      <rc t="2" v="18843"/>
    </bk>
    <bk>
      <rc t="2" v="18844"/>
    </bk>
    <bk>
      <rc t="2" v="18845"/>
    </bk>
    <bk>
      <rc t="2" v="18846"/>
    </bk>
    <bk>
      <rc t="2" v="18847"/>
    </bk>
    <bk>
      <rc t="2" v="18848"/>
    </bk>
    <bk>
      <rc t="2" v="18849"/>
    </bk>
    <bk>
      <rc t="2" v="18850"/>
    </bk>
    <bk>
      <rc t="2" v="18851"/>
    </bk>
    <bk>
      <rc t="2" v="18852"/>
    </bk>
    <bk>
      <rc t="2" v="18853"/>
    </bk>
    <bk>
      <rc t="2" v="18854"/>
    </bk>
    <bk>
      <rc t="2" v="18855"/>
    </bk>
    <bk>
      <rc t="2" v="18856"/>
    </bk>
    <bk>
      <rc t="2" v="18857"/>
    </bk>
    <bk>
      <rc t="2" v="18858"/>
    </bk>
    <bk>
      <rc t="2" v="18859"/>
    </bk>
    <bk>
      <rc t="2" v="18860"/>
    </bk>
    <bk>
      <rc t="2" v="18861"/>
    </bk>
    <bk>
      <rc t="2" v="18862"/>
    </bk>
    <bk>
      <rc t="2" v="18863"/>
    </bk>
    <bk>
      <rc t="2" v="18864"/>
    </bk>
    <bk>
      <rc t="2" v="18865"/>
    </bk>
    <bk>
      <rc t="2" v="18866"/>
    </bk>
    <bk>
      <rc t="2" v="18867"/>
    </bk>
    <bk>
      <rc t="2" v="18868"/>
    </bk>
    <bk>
      <rc t="2" v="18869"/>
    </bk>
    <bk>
      <rc t="2" v="18870"/>
    </bk>
    <bk>
      <rc t="2" v="18871"/>
    </bk>
    <bk>
      <rc t="2" v="18872"/>
    </bk>
    <bk>
      <rc t="2" v="18873"/>
    </bk>
    <bk>
      <rc t="2" v="18874"/>
    </bk>
    <bk>
      <rc t="2" v="18875"/>
    </bk>
    <bk>
      <rc t="2" v="18876"/>
    </bk>
    <bk>
      <rc t="2" v="18877"/>
    </bk>
    <bk>
      <rc t="2" v="18878"/>
    </bk>
    <bk>
      <rc t="2" v="18879"/>
    </bk>
    <bk>
      <rc t="2" v="18880"/>
    </bk>
    <bk>
      <rc t="2" v="18881"/>
    </bk>
    <bk>
      <rc t="2" v="18882"/>
    </bk>
    <bk>
      <rc t="2" v="18883"/>
    </bk>
    <bk>
      <rc t="2" v="18884"/>
    </bk>
    <bk>
      <rc t="2" v="18885"/>
    </bk>
    <bk>
      <rc t="2" v="18886"/>
    </bk>
    <bk>
      <rc t="2" v="18887"/>
    </bk>
    <bk>
      <rc t="2" v="18888"/>
    </bk>
    <bk>
      <rc t="2" v="18889"/>
    </bk>
    <bk>
      <rc t="2" v="18890"/>
    </bk>
    <bk>
      <rc t="2" v="18891"/>
    </bk>
    <bk>
      <rc t="2" v="18892"/>
    </bk>
    <bk>
      <rc t="2" v="18893"/>
    </bk>
    <bk>
      <rc t="2" v="18894"/>
    </bk>
    <bk>
      <rc t="2" v="18895"/>
    </bk>
    <bk>
      <rc t="2" v="18896"/>
    </bk>
    <bk>
      <rc t="2" v="18897"/>
    </bk>
    <bk>
      <rc t="2" v="18898"/>
    </bk>
    <bk>
      <rc t="2" v="18899"/>
    </bk>
    <bk>
      <rc t="2" v="18900"/>
    </bk>
    <bk>
      <rc t="2" v="18901"/>
    </bk>
    <bk>
      <rc t="2" v="18902"/>
    </bk>
    <bk>
      <rc t="2" v="18903"/>
    </bk>
    <bk>
      <rc t="2" v="18904"/>
    </bk>
    <bk>
      <rc t="2" v="18905"/>
    </bk>
    <bk>
      <rc t="2" v="18906"/>
    </bk>
    <bk>
      <rc t="2" v="18907"/>
    </bk>
    <bk>
      <rc t="2" v="18908"/>
    </bk>
    <bk>
      <rc t="2" v="18909"/>
    </bk>
    <bk>
      <rc t="2" v="18910"/>
    </bk>
    <bk>
      <rc t="2" v="18911"/>
    </bk>
    <bk>
      <rc t="2" v="18912"/>
    </bk>
    <bk>
      <rc t="2" v="18913"/>
    </bk>
    <bk>
      <rc t="2" v="18914"/>
    </bk>
    <bk>
      <rc t="2" v="18915"/>
    </bk>
    <bk>
      <rc t="2" v="18916"/>
    </bk>
    <bk>
      <rc t="2" v="18917"/>
    </bk>
    <bk>
      <rc t="2" v="18918"/>
    </bk>
    <bk>
      <rc t="2" v="18919"/>
    </bk>
    <bk>
      <rc t="2" v="18920"/>
    </bk>
    <bk>
      <rc t="2" v="18921"/>
    </bk>
    <bk>
      <rc t="2" v="18922"/>
    </bk>
    <bk>
      <rc t="2" v="18923"/>
    </bk>
    <bk>
      <rc t="2" v="18924"/>
    </bk>
    <bk>
      <rc t="2" v="18925"/>
    </bk>
    <bk>
      <rc t="2" v="18926"/>
    </bk>
    <bk>
      <rc t="2" v="18927"/>
    </bk>
    <bk>
      <rc t="2" v="18928"/>
    </bk>
    <bk>
      <rc t="2" v="18929"/>
    </bk>
    <bk>
      <rc t="2" v="18930"/>
    </bk>
    <bk>
      <rc t="2" v="18931"/>
    </bk>
    <bk>
      <rc t="2" v="18932"/>
    </bk>
    <bk>
      <rc t="2" v="18933"/>
    </bk>
    <bk>
      <rc t="2" v="18934"/>
    </bk>
    <bk>
      <rc t="2" v="18935"/>
    </bk>
    <bk>
      <rc t="2" v="18936"/>
    </bk>
    <bk>
      <rc t="2" v="18937"/>
    </bk>
    <bk>
      <rc t="2" v="18938"/>
    </bk>
    <bk>
      <rc t="2" v="18939"/>
    </bk>
    <bk>
      <rc t="2" v="18940"/>
    </bk>
    <bk>
      <rc t="2" v="18941"/>
    </bk>
    <bk>
      <rc t="2" v="18942"/>
    </bk>
    <bk>
      <rc t="2" v="18943"/>
    </bk>
    <bk>
      <rc t="2" v="18944"/>
    </bk>
    <bk>
      <rc t="2" v="18945"/>
    </bk>
    <bk>
      <rc t="2" v="18946"/>
    </bk>
    <bk>
      <rc t="2" v="18947"/>
    </bk>
    <bk>
      <rc t="2" v="18948"/>
    </bk>
    <bk>
      <rc t="2" v="18949"/>
    </bk>
    <bk>
      <rc t="2" v="18950"/>
    </bk>
    <bk>
      <rc t="2" v="18951"/>
    </bk>
    <bk>
      <rc t="2" v="18952"/>
    </bk>
    <bk>
      <rc t="2" v="18953"/>
    </bk>
    <bk>
      <rc t="2" v="18954"/>
    </bk>
    <bk>
      <rc t="2" v="18955"/>
    </bk>
    <bk>
      <rc t="2" v="18956"/>
    </bk>
    <bk>
      <rc t="2" v="18957"/>
    </bk>
    <bk>
      <rc t="2" v="18958"/>
    </bk>
    <bk>
      <rc t="2" v="18959"/>
    </bk>
    <bk>
      <rc t="2" v="18960"/>
    </bk>
    <bk>
      <rc t="2" v="18961"/>
    </bk>
    <bk>
      <rc t="2" v="18962"/>
    </bk>
    <bk>
      <rc t="2" v="18963"/>
    </bk>
    <bk>
      <rc t="2" v="18964"/>
    </bk>
    <bk>
      <rc t="2" v="18965"/>
    </bk>
    <bk>
      <rc t="2" v="18966"/>
    </bk>
    <bk>
      <rc t="2" v="18967"/>
    </bk>
    <bk>
      <rc t="2" v="18968"/>
    </bk>
    <bk>
      <rc t="2" v="18969"/>
    </bk>
    <bk>
      <rc t="2" v="18970"/>
    </bk>
    <bk>
      <rc t="2" v="18971"/>
    </bk>
    <bk>
      <rc t="2" v="18972"/>
    </bk>
    <bk>
      <rc t="2" v="18973"/>
    </bk>
    <bk>
      <rc t="2" v="18974"/>
    </bk>
    <bk>
      <rc t="2" v="18975"/>
    </bk>
    <bk>
      <rc t="2" v="18976"/>
    </bk>
    <bk>
      <rc t="2" v="18977"/>
    </bk>
    <bk>
      <rc t="2" v="18978"/>
    </bk>
    <bk>
      <rc t="2" v="18979"/>
    </bk>
    <bk>
      <rc t="2" v="18980"/>
    </bk>
    <bk>
      <rc t="2" v="18981"/>
    </bk>
  </valueMetadata>
</metadata>
</file>

<file path=xl/sharedStrings.xml><?xml version="1.0" encoding="utf-8"?>
<sst xmlns="http://schemas.openxmlformats.org/spreadsheetml/2006/main" count="3979" uniqueCount="813">
  <si>
    <t>Global Accounts 2023</t>
  </si>
  <si>
    <t>Contents</t>
  </si>
  <si>
    <t>Introduction</t>
  </si>
  <si>
    <t>Consolidated level data and metrics</t>
  </si>
  <si>
    <t>Entity level data and metrics</t>
  </si>
  <si>
    <t>Build your own peer group</t>
  </si>
  <si>
    <t>Instructions</t>
  </si>
  <si>
    <t>Peer group selection</t>
  </si>
  <si>
    <t>Results</t>
  </si>
  <si>
    <t>VfM metrics technical note guidance</t>
  </si>
  <si>
    <t>2023 Global Accounts homepage</t>
  </si>
  <si>
    <t xml:space="preserve">
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including the calculated metrics are included in this file.</t>
  </si>
  <si>
    <t>Supplementary information</t>
  </si>
  <si>
    <t xml:space="preserve">
% Supported Housing (Excl HOP): Number of Supported Housing, excluding HOP, units owned divided by the Total Number of Social Housing units owned, as reported in the 2023 SDR.</t>
  </si>
  <si>
    <r>
      <t xml:space="preserve">
</t>
    </r>
    <r>
      <rPr>
        <i/>
        <sz val="11"/>
        <rFont val="Arial"/>
        <family val="2"/>
      </rPr>
      <t>In the published analysis, Supported Housing / Housing for Older People providers are defined as those with more than 30% of their stock as the relevant type</t>
    </r>
  </si>
  <si>
    <t>Region</t>
  </si>
  <si>
    <t xml:space="preserve">
Annual Survey of Hours and Earnings (ASHE) Regional Wage Index (England = 1): An index calculated using data on relative regional administrative and construction sector earnings ASHE for 2023 and information on Social Housing units owned by region as reported in the SDR. The England average is 1.</t>
  </si>
  <si>
    <t>Data and metrics</t>
  </si>
  <si>
    <t>Lower quartile</t>
  </si>
  <si>
    <t>Median</t>
  </si>
  <si>
    <t>Upper quartile</t>
  </si>
  <si>
    <t>Value for Money Metrics 2023</t>
  </si>
  <si>
    <t>The numerator and denominator for each ratio are contained in columns with light purple headers below. The actual data taken from the Global Accounts Consolidated Group Data tab is contained in columns with grey headers. To view these ratio elements, either select the '+' signs above or select "2" in the top left hand corner (above cell A1). To collapse the columns, select the minus signs or "1" in the top left hand corner.</t>
  </si>
  <si>
    <t>Select the '+' signs" above to see if a provider is a SH or OP specialist in the published sub sector analysis</t>
  </si>
  <si>
    <t>"Traditional" includes LSVTs (i.e. transferred stock is &gt; 50%) that are over 12 years old. These are flagged as "&gt;12 years" for reference only.</t>
  </si>
  <si>
    <t>Group Data</t>
  </si>
  <si>
    <t xml:space="preserve">Reinvestment  </t>
  </si>
  <si>
    <t xml:space="preserve">New Supply (Social)   </t>
  </si>
  <si>
    <t>New Supply (Non-Social)</t>
  </si>
  <si>
    <t>Gearing</t>
  </si>
  <si>
    <t>EBITDA MRI Interest Cover</t>
  </si>
  <si>
    <t>Headline Social Housing Cost per unit</t>
  </si>
  <si>
    <t>Operating Margin (SHL)</t>
  </si>
  <si>
    <t>Operating Margin (Overall)</t>
  </si>
  <si>
    <t>ROCE</t>
  </si>
  <si>
    <t>% social housing owned or managed by type (SDR)</t>
  </si>
  <si>
    <t>Provider type</t>
  </si>
  <si>
    <t>Region of operation
Expand for % in each region</t>
  </si>
  <si>
    <t>RP_Code</t>
  </si>
  <si>
    <t>RP_Name</t>
  </si>
  <si>
    <t>FYE</t>
  </si>
  <si>
    <t>Reinvestment</t>
  </si>
  <si>
    <t>Reinvestment Spend</t>
  </si>
  <si>
    <t>Development of new properties (Total housing properties)</t>
  </si>
  <si>
    <t>Newly built properties acquired (Total housing properties)</t>
  </si>
  <si>
    <t xml:space="preserve"> Works to Existing (Total housing properties)</t>
  </si>
  <si>
    <t>Capitalised Interest (Total housing properties)</t>
  </si>
  <si>
    <t>Schemes completed (Total housing properties)</t>
  </si>
  <si>
    <t>Net Book Value of Housing Properties</t>
  </si>
  <si>
    <t>Tangible fixed assets: Housing properties at cost (Current period)</t>
  </si>
  <si>
    <t>Tangible fixed assets Housing properties at valuation (Current period)</t>
  </si>
  <si>
    <t>New Supply (Social)</t>
  </si>
  <si>
    <t>Total social units developed or newly built units acquired in-year</t>
  </si>
  <si>
    <t>Total social units developed or newly built units acquired in-year (owned)</t>
  </si>
  <si>
    <t>Total social leasehold units developed or newly built units acquired in-year (owned)</t>
  </si>
  <si>
    <t>Social housing units owned (period end)</t>
  </si>
  <si>
    <t>Total social housing units owned (Period end)</t>
  </si>
  <si>
    <t>Total social leasehold units owned (Period end)</t>
  </si>
  <si>
    <t>Total non-social housing units developed or newly built units acquired (owned)</t>
  </si>
  <si>
    <t>Total non-social units developed or newly built units acquired in-year (owned)</t>
  </si>
  <si>
    <t>Total non-social leasehold units developed or newly built units acquired in-year (owned)</t>
  </si>
  <si>
    <t>New outright sale units developed or acquired (owned)</t>
  </si>
  <si>
    <t>Total social and non-social housing units owned (Period end)</t>
  </si>
  <si>
    <t>Total social housing units owned (Period end)2</t>
  </si>
  <si>
    <t>Total social leasehold units owned (Period end)2</t>
  </si>
  <si>
    <t>Total non-social rental housing units owned (Period end)</t>
  </si>
  <si>
    <t>Total non-social leasehold units owned (Period end)</t>
  </si>
  <si>
    <t>Total Net Debt</t>
  </si>
  <si>
    <t>Short-term loans</t>
  </si>
  <si>
    <t>Long-term loans</t>
  </si>
  <si>
    <t xml:space="preserve">Cash and cash equivalents </t>
  </si>
  <si>
    <t>Amounts owed to group undertakings</t>
  </si>
  <si>
    <t>Finance lease obligations</t>
  </si>
  <si>
    <t>Net Book Value of Housing Properties2</t>
  </si>
  <si>
    <t>Tangible fixed assets: Housing properties at cost (Current period)2</t>
  </si>
  <si>
    <t>Tangible fixed assets Housing properties at valuation (Current period)2</t>
  </si>
  <si>
    <t>EBITDA MRI</t>
  </si>
  <si>
    <t>Operating surplus/(deficit) (overall)</t>
  </si>
  <si>
    <t>Gain/(loss) on disposal of fixed assets (housing properties)</t>
  </si>
  <si>
    <t>Gain/(loss) on disposal of fixed assets (other)</t>
  </si>
  <si>
    <t>Amortised government grant</t>
  </si>
  <si>
    <t>Government grants taken to income</t>
  </si>
  <si>
    <t>Interest receivable</t>
  </si>
  <si>
    <t>Capitalised major repairs expenditure for period</t>
  </si>
  <si>
    <t>Total depreciation charge for period</t>
  </si>
  <si>
    <t>Total interest</t>
  </si>
  <si>
    <t>Interest capitalised</t>
  </si>
  <si>
    <t>Interest payable and financing costs</t>
  </si>
  <si>
    <t>Total Costs</t>
  </si>
  <si>
    <t>Management costs</t>
  </si>
  <si>
    <t>Service charge costs</t>
  </si>
  <si>
    <t>Routine maintenance costs</t>
  </si>
  <si>
    <t>Planned maintenance costs</t>
  </si>
  <si>
    <t>Major repairs expenditure</t>
  </si>
  <si>
    <t>Lease costs</t>
  </si>
  <si>
    <t>Capitalised major repairs expenditure for period2</t>
  </si>
  <si>
    <t>Other (social housing letting) costs</t>
  </si>
  <si>
    <t>Development services</t>
  </si>
  <si>
    <t>Community/neighbourhood services</t>
  </si>
  <si>
    <t>Other social housing activities: Other</t>
  </si>
  <si>
    <t>Other social housing activities: charges for support services</t>
  </si>
  <si>
    <t>Total units for costs</t>
  </si>
  <si>
    <t>Total social housing units owned and/or managed at period end</t>
  </si>
  <si>
    <t>SHL operating surplus / (deficit)</t>
  </si>
  <si>
    <t>Operating surplus/(deficit) (social housing lettings)</t>
  </si>
  <si>
    <t>SHL turnover</t>
  </si>
  <si>
    <t>Turnover from social housing lettings</t>
  </si>
  <si>
    <t>Net operating surplus</t>
  </si>
  <si>
    <t>Operating surplus/(deficit) (overall)2</t>
  </si>
  <si>
    <t>Gain/(loss) on disposal of fixed assets (housing properties)2</t>
  </si>
  <si>
    <t>Gain/(loss) on disposal of fixed assets (other)2</t>
  </si>
  <si>
    <t>Overall turnover</t>
  </si>
  <si>
    <t>Turnover (overall)</t>
  </si>
  <si>
    <t>Operating surplus including from JVs</t>
  </si>
  <si>
    <t>Operating surplus/(deficit) (overall)3</t>
  </si>
  <si>
    <t>Share of operating surplus/(deficit) in joint ventures or associates</t>
  </si>
  <si>
    <t>Net assets</t>
  </si>
  <si>
    <t>Total assets less current liabilities</t>
  </si>
  <si>
    <t>Total social stock owned</t>
  </si>
  <si>
    <t>% Supported housing (excl. HOP)</t>
  </si>
  <si>
    <t>SH specialist in RSH analysis</t>
  </si>
  <si>
    <t>% Housing for older people</t>
  </si>
  <si>
    <t>OP specialist in RSH analysis</t>
  </si>
  <si>
    <t>% SH and OP</t>
  </si>
  <si>
    <t>SH or OP specialist in RSH analysis</t>
  </si>
  <si>
    <t>SH or OP specialist in RSH analysis (incl. SH &amp; OP combined)</t>
  </si>
  <si>
    <t>Provider Type</t>
  </si>
  <si>
    <t>Date of largest transfer</t>
  </si>
  <si>
    <t>LSVT age</t>
  </si>
  <si>
    <t>Region with 50%+ of social stock owned</t>
  </si>
  <si>
    <t>London</t>
  </si>
  <si>
    <t>South East</t>
  </si>
  <si>
    <t>South West</t>
  </si>
  <si>
    <t>East Midlands</t>
  </si>
  <si>
    <t>West Midlands</t>
  </si>
  <si>
    <t>East of England</t>
  </si>
  <si>
    <t>North East</t>
  </si>
  <si>
    <t>North West</t>
  </si>
  <si>
    <t>Yorkshire &amp; the Humber</t>
  </si>
  <si>
    <t>ASHE regional wage index (England = 1)</t>
  </si>
  <si>
    <t>16pt column to force row height
Hide column in final</t>
  </si>
  <si>
    <t>L4240</t>
  </si>
  <si>
    <t>A2Dominion Housing Group Limited</t>
  </si>
  <si>
    <t>Traditional</t>
  </si>
  <si>
    <t/>
  </si>
  <si>
    <t>L4172</t>
  </si>
  <si>
    <t>Abri Group Limited</t>
  </si>
  <si>
    <t>L4511</t>
  </si>
  <si>
    <t>Accent Group Limited</t>
  </si>
  <si>
    <t>L4229</t>
  </si>
  <si>
    <t>Acis Group Limited</t>
  </si>
  <si>
    <t>&gt;= 12 years</t>
  </si>
  <si>
    <t>LH0280</t>
  </si>
  <si>
    <t>Advance Housing and Support Limited</t>
  </si>
  <si>
    <t>LH4095</t>
  </si>
  <si>
    <t>Anchor Hanover Group</t>
  </si>
  <si>
    <t>L3713</t>
  </si>
  <si>
    <t>Arawak Walton Housing Association Limited</t>
  </si>
  <si>
    <t>LH0884</t>
  </si>
  <si>
    <t>Arches Housing Limited</t>
  </si>
  <si>
    <t>L4238</t>
  </si>
  <si>
    <t>Aspire Housing Limited</t>
  </si>
  <si>
    <t>L4393</t>
  </si>
  <si>
    <t>Aster Group Limited</t>
  </si>
  <si>
    <t>L4455</t>
  </si>
  <si>
    <t>B3 Living Limited</t>
  </si>
  <si>
    <t>5071</t>
  </si>
  <si>
    <t>Believe Housing Limited</t>
  </si>
  <si>
    <t>LSVT</t>
  </si>
  <si>
    <t>&lt; 12 years</t>
  </si>
  <si>
    <t>4868</t>
  </si>
  <si>
    <t>Bernicia Group</t>
  </si>
  <si>
    <t>LH4401</t>
  </si>
  <si>
    <t>Beyond Housing Limited</t>
  </si>
  <si>
    <t>L1668</t>
  </si>
  <si>
    <t>Black Country Housing Group Limited</t>
  </si>
  <si>
    <t>4568</t>
  </si>
  <si>
    <t>Bolton at Home Limited</t>
  </si>
  <si>
    <t>LH0155</t>
  </si>
  <si>
    <t>Bournemouth Churches Housing Association Limited</t>
  </si>
  <si>
    <t>L0702</t>
  </si>
  <si>
    <t>Bournville Village Trust</t>
  </si>
  <si>
    <t>LH3887</t>
  </si>
  <si>
    <t>bpha Limited</t>
  </si>
  <si>
    <t>L3758</t>
  </si>
  <si>
    <t>Brighter Places</t>
  </si>
  <si>
    <t>LH4014</t>
  </si>
  <si>
    <t>Broadacres Housing Association Limited</t>
  </si>
  <si>
    <t>L0026</t>
  </si>
  <si>
    <t>Broadland Housing Association Limited</t>
  </si>
  <si>
    <t>L4449</t>
  </si>
  <si>
    <t>Bromford Housing Group Limited</t>
  </si>
  <si>
    <t>LH4415</t>
  </si>
  <si>
    <t>Bromsgrove District Housing Trust Limited</t>
  </si>
  <si>
    <t>LH0269</t>
  </si>
  <si>
    <t>Brunelcare</t>
  </si>
  <si>
    <t>L4254</t>
  </si>
  <si>
    <t>Calico Homes Limited</t>
  </si>
  <si>
    <t>4858</t>
  </si>
  <si>
    <t>Castles &amp; Coasts Housing Association Limited</t>
  </si>
  <si>
    <t>L4331</t>
  </si>
  <si>
    <t>Chelmer Housing Partnership Limited</t>
  </si>
  <si>
    <t>L4472</t>
  </si>
  <si>
    <t>Cheshire Peaks &amp; Plains Housing Trust Limited</t>
  </si>
  <si>
    <t>LH0676</t>
  </si>
  <si>
    <t>Christian Action (Enfield) Housing Association Limited</t>
  </si>
  <si>
    <t>5075</t>
  </si>
  <si>
    <t>Citizen Housing Group Limited</t>
  </si>
  <si>
    <t>LH4087</t>
  </si>
  <si>
    <t>Clarion Housing Group Limited</t>
  </si>
  <si>
    <t>LH4165</t>
  </si>
  <si>
    <t>Coastline Housing Limited</t>
  </si>
  <si>
    <t>L4361</t>
  </si>
  <si>
    <t>Cobalt Housing Limited</t>
  </si>
  <si>
    <t>L4457</t>
  </si>
  <si>
    <t>Community Gateway Association Limited</t>
  </si>
  <si>
    <t>L2285</t>
  </si>
  <si>
    <t>Connect Housing Association Limited</t>
  </si>
  <si>
    <t>LH4353</t>
  </si>
  <si>
    <t>Connexus Homes Limited</t>
  </si>
  <si>
    <t>L0147</t>
  </si>
  <si>
    <t>Cornerstone Housing Limited</t>
  </si>
  <si>
    <t>L4312</t>
  </si>
  <si>
    <t>Cottsway Housing Association Limited</t>
  </si>
  <si>
    <t>LH4428</t>
  </si>
  <si>
    <t>Cross Keys Homes Limited</t>
  </si>
  <si>
    <t>LH0495</t>
  </si>
  <si>
    <t>Croydon Churches Housing Association Limited</t>
  </si>
  <si>
    <t>LH4336</t>
  </si>
  <si>
    <t>Curo Group (Albion) Limited</t>
  </si>
  <si>
    <t>5125</t>
  </si>
  <si>
    <t>Durham Aged Mineworkers' Homes Association</t>
  </si>
  <si>
    <t>L4434</t>
  </si>
  <si>
    <t>East End Homes Limited</t>
  </si>
  <si>
    <t>L4530</t>
  </si>
  <si>
    <t>East Midlands Housing Group Limited</t>
  </si>
  <si>
    <t>L4499</t>
  </si>
  <si>
    <t>Eastlight Community Homes Limited</t>
  </si>
  <si>
    <t>L4140</t>
  </si>
  <si>
    <t>Eden Housing Association Limited</t>
  </si>
  <si>
    <t>L4167</t>
  </si>
  <si>
    <t>Empowering People Inspiring Communities Limited</t>
  </si>
  <si>
    <t>L4004</t>
  </si>
  <si>
    <t>English Rural Housing Association Limited</t>
  </si>
  <si>
    <t>L3535</t>
  </si>
  <si>
    <t>Estuary Housing Association Limited</t>
  </si>
  <si>
    <t>L4473</t>
  </si>
  <si>
    <t>Fairhive Homes Limited</t>
  </si>
  <si>
    <t>4582</t>
  </si>
  <si>
    <t>First Choice Homes Oldham Limited</t>
  </si>
  <si>
    <t>5090</t>
  </si>
  <si>
    <t>First Garden Cities Homes Limited</t>
  </si>
  <si>
    <t>4651</t>
  </si>
  <si>
    <t>Flagship Housing Group Limited</t>
  </si>
  <si>
    <t>L4528</t>
  </si>
  <si>
    <t>ForHousing Limited</t>
  </si>
  <si>
    <t>LH4184</t>
  </si>
  <si>
    <t>Framework Housing Association</t>
  </si>
  <si>
    <t>L4463</t>
  </si>
  <si>
    <t>Freebridge Community Housing Limited</t>
  </si>
  <si>
    <t>L4502</t>
  </si>
  <si>
    <t>Futures Housing Group Limited</t>
  </si>
  <si>
    <t>L0517</t>
  </si>
  <si>
    <t>Gateway Housing Association Limited</t>
  </si>
  <si>
    <t>L4313</t>
  </si>
  <si>
    <t>Gentoo Group Limited</t>
  </si>
  <si>
    <t>4584</t>
  </si>
  <si>
    <t>Gloucester City Homes Limited</t>
  </si>
  <si>
    <t>4803</t>
  </si>
  <si>
    <t>Golden Lane Housing Limited</t>
  </si>
  <si>
    <t>LH4402</t>
  </si>
  <si>
    <t>Golding Homes Limited</t>
  </si>
  <si>
    <t>5060</t>
  </si>
  <si>
    <t>Grand Union Housing Group Limited</t>
  </si>
  <si>
    <t>L4465</t>
  </si>
  <si>
    <t>Great Places Housing Group Limited</t>
  </si>
  <si>
    <t>L4509</t>
  </si>
  <si>
    <t>Greatwell Homes Limited</t>
  </si>
  <si>
    <t>LH3902</t>
  </si>
  <si>
    <t>GreenSquareAccord Limited</t>
  </si>
  <si>
    <t>LH0459</t>
  </si>
  <si>
    <t>Habinteg Housing Association Limited</t>
  </si>
  <si>
    <t>L4456</t>
  </si>
  <si>
    <t>Halton Housing</t>
  </si>
  <si>
    <t>L0018</t>
  </si>
  <si>
    <t>Hastoe Housing Association Limited</t>
  </si>
  <si>
    <t>L1538</t>
  </si>
  <si>
    <t>Hexagon Housing Association Limited</t>
  </si>
  <si>
    <t>L2179</t>
  </si>
  <si>
    <t>Hightown Housing Association Limited</t>
  </si>
  <si>
    <t>L3076</t>
  </si>
  <si>
    <t>Home Group Limited</t>
  </si>
  <si>
    <t>LH2162</t>
  </si>
  <si>
    <t>Honeycomb Group Limited</t>
  </si>
  <si>
    <t>L0055</t>
  </si>
  <si>
    <t>Housing 21</t>
  </si>
  <si>
    <t>L4073</t>
  </si>
  <si>
    <t>Housing Solutions</t>
  </si>
  <si>
    <t>L0718</t>
  </si>
  <si>
    <t>Hundred Houses Society Limited</t>
  </si>
  <si>
    <t>LH0032</t>
  </si>
  <si>
    <t>Hyde Housing Association Limited</t>
  </si>
  <si>
    <t>4662</t>
  </si>
  <si>
    <t>Inclusion Housing Community Interest Company</t>
  </si>
  <si>
    <t>L4476</t>
  </si>
  <si>
    <t>Incommunities Limited</t>
  </si>
  <si>
    <t>LH3728</t>
  </si>
  <si>
    <t>Inquilab Housing Association Limited</t>
  </si>
  <si>
    <t>L0061</t>
  </si>
  <si>
    <t>Irwell Valley Housing Association Limited</t>
  </si>
  <si>
    <t>L0457</t>
  </si>
  <si>
    <t>Islington and Shoreditch Housing Association Limited</t>
  </si>
  <si>
    <t>LH4345</t>
  </si>
  <si>
    <t>Jigsaw Homes Group Limited</t>
  </si>
  <si>
    <t>L1231</t>
  </si>
  <si>
    <t>'Johnnie' Johnson Housing Trust Limited</t>
  </si>
  <si>
    <t>5079</t>
  </si>
  <si>
    <t>Joseph Rowntree Housing Trust</t>
  </si>
  <si>
    <t>4846</t>
  </si>
  <si>
    <t>Karbon Homes Limited</t>
  </si>
  <si>
    <t>LH0989</t>
  </si>
  <si>
    <t>Leeds Federated Housing Association Limited</t>
  </si>
  <si>
    <t>4877</t>
  </si>
  <si>
    <t>Lincolnshire Housing Partnership Limited</t>
  </si>
  <si>
    <t>4873</t>
  </si>
  <si>
    <t>LiveWest Homes Limited</t>
  </si>
  <si>
    <t>L4538</t>
  </si>
  <si>
    <t>Livin Housing Limited</t>
  </si>
  <si>
    <t>LH4343</t>
  </si>
  <si>
    <t>Livv Housing Group</t>
  </si>
  <si>
    <t>LH4454</t>
  </si>
  <si>
    <t>Local Space</t>
  </si>
  <si>
    <t>L4517</t>
  </si>
  <si>
    <t>London &amp; Quadrant Housing Trust</t>
  </si>
  <si>
    <t>L4277</t>
  </si>
  <si>
    <t>Longhurst Group Limited</t>
  </si>
  <si>
    <t>LH0013</t>
  </si>
  <si>
    <t>Look Ahead Care and Support Limited</t>
  </si>
  <si>
    <t>L4435</t>
  </si>
  <si>
    <t>Magenta Living</t>
  </si>
  <si>
    <t>4844</t>
  </si>
  <si>
    <t>Magna Housing Limited</t>
  </si>
  <si>
    <t>L3736</t>
  </si>
  <si>
    <t>Manningham Housing Association Limited</t>
  </si>
  <si>
    <t>L4466</t>
  </si>
  <si>
    <t>Midland Heart Limited</t>
  </si>
  <si>
    <t>L0386</t>
  </si>
  <si>
    <t>Moat Homes Limited</t>
  </si>
  <si>
    <t>4857</t>
  </si>
  <si>
    <t>Mosscare St. Vincent's Housing Group Limited</t>
  </si>
  <si>
    <t>L0042</t>
  </si>
  <si>
    <t>Mount Green Housing Association Limited</t>
  </si>
  <si>
    <t>L2194</t>
  </si>
  <si>
    <t>Muir Group Housing Association Limited</t>
  </si>
  <si>
    <t>L3833</t>
  </si>
  <si>
    <t>Nehemiah United Churches Housing Association Limited</t>
  </si>
  <si>
    <t>L0006</t>
  </si>
  <si>
    <t>Newlon Housing Trust</t>
  </si>
  <si>
    <t>LH4249</t>
  </si>
  <si>
    <t>North Devon Homes</t>
  </si>
  <si>
    <t>LH3859</t>
  </si>
  <si>
    <t>North London Muslim Housing Association Limited</t>
  </si>
  <si>
    <t>LH0084</t>
  </si>
  <si>
    <t>North Star Housing Group</t>
  </si>
  <si>
    <t>4880</t>
  </si>
  <si>
    <t>Notting Hill Genesis</t>
  </si>
  <si>
    <t>4817</t>
  </si>
  <si>
    <t>Nottingham Community Housing Association Limited</t>
  </si>
  <si>
    <t>L4459</t>
  </si>
  <si>
    <t>NSAH (Alliance Homes) Limited</t>
  </si>
  <si>
    <t>L4422</t>
  </si>
  <si>
    <t>Ocean Housing Group Limited</t>
  </si>
  <si>
    <t>L0717</t>
  </si>
  <si>
    <t>Octavia Housing</t>
  </si>
  <si>
    <t>4808</t>
  </si>
  <si>
    <t>One Manchester Limited</t>
  </si>
  <si>
    <t>4804</t>
  </si>
  <si>
    <t>One Vision Housing Limited</t>
  </si>
  <si>
    <t>L4486</t>
  </si>
  <si>
    <t>Ongo Homes Limited</t>
  </si>
  <si>
    <t>4649</t>
  </si>
  <si>
    <t>Onward Group Limited</t>
  </si>
  <si>
    <t>L4123</t>
  </si>
  <si>
    <t>Orbit Group Limited</t>
  </si>
  <si>
    <t>L0871</t>
  </si>
  <si>
    <t>Origin Housing Limited</t>
  </si>
  <si>
    <t>L0028</t>
  </si>
  <si>
    <t>Orwell Housing Association Limited</t>
  </si>
  <si>
    <t>L4215</t>
  </si>
  <si>
    <t>Paradigm Housing Group Limited</t>
  </si>
  <si>
    <t>4849</t>
  </si>
  <si>
    <t>Paragon Asra Housing Limited</t>
  </si>
  <si>
    <t>4878</t>
  </si>
  <si>
    <t>Peabody Trust</t>
  </si>
  <si>
    <t>L4505</t>
  </si>
  <si>
    <t>Phoenix Community Housing Association (Bellingham and Downham) Limited</t>
  </si>
  <si>
    <t>A4020</t>
  </si>
  <si>
    <t>Pickering and Ferens Homes</t>
  </si>
  <si>
    <t>L4236</t>
  </si>
  <si>
    <t>Places for People Group Limited</t>
  </si>
  <si>
    <t>4789</t>
  </si>
  <si>
    <t>Platform Housing Group Limited</t>
  </si>
  <si>
    <t>L4556</t>
  </si>
  <si>
    <t>Plus Dane Housing Limited</t>
  </si>
  <si>
    <t>L4543</t>
  </si>
  <si>
    <t>Plymouth Community Homes Limited</t>
  </si>
  <si>
    <t>L4170</t>
  </si>
  <si>
    <t>Poplar Housing And Regeneration Community Association Limited</t>
  </si>
  <si>
    <t>L1001</t>
  </si>
  <si>
    <t>Prima Housing Group Limited</t>
  </si>
  <si>
    <t>LH4189</t>
  </si>
  <si>
    <t>Progress Housing Group Limited</t>
  </si>
  <si>
    <t>A1855</t>
  </si>
  <si>
    <t>Railway Housing Association and Benefit Fund</t>
  </si>
  <si>
    <t>L4334</t>
  </si>
  <si>
    <t>Raven Housing Trust Limited</t>
  </si>
  <si>
    <t>4682</t>
  </si>
  <si>
    <t>Red Kite Community Housing Limited</t>
  </si>
  <si>
    <t>4653</t>
  </si>
  <si>
    <t>Regenda Limited</t>
  </si>
  <si>
    <t>L4279</t>
  </si>
  <si>
    <t>Richmond Housing Partnership Limited</t>
  </si>
  <si>
    <t>4607</t>
  </si>
  <si>
    <t>Rochdale Boroughwide Housing Limited</t>
  </si>
  <si>
    <t>L4404</t>
  </si>
  <si>
    <t>Rooftop Housing Group Limited</t>
  </si>
  <si>
    <t>LH4412</t>
  </si>
  <si>
    <t>Saffron Housing Trust Limited</t>
  </si>
  <si>
    <t>4609</t>
  </si>
  <si>
    <t>Salix Homes Limited</t>
  </si>
  <si>
    <t>LH2429</t>
  </si>
  <si>
    <t>Salvation Army Housing Association</t>
  </si>
  <si>
    <t>L0247</t>
  </si>
  <si>
    <t>Sanctuary Housing Association</t>
  </si>
  <si>
    <t>L4299</t>
  </si>
  <si>
    <t>Saxon Weald</t>
  </si>
  <si>
    <t>LH4097</t>
  </si>
  <si>
    <t>Selwood Housing Society Limited</t>
  </si>
  <si>
    <t>L4370</t>
  </si>
  <si>
    <t>Settle Group</t>
  </si>
  <si>
    <t>LH0050</t>
  </si>
  <si>
    <t>Shepherds Bush Housing Association Limited</t>
  </si>
  <si>
    <t>L4513</t>
  </si>
  <si>
    <t>Silva Homes Limited</t>
  </si>
  <si>
    <t>L4130</t>
  </si>
  <si>
    <t>Soha Housing Limited</t>
  </si>
  <si>
    <t>4686</t>
  </si>
  <si>
    <t>South Lakes Housing</t>
  </si>
  <si>
    <t>L4230</t>
  </si>
  <si>
    <t>South Liverpool Homes Limited</t>
  </si>
  <si>
    <t>L0078</t>
  </si>
  <si>
    <t>South Yorkshire Housing Association Limited</t>
  </si>
  <si>
    <t>5171</t>
  </si>
  <si>
    <t>Southern Housing</t>
  </si>
  <si>
    <t>L4507</t>
  </si>
  <si>
    <t>Southway Housing Trust (Manchester) Limited</t>
  </si>
  <si>
    <t>4837</t>
  </si>
  <si>
    <t>Sovereign Housing Association Limited</t>
  </si>
  <si>
    <t>4825</t>
  </si>
  <si>
    <t>Sovereign Network Homes</t>
  </si>
  <si>
    <t>LH0279</t>
  </si>
  <si>
    <t>St Mungo Community Housing Association</t>
  </si>
  <si>
    <t>L1556</t>
  </si>
  <si>
    <t>Stonewater Limited</t>
  </si>
  <si>
    <t>4687</t>
  </si>
  <si>
    <t>Sustain (UK) Ltd</t>
  </si>
  <si>
    <t>LH4403</t>
  </si>
  <si>
    <t>Teign Housing</t>
  </si>
  <si>
    <t>L0514</t>
  </si>
  <si>
    <t>Thames Valley Housing Association Limited</t>
  </si>
  <si>
    <t>H1046</t>
  </si>
  <si>
    <t>The Abbeyfield Society</t>
  </si>
  <si>
    <t>L0992</t>
  </si>
  <si>
    <t>The Cambridge Housing Society Limited</t>
  </si>
  <si>
    <t>LH4264</t>
  </si>
  <si>
    <t>The Community Housing Group Limited</t>
  </si>
  <si>
    <t>4729</t>
  </si>
  <si>
    <t>The Guinness Partnership Limited</t>
  </si>
  <si>
    <t>LH4339</t>
  </si>
  <si>
    <t>The Havebury Housing Partnership</t>
  </si>
  <si>
    <t>L4491</t>
  </si>
  <si>
    <t>The Housing Plus Group Limited</t>
  </si>
  <si>
    <t>L0266</t>
  </si>
  <si>
    <t>The Industrial Dwellings Society (1885) Limited</t>
  </si>
  <si>
    <t>L4118</t>
  </si>
  <si>
    <t>The Pioneer Housing and Community Group Limited</t>
  </si>
  <si>
    <t>L4552</t>
  </si>
  <si>
    <t>The Riverside Group Limited</t>
  </si>
  <si>
    <t>LH4220</t>
  </si>
  <si>
    <t>The Wrekin Housing Group Limited</t>
  </si>
  <si>
    <t>L4522</t>
  </si>
  <si>
    <t>Thirteen Housing Group Limited</t>
  </si>
  <si>
    <t>L4520</t>
  </si>
  <si>
    <t>Thrive Homes Limited</t>
  </si>
  <si>
    <t>L4464</t>
  </si>
  <si>
    <t>Together Housing Group Limited</t>
  </si>
  <si>
    <t>5065</t>
  </si>
  <si>
    <t>Torus62 Limited</t>
  </si>
  <si>
    <t>L4260</t>
  </si>
  <si>
    <t>Tower Hamlets Community Housing</t>
  </si>
  <si>
    <t>L4311</t>
  </si>
  <si>
    <t>Trent &amp; Dove Housing Limited</t>
  </si>
  <si>
    <t>L0979</t>
  </si>
  <si>
    <t>Trident Housing Association Limited</t>
  </si>
  <si>
    <t>L3808</t>
  </si>
  <si>
    <t>Tuntum Housing Association Limited</t>
  </si>
  <si>
    <t>L4385</t>
  </si>
  <si>
    <t>Two Rivers Housing</t>
  </si>
  <si>
    <t>LH3737</t>
  </si>
  <si>
    <t>Unity Housing Association Limited</t>
  </si>
  <si>
    <t>4850</t>
  </si>
  <si>
    <t>Vivid Housing Limited</t>
  </si>
  <si>
    <t>L4441</t>
  </si>
  <si>
    <t>Wakefield And District Housing Limited</t>
  </si>
  <si>
    <t>L4389</t>
  </si>
  <si>
    <t>Walsall Housing Group Limited</t>
  </si>
  <si>
    <t>L0277</t>
  </si>
  <si>
    <t>Wandle Housing Association Limited</t>
  </si>
  <si>
    <t>L0518</t>
  </si>
  <si>
    <t>Warrington Housing Association Limited</t>
  </si>
  <si>
    <t>L4495</t>
  </si>
  <si>
    <t>Watford Community Housing Trust</t>
  </si>
  <si>
    <t>L4383</t>
  </si>
  <si>
    <t>Watmos Community Homes</t>
  </si>
  <si>
    <t>L4341</t>
  </si>
  <si>
    <t>Weaver Vale Housing Trust Limited</t>
  </si>
  <si>
    <t>LH3827</t>
  </si>
  <si>
    <t>West Kent Housing Association</t>
  </si>
  <si>
    <t>4826</t>
  </si>
  <si>
    <t>Westward Housing Group Limited</t>
  </si>
  <si>
    <t>L2424</t>
  </si>
  <si>
    <t>Willow Tree Housing Partnership Limited</t>
  </si>
  <si>
    <t>LH4208</t>
  </si>
  <si>
    <t>Worthing Homes Limited</t>
  </si>
  <si>
    <t>L4219</t>
  </si>
  <si>
    <t>Wythenshawe Community Housing Group Limited</t>
  </si>
  <si>
    <t>LH4078</t>
  </si>
  <si>
    <t>YMCA St Paul's Group</t>
  </si>
  <si>
    <t>L4521</t>
  </si>
  <si>
    <t>Yorkshire Housing Limited</t>
  </si>
  <si>
    <t>L4203</t>
  </si>
  <si>
    <t>Your Housing Group Limited</t>
  </si>
  <si>
    <t>The numerator and denominator for each ratio are contained in columns with light teal headers below. The actual data taken from the Global Accounts Consolidated Group Data tab is contained in columns with grey headers. To view these ratio elements, either select the '+' signs above or select "2" in the top left hand corner (above cell A1). To collapse the columns, select the minus signs or "1" in the top left hand corner.</t>
  </si>
  <si>
    <t>Entity Data</t>
  </si>
  <si>
    <t>L1019</t>
  </si>
  <si>
    <t>54 North Homes Limited</t>
  </si>
  <si>
    <t>LH0391</t>
  </si>
  <si>
    <t>A2Dominion Homes Limited</t>
  </si>
  <si>
    <t>SL4293</t>
  </si>
  <si>
    <t>A2Dominion Housing Options Limited</t>
  </si>
  <si>
    <t>LH4149</t>
  </si>
  <si>
    <t>A2Dominion South Limited</t>
  </si>
  <si>
    <t>LH1722</t>
  </si>
  <si>
    <t>Accent Housing Limited</t>
  </si>
  <si>
    <t>L0249</t>
  </si>
  <si>
    <t>Arcon Housing Association Limited</t>
  </si>
  <si>
    <t>4872</t>
  </si>
  <si>
    <t>Aster 3 Limited</t>
  </si>
  <si>
    <t>4691</t>
  </si>
  <si>
    <t>Aster Communities</t>
  </si>
  <si>
    <t>4819</t>
  </si>
  <si>
    <t>Bromford Housing Association Limited</t>
  </si>
  <si>
    <t>L0699</t>
  </si>
  <si>
    <t>Catalyst Housing Limited</t>
  </si>
  <si>
    <t>H1528</t>
  </si>
  <si>
    <t>Central and Cecil Housing Trust</t>
  </si>
  <si>
    <t>4865</t>
  </si>
  <si>
    <t>Clarion Housing Association Limited</t>
  </si>
  <si>
    <t>LH4209</t>
  </si>
  <si>
    <t>Curo Places Limited</t>
  </si>
  <si>
    <t>4775</t>
  </si>
  <si>
    <t>EMH Housing and Regeneration Limited</t>
  </si>
  <si>
    <t>L4204</t>
  </si>
  <si>
    <t>Frontis Homes Limited</t>
  </si>
  <si>
    <t>L4372</t>
  </si>
  <si>
    <t>Futures Homescape Limited</t>
  </si>
  <si>
    <t>L4498</t>
  </si>
  <si>
    <t>Futures Homeway Limited</t>
  </si>
  <si>
    <t>L1230</t>
  </si>
  <si>
    <t>Great Places Housing Association</t>
  </si>
  <si>
    <t>L4447</t>
  </si>
  <si>
    <t>Hillside Housing Trust Limited</t>
  </si>
  <si>
    <t>LH4121</t>
  </si>
  <si>
    <t>Homes Plus Limited</t>
  </si>
  <si>
    <t>L4223</t>
  </si>
  <si>
    <t>Hyde Southbank Homes Limited</t>
  </si>
  <si>
    <t>L4532</t>
  </si>
  <si>
    <t>Jigsaw Homes Midlands</t>
  </si>
  <si>
    <t>LH0131</t>
  </si>
  <si>
    <t>Jigsaw Homes North</t>
  </si>
  <si>
    <t>LH4266</t>
  </si>
  <si>
    <t>Jigsaw Homes Tameside</t>
  </si>
  <si>
    <t>L4303</t>
  </si>
  <si>
    <t>Martlet Homes Limited</t>
  </si>
  <si>
    <t>L4485</t>
  </si>
  <si>
    <t>Merlin Housing Society Limited</t>
  </si>
  <si>
    <t>L0726</t>
  </si>
  <si>
    <t>Metropolitan Housing Trust Limited</t>
  </si>
  <si>
    <t>SL3119</t>
  </si>
  <si>
    <t>Notting Hill Home Ownership Limited</t>
  </si>
  <si>
    <t>LH4248</t>
  </si>
  <si>
    <t>Ocean Housing Limited</t>
  </si>
  <si>
    <t>LH0250</t>
  </si>
  <si>
    <t>Onward Homes Limited</t>
  </si>
  <si>
    <t>L4060</t>
  </si>
  <si>
    <t>Orbit Housing Association Limited</t>
  </si>
  <si>
    <t>LH4138</t>
  </si>
  <si>
    <t>Paradigm Homes Charitable Housing Association Limited</t>
  </si>
  <si>
    <t>L0659</t>
  </si>
  <si>
    <t>Places for People Homes Limited</t>
  </si>
  <si>
    <t>LH3926</t>
  </si>
  <si>
    <t>Places for People Living+ Limited</t>
  </si>
  <si>
    <t>5084</t>
  </si>
  <si>
    <t>Platform Housing Limited</t>
  </si>
  <si>
    <t>LH4032</t>
  </si>
  <si>
    <t>Progress Housing Association Limited</t>
  </si>
  <si>
    <t>L0877</t>
  </si>
  <si>
    <t>Redwing Living Limited</t>
  </si>
  <si>
    <t>4745</t>
  </si>
  <si>
    <t>Reside Housing Association Limited</t>
  </si>
  <si>
    <t>LH4050</t>
  </si>
  <si>
    <t>Rooftop Housing Association Limited</t>
  </si>
  <si>
    <t>LH4026</t>
  </si>
  <si>
    <t>Rosebery Housing Association Limited</t>
  </si>
  <si>
    <t>4684</t>
  </si>
  <si>
    <t>Sanctuary Affordable Housing Limited</t>
  </si>
  <si>
    <t>4717</t>
  </si>
  <si>
    <t>Stonewater (5) Limited</t>
  </si>
  <si>
    <t>4680</t>
  </si>
  <si>
    <t>Synergy Housing Limited</t>
  </si>
  <si>
    <t>L0689</t>
  </si>
  <si>
    <t>The Swaythling Housing Society Limited</t>
  </si>
  <si>
    <t>L4160</t>
  </si>
  <si>
    <t>Together Housing Association Limited</t>
  </si>
  <si>
    <t>L4251</t>
  </si>
  <si>
    <t>Town and Country Housing</t>
  </si>
  <si>
    <t>L1700</t>
  </si>
  <si>
    <t>Your Housing Limited</t>
  </si>
  <si>
    <t>Guidance</t>
  </si>
  <si>
    <t>Select provider to
compare to peers</t>
  </si>
  <si>
    <t>Set parameters for peer group in yellow cells and green (Yes) / pink (No) option dropdowns</t>
  </si>
  <si>
    <t>Peer group details.</t>
  </si>
  <si>
    <t>Include providers in size range:</t>
  </si>
  <si>
    <t>Include based on stock type</t>
  </si>
  <si>
    <t>Set as 0 to disapply as a parameter</t>
  </si>
  <si>
    <t>Min/max</t>
  </si>
  <si>
    <t>Minimum</t>
  </si>
  <si>
    <t>Pick type</t>
  </si>
  <si>
    <t>any region selected</t>
  </si>
  <si>
    <t>Set %</t>
  </si>
  <si>
    <t>Yes</t>
  </si>
  <si>
    <t>% Supported &amp; older people</t>
  </si>
  <si>
    <t>% General Needs</t>
  </si>
  <si>
    <t>Meets initial criteria</t>
  </si>
  <si>
    <t>Override initial criteria</t>
  </si>
  <si>
    <t>Included in final peers</t>
  </si>
  <si>
    <t>Index</t>
  </si>
  <si>
    <t>Exclude</t>
  </si>
  <si>
    <t>Include</t>
  </si>
  <si>
    <t>Selected provider to
compare to peers</t>
  </si>
  <si>
    <t>Select sort columns and order</t>
  </si>
  <si>
    <t>Sorted column header highlighted dark red</t>
  </si>
  <si>
    <t>Quartiles and ranks are based only on numerical ordering. That is, quartile 1 is not necessarily “better” than quartile 2. These should be interpreted according to the individual metrics and in the context of the providers’ strategies.</t>
  </si>
  <si>
    <t>Size and characteristics</t>
  </si>
  <si>
    <t>Maximum</t>
  </si>
  <si>
    <t>14 pt to force row height</t>
  </si>
  <si>
    <t>Copy of the consolidated metrics, used as source data for the benchmarking functionality.  The consolidated metrics tab is not protected, so that users can expand/collapse groups of columns. A copy is used to ensure the integrity of the benchmarking results is maintained if a user accidentally changes something on the unprotected metrics sheet. This version will be protected and hidden in the final published tool.</t>
  </si>
  <si>
    <t>Filters for reducing numbers of rows to be returned in results, depending on choices made on the BYO peer group selection page</t>
  </si>
  <si>
    <t>Tab to be hidden in final published file (and workbook structure protected)</t>
  </si>
  <si>
    <t>Filter for region</t>
  </si>
  <si>
    <t>Combine filters, match in metrics and calc quartiles</t>
  </si>
  <si>
    <t>Filter for property type</t>
  </si>
  <si>
    <t>Filter for size</t>
  </si>
  <si>
    <t>Sorting Lookups</t>
  </si>
  <si>
    <t>Filter for RP type</t>
  </si>
  <si>
    <t>Region minimum</t>
  </si>
  <si>
    <t>Based on</t>
  </si>
  <si>
    <t>total for selected regions</t>
  </si>
  <si>
    <t>Incl for Lon</t>
  </si>
  <si>
    <t>Incl for SE</t>
  </si>
  <si>
    <t>Incl for SW</t>
  </si>
  <si>
    <t>Incl for EM</t>
  </si>
  <si>
    <t>Incl for WM</t>
  </si>
  <si>
    <t>Incl for EE</t>
  </si>
  <si>
    <t>Incl for NE</t>
  </si>
  <si>
    <t>Incl for NW</t>
  </si>
  <si>
    <t>Incl for YH</t>
  </si>
  <si>
    <t>Total in selected regions</t>
  </si>
  <si>
    <t>Include for region - any</t>
  </si>
  <si>
    <t>Include for region - total</t>
  </si>
  <si>
    <t>Include for region</t>
  </si>
  <si>
    <t>Prop Type</t>
  </si>
  <si>
    <t>Threshold type</t>
  </si>
  <si>
    <t>Selected Prop Type %</t>
  </si>
  <si>
    <t>Cut-off</t>
  </si>
  <si>
    <t>Incl for prop type</t>
  </si>
  <si>
    <t>Min</t>
  </si>
  <si>
    <t>Max</t>
  </si>
  <si>
    <t>Incl for size</t>
  </si>
  <si>
    <t>Incl. for traditional</t>
  </si>
  <si>
    <t>Incl. for LSVT</t>
  </si>
  <si>
    <t>Incl, for RP Type</t>
  </si>
  <si>
    <t>k</t>
  </si>
  <si>
    <t>Q1</t>
  </si>
  <si>
    <t>Med</t>
  </si>
  <si>
    <t>Q3</t>
  </si>
  <si>
    <t>Provider name</t>
  </si>
  <si>
    <t>Code</t>
  </si>
  <si>
    <t>Reinvestment quartile</t>
  </si>
  <si>
    <t>Reinvestment rank</t>
  </si>
  <si>
    <t>New Supply (Social) quartile</t>
  </si>
  <si>
    <t>New Supply (Social) rank</t>
  </si>
  <si>
    <t>New Supply (Non-Social) quartile</t>
  </si>
  <si>
    <t>New Supply (Non-Social) rank</t>
  </si>
  <si>
    <t>Gearing quartile</t>
  </si>
  <si>
    <t>Gearing rank</t>
  </si>
  <si>
    <t>EBITDA MRI Interest Cover quartile</t>
  </si>
  <si>
    <t>EBITDA MRI Interest Cover rank</t>
  </si>
  <si>
    <t>Headline Social Housing Cost per unit quartile</t>
  </si>
  <si>
    <t>Headline Social Housing Cost per unit rank</t>
  </si>
  <si>
    <t>Operating Margin (SHL) quartile</t>
  </si>
  <si>
    <t>Operating Margin (SHL) rank</t>
  </si>
  <si>
    <t>Operating Margin (Overall) quartile</t>
  </si>
  <si>
    <t>Operating Margin (Overall) rank</t>
  </si>
  <si>
    <t>ROCE quartile</t>
  </si>
  <si>
    <t>ROCE rank</t>
  </si>
  <si>
    <t>Filter Region</t>
  </si>
  <si>
    <t>Filter Prop Type</t>
  </si>
  <si>
    <t>Filter Size</t>
  </si>
  <si>
    <t>Filter RP Type</t>
  </si>
  <si>
    <t>SelectedProvider</t>
  </si>
  <si>
    <t>Initial List</t>
  </si>
  <si>
    <t>Include in output</t>
  </si>
  <si>
    <t>SortList</t>
  </si>
  <si>
    <t>SortColumnNumber</t>
  </si>
  <si>
    <t>Override_If_Excl</t>
  </si>
  <si>
    <t>SortOrderNumber</t>
  </si>
  <si>
    <t>Override_If_Incl</t>
  </si>
  <si>
    <t>TotalProviders</t>
  </si>
  <si>
    <t>InvalidOverrides</t>
  </si>
  <si>
    <t>Adjust</t>
  </si>
  <si>
    <t>Remove final Housing</t>
  </si>
  <si>
    <t>Override</t>
  </si>
  <si>
    <t>Short name</t>
  </si>
  <si>
    <t>Advance</t>
  </si>
  <si>
    <t>Calico</t>
  </si>
  <si>
    <t>Community Gateway</t>
  </si>
  <si>
    <t>Connexus</t>
  </si>
  <si>
    <t>Cross Keys</t>
  </si>
  <si>
    <t>DAMHA</t>
  </si>
  <si>
    <t>East Midlands HG</t>
  </si>
  <si>
    <t>Eastlight</t>
  </si>
  <si>
    <t>EPIC</t>
  </si>
  <si>
    <t>Fairhive</t>
  </si>
  <si>
    <t>First Garden Cities</t>
  </si>
  <si>
    <t>Freebridge</t>
  </si>
  <si>
    <t>Golding</t>
  </si>
  <si>
    <t>Greatwell</t>
  </si>
  <si>
    <t>Inclusion</t>
  </si>
  <si>
    <t>Lincolnshire HP</t>
  </si>
  <si>
    <t>Look Ahead</t>
  </si>
  <si>
    <t>Pickering and Ferens</t>
  </si>
  <si>
    <t>Poplar HARCA</t>
  </si>
  <si>
    <t>Railway</t>
  </si>
  <si>
    <t>Red Kite</t>
  </si>
  <si>
    <t>Selwood</t>
  </si>
  <si>
    <t>Southway</t>
  </si>
  <si>
    <t>St Mungo</t>
  </si>
  <si>
    <t>Cambridge</t>
  </si>
  <si>
    <t>Guinness</t>
  </si>
  <si>
    <t>Pioneer</t>
  </si>
  <si>
    <t>Tower Hamlets</t>
  </si>
  <si>
    <t>Watford</t>
  </si>
  <si>
    <t>Watmos</t>
  </si>
  <si>
    <t>Worthing</t>
  </si>
  <si>
    <t>Wythenshawe</t>
  </si>
  <si>
    <t>Yorkshire</t>
  </si>
  <si>
    <t>Your HG</t>
  </si>
  <si>
    <t>Select a provider</t>
  </si>
  <si>
    <t>Set the criteria for the peer group - (i) Size</t>
  </si>
  <si>
    <t>Set the criteria for the peer group - (ii) Stock type</t>
  </si>
  <si>
    <t>Set the criteria for the peer group - (iii) Provider type</t>
  </si>
  <si>
    <t>Supported &amp; older people</t>
  </si>
  <si>
    <t>Review the peer group criteria, and the providers included</t>
  </si>
  <si>
    <t>Viewing the output</t>
  </si>
  <si>
    <t>Set the criteria for the peer group - (iv) region</t>
  </si>
  <si>
    <r>
      <t>Go to the "</t>
    </r>
    <r>
      <rPr>
        <b/>
        <u/>
        <sz val="18"/>
        <color rgb="FF0000FF"/>
        <rFont val="Arial"/>
        <family val="2"/>
      </rPr>
      <t>BYO peer group - selection</t>
    </r>
    <r>
      <rPr>
        <u/>
        <sz val="18"/>
        <color rgb="FF0000FF"/>
        <rFont val="Arial"/>
        <family val="2"/>
      </rPr>
      <t>" tab</t>
    </r>
  </si>
  <si>
    <r>
      <t xml:space="preserve">
</t>
    </r>
    <r>
      <rPr>
        <b/>
        <sz val="12"/>
        <rFont val="Arial"/>
        <family val="2"/>
      </rPr>
      <t>LSVT Age</t>
    </r>
    <r>
      <rPr>
        <sz val="12"/>
        <rFont val="Arial"/>
        <family val="2"/>
      </rPr>
      <t>: Uses the date of the largest transfer to band providers where transferred units account for over 50% of the current social stock. The  bands used are &lt; 12 years (classes as "LSVT" for analysis) and &gt; 12 years (included with "Traditional" for analysis).</t>
    </r>
  </si>
  <si>
    <r>
      <t xml:space="preserve">
2023 VfM Metrics Consolidated
</t>
    </r>
    <r>
      <rPr>
        <sz val="12"/>
        <rFont val="Arial"/>
        <family val="2"/>
      </rPr>
      <t>Presents the VfM metrics calculated from the consolidated statements and notes in providers' FVAs</t>
    </r>
  </si>
  <si>
    <r>
      <t xml:space="preserve">
2023 VfM Metrics Entity
</t>
    </r>
    <r>
      <rPr>
        <sz val="12"/>
        <rFont val="Arial"/>
        <family val="2"/>
      </rPr>
      <t>Presents the VfM metrics calculated from the entity statements and notes in providers' FVAs</t>
    </r>
  </si>
  <si>
    <r>
      <t xml:space="preserve">
</t>
    </r>
    <r>
      <rPr>
        <b/>
        <sz val="12"/>
        <rFont val="Arial"/>
        <family val="2"/>
      </rPr>
      <t>Date of Largest Transfer</t>
    </r>
    <r>
      <rPr>
        <sz val="12"/>
        <rFont val="Arial"/>
        <family val="2"/>
      </rPr>
      <t>: This shows the date of the single largest transfer, by tenanted stock into the entity, from RSH records. If the total units transferred account for over 50% of the current social stock and the largest transfer was over 12 years ago, this is shown for reference only but the provider is treated as traditional for analysis.</t>
    </r>
  </si>
  <si>
    <t>Benchmarking: "Build your own peer group"</t>
  </si>
  <si>
    <t>(The benchmarking functionality is based on the consolidated metrics)</t>
  </si>
  <si>
    <r>
      <t xml:space="preserve">BYO peer group - instructions
</t>
    </r>
    <r>
      <rPr>
        <sz val="12"/>
        <rFont val="Arial"/>
        <family val="2"/>
      </rPr>
      <t>Provides guidance on how to use the benchmarking functionality</t>
    </r>
  </si>
  <si>
    <r>
      <t xml:space="preserve">BYO peer group - selection
</t>
    </r>
    <r>
      <rPr>
        <sz val="12"/>
        <rFont val="Arial"/>
        <family val="2"/>
      </rPr>
      <t>Allows the selection of a relevant peer group based on size, region and cost factor, and for this to be manually refined</t>
    </r>
  </si>
  <si>
    <r>
      <rPr>
        <b/>
        <sz val="12"/>
        <rFont val="Arial"/>
        <family val="2"/>
      </rPr>
      <t>BYO peer group - results</t>
    </r>
    <r>
      <rPr>
        <sz val="12"/>
        <rFont val="Arial"/>
        <family val="2"/>
      </rPr>
      <t xml:space="preserve">
Displays the results for the selection, for both the individual providers included, and the peer group as a whole</t>
    </r>
  </si>
  <si>
    <t>No - use all</t>
  </si>
  <si>
    <r>
      <t xml:space="preserve">NEW FOR THE 2023 TOOL: </t>
    </r>
    <r>
      <rPr>
        <sz val="12"/>
        <rFont val="Arial"/>
        <family val="2"/>
      </rPr>
      <t>the functionality that allows stakeholders to select a bespoke peer group and compare performance with other similar providers has been enhanced. In addition to defining criteria such as size, area of operation and business focus, the peer groups can now be manually refined to reflect providers' own knowledge of their operating context, their priorities and other providers' similarities and differences to themselves</t>
    </r>
  </si>
  <si>
    <t>Value for Money benchmarking tool</t>
  </si>
  <si>
    <r>
      <t xml:space="preserve">The VFM Standard requires all registered providers to report on performance against the regulator’s VFM metrics in their accounts, as set out in the VFM Technical Note, </t>
    </r>
    <r>
      <rPr>
        <b/>
        <u/>
        <sz val="12"/>
        <color rgb="FFC00000"/>
        <rFont val="Arial"/>
        <family val="2"/>
      </rPr>
      <t>and how that performance compares to peers</t>
    </r>
    <r>
      <rPr>
        <b/>
        <sz val="12"/>
        <color rgb="FFC00000"/>
        <rFont val="Arial"/>
        <family val="2"/>
      </rPr>
      <t xml:space="preserve">. 
</t>
    </r>
    <r>
      <rPr>
        <sz val="12"/>
        <rFont val="Arial"/>
        <family val="2"/>
      </rPr>
      <t>The Value for Money Benchmarking Tool allows providers and other stakeholders to assess RPs’ VFM performance across the range of measures, and to compare them with other providers with similar characteristics. The regulator does not mandate how peer groups are selected – it is up to individual organisations to decide on the most appropriate criteria that allows them to compare their performance meaningfully.</t>
    </r>
    <r>
      <rPr>
        <b/>
        <sz val="12"/>
        <color rgb="FFC00000"/>
        <rFont val="Arial"/>
        <family val="2"/>
      </rPr>
      <t xml:space="preserve"> </t>
    </r>
  </si>
  <si>
    <t>This database draws on data from the FVA (electronic Financial Viability Assessment) dataset. FVAs are submitted by private registered providers (PRPs) managing at least 1,000 units and are derived from their audited financial statements. The data populates the VFM metrics as set out in the VfM Metrics Technical Note (Annex A).</t>
  </si>
  <si>
    <t xml:space="preserve">
The Value for Money metrics and reporting 2023 (annex to the 2023 Global Accounts) is based on this database of information. The FVAs used relate to the accounting period ending 31 March 2023.  Four of the providers included here have a December year end. This is highlighted in column C of the data sheets where it applies.  For-profit providers have been excluded from the analysis and this tool.</t>
  </si>
  <si>
    <t xml:space="preserve">
Supplementary info is based on known contextual factors that influence the VFM metrics</t>
  </si>
  <si>
    <t>Stock type: supported housing / housing for older people (HOP)</t>
  </si>
  <si>
    <t xml:space="preserve">
% Housing for Older People (HOP): Number of HOP (including Care Home) units owned divided by the Total Number of Social Housing units owned, as reported in the 2023 SDR.</t>
  </si>
  <si>
    <r>
      <t xml:space="preserve">
</t>
    </r>
    <r>
      <rPr>
        <b/>
        <sz val="12"/>
        <rFont val="Arial"/>
        <family val="2"/>
      </rPr>
      <t>Region with 50%+ of social stock owned:</t>
    </r>
    <r>
      <rPr>
        <sz val="12"/>
        <rFont val="Arial"/>
        <family val="2"/>
      </rPr>
      <t xml:space="preserve"> The region which a provider is allocated to is defined as the region in which 50% or more of its total social homes owned are based (providers who have less than 50% of their social homes in any one region are defined as mixed providers).</t>
    </r>
  </si>
  <si>
    <r>
      <t xml:space="preserve">
</t>
    </r>
    <r>
      <rPr>
        <b/>
        <sz val="12"/>
        <rFont val="Arial"/>
        <family val="2"/>
      </rPr>
      <t>Type</t>
    </r>
    <r>
      <rPr>
        <sz val="12"/>
        <rFont val="Arial"/>
        <family val="2"/>
      </rPr>
      <t xml:space="preserve">: A provider is defined as an LSVT if the total number of units transferred into the entity accounts for over 50% of their current social stock </t>
    </r>
    <r>
      <rPr>
        <b/>
        <u/>
        <sz val="12"/>
        <rFont val="Arial"/>
        <family val="2"/>
      </rPr>
      <t>AND</t>
    </r>
    <r>
      <rPr>
        <sz val="12"/>
        <rFont val="Arial"/>
        <family val="2"/>
      </rPr>
      <t xml:space="preserve"> the largest transfer, by tenanted stock, was less than 12 years ago. Otherwise they have been defined as Traditional. </t>
    </r>
  </si>
  <si>
    <t>Provider type - traditional / large scale voluntary transfer (LSVT)</t>
  </si>
  <si>
    <t>RSH Value for Money metrics peer group benchmarking 2023</t>
  </si>
  <si>
    <t>No</t>
  </si>
  <si>
    <t>Value for money metrics and reporting - annex to the Global Accounts 2023</t>
  </si>
  <si>
    <t>All</t>
  </si>
  <si>
    <t>Descending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</si>
</sst>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6" formatCode="&quot;£&quot;#,##0;[Red]\-&quot;£&quot;#,##0"/>
    <numFmt numFmtId="43" formatCode="_-* #,##0.00_-;\-* #,##0.00_-;_-* &quot;-&quot;??_-;_-@_-"/>
    <numFmt numFmtId="164" formatCode="0.0%"/>
    <numFmt numFmtId="165" formatCode="#,##0\ ;[Red]\(#,##0\)"/>
    <numFmt numFmtId="166" formatCode="&quot;Yes&quot;;;&quot;No&quot;"/>
    <numFmt numFmtId="167" formatCode="0.0%;[Red]\(0.0%\)"/>
    <numFmt numFmtId="168" formatCode="&quot;£&quot;#,##0;[Red]\(&quot;£&quot;#,##0\)"/>
    <numFmt numFmtId="169" formatCode="&quot;£&quot;#,##0"/>
    <numFmt numFmtId="170" formatCode="0.0%;[Red]\-0.0%"/>
    <numFmt numFmtId="171" formatCode="0.00%;[Red]\-0.00%"/>
    <numFmt numFmtId="172" formatCode="yyyy"/>
    <numFmt numFmtId="173" formatCode="0.00%;[Red]\(0.00%\)"/>
    <numFmt numFmtId="174" formatCode="0%;[Red]\(0%\)"/>
    <numFmt numFmtId="175" formatCode="0%;[Red]\-0%"/>
    <numFmt numFmtId="176" formatCode="dd\ mmm\ yyyy"/>
    <numFmt numFmtId="177" formatCode="#,##0_ ;\-#,##0\ "/>
    <numFmt numFmtId="178" formatCode="0.000%"/>
  </numFmts>
  <fonts count="77" x14ac:knownFonts="1">
    <font>
      <sz val="11"/>
      <color theme="1"/>
      <name val="Calibri"/>
      <family val="2"/>
      <scheme val="minor"/>
    </font>
    <font>
      <sz val="11"/>
      <color theme="1"/>
      <name val="Calibri"/>
      <family val="2"/>
      <scheme val="minor"/>
    </font>
    <font>
      <sz val="10"/>
      <name val="Arial"/>
      <family val="2"/>
    </font>
    <font>
      <sz val="10"/>
      <color theme="1"/>
      <name val="Arial"/>
      <family val="2"/>
    </font>
    <font>
      <b/>
      <sz val="10"/>
      <color theme="0"/>
      <name val="Arial"/>
      <family val="2"/>
    </font>
    <font>
      <sz val="8"/>
      <name val="Calibri"/>
      <family val="2"/>
      <scheme val="minor"/>
    </font>
    <font>
      <sz val="10"/>
      <color theme="0"/>
      <name val="Arial"/>
      <family val="2"/>
    </font>
    <font>
      <sz val="10"/>
      <color theme="1" tint="0.249977111117893"/>
      <name val="Arial"/>
      <family val="2"/>
    </font>
    <font>
      <sz val="14"/>
      <color theme="1"/>
      <name val="Arial"/>
      <family val="2"/>
    </font>
    <font>
      <b/>
      <sz val="10"/>
      <name val="Arial"/>
      <family val="2"/>
    </font>
    <font>
      <b/>
      <sz val="10"/>
      <color theme="1"/>
      <name val="Arial"/>
      <family val="2"/>
    </font>
    <font>
      <sz val="20"/>
      <color theme="1"/>
      <name val="Arial"/>
      <family val="2"/>
    </font>
    <font>
      <b/>
      <i/>
      <sz val="10"/>
      <color theme="1"/>
      <name val="Arial"/>
      <family val="2"/>
    </font>
    <font>
      <sz val="16"/>
      <color theme="1"/>
      <name val="Arial"/>
      <family val="2"/>
    </font>
    <font>
      <sz val="10"/>
      <color theme="1" tint="0.34998626667073579"/>
      <name val="Arial"/>
      <family val="2"/>
    </font>
    <font>
      <sz val="8"/>
      <color theme="1"/>
      <name val="Arial"/>
      <family val="2"/>
    </font>
    <font>
      <sz val="18"/>
      <color theme="1"/>
      <name val="Arial"/>
      <family val="2"/>
    </font>
    <font>
      <i/>
      <sz val="8"/>
      <color theme="1" tint="0.34998626667073579"/>
      <name val="Arial"/>
      <family val="2"/>
    </font>
    <font>
      <sz val="9"/>
      <name val="Arial"/>
      <family val="2"/>
    </font>
    <font>
      <sz val="14"/>
      <name val="Arial"/>
      <family val="2"/>
    </font>
    <font>
      <b/>
      <sz val="10"/>
      <color rgb="FFFF0000"/>
      <name val="Arial"/>
      <family val="2"/>
    </font>
    <font>
      <u/>
      <sz val="11"/>
      <color theme="10"/>
      <name val="Calibri"/>
      <family val="2"/>
      <scheme val="minor"/>
    </font>
    <font>
      <b/>
      <u/>
      <sz val="11"/>
      <color rgb="FF0070C0"/>
      <name val="Calibri"/>
      <family val="2"/>
      <scheme val="minor"/>
    </font>
    <font>
      <b/>
      <sz val="22"/>
      <color rgb="FF000000"/>
      <name val="Arial"/>
      <family val="2"/>
    </font>
    <font>
      <b/>
      <sz val="16"/>
      <color rgb="FF000000"/>
      <name val="Arial"/>
      <family val="2"/>
    </font>
    <font>
      <sz val="11"/>
      <color theme="1"/>
      <name val="Arial"/>
      <family val="2"/>
    </font>
    <font>
      <u/>
      <sz val="10"/>
      <color theme="10"/>
      <name val="Arial"/>
      <family val="2"/>
    </font>
    <font>
      <b/>
      <sz val="14"/>
      <color rgb="FFFF0000"/>
      <name val="Arial"/>
      <family val="2"/>
    </font>
    <font>
      <b/>
      <u/>
      <sz val="16"/>
      <color theme="1"/>
      <name val="Arial"/>
      <family val="2"/>
    </font>
    <font>
      <b/>
      <sz val="22"/>
      <color theme="1"/>
      <name val="Arial"/>
      <family val="2"/>
    </font>
    <font>
      <sz val="10"/>
      <name val="Arial"/>
      <family val="2"/>
    </font>
    <font>
      <sz val="11"/>
      <name val="Arial"/>
      <family val="2"/>
    </font>
    <font>
      <b/>
      <sz val="12"/>
      <name val="Arial"/>
      <family val="2"/>
    </font>
    <font>
      <b/>
      <sz val="11"/>
      <name val="Arial"/>
      <family val="2"/>
    </font>
    <font>
      <sz val="24"/>
      <name val="Arial"/>
      <family val="2"/>
    </font>
    <font>
      <b/>
      <sz val="26"/>
      <name val="Arial"/>
      <family val="2"/>
    </font>
    <font>
      <b/>
      <sz val="11"/>
      <color theme="1"/>
      <name val="Arial"/>
      <family val="2"/>
    </font>
    <font>
      <u/>
      <sz val="11"/>
      <color rgb="FF0000FF"/>
      <name val="Arial"/>
      <family val="2"/>
    </font>
    <font>
      <b/>
      <sz val="8"/>
      <color theme="1"/>
      <name val="Arial"/>
      <family val="2"/>
    </font>
    <font>
      <b/>
      <u/>
      <sz val="11"/>
      <color rgb="FF0000FF"/>
      <name val="Arial"/>
      <family val="2"/>
    </font>
    <font>
      <i/>
      <sz val="11"/>
      <name val="Arial"/>
      <family val="2"/>
    </font>
    <font>
      <b/>
      <sz val="8"/>
      <color rgb="FFC00000"/>
      <name val="Arial"/>
      <family val="2"/>
    </font>
    <font>
      <sz val="16"/>
      <name val="Arial"/>
      <family val="2"/>
    </font>
    <font>
      <sz val="5"/>
      <color theme="1"/>
      <name val="Arial"/>
      <family val="2"/>
    </font>
    <font>
      <sz val="2"/>
      <color theme="1"/>
      <name val="Arial"/>
      <family val="2"/>
    </font>
    <font>
      <b/>
      <sz val="2"/>
      <color theme="1"/>
      <name val="Arial"/>
      <family val="2"/>
    </font>
    <font>
      <sz val="12"/>
      <color theme="1"/>
      <name val="Arial"/>
      <family val="2"/>
    </font>
    <font>
      <i/>
      <sz val="9"/>
      <name val="Arial"/>
      <family val="2"/>
    </font>
    <font>
      <b/>
      <sz val="14"/>
      <name val="Arial"/>
      <family val="2"/>
    </font>
    <font>
      <sz val="8"/>
      <color theme="1" tint="0.249977111117893"/>
      <name val="Arial"/>
      <family val="2"/>
    </font>
    <font>
      <sz val="9"/>
      <color theme="1" tint="0.249977111117893"/>
      <name val="Arial"/>
      <family val="2"/>
    </font>
    <font>
      <b/>
      <sz val="10.5"/>
      <name val="Arial"/>
      <family val="2"/>
    </font>
    <font>
      <sz val="10.5"/>
      <name val="Arial"/>
      <family val="2"/>
    </font>
    <font>
      <b/>
      <sz val="10.5"/>
      <color theme="1"/>
      <name val="Arial"/>
      <family val="2"/>
    </font>
    <font>
      <sz val="10.5"/>
      <color theme="1"/>
      <name val="Arial"/>
      <family val="2"/>
    </font>
    <font>
      <i/>
      <sz val="10"/>
      <color theme="1"/>
      <name val="Arial"/>
      <family val="2"/>
    </font>
    <font>
      <b/>
      <sz val="10"/>
      <color theme="1" tint="0.249977111117893"/>
      <name val="Arial"/>
      <family val="2"/>
    </font>
    <font>
      <sz val="14"/>
      <color rgb="FFFF0000"/>
      <name val="Arial"/>
      <family val="2"/>
    </font>
    <font>
      <i/>
      <sz val="2"/>
      <color theme="1"/>
      <name val="Arial"/>
      <family val="2"/>
    </font>
    <font>
      <i/>
      <sz val="5"/>
      <color theme="1"/>
      <name val="Arial"/>
      <family val="2"/>
    </font>
    <font>
      <i/>
      <sz val="14"/>
      <color theme="1"/>
      <name val="Arial"/>
      <family val="2"/>
    </font>
    <font>
      <b/>
      <i/>
      <sz val="2"/>
      <color theme="1"/>
      <name val="Arial"/>
      <family val="2"/>
    </font>
    <font>
      <b/>
      <i/>
      <sz val="10"/>
      <color theme="0"/>
      <name val="Arial"/>
      <family val="2"/>
    </font>
    <font>
      <i/>
      <sz val="10"/>
      <color theme="0"/>
      <name val="Arial"/>
      <family val="2"/>
    </font>
    <font>
      <b/>
      <sz val="11"/>
      <color theme="1"/>
      <name val="Calibri"/>
      <family val="2"/>
      <scheme val="minor"/>
    </font>
    <font>
      <b/>
      <sz val="18"/>
      <color theme="1"/>
      <name val="Arial"/>
      <family val="2"/>
    </font>
    <font>
      <u/>
      <sz val="18"/>
      <color rgb="FF0000FF"/>
      <name val="Arial"/>
      <family val="2"/>
    </font>
    <font>
      <b/>
      <u/>
      <sz val="18"/>
      <color rgb="FF0000FF"/>
      <name val="Arial"/>
      <family val="2"/>
    </font>
    <font>
      <b/>
      <sz val="14"/>
      <color theme="1"/>
      <name val="Arial"/>
      <family val="2"/>
    </font>
    <font>
      <b/>
      <sz val="10"/>
      <color theme="1"/>
      <name val="Calibri"/>
      <family val="2"/>
      <scheme val="minor"/>
    </font>
    <font>
      <sz val="10"/>
      <color theme="1"/>
      <name val="Calibri"/>
      <family val="2"/>
      <scheme val="minor"/>
    </font>
    <font>
      <b/>
      <sz val="12"/>
      <color rgb="FFC00000"/>
      <name val="Arial"/>
      <family val="2"/>
    </font>
    <font>
      <b/>
      <u/>
      <sz val="12"/>
      <color rgb="FFC00000"/>
      <name val="Arial"/>
      <family val="2"/>
    </font>
    <font>
      <sz val="12"/>
      <name val="Arial"/>
      <family val="2"/>
    </font>
    <font>
      <b/>
      <u/>
      <sz val="12"/>
      <name val="Arial"/>
      <family val="2"/>
    </font>
    <font>
      <b/>
      <sz val="12"/>
      <color theme="1"/>
      <name val="Arial"/>
      <family val="2"/>
    </font>
    <font>
      <b/>
      <sz val="12"/>
      <color rgb="FFFF0000"/>
      <name val="Arial"/>
      <family val="2"/>
    </font>
  </fonts>
  <fills count="24">
    <fill>
      <patternFill patternType="none"/>
    </fill>
    <fill>
      <patternFill patternType="gray125"/>
    </fill>
    <fill>
      <patternFill patternType="solid">
        <fgColor theme="0" tint="-0.14999847407452621"/>
        <bgColor indexed="64"/>
      </patternFill>
    </fill>
    <fill>
      <patternFill patternType="solid">
        <fgColor theme="8" tint="0.39997558519241921"/>
        <bgColor indexed="64"/>
      </patternFill>
    </fill>
    <fill>
      <patternFill patternType="solid">
        <fgColor rgb="FFACA3C6"/>
        <bgColor indexed="64"/>
      </patternFill>
    </fill>
    <fill>
      <patternFill patternType="solid">
        <fgColor rgb="FF59468D"/>
        <bgColor indexed="64"/>
      </patternFill>
    </fill>
    <fill>
      <patternFill patternType="solid">
        <fgColor theme="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1" tint="0.34998626667073579"/>
        <bgColor indexed="64"/>
      </patternFill>
    </fill>
    <fill>
      <patternFill patternType="solid">
        <fgColor rgb="FF3C8A8A"/>
        <bgColor indexed="64"/>
      </patternFill>
    </fill>
    <fill>
      <patternFill patternType="solid">
        <fgColor rgb="FF89CDCB"/>
        <bgColor indexed="64"/>
      </patternFill>
    </fill>
    <fill>
      <patternFill patternType="solid">
        <fgColor rgb="FFE6E6E6"/>
        <bgColor indexed="64"/>
      </patternFill>
    </fill>
    <fill>
      <patternFill patternType="solid">
        <fgColor rgb="FFFFFFFF"/>
        <bgColor indexed="64"/>
      </patternFill>
    </fill>
    <fill>
      <patternFill patternType="solid">
        <fgColor rgb="FFC7E7E6"/>
        <bgColor indexed="64"/>
      </patternFill>
    </fill>
    <fill>
      <patternFill patternType="solid">
        <fgColor rgb="FFE9E7F1"/>
        <bgColor indexed="64"/>
      </patternFill>
    </fill>
    <fill>
      <patternFill patternType="solid">
        <fgColor theme="5" tint="-0.249977111117893"/>
        <bgColor indexed="64"/>
      </patternFill>
    </fill>
    <fill>
      <patternFill patternType="solid">
        <fgColor theme="0" tint="-0.499984740745262"/>
        <bgColor indexed="64"/>
      </patternFill>
    </fill>
    <fill>
      <patternFill patternType="solid">
        <fgColor theme="7" tint="0.59996337778862885"/>
        <bgColor indexed="64"/>
      </patternFill>
    </fill>
    <fill>
      <patternFill patternType="solid">
        <fgColor rgb="FFFFFF00"/>
        <bgColor indexed="64"/>
      </patternFill>
    </fill>
    <fill>
      <patternFill patternType="solid">
        <fgColor theme="5" tint="0.39997558519241921"/>
        <bgColor indexed="64"/>
      </patternFill>
    </fill>
  </fills>
  <borders count="82">
    <border>
      <left/>
      <right/>
      <top/>
      <bottom/>
      <diagonal/>
    </border>
    <border>
      <left/>
      <right/>
      <top style="hair">
        <color rgb="FF59468D"/>
      </top>
      <bottom/>
      <diagonal/>
    </border>
    <border>
      <left/>
      <right/>
      <top/>
      <bottom style="hair">
        <color rgb="FF59468D"/>
      </bottom>
      <diagonal/>
    </border>
    <border>
      <left style="hair">
        <color rgb="FF59468D"/>
      </left>
      <right/>
      <top style="hair">
        <color rgb="FF59468D"/>
      </top>
      <bottom/>
      <diagonal/>
    </border>
    <border>
      <left style="hair">
        <color rgb="FF59468D"/>
      </left>
      <right/>
      <top/>
      <bottom/>
      <diagonal/>
    </border>
    <border>
      <left style="hair">
        <color theme="0" tint="-0.34998626667073579"/>
      </left>
      <right/>
      <top/>
      <bottom/>
      <diagonal/>
    </border>
    <border>
      <left/>
      <right style="hair">
        <color rgb="FF59468D"/>
      </right>
      <top/>
      <bottom/>
      <diagonal/>
    </border>
    <border>
      <left/>
      <right style="hair">
        <color rgb="FF59468D"/>
      </right>
      <top style="hair">
        <color rgb="FF59468D"/>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top/>
      <bottom style="hair">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style="hair">
        <color auto="1"/>
      </left>
      <right/>
      <top style="hair">
        <color auto="1"/>
      </top>
      <bottom style="hair">
        <color auto="1"/>
      </bottom>
      <diagonal/>
    </border>
    <border>
      <left style="thin">
        <color theme="0" tint="-0.499984740745262"/>
      </left>
      <right/>
      <top style="hair">
        <color auto="1"/>
      </top>
      <bottom style="hair">
        <color auto="1"/>
      </bottom>
      <diagonal/>
    </border>
    <border>
      <left/>
      <right style="thin">
        <color theme="0" tint="-0.499984740745262"/>
      </right>
      <top style="hair">
        <color auto="1"/>
      </top>
      <bottom style="hair">
        <color auto="1"/>
      </bottom>
      <diagonal/>
    </border>
    <border>
      <left style="hair">
        <color rgb="FF59468D"/>
      </left>
      <right style="hair">
        <color rgb="FF59468D"/>
      </right>
      <top style="hair">
        <color rgb="FF59468D"/>
      </top>
      <bottom/>
      <diagonal/>
    </border>
    <border>
      <left style="hair">
        <color rgb="FF59468D"/>
      </left>
      <right style="hair">
        <color rgb="FF59468D"/>
      </right>
      <top/>
      <bottom style="hair">
        <color rgb="FF59468D"/>
      </bottom>
      <diagonal/>
    </border>
    <border>
      <left style="hair">
        <color rgb="FF59468D"/>
      </left>
      <right/>
      <top/>
      <bottom style="hair">
        <color rgb="FF59468D"/>
      </bottom>
      <diagonal/>
    </border>
    <border>
      <left/>
      <right style="hair">
        <color rgb="FF59468D"/>
      </right>
      <top/>
      <bottom style="hair">
        <color rgb="FF59468D"/>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top style="hair">
        <color auto="1"/>
      </top>
      <bottom/>
      <diagonal/>
    </border>
    <border>
      <left/>
      <right style="medium">
        <color auto="1"/>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ck">
        <color auto="1"/>
      </bottom>
      <diagonal/>
    </border>
    <border>
      <left style="thin">
        <color theme="0" tint="-0.499984740745262"/>
      </left>
      <right style="thin">
        <color theme="0" tint="-0.499984740745262"/>
      </right>
      <top/>
      <bottom style="thick">
        <color auto="1"/>
      </bottom>
      <diagonal/>
    </border>
    <border>
      <left style="thin">
        <color theme="0" tint="-0.499984740745262"/>
      </left>
      <right/>
      <top/>
      <bottom style="thick">
        <color auto="1"/>
      </bottom>
      <diagonal/>
    </border>
    <border>
      <left style="thick">
        <color theme="1"/>
      </left>
      <right style="thin">
        <color theme="0" tint="-0.499984740745262"/>
      </right>
      <top/>
      <bottom style="thin">
        <color theme="0" tint="-0.499984740745262"/>
      </bottom>
      <diagonal/>
    </border>
    <border>
      <left style="thin">
        <color theme="0" tint="-0.499984740745262"/>
      </left>
      <right style="thick">
        <color theme="1"/>
      </right>
      <top/>
      <bottom style="thin">
        <color theme="0" tint="-0.499984740745262"/>
      </bottom>
      <diagonal/>
    </border>
    <border>
      <left style="thick">
        <color theme="1"/>
      </left>
      <right style="thin">
        <color theme="0" tint="-0.499984740745262"/>
      </right>
      <top style="thin">
        <color theme="0" tint="-0.499984740745262"/>
      </top>
      <bottom style="thin">
        <color theme="0" tint="-0.499984740745262"/>
      </bottom>
      <diagonal/>
    </border>
    <border>
      <left style="thin">
        <color theme="0" tint="-0.499984740745262"/>
      </left>
      <right style="thick">
        <color theme="1"/>
      </right>
      <top style="thin">
        <color theme="0" tint="-0.499984740745262"/>
      </top>
      <bottom style="thin">
        <color theme="0" tint="-0.499984740745262"/>
      </bottom>
      <diagonal/>
    </border>
    <border>
      <left/>
      <right/>
      <top style="thick">
        <color auto="1"/>
      </top>
      <bottom/>
      <diagonal/>
    </border>
    <border>
      <left/>
      <right style="thick">
        <color theme="1"/>
      </right>
      <top/>
      <bottom style="thin">
        <color theme="0" tint="-0.499984740745262"/>
      </bottom>
      <diagonal/>
    </border>
    <border>
      <left style="thick">
        <color auto="1"/>
      </left>
      <right style="thin">
        <color theme="0" tint="-0.499984740745262"/>
      </right>
      <top/>
      <bottom style="thick">
        <color auto="1"/>
      </bottom>
      <diagonal/>
    </border>
    <border>
      <left style="thin">
        <color theme="0" tint="-0.499984740745262"/>
      </left>
      <right style="thin">
        <color theme="0" tint="-0.499984740745262"/>
      </right>
      <top style="thick">
        <color auto="1"/>
      </top>
      <bottom/>
      <diagonal/>
    </border>
    <border>
      <left style="thin">
        <color theme="0" tint="-0.499984740745262"/>
      </left>
      <right style="thick">
        <color theme="1"/>
      </right>
      <top style="thick">
        <color theme="1"/>
      </top>
      <bottom style="thin">
        <color theme="0" tint="-0.499984740745262"/>
      </bottom>
      <diagonal/>
    </border>
    <border>
      <left style="thick">
        <color theme="1"/>
      </left>
      <right style="thin">
        <color theme="0" tint="-0.499984740745262"/>
      </right>
      <top/>
      <bottom style="thick">
        <color theme="1"/>
      </bottom>
      <diagonal/>
    </border>
    <border>
      <left style="thin">
        <color theme="0" tint="-0.499984740745262"/>
      </left>
      <right style="thin">
        <color theme="0" tint="-0.499984740745262"/>
      </right>
      <top/>
      <bottom style="thick">
        <color theme="1"/>
      </bottom>
      <diagonal/>
    </border>
    <border>
      <left style="thin">
        <color theme="0" tint="-0.499984740745262"/>
      </left>
      <right style="thick">
        <color theme="1"/>
      </right>
      <top/>
      <bottom style="thick">
        <color theme="1"/>
      </bottom>
      <diagonal/>
    </border>
    <border>
      <left style="thick">
        <color theme="1"/>
      </left>
      <right style="thin">
        <color theme="0" tint="-0.499984740745262"/>
      </right>
      <top style="thin">
        <color theme="0" tint="-0.499984740745262"/>
      </top>
      <bottom style="thick">
        <color theme="1"/>
      </bottom>
      <diagonal/>
    </border>
    <border>
      <left style="thin">
        <color theme="0" tint="-0.499984740745262"/>
      </left>
      <right style="thin">
        <color theme="0" tint="-0.499984740745262"/>
      </right>
      <top style="thin">
        <color theme="0" tint="-0.499984740745262"/>
      </top>
      <bottom style="thick">
        <color theme="1"/>
      </bottom>
      <diagonal/>
    </border>
    <border>
      <left style="thin">
        <color theme="0" tint="-0.499984740745262"/>
      </left>
      <right style="thick">
        <color theme="1"/>
      </right>
      <top style="thin">
        <color theme="0" tint="-0.499984740745262"/>
      </top>
      <bottom style="thick">
        <color theme="1"/>
      </bottom>
      <diagonal/>
    </border>
    <border>
      <left style="thick">
        <color auto="1"/>
      </left>
      <right style="thin">
        <color theme="0" tint="-0.499984740745262"/>
      </right>
      <top style="thick">
        <color auto="1"/>
      </top>
      <bottom style="thick">
        <color auto="1"/>
      </bottom>
      <diagonal/>
    </border>
    <border>
      <left style="thin">
        <color theme="0" tint="-0.499984740745262"/>
      </left>
      <right style="thin">
        <color theme="0" tint="-0.499984740745262"/>
      </right>
      <top style="thick">
        <color auto="1"/>
      </top>
      <bottom style="thick">
        <color auto="1"/>
      </bottom>
      <diagonal/>
    </border>
    <border>
      <left/>
      <right style="thick">
        <color auto="1"/>
      </right>
      <top style="thick">
        <color auto="1"/>
      </top>
      <bottom style="thick">
        <color auto="1"/>
      </bottom>
      <diagonal/>
    </border>
    <border>
      <left/>
      <right style="thin">
        <color theme="0" tint="-0.499984740745262"/>
      </right>
      <top style="thin">
        <color theme="0" tint="-0.499984740745262"/>
      </top>
      <bottom style="thick">
        <color auto="1"/>
      </bottom>
      <diagonal/>
    </border>
    <border>
      <left style="thick">
        <color auto="1"/>
      </left>
      <right/>
      <top/>
      <bottom/>
      <diagonal/>
    </border>
    <border>
      <left style="thick">
        <color theme="1"/>
      </left>
      <right/>
      <top style="thick">
        <color theme="1"/>
      </top>
      <bottom style="thin">
        <color theme="0" tint="-0.499984740745262"/>
      </bottom>
      <diagonal/>
    </border>
    <border>
      <left/>
      <right/>
      <top style="thick">
        <color theme="1"/>
      </top>
      <bottom style="thin">
        <color theme="0" tint="-0.499984740745262"/>
      </bottom>
      <diagonal/>
    </border>
    <border>
      <left/>
      <right style="thin">
        <color theme="0" tint="-0.499984740745262"/>
      </right>
      <top style="thick">
        <color theme="1"/>
      </top>
      <bottom style="thin">
        <color theme="0" tint="-0.499984740745262"/>
      </bottom>
      <diagonal/>
    </border>
    <border>
      <left/>
      <right style="thick">
        <color theme="1"/>
      </right>
      <top style="thick">
        <color theme="1"/>
      </top>
      <bottom style="thin">
        <color theme="0" tint="-0.499984740745262"/>
      </bottom>
      <diagonal/>
    </border>
    <border>
      <left style="thick">
        <color theme="1"/>
      </left>
      <right/>
      <top style="thick">
        <color auto="1"/>
      </top>
      <bottom/>
      <diagonal/>
    </border>
    <border>
      <left style="hair">
        <color rgb="FF3C8A8A"/>
      </left>
      <right style="hair">
        <color rgb="FF3C8A8A"/>
      </right>
      <top/>
      <bottom/>
      <diagonal/>
    </border>
    <border>
      <left style="hair">
        <color rgb="FF3C8A8A"/>
      </left>
      <right/>
      <top/>
      <bottom/>
      <diagonal/>
    </border>
    <border>
      <left/>
      <right style="hair">
        <color rgb="FF3C8A8A"/>
      </right>
      <top/>
      <bottom/>
      <diagonal/>
    </border>
    <border>
      <left style="hair">
        <color rgb="FF3C8A8A"/>
      </left>
      <right style="hair">
        <color rgb="FF3C8A8A"/>
      </right>
      <top style="hair">
        <color rgb="FF59468D"/>
      </top>
      <bottom/>
      <diagonal/>
    </border>
    <border>
      <left style="hair">
        <color rgb="FF3C8A8A"/>
      </left>
      <right/>
      <top style="hair">
        <color rgb="FF59468D"/>
      </top>
      <bottom/>
      <diagonal/>
    </border>
    <border>
      <left/>
      <right style="hair">
        <color rgb="FF3C8A8A"/>
      </right>
      <top style="hair">
        <color rgb="FF59468D"/>
      </top>
      <bottom/>
      <diagonal/>
    </border>
    <border>
      <left style="thick">
        <color theme="1"/>
      </left>
      <right/>
      <top style="thin">
        <color theme="0" tint="-0.499984740745262"/>
      </top>
      <bottom style="thin">
        <color theme="0" tint="-0.499984740745262"/>
      </bottom>
      <diagonal/>
    </border>
    <border>
      <left style="thick">
        <color theme="1"/>
      </left>
      <right style="thin">
        <color theme="0" tint="-0.499984740745262"/>
      </right>
      <top style="thick">
        <color auto="1"/>
      </top>
      <bottom style="thin">
        <color theme="0" tint="-4.9989318521683403E-2"/>
      </bottom>
      <diagonal/>
    </border>
    <border>
      <left style="thick">
        <color theme="1"/>
      </left>
      <right style="thin">
        <color theme="0" tint="-0.499984740745262"/>
      </right>
      <top style="thin">
        <color theme="0" tint="-4.9989318521683403E-2"/>
      </top>
      <bottom style="thin">
        <color theme="0" tint="-4.9989318521683403E-2"/>
      </bottom>
      <diagonal/>
    </border>
    <border>
      <left style="thin">
        <color theme="0" tint="-0.499984740745262"/>
      </left>
      <right style="thin">
        <color theme="0" tint="-0.499984740745262"/>
      </right>
      <top style="thick">
        <color auto="1"/>
      </top>
      <bottom style="thin">
        <color theme="0" tint="-4.9989318521683403E-2"/>
      </bottom>
      <diagonal/>
    </border>
    <border>
      <left style="thin">
        <color theme="0" tint="-0.499984740745262"/>
      </left>
      <right style="thin">
        <color theme="0" tint="-0.499984740745262"/>
      </right>
      <top style="thin">
        <color theme="0" tint="-4.9989318521683403E-2"/>
      </top>
      <bottom style="thin">
        <color theme="0" tint="-4.9989318521683403E-2"/>
      </bottom>
      <diagonal/>
    </border>
    <border>
      <left style="thin">
        <color theme="0" tint="-0.499984740745262"/>
      </left>
      <right/>
      <top style="thick">
        <color auto="1"/>
      </top>
      <bottom/>
      <diagonal/>
    </border>
    <border>
      <left style="thin">
        <color theme="0" tint="-0.499984740745262"/>
      </left>
      <right style="thick">
        <color auto="1"/>
      </right>
      <top/>
      <bottom style="thick">
        <color auto="1"/>
      </bottom>
      <diagonal/>
    </border>
    <border>
      <left style="thin">
        <color theme="0" tint="-0.499984740745262"/>
      </left>
      <right style="thick">
        <color auto="1"/>
      </right>
      <top style="thin">
        <color theme="0" tint="-0.499984740745262"/>
      </top>
      <bottom/>
      <diagonal/>
    </border>
    <border>
      <left/>
      <right style="thick">
        <color auto="1"/>
      </right>
      <top style="thick">
        <color auto="1"/>
      </top>
      <bottom style="thin">
        <color theme="0" tint="-0.499984740745262"/>
      </bottom>
      <diagonal/>
    </border>
    <border>
      <left style="double">
        <color theme="1"/>
      </left>
      <right style="double">
        <color theme="1"/>
      </right>
      <top style="double">
        <color theme="1"/>
      </top>
      <bottom style="double">
        <color theme="1"/>
      </bottom>
      <diagonal/>
    </border>
  </borders>
  <cellStyleXfs count="14">
    <xf numFmtId="0" fontId="0" fillId="0" borderId="0"/>
    <xf numFmtId="9" fontId="1" fillId="0" borderId="0" applyFont="0" applyFill="0" applyBorder="0" applyAlignment="0" applyProtection="0"/>
    <xf numFmtId="0" fontId="3" fillId="0" borderId="0"/>
    <xf numFmtId="0" fontId="3" fillId="0" borderId="0"/>
    <xf numFmtId="0" fontId="3" fillId="0" borderId="0"/>
    <xf numFmtId="9" fontId="2" fillId="0" borderId="0" applyFont="0" applyFill="0" applyBorder="0" applyAlignment="0" applyProtection="0"/>
    <xf numFmtId="0" fontId="1" fillId="0" borderId="0"/>
    <xf numFmtId="0" fontId="2" fillId="0" borderId="0"/>
    <xf numFmtId="0" fontId="3" fillId="0" borderId="0"/>
    <xf numFmtId="0" fontId="21" fillId="0" borderId="0" applyNumberFormat="0" applyFill="0" applyBorder="0" applyAlignment="0" applyProtection="0"/>
    <xf numFmtId="0" fontId="1" fillId="0" borderId="0"/>
    <xf numFmtId="0" fontId="26" fillId="0" borderId="0" applyNumberFormat="0" applyFill="0" applyBorder="0" applyAlignment="0" applyProtection="0"/>
    <xf numFmtId="0" fontId="30" fillId="0" borderId="0"/>
    <xf numFmtId="43" fontId="1" fillId="0" borderId="0" applyFont="0" applyFill="0" applyBorder="0" applyAlignment="0" applyProtection="0"/>
  </cellStyleXfs>
  <cellXfs count="450">
    <xf numFmtId="0" fontId="0" fillId="0" borderId="0" xfId="0"/>
    <xf numFmtId="0" fontId="3" fillId="0" borderId="0" xfId="0" applyFont="1"/>
    <xf numFmtId="0" fontId="2" fillId="0" borderId="1" xfId="0" applyFont="1" applyBorder="1" applyAlignment="1">
      <alignment vertical="center"/>
    </xf>
    <xf numFmtId="165" fontId="2" fillId="0" borderId="1" xfId="0" applyNumberFormat="1" applyFont="1" applyBorder="1" applyAlignment="1">
      <alignment vertical="center"/>
    </xf>
    <xf numFmtId="0" fontId="2" fillId="0" borderId="0" xfId="0" applyFont="1" applyAlignment="1">
      <alignment vertical="center"/>
    </xf>
    <xf numFmtId="165" fontId="2" fillId="0" borderId="0" xfId="0" applyNumberFormat="1" applyFont="1" applyAlignment="1">
      <alignment vertical="center"/>
    </xf>
    <xf numFmtId="166" fontId="2" fillId="0" borderId="1" xfId="0" applyNumberFormat="1" applyFont="1" applyBorder="1" applyAlignment="1">
      <alignment horizontal="center" vertical="center"/>
    </xf>
    <xf numFmtId="167" fontId="2" fillId="0" borderId="4" xfId="0" applyNumberFormat="1" applyFont="1" applyBorder="1" applyAlignment="1">
      <alignment horizontal="center" vertical="center"/>
    </xf>
    <xf numFmtId="168" fontId="2" fillId="0" borderId="4" xfId="0" applyNumberFormat="1" applyFont="1" applyBorder="1" applyAlignment="1">
      <alignment horizontal="center" vertical="center"/>
    </xf>
    <xf numFmtId="164" fontId="2" fillId="0" borderId="1" xfId="1" applyNumberFormat="1" applyFont="1" applyFill="1" applyBorder="1" applyAlignment="1">
      <alignment horizontal="center" vertical="center"/>
    </xf>
    <xf numFmtId="166" fontId="2" fillId="0" borderId="7" xfId="0" applyNumberFormat="1" applyFont="1" applyBorder="1" applyAlignment="1">
      <alignment horizontal="center" vertical="center"/>
    </xf>
    <xf numFmtId="0" fontId="3" fillId="0" borderId="0" xfId="0" applyFont="1" applyAlignment="1">
      <alignment vertical="center"/>
    </xf>
    <xf numFmtId="2" fontId="2" fillId="0" borderId="1" xfId="0" applyNumberFormat="1" applyFont="1" applyBorder="1" applyAlignment="1">
      <alignment horizontal="center" vertical="center"/>
    </xf>
    <xf numFmtId="2" fontId="2" fillId="0" borderId="0" xfId="0" applyNumberFormat="1" applyFont="1" applyAlignment="1">
      <alignment horizontal="center" vertical="center"/>
    </xf>
    <xf numFmtId="0" fontId="3" fillId="0" borderId="0" xfId="0" applyFont="1" applyAlignment="1">
      <alignment vertical="center" wrapText="1"/>
    </xf>
    <xf numFmtId="0" fontId="10" fillId="0" borderId="0" xfId="0" applyFont="1" applyAlignment="1">
      <alignment horizontal="center"/>
    </xf>
    <xf numFmtId="0" fontId="11" fillId="0" borderId="0" xfId="0" applyFont="1"/>
    <xf numFmtId="3" fontId="10" fillId="0" borderId="0" xfId="0" applyNumberFormat="1" applyFont="1" applyAlignment="1">
      <alignment horizontal="center"/>
    </xf>
    <xf numFmtId="3" fontId="9" fillId="8" borderId="11" xfId="2" applyNumberFormat="1" applyFont="1" applyFill="1" applyBorder="1" applyAlignment="1">
      <alignment vertical="center" wrapText="1"/>
    </xf>
    <xf numFmtId="3" fontId="9" fillId="8" borderId="12" xfId="2" applyNumberFormat="1" applyFont="1" applyFill="1" applyBorder="1" applyAlignment="1">
      <alignment vertical="center" wrapText="1"/>
    </xf>
    <xf numFmtId="3" fontId="9" fillId="7" borderId="11" xfId="2" applyNumberFormat="1" applyFont="1" applyFill="1" applyBorder="1" applyAlignment="1">
      <alignment vertical="center" wrapText="1"/>
    </xf>
    <xf numFmtId="3" fontId="9" fillId="3" borderId="11" xfId="2" applyNumberFormat="1" applyFont="1" applyFill="1" applyBorder="1" applyAlignment="1">
      <alignment vertical="center" wrapText="1"/>
    </xf>
    <xf numFmtId="9" fontId="2" fillId="8" borderId="9" xfId="1" applyFont="1" applyFill="1" applyBorder="1" applyAlignment="1" applyProtection="1">
      <alignment horizontal="center"/>
    </xf>
    <xf numFmtId="3" fontId="2" fillId="7" borderId="11" xfId="0" applyNumberFormat="1" applyFont="1" applyFill="1" applyBorder="1" applyAlignment="1">
      <alignment horizontal="center"/>
    </xf>
    <xf numFmtId="3" fontId="2" fillId="3" borderId="11" xfId="0" applyNumberFormat="1" applyFont="1" applyFill="1" applyBorder="1" applyAlignment="1">
      <alignment horizontal="center"/>
    </xf>
    <xf numFmtId="0" fontId="9" fillId="8" borderId="11" xfId="0" applyFont="1" applyFill="1" applyBorder="1" applyAlignment="1">
      <alignment vertical="center" wrapText="1"/>
    </xf>
    <xf numFmtId="0" fontId="9" fillId="3" borderId="11" xfId="0" applyFont="1" applyFill="1" applyBorder="1" applyAlignment="1">
      <alignment vertical="center" wrapText="1"/>
    </xf>
    <xf numFmtId="164" fontId="2" fillId="8" borderId="9" xfId="0" applyNumberFormat="1" applyFont="1" applyFill="1" applyBorder="1"/>
    <xf numFmtId="164" fontId="2" fillId="8" borderId="11" xfId="0" applyNumberFormat="1" applyFont="1" applyFill="1" applyBorder="1"/>
    <xf numFmtId="3" fontId="2" fillId="8" borderId="9" xfId="0" applyNumberFormat="1" applyFont="1" applyFill="1" applyBorder="1"/>
    <xf numFmtId="164" fontId="3" fillId="8" borderId="9" xfId="0" applyNumberFormat="1" applyFont="1" applyFill="1" applyBorder="1" applyAlignment="1">
      <alignment horizontal="center"/>
    </xf>
    <xf numFmtId="10" fontId="3" fillId="8" borderId="9" xfId="0" applyNumberFormat="1" applyFont="1" applyFill="1" applyBorder="1" applyAlignment="1">
      <alignment horizontal="center"/>
    </xf>
    <xf numFmtId="169" fontId="3" fillId="8" borderId="9" xfId="0" applyNumberFormat="1" applyFont="1" applyFill="1" applyBorder="1" applyAlignment="1">
      <alignment horizontal="center"/>
    </xf>
    <xf numFmtId="3" fontId="3" fillId="8" borderId="9" xfId="0" applyNumberFormat="1" applyFont="1" applyFill="1" applyBorder="1" applyAlignment="1">
      <alignment horizontal="center"/>
    </xf>
    <xf numFmtId="164" fontId="3" fillId="8" borderId="9" xfId="0" applyNumberFormat="1" applyFont="1" applyFill="1" applyBorder="1"/>
    <xf numFmtId="1" fontId="3" fillId="7" borderId="9" xfId="0" applyNumberFormat="1" applyFont="1" applyFill="1" applyBorder="1" applyAlignment="1">
      <alignment horizontal="center"/>
    </xf>
    <xf numFmtId="0" fontId="12" fillId="0" borderId="0" xfId="0" applyFont="1" applyAlignment="1">
      <alignment wrapText="1"/>
    </xf>
    <xf numFmtId="0" fontId="12" fillId="0" borderId="0" xfId="0" applyFont="1" applyAlignment="1">
      <alignment horizontal="center" wrapText="1"/>
    </xf>
    <xf numFmtId="164" fontId="3" fillId="0" borderId="0" xfId="1" applyNumberFormat="1" applyFont="1" applyAlignment="1" applyProtection="1">
      <alignment horizontal="center" vertical="center"/>
    </xf>
    <xf numFmtId="169" fontId="3" fillId="0" borderId="0" xfId="1" applyNumberFormat="1" applyFont="1" applyAlignment="1" applyProtection="1">
      <alignment horizontal="center" vertical="center"/>
    </xf>
    <xf numFmtId="164" fontId="3" fillId="0" borderId="0" xfId="0" applyNumberFormat="1" applyFont="1" applyAlignment="1">
      <alignment vertical="center"/>
    </xf>
    <xf numFmtId="0" fontId="12" fillId="0" borderId="0" xfId="0" applyFont="1" applyAlignment="1">
      <alignment horizontal="left" wrapText="1" indent="1"/>
    </xf>
    <xf numFmtId="2" fontId="3" fillId="0" borderId="0" xfId="0" applyNumberFormat="1" applyFont="1" applyAlignment="1">
      <alignment horizontal="left" vertical="center" indent="1"/>
    </xf>
    <xf numFmtId="0" fontId="3" fillId="9" borderId="0" xfId="0" applyFont="1" applyFill="1"/>
    <xf numFmtId="0" fontId="4" fillId="6" borderId="0" xfId="0" applyFont="1" applyFill="1"/>
    <xf numFmtId="0" fontId="4" fillId="6" borderId="0" xfId="0" applyFont="1" applyFill="1" applyAlignment="1">
      <alignment horizontal="center"/>
    </xf>
    <xf numFmtId="0" fontId="3" fillId="9" borderId="0" xfId="0" applyFont="1" applyFill="1" applyAlignment="1">
      <alignment horizontal="center"/>
    </xf>
    <xf numFmtId="0" fontId="20" fillId="0" borderId="0" xfId="0" applyFont="1"/>
    <xf numFmtId="0" fontId="6" fillId="0" borderId="0" xfId="0" applyFont="1"/>
    <xf numFmtId="0" fontId="6" fillId="12" borderId="0" xfId="0" applyFont="1" applyFill="1"/>
    <xf numFmtId="0" fontId="2" fillId="0" borderId="0" xfId="0" applyFont="1"/>
    <xf numFmtId="0" fontId="22" fillId="0" borderId="0" xfId="9" applyFont="1" applyProtection="1"/>
    <xf numFmtId="0" fontId="24" fillId="0" borderId="0" xfId="2" applyFont="1" applyAlignment="1">
      <alignment vertical="top"/>
    </xf>
    <xf numFmtId="0" fontId="4" fillId="0" borderId="0" xfId="0" applyFont="1" applyAlignment="1">
      <alignment horizontal="left" vertical="center" wrapText="1"/>
    </xf>
    <xf numFmtId="0" fontId="6" fillId="0" borderId="5" xfId="2" applyFont="1" applyBorder="1" applyAlignment="1">
      <alignment horizontal="left" vertical="center" wrapText="1"/>
    </xf>
    <xf numFmtId="3" fontId="6" fillId="4" borderId="0" xfId="2" applyNumberFormat="1" applyFont="1" applyFill="1" applyAlignment="1">
      <alignment horizontal="left" vertical="center" wrapText="1"/>
    </xf>
    <xf numFmtId="3" fontId="7" fillId="2" borderId="0" xfId="2" applyNumberFormat="1" applyFont="1" applyFill="1" applyAlignment="1">
      <alignment horizontal="left" vertical="center" wrapText="1"/>
    </xf>
    <xf numFmtId="0" fontId="6" fillId="0" borderId="0" xfId="2" applyFont="1" applyAlignment="1">
      <alignment horizontal="left" vertical="center" wrapText="1"/>
    </xf>
    <xf numFmtId="0" fontId="6" fillId="0" borderId="14" xfId="2" applyFont="1" applyBorder="1" applyAlignment="1">
      <alignment horizontal="left" vertical="center" wrapText="1"/>
    </xf>
    <xf numFmtId="3" fontId="6" fillId="4" borderId="6" xfId="2" applyNumberFormat="1" applyFont="1" applyFill="1" applyBorder="1" applyAlignment="1">
      <alignment horizontal="left" vertical="center" wrapTex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4" fillId="5" borderId="29" xfId="0" applyFont="1" applyFill="1" applyBorder="1" applyAlignment="1">
      <alignment horizontal="center" vertical="center" wrapText="1"/>
    </xf>
    <xf numFmtId="0" fontId="6" fillId="0" borderId="30" xfId="2" applyFont="1" applyBorder="1" applyAlignment="1">
      <alignment horizontal="left" vertical="center" wrapText="1"/>
    </xf>
    <xf numFmtId="0" fontId="4" fillId="13" borderId="29" xfId="0" applyFont="1" applyFill="1" applyBorder="1" applyAlignment="1">
      <alignment horizontal="center" vertical="center" wrapText="1"/>
    </xf>
    <xf numFmtId="3" fontId="6" fillId="14" borderId="0" xfId="2" applyNumberFormat="1" applyFont="1" applyFill="1" applyAlignment="1">
      <alignment horizontal="left" vertical="center" wrapText="1"/>
    </xf>
    <xf numFmtId="3" fontId="6" fillId="14" borderId="6" xfId="2" applyNumberFormat="1" applyFont="1" applyFill="1" applyBorder="1" applyAlignment="1">
      <alignment horizontal="left" vertical="center" wrapText="1"/>
    </xf>
    <xf numFmtId="0" fontId="27" fillId="0" borderId="0" xfId="0" applyFont="1"/>
    <xf numFmtId="164" fontId="2" fillId="0" borderId="4" xfId="0" applyNumberFormat="1" applyFont="1" applyBorder="1" applyAlignment="1">
      <alignment horizontal="center" vertical="center"/>
    </xf>
    <xf numFmtId="166" fontId="2" fillId="0" borderId="1" xfId="1" applyNumberFormat="1" applyFont="1" applyFill="1" applyBorder="1" applyAlignment="1">
      <alignment horizontal="center" vertical="center"/>
    </xf>
    <xf numFmtId="0" fontId="20" fillId="0" borderId="0" xfId="0" applyFont="1" applyAlignment="1">
      <alignment horizontal="center" vertical="center"/>
    </xf>
    <xf numFmtId="165" fontId="2" fillId="0" borderId="29" xfId="0" applyNumberFormat="1" applyFont="1" applyBorder="1" applyAlignment="1">
      <alignment horizontal="center" vertical="center"/>
    </xf>
    <xf numFmtId="14" fontId="2" fillId="0" borderId="1" xfId="0" applyNumberFormat="1" applyFont="1" applyBorder="1" applyAlignment="1">
      <alignment horizontal="left" vertical="center" indent="1"/>
    </xf>
    <xf numFmtId="0" fontId="2" fillId="0" borderId="0" xfId="7"/>
    <xf numFmtId="0" fontId="10" fillId="0" borderId="0" xfId="7" applyFont="1"/>
    <xf numFmtId="0" fontId="25" fillId="0" borderId="0" xfId="7" applyFont="1"/>
    <xf numFmtId="0" fontId="28" fillId="0" borderId="0" xfId="7" applyFont="1"/>
    <xf numFmtId="0" fontId="29" fillId="0" borderId="0" xfId="7" applyFont="1"/>
    <xf numFmtId="0" fontId="30" fillId="0" borderId="0" xfId="12"/>
    <xf numFmtId="0" fontId="31" fillId="0" borderId="0" xfId="12" applyFont="1"/>
    <xf numFmtId="0" fontId="37" fillId="0" borderId="0" xfId="9" applyFont="1"/>
    <xf numFmtId="0" fontId="2" fillId="2" borderId="9" xfId="0" applyFont="1" applyFill="1" applyBorder="1" applyAlignment="1">
      <alignment horizontal="center" vertical="center"/>
    </xf>
    <xf numFmtId="0" fontId="2" fillId="2" borderId="9" xfId="0" applyFont="1" applyFill="1" applyBorder="1" applyAlignment="1">
      <alignment horizontal="left"/>
    </xf>
    <xf numFmtId="165" fontId="14" fillId="0" borderId="1" xfId="0" applyNumberFormat="1" applyFont="1" applyBorder="1" applyAlignment="1">
      <alignment vertical="center"/>
    </xf>
    <xf numFmtId="165" fontId="14" fillId="0" borderId="0" xfId="0" applyNumberFormat="1" applyFont="1" applyAlignment="1">
      <alignment vertical="center"/>
    </xf>
    <xf numFmtId="9" fontId="2" fillId="0" borderId="1" xfId="0" applyNumberFormat="1" applyFont="1" applyBorder="1" applyAlignment="1">
      <alignment horizontal="center" vertical="center"/>
    </xf>
    <xf numFmtId="173" fontId="2" fillId="0" borderId="4" xfId="0" applyNumberFormat="1" applyFont="1" applyBorder="1" applyAlignment="1">
      <alignment horizontal="center" vertical="center"/>
    </xf>
    <xf numFmtId="174" fontId="2" fillId="0" borderId="4" xfId="0" applyNumberFormat="1" applyFont="1" applyBorder="1" applyAlignment="1">
      <alignment horizontal="center" vertical="center"/>
    </xf>
    <xf numFmtId="0" fontId="3" fillId="15" borderId="0" xfId="0" applyFont="1" applyFill="1" applyAlignment="1">
      <alignment horizontal="left" vertical="center"/>
    </xf>
    <xf numFmtId="0" fontId="3" fillId="15" borderId="0" xfId="0" applyFont="1" applyFill="1" applyAlignment="1">
      <alignment vertical="center" wrapText="1"/>
    </xf>
    <xf numFmtId="0" fontId="3" fillId="15" borderId="0" xfId="0" applyFont="1" applyFill="1" applyAlignment="1">
      <alignment horizontal="left" vertical="top"/>
    </xf>
    <xf numFmtId="0" fontId="3" fillId="15" borderId="0" xfId="0" applyFont="1" applyFill="1" applyAlignment="1">
      <alignment vertical="center"/>
    </xf>
    <xf numFmtId="0" fontId="3" fillId="15" borderId="0" xfId="0" applyFont="1" applyFill="1" applyAlignment="1">
      <alignment horizontal="center" vertical="center"/>
    </xf>
    <xf numFmtId="0" fontId="3" fillId="16" borderId="0" xfId="0" applyFont="1" applyFill="1" applyAlignment="1">
      <alignment vertical="center"/>
    </xf>
    <xf numFmtId="164" fontId="3" fillId="16" borderId="0" xfId="0" applyNumberFormat="1" applyFont="1" applyFill="1" applyAlignment="1">
      <alignment horizontal="center" vertical="center"/>
    </xf>
    <xf numFmtId="10" fontId="3" fillId="16" borderId="0" xfId="0" applyNumberFormat="1" applyFont="1" applyFill="1" applyAlignment="1">
      <alignment horizontal="center" vertical="center"/>
    </xf>
    <xf numFmtId="169" fontId="3" fillId="16" borderId="0" xfId="0" applyNumberFormat="1" applyFont="1" applyFill="1" applyAlignment="1">
      <alignment horizontal="center" vertical="center"/>
    </xf>
    <xf numFmtId="0" fontId="3" fillId="16" borderId="0" xfId="0" applyFont="1" applyFill="1" applyAlignment="1">
      <alignment horizontal="center" vertical="center"/>
    </xf>
    <xf numFmtId="0" fontId="3" fillId="16" borderId="14" xfId="0" applyFont="1" applyFill="1" applyBorder="1" applyAlignment="1">
      <alignment vertical="center"/>
    </xf>
    <xf numFmtId="164" fontId="3" fillId="16" borderId="14" xfId="0" applyNumberFormat="1" applyFont="1" applyFill="1" applyBorder="1" applyAlignment="1">
      <alignment horizontal="center" vertical="center"/>
    </xf>
    <xf numFmtId="10" fontId="3" fillId="16" borderId="14" xfId="0" applyNumberFormat="1" applyFont="1" applyFill="1" applyBorder="1" applyAlignment="1">
      <alignment horizontal="center" vertical="center"/>
    </xf>
    <xf numFmtId="169" fontId="3" fillId="16" borderId="14" xfId="0" applyNumberFormat="1" applyFont="1" applyFill="1" applyBorder="1" applyAlignment="1">
      <alignment horizontal="center" vertical="center"/>
    </xf>
    <xf numFmtId="0" fontId="3" fillId="16" borderId="35" xfId="0" applyFont="1" applyFill="1" applyBorder="1" applyAlignment="1">
      <alignment vertical="center"/>
    </xf>
    <xf numFmtId="164" fontId="2" fillId="0" borderId="1" xfId="0" applyNumberFormat="1" applyFont="1" applyBorder="1" applyAlignment="1">
      <alignment horizontal="center" vertical="center"/>
    </xf>
    <xf numFmtId="164" fontId="2" fillId="0" borderId="3" xfId="0" applyNumberFormat="1" applyFont="1" applyBorder="1" applyAlignment="1">
      <alignment vertical="center"/>
    </xf>
    <xf numFmtId="0" fontId="2" fillId="0" borderId="7" xfId="0" applyFont="1" applyBorder="1" applyAlignment="1">
      <alignment horizontal="left" vertical="center" indent="1"/>
    </xf>
    <xf numFmtId="164" fontId="3" fillId="0" borderId="0" xfId="0" applyNumberFormat="1" applyFont="1" applyAlignment="1">
      <alignment horizontal="center" vertical="center"/>
    </xf>
    <xf numFmtId="10" fontId="3" fillId="0" borderId="0" xfId="0" applyNumberFormat="1" applyFont="1" applyAlignment="1">
      <alignment horizontal="center" vertical="center"/>
    </xf>
    <xf numFmtId="169" fontId="3" fillId="0" borderId="0" xfId="0" applyNumberFormat="1" applyFont="1" applyAlignment="1">
      <alignment horizontal="center" vertical="center"/>
    </xf>
    <xf numFmtId="0" fontId="3" fillId="0" borderId="0" xfId="0" applyFont="1" applyAlignment="1">
      <alignment horizontal="center" vertical="center"/>
    </xf>
    <xf numFmtId="0" fontId="3" fillId="0" borderId="14" xfId="0" applyFont="1" applyBorder="1" applyAlignment="1">
      <alignment vertical="center"/>
    </xf>
    <xf numFmtId="164" fontId="3" fillId="0" borderId="14" xfId="0" applyNumberFormat="1" applyFont="1" applyBorder="1" applyAlignment="1">
      <alignment horizontal="center" vertical="center"/>
    </xf>
    <xf numFmtId="10" fontId="3" fillId="0" borderId="14" xfId="0" applyNumberFormat="1" applyFont="1" applyBorder="1" applyAlignment="1">
      <alignment horizontal="center" vertical="center"/>
    </xf>
    <xf numFmtId="169" fontId="3" fillId="0" borderId="14" xfId="0" applyNumberFormat="1" applyFont="1" applyBorder="1" applyAlignment="1">
      <alignment horizontal="center" vertical="center"/>
    </xf>
    <xf numFmtId="0" fontId="3" fillId="0" borderId="35" xfId="0" applyFont="1" applyBorder="1" applyAlignment="1">
      <alignment vertical="center"/>
    </xf>
    <xf numFmtId="0" fontId="3" fillId="11" borderId="0" xfId="0" applyFont="1" applyFill="1" applyAlignment="1">
      <alignment vertical="center"/>
    </xf>
    <xf numFmtId="0" fontId="13" fillId="11" borderId="0" xfId="0" applyFont="1" applyFill="1" applyAlignment="1">
      <alignment horizontal="left" vertical="center"/>
    </xf>
    <xf numFmtId="0" fontId="13" fillId="11" borderId="0" xfId="0" applyFont="1" applyFill="1" applyAlignment="1">
      <alignment vertical="center" wrapText="1"/>
    </xf>
    <xf numFmtId="0" fontId="13" fillId="11" borderId="0" xfId="0" applyFont="1" applyFill="1" applyAlignment="1">
      <alignment horizontal="left" vertical="top" wrapText="1"/>
    </xf>
    <xf numFmtId="0" fontId="13" fillId="11" borderId="0" xfId="0" applyFont="1" applyFill="1" applyAlignment="1">
      <alignment vertical="center"/>
    </xf>
    <xf numFmtId="176" fontId="2" fillId="0" borderId="1" xfId="1" applyNumberFormat="1" applyFont="1" applyFill="1" applyBorder="1" applyAlignment="1">
      <alignment horizontal="center" vertical="center"/>
    </xf>
    <xf numFmtId="14" fontId="2" fillId="0" borderId="6" xfId="13" applyNumberFormat="1" applyFont="1" applyBorder="1" applyAlignment="1">
      <alignment horizontal="left" vertical="center" indent="1"/>
    </xf>
    <xf numFmtId="0" fontId="2" fillId="2" borderId="13" xfId="0" applyFont="1" applyFill="1" applyBorder="1" applyAlignment="1">
      <alignment vertical="center"/>
    </xf>
    <xf numFmtId="0" fontId="42" fillId="0" borderId="0" xfId="12" applyFont="1" applyAlignment="1">
      <alignment horizontal="left"/>
    </xf>
    <xf numFmtId="172" fontId="2" fillId="0" borderId="1" xfId="0" applyNumberFormat="1" applyFont="1" applyBorder="1" applyAlignment="1">
      <alignment horizontal="center" vertical="center"/>
    </xf>
    <xf numFmtId="0" fontId="4" fillId="0" borderId="36" xfId="0" applyFont="1" applyBorder="1" applyAlignment="1">
      <alignment horizontal="left" vertical="center" wrapText="1"/>
    </xf>
    <xf numFmtId="2" fontId="2" fillId="0" borderId="36" xfId="0" applyNumberFormat="1" applyFont="1" applyBorder="1" applyAlignment="1">
      <alignment horizontal="center" vertical="center"/>
    </xf>
    <xf numFmtId="0" fontId="3" fillId="16" borderId="36" xfId="0" applyFont="1" applyFill="1" applyBorder="1" applyAlignment="1">
      <alignment vertical="center"/>
    </xf>
    <xf numFmtId="0" fontId="3" fillId="0" borderId="36" xfId="0" applyFont="1" applyBorder="1" applyAlignment="1">
      <alignment vertical="center"/>
    </xf>
    <xf numFmtId="0" fontId="20" fillId="0" borderId="36" xfId="0" applyFont="1" applyBorder="1" applyAlignment="1">
      <alignment horizontal="center" vertical="center"/>
    </xf>
    <xf numFmtId="0" fontId="3" fillId="15" borderId="36" xfId="0" applyFont="1" applyFill="1" applyBorder="1" applyAlignment="1">
      <alignment vertical="center"/>
    </xf>
    <xf numFmtId="9" fontId="2" fillId="8" borderId="9" xfId="1" applyFont="1" applyFill="1" applyBorder="1" applyAlignment="1" applyProtection="1">
      <alignment horizontal="left"/>
    </xf>
    <xf numFmtId="14" fontId="2" fillId="8" borderId="9" xfId="0" applyNumberFormat="1" applyFont="1" applyFill="1" applyBorder="1"/>
    <xf numFmtId="0" fontId="44" fillId="0" borderId="0" xfId="0" applyFont="1" applyAlignment="1" applyProtection="1">
      <alignment vertical="center" wrapText="1"/>
      <protection hidden="1"/>
    </xf>
    <xf numFmtId="167" fontId="2" fillId="0" borderId="67" xfId="0" applyNumberFormat="1" applyFont="1" applyBorder="1" applyAlignment="1">
      <alignment horizontal="center" vertical="center"/>
    </xf>
    <xf numFmtId="165" fontId="14" fillId="0" borderId="68" xfId="0" applyNumberFormat="1" applyFont="1" applyBorder="1" applyAlignment="1">
      <alignment vertical="center"/>
    </xf>
    <xf numFmtId="173" fontId="2" fillId="0" borderId="67" xfId="0" applyNumberFormat="1" applyFont="1" applyBorder="1" applyAlignment="1">
      <alignment horizontal="center" vertical="center"/>
    </xf>
    <xf numFmtId="174" fontId="2" fillId="0" borderId="67" xfId="0" applyNumberFormat="1" applyFont="1" applyBorder="1" applyAlignment="1">
      <alignment horizontal="center" vertical="center"/>
    </xf>
    <xf numFmtId="168" fontId="2" fillId="0" borderId="67" xfId="0" applyNumberFormat="1" applyFont="1" applyBorder="1" applyAlignment="1">
      <alignment horizontal="center" vertical="center"/>
    </xf>
    <xf numFmtId="165" fontId="2" fillId="0" borderId="69" xfId="0" applyNumberFormat="1" applyFont="1" applyBorder="1" applyAlignment="1">
      <alignment horizontal="center" vertical="center"/>
    </xf>
    <xf numFmtId="165" fontId="2" fillId="0" borderId="66" xfId="0" applyNumberFormat="1" applyFont="1" applyBorder="1" applyAlignment="1">
      <alignment horizontal="center" vertical="center"/>
    </xf>
    <xf numFmtId="164" fontId="2" fillId="0" borderId="70" xfId="1" applyNumberFormat="1" applyFont="1" applyFill="1" applyBorder="1" applyAlignment="1">
      <alignment horizontal="center" vertical="center"/>
    </xf>
    <xf numFmtId="166" fontId="2" fillId="0" borderId="71" xfId="1" applyNumberFormat="1" applyFont="1" applyFill="1" applyBorder="1" applyAlignment="1">
      <alignment horizontal="center" vertical="center"/>
    </xf>
    <xf numFmtId="10" fontId="2" fillId="0" borderId="67" xfId="0" applyNumberFormat="1" applyFont="1" applyBorder="1" applyAlignment="1">
      <alignment vertical="center"/>
    </xf>
    <xf numFmtId="10" fontId="2" fillId="0" borderId="68" xfId="0" applyNumberFormat="1" applyFont="1" applyBorder="1" applyAlignment="1">
      <alignment vertical="center"/>
    </xf>
    <xf numFmtId="0" fontId="2" fillId="0" borderId="67" xfId="0" applyFont="1" applyBorder="1" applyAlignment="1">
      <alignment vertical="center"/>
    </xf>
    <xf numFmtId="9" fontId="2" fillId="0" borderId="0" xfId="0" applyNumberFormat="1" applyFont="1" applyAlignment="1">
      <alignment horizontal="center" vertical="center"/>
    </xf>
    <xf numFmtId="0" fontId="9" fillId="0" borderId="0" xfId="0" applyFont="1" applyAlignment="1" applyProtection="1">
      <alignment horizontal="left" vertical="top" wrapText="1" indent="1"/>
      <protection hidden="1"/>
    </xf>
    <xf numFmtId="0" fontId="44" fillId="15" borderId="0" xfId="0" applyFont="1" applyFill="1" applyAlignment="1" applyProtection="1">
      <alignment vertical="center" wrapText="1"/>
      <protection hidden="1"/>
    </xf>
    <xf numFmtId="0" fontId="8" fillId="0" borderId="0" xfId="0" applyFont="1" applyAlignment="1" applyProtection="1">
      <alignment vertical="center"/>
      <protection hidden="1"/>
    </xf>
    <xf numFmtId="0" fontId="9" fillId="0" borderId="0" xfId="0" applyFont="1" applyAlignment="1" applyProtection="1">
      <alignment vertical="top" wrapText="1"/>
      <protection hidden="1"/>
    </xf>
    <xf numFmtId="0" fontId="44" fillId="19" borderId="0" xfId="0" applyFont="1" applyFill="1" applyAlignment="1" applyProtection="1">
      <alignment vertical="center" wrapText="1"/>
      <protection hidden="1"/>
    </xf>
    <xf numFmtId="0" fontId="48" fillId="0" borderId="0" xfId="0" applyFont="1" applyAlignment="1" applyProtection="1">
      <alignment vertical="top"/>
      <protection hidden="1"/>
    </xf>
    <xf numFmtId="0" fontId="9" fillId="0" borderId="0" xfId="0" applyFont="1"/>
    <xf numFmtId="0" fontId="2" fillId="2" borderId="9" xfId="0" applyFont="1" applyFill="1" applyBorder="1" applyAlignment="1">
      <alignment vertical="center"/>
    </xf>
    <xf numFmtId="0" fontId="4" fillId="20" borderId="10" xfId="0" applyFont="1" applyFill="1" applyBorder="1" applyAlignment="1">
      <alignment vertical="center" wrapText="1"/>
    </xf>
    <xf numFmtId="0" fontId="4" fillId="20" borderId="11" xfId="0" applyFont="1" applyFill="1" applyBorder="1" applyAlignment="1">
      <alignment vertical="center" wrapText="1"/>
    </xf>
    <xf numFmtId="0" fontId="9" fillId="7" borderId="11" xfId="0" applyFont="1" applyFill="1" applyBorder="1" applyAlignment="1">
      <alignment vertical="center" wrapText="1"/>
    </xf>
    <xf numFmtId="0" fontId="4" fillId="20" borderId="12" xfId="0" applyFont="1" applyFill="1" applyBorder="1" applyAlignment="1">
      <alignment vertical="center" wrapText="1"/>
    </xf>
    <xf numFmtId="0" fontId="2" fillId="0" borderId="13" xfId="0" applyFont="1" applyBorder="1" applyAlignment="1">
      <alignment vertical="center"/>
    </xf>
    <xf numFmtId="0" fontId="56" fillId="0" borderId="0" xfId="0" applyFont="1"/>
    <xf numFmtId="9" fontId="9" fillId="22" borderId="0" xfId="1" applyFont="1" applyFill="1" applyAlignment="1">
      <alignment horizontal="center"/>
    </xf>
    <xf numFmtId="0" fontId="9" fillId="22" borderId="0" xfId="0" applyFont="1" applyFill="1"/>
    <xf numFmtId="3" fontId="10" fillId="22" borderId="0" xfId="0" applyNumberFormat="1" applyFont="1" applyFill="1" applyAlignment="1">
      <alignment horizontal="left"/>
    </xf>
    <xf numFmtId="0" fontId="3" fillId="22" borderId="0" xfId="0" applyFont="1" applyFill="1"/>
    <xf numFmtId="0" fontId="10" fillId="22" borderId="0" xfId="0" applyFont="1" applyFill="1"/>
    <xf numFmtId="0" fontId="3" fillId="0" borderId="0" xfId="0" applyFont="1" applyAlignment="1">
      <alignment horizontal="right" vertical="center"/>
    </xf>
    <xf numFmtId="177" fontId="10" fillId="22" borderId="0" xfId="13" applyNumberFormat="1" applyFont="1" applyFill="1" applyAlignment="1">
      <alignment horizontal="center" vertical="center"/>
    </xf>
    <xf numFmtId="0" fontId="51" fillId="7" borderId="37" xfId="0" applyFont="1" applyFill="1" applyBorder="1" applyAlignment="1" applyProtection="1">
      <alignment vertical="top"/>
      <protection hidden="1"/>
    </xf>
    <xf numFmtId="0" fontId="52" fillId="7" borderId="33" xfId="0" applyFont="1" applyFill="1" applyBorder="1" applyAlignment="1" applyProtection="1">
      <alignment vertical="top" wrapText="1"/>
      <protection hidden="1"/>
    </xf>
    <xf numFmtId="0" fontId="52" fillId="7" borderId="34" xfId="0" applyFont="1" applyFill="1" applyBorder="1" applyAlignment="1" applyProtection="1">
      <alignment vertical="top" wrapText="1"/>
      <protection hidden="1"/>
    </xf>
    <xf numFmtId="0" fontId="53" fillId="0" borderId="0" xfId="0" applyFont="1" applyAlignment="1" applyProtection="1">
      <alignment horizontal="left" vertical="center" indent="1"/>
      <protection hidden="1"/>
    </xf>
    <xf numFmtId="0" fontId="54" fillId="0" borderId="0" xfId="0" applyFont="1" applyAlignment="1" applyProtection="1">
      <alignment horizontal="left" vertical="center" indent="2"/>
      <protection hidden="1"/>
    </xf>
    <xf numFmtId="0" fontId="51" fillId="0" borderId="0" xfId="0" applyFont="1" applyAlignment="1" applyProtection="1">
      <alignment horizontal="left" vertical="center" indent="2"/>
      <protection hidden="1"/>
    </xf>
    <xf numFmtId="0" fontId="31" fillId="0" borderId="0" xfId="7" applyFont="1"/>
    <xf numFmtId="0" fontId="57" fillId="0" borderId="0" xfId="0" applyFont="1"/>
    <xf numFmtId="0" fontId="16" fillId="0" borderId="0" xfId="0" applyFont="1" applyAlignment="1" applyProtection="1">
      <alignment vertical="center"/>
      <protection hidden="1"/>
    </xf>
    <xf numFmtId="0" fontId="3" fillId="0" borderId="0" xfId="0" applyFont="1" applyAlignment="1" applyProtection="1">
      <alignment vertical="center" wrapText="1"/>
      <protection hidden="1"/>
    </xf>
    <xf numFmtId="0" fontId="43" fillId="0" borderId="0" xfId="0" applyFont="1" applyAlignment="1" applyProtection="1">
      <alignment vertical="center" wrapText="1"/>
      <protection hidden="1"/>
    </xf>
    <xf numFmtId="0" fontId="3" fillId="15" borderId="0" xfId="0" applyFont="1" applyFill="1" applyAlignment="1" applyProtection="1">
      <alignment vertical="center" wrapText="1"/>
      <protection hidden="1"/>
    </xf>
    <xf numFmtId="1" fontId="8" fillId="0" borderId="0" xfId="0" applyNumberFormat="1" applyFont="1" applyAlignment="1" applyProtection="1">
      <alignment vertical="center"/>
      <protection hidden="1"/>
    </xf>
    <xf numFmtId="0" fontId="8" fillId="15" borderId="0" xfId="0" applyFont="1" applyFill="1" applyAlignment="1" applyProtection="1">
      <alignment vertical="center"/>
      <protection hidden="1"/>
    </xf>
    <xf numFmtId="0" fontId="44" fillId="0" borderId="0" xfId="0" applyFont="1" applyAlignment="1" applyProtection="1">
      <alignment vertical="center"/>
      <protection hidden="1"/>
    </xf>
    <xf numFmtId="0" fontId="44" fillId="15" borderId="0" xfId="0" applyFont="1" applyFill="1" applyAlignment="1" applyProtection="1">
      <alignment vertical="center"/>
      <protection hidden="1"/>
    </xf>
    <xf numFmtId="0" fontId="51" fillId="7" borderId="19" xfId="0" applyFont="1" applyFill="1" applyBorder="1" applyAlignment="1" applyProtection="1">
      <alignment vertical="top"/>
      <protection hidden="1"/>
    </xf>
    <xf numFmtId="0" fontId="53" fillId="0" borderId="0" xfId="0" applyFont="1" applyAlignment="1" applyProtection="1">
      <alignment horizontal="left" vertical="center" indent="2"/>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vertical="center"/>
      <protection hidden="1"/>
    </xf>
    <xf numFmtId="0" fontId="3" fillId="0" borderId="0" xfId="0" applyFont="1" applyAlignment="1" applyProtection="1">
      <alignment vertical="center"/>
      <protection hidden="1"/>
    </xf>
    <xf numFmtId="0" fontId="10" fillId="0" borderId="0" xfId="0" applyFont="1" applyAlignment="1" applyProtection="1">
      <alignment vertical="center" wrapText="1"/>
      <protection hidden="1"/>
    </xf>
    <xf numFmtId="0" fontId="52" fillId="7" borderId="24" xfId="0" applyFont="1" applyFill="1" applyBorder="1" applyAlignment="1" applyProtection="1">
      <alignment vertical="top" wrapText="1"/>
      <protection hidden="1"/>
    </xf>
    <xf numFmtId="0" fontId="3" fillId="0" borderId="0" xfId="0" applyFont="1" applyAlignment="1" applyProtection="1">
      <alignment horizontal="left" vertical="center" wrapText="1" indent="2"/>
      <protection hidden="1"/>
    </xf>
    <xf numFmtId="0" fontId="10" fillId="0" borderId="0" xfId="0" applyFont="1" applyAlignment="1" applyProtection="1">
      <alignment vertical="center"/>
      <protection hidden="1"/>
    </xf>
    <xf numFmtId="9" fontId="10" fillId="0" borderId="0" xfId="1" applyFont="1" applyFill="1" applyBorder="1" applyAlignment="1" applyProtection="1">
      <alignment horizontal="left" vertical="center" wrapText="1"/>
      <protection hidden="1"/>
    </xf>
    <xf numFmtId="9" fontId="10" fillId="0" borderId="0" xfId="1" applyFont="1" applyFill="1" applyAlignment="1" applyProtection="1">
      <alignment horizontal="left" vertical="center" wrapText="1"/>
      <protection hidden="1"/>
    </xf>
    <xf numFmtId="0" fontId="52" fillId="7" borderId="22" xfId="0" applyFont="1" applyFill="1" applyBorder="1" applyAlignment="1" applyProtection="1">
      <alignment vertical="top" wrapText="1"/>
      <protection hidden="1"/>
    </xf>
    <xf numFmtId="0" fontId="2" fillId="0" borderId="0" xfId="0" applyFont="1" applyAlignment="1" applyProtection="1">
      <alignment vertical="center"/>
      <protection hidden="1"/>
    </xf>
    <xf numFmtId="0" fontId="45" fillId="0" borderId="0" xfId="0" applyFont="1" applyAlignment="1" applyProtection="1">
      <alignment vertical="center" wrapText="1"/>
      <protection hidden="1"/>
    </xf>
    <xf numFmtId="0" fontId="8" fillId="0" borderId="48" xfId="0" applyFont="1" applyBorder="1" applyAlignment="1" applyProtection="1">
      <alignment vertical="center" wrapText="1"/>
      <protection hidden="1"/>
    </xf>
    <xf numFmtId="0" fontId="3" fillId="0" borderId="45" xfId="0" applyFont="1" applyBorder="1" applyAlignment="1" applyProtection="1">
      <alignment vertical="center"/>
      <protection hidden="1"/>
    </xf>
    <xf numFmtId="0" fontId="10" fillId="0" borderId="45" xfId="0" applyFont="1" applyBorder="1" applyAlignment="1" applyProtection="1">
      <alignment horizontal="right" vertical="center"/>
      <protection hidden="1"/>
    </xf>
    <xf numFmtId="0" fontId="10" fillId="0" borderId="80" xfId="0" applyFont="1" applyBorder="1" applyAlignment="1" applyProtection="1">
      <alignment horizontal="left" wrapText="1" indent="1"/>
      <protection hidden="1"/>
    </xf>
    <xf numFmtId="0" fontId="3" fillId="15" borderId="0" xfId="0" applyFont="1" applyFill="1" applyAlignment="1" applyProtection="1">
      <alignment vertical="center"/>
      <protection hidden="1"/>
    </xf>
    <xf numFmtId="0" fontId="3" fillId="0" borderId="37" xfId="0" applyFont="1" applyBorder="1" applyAlignment="1" applyProtection="1">
      <alignment vertical="center" wrapText="1"/>
      <protection hidden="1"/>
    </xf>
    <xf numFmtId="0" fontId="2" fillId="0" borderId="43" xfId="0" applyFont="1" applyBorder="1" applyAlignment="1" applyProtection="1">
      <alignment vertical="center"/>
      <protection hidden="1"/>
    </xf>
    <xf numFmtId="0" fontId="3" fillId="0" borderId="43" xfId="0" applyFont="1" applyBorder="1" applyAlignment="1" applyProtection="1">
      <alignment horizontal="center" vertical="center" wrapText="1"/>
      <protection hidden="1"/>
    </xf>
    <xf numFmtId="0" fontId="3" fillId="0" borderId="44" xfId="0" applyFont="1" applyBorder="1" applyAlignment="1" applyProtection="1">
      <alignment horizontal="center" vertical="center" wrapText="1"/>
      <protection hidden="1"/>
    </xf>
    <xf numFmtId="0" fontId="3" fillId="0" borderId="33" xfId="0" applyFont="1" applyBorder="1" applyAlignment="1" applyProtection="1">
      <alignment vertical="center" wrapText="1"/>
      <protection hidden="1"/>
    </xf>
    <xf numFmtId="0" fontId="2" fillId="0" borderId="53" xfId="0" applyFont="1" applyBorder="1" applyAlignment="1" applyProtection="1">
      <alignment horizontal="left" vertical="center" wrapText="1"/>
      <protection hidden="1"/>
    </xf>
    <xf numFmtId="0" fontId="10" fillId="15" borderId="40" xfId="0" applyFont="1" applyFill="1" applyBorder="1" applyAlignment="1" applyProtection="1">
      <alignment vertical="center" wrapText="1"/>
      <protection hidden="1"/>
    </xf>
    <xf numFmtId="0" fontId="10" fillId="15" borderId="50" xfId="0" applyFont="1" applyFill="1" applyBorder="1" applyAlignment="1" applyProtection="1">
      <alignment vertical="center" wrapText="1"/>
      <protection hidden="1"/>
    </xf>
    <xf numFmtId="0" fontId="10" fillId="15" borderId="51" xfId="0" applyFont="1" applyFill="1" applyBorder="1" applyAlignment="1" applyProtection="1">
      <alignment vertical="center" wrapText="1"/>
      <protection hidden="1"/>
    </xf>
    <xf numFmtId="0" fontId="10" fillId="15" borderId="52" xfId="0" applyFont="1" applyFill="1" applyBorder="1" applyAlignment="1" applyProtection="1">
      <alignment vertical="center" wrapText="1"/>
      <protection hidden="1"/>
    </xf>
    <xf numFmtId="0" fontId="10" fillId="15" borderId="38" xfId="0" applyFont="1" applyFill="1" applyBorder="1" applyAlignment="1" applyProtection="1">
      <alignment vertical="center" wrapText="1"/>
      <protection hidden="1"/>
    </xf>
    <xf numFmtId="0" fontId="10" fillId="15" borderId="56" xfId="0" applyFont="1" applyFill="1" applyBorder="1" applyAlignment="1" applyProtection="1">
      <alignment vertical="center" wrapText="1"/>
      <protection hidden="1"/>
    </xf>
    <xf numFmtId="0" fontId="10" fillId="15" borderId="57" xfId="0" applyFont="1" applyFill="1" applyBorder="1" applyAlignment="1" applyProtection="1">
      <alignment vertical="center" wrapText="1"/>
      <protection hidden="1"/>
    </xf>
    <xf numFmtId="0" fontId="10" fillId="15" borderId="58" xfId="0" applyFont="1" applyFill="1" applyBorder="1" applyAlignment="1" applyProtection="1">
      <alignment vertical="center" wrapText="1"/>
      <protection hidden="1"/>
    </xf>
    <xf numFmtId="0" fontId="10" fillId="15" borderId="39" xfId="0" applyFont="1" applyFill="1" applyBorder="1" applyAlignment="1" applyProtection="1">
      <alignment vertical="center" wrapText="1"/>
      <protection hidden="1"/>
    </xf>
    <xf numFmtId="3" fontId="3" fillId="15" borderId="22" xfId="0" applyNumberFormat="1" applyFont="1" applyFill="1" applyBorder="1" applyAlignment="1" applyProtection="1">
      <alignment horizontal="right" vertical="center" indent="1"/>
      <protection hidden="1"/>
    </xf>
    <xf numFmtId="9" fontId="3" fillId="15" borderId="41" xfId="0" applyNumberFormat="1" applyFont="1" applyFill="1" applyBorder="1" applyAlignment="1" applyProtection="1">
      <alignment horizontal="center" vertical="center"/>
      <protection hidden="1"/>
    </xf>
    <xf numFmtId="9" fontId="3" fillId="15" borderId="34" xfId="0" applyNumberFormat="1" applyFont="1" applyFill="1" applyBorder="1" applyAlignment="1" applyProtection="1">
      <alignment horizontal="center" vertical="center"/>
      <protection hidden="1"/>
    </xf>
    <xf numFmtId="9" fontId="3" fillId="15" borderId="42" xfId="0" applyNumberFormat="1" applyFont="1" applyFill="1" applyBorder="1" applyAlignment="1" applyProtection="1">
      <alignment horizontal="center" vertical="center"/>
      <protection hidden="1"/>
    </xf>
    <xf numFmtId="9" fontId="3" fillId="15" borderId="23" xfId="0" applyNumberFormat="1" applyFont="1" applyFill="1" applyBorder="1" applyAlignment="1" applyProtection="1">
      <alignment horizontal="left" vertical="center" indent="1"/>
      <protection hidden="1"/>
    </xf>
    <xf numFmtId="9" fontId="3" fillId="15" borderId="22" xfId="0" applyNumberFormat="1" applyFont="1" applyFill="1" applyBorder="1" applyAlignment="1" applyProtection="1">
      <alignment horizontal="left" vertical="center" indent="1"/>
      <protection hidden="1"/>
    </xf>
    <xf numFmtId="9" fontId="3" fillId="15" borderId="46" xfId="0" applyNumberFormat="1" applyFont="1" applyFill="1" applyBorder="1" applyAlignment="1" applyProtection="1">
      <alignment vertical="center"/>
      <protection hidden="1"/>
    </xf>
    <xf numFmtId="166" fontId="3" fillId="15" borderId="73" xfId="0" applyNumberFormat="1" applyFont="1" applyFill="1" applyBorder="1" applyAlignment="1" applyProtection="1">
      <alignment horizontal="center" vertical="center"/>
      <protection hidden="1"/>
    </xf>
    <xf numFmtId="166" fontId="3" fillId="15" borderId="75" xfId="0" applyNumberFormat="1" applyFont="1" applyFill="1" applyBorder="1" applyAlignment="1" applyProtection="1">
      <alignment horizontal="center" vertical="center"/>
      <protection hidden="1"/>
    </xf>
    <xf numFmtId="0" fontId="2" fillId="15" borderId="0" xfId="0" applyFont="1" applyFill="1" applyAlignment="1" applyProtection="1">
      <alignment vertical="center"/>
      <protection hidden="1"/>
    </xf>
    <xf numFmtId="0" fontId="46" fillId="15" borderId="0" xfId="0" applyFont="1" applyFill="1" applyAlignment="1" applyProtection="1">
      <alignment vertical="center"/>
      <protection hidden="1"/>
    </xf>
    <xf numFmtId="166" fontId="3" fillId="15" borderId="74" xfId="0" applyNumberFormat="1" applyFont="1" applyFill="1" applyBorder="1" applyAlignment="1" applyProtection="1">
      <alignment horizontal="center" vertical="center"/>
      <protection hidden="1"/>
    </xf>
    <xf numFmtId="166" fontId="3" fillId="15" borderId="76" xfId="0" applyNumberFormat="1" applyFont="1" applyFill="1" applyBorder="1" applyAlignment="1" applyProtection="1">
      <alignment horizontal="center" vertical="center"/>
      <protection hidden="1"/>
    </xf>
    <xf numFmtId="0" fontId="46" fillId="15" borderId="0" xfId="0" applyFont="1" applyFill="1" applyAlignment="1" applyProtection="1">
      <alignment vertical="center" wrapText="1"/>
      <protection hidden="1"/>
    </xf>
    <xf numFmtId="9" fontId="10" fillId="11" borderId="77"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wrapText="1"/>
      <protection locked="0" hidden="1"/>
    </xf>
    <xf numFmtId="9" fontId="10" fillId="11" borderId="49" xfId="0" applyNumberFormat="1" applyFont="1" applyFill="1" applyBorder="1" applyAlignment="1" applyProtection="1">
      <alignment horizontal="center" vertical="center" wrapText="1"/>
      <protection locked="0" hidden="1"/>
    </xf>
    <xf numFmtId="3" fontId="10" fillId="11" borderId="15" xfId="0" applyNumberFormat="1" applyFont="1" applyFill="1" applyBorder="1" applyAlignment="1" applyProtection="1">
      <alignment horizontal="center" vertical="center" wrapText="1"/>
      <protection locked="0" hidden="1"/>
    </xf>
    <xf numFmtId="9" fontId="10" fillId="11" borderId="54" xfId="0" applyNumberFormat="1" applyFont="1" applyFill="1" applyBorder="1" applyAlignment="1" applyProtection="1">
      <alignment horizontal="center" vertical="center" wrapText="1"/>
      <protection locked="0" hidden="1"/>
    </xf>
    <xf numFmtId="0" fontId="3" fillId="10" borderId="53" xfId="0" applyFont="1" applyFill="1" applyBorder="1" applyAlignment="1" applyProtection="1">
      <alignment horizontal="center" vertical="center"/>
      <protection locked="0" hidden="1"/>
    </xf>
    <xf numFmtId="0" fontId="3" fillId="10" borderId="55" xfId="0" applyFont="1" applyFill="1" applyBorder="1" applyAlignment="1" applyProtection="1">
      <alignment horizontal="center" vertical="center"/>
      <protection locked="0" hidden="1"/>
    </xf>
    <xf numFmtId="0" fontId="3" fillId="10" borderId="59" xfId="0" applyFont="1" applyFill="1" applyBorder="1" applyAlignment="1" applyProtection="1">
      <alignment horizontal="center" vertical="center"/>
      <protection locked="0" hidden="1"/>
    </xf>
    <xf numFmtId="9" fontId="10" fillId="11" borderId="37" xfId="0" applyNumberFormat="1" applyFont="1" applyFill="1" applyBorder="1" applyAlignment="1" applyProtection="1">
      <alignment horizontal="center" vertical="center" wrapText="1"/>
      <protection locked="0" hidden="1"/>
    </xf>
    <xf numFmtId="0" fontId="10" fillId="11" borderId="34" xfId="0" applyFont="1" applyFill="1" applyBorder="1" applyAlignment="1" applyProtection="1">
      <alignment vertical="center"/>
      <protection locked="0" hidden="1"/>
    </xf>
    <xf numFmtId="0" fontId="8" fillId="0" borderId="0" xfId="0" applyFont="1" applyAlignment="1" applyProtection="1">
      <alignment vertical="top"/>
      <protection hidden="1"/>
    </xf>
    <xf numFmtId="0" fontId="8" fillId="15" borderId="0" xfId="0" applyFont="1" applyFill="1" applyAlignment="1" applyProtection="1">
      <alignment vertical="top"/>
      <protection hidden="1"/>
    </xf>
    <xf numFmtId="0" fontId="44" fillId="15" borderId="0" xfId="0" applyFont="1" applyFill="1" applyAlignment="1" applyProtection="1">
      <alignment vertical="top"/>
      <protection hidden="1"/>
    </xf>
    <xf numFmtId="0" fontId="44" fillId="19" borderId="0" xfId="0" applyFont="1" applyFill="1" applyAlignment="1" applyProtection="1">
      <alignment vertical="top"/>
      <protection hidden="1"/>
    </xf>
    <xf numFmtId="0" fontId="10" fillId="0" borderId="0" xfId="0" applyFont="1" applyProtection="1">
      <protection hidden="1"/>
    </xf>
    <xf numFmtId="0" fontId="44" fillId="19" borderId="0" xfId="0" applyFont="1" applyFill="1" applyAlignment="1" applyProtection="1">
      <alignment vertical="center"/>
      <protection hidden="1"/>
    </xf>
    <xf numFmtId="0" fontId="10" fillId="0" borderId="0" xfId="0" applyFont="1" applyAlignment="1" applyProtection="1">
      <alignment horizontal="left" vertical="center" wrapText="1" indent="2"/>
      <protection hidden="1"/>
    </xf>
    <xf numFmtId="0" fontId="41" fillId="0" borderId="0" xfId="0" applyFont="1" applyAlignment="1" applyProtection="1">
      <alignment vertical="center"/>
      <protection hidden="1"/>
    </xf>
    <xf numFmtId="0" fontId="3"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15" fillId="0" borderId="0" xfId="0" applyFont="1" applyAlignment="1" applyProtection="1">
      <alignment vertical="center"/>
      <protection hidden="1"/>
    </xf>
    <xf numFmtId="0" fontId="49" fillId="0" borderId="33" xfId="0" applyFont="1" applyBorder="1" applyAlignment="1" applyProtection="1">
      <alignment horizontal="right" vertical="center" indent="1"/>
      <protection hidden="1"/>
    </xf>
    <xf numFmtId="164" fontId="50" fillId="0" borderId="19" xfId="1" applyNumberFormat="1" applyFont="1" applyFill="1" applyBorder="1" applyAlignment="1" applyProtection="1">
      <alignment horizontal="center" vertical="center"/>
      <protection hidden="1"/>
    </xf>
    <xf numFmtId="10" fontId="50" fillId="0" borderId="19" xfId="1" applyNumberFormat="1" applyFont="1" applyFill="1" applyBorder="1" applyAlignment="1" applyProtection="1">
      <alignment horizontal="center" vertical="center"/>
      <protection hidden="1"/>
    </xf>
    <xf numFmtId="9" fontId="50" fillId="0" borderId="19" xfId="1" applyFont="1" applyFill="1" applyBorder="1" applyAlignment="1" applyProtection="1">
      <alignment horizontal="center" vertical="center"/>
      <protection hidden="1"/>
    </xf>
    <xf numFmtId="169" fontId="50" fillId="0" borderId="19" xfId="1" applyNumberFormat="1" applyFont="1" applyFill="1" applyBorder="1" applyAlignment="1" applyProtection="1">
      <alignment horizontal="center" vertical="center"/>
      <protection hidden="1"/>
    </xf>
    <xf numFmtId="0" fontId="15" fillId="15" borderId="0" xfId="0" applyFont="1" applyFill="1" applyAlignment="1" applyProtection="1">
      <alignment vertical="center"/>
      <protection hidden="1"/>
    </xf>
    <xf numFmtId="164" fontId="50" fillId="0" borderId="24" xfId="1" applyNumberFormat="1" applyFont="1" applyFill="1" applyBorder="1" applyAlignment="1" applyProtection="1">
      <alignment horizontal="center" vertical="center"/>
      <protection hidden="1"/>
    </xf>
    <xf numFmtId="10" fontId="50" fillId="0" borderId="24" xfId="1" applyNumberFormat="1" applyFont="1" applyFill="1" applyBorder="1" applyAlignment="1" applyProtection="1">
      <alignment horizontal="center" vertical="center"/>
      <protection hidden="1"/>
    </xf>
    <xf numFmtId="9" fontId="50" fillId="0" borderId="24" xfId="1" applyFont="1" applyFill="1" applyBorder="1" applyAlignment="1" applyProtection="1">
      <alignment horizontal="center" vertical="center"/>
      <protection hidden="1"/>
    </xf>
    <xf numFmtId="169" fontId="50" fillId="0" borderId="24" xfId="1" applyNumberFormat="1" applyFont="1" applyFill="1" applyBorder="1" applyAlignment="1" applyProtection="1">
      <alignment horizontal="center" vertical="center"/>
      <protection hidden="1"/>
    </xf>
    <xf numFmtId="0" fontId="38" fillId="0" borderId="0" xfId="0" applyFont="1" applyAlignment="1" applyProtection="1">
      <alignment vertical="center"/>
      <protection hidden="1"/>
    </xf>
    <xf numFmtId="0" fontId="38" fillId="15" borderId="0" xfId="0" applyFont="1" applyFill="1" applyAlignment="1" applyProtection="1">
      <alignment vertical="center"/>
      <protection hidden="1"/>
    </xf>
    <xf numFmtId="0" fontId="45" fillId="15" borderId="0" xfId="0" applyFont="1" applyFill="1" applyAlignment="1" applyProtection="1">
      <alignment vertical="center"/>
      <protection hidden="1"/>
    </xf>
    <xf numFmtId="0" fontId="45" fillId="19" borderId="0" xfId="0" applyFont="1" applyFill="1" applyAlignment="1" applyProtection="1">
      <alignment vertical="center"/>
      <protection hidden="1"/>
    </xf>
    <xf numFmtId="0" fontId="49" fillId="0" borderId="34" xfId="0" applyFont="1" applyBorder="1" applyAlignment="1" applyProtection="1">
      <alignment horizontal="right" vertical="center" indent="1"/>
      <protection hidden="1"/>
    </xf>
    <xf numFmtId="164" fontId="18" fillId="0" borderId="24" xfId="1" applyNumberFormat="1" applyFont="1" applyFill="1" applyBorder="1" applyAlignment="1" applyProtection="1">
      <alignment horizontal="center" vertical="center"/>
      <protection hidden="1"/>
    </xf>
    <xf numFmtId="0" fontId="10" fillId="0" borderId="26" xfId="0" applyFont="1" applyBorder="1" applyAlignment="1" applyProtection="1">
      <alignment vertical="center" wrapText="1"/>
      <protection hidden="1"/>
    </xf>
    <xf numFmtId="0" fontId="10" fillId="0" borderId="14" xfId="0" applyFont="1" applyBorder="1" applyAlignment="1" applyProtection="1">
      <alignment vertical="center" wrapText="1"/>
      <protection hidden="1"/>
    </xf>
    <xf numFmtId="0" fontId="4" fillId="6" borderId="27" xfId="0" applyFont="1" applyFill="1" applyBorder="1" applyAlignment="1" applyProtection="1">
      <alignment vertical="center" wrapText="1"/>
      <protection hidden="1"/>
    </xf>
    <xf numFmtId="0" fontId="4" fillId="6" borderId="8" xfId="0" applyFont="1" applyFill="1" applyBorder="1" applyAlignment="1" applyProtection="1">
      <alignment vertical="center" wrapText="1"/>
      <protection hidden="1"/>
    </xf>
    <xf numFmtId="0" fontId="4" fillId="6" borderId="28" xfId="0" applyFont="1" applyFill="1" applyBorder="1" applyAlignment="1" applyProtection="1">
      <alignment vertical="center" wrapText="1"/>
      <protection hidden="1"/>
    </xf>
    <xf numFmtId="0" fontId="4" fillId="5" borderId="27" xfId="0" applyFont="1" applyFill="1" applyBorder="1" applyAlignment="1" applyProtection="1">
      <alignment vertical="center" wrapText="1"/>
      <protection hidden="1"/>
    </xf>
    <xf numFmtId="0" fontId="4" fillId="5" borderId="8" xfId="0" applyFont="1" applyFill="1" applyBorder="1" applyAlignment="1" applyProtection="1">
      <alignment vertical="center" wrapText="1"/>
      <protection hidden="1"/>
    </xf>
    <xf numFmtId="0" fontId="4" fillId="5" borderId="28" xfId="0" applyFont="1" applyFill="1" applyBorder="1" applyAlignment="1" applyProtection="1">
      <alignment vertical="center" wrapText="1"/>
      <protection hidden="1"/>
    </xf>
    <xf numFmtId="3" fontId="10" fillId="2" borderId="27" xfId="0" applyNumberFormat="1" applyFont="1" applyFill="1" applyBorder="1" applyAlignment="1" applyProtection="1">
      <alignment vertical="center" wrapText="1"/>
      <protection hidden="1"/>
    </xf>
    <xf numFmtId="0" fontId="10" fillId="2" borderId="8" xfId="0" applyFont="1" applyFill="1" applyBorder="1" applyAlignment="1" applyProtection="1">
      <alignment vertical="center" wrapText="1"/>
      <protection hidden="1"/>
    </xf>
    <xf numFmtId="0" fontId="10" fillId="2" borderId="28" xfId="0" applyFont="1" applyFill="1" applyBorder="1" applyAlignment="1" applyProtection="1">
      <alignment vertical="center" wrapText="1"/>
      <protection hidden="1"/>
    </xf>
    <xf numFmtId="0" fontId="10" fillId="15" borderId="0" xfId="0" applyFont="1" applyFill="1" applyAlignment="1" applyProtection="1">
      <alignment vertical="center" wrapText="1"/>
      <protection hidden="1"/>
    </xf>
    <xf numFmtId="0" fontId="45" fillId="15" borderId="0" xfId="0" applyFont="1" applyFill="1" applyAlignment="1" applyProtection="1">
      <alignment vertical="center" wrapText="1"/>
      <protection hidden="1"/>
    </xf>
    <xf numFmtId="0" fontId="45" fillId="19" borderId="0" xfId="0" applyFont="1" applyFill="1" applyAlignment="1" applyProtection="1">
      <alignment vertical="center" wrapText="1"/>
      <protection hidden="1"/>
    </xf>
    <xf numFmtId="0" fontId="17" fillId="0" borderId="0" xfId="0" applyFont="1" applyAlignment="1" applyProtection="1">
      <alignment horizontal="center" vertical="center"/>
      <protection hidden="1"/>
    </xf>
    <xf numFmtId="0" fontId="3" fillId="0" borderId="26" xfId="0" applyFont="1" applyBorder="1" applyAlignment="1" applyProtection="1">
      <alignment vertical="center"/>
      <protection hidden="1"/>
    </xf>
    <xf numFmtId="0" fontId="3" fillId="0" borderId="8" xfId="0" applyFont="1" applyBorder="1" applyAlignment="1" applyProtection="1">
      <alignment horizontal="left" vertical="center" indent="1"/>
      <protection hidden="1"/>
    </xf>
    <xf numFmtId="170" fontId="3" fillId="0" borderId="27" xfId="1" applyNumberFormat="1"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171" fontId="3" fillId="0" borderId="27" xfId="1" applyNumberFormat="1" applyFont="1" applyBorder="1" applyAlignment="1" applyProtection="1">
      <alignment horizontal="center" vertical="center"/>
      <protection hidden="1"/>
    </xf>
    <xf numFmtId="175" fontId="3" fillId="0" borderId="27" xfId="1" applyNumberFormat="1" applyFont="1" applyBorder="1" applyAlignment="1" applyProtection="1">
      <alignment horizontal="center" vertical="center"/>
      <protection hidden="1"/>
    </xf>
    <xf numFmtId="6" fontId="3" fillId="0" borderId="27" xfId="1" applyNumberFormat="1" applyFont="1" applyBorder="1" applyAlignment="1" applyProtection="1">
      <alignment horizontal="center" vertical="center"/>
      <protection hidden="1"/>
    </xf>
    <xf numFmtId="3" fontId="3" fillId="0" borderId="27" xfId="0" applyNumberFormat="1" applyFont="1" applyBorder="1" applyAlignment="1" applyProtection="1">
      <alignment horizontal="center" vertical="center"/>
      <protection hidden="1"/>
    </xf>
    <xf numFmtId="164" fontId="3" fillId="0" borderId="8" xfId="1" applyNumberFormat="1" applyFont="1" applyBorder="1" applyAlignment="1" applyProtection="1">
      <alignment horizontal="center" vertical="center"/>
      <protection hidden="1"/>
    </xf>
    <xf numFmtId="0" fontId="3" fillId="0" borderId="28" xfId="0" applyFont="1" applyBorder="1" applyAlignment="1" applyProtection="1">
      <alignment horizontal="left" vertical="center" indent="1"/>
      <protection hidden="1"/>
    </xf>
    <xf numFmtId="0" fontId="8" fillId="19" borderId="0" xfId="0" applyFont="1" applyFill="1" applyAlignment="1" applyProtection="1">
      <alignment vertical="center"/>
      <protection hidden="1"/>
    </xf>
    <xf numFmtId="0" fontId="44" fillId="15" borderId="0" xfId="0" applyFont="1" applyFill="1" applyAlignment="1" applyProtection="1">
      <alignment horizontal="center" vertical="center"/>
      <protection hidden="1"/>
    </xf>
    <xf numFmtId="0" fontId="3" fillId="15" borderId="0" xfId="0" applyFont="1" applyFill="1" applyAlignment="1" applyProtection="1">
      <alignment horizontal="center" vertical="center"/>
      <protection hidden="1"/>
    </xf>
    <xf numFmtId="1" fontId="60" fillId="0" borderId="0" xfId="0" applyNumberFormat="1" applyFont="1" applyAlignment="1" applyProtection="1">
      <alignment horizontal="center" vertical="center"/>
      <protection hidden="1"/>
    </xf>
    <xf numFmtId="1" fontId="58" fillId="0" borderId="0" xfId="0" applyNumberFormat="1" applyFont="1" applyAlignment="1" applyProtection="1">
      <alignment horizontal="center" vertical="center" wrapText="1"/>
      <protection hidden="1"/>
    </xf>
    <xf numFmtId="1" fontId="59" fillId="0" borderId="0" xfId="0" applyNumberFormat="1" applyFont="1" applyAlignment="1" applyProtection="1">
      <alignment horizontal="center" vertical="center" wrapText="1"/>
      <protection hidden="1"/>
    </xf>
    <xf numFmtId="1" fontId="58" fillId="0" borderId="0" xfId="0" applyNumberFormat="1" applyFont="1" applyAlignment="1" applyProtection="1">
      <alignment horizontal="center" vertical="center"/>
      <protection hidden="1"/>
    </xf>
    <xf numFmtId="1" fontId="12" fillId="0" borderId="0" xfId="0" applyNumberFormat="1" applyFont="1" applyAlignment="1" applyProtection="1">
      <alignment horizontal="center" vertical="center" wrapText="1"/>
      <protection hidden="1"/>
    </xf>
    <xf numFmtId="1" fontId="61" fillId="0" borderId="0" xfId="0" applyNumberFormat="1" applyFont="1" applyAlignment="1" applyProtection="1">
      <alignment horizontal="center" vertical="center" wrapText="1"/>
      <protection hidden="1"/>
    </xf>
    <xf numFmtId="1" fontId="58" fillId="15" borderId="0" xfId="0" applyNumberFormat="1" applyFont="1" applyFill="1" applyAlignment="1" applyProtection="1">
      <alignment horizontal="center" vertical="center" wrapText="1"/>
      <protection hidden="1"/>
    </xf>
    <xf numFmtId="1" fontId="55" fillId="0" borderId="0" xfId="0" applyNumberFormat="1" applyFont="1" applyAlignment="1" applyProtection="1">
      <alignment horizontal="center" vertical="center"/>
      <protection hidden="1"/>
    </xf>
    <xf numFmtId="1" fontId="62" fillId="6" borderId="39" xfId="0" applyNumberFormat="1" applyFont="1" applyFill="1" applyBorder="1" applyAlignment="1" applyProtection="1">
      <alignment horizontal="center" vertical="center" wrapText="1"/>
      <protection hidden="1"/>
    </xf>
    <xf numFmtId="0" fontId="4" fillId="23" borderId="11" xfId="0" applyFont="1" applyFill="1" applyBorder="1" applyAlignment="1">
      <alignment vertical="center" wrapText="1"/>
    </xf>
    <xf numFmtId="0" fontId="4" fillId="20" borderId="13" xfId="0" applyFont="1" applyFill="1" applyBorder="1" applyAlignment="1">
      <alignment vertical="center" wrapText="1"/>
    </xf>
    <xf numFmtId="0" fontId="33" fillId="7" borderId="15" xfId="0" applyFont="1" applyFill="1" applyBorder="1" applyAlignment="1" applyProtection="1">
      <alignment horizontal="left" vertical="center" wrapText="1"/>
      <protection hidden="1"/>
    </xf>
    <xf numFmtId="164" fontId="33" fillId="7" borderId="16" xfId="1" applyNumberFormat="1" applyFont="1" applyFill="1" applyBorder="1" applyAlignment="1" applyProtection="1">
      <alignment horizontal="center" vertical="center"/>
      <protection hidden="1"/>
    </xf>
    <xf numFmtId="0" fontId="33" fillId="7" borderId="17" xfId="0" applyFont="1" applyFill="1" applyBorder="1" applyAlignment="1" applyProtection="1">
      <alignment horizontal="center" vertical="center"/>
      <protection hidden="1"/>
    </xf>
    <xf numFmtId="0" fontId="33" fillId="7" borderId="18" xfId="0" applyFont="1" applyFill="1" applyBorder="1" applyAlignment="1" applyProtection="1">
      <alignment horizontal="center" vertical="center"/>
      <protection hidden="1"/>
    </xf>
    <xf numFmtId="10" fontId="33" fillId="7" borderId="16" xfId="1" applyNumberFormat="1" applyFont="1" applyFill="1" applyBorder="1" applyAlignment="1" applyProtection="1">
      <alignment horizontal="center" vertical="center"/>
      <protection hidden="1"/>
    </xf>
    <xf numFmtId="9" fontId="33" fillId="7" borderId="16" xfId="1" applyFont="1" applyFill="1" applyBorder="1" applyAlignment="1" applyProtection="1">
      <alignment horizontal="center" vertical="center"/>
      <protection hidden="1"/>
    </xf>
    <xf numFmtId="169" fontId="33" fillId="7" borderId="16" xfId="1" applyNumberFormat="1" applyFont="1" applyFill="1" applyBorder="1" applyAlignment="1" applyProtection="1">
      <alignment horizontal="center" vertical="center"/>
      <protection hidden="1"/>
    </xf>
    <xf numFmtId="0" fontId="36" fillId="0" borderId="33" xfId="0" applyFont="1" applyBorder="1" applyAlignment="1" applyProtection="1">
      <alignment horizontal="right" vertical="center" indent="1"/>
      <protection hidden="1"/>
    </xf>
    <xf numFmtId="164" fontId="33" fillId="0" borderId="24" xfId="1" applyNumberFormat="1" applyFont="1" applyFill="1" applyBorder="1" applyAlignment="1" applyProtection="1">
      <alignment horizontal="center" vertical="center"/>
      <protection hidden="1"/>
    </xf>
    <xf numFmtId="10" fontId="33" fillId="0" borderId="24" xfId="1" applyNumberFormat="1" applyFont="1" applyFill="1" applyBorder="1" applyAlignment="1" applyProtection="1">
      <alignment horizontal="center" vertical="center"/>
      <protection hidden="1"/>
    </xf>
    <xf numFmtId="9" fontId="33" fillId="0" borderId="24" xfId="1" applyFont="1" applyFill="1" applyBorder="1" applyAlignment="1" applyProtection="1">
      <alignment horizontal="center" vertical="center"/>
      <protection hidden="1"/>
    </xf>
    <xf numFmtId="169" fontId="33" fillId="0" borderId="24" xfId="1" applyNumberFormat="1" applyFont="1" applyFill="1" applyBorder="1" applyAlignment="1" applyProtection="1">
      <alignment horizontal="center" vertical="center"/>
      <protection hidden="1"/>
    </xf>
    <xf numFmtId="164" fontId="3" fillId="15" borderId="34" xfId="0" applyNumberFormat="1" applyFont="1" applyFill="1" applyBorder="1" applyAlignment="1" applyProtection="1">
      <alignment horizontal="center" vertical="center"/>
      <protection hidden="1"/>
    </xf>
    <xf numFmtId="178" fontId="3" fillId="15" borderId="34" xfId="0" applyNumberFormat="1" applyFont="1" applyFill="1" applyBorder="1" applyAlignment="1" applyProtection="1">
      <alignment horizontal="center" vertical="center"/>
      <protection hidden="1"/>
    </xf>
    <xf numFmtId="0" fontId="65" fillId="0" borderId="0" xfId="0" applyFont="1" applyAlignment="1">
      <alignment vertical="center"/>
    </xf>
    <xf numFmtId="0" fontId="64" fillId="0" borderId="0" xfId="0" applyFont="1"/>
    <xf numFmtId="1" fontId="63" fillId="6" borderId="0" xfId="0" applyNumberFormat="1" applyFont="1" applyFill="1" applyAlignment="1" applyProtection="1">
      <alignment horizontal="center" vertical="center"/>
      <protection hidden="1"/>
    </xf>
    <xf numFmtId="0" fontId="10" fillId="15" borderId="47" xfId="0" applyFont="1" applyFill="1" applyBorder="1" applyAlignment="1" applyProtection="1">
      <alignment vertical="center" wrapText="1"/>
      <protection hidden="1"/>
    </xf>
    <xf numFmtId="0" fontId="3" fillId="15" borderId="23" xfId="0" applyFont="1" applyFill="1" applyBorder="1" applyAlignment="1" applyProtection="1">
      <alignment vertical="center"/>
      <protection hidden="1"/>
    </xf>
    <xf numFmtId="0" fontId="65" fillId="0" borderId="0" xfId="0" applyFont="1" applyAlignment="1">
      <alignment horizontal="center"/>
    </xf>
    <xf numFmtId="0" fontId="16" fillId="0" borderId="0" xfId="0" applyFont="1"/>
    <xf numFmtId="0" fontId="68" fillId="0" borderId="0" xfId="0" applyFont="1"/>
    <xf numFmtId="0" fontId="8" fillId="0" borderId="0" xfId="0" applyFont="1"/>
    <xf numFmtId="0" fontId="25" fillId="0" borderId="0" xfId="0" applyFont="1"/>
    <xf numFmtId="0" fontId="69" fillId="15" borderId="0" xfId="0" applyFont="1" applyFill="1"/>
    <xf numFmtId="0" fontId="70" fillId="15" borderId="0" xfId="0" applyFont="1" applyFill="1"/>
    <xf numFmtId="0" fontId="73" fillId="0" borderId="0" xfId="12" applyFont="1"/>
    <xf numFmtId="0" fontId="35" fillId="0" borderId="0" xfId="12" applyFont="1"/>
    <xf numFmtId="0" fontId="34" fillId="0" borderId="0" xfId="12" applyFont="1"/>
    <xf numFmtId="0" fontId="32" fillId="0" borderId="0" xfId="12" applyFont="1"/>
    <xf numFmtId="0" fontId="48" fillId="0" borderId="0" xfId="12" applyFont="1"/>
    <xf numFmtId="0" fontId="71" fillId="0" borderId="0" xfId="12" applyFont="1" applyAlignment="1">
      <alignment horizontal="left" wrapText="1" indent="3"/>
    </xf>
    <xf numFmtId="0" fontId="71" fillId="0" borderId="0" xfId="12" applyFont="1" applyAlignment="1">
      <alignment horizontal="left" vertical="center" wrapText="1" indent="3"/>
    </xf>
    <xf numFmtId="0" fontId="71" fillId="11" borderId="81" xfId="12" applyFont="1" applyFill="1" applyBorder="1" applyAlignment="1">
      <alignment horizontal="left" vertical="center" wrapText="1" indent="3"/>
    </xf>
    <xf numFmtId="0" fontId="73" fillId="0" borderId="0" xfId="12" applyFont="1" applyAlignment="1">
      <alignment horizontal="left" wrapText="1" indent="3"/>
    </xf>
    <xf numFmtId="0" fontId="39" fillId="0" borderId="0" xfId="9" applyFont="1" applyAlignment="1">
      <alignment horizontal="left" indent="3"/>
    </xf>
    <xf numFmtId="0" fontId="32" fillId="0" borderId="0" xfId="12" applyFont="1" applyAlignment="1">
      <alignment horizontal="left" indent="3"/>
    </xf>
    <xf numFmtId="0" fontId="33" fillId="0" borderId="0" xfId="12" applyFont="1" applyAlignment="1">
      <alignment horizontal="left" indent="3"/>
    </xf>
    <xf numFmtId="0" fontId="73" fillId="0" borderId="0" xfId="12" applyFont="1" applyAlignment="1">
      <alignment horizontal="left" indent="3"/>
    </xf>
    <xf numFmtId="0" fontId="75" fillId="0" borderId="0" xfId="10" applyFont="1" applyAlignment="1">
      <alignment horizontal="left" vertical="center" wrapText="1" indent="3"/>
    </xf>
    <xf numFmtId="0" fontId="31" fillId="0" borderId="0" xfId="12" applyFont="1" applyAlignment="1">
      <alignment horizontal="left" wrapText="1" indent="3"/>
    </xf>
    <xf numFmtId="0" fontId="32" fillId="0" borderId="0" xfId="12" applyFont="1" applyAlignment="1">
      <alignment horizontal="left" wrapText="1" indent="3"/>
    </xf>
    <xf numFmtId="0" fontId="30" fillId="0" borderId="0" xfId="12" applyAlignment="1">
      <alignment horizontal="left" indent="3"/>
    </xf>
    <xf numFmtId="0" fontId="31" fillId="0" borderId="0" xfId="12" applyFont="1" applyAlignment="1">
      <alignment vertical="top"/>
    </xf>
    <xf numFmtId="0" fontId="39" fillId="0" borderId="0" xfId="9" applyFont="1" applyAlignment="1">
      <alignment horizontal="left" vertical="top" wrapText="1" indent="3"/>
    </xf>
    <xf numFmtId="0" fontId="76" fillId="0" borderId="0" xfId="12" applyFont="1" applyAlignment="1">
      <alignment horizontal="left" vertical="center"/>
    </xf>
    <xf numFmtId="0" fontId="3" fillId="0" borderId="29" xfId="0" applyFont="1" applyBorder="1" applyAlignment="1">
      <alignment horizontal="left" vertical="center"/>
    </xf>
    <xf numFmtId="0" fontId="0" fillId="0" borderId="30" xfId="0" applyBorder="1" applyAlignment="1">
      <alignment horizontal="left" vertical="center"/>
    </xf>
    <xf numFmtId="0" fontId="25" fillId="18" borderId="3" xfId="0" applyFont="1" applyFill="1" applyBorder="1" applyAlignment="1">
      <alignment horizontal="left" vertical="center" wrapText="1"/>
    </xf>
    <xf numFmtId="0" fontId="25" fillId="18" borderId="1" xfId="0" applyFont="1" applyFill="1" applyBorder="1" applyAlignment="1">
      <alignment horizontal="left" vertical="center" wrapText="1"/>
    </xf>
    <xf numFmtId="0" fontId="25" fillId="18" borderId="7" xfId="0" applyFont="1" applyFill="1" applyBorder="1" applyAlignment="1">
      <alignment horizontal="left" vertical="center" wrapText="1"/>
    </xf>
    <xf numFmtId="0" fontId="25" fillId="18" borderId="31" xfId="0" applyFont="1" applyFill="1" applyBorder="1" applyAlignment="1">
      <alignment horizontal="left" vertical="center" wrapText="1"/>
    </xf>
    <xf numFmtId="0" fontId="25" fillId="18" borderId="2" xfId="0" applyFont="1" applyFill="1" applyBorder="1" applyAlignment="1">
      <alignment horizontal="left" vertical="center" wrapText="1"/>
    </xf>
    <xf numFmtId="0" fontId="25" fillId="18" borderId="32" xfId="0" applyFont="1" applyFill="1" applyBorder="1" applyAlignment="1">
      <alignment horizontal="left" vertical="center" wrapText="1"/>
    </xf>
    <xf numFmtId="0" fontId="4" fillId="5" borderId="4" xfId="0" applyFont="1" applyFill="1" applyBorder="1" applyAlignment="1">
      <alignment horizontal="center" vertical="center" wrapText="1"/>
    </xf>
    <xf numFmtId="0" fontId="4" fillId="5" borderId="0" xfId="0" applyFont="1" applyFill="1" applyAlignment="1">
      <alignment horizontal="center" vertical="center" wrapText="1"/>
    </xf>
    <xf numFmtId="0" fontId="4" fillId="5" borderId="6" xfId="0" applyFont="1" applyFill="1" applyBorder="1" applyAlignment="1">
      <alignment horizontal="center" vertical="center" wrapText="1"/>
    </xf>
    <xf numFmtId="0" fontId="36" fillId="18" borderId="3" xfId="0" applyFont="1" applyFill="1" applyBorder="1" applyAlignment="1">
      <alignment horizontal="left" vertical="center" wrapText="1"/>
    </xf>
    <xf numFmtId="0" fontId="36" fillId="18" borderId="1" xfId="0" applyFont="1" applyFill="1" applyBorder="1" applyAlignment="1">
      <alignment horizontal="left" vertical="center" wrapText="1"/>
    </xf>
    <xf numFmtId="0" fontId="36" fillId="18" borderId="7" xfId="0" applyFont="1" applyFill="1" applyBorder="1" applyAlignment="1">
      <alignment horizontal="left" vertical="center" wrapText="1"/>
    </xf>
    <xf numFmtId="0" fontId="36" fillId="18" borderId="31" xfId="0" applyFont="1" applyFill="1" applyBorder="1" applyAlignment="1">
      <alignment horizontal="left" vertical="center" wrapText="1"/>
    </xf>
    <xf numFmtId="0" fontId="36" fillId="18" borderId="2" xfId="0" applyFont="1" applyFill="1" applyBorder="1" applyAlignment="1">
      <alignment horizontal="left" vertical="center" wrapText="1"/>
    </xf>
    <xf numFmtId="0" fontId="36" fillId="18" borderId="32" xfId="0" applyFont="1" applyFill="1" applyBorder="1" applyAlignment="1">
      <alignment horizontal="left" vertical="center" wrapText="1"/>
    </xf>
    <xf numFmtId="0" fontId="3" fillId="0" borderId="3" xfId="0" applyFont="1" applyBorder="1" applyAlignment="1">
      <alignment horizontal="left" vertical="center"/>
    </xf>
    <xf numFmtId="0" fontId="0" fillId="0" borderId="1" xfId="0" applyBorder="1" applyAlignment="1">
      <alignment horizontal="left" vertical="center"/>
    </xf>
    <xf numFmtId="0" fontId="0" fillId="0" borderId="7" xfId="0" applyBorder="1" applyAlignment="1">
      <alignment horizontal="left" vertical="center"/>
    </xf>
    <xf numFmtId="0" fontId="0" fillId="0" borderId="31" xfId="0" applyBorder="1" applyAlignment="1">
      <alignment horizontal="left" vertical="center"/>
    </xf>
    <xf numFmtId="0" fontId="0" fillId="0" borderId="2" xfId="0" applyBorder="1" applyAlignment="1">
      <alignment horizontal="left" vertical="center"/>
    </xf>
    <xf numFmtId="0" fontId="0" fillId="0" borderId="32" xfId="0" applyBorder="1" applyAlignment="1">
      <alignment horizontal="left" vertical="center"/>
    </xf>
    <xf numFmtId="0" fontId="4" fillId="5" borderId="5" xfId="2" applyFont="1" applyFill="1" applyBorder="1" applyAlignment="1">
      <alignment horizontal="center" vertical="center" wrapText="1"/>
    </xf>
    <xf numFmtId="0" fontId="4" fillId="5" borderId="0" xfId="2" applyFont="1" applyFill="1" applyAlignment="1">
      <alignment horizontal="center" vertical="center" wrapText="1"/>
    </xf>
    <xf numFmtId="0" fontId="4" fillId="6" borderId="5" xfId="2" applyFont="1" applyFill="1" applyBorder="1" applyAlignment="1">
      <alignment horizontal="center" vertical="center" wrapText="1"/>
    </xf>
    <xf numFmtId="0" fontId="4" fillId="6" borderId="0" xfId="2" applyFont="1" applyFill="1" applyAlignment="1">
      <alignment horizontal="center" vertical="center" wrapText="1"/>
    </xf>
    <xf numFmtId="0" fontId="10" fillId="0" borderId="0" xfId="0" applyFont="1" applyAlignment="1">
      <alignment horizontal="right" vertical="center" indent="2"/>
    </xf>
    <xf numFmtId="0" fontId="10" fillId="0" borderId="14" xfId="0" applyFont="1" applyBorder="1" applyAlignment="1">
      <alignment horizontal="right" vertical="center" indent="2"/>
    </xf>
    <xf numFmtId="0" fontId="10" fillId="0" borderId="35" xfId="0" applyFont="1" applyBorder="1" applyAlignment="1">
      <alignment horizontal="right" vertical="center" indent="2"/>
    </xf>
    <xf numFmtId="0" fontId="23" fillId="0" borderId="0" xfId="2" applyFont="1" applyAlignment="1">
      <alignment horizontal="left" vertical="center"/>
    </xf>
    <xf numFmtId="0" fontId="23" fillId="0" borderId="6" xfId="2" applyFont="1" applyBorder="1" applyAlignment="1">
      <alignment horizontal="left" vertical="center"/>
    </xf>
    <xf numFmtId="0" fontId="4" fillId="13" borderId="4" xfId="0" applyFont="1" applyFill="1" applyBorder="1" applyAlignment="1">
      <alignment horizontal="center" vertical="center" wrapText="1"/>
    </xf>
    <xf numFmtId="0" fontId="4" fillId="13" borderId="0" xfId="0" applyFont="1" applyFill="1" applyAlignment="1">
      <alignment horizontal="center" vertical="center" wrapText="1"/>
    </xf>
    <xf numFmtId="0" fontId="4" fillId="13" borderId="6" xfId="0" applyFont="1" applyFill="1" applyBorder="1" applyAlignment="1">
      <alignment horizontal="center" vertical="center" wrapText="1"/>
    </xf>
    <xf numFmtId="0" fontId="25" fillId="17" borderId="3" xfId="0" applyFont="1" applyFill="1" applyBorder="1" applyAlignment="1">
      <alignment horizontal="left" vertical="center" wrapText="1"/>
    </xf>
    <xf numFmtId="0" fontId="25" fillId="17" borderId="1" xfId="0" applyFont="1" applyFill="1" applyBorder="1" applyAlignment="1">
      <alignment horizontal="left" vertical="center" wrapText="1"/>
    </xf>
    <xf numFmtId="0" fontId="25" fillId="17" borderId="7" xfId="0" applyFont="1" applyFill="1" applyBorder="1" applyAlignment="1">
      <alignment horizontal="left" vertical="center" wrapText="1"/>
    </xf>
    <xf numFmtId="0" fontId="25" fillId="17" borderId="31" xfId="0" applyFont="1" applyFill="1" applyBorder="1" applyAlignment="1">
      <alignment horizontal="left" vertical="center" wrapText="1"/>
    </xf>
    <xf numFmtId="0" fontId="25" fillId="17" borderId="2" xfId="0" applyFont="1" applyFill="1" applyBorder="1" applyAlignment="1">
      <alignment horizontal="left" vertical="center" wrapText="1"/>
    </xf>
    <xf numFmtId="0" fontId="25" fillId="17" borderId="32" xfId="0" applyFont="1" applyFill="1" applyBorder="1" applyAlignment="1">
      <alignment horizontal="left" vertical="center" wrapText="1"/>
    </xf>
    <xf numFmtId="0" fontId="4" fillId="13" borderId="5" xfId="2" applyFont="1" applyFill="1" applyBorder="1" applyAlignment="1">
      <alignment horizontal="center" vertical="center" wrapText="1"/>
    </xf>
    <xf numFmtId="0" fontId="4" fillId="13" borderId="0" xfId="2" applyFont="1" applyFill="1" applyAlignment="1">
      <alignment horizontal="center" vertical="center" wrapText="1"/>
    </xf>
    <xf numFmtId="0" fontId="10" fillId="16" borderId="0" xfId="0" applyFont="1" applyFill="1" applyAlignment="1">
      <alignment horizontal="right" vertical="center" indent="2"/>
    </xf>
    <xf numFmtId="0" fontId="10" fillId="16" borderId="14" xfId="0" applyFont="1" applyFill="1" applyBorder="1" applyAlignment="1">
      <alignment horizontal="right" vertical="center" indent="2"/>
    </xf>
    <xf numFmtId="0" fontId="10" fillId="16" borderId="35" xfId="0" applyFont="1" applyFill="1" applyBorder="1" applyAlignment="1">
      <alignment horizontal="right" vertical="center" indent="2"/>
    </xf>
    <xf numFmtId="0" fontId="36" fillId="17" borderId="3" xfId="0" applyFont="1" applyFill="1" applyBorder="1" applyAlignment="1">
      <alignment horizontal="left" vertical="center" wrapText="1"/>
    </xf>
    <xf numFmtId="0" fontId="36" fillId="17" borderId="1" xfId="0" applyFont="1" applyFill="1" applyBorder="1" applyAlignment="1">
      <alignment horizontal="left" vertical="center" wrapText="1"/>
    </xf>
    <xf numFmtId="0" fontId="36" fillId="17" borderId="7" xfId="0" applyFont="1" applyFill="1" applyBorder="1" applyAlignment="1">
      <alignment horizontal="left" vertical="center" wrapText="1"/>
    </xf>
    <xf numFmtId="0" fontId="36" fillId="17" borderId="31" xfId="0" applyFont="1" applyFill="1" applyBorder="1" applyAlignment="1">
      <alignment horizontal="left" vertical="center" wrapText="1"/>
    </xf>
    <xf numFmtId="0" fontId="36" fillId="17" borderId="2" xfId="0" applyFont="1" applyFill="1" applyBorder="1" applyAlignment="1">
      <alignment horizontal="left" vertical="center" wrapText="1"/>
    </xf>
    <xf numFmtId="0" fontId="36" fillId="17" borderId="32" xfId="0" applyFont="1" applyFill="1" applyBorder="1" applyAlignment="1">
      <alignment horizontal="left" vertical="center" wrapText="1"/>
    </xf>
    <xf numFmtId="0" fontId="66" fillId="0" borderId="0" xfId="9" applyFont="1" applyAlignment="1">
      <alignment horizontal="left"/>
    </xf>
    <xf numFmtId="0" fontId="10" fillId="0" borderId="0" xfId="0" applyFont="1" applyAlignment="1" applyProtection="1">
      <alignment horizontal="left" vertical="center" wrapText="1" indent="1"/>
      <protection hidden="1"/>
    </xf>
    <xf numFmtId="0" fontId="16" fillId="11" borderId="16" xfId="0" applyFont="1" applyFill="1" applyBorder="1" applyAlignment="1" applyProtection="1">
      <alignment horizontal="left" vertical="center" wrapText="1"/>
      <protection locked="0" hidden="1"/>
    </xf>
    <xf numFmtId="0" fontId="16" fillId="11" borderId="17" xfId="0" applyFont="1" applyFill="1" applyBorder="1" applyAlignment="1" applyProtection="1">
      <alignment horizontal="left" vertical="center" wrapText="1"/>
      <protection locked="0" hidden="1"/>
    </xf>
    <xf numFmtId="0" fontId="16" fillId="11" borderId="18" xfId="0" applyFont="1" applyFill="1" applyBorder="1" applyAlignment="1" applyProtection="1">
      <alignment horizontal="left" vertical="center" wrapText="1"/>
      <protection locked="0" hidden="1"/>
    </xf>
    <xf numFmtId="3" fontId="10" fillId="11" borderId="44" xfId="0" applyNumberFormat="1" applyFont="1" applyFill="1" applyBorder="1" applyAlignment="1" applyProtection="1">
      <alignment horizontal="center" vertical="top" wrapText="1"/>
      <protection locked="0" hidden="1"/>
    </xf>
    <xf numFmtId="3" fontId="10" fillId="11" borderId="55" xfId="0" applyNumberFormat="1" applyFont="1" applyFill="1" applyBorder="1" applyAlignment="1" applyProtection="1">
      <alignment horizontal="center" vertical="top" wrapText="1"/>
      <protection locked="0" hidden="1"/>
    </xf>
    <xf numFmtId="0" fontId="3" fillId="0" borderId="15" xfId="0" applyFont="1" applyBorder="1" applyAlignment="1" applyProtection="1">
      <alignment horizontal="center" vertical="center"/>
      <protection hidden="1"/>
    </xf>
    <xf numFmtId="0" fontId="3" fillId="0" borderId="54" xfId="0" applyFont="1" applyBorder="1" applyAlignment="1" applyProtection="1">
      <alignment horizontal="center" vertical="center"/>
      <protection hidden="1"/>
    </xf>
    <xf numFmtId="0" fontId="10" fillId="0" borderId="60" xfId="0" applyFont="1" applyBorder="1" applyAlignment="1" applyProtection="1">
      <alignment horizontal="left" vertical="center" wrapText="1" indent="1"/>
      <protection hidden="1"/>
    </xf>
    <xf numFmtId="0" fontId="19" fillId="0" borderId="61" xfId="0" applyFont="1" applyBorder="1" applyAlignment="1" applyProtection="1">
      <alignment horizontal="center" vertical="center"/>
      <protection hidden="1"/>
    </xf>
    <xf numFmtId="0" fontId="19" fillId="0" borderId="62" xfId="0" applyFont="1" applyBorder="1" applyAlignment="1" applyProtection="1">
      <alignment horizontal="center" vertical="center"/>
      <protection hidden="1"/>
    </xf>
    <xf numFmtId="0" fontId="19" fillId="0" borderId="63" xfId="0" applyFont="1" applyBorder="1" applyAlignment="1" applyProtection="1">
      <alignment horizontal="center" vertical="center"/>
      <protection hidden="1"/>
    </xf>
    <xf numFmtId="0" fontId="8" fillId="0" borderId="61" xfId="0" applyFont="1" applyBorder="1" applyAlignment="1" applyProtection="1">
      <alignment vertical="center"/>
      <protection hidden="1"/>
    </xf>
    <xf numFmtId="0" fontId="8" fillId="0" borderId="64" xfId="0" applyFont="1" applyBorder="1" applyAlignment="1" applyProtection="1">
      <alignment vertical="center"/>
      <protection hidden="1"/>
    </xf>
    <xf numFmtId="0" fontId="8" fillId="0" borderId="65" xfId="0" applyFont="1" applyBorder="1" applyAlignment="1" applyProtection="1">
      <alignment horizontal="left" vertical="center"/>
      <protection hidden="1"/>
    </xf>
    <xf numFmtId="0" fontId="8" fillId="0" borderId="45" xfId="0" applyFont="1" applyBorder="1" applyAlignment="1" applyProtection="1">
      <alignment horizontal="left" vertical="center"/>
      <protection hidden="1"/>
    </xf>
    <xf numFmtId="0" fontId="3" fillId="0" borderId="72" xfId="0" applyFont="1" applyBorder="1" applyAlignment="1" applyProtection="1">
      <alignment horizontal="center" vertical="center"/>
      <protection hidden="1"/>
    </xf>
    <xf numFmtId="0" fontId="3" fillId="0" borderId="17"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0" fontId="10" fillId="21" borderId="79" xfId="0" applyFont="1" applyFill="1" applyBorder="1" applyAlignment="1" applyProtection="1">
      <alignment horizontal="left" vertical="center" wrapText="1" indent="1"/>
      <protection locked="0" hidden="1"/>
    </xf>
    <xf numFmtId="0" fontId="10" fillId="21" borderId="78" xfId="0" applyFont="1" applyFill="1" applyBorder="1" applyAlignment="1" applyProtection="1">
      <alignment horizontal="left" vertical="center" wrapText="1" indent="1"/>
      <protection locked="0" hidden="1"/>
    </xf>
    <xf numFmtId="0" fontId="55" fillId="0" borderId="0" xfId="0" applyFont="1" applyAlignment="1" applyProtection="1">
      <alignment horizontal="right" vertical="center" wrapText="1" indent="1"/>
      <protection hidden="1"/>
    </xf>
    <xf numFmtId="0" fontId="55" fillId="0" borderId="25" xfId="0" applyFont="1" applyBorder="1" applyAlignment="1" applyProtection="1">
      <alignment horizontal="right" vertical="center" wrapText="1" indent="1"/>
      <protection hidden="1"/>
    </xf>
    <xf numFmtId="0" fontId="10" fillId="11" borderId="16" xfId="0" applyFont="1" applyFill="1" applyBorder="1" applyAlignment="1" applyProtection="1">
      <alignment horizontal="left" vertical="center"/>
      <protection locked="0" hidden="1"/>
    </xf>
    <xf numFmtId="0" fontId="10" fillId="11" borderId="17" xfId="0" applyFont="1" applyFill="1" applyBorder="1" applyAlignment="1" applyProtection="1">
      <alignment horizontal="left" vertical="center"/>
      <protection locked="0" hidden="1"/>
    </xf>
    <xf numFmtId="0" fontId="10" fillId="11" borderId="18" xfId="0" applyFont="1" applyFill="1" applyBorder="1" applyAlignment="1" applyProtection="1">
      <alignment horizontal="left" vertical="center"/>
      <protection locked="0" hidden="1"/>
    </xf>
    <xf numFmtId="0" fontId="47" fillId="0" borderId="20" xfId="9" applyFont="1" applyBorder="1" applyAlignment="1" applyProtection="1">
      <alignment horizontal="left" wrapText="1"/>
      <protection hidden="1"/>
    </xf>
    <xf numFmtId="0" fontId="47" fillId="0" borderId="0" xfId="9" applyFont="1" applyAlignment="1" applyProtection="1">
      <alignment horizontal="left" wrapText="1"/>
      <protection hidden="1"/>
    </xf>
    <xf numFmtId="0" fontId="47" fillId="0" borderId="14" xfId="9" applyFont="1" applyBorder="1" applyAlignment="1" applyProtection="1">
      <alignment horizontal="left" wrapText="1"/>
      <protection hidden="1"/>
    </xf>
    <xf numFmtId="164" fontId="8" fillId="2" borderId="19" xfId="1" applyNumberFormat="1" applyFont="1" applyFill="1" applyBorder="1" applyAlignment="1" applyProtection="1">
      <alignment horizontal="center" vertical="center"/>
      <protection hidden="1"/>
    </xf>
    <xf numFmtId="164" fontId="8" fillId="2" borderId="20" xfId="1" applyNumberFormat="1" applyFont="1" applyFill="1" applyBorder="1" applyAlignment="1" applyProtection="1">
      <alignment horizontal="center" vertical="center"/>
      <protection hidden="1"/>
    </xf>
    <xf numFmtId="164" fontId="8" fillId="2" borderId="21" xfId="1" applyNumberFormat="1" applyFont="1" applyFill="1" applyBorder="1" applyAlignment="1" applyProtection="1">
      <alignment horizontal="center" vertical="center"/>
      <protection hidden="1"/>
    </xf>
    <xf numFmtId="164" fontId="8" fillId="2" borderId="24" xfId="1" applyNumberFormat="1" applyFont="1" applyFill="1" applyBorder="1" applyAlignment="1" applyProtection="1">
      <alignment horizontal="center" vertical="center"/>
      <protection hidden="1"/>
    </xf>
    <xf numFmtId="164" fontId="8" fillId="2" borderId="0" xfId="1" applyNumberFormat="1" applyFont="1" applyFill="1" applyBorder="1" applyAlignment="1" applyProtection="1">
      <alignment horizontal="center" vertical="center"/>
      <protection hidden="1"/>
    </xf>
    <xf numFmtId="164" fontId="8" fillId="2" borderId="25" xfId="1" applyNumberFormat="1" applyFont="1" applyFill="1" applyBorder="1" applyAlignment="1" applyProtection="1">
      <alignment horizontal="center" vertical="center"/>
      <protection hidden="1"/>
    </xf>
    <xf numFmtId="164" fontId="19" fillId="0" borderId="20" xfId="1" applyNumberFormat="1" applyFont="1" applyFill="1" applyBorder="1" applyAlignment="1" applyProtection="1">
      <alignment horizontal="left" vertical="center" wrapText="1"/>
      <protection hidden="1"/>
    </xf>
    <xf numFmtId="164" fontId="19" fillId="0" borderId="21" xfId="1" applyNumberFormat="1" applyFont="1" applyFill="1" applyBorder="1" applyAlignment="1" applyProtection="1">
      <alignment horizontal="left" vertical="center" wrapText="1"/>
      <protection hidden="1"/>
    </xf>
    <xf numFmtId="164" fontId="19" fillId="0" borderId="0" xfId="1" applyNumberFormat="1" applyFont="1" applyFill="1" applyBorder="1" applyAlignment="1" applyProtection="1">
      <alignment horizontal="left" vertical="center" wrapText="1"/>
      <protection hidden="1"/>
    </xf>
    <xf numFmtId="164" fontId="19" fillId="0" borderId="25" xfId="1" applyNumberFormat="1" applyFont="1" applyFill="1" applyBorder="1" applyAlignment="1" applyProtection="1">
      <alignment horizontal="left" vertical="center" wrapText="1"/>
      <protection hidden="1"/>
    </xf>
    <xf numFmtId="164" fontId="27" fillId="0" borderId="0" xfId="0" applyNumberFormat="1" applyFont="1" applyAlignment="1">
      <alignment horizontal="left" vertical="center" wrapText="1" indent="1"/>
    </xf>
    <xf numFmtId="164" fontId="27" fillId="0" borderId="2" xfId="0" applyNumberFormat="1" applyFont="1" applyBorder="1" applyAlignment="1">
      <alignment horizontal="left" vertical="center" wrapText="1" indent="1"/>
    </xf>
    <xf numFmtId="0" fontId="11" fillId="0" borderId="0" xfId="0" applyFont="1" applyAlignment="1">
      <alignment horizontal="left" vertical="top" wrapText="1"/>
    </xf>
  </cellXfs>
  <cellStyles count="14">
    <cellStyle name="Comma" xfId="13" builtinId="3"/>
    <cellStyle name="Hyperlink" xfId="9" builtinId="8"/>
    <cellStyle name="Hyperlink 4" xfId="11" xr:uid="{F5CB7D9A-4C3E-48F8-89D8-436C426BBF05}"/>
    <cellStyle name="Normal" xfId="0" builtinId="0"/>
    <cellStyle name="Normal 18 3" xfId="2" xr:uid="{1D176B2D-3BEF-4202-A1BF-90DDD7436356}"/>
    <cellStyle name="Normal 18 3 2" xfId="10" xr:uid="{92360FAC-6DF8-42A0-9337-74938F6EA041}"/>
    <cellStyle name="Normal 2" xfId="12" xr:uid="{6A46421D-CCA5-4750-862C-555FA82F6CDE}"/>
    <cellStyle name="Normal 2 3" xfId="7" xr:uid="{00D32E85-0A07-42B6-8924-8242F683641E}"/>
    <cellStyle name="Normal 2 3 2" xfId="6" xr:uid="{CFFEA407-27DC-4E21-BC3A-1D03C5CADC0B}"/>
    <cellStyle name="Normal 2 5" xfId="8" xr:uid="{64E94272-979D-416F-8A31-8BBF35BC9851}"/>
    <cellStyle name="Normal 8" xfId="4" xr:uid="{2475A1F3-D472-44D7-AD60-7D48C1E0FB29}"/>
    <cellStyle name="Normal 9" xfId="3" xr:uid="{E22B2CC4-3BA6-4FAA-8F4B-6C2DE4930DA0}"/>
    <cellStyle name="Per cent" xfId="1" builtinId="5"/>
    <cellStyle name="Percent 2" xfId="5" xr:uid="{CC4B37C5-739D-4FB4-B388-339DC405D106}"/>
  </cellStyles>
  <dxfs count="560">
    <dxf>
      <font>
        <b/>
        <i/>
        <color rgb="FFC00000"/>
      </font>
      <fill>
        <patternFill>
          <bgColor rgb="FFF4D7D5"/>
        </patternFill>
      </fill>
    </dxf>
    <dxf>
      <font>
        <b/>
        <i val="0"/>
        <color theme="0"/>
      </font>
      <fill>
        <patternFill>
          <bgColor rgb="FFC00000"/>
        </patternFill>
      </fill>
    </dxf>
    <dxf>
      <font>
        <b/>
        <i val="0"/>
        <color rgb="FFC00000"/>
      </font>
    </dxf>
    <dxf>
      <font>
        <b/>
        <i val="0"/>
        <color theme="0"/>
      </font>
      <fill>
        <patternFill>
          <bgColor rgb="FFC00000"/>
        </patternFill>
      </fill>
    </dxf>
    <dxf>
      <font>
        <b/>
        <i val="0"/>
        <color rgb="FFC00000"/>
      </font>
    </dxf>
    <dxf>
      <font>
        <b/>
        <i val="0"/>
        <color theme="0"/>
      </font>
      <fill>
        <patternFill>
          <bgColor rgb="FFC00000"/>
        </patternFill>
      </fill>
    </dxf>
    <dxf>
      <font>
        <b/>
        <i val="0"/>
        <color rgb="FFC00000"/>
      </font>
    </dxf>
    <dxf>
      <font>
        <b/>
        <i val="0"/>
        <color theme="0"/>
      </font>
      <fill>
        <patternFill>
          <bgColor rgb="FFC00000"/>
        </patternFill>
      </fill>
    </dxf>
    <dxf>
      <font>
        <b/>
        <i val="0"/>
        <color rgb="FFC00000"/>
      </font>
    </dxf>
    <dxf>
      <font>
        <b/>
        <i val="0"/>
        <color theme="0"/>
      </font>
      <fill>
        <patternFill>
          <bgColor rgb="FFC00000"/>
        </patternFill>
      </fill>
    </dxf>
    <dxf>
      <font>
        <b/>
        <i val="0"/>
        <color rgb="FFC00000"/>
      </font>
    </dxf>
    <dxf>
      <font>
        <b/>
        <i val="0"/>
        <color theme="0"/>
      </font>
      <fill>
        <patternFill>
          <bgColor rgb="FFC00000"/>
        </patternFill>
      </fill>
    </dxf>
    <dxf>
      <font>
        <b/>
        <i val="0"/>
        <color rgb="FFC00000"/>
      </font>
    </dxf>
    <dxf>
      <font>
        <b/>
        <i val="0"/>
        <color theme="0"/>
      </font>
      <fill>
        <patternFill>
          <bgColor rgb="FFC00000"/>
        </patternFill>
      </fill>
    </dxf>
    <dxf>
      <font>
        <b/>
        <i val="0"/>
        <color rgb="FFC00000"/>
      </font>
    </dxf>
    <dxf>
      <font>
        <b/>
        <i val="0"/>
        <color theme="0"/>
      </font>
      <fill>
        <patternFill>
          <bgColor rgb="FFC00000"/>
        </patternFill>
      </fill>
    </dxf>
    <dxf>
      <font>
        <b/>
        <i val="0"/>
        <color rgb="FFC00000"/>
      </font>
    </dxf>
    <dxf>
      <font>
        <b/>
        <i val="0"/>
        <color theme="0"/>
      </font>
      <fill>
        <patternFill>
          <bgColor rgb="FFC00000"/>
        </patternFill>
      </fill>
    </dxf>
    <dxf>
      <font>
        <b/>
        <i val="0"/>
        <color rgb="FFC00000"/>
      </font>
    </dxf>
    <dxf>
      <font>
        <b/>
        <i val="0"/>
        <color theme="0"/>
      </font>
      <fill>
        <patternFill>
          <bgColor rgb="FFC00000"/>
        </patternFill>
      </fill>
    </dxf>
    <dxf>
      <font>
        <b/>
        <i val="0"/>
        <color rgb="FFFF0000"/>
      </font>
    </dxf>
    <dxf>
      <font>
        <b/>
        <i val="0"/>
        <color rgb="FFFF0000"/>
      </font>
    </dxf>
    <dxf>
      <border>
        <bottom style="hair">
          <color auto="1"/>
        </bottom>
        <vertical/>
        <horizontal/>
      </border>
    </dxf>
    <dxf>
      <fill>
        <patternFill>
          <bgColor rgb="FFEEEDF4"/>
        </patternFill>
      </fill>
    </dxf>
    <dxf>
      <font>
        <b/>
        <i val="0"/>
        <color theme="1"/>
      </font>
      <fill>
        <patternFill>
          <bgColor theme="8" tint="0.59996337778862885"/>
        </patternFill>
      </fill>
    </dxf>
    <dxf>
      <font>
        <b/>
        <i val="0"/>
        <color theme="0"/>
      </font>
      <fill>
        <patternFill>
          <bgColor rgb="FFC00000"/>
        </patternFill>
      </fill>
    </dxf>
    <dxf>
      <fill>
        <patternFill>
          <bgColor rgb="FFE6E6E6"/>
        </patternFill>
      </fill>
      <border>
        <left/>
        <right/>
        <top/>
        <bottom/>
        <vertical/>
        <horizontal/>
      </border>
    </dxf>
    <dxf>
      <font>
        <b/>
        <i val="0"/>
        <color rgb="FFFF0000"/>
      </font>
    </dxf>
    <dxf>
      <font>
        <b/>
        <i val="0"/>
        <color theme="0"/>
      </font>
      <fill>
        <patternFill>
          <bgColor rgb="FFFF0000"/>
        </patternFill>
      </fill>
    </dxf>
    <dxf>
      <font>
        <b/>
        <i val="0"/>
        <color theme="0"/>
      </font>
      <fill>
        <patternFill>
          <bgColor rgb="FF00B050"/>
        </patternFill>
      </fill>
    </dxf>
    <dxf>
      <fill>
        <patternFill>
          <bgColor rgb="FFE6E6E6"/>
        </patternFill>
      </fill>
    </dxf>
    <dxf>
      <font>
        <b/>
        <i val="0"/>
        <color rgb="FFFF0000"/>
      </font>
      <fill>
        <patternFill>
          <bgColor theme="1"/>
        </patternFill>
      </fill>
    </dxf>
    <dxf>
      <font>
        <b/>
        <i val="0"/>
        <color rgb="FFFF0000"/>
      </font>
    </dxf>
    <dxf>
      <font>
        <b/>
        <i val="0"/>
        <color rgb="FFFF0000"/>
      </font>
    </dxf>
    <dxf>
      <font>
        <b/>
        <i val="0"/>
        <color theme="0"/>
      </font>
      <fill>
        <patternFill>
          <bgColor rgb="FFFF0000"/>
        </patternFill>
      </fill>
    </dxf>
    <dxf>
      <font>
        <b/>
        <i val="0"/>
        <color theme="0"/>
      </font>
      <fill>
        <patternFill>
          <bgColor rgb="FF00B050"/>
        </patternFill>
      </fill>
    </dxf>
    <dxf>
      <border>
        <top/>
        <vertical/>
        <horizontal/>
      </border>
    </dxf>
    <dxf>
      <font>
        <color theme="0"/>
      </font>
      <fill>
        <patternFill patternType="solid">
          <bgColor theme="0"/>
        </patternFill>
      </fill>
    </dxf>
    <dxf>
      <font>
        <b/>
        <i val="0"/>
        <color rgb="FFFF0000"/>
      </font>
    </dxf>
    <dxf>
      <font>
        <b/>
        <i val="0"/>
        <color rgb="FFC00000"/>
      </font>
      <fill>
        <patternFill>
          <bgColor rgb="FFFFD5D5"/>
        </patternFill>
      </fill>
    </dxf>
    <dxf>
      <font>
        <b/>
        <i val="0"/>
        <color rgb="FF416529"/>
      </font>
      <fill>
        <patternFill>
          <bgColor theme="9" tint="0.59996337778862885"/>
        </patternFill>
      </fill>
    </dxf>
    <dxf>
      <font>
        <b/>
        <i val="0"/>
        <color rgb="FFFF0000"/>
      </font>
    </dxf>
    <dxf>
      <font>
        <color rgb="FFE6E6E6"/>
      </font>
      <fill>
        <patternFill patternType="solid">
          <bgColor rgb="FFE6E6E6"/>
        </patternFill>
      </fill>
    </dxf>
    <dxf>
      <font>
        <color rgb="FFE6E6E6"/>
      </font>
      <fill>
        <patternFill patternType="solid">
          <bgColor rgb="FFE6E6E6"/>
        </patternFill>
      </fill>
      <border>
        <left/>
        <right/>
        <bottom/>
      </border>
    </dxf>
    <dxf>
      <font>
        <color rgb="FFE6E6E6"/>
      </font>
      <fill>
        <patternFill patternType="solid">
          <bgColor rgb="FFE6E6E6"/>
        </patternFill>
      </fill>
      <border>
        <right/>
        <bottom/>
      </border>
    </dxf>
    <dxf>
      <font>
        <color rgb="FFE6E6E6"/>
      </font>
      <fill>
        <patternFill patternType="solid">
          <bgColor rgb="FFE6E6E6"/>
        </patternFill>
      </fill>
      <border>
        <left/>
        <bottom/>
      </border>
    </dxf>
    <dxf>
      <font>
        <b/>
        <i val="0"/>
        <color rgb="FFFF0000"/>
      </font>
    </dxf>
    <dxf>
      <font>
        <b/>
        <i val="0"/>
        <color rgb="FFFF0000"/>
      </font>
    </dxf>
    <dxf>
      <font>
        <b/>
        <i val="0"/>
        <color auto="1"/>
      </font>
      <fill>
        <patternFill>
          <bgColor theme="8" tint="0.59996337778862885"/>
        </patternFill>
      </fill>
    </dxf>
    <dxf>
      <border>
        <top/>
      </border>
    </dxf>
    <dxf>
      <font>
        <color rgb="FFE6E6E6"/>
      </font>
      <fill>
        <patternFill patternType="solid">
          <bgColor rgb="FFE6E6E6"/>
        </patternFill>
      </fill>
      <border>
        <right/>
      </border>
    </dxf>
    <dxf>
      <font>
        <b/>
        <i/>
        <color rgb="FFC00000"/>
      </font>
      <fill>
        <patternFill>
          <bgColor rgb="FFF4D7D5"/>
        </patternFill>
      </fill>
    </dxf>
    <dxf>
      <font>
        <b/>
        <i/>
        <color rgb="FFC00000"/>
      </font>
      <fill>
        <patternFill>
          <bgColor rgb="FFF4D7D5"/>
        </patternFill>
      </fill>
    </dxf>
    <dxf>
      <font>
        <b val="0"/>
        <i val="0"/>
        <strike val="0"/>
        <condense val="0"/>
        <extend val="0"/>
        <outline val="0"/>
        <shadow val="0"/>
        <u val="none"/>
        <vertAlign val="baseline"/>
        <sz val="10"/>
        <color theme="1"/>
        <name val="Arial"/>
        <family val="2"/>
        <scheme val="none"/>
      </font>
      <numFmt numFmtId="0" formatCode="General"/>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14999847407452621"/>
        </patternFill>
      </fill>
      <alignment horizontal="general" vertical="center"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0" formatCode="General"/>
    </dxf>
    <dxf>
      <font>
        <b val="0"/>
        <i val="0"/>
        <strike val="0"/>
        <condense val="0"/>
        <extend val="0"/>
        <outline val="0"/>
        <shadow val="0"/>
        <u val="none"/>
        <vertAlign val="baseline"/>
        <sz val="10"/>
        <color auto="1"/>
        <name val="Arial"/>
        <family val="2"/>
        <scheme val="none"/>
      </font>
      <alignment horizontal="general" vertical="center"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indexed="64"/>
        </left>
      </border>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164" formatCode="0.0%"/>
      <protection locked="1" hidden="0"/>
    </dxf>
    <dxf>
      <numFmt numFmtId="164" formatCode="0.0%"/>
      <protection locked="1" hidden="0"/>
    </dxf>
    <dxf>
      <numFmt numFmtId="3" formatCode="#,##0"/>
      <protection locked="1" hidden="0"/>
    </dxf>
    <dxf>
      <font>
        <b val="0"/>
        <i val="0"/>
        <strike val="0"/>
        <condense val="0"/>
        <extend val="0"/>
        <outline val="0"/>
        <shadow val="0"/>
        <u val="none"/>
        <vertAlign val="baseline"/>
        <sz val="10"/>
        <color theme="1"/>
        <name val="Arial"/>
        <family val="2"/>
        <scheme val="none"/>
      </font>
      <numFmt numFmtId="3" formatCode="#,##0"/>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theme="8" tint="0.39997558519241921"/>
        </patternFill>
      </fill>
      <alignment horizontal="center" vertical="bottom"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0"/>
        <color auto="1"/>
        <name val="Arial"/>
        <family val="2"/>
        <scheme val="none"/>
      </font>
      <numFmt numFmtId="3" formatCode="#,##0"/>
      <fill>
        <patternFill patternType="solid">
          <fgColor indexed="64"/>
          <bgColor theme="8" tint="0.39997558519241921"/>
        </patternFill>
      </fill>
      <alignment horizontal="center" vertical="bottom" textRotation="0" wrapText="0" indent="0" justifyLastLine="0" shrinkToFit="0" readingOrder="0"/>
      <border diagonalUp="0" diagonalDown="0">
        <left style="thin">
          <color auto="1"/>
        </left>
        <right style="thin">
          <color auto="1"/>
        </right>
        <top/>
        <bottom style="thin">
          <color auto="1"/>
        </bottom>
        <vertical/>
        <horizontal/>
      </border>
    </dxf>
    <dxf>
      <font>
        <b val="0"/>
        <i val="0"/>
        <strike val="0"/>
        <condense val="0"/>
        <extend val="0"/>
        <outline val="0"/>
        <shadow val="0"/>
        <u val="none"/>
        <vertAlign val="baseline"/>
        <sz val="10"/>
        <color theme="1"/>
        <name val="Arial"/>
        <family val="2"/>
        <scheme val="none"/>
      </font>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Arial"/>
        <family val="2"/>
        <scheme val="none"/>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Arial"/>
        <family val="2"/>
        <scheme val="none"/>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theme="1"/>
        <name val="Arial"/>
        <family val="2"/>
        <scheme val="none"/>
      </font>
      <numFmt numFmtId="0" formatCode="Genera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164" formatCode="0.0%"/>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64" formatCode="0.0%"/>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protection locked="1" hidden="0"/>
    </dxf>
    <dxf>
      <border>
        <bottom style="thin">
          <color indexed="64"/>
        </bottom>
      </border>
    </dxf>
    <dxf>
      <font>
        <b/>
        <i val="0"/>
        <strike val="0"/>
        <condense val="0"/>
        <extend val="0"/>
        <outline val="0"/>
        <shadow val="0"/>
        <u val="none"/>
        <vertAlign val="baseline"/>
        <sz val="10"/>
        <color theme="0"/>
        <name val="Arial"/>
        <family val="2"/>
        <scheme val="none"/>
      </font>
      <fill>
        <patternFill patternType="solid">
          <fgColor indexed="64"/>
          <bgColor theme="0" tint="-0.499984740745262"/>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sz val="10"/>
        <name val="Arial"/>
        <family val="2"/>
        <scheme val="none"/>
      </font>
      <numFmt numFmtId="3" formatCode="#,##0"/>
      <protection locked="1" hidden="0"/>
    </dxf>
    <dxf>
      <font>
        <strike val="0"/>
        <outline val="0"/>
        <shadow val="0"/>
        <u val="none"/>
        <vertAlign val="baseline"/>
        <sz val="10"/>
        <name val="Arial"/>
        <family val="2"/>
        <scheme val="none"/>
      </font>
      <numFmt numFmtId="19" formatCode="dd/mm/yyyy"/>
      <protection locked="1" hidden="0"/>
    </dxf>
    <dxf>
      <font>
        <strike val="0"/>
        <outline val="0"/>
        <shadow val="0"/>
        <u val="none"/>
        <vertAlign val="baseline"/>
        <sz val="10"/>
        <color auto="1"/>
        <name val="Arial"/>
        <family val="2"/>
        <scheme val="none"/>
      </font>
      <numFmt numFmtId="3" formatCode="#,##0"/>
      <fill>
        <patternFill patternType="solid">
          <fgColor indexed="64"/>
          <bgColor theme="8" tint="0.39997558519241921"/>
        </patternFill>
      </fill>
      <alignment horizontal="center" vertical="bottom"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strike val="0"/>
        <outline val="0"/>
        <shadow val="0"/>
        <u val="none"/>
        <vertAlign val="baseline"/>
        <sz val="10"/>
        <name val="Arial"/>
        <family val="2"/>
        <scheme val="none"/>
      </font>
      <numFmt numFmtId="3" formatCode="#,##0"/>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0"/>
        <name val="Arial"/>
        <family val="2"/>
        <scheme val="none"/>
      </font>
      <numFmt numFmtId="3" formatCode="#,##0"/>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border>
      <protection locked="1"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protection locked="1" hidden="0"/>
    </dxf>
    <dxf>
      <border>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0"/>
    </dxf>
    <dxf>
      <font>
        <strike val="0"/>
        <outline val="0"/>
        <shadow val="0"/>
        <u val="none"/>
        <vertAlign val="baseline"/>
        <sz val="10"/>
        <name val="Arial"/>
        <family val="2"/>
        <scheme val="none"/>
      </font>
      <numFmt numFmtId="3" formatCode="#,##0"/>
      <fill>
        <patternFill patternType="solid">
          <fgColor indexed="64"/>
          <bgColor theme="8" tint="0.39997558519241921"/>
        </patternFill>
      </fill>
      <border>
        <left style="thin">
          <color auto="1"/>
        </left>
      </border>
      <protection locked="1" hidden="0"/>
    </dxf>
    <dxf>
      <font>
        <strike val="0"/>
        <outline val="0"/>
        <shadow val="0"/>
        <u val="none"/>
        <vertAlign val="baseline"/>
        <sz val="10"/>
        <name val="Arial"/>
        <family val="2"/>
        <scheme val="none"/>
      </font>
      <numFmt numFmtId="3" formatCode="#,##0"/>
      <fill>
        <patternFill patternType="solid">
          <fgColor indexed="64"/>
          <bgColor theme="8" tint="0.79998168889431442"/>
        </patternFill>
      </fill>
      <border outline="0">
        <left style="thin">
          <color indexed="64"/>
        </left>
        <right style="thin">
          <color auto="1"/>
        </right>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auto="1"/>
        </top>
        <bottom style="thin">
          <color auto="1"/>
        </bottom>
      </border>
      <protection locked="1" hidden="0"/>
    </dxf>
    <dxf>
      <border outline="0">
        <left style="thin">
          <color indexed="64"/>
        </left>
        <top style="thin">
          <color indexed="64"/>
        </top>
      </border>
    </dxf>
    <dxf>
      <font>
        <strike val="0"/>
        <outline val="0"/>
        <shadow val="0"/>
        <u val="none"/>
        <vertAlign val="baseline"/>
        <sz val="10"/>
        <name val="Arial"/>
        <family val="2"/>
        <scheme val="none"/>
      </font>
      <protection locked="1" hidden="0"/>
    </dxf>
    <dxf>
      <border outline="0">
        <bottom style="thin">
          <color auto="1"/>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bottom/>
      </border>
      <protection locked="1" hidden="0"/>
    </dxf>
    <dxf>
      <font>
        <strike val="0"/>
        <outline val="0"/>
        <shadow val="0"/>
        <u val="none"/>
        <vertAlign val="baseline"/>
        <sz val="10"/>
        <name val="Arial"/>
        <family val="2"/>
        <scheme val="none"/>
      </font>
      <numFmt numFmtId="3" formatCode="#,##0"/>
      <fill>
        <patternFill patternType="solid">
          <fgColor indexed="64"/>
          <bgColor theme="8" tint="0.39997558519241921"/>
        </patternFill>
      </fill>
      <border>
        <left style="thin">
          <color auto="1"/>
        </left>
      </border>
      <protection locked="1" hidden="0"/>
    </dxf>
    <dxf>
      <font>
        <strike val="0"/>
        <outline val="0"/>
        <shadow val="0"/>
        <u val="none"/>
        <vertAlign val="baseline"/>
        <sz val="10"/>
        <name val="Arial"/>
        <family val="2"/>
        <scheme val="none"/>
      </font>
      <numFmt numFmtId="3" formatCode="#,##0"/>
      <fill>
        <patternFill patternType="solid">
          <fgColor indexed="64"/>
          <bgColor theme="8" tint="0.59999389629810485"/>
        </patternFill>
      </fill>
      <border>
        <left style="thin">
          <color auto="1"/>
        </left>
        <right style="thin">
          <color auto="1"/>
        </right>
      </border>
      <protection locked="1" hidden="0"/>
    </dxf>
    <dxf>
      <font>
        <strike val="0"/>
        <outline val="0"/>
        <shadow val="0"/>
        <u val="none"/>
        <vertAlign val="baseline"/>
        <sz val="10"/>
        <color auto="1"/>
        <name val="Arial"/>
        <family val="2"/>
        <scheme val="none"/>
      </font>
      <numFmt numFmtId="164" formatCode="0.0%"/>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family val="2"/>
        <scheme val="none"/>
      </font>
      <numFmt numFmtId="164" formatCode="0.0%"/>
      <fill>
        <patternFill patternType="solid">
          <fgColor indexed="64"/>
          <bgColor theme="8" tint="0.79998168889431442"/>
        </patternFill>
      </fill>
      <border diagonalUp="0" diagonalDown="0">
        <left style="thin">
          <color auto="1"/>
        </left>
        <right style="thin">
          <color auto="1"/>
        </right>
        <top/>
        <bottom style="thin">
          <color auto="1"/>
        </bottom>
      </border>
      <protection locked="1" hidden="0"/>
    </dxf>
    <dxf>
      <font>
        <strike val="0"/>
        <outline val="0"/>
        <shadow val="0"/>
        <u val="none"/>
        <vertAlign val="baseline"/>
        <sz val="10"/>
        <name val="Arial"/>
        <family val="2"/>
        <scheme val="none"/>
      </font>
      <numFmt numFmtId="164" formatCode="0.0%"/>
      <fill>
        <patternFill patternType="solid">
          <fgColor indexed="64"/>
          <bgColor theme="8" tint="0.79998168889431442"/>
        </patternFill>
      </fill>
      <border>
        <left style="thin">
          <color auto="1"/>
        </left>
        <right style="thin">
          <color auto="1"/>
        </right>
      </border>
      <protection locked="1" hidden="0"/>
    </dxf>
    <dxf>
      <font>
        <strike val="0"/>
        <outline val="0"/>
        <shadow val="0"/>
        <u val="none"/>
        <vertAlign val="baseline"/>
        <sz val="10"/>
        <name val="Arial"/>
        <family val="2"/>
        <scheme val="none"/>
      </font>
      <fill>
        <patternFill patternType="solid">
          <fgColor indexed="64"/>
          <bgColor theme="8" tint="0.79998168889431442"/>
        </patternFill>
      </fill>
      <border>
        <left style="thin">
          <color auto="1"/>
        </left>
        <right style="thin">
          <color auto="1"/>
        </right>
      </border>
      <protection locked="1" hidden="0"/>
    </dxf>
    <dxf>
      <font>
        <strike val="0"/>
        <outline val="0"/>
        <shadow val="0"/>
        <u val="none"/>
        <vertAlign val="baseline"/>
        <sz val="10"/>
        <name val="Arial"/>
        <family val="2"/>
        <scheme val="none"/>
      </font>
      <numFmt numFmtId="164" formatCode="0.0%"/>
      <fill>
        <patternFill patternType="solid">
          <fgColor indexed="64"/>
          <bgColor theme="8" tint="0.79998168889431442"/>
        </patternFill>
      </fill>
      <border outline="0">
        <left style="thin">
          <color indexed="64"/>
        </left>
        <right style="thin">
          <color auto="1"/>
        </right>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auto="1"/>
        </left>
        <right/>
        <top style="thin">
          <color auto="1"/>
        </top>
        <bottom style="thin">
          <color auto="1"/>
        </bottom>
      </border>
      <protection locked="1" hidden="0"/>
    </dxf>
    <dxf>
      <font>
        <b val="0"/>
        <i val="0"/>
        <strike val="0"/>
        <condense val="0"/>
        <extend val="0"/>
        <outline val="0"/>
        <shadow val="0"/>
        <u val="none"/>
        <vertAlign val="baseline"/>
        <sz val="10"/>
        <color auto="1"/>
        <name val="Arial"/>
        <family val="2"/>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14999847407452621"/>
        </patternFill>
      </fill>
      <alignment horizontal="general" vertical="center" textRotation="0" wrapText="0" indent="0" justifyLastLine="0" shrinkToFit="0" readingOrder="0"/>
      <border diagonalUp="0" diagonalDown="0" outline="0">
        <left/>
        <right/>
        <top style="thin">
          <color auto="1"/>
        </top>
        <bottom style="thin">
          <color auto="1"/>
        </bottom>
      </border>
      <protection locked="1" hidden="0"/>
    </dxf>
    <dxf>
      <border outline="0">
        <top style="thin">
          <color auto="1"/>
        </top>
      </border>
    </dxf>
    <dxf>
      <border outline="0">
        <left style="thin">
          <color indexed="64"/>
        </left>
        <right style="thin">
          <color indexed="64"/>
        </right>
        <top style="thin">
          <color auto="1"/>
        </top>
        <bottom style="thin">
          <color auto="1"/>
        </bottom>
      </border>
    </dxf>
    <dxf>
      <font>
        <strike val="0"/>
        <outline val="0"/>
        <shadow val="0"/>
        <u val="none"/>
        <vertAlign val="baseline"/>
        <sz val="10"/>
        <name val="Arial"/>
        <family val="2"/>
        <scheme val="none"/>
      </font>
      <protection locked="1" hidden="0"/>
    </dxf>
    <dxf>
      <border outline="0">
        <bottom style="thin">
          <color auto="1"/>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bottom/>
      </border>
      <protection locked="1" hidden="0"/>
    </dxf>
    <dxf>
      <font>
        <strike val="0"/>
        <outline val="0"/>
        <shadow val="0"/>
        <u val="none"/>
        <vertAlign val="baseline"/>
        <sz val="10"/>
        <color auto="1"/>
        <name val="Arial"/>
        <family val="2"/>
        <scheme val="none"/>
      </font>
      <numFmt numFmtId="13" formatCode="0%"/>
      <fill>
        <patternFill patternType="none">
          <fgColor indexed="64"/>
          <bgColor auto="1"/>
        </patternFill>
      </fill>
      <border diagonalUp="0" diagonalDown="0">
        <left style="thin">
          <color auto="1"/>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39997558519241921"/>
        </patternFill>
      </fill>
      <border diagonalUp="0" diagonalDown="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3" formatCode="0%"/>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auto="1"/>
        </left>
        <right style="thin">
          <color auto="1"/>
        </right>
        <top/>
        <bottom style="thin">
          <color auto="1"/>
        </bottom>
        <vertical/>
        <horizontal/>
      </border>
      <protection locked="1" hidden="0"/>
    </dxf>
    <dxf>
      <font>
        <b val="0"/>
        <i val="0"/>
        <strike val="0"/>
        <condense val="0"/>
        <extend val="0"/>
        <outline val="0"/>
        <shadow val="0"/>
        <u val="none"/>
        <vertAlign val="baseline"/>
        <sz val="10"/>
        <color auto="1"/>
        <name val="Arial"/>
        <family val="2"/>
        <scheme val="none"/>
      </font>
      <numFmt numFmtId="13" formatCode="0%"/>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auto="1"/>
        </left>
        <right style="thin">
          <color auto="1"/>
        </right>
        <top/>
        <bottom style="thin">
          <color auto="1"/>
        </bottom>
        <vertical/>
        <horizontal/>
      </border>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border diagonalUp="0" diagonalDown="0">
        <left style="thin">
          <color auto="1"/>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border diagonalUp="0" diagonalDown="0">
        <left style="thin">
          <color auto="1"/>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border diagonalUp="0" diagonalDown="0">
        <left style="thin">
          <color auto="1"/>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border diagonalUp="0" diagonalDown="0">
        <left style="thin">
          <color auto="1"/>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border diagonalUp="0" diagonalDown="0">
        <left style="thin">
          <color auto="1"/>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border diagonalUp="0" diagonalDown="0">
        <left style="thin">
          <color auto="1"/>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border diagonalUp="0" diagonalDown="0">
        <left style="thin">
          <color auto="1"/>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border diagonalUp="0" diagonalDown="0">
        <left style="thin">
          <color auto="1"/>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numFmt numFmtId="3" formatCode="#,##0"/>
      <fill>
        <patternFill patternType="solid">
          <fgColor indexed="64"/>
          <bgColor theme="8" tint="0.59999389629810485"/>
        </patternFill>
      </fill>
      <border diagonalUp="0" diagonalDown="0">
        <left style="thin">
          <color indexed="64"/>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auto="1"/>
        </right>
        <top style="thin">
          <color auto="1"/>
        </top>
        <bottom style="thin">
          <color auto="1"/>
        </bottom>
      </border>
      <protection locked="1" hidden="0"/>
    </dxf>
    <dxf>
      <font>
        <strike val="0"/>
        <outline val="0"/>
        <shadow val="0"/>
        <u val="none"/>
        <vertAlign val="baseline"/>
        <sz val="10"/>
        <color auto="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auto="1"/>
        </top>
        <bottom style="thin">
          <color auto="1"/>
        </bottom>
      </border>
      <protection locked="1" hidden="0"/>
    </dxf>
    <dxf>
      <font>
        <strike val="0"/>
        <outline val="0"/>
        <shadow val="0"/>
        <u val="none"/>
        <vertAlign val="baseline"/>
        <sz val="10"/>
        <color auto="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auto="1"/>
        </top>
        <bottom style="thin">
          <color auto="1"/>
        </bottom>
      </border>
      <protection locked="1" hidden="0"/>
    </dxf>
    <dxf>
      <font>
        <strike val="0"/>
        <outline val="0"/>
        <shadow val="0"/>
        <u val="none"/>
        <vertAlign val="baseline"/>
        <sz val="10"/>
        <color auto="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auto="1"/>
        </top>
        <bottom style="thin">
          <color auto="1"/>
        </bottom>
      </border>
      <protection locked="1" hidden="0"/>
    </dxf>
    <dxf>
      <font>
        <strike val="0"/>
        <outline val="0"/>
        <shadow val="0"/>
        <u val="none"/>
        <vertAlign val="baseline"/>
        <sz val="10"/>
        <color auto="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auto="1"/>
        </top>
        <bottom style="thin">
          <color auto="1"/>
        </bottom>
      </border>
      <protection locked="1" hidden="0"/>
    </dxf>
    <dxf>
      <font>
        <strike val="0"/>
        <outline val="0"/>
        <shadow val="0"/>
        <u val="none"/>
        <vertAlign val="baseline"/>
        <sz val="10"/>
        <color auto="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auto="1"/>
        </top>
        <bottom style="thin">
          <color auto="1"/>
        </bottom>
      </border>
      <protection locked="1" hidden="0"/>
    </dxf>
    <dxf>
      <font>
        <strike val="0"/>
        <outline val="0"/>
        <shadow val="0"/>
        <u val="none"/>
        <vertAlign val="baseline"/>
        <sz val="10"/>
        <color auto="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auto="1"/>
        </top>
        <bottom style="thin">
          <color auto="1"/>
        </bottom>
      </border>
      <protection locked="1" hidden="0"/>
    </dxf>
    <dxf>
      <font>
        <strike val="0"/>
        <outline val="0"/>
        <shadow val="0"/>
        <u val="none"/>
        <vertAlign val="baseline"/>
        <sz val="10"/>
        <color auto="1"/>
        <name val="Arial"/>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auto="1"/>
        </top>
        <bottom style="thin">
          <color auto="1"/>
        </bottom>
      </border>
      <protection locked="1" hidden="0"/>
    </dxf>
    <dxf>
      <font>
        <strike val="0"/>
        <outline val="0"/>
        <shadow val="0"/>
        <u val="none"/>
        <vertAlign val="baseline"/>
        <sz val="10"/>
        <color auto="1"/>
        <name val="Arial"/>
        <family val="2"/>
        <scheme val="none"/>
      </font>
      <numFmt numFmtId="13" formatCode="0%"/>
      <fill>
        <patternFill patternType="solid">
          <fgColor indexed="64"/>
          <bgColor theme="8" tint="0.79998168889431442"/>
        </patternFill>
      </fill>
      <alignment horizontal="center" vertical="bottom" textRotation="0" wrapText="0" indent="0" justifyLastLine="0" shrinkToFit="0" readingOrder="0"/>
      <border diagonalUp="0" diagonalDown="0" outline="0">
        <left style="thin">
          <color indexed="64"/>
        </left>
        <right style="thin">
          <color indexed="64"/>
        </right>
        <top style="thin">
          <color auto="1"/>
        </top>
        <bottom style="thin">
          <color auto="1"/>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auto="1"/>
        </left>
        <right style="thin">
          <color indexed="64"/>
        </right>
        <top style="thin">
          <color auto="1"/>
        </top>
        <bottom style="thin">
          <color auto="1"/>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color auto="1"/>
        <name val="Arial"/>
        <family val="2"/>
        <scheme val="none"/>
      </font>
      <numFmt numFmtId="3" formatCode="#,##0"/>
      <fill>
        <patternFill patternType="none">
          <fgColor indexed="64"/>
          <bgColor auto="1"/>
        </patternFill>
      </fill>
      <protection locked="1" hidden="0"/>
    </dxf>
    <dxf>
      <border>
        <bottom style="thin">
          <color auto="1"/>
        </bottom>
      </border>
    </dxf>
    <dxf>
      <font>
        <b/>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center" textRotation="0" wrapText="1" indent="0" justifyLastLine="0" shrinkToFit="0" readingOrder="0"/>
      <border diagonalUp="0" diagonalDown="0">
        <left style="thin">
          <color auto="1"/>
        </left>
        <right style="thin">
          <color auto="1"/>
        </right>
        <top/>
        <bottom/>
      </border>
      <protection locked="1"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horizontal/>
      </border>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horizontal/>
      </border>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horizontal/>
      </border>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bgColor auto="1"/>
        </patternFill>
      </fill>
      <alignment horizontal="left" vertical="center" textRotation="0" wrapText="0" relativeIndent="1" justifyLastLine="0" shrinkToFit="0" readingOrder="0"/>
      <border diagonalUp="0" diagonalDown="0">
        <left/>
        <right style="hair">
          <color rgb="FF59468D"/>
        </right>
      </border>
    </dxf>
    <dxf>
      <font>
        <b val="0"/>
        <i val="0"/>
        <strike val="0"/>
        <condense val="0"/>
        <extend val="0"/>
        <outline val="0"/>
        <shadow val="0"/>
        <u val="none"/>
        <vertAlign val="baseline"/>
        <sz val="10"/>
        <color auto="1"/>
        <name val="Arial"/>
        <family val="2"/>
        <scheme val="none"/>
      </font>
      <numFmt numFmtId="172" formatCode="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vertical="center" textRotation="0" indent="0" justifyLastLine="0" shrinkToFit="0" readingOrder="0"/>
      <border diagonalUp="0" diagonalDown="0">
        <left style="hair">
          <color rgb="FF59468D"/>
        </left>
        <right/>
      </border>
    </dxf>
    <dxf>
      <font>
        <b val="0"/>
        <i val="0"/>
        <strike val="0"/>
        <condense val="0"/>
        <extend val="0"/>
        <outline val="0"/>
        <shadow val="0"/>
        <u val="none"/>
        <vertAlign val="baseline"/>
        <sz val="10"/>
        <color auto="1"/>
        <name val="Arial"/>
        <family val="2"/>
        <scheme val="none"/>
      </font>
      <numFmt numFmtId="166" formatCode="&quot;Yes&quot;;;&quot;No&quot;"/>
      <fill>
        <patternFill patternType="none">
          <fgColor indexed="64"/>
          <bgColor indexed="65"/>
        </patternFill>
      </fill>
      <alignment horizontal="center" vertical="center" textRotation="0" wrapText="0" indent="0" justifyLastLine="0" shrinkToFit="0" readingOrder="0"/>
      <border diagonalUp="0" diagonalDown="0">
        <left/>
        <right style="hair">
          <color rgb="FF59468D"/>
        </right>
        <top style="hair">
          <color rgb="FF59468D"/>
        </top>
        <bottom/>
      </border>
    </dxf>
    <dxf>
      <font>
        <b val="0"/>
        <i val="0"/>
        <strike val="0"/>
        <condense val="0"/>
        <extend val="0"/>
        <outline val="0"/>
        <shadow val="0"/>
        <u val="none"/>
        <vertAlign val="baseline"/>
        <sz val="10"/>
        <color auto="1"/>
        <name val="Arial"/>
        <family val="2"/>
        <scheme val="none"/>
      </font>
      <numFmt numFmtId="166" formatCode="&quot;Yes&quot;;;&quot;No&quot;"/>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border>
    </dxf>
    <dxf>
      <font>
        <b val="0"/>
        <i val="0"/>
        <strike val="0"/>
        <condense val="0"/>
        <extend val="0"/>
        <outline val="0"/>
        <shadow val="0"/>
        <u val="none"/>
        <vertAlign val="baseline"/>
        <sz val="10"/>
        <color auto="1"/>
        <name val="Arial"/>
        <family val="2"/>
        <scheme val="none"/>
      </font>
      <numFmt numFmtId="166" formatCode="&quot;Yes&quot;;;&quot;No&quot;"/>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center" vertical="center" textRotation="0" wrapText="0" indent="0" justifyLastLine="0" shrinkToFit="0" readingOrder="0"/>
      <border diagonalUp="0" diagonalDown="0">
        <left/>
        <right style="hair">
          <color rgb="FF59468D"/>
        </right>
        <top/>
        <bottom/>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right style="hair">
          <color rgb="FF59468D"/>
        </right>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right style="hair">
          <color rgb="FF59468D"/>
        </right>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right style="hair">
          <color rgb="FF59468D"/>
        </right>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8" formatCode="&quot;£&quot;#,##0;[Red]\(&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left/>
        <right style="hair">
          <color rgb="FF59468D"/>
        </right>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4"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left/>
        <right style="hair">
          <color rgb="FF59468D"/>
        </right>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3" formatCode="0.00%;[Red]\(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right style="hair">
          <color rgb="FF59468D"/>
        </right>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fill>
        <patternFill patternType="none">
          <bgColor auto="1"/>
        </patternFill>
      </fill>
      <alignment vertical="center" textRotation="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bgColor auto="1"/>
        </patternFill>
      </fill>
      <alignment vertical="center" textRotation="0" indent="0" justifyLastLine="0" shrinkToFit="0" readingOrder="0"/>
    </dxf>
    <dxf>
      <font>
        <b val="0"/>
        <i val="0"/>
        <strike val="0"/>
        <condense val="0"/>
        <extend val="0"/>
        <outline val="0"/>
        <shadow val="0"/>
        <u val="none"/>
        <vertAlign val="baseline"/>
        <sz val="10"/>
        <color auto="1"/>
        <name val="Arial"/>
        <family val="2"/>
        <scheme val="none"/>
      </font>
      <fill>
        <patternFill patternType="none">
          <bgColor auto="1"/>
        </patternFill>
      </fill>
      <alignment vertical="center" textRotation="0" indent="0" justifyLastLine="0" shrinkToFit="0" readingOrder="0"/>
    </dxf>
    <dxf>
      <border>
        <top style="hair">
          <color auto="1"/>
        </top>
      </border>
    </dxf>
    <dxf>
      <border diagonalUp="0" diagonalDown="0">
        <left style="hair">
          <color auto="1"/>
        </left>
        <right style="hair">
          <color auto="1"/>
        </right>
        <top style="hair">
          <color auto="1"/>
        </top>
        <bottom style="hair">
          <color auto="1"/>
        </bottom>
      </border>
    </dxf>
    <dxf>
      <font>
        <strike val="0"/>
        <outline val="0"/>
        <shadow val="0"/>
        <u val="none"/>
        <vertAlign val="baseline"/>
        <sz val="10"/>
        <color auto="1"/>
        <name val="Arial"/>
        <family val="2"/>
        <scheme val="none"/>
      </font>
      <fill>
        <patternFill patternType="none">
          <fgColor rgb="FF000000"/>
          <bgColor auto="1"/>
        </patternFill>
      </fill>
      <alignment horizontal="center" vertical="center" textRotation="0" wrapText="0" indent="0" justifyLastLine="0" shrinkToFit="0" readingOrder="0"/>
    </dxf>
    <dxf>
      <border>
        <bottom style="hair">
          <color auto="1"/>
        </bottom>
      </border>
    </dxf>
    <dxf>
      <font>
        <strike val="0"/>
        <outline val="0"/>
        <shadow val="0"/>
        <u val="none"/>
        <vertAlign val="baseline"/>
        <sz val="10"/>
        <color theme="0"/>
        <name val="Arial"/>
        <family val="2"/>
        <scheme val="none"/>
      </font>
      <fill>
        <patternFill patternType="none">
          <bgColor auto="1"/>
        </patternFill>
      </fill>
      <alignment horizontal="left" vertical="center" textRotation="0" indent="0" justifyLastLine="0" shrinkToFit="0" readingOrder="0"/>
      <border diagonalUp="0" diagonalDown="0" outline="0">
        <left style="hair">
          <color auto="1"/>
        </left>
        <right style="hair">
          <color auto="1"/>
        </right>
        <top/>
        <bottom/>
      </border>
    </dxf>
    <dxf>
      <font>
        <b val="0"/>
        <i/>
        <strike val="0"/>
        <condense val="0"/>
        <extend val="0"/>
        <outline val="0"/>
        <shadow val="0"/>
        <u val="none"/>
        <vertAlign val="baseline"/>
        <sz val="10"/>
        <color theme="0"/>
        <name val="Arial"/>
        <family val="2"/>
        <scheme val="none"/>
      </font>
      <numFmt numFmtId="1" formatCode="0"/>
      <fill>
        <patternFill patternType="solid">
          <fgColor indexed="64"/>
          <bgColor theme="1"/>
        </patternFill>
      </fill>
      <alignment horizontal="center" vertical="center" textRotation="0" wrapText="0" indent="0" justifyLastLine="0" shrinkToFit="0" readingOrder="0"/>
      <protection locked="1" hidden="1"/>
    </dxf>
    <dxf>
      <font>
        <strike val="0"/>
        <outline val="0"/>
        <shadow val="0"/>
        <u val="none"/>
        <vertAlign val="baseline"/>
        <sz val="10"/>
        <name val="Arial"/>
        <family val="2"/>
        <scheme val="none"/>
      </font>
      <numFmt numFmtId="166" formatCode="&quot;Yes&quot;;;&quot;No&quot;"/>
      <fill>
        <patternFill patternType="solid">
          <fgColor indexed="64"/>
          <bgColor rgb="FFE6E6E6"/>
        </patternFill>
      </fill>
      <alignment horizontal="general" vertical="center" textRotation="0" wrapText="0" indent="0" justifyLastLine="0" shrinkToFit="0" readingOrder="0"/>
      <border diagonalUp="0" diagonalDown="0" outline="0">
        <left style="thin">
          <color theme="0" tint="-0.499984740745262"/>
        </left>
        <right/>
        <top style="thin">
          <color theme="0" tint="-4.9989318521683403E-2"/>
        </top>
        <bottom style="thin">
          <color theme="0" tint="-4.9989318521683403E-2"/>
        </bottom>
      </border>
      <protection locked="1" hidden="1"/>
    </dxf>
    <dxf>
      <font>
        <strike val="0"/>
        <outline val="0"/>
        <shadow val="0"/>
        <u val="none"/>
        <vertAlign val="baseline"/>
        <sz val="10"/>
        <name val="Arial"/>
        <family val="2"/>
        <scheme val="none"/>
      </font>
      <fill>
        <patternFill patternType="solid">
          <fgColor indexed="64"/>
          <bgColor theme="7" tint="0.59999389629810485"/>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1"/>
    </dxf>
    <dxf>
      <font>
        <strike val="0"/>
        <outline val="0"/>
        <shadow val="0"/>
        <u val="none"/>
        <vertAlign val="baseline"/>
        <sz val="10"/>
        <name val="Arial"/>
        <family val="2"/>
        <scheme val="none"/>
      </font>
      <numFmt numFmtId="166" formatCode="&quot;Yes&quot;;;&quot;No&quot;"/>
      <fill>
        <patternFill patternType="solid">
          <fgColor indexed="64"/>
          <bgColor rgb="FFE6E6E6"/>
        </patternFill>
      </fill>
      <alignment horizontal="general" vertical="center" textRotation="0" wrapText="0" indent="0" justifyLastLine="0" shrinkToFit="0" readingOrder="0"/>
      <border diagonalUp="0" diagonalDown="0" outline="0">
        <left style="thick">
          <color theme="1"/>
        </left>
        <right style="thin">
          <color theme="0" tint="-0.499984740745262"/>
        </right>
        <top style="thin">
          <color theme="0" tint="-4.9989318521683403E-2"/>
        </top>
        <bottom style="thin">
          <color theme="0" tint="-4.9989318521683403E-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general" vertical="center" textRotation="0" wrapText="0" indent="0" justifyLastLine="0" shrinkToFit="0" readingOrder="0"/>
      <border diagonalUp="0" diagonalDown="0" outline="0">
        <left style="thick">
          <color theme="1"/>
        </left>
        <right style="thick">
          <color theme="1"/>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general" vertical="center" textRotation="0" wrapText="0"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rgb="FFE6E6E6"/>
        </patternFill>
      </fill>
      <alignment horizontal="center"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rgb="FFE6E6E6"/>
        </patternFill>
      </fill>
      <alignment horizontal="center" vertical="center" textRotation="0" wrapText="0" indent="0" justifyLastLine="0" shrinkToFit="0" readingOrder="0"/>
      <border diagonalUp="0" diagonalDown="0" outline="0">
        <left style="thin">
          <color theme="0" tint="-0.499984740745262"/>
        </left>
        <right style="thin">
          <color theme="0" tint="-0.499984740745262"/>
        </right>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13" formatCode="0%"/>
      <fill>
        <patternFill patternType="solid">
          <fgColor indexed="64"/>
          <bgColor rgb="FFE6E6E6"/>
        </patternFill>
      </fill>
      <alignment horizontal="center"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general"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strike val="0"/>
        <outline val="0"/>
        <shadow val="0"/>
        <u val="none"/>
        <vertAlign val="baseline"/>
        <sz val="10"/>
        <name val="Arial"/>
        <family val="2"/>
        <scheme val="none"/>
      </font>
      <numFmt numFmtId="13" formatCode="0%"/>
      <fill>
        <patternFill patternType="solid">
          <fgColor indexed="64"/>
          <bgColor rgb="FFE6E6E6"/>
        </patternFill>
      </fill>
      <alignment horizontal="center" vertical="center" textRotation="0" wrapText="0" indent="0"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left" vertical="center" textRotation="0" wrapText="0" relativeIndent="1"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1" hidden="1"/>
    </dxf>
    <dxf>
      <font>
        <b val="0"/>
        <strike val="0"/>
        <outline val="0"/>
        <shadow val="0"/>
        <u val="none"/>
        <vertAlign val="baseline"/>
        <sz val="10"/>
        <name val="Arial"/>
        <family val="2"/>
        <scheme val="none"/>
      </font>
      <numFmt numFmtId="13" formatCode="0%"/>
      <fill>
        <patternFill patternType="solid">
          <fgColor indexed="64"/>
          <bgColor rgb="FFE6E6E6"/>
        </patternFill>
      </fill>
      <alignment horizontal="left" vertical="center" textRotation="0" wrapText="0" relativeIndent="1"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center" vertical="center" textRotation="0" wrapText="0"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center"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center" vertical="center" textRotation="0" wrapText="0"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strike val="0"/>
        <outline val="0"/>
        <shadow val="0"/>
        <u val="none"/>
        <vertAlign val="baseline"/>
        <sz val="10"/>
        <name val="Arial"/>
        <family val="2"/>
        <scheme val="none"/>
      </font>
      <numFmt numFmtId="13" formatCode="0%"/>
      <fill>
        <patternFill patternType="solid">
          <fgColor indexed="64"/>
          <bgColor rgb="FFE6E6E6"/>
        </patternFill>
      </fill>
      <alignment horizontal="center" vertical="center" textRotation="0" wrapText="0" indent="0"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rgb="FFE6E6E6"/>
        </patternFill>
      </fill>
      <alignment horizontal="right" vertical="center" textRotation="0" wrapText="0" relativeIndent="1"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1" hidden="1"/>
    </dxf>
    <dxf>
      <font>
        <b val="0"/>
        <i val="0"/>
        <strike val="0"/>
        <condense val="0"/>
        <extend val="0"/>
        <outline val="0"/>
        <shadow val="0"/>
        <u val="none"/>
        <vertAlign val="baseline"/>
        <sz val="10"/>
        <color theme="1"/>
        <name val="Arial"/>
        <family val="2"/>
        <scheme val="none"/>
      </font>
      <fill>
        <patternFill patternType="solid">
          <fgColor indexed="64"/>
          <bgColor rgb="FFE6E6E6"/>
        </patternFill>
      </fill>
      <alignment horizontal="general" vertical="center" textRotation="0" wrapText="0" indent="0" justifyLastLine="0" shrinkToFit="0" readingOrder="0"/>
      <border diagonalUp="0" diagonalDown="0" outline="0">
        <left/>
        <right/>
        <top style="thin">
          <color theme="0" tint="-0.499984740745262"/>
        </top>
        <bottom style="thin">
          <color theme="0" tint="-0.499984740745262"/>
        </bottom>
      </border>
      <protection locked="1" hidden="1"/>
    </dxf>
    <dxf>
      <border>
        <top style="thin">
          <color theme="0" tint="-0.499984740745262"/>
        </top>
      </border>
    </dxf>
    <dxf>
      <border diagonalUp="0" diagonalDown="0">
        <left style="thin">
          <color theme="0" tint="-0.499984740745262"/>
        </left>
        <right style="thin">
          <color theme="0" tint="-0.499984740745262"/>
        </right>
        <top style="thin">
          <color theme="0" tint="-0.499984740745262"/>
        </top>
        <bottom style="thin">
          <color theme="0" tint="-0.499984740745262"/>
        </bottom>
      </border>
    </dxf>
    <dxf>
      <font>
        <strike val="0"/>
        <outline val="0"/>
        <shadow val="0"/>
        <u val="none"/>
        <vertAlign val="baseline"/>
        <sz val="10"/>
        <name val="Arial"/>
        <family val="2"/>
        <scheme val="none"/>
      </font>
      <fill>
        <patternFill patternType="solid">
          <fgColor indexed="64"/>
          <bgColor rgb="FFE6E6E6"/>
        </patternFill>
      </fill>
      <alignment horizontal="general" vertical="center" textRotation="0" wrapText="0" indent="0" justifyLastLine="0" shrinkToFit="0" readingOrder="0"/>
      <protection locked="1" hidden="1"/>
    </dxf>
    <dxf>
      <border>
        <bottom style="thick">
          <color auto="1"/>
        </bottom>
      </border>
    </dxf>
    <dxf>
      <font>
        <b/>
        <strike val="0"/>
        <outline val="0"/>
        <shadow val="0"/>
        <u val="none"/>
        <vertAlign val="baseline"/>
        <sz val="10"/>
        <name val="Arial"/>
        <family val="2"/>
        <scheme val="none"/>
      </font>
      <fill>
        <patternFill patternType="solid">
          <fgColor indexed="64"/>
          <bgColor rgb="FFE6E6E6"/>
        </patternFill>
      </fill>
      <alignment horizontal="general" vertical="center" textRotation="0" wrapText="1" indent="0" justifyLastLine="0" shrinkToFit="0" readingOrder="0"/>
      <border diagonalUp="0" diagonalDown="0" outline="0">
        <left style="thin">
          <color theme="0" tint="-0.499984740745262"/>
        </left>
        <right style="thin">
          <color theme="0" tint="-0.499984740745262"/>
        </right>
        <top/>
        <bottom/>
      </border>
      <protection locked="1" hidden="1"/>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center" vertical="center" textRotation="0" wrapText="0" indent="0" justifyLastLine="0" shrinkToFit="0" readingOrder="0"/>
      <border diagonalUp="0" diagonalDown="0">
        <left/>
        <right style="medium">
          <color auto="1"/>
        </right>
        <top/>
        <bottom/>
        <vertical/>
        <horizontal/>
      </border>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hair">
          <color rgb="FF3C8A8A"/>
        </left>
        <right/>
        <top/>
        <bottom/>
        <vertical/>
        <horizontal/>
      </border>
    </dxf>
    <dxf>
      <font>
        <b val="0"/>
        <i val="0"/>
        <strike val="0"/>
        <condense val="0"/>
        <extend val="0"/>
        <outline val="0"/>
        <shadow val="0"/>
        <u val="none"/>
        <vertAlign val="baseline"/>
        <sz val="10"/>
        <color auto="1"/>
        <name val="Arial"/>
        <family val="2"/>
        <scheme val="none"/>
      </font>
      <numFmt numFmtId="14" formatCode="0.00%"/>
      <fill>
        <patternFill patternType="none">
          <fgColor indexed="64"/>
          <bgColor auto="1"/>
        </patternFill>
      </fill>
      <alignment vertical="center" textRotation="0" indent="0" justifyLastLine="0" shrinkToFit="0" readingOrder="0"/>
      <border diagonalUp="0" diagonalDown="0">
        <left/>
        <right style="hair">
          <color rgb="FF3C8A8A"/>
        </right>
        <vertical/>
      </border>
    </dxf>
    <dxf>
      <font>
        <b val="0"/>
        <i val="0"/>
        <strike val="0"/>
        <condense val="0"/>
        <extend val="0"/>
        <outline val="0"/>
        <shadow val="0"/>
        <u val="none"/>
        <vertAlign val="baseline"/>
        <sz val="10"/>
        <color auto="1"/>
        <name val="Arial"/>
        <family val="2"/>
        <scheme val="none"/>
      </font>
      <numFmt numFmtId="176" formatCode="dd\ mmm\ 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4" formatCode="0.00%"/>
      <fill>
        <patternFill patternType="none">
          <fgColor indexed="64"/>
          <bgColor auto="1"/>
        </patternFill>
      </fill>
      <alignment vertical="center" textRotation="0" indent="0" justifyLastLine="0" shrinkToFit="0" readingOrder="0"/>
      <border diagonalUp="0" diagonalDown="0">
        <left style="hair">
          <color rgb="FF3C8A8A"/>
        </left>
        <right/>
        <vertical/>
      </border>
    </dxf>
    <dxf>
      <font>
        <b val="0"/>
        <i val="0"/>
        <strike val="0"/>
        <condense val="0"/>
        <extend val="0"/>
        <outline val="0"/>
        <shadow val="0"/>
        <u val="none"/>
        <vertAlign val="baseline"/>
        <sz val="10"/>
        <color auto="1"/>
        <name val="Arial"/>
        <family val="2"/>
        <scheme val="none"/>
      </font>
      <numFmt numFmtId="166" formatCode="&quot;Yes&quot;;;&quot;No&quot;"/>
      <fill>
        <patternFill patternType="none">
          <fgColor indexed="64"/>
          <bgColor indexed="65"/>
        </patternFill>
      </fill>
      <alignment horizontal="center" vertical="center" textRotation="0" wrapText="0" indent="0" justifyLastLine="0" shrinkToFit="0" readingOrder="0"/>
      <border diagonalUp="0" diagonalDown="0">
        <left/>
        <right style="hair">
          <color rgb="FF3C8A8A"/>
        </right>
        <top style="hair">
          <color rgb="FF59468D"/>
        </top>
        <bottom/>
        <vertical/>
      </border>
    </dxf>
    <dxf>
      <font>
        <b val="0"/>
        <i val="0"/>
        <strike val="0"/>
        <condense val="0"/>
        <extend val="0"/>
        <outline val="0"/>
        <shadow val="0"/>
        <u val="none"/>
        <vertAlign val="baseline"/>
        <sz val="10"/>
        <color auto="1"/>
        <name val="Arial"/>
        <family val="2"/>
        <scheme val="none"/>
      </font>
      <numFmt numFmtId="166" formatCode="&quot;Yes&quot;;;&quot;No&quot;"/>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border>
    </dxf>
    <dxf>
      <font>
        <b val="0"/>
        <i val="0"/>
        <strike val="0"/>
        <condense val="0"/>
        <extend val="0"/>
        <outline val="0"/>
        <shadow val="0"/>
        <u val="none"/>
        <vertAlign val="baseline"/>
        <sz val="10"/>
        <color auto="1"/>
        <name val="Arial"/>
        <family val="2"/>
        <scheme val="none"/>
      </font>
      <numFmt numFmtId="166" formatCode="&quot;Yes&quot;;;&quot;No&quot;"/>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top style="hair">
          <color rgb="FF59468D"/>
        </top>
        <bottom/>
        <vertical/>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style="hair">
          <color rgb="FF3C8A8A"/>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diagonalUp="0" diagonalDown="0">
        <left/>
        <right style="hair">
          <color rgb="FF3C8A8A"/>
        </right>
        <top/>
        <bottom/>
        <vertical/>
        <horizontal/>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diagonalUp="0" diagonalDown="0">
        <left/>
        <right style="hair">
          <color rgb="FF3C8A8A"/>
        </right>
        <top/>
        <bottom/>
        <vertical/>
        <horizontal/>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diagonalUp="0" diagonalDown="0">
        <left/>
        <right style="hair">
          <color rgb="FF3C8A8A"/>
        </right>
        <top/>
        <bottom/>
        <vertical/>
        <horizontal/>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diagonalUp="0" diagonalDown="0">
        <left/>
        <right style="hair">
          <color rgb="FF3C8A8A"/>
        </right>
        <top/>
        <bottom/>
        <vertical/>
        <horizontal/>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8" formatCode="&quot;£&quot;#,##0;[Red]\(&quot;£&quot;#,##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diagonalUp="0" diagonalDown="0">
        <left/>
        <right style="hair">
          <color rgb="FF3C8A8A"/>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4" formatCode="0%;[Red]\(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diagonalUp="0" diagonalDown="0">
        <left/>
        <right style="hair">
          <color rgb="FF3C8A8A"/>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diagonalUp="0" diagonalDown="0">
        <left/>
        <right style="hair">
          <color rgb="FF3C8A8A"/>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3" formatCode="0.00%;[Red]\(0.0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diagonalUp="0" diagonalDown="0">
        <left/>
        <right style="hair">
          <color rgb="FF3C8A8A"/>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border diagonalUp="0" diagonalDown="0">
        <left style="hair">
          <color rgb="FF3C8A8A"/>
        </left>
        <right/>
        <top/>
        <bottom/>
        <vertical/>
        <horizontal/>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9" formatCode="_-* #,##0_-;\-* #,##0_-;_-* &quot;-&quot;??_-;_-@_-"/>
      <fill>
        <patternFill patternType="none">
          <fgColor indexed="64"/>
          <bgColor auto="1"/>
        </patternFill>
      </fill>
      <alignment horizontal="left" vertical="center" textRotation="0" wrapText="0" relativeIndent="1"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bgColor auto="1"/>
        </patternFill>
      </fill>
      <alignment vertical="center" textRotation="0" indent="0" justifyLastLine="0" shrinkToFit="0" readingOrder="0"/>
    </dxf>
    <dxf>
      <font>
        <b val="0"/>
        <i val="0"/>
        <strike val="0"/>
        <condense val="0"/>
        <extend val="0"/>
        <outline val="0"/>
        <shadow val="0"/>
        <u val="none"/>
        <vertAlign val="baseline"/>
        <sz val="10"/>
        <color auto="1"/>
        <name val="Arial"/>
        <family val="2"/>
        <scheme val="none"/>
      </font>
      <fill>
        <patternFill patternType="none">
          <bgColor auto="1"/>
        </patternFill>
      </fill>
      <alignment vertical="center" textRotation="0" indent="0" justifyLastLine="0" shrinkToFit="0" readingOrder="0"/>
    </dxf>
    <dxf>
      <border>
        <top style="hair">
          <color auto="1"/>
        </top>
      </border>
    </dxf>
    <dxf>
      <border diagonalUp="0" diagonalDown="0">
        <left style="hair">
          <color auto="1"/>
        </left>
        <right style="hair">
          <color auto="1"/>
        </right>
        <top style="hair">
          <color auto="1"/>
        </top>
        <bottom style="hair">
          <color auto="1"/>
        </bottom>
      </border>
    </dxf>
    <dxf>
      <font>
        <strike val="0"/>
        <outline val="0"/>
        <shadow val="0"/>
        <u val="none"/>
        <vertAlign val="baseline"/>
        <sz val="10"/>
        <color auto="1"/>
        <name val="Arial"/>
        <family val="2"/>
        <scheme val="none"/>
      </font>
      <fill>
        <patternFill patternType="none">
          <fgColor rgb="FF000000"/>
          <bgColor auto="1"/>
        </patternFill>
      </fill>
      <alignment horizontal="center" vertical="center" textRotation="0" wrapText="0" indent="0" justifyLastLine="0" shrinkToFit="0" readingOrder="0"/>
    </dxf>
    <dxf>
      <border>
        <bottom style="hair">
          <color auto="1"/>
        </bottom>
      </border>
    </dxf>
    <dxf>
      <font>
        <strike val="0"/>
        <outline val="0"/>
        <shadow val="0"/>
        <u val="none"/>
        <vertAlign val="baseline"/>
        <sz val="10"/>
        <color theme="0"/>
        <name val="Arial"/>
        <family val="2"/>
        <scheme val="none"/>
      </font>
      <fill>
        <patternFill patternType="none">
          <bgColor auto="1"/>
        </patternFill>
      </fill>
      <alignment horizontal="left" vertical="center" textRotation="0" indent="0" justifyLastLine="0" shrinkToFit="0" readingOrder="0"/>
      <border diagonalUp="0" diagonalDown="0" outline="0">
        <left style="hair">
          <color auto="1"/>
        </left>
        <right style="hair">
          <color auto="1"/>
        </right>
        <top/>
        <bottom/>
      </border>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horizontal/>
      </border>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horizontal/>
      </border>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horizontal/>
      </border>
    </dxf>
    <dxf>
      <font>
        <b val="0"/>
        <i val="0"/>
        <strike val="0"/>
        <condense val="0"/>
        <extend val="0"/>
        <outline val="0"/>
        <shadow val="0"/>
        <u val="none"/>
        <vertAlign val="baseline"/>
        <sz val="10"/>
        <color auto="1"/>
        <name val="Arial"/>
        <family val="2"/>
        <scheme val="none"/>
      </font>
      <numFmt numFmtId="13" formatCode="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bgColor auto="1"/>
        </patternFill>
      </fill>
      <alignment horizontal="left" vertical="center" textRotation="0" wrapText="0" relativeIndent="1" justifyLastLine="0" shrinkToFit="0" readingOrder="0"/>
      <border diagonalUp="0" diagonalDown="0" outline="0">
        <left/>
        <right style="hair">
          <color rgb="FF59468D"/>
        </right>
      </border>
    </dxf>
    <dxf>
      <font>
        <b val="0"/>
        <i val="0"/>
        <strike val="0"/>
        <condense val="0"/>
        <extend val="0"/>
        <outline val="0"/>
        <shadow val="0"/>
        <u val="none"/>
        <vertAlign val="baseline"/>
        <sz val="10"/>
        <color auto="1"/>
        <name val="Arial"/>
        <family val="2"/>
        <scheme val="none"/>
      </font>
      <numFmt numFmtId="172" formatCode="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vertical="center" textRotation="0" indent="0" justifyLastLine="0" shrinkToFit="0" readingOrder="0"/>
      <border diagonalUp="0" diagonalDown="0">
        <left style="hair">
          <color rgb="FF59468D"/>
        </left>
        <right/>
      </border>
    </dxf>
    <dxf>
      <font>
        <b val="0"/>
        <i val="0"/>
        <strike val="0"/>
        <condense val="0"/>
        <extend val="0"/>
        <outline val="0"/>
        <shadow val="0"/>
        <u val="none"/>
        <vertAlign val="baseline"/>
        <sz val="10"/>
        <color auto="1"/>
        <name val="Arial"/>
        <family val="2"/>
        <scheme val="none"/>
      </font>
      <numFmt numFmtId="166" formatCode="&quot;Yes&quot;;;&quot;No&quot;"/>
      <fill>
        <patternFill patternType="none">
          <fgColor indexed="64"/>
          <bgColor indexed="65"/>
        </patternFill>
      </fill>
      <alignment horizontal="center" vertical="center" textRotation="0" wrapText="0" indent="0" justifyLastLine="0" shrinkToFit="0" readingOrder="0"/>
      <border diagonalUp="0" diagonalDown="0" outline="0">
        <left/>
        <right style="hair">
          <color rgb="FF59468D"/>
        </right>
        <top style="hair">
          <color rgb="FF59468D"/>
        </top>
        <bottom/>
      </border>
    </dxf>
    <dxf>
      <font>
        <b val="0"/>
        <i val="0"/>
        <strike val="0"/>
        <condense val="0"/>
        <extend val="0"/>
        <outline val="0"/>
        <shadow val="0"/>
        <u val="none"/>
        <vertAlign val="baseline"/>
        <sz val="10"/>
        <color auto="1"/>
        <name val="Arial"/>
        <family val="2"/>
        <scheme val="none"/>
      </font>
      <numFmt numFmtId="166" formatCode="&quot;Yes&quot;;;&quot;No&quot;"/>
      <fill>
        <patternFill patternType="none">
          <fgColor indexed="64"/>
          <bgColor indexed="65"/>
        </patternFill>
      </fill>
      <alignment horizontal="center" vertical="center" textRotation="0" wrapText="0" indent="0" justifyLastLine="0" shrinkToFit="0" readingOrder="0"/>
      <border diagonalUp="0" diagonalDown="0" outline="0">
        <left/>
        <right/>
        <top style="hair">
          <color rgb="FF59468D"/>
        </top>
        <bottom/>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outline="0">
        <left/>
        <right/>
        <top style="hair">
          <color rgb="FF59468D"/>
        </top>
        <bottom/>
      </border>
    </dxf>
    <dxf>
      <font>
        <b val="0"/>
        <i val="0"/>
        <strike val="0"/>
        <condense val="0"/>
        <extend val="0"/>
        <outline val="0"/>
        <shadow val="0"/>
        <u val="none"/>
        <vertAlign val="baseline"/>
        <sz val="10"/>
        <color auto="1"/>
        <name val="Arial"/>
        <family val="2"/>
        <scheme val="none"/>
      </font>
      <numFmt numFmtId="166" formatCode="&quot;Yes&quot;;;&quot;No&quot;"/>
      <fill>
        <patternFill patternType="none">
          <fgColor indexed="64"/>
          <bgColor indexed="65"/>
        </patternFill>
      </fill>
      <alignment horizontal="center" vertical="center" textRotation="0" wrapText="0" indent="0" justifyLastLine="0" shrinkToFit="0" readingOrder="0"/>
      <border diagonalUp="0" diagonalDown="0" outline="0">
        <left/>
        <right/>
        <top style="hair">
          <color rgb="FF59468D"/>
        </top>
        <bottom/>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center" vertical="center" textRotation="0" wrapText="0" indent="0" justifyLastLine="0" shrinkToFit="0" readingOrder="0"/>
      <border diagonalUp="0" diagonalDown="0" outline="0">
        <left/>
        <right/>
        <top style="hair">
          <color rgb="FF59468D"/>
        </top>
        <bottom/>
      </border>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right/>
        <top style="hair">
          <color rgb="FF59468D"/>
        </top>
        <bottom/>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center" vertical="center" textRotation="0" wrapText="0" indent="0" justifyLastLine="0" shrinkToFit="0" readingOrder="0"/>
      <border diagonalUp="0" diagonalDown="0">
        <left/>
        <right style="hair">
          <color rgb="FF59468D"/>
        </right>
        <top/>
        <bottom/>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right style="hair">
          <color rgb="FF59468D"/>
        </right>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right style="hair">
          <color rgb="FF59468D"/>
        </right>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right style="hair">
          <color rgb="FF59468D"/>
        </right>
      </border>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8" formatCode="&quot;£&quot;#,##0;[Red]\(&quot;£&quot;#,##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outline="0">
        <left/>
        <right style="hair">
          <color rgb="FF59468D"/>
        </right>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4" formatCode="0%;[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outline="0">
        <left/>
        <right style="hair">
          <color rgb="FF59468D"/>
        </right>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3" formatCode="0.00%;[Red]\(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border outline="0">
        <right style="hair">
          <color rgb="FF59468D"/>
        </right>
      </border>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tint="0.34998626667073579"/>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5" formatCode="#,##0\ ;[Red]\(#,##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Red]\(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fill>
        <patternFill patternType="none">
          <bgColor auto="1"/>
        </patternFill>
      </fill>
      <alignment vertical="center" textRotation="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bgColor auto="1"/>
        </patternFill>
      </fill>
      <alignment vertical="center" textRotation="0" indent="0" justifyLastLine="0" shrinkToFit="0" readingOrder="0"/>
    </dxf>
    <dxf>
      <font>
        <b val="0"/>
        <i val="0"/>
        <strike val="0"/>
        <condense val="0"/>
        <extend val="0"/>
        <outline val="0"/>
        <shadow val="0"/>
        <u val="none"/>
        <vertAlign val="baseline"/>
        <sz val="10"/>
        <color auto="1"/>
        <name val="Arial"/>
        <family val="2"/>
        <scheme val="none"/>
      </font>
      <fill>
        <patternFill patternType="none">
          <bgColor auto="1"/>
        </patternFill>
      </fill>
      <alignment vertical="center" textRotation="0" indent="0" justifyLastLine="0" shrinkToFit="0" readingOrder="0"/>
    </dxf>
    <dxf>
      <border>
        <top style="hair">
          <color auto="1"/>
        </top>
      </border>
    </dxf>
    <dxf>
      <border diagonalUp="0" diagonalDown="0">
        <left style="hair">
          <color auto="1"/>
        </left>
        <right style="hair">
          <color auto="1"/>
        </right>
        <top style="hair">
          <color auto="1"/>
        </top>
        <bottom style="hair">
          <color auto="1"/>
        </bottom>
      </border>
    </dxf>
    <dxf>
      <font>
        <strike val="0"/>
        <outline val="0"/>
        <shadow val="0"/>
        <u val="none"/>
        <vertAlign val="baseline"/>
        <sz val="10"/>
        <color auto="1"/>
        <name val="Arial"/>
        <family val="2"/>
        <scheme val="none"/>
      </font>
      <fill>
        <patternFill patternType="none">
          <fgColor rgb="FF000000"/>
          <bgColor auto="1"/>
        </patternFill>
      </fill>
      <alignment horizontal="center" vertical="center" textRotation="0" wrapText="0" indent="0" justifyLastLine="0" shrinkToFit="0" readingOrder="0"/>
    </dxf>
    <dxf>
      <border>
        <bottom style="hair">
          <color auto="1"/>
        </bottom>
      </border>
    </dxf>
    <dxf>
      <font>
        <strike val="0"/>
        <outline val="0"/>
        <shadow val="0"/>
        <u val="none"/>
        <vertAlign val="baseline"/>
        <sz val="10"/>
        <color theme="0"/>
        <name val="Arial"/>
        <family val="2"/>
        <scheme val="none"/>
      </font>
      <fill>
        <patternFill patternType="none">
          <bgColor auto="1"/>
        </patternFill>
      </fill>
      <alignment horizontal="left" vertical="center" textRotation="0" indent="0" justifyLastLine="0" shrinkToFit="0" readingOrder="0"/>
      <border diagonalUp="0" diagonalDown="0" outline="0">
        <left style="hair">
          <color auto="1"/>
        </left>
        <right style="hair">
          <color auto="1"/>
        </right>
        <top/>
        <bottom/>
      </border>
    </dxf>
    <dxf>
      <fill>
        <patternFill>
          <bgColor rgb="FFECF3F3"/>
        </patternFill>
      </fill>
      <border>
        <left style="hair">
          <color rgb="FF59468D"/>
        </left>
        <right style="hair">
          <color rgb="FF59468D"/>
        </right>
        <top style="hair">
          <color rgb="FF59468D"/>
        </top>
        <bottom style="hair">
          <color rgb="FF59468D"/>
        </bottom>
        <horizontal style="dotted">
          <color rgb="FF59468D"/>
        </horizontal>
      </border>
    </dxf>
    <dxf>
      <font>
        <b/>
        <i val="0"/>
        <color theme="0"/>
      </font>
      <fill>
        <patternFill>
          <bgColor rgb="FF3C8A8A"/>
        </patternFill>
      </fill>
    </dxf>
    <dxf>
      <fill>
        <patternFill>
          <bgColor rgb="FFEEEDF4"/>
        </patternFill>
      </fill>
      <border>
        <left style="hair">
          <color rgb="FF59468D"/>
        </left>
        <right style="hair">
          <color rgb="FF59468D"/>
        </right>
        <top style="hair">
          <color rgb="FF59468D"/>
        </top>
        <bottom style="hair">
          <color rgb="FF59468D"/>
        </bottom>
        <horizontal style="dotted">
          <color rgb="FF59468D"/>
        </horizontal>
      </border>
    </dxf>
    <dxf>
      <font>
        <b/>
        <i val="0"/>
        <color theme="0"/>
      </font>
      <fill>
        <patternFill>
          <bgColor rgb="FF59468D"/>
        </patternFill>
      </fill>
    </dxf>
  </dxfs>
  <tableStyles count="2" defaultTableStyle="TableStyleMedium2" defaultPivotStyle="PivotStyleLight16">
    <tableStyle name="PurpleWhite" pivot="0" count="2" xr9:uid="{95FA1AB0-E29E-497C-ABF1-B3524CA1E18E}">
      <tableStyleElement type="headerRow" dxfId="559"/>
      <tableStyleElement type="firstRowStripe" dxfId="558"/>
    </tableStyle>
    <tableStyle name="TealWhite 2" pivot="0" count="2" xr9:uid="{C771ED19-FED9-4DFD-9012-B133E94F4B1A}">
      <tableStyleElement type="headerRow" dxfId="557"/>
      <tableStyleElement type="firstRowStripe" dxfId="556"/>
    </tableStyle>
  </tableStyles>
  <colors>
    <mruColors>
      <color rgb="FF0000FF"/>
      <color rgb="FFFFC9C9"/>
      <color rgb="FFE6E6E6"/>
      <color rgb="FFFFDDDD"/>
      <color rgb="FF3C8A8A"/>
      <color rgb="FFFFCCCC"/>
      <color rgb="FFCCFFFF"/>
      <color rgb="FF99CCFF"/>
      <color rgb="FFE9E7F1"/>
      <color rgb="FFC49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jp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hyperlink" Target="#'BYO peer group - results'!D19"/></Relationships>
</file>

<file path=xl/drawings/_rels/drawing5.xml.rels><?xml version="1.0" encoding="UTF-8" standalone="yes"?>
<Relationships xmlns="http://schemas.openxmlformats.org/package/2006/relationships"><Relationship Id="rId1" Type="http://schemas.openxmlformats.org/officeDocument/2006/relationships/hyperlink" Target="#'BYO peer group - selection'!D16"/></Relationships>
</file>

<file path=xl/drawings/drawing1.xml><?xml version="1.0" encoding="utf-8"?>
<xdr:wsDr xmlns:xdr="http://schemas.openxmlformats.org/drawingml/2006/spreadsheetDrawing" xmlns:a="http://schemas.openxmlformats.org/drawingml/2006/main">
  <xdr:absoluteAnchor>
    <xdr:pos x="4787348" y="82826"/>
    <xdr:ext cx="1807144" cy="1005364"/>
    <xdr:pic>
      <xdr:nvPicPr>
        <xdr:cNvPr id="2" name="Picture 1">
          <a:extLst>
            <a:ext uri="{FF2B5EF4-FFF2-40B4-BE49-F238E27FC236}">
              <a16:creationId xmlns:a16="http://schemas.microsoft.com/office/drawing/2014/main" id="{D040CA80-577A-45BC-BF10-9DA8223D5A1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87348" y="82826"/>
          <a:ext cx="1807144" cy="1005364"/>
        </a:xfrm>
        <a:prstGeom prst="rect">
          <a:avLst/>
        </a:prstGeom>
      </xdr:spPr>
    </xdr:pic>
    <xdr:clientData/>
  </xdr:absoluteAnchor>
  <xdr:twoCellAnchor>
    <xdr:from>
      <xdr:col>2</xdr:col>
      <xdr:colOff>3072847</xdr:colOff>
      <xdr:row>5</xdr:row>
      <xdr:rowOff>231915</xdr:rowOff>
    </xdr:from>
    <xdr:to>
      <xdr:col>3</xdr:col>
      <xdr:colOff>115956</xdr:colOff>
      <xdr:row>11</xdr:row>
      <xdr:rowOff>41414</xdr:rowOff>
    </xdr:to>
    <xdr:sp macro="" textlink="">
      <xdr:nvSpPr>
        <xdr:cNvPr id="3" name="Rectangle: Rounded Corners 2">
          <a:extLst>
            <a:ext uri="{FF2B5EF4-FFF2-40B4-BE49-F238E27FC236}">
              <a16:creationId xmlns:a16="http://schemas.microsoft.com/office/drawing/2014/main" id="{55962A04-8CBC-A55D-F6EB-8F2008C8225C}"/>
            </a:ext>
          </a:extLst>
        </xdr:cNvPr>
        <xdr:cNvSpPr/>
      </xdr:nvSpPr>
      <xdr:spPr>
        <a:xfrm>
          <a:off x="3752021" y="1432893"/>
          <a:ext cx="3048000" cy="960782"/>
        </a:xfrm>
        <a:prstGeom prst="roundRect">
          <a:avLst/>
        </a:prstGeom>
        <a:solidFill>
          <a:schemeClr val="accent4">
            <a:lumMod val="20000"/>
            <a:lumOff val="80000"/>
          </a:schemeClr>
        </a:solidFill>
        <a:ln>
          <a:solidFill>
            <a:schemeClr val="accent4">
              <a:lumMod val="75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a:solidFill>
                <a:sysClr val="windowText" lastClr="000000"/>
              </a:solidFill>
              <a:latin typeface="Arial" panose="020B0604020202020204" pitchFamily="34" charset="0"/>
              <a:cs typeface="Arial" panose="020B0604020202020204" pitchFamily="34" charset="0"/>
            </a:rPr>
            <a:t>This tool may not display correctly if viewed in a browser window.</a:t>
          </a:r>
        </a:p>
        <a:p>
          <a:pPr algn="l"/>
          <a:endParaRPr lang="en-GB" sz="1100">
            <a:solidFill>
              <a:sysClr val="windowText" lastClr="000000"/>
            </a:solidFill>
            <a:latin typeface="Arial" panose="020B0604020202020204" pitchFamily="34" charset="0"/>
            <a:cs typeface="Arial" panose="020B0604020202020204" pitchFamily="34" charset="0"/>
          </a:endParaRPr>
        </a:p>
        <a:p>
          <a:pPr algn="l"/>
          <a:r>
            <a:rPr lang="en-GB" sz="1100">
              <a:solidFill>
                <a:sysClr val="windowText" lastClr="000000"/>
              </a:solidFill>
              <a:latin typeface="Arial" panose="020B0604020202020204" pitchFamily="34" charset="0"/>
              <a:cs typeface="Arial" panose="020B0604020202020204" pitchFamily="34" charset="0"/>
            </a:rPr>
            <a:t>Please download a copy and open in Excel.</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6126256" y="248770"/>
    <xdr:ext cx="1808825" cy="992477"/>
    <xdr:pic>
      <xdr:nvPicPr>
        <xdr:cNvPr id="2" name="Picture 1">
          <a:extLst>
            <a:ext uri="{FF2B5EF4-FFF2-40B4-BE49-F238E27FC236}">
              <a16:creationId xmlns:a16="http://schemas.microsoft.com/office/drawing/2014/main" id="{CC9A8A7A-6129-4685-BED2-5992EF269CE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126256" y="248770"/>
          <a:ext cx="1808825" cy="992477"/>
        </a:xfrm>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twoCellAnchor editAs="oneCell">
    <xdr:from>
      <xdr:col>1</xdr:col>
      <xdr:colOff>523875</xdr:colOff>
      <xdr:row>206</xdr:row>
      <xdr:rowOff>0</xdr:rowOff>
    </xdr:from>
    <xdr:to>
      <xdr:col>17</xdr:col>
      <xdr:colOff>400051</xdr:colOff>
      <xdr:row>224</xdr:row>
      <xdr:rowOff>25159</xdr:rowOff>
    </xdr:to>
    <xdr:pic>
      <xdr:nvPicPr>
        <xdr:cNvPr id="38" name="Picture 37">
          <a:extLst>
            <a:ext uri="{FF2B5EF4-FFF2-40B4-BE49-F238E27FC236}">
              <a16:creationId xmlns:a16="http://schemas.microsoft.com/office/drawing/2014/main" id="{37C5C085-ACB4-0499-C619-C639D49A6BBF}"/>
            </a:ext>
          </a:extLst>
        </xdr:cNvPr>
        <xdr:cNvPicPr>
          <a:picLocks noChangeAspect="1"/>
        </xdr:cNvPicPr>
      </xdr:nvPicPr>
      <xdr:blipFill>
        <a:blip xmlns:r="http://schemas.openxmlformats.org/officeDocument/2006/relationships" r:embed="rId1"/>
        <a:stretch>
          <a:fillRect/>
        </a:stretch>
      </xdr:blipFill>
      <xdr:spPr>
        <a:xfrm>
          <a:off x="933450" y="38623875"/>
          <a:ext cx="9629776" cy="345415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28575</xdr:colOff>
      <xdr:row>98</xdr:row>
      <xdr:rowOff>19050</xdr:rowOff>
    </xdr:from>
    <xdr:to>
      <xdr:col>13</xdr:col>
      <xdr:colOff>593119</xdr:colOff>
      <xdr:row>104</xdr:row>
      <xdr:rowOff>161925</xdr:rowOff>
    </xdr:to>
    <xdr:pic>
      <xdr:nvPicPr>
        <xdr:cNvPr id="21" name="Picture 20">
          <a:extLst>
            <a:ext uri="{FF2B5EF4-FFF2-40B4-BE49-F238E27FC236}">
              <a16:creationId xmlns:a16="http://schemas.microsoft.com/office/drawing/2014/main" id="{E10826DC-0A9C-B3CF-EF26-ABDEFD44B474}"/>
            </a:ext>
          </a:extLst>
        </xdr:cNvPr>
        <xdr:cNvPicPr>
          <a:picLocks noChangeAspect="1"/>
        </xdr:cNvPicPr>
      </xdr:nvPicPr>
      <xdr:blipFill>
        <a:blip xmlns:r="http://schemas.openxmlformats.org/officeDocument/2006/relationships" r:embed="rId2"/>
        <a:stretch>
          <a:fillRect/>
        </a:stretch>
      </xdr:blipFill>
      <xdr:spPr>
        <a:xfrm>
          <a:off x="1047750" y="16182975"/>
          <a:ext cx="7270144" cy="12858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171450</xdr:colOff>
      <xdr:row>6</xdr:row>
      <xdr:rowOff>19050</xdr:rowOff>
    </xdr:from>
    <xdr:to>
      <xdr:col>24</xdr:col>
      <xdr:colOff>72857</xdr:colOff>
      <xdr:row>29</xdr:row>
      <xdr:rowOff>9525</xdr:rowOff>
    </xdr:to>
    <xdr:grpSp>
      <xdr:nvGrpSpPr>
        <xdr:cNvPr id="8" name="Group 7">
          <a:extLst>
            <a:ext uri="{FF2B5EF4-FFF2-40B4-BE49-F238E27FC236}">
              <a16:creationId xmlns:a16="http://schemas.microsoft.com/office/drawing/2014/main" id="{FA281205-9DFA-B8EC-714F-DBFA8A31402B}"/>
            </a:ext>
          </a:extLst>
        </xdr:cNvPr>
        <xdr:cNvGrpSpPr/>
      </xdr:nvGrpSpPr>
      <xdr:grpSpPr>
        <a:xfrm>
          <a:off x="171450" y="1371600"/>
          <a:ext cx="14331782" cy="4619625"/>
          <a:chOff x="171450" y="1371600"/>
          <a:chExt cx="14331782" cy="4560363"/>
        </a:xfrm>
      </xdr:grpSpPr>
      <xdr:pic>
        <xdr:nvPicPr>
          <xdr:cNvPr id="2" name="Picture 1">
            <a:extLst>
              <a:ext uri="{FF2B5EF4-FFF2-40B4-BE49-F238E27FC236}">
                <a16:creationId xmlns:a16="http://schemas.microsoft.com/office/drawing/2014/main" id="{02299B29-50D6-A526-9246-58F4D53089DA}"/>
              </a:ext>
            </a:extLst>
          </xdr:cNvPr>
          <xdr:cNvPicPr>
            <a:picLocks noChangeAspect="1"/>
          </xdr:cNvPicPr>
        </xdr:nvPicPr>
        <xdr:blipFill>
          <a:blip xmlns:r="http://schemas.openxmlformats.org/officeDocument/2006/relationships" r:embed="rId3"/>
          <a:stretch>
            <a:fillRect/>
          </a:stretch>
        </xdr:blipFill>
        <xdr:spPr>
          <a:xfrm>
            <a:off x="3390900" y="2504156"/>
            <a:ext cx="11112332" cy="2658393"/>
          </a:xfrm>
          <a:prstGeom prst="rect">
            <a:avLst/>
          </a:prstGeom>
          <a:ln>
            <a:noFill/>
          </a:ln>
          <a:effectLst>
            <a:outerShdw blurRad="292100" dist="139700" dir="2700000" algn="tl" rotWithShape="0">
              <a:srgbClr val="333333">
                <a:alpha val="65000"/>
              </a:srgbClr>
            </a:outerShdw>
          </a:effectLst>
        </xdr:spPr>
      </xdr:pic>
      <xdr:sp macro="" textlink="">
        <xdr:nvSpPr>
          <xdr:cNvPr id="4" name="Speech Bubble: Rectangle with Corners Rounded 3">
            <a:extLst>
              <a:ext uri="{FF2B5EF4-FFF2-40B4-BE49-F238E27FC236}">
                <a16:creationId xmlns:a16="http://schemas.microsoft.com/office/drawing/2014/main" id="{981B9F21-E5E0-D71A-03FB-796E3093B322}"/>
              </a:ext>
            </a:extLst>
          </xdr:cNvPr>
          <xdr:cNvSpPr/>
        </xdr:nvSpPr>
        <xdr:spPr>
          <a:xfrm flipH="1">
            <a:off x="6496048" y="1371600"/>
            <a:ext cx="3552825" cy="857250"/>
          </a:xfrm>
          <a:prstGeom prst="wedgeRoundRectCallout">
            <a:avLst>
              <a:gd name="adj1" fmla="val -69168"/>
              <a:gd name="adj2" fmla="val 91589"/>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Select</a:t>
            </a:r>
            <a:r>
              <a:rPr lang="en-GB" sz="1100" baseline="0">
                <a:solidFill>
                  <a:sysClr val="windowText" lastClr="000000"/>
                </a:solidFill>
                <a:effectLst/>
                <a:latin typeface="+mn-lt"/>
                <a:ea typeface="+mn-ea"/>
                <a:cs typeface="+mn-cs"/>
              </a:rPr>
              <a:t> the provider you want to generate a peer group for from the large yellow dropdown list at the top of the page</a:t>
            </a:r>
            <a:endParaRPr lang="en-GB">
              <a:solidFill>
                <a:sysClr val="windowText" lastClr="000000"/>
              </a:solidFill>
              <a:effectLst/>
            </a:endParaRPr>
          </a:p>
        </xdr:txBody>
      </xdr:sp>
      <xdr:sp macro="" textlink="">
        <xdr:nvSpPr>
          <xdr:cNvPr id="5" name="Speech Bubble: Rectangle with Corners Rounded 4">
            <a:extLst>
              <a:ext uri="{FF2B5EF4-FFF2-40B4-BE49-F238E27FC236}">
                <a16:creationId xmlns:a16="http://schemas.microsoft.com/office/drawing/2014/main" id="{505A9C7D-3F0C-4EA3-9AA5-74E1EF1613F7}"/>
              </a:ext>
            </a:extLst>
          </xdr:cNvPr>
          <xdr:cNvSpPr/>
        </xdr:nvSpPr>
        <xdr:spPr>
          <a:xfrm flipH="1">
            <a:off x="171450" y="2219324"/>
            <a:ext cx="2867025" cy="3152776"/>
          </a:xfrm>
          <a:prstGeom prst="wedgeRoundRectCallout">
            <a:avLst>
              <a:gd name="adj1" fmla="val -61526"/>
              <a:gd name="adj2" fmla="val -20867"/>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Summary information about the provider is shown in the blue box:</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total social housing units owned</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region where it has 50% or more of its stock</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whether it is an LSVT (total stock transferred from</a:t>
            </a:r>
            <a:r>
              <a:rPr lang="en-GB" sz="1100" baseline="0">
                <a:solidFill>
                  <a:sysClr val="windowText" lastClr="000000"/>
                </a:solidFill>
                <a:effectLst/>
                <a:latin typeface="+mn-lt"/>
                <a:ea typeface="+mn-ea"/>
                <a:cs typeface="+mn-cs"/>
              </a:rPr>
              <a:t> a</a:t>
            </a:r>
            <a:r>
              <a:rPr lang="en-GB" sz="1100">
                <a:solidFill>
                  <a:sysClr val="windowText" lastClr="000000"/>
                </a:solidFill>
                <a:effectLst/>
                <a:latin typeface="+mn-lt"/>
                <a:ea typeface="+mn-ea"/>
                <a:cs typeface="+mn-cs"/>
              </a:rPr>
              <a:t> local authority is over 50% of the current total) or traditional provider. LSVTs over 12 years old have been recoded as traditional as transfer promises will generally have been delivered by then. These are flagged in the age column for reference.</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concentrations of supported housing and housing for older people</a:t>
            </a:r>
          </a:p>
        </xdr:txBody>
      </xdr:sp>
      <xdr:sp macro="" textlink="">
        <xdr:nvSpPr>
          <xdr:cNvPr id="7" name="Speech Bubble: Rectangle with Corners Rounded 6">
            <a:extLst>
              <a:ext uri="{FF2B5EF4-FFF2-40B4-BE49-F238E27FC236}">
                <a16:creationId xmlns:a16="http://schemas.microsoft.com/office/drawing/2014/main" id="{58C71413-3AD4-4935-9724-FA58C634CCF5}"/>
              </a:ext>
            </a:extLst>
          </xdr:cNvPr>
          <xdr:cNvSpPr/>
        </xdr:nvSpPr>
        <xdr:spPr>
          <a:xfrm flipH="1">
            <a:off x="4105271" y="5489396"/>
            <a:ext cx="3562353" cy="442567"/>
          </a:xfrm>
          <a:prstGeom prst="wedgeRoundRectCallout">
            <a:avLst>
              <a:gd name="adj1" fmla="val -41074"/>
              <a:gd name="adj2" fmla="val -163596"/>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The selected provider</a:t>
            </a:r>
            <a:r>
              <a:rPr lang="en-GB" sz="1100" baseline="0">
                <a:solidFill>
                  <a:sysClr val="windowText" lastClr="000000"/>
                </a:solidFill>
                <a:effectLst/>
                <a:latin typeface="+mn-lt"/>
                <a:ea typeface="+mn-ea"/>
                <a:cs typeface="+mn-cs"/>
              </a:rPr>
              <a:t> is highlighted in blue in the table</a:t>
            </a:r>
            <a:endParaRPr lang="en-GB">
              <a:solidFill>
                <a:sysClr val="windowText" lastClr="000000"/>
              </a:solidFill>
              <a:effectLst/>
            </a:endParaRPr>
          </a:p>
        </xdr:txBody>
      </xdr:sp>
    </xdr:grpSp>
    <xdr:clientData/>
  </xdr:twoCellAnchor>
  <xdr:twoCellAnchor editAs="oneCell">
    <xdr:from>
      <xdr:col>1</xdr:col>
      <xdr:colOff>600075</xdr:colOff>
      <xdr:row>34</xdr:row>
      <xdr:rowOff>114300</xdr:rowOff>
    </xdr:from>
    <xdr:to>
      <xdr:col>6</xdr:col>
      <xdr:colOff>523991</xdr:colOff>
      <xdr:row>40</xdr:row>
      <xdr:rowOff>180975</xdr:rowOff>
    </xdr:to>
    <xdr:pic>
      <xdr:nvPicPr>
        <xdr:cNvPr id="9" name="Picture 8">
          <a:extLst>
            <a:ext uri="{FF2B5EF4-FFF2-40B4-BE49-F238E27FC236}">
              <a16:creationId xmlns:a16="http://schemas.microsoft.com/office/drawing/2014/main" id="{BC0375F3-410B-F2A1-6857-E161FA68696B}"/>
            </a:ext>
          </a:extLst>
        </xdr:cNvPr>
        <xdr:cNvPicPr>
          <a:picLocks noChangeAspect="1"/>
        </xdr:cNvPicPr>
      </xdr:nvPicPr>
      <xdr:blipFill>
        <a:blip xmlns:r="http://schemas.openxmlformats.org/officeDocument/2006/relationships" r:embed="rId4"/>
        <a:stretch>
          <a:fillRect/>
        </a:stretch>
      </xdr:blipFill>
      <xdr:spPr>
        <a:xfrm>
          <a:off x="1009650" y="6800850"/>
          <a:ext cx="2971916" cy="12096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161923</xdr:colOff>
      <xdr:row>34</xdr:row>
      <xdr:rowOff>66675</xdr:rowOff>
    </xdr:from>
    <xdr:to>
      <xdr:col>15</xdr:col>
      <xdr:colOff>123825</xdr:colOff>
      <xdr:row>37</xdr:row>
      <xdr:rowOff>9525</xdr:rowOff>
    </xdr:to>
    <xdr:sp macro="" textlink="">
      <xdr:nvSpPr>
        <xdr:cNvPr id="10" name="Speech Bubble: Rectangle with Corners Rounded 9">
          <a:extLst>
            <a:ext uri="{FF2B5EF4-FFF2-40B4-BE49-F238E27FC236}">
              <a16:creationId xmlns:a16="http://schemas.microsoft.com/office/drawing/2014/main" id="{A3C6C837-DA42-48A4-8183-88A5728F27A5}"/>
            </a:ext>
          </a:extLst>
        </xdr:cNvPr>
        <xdr:cNvSpPr/>
      </xdr:nvSpPr>
      <xdr:spPr>
        <a:xfrm flipH="1">
          <a:off x="4838698" y="6753225"/>
          <a:ext cx="4229102" cy="514350"/>
        </a:xfrm>
        <a:prstGeom prst="wedgeRoundRectCallout">
          <a:avLst>
            <a:gd name="adj1" fmla="val 84154"/>
            <a:gd name="adj2" fmla="val 5685"/>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Leave this set as "All" to include providers of any size in the peer group, or change to "Min - Max" to set a size band</a:t>
          </a:r>
          <a:endParaRPr lang="en-GB">
            <a:solidFill>
              <a:sysClr val="windowText" lastClr="000000"/>
            </a:solidFill>
            <a:effectLst/>
          </a:endParaRPr>
        </a:p>
      </xdr:txBody>
    </xdr:sp>
    <xdr:clientData/>
  </xdr:twoCellAnchor>
  <xdr:twoCellAnchor>
    <xdr:from>
      <xdr:col>8</xdr:col>
      <xdr:colOff>219073</xdr:colOff>
      <xdr:row>38</xdr:row>
      <xdr:rowOff>66675</xdr:rowOff>
    </xdr:from>
    <xdr:to>
      <xdr:col>15</xdr:col>
      <xdr:colOff>142875</xdr:colOff>
      <xdr:row>41</xdr:row>
      <xdr:rowOff>9525</xdr:rowOff>
    </xdr:to>
    <xdr:sp macro="" textlink="">
      <xdr:nvSpPr>
        <xdr:cNvPr id="11" name="Speech Bubble: Rectangle with Corners Rounded 10">
          <a:extLst>
            <a:ext uri="{FF2B5EF4-FFF2-40B4-BE49-F238E27FC236}">
              <a16:creationId xmlns:a16="http://schemas.microsoft.com/office/drawing/2014/main" id="{29F51A9E-640A-4744-B4B2-B70C125F6BD8}"/>
            </a:ext>
          </a:extLst>
        </xdr:cNvPr>
        <xdr:cNvSpPr/>
      </xdr:nvSpPr>
      <xdr:spPr>
        <a:xfrm flipH="1">
          <a:off x="4895848" y="7515225"/>
          <a:ext cx="4191002" cy="514350"/>
        </a:xfrm>
        <a:prstGeom prst="wedgeRoundRectCallout">
          <a:avLst>
            <a:gd name="adj1" fmla="val 78018"/>
            <a:gd name="adj2" fmla="val -72093"/>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If you change this to "Min - Max", additional yellow cells are shown – use these to define the lower and upper limits of the size band</a:t>
          </a:r>
          <a:endParaRPr lang="en-GB">
            <a:solidFill>
              <a:sysClr val="windowText" lastClr="000000"/>
            </a:solidFill>
            <a:effectLst/>
          </a:endParaRPr>
        </a:p>
      </xdr:txBody>
    </xdr:sp>
    <xdr:clientData/>
  </xdr:twoCellAnchor>
  <xdr:twoCellAnchor editAs="oneCell">
    <xdr:from>
      <xdr:col>2</xdr:col>
      <xdr:colOff>57150</xdr:colOff>
      <xdr:row>47</xdr:row>
      <xdr:rowOff>85725</xdr:rowOff>
    </xdr:from>
    <xdr:to>
      <xdr:col>7</xdr:col>
      <xdr:colOff>112611</xdr:colOff>
      <xdr:row>54</xdr:row>
      <xdr:rowOff>114300</xdr:rowOff>
    </xdr:to>
    <xdr:pic>
      <xdr:nvPicPr>
        <xdr:cNvPr id="12" name="Picture 11">
          <a:extLst>
            <a:ext uri="{FF2B5EF4-FFF2-40B4-BE49-F238E27FC236}">
              <a16:creationId xmlns:a16="http://schemas.microsoft.com/office/drawing/2014/main" id="{BB08BCB5-9815-23B9-5D4F-353CDD36E622}"/>
            </a:ext>
          </a:extLst>
        </xdr:cNvPr>
        <xdr:cNvPicPr>
          <a:picLocks noChangeAspect="1"/>
        </xdr:cNvPicPr>
      </xdr:nvPicPr>
      <xdr:blipFill>
        <a:blip xmlns:r="http://schemas.openxmlformats.org/officeDocument/2006/relationships" r:embed="rId5"/>
        <a:stretch>
          <a:fillRect/>
        </a:stretch>
      </xdr:blipFill>
      <xdr:spPr>
        <a:xfrm>
          <a:off x="1076325" y="9105900"/>
          <a:ext cx="3103461" cy="13620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9</xdr:col>
      <xdr:colOff>190498</xdr:colOff>
      <xdr:row>47</xdr:row>
      <xdr:rowOff>95249</xdr:rowOff>
    </xdr:from>
    <xdr:to>
      <xdr:col>16</xdr:col>
      <xdr:colOff>152400</xdr:colOff>
      <xdr:row>51</xdr:row>
      <xdr:rowOff>180974</xdr:rowOff>
    </xdr:to>
    <xdr:sp macro="" textlink="">
      <xdr:nvSpPr>
        <xdr:cNvPr id="13" name="Speech Bubble: Rectangle with Corners Rounded 12">
          <a:extLst>
            <a:ext uri="{FF2B5EF4-FFF2-40B4-BE49-F238E27FC236}">
              <a16:creationId xmlns:a16="http://schemas.microsoft.com/office/drawing/2014/main" id="{45A00894-17FE-4577-BF44-3EC31816E7AD}"/>
            </a:ext>
          </a:extLst>
        </xdr:cNvPr>
        <xdr:cNvSpPr/>
      </xdr:nvSpPr>
      <xdr:spPr>
        <a:xfrm flipH="1">
          <a:off x="5476873" y="9486899"/>
          <a:ext cx="4229102" cy="847725"/>
        </a:xfrm>
        <a:prstGeom prst="wedgeRoundRectCallout">
          <a:avLst>
            <a:gd name="adj1" fmla="val 88433"/>
            <a:gd name="adj2" fmla="val -13416"/>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Leave this set as "No - use all" to include providers with any mix of stock types, or change to "Yes - pick" to include or exclude providers</a:t>
          </a:r>
          <a:r>
            <a:rPr lang="en-GB" sz="1100" baseline="0">
              <a:solidFill>
                <a:sysClr val="windowText" lastClr="000000"/>
              </a:solidFill>
              <a:effectLst/>
              <a:latin typeface="+mn-lt"/>
              <a:ea typeface="+mn-ea"/>
              <a:cs typeface="+mn-cs"/>
            </a:rPr>
            <a:t> that focus on particular stock types</a:t>
          </a:r>
          <a:endParaRPr lang="en-GB">
            <a:solidFill>
              <a:sysClr val="windowText" lastClr="000000"/>
            </a:solidFill>
            <a:effectLst/>
          </a:endParaRPr>
        </a:p>
      </xdr:txBody>
    </xdr:sp>
    <xdr:clientData/>
  </xdr:twoCellAnchor>
  <xdr:twoCellAnchor>
    <xdr:from>
      <xdr:col>4</xdr:col>
      <xdr:colOff>600073</xdr:colOff>
      <xdr:row>56</xdr:row>
      <xdr:rowOff>152399</xdr:rowOff>
    </xdr:from>
    <xdr:to>
      <xdr:col>8</xdr:col>
      <xdr:colOff>590550</xdr:colOff>
      <xdr:row>60</xdr:row>
      <xdr:rowOff>180974</xdr:rowOff>
    </xdr:to>
    <xdr:sp macro="" textlink="">
      <xdr:nvSpPr>
        <xdr:cNvPr id="14" name="Speech Bubble: Rectangle with Corners Rounded 13">
          <a:extLst>
            <a:ext uri="{FF2B5EF4-FFF2-40B4-BE49-F238E27FC236}">
              <a16:creationId xmlns:a16="http://schemas.microsoft.com/office/drawing/2014/main" id="{1AB5B628-633F-4F18-84DD-026B0E3EFE72}"/>
            </a:ext>
          </a:extLst>
        </xdr:cNvPr>
        <xdr:cNvSpPr/>
      </xdr:nvSpPr>
      <xdr:spPr>
        <a:xfrm flipH="1">
          <a:off x="2838448" y="10887074"/>
          <a:ext cx="2428877" cy="790575"/>
        </a:xfrm>
        <a:prstGeom prst="wedgeRoundRectCallout">
          <a:avLst>
            <a:gd name="adj1" fmla="val 68839"/>
            <a:gd name="adj2" fmla="val -179857"/>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Set</a:t>
          </a:r>
          <a:r>
            <a:rPr lang="en-GB" sz="1100" baseline="0">
              <a:solidFill>
                <a:sysClr val="windowText" lastClr="000000"/>
              </a:solidFill>
              <a:effectLst/>
              <a:latin typeface="+mn-lt"/>
              <a:ea typeface="+mn-ea"/>
              <a:cs typeface="+mn-cs"/>
            </a:rPr>
            <a:t> a % threshold for including, and whether this threshold is the minimum or maximum selected stock type as a proportion of total stock</a:t>
          </a:r>
          <a:endParaRPr lang="en-GB">
            <a:solidFill>
              <a:sysClr val="windowText" lastClr="000000"/>
            </a:solidFill>
            <a:effectLst/>
          </a:endParaRPr>
        </a:p>
      </xdr:txBody>
    </xdr:sp>
    <xdr:clientData/>
  </xdr:twoCellAnchor>
  <xdr:twoCellAnchor>
    <xdr:from>
      <xdr:col>10</xdr:col>
      <xdr:colOff>228596</xdr:colOff>
      <xdr:row>53</xdr:row>
      <xdr:rowOff>0</xdr:rowOff>
    </xdr:from>
    <xdr:to>
      <xdr:col>16</xdr:col>
      <xdr:colOff>152400</xdr:colOff>
      <xdr:row>61</xdr:row>
      <xdr:rowOff>57149</xdr:rowOff>
    </xdr:to>
    <xdr:sp macro="" textlink="">
      <xdr:nvSpPr>
        <xdr:cNvPr id="15" name="Speech Bubble: Rectangle with Corners Rounded 14">
          <a:extLst>
            <a:ext uri="{FF2B5EF4-FFF2-40B4-BE49-F238E27FC236}">
              <a16:creationId xmlns:a16="http://schemas.microsoft.com/office/drawing/2014/main" id="{C474FE13-1964-48BF-A145-87C9D2B9FC22}"/>
            </a:ext>
          </a:extLst>
        </xdr:cNvPr>
        <xdr:cNvSpPr/>
      </xdr:nvSpPr>
      <xdr:spPr>
        <a:xfrm flipH="1">
          <a:off x="6124571" y="10706100"/>
          <a:ext cx="3581404" cy="1581149"/>
        </a:xfrm>
        <a:prstGeom prst="wedgeRoundRectCallout">
          <a:avLst>
            <a:gd name="adj1" fmla="val 112798"/>
            <a:gd name="adj2" fmla="val -74436"/>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Select</a:t>
          </a:r>
          <a:r>
            <a:rPr lang="en-GB" sz="1100" baseline="0">
              <a:solidFill>
                <a:sysClr val="windowText" lastClr="000000"/>
              </a:solidFill>
              <a:effectLst/>
              <a:latin typeface="+mn-lt"/>
              <a:ea typeface="+mn-ea"/>
              <a:cs typeface="+mn-cs"/>
            </a:rPr>
            <a:t> the stock type on which to base the test. The options are: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solidFill>
              <a:sysClr val="windowText" lastClr="000000"/>
            </a:solidFill>
            <a:effectLst/>
            <a:latin typeface="+mn-lt"/>
            <a:ea typeface="+mn-ea"/>
            <a:cs typeface="+mn-cs"/>
          </a:endParaRP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Supported housing (excl. HOP)</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Housing for older people</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Supported &amp; older people   [adds the first two]</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General needs</a:t>
          </a:r>
          <a:endParaRPr lang="en-GB">
            <a:solidFill>
              <a:sysClr val="windowText" lastClr="000000"/>
            </a:solidFill>
            <a:effectLst/>
          </a:endParaRPr>
        </a:p>
      </xdr:txBody>
    </xdr:sp>
    <xdr:clientData/>
  </xdr:twoCellAnchor>
  <xdr:twoCellAnchor editAs="oneCell">
    <xdr:from>
      <xdr:col>2</xdr:col>
      <xdr:colOff>104775</xdr:colOff>
      <xdr:row>79</xdr:row>
      <xdr:rowOff>38100</xdr:rowOff>
    </xdr:from>
    <xdr:to>
      <xdr:col>5</xdr:col>
      <xdr:colOff>447675</xdr:colOff>
      <xdr:row>87</xdr:row>
      <xdr:rowOff>26533</xdr:rowOff>
    </xdr:to>
    <xdr:pic>
      <xdr:nvPicPr>
        <xdr:cNvPr id="16" name="Picture 15">
          <a:extLst>
            <a:ext uri="{FF2B5EF4-FFF2-40B4-BE49-F238E27FC236}">
              <a16:creationId xmlns:a16="http://schemas.microsoft.com/office/drawing/2014/main" id="{9312C560-FE75-132B-764B-B12DD8D00867}"/>
            </a:ext>
          </a:extLst>
        </xdr:cNvPr>
        <xdr:cNvPicPr>
          <a:picLocks noChangeAspect="1"/>
        </xdr:cNvPicPr>
      </xdr:nvPicPr>
      <xdr:blipFill>
        <a:blip xmlns:r="http://schemas.openxmlformats.org/officeDocument/2006/relationships" r:embed="rId6"/>
        <a:stretch>
          <a:fillRect/>
        </a:stretch>
      </xdr:blipFill>
      <xdr:spPr>
        <a:xfrm>
          <a:off x="1123950" y="12725400"/>
          <a:ext cx="2171700" cy="15124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7</xdr:col>
      <xdr:colOff>209542</xdr:colOff>
      <xdr:row>80</xdr:row>
      <xdr:rowOff>142875</xdr:rowOff>
    </xdr:from>
    <xdr:to>
      <xdr:col>13</xdr:col>
      <xdr:colOff>428624</xdr:colOff>
      <xdr:row>84</xdr:row>
      <xdr:rowOff>152400</xdr:rowOff>
    </xdr:to>
    <xdr:sp macro="" textlink="">
      <xdr:nvSpPr>
        <xdr:cNvPr id="17" name="Speech Bubble: Rectangle with Corners Rounded 16">
          <a:extLst>
            <a:ext uri="{FF2B5EF4-FFF2-40B4-BE49-F238E27FC236}">
              <a16:creationId xmlns:a16="http://schemas.microsoft.com/office/drawing/2014/main" id="{9752E5F4-750A-4C07-99B5-20CE9DF9E277}"/>
            </a:ext>
          </a:extLst>
        </xdr:cNvPr>
        <xdr:cNvSpPr/>
      </xdr:nvSpPr>
      <xdr:spPr>
        <a:xfrm flipH="1">
          <a:off x="4276717" y="15592425"/>
          <a:ext cx="3876682" cy="771525"/>
        </a:xfrm>
        <a:prstGeom prst="wedgeRoundRectCallout">
          <a:avLst>
            <a:gd name="adj1" fmla="val 88818"/>
            <a:gd name="adj2" fmla="val 11597"/>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You can choose to include LSVT providers and/or Traditional providers. (As noted above - "Traditional” includes LSVTs over 12 years old.) You</a:t>
          </a:r>
          <a:r>
            <a:rPr lang="en-GB" baseline="0">
              <a:solidFill>
                <a:sysClr val="windowText" lastClr="000000"/>
              </a:solidFill>
              <a:effectLst/>
            </a:rPr>
            <a:t> must set at least one as "Yes"</a:t>
          </a:r>
          <a:endParaRPr lang="en-GB">
            <a:solidFill>
              <a:sysClr val="windowText" lastClr="000000"/>
            </a:solidFill>
            <a:effectLst/>
          </a:endParaRPr>
        </a:p>
      </xdr:txBody>
    </xdr:sp>
    <xdr:clientData/>
  </xdr:twoCellAnchor>
  <xdr:twoCellAnchor>
    <xdr:from>
      <xdr:col>2</xdr:col>
      <xdr:colOff>57149</xdr:colOff>
      <xdr:row>92</xdr:row>
      <xdr:rowOff>85725</xdr:rowOff>
    </xdr:from>
    <xdr:to>
      <xdr:col>8</xdr:col>
      <xdr:colOff>123824</xdr:colOff>
      <xdr:row>97</xdr:row>
      <xdr:rowOff>133350</xdr:rowOff>
    </xdr:to>
    <xdr:sp macro="" textlink="">
      <xdr:nvSpPr>
        <xdr:cNvPr id="20" name="Speech Bubble: Rectangle with Corners Rounded 19">
          <a:extLst>
            <a:ext uri="{FF2B5EF4-FFF2-40B4-BE49-F238E27FC236}">
              <a16:creationId xmlns:a16="http://schemas.microsoft.com/office/drawing/2014/main" id="{33363207-D852-4BDA-83EF-FBFF3C04DB07}"/>
            </a:ext>
          </a:extLst>
        </xdr:cNvPr>
        <xdr:cNvSpPr/>
      </xdr:nvSpPr>
      <xdr:spPr>
        <a:xfrm>
          <a:off x="1076324" y="17735550"/>
          <a:ext cx="3724275" cy="1000125"/>
        </a:xfrm>
        <a:prstGeom prst="wedgeRoundRectCallout">
          <a:avLst>
            <a:gd name="adj1" fmla="val 95012"/>
            <a:gd name="adj2" fmla="val 108247"/>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Set this cell as 0% to include providers</a:t>
          </a:r>
          <a:r>
            <a:rPr lang="en-GB" baseline="0">
              <a:solidFill>
                <a:sysClr val="windowText" lastClr="000000"/>
              </a:solidFill>
              <a:effectLst/>
            </a:rPr>
            <a:t> in any region - i.e. regardless of geographical concentration, or set a percentage greater than 0% to only include providers with at least that proportion of stock in the region(s) you specify</a:t>
          </a:r>
          <a:endParaRPr lang="en-GB">
            <a:solidFill>
              <a:sysClr val="windowText" lastClr="000000"/>
            </a:solidFill>
            <a:effectLst/>
          </a:endParaRPr>
        </a:p>
      </xdr:txBody>
    </xdr:sp>
    <xdr:clientData/>
  </xdr:twoCellAnchor>
  <xdr:twoCellAnchor>
    <xdr:from>
      <xdr:col>2</xdr:col>
      <xdr:colOff>47627</xdr:colOff>
      <xdr:row>62</xdr:row>
      <xdr:rowOff>38100</xdr:rowOff>
    </xdr:from>
    <xdr:to>
      <xdr:col>16</xdr:col>
      <xdr:colOff>209551</xdr:colOff>
      <xdr:row>72</xdr:row>
      <xdr:rowOff>133350</xdr:rowOff>
    </xdr:to>
    <xdr:sp macro="" textlink="">
      <xdr:nvSpPr>
        <xdr:cNvPr id="22" name="Rectangle: Rounded Corners 21">
          <a:extLst>
            <a:ext uri="{FF2B5EF4-FFF2-40B4-BE49-F238E27FC236}">
              <a16:creationId xmlns:a16="http://schemas.microsoft.com/office/drawing/2014/main" id="{6A04EE62-D131-2671-D43A-7E1204963E8E}"/>
            </a:ext>
          </a:extLst>
        </xdr:cNvPr>
        <xdr:cNvSpPr/>
      </xdr:nvSpPr>
      <xdr:spPr>
        <a:xfrm>
          <a:off x="1066802" y="12296775"/>
          <a:ext cx="8696324" cy="2000250"/>
        </a:xfrm>
        <a:prstGeom prst="roundRect">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a:solidFill>
                <a:sysClr val="windowText" lastClr="000000"/>
              </a:solidFill>
            </a:rPr>
            <a:t>Providers that specialise in supported housing and/or housing for older people (SH/HOP) often have higher than average costs due to the services they provide to their tenants. This will affect their HSHC per unit,</a:t>
          </a:r>
          <a:r>
            <a:rPr lang="en-GB" sz="1100" baseline="0">
              <a:solidFill>
                <a:sysClr val="windowText" lastClr="000000"/>
              </a:solidFill>
            </a:rPr>
            <a:t> return on capital employed, EBITDA MRI </a:t>
          </a:r>
          <a:r>
            <a:rPr lang="en-GB" sz="1100">
              <a:solidFill>
                <a:sysClr val="windowText" lastClr="000000"/>
              </a:solidFill>
            </a:rPr>
            <a:t>interest cover, and operating margins. Greater insight into relative performance may be gained by comparing themselves to providers with a similar focus.</a:t>
          </a:r>
        </a:p>
        <a:p>
          <a:pPr algn="l"/>
          <a:r>
            <a:rPr lang="en-GB" sz="1100">
              <a:solidFill>
                <a:sysClr val="windowText" lastClr="000000"/>
              </a:solidFill>
            </a:rPr>
            <a:t>Setting the threshold to a minimum of 30% as SH/HOP, with no other criteria (eg size) used will correspond to the SH/HOP cost factors in the published analysis. However, this can be set to different values.</a:t>
          </a:r>
        </a:p>
        <a:p>
          <a:pPr algn="l"/>
          <a:endParaRPr lang="en-GB" sz="1100">
            <a:solidFill>
              <a:sysClr val="windowText" lastClr="000000"/>
            </a:solidFill>
          </a:endParaRPr>
        </a:p>
        <a:p>
          <a:pPr algn="l"/>
          <a:r>
            <a:rPr lang="en-GB" sz="1100">
              <a:solidFill>
                <a:sysClr val="windowText" lastClr="000000"/>
              </a:solidFill>
            </a:rPr>
            <a:t>Conversely, providers with only a small proportion of SH/HOP may want to consider excluding specialists from their peer groups, to understand how they compare to other general needs providers without the distortions potentially introduced by organisations with naturally much higher costs. This can be achieved by setting a maximum for SH/HOP, or a minimum for general needs.</a:t>
          </a:r>
        </a:p>
      </xdr:txBody>
    </xdr:sp>
    <xdr:clientData/>
  </xdr:twoCellAnchor>
  <xdr:twoCellAnchor>
    <xdr:from>
      <xdr:col>1</xdr:col>
      <xdr:colOff>581024</xdr:colOff>
      <xdr:row>107</xdr:row>
      <xdr:rowOff>123826</xdr:rowOff>
    </xdr:from>
    <xdr:to>
      <xdr:col>6</xdr:col>
      <xdr:colOff>542925</xdr:colOff>
      <xdr:row>112</xdr:row>
      <xdr:rowOff>66676</xdr:rowOff>
    </xdr:to>
    <xdr:sp macro="" textlink="">
      <xdr:nvSpPr>
        <xdr:cNvPr id="23" name="Speech Bubble: Rectangle with Corners Rounded 22">
          <a:extLst>
            <a:ext uri="{FF2B5EF4-FFF2-40B4-BE49-F238E27FC236}">
              <a16:creationId xmlns:a16="http://schemas.microsoft.com/office/drawing/2014/main" id="{62B3A7BD-2E0A-457E-9EBD-01692674823E}"/>
            </a:ext>
          </a:extLst>
        </xdr:cNvPr>
        <xdr:cNvSpPr/>
      </xdr:nvSpPr>
      <xdr:spPr>
        <a:xfrm>
          <a:off x="990599" y="20631151"/>
          <a:ext cx="3009901" cy="895350"/>
        </a:xfrm>
        <a:prstGeom prst="wedgeRoundRectCallout">
          <a:avLst>
            <a:gd name="adj1" fmla="val 33936"/>
            <a:gd name="adj2" fmla="val -178409"/>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Use the Yes/No options above each column to define</a:t>
          </a:r>
          <a:r>
            <a:rPr lang="en-GB" baseline="0">
              <a:solidFill>
                <a:sysClr val="windowText" lastClr="000000"/>
              </a:solidFill>
              <a:effectLst/>
            </a:rPr>
            <a:t> which region(s) must have the required proportion of stock for a provider to be included in the peer group</a:t>
          </a:r>
          <a:endParaRPr lang="en-GB">
            <a:solidFill>
              <a:sysClr val="windowText" lastClr="000000"/>
            </a:solidFill>
            <a:effectLst/>
          </a:endParaRPr>
        </a:p>
      </xdr:txBody>
    </xdr:sp>
    <xdr:clientData/>
  </xdr:twoCellAnchor>
  <xdr:twoCellAnchor>
    <xdr:from>
      <xdr:col>15</xdr:col>
      <xdr:colOff>304799</xdr:colOff>
      <xdr:row>100</xdr:row>
      <xdr:rowOff>152400</xdr:rowOff>
    </xdr:from>
    <xdr:to>
      <xdr:col>23</xdr:col>
      <xdr:colOff>133350</xdr:colOff>
      <xdr:row>105</xdr:row>
      <xdr:rowOff>180975</xdr:rowOff>
    </xdr:to>
    <xdr:sp macro="" textlink="">
      <xdr:nvSpPr>
        <xdr:cNvPr id="24" name="Speech Bubble: Rectangle with Corners Rounded 23">
          <a:extLst>
            <a:ext uri="{FF2B5EF4-FFF2-40B4-BE49-F238E27FC236}">
              <a16:creationId xmlns:a16="http://schemas.microsoft.com/office/drawing/2014/main" id="{51726734-8187-456D-AE39-218F887251DB}"/>
            </a:ext>
          </a:extLst>
        </xdr:cNvPr>
        <xdr:cNvSpPr/>
      </xdr:nvSpPr>
      <xdr:spPr>
        <a:xfrm>
          <a:off x="9248774" y="18983325"/>
          <a:ext cx="4705351" cy="981075"/>
        </a:xfrm>
        <a:prstGeom prst="wedgeRoundRectCallout">
          <a:avLst>
            <a:gd name="adj1" fmla="val -76700"/>
            <a:gd name="adj2" fmla="val -33775"/>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If you select more than one region, use this dropdown cell to determine whether a provider must have the required proportion of stock in any single one of the selected regions (eg 50% in the North East or the North West) to be included in the peer group, or in total across all the selected regions</a:t>
          </a:r>
        </a:p>
      </xdr:txBody>
    </xdr:sp>
    <xdr:clientData/>
  </xdr:twoCellAnchor>
  <xdr:twoCellAnchor>
    <xdr:from>
      <xdr:col>1</xdr:col>
      <xdr:colOff>533401</xdr:colOff>
      <xdr:row>113</xdr:row>
      <xdr:rowOff>66675</xdr:rowOff>
    </xdr:from>
    <xdr:to>
      <xdr:col>16</xdr:col>
      <xdr:colOff>314325</xdr:colOff>
      <xdr:row>122</xdr:row>
      <xdr:rowOff>180975</xdr:rowOff>
    </xdr:to>
    <xdr:sp macro="" textlink="">
      <xdr:nvSpPr>
        <xdr:cNvPr id="25" name="Rectangle: Rounded Corners 24">
          <a:extLst>
            <a:ext uri="{FF2B5EF4-FFF2-40B4-BE49-F238E27FC236}">
              <a16:creationId xmlns:a16="http://schemas.microsoft.com/office/drawing/2014/main" id="{F3A4E098-B1A4-4E55-AB91-BCD47057A92F}"/>
            </a:ext>
          </a:extLst>
        </xdr:cNvPr>
        <xdr:cNvSpPr/>
      </xdr:nvSpPr>
      <xdr:spPr>
        <a:xfrm>
          <a:off x="942976" y="21717000"/>
          <a:ext cx="8924924" cy="1828800"/>
        </a:xfrm>
        <a:prstGeom prst="roundRect">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a:solidFill>
                <a:sysClr val="windowText" lastClr="000000"/>
              </a:solidFill>
            </a:rPr>
            <a:t>Setting the threshold to a minimum of 50% and selecting a single region will correspond to the performance for that region in the published analysis.</a:t>
          </a:r>
        </a:p>
        <a:p>
          <a:pPr algn="l"/>
          <a:r>
            <a:rPr lang="en-GB" sz="1100">
              <a:solidFill>
                <a:sysClr val="windowText" lastClr="000000"/>
              </a:solidFill>
            </a:rPr>
            <a:t>However, providers may want to use a broader approach. For example:</a:t>
          </a:r>
        </a:p>
        <a:p>
          <a:pPr algn="l"/>
          <a:endParaRPr lang="en-GB" sz="1100">
            <a:solidFill>
              <a:sysClr val="windowText" lastClr="000000"/>
            </a:solidFill>
          </a:endParaRPr>
        </a:p>
        <a:p>
          <a:pPr algn="l"/>
          <a:r>
            <a:rPr lang="en-GB" sz="1100">
              <a:solidFill>
                <a:sysClr val="windowText" lastClr="000000"/>
              </a:solidFill>
            </a:rPr>
            <a:t>A provider that operates mainly in London and the South East may decide to select both regions as Yes and set the proportion as 40%  - to include providers with significant concentrations of stock in either of those areas (and, for example, consequent impact on wage costs) without having an overall majority of stock in one of them.</a:t>
          </a:r>
        </a:p>
        <a:p>
          <a:pPr algn="l"/>
          <a:endParaRPr lang="en-GB" sz="1100">
            <a:solidFill>
              <a:sysClr val="windowText" lastClr="000000"/>
            </a:solidFill>
          </a:endParaRPr>
        </a:p>
        <a:p>
          <a:pPr algn="l"/>
          <a:r>
            <a:rPr lang="en-GB" sz="1100">
              <a:solidFill>
                <a:sysClr val="windowText" lastClr="000000"/>
              </a:solidFill>
            </a:rPr>
            <a:t>A provider that operates across the West Midlands and East Midlands may wish to compare itself to providers with a majority of stock across either of those two regions, or in total across them both.</a:t>
          </a:r>
        </a:p>
        <a:p>
          <a:pPr algn="l"/>
          <a:endParaRPr lang="en-GB" sz="1100">
            <a:solidFill>
              <a:sysClr val="windowText" lastClr="000000"/>
            </a:solidFill>
          </a:endParaRPr>
        </a:p>
      </xdr:txBody>
    </xdr:sp>
    <xdr:clientData/>
  </xdr:twoCellAnchor>
  <xdr:twoCellAnchor editAs="oneCell">
    <xdr:from>
      <xdr:col>1</xdr:col>
      <xdr:colOff>600074</xdr:colOff>
      <xdr:row>133</xdr:row>
      <xdr:rowOff>19050</xdr:rowOff>
    </xdr:from>
    <xdr:to>
      <xdr:col>18</xdr:col>
      <xdr:colOff>451529</xdr:colOff>
      <xdr:row>143</xdr:row>
      <xdr:rowOff>152400</xdr:rowOff>
    </xdr:to>
    <xdr:pic>
      <xdr:nvPicPr>
        <xdr:cNvPr id="26" name="Picture 25">
          <a:extLst>
            <a:ext uri="{FF2B5EF4-FFF2-40B4-BE49-F238E27FC236}">
              <a16:creationId xmlns:a16="http://schemas.microsoft.com/office/drawing/2014/main" id="{4AAF47DE-344E-B96D-049B-54654145F187}"/>
            </a:ext>
          </a:extLst>
        </xdr:cNvPr>
        <xdr:cNvPicPr>
          <a:picLocks noChangeAspect="1"/>
        </xdr:cNvPicPr>
      </xdr:nvPicPr>
      <xdr:blipFill>
        <a:blip xmlns:r="http://schemas.openxmlformats.org/officeDocument/2006/relationships" r:embed="rId7"/>
        <a:stretch>
          <a:fillRect/>
        </a:stretch>
      </xdr:blipFill>
      <xdr:spPr>
        <a:xfrm>
          <a:off x="1009649" y="25203150"/>
          <a:ext cx="10214655" cy="20383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9525</xdr:colOff>
      <xdr:row>128</xdr:row>
      <xdr:rowOff>114299</xdr:rowOff>
    </xdr:from>
    <xdr:to>
      <xdr:col>7</xdr:col>
      <xdr:colOff>28575</xdr:colOff>
      <xdr:row>131</xdr:row>
      <xdr:rowOff>161924</xdr:rowOff>
    </xdr:to>
    <xdr:sp macro="" textlink="">
      <xdr:nvSpPr>
        <xdr:cNvPr id="28" name="Speech Bubble: Rectangle with Corners Rounded 27">
          <a:extLst>
            <a:ext uri="{FF2B5EF4-FFF2-40B4-BE49-F238E27FC236}">
              <a16:creationId xmlns:a16="http://schemas.microsoft.com/office/drawing/2014/main" id="{5773C260-607D-4D9C-AC83-267EDA989B96}"/>
            </a:ext>
          </a:extLst>
        </xdr:cNvPr>
        <xdr:cNvSpPr/>
      </xdr:nvSpPr>
      <xdr:spPr>
        <a:xfrm>
          <a:off x="1028700" y="24726899"/>
          <a:ext cx="3067050" cy="619125"/>
        </a:xfrm>
        <a:prstGeom prst="wedgeRoundRectCallout">
          <a:avLst>
            <a:gd name="adj1" fmla="val 36018"/>
            <a:gd name="adj2" fmla="val 104488"/>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The tool will summarise the peer group, based on the choices</a:t>
          </a:r>
          <a:r>
            <a:rPr lang="en-GB" baseline="0">
              <a:solidFill>
                <a:sysClr val="windowText" lastClr="000000"/>
              </a:solidFill>
              <a:effectLst/>
            </a:rPr>
            <a:t> you have made</a:t>
          </a:r>
          <a:endParaRPr lang="en-GB">
            <a:solidFill>
              <a:sysClr val="windowText" lastClr="000000"/>
            </a:solidFill>
            <a:effectLst/>
          </a:endParaRPr>
        </a:p>
      </xdr:txBody>
    </xdr:sp>
    <xdr:clientData/>
  </xdr:twoCellAnchor>
  <xdr:twoCellAnchor>
    <xdr:from>
      <xdr:col>10</xdr:col>
      <xdr:colOff>428625</xdr:colOff>
      <xdr:row>128</xdr:row>
      <xdr:rowOff>9524</xdr:rowOff>
    </xdr:from>
    <xdr:to>
      <xdr:col>18</xdr:col>
      <xdr:colOff>295275</xdr:colOff>
      <xdr:row>132</xdr:row>
      <xdr:rowOff>47625</xdr:rowOff>
    </xdr:to>
    <xdr:sp macro="" textlink="">
      <xdr:nvSpPr>
        <xdr:cNvPr id="29" name="Speech Bubble: Rectangle with Corners Rounded 28">
          <a:extLst>
            <a:ext uri="{FF2B5EF4-FFF2-40B4-BE49-F238E27FC236}">
              <a16:creationId xmlns:a16="http://schemas.microsoft.com/office/drawing/2014/main" id="{65FA2781-6037-479A-970D-827AE9955435}"/>
            </a:ext>
          </a:extLst>
        </xdr:cNvPr>
        <xdr:cNvSpPr/>
      </xdr:nvSpPr>
      <xdr:spPr>
        <a:xfrm>
          <a:off x="6324600" y="24241124"/>
          <a:ext cx="4743450" cy="800101"/>
        </a:xfrm>
        <a:prstGeom prst="wedgeRoundRectCallout">
          <a:avLst>
            <a:gd name="adj1" fmla="val -119833"/>
            <a:gd name="adj2" fmla="val 142583"/>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The tool will confirm the number</a:t>
          </a:r>
          <a:r>
            <a:rPr lang="en-GB" baseline="0">
              <a:solidFill>
                <a:sysClr val="windowText" lastClr="000000"/>
              </a:solidFill>
              <a:effectLst/>
            </a:rPr>
            <a:t> of providers included in the peer group. If the selected provider does not meet the criteria that have been set, or no providers meet the combination of criteria, the tool will show a warning in red</a:t>
          </a:r>
          <a:endParaRPr lang="en-GB">
            <a:solidFill>
              <a:sysClr val="windowText" lastClr="000000"/>
            </a:solidFill>
            <a:effectLst/>
          </a:endParaRPr>
        </a:p>
      </xdr:txBody>
    </xdr:sp>
    <xdr:clientData/>
  </xdr:twoCellAnchor>
  <xdr:twoCellAnchor editAs="oneCell">
    <xdr:from>
      <xdr:col>1</xdr:col>
      <xdr:colOff>600075</xdr:colOff>
      <xdr:row>149</xdr:row>
      <xdr:rowOff>123825</xdr:rowOff>
    </xdr:from>
    <xdr:to>
      <xdr:col>6</xdr:col>
      <xdr:colOff>238125</xdr:colOff>
      <xdr:row>166</xdr:row>
      <xdr:rowOff>4127</xdr:rowOff>
    </xdr:to>
    <xdr:pic>
      <xdr:nvPicPr>
        <xdr:cNvPr id="30" name="Picture 29">
          <a:extLst>
            <a:ext uri="{FF2B5EF4-FFF2-40B4-BE49-F238E27FC236}">
              <a16:creationId xmlns:a16="http://schemas.microsoft.com/office/drawing/2014/main" id="{09DA403B-D14E-2C42-1B54-6CA14ADC11A7}"/>
            </a:ext>
          </a:extLst>
        </xdr:cNvPr>
        <xdr:cNvPicPr>
          <a:picLocks noChangeAspect="1"/>
        </xdr:cNvPicPr>
      </xdr:nvPicPr>
      <xdr:blipFill>
        <a:blip xmlns:r="http://schemas.openxmlformats.org/officeDocument/2006/relationships" r:embed="rId8"/>
        <a:stretch>
          <a:fillRect/>
        </a:stretch>
      </xdr:blipFill>
      <xdr:spPr>
        <a:xfrm>
          <a:off x="1009650" y="28355925"/>
          <a:ext cx="2686050" cy="311880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190499</xdr:colOff>
      <xdr:row>148</xdr:row>
      <xdr:rowOff>38100</xdr:rowOff>
    </xdr:from>
    <xdr:to>
      <xdr:col>15</xdr:col>
      <xdr:colOff>552450</xdr:colOff>
      <xdr:row>151</xdr:row>
      <xdr:rowOff>38101</xdr:rowOff>
    </xdr:to>
    <xdr:sp macro="" textlink="">
      <xdr:nvSpPr>
        <xdr:cNvPr id="31" name="Speech Bubble: Rectangle with Corners Rounded 30">
          <a:extLst>
            <a:ext uri="{FF2B5EF4-FFF2-40B4-BE49-F238E27FC236}">
              <a16:creationId xmlns:a16="http://schemas.microsoft.com/office/drawing/2014/main" id="{C388C615-039F-48FC-813F-0225A7856AD5}"/>
            </a:ext>
          </a:extLst>
        </xdr:cNvPr>
        <xdr:cNvSpPr/>
      </xdr:nvSpPr>
      <xdr:spPr>
        <a:xfrm>
          <a:off x="4867274" y="28651200"/>
          <a:ext cx="4629151" cy="571501"/>
        </a:xfrm>
        <a:prstGeom prst="wedgeRoundRectCallout">
          <a:avLst>
            <a:gd name="adj1" fmla="val -113469"/>
            <a:gd name="adj2" fmla="val 184487"/>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Filtering on this</a:t>
          </a:r>
          <a:r>
            <a:rPr lang="en-GB" baseline="0">
              <a:solidFill>
                <a:sysClr val="windowText" lastClr="000000"/>
              </a:solidFill>
              <a:effectLst/>
            </a:rPr>
            <a:t> column will allow you to see which providers do and do not meet the combined criteria you have set</a:t>
          </a:r>
          <a:endParaRPr lang="en-GB">
            <a:solidFill>
              <a:sysClr val="windowText" lastClr="000000"/>
            </a:solidFill>
            <a:effectLst/>
          </a:endParaRPr>
        </a:p>
      </xdr:txBody>
    </xdr:sp>
    <xdr:clientData/>
  </xdr:twoCellAnchor>
  <xdr:twoCellAnchor>
    <xdr:from>
      <xdr:col>8</xdr:col>
      <xdr:colOff>190499</xdr:colOff>
      <xdr:row>153</xdr:row>
      <xdr:rowOff>142875</xdr:rowOff>
    </xdr:from>
    <xdr:to>
      <xdr:col>18</xdr:col>
      <xdr:colOff>238125</xdr:colOff>
      <xdr:row>157</xdr:row>
      <xdr:rowOff>95251</xdr:rowOff>
    </xdr:to>
    <xdr:sp macro="" textlink="">
      <xdr:nvSpPr>
        <xdr:cNvPr id="32" name="Speech Bubble: Rectangle with Corners Rounded 31">
          <a:extLst>
            <a:ext uri="{FF2B5EF4-FFF2-40B4-BE49-F238E27FC236}">
              <a16:creationId xmlns:a16="http://schemas.microsoft.com/office/drawing/2014/main" id="{BFA38B90-3005-4340-88F3-BD971AE72933}"/>
            </a:ext>
          </a:extLst>
        </xdr:cNvPr>
        <xdr:cNvSpPr/>
      </xdr:nvSpPr>
      <xdr:spPr>
        <a:xfrm>
          <a:off x="4867274" y="29708475"/>
          <a:ext cx="6143626" cy="714376"/>
        </a:xfrm>
        <a:prstGeom prst="wedgeRoundRectCallout">
          <a:avLst>
            <a:gd name="adj1" fmla="val -87275"/>
            <a:gd name="adj2" fmla="val 83726"/>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You can override the tool's initial peer</a:t>
          </a:r>
          <a:r>
            <a:rPr lang="en-GB" baseline="0">
              <a:solidFill>
                <a:sysClr val="windowText" lastClr="000000"/>
              </a:solidFill>
              <a:effectLst/>
            </a:rPr>
            <a:t> group in the yellow column by including individual providers that do not meet the criteria, or excluding providers that do. The cell will change from yellow to pale grey.  You cannot exclude the "selected" provider; this is always in the results.</a:t>
          </a:r>
          <a:endParaRPr lang="en-GB">
            <a:solidFill>
              <a:sysClr val="windowText" lastClr="000000"/>
            </a:solidFill>
            <a:effectLst/>
          </a:endParaRPr>
        </a:p>
      </xdr:txBody>
    </xdr:sp>
    <xdr:clientData/>
  </xdr:twoCellAnchor>
  <xdr:twoCellAnchor>
    <xdr:from>
      <xdr:col>8</xdr:col>
      <xdr:colOff>200025</xdr:colOff>
      <xdr:row>160</xdr:row>
      <xdr:rowOff>104775</xdr:rowOff>
    </xdr:from>
    <xdr:to>
      <xdr:col>18</xdr:col>
      <xdr:colOff>247651</xdr:colOff>
      <xdr:row>165</xdr:row>
      <xdr:rowOff>133350</xdr:rowOff>
    </xdr:to>
    <xdr:sp macro="" textlink="">
      <xdr:nvSpPr>
        <xdr:cNvPr id="33" name="Speech Bubble: Rectangle with Corners Rounded 32">
          <a:extLst>
            <a:ext uri="{FF2B5EF4-FFF2-40B4-BE49-F238E27FC236}">
              <a16:creationId xmlns:a16="http://schemas.microsoft.com/office/drawing/2014/main" id="{736A102B-DA2F-4BA5-A13B-774186BE18CC}"/>
            </a:ext>
          </a:extLst>
        </xdr:cNvPr>
        <xdr:cNvSpPr/>
      </xdr:nvSpPr>
      <xdr:spPr>
        <a:xfrm>
          <a:off x="4876800" y="30432375"/>
          <a:ext cx="6143626" cy="981075"/>
        </a:xfrm>
        <a:prstGeom prst="wedgeRoundRectCallout">
          <a:avLst>
            <a:gd name="adj1" fmla="val -75026"/>
            <a:gd name="adj2" fmla="val 5679"/>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The providers that will be included</a:t>
          </a:r>
          <a:r>
            <a:rPr lang="en-GB" baseline="0">
              <a:solidFill>
                <a:sysClr val="windowText" lastClr="000000"/>
              </a:solidFill>
              <a:effectLst/>
            </a:rPr>
            <a:t> in the final results are shown here:</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baseline="0">
              <a:solidFill>
                <a:sysClr val="windowText" lastClr="000000"/>
              </a:solidFill>
              <a:effectLst/>
            </a:rPr>
            <a:t>those that meet the initial criteria</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baseline="0">
              <a:solidFill>
                <a:sysClr val="windowText" lastClr="000000"/>
              </a:solidFill>
              <a:effectLst/>
            </a:rPr>
            <a:t>modified by any entries in the yellow column</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baseline="0">
              <a:solidFill>
                <a:sysClr val="windowText" lastClr="000000"/>
              </a:solidFill>
              <a:effectLst/>
            </a:rPr>
            <a:t>plus the selected provider if it does not meet the initial criteria (the tool will warn if this is the case)</a:t>
          </a:r>
          <a:endParaRPr lang="en-GB">
            <a:solidFill>
              <a:sysClr val="windowText" lastClr="000000"/>
            </a:solidFill>
            <a:effectLst/>
          </a:endParaRPr>
        </a:p>
      </xdr:txBody>
    </xdr:sp>
    <xdr:clientData/>
  </xdr:twoCellAnchor>
  <xdr:twoCellAnchor>
    <xdr:from>
      <xdr:col>1</xdr:col>
      <xdr:colOff>609599</xdr:colOff>
      <xdr:row>168</xdr:row>
      <xdr:rowOff>1</xdr:rowOff>
    </xdr:from>
    <xdr:to>
      <xdr:col>18</xdr:col>
      <xdr:colOff>314324</xdr:colOff>
      <xdr:row>178</xdr:row>
      <xdr:rowOff>180975</xdr:rowOff>
    </xdr:to>
    <xdr:sp macro="" textlink="">
      <xdr:nvSpPr>
        <xdr:cNvPr id="34" name="Rectangle: Rounded Corners 33">
          <a:extLst>
            <a:ext uri="{FF2B5EF4-FFF2-40B4-BE49-F238E27FC236}">
              <a16:creationId xmlns:a16="http://schemas.microsoft.com/office/drawing/2014/main" id="{2127C791-F95A-4D41-85EC-89C178C35D36}"/>
            </a:ext>
          </a:extLst>
        </xdr:cNvPr>
        <xdr:cNvSpPr/>
      </xdr:nvSpPr>
      <xdr:spPr>
        <a:xfrm>
          <a:off x="1019174" y="32232601"/>
          <a:ext cx="10067925" cy="2085974"/>
        </a:xfrm>
        <a:prstGeom prst="roundRect">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100">
              <a:solidFill>
                <a:sysClr val="windowText" lastClr="000000"/>
              </a:solidFill>
            </a:rPr>
            <a:t>Once a peer group has been</a:t>
          </a:r>
          <a:r>
            <a:rPr lang="en-GB" sz="1100" baseline="0">
              <a:solidFill>
                <a:sysClr val="windowText" lastClr="000000"/>
              </a:solidFill>
            </a:rPr>
            <a:t> set </a:t>
          </a:r>
          <a:r>
            <a:rPr lang="en-GB" sz="1100">
              <a:solidFill>
                <a:sysClr val="windowText" lastClr="000000"/>
              </a:solidFill>
            </a:rPr>
            <a:t>based on the criteria in the tool, you can manually refine this based on your knowledge of the provider, and of any other relevant considerations not included as an option in the tool. For example:</a:t>
          </a:r>
        </a:p>
        <a:p>
          <a:pPr algn="l"/>
          <a:endParaRPr lang="en-GB" sz="1100">
            <a:solidFill>
              <a:sysClr val="windowText" lastClr="000000"/>
            </a:solidFill>
          </a:endParaRPr>
        </a:p>
        <a:p>
          <a:pPr marL="171450" indent="-171450" algn="l">
            <a:buFont typeface="Arial" panose="020B0604020202020204" pitchFamily="34" charset="0"/>
            <a:buChar char="•"/>
          </a:pPr>
          <a:r>
            <a:rPr lang="en-GB" sz="1100">
              <a:solidFill>
                <a:sysClr val="windowText" lastClr="000000"/>
              </a:solidFill>
            </a:rPr>
            <a:t>a provider in the West Midlands might base its peer group on other providers in the same region. But if it operates chiefly in the south of that region, a provider that operates mainly in the northern part of the South West may be seen as a close neighbour that they wish to include without necessarily including all South West providers</a:t>
          </a:r>
        </a:p>
        <a:p>
          <a:pPr marL="171450" indent="-171450" algn="l">
            <a:buFont typeface="Arial" panose="020B0604020202020204" pitchFamily="34" charset="0"/>
            <a:buChar char="•"/>
          </a:pPr>
          <a:r>
            <a:rPr lang="en-GB" sz="1100">
              <a:solidFill>
                <a:sysClr val="windowText" lastClr="000000"/>
              </a:solidFill>
            </a:rPr>
            <a:t>some providers may be aware of organisations with similar challenges or priorities to themselves (eg, a focus on regeneration, or community development), or which operate in areas that are statistically similar to their own, even if not geographically close (eg similar issues with employment, health, crime) and wish to include these in their peer group</a:t>
          </a:r>
        </a:p>
        <a:p>
          <a:pPr marL="171450" indent="-171450" algn="l">
            <a:buFont typeface="Arial" panose="020B0604020202020204" pitchFamily="34" charset="0"/>
            <a:buChar char="•"/>
          </a:pPr>
          <a:r>
            <a:rPr lang="en-GB" sz="1100">
              <a:solidFill>
                <a:sysClr val="windowText" lastClr="000000"/>
              </a:solidFill>
            </a:rPr>
            <a:t>an organisation may meet the broad criteria that can be set by the tool, but a provider be aware of specific factors that make it unsuitable as a comparator</a:t>
          </a:r>
        </a:p>
        <a:p>
          <a:pPr algn="l"/>
          <a:endParaRPr lang="en-GB" sz="1100">
            <a:solidFill>
              <a:sysClr val="windowText" lastClr="000000"/>
            </a:solidFill>
          </a:endParaRPr>
        </a:p>
      </xdr:txBody>
    </xdr:sp>
    <xdr:clientData/>
  </xdr:twoCellAnchor>
  <xdr:twoCellAnchor>
    <xdr:from>
      <xdr:col>1</xdr:col>
      <xdr:colOff>600075</xdr:colOff>
      <xdr:row>180</xdr:row>
      <xdr:rowOff>152400</xdr:rowOff>
    </xdr:from>
    <xdr:to>
      <xdr:col>18</xdr:col>
      <xdr:colOff>304800</xdr:colOff>
      <xdr:row>186</xdr:row>
      <xdr:rowOff>19050</xdr:rowOff>
    </xdr:to>
    <xdr:sp macro="" textlink="">
      <xdr:nvSpPr>
        <xdr:cNvPr id="35" name="Rectangle: Rounded Corners 34">
          <a:extLst>
            <a:ext uri="{FF2B5EF4-FFF2-40B4-BE49-F238E27FC236}">
              <a16:creationId xmlns:a16="http://schemas.microsoft.com/office/drawing/2014/main" id="{79E416EE-E030-4E3A-92EF-C1416469DBAD}"/>
            </a:ext>
          </a:extLst>
        </xdr:cNvPr>
        <xdr:cNvSpPr/>
      </xdr:nvSpPr>
      <xdr:spPr>
        <a:xfrm>
          <a:off x="1009650" y="34861500"/>
          <a:ext cx="10067925" cy="1009650"/>
        </a:xfrm>
        <a:prstGeom prst="roundRect">
          <a:avLst/>
        </a:prstGeom>
        <a:solidFill>
          <a:schemeClr val="accent2">
            <a:lumMod val="20000"/>
            <a:lumOff val="80000"/>
          </a:schemeClr>
        </a:solidFill>
        <a:ln>
          <a:solidFill>
            <a:schemeClr val="accent2">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GB" sz="1600" b="0">
              <a:solidFill>
                <a:sysClr val="windowText" lastClr="000000"/>
              </a:solidFill>
            </a:rPr>
            <a:t>IMPORTANT</a:t>
          </a:r>
        </a:p>
        <a:p>
          <a:pPr algn="l"/>
          <a:r>
            <a:rPr lang="en-GB" sz="1600" b="0">
              <a:solidFill>
                <a:sysClr val="windowText" lastClr="000000"/>
              </a:solidFill>
            </a:rPr>
            <a:t>If either the “selected provider”, or any aspect of the “initial criteria” are changed, please make sure that ALL manual overrides in the yellow column are cleared before reapplying any that are still appropriate.</a:t>
          </a:r>
        </a:p>
      </xdr:txBody>
    </xdr:sp>
    <xdr:clientData/>
  </xdr:twoCellAnchor>
  <xdr:twoCellAnchor editAs="oneCell">
    <xdr:from>
      <xdr:col>2</xdr:col>
      <xdr:colOff>0</xdr:colOff>
      <xdr:row>192</xdr:row>
      <xdr:rowOff>0</xdr:rowOff>
    </xdr:from>
    <xdr:to>
      <xdr:col>8</xdr:col>
      <xdr:colOff>536984</xdr:colOff>
      <xdr:row>198</xdr:row>
      <xdr:rowOff>57150</xdr:rowOff>
    </xdr:to>
    <xdr:pic>
      <xdr:nvPicPr>
        <xdr:cNvPr id="36" name="Picture 35">
          <a:extLst>
            <a:ext uri="{FF2B5EF4-FFF2-40B4-BE49-F238E27FC236}">
              <a16:creationId xmlns:a16="http://schemas.microsoft.com/office/drawing/2014/main" id="{EDC64E03-1340-8BF2-5B7C-8FE8C396D105}"/>
            </a:ext>
          </a:extLst>
        </xdr:cNvPr>
        <xdr:cNvPicPr>
          <a:picLocks noChangeAspect="1"/>
        </xdr:cNvPicPr>
      </xdr:nvPicPr>
      <xdr:blipFill>
        <a:blip xmlns:r="http://schemas.openxmlformats.org/officeDocument/2006/relationships" r:embed="rId9"/>
        <a:stretch>
          <a:fillRect/>
        </a:stretch>
      </xdr:blipFill>
      <xdr:spPr>
        <a:xfrm>
          <a:off x="1019175" y="35956875"/>
          <a:ext cx="4194584" cy="12001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419100</xdr:colOff>
      <xdr:row>200</xdr:row>
      <xdr:rowOff>104775</xdr:rowOff>
    </xdr:from>
    <xdr:to>
      <xdr:col>7</xdr:col>
      <xdr:colOff>38100</xdr:colOff>
      <xdr:row>204</xdr:row>
      <xdr:rowOff>38100</xdr:rowOff>
    </xdr:to>
    <xdr:sp macro="" textlink="">
      <xdr:nvSpPr>
        <xdr:cNvPr id="37" name="Speech Bubble: Rectangle with Corners Rounded 36">
          <a:extLst>
            <a:ext uri="{FF2B5EF4-FFF2-40B4-BE49-F238E27FC236}">
              <a16:creationId xmlns:a16="http://schemas.microsoft.com/office/drawing/2014/main" id="{7FC5E0F3-F3D1-46C3-B04D-CD98BD92885E}"/>
            </a:ext>
          </a:extLst>
        </xdr:cNvPr>
        <xdr:cNvSpPr/>
      </xdr:nvSpPr>
      <xdr:spPr>
        <a:xfrm>
          <a:off x="828675" y="38614350"/>
          <a:ext cx="3276600" cy="695325"/>
        </a:xfrm>
        <a:prstGeom prst="wedgeRoundRectCallout">
          <a:avLst>
            <a:gd name="adj1" fmla="val -5995"/>
            <a:gd name="adj2" fmla="val 145435"/>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The attributes of the selected provider, and the description of the peer group are repeated on this page</a:t>
          </a:r>
        </a:p>
      </xdr:txBody>
    </xdr:sp>
    <xdr:clientData/>
  </xdr:twoCellAnchor>
  <xdr:twoCellAnchor>
    <xdr:from>
      <xdr:col>7</xdr:col>
      <xdr:colOff>419100</xdr:colOff>
      <xdr:row>200</xdr:row>
      <xdr:rowOff>104775</xdr:rowOff>
    </xdr:from>
    <xdr:to>
      <xdr:col>17</xdr:col>
      <xdr:colOff>333375</xdr:colOff>
      <xdr:row>204</xdr:row>
      <xdr:rowOff>38100</xdr:rowOff>
    </xdr:to>
    <xdr:sp macro="" textlink="">
      <xdr:nvSpPr>
        <xdr:cNvPr id="39" name="Speech Bubble: Rectangle with Corners Rounded 38">
          <a:extLst>
            <a:ext uri="{FF2B5EF4-FFF2-40B4-BE49-F238E27FC236}">
              <a16:creationId xmlns:a16="http://schemas.microsoft.com/office/drawing/2014/main" id="{E30A63F7-D5DE-46D1-9E92-36AB5F931D4E}"/>
            </a:ext>
          </a:extLst>
        </xdr:cNvPr>
        <xdr:cNvSpPr/>
      </xdr:nvSpPr>
      <xdr:spPr>
        <a:xfrm>
          <a:off x="4486275" y="38614350"/>
          <a:ext cx="6010275" cy="695325"/>
        </a:xfrm>
        <a:prstGeom prst="wedgeRoundRectCallout">
          <a:avLst>
            <a:gd name="adj1" fmla="val 41725"/>
            <a:gd name="adj2" fmla="val 171462"/>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To sort the data, select a sort</a:t>
          </a:r>
          <a:r>
            <a:rPr lang="en-GB" baseline="0">
              <a:solidFill>
                <a:sysClr val="windowText" lastClr="000000"/>
              </a:solidFill>
              <a:effectLst/>
            </a:rPr>
            <a:t> column and order from the yellow cells. The header of the sorted column will be shaded red for easy identification. (There are more columns to the right of those shown in this screen snip - the other metrics and the providers' attributes.)</a:t>
          </a:r>
          <a:endParaRPr lang="en-GB">
            <a:solidFill>
              <a:sysClr val="windowText" lastClr="000000"/>
            </a:solidFill>
            <a:effectLst/>
          </a:endParaRPr>
        </a:p>
      </xdr:txBody>
    </xdr:sp>
    <xdr:clientData/>
  </xdr:twoCellAnchor>
  <xdr:twoCellAnchor>
    <xdr:from>
      <xdr:col>12</xdr:col>
      <xdr:colOff>190500</xdr:colOff>
      <xdr:row>226</xdr:row>
      <xdr:rowOff>1</xdr:rowOff>
    </xdr:from>
    <xdr:to>
      <xdr:col>17</xdr:col>
      <xdr:colOff>228600</xdr:colOff>
      <xdr:row>228</xdr:row>
      <xdr:rowOff>114301</xdr:rowOff>
    </xdr:to>
    <xdr:sp macro="" textlink="">
      <xdr:nvSpPr>
        <xdr:cNvPr id="40" name="Speech Bubble: Rectangle with Corners Rounded 39">
          <a:extLst>
            <a:ext uri="{FF2B5EF4-FFF2-40B4-BE49-F238E27FC236}">
              <a16:creationId xmlns:a16="http://schemas.microsoft.com/office/drawing/2014/main" id="{93EE3EB1-975F-4889-89A3-C1E267F4CF6A}"/>
            </a:ext>
          </a:extLst>
        </xdr:cNvPr>
        <xdr:cNvSpPr/>
      </xdr:nvSpPr>
      <xdr:spPr>
        <a:xfrm>
          <a:off x="7305675" y="42433876"/>
          <a:ext cx="3086100" cy="495300"/>
        </a:xfrm>
        <a:prstGeom prst="wedgeRoundRectCallout">
          <a:avLst>
            <a:gd name="adj1" fmla="val 35575"/>
            <a:gd name="adj2" fmla="val -175509"/>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The selected provider will be highlighted blue in the table</a:t>
          </a:r>
        </a:p>
      </xdr:txBody>
    </xdr:sp>
    <xdr:clientData/>
  </xdr:twoCellAnchor>
  <xdr:twoCellAnchor>
    <xdr:from>
      <xdr:col>1</xdr:col>
      <xdr:colOff>476250</xdr:colOff>
      <xdr:row>226</xdr:row>
      <xdr:rowOff>57149</xdr:rowOff>
    </xdr:from>
    <xdr:to>
      <xdr:col>9</xdr:col>
      <xdr:colOff>114300</xdr:colOff>
      <xdr:row>233</xdr:row>
      <xdr:rowOff>47624</xdr:rowOff>
    </xdr:to>
    <xdr:sp macro="" textlink="">
      <xdr:nvSpPr>
        <xdr:cNvPr id="41" name="Speech Bubble: Rectangle with Corners Rounded 40">
          <a:extLst>
            <a:ext uri="{FF2B5EF4-FFF2-40B4-BE49-F238E27FC236}">
              <a16:creationId xmlns:a16="http://schemas.microsoft.com/office/drawing/2014/main" id="{BE7E29E2-2288-4A24-8D94-A051C45A4980}"/>
            </a:ext>
          </a:extLst>
        </xdr:cNvPr>
        <xdr:cNvSpPr/>
      </xdr:nvSpPr>
      <xdr:spPr>
        <a:xfrm>
          <a:off x="885825" y="43519724"/>
          <a:ext cx="4514850" cy="1323975"/>
        </a:xfrm>
        <a:prstGeom prst="wedgeRoundRectCallout">
          <a:avLst>
            <a:gd name="adj1" fmla="val 35575"/>
            <a:gd name="adj2" fmla="val -175509"/>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There are three numbers for each metric.</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a:solidFill>
                <a:sysClr val="windowText" lastClr="000000"/>
              </a:solidFill>
              <a:effectLst/>
            </a:rPr>
            <a:t>The first is the provider's performance for the metric itself </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a:solidFill>
                <a:sysClr val="windowText" lastClr="000000"/>
              </a:solidFill>
              <a:effectLst/>
            </a:rPr>
            <a:t>The second is the quartile (for the rows returned in the results) that the provider’s performance falls into for that metric</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a:solidFill>
                <a:sysClr val="windowText" lastClr="000000"/>
              </a:solidFill>
              <a:effectLst/>
            </a:rPr>
            <a:t>The third is the provider’s rank (within the rows returned in the results) for its performance for that metric</a:t>
          </a:r>
        </a:p>
      </xdr:txBody>
    </xdr:sp>
    <xdr:clientData/>
  </xdr:twoCellAnchor>
  <xdr:twoCellAnchor>
    <xdr:from>
      <xdr:col>10</xdr:col>
      <xdr:colOff>238125</xdr:colOff>
      <xdr:row>192</xdr:row>
      <xdr:rowOff>95250</xdr:rowOff>
    </xdr:from>
    <xdr:to>
      <xdr:col>18</xdr:col>
      <xdr:colOff>1</xdr:colOff>
      <xdr:row>196</xdr:row>
      <xdr:rowOff>28575</xdr:rowOff>
    </xdr:to>
    <xdr:sp macro="" textlink="">
      <xdr:nvSpPr>
        <xdr:cNvPr id="42" name="Speech Bubble: Rectangle with Corners Rounded 41">
          <a:extLst>
            <a:ext uri="{FF2B5EF4-FFF2-40B4-BE49-F238E27FC236}">
              <a16:creationId xmlns:a16="http://schemas.microsoft.com/office/drawing/2014/main" id="{115C9AFD-CBB3-4FC3-AF9D-C9A1E1C6033D}"/>
            </a:ext>
          </a:extLst>
        </xdr:cNvPr>
        <xdr:cNvSpPr/>
      </xdr:nvSpPr>
      <xdr:spPr>
        <a:xfrm>
          <a:off x="6134100" y="36052125"/>
          <a:ext cx="4638676" cy="695325"/>
        </a:xfrm>
        <a:prstGeom prst="wedgeRoundRectCallout">
          <a:avLst>
            <a:gd name="adj1" fmla="val -141228"/>
            <a:gd name="adj2" fmla="val -9359"/>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When you are content that the rows to be included in the results are an appropriate peer group for your organisation, click the yellow button to view the output</a:t>
          </a:r>
        </a:p>
      </xdr:txBody>
    </xdr:sp>
    <xdr:clientData/>
  </xdr:twoCellAnchor>
  <xdr:twoCellAnchor editAs="oneCell">
    <xdr:from>
      <xdr:col>1</xdr:col>
      <xdr:colOff>409575</xdr:colOff>
      <xdr:row>251</xdr:row>
      <xdr:rowOff>108913</xdr:rowOff>
    </xdr:from>
    <xdr:to>
      <xdr:col>22</xdr:col>
      <xdr:colOff>535377</xdr:colOff>
      <xdr:row>268</xdr:row>
      <xdr:rowOff>95743</xdr:rowOff>
    </xdr:to>
    <xdr:pic>
      <xdr:nvPicPr>
        <xdr:cNvPr id="3" name="Picture 2">
          <a:extLst>
            <a:ext uri="{FF2B5EF4-FFF2-40B4-BE49-F238E27FC236}">
              <a16:creationId xmlns:a16="http://schemas.microsoft.com/office/drawing/2014/main" id="{931D7F7F-65D2-116E-D147-A16C2EB19EE0}"/>
            </a:ext>
          </a:extLst>
        </xdr:cNvPr>
        <xdr:cNvPicPr>
          <a:picLocks noChangeAspect="1"/>
        </xdr:cNvPicPr>
      </xdr:nvPicPr>
      <xdr:blipFill>
        <a:blip xmlns:r="http://schemas.openxmlformats.org/officeDocument/2006/relationships" r:embed="rId10"/>
        <a:stretch>
          <a:fillRect/>
        </a:stretch>
      </xdr:blipFill>
      <xdr:spPr>
        <a:xfrm>
          <a:off x="819150" y="48333988"/>
          <a:ext cx="12927402" cy="322533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47624</xdr:colOff>
      <xdr:row>237</xdr:row>
      <xdr:rowOff>95250</xdr:rowOff>
    </xdr:from>
    <xdr:to>
      <xdr:col>5</xdr:col>
      <xdr:colOff>533400</xdr:colOff>
      <xdr:row>240</xdr:row>
      <xdr:rowOff>104775</xdr:rowOff>
    </xdr:to>
    <xdr:sp macro="" textlink="">
      <xdr:nvSpPr>
        <xdr:cNvPr id="6" name="Speech Bubble: Rectangle with Corners Rounded 5">
          <a:extLst>
            <a:ext uri="{FF2B5EF4-FFF2-40B4-BE49-F238E27FC236}">
              <a16:creationId xmlns:a16="http://schemas.microsoft.com/office/drawing/2014/main" id="{15F58DC4-73AC-4554-B546-8D2AE786F628}"/>
            </a:ext>
          </a:extLst>
        </xdr:cNvPr>
        <xdr:cNvSpPr/>
      </xdr:nvSpPr>
      <xdr:spPr>
        <a:xfrm>
          <a:off x="1066799" y="45653325"/>
          <a:ext cx="2314576" cy="581025"/>
        </a:xfrm>
        <a:prstGeom prst="wedgeRoundRectCallout">
          <a:avLst>
            <a:gd name="adj1" fmla="val 181765"/>
            <a:gd name="adj2" fmla="val 571421"/>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The quartiles for the entire peer</a:t>
          </a:r>
          <a:r>
            <a:rPr lang="en-GB" baseline="0">
              <a:solidFill>
                <a:sysClr val="windowText" lastClr="000000"/>
              </a:solidFill>
              <a:effectLst/>
            </a:rPr>
            <a:t> group are shown above the table</a:t>
          </a:r>
          <a:endParaRPr lang="en-GB">
            <a:solidFill>
              <a:sysClr val="windowText" lastClr="000000"/>
            </a:solidFill>
            <a:effectLst/>
          </a:endParaRPr>
        </a:p>
      </xdr:txBody>
    </xdr:sp>
    <xdr:clientData/>
  </xdr:twoCellAnchor>
  <xdr:twoCellAnchor>
    <xdr:from>
      <xdr:col>2</xdr:col>
      <xdr:colOff>114298</xdr:colOff>
      <xdr:row>243</xdr:row>
      <xdr:rowOff>95249</xdr:rowOff>
    </xdr:from>
    <xdr:to>
      <xdr:col>5</xdr:col>
      <xdr:colOff>170792</xdr:colOff>
      <xdr:row>248</xdr:row>
      <xdr:rowOff>105104</xdr:rowOff>
    </xdr:to>
    <xdr:sp macro="" textlink="">
      <xdr:nvSpPr>
        <xdr:cNvPr id="18" name="Speech Bubble: Rectangle with Corners Rounded 17">
          <a:extLst>
            <a:ext uri="{FF2B5EF4-FFF2-40B4-BE49-F238E27FC236}">
              <a16:creationId xmlns:a16="http://schemas.microsoft.com/office/drawing/2014/main" id="{D441BF8C-F91B-409A-BCD5-DB96B74904F1}"/>
            </a:ext>
          </a:extLst>
        </xdr:cNvPr>
        <xdr:cNvSpPr/>
      </xdr:nvSpPr>
      <xdr:spPr>
        <a:xfrm>
          <a:off x="1132488" y="47312973"/>
          <a:ext cx="1889235" cy="962355"/>
        </a:xfrm>
        <a:prstGeom prst="wedgeRoundRectCallout">
          <a:avLst>
            <a:gd name="adj1" fmla="val -18646"/>
            <a:gd name="adj2" fmla="val 196869"/>
            <a:gd name="adj3" fmla="val 16667"/>
          </a:avLst>
        </a:prstGeom>
        <a:solidFill>
          <a:schemeClr val="accent2">
            <a:lumMod val="20000"/>
            <a:lumOff val="80000"/>
          </a:schemeClr>
        </a:solidFill>
        <a:ln>
          <a:solidFill>
            <a:schemeClr val="accent2">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b="1">
              <a:solidFill>
                <a:sysClr val="windowText" lastClr="000000"/>
              </a:solidFill>
              <a:effectLst/>
            </a:rPr>
            <a:t>IMPORTANT</a:t>
          </a:r>
        </a:p>
        <a:p>
          <a:pPr marL="0" marR="0" lvl="0" indent="0" algn="l" defTabSz="914400" eaLnBrk="1" fontAlgn="auto" latinLnBrk="0" hangingPunct="1">
            <a:lnSpc>
              <a:spcPct val="100000"/>
            </a:lnSpc>
            <a:spcBef>
              <a:spcPts val="0"/>
            </a:spcBef>
            <a:spcAft>
              <a:spcPts val="0"/>
            </a:spcAft>
            <a:buClrTx/>
            <a:buSzTx/>
            <a:buFontTx/>
            <a:buNone/>
            <a:tabLst/>
            <a:defRPr/>
          </a:pPr>
          <a:r>
            <a:rPr lang="en-GB" b="1">
              <a:solidFill>
                <a:sysClr val="windowText" lastClr="000000"/>
              </a:solidFill>
              <a:effectLst/>
            </a:rPr>
            <a:t>Note the need to interpret the quartiles and ranks carefully</a:t>
          </a:r>
        </a:p>
      </xdr:txBody>
    </xdr:sp>
    <xdr:clientData/>
  </xdr:twoCellAnchor>
  <xdr:twoCellAnchor>
    <xdr:from>
      <xdr:col>8</xdr:col>
      <xdr:colOff>552450</xdr:colOff>
      <xdr:row>236</xdr:row>
      <xdr:rowOff>171450</xdr:rowOff>
    </xdr:from>
    <xdr:to>
      <xdr:col>14</xdr:col>
      <xdr:colOff>285750</xdr:colOff>
      <xdr:row>241</xdr:row>
      <xdr:rowOff>19050</xdr:rowOff>
    </xdr:to>
    <xdr:sp macro="" textlink="">
      <xdr:nvSpPr>
        <xdr:cNvPr id="19" name="Speech Bubble: Rectangle with Corners Rounded 18">
          <a:extLst>
            <a:ext uri="{FF2B5EF4-FFF2-40B4-BE49-F238E27FC236}">
              <a16:creationId xmlns:a16="http://schemas.microsoft.com/office/drawing/2014/main" id="{A9E1FAD7-0301-4020-8063-ACA64CBC92C6}"/>
            </a:ext>
          </a:extLst>
        </xdr:cNvPr>
        <xdr:cNvSpPr/>
      </xdr:nvSpPr>
      <xdr:spPr>
        <a:xfrm>
          <a:off x="5229225" y="45539025"/>
          <a:ext cx="3390900" cy="800100"/>
        </a:xfrm>
        <a:prstGeom prst="wedgeRoundRectCallout">
          <a:avLst>
            <a:gd name="adj1" fmla="val 65252"/>
            <a:gd name="adj2" fmla="val 352900"/>
            <a:gd name="adj3" fmla="val 16667"/>
          </a:avLst>
        </a:prstGeom>
        <a:solidFill>
          <a:schemeClr val="accent6">
            <a:lumMod val="20000"/>
            <a:lumOff val="80000"/>
          </a:schemeClr>
        </a:solidFill>
        <a:ln>
          <a:solidFill>
            <a:schemeClr val="accent6">
              <a:lumMod val="60000"/>
              <a:lumOff val="40000"/>
            </a:schemeClr>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a:solidFill>
                <a:sysClr val="windowText" lastClr="000000"/>
              </a:solidFill>
              <a:effectLst/>
            </a:rPr>
            <a:t>The selected</a:t>
          </a:r>
          <a:r>
            <a:rPr lang="en-GB" baseline="0">
              <a:solidFill>
                <a:sysClr val="windowText" lastClr="000000"/>
              </a:solidFill>
              <a:effectLst/>
            </a:rPr>
            <a:t> provider's performance is repeated from the table in the blue strip, to facilitate comparison to the peer group as a whole</a:t>
          </a:r>
          <a:endParaRPr lang="en-GB">
            <a:solidFill>
              <a:sysClr val="windowText" lastClr="000000"/>
            </a:solidFill>
            <a:effectLst/>
          </a:endParaRPr>
        </a:p>
      </xdr:txBody>
    </xdr:sp>
    <xdr:clientData/>
  </xdr:twoCellAnchor>
  <xdr:absoluteAnchor>
    <xdr:pos x="12161118" y="133350"/>
    <xdr:ext cx="1687307" cy="925802"/>
    <xdr:pic>
      <xdr:nvPicPr>
        <xdr:cNvPr id="27" name="Picture 26">
          <a:extLst>
            <a:ext uri="{FF2B5EF4-FFF2-40B4-BE49-F238E27FC236}">
              <a16:creationId xmlns:a16="http://schemas.microsoft.com/office/drawing/2014/main" id="{EA07C425-A1FC-403D-9574-92CB88E3F949}"/>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2161118" y="133350"/>
          <a:ext cx="1687307" cy="925802"/>
        </a:xfrm>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absolute">
    <xdr:from>
      <xdr:col>9</xdr:col>
      <xdr:colOff>2484</xdr:colOff>
      <xdr:row>2</xdr:row>
      <xdr:rowOff>114299</xdr:rowOff>
    </xdr:from>
    <xdr:to>
      <xdr:col>12</xdr:col>
      <xdr:colOff>676275</xdr:colOff>
      <xdr:row>5</xdr:row>
      <xdr:rowOff>142874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F37A6D4-7317-90D4-978B-4A9F86046710}"/>
            </a:ext>
          </a:extLst>
        </xdr:cNvPr>
        <xdr:cNvSpPr/>
      </xdr:nvSpPr>
      <xdr:spPr>
        <a:xfrm>
          <a:off x="8639175" y="476249"/>
          <a:ext cx="2676525" cy="504825"/>
        </a:xfrm>
        <a:prstGeom prst="roundRect">
          <a:avLst/>
        </a:prstGeom>
        <a:solidFill>
          <a:schemeClr val="accent4">
            <a:lumMod val="40000"/>
            <a:lumOff val="60000"/>
          </a:schemeClr>
        </a:solidFill>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0">
              <a:solidFill>
                <a:sysClr val="windowText" lastClr="000000"/>
              </a:solidFill>
              <a:effectLst/>
              <a:latin typeface="Arial" panose="020B0604020202020204" pitchFamily="34" charset="0"/>
              <a:ea typeface="+mn-ea"/>
              <a:cs typeface="Arial" panose="020B0604020202020204" pitchFamily="34" charset="0"/>
            </a:rPr>
            <a:t>Once criteria have been selected, click HERE for</a:t>
          </a:r>
          <a:r>
            <a:rPr lang="en-GB" sz="1200" b="0" baseline="0">
              <a:solidFill>
                <a:sysClr val="windowText" lastClr="000000"/>
              </a:solidFill>
              <a:effectLst/>
              <a:latin typeface="Arial" panose="020B0604020202020204" pitchFamily="34" charset="0"/>
              <a:ea typeface="+mn-ea"/>
              <a:cs typeface="Arial" panose="020B0604020202020204" pitchFamily="34" charset="0"/>
            </a:rPr>
            <a:t> peer group results</a:t>
          </a:r>
          <a:endParaRPr lang="en-GB" sz="1200" b="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57150</xdr:colOff>
      <xdr:row>2</xdr:row>
      <xdr:rowOff>47625</xdr:rowOff>
    </xdr:from>
    <xdr:to>
      <xdr:col>14</xdr:col>
      <xdr:colOff>295275</xdr:colOff>
      <xdr:row>5</xdr:row>
      <xdr:rowOff>85725</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556A5442-FBFE-42FB-A67D-AA7B633D53C9}"/>
            </a:ext>
          </a:extLst>
        </xdr:cNvPr>
        <xdr:cNvSpPr/>
      </xdr:nvSpPr>
      <xdr:spPr>
        <a:xfrm>
          <a:off x="8467725" y="409575"/>
          <a:ext cx="2676525" cy="504825"/>
        </a:xfrm>
        <a:prstGeom prst="roundRect">
          <a:avLst/>
        </a:prstGeom>
        <a:solidFill>
          <a:schemeClr val="accent4">
            <a:lumMod val="40000"/>
            <a:lumOff val="60000"/>
          </a:schemeClr>
        </a:solidFill>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n-GB" sz="1200" b="0">
              <a:solidFill>
                <a:sysClr val="windowText" lastClr="000000"/>
              </a:solidFill>
              <a:effectLst/>
              <a:latin typeface="Arial" panose="020B0604020202020204" pitchFamily="34" charset="0"/>
              <a:ea typeface="+mn-ea"/>
              <a:cs typeface="Arial" panose="020B0604020202020204" pitchFamily="34" charset="0"/>
            </a:rPr>
            <a:t>Click HERE to change selected provider or peer group criteria</a:t>
          </a:r>
          <a:endParaRPr lang="en-GB" sz="1200" b="0">
            <a:solidFill>
              <a:sysClr val="windowText" lastClr="000000"/>
            </a:solidFill>
            <a:effectLst/>
            <a:latin typeface="Arial" panose="020B0604020202020204" pitchFamily="34" charset="0"/>
            <a:cs typeface="Arial" panose="020B0604020202020204" pitchFamily="34" charset="0"/>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B194F-4E6F-46C3-8A39-934FD4E5A46C}" name="VfM_Metrics_2023_Consol" displayName="VfM_Metrics_2023_Consol" ref="A10:DE208" totalsRowShown="0" headerRowDxfId="555" dataDxfId="553" headerRowBorderDxfId="554" tableBorderDxfId="552" totalsRowBorderDxfId="551">
  <autoFilter ref="A10:DE208" xr:uid="{000B194F-4E6F-46C3-8A39-934FD4E5A46C}"/>
  <sortState xmlns:xlrd2="http://schemas.microsoft.com/office/spreadsheetml/2017/richdata2" ref="A11:DE208">
    <sortCondition ref="B10:B208"/>
  </sortState>
  <tableColumns count="109">
    <tableColumn id="2" xr3:uid="{2E4C5971-A83B-4DF5-9618-B9600DC28C59}" name="RP_Code" dataDxfId="550"/>
    <tableColumn id="5" xr3:uid="{FF9331BD-B9DA-4AEE-BA30-6C4F08EBD0FA}" name="RP_Name" dataDxfId="549"/>
    <tableColumn id="153" xr3:uid="{FA4AEF72-7324-4139-AF44-F03A70561819}" name="FYE" dataDxfId="548"/>
    <tableColumn id="162" xr3:uid="{19A24673-2C56-48C5-9986-1BE7FADF1BC2}" name="Reinvestment" dataDxfId="547">
      <calculatedColumnFormula>IFERROR( VfM_Metrics_2023_Consol[[#This Row],[Reinvestment Spend]] / VfM_Metrics_2023_Consol[[#This Row],[Net Book Value of Housing Properties]], "n/a" )</calculatedColumnFormula>
    </tableColumn>
    <tableColumn id="167" xr3:uid="{989A71D6-F082-4875-8070-6D782206DCB7}" name="Reinvestment Spend" dataDxfId="546">
      <calculatedColumnFormula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calculatedColumnFormula>
    </tableColumn>
    <tableColumn id="154" xr3:uid="{175F4922-77F7-4FBC-94A8-380F86267522}" name="Development of new properties (Total housing properties)" dataDxfId="545"/>
    <tableColumn id="155" xr3:uid="{8B5281D1-4908-4661-89E9-7FD8203E88AC}" name="Newly built properties acquired (Total housing properties)" dataDxfId="544"/>
    <tableColumn id="156" xr3:uid="{FC2EA8E8-8A75-4309-977D-D95CD8A4AA93}" name=" Works to Existing (Total housing properties)" dataDxfId="543"/>
    <tableColumn id="157" xr3:uid="{9AE2DCAB-28ED-4AF9-82C6-5EA9B5854C6E}" name="Capitalised Interest (Total housing properties)" dataDxfId="542"/>
    <tableColumn id="158" xr3:uid="{F8B67A8C-A47F-490A-BD10-79E2F469E2F4}" name="Schemes completed (Total housing properties)" dataDxfId="541"/>
    <tableColumn id="161" xr3:uid="{90AE91BF-2694-4D00-AEA0-9169BBEDF71C}" name="Net Book Value of Housing Properties" dataDxfId="540">
      <calculatedColumnFormula xml:space="preserve"> SUM( VfM_Metrics_2023_Consol[[#This Row],[Tangible fixed assets: Housing properties at cost (Current period)]],VfM_Metrics_2023_Consol[[#This Row],[Tangible fixed assets Housing properties at valuation (Current period)]] )</calculatedColumnFormula>
    </tableColumn>
    <tableColumn id="159" xr3:uid="{4409C058-D826-40B5-B2C0-4FA6355B15CE}" name="Tangible fixed assets: Housing properties at cost (Current period)" dataDxfId="539"/>
    <tableColumn id="160" xr3:uid="{CCFFCB8A-A009-4290-AEDD-3D6E0869A463}" name="Tangible fixed assets Housing properties at valuation (Current period)" dataDxfId="538"/>
    <tableColumn id="189" xr3:uid="{B1DFFDC3-6E4C-4D48-B01A-6762B93D6D5D}" name="New Supply (Social)" dataDxfId="537">
      <calculatedColumnFormula xml:space="preserve"> IFERROR( VfM_Metrics_2023_Consol[[#This Row],[Total social units developed or newly built units acquired in-year]] / VfM_Metrics_2023_Consol[[#This Row],[Social housing units owned (period end)]], "n/a" )</calculatedColumnFormula>
    </tableColumn>
    <tableColumn id="199" xr3:uid="{F832FB7D-8B49-4AAA-A1C8-D4981F77905B}" name="Total social units developed or newly built units acquired in-year" dataDxfId="536">
      <calculatedColumnFormula xml:space="preserve"> SUM( VfM_Metrics_2023_Consol[[#This Row],[Total social units developed or newly built units acquired in-year (owned)]], VfM_Metrics_2023_Consol[[#This Row],[Total social leasehold units developed or newly built units acquired in-year (owned)]] )</calculatedColumnFormula>
    </tableColumn>
    <tableColumn id="168" xr3:uid="{3A9E3C09-1464-41EF-933A-7EDC04C82722}" name="Total social units developed or newly built units acquired in-year (owned)" dataDxfId="535"/>
    <tableColumn id="169" xr3:uid="{E7E026B6-CB02-4C66-A1E9-27ABDB95B7B2}" name="Total social leasehold units developed or newly built units acquired in-year (owned)" dataDxfId="534"/>
    <tableColumn id="188" xr3:uid="{BE1BB86D-1E7F-4315-AD5A-B5CA5CBEAEC3}" name="Social housing units owned (period end)" dataDxfId="533">
      <calculatedColumnFormula xml:space="preserve"> SUM( VfM_Metrics_2023_Consol[[#This Row],[Total social housing units owned (Period end)]], VfM_Metrics_2023_Consol[[#This Row],[Total social leasehold units owned (Period end)]] )</calculatedColumnFormula>
    </tableColumn>
    <tableColumn id="170" xr3:uid="{C9CA3F67-27A0-442C-8122-8B9A4A7EA261}" name="Total social housing units owned (Period end)" dataDxfId="532"/>
    <tableColumn id="171" xr3:uid="{E42AFC1D-38E4-42E9-A1C1-CF081D2C8423}" name="Total social leasehold units owned (Period end)" dataDxfId="531"/>
    <tableColumn id="206" xr3:uid="{611E1C6D-6E92-44DC-BCDC-CB6C4E441C03}" name="New Supply (Non-Social)" dataDxfId="530">
      <calculatedColumnFormula xml:space="preserve"> IFERROR( VfM_Metrics_2023_Consol[[#This Row],[Total non-social housing units developed or newly built units acquired (owned)]] / VfM_Metrics_2023_Consol[[#This Row],[Total social and non-social housing units owned (Period end)]], "n/a" )</calculatedColumnFormula>
    </tableColumn>
    <tableColumn id="212" xr3:uid="{446E294D-7270-486A-9B47-24DC0F702EC0}" name="Total non-social housing units developed or newly built units acquired (owned)" dataDxfId="529">
      <calculatedColumnFormula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calculatedColumnFormula>
    </tableColumn>
    <tableColumn id="190" xr3:uid="{C3A9392B-FB52-42B9-B66B-0508074FF349}" name="Total non-social units developed or newly built units acquired in-year (owned)" dataDxfId="528"/>
    <tableColumn id="203" xr3:uid="{5B5811E9-6C1C-4AF0-9C07-2AC441C61C25}" name="Total non-social leasehold units developed or newly built units acquired in-year (owned)" dataDxfId="527"/>
    <tableColumn id="208" xr3:uid="{23E02304-2EBA-4B9E-A6A1-01D3A38A3AAB}" name="New outright sale units developed or acquired (owned)" dataDxfId="526"/>
    <tableColumn id="205" xr3:uid="{3136F2B8-2416-4203-870A-46771A63F694}" name="Total social and non-social housing units owned (Period end)" dataDxfId="525">
      <calculatedColumnFormula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calculatedColumnFormula>
    </tableColumn>
    <tableColumn id="209" xr3:uid="{08C35FF9-3CBF-495D-9762-40BC04AC8028}" name="Total social housing units owned (Period end)2" dataDxfId="524"/>
    <tableColumn id="210" xr3:uid="{B366E9F0-FE29-4DE7-B623-191C87FE4BA9}" name="Total social leasehold units owned (Period end)2" dataDxfId="523"/>
    <tableColumn id="211" xr3:uid="{7CB62EB9-9F4E-4961-8CF2-648BD5F8CC82}" name="Total non-social rental housing units owned (Period end)" dataDxfId="522"/>
    <tableColumn id="204" xr3:uid="{596BB4AB-95ED-4B9B-9BCD-BE9DFF005491}" name="Total non-social leasehold units owned (Period end)" dataDxfId="521"/>
    <tableColumn id="200" xr3:uid="{168A7652-AB54-4FDA-8303-E61F9FB6BDA0}" name="Gearing" dataDxfId="520">
      <calculatedColumnFormula xml:space="preserve"> IFERROR( VfM_Metrics_2023_Consol[[#This Row],[Total Net Debt]] / VfM_Metrics_2023_Consol[[#This Row],[Net Book Value of Housing Properties2]], "n/a" )</calculatedColumnFormula>
    </tableColumn>
    <tableColumn id="220" xr3:uid="{5732B319-21C7-42E3-A9D6-16873B73C437}" name="Total Net Debt" dataDxfId="519">
      <calculatedColumnFormula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calculatedColumnFormula>
    </tableColumn>
    <tableColumn id="213" xr3:uid="{2A05E01A-D170-44C5-AEE3-8F0F7570EC3B}" name="Short-term loans" dataDxfId="518"/>
    <tableColumn id="214" xr3:uid="{BA6460C9-88A0-479A-B950-85798A8DA57C}" name="Long-term loans" dataDxfId="517"/>
    <tableColumn id="215" xr3:uid="{92C567A1-4627-4DB4-8EC2-CC39F820FAB5}" name="Cash and cash equivalents " dataDxfId="516"/>
    <tableColumn id="216" xr3:uid="{5424920A-07C8-49F0-A856-C047B9B63277}" name="Amounts owed to group undertakings" dataDxfId="515"/>
    <tableColumn id="217" xr3:uid="{85EACD59-8395-4116-B75D-756BE4F4D45C}" name="Finance lease obligations" dataDxfId="514"/>
    <tableColumn id="207" xr3:uid="{EBE825EA-0BF8-4E3F-9989-302ACBE0F527}" name="Net Book Value of Housing Properties2" dataDxfId="513">
      <calculatedColumnFormula xml:space="preserve"> SUM( VfM_Metrics_2023_Consol[[#This Row],[Tangible fixed assets: Housing properties at cost (Current period)2]], VfM_Metrics_2023_Consol[[#This Row],[Tangible fixed assets Housing properties at valuation (Current period)2]] )</calculatedColumnFormula>
    </tableColumn>
    <tableColumn id="218" xr3:uid="{B79549B2-DD41-4C90-918E-2F1A4C38E164}" name="Tangible fixed assets: Housing properties at cost (Current period)2" dataDxfId="512"/>
    <tableColumn id="219" xr3:uid="{9BFCEB11-AB83-4A45-B45A-8C54D9BCE395}" name="Tangible fixed assets Housing properties at valuation (Current period)2" dataDxfId="511"/>
    <tableColumn id="223" xr3:uid="{EFD6F340-618E-47F5-AABE-C2259BF582C6}" name="EBITDA MRI Interest Cover" dataDxfId="510">
      <calculatedColumnFormula xml:space="preserve"> IFERROR( VfM_Metrics_2023_Consol[[#This Row],[EBITDA MRI]] / VfM_Metrics_2023_Consol[[#This Row],[Total interest]], "n/a" )</calculatedColumnFormula>
    </tableColumn>
    <tableColumn id="233" xr3:uid="{5CE3C2E4-2EA9-416D-BDBE-348099B7B78A}" name="EBITDA MRI" dataDxfId="509">
      <calculatedColumnFormula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calculatedColumnFormula>
    </tableColumn>
    <tableColumn id="201" xr3:uid="{F0272A63-4B14-4979-8DAA-290EE1B560E2}" name="Operating surplus/(deficit) (overall)" dataDxfId="508"/>
    <tableColumn id="225" xr3:uid="{757882F7-5334-489A-8FD2-23231EF16DDB}" name="Gain/(loss) on disposal of fixed assets (housing properties)" dataDxfId="507"/>
    <tableColumn id="226" xr3:uid="{155BDC3D-6618-497E-82AB-E836960B0153}" name="Gain/(loss) on disposal of fixed assets (other)" dataDxfId="506"/>
    <tableColumn id="227" xr3:uid="{FAE9C0C9-F4E8-40AE-AB4F-CA1F22571953}" name="Amortised government grant" dataDxfId="505"/>
    <tableColumn id="228" xr3:uid="{1FDC9450-3913-484B-8D54-3D47979EB079}" name="Government grants taken to income" dataDxfId="504"/>
    <tableColumn id="229" xr3:uid="{E8BE1B58-CD39-4B42-8B09-8F57CAE74699}" name="Interest receivable" dataDxfId="503"/>
    <tableColumn id="230" xr3:uid="{BB3B12A8-87AF-46D1-891F-BF2978BFF512}" name="Capitalised major repairs expenditure for period" dataDxfId="502"/>
    <tableColumn id="232" xr3:uid="{ED6E5164-3140-4872-AA1E-63B7306A453C}" name="Total depreciation charge for period" dataDxfId="501"/>
    <tableColumn id="222" xr3:uid="{3F05CC07-0096-4103-91E0-0097E3FACC65}" name="Total interest" dataDxfId="500">
      <calculatedColumnFormula xml:space="preserve"> - SUM( VfM_Metrics_2023_Consol[[#This Row],[Interest capitalised]], VfM_Metrics_2023_Consol[[#This Row],[Interest payable and financing costs]] )</calculatedColumnFormula>
    </tableColumn>
    <tableColumn id="231" xr3:uid="{6CD1FFF2-2AC7-4BAD-992C-990FA48EF439}" name="Interest capitalised" dataDxfId="499"/>
    <tableColumn id="221" xr3:uid="{F684B46F-A5FB-42CE-9B8B-E191C2130224}" name="Interest payable and financing costs" dataDxfId="498"/>
    <tableColumn id="237" xr3:uid="{402EC0AA-59D7-4BAB-B2BF-02773A2ADAA0}" name="Headline Social Housing Cost per unit" dataDxfId="497">
      <calculatedColumnFormula xml:space="preserve"> IFERROR( ( VfM_Metrics_2023_Consol[[#This Row],[Total Costs]] / VfM_Metrics_2023_Consol[[#This Row],[Total units for costs]] ) * 1000, "n/a" )</calculatedColumnFormula>
    </tableColumn>
    <tableColumn id="248" xr3:uid="{AD4A49D8-CB8D-49DC-8FEC-EE8F1645E8EC}" name="Total Costs" dataDxfId="496">
      <calculatedColumnFormula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calculatedColumnFormula>
    </tableColumn>
    <tableColumn id="224" xr3:uid="{29CB5673-0832-40B8-9C65-9AEDBF6540DC}" name="Management costs" dataDxfId="495"/>
    <tableColumn id="238" xr3:uid="{17B25250-A145-468F-B9C1-395D0F9B1091}" name="Service charge costs" dataDxfId="494"/>
    <tableColumn id="239" xr3:uid="{082F594C-2482-44FD-9B13-8FA7DCC0E045}" name="Routine maintenance costs" dataDxfId="493"/>
    <tableColumn id="243" xr3:uid="{06BAFDD0-1E81-4039-9A50-906D5262792C}" name="Planned maintenance costs" dataDxfId="492"/>
    <tableColumn id="244" xr3:uid="{3E9D7941-629A-4E0B-9BE1-EF1EA53835BE}" name="Major repairs expenditure" dataDxfId="491"/>
    <tableColumn id="245" xr3:uid="{93835DAD-0319-45A3-9351-1F9B4FA95A84}" name="Lease costs" dataDxfId="490"/>
    <tableColumn id="246" xr3:uid="{AF1F8258-976C-4BDD-807A-3E2B343A8E4D}" name="Capitalised major repairs expenditure for period2" dataDxfId="489"/>
    <tableColumn id="247" xr3:uid="{800BB4AD-60A7-44C9-B7BF-34951FD19BBD}" name="Other (social housing letting) costs" dataDxfId="488"/>
    <tableColumn id="240" xr3:uid="{3B9B3575-1D8B-4551-8EA5-B8A99CF8120F}" name="Development services" dataDxfId="487"/>
    <tableColumn id="241" xr3:uid="{4AC263E2-583E-4D2B-B15D-7C8A66039C61}" name="Community/neighbourhood services" dataDxfId="486"/>
    <tableColumn id="242" xr3:uid="{2774C2A5-3777-4408-97D9-D3F9B940F976}" name="Other social housing activities: Other" dataDxfId="485"/>
    <tableColumn id="234" xr3:uid="{AE3EF841-8600-470D-B50D-C5FB051BAC79}" name="Other social housing activities: charges for support services" dataDxfId="484"/>
    <tableColumn id="236" xr3:uid="{A6F6A9C7-94F9-4410-98BB-0C8BB9BC6415}" name="Total units for costs" dataDxfId="483">
      <calculatedColumnFormula xml:space="preserve"> VfM_Metrics_2023_Consol[[#This Row],[Total social housing units owned and/or managed at period end]]</calculatedColumnFormula>
    </tableColumn>
    <tableColumn id="235" xr3:uid="{1868889B-8771-4FB5-B4B6-651587906DF3}" name="Total social housing units owned and/or managed at period end" dataDxfId="482"/>
    <tableColumn id="252" xr3:uid="{CA9E6067-9D58-4198-8768-835480B78599}" name="Operating Margin (SHL)" dataDxfId="481">
      <calculatedColumnFormula xml:space="preserve"> IFERROR( VfM_Metrics_2023_Consol[[#This Row],[SHL operating surplus / (deficit)]] / VfM_Metrics_2023_Consol[[#This Row],[Turnover from social housing lettings]], "n/a" )</calculatedColumnFormula>
    </tableColumn>
    <tableColumn id="253" xr3:uid="{27677854-0684-4D5F-961C-75B67F56A2BA}" name="SHL operating surplus / (deficit)" dataDxfId="480">
      <calculatedColumnFormula xml:space="preserve"> VfM_Metrics_2023_Consol[[#This Row],[Operating surplus/(deficit) (social housing lettings)]]</calculatedColumnFormula>
    </tableColumn>
    <tableColumn id="249" xr3:uid="{593942B1-5138-442E-89CE-EBB46F6B88D1}" name="Operating surplus/(deficit) (social housing lettings)" dataDxfId="479"/>
    <tableColumn id="251" xr3:uid="{145A659D-D9B6-4F35-A4D4-60168DB6F016}" name="SHL turnover" dataDxfId="478">
      <calculatedColumnFormula xml:space="preserve"> VfM_Metrics_2023_Consol[[#This Row],[Turnover from social housing lettings]]</calculatedColumnFormula>
    </tableColumn>
    <tableColumn id="250" xr3:uid="{BB968B94-C313-4DB6-BA75-8DA98C23C8AE}" name="Turnover from social housing lettings" dataDxfId="477"/>
    <tableColumn id="256" xr3:uid="{6364EC4F-FE5F-4D8B-847E-DC6840F99527}" name="Operating Margin (Overall)" dataDxfId="476">
      <calculatedColumnFormula xml:space="preserve"> IFERROR( VfM_Metrics_2023_Consol[[#This Row],[Net operating surplus]] / VfM_Metrics_2023_Consol[[#This Row],[Overall turnover]], "n/a" )</calculatedColumnFormula>
    </tableColumn>
    <tableColumn id="261" xr3:uid="{28622335-6BA2-4A50-AC98-6A51A8B0F1BB}" name="Net operating surplus" dataDxfId="475">
      <calculatedColumnFormula xml:space="preserve"> SUM( VfM_Metrics_2023_Consol[[#This Row],[Operating surplus/(deficit) (overall)2]], - VfM_Metrics_2023_Consol[[#This Row],[Gain/(loss) on disposal of fixed assets (housing properties)2]], - VfM_Metrics_2023_Consol[[#This Row],[Gain/(loss) on disposal of fixed assets (other)2]] )</calculatedColumnFormula>
    </tableColumn>
    <tableColumn id="254" xr3:uid="{769679D7-2161-4045-B46E-2A8811424C65}" name="Operating surplus/(deficit) (overall)2" dataDxfId="474"/>
    <tableColumn id="258" xr3:uid="{33C84D90-10EF-474D-83DF-4CFE129DE729}" name="Gain/(loss) on disposal of fixed assets (housing properties)2" dataDxfId="473"/>
    <tableColumn id="259" xr3:uid="{FD781FB5-1A13-4FEC-AEDA-8E56F6AA1FD2}" name="Gain/(loss) on disposal of fixed assets (other)2" dataDxfId="472"/>
    <tableColumn id="255" xr3:uid="{B6D7F819-B050-4039-A13B-1E9DB14B6D09}" name="Overall turnover" dataDxfId="471">
      <calculatedColumnFormula xml:space="preserve"> VfM_Metrics_2023_Consol[[#This Row],[Turnover (overall)]]</calculatedColumnFormula>
    </tableColumn>
    <tableColumn id="260" xr3:uid="{CB6F33DC-B912-4D68-8C17-332E6BE1C87A}" name="Turnover (overall)" dataDxfId="470"/>
    <tableColumn id="266" xr3:uid="{E485B44C-6AB9-497D-A320-5E7DA7EB0BB3}" name="ROCE" dataDxfId="469">
      <calculatedColumnFormula xml:space="preserve"> IFERROR( VfM_Metrics_2023_Consol[[#This Row],[Operating surplus including from JVs]] / VfM_Metrics_2023_Consol[[#This Row],[Net assets]], "n/a" )</calculatedColumnFormula>
    </tableColumn>
    <tableColumn id="267" xr3:uid="{825A21EE-C398-475E-8BB9-017BC4C6E77B}" name="Operating surplus including from JVs" dataDxfId="468">
      <calculatedColumnFormula xml:space="preserve"> SUM( VfM_Metrics_2023_Consol[[#This Row],[Operating surplus/(deficit) (overall)3]], VfM_Metrics_2023_Consol[[#This Row],[Share of operating surplus/(deficit) in joint ventures or associates]] )</calculatedColumnFormula>
    </tableColumn>
    <tableColumn id="262" xr3:uid="{18C9B7EC-F065-4C93-A756-BB729B7DEBB8}" name="Operating surplus/(deficit) (overall)3" dataDxfId="467"/>
    <tableColumn id="263" xr3:uid="{E84F685F-365A-4C23-86E2-08F57CBB4EA3}" name="Share of operating surplus/(deficit) in joint ventures or associates" dataDxfId="466"/>
    <tableColumn id="265" xr3:uid="{3FB07B2F-BA7A-407D-8C49-F6DAD8C08C4F}" name="Net assets" dataDxfId="465">
      <calculatedColumnFormula xml:space="preserve"> VfM_Metrics_2023_Consol[[#This Row],[Total assets less current liabilities]]</calculatedColumnFormula>
    </tableColumn>
    <tableColumn id="264" xr3:uid="{1EDB61EE-FD95-4137-B4BD-5708B99FDC09}" name="Total assets less current liabilities" dataDxfId="464"/>
    <tableColumn id="257" xr3:uid="{EB6C528C-3645-4DD3-B3A3-59D58B0283A3}" name="Total social stock owned" dataDxfId="463">
      <calculatedColumnFormula xml:space="preserve"> VfM_Metrics_2023_Consol[[#This Row],[Total social housing units owned (Period end)]]</calculatedColumnFormula>
    </tableColumn>
    <tableColumn id="268" xr3:uid="{DEA1FD08-6574-4FD0-BD4E-0CB1973D1C85}" name="% Supported housing (excl. HOP)" dataDxfId="462"/>
    <tableColumn id="270" xr3:uid="{A0FDA4EE-963E-4625-8BCE-F5854F963B22}" name="SH specialist in RSH analysis" dataDxfId="461">
      <calculatedColumnFormula xml:space="preserve"> -- ( VfM_Metrics_2023_Consol[[#This Row],[% Supported housing (excl. HOP)]] &gt; 0.3 )</calculatedColumnFormula>
    </tableColumn>
    <tableColumn id="269" xr3:uid="{386C86A3-B11D-489F-81E1-A1A2A7C27C0A}" name="% Housing for older people" dataDxfId="460"/>
    <tableColumn id="271" xr3:uid="{801980F8-F17C-4267-83D0-0D82B20E1E1B}" name="OP specialist in RSH analysis" dataDxfId="459">
      <calculatedColumnFormula xml:space="preserve"> -- ( VfM_Metrics_2023_Consol[[#This Row],[% Housing for older people]] &gt; 0.3 )</calculatedColumnFormula>
    </tableColumn>
    <tableColumn id="272" xr3:uid="{3101CC51-35D4-4505-B57C-CAB4C873CFE9}" name="% SH and OP" dataDxfId="458">
      <calculatedColumnFormula xml:space="preserve"> VfM_Metrics_2023_Consol[[#This Row],[% Supported housing (excl. HOP)]] + VfM_Metrics_2023_Consol[[#This Row],[% Housing for older people]]</calculatedColumnFormula>
    </tableColumn>
    <tableColumn id="276" xr3:uid="{A5FFCBF0-F4AA-40D4-8FF9-149E182E6EA4}" name="SH or OP specialist in RSH analysis" dataDxfId="457">
      <calculatedColumnFormula xml:space="preserve"> -- ( VfM_Metrics_2023_Consol[[#This Row],[SH specialist in RSH analysis]] + VfM_Metrics_2023_Consol[[#This Row],[OP specialist in RSH analysis]] &gt; 0 )</calculatedColumnFormula>
    </tableColumn>
    <tableColumn id="273" xr3:uid="{243FF6D4-1668-405A-9C91-63FDE55879CD}" name="SH or OP specialist in RSH analysis (incl. SH &amp; OP combined)" dataDxfId="456">
      <calculatedColumnFormula xml:space="preserve"> -- ( VfM_Metrics_2023_Consol[[#This Row],[% SH and OP]] &gt; 0.3 )</calculatedColumnFormula>
    </tableColumn>
    <tableColumn id="202" xr3:uid="{A97E3177-55BA-47E4-9AF1-B4C7C23C09E7}" name="Provider Type" dataDxfId="455"/>
    <tableColumn id="191" xr3:uid="{32FA485F-BBB6-4110-91AE-360D4C4B3EDF}" name="Date of largest transfer" dataDxfId="454"/>
    <tableColumn id="165" xr3:uid="{199CBEC7-332D-4853-B812-2AC381325FF7}" name="LSVT age" dataDxfId="453"/>
    <tableColumn id="274" xr3:uid="{11C93C83-AAEA-48B5-A2B1-1E97F59C920E}" name="Region with 50%+ of social stock owned" dataDxfId="452">
      <calculatedColumnFormula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calculatedColumnFormula>
    </tableColumn>
    <tableColumn id="278" xr3:uid="{17AE7E57-FE49-43F0-B78B-3586C3BF14D3}" name="London" dataDxfId="451"/>
    <tableColumn id="281" xr3:uid="{50D60378-79E5-400B-A1EA-888468C13B5B}" name="South East" dataDxfId="450"/>
    <tableColumn id="282" xr3:uid="{7BDA2D2B-4683-487B-8DD9-A207420A0AA0}" name="South West" dataDxfId="449"/>
    <tableColumn id="285" xr3:uid="{3CB308EE-66EA-4CB9-8AE4-AB89A850004E}" name="East Midlands" dataDxfId="448"/>
    <tableColumn id="283" xr3:uid="{E863A355-CE45-4FCE-955B-E05E616BE522}" name="West Midlands" dataDxfId="447"/>
    <tableColumn id="286" xr3:uid="{A5A4E3AB-5239-453B-B6C9-F1180733BB27}" name="East of England" dataDxfId="446"/>
    <tableColumn id="279" xr3:uid="{E42A40D4-40DD-40C5-B1F8-21B8A9B5D437}" name="North East" dataDxfId="445"/>
    <tableColumn id="280" xr3:uid="{0A89F1D2-3DAA-4701-A986-D5D41E3E0FA6}" name="North West" dataDxfId="444"/>
    <tableColumn id="284" xr3:uid="{1E8F46B2-2CDD-49F2-81AA-B64D1AC96B64}" name="Yorkshire &amp; the Humber" dataDxfId="443"/>
    <tableColumn id="277" xr3:uid="{BFE7501C-A2D8-4183-961F-4951BD490D80}" name="ASHE regional wage index (England = 1)" dataDxfId="442"/>
  </tableColumns>
  <tableStyleInfo name="PurpleWhit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8FC6ACD-8074-4AF4-B4CA-C48A55030909}" name="ShortName" displayName="ShortName" ref="B1059:F1257" totalsRowShown="0" tableBorderDxfId="58">
  <autoFilter ref="B1059:F1257" xr:uid="{B8FC6ACD-8074-4AF4-B4CA-C48A55030909}"/>
  <tableColumns count="5">
    <tableColumn id="1" xr3:uid="{5570B92E-5AC9-40DB-B306-770E489E6CC3}" name="RP_Name" dataDxfId="57"/>
    <tableColumn id="2" xr3:uid="{F6F67E52-D47D-4357-A74D-69D80ABE37B4}" name="Adjust" dataDxfId="56">
      <calculatedColumnFormula xml:space="preserve">  SUBSTITUTE( SUBSTITUTE( SUBSTITUTE( SUBSTITUTE( SUBSTITUTE( SUBSTITUTE( SUBSTITUTE( ShortName[[#This Row],[RP_Name]], " Limited", "" ), " Housing Association", "" ), " Housing Group", "" ), " Group", "" ), " Housing Trust", "" ), " Housing Partnership", "" ), "The ", "" )</calculatedColumnFormula>
    </tableColumn>
    <tableColumn id="5" xr3:uid="{28576552-C174-417E-925D-53D9FE99B848}" name="Remove final Housing" dataDxfId="55">
      <calculatedColumnFormula xml:space="preserve"> IF( RIGHT( ShortName[[#This Row],[Adjust]], 8 ) = " Housing", LEFT( ShortName[[#This Row],[Adjust]], LEN(ShortName[[#This Row],[Adjust]] ) - 8 ), ShortName[[#This Row],[Adjust]] )</calculatedColumnFormula>
    </tableColumn>
    <tableColumn id="3" xr3:uid="{F336B33A-32D5-446F-A977-88A9E0A2ACA5}" name="Override" dataDxfId="54"/>
    <tableColumn id="4" xr3:uid="{FA8BC024-6A0B-42BA-9680-7D7BAEADE3E5}" name="Short name" dataDxfId="53">
      <calculatedColumnFormula xml:space="preserve"> IF( ISTEXT( ShortName[[#This Row],[Override]] ), ShortName[[#This Row],[Override]], ShortName[[#This Row],[Remove final Housing]] )</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15A02CF-E7CF-4C9E-9A83-9D9B3DB2EED4}" name="VfM_Metrics_2023_Entity" displayName="VfM_Metrics_2023_Entity" ref="A10:DE234" totalsRowShown="0" headerRowDxfId="441" dataDxfId="439" headerRowBorderDxfId="440" tableBorderDxfId="438" totalsRowBorderDxfId="437">
  <autoFilter ref="A10:DE234" xr:uid="{415A02CF-E7CF-4C9E-9A83-9D9B3DB2EED4}"/>
  <sortState xmlns:xlrd2="http://schemas.microsoft.com/office/spreadsheetml/2017/richdata2" ref="A11:DE234">
    <sortCondition ref="B10:B234"/>
  </sortState>
  <tableColumns count="109">
    <tableColumn id="2" xr3:uid="{94BE9B23-247B-470F-AADC-FCF33811ABE5}" name="RP_Code" dataDxfId="436"/>
    <tableColumn id="5" xr3:uid="{F49EBAF2-D229-4BA2-B63B-D82204673B62}" name="RP_Name" dataDxfId="435"/>
    <tableColumn id="153" xr3:uid="{A09B31BF-4B92-4096-AF7C-38061B6D0648}" name="FYE" dataDxfId="434"/>
    <tableColumn id="162" xr3:uid="{84268053-0D9A-4CBB-8781-3A4472B06642}" name="Reinvestment" dataDxfId="433">
      <calculatedColumnFormula>IFERROR( VfM_Metrics_2023_Entity[[#This Row],[Reinvestment Spend]] / VfM_Metrics_2023_Entity[[#This Row],[Net Book Value of Housing Properties]], "n/a" )</calculatedColumnFormula>
    </tableColumn>
    <tableColumn id="167" xr3:uid="{5B3083E6-2D6A-4326-9217-F0456E2284C8}" name="Reinvestment Spend" dataDxfId="432">
      <calculatedColumnFormula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calculatedColumnFormula>
    </tableColumn>
    <tableColumn id="154" xr3:uid="{7630009C-DE5B-449A-8B14-3EE56C380593}" name="Development of new properties (Total housing properties)" dataDxfId="431"/>
    <tableColumn id="155" xr3:uid="{B0BC90E5-9E29-427B-A91B-7A28AA6F3B91}" name="Newly built properties acquired (Total housing properties)" dataDxfId="430"/>
    <tableColumn id="156" xr3:uid="{DFA08A46-658C-433A-A44D-D597D4E2B77F}" name=" Works to Existing (Total housing properties)" dataDxfId="429"/>
    <tableColumn id="157" xr3:uid="{A34F5E6B-EFAE-4922-B403-D182DE8F483C}" name="Capitalised Interest (Total housing properties)" dataDxfId="428"/>
    <tableColumn id="158" xr3:uid="{E4C8FB4D-7C9A-4B8C-AF45-B128C1522C54}" name="Schemes completed (Total housing properties)" dataDxfId="427"/>
    <tableColumn id="161" xr3:uid="{4F98EA7B-3354-41F7-8D6E-F50558935813}" name="Net Book Value of Housing Properties" dataDxfId="426">
      <calculatedColumnFormula xml:space="preserve"> SUM( VfM_Metrics_2023_Entity[[#This Row],[Tangible fixed assets: Housing properties at cost (Current period)]],VfM_Metrics_2023_Entity[[#This Row],[Tangible fixed assets Housing properties at valuation (Current period)]] )</calculatedColumnFormula>
    </tableColumn>
    <tableColumn id="159" xr3:uid="{3CF0A941-A444-4264-A3F7-5EF968FC3C83}" name="Tangible fixed assets: Housing properties at cost (Current period)" dataDxfId="425"/>
    <tableColumn id="160" xr3:uid="{9034C302-0D88-4366-95CC-8A8F4C3426F0}" name="Tangible fixed assets Housing properties at valuation (Current period)" dataDxfId="424"/>
    <tableColumn id="189" xr3:uid="{D76AB67D-A40E-4F75-B5F7-063AE5106A96}" name="New Supply (Social)" dataDxfId="423">
      <calculatedColumnFormula xml:space="preserve"> IFERROR( VfM_Metrics_2023_Entity[[#This Row],[Total social units developed or newly built units acquired in-year]] / VfM_Metrics_2023_Entity[[#This Row],[Social housing units owned (period end)]], "n/a" )</calculatedColumnFormula>
    </tableColumn>
    <tableColumn id="199" xr3:uid="{0561A709-4D5C-4A46-BE43-0FBD7E0927F8}" name="Total social units developed or newly built units acquired in-year" dataDxfId="422">
      <calculatedColumnFormula xml:space="preserve"> SUM( VfM_Metrics_2023_Entity[[#This Row],[Total social units developed or newly built units acquired in-year (owned)]], VfM_Metrics_2023_Entity[[#This Row],[Total social leasehold units developed or newly built units acquired in-year (owned)]] )</calculatedColumnFormula>
    </tableColumn>
    <tableColumn id="168" xr3:uid="{0E04E738-D8DB-4083-AAE8-548D3952CF55}" name="Total social units developed or newly built units acquired in-year (owned)" dataDxfId="421"/>
    <tableColumn id="169" xr3:uid="{C241CEA1-B9DE-4C2D-A64A-8617251587F0}" name="Total social leasehold units developed or newly built units acquired in-year (owned)" dataDxfId="420"/>
    <tableColumn id="188" xr3:uid="{C51E513B-B65E-477E-85D1-2BB25D8B420E}" name="Social housing units owned (period end)" dataDxfId="419">
      <calculatedColumnFormula xml:space="preserve"> SUM( VfM_Metrics_2023_Entity[[#This Row],[Total social housing units owned (Period end)]], VfM_Metrics_2023_Entity[[#This Row],[Total social leasehold units owned (Period end)]] )</calculatedColumnFormula>
    </tableColumn>
    <tableColumn id="170" xr3:uid="{522BFFEB-A20E-45BA-946D-9B4CCE9A567E}" name="Total social housing units owned (Period end)" dataDxfId="418"/>
    <tableColumn id="171" xr3:uid="{23433EFD-E8BE-47AE-AE43-DD974BA75865}" name="Total social leasehold units owned (Period end)" dataDxfId="417"/>
    <tableColumn id="206" xr3:uid="{7A8002F8-5B83-40CA-8F94-D05004605B53}" name="New Supply (Non-Social)" dataDxfId="416">
      <calculatedColumnFormula xml:space="preserve"> IFERROR( VfM_Metrics_2023_Entity[[#This Row],[Total non-social housing units developed or newly built units acquired (owned)]] / VfM_Metrics_2023_Entity[[#This Row],[Total social and non-social housing units owned (Period end)]], "n/a" )</calculatedColumnFormula>
    </tableColumn>
    <tableColumn id="212" xr3:uid="{2CAED7DA-4C3F-4C1D-9105-410CB26D1E6F}" name="Total non-social housing units developed or newly built units acquired (owned)" dataDxfId="415">
      <calculatedColumnFormula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calculatedColumnFormula>
    </tableColumn>
    <tableColumn id="190" xr3:uid="{C117B26F-3258-42B2-840F-BA8F9A21555F}" name="Total non-social units developed or newly built units acquired in-year (owned)" dataDxfId="414"/>
    <tableColumn id="203" xr3:uid="{A31AD193-D4EE-4CEF-9862-5CDC43172F5D}" name="Total non-social leasehold units developed or newly built units acquired in-year (owned)" dataDxfId="413"/>
    <tableColumn id="208" xr3:uid="{6CD5E9E8-0AD3-4E86-9006-872D43FD9BF4}" name="New outright sale units developed or acquired (owned)" dataDxfId="412"/>
    <tableColumn id="205" xr3:uid="{CC310894-3B61-4770-B44B-62416D3E4741}" name="Total social and non-social housing units owned (Period end)" dataDxfId="411">
      <calculatedColumnFormula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calculatedColumnFormula>
    </tableColumn>
    <tableColumn id="209" xr3:uid="{D6EDB333-232E-4C28-8B61-A5DE69F171BE}" name="Total social housing units owned (Period end)2" dataDxfId="410"/>
    <tableColumn id="210" xr3:uid="{F45693A7-A72F-4703-9D67-C0FBC31B20E5}" name="Total social leasehold units owned (Period end)2" dataDxfId="409"/>
    <tableColumn id="211" xr3:uid="{54314883-C167-4A71-8F8E-B6ABD637F36C}" name="Total non-social rental housing units owned (Period end)" dataDxfId="408"/>
    <tableColumn id="204" xr3:uid="{7A25E253-D7F1-483A-9D1B-4F714CE00EC4}" name="Total non-social leasehold units owned (Period end)" dataDxfId="407"/>
    <tableColumn id="200" xr3:uid="{B1713CEB-0729-46D2-83D1-9D96C7E69979}" name="Gearing" dataDxfId="406">
      <calculatedColumnFormula xml:space="preserve"> IFERROR( VfM_Metrics_2023_Entity[[#This Row],[Total Net Debt]] / VfM_Metrics_2023_Entity[[#This Row],[Net Book Value of Housing Properties2]], "n/a" )</calculatedColumnFormula>
    </tableColumn>
    <tableColumn id="220" xr3:uid="{67B69F04-EF27-4E25-A7BA-A8671A55A116}" name="Total Net Debt" dataDxfId="405">
      <calculatedColumnFormula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calculatedColumnFormula>
    </tableColumn>
    <tableColumn id="213" xr3:uid="{38927059-6D29-4CC1-B19B-DBB78407F28A}" name="Short-term loans" dataDxfId="404"/>
    <tableColumn id="214" xr3:uid="{E8E47124-6FBA-4897-A50F-50D0ACBB72E6}" name="Long-term loans" dataDxfId="403"/>
    <tableColumn id="215" xr3:uid="{C2863F36-7EA8-407C-8E9B-E8756D12FC79}" name="Cash and cash equivalents " dataDxfId="402"/>
    <tableColumn id="216" xr3:uid="{E9277C44-43C0-49D8-A1B3-C7CD0D59815D}" name="Amounts owed to group undertakings" dataDxfId="401"/>
    <tableColumn id="217" xr3:uid="{B225C073-3CB1-4116-8291-15D5710187DF}" name="Finance lease obligations" dataDxfId="400"/>
    <tableColumn id="207" xr3:uid="{77ED29AF-A8F3-4CB8-A510-1B9A47406152}" name="Net Book Value of Housing Properties2" dataDxfId="399">
      <calculatedColumnFormula xml:space="preserve"> SUM( VfM_Metrics_2023_Entity[[#This Row],[Tangible fixed assets: Housing properties at cost (Current period)2]], VfM_Metrics_2023_Entity[[#This Row],[Tangible fixed assets Housing properties at valuation (Current period)2]] )</calculatedColumnFormula>
    </tableColumn>
    <tableColumn id="218" xr3:uid="{641AD880-2D53-451E-A198-B060A2A505B8}" name="Tangible fixed assets: Housing properties at cost (Current period)2" dataDxfId="398"/>
    <tableColumn id="219" xr3:uid="{79636ACC-29C0-4FE0-9E9B-EE728DFFD81C}" name="Tangible fixed assets Housing properties at valuation (Current period)2" dataDxfId="397"/>
    <tableColumn id="223" xr3:uid="{E93FFC5F-44ED-4CFD-B9CC-CA6FCD712C03}" name="EBITDA MRI Interest Cover" dataDxfId="396">
      <calculatedColumnFormula xml:space="preserve"> IFERROR( VfM_Metrics_2023_Entity[[#This Row],[EBITDA MRI]] / VfM_Metrics_2023_Entity[[#This Row],[Total interest]], "n/a" )</calculatedColumnFormula>
    </tableColumn>
    <tableColumn id="233" xr3:uid="{C1CCBB92-E759-4366-B67E-5E20E953DAD4}" name="EBITDA MRI" dataDxfId="395">
      <calculatedColumnFormula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calculatedColumnFormula>
    </tableColumn>
    <tableColumn id="201" xr3:uid="{800203AE-CE0D-45D9-9FD7-6F5BBAE31A14}" name="Operating surplus/(deficit) (overall)" dataDxfId="394"/>
    <tableColumn id="225" xr3:uid="{F8E68CF9-2CB0-49DB-BF16-289F839F9742}" name="Gain/(loss) on disposal of fixed assets (housing properties)" dataDxfId="393"/>
    <tableColumn id="226" xr3:uid="{2C39D624-5128-42D8-B04F-CF944E75D971}" name="Gain/(loss) on disposal of fixed assets (other)" dataDxfId="392"/>
    <tableColumn id="227" xr3:uid="{A30D6CF5-0F51-46BF-99FF-E67C80811CA3}" name="Amortised government grant" dataDxfId="391"/>
    <tableColumn id="228" xr3:uid="{E7C465D8-DBF2-451A-957D-0CD993C27BD6}" name="Government grants taken to income" dataDxfId="390"/>
    <tableColumn id="229" xr3:uid="{936EB9E8-2ADB-4A51-83CC-F3A2F831286B}" name="Interest receivable" dataDxfId="389"/>
    <tableColumn id="230" xr3:uid="{D3F651D1-2304-4AFD-BA1F-C1478FF4C204}" name="Capitalised major repairs expenditure for period" dataDxfId="388"/>
    <tableColumn id="232" xr3:uid="{F88C4C72-62C4-47CA-9103-2AC7FC095137}" name="Total depreciation charge for period" dataDxfId="387"/>
    <tableColumn id="222" xr3:uid="{59D09B50-15E0-4C76-9F73-13697E11B81E}" name="Total interest" dataDxfId="386">
      <calculatedColumnFormula xml:space="preserve"> - SUM( VfM_Metrics_2023_Entity[[#This Row],[Interest capitalised]], VfM_Metrics_2023_Entity[[#This Row],[Interest payable and financing costs]] )</calculatedColumnFormula>
    </tableColumn>
    <tableColumn id="231" xr3:uid="{932A8F5D-EC1C-4482-BC37-07B807026EB2}" name="Interest capitalised" dataDxfId="385"/>
    <tableColumn id="221" xr3:uid="{4E6F7EFF-2826-4930-9DD3-D798B593EE24}" name="Interest payable and financing costs" dataDxfId="384"/>
    <tableColumn id="237" xr3:uid="{39EDA24E-392A-443E-91AF-D8F7F85258FB}" name="Headline Social Housing Cost per unit" dataDxfId="383">
      <calculatedColumnFormula xml:space="preserve"> IFERROR( ( VfM_Metrics_2023_Entity[[#This Row],[Total Costs]] / VfM_Metrics_2023_Entity[[#This Row],[Total units for costs]] ) * 1000, "n/a" )</calculatedColumnFormula>
    </tableColumn>
    <tableColumn id="248" xr3:uid="{0C921994-5E24-4FB0-9547-5D6D8A61E16D}" name="Total Costs" dataDxfId="382">
      <calculatedColumnFormula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calculatedColumnFormula>
    </tableColumn>
    <tableColumn id="224" xr3:uid="{DFF601D3-2D30-4D38-8981-FA649DBD3BA4}" name="Management costs" dataDxfId="381"/>
    <tableColumn id="238" xr3:uid="{7247C4D3-7615-4419-A310-39AEB3AD74B5}" name="Service charge costs" dataDxfId="380"/>
    <tableColumn id="239" xr3:uid="{9E82787D-C8A3-484B-A32C-ADCFBD66BE91}" name="Routine maintenance costs" dataDxfId="379"/>
    <tableColumn id="243" xr3:uid="{EE5E5D55-1160-49A5-AE9F-BEF25491705A}" name="Planned maintenance costs" dataDxfId="378"/>
    <tableColumn id="244" xr3:uid="{86E32BC0-7A0A-43E0-9F0D-69D089518D4B}" name="Major repairs expenditure" dataDxfId="377"/>
    <tableColumn id="245" xr3:uid="{44DEF154-18F8-4E49-81B1-362A6005DD9F}" name="Lease costs" dataDxfId="376"/>
    <tableColumn id="246" xr3:uid="{E67CD2D9-051A-487A-9F7A-6E00C323D6D3}" name="Capitalised major repairs expenditure for period2" dataDxfId="375"/>
    <tableColumn id="247" xr3:uid="{233AB929-4598-4A72-83DA-EBA78BD823F3}" name="Other (social housing letting) costs" dataDxfId="374"/>
    <tableColumn id="240" xr3:uid="{11E6A384-566B-426F-8462-A19186F68597}" name="Development services" dataDxfId="373"/>
    <tableColumn id="241" xr3:uid="{1CB23ADF-116E-4EEF-B63E-82AD885C27E4}" name="Community/neighbourhood services" dataDxfId="372"/>
    <tableColumn id="242" xr3:uid="{2A3CE3CB-FCD0-47DC-8575-982BB5716C8D}" name="Other social housing activities: Other" dataDxfId="371"/>
    <tableColumn id="234" xr3:uid="{572CB4A0-CFC6-48CB-BEAA-B6A616496940}" name="Other social housing activities: charges for support services" dataDxfId="370"/>
    <tableColumn id="236" xr3:uid="{1B3AFF15-FF78-4337-87D5-6E81C9395595}" name="Total units for costs" dataDxfId="369">
      <calculatedColumnFormula xml:space="preserve"> VfM_Metrics_2023_Entity[[#This Row],[Total social housing units owned and/or managed at period end]]</calculatedColumnFormula>
    </tableColumn>
    <tableColumn id="235" xr3:uid="{D2C93035-D226-4629-9EA3-D08EB5CB0FA1}" name="Total social housing units owned and/or managed at period end" dataDxfId="368"/>
    <tableColumn id="252" xr3:uid="{296C646B-E9AF-4F1A-8C25-432E5488E2CA}" name="Operating Margin (SHL)" dataDxfId="367">
      <calculatedColumnFormula xml:space="preserve"> IFERROR( VfM_Metrics_2023_Entity[[#This Row],[SHL operating surplus / (deficit)]] / VfM_Metrics_2023_Entity[[#This Row],[Turnover from social housing lettings]], "n/a" )</calculatedColumnFormula>
    </tableColumn>
    <tableColumn id="253" xr3:uid="{47C4CD0E-AD9F-4552-A8C7-1083F1C5CAE7}" name="SHL operating surplus / (deficit)" dataDxfId="366">
      <calculatedColumnFormula xml:space="preserve"> VfM_Metrics_2023_Entity[[#This Row],[Operating surplus/(deficit) (social housing lettings)]]</calculatedColumnFormula>
    </tableColumn>
    <tableColumn id="249" xr3:uid="{B6AB0954-A238-43F9-A6F9-F56E3AC1CDFF}" name="Operating surplus/(deficit) (social housing lettings)" dataDxfId="365"/>
    <tableColumn id="251" xr3:uid="{B11F3CCF-988D-4845-9450-0EB7C60FED22}" name="SHL turnover" dataDxfId="364">
      <calculatedColumnFormula xml:space="preserve"> VfM_Metrics_2023_Entity[[#This Row],[Turnover from social housing lettings]]</calculatedColumnFormula>
    </tableColumn>
    <tableColumn id="250" xr3:uid="{19E3B73A-9187-4C3B-95E5-03566B2BD63A}" name="Turnover from social housing lettings" dataDxfId="363"/>
    <tableColumn id="256" xr3:uid="{C7476ADF-986A-49F0-ACF7-F957A470CA2B}" name="Operating Margin (Overall)" dataDxfId="362">
      <calculatedColumnFormula xml:space="preserve"> IFERROR( VfM_Metrics_2023_Entity[[#This Row],[Net operating surplus]] / VfM_Metrics_2023_Entity[[#This Row],[Overall turnover]], "n/a" )</calculatedColumnFormula>
    </tableColumn>
    <tableColumn id="261" xr3:uid="{90749011-2C31-495D-A464-BF446AF0C263}" name="Net operating surplus" dataDxfId="361">
      <calculatedColumnFormula xml:space="preserve"> SUM( VfM_Metrics_2023_Entity[[#This Row],[Operating surplus/(deficit) (overall)2]], - VfM_Metrics_2023_Entity[[#This Row],[Gain/(loss) on disposal of fixed assets (housing properties)2]], - VfM_Metrics_2023_Entity[[#This Row],[Gain/(loss) on disposal of fixed assets (other)2]] )</calculatedColumnFormula>
    </tableColumn>
    <tableColumn id="254" xr3:uid="{6744B03C-5010-4224-B349-2E4F82A8AD35}" name="Operating surplus/(deficit) (overall)2" dataDxfId="360"/>
    <tableColumn id="258" xr3:uid="{93A63667-C822-4617-BE16-C65FF8E772C9}" name="Gain/(loss) on disposal of fixed assets (housing properties)2" dataDxfId="359"/>
    <tableColumn id="259" xr3:uid="{0DDC06FA-AE27-4A11-A62F-156A8EDE7F4A}" name="Gain/(loss) on disposal of fixed assets (other)2" dataDxfId="358"/>
    <tableColumn id="255" xr3:uid="{AABBE57E-9A94-4D84-A840-BD9B169AAFCF}" name="Overall turnover" dataDxfId="357">
      <calculatedColumnFormula xml:space="preserve"> VfM_Metrics_2023_Entity[[#This Row],[Turnover (overall)]]</calculatedColumnFormula>
    </tableColumn>
    <tableColumn id="260" xr3:uid="{395559AF-AA78-4578-BF3A-0E4EF0B9155C}" name="Turnover (overall)" dataDxfId="356"/>
    <tableColumn id="266" xr3:uid="{EDC7E65F-02B7-4673-A516-2A518949C08D}" name="ROCE" dataDxfId="355">
      <calculatedColumnFormula xml:space="preserve"> IFERROR( VfM_Metrics_2023_Entity[[#This Row],[Operating surplus including from JVs]] / VfM_Metrics_2023_Entity[[#This Row],[Net assets]], "n/a" )</calculatedColumnFormula>
    </tableColumn>
    <tableColumn id="267" xr3:uid="{7CDA3F1A-575A-41C8-B8DE-614BAA227254}" name="Operating surplus including from JVs" dataDxfId="354">
      <calculatedColumnFormula xml:space="preserve"> SUM( VfM_Metrics_2023_Entity[[#This Row],[Operating surplus/(deficit) (overall)3]], VfM_Metrics_2023_Entity[[#This Row],[Share of operating surplus/(deficit) in joint ventures or associates]] )</calculatedColumnFormula>
    </tableColumn>
    <tableColumn id="262" xr3:uid="{7284233C-7A2D-4BD5-B684-176F0C980E7C}" name="Operating surplus/(deficit) (overall)3" dataDxfId="353"/>
    <tableColumn id="263" xr3:uid="{C3B190C5-8D44-4037-A960-3DE98E4163CF}" name="Share of operating surplus/(deficit) in joint ventures or associates" dataDxfId="352"/>
    <tableColumn id="265" xr3:uid="{C3DAEBF5-5C24-44C7-B720-25CE37138047}" name="Net assets" dataDxfId="351">
      <calculatedColumnFormula xml:space="preserve"> VfM_Metrics_2023_Entity[[#This Row],[Total assets less current liabilities]]</calculatedColumnFormula>
    </tableColumn>
    <tableColumn id="264" xr3:uid="{42DFDE91-562A-4187-B007-E448A427003B}" name="Total assets less current liabilities" dataDxfId="350"/>
    <tableColumn id="257" xr3:uid="{BDD49B69-CAB3-48B6-878B-F5A9B94BAE4A}" name="Total social stock owned" dataDxfId="349">
      <calculatedColumnFormula xml:space="preserve"> VfM_Metrics_2023_Entity[[#This Row],[Total social housing units owned (Period end)]]</calculatedColumnFormula>
    </tableColumn>
    <tableColumn id="268" xr3:uid="{79C97CFB-62C5-4E7B-B33C-C72271CF8350}" name="% Supported housing (excl. HOP)" dataDxfId="348"/>
    <tableColumn id="270" xr3:uid="{9848F03F-9F88-4DDB-81F2-97A9DD8C2A0E}" name="SH specialist in RSH analysis" dataDxfId="347">
      <calculatedColumnFormula xml:space="preserve"> -- ( VfM_Metrics_2023_Entity[[#This Row],[% Supported housing (excl. HOP)]] &gt; 0.3 )</calculatedColumnFormula>
    </tableColumn>
    <tableColumn id="269" xr3:uid="{7B6486FF-1AE3-439E-BB08-9FADCDE3767F}" name="% Housing for older people" dataDxfId="346"/>
    <tableColumn id="271" xr3:uid="{CABDEB1F-4C56-4EFD-A082-639532716088}" name="OP specialist in RSH analysis" dataDxfId="345">
      <calculatedColumnFormula xml:space="preserve"> -- ( VfM_Metrics_2023_Entity[[#This Row],[% Housing for older people]] &gt; 0.3 )</calculatedColumnFormula>
    </tableColumn>
    <tableColumn id="272" xr3:uid="{6C13A9E3-D63C-4C76-A9F0-B10D0C24B6AE}" name="% SH and OP" dataDxfId="344">
      <calculatedColumnFormula xml:space="preserve"> VfM_Metrics_2023_Entity[[#This Row],[% Supported housing (excl. HOP)]] + VfM_Metrics_2023_Entity[[#This Row],[% Housing for older people]]</calculatedColumnFormula>
    </tableColumn>
    <tableColumn id="276" xr3:uid="{70C84493-7000-467F-99F6-105DF7B8020B}" name="SH or OP specialist in RSH analysis" dataDxfId="343">
      <calculatedColumnFormula xml:space="preserve"> -- ( VfM_Metrics_2023_Entity[[#This Row],[SH specialist in RSH analysis]] + VfM_Metrics_2023_Entity[[#This Row],[OP specialist in RSH analysis]] &gt; 0 )</calculatedColumnFormula>
    </tableColumn>
    <tableColumn id="273" xr3:uid="{6E5CC8A8-2A07-4793-8E06-34CB32B1B61C}" name="SH or OP specialist in RSH analysis (incl. SH &amp; OP combined)" dataDxfId="342">
      <calculatedColumnFormula xml:space="preserve"> -- ( VfM_Metrics_2023_Entity[[#This Row],[% SH and OP]] &gt; 0.3 )</calculatedColumnFormula>
    </tableColumn>
    <tableColumn id="202" xr3:uid="{44A0AF0E-0362-44B0-89F0-EC7747A2C83A}" name="Provider Type" dataDxfId="341"/>
    <tableColumn id="191" xr3:uid="{D6405CDA-2A12-4158-AE2C-54FD8D6D13C4}" name="Date of largest transfer" dataDxfId="340"/>
    <tableColumn id="165" xr3:uid="{59CF9D5E-2422-4E22-8C96-E7AF2F8A69A2}" name="LSVT age" dataDxfId="339"/>
    <tableColumn id="274" xr3:uid="{2088503B-86E6-45DA-9845-1DAFF0DBE875}" name="Region with 50%+ of social stock owned" dataDxfId="338">
      <calculatedColumnFormula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calculatedColumnFormula>
    </tableColumn>
    <tableColumn id="278" xr3:uid="{ADF2659E-80D0-4FA0-8E3A-251B97E15923}" name="London" dataDxfId="337"/>
    <tableColumn id="281" xr3:uid="{DDAEB4B4-75B7-45F1-952E-772DE85F4374}" name="South East" dataDxfId="336"/>
    <tableColumn id="282" xr3:uid="{C5AF62B8-AF99-446D-B8F7-0470FD8A6693}" name="South West" dataDxfId="335"/>
    <tableColumn id="285" xr3:uid="{5B63DBF8-840F-460C-9B06-54694439C208}" name="East Midlands" dataDxfId="334"/>
    <tableColumn id="283" xr3:uid="{F329EF59-6590-4BFD-B8CF-B684EE1C6866}" name="West Midlands" dataDxfId="333"/>
    <tableColumn id="286" xr3:uid="{1F709211-C07B-4D16-AA37-5B01FD6A0D7B}" name="East of England" dataDxfId="332"/>
    <tableColumn id="279" xr3:uid="{F03179F8-D662-4152-85CD-AB46990B58B9}" name="North East" dataDxfId="331"/>
    <tableColumn id="280" xr3:uid="{DBF6602C-6463-41AE-AD10-508087CF404F}" name="North West" dataDxfId="330"/>
    <tableColumn id="284" xr3:uid="{751A7BD3-9CD0-4507-A3BB-7069DB4A1C77}" name="Yorkshire &amp; the Humber" dataDxfId="329"/>
    <tableColumn id="277" xr3:uid="{A1565C17-6B29-49A7-A780-C61A17E220E4}" name="ASHE regional wage index (England = 1)" dataDxfId="328"/>
  </tableColumns>
  <tableStyleInfo name="TealWhite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779ABA-7A9E-4A76-B437-CE2F2334AB84}" name="PeersCritera" displayName="PeersCritera" ref="B15:W213" totalsRowShown="0" headerRowDxfId="327" dataDxfId="325" headerRowBorderDxfId="326" tableBorderDxfId="324" totalsRowBorderDxfId="323">
  <autoFilter ref="B15:W213" xr:uid="{7A779ABA-7A9E-4A76-B437-CE2F2334AB84}"/>
  <sortState xmlns:xlrd2="http://schemas.microsoft.com/office/spreadsheetml/2017/richdata2" ref="B16:V213">
    <sortCondition descending="1" ref="T15:T213"/>
  </sortState>
  <tableColumns count="22">
    <tableColumn id="1" xr3:uid="{BBEB3605-F353-477C-8174-C0CD24AE2D2C}" name="RP_Name" dataDxfId="322"/>
    <tableColumn id="2" xr3:uid="{0DC363BE-22CD-4DAC-8722-A812840B975A}" name="Total social stock owned" dataDxfId="321">
      <calculatedColumnFormula array="1" xml:space="preserve"> INDEX( tblFilterAll[Total social stock owned], PeersCritera[[#This Row],[Index]] )</calculatedColumnFormula>
    </tableColumn>
    <tableColumn id="13" xr3:uid="{5119DE3E-062B-4488-9066-E865647C988F}" name="% Supported housing (excl. HOP)" dataDxfId="320">
      <calculatedColumnFormula array="1" xml:space="preserve"> INDEX( tblFilterAll[% Supported housing (excl. HOP)], PeersCritera[[#This Row],[Index]] )</calculatedColumnFormula>
    </tableColumn>
    <tableColumn id="14" xr3:uid="{66E113B0-93E3-4CC5-B3E2-C4042150247F}" name="% Housing for older people" dataDxfId="319">
      <calculatedColumnFormula array="1" xml:space="preserve"> INDEX( tblFilterAll[% Housing for older people], PeersCritera[[#This Row],[Index]] )</calculatedColumnFormula>
    </tableColumn>
    <tableColumn id="15" xr3:uid="{14AD0413-EBF1-426B-9F2F-2B8C0AAA2DA0}" name="% Supported &amp; older people" dataDxfId="318">
      <calculatedColumnFormula xml:space="preserve"> PeersCritera[[#This Row],[% Supported housing (excl. HOP)]] + PeersCritera[[#This Row],[% Housing for older people]]</calculatedColumnFormula>
    </tableColumn>
    <tableColumn id="16" xr3:uid="{87D9228D-4830-4004-9D76-453C887058E7}" name="% General Needs" dataDxfId="317">
      <calculatedColumnFormula xml:space="preserve"> 1 - PeersCritera[[#This Row],[% Supported &amp; older people]]</calculatedColumnFormula>
    </tableColumn>
    <tableColumn id="17" xr3:uid="{F28D07B7-1BB2-4258-B042-90B9151D67ED}" name="Provider Type" dataDxfId="316">
      <calculatedColumnFormula array="1" xml:space="preserve"> INDEX( tblFilterAll[Provider Type], PeersCritera[[#This Row],[Index]] )</calculatedColumnFormula>
    </tableColumn>
    <tableColumn id="18" xr3:uid="{04027962-7AD5-42F7-BAF7-2B7AE2864D32}" name="LSVT age" dataDxfId="315">
      <calculatedColumnFormula array="1" xml:space="preserve"> INDEX( tblFilterAll[LSVT age], PeersCritera[[#This Row],[Index]] )</calculatedColumnFormula>
    </tableColumn>
    <tableColumn id="3" xr3:uid="{071AB897-C564-4D75-863D-9A77CE1D6BB1}" name="London" dataDxfId="314">
      <calculatedColumnFormula array="1" xml:space="preserve"> INDEX( tblFilterAll[London], PeersCritera[[#This Row],[Index]] )</calculatedColumnFormula>
    </tableColumn>
    <tableColumn id="4" xr3:uid="{49F5CD0D-BE47-4383-92E1-D55CECD4F881}" name="South East" dataDxfId="313">
      <calculatedColumnFormula array="1" xml:space="preserve"> INDEX( tblFilterAll[South East], PeersCritera[[#This Row],[Index]] )</calculatedColumnFormula>
    </tableColumn>
    <tableColumn id="5" xr3:uid="{6A594411-A38B-4BA4-B96C-1434380458C0}" name="South West" dataDxfId="312">
      <calculatedColumnFormula array="1" xml:space="preserve"> INDEX( tblFilterAll[South West], PeersCritera[[#This Row],[Index]] )</calculatedColumnFormula>
    </tableColumn>
    <tableColumn id="22" xr3:uid="{152F3581-F197-4388-9C33-543B28A45D6B}" name="East Midlands" dataDxfId="311">
      <calculatedColumnFormula array="1" xml:space="preserve"> INDEX( tblFilterAll[East Midlands], PeersCritera[[#This Row],[Index]] )</calculatedColumnFormula>
    </tableColumn>
    <tableColumn id="28" xr3:uid="{63E15397-1E3D-4CF2-B585-A8C0C3ED16CA}" name="West Midlands" dataDxfId="310">
      <calculatedColumnFormula array="1" xml:space="preserve"> INDEX( tblFilterAll[West Midlands], PeersCritera[[#This Row],[Index]] )</calculatedColumnFormula>
    </tableColumn>
    <tableColumn id="23" xr3:uid="{8214C101-5810-44F6-BC5A-AF91002B5039}" name="East of England" dataDxfId="309">
      <calculatedColumnFormula array="1" xml:space="preserve"> INDEX( tblFilterAll[East of England], PeersCritera[[#This Row],[Index]] )</calculatedColumnFormula>
    </tableColumn>
    <tableColumn id="6" xr3:uid="{3B038978-9370-43E3-90A6-832BADCB6EF1}" name="North East" dataDxfId="308">
      <calculatedColumnFormula array="1" xml:space="preserve"> INDEX( tblFilterAll[North East], PeersCritera[[#This Row],[Index]] )</calculatedColumnFormula>
    </tableColumn>
    <tableColumn id="7" xr3:uid="{096AC6DE-6706-4977-AF57-8840173054C6}" name="North West" dataDxfId="307">
      <calculatedColumnFormula array="1" xml:space="preserve"> INDEX( tblFilterAll[North West], PeersCritera[[#This Row],[Index]] )</calculatedColumnFormula>
    </tableColumn>
    <tableColumn id="11" xr3:uid="{D0E5E7D0-EE96-4084-94D0-622BBD585C39}" name="Yorkshire &amp; the Humber" dataDxfId="306">
      <calculatedColumnFormula array="1" xml:space="preserve"> INDEX( tblFilterAll[Yorkshire &amp; the Humber], PeersCritera[[#This Row],[Index]] )</calculatedColumnFormula>
    </tableColumn>
    <tableColumn id="12" xr3:uid="{0DF472A9-7112-425B-B2B0-7FAB9E03CB63}" name="Region with 50%+ of social stock owned" dataDxfId="305">
      <calculatedColumnFormula array="1" xml:space="preserve"> INDEX( tblFilterAll[Region with 50%+ of social stock owned], PeersCritera[[#This Row],[Index]] )</calculatedColumnFormula>
    </tableColumn>
    <tableColumn id="19" xr3:uid="{815C67E3-EB68-4F1C-96D5-58561A911CFC}" name="Meets initial criteria" dataDxfId="304">
      <calculatedColumnFormula array="1" xml:space="preserve"> INDEX( tblFilterAll[Meets initial criteria], PeersCritera[[#This Row],[Index]] )</calculatedColumnFormula>
    </tableColumn>
    <tableColumn id="20" xr3:uid="{8B5B2D76-6938-4895-99AE-F0A22BD285D5}" name="Override initial criteria" dataDxfId="303"/>
    <tableColumn id="21" xr3:uid="{7D544A5B-FF29-4106-AA2A-E463955108D9}" name="Included in final peers" dataDxfId="302">
      <calculatedColumnFormula>IF( PeersCritera[[#This Row],[RP_Name]] = SelectedProvider, 1, IF( PeersCritera[[#This Row],[Override initial criteria]] = "Include", 1, IF( PeersCritera[[#This Row],[Override initial criteria]] = "Exclude", 0, PeersCritera[[#This Row],[Meets initial criteria]] ) ) )</calculatedColumnFormula>
    </tableColumn>
    <tableColumn id="10" xr3:uid="{CC2BA7B2-E6EE-4EDB-B846-FBDD6AD56366}" name="Index" dataDxfId="301">
      <calculatedColumnFormula xml:space="preserve"> MATCH( PeersCritera[[#This Row],[RP_Name]], tblFilterAll[Provider name], 0 )</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D9CB1DE-2843-4F1D-9876-00F6A0A76693}" name="VfM_Metrics_2023_Consol_Source" displayName="VfM_Metrics_2023_Consol_Source" ref="A10:DE208" totalsRowShown="0" headerRowDxfId="300" dataDxfId="298" headerRowBorderDxfId="299" tableBorderDxfId="297" totalsRowBorderDxfId="296">
  <autoFilter ref="A10:DE208" xr:uid="{AD9CB1DE-2843-4F1D-9876-00F6A0A76693}"/>
  <sortState xmlns:xlrd2="http://schemas.microsoft.com/office/spreadsheetml/2017/richdata2" ref="A11:DE208">
    <sortCondition ref="B10:B208"/>
  </sortState>
  <tableColumns count="109">
    <tableColumn id="2" xr3:uid="{EC68483A-7A78-45E6-AE37-8E9878C99408}" name="RP_Code" dataDxfId="295"/>
    <tableColumn id="5" xr3:uid="{689CBF50-9FC2-4161-A791-193F512B3932}" name="RP_Name" dataDxfId="294"/>
    <tableColumn id="153" xr3:uid="{D57E2551-D96E-45CA-9B7E-04A4C7D20B82}" name="FYE" dataDxfId="293"/>
    <tableColumn id="162" xr3:uid="{260C28EE-6E0F-43EE-A459-DD6225511B9A}" name="Reinvestment" dataDxfId="292">
      <calculatedColumnFormula>IFERROR( VfM_Metrics_2023_Consol_Source[[#This Row],[Reinvestment Spend]] / VfM_Metrics_2023_Consol_Source[[#This Row],[Net Book Value of Housing Properties]], "n/a" )</calculatedColumnFormula>
    </tableColumn>
    <tableColumn id="167" xr3:uid="{B9EE835C-A23B-4C64-A9B4-46787F1A63B9}" name="Reinvestment Spend" dataDxfId="291">
      <calculatedColumnFormula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calculatedColumnFormula>
    </tableColumn>
    <tableColumn id="154" xr3:uid="{9E4E3817-F2BB-489F-8B4E-AC253C3D67EF}" name="Development of new properties (Total housing properties)" dataDxfId="290"/>
    <tableColumn id="155" xr3:uid="{39377A8E-FD48-48A0-9D19-E30C7C3F68AD}" name="Newly built properties acquired (Total housing properties)" dataDxfId="289"/>
    <tableColumn id="156" xr3:uid="{54DA770B-5011-41F4-96D7-9411247CEB9C}" name=" Works to Existing (Total housing properties)" dataDxfId="288"/>
    <tableColumn id="157" xr3:uid="{6CF82ED7-325A-49C6-BE29-689551ABF3F5}" name="Capitalised Interest (Total housing properties)" dataDxfId="287"/>
    <tableColumn id="158" xr3:uid="{07CE08A4-4F69-4B6D-AD18-06C35C283E3E}" name="Schemes completed (Total housing properties)" dataDxfId="286"/>
    <tableColumn id="161" xr3:uid="{DAEC362F-CBCB-42E8-A9E2-81C36B56EACE}" name="Net Book Value of Housing Properties" dataDxfId="285">
      <calculatedColumnFormula xml:space="preserve"> SUM( VfM_Metrics_2023_Consol_Source[[#This Row],[Tangible fixed assets: Housing properties at cost (Current period)]],VfM_Metrics_2023_Consol_Source[[#This Row],[Tangible fixed assets Housing properties at valuation (Current period)]] )</calculatedColumnFormula>
    </tableColumn>
    <tableColumn id="159" xr3:uid="{DAF51083-A027-41FA-91DC-574624275F42}" name="Tangible fixed assets: Housing properties at cost (Current period)" dataDxfId="284"/>
    <tableColumn id="160" xr3:uid="{B8320E91-656E-4D45-9CF9-3AF5CC0EB47F}" name="Tangible fixed assets Housing properties at valuation (Current period)" dataDxfId="283"/>
    <tableColumn id="189" xr3:uid="{3B498AA5-721F-4666-A8AF-FAED7D361FD9}" name="New Supply (Social)" dataDxfId="282">
      <calculatedColumnFormula xml:space="preserve"> IFERROR( VfM_Metrics_2023_Consol_Source[[#This Row],[Total social units developed or newly built units acquired in-year]] / VfM_Metrics_2023_Consol_Source[[#This Row],[Social housing units owned (period end)]], "n/a" )</calculatedColumnFormula>
    </tableColumn>
    <tableColumn id="199" xr3:uid="{4CDF5B87-18B2-41D3-B317-1ABA1D3B3B4E}" name="Total social units developed or newly built units acquired in-year" dataDxfId="281">
      <calculatedColumnFormula xml:space="preserve"> SUM( VfM_Metrics_2023_Consol_Source[[#This Row],[Total social units developed or newly built units acquired in-year (owned)]], VfM_Metrics_2023_Consol_Source[[#This Row],[Total social leasehold units developed or newly built units acquired in-year (owned)]] )</calculatedColumnFormula>
    </tableColumn>
    <tableColumn id="168" xr3:uid="{04262816-ABBF-4CE9-B815-CBE05358A1A5}" name="Total social units developed or newly built units acquired in-year (owned)" dataDxfId="280"/>
    <tableColumn id="169" xr3:uid="{6D09EDEA-5B3A-4BDF-B4CD-7F5A1EAEBF0B}" name="Total social leasehold units developed or newly built units acquired in-year (owned)" dataDxfId="279"/>
    <tableColumn id="188" xr3:uid="{75704D12-DC9E-49A7-ABCB-E8C3BC9A43FC}" name="Social housing units owned (period end)" dataDxfId="278">
      <calculatedColumnFormula xml:space="preserve"> SUM( VfM_Metrics_2023_Consol_Source[[#This Row],[Total social housing units owned (Period end)]], VfM_Metrics_2023_Consol_Source[[#This Row],[Total social leasehold units owned (Period end)]] )</calculatedColumnFormula>
    </tableColumn>
    <tableColumn id="170" xr3:uid="{8F3561E2-5C64-4D0F-B1AD-E45B6EA4451A}" name="Total social housing units owned (Period end)" dataDxfId="277"/>
    <tableColumn id="171" xr3:uid="{30900B59-0C3A-43EF-8EB9-9AEA5AA10347}" name="Total social leasehold units owned (Period end)" dataDxfId="276"/>
    <tableColumn id="206" xr3:uid="{D2357653-75D7-40D2-A2CE-E9532DED7E23}" name="New Supply (Non-Social)" dataDxfId="275">
      <calculatedColumnFormula xml:space="preserve"> IFERROR( VfM_Metrics_2023_Consol_Source[[#This Row],[Total non-social housing units developed or newly built units acquired (owned)]] / VfM_Metrics_2023_Consol_Source[[#This Row],[Total social and non-social housing units owned (Period end)]], "n/a" )</calculatedColumnFormula>
    </tableColumn>
    <tableColumn id="212" xr3:uid="{3C546C2A-2052-4FB3-AE37-B43754A55528}" name="Total non-social housing units developed or newly built units acquired (owned)" dataDxfId="274">
      <calculatedColumnFormula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calculatedColumnFormula>
    </tableColumn>
    <tableColumn id="190" xr3:uid="{4D1DC08E-A58A-43D8-80B4-B23518BD3E2A}" name="Total non-social units developed or newly built units acquired in-year (owned)" dataDxfId="273"/>
    <tableColumn id="203" xr3:uid="{999519CB-E172-4788-825C-15169A562CE4}" name="Total non-social leasehold units developed or newly built units acquired in-year (owned)" dataDxfId="272"/>
    <tableColumn id="208" xr3:uid="{B1609136-A71D-4028-A187-9C121941AAE8}" name="New outright sale units developed or acquired (owned)" dataDxfId="271"/>
    <tableColumn id="205" xr3:uid="{166811A3-0DED-40C5-BD46-0E49C6581281}" name="Total social and non-social housing units owned (Period end)" dataDxfId="270">
      <calculatedColumnFormula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calculatedColumnFormula>
    </tableColumn>
    <tableColumn id="209" xr3:uid="{73CB7283-6888-4D0F-ACA9-EA5B6C8CE95E}" name="Total social housing units owned (Period end)2" dataDxfId="269"/>
    <tableColumn id="210" xr3:uid="{23E7D0E1-AF78-4460-B010-738609757A4E}" name="Total social leasehold units owned (Period end)2" dataDxfId="268"/>
    <tableColumn id="211" xr3:uid="{DDC5658C-0319-4C8A-A579-F6087AA18ABD}" name="Total non-social rental housing units owned (Period end)" dataDxfId="267"/>
    <tableColumn id="204" xr3:uid="{18C93902-942D-4313-AE38-A58AAF0D1C3A}" name="Total non-social leasehold units owned (Period end)" dataDxfId="266"/>
    <tableColumn id="200" xr3:uid="{7307F37E-11D0-4380-8909-5A4DCAD6F677}" name="Gearing" dataDxfId="265">
      <calculatedColumnFormula xml:space="preserve"> IFERROR( VfM_Metrics_2023_Consol_Source[[#This Row],[Total Net Debt]] / VfM_Metrics_2023_Consol_Source[[#This Row],[Net Book Value of Housing Properties2]], "n/a" )</calculatedColumnFormula>
    </tableColumn>
    <tableColumn id="220" xr3:uid="{58753715-4E1A-4FB8-9F99-38619BA44023}" name="Total Net Debt" dataDxfId="264">
      <calculatedColumnFormula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calculatedColumnFormula>
    </tableColumn>
    <tableColumn id="213" xr3:uid="{27A23FAC-2E4A-4116-94B1-42049D4B89FA}" name="Short-term loans" dataDxfId="263"/>
    <tableColumn id="214" xr3:uid="{2670AEA2-11E0-4CED-826A-304BA2A351C6}" name="Long-term loans" dataDxfId="262"/>
    <tableColumn id="215" xr3:uid="{4A383D87-D285-4FB1-969C-D31326EC7F87}" name="Cash and cash equivalents " dataDxfId="261"/>
    <tableColumn id="216" xr3:uid="{2DAAEBA3-6C07-4792-BB13-8D109D7CFE49}" name="Amounts owed to group undertakings" dataDxfId="260"/>
    <tableColumn id="217" xr3:uid="{2F79D27A-B9C8-4DAD-959C-F3A6D14AE3A9}" name="Finance lease obligations" dataDxfId="259"/>
    <tableColumn id="207" xr3:uid="{4275A7A9-4029-4D4C-B882-5E085925FCDC}" name="Net Book Value of Housing Properties2" dataDxfId="258">
      <calculatedColumnFormula xml:space="preserve"> SUM( VfM_Metrics_2023_Consol_Source[[#This Row],[Tangible fixed assets: Housing properties at cost (Current period)2]], VfM_Metrics_2023_Consol_Source[[#This Row],[Tangible fixed assets Housing properties at valuation (Current period)2]] )</calculatedColumnFormula>
    </tableColumn>
    <tableColumn id="218" xr3:uid="{3CC8500B-8DC8-4C53-BF72-C68F5D6D8F3E}" name="Tangible fixed assets: Housing properties at cost (Current period)2" dataDxfId="257"/>
    <tableColumn id="219" xr3:uid="{1D46D316-C688-486C-A3E5-0806494FFA0E}" name="Tangible fixed assets Housing properties at valuation (Current period)2" dataDxfId="256"/>
    <tableColumn id="223" xr3:uid="{5F1A098C-D5EC-4310-81F9-3E814EF7DFF1}" name="EBITDA MRI Interest Cover" dataDxfId="255">
      <calculatedColumnFormula xml:space="preserve"> IFERROR( VfM_Metrics_2023_Consol_Source[[#This Row],[EBITDA MRI]] / VfM_Metrics_2023_Consol_Source[[#This Row],[Total interest]], "n/a" )</calculatedColumnFormula>
    </tableColumn>
    <tableColumn id="233" xr3:uid="{FD3A8961-A1A0-43AB-AEA7-69E77B177A60}" name="EBITDA MRI" dataDxfId="254">
      <calculatedColumnFormula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calculatedColumnFormula>
    </tableColumn>
    <tableColumn id="201" xr3:uid="{2026A6DB-4DFE-4A51-94E6-E07DF21658D1}" name="Operating surplus/(deficit) (overall)" dataDxfId="253"/>
    <tableColumn id="225" xr3:uid="{3A1D2262-9969-458E-BA1D-C2E569EA412A}" name="Gain/(loss) on disposal of fixed assets (housing properties)" dataDxfId="252"/>
    <tableColumn id="226" xr3:uid="{35AB8E37-286F-4FCA-8537-BCFD97CA17A3}" name="Gain/(loss) on disposal of fixed assets (other)" dataDxfId="251"/>
    <tableColumn id="227" xr3:uid="{9469F39D-E76A-48EC-B5B6-9AA296B775EC}" name="Amortised government grant" dataDxfId="250"/>
    <tableColumn id="228" xr3:uid="{FB3EAFCC-BA2C-4801-8490-6426D29740AA}" name="Government grants taken to income" dataDxfId="249"/>
    <tableColumn id="229" xr3:uid="{7942649A-5002-4C6E-B8D2-8A56043064F0}" name="Interest receivable" dataDxfId="248"/>
    <tableColumn id="230" xr3:uid="{5220B300-1C03-4870-AAEA-A4182C85EAE5}" name="Capitalised major repairs expenditure for period" dataDxfId="247"/>
    <tableColumn id="232" xr3:uid="{7A40AED8-408C-4993-81B7-3457CCDEDEA5}" name="Total depreciation charge for period" dataDxfId="246"/>
    <tableColumn id="222" xr3:uid="{C666EAEC-7DCF-4B51-B348-C28E31063ED9}" name="Total interest" dataDxfId="245">
      <calculatedColumnFormula xml:space="preserve"> - SUM( VfM_Metrics_2023_Consol_Source[[#This Row],[Interest capitalised]], VfM_Metrics_2023_Consol_Source[[#This Row],[Interest payable and financing costs]] )</calculatedColumnFormula>
    </tableColumn>
    <tableColumn id="231" xr3:uid="{A3BC50B5-1957-4486-9A79-AF278CB3252C}" name="Interest capitalised" dataDxfId="244"/>
    <tableColumn id="221" xr3:uid="{25508DB6-F36A-45F0-85AF-495EE37E2250}" name="Interest payable and financing costs" dataDxfId="243"/>
    <tableColumn id="237" xr3:uid="{26C9D938-7E9E-4E4E-8605-F3B6F1CD4D57}" name="Headline Social Housing Cost per unit" dataDxfId="242">
      <calculatedColumnFormula xml:space="preserve"> IFERROR( ( VfM_Metrics_2023_Consol_Source[[#This Row],[Total Costs]] / VfM_Metrics_2023_Consol_Source[[#This Row],[Total units for costs]] ) * 1000, "n/a" )</calculatedColumnFormula>
    </tableColumn>
    <tableColumn id="248" xr3:uid="{532028A9-8752-4FAB-90C3-356809A7A2F5}" name="Total Costs" dataDxfId="241">
      <calculatedColumnFormula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calculatedColumnFormula>
    </tableColumn>
    <tableColumn id="224" xr3:uid="{BA86D07E-F3B2-4037-9BEE-8D7A7471F6D2}" name="Management costs" dataDxfId="240"/>
    <tableColumn id="238" xr3:uid="{52D1ED6C-DDF5-4221-8B98-DAFEFA12C9FD}" name="Service charge costs" dataDxfId="239"/>
    <tableColumn id="239" xr3:uid="{D0D7029D-F821-4C6C-9C59-1430A7F2D5E4}" name="Routine maintenance costs" dataDxfId="238"/>
    <tableColumn id="243" xr3:uid="{A678BF0C-051D-4B6D-807A-E3E321905A92}" name="Planned maintenance costs" dataDxfId="237"/>
    <tableColumn id="244" xr3:uid="{9F5ECBA8-BEEB-4707-8119-FE0C6BB38C9E}" name="Major repairs expenditure" dataDxfId="236"/>
    <tableColumn id="245" xr3:uid="{A63146A9-C395-4850-A6E2-0EF2E4246CB5}" name="Lease costs" dataDxfId="235"/>
    <tableColumn id="246" xr3:uid="{BFA23ACF-F84A-49A7-9E94-E7D6FF8DCDF0}" name="Capitalised major repairs expenditure for period2" dataDxfId="234"/>
    <tableColumn id="247" xr3:uid="{19DA5054-E21A-4A87-822D-1F5438E60C37}" name="Other (social housing letting) costs" dataDxfId="233"/>
    <tableColumn id="240" xr3:uid="{CDF6B80E-6C31-404F-9CBE-A49EF60B1F0B}" name="Development services" dataDxfId="232"/>
    <tableColumn id="241" xr3:uid="{5661FDB1-8B4F-4EB2-BBE1-9696AECBD206}" name="Community/neighbourhood services" dataDxfId="231"/>
    <tableColumn id="242" xr3:uid="{0591C4F9-1A35-40C3-9680-C761DFC815E1}" name="Other social housing activities: Other" dataDxfId="230"/>
    <tableColumn id="234" xr3:uid="{3C7DE187-2D4F-4CE9-BA24-8E3021650A9F}" name="Other social housing activities: charges for support services" dataDxfId="229"/>
    <tableColumn id="236" xr3:uid="{46F00935-EB6B-4402-9DE6-20D6F0F1789F}" name="Total units for costs" dataDxfId="228">
      <calculatedColumnFormula xml:space="preserve"> VfM_Metrics_2023_Consol_Source[[#This Row],[Total social housing units owned and/or managed at period end]]</calculatedColumnFormula>
    </tableColumn>
    <tableColumn id="235" xr3:uid="{164C170F-29EB-442A-86B3-1AC2EE711DDA}" name="Total social housing units owned and/or managed at period end" dataDxfId="227"/>
    <tableColumn id="252" xr3:uid="{A0838811-8C52-4FBE-8464-CCFF5329A6B8}" name="Operating Margin (SHL)" dataDxfId="226">
      <calculatedColumnFormula xml:space="preserve"> IFERROR( VfM_Metrics_2023_Consol_Source[[#This Row],[SHL operating surplus / (deficit)]] / VfM_Metrics_2023_Consol_Source[[#This Row],[Turnover from social housing lettings]], "n/a" )</calculatedColumnFormula>
    </tableColumn>
    <tableColumn id="253" xr3:uid="{DE5CF034-A87E-4915-9AAF-1982245D11CB}" name="SHL operating surplus / (deficit)" dataDxfId="225">
      <calculatedColumnFormula xml:space="preserve"> VfM_Metrics_2023_Consol_Source[[#This Row],[Operating surplus/(deficit) (social housing lettings)]]</calculatedColumnFormula>
    </tableColumn>
    <tableColumn id="249" xr3:uid="{F222368C-6C7F-48E7-8E52-B58C80C2CEDF}" name="Operating surplus/(deficit) (social housing lettings)" dataDxfId="224"/>
    <tableColumn id="251" xr3:uid="{C4E9E72A-2596-45BC-9936-6DF2EA0E0F6F}" name="SHL turnover" dataDxfId="223">
      <calculatedColumnFormula xml:space="preserve"> VfM_Metrics_2023_Consol_Source[[#This Row],[Turnover from social housing lettings]]</calculatedColumnFormula>
    </tableColumn>
    <tableColumn id="250" xr3:uid="{045C4785-8561-46A3-8FDC-2EF19AFE6C63}" name="Turnover from social housing lettings" dataDxfId="222"/>
    <tableColumn id="256" xr3:uid="{96094FE6-A083-4B72-81F1-97D9843D4D12}" name="Operating Margin (Overall)" dataDxfId="221">
      <calculatedColumnFormula xml:space="preserve"> IFERROR( VfM_Metrics_2023_Consol_Source[[#This Row],[Net operating surplus]] / VfM_Metrics_2023_Consol_Source[[#This Row],[Overall turnover]], "n/a" )</calculatedColumnFormula>
    </tableColumn>
    <tableColumn id="261" xr3:uid="{C006D158-8563-409E-ABA8-38D9B4E7773B}" name="Net operating surplus" dataDxfId="220">
      <calculatedColumnFormula xml:space="preserve"> SUM( VfM_Metrics_2023_Consol_Source[[#This Row],[Operating surplus/(deficit) (overall)2]], - VfM_Metrics_2023_Consol_Source[[#This Row],[Gain/(loss) on disposal of fixed assets (housing properties)2]], - VfM_Metrics_2023_Consol_Source[[#This Row],[Gain/(loss) on disposal of fixed assets (other)2]] )</calculatedColumnFormula>
    </tableColumn>
    <tableColumn id="254" xr3:uid="{0EC76F49-2F6A-46C3-AF69-E3342F93DE7B}" name="Operating surplus/(deficit) (overall)2" dataDxfId="219"/>
    <tableColumn id="258" xr3:uid="{61A276CF-F52B-4822-B00D-1694B71D647B}" name="Gain/(loss) on disposal of fixed assets (housing properties)2" dataDxfId="218"/>
    <tableColumn id="259" xr3:uid="{C395B4FF-1FF6-453C-931D-EAD2554A039F}" name="Gain/(loss) on disposal of fixed assets (other)2" dataDxfId="217"/>
    <tableColumn id="255" xr3:uid="{C2889A06-BA4A-4AF2-83BB-6EF0599FCF8A}" name="Overall turnover" dataDxfId="216">
      <calculatedColumnFormula xml:space="preserve"> VfM_Metrics_2023_Consol_Source[[#This Row],[Turnover (overall)]]</calculatedColumnFormula>
    </tableColumn>
    <tableColumn id="260" xr3:uid="{EDB92006-0C9E-48F4-82EE-2B9885094EE4}" name="Turnover (overall)" dataDxfId="215"/>
    <tableColumn id="266" xr3:uid="{F1EA5AC7-2858-46FB-A8BD-1044C88792EB}" name="ROCE" dataDxfId="214">
      <calculatedColumnFormula xml:space="preserve"> IFERROR( VfM_Metrics_2023_Consol_Source[[#This Row],[Operating surplus including from JVs]] / VfM_Metrics_2023_Consol_Source[[#This Row],[Net assets]], "n/a" )</calculatedColumnFormula>
    </tableColumn>
    <tableColumn id="267" xr3:uid="{FE59BE72-7374-45DB-BBB1-F62B25DFB6BB}" name="Operating surplus including from JVs" dataDxfId="213">
      <calculatedColumnFormula xml:space="preserve"> SUM( VfM_Metrics_2023_Consol_Source[[#This Row],[Operating surplus/(deficit) (overall)3]], VfM_Metrics_2023_Consol_Source[[#This Row],[Share of operating surplus/(deficit) in joint ventures or associates]] )</calculatedColumnFormula>
    </tableColumn>
    <tableColumn id="262" xr3:uid="{F4F5ECA5-41A9-4B10-AFDC-9DA0B547F4B0}" name="Operating surplus/(deficit) (overall)3" dataDxfId="212"/>
    <tableColumn id="263" xr3:uid="{85C634DB-9C94-4608-9C3D-7B079C6B8330}" name="Share of operating surplus/(deficit) in joint ventures or associates" dataDxfId="211"/>
    <tableColumn id="265" xr3:uid="{79386E23-C123-4E20-B01C-EEF41CBAB76E}" name="Net assets" dataDxfId="210">
      <calculatedColumnFormula xml:space="preserve"> VfM_Metrics_2023_Consol_Source[[#This Row],[Total assets less current liabilities]]</calculatedColumnFormula>
    </tableColumn>
    <tableColumn id="264" xr3:uid="{9B1A9768-1455-44FB-A3B2-BD7AAC045BA2}" name="Total assets less current liabilities" dataDxfId="209"/>
    <tableColumn id="257" xr3:uid="{7805B129-3F5A-4A08-8C50-B63E201F90EB}" name="Total social stock owned" dataDxfId="208">
      <calculatedColumnFormula xml:space="preserve"> VfM_Metrics_2023_Consol_Source[[#This Row],[Total social housing units owned (Period end)]]</calculatedColumnFormula>
    </tableColumn>
    <tableColumn id="268" xr3:uid="{150AD8C3-3FFC-4B15-ADC9-2128777F217F}" name="% Supported housing (excl. HOP)" dataDxfId="207"/>
    <tableColumn id="270" xr3:uid="{820AD04E-46D4-49AD-BAD2-6671BC865BDA}" name="SH specialist in RSH analysis" dataDxfId="206">
      <calculatedColumnFormula xml:space="preserve"> -- ( VfM_Metrics_2023_Consol_Source[[#This Row],[% Supported housing (excl. HOP)]] &gt; 0.3 )</calculatedColumnFormula>
    </tableColumn>
    <tableColumn id="269" xr3:uid="{8D6E1654-E88E-4892-8FED-87130425126D}" name="% Housing for older people" dataDxfId="205"/>
    <tableColumn id="271" xr3:uid="{4B918D26-8347-4D24-8781-2867920D8F0B}" name="OP specialist in RSH analysis" dataDxfId="204">
      <calculatedColumnFormula xml:space="preserve"> -- ( VfM_Metrics_2023_Consol_Source[[#This Row],[% Housing for older people]] &gt; 0.3 )</calculatedColumnFormula>
    </tableColumn>
    <tableColumn id="272" xr3:uid="{64C50407-64BE-4618-902D-0FDE3A372278}" name="% SH and OP" dataDxfId="203">
      <calculatedColumnFormula xml:space="preserve"> VfM_Metrics_2023_Consol_Source[[#This Row],[% Supported housing (excl. HOP)]] + VfM_Metrics_2023_Consol_Source[[#This Row],[% Housing for older people]]</calculatedColumnFormula>
    </tableColumn>
    <tableColumn id="276" xr3:uid="{04B1BD4C-A522-478B-B939-EABDD716FA0C}" name="SH or OP specialist in RSH analysis" dataDxfId="202">
      <calculatedColumnFormula xml:space="preserve"> -- ( VfM_Metrics_2023_Consol_Source[[#This Row],[SH specialist in RSH analysis]] + VfM_Metrics_2023_Consol_Source[[#This Row],[OP specialist in RSH analysis]] &gt; 0 )</calculatedColumnFormula>
    </tableColumn>
    <tableColumn id="273" xr3:uid="{042B7DA5-B28A-48AF-9569-DF7562357502}" name="SH or OP specialist in RSH analysis (incl. SH &amp; OP combined)" dataDxfId="201">
      <calculatedColumnFormula xml:space="preserve"> -- ( VfM_Metrics_2023_Consol_Source[[#This Row],[% SH and OP]] &gt; 0.3 )</calculatedColumnFormula>
    </tableColumn>
    <tableColumn id="202" xr3:uid="{BFBA0B5A-7B5F-4062-94BE-80D28360FA25}" name="Provider Type" dataDxfId="200"/>
    <tableColumn id="191" xr3:uid="{BF5F3CEF-2687-49F3-AC70-66B4666BE6A6}" name="Date of largest transfer" dataDxfId="199"/>
    <tableColumn id="165" xr3:uid="{AC1A4AA1-EAE5-4057-B784-45399410535F}" name="LSVT age" dataDxfId="198"/>
    <tableColumn id="274" xr3:uid="{0555D2C8-9505-44FB-8061-332CAAA8C3D2}" name="Region with 50%+ of social stock owned" dataDxfId="197">
      <calculatedColumnFormula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calculatedColumnFormula>
    </tableColumn>
    <tableColumn id="278" xr3:uid="{C68D7BE8-731D-43ED-9EF8-C575242FF7F8}" name="London" dataDxfId="196"/>
    <tableColumn id="281" xr3:uid="{51A7A3E4-8936-4838-B984-6CD6D194AF76}" name="South East" dataDxfId="195"/>
    <tableColumn id="282" xr3:uid="{30E58941-420B-4BA3-A381-002E88454148}" name="South West" dataDxfId="194"/>
    <tableColumn id="285" xr3:uid="{2B625B85-241D-4409-A944-C1B4A1EA8623}" name="East Midlands" dataDxfId="193"/>
    <tableColumn id="283" xr3:uid="{802A841B-00A8-4D48-B88E-DAC73D642F46}" name="West Midlands" dataDxfId="192"/>
    <tableColumn id="286" xr3:uid="{D92360F2-BFAC-4DE9-B35E-1AA074B4DB07}" name="East of England" dataDxfId="191"/>
    <tableColumn id="279" xr3:uid="{6E997500-3220-4E68-B05D-9BE0FCFBF282}" name="North East" dataDxfId="190"/>
    <tableColumn id="280" xr3:uid="{BB810B88-98CB-4A19-B751-D93D79613E88}" name="North West" dataDxfId="189"/>
    <tableColumn id="284" xr3:uid="{8A1C8562-88EF-4672-AF2B-8EEFF35253C3}" name="Yorkshire &amp; the Humber" dataDxfId="188"/>
    <tableColumn id="277" xr3:uid="{1F8255ED-68A4-4B99-8D5E-6B9F105C552B}" name="ASHE regional wage index (England = 1)" dataDxfId="187"/>
  </tableColumns>
  <tableStyleInfo name="PurpleWhit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359A47A-11E4-4172-947E-D4E91DD58301}" name="tblFilterRegion" displayName="tblFilterRegion" ref="B15:AA213" totalsRowShown="0" headerRowDxfId="186" dataDxfId="184" headerRowBorderDxfId="185" tableBorderDxfId="183" totalsRowBorderDxfId="182" headerRowCellStyle="Normal 18 3">
  <autoFilter ref="B15:AA213" xr:uid="{0359A47A-11E4-4172-947E-D4E91DD58301}"/>
  <tableColumns count="26">
    <tableColumn id="1" xr3:uid="{6A454D36-56B6-49F5-9253-424A29770D39}" name="RP_Name" dataDxfId="181"/>
    <tableColumn id="2" xr3:uid="{E6E78BCB-C364-4FBF-8BD8-98186104C3FF}" name="RP_Code" dataDxfId="180">
      <calculatedColumnFormula xml:space="preserve"> INDEX( VfM_Metrics_2023_Consol_Source[RP_Code], MATCH( tblFilterRegion[[#This Row],[RP_Name]], VfM_Metrics_2023_Consol_Source[RP_Name], 0 ) )</calculatedColumnFormula>
    </tableColumn>
    <tableColumn id="12" xr3:uid="{B1DEE08C-C06E-444D-BD5F-CCC64A64475F}" name="Index" dataDxfId="179">
      <calculatedColumnFormula xml:space="preserve"> MATCH( tblFilterRegion[[#This Row],[RP_Code]], VfM_Metrics_2023_Consol_Source[RP_Code], 0 )</calculatedColumnFormula>
    </tableColumn>
    <tableColumn id="3" xr3:uid="{DACBBB08-F13E-4C86-96DC-3757CFB11806}" name="London" dataDxfId="178">
      <calculatedColumnFormula array="1" xml:space="preserve"> INDEX( VfM_Metrics_2023_Consol_Source[], $D16, E$14 )</calculatedColumnFormula>
    </tableColumn>
    <tableColumn id="4" xr3:uid="{B4C5D944-EC1C-41EF-B06D-AEF9A37F21B2}" name="South East" dataDxfId="177">
      <calculatedColumnFormula array="1" xml:space="preserve"> INDEX( VfM_Metrics_2023_Consol_Source[], $D16, F$14 )</calculatedColumnFormula>
    </tableColumn>
    <tableColumn id="5" xr3:uid="{C2135DE6-E054-460F-9F37-E073C6ADFFB4}" name="South West" dataDxfId="176">
      <calculatedColumnFormula array="1" xml:space="preserve"> INDEX( VfM_Metrics_2023_Consol_Source[], $D16, G$14 )</calculatedColumnFormula>
    </tableColumn>
    <tableColumn id="6" xr3:uid="{2386BFF7-3265-48C6-A25A-2C33361BFF9A}" name="East Midlands" dataDxfId="175">
      <calculatedColumnFormula array="1" xml:space="preserve"> INDEX( VfM_Metrics_2023_Consol_Source[], $D16, H$14 )</calculatedColumnFormula>
    </tableColumn>
    <tableColumn id="7" xr3:uid="{ECBA356F-C978-4D1F-870D-F5A1A0E4B5A8}" name="West Midlands" dataDxfId="174">
      <calculatedColumnFormula array="1" xml:space="preserve"> INDEX( VfM_Metrics_2023_Consol_Source[], $D16, I$14 )</calculatedColumnFormula>
    </tableColumn>
    <tableColumn id="8" xr3:uid="{EA47DAB1-337D-46A7-BC09-D58444C2A073}" name="East of England" dataDxfId="173">
      <calculatedColumnFormula array="1" xml:space="preserve"> INDEX( VfM_Metrics_2023_Consol_Source[], $D16, J$14 )</calculatedColumnFormula>
    </tableColumn>
    <tableColumn id="9" xr3:uid="{82F88883-F844-4AF2-81F1-CAE7DA7DDD5E}" name="North East" dataDxfId="172">
      <calculatedColumnFormula array="1" xml:space="preserve"> INDEX( VfM_Metrics_2023_Consol_Source[], $D16, K$14 )</calculatedColumnFormula>
    </tableColumn>
    <tableColumn id="10" xr3:uid="{C881FBCD-8940-40A2-B0F8-B47CA38FBE38}" name="North West" dataDxfId="171">
      <calculatedColumnFormula array="1" xml:space="preserve"> INDEX( VfM_Metrics_2023_Consol_Source[], $D16, L$14 )</calculatedColumnFormula>
    </tableColumn>
    <tableColumn id="11" xr3:uid="{E2714E9C-DFB5-417D-8EB6-3B97CA2D1E38}" name="Yorkshire &amp; the Humber" dataDxfId="170">
      <calculatedColumnFormula array="1" xml:space="preserve"> INDEX( VfM_Metrics_2023_Consol_Source[], $D16, M$14 )</calculatedColumnFormula>
    </tableColumn>
    <tableColumn id="13" xr3:uid="{2D2BBAFE-1FDF-4B4F-843B-5D9236C71A47}" name="Incl for Lon" dataDxfId="169">
      <calculatedColumnFormula xml:space="preserve"> -- AND( tblFilterRegion[[#This Row],[London]] &gt;= $N$10, N$13 = "Yes" )</calculatedColumnFormula>
    </tableColumn>
    <tableColumn id="14" xr3:uid="{F2E42664-DA0F-4FF5-A0B1-25CE2114D28F}" name="Incl for SE" dataDxfId="168">
      <calculatedColumnFormula xml:space="preserve"> -- AND( tblFilterRegion[[#This Row],[South East]] &gt;= $N$10, O$13 = "Yes" )</calculatedColumnFormula>
    </tableColumn>
    <tableColumn id="15" xr3:uid="{10065964-4E49-4D8E-959C-52608E01BA29}" name="Incl for SW" dataDxfId="167">
      <calculatedColumnFormula xml:space="preserve"> -- AND( tblFilterRegion[[#This Row],[South West]] &gt;= $N$10, P$13 = "Yes" )</calculatedColumnFormula>
    </tableColumn>
    <tableColumn id="16" xr3:uid="{71A593DF-F0D7-48FC-8037-61D346D103A4}" name="Incl for EM" dataDxfId="166">
      <calculatedColumnFormula xml:space="preserve"> -- AND( tblFilterRegion[[#This Row],[East Midlands]] &gt;= $N$10, Q$13 = "Yes" )</calculatedColumnFormula>
    </tableColumn>
    <tableColumn id="17" xr3:uid="{03E5B918-53A9-4714-B1DE-F0A883EB9208}" name="Incl for WM" dataDxfId="165">
      <calculatedColumnFormula xml:space="preserve"> -- AND( tblFilterRegion[[#This Row],[West Midlands]] &gt;= $N$10, R$13 = "Yes" )</calculatedColumnFormula>
    </tableColumn>
    <tableColumn id="18" xr3:uid="{5A4E8D78-1392-4AFB-AB92-3336803C6F58}" name="Incl for EE" dataDxfId="164">
      <calculatedColumnFormula xml:space="preserve"> -- AND( tblFilterRegion[[#This Row],[East of England]] &gt;= $N$10, S$13 = "Yes" )</calculatedColumnFormula>
    </tableColumn>
    <tableColumn id="19" xr3:uid="{BCCA3D2F-9D72-47E4-9C6A-7CE5EBEFFD80}" name="Incl for NE" dataDxfId="163">
      <calculatedColumnFormula xml:space="preserve"> -- AND( tblFilterRegion[[#This Row],[North East]] &gt;= $N$10, T$13 = "Yes" )</calculatedColumnFormula>
    </tableColumn>
    <tableColumn id="20" xr3:uid="{DC5D2F56-FC47-4F38-8719-F1E2AB6DCA25}" name="Incl for NW" dataDxfId="162">
      <calculatedColumnFormula xml:space="preserve"> -- AND( tblFilterRegion[[#This Row],[North West]] &gt;= $N$10, U$13 = "Yes" )</calculatedColumnFormula>
    </tableColumn>
    <tableColumn id="21" xr3:uid="{38F4E3EA-1923-4551-BECF-7A065D1CCD0F}" name="Incl for YH" dataDxfId="161">
      <calculatedColumnFormula xml:space="preserve"> -- AND( tblFilterRegion[[#This Row],[Yorkshire &amp; the Humber]] &gt;= $N$10, V$13 = "Yes" )</calculatedColumnFormula>
    </tableColumn>
    <tableColumn id="23" xr3:uid="{D3160360-AEFB-4FDB-8898-18EC585BB326}" name="Total in selected regions" dataDxfId="160">
      <calculatedColumnFormula xml:space="preserve"> SUMIF( $E$13:$M$13, "Yes", tblFilterRegion[[#This Row],[London]:[Yorkshire &amp; the Humber]] )</calculatedColumnFormula>
    </tableColumn>
    <tableColumn id="26" xr3:uid="{A212DB0B-8C85-4707-B09A-55A7F3A2007A}" name="Include for region - any" dataDxfId="159">
      <calculatedColumnFormula xml:space="preserve"> -- ( SUM( tblFilterRegion[[#This Row],[Incl for Lon]:[Incl for YH]] ) &gt; 0 )</calculatedColumnFormula>
    </tableColumn>
    <tableColumn id="25" xr3:uid="{31C883E3-C842-4B5F-A2DD-645FBD1A732E}" name="Include for region - total" dataDxfId="158">
      <calculatedColumnFormula xml:space="preserve"> -- ( tblFilterRegion[[#This Row],[Total in selected regions]] &gt; $N$10 )</calculatedColumnFormula>
    </tableColumn>
    <tableColumn id="24" xr3:uid="{230E49BC-504A-440C-AEA1-5EC46F98A1F2}" name="Include for region" dataDxfId="157">
      <calculatedColumnFormula xml:space="preserve"> IF( RegionMinimum = 0, 1, IF( $R$10 = $U$8, tblFilterRegion[[#This Row],[Include for region - any]], IF( $R$10 = $U$10, tblFilterRegion[[#This Row],[Include for region - total]], "CHECK" ) ) )</calculatedColumnFormula>
    </tableColumn>
    <tableColumn id="22" xr3:uid="{C63C9DEF-4BFF-4ADB-AD91-F4ECD8AAA26C}" name="Region with 50%+ of social stock owned" dataDxfId="156">
      <calculatedColumnFormula array="1" xml:space="preserve"> INDEX( VfM_Metrics_2023_Consol_Source[], $D16, AA$14 )</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997E2ED-A80A-473A-BBC5-C6BA9C6790FD}" name="tblFilterPropType" displayName="tblFilterPropType" ref="B219:K417" totalsRowShown="0" headerRowDxfId="155" dataDxfId="153" headerRowBorderDxfId="154" tableBorderDxfId="152" totalsRowBorderDxfId="151">
  <autoFilter ref="B219:K417" xr:uid="{9997E2ED-A80A-473A-BBC5-C6BA9C6790FD}"/>
  <tableColumns count="10">
    <tableColumn id="1" xr3:uid="{A0FAB55F-B982-4A43-983C-E4378577D31D}" name="RP_Name" dataDxfId="150">
      <calculatedColumnFormula xml:space="preserve"> B16</calculatedColumnFormula>
    </tableColumn>
    <tableColumn id="2" xr3:uid="{0E0ACEEF-33F5-451B-9750-5A39FE8D942A}" name="RP_Code" dataDxfId="149">
      <calculatedColumnFormula xml:space="preserve"> C16</calculatedColumnFormula>
    </tableColumn>
    <tableColumn id="4" xr3:uid="{F02295C9-2A00-4934-BF96-92CD6E2203F5}" name="Index" dataDxfId="148">
      <calculatedColumnFormula xml:space="preserve"> D16</calculatedColumnFormula>
    </tableColumn>
    <tableColumn id="3" xr3:uid="{229BD566-A7B2-4418-9BB9-66183E03BDFA}" name="% Supported housing (excl. HOP)" dataDxfId="147">
      <calculatedColumnFormula array="1" xml:space="preserve"> INDEX( VfM_Metrics_2023_Consol_Source[], $D220, E$218 )</calculatedColumnFormula>
    </tableColumn>
    <tableColumn id="5" xr3:uid="{EC888149-5F07-4792-A71A-33138185D82F}" name="% Housing for older people" dataDxfId="146">
      <calculatedColumnFormula array="1" xml:space="preserve"> INDEX( VfM_Metrics_2023_Consol_Source[], $D220, F$218 )</calculatedColumnFormula>
    </tableColumn>
    <tableColumn id="7" xr3:uid="{A053C977-9006-43E1-BD13-31FB02644C13}" name="% Supported &amp; older people" dataDxfId="145">
      <calculatedColumnFormula xml:space="preserve"> tblFilterPropType[[#This Row],[% Supported housing (excl. HOP)]] + tblFilterPropType[[#This Row],[% Housing for older people]]</calculatedColumnFormula>
    </tableColumn>
    <tableColumn id="12" xr3:uid="{DE8E0569-1654-40B7-A8AD-714F93021C35}" name="% General Needs" dataDxfId="144">
      <calculatedColumnFormula xml:space="preserve"> 1 -tblFilterPropType[[#This Row],[% Supported &amp; older people]]</calculatedColumnFormula>
    </tableColumn>
    <tableColumn id="6" xr3:uid="{6D879BBE-F8C7-4F05-A376-F8F6508EF26E}" name="Selected Prop Type %" dataDxfId="143">
      <calculatedColumnFormula xml:space="preserve"> INDEX( B220:H220, MATCH( "% " &amp; $H$216, tblFilterPropType[#Headers], 0 ) )</calculatedColumnFormula>
    </tableColumn>
    <tableColumn id="8" xr3:uid="{4F94029E-DD9D-43BA-89C3-676D86EFB04C}" name="Cut-off" dataDxfId="142">
      <calculatedColumnFormula xml:space="preserve"> PropTypePercent</calculatedColumnFormula>
    </tableColumn>
    <tableColumn id="13" xr3:uid="{FC5D63DA-56B9-464B-A64D-1C7195BFACE0}" name="Incl for prop type" dataDxfId="141">
      <calculatedColumnFormula xml:space="preserve"> IF( PropTypeOnOff = "Yes - pick", -- IF( $H$217 = "Minimum", tblFilterPropType[[#This Row],[Selected Prop Type %]] &gt;= tblFilterPropType[[#This Row],[Cut-off]], tblFilterPropType[[#This Row],[Selected Prop Type %]] &lt;= tblFilterPropType[[#This Row],[Cut-off]] ), 1 )</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BFEC28D-3802-4ED8-A6AA-C700C779DDD2}" name="tblFilterSize" displayName="tblFilterSize" ref="B421:F619" totalsRowShown="0" headerRowDxfId="140" dataDxfId="138" headerRowBorderDxfId="139" tableBorderDxfId="137">
  <autoFilter ref="B421:F619" xr:uid="{CBFEC28D-3802-4ED8-A6AA-C700C779DDD2}"/>
  <sortState xmlns:xlrd2="http://schemas.microsoft.com/office/spreadsheetml/2017/richdata2" ref="B422:E619">
    <sortCondition ref="B421:B619"/>
  </sortState>
  <tableColumns count="5">
    <tableColumn id="1" xr3:uid="{AAFEDA38-1909-4A0B-8FD3-48F9F7B37D85}" name="RP_Name" dataDxfId="136">
      <calculatedColumnFormula xml:space="preserve"> B220</calculatedColumnFormula>
    </tableColumn>
    <tableColumn id="2" xr3:uid="{010AA1BA-5132-408F-AC16-E01A6FE4CADE}" name="RP_Code" dataDxfId="135">
      <calculatedColumnFormula xml:space="preserve"> C220</calculatedColumnFormula>
    </tableColumn>
    <tableColumn id="5" xr3:uid="{966187FC-57EC-4E33-9156-E3A4BBE68C4A}" name="Index" dataDxfId="134">
      <calculatedColumnFormula xml:space="preserve"> D220</calculatedColumnFormula>
    </tableColumn>
    <tableColumn id="3" xr3:uid="{1DED1804-2E16-4910-9C04-75E0069EABAE}" name="Total social stock owned" dataDxfId="133">
      <calculatedColumnFormula array="1" xml:space="preserve"> INDEX( VfM_Metrics_2023_Consol_Source[], $D422, E$420 )</calculatedColumnFormula>
    </tableColumn>
    <tableColumn id="4" xr3:uid="{042D1A84-8495-48E4-92F2-9264AE9AD7D2}" name="Incl for size" dataDxfId="132">
      <calculatedColumnFormula xml:space="preserve"> -- OR( SizeOnOff = "All", AND( tblFilterSize[[#This Row],[Total social stock owned]] &gt;= $I$420, tblFilterSize[[#This Row],[Total social stock owned]] &lt;= $K$420 ) )</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F432AF-6C90-405F-BCC7-8E01ED5BEAF5}" name="tblFilterRP_Type" displayName="tblFilterRP_Type" ref="B623:J821" totalsRowShown="0" headerRowDxfId="131" dataDxfId="129" headerRowBorderDxfId="130" tableBorderDxfId="128" totalsRowBorderDxfId="127">
  <autoFilter ref="B623:J821" xr:uid="{D8F432AF-6C90-405F-BCC7-8E01ED5BEAF5}"/>
  <tableColumns count="9">
    <tableColumn id="1" xr3:uid="{35FA252A-6C85-4983-AD57-660C3BAB7F15}" name="RP_Name" dataDxfId="126">
      <calculatedColumnFormula xml:space="preserve"> B422</calculatedColumnFormula>
    </tableColumn>
    <tableColumn id="2" xr3:uid="{E6524746-B19F-4F88-9338-484365116B64}" name="RP_Code" dataDxfId="125">
      <calculatedColumnFormula xml:space="preserve"> C422</calculatedColumnFormula>
    </tableColumn>
    <tableColumn id="10" xr3:uid="{D290A215-6C27-48C1-83F7-F07EB00FD955}" name="Index" dataDxfId="124">
      <calculatedColumnFormula xml:space="preserve"> D422</calculatedColumnFormula>
    </tableColumn>
    <tableColumn id="3" xr3:uid="{0FAFAA2E-AED4-4395-88B7-669C224E2670}" name="Provider Type" dataDxfId="123">
      <calculatedColumnFormula array="1" xml:space="preserve"> INDEX( VfM_Metrics_2023_Consol_Source[], $D624, E$622 )</calculatedColumnFormula>
    </tableColumn>
    <tableColumn id="6" xr3:uid="{C848BBEE-1844-4798-A5E7-E555D0CFD85D}" name="Incl. for traditional" dataDxfId="122">
      <calculatedColumnFormula xml:space="preserve"> -- AND( tblFilterRP_Type[[#This Row],[Provider Type]] = "Traditional", RP_TypeTrad = "Yes" )</calculatedColumnFormula>
    </tableColumn>
    <tableColumn id="7" xr3:uid="{47C6666E-3076-48B8-AA30-005E881177B2}" name="Incl. for LSVT" dataDxfId="121">
      <calculatedColumnFormula xml:space="preserve"> -- AND( tblFilterRP_Type[[#This Row],[Provider Type]] = "LSVT", RP_TypeLSVT = "Yes" )</calculatedColumnFormula>
    </tableColumn>
    <tableColumn id="9" xr3:uid="{E1F0278B-26DA-4C9D-AE8F-B5BCE3403E56}" name="Incl, for RP Type" dataDxfId="120">
      <calculatedColumnFormula xml:space="preserve"> SUM( tblFilterRP_Type[[#This Row],[Incl. for traditional]], tblFilterRP_Type[[#This Row],[Incl. for LSVT]] )</calculatedColumnFormula>
    </tableColumn>
    <tableColumn id="4" xr3:uid="{576FBFAA-89B6-45DA-A6A4-2863FE0B78E2}" name="Date of largest transfer" dataDxfId="119">
      <calculatedColumnFormula array="1" xml:space="preserve"> INDEX( VfM_Metrics_2023_Consol_Source[], $D624, I$622 )</calculatedColumnFormula>
    </tableColumn>
    <tableColumn id="5" xr3:uid="{B8AFC5F0-14FC-451B-A65E-C8E45C10F4E4}" name="LSVT age" dataDxfId="118">
      <calculatedColumnFormula array="1" xml:space="preserve"> INDEX( VfM_Metrics_2023_Consol_Source[], $D624, J$622 )</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CB5C160-AF69-42A6-B7D8-407D9A9A7011}" name="tblFilterAll" displayName="tblFilterAll" ref="B833:BC1031" totalsRowShown="0" headerRowDxfId="117" dataDxfId="115" headerRowBorderDxfId="116" tableBorderDxfId="114" totalsRowBorderDxfId="113">
  <autoFilter ref="B833:BC1031" xr:uid="{8CB5C160-AF69-42A6-B7D8-407D9A9A7011}"/>
  <sortState xmlns:xlrd2="http://schemas.microsoft.com/office/spreadsheetml/2017/richdata2" ref="B834:AR1031">
    <sortCondition ref="B833:B1031"/>
  </sortState>
  <tableColumns count="54">
    <tableColumn id="1" xr3:uid="{52C09ED2-8D17-41A1-8D47-C434F40A1554}" name="Provider name" dataDxfId="112">
      <calculatedColumnFormula xml:space="preserve"> B624</calculatedColumnFormula>
    </tableColumn>
    <tableColumn id="2" xr3:uid="{EDCF5646-77CF-46AA-894D-E0DFDCD0047F}" name="Code" dataDxfId="111">
      <calculatedColumnFormula xml:space="preserve"> C624</calculatedColumnFormula>
    </tableColumn>
    <tableColumn id="3" xr3:uid="{F86E980B-2980-440A-81DA-05AFEE527627}" name="Reinvestment" dataDxfId="110">
      <calculatedColumnFormula array="1" xml:space="preserve"> INDEX( VfM_Metrics_2023_Consol_Source[], $AK834, D$832 )</calculatedColumnFormula>
    </tableColumn>
    <tableColumn id="26" xr3:uid="{E3CEEDA5-FCFA-4EE0-83B8-04B1198229A4}" name="Reinvestment quartile" dataDxfId="109">
      <calculatedColumnFormula xml:space="preserve"> IF( tblFilterAll[[#This Row],[Reinvestment]] &lt; D$825, 4, IF( tblFilterAll[[#This Row],[Reinvestment]] &lt; D$826, 3, IF( tblFilterAll[[#This Row],[Reinvestment]] &lt; D$827, 2, 1 ) ) )</calculatedColumnFormula>
    </tableColumn>
    <tableColumn id="25" xr3:uid="{2DB5DDAF-2B14-461B-AA47-F50286C656CE}" name="Reinvestment rank" dataDxfId="108">
      <calculatedColumnFormula xml:space="preserve"> COUNTIFS( tblFilterAll[Include in output], 1, tblFilterAll[Reinvestment], "&gt;" &amp; tblFilterAll[[#This Row],[Reinvestment]] ) + 1</calculatedColumnFormula>
    </tableColumn>
    <tableColumn id="4" xr3:uid="{C8812870-810D-4D1E-9A93-50AC357984C7}" name="New Supply (Social)" dataDxfId="107">
      <calculatedColumnFormula array="1" xml:space="preserve"> INDEX( VfM_Metrics_2023_Consol_Source[], $AK834, G$832 )</calculatedColumnFormula>
    </tableColumn>
    <tableColumn id="28" xr3:uid="{30C3F4AA-44C2-4EBB-B5F4-03866AB6312C}" name="New Supply (Social) quartile" dataDxfId="106">
      <calculatedColumnFormula xml:space="preserve"> IF( tblFilterAll[[#This Row],[New Supply (Social)]] &lt; G$825, 4, IF( tblFilterAll[[#This Row],[New Supply (Social)]] &lt; G$826, 3, IF( tblFilterAll[[#This Row],[New Supply (Social)]] &lt; G$827, 2, 1 ) ) )</calculatedColumnFormula>
    </tableColumn>
    <tableColumn id="27" xr3:uid="{B57B6A86-18DC-4742-8CE6-8A0242DA3AB2}" name="New Supply (Social) rank" dataDxfId="105">
      <calculatedColumnFormula xml:space="preserve"> COUNTIFS( tblFilterAll[Include in output], 1, tblFilterAll[New Supply (Social)], "&gt;" &amp; tblFilterAll[[#This Row],[New Supply (Social)]] ) + 1</calculatedColumnFormula>
    </tableColumn>
    <tableColumn id="5" xr3:uid="{E7D1612D-B37C-41E0-A1CB-CC467C78EC85}" name="New Supply (Non-Social)" dataDxfId="104">
      <calculatedColumnFormula array="1" xml:space="preserve"> INDEX( VfM_Metrics_2023_Consol_Source[], $AK834, J$832 )</calculatedColumnFormula>
    </tableColumn>
    <tableColumn id="30" xr3:uid="{FCA5A3BA-DEB7-40F9-836B-9821596914A1}" name="New Supply (Non-Social) quartile" dataDxfId="103">
      <calculatedColumnFormula xml:space="preserve"> IF( tblFilterAll[[#This Row],[New Supply (Non-Social)]] &lt; J$825, 4, IF( tblFilterAll[[#This Row],[New Supply (Non-Social)]] &lt; J$826, 3, IF( tblFilterAll[[#This Row],[New Supply (Non-Social)]] &lt; J$827, 2, 1 ) ) )</calculatedColumnFormula>
    </tableColumn>
    <tableColumn id="29" xr3:uid="{8F45C44E-7D75-48FB-A656-3204A85DC4CE}" name="New Supply (Non-Social) rank" dataDxfId="102">
      <calculatedColumnFormula xml:space="preserve"> COUNTIFS( tblFilterAll[Include in output], 1, tblFilterAll[New Supply (Non-Social)], "&gt;" &amp; tblFilterAll[[#This Row],[New Supply (Non-Social)]] ) + 1</calculatedColumnFormula>
    </tableColumn>
    <tableColumn id="6" xr3:uid="{79284C06-B923-4DB4-A638-115521BA5578}" name="Gearing" dataDxfId="101">
      <calculatedColumnFormula array="1" xml:space="preserve"> INDEX( VfM_Metrics_2023_Consol_Source[], $AK834, M$832 )</calculatedColumnFormula>
    </tableColumn>
    <tableColumn id="32" xr3:uid="{06B5340A-119E-4CB2-A5E9-5D65215EEAE7}" name="Gearing quartile" dataDxfId="100">
      <calculatedColumnFormula xml:space="preserve"> IF( tblFilterAll[[#This Row],[Gearing]] &lt; M$825, 4, IF( tblFilterAll[[#This Row],[Gearing]] &lt; M$826, 3, IF( tblFilterAll[[#This Row],[Gearing]] &lt; M$827, 2, 1 ) ) )</calculatedColumnFormula>
    </tableColumn>
    <tableColumn id="31" xr3:uid="{B70F8D5C-2467-4EC1-A5F5-3EA45D6FC167}" name="Gearing rank" dataDxfId="99">
      <calculatedColumnFormula xml:space="preserve"> COUNTIFS( tblFilterAll[Include in output], 1, tblFilterAll[Gearing], "&gt;" &amp; tblFilterAll[[#This Row],[Gearing]] ) + 1</calculatedColumnFormula>
    </tableColumn>
    <tableColumn id="7" xr3:uid="{A63A120D-6D94-4082-BFC5-BD85FAFF25C8}" name="EBITDA MRI Interest Cover" dataDxfId="98">
      <calculatedColumnFormula array="1" xml:space="preserve"> INDEX( VfM_Metrics_2023_Consol_Source[], $AK834, P$832 )</calculatedColumnFormula>
    </tableColumn>
    <tableColumn id="34" xr3:uid="{6D7950E7-FADE-42A3-B88B-1BFB803FE7CA}" name="EBITDA MRI Interest Cover quartile" dataDxfId="97">
      <calculatedColumnFormula xml:space="preserve"> IF( tblFilterAll[[#This Row],[EBITDA MRI Interest Cover]] &lt; P$825, 4, IF( tblFilterAll[[#This Row],[EBITDA MRI Interest Cover]] &lt; P$826, 3, IF( tblFilterAll[[#This Row],[EBITDA MRI Interest Cover]] &lt; P$827, 2, 1 ) ) )</calculatedColumnFormula>
    </tableColumn>
    <tableColumn id="33" xr3:uid="{73565BC1-CBE2-40FA-B218-1CA6831FAFC3}" name="EBITDA MRI Interest Cover rank" dataDxfId="96">
      <calculatedColumnFormula xml:space="preserve"> COUNTIFS( tblFilterAll[Include in output], 1, tblFilterAll[EBITDA MRI Interest Cover], "&gt;" &amp; tblFilterAll[[#This Row],[EBITDA MRI Interest Cover]] ) + 1</calculatedColumnFormula>
    </tableColumn>
    <tableColumn id="8" xr3:uid="{F482CB1A-9901-4D1C-B1C6-81B0F76A5780}" name="Headline Social Housing Cost per unit" dataDxfId="95">
      <calculatedColumnFormula array="1" xml:space="preserve"> INDEX( VfM_Metrics_2023_Consol_Source[], $AK834, S$832 )</calculatedColumnFormula>
    </tableColumn>
    <tableColumn id="36" xr3:uid="{F47AB5CE-D105-4A24-AE6C-D04635463267}" name="Headline Social Housing Cost per unit quartile" dataDxfId="94">
      <calculatedColumnFormula xml:space="preserve"> IF( tblFilterAll[[#This Row],[Headline Social Housing Cost per unit]] &lt; S$825, 4, IF( tblFilterAll[[#This Row],[Headline Social Housing Cost per unit]] &lt; S$826, 3, IF( tblFilterAll[[#This Row],[Headline Social Housing Cost per unit]] &lt; S$827, 2, 1 ) ) )</calculatedColumnFormula>
    </tableColumn>
    <tableColumn id="35" xr3:uid="{2B3451B9-1B1B-4E7C-8F24-F4C4DAABF7E3}" name="Headline Social Housing Cost per unit rank" dataDxfId="93">
      <calculatedColumnFormula xml:space="preserve"> COUNTIFS( tblFilterAll[Include in output], 1, tblFilterAll[Headline Social Housing Cost per unit], "&gt;" &amp; tblFilterAll[[#This Row],[Headline Social Housing Cost per unit]] ) + 1</calculatedColumnFormula>
    </tableColumn>
    <tableColumn id="9" xr3:uid="{8430E126-5299-447A-8D60-4B0E25B9B1A7}" name="Operating Margin (SHL)" dataDxfId="92">
      <calculatedColumnFormula array="1" xml:space="preserve"> INDEX( VfM_Metrics_2023_Consol_Source[], $AK834, V$832 )</calculatedColumnFormula>
    </tableColumn>
    <tableColumn id="38" xr3:uid="{0C956A72-5D6D-4DFA-A88D-55C3E0BFFC89}" name="Operating Margin (SHL) quartile" dataDxfId="91">
      <calculatedColumnFormula xml:space="preserve"> IF( tblFilterAll[[#This Row],[Operating Margin (SHL)]] &lt; V$825, 4, IF( tblFilterAll[[#This Row],[Operating Margin (SHL)]] &lt; V$826, 3, IF( tblFilterAll[[#This Row],[Operating Margin (SHL)]] &lt; V$827, 2, 1 ) ) )</calculatedColumnFormula>
    </tableColumn>
    <tableColumn id="37" xr3:uid="{B19F10A1-C952-426E-BDD2-84A1F0314DED}" name="Operating Margin (SHL) rank" dataDxfId="90">
      <calculatedColumnFormula xml:space="preserve"> COUNTIFS( tblFilterAll[Include in output], 1, tblFilterAll[Operating Margin (SHL)], "&gt;" &amp; tblFilterAll[[#This Row],[Operating Margin (SHL)]] ) + 1</calculatedColumnFormula>
    </tableColumn>
    <tableColumn id="10" xr3:uid="{E23F3386-93E7-40D6-9857-80881E44341D}" name="Operating Margin (Overall)" dataDxfId="89">
      <calculatedColumnFormula array="1" xml:space="preserve"> INDEX( VfM_Metrics_2023_Consol_Source[], $AK834, Y$832 )</calculatedColumnFormula>
    </tableColumn>
    <tableColumn id="40" xr3:uid="{453A4042-328E-49DA-AB87-59EB91AF293C}" name="Operating Margin (Overall) quartile" dataDxfId="88">
      <calculatedColumnFormula xml:space="preserve"> IF( tblFilterAll[[#This Row],[Operating Margin (Overall)]] &lt; Y$825, 4, IF( tblFilterAll[[#This Row],[Operating Margin (Overall)]] &lt; Y$826, 3, IF( tblFilterAll[[#This Row],[Operating Margin (Overall)]] &lt; Y$827, 2, 1 ) ) )</calculatedColumnFormula>
    </tableColumn>
    <tableColumn id="39" xr3:uid="{3C5950B2-876C-4727-A622-510508190507}" name="Operating Margin (Overall) rank" dataDxfId="87">
      <calculatedColumnFormula xml:space="preserve"> COUNTIFS( tblFilterAll[Include in output], 1, tblFilterAll[Operating Margin (Overall)], "&gt;" &amp; tblFilterAll[[#This Row],[Operating Margin (Overall)]] ) + 1</calculatedColumnFormula>
    </tableColumn>
    <tableColumn id="11" xr3:uid="{19D07460-D2B2-476F-994E-2D0076FEDB7F}" name="ROCE" dataDxfId="86">
      <calculatedColumnFormula array="1" xml:space="preserve"> INDEX( VfM_Metrics_2023_Consol_Source[], $AK834, AB$832 )</calculatedColumnFormula>
    </tableColumn>
    <tableColumn id="42" xr3:uid="{45CCDCB3-31F5-4AF4-9B27-4FB294A8800E}" name="ROCE quartile" dataDxfId="85">
      <calculatedColumnFormula xml:space="preserve"> IF( tblFilterAll[[#This Row],[ROCE]] &lt; AB$825, 4, IF( tblFilterAll[[#This Row],[ROCE]] &lt; AB$826, 3, IF( tblFilterAll[[#This Row],[ROCE]] &lt; AB$827, 2, 1 ) ) )</calculatedColumnFormula>
    </tableColumn>
    <tableColumn id="41" xr3:uid="{59CA95F4-F973-4A11-A6B2-947ECA4C104D}" name="ROCE rank" dataDxfId="84">
      <calculatedColumnFormula xml:space="preserve"> COUNTIFS( tblFilterAll[Include in output], 1, tblFilterAll[ROCE], "&gt;" &amp; tblFilterAll[[#This Row],[ROCE]] ) + 1</calculatedColumnFormula>
    </tableColumn>
    <tableColumn id="12" xr3:uid="{F130BF91-148D-4F9C-8F97-9BEA026BAE34}" name="Total social stock owned" dataDxfId="83">
      <calculatedColumnFormula array="1" xml:space="preserve"> INDEX( VfM_Metrics_2023_Consol_Source[], $AK834, AE$832 )</calculatedColumnFormula>
    </tableColumn>
    <tableColumn id="13" xr3:uid="{0104A724-03AD-4936-87CE-5968114DE9E2}" name="% Supported housing (excl. HOP)" dataDxfId="82">
      <calculatedColumnFormula array="1" xml:space="preserve"> INDEX( VfM_Metrics_2023_Consol_Source[], $AK834, AF$832 )</calculatedColumnFormula>
    </tableColumn>
    <tableColumn id="14" xr3:uid="{BD1B7B29-FEA5-4DD7-BD0A-21935BD849E8}" name="% Housing for older people" dataDxfId="81">
      <calculatedColumnFormula array="1" xml:space="preserve"> INDEX( VfM_Metrics_2023_Consol_Source[], $AK834, AG$832 )</calculatedColumnFormula>
    </tableColumn>
    <tableColumn id="15" xr3:uid="{86995AD5-683A-40CB-9D64-20A9F0459B71}" name="% SH and OP" dataDxfId="80">
      <calculatedColumnFormula array="1" xml:space="preserve"> INDEX( VfM_Metrics_2023_Consol_Source[], $AK834, AH$832 )</calculatedColumnFormula>
    </tableColumn>
    <tableColumn id="43" xr3:uid="{AC2E9148-416D-4E78-8427-83DF3EDE8D91}" name="Provider Type" dataDxfId="79">
      <calculatedColumnFormula array="1" xml:space="preserve"> INDEX( VfM_Metrics_2023_Consol_Source[], $AK834, AI$832 )</calculatedColumnFormula>
    </tableColumn>
    <tableColumn id="18" xr3:uid="{808A0136-4F70-4AA4-9369-B1CB5F474B23}" name="Region with 50%+ of social stock owned" dataDxfId="78">
      <calculatedColumnFormula array="1" xml:space="preserve"> INDEX( VfM_Metrics_2023_Consol_Source[], $AK834, AJ$832 )</calculatedColumnFormula>
    </tableColumn>
    <tableColumn id="23" xr3:uid="{50AB453C-0AE2-4122-BCE6-70EA729EC499}" name="Index" dataDxfId="77">
      <calculatedColumnFormula xml:space="preserve"> MATCH( tblFilterAll[[#This Row],[Code]], VfM_Metrics_2023_Consol_Source[RP_Code], 0 )</calculatedColumnFormula>
    </tableColumn>
    <tableColumn id="19" xr3:uid="{9C9E9961-CB5A-46EB-84A6-115125C5E4A8}" name="Filter Region" dataDxfId="76">
      <calculatedColumnFormula xml:space="preserve"> INDEX( tblFilterRegion[Include for region],  MATCH( tblFilterAll[[#This Row],[Code]], tblFilterRegion[RP_Code], 0 ) )</calculatedColumnFormula>
    </tableColumn>
    <tableColumn id="20" xr3:uid="{DBDA575A-0B61-4DE2-952F-C1BDCB853FCE}" name="Filter Prop Type" dataDxfId="75">
      <calculatedColumnFormula xml:space="preserve"> INDEX( tblFilterPropType[Incl for prop type],  MATCH( tblFilterAll[[#This Row],[Code]], tblFilterPropType[RP_Code], 0 ) )</calculatedColumnFormula>
    </tableColumn>
    <tableColumn id="21" xr3:uid="{07D5A2B6-EAD3-420E-9E57-639C30C9083F}" name="Filter Size" dataDxfId="74">
      <calculatedColumnFormula xml:space="preserve"> INDEX( tblFilterSize[Incl for size],  MATCH( tblFilterAll[[#This Row],[Code]], tblFilterSize[RP_Code], 0 ) )</calculatedColumnFormula>
    </tableColumn>
    <tableColumn id="22" xr3:uid="{176F3F66-33C5-428A-9FFD-219FD73F11EE}" name="Filter RP Type" dataDxfId="73">
      <calculatedColumnFormula xml:space="preserve"> INDEX( tblFilterRP_Type[Incl, for RP Type],  MATCH( tblFilterAll[[#This Row],[Code]], tblFilterRP_Type[RP_Code], 0 ) )</calculatedColumnFormula>
    </tableColumn>
    <tableColumn id="45" xr3:uid="{34146D91-4B04-4D9C-82B0-FBBE9B1EEB10}" name="Meets initial criteria" dataDxfId="72">
      <calculatedColumnFormula xml:space="preserve">  -- ( SUM( tblFilterAll[[#This Row],[Filter Region]:[Filter RP Type]] ) = 4 )</calculatedColumnFormula>
    </tableColumn>
    <tableColumn id="16" xr3:uid="{922CFCF1-B274-40BF-95B0-FDBD7744EBB9}" name="SelectedProvider" dataDxfId="71">
      <calculatedColumnFormula xml:space="preserve"> -- ( tblFilterAll[[#This Row],[Provider name]] = SelectedProvider )</calculatedColumnFormula>
    </tableColumn>
    <tableColumn id="24" xr3:uid="{E1F6A05C-DFD6-4B12-A766-B234C1FFAC15}" name="Initial List" dataDxfId="70">
      <calculatedColumnFormula xml:space="preserve">  -- ( OR( SUM( tblFilterAll[[#This Row],[Filter Region]:[Filter RP Type]] ) = 4, tblFilterAll[[#This Row],[SelectedProvider]] = 1 ) )</calculatedColumnFormula>
    </tableColumn>
    <tableColumn id="17" xr3:uid="{4011BC31-C7D3-4A06-8209-2CFC41C273CA}" name="Include in output" dataDxfId="69">
      <calculatedColumnFormula xml:space="preserve"> -- ( INDEX( PeersCritera[Included in final peers], MATCH( tblFilterAll[[#This Row],[Provider name]], PeersCritera[RP_Name], 0 ) ) = 1 )</calculatedColumnFormula>
    </tableColumn>
    <tableColumn id="44" xr3:uid="{FE0B28D7-BFAF-4006-AECE-74047B4D9374}" name="LSVT age" dataDxfId="68">
      <calculatedColumnFormula array="1" xml:space="preserve"> SUBSTITUTE( INDEX( VfM_Metrics_2023_Consol_Source[], $AK834, AT$832 ), 0, "" )</calculatedColumnFormula>
    </tableColumn>
    <tableColumn id="46" xr3:uid="{84B36EBF-A904-4F90-83E7-D350524FD84A}" name="London" dataDxfId="67">
      <calculatedColumnFormula array="1" xml:space="preserve"> INDEX( VfM_Metrics_2023_Consol_Source[], $AK834, AU$832 )</calculatedColumnFormula>
    </tableColumn>
    <tableColumn id="47" xr3:uid="{A2D6C475-75C5-4DD9-937C-4D8338B63034}" name="South East" dataDxfId="66">
      <calculatedColumnFormula array="1" xml:space="preserve"> INDEX( VfM_Metrics_2023_Consol_Source[], $AK834, AV$832 )</calculatedColumnFormula>
    </tableColumn>
    <tableColumn id="48" xr3:uid="{05893E38-22E4-430D-9222-C77B4FDF287D}" name="South West" dataDxfId="65">
      <calculatedColumnFormula array="1" xml:space="preserve"> INDEX( VfM_Metrics_2023_Consol_Source[], $AK834, AW$832 )</calculatedColumnFormula>
    </tableColumn>
    <tableColumn id="49" xr3:uid="{28A6D8DB-0202-40B4-A720-748C279AE91E}" name="East Midlands" dataDxfId="64">
      <calculatedColumnFormula array="1" xml:space="preserve"> INDEX( VfM_Metrics_2023_Consol_Source[], $AK834, AX$832 )</calculatedColumnFormula>
    </tableColumn>
    <tableColumn id="50" xr3:uid="{88DB27C2-E71C-4BF4-8F30-3F0F87B67203}" name="West Midlands" dataDxfId="63">
      <calculatedColumnFormula array="1" xml:space="preserve"> INDEX( VfM_Metrics_2023_Consol_Source[], $AK834, AY$832 )</calculatedColumnFormula>
    </tableColumn>
    <tableColumn id="51" xr3:uid="{26F6523A-1030-4141-B90F-07E9E383928E}" name="East of England" dataDxfId="62">
      <calculatedColumnFormula array="1" xml:space="preserve"> INDEX( VfM_Metrics_2023_Consol_Source[], $AK834, AZ$832 )</calculatedColumnFormula>
    </tableColumn>
    <tableColumn id="52" xr3:uid="{2EDE7391-BFB3-4B35-AD00-ADAB9BA4C06F}" name="North East" dataDxfId="61">
      <calculatedColumnFormula array="1" xml:space="preserve"> INDEX( VfM_Metrics_2023_Consol_Source[], $AK834, BA$832 )</calculatedColumnFormula>
    </tableColumn>
    <tableColumn id="53" xr3:uid="{4BDDD38D-735C-4457-8CF4-40393100DB01}" name="North West" dataDxfId="60">
      <calculatedColumnFormula array="1" xml:space="preserve"> INDEX( VfM_Metrics_2023_Consol_Source[], $AK834, BB$832 )</calculatedColumnFormula>
    </tableColumn>
    <tableColumn id="54" xr3:uid="{41DF5D61-19B0-472E-A406-2911AC1A3A93}" name="Yorkshire &amp; the Humber" dataDxfId="59">
      <calculatedColumnFormula array="1" xml:space="preserve"> INDEX( VfM_Metrics_2023_Consol_Source[], $AK834, BC$832 )</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value-for-money-metrics-and-reporting-2023" TargetMode="External"/><Relationship Id="rId2" Type="http://schemas.openxmlformats.org/officeDocument/2006/relationships/hyperlink" Target="https://www.gov.uk/government/publications/2023-global-accounts-of-private-registered-providers" TargetMode="External"/><Relationship Id="rId1" Type="http://schemas.openxmlformats.org/officeDocument/2006/relationships/hyperlink" Target="https://www.gov.uk/government/publications/value-for-money-metrics-technical-note-guidance"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8.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31947-F4F0-4705-8C4B-DEFA1DECB0C7}">
  <sheetPr codeName="Sheet2">
    <tabColor rgb="FF59468D"/>
    <pageSetUpPr fitToPage="1"/>
  </sheetPr>
  <dimension ref="B1:C20"/>
  <sheetViews>
    <sheetView showGridLines="0" tabSelected="1" showRuler="0" zoomScale="115" zoomScaleNormal="115" workbookViewId="0"/>
  </sheetViews>
  <sheetFormatPr defaultColWidth="9.140625" defaultRowHeight="12.75" x14ac:dyDescent="0.2"/>
  <cols>
    <col min="1" max="2" width="5.140625" style="73" customWidth="1"/>
    <col min="3" max="3" width="90" style="73" customWidth="1"/>
    <col min="4" max="4" width="5.42578125" style="73" customWidth="1"/>
    <col min="5" max="16384" width="9.140625" style="73"/>
  </cols>
  <sheetData>
    <row r="1" spans="2:3" x14ac:dyDescent="0.2">
      <c r="B1" s="74"/>
    </row>
    <row r="2" spans="2:3" x14ac:dyDescent="0.2">
      <c r="B2" s="74"/>
    </row>
    <row r="3" spans="2:3" ht="27.75" x14ac:dyDescent="0.4">
      <c r="B3" s="77" t="s">
        <v>0</v>
      </c>
    </row>
    <row r="4" spans="2:3" ht="20.25" x14ac:dyDescent="0.3">
      <c r="B4" s="123" t="s">
        <v>798</v>
      </c>
    </row>
    <row r="5" spans="2:3" ht="20.25" x14ac:dyDescent="0.3">
      <c r="B5" s="123"/>
    </row>
    <row r="6" spans="2:3" ht="20.25" x14ac:dyDescent="0.3">
      <c r="B6" s="76" t="s">
        <v>1</v>
      </c>
    </row>
    <row r="7" spans="2:3" x14ac:dyDescent="0.2">
      <c r="B7" s="74"/>
    </row>
    <row r="8" spans="2:3" ht="14.25" x14ac:dyDescent="0.2">
      <c r="B8" s="74"/>
      <c r="C8" s="80" t="s">
        <v>2</v>
      </c>
    </row>
    <row r="9" spans="2:3" ht="14.25" x14ac:dyDescent="0.2">
      <c r="B9" s="74"/>
      <c r="C9" s="75"/>
    </row>
    <row r="10" spans="2:3" ht="14.25" x14ac:dyDescent="0.2">
      <c r="B10" s="74"/>
      <c r="C10" s="80" t="s">
        <v>3</v>
      </c>
    </row>
    <row r="11" spans="2:3" ht="14.25" x14ac:dyDescent="0.2">
      <c r="B11" s="74"/>
      <c r="C11" s="75"/>
    </row>
    <row r="12" spans="2:3" ht="14.25" x14ac:dyDescent="0.2">
      <c r="B12" s="74"/>
      <c r="C12" s="80" t="s">
        <v>4</v>
      </c>
    </row>
    <row r="14" spans="2:3" ht="20.25" x14ac:dyDescent="0.3">
      <c r="B14" s="76" t="s">
        <v>5</v>
      </c>
    </row>
    <row r="16" spans="2:3" ht="14.25" x14ac:dyDescent="0.2">
      <c r="C16" s="80" t="s">
        <v>6</v>
      </c>
    </row>
    <row r="17" spans="3:3" ht="14.25" x14ac:dyDescent="0.2">
      <c r="C17" s="174"/>
    </row>
    <row r="18" spans="3:3" ht="14.25" x14ac:dyDescent="0.2">
      <c r="C18" s="80" t="s">
        <v>7</v>
      </c>
    </row>
    <row r="19" spans="3:3" ht="14.25" x14ac:dyDescent="0.2">
      <c r="C19" s="174"/>
    </row>
    <row r="20" spans="3:3" ht="14.25" x14ac:dyDescent="0.2">
      <c r="C20" s="80" t="s">
        <v>8</v>
      </c>
    </row>
  </sheetData>
  <sheetProtection algorithmName="SHA-512" hashValue="2SqVUZzALPhQHnwomAlWLADw8oIsdVB8tL9xB/ApQXCzbt1uE3vehCn2xJ8R24uJhOQyCFZflvh4xBOeVHSHJQ==" saltValue="V3FeAuCTtOdjaY8A151kJQ==" spinCount="100000" sheet="1" objects="1" scenarios="1"/>
  <hyperlinks>
    <hyperlink ref="C8" location="Introduction!A6" display="Introduction" xr:uid="{E55C57A0-1CC8-45F8-9FD2-16F1261B76BB}"/>
    <hyperlink ref="C10" location="'2023 VfM Metrics Consolidated'!D11" display="Consolidated level data and metrics" xr:uid="{E8F634CB-3C87-4202-B5CF-79172EAE39C1}"/>
    <hyperlink ref="C12" location="'2023 VfM Metrics Entity'!D11" display="Entity level data and metrics" xr:uid="{3729EFBF-2AC7-4F75-A101-E14ECED429BA}"/>
    <hyperlink ref="B14" location="'BYO peer group'!D17" display="Build your own peer group" xr:uid="{534921CD-DE98-4315-96D8-3A55954C8364}"/>
    <hyperlink ref="C16" location="'BYO peer group - instructions'!A6" display="Instructions" xr:uid="{AB725000-4CE4-4404-AC22-2AC0231039E2}"/>
    <hyperlink ref="C18" location="'BYO peer group - selection'!D16" display="Peer group selection" xr:uid="{F4EC2773-E74B-4F6A-8AAA-0C65274BF799}"/>
    <hyperlink ref="C20" location="'BYO peer group - results'!D19" display="Results" xr:uid="{ECA8D612-EBF7-462E-8CD9-FD4AA4415373}"/>
  </hyperlinks>
  <printOptions horizontalCentered="1"/>
  <pageMargins left="0.70866141732283472" right="0.70866141732283472" top="1.1417322834645669" bottom="0.74803149606299213" header="0.31496062992125984" footer="0.31496062992125984"/>
  <pageSetup scale="89" orientation="portrait" r:id="rId1"/>
  <headerFooter>
    <oddFooter>&amp;C&amp;1#&amp;"Calibri"&amp;12&amp;K0078D7OFFICIAL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37DB2-9BA5-4FC3-88FF-A82C19A5C8C0}">
  <sheetPr codeName="Sheet3">
    <tabColor rgb="FF59468D"/>
    <pageSetUpPr fitToPage="1"/>
  </sheetPr>
  <dimension ref="B3:M48"/>
  <sheetViews>
    <sheetView showGridLines="0" showRuler="0" zoomScaleNormal="100" zoomScalePageLayoutView="85" workbookViewId="0">
      <pane ySplit="5" topLeftCell="A6" activePane="bottomLeft" state="frozen"/>
      <selection pane="bottomLeft" activeCell="A6" sqref="A6"/>
    </sheetView>
  </sheetViews>
  <sheetFormatPr defaultColWidth="9.140625" defaultRowHeight="12.75" x14ac:dyDescent="0.2"/>
  <cols>
    <col min="1" max="1" width="5.42578125" style="78" customWidth="1"/>
    <col min="2" max="2" width="130.42578125" style="351" customWidth="1"/>
    <col min="3" max="16384" width="9.140625" style="78"/>
  </cols>
  <sheetData>
    <row r="3" spans="2:13" ht="33.75" x14ac:dyDescent="0.5">
      <c r="B3" s="336" t="s">
        <v>0</v>
      </c>
    </row>
    <row r="4" spans="2:13" ht="30" x14ac:dyDescent="0.4">
      <c r="B4" s="337" t="s">
        <v>798</v>
      </c>
    </row>
    <row r="5" spans="2:13" ht="15.75" x14ac:dyDescent="0.25">
      <c r="B5" s="338"/>
    </row>
    <row r="6" spans="2:13" s="79" customFormat="1" ht="18" x14ac:dyDescent="0.25">
      <c r="B6" s="339" t="s">
        <v>2</v>
      </c>
    </row>
    <row r="7" spans="2:13" s="79" customFormat="1" ht="15.75" x14ac:dyDescent="0.25">
      <c r="B7" s="345"/>
    </row>
    <row r="8" spans="2:13" s="79" customFormat="1" ht="126.75" customHeight="1" x14ac:dyDescent="0.2">
      <c r="B8" s="341" t="s">
        <v>799</v>
      </c>
    </row>
    <row r="9" spans="2:13" s="352" customFormat="1" ht="28.5" customHeight="1" x14ac:dyDescent="0.25">
      <c r="B9" s="353" t="s">
        <v>792</v>
      </c>
    </row>
    <row r="10" spans="2:13" s="79" customFormat="1" ht="16.5" thickBot="1" x14ac:dyDescent="0.25">
      <c r="B10" s="341"/>
    </row>
    <row r="11" spans="2:13" s="79" customFormat="1" ht="81.75" customHeight="1" thickTop="1" thickBot="1" x14ac:dyDescent="0.25">
      <c r="B11" s="342" t="s">
        <v>797</v>
      </c>
    </row>
    <row r="12" spans="2:13" s="79" customFormat="1" ht="16.5" thickTop="1" x14ac:dyDescent="0.25">
      <c r="B12" s="340"/>
    </row>
    <row r="13" spans="2:13" s="335" customFormat="1" ht="54.75" customHeight="1" x14ac:dyDescent="0.2">
      <c r="B13" s="343" t="s">
        <v>800</v>
      </c>
      <c r="E13" s="79"/>
      <c r="F13" s="79"/>
      <c r="G13" s="79"/>
      <c r="H13" s="79"/>
      <c r="I13" s="79"/>
      <c r="J13" s="79"/>
      <c r="K13" s="79"/>
      <c r="L13" s="79"/>
      <c r="M13" s="79"/>
    </row>
    <row r="14" spans="2:13" s="79" customFormat="1" ht="15" x14ac:dyDescent="0.25">
      <c r="B14" s="344" t="s">
        <v>9</v>
      </c>
    </row>
    <row r="15" spans="2:13" s="335" customFormat="1" ht="75" x14ac:dyDescent="0.2">
      <c r="B15" s="343" t="s">
        <v>801</v>
      </c>
    </row>
    <row r="16" spans="2:13" s="335" customFormat="1" ht="75" customHeight="1" x14ac:dyDescent="0.2">
      <c r="B16" s="343" t="s">
        <v>11</v>
      </c>
    </row>
    <row r="17" spans="2:5" s="335" customFormat="1" ht="15.75" x14ac:dyDescent="0.25">
      <c r="B17" s="344" t="s">
        <v>10</v>
      </c>
      <c r="E17" s="354"/>
    </row>
    <row r="18" spans="2:5" s="79" customFormat="1" ht="15" x14ac:dyDescent="0.25">
      <c r="B18" s="346"/>
    </row>
    <row r="19" spans="2:5" s="335" customFormat="1" ht="18" x14ac:dyDescent="0.25">
      <c r="B19" s="339" t="s">
        <v>12</v>
      </c>
    </row>
    <row r="20" spans="2:5" s="335" customFormat="1" ht="30" x14ac:dyDescent="0.2">
      <c r="B20" s="343" t="s">
        <v>802</v>
      </c>
    </row>
    <row r="21" spans="2:5" s="335" customFormat="1" ht="15.75" x14ac:dyDescent="0.25">
      <c r="B21" s="344" t="s">
        <v>810</v>
      </c>
    </row>
    <row r="22" spans="2:5" s="335" customFormat="1" ht="15" x14ac:dyDescent="0.2">
      <c r="B22" s="347"/>
    </row>
    <row r="23" spans="2:5" s="335" customFormat="1" ht="15.75" x14ac:dyDescent="0.2">
      <c r="B23" s="348" t="s">
        <v>803</v>
      </c>
    </row>
    <row r="24" spans="2:5" s="335" customFormat="1" ht="45" x14ac:dyDescent="0.2">
      <c r="B24" s="343" t="s">
        <v>13</v>
      </c>
    </row>
    <row r="25" spans="2:5" s="335" customFormat="1" ht="45" x14ac:dyDescent="0.2">
      <c r="B25" s="343" t="s">
        <v>804</v>
      </c>
    </row>
    <row r="26" spans="2:5" s="335" customFormat="1" ht="42.75" x14ac:dyDescent="0.2">
      <c r="B26" s="349" t="s">
        <v>14</v>
      </c>
    </row>
    <row r="27" spans="2:5" s="335" customFormat="1" ht="15" x14ac:dyDescent="0.2">
      <c r="B27" s="343"/>
    </row>
    <row r="28" spans="2:5" s="335" customFormat="1" ht="15.75" x14ac:dyDescent="0.25">
      <c r="B28" s="350" t="s">
        <v>807</v>
      </c>
    </row>
    <row r="29" spans="2:5" s="335" customFormat="1" ht="61.5" x14ac:dyDescent="0.2">
      <c r="B29" s="343" t="s">
        <v>806</v>
      </c>
    </row>
    <row r="30" spans="2:5" s="335" customFormat="1" ht="60.75" x14ac:dyDescent="0.2">
      <c r="B30" s="343" t="s">
        <v>790</v>
      </c>
    </row>
    <row r="31" spans="2:5" s="335" customFormat="1" ht="60.75" x14ac:dyDescent="0.2">
      <c r="B31" s="343" t="s">
        <v>787</v>
      </c>
    </row>
    <row r="32" spans="2:5" s="335" customFormat="1" ht="15" x14ac:dyDescent="0.2">
      <c r="B32" s="347"/>
    </row>
    <row r="33" spans="2:2" s="335" customFormat="1" ht="15.75" x14ac:dyDescent="0.25">
      <c r="B33" s="350" t="s">
        <v>15</v>
      </c>
    </row>
    <row r="34" spans="2:2" s="335" customFormat="1" ht="60.75" x14ac:dyDescent="0.2">
      <c r="B34" s="343" t="s">
        <v>805</v>
      </c>
    </row>
    <row r="35" spans="2:2" s="335" customFormat="1" ht="60" x14ac:dyDescent="0.2">
      <c r="B35" s="343" t="s">
        <v>16</v>
      </c>
    </row>
    <row r="36" spans="2:2" s="335" customFormat="1" ht="15.75" x14ac:dyDescent="0.25">
      <c r="B36" s="345"/>
    </row>
    <row r="37" spans="2:2" s="335" customFormat="1" ht="18" x14ac:dyDescent="0.25">
      <c r="B37" s="339" t="s">
        <v>17</v>
      </c>
    </row>
    <row r="38" spans="2:2" s="335" customFormat="1" ht="46.5" x14ac:dyDescent="0.2">
      <c r="B38" s="350" t="s">
        <v>788</v>
      </c>
    </row>
    <row r="39" spans="2:2" s="335" customFormat="1" ht="46.5" x14ac:dyDescent="0.2">
      <c r="B39" s="350" t="s">
        <v>789</v>
      </c>
    </row>
    <row r="42" spans="2:2" s="335" customFormat="1" ht="18" x14ac:dyDescent="0.25">
      <c r="B42" s="339" t="s">
        <v>791</v>
      </c>
    </row>
    <row r="44" spans="2:2" ht="30.75" x14ac:dyDescent="0.2">
      <c r="B44" s="350" t="s">
        <v>793</v>
      </c>
    </row>
    <row r="45" spans="2:2" ht="15.75" x14ac:dyDescent="0.25">
      <c r="B45" s="350"/>
    </row>
    <row r="46" spans="2:2" ht="30.75" x14ac:dyDescent="0.2">
      <c r="B46" s="350" t="s">
        <v>794</v>
      </c>
    </row>
    <row r="47" spans="2:2" ht="15.75" x14ac:dyDescent="0.25">
      <c r="B47" s="350"/>
    </row>
    <row r="48" spans="2:2" ht="30.75" x14ac:dyDescent="0.2">
      <c r="B48" s="343" t="s">
        <v>795</v>
      </c>
    </row>
  </sheetData>
  <sheetProtection algorithmName="SHA-512" hashValue="hvW2jLneBYINkMvmS9cpiI+D3xiNZ0jAYAIUUpEq1odniBb5nDOHnxhFMDmY0Bm1JvOZAlTi5eU13roUA6+FSA==" saltValue="nZE95pNu3kBa6H+mgC4dvg==" spinCount="100000" sheet="1" objects="1" scenarios="1"/>
  <hyperlinks>
    <hyperlink ref="B14" r:id="rId1" xr:uid="{1B21FD2C-61EC-46BC-A7DC-4525E9399456}"/>
    <hyperlink ref="B17" r:id="rId2" xr:uid="{2D8BF4BF-DAE7-49AA-8528-78ABFA21F5EF}"/>
    <hyperlink ref="B9" location="'2023 VfM Metrics Consolidated'!A1" display="(The benchmarking fuctionality is based on the consolidated metrics)" xr:uid="{DF2EEEFC-DAF8-4EA7-B444-0CB312E71516}"/>
    <hyperlink ref="B21" r:id="rId3" xr:uid="{C2835D29-74C5-462A-AF1B-C8DC7344B902}"/>
  </hyperlinks>
  <printOptions horizontalCentered="1"/>
  <pageMargins left="0.39370078740157483" right="0.39370078740157483" top="0.74803149606299213" bottom="0.74803149606299213" header="0.31496062992125984" footer="0.31496062992125984"/>
  <pageSetup paperSize="9" scale="62" orientation="portrait" r:id="rId4"/>
  <headerFooter>
    <oddFooter>&amp;C&amp;1#&amp;"Calibri"&amp;12&amp;K0078D7OFFICIAL</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75219-A6A0-4649-8D4F-6727C53C2EA5}">
  <sheetPr>
    <tabColor rgb="FF59468D"/>
    <outlinePr summaryRight="0"/>
  </sheetPr>
  <dimension ref="A1:DJ208"/>
  <sheetViews>
    <sheetView showGridLines="0" zoomScale="85" zoomScaleNormal="85" workbookViewId="0">
      <pane xSplit="3" ySplit="10" topLeftCell="D11" activePane="bottomRight" state="frozen"/>
      <selection pane="topRight" activeCell="E1" sqref="E1"/>
      <selection pane="bottomLeft" activeCell="A11" sqref="A11"/>
      <selection pane="bottomRight" activeCell="D11" sqref="D11"/>
    </sheetView>
  </sheetViews>
  <sheetFormatPr defaultColWidth="0" defaultRowHeight="20.25" zeroHeight="1" outlineLevelCol="1" x14ac:dyDescent="0.25"/>
  <cols>
    <col min="1" max="1" width="11.42578125" style="91" customWidth="1"/>
    <col min="2" max="2" width="34.5703125" style="91" customWidth="1"/>
    <col min="3" max="3" width="15" style="91" customWidth="1"/>
    <col min="4" max="4" width="17.140625" style="91" customWidth="1" collapsed="1"/>
    <col min="5" max="13" width="17.140625" style="91" hidden="1" customWidth="1" outlineLevel="1"/>
    <col min="14" max="14" width="17.140625" style="91" customWidth="1" collapsed="1"/>
    <col min="15" max="20" width="17.140625" style="91" hidden="1" customWidth="1" outlineLevel="1"/>
    <col min="21" max="21" width="17.140625" style="91" customWidth="1" collapsed="1"/>
    <col min="22" max="30" width="17.140625" style="91" hidden="1" customWidth="1" outlineLevel="1"/>
    <col min="31" max="31" width="17.140625" style="91" customWidth="1" collapsed="1"/>
    <col min="32" max="40" width="17.140625" style="91" hidden="1" customWidth="1" outlineLevel="1"/>
    <col min="41" max="41" width="17.140625" style="91" customWidth="1" collapsed="1"/>
    <col min="42" max="53" width="17.140625" style="91" hidden="1" customWidth="1" outlineLevel="1"/>
    <col min="54" max="54" width="17.140625" style="91" customWidth="1" collapsed="1"/>
    <col min="55" max="69" width="17.140625" style="91" hidden="1" customWidth="1" outlineLevel="1"/>
    <col min="70" max="70" width="17.140625" style="91" customWidth="1" collapsed="1"/>
    <col min="71" max="74" width="17.140625" style="91" hidden="1" customWidth="1" outlineLevel="1"/>
    <col min="75" max="75" width="17.140625" style="91" customWidth="1" collapsed="1"/>
    <col min="76" max="81" width="17.140625" style="91" hidden="1" customWidth="1" outlineLevel="1"/>
    <col min="82" max="82" width="17.140625" style="91" customWidth="1" collapsed="1"/>
    <col min="83" max="87" width="17.140625" style="91" hidden="1" customWidth="1" outlineLevel="1"/>
    <col min="88" max="88" width="17.140625" style="92" customWidth="1"/>
    <col min="89" max="89" width="12" style="92" customWidth="1"/>
    <col min="90" max="90" width="12" style="92" customWidth="1" outlineLevel="1"/>
    <col min="91" max="91" width="12" style="92" customWidth="1" collapsed="1"/>
    <col min="92" max="92" width="12" style="92" hidden="1" customWidth="1" outlineLevel="1"/>
    <col min="93" max="93" width="12" style="92" customWidth="1" collapsed="1"/>
    <col min="94" max="95" width="12" style="92" hidden="1" customWidth="1" outlineLevel="1"/>
    <col min="96" max="96" width="14.5703125" style="91" customWidth="1"/>
    <col min="97" max="97" width="12.5703125" style="91" customWidth="1"/>
    <col min="98" max="98" width="20.7109375" style="91" customWidth="1"/>
    <col min="99" max="99" width="20.5703125" style="91" customWidth="1" collapsed="1"/>
    <col min="100" max="107" width="10.85546875" style="91" hidden="1" customWidth="1" outlineLevel="1"/>
    <col min="108" max="108" width="10.7109375" style="91" hidden="1" customWidth="1" outlineLevel="1"/>
    <col min="109" max="109" width="9.5703125" style="91" customWidth="1"/>
    <col min="110" max="113" width="9.140625" style="91" hidden="1" customWidth="1"/>
    <col min="114" max="114" width="26" style="119" hidden="1" customWidth="1"/>
    <col min="115" max="16384" width="9.140625" style="91" hidden="1"/>
  </cols>
  <sheetData>
    <row r="1" spans="1:114" ht="12.75" x14ac:dyDescent="0.25">
      <c r="A1" s="11"/>
      <c r="B1" s="382" t="str">
        <f xml:space="preserve"> "Quartiles - whole dataset (" &amp; COUNTA( VfM_Metrics_2023_Consol[RP_Name] ) &amp; ")"</f>
        <v>Quartiles - whole dataset (198)</v>
      </c>
      <c r="C1" s="11" t="s">
        <v>18</v>
      </c>
      <c r="D1" s="106">
        <f xml:space="preserve"> _xlfn.PERCENTILE.EXC( VfM_Metrics_2023_Consol[Reinvestment], 0.25 )</f>
        <v>4.3348249552847322E-2</v>
      </c>
      <c r="E1" s="106"/>
      <c r="F1" s="106"/>
      <c r="G1" s="106"/>
      <c r="H1" s="106"/>
      <c r="I1" s="106"/>
      <c r="J1" s="106"/>
      <c r="K1" s="106"/>
      <c r="L1" s="106"/>
      <c r="M1" s="106"/>
      <c r="N1" s="106">
        <f xml:space="preserve"> _xlfn.PERCENTILE.EXC( VfM_Metrics_2023_Consol[New Supply (Social)], 0.25 )</f>
        <v>6.3419916693361637E-3</v>
      </c>
      <c r="O1" s="106"/>
      <c r="P1" s="106"/>
      <c r="Q1" s="106"/>
      <c r="R1" s="106"/>
      <c r="S1" s="106"/>
      <c r="T1" s="106"/>
      <c r="U1" s="107">
        <f xml:space="preserve"> _xlfn.PERCENTILE.EXC( VfM_Metrics_2023_Consol[New Supply (Non-Social)], 0.25 )</f>
        <v>0</v>
      </c>
      <c r="V1" s="106"/>
      <c r="W1" s="106"/>
      <c r="X1" s="106"/>
      <c r="Y1" s="106"/>
      <c r="Z1" s="106"/>
      <c r="AA1" s="106"/>
      <c r="AB1" s="106"/>
      <c r="AC1" s="106"/>
      <c r="AD1" s="106"/>
      <c r="AE1" s="106">
        <f xml:space="preserve"> _xlfn.PERCENTILE.EXC( VfM_Metrics_2023_Consol[Gearing], 0.25 )</f>
        <v>0.33376859919726637</v>
      </c>
      <c r="AF1" s="106"/>
      <c r="AG1" s="106"/>
      <c r="AH1" s="106"/>
      <c r="AI1" s="106"/>
      <c r="AJ1" s="106"/>
      <c r="AK1" s="106"/>
      <c r="AL1" s="106"/>
      <c r="AM1" s="106"/>
      <c r="AN1" s="106"/>
      <c r="AO1" s="106">
        <f xml:space="preserve"> _xlfn.PERCENTILE.EXC( VfM_Metrics_2023_Consol[EBITDA MRI Interest Cover], 0.25 )</f>
        <v>0.88699522285829968</v>
      </c>
      <c r="AP1" s="106"/>
      <c r="AQ1" s="106"/>
      <c r="AR1" s="106"/>
      <c r="AS1" s="106"/>
      <c r="AT1" s="106"/>
      <c r="AU1" s="106"/>
      <c r="AV1" s="106"/>
      <c r="AW1" s="106"/>
      <c r="AX1" s="106"/>
      <c r="AY1" s="106"/>
      <c r="AZ1" s="106"/>
      <c r="BA1" s="106"/>
      <c r="BB1" s="108">
        <f xml:space="preserve"> _xlfn.PERCENTILE.EXC( VfM_Metrics_2023_Consol[Headline Social Housing Cost per unit], 0.25 )</f>
        <v>4081.9535677606673</v>
      </c>
      <c r="BC1" s="106"/>
      <c r="BD1" s="106"/>
      <c r="BE1" s="106"/>
      <c r="BF1" s="106"/>
      <c r="BG1" s="106"/>
      <c r="BH1" s="106"/>
      <c r="BI1" s="106"/>
      <c r="BJ1" s="106"/>
      <c r="BK1" s="106"/>
      <c r="BL1" s="106"/>
      <c r="BM1" s="106"/>
      <c r="BN1" s="106"/>
      <c r="BO1" s="106"/>
      <c r="BP1" s="106"/>
      <c r="BQ1" s="106"/>
      <c r="BR1" s="106">
        <f xml:space="preserve"> _xlfn.PERCENTILE.EXC( VfM_Metrics_2023_Consol[Operating Margin (SHL)], 0.25 )</f>
        <v>0.14418824249898199</v>
      </c>
      <c r="BS1" s="106"/>
      <c r="BT1" s="106"/>
      <c r="BU1" s="106"/>
      <c r="BV1" s="106"/>
      <c r="BW1" s="106">
        <f xml:space="preserve"> _xlfn.PERCENTILE.EXC( VfM_Metrics_2023_Consol[Operating Margin (Overall)], 0.25 )</f>
        <v>0.12020343356217647</v>
      </c>
      <c r="BX1" s="106"/>
      <c r="BY1" s="106"/>
      <c r="BZ1" s="106"/>
      <c r="CA1" s="106"/>
      <c r="CB1" s="106"/>
      <c r="CC1" s="106"/>
      <c r="CD1" s="106">
        <f xml:space="preserve"> _xlfn.PERCENTILE.EXC( VfM_Metrics_2023_Consol[ROCE], 0.25 )</f>
        <v>2.1916347917711472E-2</v>
      </c>
      <c r="CE1" s="11"/>
      <c r="CF1" s="11"/>
      <c r="CG1" s="11"/>
      <c r="CH1" s="11"/>
      <c r="CI1" s="11"/>
      <c r="CJ1" s="109"/>
      <c r="CK1" s="109"/>
      <c r="CL1" s="109"/>
      <c r="CM1" s="109"/>
      <c r="CN1" s="109"/>
      <c r="CO1" s="109"/>
      <c r="CP1" s="109"/>
      <c r="CQ1" s="109"/>
      <c r="CR1" s="11"/>
      <c r="CS1" s="11"/>
      <c r="CT1" s="11"/>
      <c r="CU1" s="11"/>
      <c r="CV1" s="11"/>
      <c r="CW1" s="11"/>
      <c r="CX1" s="11"/>
      <c r="CY1" s="11"/>
      <c r="CZ1" s="11"/>
      <c r="DA1" s="11"/>
      <c r="DB1" s="11"/>
      <c r="DC1" s="11"/>
      <c r="DD1" s="11"/>
      <c r="DE1" s="11"/>
      <c r="DJ1" s="115"/>
    </row>
    <row r="2" spans="1:114" ht="12.75" x14ac:dyDescent="0.25">
      <c r="A2" s="11"/>
      <c r="B2" s="382"/>
      <c r="C2" s="11" t="s">
        <v>19</v>
      </c>
      <c r="D2" s="106">
        <f xml:space="preserve"> _xlfn.PERCENTILE.EXC( VfM_Metrics_2023_Consol[Reinvestment], 0.5 )</f>
        <v>6.7325251006994574E-2</v>
      </c>
      <c r="E2" s="106"/>
      <c r="F2" s="106"/>
      <c r="G2" s="106"/>
      <c r="H2" s="106"/>
      <c r="I2" s="106"/>
      <c r="J2" s="106"/>
      <c r="K2" s="106"/>
      <c r="L2" s="106"/>
      <c r="M2" s="106"/>
      <c r="N2" s="106">
        <f xml:space="preserve"> _xlfn.PERCENTILE.EXC( VfM_Metrics_2023_Consol[New Supply (Social)], 0.5 )</f>
        <v>1.2784126424634119E-2</v>
      </c>
      <c r="O2" s="106"/>
      <c r="P2" s="106"/>
      <c r="Q2" s="106"/>
      <c r="R2" s="106"/>
      <c r="S2" s="106"/>
      <c r="T2" s="106"/>
      <c r="U2" s="107">
        <f xml:space="preserve"> _xlfn.PERCENTILE.EXC( VfM_Metrics_2023_Consol[New Supply (Non-Social)], 0.5 )</f>
        <v>0</v>
      </c>
      <c r="V2" s="106"/>
      <c r="W2" s="106"/>
      <c r="X2" s="106"/>
      <c r="Y2" s="106"/>
      <c r="Z2" s="106"/>
      <c r="AA2" s="106"/>
      <c r="AB2" s="106"/>
      <c r="AC2" s="106"/>
      <c r="AD2" s="106"/>
      <c r="AE2" s="106">
        <f xml:space="preserve"> _xlfn.PERCENTILE.EXC( VfM_Metrics_2023_Consol[Gearing], 0.5 )</f>
        <v>0.45280022097921413</v>
      </c>
      <c r="AF2" s="106"/>
      <c r="AG2" s="106"/>
      <c r="AH2" s="106"/>
      <c r="AI2" s="106"/>
      <c r="AJ2" s="106"/>
      <c r="AK2" s="106"/>
      <c r="AL2" s="106"/>
      <c r="AM2" s="106"/>
      <c r="AN2" s="106"/>
      <c r="AO2" s="106">
        <f xml:space="preserve"> _xlfn.PERCENTILE.EXC( VfM_Metrics_2023_Consol[EBITDA MRI Interest Cover], 0.5 )</f>
        <v>1.2839864739320244</v>
      </c>
      <c r="AP2" s="106"/>
      <c r="AQ2" s="106"/>
      <c r="AR2" s="106"/>
      <c r="AS2" s="106"/>
      <c r="AT2" s="106"/>
      <c r="AU2" s="106"/>
      <c r="AV2" s="106"/>
      <c r="AW2" s="106"/>
      <c r="AX2" s="106"/>
      <c r="AY2" s="106"/>
      <c r="AZ2" s="106"/>
      <c r="BA2" s="106"/>
      <c r="BB2" s="108">
        <f xml:space="preserve"> _xlfn.PERCENTILE.EXC( VfM_Metrics_2023_Consol[Headline Social Housing Cost per unit], 0.5 )</f>
        <v>4585.8213755163106</v>
      </c>
      <c r="BC2" s="106"/>
      <c r="BD2" s="106"/>
      <c r="BE2" s="106"/>
      <c r="BF2" s="106"/>
      <c r="BG2" s="106"/>
      <c r="BH2" s="106"/>
      <c r="BI2" s="106"/>
      <c r="BJ2" s="106"/>
      <c r="BK2" s="106"/>
      <c r="BL2" s="106"/>
      <c r="BM2" s="106"/>
      <c r="BN2" s="106"/>
      <c r="BO2" s="106"/>
      <c r="BP2" s="106"/>
      <c r="BQ2" s="106"/>
      <c r="BR2" s="106">
        <f xml:space="preserve"> _xlfn.PERCENTILE.EXC( VfM_Metrics_2023_Consol[Operating Margin (SHL)], 0.5 )</f>
        <v>0.19779745009397015</v>
      </c>
      <c r="BS2" s="106"/>
      <c r="BT2" s="106"/>
      <c r="BU2" s="106"/>
      <c r="BV2" s="106"/>
      <c r="BW2" s="106">
        <f xml:space="preserve"> _xlfn.PERCENTILE.EXC( VfM_Metrics_2023_Consol[Operating Margin (Overall)], 0.5 )</f>
        <v>0.18200361890025568</v>
      </c>
      <c r="BX2" s="106"/>
      <c r="BY2" s="106"/>
      <c r="BZ2" s="106"/>
      <c r="CA2" s="106"/>
      <c r="CB2" s="106"/>
      <c r="CC2" s="106"/>
      <c r="CD2" s="106">
        <f xml:space="preserve"> _xlfn.PERCENTILE.EXC( VfM_Metrics_2023_Consol[ROCE], 0.5 )</f>
        <v>2.8402087807861236E-2</v>
      </c>
      <c r="CE2" s="11"/>
      <c r="CF2" s="11"/>
      <c r="CG2" s="11"/>
      <c r="CH2" s="11"/>
      <c r="CI2" s="11"/>
      <c r="CJ2" s="109"/>
      <c r="CK2" s="109"/>
      <c r="CL2" s="109"/>
      <c r="CM2" s="109"/>
      <c r="CN2" s="109"/>
      <c r="CO2" s="109"/>
      <c r="CP2" s="109"/>
      <c r="CQ2" s="109"/>
      <c r="CR2" s="109"/>
      <c r="CS2" s="11"/>
      <c r="CT2" s="11"/>
      <c r="CU2" s="11"/>
      <c r="CV2" s="11"/>
      <c r="CW2" s="11"/>
      <c r="CX2" s="11"/>
      <c r="CY2" s="11"/>
      <c r="CZ2" s="11"/>
      <c r="DA2" s="11"/>
      <c r="DB2" s="11"/>
      <c r="DC2" s="11"/>
      <c r="DD2" s="11"/>
      <c r="DE2" s="11"/>
      <c r="DJ2" s="115"/>
    </row>
    <row r="3" spans="1:114" ht="12.75" x14ac:dyDescent="0.25">
      <c r="A3" s="11"/>
      <c r="B3" s="383"/>
      <c r="C3" s="110" t="s">
        <v>20</v>
      </c>
      <c r="D3" s="111">
        <f xml:space="preserve"> _xlfn.PERCENTILE.EXC( VfM_Metrics_2023_Consol[Reinvestment], 0.75 )</f>
        <v>9.3726424724453819E-2</v>
      </c>
      <c r="E3" s="111"/>
      <c r="F3" s="111"/>
      <c r="G3" s="111"/>
      <c r="H3" s="111"/>
      <c r="I3" s="111"/>
      <c r="J3" s="111"/>
      <c r="K3" s="111"/>
      <c r="L3" s="111"/>
      <c r="M3" s="111"/>
      <c r="N3" s="111">
        <f xml:space="preserve"> _xlfn.PERCENTILE.EXC( VfM_Metrics_2023_Consol[New Supply (Social)], 0.75 )</f>
        <v>2.2335343873529385E-2</v>
      </c>
      <c r="O3" s="111"/>
      <c r="P3" s="111"/>
      <c r="Q3" s="111"/>
      <c r="R3" s="111"/>
      <c r="S3" s="111"/>
      <c r="T3" s="111"/>
      <c r="U3" s="112">
        <f xml:space="preserve"> _xlfn.PERCENTILE.EXC( VfM_Metrics_2023_Consol[New Supply (Non-Social)], 0.75 )</f>
        <v>7.6979812587672368E-4</v>
      </c>
      <c r="V3" s="111"/>
      <c r="W3" s="111"/>
      <c r="X3" s="111"/>
      <c r="Y3" s="111"/>
      <c r="Z3" s="111"/>
      <c r="AA3" s="111"/>
      <c r="AB3" s="111"/>
      <c r="AC3" s="111"/>
      <c r="AD3" s="111"/>
      <c r="AE3" s="111">
        <f xml:space="preserve"> _xlfn.PERCENTILE.EXC( VfM_Metrics_2023_Consol[Gearing], 0.75 )</f>
        <v>0.53745237267202894</v>
      </c>
      <c r="AF3" s="111"/>
      <c r="AG3" s="111"/>
      <c r="AH3" s="111"/>
      <c r="AI3" s="111"/>
      <c r="AJ3" s="111"/>
      <c r="AK3" s="111"/>
      <c r="AL3" s="111"/>
      <c r="AM3" s="111"/>
      <c r="AN3" s="111"/>
      <c r="AO3" s="111">
        <f xml:space="preserve"> _xlfn.PERCENTILE.EXC( VfM_Metrics_2023_Consol[EBITDA MRI Interest Cover], 0.75 )</f>
        <v>1.6934675672312474</v>
      </c>
      <c r="AP3" s="111"/>
      <c r="AQ3" s="111"/>
      <c r="AR3" s="111"/>
      <c r="AS3" s="111"/>
      <c r="AT3" s="111"/>
      <c r="AU3" s="111"/>
      <c r="AV3" s="111"/>
      <c r="AW3" s="111"/>
      <c r="AX3" s="111"/>
      <c r="AY3" s="111"/>
      <c r="AZ3" s="111"/>
      <c r="BA3" s="111"/>
      <c r="BB3" s="113">
        <f xml:space="preserve"> _xlfn.PERCENTILE.EXC( VfM_Metrics_2023_Consol[Headline Social Housing Cost per unit], 0.75 )</f>
        <v>5847.4499311948121</v>
      </c>
      <c r="BC3" s="111"/>
      <c r="BD3" s="111"/>
      <c r="BE3" s="111"/>
      <c r="BF3" s="111"/>
      <c r="BG3" s="111"/>
      <c r="BH3" s="111"/>
      <c r="BI3" s="111"/>
      <c r="BJ3" s="111"/>
      <c r="BK3" s="111"/>
      <c r="BL3" s="111"/>
      <c r="BM3" s="111"/>
      <c r="BN3" s="111"/>
      <c r="BO3" s="111"/>
      <c r="BP3" s="111"/>
      <c r="BQ3" s="111"/>
      <c r="BR3" s="111">
        <f xml:space="preserve"> _xlfn.PERCENTILE.EXC( VfM_Metrics_2023_Consol[Operating Margin (SHL)], 0.75 )</f>
        <v>0.25468515235305322</v>
      </c>
      <c r="BS3" s="111"/>
      <c r="BT3" s="111"/>
      <c r="BU3" s="111"/>
      <c r="BV3" s="111"/>
      <c r="BW3" s="111">
        <f xml:space="preserve"> _xlfn.PERCENTILE.EXC( VfM_Metrics_2023_Consol[Operating Margin (Overall)], 0.75 )</f>
        <v>0.23020812852119121</v>
      </c>
      <c r="BX3" s="111"/>
      <c r="BY3" s="111"/>
      <c r="BZ3" s="111"/>
      <c r="CA3" s="111"/>
      <c r="CB3" s="111"/>
      <c r="CC3" s="111"/>
      <c r="CD3" s="111">
        <f xml:space="preserve"> _xlfn.PERCENTILE.EXC( VfM_Metrics_2023_Consol[ROCE], 0.75 )</f>
        <v>3.6311338265847232E-2</v>
      </c>
      <c r="CE3" s="11"/>
      <c r="CF3" s="11"/>
      <c r="CG3" s="11"/>
      <c r="CH3" s="11"/>
      <c r="CI3" s="11"/>
      <c r="CJ3" s="109"/>
      <c r="CK3" s="109"/>
      <c r="CL3" s="109"/>
      <c r="CM3" s="109"/>
      <c r="CN3" s="109"/>
      <c r="CO3" s="109"/>
      <c r="CP3" s="109"/>
      <c r="CQ3" s="109"/>
      <c r="CR3" s="11"/>
      <c r="CS3" s="11"/>
      <c r="CT3" s="11"/>
      <c r="CU3" s="11"/>
      <c r="CV3" s="11"/>
      <c r="CW3" s="11"/>
      <c r="CX3" s="11"/>
      <c r="CY3" s="11"/>
      <c r="CZ3" s="11"/>
      <c r="DA3" s="11"/>
      <c r="DB3" s="11"/>
      <c r="DC3" s="11"/>
      <c r="DD3" s="11"/>
      <c r="DE3" s="11"/>
      <c r="DJ3" s="115"/>
    </row>
    <row r="4" spans="1:114" ht="12.75" x14ac:dyDescent="0.25">
      <c r="A4" s="11"/>
      <c r="B4" s="384" t="str">
        <f xml:space="preserve"> "Quartiles - filtered rows (" &amp; SUBTOTAL( 3, VfM_Metrics_2023_Consol[RP_Name] ) &amp; ")"</f>
        <v>Quartiles - filtered rows (198)</v>
      </c>
      <c r="C4" s="114" t="s">
        <v>18</v>
      </c>
      <c r="D4" s="106">
        <f xml:space="preserve"> _xlfn.AGGREGATE( 18, 1, VfM_Metrics_2023_Consol[Reinvestment], 0.25 )</f>
        <v>4.3348249552847322E-2</v>
      </c>
      <c r="E4" s="106"/>
      <c r="F4" s="106"/>
      <c r="G4" s="106"/>
      <c r="H4" s="106"/>
      <c r="I4" s="106"/>
      <c r="J4" s="106"/>
      <c r="K4" s="106"/>
      <c r="L4" s="106"/>
      <c r="M4" s="106"/>
      <c r="N4" s="106">
        <f xml:space="preserve"> _xlfn.AGGREGATE( 18, 1, VfM_Metrics_2023_Consol[New Supply (Social)], 0.25 )</f>
        <v>6.3419916693361637E-3</v>
      </c>
      <c r="O4" s="106"/>
      <c r="P4" s="106"/>
      <c r="Q4" s="106"/>
      <c r="R4" s="106"/>
      <c r="S4" s="106"/>
      <c r="T4" s="106"/>
      <c r="U4" s="107">
        <f xml:space="preserve"> _xlfn.AGGREGATE( 18, 1, VfM_Metrics_2023_Consol[New Supply (Non-Social)], 0.25 )</f>
        <v>0</v>
      </c>
      <c r="V4" s="106"/>
      <c r="W4" s="106"/>
      <c r="X4" s="106"/>
      <c r="Y4" s="106"/>
      <c r="Z4" s="106"/>
      <c r="AA4" s="106"/>
      <c r="AB4" s="106"/>
      <c r="AC4" s="106"/>
      <c r="AD4" s="106"/>
      <c r="AE4" s="106">
        <f xml:space="preserve"> _xlfn.AGGREGATE( 18, 1, VfM_Metrics_2023_Consol[Gearing], 0.25 )</f>
        <v>0.33376859919726637</v>
      </c>
      <c r="AF4" s="106"/>
      <c r="AG4" s="106"/>
      <c r="AH4" s="106"/>
      <c r="AI4" s="106"/>
      <c r="AJ4" s="106"/>
      <c r="AK4" s="106"/>
      <c r="AL4" s="106"/>
      <c r="AM4" s="106"/>
      <c r="AN4" s="106"/>
      <c r="AO4" s="106">
        <f xml:space="preserve"> _xlfn.AGGREGATE( 18, 1, VfM_Metrics_2023_Consol[EBITDA MRI Interest Cover], 0.25 )</f>
        <v>0.88699522285829968</v>
      </c>
      <c r="AP4" s="106"/>
      <c r="AQ4" s="106"/>
      <c r="AR4" s="106"/>
      <c r="AS4" s="106"/>
      <c r="AT4" s="106"/>
      <c r="AU4" s="106"/>
      <c r="AV4" s="106"/>
      <c r="AW4" s="106"/>
      <c r="AX4" s="106"/>
      <c r="AY4" s="106"/>
      <c r="AZ4" s="106"/>
      <c r="BA4" s="106"/>
      <c r="BB4" s="108">
        <f xml:space="preserve"> _xlfn.AGGREGATE( 18, 1, VfM_Metrics_2023_Consol[Headline Social Housing Cost per unit], 0.25 )</f>
        <v>4081.9535677606673</v>
      </c>
      <c r="BC4" s="106"/>
      <c r="BD4" s="106"/>
      <c r="BE4" s="106"/>
      <c r="BF4" s="106"/>
      <c r="BG4" s="106"/>
      <c r="BH4" s="106"/>
      <c r="BI4" s="106"/>
      <c r="BJ4" s="106"/>
      <c r="BK4" s="106"/>
      <c r="BL4" s="106"/>
      <c r="BM4" s="106"/>
      <c r="BN4" s="106"/>
      <c r="BO4" s="106"/>
      <c r="BP4" s="106"/>
      <c r="BQ4" s="106"/>
      <c r="BR4" s="106">
        <f xml:space="preserve"> _xlfn.AGGREGATE( 18, 1, VfM_Metrics_2023_Consol[Operating Margin (SHL)], 0.25 )</f>
        <v>0.14418824249898199</v>
      </c>
      <c r="BS4" s="106"/>
      <c r="BT4" s="106"/>
      <c r="BU4" s="106"/>
      <c r="BV4" s="106"/>
      <c r="BW4" s="106">
        <f xml:space="preserve"> _xlfn.AGGREGATE( 18, 1, VfM_Metrics_2023_Consol[Operating Margin (Overall)], 0.25 )</f>
        <v>0.12020343356217647</v>
      </c>
      <c r="BX4" s="106"/>
      <c r="BY4" s="106"/>
      <c r="BZ4" s="106"/>
      <c r="CA4" s="106"/>
      <c r="CB4" s="106"/>
      <c r="CC4" s="106"/>
      <c r="CD4" s="106">
        <f xml:space="preserve"> _xlfn.AGGREGATE( 18, 1, VfM_Metrics_2023_Consol[ROCE], 0.25 )</f>
        <v>2.1916347917711472E-2</v>
      </c>
      <c r="CE4" s="11"/>
      <c r="CF4" s="11"/>
      <c r="CG4" s="11"/>
      <c r="CH4" s="11"/>
      <c r="CI4" s="11"/>
      <c r="CJ4" s="109"/>
      <c r="CK4" s="109"/>
      <c r="CL4" s="109"/>
      <c r="CM4" s="109"/>
      <c r="CN4" s="109"/>
      <c r="CO4" s="109"/>
      <c r="CP4" s="109"/>
      <c r="CQ4" s="109"/>
      <c r="CR4" s="11"/>
      <c r="CS4" s="11"/>
      <c r="CT4" s="11"/>
      <c r="CU4" s="11"/>
      <c r="CV4" s="11"/>
      <c r="CW4" s="11"/>
      <c r="CX4" s="11"/>
      <c r="CY4" s="11"/>
      <c r="CZ4" s="11"/>
      <c r="DA4" s="11"/>
      <c r="DB4" s="11"/>
      <c r="DC4" s="11"/>
      <c r="DD4" s="11"/>
      <c r="DE4" s="11"/>
      <c r="DJ4" s="115"/>
    </row>
    <row r="5" spans="1:114" ht="12.75" x14ac:dyDescent="0.25">
      <c r="A5" s="11"/>
      <c r="B5" s="382"/>
      <c r="C5" s="11" t="s">
        <v>19</v>
      </c>
      <c r="D5" s="106">
        <f xml:space="preserve"> _xlfn.AGGREGATE( 18, 1, VfM_Metrics_2023_Consol[Reinvestment], 0.5 )</f>
        <v>6.7325251006994574E-2</v>
      </c>
      <c r="E5" s="106"/>
      <c r="F5" s="106"/>
      <c r="G5" s="106"/>
      <c r="H5" s="106"/>
      <c r="I5" s="106"/>
      <c r="J5" s="106"/>
      <c r="K5" s="106"/>
      <c r="L5" s="106"/>
      <c r="M5" s="106"/>
      <c r="N5" s="106">
        <f xml:space="preserve"> _xlfn.AGGREGATE( 18, 1, VfM_Metrics_2023_Consol[New Supply (Social)], 0.5 )</f>
        <v>1.2784126424634119E-2</v>
      </c>
      <c r="O5" s="106"/>
      <c r="P5" s="106"/>
      <c r="Q5" s="106"/>
      <c r="R5" s="106"/>
      <c r="S5" s="106"/>
      <c r="T5" s="106"/>
      <c r="U5" s="107">
        <f xml:space="preserve"> _xlfn.AGGREGATE( 18, 1, VfM_Metrics_2023_Consol[New Supply (Non-Social)], 0.5 )</f>
        <v>0</v>
      </c>
      <c r="V5" s="106"/>
      <c r="W5" s="106"/>
      <c r="X5" s="106"/>
      <c r="Y5" s="106"/>
      <c r="Z5" s="106"/>
      <c r="AA5" s="106"/>
      <c r="AB5" s="106"/>
      <c r="AC5" s="106"/>
      <c r="AD5" s="106"/>
      <c r="AE5" s="106">
        <f xml:space="preserve"> _xlfn.AGGREGATE( 18, 1, VfM_Metrics_2023_Consol[Gearing], 0.5 )</f>
        <v>0.45280022097921413</v>
      </c>
      <c r="AF5" s="106"/>
      <c r="AG5" s="106"/>
      <c r="AH5" s="106"/>
      <c r="AI5" s="106"/>
      <c r="AJ5" s="106"/>
      <c r="AK5" s="106"/>
      <c r="AL5" s="106"/>
      <c r="AM5" s="106"/>
      <c r="AN5" s="106"/>
      <c r="AO5" s="106">
        <f xml:space="preserve"> _xlfn.AGGREGATE( 18, 1, VfM_Metrics_2023_Consol[EBITDA MRI Interest Cover], 0.5 )</f>
        <v>1.2839864739320244</v>
      </c>
      <c r="AP5" s="106"/>
      <c r="AQ5" s="106"/>
      <c r="AR5" s="106"/>
      <c r="AS5" s="106"/>
      <c r="AT5" s="106"/>
      <c r="AU5" s="106"/>
      <c r="AV5" s="106"/>
      <c r="AW5" s="106"/>
      <c r="AX5" s="106"/>
      <c r="AY5" s="106"/>
      <c r="AZ5" s="106"/>
      <c r="BA5" s="106"/>
      <c r="BB5" s="108">
        <f xml:space="preserve"> _xlfn.AGGREGATE( 18, 1, VfM_Metrics_2023_Consol[Headline Social Housing Cost per unit], 0.5 )</f>
        <v>4585.8213755163106</v>
      </c>
      <c r="BC5" s="106"/>
      <c r="BD5" s="106"/>
      <c r="BE5" s="106"/>
      <c r="BF5" s="106"/>
      <c r="BG5" s="106"/>
      <c r="BH5" s="106"/>
      <c r="BI5" s="106"/>
      <c r="BJ5" s="106"/>
      <c r="BK5" s="106"/>
      <c r="BL5" s="106"/>
      <c r="BM5" s="106"/>
      <c r="BN5" s="106"/>
      <c r="BO5" s="106"/>
      <c r="BP5" s="106"/>
      <c r="BQ5" s="106"/>
      <c r="BR5" s="106">
        <f xml:space="preserve"> _xlfn.AGGREGATE( 18, 1, VfM_Metrics_2023_Consol[Operating Margin (SHL)], 0.5 )</f>
        <v>0.19779745009397015</v>
      </c>
      <c r="BS5" s="106"/>
      <c r="BT5" s="106"/>
      <c r="BU5" s="106"/>
      <c r="BV5" s="106"/>
      <c r="BW5" s="106">
        <f xml:space="preserve"> _xlfn.AGGREGATE( 18, 1, VfM_Metrics_2023_Consol[Operating Margin (Overall)], 0.5 )</f>
        <v>0.18200361890025568</v>
      </c>
      <c r="BX5" s="106"/>
      <c r="BY5" s="106"/>
      <c r="BZ5" s="106"/>
      <c r="CA5" s="106"/>
      <c r="CB5" s="106"/>
      <c r="CC5" s="106"/>
      <c r="CD5" s="106">
        <f xml:space="preserve"> _xlfn.AGGREGATE( 18, 1, VfM_Metrics_2023_Consol[ROCE], 0.5 )</f>
        <v>2.8402087807861236E-2</v>
      </c>
      <c r="CE5" s="11"/>
      <c r="CF5" s="11"/>
      <c r="CG5" s="11"/>
      <c r="CH5" s="11"/>
      <c r="CI5" s="11"/>
      <c r="CJ5" s="109"/>
      <c r="CK5" s="109"/>
      <c r="CL5" s="109"/>
      <c r="CM5" s="109"/>
      <c r="CN5" s="109"/>
      <c r="CO5" s="109"/>
      <c r="CP5" s="109"/>
      <c r="CQ5" s="109"/>
      <c r="CR5" s="11"/>
      <c r="CS5" s="11"/>
      <c r="CT5" s="11"/>
      <c r="CU5" s="11"/>
      <c r="CV5" s="11"/>
      <c r="CW5" s="11"/>
      <c r="CX5" s="11"/>
      <c r="CY5" s="11"/>
      <c r="CZ5" s="11"/>
      <c r="DA5" s="11"/>
      <c r="DB5" s="11"/>
      <c r="DC5" s="11"/>
      <c r="DD5" s="11"/>
      <c r="DE5" s="11"/>
      <c r="DJ5" s="115"/>
    </row>
    <row r="6" spans="1:114" ht="12.75" x14ac:dyDescent="0.25">
      <c r="A6" s="11"/>
      <c r="B6" s="383"/>
      <c r="C6" s="110" t="s">
        <v>20</v>
      </c>
      <c r="D6" s="106">
        <f xml:space="preserve"> _xlfn.AGGREGATE( 18, 1, VfM_Metrics_2023_Consol[Reinvestment], 0.75 )</f>
        <v>9.3726424724453819E-2</v>
      </c>
      <c r="E6" s="106"/>
      <c r="F6" s="106"/>
      <c r="G6" s="106"/>
      <c r="H6" s="106"/>
      <c r="I6" s="106"/>
      <c r="J6" s="106"/>
      <c r="K6" s="106"/>
      <c r="L6" s="106"/>
      <c r="M6" s="106"/>
      <c r="N6" s="106">
        <f xml:space="preserve"> _xlfn.AGGREGATE( 18, 1, VfM_Metrics_2023_Consol[New Supply (Social)], 0.75 )</f>
        <v>2.2335343873529385E-2</v>
      </c>
      <c r="O6" s="106"/>
      <c r="P6" s="106"/>
      <c r="Q6" s="106"/>
      <c r="R6" s="106"/>
      <c r="S6" s="106"/>
      <c r="T6" s="106"/>
      <c r="U6" s="107">
        <f xml:space="preserve"> _xlfn.AGGREGATE( 18, 1, VfM_Metrics_2023_Consol[New Supply (Non-Social)], 0.75 )</f>
        <v>7.6979812587672368E-4</v>
      </c>
      <c r="V6" s="106"/>
      <c r="W6" s="106"/>
      <c r="X6" s="106"/>
      <c r="Y6" s="106"/>
      <c r="Z6" s="106"/>
      <c r="AA6" s="106"/>
      <c r="AB6" s="106"/>
      <c r="AC6" s="106"/>
      <c r="AD6" s="106"/>
      <c r="AE6" s="106">
        <f xml:space="preserve"> _xlfn.AGGREGATE( 18, 1, VfM_Metrics_2023_Consol[Gearing], 0.75 )</f>
        <v>0.53745237267202894</v>
      </c>
      <c r="AF6" s="106"/>
      <c r="AG6" s="106"/>
      <c r="AH6" s="106"/>
      <c r="AI6" s="106"/>
      <c r="AJ6" s="106"/>
      <c r="AK6" s="106"/>
      <c r="AL6" s="106"/>
      <c r="AM6" s="106"/>
      <c r="AN6" s="106"/>
      <c r="AO6" s="106">
        <f xml:space="preserve"> _xlfn.AGGREGATE( 18, 1, VfM_Metrics_2023_Consol[EBITDA MRI Interest Cover], 0.75 )</f>
        <v>1.6934675672312474</v>
      </c>
      <c r="AP6" s="106"/>
      <c r="AQ6" s="106"/>
      <c r="AR6" s="106"/>
      <c r="AS6" s="106"/>
      <c r="AT6" s="106"/>
      <c r="AU6" s="106"/>
      <c r="AV6" s="106"/>
      <c r="AW6" s="106"/>
      <c r="AX6" s="106"/>
      <c r="AY6" s="106"/>
      <c r="AZ6" s="106"/>
      <c r="BA6" s="106"/>
      <c r="BB6" s="108">
        <f xml:space="preserve"> _xlfn.AGGREGATE( 18, 1, VfM_Metrics_2023_Consol[Headline Social Housing Cost per unit], 0.75 )</f>
        <v>5847.4499311948121</v>
      </c>
      <c r="BC6" s="106"/>
      <c r="BD6" s="106"/>
      <c r="BE6" s="106"/>
      <c r="BF6" s="106"/>
      <c r="BG6" s="106"/>
      <c r="BH6" s="106"/>
      <c r="BI6" s="106"/>
      <c r="BJ6" s="106"/>
      <c r="BK6" s="106"/>
      <c r="BL6" s="106"/>
      <c r="BM6" s="106"/>
      <c r="BN6" s="106"/>
      <c r="BO6" s="106"/>
      <c r="BP6" s="106"/>
      <c r="BQ6" s="106"/>
      <c r="BR6" s="106">
        <f xml:space="preserve"> _xlfn.AGGREGATE( 18, 1, VfM_Metrics_2023_Consol[Operating Margin (SHL)], 0.75 )</f>
        <v>0.25468515235305322</v>
      </c>
      <c r="BS6" s="106"/>
      <c r="BT6" s="106"/>
      <c r="BU6" s="106"/>
      <c r="BV6" s="106"/>
      <c r="BW6" s="106">
        <f xml:space="preserve"> _xlfn.AGGREGATE( 18, 1, VfM_Metrics_2023_Consol[Operating Margin (Overall)], 0.75 )</f>
        <v>0.23020812852119121</v>
      </c>
      <c r="BX6" s="106"/>
      <c r="BY6" s="106"/>
      <c r="BZ6" s="106"/>
      <c r="CA6" s="106"/>
      <c r="CB6" s="106"/>
      <c r="CC6" s="106"/>
      <c r="CD6" s="106">
        <f xml:space="preserve"> _xlfn.AGGREGATE( 18, 1, VfM_Metrics_2023_Consol[ROCE], 0.75 )</f>
        <v>3.6311338265847232E-2</v>
      </c>
      <c r="CE6" s="11"/>
      <c r="CF6" s="11"/>
      <c r="CG6" s="11"/>
      <c r="CH6" s="11"/>
      <c r="CI6" s="11"/>
      <c r="CJ6" s="109"/>
      <c r="CK6" s="109"/>
      <c r="CL6" s="109"/>
      <c r="CM6" s="109"/>
      <c r="CN6" s="109"/>
      <c r="CO6" s="109"/>
      <c r="CP6" s="109"/>
      <c r="CQ6" s="109"/>
      <c r="CR6" s="11"/>
      <c r="CS6" s="11"/>
      <c r="CT6" s="11"/>
      <c r="CU6" s="11"/>
      <c r="CV6" s="11"/>
      <c r="CW6" s="11"/>
      <c r="CX6" s="11"/>
      <c r="CY6" s="11"/>
      <c r="CZ6" s="11"/>
      <c r="DA6" s="11"/>
      <c r="DB6" s="11"/>
      <c r="DC6" s="11"/>
      <c r="DD6" s="11"/>
      <c r="DE6" s="11"/>
      <c r="DJ6" s="115"/>
    </row>
    <row r="7" spans="1:114" s="88" customFormat="1" x14ac:dyDescent="0.25">
      <c r="A7" s="385" t="s">
        <v>21</v>
      </c>
      <c r="B7" s="385"/>
      <c r="C7" s="386"/>
      <c r="D7" s="357" t="s">
        <v>22</v>
      </c>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8"/>
      <c r="BN7" s="358"/>
      <c r="BO7" s="358"/>
      <c r="BP7" s="358"/>
      <c r="BQ7" s="358"/>
      <c r="BR7" s="358"/>
      <c r="BS7" s="358"/>
      <c r="BT7" s="358"/>
      <c r="BU7" s="358"/>
      <c r="BV7" s="358"/>
      <c r="BW7" s="358"/>
      <c r="BX7" s="358"/>
      <c r="BY7" s="358"/>
      <c r="BZ7" s="358"/>
      <c r="CA7" s="358"/>
      <c r="CB7" s="358"/>
      <c r="CC7" s="358"/>
      <c r="CD7" s="358"/>
      <c r="CE7" s="358"/>
      <c r="CF7" s="358"/>
      <c r="CG7" s="358"/>
      <c r="CH7" s="358"/>
      <c r="CI7" s="359"/>
      <c r="CJ7" s="355"/>
      <c r="CK7" s="357" t="s">
        <v>23</v>
      </c>
      <c r="CL7" s="358"/>
      <c r="CM7" s="358"/>
      <c r="CN7" s="358"/>
      <c r="CO7" s="358"/>
      <c r="CP7" s="358"/>
      <c r="CQ7" s="359"/>
      <c r="CR7" s="366" t="s">
        <v>24</v>
      </c>
      <c r="CS7" s="367"/>
      <c r="CT7" s="368"/>
      <c r="CU7" s="372"/>
      <c r="CV7" s="373"/>
      <c r="CW7" s="373"/>
      <c r="CX7" s="373"/>
      <c r="CY7" s="373"/>
      <c r="CZ7" s="373"/>
      <c r="DA7" s="373"/>
      <c r="DB7" s="373"/>
      <c r="DC7" s="373"/>
      <c r="DD7" s="373"/>
      <c r="DE7" s="374"/>
      <c r="DJ7" s="116"/>
    </row>
    <row r="8" spans="1:114" s="88" customFormat="1" x14ac:dyDescent="0.25">
      <c r="A8" s="385"/>
      <c r="B8" s="385"/>
      <c r="C8" s="386"/>
      <c r="D8" s="360"/>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2"/>
      <c r="CJ8" s="356"/>
      <c r="CK8" s="360"/>
      <c r="CL8" s="361"/>
      <c r="CM8" s="361"/>
      <c r="CN8" s="361"/>
      <c r="CO8" s="361"/>
      <c r="CP8" s="361"/>
      <c r="CQ8" s="362"/>
      <c r="CR8" s="369"/>
      <c r="CS8" s="370"/>
      <c r="CT8" s="371"/>
      <c r="CU8" s="375"/>
      <c r="CV8" s="376"/>
      <c r="CW8" s="376"/>
      <c r="CX8" s="376"/>
      <c r="CY8" s="376"/>
      <c r="CZ8" s="376"/>
      <c r="DA8" s="376"/>
      <c r="DB8" s="376"/>
      <c r="DC8" s="376"/>
      <c r="DD8" s="376"/>
      <c r="DE8" s="377"/>
      <c r="DJ8" s="116"/>
    </row>
    <row r="9" spans="1:114" s="89" customFormat="1" ht="25.5" x14ac:dyDescent="0.25">
      <c r="A9" s="52" t="s">
        <v>25</v>
      </c>
      <c r="B9" s="14"/>
      <c r="C9" s="14"/>
      <c r="D9" s="380" t="s">
        <v>26</v>
      </c>
      <c r="E9" s="381"/>
      <c r="F9" s="381"/>
      <c r="G9" s="381"/>
      <c r="H9" s="381"/>
      <c r="I9" s="381"/>
      <c r="J9" s="381"/>
      <c r="K9" s="381"/>
      <c r="L9" s="381"/>
      <c r="M9" s="381"/>
      <c r="N9" s="378" t="s">
        <v>27</v>
      </c>
      <c r="O9" s="379"/>
      <c r="P9" s="379"/>
      <c r="Q9" s="379"/>
      <c r="R9" s="379"/>
      <c r="S9" s="379"/>
      <c r="T9" s="379"/>
      <c r="U9" s="380" t="s">
        <v>28</v>
      </c>
      <c r="V9" s="381"/>
      <c r="W9" s="381"/>
      <c r="X9" s="381"/>
      <c r="Y9" s="381"/>
      <c r="Z9" s="381"/>
      <c r="AA9" s="381"/>
      <c r="AB9" s="381"/>
      <c r="AC9" s="381"/>
      <c r="AD9" s="381"/>
      <c r="AE9" s="378" t="s">
        <v>29</v>
      </c>
      <c r="AF9" s="379"/>
      <c r="AG9" s="379"/>
      <c r="AH9" s="379"/>
      <c r="AI9" s="379"/>
      <c r="AJ9" s="379"/>
      <c r="AK9" s="379"/>
      <c r="AL9" s="379"/>
      <c r="AM9" s="379"/>
      <c r="AN9" s="379"/>
      <c r="AO9" s="380" t="s">
        <v>30</v>
      </c>
      <c r="AP9" s="381"/>
      <c r="AQ9" s="381"/>
      <c r="AR9" s="381"/>
      <c r="AS9" s="381"/>
      <c r="AT9" s="381"/>
      <c r="AU9" s="381"/>
      <c r="AV9" s="381"/>
      <c r="AW9" s="381"/>
      <c r="AX9" s="381"/>
      <c r="AY9" s="381"/>
      <c r="AZ9" s="381"/>
      <c r="BA9" s="381"/>
      <c r="BB9" s="378" t="s">
        <v>31</v>
      </c>
      <c r="BC9" s="379"/>
      <c r="BD9" s="379"/>
      <c r="BE9" s="379"/>
      <c r="BF9" s="379"/>
      <c r="BG9" s="379"/>
      <c r="BH9" s="379"/>
      <c r="BI9" s="379"/>
      <c r="BJ9" s="379"/>
      <c r="BK9" s="379"/>
      <c r="BL9" s="379"/>
      <c r="BM9" s="379"/>
      <c r="BN9" s="379"/>
      <c r="BO9" s="379"/>
      <c r="BP9" s="379"/>
      <c r="BQ9" s="379"/>
      <c r="BR9" s="380" t="s">
        <v>32</v>
      </c>
      <c r="BS9" s="381"/>
      <c r="BT9" s="381"/>
      <c r="BU9" s="381"/>
      <c r="BV9" s="381"/>
      <c r="BW9" s="378" t="s">
        <v>33</v>
      </c>
      <c r="BX9" s="379"/>
      <c r="BY9" s="379"/>
      <c r="BZ9" s="379"/>
      <c r="CA9" s="379"/>
      <c r="CB9" s="379"/>
      <c r="CC9" s="379"/>
      <c r="CD9" s="380" t="s">
        <v>34</v>
      </c>
      <c r="CE9" s="381"/>
      <c r="CF9" s="381"/>
      <c r="CG9" s="381"/>
      <c r="CH9" s="381"/>
      <c r="CI9" s="381"/>
      <c r="CJ9" s="62" t="str">
        <f>VfM_Metrics_2023_Consol[[#Headers],[Total social stock owned]]</f>
        <v>Total social stock owned</v>
      </c>
      <c r="CK9" s="363" t="s">
        <v>35</v>
      </c>
      <c r="CL9" s="364"/>
      <c r="CM9" s="364"/>
      <c r="CN9" s="364"/>
      <c r="CO9" s="364"/>
      <c r="CP9" s="364"/>
      <c r="CQ9" s="365"/>
      <c r="CR9" s="363" t="s">
        <v>36</v>
      </c>
      <c r="CS9" s="364"/>
      <c r="CT9" s="365"/>
      <c r="CU9" s="363" t="s">
        <v>37</v>
      </c>
      <c r="CV9" s="364"/>
      <c r="CW9" s="364"/>
      <c r="CX9" s="364"/>
      <c r="CY9" s="364"/>
      <c r="CZ9" s="364"/>
      <c r="DA9" s="364"/>
      <c r="DB9" s="364"/>
      <c r="DC9" s="364"/>
      <c r="DD9" s="364"/>
      <c r="DE9" s="364"/>
      <c r="DJ9" s="117"/>
    </row>
    <row r="10" spans="1:114" s="90" customFormat="1" ht="89.25" x14ac:dyDescent="0.25">
      <c r="A10" s="53" t="s">
        <v>38</v>
      </c>
      <c r="B10" s="53" t="s">
        <v>39</v>
      </c>
      <c r="C10" s="53" t="s">
        <v>40</v>
      </c>
      <c r="D10" s="54" t="s">
        <v>41</v>
      </c>
      <c r="E10" s="55" t="s">
        <v>42</v>
      </c>
      <c r="F10" s="56" t="s">
        <v>43</v>
      </c>
      <c r="G10" s="56" t="s">
        <v>44</v>
      </c>
      <c r="H10" s="56" t="s">
        <v>45</v>
      </c>
      <c r="I10" s="56" t="s">
        <v>46</v>
      </c>
      <c r="J10" s="56" t="s">
        <v>47</v>
      </c>
      <c r="K10" s="55" t="s">
        <v>48</v>
      </c>
      <c r="L10" s="56" t="s">
        <v>49</v>
      </c>
      <c r="M10" s="56" t="s">
        <v>50</v>
      </c>
      <c r="N10" s="54" t="s">
        <v>51</v>
      </c>
      <c r="O10" s="55" t="s">
        <v>52</v>
      </c>
      <c r="P10" s="56" t="s">
        <v>53</v>
      </c>
      <c r="Q10" s="56" t="s">
        <v>54</v>
      </c>
      <c r="R10" s="55" t="s">
        <v>55</v>
      </c>
      <c r="S10" s="56" t="s">
        <v>56</v>
      </c>
      <c r="T10" s="56" t="s">
        <v>57</v>
      </c>
      <c r="U10" s="54" t="s">
        <v>28</v>
      </c>
      <c r="V10" s="55" t="s">
        <v>58</v>
      </c>
      <c r="W10" s="56" t="s">
        <v>59</v>
      </c>
      <c r="X10" s="56" t="s">
        <v>60</v>
      </c>
      <c r="Y10" s="56" t="s">
        <v>61</v>
      </c>
      <c r="Z10" s="55" t="s">
        <v>62</v>
      </c>
      <c r="AA10" s="56" t="s">
        <v>63</v>
      </c>
      <c r="AB10" s="56" t="s">
        <v>64</v>
      </c>
      <c r="AC10" s="56" t="s">
        <v>65</v>
      </c>
      <c r="AD10" s="56" t="s">
        <v>66</v>
      </c>
      <c r="AE10" s="54" t="s">
        <v>29</v>
      </c>
      <c r="AF10" s="55" t="s">
        <v>67</v>
      </c>
      <c r="AG10" s="56" t="s">
        <v>68</v>
      </c>
      <c r="AH10" s="56" t="s">
        <v>69</v>
      </c>
      <c r="AI10" s="56" t="s">
        <v>70</v>
      </c>
      <c r="AJ10" s="56" t="s">
        <v>71</v>
      </c>
      <c r="AK10" s="56" t="s">
        <v>72</v>
      </c>
      <c r="AL10" s="55" t="s">
        <v>73</v>
      </c>
      <c r="AM10" s="56" t="s">
        <v>74</v>
      </c>
      <c r="AN10" s="56" t="s">
        <v>75</v>
      </c>
      <c r="AO10" s="54" t="s">
        <v>30</v>
      </c>
      <c r="AP10" s="55" t="s">
        <v>76</v>
      </c>
      <c r="AQ10" s="56" t="s">
        <v>77</v>
      </c>
      <c r="AR10" s="56" t="s">
        <v>78</v>
      </c>
      <c r="AS10" s="56" t="s">
        <v>79</v>
      </c>
      <c r="AT10" s="56" t="s">
        <v>80</v>
      </c>
      <c r="AU10" s="56" t="s">
        <v>81</v>
      </c>
      <c r="AV10" s="56" t="s">
        <v>82</v>
      </c>
      <c r="AW10" s="56" t="s">
        <v>83</v>
      </c>
      <c r="AX10" s="56" t="s">
        <v>84</v>
      </c>
      <c r="AY10" s="55" t="s">
        <v>85</v>
      </c>
      <c r="AZ10" s="56" t="s">
        <v>86</v>
      </c>
      <c r="BA10" s="56" t="s">
        <v>87</v>
      </c>
      <c r="BB10" s="54" t="s">
        <v>31</v>
      </c>
      <c r="BC10" s="55" t="s">
        <v>88</v>
      </c>
      <c r="BD10" s="56" t="s">
        <v>89</v>
      </c>
      <c r="BE10" s="56" t="s">
        <v>90</v>
      </c>
      <c r="BF10" s="56" t="s">
        <v>91</v>
      </c>
      <c r="BG10" s="56" t="s">
        <v>92</v>
      </c>
      <c r="BH10" s="56" t="s">
        <v>93</v>
      </c>
      <c r="BI10" s="56" t="s">
        <v>94</v>
      </c>
      <c r="BJ10" s="56" t="s">
        <v>95</v>
      </c>
      <c r="BK10" s="56" t="s">
        <v>96</v>
      </c>
      <c r="BL10" s="56" t="s">
        <v>97</v>
      </c>
      <c r="BM10" s="56" t="s">
        <v>98</v>
      </c>
      <c r="BN10" s="56" t="s">
        <v>99</v>
      </c>
      <c r="BO10" s="56" t="s">
        <v>100</v>
      </c>
      <c r="BP10" s="55" t="s">
        <v>101</v>
      </c>
      <c r="BQ10" s="56" t="s">
        <v>102</v>
      </c>
      <c r="BR10" s="54" t="s">
        <v>32</v>
      </c>
      <c r="BS10" s="55" t="s">
        <v>103</v>
      </c>
      <c r="BT10" s="56" t="s">
        <v>104</v>
      </c>
      <c r="BU10" s="55" t="s">
        <v>105</v>
      </c>
      <c r="BV10" s="56" t="s">
        <v>106</v>
      </c>
      <c r="BW10" s="54" t="s">
        <v>33</v>
      </c>
      <c r="BX10" s="55" t="s">
        <v>107</v>
      </c>
      <c r="BY10" s="56" t="s">
        <v>108</v>
      </c>
      <c r="BZ10" s="56" t="s">
        <v>109</v>
      </c>
      <c r="CA10" s="56" t="s">
        <v>110</v>
      </c>
      <c r="CB10" s="55" t="s">
        <v>111</v>
      </c>
      <c r="CC10" s="56" t="s">
        <v>112</v>
      </c>
      <c r="CD10" s="54" t="s">
        <v>34</v>
      </c>
      <c r="CE10" s="55" t="s">
        <v>113</v>
      </c>
      <c r="CF10" s="56" t="s">
        <v>114</v>
      </c>
      <c r="CG10" s="56" t="s">
        <v>115</v>
      </c>
      <c r="CH10" s="55" t="s">
        <v>116</v>
      </c>
      <c r="CI10" s="56" t="s">
        <v>117</v>
      </c>
      <c r="CJ10" s="63" t="s">
        <v>118</v>
      </c>
      <c r="CK10" s="57" t="s">
        <v>119</v>
      </c>
      <c r="CL10" s="55" t="s">
        <v>120</v>
      </c>
      <c r="CM10" s="58" t="s">
        <v>121</v>
      </c>
      <c r="CN10" s="55" t="s">
        <v>122</v>
      </c>
      <c r="CO10" s="57" t="s">
        <v>123</v>
      </c>
      <c r="CP10" s="55" t="s">
        <v>124</v>
      </c>
      <c r="CQ10" s="59" t="s">
        <v>125</v>
      </c>
      <c r="CR10" s="60" t="s">
        <v>126</v>
      </c>
      <c r="CS10" s="53" t="s">
        <v>127</v>
      </c>
      <c r="CT10" s="61" t="s">
        <v>128</v>
      </c>
      <c r="CU10" s="53" t="s">
        <v>129</v>
      </c>
      <c r="CV10" s="55" t="s">
        <v>130</v>
      </c>
      <c r="CW10" s="55" t="s">
        <v>131</v>
      </c>
      <c r="CX10" s="55" t="s">
        <v>132</v>
      </c>
      <c r="CY10" s="55" t="s">
        <v>133</v>
      </c>
      <c r="CZ10" s="55" t="s">
        <v>134</v>
      </c>
      <c r="DA10" s="55" t="s">
        <v>135</v>
      </c>
      <c r="DB10" s="55" t="s">
        <v>136</v>
      </c>
      <c r="DC10" s="55" t="s">
        <v>137</v>
      </c>
      <c r="DD10" s="55" t="s">
        <v>138</v>
      </c>
      <c r="DE10" s="53" t="s">
        <v>139</v>
      </c>
      <c r="DJ10" s="118" t="s">
        <v>140</v>
      </c>
    </row>
    <row r="11" spans="1:114" x14ac:dyDescent="0.25">
      <c r="A11" s="2" t="s" vm="335">
        <v>141</v>
      </c>
      <c r="B11" s="2" t="s" vm="1">
        <v>142</v>
      </c>
      <c r="C11" s="72" vm="397">
        <v>45016</v>
      </c>
      <c r="D11" s="7">
        <f>IFERROR( VfM_Metrics_2023_Consol[[#This Row],[Reinvestment Spend]] / VfM_Metrics_2023_Consol[[#This Row],[Net Book Value of Housing Properties]], "n/a" )</f>
        <v>3.1077261663747413E-2</v>
      </c>
      <c r="E11" s="3">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87436</v>
      </c>
      <c r="F11" s="83" vm="4552">
        <v>54428</v>
      </c>
      <c r="G11" s="83" vm="4553">
        <v>0</v>
      </c>
      <c r="H11" s="83" vm="4554">
        <v>28224</v>
      </c>
      <c r="I11" s="83" vm="4555">
        <v>4784</v>
      </c>
      <c r="J11" s="83" vm="4556">
        <v>0</v>
      </c>
      <c r="K11" s="3">
        <f xml:space="preserve"> SUM( VfM_Metrics_2023_Consol[[#This Row],[Tangible fixed assets: Housing properties at cost (Current period)]],VfM_Metrics_2023_Consol[[#This Row],[Tangible fixed assets Housing properties at valuation (Current period)]] )</f>
        <v>2813504</v>
      </c>
      <c r="L11" s="83" vm="4557">
        <v>2813504</v>
      </c>
      <c r="M11" s="83" vm="4558">
        <v>0</v>
      </c>
      <c r="N11" s="7">
        <f xml:space="preserve"> IFERROR( VfM_Metrics_2023_Consol[[#This Row],[Total social units developed or newly built units acquired in-year]] / VfM_Metrics_2023_Consol[[#This Row],[Social housing units owned (period end)]], "n/a" )</f>
        <v>1.5708957582653772E-2</v>
      </c>
      <c r="O11" s="3">
        <f xml:space="preserve"> SUM( VfM_Metrics_2023_Consol[[#This Row],[Total social units developed or newly built units acquired in-year (owned)]], VfM_Metrics_2023_Consol[[#This Row],[Total social leasehold units developed or newly built units acquired in-year (owned)]] )</f>
        <v>497</v>
      </c>
      <c r="P11" s="83" vm="4559">
        <v>497</v>
      </c>
      <c r="Q11" s="83" vm="4560">
        <v>0</v>
      </c>
      <c r="R11" s="3">
        <f xml:space="preserve"> SUM( VfM_Metrics_2023_Consol[[#This Row],[Total social housing units owned (Period end)]], VfM_Metrics_2023_Consol[[#This Row],[Total social leasehold units owned (Period end)]] )</f>
        <v>31638</v>
      </c>
      <c r="S11" s="83" vm="4550">
        <v>28177</v>
      </c>
      <c r="T11" s="83" vm="4561">
        <v>3461</v>
      </c>
      <c r="U11" s="86">
        <f xml:space="preserve"> IFERROR( VfM_Metrics_2023_Consol[[#This Row],[Total non-social housing units developed or newly built units acquired (owned)]] / VfM_Metrics_2023_Consol[[#This Row],[Total social and non-social housing units owned (Period end)]], "n/a" )</f>
        <v>7.0475084984661304E-3</v>
      </c>
      <c r="V11" s="3">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255</v>
      </c>
      <c r="W11" s="83" vm="4562">
        <v>4</v>
      </c>
      <c r="X11" s="83" vm="4563">
        <v>107</v>
      </c>
      <c r="Y11" s="83" vm="6970">
        <v>144</v>
      </c>
      <c r="Z11" s="3">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36183</v>
      </c>
      <c r="AA11" s="83" vm="4550">
        <v>28177</v>
      </c>
      <c r="AB11" s="83" vm="4561">
        <v>3461</v>
      </c>
      <c r="AC11" s="83" vm="4564">
        <v>2729</v>
      </c>
      <c r="AD11" s="83" vm="4565">
        <v>1816</v>
      </c>
      <c r="AE11" s="7">
        <f xml:space="preserve"> IFERROR( VfM_Metrics_2023_Consol[[#This Row],[Total Net Debt]] / VfM_Metrics_2023_Consol[[#This Row],[Net Book Value of Housing Properties2]], "n/a" )</f>
        <v>0.54204152544300632</v>
      </c>
      <c r="AF11" s="3">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1525036</v>
      </c>
      <c r="AG11" s="83" vm="4566">
        <v>34400</v>
      </c>
      <c r="AH11" s="83" vm="4567">
        <v>1546673</v>
      </c>
      <c r="AI11" s="83" vm="4568">
        <v>56037</v>
      </c>
      <c r="AJ11" s="83" vm="4569">
        <v>0</v>
      </c>
      <c r="AK11" s="83" vm="4570">
        <v>0</v>
      </c>
      <c r="AL11" s="3">
        <f xml:space="preserve"> SUM( VfM_Metrics_2023_Consol[[#This Row],[Tangible fixed assets: Housing properties at cost (Current period)2]], VfM_Metrics_2023_Consol[[#This Row],[Tangible fixed assets Housing properties at valuation (Current period)2]] )</f>
        <v>2813504</v>
      </c>
      <c r="AM11" s="83" vm="4557">
        <v>2813504</v>
      </c>
      <c r="AN11" s="83" vm="4558">
        <v>0</v>
      </c>
      <c r="AO11" s="87">
        <f xml:space="preserve"> IFERROR( VfM_Metrics_2023_Consol[[#This Row],[EBITDA MRI]] / VfM_Metrics_2023_Consol[[#This Row],[Total interest]], "n/a" )</f>
        <v>0.26795554310264313</v>
      </c>
      <c r="AP11" s="3">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20083</v>
      </c>
      <c r="AQ11" s="84" vm="4571">
        <v>36756</v>
      </c>
      <c r="AR11" s="84" vm="7392">
        <v>14436</v>
      </c>
      <c r="AS11" s="84" vm="7620">
        <v>0</v>
      </c>
      <c r="AT11" s="84" vm="4574">
        <v>18923</v>
      </c>
      <c r="AU11" s="84" vm="7183">
        <v>2084</v>
      </c>
      <c r="AV11" s="84" vm="4575">
        <v>2817</v>
      </c>
      <c r="AW11" s="84" vm="4576">
        <v>28224</v>
      </c>
      <c r="AX11" s="84" vm="4577">
        <v>44177</v>
      </c>
      <c r="AY11" s="3">
        <f xml:space="preserve"> - SUM( VfM_Metrics_2023_Consol[[#This Row],[Interest capitalised]], VfM_Metrics_2023_Consol[[#This Row],[Interest payable and financing costs]] )</f>
        <v>74949</v>
      </c>
      <c r="AZ11" s="83" vm="4578">
        <v>-5249</v>
      </c>
      <c r="BA11" s="83" vm="4579">
        <v>-69700</v>
      </c>
      <c r="BB11" s="8">
        <f xml:space="preserve"> IFERROR( ( VfM_Metrics_2023_Consol[[#This Row],[Total Costs]] / VfM_Metrics_2023_Consol[[#This Row],[Total units for costs]] ) * 1000, "n/a" )</f>
        <v>7555.7320344486807</v>
      </c>
      <c r="BC11" s="3">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214069</v>
      </c>
      <c r="BD11" s="83" vm="4580">
        <v>56973</v>
      </c>
      <c r="BE11" s="83" vm="4581">
        <v>30051</v>
      </c>
      <c r="BF11" s="83" vm="4582">
        <v>31419</v>
      </c>
      <c r="BG11" s="83" vm="4583">
        <v>17953</v>
      </c>
      <c r="BH11" s="83" vm="7513">
        <v>8515</v>
      </c>
      <c r="BI11" s="83" vm="4584">
        <v>2041</v>
      </c>
      <c r="BJ11" s="83" vm="7560">
        <v>28224</v>
      </c>
      <c r="BK11" s="83" vm="5154">
        <v>0</v>
      </c>
      <c r="BL11" s="83" vm="7157">
        <v>9044</v>
      </c>
      <c r="BM11" s="83" vm="6969">
        <v>3690</v>
      </c>
      <c r="BN11" s="83">
        <v>23727</v>
      </c>
      <c r="BO11" s="83" vm="6109">
        <v>2432</v>
      </c>
      <c r="BP11" s="3" vm="4551">
        <f xml:space="preserve"> VfM_Metrics_2023_Consol[[#This Row],[Total social housing units owned and/or managed at period end]]</f>
        <v>28332</v>
      </c>
      <c r="BQ11" s="83" vm="4551">
        <v>28332</v>
      </c>
      <c r="BR11" s="7">
        <f xml:space="preserve"> IFERROR( VfM_Metrics_2023_Consol[[#This Row],[SHL operating surplus / (deficit)]] / VfM_Metrics_2023_Consol[[#This Row],[Turnover from social housing lettings]], "n/a" )</f>
        <v>0.1206342661787696</v>
      </c>
      <c r="BS11" s="3" vm="4586">
        <f xml:space="preserve"> VfM_Metrics_2023_Consol[[#This Row],[Operating surplus/(deficit) (social housing lettings)]]</f>
        <v>28088</v>
      </c>
      <c r="BT11" s="83" vm="4586">
        <v>28088</v>
      </c>
      <c r="BU11" s="3" vm="4587">
        <f xml:space="preserve"> VfM_Metrics_2023_Consol[[#This Row],[Turnover from social housing lettings]]</f>
        <v>232836</v>
      </c>
      <c r="BV11" s="83" vm="4587">
        <v>232836</v>
      </c>
      <c r="BW11" s="7">
        <f xml:space="preserve"> IFERROR( VfM_Metrics_2023_Consol[[#This Row],[Net operating surplus]] / VfM_Metrics_2023_Consol[[#This Row],[Overall turnover]], "n/a" )</f>
        <v>5.735769150710418E-2</v>
      </c>
      <c r="BX11" s="3">
        <f xml:space="preserve"> SUM( VfM_Metrics_2023_Consol[[#This Row],[Operating surplus/(deficit) (overall)2]], - VfM_Metrics_2023_Consol[[#This Row],[Gain/(loss) on disposal of fixed assets (housing properties)2]], - VfM_Metrics_2023_Consol[[#This Row],[Gain/(loss) on disposal of fixed assets (other)2]] )</f>
        <v>22320</v>
      </c>
      <c r="BY11" s="83" vm="7423">
        <v>36756</v>
      </c>
      <c r="BZ11" s="83" vm="4572">
        <v>14436</v>
      </c>
      <c r="CA11" s="83" vm="4573">
        <v>0</v>
      </c>
      <c r="CB11" s="3" vm="4838">
        <f xml:space="preserve"> VfM_Metrics_2023_Consol[[#This Row],[Turnover (overall)]]</f>
        <v>389137</v>
      </c>
      <c r="CC11" s="83" vm="4838">
        <v>389137</v>
      </c>
      <c r="CD11" s="7">
        <f xml:space="preserve"> IFERROR( VfM_Metrics_2023_Consol[[#This Row],[Operating surplus including from JVs]] / VfM_Metrics_2023_Consol[[#This Row],[Net assets]], "n/a" )</f>
        <v>1.181647313309594E-2</v>
      </c>
      <c r="CE11" s="3">
        <f xml:space="preserve"> SUM( VfM_Metrics_2023_Consol[[#This Row],[Operating surplus/(deficit) (overall)3]], VfM_Metrics_2023_Consol[[#This Row],[Share of operating surplus/(deficit) in joint ventures or associates]] )</f>
        <v>43461</v>
      </c>
      <c r="CF11" s="83" vm="4571">
        <v>36756</v>
      </c>
      <c r="CG11" s="83" vm="4589">
        <v>6705</v>
      </c>
      <c r="CH11" s="3" vm="4588">
        <f xml:space="preserve"> VfM_Metrics_2023_Consol[[#This Row],[Total assets less current liabilities]]</f>
        <v>3678001</v>
      </c>
      <c r="CI11" s="83" vm="4588">
        <v>3678001</v>
      </c>
      <c r="CJ11" s="71" vm="4550">
        <f xml:space="preserve"> VfM_Metrics_2023_Consol[[#This Row],[Total social housing units owned (Period end)]]</f>
        <v>28177</v>
      </c>
      <c r="CK11" s="103">
        <v>4.3164904034469251E-2</v>
      </c>
      <c r="CL11" s="6">
        <f xml:space="preserve"> -- ( VfM_Metrics_2023_Consol[[#This Row],[% Supported housing (excl. HOP)]] &gt; 0.3 )</f>
        <v>0</v>
      </c>
      <c r="CM11" s="103">
        <v>3.6271053662358013E-2</v>
      </c>
      <c r="CN11" s="6">
        <f xml:space="preserve"> -- ( VfM_Metrics_2023_Consol[[#This Row],[% Housing for older people]] &gt; 0.3 )</f>
        <v>0</v>
      </c>
      <c r="CO11" s="103">
        <f xml:space="preserve"> VfM_Metrics_2023_Consol[[#This Row],[% Supported housing (excl. HOP)]] + VfM_Metrics_2023_Consol[[#This Row],[% Housing for older people]]</f>
        <v>7.9435957696827264E-2</v>
      </c>
      <c r="CP11" s="6">
        <f xml:space="preserve"> -- ( VfM_Metrics_2023_Consol[[#This Row],[SH specialist in RSH analysis]] + VfM_Metrics_2023_Consol[[#This Row],[OP specialist in RSH analysis]] &gt; 0 )</f>
        <v>0</v>
      </c>
      <c r="CQ11" s="10">
        <f xml:space="preserve"> -- ( VfM_Metrics_2023_Consol[[#This Row],[% SH and OP]] &gt; 0.3 )</f>
        <v>0</v>
      </c>
      <c r="CR11" s="104" t="s">
        <v>143</v>
      </c>
      <c r="CS11" s="124" t="s">
        <v>144</v>
      </c>
      <c r="CT11" s="105"/>
      <c r="CU11" s="2"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1" s="85">
        <v>0.47504424778761062</v>
      </c>
      <c r="CW11" s="85">
        <v>0.5151622418879056</v>
      </c>
      <c r="CX11" s="85">
        <v>9.7541789577187815E-3</v>
      </c>
      <c r="CY11" s="85">
        <v>0</v>
      </c>
      <c r="CZ11" s="85">
        <v>0</v>
      </c>
      <c r="DA11" s="85">
        <v>3.9331366764995083E-5</v>
      </c>
      <c r="DB11" s="85">
        <v>0</v>
      </c>
      <c r="DC11" s="85">
        <v>0</v>
      </c>
      <c r="DD11" s="85">
        <v>0</v>
      </c>
      <c r="DE11" s="12">
        <v>1.09330805812148</v>
      </c>
    </row>
    <row r="12" spans="1:114" x14ac:dyDescent="0.25">
      <c r="A12" s="4" t="s" vm="254">
        <v>145</v>
      </c>
      <c r="B12" s="2" t="s" vm="2">
        <v>146</v>
      </c>
      <c r="C12" s="72" vm="427">
        <v>45016</v>
      </c>
      <c r="D12" s="7">
        <f>IFERROR( VfM_Metrics_2023_Consol[[#This Row],[Reinvestment Spend]] / VfM_Metrics_2023_Consol[[#This Row],[Net Book Value of Housing Properties]], "n/a" )</f>
        <v>8.8942469938366991E-2</v>
      </c>
      <c r="E1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200302</v>
      </c>
      <c r="F12" s="83" vm="1866">
        <v>177289</v>
      </c>
      <c r="G12" s="83" vm="1867">
        <v>0</v>
      </c>
      <c r="H12" s="83" vm="1868">
        <v>17660</v>
      </c>
      <c r="I12" s="83" vm="8097">
        <v>5353</v>
      </c>
      <c r="J12" s="83" vm="8134">
        <v>0</v>
      </c>
      <c r="K12" s="5">
        <f xml:space="preserve"> SUM( VfM_Metrics_2023_Consol[[#This Row],[Tangible fixed assets: Housing properties at cost (Current period)]],VfM_Metrics_2023_Consol[[#This Row],[Tangible fixed assets Housing properties at valuation (Current period)]] )</f>
        <v>2252040</v>
      </c>
      <c r="L12" s="84" vm="1869">
        <v>2252040</v>
      </c>
      <c r="M12" s="83">
        <v>0</v>
      </c>
      <c r="N12" s="7">
        <f xml:space="preserve"> IFERROR( VfM_Metrics_2023_Consol[[#This Row],[Total social units developed or newly built units acquired in-year]] / VfM_Metrics_2023_Consol[[#This Row],[Social housing units owned (period end)]], "n/a" )</f>
        <v>2.2767384398164489E-2</v>
      </c>
      <c r="O12" s="5">
        <f xml:space="preserve"> SUM( VfM_Metrics_2023_Consol[[#This Row],[Total social units developed or newly built units acquired in-year (owned)]], VfM_Metrics_2023_Consol[[#This Row],[Total social leasehold units developed or newly built units acquired in-year (owned)]] )</f>
        <v>774</v>
      </c>
      <c r="P12" s="84" vm="1870">
        <v>774</v>
      </c>
      <c r="Q12" s="83" vm="1871">
        <v>0</v>
      </c>
      <c r="R12" s="5">
        <f xml:space="preserve"> SUM( VfM_Metrics_2023_Consol[[#This Row],[Total social housing units owned (Period end)]], VfM_Metrics_2023_Consol[[#This Row],[Total social leasehold units owned (Period end)]] )</f>
        <v>33996</v>
      </c>
      <c r="S12" s="84" vm="8096">
        <v>32342</v>
      </c>
      <c r="T12" s="83" vm="1872">
        <v>1654</v>
      </c>
      <c r="U12" s="86">
        <f xml:space="preserve"> IFERROR( VfM_Metrics_2023_Consol[[#This Row],[Total non-social housing units developed or newly built units acquired (owned)]] / VfM_Metrics_2023_Consol[[#This Row],[Total social and non-social housing units owned (Period end)]], "n/a" )</f>
        <v>2.9067232508792838E-4</v>
      </c>
      <c r="V1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10</v>
      </c>
      <c r="W12" s="83" vm="1873">
        <v>0</v>
      </c>
      <c r="X12" s="83">
        <v>0</v>
      </c>
      <c r="Y12" s="83" vm="8131">
        <v>10</v>
      </c>
      <c r="Z1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34403</v>
      </c>
      <c r="AA12" s="84" vm="1865">
        <v>32342</v>
      </c>
      <c r="AB12" s="83" vm="1839">
        <v>1654</v>
      </c>
      <c r="AC12" s="83" vm="8199">
        <v>407</v>
      </c>
      <c r="AD12" s="83" vm="7119">
        <v>0</v>
      </c>
      <c r="AE12" s="7">
        <f xml:space="preserve"> IFERROR( VfM_Metrics_2023_Consol[[#This Row],[Total Net Debt]] / VfM_Metrics_2023_Consol[[#This Row],[Net Book Value of Housing Properties2]], "n/a" )</f>
        <v>0.51826566135592622</v>
      </c>
      <c r="AF1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1167155</v>
      </c>
      <c r="AG12" s="84" vm="1874">
        <v>30544</v>
      </c>
      <c r="AH12" s="83" vm="8094">
        <v>1201627</v>
      </c>
      <c r="AI12" s="83" vm="7118">
        <v>65016</v>
      </c>
      <c r="AJ12" s="83" vm="1675">
        <v>0</v>
      </c>
      <c r="AK12" s="83">
        <v>0</v>
      </c>
      <c r="AL12" s="5">
        <f xml:space="preserve"> SUM( VfM_Metrics_2023_Consol[[#This Row],[Tangible fixed assets: Housing properties at cost (Current period)2]], VfM_Metrics_2023_Consol[[#This Row],[Tangible fixed assets Housing properties at valuation (Current period)2]] )</f>
        <v>2252040</v>
      </c>
      <c r="AM12" s="84" vm="1869">
        <v>2252040</v>
      </c>
      <c r="AN12" s="83">
        <v>0</v>
      </c>
      <c r="AO12" s="87">
        <f xml:space="preserve"> IFERROR( VfM_Metrics_2023_Consol[[#This Row],[EBITDA MRI]] / VfM_Metrics_2023_Consol[[#This Row],[Total interest]], "n/a" )</f>
        <v>1.4435628306051898</v>
      </c>
      <c r="AP1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69317</v>
      </c>
      <c r="AQ12" s="84" vm="8044">
        <v>73958</v>
      </c>
      <c r="AR12" s="84" vm="7997">
        <v>15985</v>
      </c>
      <c r="AS12" s="84" vm="8126">
        <v>2665</v>
      </c>
      <c r="AT12" s="84" vm="1877">
        <v>5592</v>
      </c>
      <c r="AU12" s="84" vm="7117">
        <v>0</v>
      </c>
      <c r="AV12" s="84" vm="1451">
        <v>6505</v>
      </c>
      <c r="AW12" s="84" vm="1878">
        <v>17660</v>
      </c>
      <c r="AX12" s="84" vm="8027">
        <v>30756</v>
      </c>
      <c r="AY12" s="3">
        <f xml:space="preserve"> - SUM( VfM_Metrics_2023_Consol[[#This Row],[Interest capitalised]], VfM_Metrics_2023_Consol[[#This Row],[Interest payable and financing costs]] )</f>
        <v>48018</v>
      </c>
      <c r="AZ12" s="84" vm="1879">
        <v>-7986</v>
      </c>
      <c r="BA12" s="83" vm="1880">
        <v>-40032</v>
      </c>
      <c r="BB12" s="8">
        <f xml:space="preserve"> IFERROR( ( VfM_Metrics_2023_Consol[[#This Row],[Total Costs]] / VfM_Metrics_2023_Consol[[#This Row],[Total units for costs]] ) * 1000, "n/a" )</f>
        <v>4414.9236856981342</v>
      </c>
      <c r="BC1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148390</v>
      </c>
      <c r="BD12" s="84" vm="1881">
        <v>48636</v>
      </c>
      <c r="BE12" s="83" vm="1882">
        <v>11429</v>
      </c>
      <c r="BF12" s="83" vm="1883">
        <v>40164</v>
      </c>
      <c r="BG12" s="83" vm="7116">
        <v>12431</v>
      </c>
      <c r="BH12" s="83" vm="1884">
        <v>11314</v>
      </c>
      <c r="BI12" s="83" vm="8160">
        <v>0</v>
      </c>
      <c r="BJ12" s="83" vm="1878">
        <v>17660</v>
      </c>
      <c r="BK12" s="83" vm="8075">
        <v>1699</v>
      </c>
      <c r="BL12" s="83" vm="7982">
        <v>2740</v>
      </c>
      <c r="BM12" s="83">
        <v>0</v>
      </c>
      <c r="BN12" s="83" vm="1885">
        <v>421</v>
      </c>
      <c r="BO12" s="83" vm="1886">
        <v>1896</v>
      </c>
      <c r="BP12" s="5" vm="1449">
        <f xml:space="preserve"> VfM_Metrics_2023_Consol[[#This Row],[Total social housing units owned and/or managed at period end]]</f>
        <v>33611</v>
      </c>
      <c r="BQ12" s="84" vm="1449">
        <v>33611</v>
      </c>
      <c r="BR12" s="7">
        <f xml:space="preserve"> IFERROR( VfM_Metrics_2023_Consol[[#This Row],[SHL operating surplus / (deficit)]] / VfM_Metrics_2023_Consol[[#This Row],[Turnover from social housing lettings]], "n/a" )</f>
        <v>0.23192578216131163</v>
      </c>
      <c r="BS12" s="5" vm="1887">
        <f xml:space="preserve"> VfM_Metrics_2023_Consol[[#This Row],[Operating surplus/(deficit) (social housing lettings)]]</f>
        <v>46724</v>
      </c>
      <c r="BT12" s="84" vm="1887">
        <v>46724</v>
      </c>
      <c r="BU12" s="5" vm="1888">
        <f xml:space="preserve"> VfM_Metrics_2023_Consol[[#This Row],[Turnover from social housing lettings]]</f>
        <v>201461</v>
      </c>
      <c r="BV12" s="84" vm="1888">
        <v>201461</v>
      </c>
      <c r="BW12" s="7">
        <f xml:space="preserve"> IFERROR( VfM_Metrics_2023_Consol[[#This Row],[Net operating surplus]] / VfM_Metrics_2023_Consol[[#This Row],[Overall turnover]], "n/a" )</f>
        <v>0.20961751284811181</v>
      </c>
      <c r="BX12" s="5">
        <f xml:space="preserve"> SUM( VfM_Metrics_2023_Consol[[#This Row],[Operating surplus/(deficit) (overall)2]], - VfM_Metrics_2023_Consol[[#This Row],[Gain/(loss) on disposal of fixed assets (housing properties)2]], - VfM_Metrics_2023_Consol[[#This Row],[Gain/(loss) on disposal of fixed assets (other)2]] )</f>
        <v>55308</v>
      </c>
      <c r="BY12" s="84" vm="1875">
        <v>73958</v>
      </c>
      <c r="BZ12" s="83" vm="1876">
        <v>15985</v>
      </c>
      <c r="CA12" s="83" vm="8208">
        <v>2665</v>
      </c>
      <c r="CB12" s="5" vm="8136">
        <f xml:space="preserve"> VfM_Metrics_2023_Consol[[#This Row],[Turnover (overall)]]</f>
        <v>263852</v>
      </c>
      <c r="CC12" s="84" vm="8136">
        <v>263852</v>
      </c>
      <c r="CD12" s="7">
        <f xml:space="preserve"> IFERROR( VfM_Metrics_2023_Consol[[#This Row],[Operating surplus including from JVs]] / VfM_Metrics_2023_Consol[[#This Row],[Net assets]], "n/a" )</f>
        <v>3.0790707703106691E-2</v>
      </c>
      <c r="CE12" s="5">
        <f xml:space="preserve"> SUM( VfM_Metrics_2023_Consol[[#This Row],[Operating surplus/(deficit) (overall)3]], VfM_Metrics_2023_Consol[[#This Row],[Share of operating surplus/(deficit) in joint ventures or associates]] )</f>
        <v>78256</v>
      </c>
      <c r="CF12" s="84" vm="1875">
        <v>73958</v>
      </c>
      <c r="CG12" s="83" vm="8043">
        <v>4298</v>
      </c>
      <c r="CH12" s="5" vm="8091">
        <f xml:space="preserve"> VfM_Metrics_2023_Consol[[#This Row],[Total assets less current liabilities]]</f>
        <v>2541546</v>
      </c>
      <c r="CI12" s="84" vm="8091">
        <v>2541546</v>
      </c>
      <c r="CJ12" s="71" vm="8096">
        <f xml:space="preserve"> VfM_Metrics_2023_Consol[[#This Row],[Total social housing units owned (Period end)]]</f>
        <v>32342</v>
      </c>
      <c r="CK12" s="103">
        <v>5.3901598245064243E-3</v>
      </c>
      <c r="CL12" s="6">
        <f xml:space="preserve"> -- ( VfM_Metrics_2023_Consol[[#This Row],[% Supported housing (excl. HOP)]] &gt; 0.3 )</f>
        <v>0</v>
      </c>
      <c r="CM12" s="103">
        <v>8.9595738013162021E-2</v>
      </c>
      <c r="CN12" s="6">
        <f xml:space="preserve"> -- ( VfM_Metrics_2023_Consol[[#This Row],[% Housing for older people]] &gt; 0.3 )</f>
        <v>0</v>
      </c>
      <c r="CO12" s="103">
        <f xml:space="preserve"> VfM_Metrics_2023_Consol[[#This Row],[% Supported housing (excl. HOP)]] + VfM_Metrics_2023_Consol[[#This Row],[% Housing for older people]]</f>
        <v>9.4985897837668448E-2</v>
      </c>
      <c r="CP12" s="6">
        <f xml:space="preserve"> -- ( VfM_Metrics_2023_Consol[[#This Row],[SH specialist in RSH analysis]] + VfM_Metrics_2023_Consol[[#This Row],[OP specialist in RSH analysis]] &gt; 0 )</f>
        <v>0</v>
      </c>
      <c r="CQ12" s="10">
        <f xml:space="preserve"> -- ( VfM_Metrics_2023_Consol[[#This Row],[% SH and OP]] &gt; 0.3 )</f>
        <v>0</v>
      </c>
      <c r="CR12" s="104" t="s">
        <v>143</v>
      </c>
      <c r="CS12" s="124" t="s">
        <v>144</v>
      </c>
      <c r="CT12" s="105"/>
      <c r="CU1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2" s="85">
        <v>0</v>
      </c>
      <c r="CW12" s="85">
        <v>0.58751324070035515</v>
      </c>
      <c r="CX12" s="85">
        <v>0.41248675929964485</v>
      </c>
      <c r="CY12" s="85">
        <v>0</v>
      </c>
      <c r="CZ12" s="85">
        <v>0</v>
      </c>
      <c r="DA12" s="85">
        <v>0</v>
      </c>
      <c r="DB12" s="85">
        <v>0</v>
      </c>
      <c r="DC12" s="85">
        <v>0</v>
      </c>
      <c r="DD12" s="85">
        <v>0</v>
      </c>
      <c r="DE12" s="13">
        <v>1.0095435023807271</v>
      </c>
    </row>
    <row r="13" spans="1:114" x14ac:dyDescent="0.25">
      <c r="A13" s="4" t="s" vm="298">
        <v>147</v>
      </c>
      <c r="B13" s="2" t="s" vm="3">
        <v>148</v>
      </c>
      <c r="C13" s="72" vm="400">
        <v>45016</v>
      </c>
      <c r="D13" s="7">
        <f>IFERROR( VfM_Metrics_2023_Consol[[#This Row],[Reinvestment Spend]] / VfM_Metrics_2023_Consol[[#This Row],[Net Book Value of Housing Properties]], "n/a" )</f>
        <v>9.9638455120505093E-2</v>
      </c>
      <c r="E1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84193</v>
      </c>
      <c r="F13" s="83" vm="2336">
        <v>69636</v>
      </c>
      <c r="G13" s="83" vm="3277">
        <v>0</v>
      </c>
      <c r="H13" s="83" vm="3278">
        <v>12543</v>
      </c>
      <c r="I13" s="83" vm="3279">
        <v>2014</v>
      </c>
      <c r="J13" s="83" vm="3280">
        <v>0</v>
      </c>
      <c r="K13" s="5">
        <f xml:space="preserve"> SUM( VfM_Metrics_2023_Consol[[#This Row],[Tangible fixed assets: Housing properties at cost (Current period)]],VfM_Metrics_2023_Consol[[#This Row],[Tangible fixed assets Housing properties at valuation (Current period)]] )</f>
        <v>844985</v>
      </c>
      <c r="L13" s="84" vm="3281">
        <v>844985</v>
      </c>
      <c r="M13" s="83" vm="3282">
        <v>0</v>
      </c>
      <c r="N13" s="7">
        <f xml:space="preserve"> IFERROR( VfM_Metrics_2023_Consol[[#This Row],[Total social units developed or newly built units acquired in-year]] / VfM_Metrics_2023_Consol[[#This Row],[Social housing units owned (period end)]], "n/a" )</f>
        <v>1.1406644238856182E-2</v>
      </c>
      <c r="O13" s="5">
        <f xml:space="preserve"> SUM( VfM_Metrics_2023_Consol[[#This Row],[Total social units developed or newly built units acquired in-year (owned)]], VfM_Metrics_2023_Consol[[#This Row],[Total social leasehold units developed or newly built units acquired in-year (owned)]] )</f>
        <v>217</v>
      </c>
      <c r="P13" s="84" vm="3283">
        <v>217</v>
      </c>
      <c r="Q13" s="83" vm="3284">
        <v>0</v>
      </c>
      <c r="R13" s="5">
        <f xml:space="preserve"> SUM( VfM_Metrics_2023_Consol[[#This Row],[Total social housing units owned (Period end)]], VfM_Metrics_2023_Consol[[#This Row],[Total social leasehold units owned (Period end)]] )</f>
        <v>19024</v>
      </c>
      <c r="S13" s="84" vm="3275">
        <v>19024</v>
      </c>
      <c r="T13" s="83" vm="3285">
        <v>0</v>
      </c>
      <c r="U13" s="86">
        <f xml:space="preserve"> IFERROR( VfM_Metrics_2023_Consol[[#This Row],[Total non-social housing units developed or newly built units acquired (owned)]] / VfM_Metrics_2023_Consol[[#This Row],[Total social and non-social housing units owned (Period end)]], "n/a" )</f>
        <v>9.4478269997900479E-4</v>
      </c>
      <c r="V1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18</v>
      </c>
      <c r="W13" s="83" vm="3286">
        <v>11</v>
      </c>
      <c r="X13" s="83" vm="3758">
        <v>0</v>
      </c>
      <c r="Y13" s="83" vm="7650">
        <v>7</v>
      </c>
      <c r="Z1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19052</v>
      </c>
      <c r="AA13" s="84" vm="3275">
        <v>19024</v>
      </c>
      <c r="AB13" s="83" vm="7741">
        <v>0</v>
      </c>
      <c r="AC13" s="83" vm="7728">
        <v>28</v>
      </c>
      <c r="AD13" s="83" vm="3324">
        <v>0</v>
      </c>
      <c r="AE13" s="7">
        <f xml:space="preserve"> IFERROR( VfM_Metrics_2023_Consol[[#This Row],[Total Net Debt]] / VfM_Metrics_2023_Consol[[#This Row],[Net Book Value of Housing Properties2]], "n/a" )</f>
        <v>0.41938495949632243</v>
      </c>
      <c r="AF1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354374</v>
      </c>
      <c r="AG13" s="84" vm="3289">
        <v>5724</v>
      </c>
      <c r="AH13" s="83" vm="2874">
        <v>487930</v>
      </c>
      <c r="AI13" s="83" vm="3290">
        <v>139280</v>
      </c>
      <c r="AJ13" s="83" vm="3291">
        <v>0</v>
      </c>
      <c r="AK13" s="83" vm="3292">
        <v>0</v>
      </c>
      <c r="AL13" s="5">
        <f xml:space="preserve"> SUM( VfM_Metrics_2023_Consol[[#This Row],[Tangible fixed assets: Housing properties at cost (Current period)2]], VfM_Metrics_2023_Consol[[#This Row],[Tangible fixed assets Housing properties at valuation (Current period)2]] )</f>
        <v>844985</v>
      </c>
      <c r="AM13" s="84" vm="7715">
        <v>844985</v>
      </c>
      <c r="AN13" s="83" vm="3282">
        <v>0</v>
      </c>
      <c r="AO13" s="87">
        <f xml:space="preserve"> IFERROR( VfM_Metrics_2023_Consol[[#This Row],[EBITDA MRI]] / VfM_Metrics_2023_Consol[[#This Row],[Total interest]], "n/a" )</f>
        <v>2.0388143525741032</v>
      </c>
      <c r="AP1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32672</v>
      </c>
      <c r="AQ13" s="84" vm="7455">
        <v>31130</v>
      </c>
      <c r="AR13" s="84" vm="3294">
        <v>2805</v>
      </c>
      <c r="AS13" s="84" vm="3295">
        <v>0</v>
      </c>
      <c r="AT13" s="84" vm="3282">
        <v>3972</v>
      </c>
      <c r="AU13" s="84" vm="4266">
        <v>0</v>
      </c>
      <c r="AV13" s="84" vm="3296">
        <v>3100</v>
      </c>
      <c r="AW13" s="84" vm="3297">
        <v>12543</v>
      </c>
      <c r="AX13" s="84" vm="3298">
        <v>17762</v>
      </c>
      <c r="AY13" s="3">
        <f xml:space="preserve"> - SUM( VfM_Metrics_2023_Consol[[#This Row],[Interest capitalised]], VfM_Metrics_2023_Consol[[#This Row],[Interest payable and financing costs]] )</f>
        <v>16025</v>
      </c>
      <c r="AZ13" s="84" vm="3299">
        <v>-2014</v>
      </c>
      <c r="BA13" s="83" vm="3300">
        <v>-14011</v>
      </c>
      <c r="BB13" s="8">
        <f xml:space="preserve"> IFERROR( ( VfM_Metrics_2023_Consol[[#This Row],[Total Costs]] / VfM_Metrics_2023_Consol[[#This Row],[Total units for costs]] ) * 1000, "n/a" )</f>
        <v>3904.308985811876</v>
      </c>
      <c r="BC1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74299</v>
      </c>
      <c r="BD13" s="84" vm="3301">
        <v>19497</v>
      </c>
      <c r="BE13" s="83" vm="7718">
        <v>11248</v>
      </c>
      <c r="BF13" s="83" vm="7759">
        <v>18909</v>
      </c>
      <c r="BG13" s="83" vm="3302">
        <v>8316</v>
      </c>
      <c r="BH13" s="83" vm="7781">
        <v>0</v>
      </c>
      <c r="BI13" s="83" vm="3303">
        <v>0</v>
      </c>
      <c r="BJ13" s="83" vm="3297">
        <v>12543</v>
      </c>
      <c r="BK13" s="83" vm="7786">
        <v>2357</v>
      </c>
      <c r="BL13" s="83" vm="3304">
        <v>0</v>
      </c>
      <c r="BM13" s="83" vm="7716">
        <v>0</v>
      </c>
      <c r="BN13" s="83" vm="3305">
        <v>1277</v>
      </c>
      <c r="BO13" s="83" vm="3306">
        <v>152</v>
      </c>
      <c r="BP13" s="5" vm="3276">
        <f xml:space="preserve"> VfM_Metrics_2023_Consol[[#This Row],[Total social housing units owned and/or managed at period end]]</f>
        <v>19030</v>
      </c>
      <c r="BQ13" s="84" vm="3276">
        <v>19030</v>
      </c>
      <c r="BR13" s="7">
        <f xml:space="preserve"> IFERROR( VfM_Metrics_2023_Consol[[#This Row],[SHL operating surplus / (deficit)]] / VfM_Metrics_2023_Consol[[#This Row],[Turnover from social housing lettings]], "n/a" )</f>
        <v>0.25190067354667128</v>
      </c>
      <c r="BS13" s="5" vm="7570">
        <f xml:space="preserve"> VfM_Metrics_2023_Consol[[#This Row],[Operating surplus/(deficit) (social housing lettings)]]</f>
        <v>26142</v>
      </c>
      <c r="BT13" s="84" vm="7570">
        <v>26142</v>
      </c>
      <c r="BU13" s="5" vm="3307">
        <f xml:space="preserve"> VfM_Metrics_2023_Consol[[#This Row],[Turnover from social housing lettings]]</f>
        <v>103779</v>
      </c>
      <c r="BV13" s="84" vm="3307">
        <v>103779</v>
      </c>
      <c r="BW13" s="7">
        <f xml:space="preserve"> IFERROR( VfM_Metrics_2023_Consol[[#This Row],[Net operating surplus]] / VfM_Metrics_2023_Consol[[#This Row],[Overall turnover]], "n/a" )</f>
        <v>0.24556764489141272</v>
      </c>
      <c r="BX13" s="5">
        <f xml:space="preserve"> SUM( VfM_Metrics_2023_Consol[[#This Row],[Operating surplus/(deficit) (overall)2]], - VfM_Metrics_2023_Consol[[#This Row],[Gain/(loss) on disposal of fixed assets (housing properties)2]], - VfM_Metrics_2023_Consol[[#This Row],[Gain/(loss) on disposal of fixed assets (other)2]] )</f>
        <v>28325</v>
      </c>
      <c r="BY13" s="84" vm="3293">
        <v>31130</v>
      </c>
      <c r="BZ13" s="83" vm="3294">
        <v>2805</v>
      </c>
      <c r="CA13" s="83" vm="3295">
        <v>0</v>
      </c>
      <c r="CB13" s="5" vm="3308">
        <f xml:space="preserve"> VfM_Metrics_2023_Consol[[#This Row],[Turnover (overall)]]</f>
        <v>115345</v>
      </c>
      <c r="CC13" s="84" vm="3308">
        <v>115345</v>
      </c>
      <c r="CD13" s="7">
        <f xml:space="preserve"> IFERROR( VfM_Metrics_2023_Consol[[#This Row],[Operating surplus including from JVs]] / VfM_Metrics_2023_Consol[[#This Row],[Net assets]], "n/a" )</f>
        <v>3.3267275510291336E-2</v>
      </c>
      <c r="CE13" s="5">
        <f xml:space="preserve"> SUM( VfM_Metrics_2023_Consol[[#This Row],[Operating surplus/(deficit) (overall)3]], VfM_Metrics_2023_Consol[[#This Row],[Share of operating surplus/(deficit) in joint ventures or associates]] )</f>
        <v>31123</v>
      </c>
      <c r="CF13" s="84" vm="3293">
        <v>31130</v>
      </c>
      <c r="CG13" s="83" vm="3310">
        <v>-7</v>
      </c>
      <c r="CH13" s="5" vm="3309">
        <f xml:space="preserve"> VfM_Metrics_2023_Consol[[#This Row],[Total assets less current liabilities]]</f>
        <v>935544</v>
      </c>
      <c r="CI13" s="84" vm="3309">
        <v>935544</v>
      </c>
      <c r="CJ13" s="71" vm="3275">
        <f xml:space="preserve"> VfM_Metrics_2023_Consol[[#This Row],[Total social housing units owned (Period end)]]</f>
        <v>19024</v>
      </c>
      <c r="CK13" s="103">
        <v>7.8988941548183253E-4</v>
      </c>
      <c r="CL13" s="6">
        <f xml:space="preserve"> -- ( VfM_Metrics_2023_Consol[[#This Row],[% Supported housing (excl. HOP)]] &gt; 0.3 )</f>
        <v>0</v>
      </c>
      <c r="CM13" s="103">
        <v>9.7998946814112697E-2</v>
      </c>
      <c r="CN13" s="6">
        <f xml:space="preserve"> -- ( VfM_Metrics_2023_Consol[[#This Row],[% Housing for older people]] &gt; 0.3 )</f>
        <v>0</v>
      </c>
      <c r="CO13" s="103">
        <f xml:space="preserve"> VfM_Metrics_2023_Consol[[#This Row],[% Supported housing (excl. HOP)]] + VfM_Metrics_2023_Consol[[#This Row],[% Housing for older people]]</f>
        <v>9.8788836229594529E-2</v>
      </c>
      <c r="CP13" s="6">
        <f xml:space="preserve"> -- ( VfM_Metrics_2023_Consol[[#This Row],[SH specialist in RSH analysis]] + VfM_Metrics_2023_Consol[[#This Row],[OP specialist in RSH analysis]] &gt; 0 )</f>
        <v>0</v>
      </c>
      <c r="CQ13" s="10">
        <f xml:space="preserve"> -- ( VfM_Metrics_2023_Consol[[#This Row],[% SH and OP]] &gt; 0.3 )</f>
        <v>0</v>
      </c>
      <c r="CR13" s="104" t="s">
        <v>143</v>
      </c>
      <c r="CS13" s="124" t="s">
        <v>144</v>
      </c>
      <c r="CT13" s="105"/>
      <c r="CU1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3" s="85">
        <v>1.9991582491582492E-3</v>
      </c>
      <c r="CW13" s="85">
        <v>0.20533459595959597</v>
      </c>
      <c r="CX13" s="85">
        <v>0</v>
      </c>
      <c r="CY13" s="85">
        <v>5.8922558922558925E-2</v>
      </c>
      <c r="CZ13" s="85">
        <v>0</v>
      </c>
      <c r="DA13" s="85">
        <v>0.16629840067340068</v>
      </c>
      <c r="DB13" s="85">
        <v>0.13604797979797981</v>
      </c>
      <c r="DC13" s="85">
        <v>0.21148989898989898</v>
      </c>
      <c r="DD13" s="85">
        <v>0.21990740740740741</v>
      </c>
      <c r="DE13" s="13">
        <v>0.9726015695791056</v>
      </c>
    </row>
    <row r="14" spans="1:114" x14ac:dyDescent="0.25">
      <c r="A14" s="4" t="s" vm="392">
        <v>149</v>
      </c>
      <c r="B14" s="2" t="s" vm="4">
        <v>150</v>
      </c>
      <c r="C14" s="72" vm="399">
        <v>45016</v>
      </c>
      <c r="D14" s="7">
        <f>IFERROR( VfM_Metrics_2023_Consol[[#This Row],[Reinvestment Spend]] / VfM_Metrics_2023_Consol[[#This Row],[Net Book Value of Housing Properties]], "n/a" )</f>
        <v>7.9237709674745069E-2</v>
      </c>
      <c r="E1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22939</v>
      </c>
      <c r="F14" s="83" vm="6663">
        <v>6994</v>
      </c>
      <c r="G14" s="83" vm="6664">
        <v>7227</v>
      </c>
      <c r="H14" s="83" vm="6665">
        <v>8257</v>
      </c>
      <c r="I14" s="83" vm="6666">
        <v>461</v>
      </c>
      <c r="J14" s="83" vm="6667">
        <v>0</v>
      </c>
      <c r="K14" s="5">
        <f xml:space="preserve"> SUM( VfM_Metrics_2023_Consol[[#This Row],[Tangible fixed assets: Housing properties at cost (Current period)]],VfM_Metrics_2023_Consol[[#This Row],[Tangible fixed assets Housing properties at valuation (Current period)]] )</f>
        <v>289496</v>
      </c>
      <c r="L14" s="84" vm="6668">
        <v>289496</v>
      </c>
      <c r="M14" s="83" vm="6669">
        <v>0</v>
      </c>
      <c r="N14" s="7">
        <f xml:space="preserve"> IFERROR( VfM_Metrics_2023_Consol[[#This Row],[Total social units developed or newly built units acquired in-year]] / VfM_Metrics_2023_Consol[[#This Row],[Social housing units owned (period end)]], "n/a" )</f>
        <v>1.3464447806354009E-2</v>
      </c>
      <c r="O14" s="5">
        <f xml:space="preserve"> SUM( VfM_Metrics_2023_Consol[[#This Row],[Total social units developed or newly built units acquired in-year (owned)]], VfM_Metrics_2023_Consol[[#This Row],[Total social leasehold units developed or newly built units acquired in-year (owned)]] )</f>
        <v>89</v>
      </c>
      <c r="P14" s="84" vm="6670">
        <v>89</v>
      </c>
      <c r="Q14" s="83" vm="6671">
        <v>0</v>
      </c>
      <c r="R14" s="5">
        <f xml:space="preserve"> SUM( VfM_Metrics_2023_Consol[[#This Row],[Total social housing units owned (Period end)]], VfM_Metrics_2023_Consol[[#This Row],[Total social leasehold units owned (Period end)]] )</f>
        <v>6610</v>
      </c>
      <c r="S14" s="84" vm="6661">
        <v>6610</v>
      </c>
      <c r="T14" s="83" vm="7169">
        <v>0</v>
      </c>
      <c r="U14" s="86">
        <f xml:space="preserve"> IFERROR( VfM_Metrics_2023_Consol[[#This Row],[Total non-social housing units developed or newly built units acquired (owned)]] / VfM_Metrics_2023_Consol[[#This Row],[Total social and non-social housing units owned (Period end)]], "n/a" )</f>
        <v>1.4082703879144795E-3</v>
      </c>
      <c r="V1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11</v>
      </c>
      <c r="W14" s="83" vm="6673">
        <v>0</v>
      </c>
      <c r="X14" s="83" vm="6674">
        <v>0</v>
      </c>
      <c r="Y14" s="83" vm="6866">
        <v>11</v>
      </c>
      <c r="Z1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7811</v>
      </c>
      <c r="AA14" s="84" vm="6661">
        <v>6610</v>
      </c>
      <c r="AB14" s="83" vm="6672">
        <v>0</v>
      </c>
      <c r="AC14" s="83" vm="6675">
        <v>1150</v>
      </c>
      <c r="AD14" s="83" vm="6676">
        <v>51</v>
      </c>
      <c r="AE14" s="7">
        <f xml:space="preserve"> IFERROR( VfM_Metrics_2023_Consol[[#This Row],[Total Net Debt]] / VfM_Metrics_2023_Consol[[#This Row],[Net Book Value of Housing Properties2]], "n/a" )</f>
        <v>0.63454071904275011</v>
      </c>
      <c r="AF1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183697</v>
      </c>
      <c r="AG14" s="84" vm="6677">
        <v>1633</v>
      </c>
      <c r="AH14" s="83" vm="6678">
        <v>184385</v>
      </c>
      <c r="AI14" s="83" vm="6679">
        <v>2321</v>
      </c>
      <c r="AJ14" s="83" vm="6680">
        <v>0</v>
      </c>
      <c r="AK14" s="83" vm="7259">
        <v>0</v>
      </c>
      <c r="AL14" s="5">
        <f xml:space="preserve"> SUM( VfM_Metrics_2023_Consol[[#This Row],[Tangible fixed assets: Housing properties at cost (Current period)2]], VfM_Metrics_2023_Consol[[#This Row],[Tangible fixed assets Housing properties at valuation (Current period)2]] )</f>
        <v>289496</v>
      </c>
      <c r="AM14" s="84" vm="6668">
        <v>289496</v>
      </c>
      <c r="AN14" s="83" vm="6669">
        <v>0</v>
      </c>
      <c r="AO14" s="87">
        <f xml:space="preserve"> IFERROR( VfM_Metrics_2023_Consol[[#This Row],[EBITDA MRI]] / VfM_Metrics_2023_Consol[[#This Row],[Total interest]], "n/a" )</f>
        <v>1.3027703557868091</v>
      </c>
      <c r="AP1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9264</v>
      </c>
      <c r="AQ14" s="84" vm="6681">
        <v>11308</v>
      </c>
      <c r="AR14" s="84" vm="6682">
        <v>885</v>
      </c>
      <c r="AS14" s="84" vm="6683">
        <v>0</v>
      </c>
      <c r="AT14" s="84" vm="2312">
        <v>716</v>
      </c>
      <c r="AU14" s="84" vm="6684">
        <v>0</v>
      </c>
      <c r="AV14" s="84" vm="6685">
        <v>16</v>
      </c>
      <c r="AW14" s="84" vm="6686">
        <v>8257</v>
      </c>
      <c r="AX14" s="84" vm="6687">
        <v>7798</v>
      </c>
      <c r="AY14" s="3">
        <f xml:space="preserve"> - SUM( VfM_Metrics_2023_Consol[[#This Row],[Interest capitalised]], VfM_Metrics_2023_Consol[[#This Row],[Interest payable and financing costs]] )</f>
        <v>7111</v>
      </c>
      <c r="AZ14" s="84" vm="6688">
        <v>-461</v>
      </c>
      <c r="BA14" s="83" vm="7308">
        <v>-6650</v>
      </c>
      <c r="BB14" s="8">
        <f xml:space="preserve"> IFERROR( ( VfM_Metrics_2023_Consol[[#This Row],[Total Costs]] / VfM_Metrics_2023_Consol[[#This Row],[Total units for costs]] ) * 1000, "n/a" )</f>
        <v>3646.7473524962179</v>
      </c>
      <c r="BC1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24105</v>
      </c>
      <c r="BD14" s="84" vm="5259">
        <v>4464</v>
      </c>
      <c r="BE14" s="83" vm="6689">
        <v>1212</v>
      </c>
      <c r="BF14" s="83" vm="6690">
        <v>5398</v>
      </c>
      <c r="BG14" s="83" vm="6691">
        <v>1574</v>
      </c>
      <c r="BH14" s="83" vm="7016">
        <v>2183</v>
      </c>
      <c r="BI14" s="83" vm="6692">
        <v>0</v>
      </c>
      <c r="BJ14" s="83" vm="6686">
        <v>8257</v>
      </c>
      <c r="BK14" s="83" vm="6693">
        <v>1017</v>
      </c>
      <c r="BL14" s="83" vm="7258">
        <v>0</v>
      </c>
      <c r="BM14" s="83" vm="6694">
        <v>0</v>
      </c>
      <c r="BN14" s="83" vm="6695">
        <v>0</v>
      </c>
      <c r="BO14" s="83" vm="6874">
        <v>0</v>
      </c>
      <c r="BP14" s="5" vm="6662">
        <f xml:space="preserve"> VfM_Metrics_2023_Consol[[#This Row],[Total social housing units owned and/or managed at period end]]</f>
        <v>6610</v>
      </c>
      <c r="BQ14" s="84" vm="6662">
        <v>6610</v>
      </c>
      <c r="BR14" s="7">
        <f xml:space="preserve"> IFERROR( VfM_Metrics_2023_Consol[[#This Row],[SHL operating surplus / (deficit)]] / VfM_Metrics_2023_Consol[[#This Row],[Turnover from social housing lettings]], "n/a" )</f>
        <v>0.25210028878970858</v>
      </c>
      <c r="BS14" s="5" vm="6696">
        <f xml:space="preserve"> VfM_Metrics_2023_Consol[[#This Row],[Operating surplus/(deficit) (social housing lettings)]]</f>
        <v>7682</v>
      </c>
      <c r="BT14" s="84" vm="6696">
        <v>7682</v>
      </c>
      <c r="BU14" s="5" vm="6697">
        <f xml:space="preserve"> VfM_Metrics_2023_Consol[[#This Row],[Turnover from social housing lettings]]</f>
        <v>30472</v>
      </c>
      <c r="BV14" s="84" vm="6697">
        <v>30472</v>
      </c>
      <c r="BW14" s="7">
        <f xml:space="preserve"> IFERROR( VfM_Metrics_2023_Consol[[#This Row],[Net operating surplus]] / VfM_Metrics_2023_Consol[[#This Row],[Overall turnover]], "n/a" )</f>
        <v>0.26013277428371767</v>
      </c>
      <c r="BX14" s="5">
        <f xml:space="preserve"> SUM( VfM_Metrics_2023_Consol[[#This Row],[Operating surplus/(deficit) (overall)2]], - VfM_Metrics_2023_Consol[[#This Row],[Gain/(loss) on disposal of fixed assets (housing properties)2]], - VfM_Metrics_2023_Consol[[#This Row],[Gain/(loss) on disposal of fixed assets (other)2]] )</f>
        <v>10423</v>
      </c>
      <c r="BY14" s="84" vm="6681">
        <v>11308</v>
      </c>
      <c r="BZ14" s="83" vm="6682">
        <v>885</v>
      </c>
      <c r="CA14" s="83" vm="6683">
        <v>0</v>
      </c>
      <c r="CB14" s="5" vm="6698">
        <f xml:space="preserve"> VfM_Metrics_2023_Consol[[#This Row],[Turnover (overall)]]</f>
        <v>40068</v>
      </c>
      <c r="CC14" s="84" vm="6698">
        <v>40068</v>
      </c>
      <c r="CD14" s="7">
        <f xml:space="preserve"> IFERROR( VfM_Metrics_2023_Consol[[#This Row],[Operating surplus including from JVs]] / VfM_Metrics_2023_Consol[[#This Row],[Net assets]], "n/a" )</f>
        <v>3.8941271273408497E-2</v>
      </c>
      <c r="CE14" s="5">
        <f xml:space="preserve"> SUM( VfM_Metrics_2023_Consol[[#This Row],[Operating surplus/(deficit) (overall)3]], VfM_Metrics_2023_Consol[[#This Row],[Share of operating surplus/(deficit) in joint ventures or associates]] )</f>
        <v>11308</v>
      </c>
      <c r="CF14" s="84" vm="6681">
        <v>11308</v>
      </c>
      <c r="CG14" s="83" vm="6700">
        <v>0</v>
      </c>
      <c r="CH14" s="5" vm="6699">
        <f xml:space="preserve"> VfM_Metrics_2023_Consol[[#This Row],[Total assets less current liabilities]]</f>
        <v>290386</v>
      </c>
      <c r="CI14" s="84" vm="6699">
        <v>290386</v>
      </c>
      <c r="CJ14" s="71" vm="6661">
        <f xml:space="preserve"> VfM_Metrics_2023_Consol[[#This Row],[Total social housing units owned (Period end)]]</f>
        <v>6610</v>
      </c>
      <c r="CK14" s="103">
        <v>9.1130012150668284E-4</v>
      </c>
      <c r="CL14" s="6">
        <f xml:space="preserve"> -- ( VfM_Metrics_2023_Consol[[#This Row],[% Supported housing (excl. HOP)]] &gt; 0.3 )</f>
        <v>0</v>
      </c>
      <c r="CM14" s="103">
        <v>3.8274605103280679E-2</v>
      </c>
      <c r="CN14" s="6">
        <f xml:space="preserve"> -- ( VfM_Metrics_2023_Consol[[#This Row],[% Housing for older people]] &gt; 0.3 )</f>
        <v>0</v>
      </c>
      <c r="CO14" s="103">
        <f xml:space="preserve"> VfM_Metrics_2023_Consol[[#This Row],[% Supported housing (excl. HOP)]] + VfM_Metrics_2023_Consol[[#This Row],[% Housing for older people]]</f>
        <v>3.9185905224787362E-2</v>
      </c>
      <c r="CP14" s="6">
        <f xml:space="preserve"> -- ( VfM_Metrics_2023_Consol[[#This Row],[SH specialist in RSH analysis]] + VfM_Metrics_2023_Consol[[#This Row],[OP specialist in RSH analysis]] &gt; 0 )</f>
        <v>0</v>
      </c>
      <c r="CQ14" s="10">
        <f xml:space="preserve"> -- ( VfM_Metrics_2023_Consol[[#This Row],[% SH and OP]] &gt; 0.3 )</f>
        <v>0</v>
      </c>
      <c r="CR14" s="104" t="s">
        <v>143</v>
      </c>
      <c r="CS14" s="124"/>
      <c r="CT14" s="105" t="s">
        <v>151</v>
      </c>
      <c r="CU1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Midlands</v>
      </c>
      <c r="CV14" s="85">
        <v>0</v>
      </c>
      <c r="CW14" s="85">
        <v>0</v>
      </c>
      <c r="CX14" s="85">
        <v>0</v>
      </c>
      <c r="CY14" s="85">
        <v>0.76762481089258694</v>
      </c>
      <c r="CZ14" s="85">
        <v>0</v>
      </c>
      <c r="DA14" s="85">
        <v>0</v>
      </c>
      <c r="DB14" s="85">
        <v>0</v>
      </c>
      <c r="DC14" s="85">
        <v>0</v>
      </c>
      <c r="DD14" s="85">
        <v>0.232375189107413</v>
      </c>
      <c r="DE14" s="13">
        <v>0.94285874662421076</v>
      </c>
    </row>
    <row r="15" spans="1:114" x14ac:dyDescent="0.25">
      <c r="A15" s="4" t="s" vm="204">
        <v>152</v>
      </c>
      <c r="B15" s="2" t="s" vm="5">
        <v>153</v>
      </c>
      <c r="C15" s="72" vm="398">
        <v>45016</v>
      </c>
      <c r="D15" s="7">
        <f>IFERROR( VfM_Metrics_2023_Consol[[#This Row],[Reinvestment Spend]] / VfM_Metrics_2023_Consol[[#This Row],[Net Book Value of Housing Properties]], "n/a" )</f>
        <v>8.651176640596947E-2</v>
      </c>
      <c r="E1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9878</v>
      </c>
      <c r="F15" s="83" vm="702">
        <v>0</v>
      </c>
      <c r="G15" s="83" vm="9080">
        <v>9075</v>
      </c>
      <c r="H15" s="83" vm="703">
        <v>803</v>
      </c>
      <c r="I15" s="83" vm="9008">
        <v>0</v>
      </c>
      <c r="J15" s="83" vm="704">
        <v>0</v>
      </c>
      <c r="K15" s="5">
        <f xml:space="preserve"> SUM( VfM_Metrics_2023_Consol[[#This Row],[Tangible fixed assets: Housing properties at cost (Current period)]],VfM_Metrics_2023_Consol[[#This Row],[Tangible fixed assets Housing properties at valuation (Current period)]] )</f>
        <v>114181</v>
      </c>
      <c r="L15" s="84" vm="9127">
        <v>114181</v>
      </c>
      <c r="M15" s="83" vm="600">
        <v>0</v>
      </c>
      <c r="N15" s="7">
        <f xml:space="preserve"> IFERROR( VfM_Metrics_2023_Consol[[#This Row],[Total social units developed or newly built units acquired in-year]] / VfM_Metrics_2023_Consol[[#This Row],[Social housing units owned (period end)]], "n/a" )</f>
        <v>2.5858225590726706E-2</v>
      </c>
      <c r="O15" s="5">
        <f xml:space="preserve"> SUM( VfM_Metrics_2023_Consol[[#This Row],[Total social units developed or newly built units acquired in-year (owned)]], VfM_Metrics_2023_Consol[[#This Row],[Total social leasehold units developed or newly built units acquired in-year (owned)]] )</f>
        <v>58</v>
      </c>
      <c r="P15" s="84" vm="9066">
        <v>58</v>
      </c>
      <c r="Q15" s="83" vm="9162">
        <v>0</v>
      </c>
      <c r="R15" s="5">
        <f xml:space="preserve"> SUM( VfM_Metrics_2023_Consol[[#This Row],[Total social housing units owned (Period end)]], VfM_Metrics_2023_Consol[[#This Row],[Total social leasehold units owned (Period end)]] )</f>
        <v>2243</v>
      </c>
      <c r="S15" s="84" vm="700">
        <v>2243</v>
      </c>
      <c r="T15" s="83" vm="9073">
        <v>0</v>
      </c>
      <c r="U15" s="86">
        <f xml:space="preserve"> IFERROR( VfM_Metrics_2023_Consol[[#This Row],[Total non-social housing units developed or newly built units acquired (owned)]] / VfM_Metrics_2023_Consol[[#This Row],[Total social and non-social housing units owned (Period end)]], "n/a" )</f>
        <v>0</v>
      </c>
      <c r="V1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5" s="83" vm="9164">
        <v>0</v>
      </c>
      <c r="X15" s="83" vm="9150">
        <v>0</v>
      </c>
      <c r="Y15" s="83" vm="706">
        <v>0</v>
      </c>
      <c r="Z1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2243</v>
      </c>
      <c r="AA15" s="84" vm="700">
        <v>2243</v>
      </c>
      <c r="AB15" s="83" vm="9006">
        <v>0</v>
      </c>
      <c r="AC15" s="83" vm="707">
        <v>0</v>
      </c>
      <c r="AD15" s="83" vm="708">
        <v>0</v>
      </c>
      <c r="AE15" s="7">
        <f xml:space="preserve"> IFERROR( VfM_Metrics_2023_Consol[[#This Row],[Total Net Debt]] / VfM_Metrics_2023_Consol[[#This Row],[Net Book Value of Housing Properties2]], "n/a" )</f>
        <v>-8.5565899755651112E-3</v>
      </c>
      <c r="AF1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-977</v>
      </c>
      <c r="AG15" s="84" vm="795">
        <v>760</v>
      </c>
      <c r="AH15" s="83" vm="9061">
        <v>6273</v>
      </c>
      <c r="AI15" s="83" vm="709">
        <v>8010</v>
      </c>
      <c r="AJ15" s="83" vm="687">
        <v>0</v>
      </c>
      <c r="AK15" s="83" vm="710">
        <v>0</v>
      </c>
      <c r="AL15" s="5">
        <f xml:space="preserve"> SUM( VfM_Metrics_2023_Consol[[#This Row],[Tangible fixed assets: Housing properties at cost (Current period)2]], VfM_Metrics_2023_Consol[[#This Row],[Tangible fixed assets Housing properties at valuation (Current period)2]] )</f>
        <v>114181</v>
      </c>
      <c r="AM15" s="84" vm="9159">
        <v>114181</v>
      </c>
      <c r="AN15" s="83" vm="705">
        <v>0</v>
      </c>
      <c r="AO15" s="87">
        <f xml:space="preserve"> IFERROR( VfM_Metrics_2023_Consol[[#This Row],[EBITDA MRI]] / VfM_Metrics_2023_Consol[[#This Row],[Total interest]], "n/a" )</f>
        <v>4.3608490566037732</v>
      </c>
      <c r="AP1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1849</v>
      </c>
      <c r="AQ15" s="84" vm="9070">
        <v>1951</v>
      </c>
      <c r="AR15" s="84" vm="602">
        <v>689</v>
      </c>
      <c r="AS15" s="84" vm="9002">
        <v>0</v>
      </c>
      <c r="AT15" s="84" vm="713">
        <v>1893</v>
      </c>
      <c r="AU15" s="84" vm="9102">
        <v>0</v>
      </c>
      <c r="AV15" s="84" vm="714">
        <v>31</v>
      </c>
      <c r="AW15" s="84" vm="9068">
        <v>803</v>
      </c>
      <c r="AX15" s="84" vm="9138">
        <v>3252</v>
      </c>
      <c r="AY15" s="3">
        <f xml:space="preserve"> - SUM( VfM_Metrics_2023_Consol[[#This Row],[Interest capitalised]], VfM_Metrics_2023_Consol[[#This Row],[Interest payable and financing costs]] )</f>
        <v>424</v>
      </c>
      <c r="AZ15" s="84" vm="716">
        <v>0</v>
      </c>
      <c r="BA15" s="83" vm="763">
        <v>-424</v>
      </c>
      <c r="BB15" s="8">
        <f xml:space="preserve"> IFERROR( ( VfM_Metrics_2023_Consol[[#This Row],[Total Costs]] / VfM_Metrics_2023_Consol[[#This Row],[Total units for costs]] ) * 1000, "n/a" )</f>
        <v>16111.593573599652</v>
      </c>
      <c r="BC1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37105</v>
      </c>
      <c r="BD15" s="84" vm="9161">
        <v>1355</v>
      </c>
      <c r="BE15" s="83" vm="9001">
        <v>6186</v>
      </c>
      <c r="BF15" s="83" vm="9057">
        <v>3162</v>
      </c>
      <c r="BG15" s="83" vm="717">
        <v>3117</v>
      </c>
      <c r="BH15" s="83" vm="9110">
        <v>524</v>
      </c>
      <c r="BI15" s="83" vm="718">
        <v>670</v>
      </c>
      <c r="BJ15" s="83" vm="715">
        <v>803</v>
      </c>
      <c r="BK15" s="83" vm="8998">
        <v>2173</v>
      </c>
      <c r="BL15" s="83" vm="789">
        <v>300</v>
      </c>
      <c r="BM15" s="83" vm="719">
        <v>0</v>
      </c>
      <c r="BN15" s="83" vm="720">
        <v>0</v>
      </c>
      <c r="BO15" s="83" vm="823">
        <v>18815</v>
      </c>
      <c r="BP15" s="5" vm="701">
        <f xml:space="preserve"> VfM_Metrics_2023_Consol[[#This Row],[Total social housing units owned and/or managed at period end]]</f>
        <v>2303</v>
      </c>
      <c r="BQ15" s="84" vm="701">
        <v>2303</v>
      </c>
      <c r="BR15" s="7">
        <f xml:space="preserve"> IFERROR( VfM_Metrics_2023_Consol[[#This Row],[SHL operating surplus / (deficit)]] / VfM_Metrics_2023_Consol[[#This Row],[Turnover from social housing lettings]], "n/a" )</f>
        <v>0.11266726137377342</v>
      </c>
      <c r="BS15" s="5" vm="9194">
        <f xml:space="preserve"> VfM_Metrics_2023_Consol[[#This Row],[Operating surplus/(deficit) (social housing lettings)]]</f>
        <v>2526</v>
      </c>
      <c r="BT15" s="84" vm="9194">
        <v>2526</v>
      </c>
      <c r="BU15" s="5" vm="8997">
        <f xml:space="preserve"> VfM_Metrics_2023_Consol[[#This Row],[Turnover from social housing lettings]]</f>
        <v>22420</v>
      </c>
      <c r="BV15" s="84" vm="8997">
        <v>22420</v>
      </c>
      <c r="BW15" s="7">
        <f xml:space="preserve"> IFERROR( VfM_Metrics_2023_Consol[[#This Row],[Net operating surplus]] / VfM_Metrics_2023_Consol[[#This Row],[Overall turnover]], "n/a" )</f>
        <v>2.6907741839193193E-2</v>
      </c>
      <c r="BX15" s="5">
        <f xml:space="preserve"> SUM( VfM_Metrics_2023_Consol[[#This Row],[Operating surplus/(deficit) (overall)2]], - VfM_Metrics_2023_Consol[[#This Row],[Gain/(loss) on disposal of fixed assets (housing properties)2]], - VfM_Metrics_2023_Consol[[#This Row],[Gain/(loss) on disposal of fixed assets (other)2]] )</f>
        <v>1262</v>
      </c>
      <c r="BY15" s="84" vm="9019">
        <v>1951</v>
      </c>
      <c r="BZ15" s="83" vm="9096">
        <v>689</v>
      </c>
      <c r="CA15" s="83" vm="712">
        <v>0</v>
      </c>
      <c r="CB15" s="5" vm="9117">
        <f xml:space="preserve"> VfM_Metrics_2023_Consol[[#This Row],[Turnover (overall)]]</f>
        <v>46901</v>
      </c>
      <c r="CC15" s="84" vm="9117">
        <v>46901</v>
      </c>
      <c r="CD15" s="7">
        <f xml:space="preserve"> IFERROR( VfM_Metrics_2023_Consol[[#This Row],[Operating surplus including from JVs]] / VfM_Metrics_2023_Consol[[#This Row],[Net assets]], "n/a" )</f>
        <v>1.6309027226295066E-2</v>
      </c>
      <c r="CE15" s="5">
        <f xml:space="preserve"> SUM( VfM_Metrics_2023_Consol[[#This Row],[Operating surplus/(deficit) (overall)3]], VfM_Metrics_2023_Consol[[#This Row],[Share of operating surplus/(deficit) in joint ventures or associates]] )</f>
        <v>1951</v>
      </c>
      <c r="CF15" s="84" vm="711">
        <v>1951</v>
      </c>
      <c r="CG15" s="83" vm="9147">
        <v>0</v>
      </c>
      <c r="CH15" s="5" vm="9009">
        <f xml:space="preserve"> VfM_Metrics_2023_Consol[[#This Row],[Total assets less current liabilities]]</f>
        <v>119627</v>
      </c>
      <c r="CI15" s="84" vm="9009">
        <v>119627</v>
      </c>
      <c r="CJ15" s="71" vm="700">
        <f xml:space="preserve"> VfM_Metrics_2023_Consol[[#This Row],[Total social housing units owned (Period end)]]</f>
        <v>2243</v>
      </c>
      <c r="CK15" s="103">
        <v>0.62841774988794263</v>
      </c>
      <c r="CL15" s="6">
        <f xml:space="preserve"> -- ( VfM_Metrics_2023_Consol[[#This Row],[% Supported housing (excl. HOP)]] &gt; 0.3 )</f>
        <v>1</v>
      </c>
      <c r="CM15" s="103">
        <v>0</v>
      </c>
      <c r="CN15" s="6">
        <f xml:space="preserve"> -- ( VfM_Metrics_2023_Consol[[#This Row],[% Housing for older people]] &gt; 0.3 )</f>
        <v>0</v>
      </c>
      <c r="CO15" s="103">
        <f xml:space="preserve"> VfM_Metrics_2023_Consol[[#This Row],[% Supported housing (excl. HOP)]] + VfM_Metrics_2023_Consol[[#This Row],[% Housing for older people]]</f>
        <v>0.62841774988794263</v>
      </c>
      <c r="CP15" s="6">
        <f xml:space="preserve"> -- ( VfM_Metrics_2023_Consol[[#This Row],[SH specialist in RSH analysis]] + VfM_Metrics_2023_Consol[[#This Row],[OP specialist in RSH analysis]] &gt; 0 )</f>
        <v>1</v>
      </c>
      <c r="CQ15" s="10">
        <f xml:space="preserve"> -- ( VfM_Metrics_2023_Consol[[#This Row],[% SH and OP]] &gt; 0.3 )</f>
        <v>1</v>
      </c>
      <c r="CR15" s="104" t="s">
        <v>143</v>
      </c>
      <c r="CS15" s="124" t="s">
        <v>144</v>
      </c>
      <c r="CT15" s="105"/>
      <c r="CU1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5" s="85">
        <v>2.7089072543617997E-2</v>
      </c>
      <c r="CW15" s="85">
        <v>0.28053259871441688</v>
      </c>
      <c r="CX15" s="85">
        <v>0.32277318640955005</v>
      </c>
      <c r="CY15" s="85">
        <v>0.24793388429752067</v>
      </c>
      <c r="CZ15" s="85">
        <v>8.7695133149678597E-2</v>
      </c>
      <c r="DA15" s="85">
        <v>3.1221303948576674E-2</v>
      </c>
      <c r="DB15" s="85">
        <v>4.591368227731864E-4</v>
      </c>
      <c r="DC15" s="85">
        <v>9.1827364554637281E-4</v>
      </c>
      <c r="DD15" s="85">
        <v>1.3774104683195593E-3</v>
      </c>
      <c r="DE15" s="13">
        <v>0.98856830244107563</v>
      </c>
    </row>
    <row r="16" spans="1:114" x14ac:dyDescent="0.25">
      <c r="A16" s="4" t="s">
        <v>154</v>
      </c>
      <c r="B16" s="2" t="s" vm="6">
        <v>155</v>
      </c>
      <c r="C16" s="72" vm="401">
        <v>45016</v>
      </c>
      <c r="D16" s="7">
        <f>IFERROR( VfM_Metrics_2023_Consol[[#This Row],[Reinvestment Spend]] / VfM_Metrics_2023_Consol[[#This Row],[Net Book Value of Housing Properties]], "n/a" )</f>
        <v>0.17459660855715944</v>
      </c>
      <c r="E1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242272</v>
      </c>
      <c r="F16" s="83" vm="1089">
        <v>47783</v>
      </c>
      <c r="G16" s="83" vm="1420">
        <v>147353</v>
      </c>
      <c r="H16" s="83" vm="1421">
        <v>47136</v>
      </c>
      <c r="I16" s="83" vm="1422">
        <v>0</v>
      </c>
      <c r="J16" s="83" vm="1423">
        <v>0</v>
      </c>
      <c r="K16" s="5">
        <f xml:space="preserve"> SUM( VfM_Metrics_2023_Consol[[#This Row],[Tangible fixed assets: Housing properties at cost (Current period)]],VfM_Metrics_2023_Consol[[#This Row],[Tangible fixed assets Housing properties at valuation (Current period)]] )</f>
        <v>1387610</v>
      </c>
      <c r="L16" s="84" vm="8451">
        <v>1387610</v>
      </c>
      <c r="M16" s="83" vm="1434">
        <v>0</v>
      </c>
      <c r="N16" s="7">
        <f xml:space="preserve"> IFERROR( VfM_Metrics_2023_Consol[[#This Row],[Total social units developed or newly built units acquired in-year]] / VfM_Metrics_2023_Consol[[#This Row],[Social housing units owned (period end)]], "n/a" )</f>
        <v>4.2275849920732781E-3</v>
      </c>
      <c r="O16" s="5">
        <f xml:space="preserve"> SUM( VfM_Metrics_2023_Consol[[#This Row],[Total social units developed or newly built units acquired in-year (owned)]], VfM_Metrics_2023_Consol[[#This Row],[Total social leasehold units developed or newly built units acquired in-year (owned)]] )</f>
        <v>216</v>
      </c>
      <c r="P16" s="84" vm="8259">
        <v>156</v>
      </c>
      <c r="Q16" s="83" vm="8363">
        <v>60</v>
      </c>
      <c r="R16" s="5">
        <f xml:space="preserve"> SUM( VfM_Metrics_2023_Consol[[#This Row],[Total social housing units owned (Period end)]], VfM_Metrics_2023_Consol[[#This Row],[Total social leasehold units owned (Period end)]] )</f>
        <v>51093</v>
      </c>
      <c r="S16" s="84" vm="8062">
        <v>40338</v>
      </c>
      <c r="T16" s="83" vm="1425">
        <v>10755</v>
      </c>
      <c r="U16" s="86">
        <f xml:space="preserve"> IFERROR( VfM_Metrics_2023_Consol[[#This Row],[Total non-social housing units developed or newly built units acquired (owned)]] / VfM_Metrics_2023_Consol[[#This Row],[Total social and non-social housing units owned (Period end)]], "n/a" )</f>
        <v>1.6766817044437544E-2</v>
      </c>
      <c r="V1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918</v>
      </c>
      <c r="W16" s="83" vm="8591">
        <v>789</v>
      </c>
      <c r="X16" s="83" vm="1426">
        <v>65</v>
      </c>
      <c r="Y16" s="83" vm="1427">
        <v>64</v>
      </c>
      <c r="Z1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54751</v>
      </c>
      <c r="AA16" s="84" vm="1400">
        <v>40338</v>
      </c>
      <c r="AB16" s="83" vm="1378">
        <v>10755</v>
      </c>
      <c r="AC16" s="83" vm="1377">
        <v>3401</v>
      </c>
      <c r="AD16" s="83" vm="8316">
        <v>257</v>
      </c>
      <c r="AE16" s="7">
        <f xml:space="preserve"> IFERROR( VfM_Metrics_2023_Consol[[#This Row],[Total Net Debt]] / VfM_Metrics_2023_Consol[[#This Row],[Net Book Value of Housing Properties2]], "n/a" )</f>
        <v>0.54326215579305426</v>
      </c>
      <c r="AF1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753836</v>
      </c>
      <c r="AG16" s="84" vm="8361">
        <v>1092</v>
      </c>
      <c r="AH16" s="83" vm="1430">
        <v>547551</v>
      </c>
      <c r="AI16" s="83" vm="1431">
        <v>34260</v>
      </c>
      <c r="AJ16" s="83" vm="8469">
        <v>0</v>
      </c>
      <c r="AK16" s="83" vm="1432">
        <v>239453</v>
      </c>
      <c r="AL16" s="5">
        <f xml:space="preserve"> SUM( VfM_Metrics_2023_Consol[[#This Row],[Tangible fixed assets: Housing properties at cost (Current period)2]], VfM_Metrics_2023_Consol[[#This Row],[Tangible fixed assets Housing properties at valuation (Current period)2]] )</f>
        <v>1387610</v>
      </c>
      <c r="AM16" s="84" vm="1424">
        <v>1387610</v>
      </c>
      <c r="AN16" s="83" vm="2014">
        <v>0</v>
      </c>
      <c r="AO16" s="87">
        <f xml:space="preserve"> IFERROR( VfM_Metrics_2023_Consol[[#This Row],[EBITDA MRI]] / VfM_Metrics_2023_Consol[[#This Row],[Total interest]], "n/a" )</f>
        <v>1.4454092575935791</v>
      </c>
      <c r="AP1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41781</v>
      </c>
      <c r="AQ16" s="84" vm="1433">
        <v>37538</v>
      </c>
      <c r="AR16" s="84" vm="1434">
        <v>3097</v>
      </c>
      <c r="AS16" s="84" vm="1435">
        <v>0</v>
      </c>
      <c r="AT16" s="84" vm="2025">
        <v>12974</v>
      </c>
      <c r="AU16" s="84" vm="8360">
        <v>0</v>
      </c>
      <c r="AV16" s="84" vm="1436">
        <v>2741</v>
      </c>
      <c r="AW16" s="84" vm="8450">
        <v>47136</v>
      </c>
      <c r="AX16" s="84" vm="1438">
        <v>64709</v>
      </c>
      <c r="AY16" s="3">
        <f xml:space="preserve"> - SUM( VfM_Metrics_2023_Consol[[#This Row],[Interest capitalised]], VfM_Metrics_2023_Consol[[#This Row],[Interest payable and financing costs]] )</f>
        <v>28906</v>
      </c>
      <c r="AZ16" s="84" vm="1439">
        <v>0</v>
      </c>
      <c r="BA16" s="83" vm="1361">
        <v>-28906</v>
      </c>
      <c r="BB16" s="8">
        <f xml:space="preserve"> IFERROR( ( VfM_Metrics_2023_Consol[[#This Row],[Total Costs]] / VfM_Metrics_2023_Consol[[#This Row],[Total units for costs]] ) * 1000, "n/a" )</f>
        <v>11167.356287867593</v>
      </c>
      <c r="BC1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453417</v>
      </c>
      <c r="BD16" s="84" vm="1194">
        <v>77417</v>
      </c>
      <c r="BE16" s="83" vm="2265">
        <v>263383</v>
      </c>
      <c r="BF16" s="83" vm="1440">
        <v>26968</v>
      </c>
      <c r="BG16" s="83" vm="1441">
        <v>28889</v>
      </c>
      <c r="BH16" s="83" vm="1858">
        <v>0</v>
      </c>
      <c r="BI16" s="83" vm="8257">
        <v>427</v>
      </c>
      <c r="BJ16" s="83" vm="1437">
        <v>47136</v>
      </c>
      <c r="BK16" s="83" vm="8358">
        <v>4598</v>
      </c>
      <c r="BL16" s="83" vm="1443">
        <v>0</v>
      </c>
      <c r="BM16" s="83" vm="8447">
        <v>0</v>
      </c>
      <c r="BN16" s="83" vm="1444">
        <v>4254</v>
      </c>
      <c r="BO16" s="83" vm="1445">
        <v>345</v>
      </c>
      <c r="BP16" s="5" vm="1419">
        <f xml:space="preserve"> VfM_Metrics_2023_Consol[[#This Row],[Total social housing units owned and/or managed at period end]]</f>
        <v>40602</v>
      </c>
      <c r="BQ16" s="84" vm="1419">
        <v>40602</v>
      </c>
      <c r="BR16" s="7">
        <f xml:space="preserve"> IFERROR( VfM_Metrics_2023_Consol[[#This Row],[SHL operating surplus / (deficit)]] / VfM_Metrics_2023_Consol[[#This Row],[Turnover from social housing lettings]], "n/a" )</f>
        <v>8.7706834972356776E-2</v>
      </c>
      <c r="BS16" s="5" vm="1373">
        <f xml:space="preserve"> VfM_Metrics_2023_Consol[[#This Row],[Operating surplus/(deficit) (social housing lettings)]]</f>
        <v>44816</v>
      </c>
      <c r="BT16" s="84" vm="1373">
        <v>44816</v>
      </c>
      <c r="BU16" s="5" vm="1446">
        <f xml:space="preserve"> VfM_Metrics_2023_Consol[[#This Row],[Turnover from social housing lettings]]</f>
        <v>510975</v>
      </c>
      <c r="BV16" s="84" vm="1446">
        <v>510975</v>
      </c>
      <c r="BW16" s="7">
        <f xml:space="preserve"> IFERROR( VfM_Metrics_2023_Consol[[#This Row],[Net operating surplus]] / VfM_Metrics_2023_Consol[[#This Row],[Overall turnover]], "n/a" )</f>
        <v>6.2003795011755895E-2</v>
      </c>
      <c r="BX16" s="5">
        <f xml:space="preserve"> SUM( VfM_Metrics_2023_Consol[[#This Row],[Operating surplus/(deficit) (overall)2]], - VfM_Metrics_2023_Consol[[#This Row],[Gain/(loss) on disposal of fixed assets (housing properties)2]], - VfM_Metrics_2023_Consol[[#This Row],[Gain/(loss) on disposal of fixed assets (other)2]] )</f>
        <v>34441</v>
      </c>
      <c r="BY16" s="84" vm="1433">
        <v>37538</v>
      </c>
      <c r="BZ16" s="83" vm="7838">
        <v>3097</v>
      </c>
      <c r="CA16" s="83" vm="8446">
        <v>0</v>
      </c>
      <c r="CB16" s="5" vm="8101">
        <f xml:space="preserve"> VfM_Metrics_2023_Consol[[#This Row],[Turnover (overall)]]</f>
        <v>555466</v>
      </c>
      <c r="CC16" s="84" vm="8101">
        <v>555466</v>
      </c>
      <c r="CD16" s="7">
        <f xml:space="preserve"> IFERROR( VfM_Metrics_2023_Consol[[#This Row],[Operating surplus including from JVs]] / VfM_Metrics_2023_Consol[[#This Row],[Net assets]], "n/a" )</f>
        <v>2.3750306068798573E-2</v>
      </c>
      <c r="CE16" s="5">
        <f xml:space="preserve"> SUM( VfM_Metrics_2023_Consol[[#This Row],[Operating surplus/(deficit) (overall)3]], VfM_Metrics_2023_Consol[[#This Row],[Share of operating surplus/(deficit) in joint ventures or associates]] )</f>
        <v>37538</v>
      </c>
      <c r="CF16" s="84" vm="7891">
        <v>37538</v>
      </c>
      <c r="CG16" s="83" vm="1447">
        <v>0</v>
      </c>
      <c r="CH16" s="5" vm="8355">
        <f xml:space="preserve"> VfM_Metrics_2023_Consol[[#This Row],[Total assets less current liabilities]]</f>
        <v>1580527</v>
      </c>
      <c r="CI16" s="84" vm="8355">
        <v>1580527</v>
      </c>
      <c r="CJ16" s="71" vm="8062">
        <f xml:space="preserve"> VfM_Metrics_2023_Consol[[#This Row],[Total social housing units owned (Period end)]]</f>
        <v>40338</v>
      </c>
      <c r="CK16" s="103">
        <v>0</v>
      </c>
      <c r="CL16" s="6">
        <f xml:space="preserve"> -- ( VfM_Metrics_2023_Consol[[#This Row],[% Supported housing (excl. HOP)]] &gt; 0.3 )</f>
        <v>0</v>
      </c>
      <c r="CM16" s="103">
        <v>0.87535670860319115</v>
      </c>
      <c r="CN16" s="6">
        <f xml:space="preserve"> -- ( VfM_Metrics_2023_Consol[[#This Row],[% Housing for older people]] &gt; 0.3 )</f>
        <v>1</v>
      </c>
      <c r="CO16" s="103">
        <f xml:space="preserve"> VfM_Metrics_2023_Consol[[#This Row],[% Supported housing (excl. HOP)]] + VfM_Metrics_2023_Consol[[#This Row],[% Housing for older people]]</f>
        <v>0.87535670860319115</v>
      </c>
      <c r="CP16" s="6">
        <f xml:space="preserve"> -- ( VfM_Metrics_2023_Consol[[#This Row],[SH specialist in RSH analysis]] + VfM_Metrics_2023_Consol[[#This Row],[OP specialist in RSH analysis]] &gt; 0 )</f>
        <v>1</v>
      </c>
      <c r="CQ16" s="10">
        <f xml:space="preserve"> -- ( VfM_Metrics_2023_Consol[[#This Row],[% SH and OP]] &gt; 0.3 )</f>
        <v>1</v>
      </c>
      <c r="CR16" s="104" t="s">
        <v>143</v>
      </c>
      <c r="CS16" s="124" t="s">
        <v>144</v>
      </c>
      <c r="CT16" s="105"/>
      <c r="CU1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6" s="85">
        <v>0.12019956850053938</v>
      </c>
      <c r="CW16" s="85">
        <v>0.13994066882416398</v>
      </c>
      <c r="CX16" s="85">
        <v>7.5862998921251354E-2</v>
      </c>
      <c r="CY16" s="85">
        <v>5.7281553398058252E-2</v>
      </c>
      <c r="CZ16" s="85">
        <v>7.1413160733549086E-2</v>
      </c>
      <c r="DA16" s="85">
        <v>9.6359223300970867E-2</v>
      </c>
      <c r="DB16" s="85">
        <v>0.12704962243797197</v>
      </c>
      <c r="DC16" s="85">
        <v>0.17651024811218985</v>
      </c>
      <c r="DD16" s="85">
        <v>0.1353829557713053</v>
      </c>
      <c r="DE16" s="13">
        <v>0.99112238139313147</v>
      </c>
    </row>
    <row r="17" spans="1:109" x14ac:dyDescent="0.25">
      <c r="A17" s="4" t="s" vm="226">
        <v>156</v>
      </c>
      <c r="B17" s="2" t="s" vm="7">
        <v>157</v>
      </c>
      <c r="C17" s="72" vm="441">
        <v>45016</v>
      </c>
      <c r="D17" s="7">
        <f>IFERROR( VfM_Metrics_2023_Consol[[#This Row],[Reinvestment Spend]] / VfM_Metrics_2023_Consol[[#This Row],[Net Book Value of Housing Properties]], "n/a" )</f>
        <v>3.0735544562484795E-2</v>
      </c>
      <c r="E1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1137</v>
      </c>
      <c r="F17" s="83" vm="8757">
        <v>0</v>
      </c>
      <c r="G17" s="83" vm="1161">
        <v>176</v>
      </c>
      <c r="H17" s="83" vm="1162">
        <v>961</v>
      </c>
      <c r="I17" s="83" vm="8839">
        <v>0</v>
      </c>
      <c r="J17" s="83" vm="1163">
        <v>0</v>
      </c>
      <c r="K17" s="5">
        <f xml:space="preserve"> SUM( VfM_Metrics_2023_Consol[[#This Row],[Tangible fixed assets: Housing properties at cost (Current period)]],VfM_Metrics_2023_Consol[[#This Row],[Tangible fixed assets Housing properties at valuation (Current period)]] )</f>
        <v>36993</v>
      </c>
      <c r="L17" s="84" vm="1086">
        <v>36993</v>
      </c>
      <c r="M17" s="83" vm="1186">
        <v>0</v>
      </c>
      <c r="N17" s="7">
        <f xml:space="preserve"> IFERROR( VfM_Metrics_2023_Consol[[#This Row],[Total social units developed or newly built units acquired in-year]] / VfM_Metrics_2023_Consol[[#This Row],[Social housing units owned (period end)]], "n/a" )</f>
        <v>8.9686098654708521E-4</v>
      </c>
      <c r="O17" s="5">
        <f xml:space="preserve"> SUM( VfM_Metrics_2023_Consol[[#This Row],[Total social units developed or newly built units acquired in-year (owned)]], VfM_Metrics_2023_Consol[[#This Row],[Total social leasehold units developed or newly built units acquired in-year (owned)]] )</f>
        <v>1</v>
      </c>
      <c r="P17" s="84" vm="1165">
        <v>1</v>
      </c>
      <c r="Q17" s="83" vm="8522">
        <v>0</v>
      </c>
      <c r="R17" s="5">
        <f xml:space="preserve"> SUM( VfM_Metrics_2023_Consol[[#This Row],[Total social housing units owned (Period end)]], VfM_Metrics_2023_Consol[[#This Row],[Total social leasehold units owned (Period end)]] )</f>
        <v>1115</v>
      </c>
      <c r="S17" s="84" vm="8741">
        <v>1105</v>
      </c>
      <c r="T17" s="83" vm="8797">
        <v>10</v>
      </c>
      <c r="U17" s="86">
        <f xml:space="preserve"> IFERROR( VfM_Metrics_2023_Consol[[#This Row],[Total non-social housing units developed or newly built units acquired (owned)]] / VfM_Metrics_2023_Consol[[#This Row],[Total social and non-social housing units owned (Period end)]], "n/a" )</f>
        <v>0</v>
      </c>
      <c r="V1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7" s="83" vm="1166">
        <v>0</v>
      </c>
      <c r="X17" s="83" vm="8520">
        <v>0</v>
      </c>
      <c r="Y17" s="83" vm="8716">
        <v>0</v>
      </c>
      <c r="Z1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1115</v>
      </c>
      <c r="AA17" s="84" vm="1160">
        <v>1105</v>
      </c>
      <c r="AB17" s="83" vm="8367">
        <v>10</v>
      </c>
      <c r="AC17" s="83" vm="1167">
        <v>0</v>
      </c>
      <c r="AD17" s="83" vm="8629">
        <v>0</v>
      </c>
      <c r="AE17" s="7">
        <f xml:space="preserve"> IFERROR( VfM_Metrics_2023_Consol[[#This Row],[Total Net Debt]] / VfM_Metrics_2023_Consol[[#This Row],[Net Book Value of Housing Properties2]], "n/a" )</f>
        <v>0.42040386018976561</v>
      </c>
      <c r="AF1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15552</v>
      </c>
      <c r="AG17" s="84" vm="8505">
        <v>659</v>
      </c>
      <c r="AH17" s="83" vm="1168">
        <v>16411</v>
      </c>
      <c r="AI17" s="83" vm="8796">
        <v>1518</v>
      </c>
      <c r="AJ17" s="83" vm="8674">
        <v>0</v>
      </c>
      <c r="AK17" s="83" vm="8527">
        <v>0</v>
      </c>
      <c r="AL17" s="5">
        <f xml:space="preserve"> SUM( VfM_Metrics_2023_Consol[[#This Row],[Tangible fixed assets: Housing properties at cost (Current period)2]], VfM_Metrics_2023_Consol[[#This Row],[Tangible fixed assets Housing properties at valuation (Current period)2]] )</f>
        <v>36993</v>
      </c>
      <c r="AM17" s="84" vm="1164">
        <v>36993</v>
      </c>
      <c r="AN17" s="83" vm="8503">
        <v>0</v>
      </c>
      <c r="AO17" s="87">
        <f xml:space="preserve"> IFERROR( VfM_Metrics_2023_Consol[[#This Row],[EBITDA MRI]] / VfM_Metrics_2023_Consol[[#This Row],[Total interest]], "n/a" )</f>
        <v>1.8357030015797788</v>
      </c>
      <c r="AP1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1162</v>
      </c>
      <c r="AQ17" s="84" vm="8518">
        <v>1242</v>
      </c>
      <c r="AR17" s="84" vm="1277">
        <v>0</v>
      </c>
      <c r="AS17" s="84" vm="8767">
        <v>0</v>
      </c>
      <c r="AT17" s="84" vm="1172">
        <v>106</v>
      </c>
      <c r="AU17" s="84" vm="1293">
        <v>0</v>
      </c>
      <c r="AV17" s="84" vm="8754">
        <v>6</v>
      </c>
      <c r="AW17" s="84" vm="1279">
        <v>962</v>
      </c>
      <c r="AX17" s="84" vm="1143">
        <v>982</v>
      </c>
      <c r="AY17" s="3">
        <f xml:space="preserve"> - SUM( VfM_Metrics_2023_Consol[[#This Row],[Interest capitalised]], VfM_Metrics_2023_Consol[[#This Row],[Interest payable and financing costs]] )</f>
        <v>633</v>
      </c>
      <c r="AZ17" s="84" vm="8687">
        <v>0</v>
      </c>
      <c r="BA17" s="83" vm="1173">
        <v>-633</v>
      </c>
      <c r="BB17" s="8">
        <f xml:space="preserve"> IFERROR( ( VfM_Metrics_2023_Consol[[#This Row],[Total Costs]] / VfM_Metrics_2023_Consol[[#This Row],[Total units for costs]] ) * 1000, "n/a" )</f>
        <v>4178.6355475763012</v>
      </c>
      <c r="BC1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4655</v>
      </c>
      <c r="BD17" s="84" vm="1174">
        <v>1371</v>
      </c>
      <c r="BE17" s="83" vm="8509">
        <v>599</v>
      </c>
      <c r="BF17" s="83" vm="1175">
        <v>983</v>
      </c>
      <c r="BG17" s="83" vm="8500">
        <v>319</v>
      </c>
      <c r="BH17" s="83" vm="8610">
        <v>350</v>
      </c>
      <c r="BI17" s="83" vm="8779">
        <v>0</v>
      </c>
      <c r="BJ17" s="83" vm="8669">
        <v>962</v>
      </c>
      <c r="BK17" s="83" vm="8516">
        <v>5</v>
      </c>
      <c r="BL17" s="83" vm="1176">
        <v>0</v>
      </c>
      <c r="BM17" s="83" vm="8794">
        <v>0</v>
      </c>
      <c r="BN17" s="83" vm="1177">
        <v>48</v>
      </c>
      <c r="BO17" s="83" vm="1174">
        <v>18</v>
      </c>
      <c r="BP17" s="5" vm="8621">
        <f xml:space="preserve"> VfM_Metrics_2023_Consol[[#This Row],[Total social housing units owned and/or managed at period end]]</f>
        <v>1114</v>
      </c>
      <c r="BQ17" s="84" vm="8621">
        <v>1114</v>
      </c>
      <c r="BR17" s="7">
        <f xml:space="preserve"> IFERROR( VfM_Metrics_2023_Consol[[#This Row],[SHL operating surplus / (deficit)]] / VfM_Metrics_2023_Consol[[#This Row],[Turnover from social housing lettings]], "n/a" )</f>
        <v>0.21210025929127052</v>
      </c>
      <c r="BS17" s="5" vm="8515">
        <f xml:space="preserve"> VfM_Metrics_2023_Consol[[#This Row],[Operating surplus/(deficit) (social housing lettings)]]</f>
        <v>1227</v>
      </c>
      <c r="BT17" s="84" vm="8515">
        <v>1227</v>
      </c>
      <c r="BU17" s="5" vm="1178">
        <f xml:space="preserve"> VfM_Metrics_2023_Consol[[#This Row],[Turnover from social housing lettings]]</f>
        <v>5785</v>
      </c>
      <c r="BV17" s="84" vm="1178">
        <v>5785</v>
      </c>
      <c r="BW17" s="7">
        <f xml:space="preserve"> IFERROR( VfM_Metrics_2023_Consol[[#This Row],[Net operating surplus]] / VfM_Metrics_2023_Consol[[#This Row],[Overall turnover]], "n/a" )</f>
        <v>0.2113323124042879</v>
      </c>
      <c r="BX17" s="5">
        <f xml:space="preserve"> SUM( VfM_Metrics_2023_Consol[[#This Row],[Operating surplus/(deficit) (overall)2]], - VfM_Metrics_2023_Consol[[#This Row],[Gain/(loss) on disposal of fixed assets (housing properties)2]], - VfM_Metrics_2023_Consol[[#This Row],[Gain/(loss) on disposal of fixed assets (other)2]] )</f>
        <v>1242</v>
      </c>
      <c r="BY17" s="84" vm="1170">
        <v>1242</v>
      </c>
      <c r="BZ17" s="83" vm="8365">
        <v>0</v>
      </c>
      <c r="CA17" s="83" vm="1171">
        <v>0</v>
      </c>
      <c r="CB17" s="5" vm="1179">
        <f xml:space="preserve"> VfM_Metrics_2023_Consol[[#This Row],[Turnover (overall)]]</f>
        <v>5877</v>
      </c>
      <c r="CC17" s="84" vm="1179">
        <v>5877</v>
      </c>
      <c r="CD17" s="7">
        <f xml:space="preserve"> IFERROR( VfM_Metrics_2023_Consol[[#This Row],[Operating surplus including from JVs]] / VfM_Metrics_2023_Consol[[#This Row],[Net assets]], "n/a" )</f>
        <v>3.3033672003829992E-2</v>
      </c>
      <c r="CE17" s="5">
        <f xml:space="preserve"> SUM( VfM_Metrics_2023_Consol[[#This Row],[Operating surplus/(deficit) (overall)3]], VfM_Metrics_2023_Consol[[#This Row],[Share of operating surplus/(deficit) in joint ventures or associates]] )</f>
        <v>1242</v>
      </c>
      <c r="CF17" s="84" vm="8506">
        <v>1242</v>
      </c>
      <c r="CG17" s="83" vm="946">
        <v>0</v>
      </c>
      <c r="CH17" s="5" vm="1180">
        <f xml:space="preserve"> VfM_Metrics_2023_Consol[[#This Row],[Total assets less current liabilities]]</f>
        <v>37598</v>
      </c>
      <c r="CI17" s="84" vm="1180">
        <v>37598</v>
      </c>
      <c r="CJ17" s="71" vm="8741">
        <f xml:space="preserve"> VfM_Metrics_2023_Consol[[#This Row],[Total social housing units owned (Period end)]]</f>
        <v>1105</v>
      </c>
      <c r="CK17" s="103">
        <v>0</v>
      </c>
      <c r="CL17" s="6">
        <f xml:space="preserve"> -- ( VfM_Metrics_2023_Consol[[#This Row],[% Supported housing (excl. HOP)]] &gt; 0.3 )</f>
        <v>0</v>
      </c>
      <c r="CM17" s="103">
        <v>0.1330316742081448</v>
      </c>
      <c r="CN17" s="6">
        <f xml:space="preserve"> -- ( VfM_Metrics_2023_Consol[[#This Row],[% Housing for older people]] &gt; 0.3 )</f>
        <v>0</v>
      </c>
      <c r="CO17" s="103">
        <f xml:space="preserve"> VfM_Metrics_2023_Consol[[#This Row],[% Supported housing (excl. HOP)]] + VfM_Metrics_2023_Consol[[#This Row],[% Housing for older people]]</f>
        <v>0.1330316742081448</v>
      </c>
      <c r="CP17" s="6">
        <f xml:space="preserve"> -- ( VfM_Metrics_2023_Consol[[#This Row],[SH specialist in RSH analysis]] + VfM_Metrics_2023_Consol[[#This Row],[OP specialist in RSH analysis]] &gt; 0 )</f>
        <v>0</v>
      </c>
      <c r="CQ17" s="10">
        <f xml:space="preserve"> -- ( VfM_Metrics_2023_Consol[[#This Row],[% SH and OP]] &gt; 0.3 )</f>
        <v>0</v>
      </c>
      <c r="CR17" s="104" t="s">
        <v>143</v>
      </c>
      <c r="CS17" s="124" t="s">
        <v>144</v>
      </c>
      <c r="CT17" s="105"/>
      <c r="CU1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7" s="85">
        <v>0</v>
      </c>
      <c r="CW17" s="85">
        <v>0</v>
      </c>
      <c r="CX17" s="85">
        <v>0</v>
      </c>
      <c r="CY17" s="85">
        <v>0</v>
      </c>
      <c r="CZ17" s="85">
        <v>0</v>
      </c>
      <c r="DA17" s="85">
        <v>0</v>
      </c>
      <c r="DB17" s="85">
        <v>0</v>
      </c>
      <c r="DC17" s="85">
        <v>1</v>
      </c>
      <c r="DD17" s="85">
        <v>0</v>
      </c>
      <c r="DE17" s="13">
        <v>0.96105917141044694</v>
      </c>
    </row>
    <row r="18" spans="1:109" x14ac:dyDescent="0.25">
      <c r="A18" s="4" t="s" vm="233">
        <v>158</v>
      </c>
      <c r="B18" s="2" t="s" vm="8">
        <v>159</v>
      </c>
      <c r="C18" s="72" vm="440">
        <v>45016</v>
      </c>
      <c r="D18" s="7">
        <f>IFERROR( VfM_Metrics_2023_Consol[[#This Row],[Reinvestment Spend]] / VfM_Metrics_2023_Consol[[#This Row],[Net Book Value of Housing Properties]], "n/a" )</f>
        <v>5.2916633866015902E-2</v>
      </c>
      <c r="E1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3361</v>
      </c>
      <c r="F18" s="83" vm="8517">
        <v>2062</v>
      </c>
      <c r="G18" s="83" vm="8293">
        <v>228</v>
      </c>
      <c r="H18" s="83" vm="8326">
        <v>1032</v>
      </c>
      <c r="I18" s="83" vm="8496">
        <v>39</v>
      </c>
      <c r="J18" s="83" vm="8156">
        <v>0</v>
      </c>
      <c r="K18" s="5">
        <f xml:space="preserve"> SUM( VfM_Metrics_2023_Consol[[#This Row],[Tangible fixed assets: Housing properties at cost (Current period)]],VfM_Metrics_2023_Consol[[#This Row],[Tangible fixed assets Housing properties at valuation (Current period)]] )</f>
        <v>63515</v>
      </c>
      <c r="L18" s="84" vm="2012">
        <v>63515</v>
      </c>
      <c r="M18" s="83" vm="8417">
        <v>0</v>
      </c>
      <c r="N18" s="7">
        <f xml:space="preserve"> IFERROR( VfM_Metrics_2023_Consol[[#This Row],[Total social units developed or newly built units acquired in-year]] / VfM_Metrics_2023_Consol[[#This Row],[Social housing units owned (period end)]], "n/a" )</f>
        <v>1.8996960486322188E-2</v>
      </c>
      <c r="O18" s="5">
        <f xml:space="preserve"> SUM( VfM_Metrics_2023_Consol[[#This Row],[Total social units developed or newly built units acquired in-year (owned)]], VfM_Metrics_2023_Consol[[#This Row],[Total social leasehold units developed or newly built units acquired in-year (owned)]] )</f>
        <v>25</v>
      </c>
      <c r="P18" s="84" vm="1556">
        <v>25</v>
      </c>
      <c r="Q18" s="83" vm="1302">
        <v>0</v>
      </c>
      <c r="R18" s="5">
        <f xml:space="preserve"> SUM( VfM_Metrics_2023_Consol[[#This Row],[Total social housing units owned (Period end)]], VfM_Metrics_2023_Consol[[#This Row],[Total social leasehold units owned (Period end)]] )</f>
        <v>1316</v>
      </c>
      <c r="S18" s="84" vm="1301">
        <v>1316</v>
      </c>
      <c r="T18" s="83" vm="1303">
        <v>0</v>
      </c>
      <c r="U18" s="86">
        <f xml:space="preserve"> IFERROR( VfM_Metrics_2023_Consol[[#This Row],[Total non-social housing units developed or newly built units acquired (owned)]] / VfM_Metrics_2023_Consol[[#This Row],[Total social and non-social housing units owned (Period end)]], "n/a" )</f>
        <v>0</v>
      </c>
      <c r="V1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8" s="83" vm="1304">
        <v>0</v>
      </c>
      <c r="X18" s="83" vm="8491">
        <v>0</v>
      </c>
      <c r="Y18" s="83" vm="8165">
        <v>0</v>
      </c>
      <c r="Z1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1316</v>
      </c>
      <c r="AA18" s="84" vm="1301">
        <v>1316</v>
      </c>
      <c r="AB18" s="83" vm="8494">
        <v>0</v>
      </c>
      <c r="AC18" s="83" vm="1428">
        <v>0</v>
      </c>
      <c r="AD18" s="83" vm="8513">
        <v>0</v>
      </c>
      <c r="AE18" s="7">
        <f xml:space="preserve"> IFERROR( VfM_Metrics_2023_Consol[[#This Row],[Total Net Debt]] / VfM_Metrics_2023_Consol[[#This Row],[Net Book Value of Housing Properties2]], "n/a" )</f>
        <v>0.3797685586082028</v>
      </c>
      <c r="AF1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24121</v>
      </c>
      <c r="AG18" s="84" vm="8323">
        <v>692</v>
      </c>
      <c r="AH18" s="83" vm="1306">
        <v>23755</v>
      </c>
      <c r="AI18" s="83" vm="1307">
        <v>326</v>
      </c>
      <c r="AJ18" s="83" vm="1308">
        <v>0</v>
      </c>
      <c r="AK18" s="83" vm="8470">
        <v>0</v>
      </c>
      <c r="AL18" s="5">
        <f xml:space="preserve"> SUM( VfM_Metrics_2023_Consol[[#This Row],[Tangible fixed assets: Housing properties at cost (Current period)2]], VfM_Metrics_2023_Consol[[#This Row],[Tangible fixed assets Housing properties at valuation (Current period)2]] )</f>
        <v>63515</v>
      </c>
      <c r="AM18" s="84" vm="8152">
        <v>63515</v>
      </c>
      <c r="AN18" s="83" vm="8623">
        <v>0</v>
      </c>
      <c r="AO18" s="87">
        <f xml:space="preserve"> IFERROR( VfM_Metrics_2023_Consol[[#This Row],[EBITDA MRI]] / VfM_Metrics_2023_Consol[[#This Row],[Total interest]], "n/a" )</f>
        <v>1.3863845446182153</v>
      </c>
      <c r="AP1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1507</v>
      </c>
      <c r="AQ18" s="84" vm="8381">
        <v>1542</v>
      </c>
      <c r="AR18" s="84" vm="1310">
        <v>174</v>
      </c>
      <c r="AS18" s="84" vm="8148">
        <v>0</v>
      </c>
      <c r="AT18" s="84" vm="8163">
        <v>420</v>
      </c>
      <c r="AU18" s="84" vm="8478">
        <v>0</v>
      </c>
      <c r="AV18" s="84" vm="1278">
        <v>12</v>
      </c>
      <c r="AW18" s="84" vm="1312">
        <v>1032</v>
      </c>
      <c r="AX18" s="84" vm="8468">
        <v>1579</v>
      </c>
      <c r="AY18" s="3">
        <f xml:space="preserve"> - SUM( VfM_Metrics_2023_Consol[[#This Row],[Interest capitalised]], VfM_Metrics_2023_Consol[[#This Row],[Interest payable and financing costs]] )</f>
        <v>1087</v>
      </c>
      <c r="AZ18" s="84" vm="7901">
        <v>-39</v>
      </c>
      <c r="BA18" s="83" vm="8502">
        <v>-1048</v>
      </c>
      <c r="BB18" s="8">
        <f xml:space="preserve"> IFERROR( ( VfM_Metrics_2023_Consol[[#This Row],[Total Costs]] / VfM_Metrics_2023_Consol[[#This Row],[Total units for costs]] ) * 1000, "n/a" )</f>
        <v>3730.2431610942249</v>
      </c>
      <c r="BC1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4909</v>
      </c>
      <c r="BD18" s="84" vm="8607">
        <v>1516</v>
      </c>
      <c r="BE18" s="83" vm="8378">
        <v>135</v>
      </c>
      <c r="BF18" s="83" vm="1281">
        <v>1369</v>
      </c>
      <c r="BG18" s="83" vm="8289">
        <v>695</v>
      </c>
      <c r="BH18" s="83" vm="8466">
        <v>111</v>
      </c>
      <c r="BI18" s="83" vm="8620">
        <v>0</v>
      </c>
      <c r="BJ18" s="83" vm="1267">
        <v>1032</v>
      </c>
      <c r="BK18" s="83" vm="1313">
        <v>0</v>
      </c>
      <c r="BL18" s="83" vm="3008">
        <v>8</v>
      </c>
      <c r="BM18" s="83" vm="8146">
        <v>0</v>
      </c>
      <c r="BN18" s="83" vm="1314">
        <v>0</v>
      </c>
      <c r="BO18" s="83" vm="1315">
        <v>43</v>
      </c>
      <c r="BP18" s="5" vm="8553">
        <f xml:space="preserve"> VfM_Metrics_2023_Consol[[#This Row],[Total social housing units owned and/or managed at period end]]</f>
        <v>1316</v>
      </c>
      <c r="BQ18" s="84" vm="8553">
        <v>1316</v>
      </c>
      <c r="BR18" s="7">
        <f xml:space="preserve"> IFERROR( VfM_Metrics_2023_Consol[[#This Row],[SHL operating surplus / (deficit)]] / VfM_Metrics_2023_Consol[[#This Row],[Turnover from social housing lettings]], "n/a" )</f>
        <v>0.18292316926770708</v>
      </c>
      <c r="BS18" s="5" vm="1316">
        <f xml:space="preserve"> VfM_Metrics_2023_Consol[[#This Row],[Operating surplus/(deficit) (social housing lettings)]]</f>
        <v>1219</v>
      </c>
      <c r="BT18" s="84" vm="1316">
        <v>1219</v>
      </c>
      <c r="BU18" s="5" vm="8463">
        <f xml:space="preserve"> VfM_Metrics_2023_Consol[[#This Row],[Turnover from social housing lettings]]</f>
        <v>6664</v>
      </c>
      <c r="BV18" s="84" vm="8463">
        <v>6664</v>
      </c>
      <c r="BW18" s="7">
        <f xml:space="preserve"> IFERROR( VfM_Metrics_2023_Consol[[#This Row],[Net operating surplus]] / VfM_Metrics_2023_Consol[[#This Row],[Overall turnover]], "n/a" )</f>
        <v>0.1993006993006993</v>
      </c>
      <c r="BX18" s="5">
        <f xml:space="preserve"> SUM( VfM_Metrics_2023_Consol[[#This Row],[Operating surplus/(deficit) (overall)2]], - VfM_Metrics_2023_Consol[[#This Row],[Gain/(loss) on disposal of fixed assets (housing properties)2]], - VfM_Metrics_2023_Consol[[#This Row],[Gain/(loss) on disposal of fixed assets (other)2]] )</f>
        <v>1368</v>
      </c>
      <c r="BY18" s="84" vm="1428">
        <v>1542</v>
      </c>
      <c r="BZ18" s="83" vm="8159">
        <v>174</v>
      </c>
      <c r="CA18" s="83" vm="1311">
        <v>0</v>
      </c>
      <c r="CB18" s="5" vm="1317">
        <f xml:space="preserve"> VfM_Metrics_2023_Consol[[#This Row],[Turnover (overall)]]</f>
        <v>6864</v>
      </c>
      <c r="CC18" s="84" vm="1317">
        <v>6864</v>
      </c>
      <c r="CD18" s="7">
        <f xml:space="preserve"> IFERROR( VfM_Metrics_2023_Consol[[#This Row],[Operating surplus including from JVs]] / VfM_Metrics_2023_Consol[[#This Row],[Net assets]], "n/a" )</f>
        <v>2.4291880651564322E-2</v>
      </c>
      <c r="CE18" s="5">
        <f xml:space="preserve"> SUM( VfM_Metrics_2023_Consol[[#This Row],[Operating surplus/(deficit) (overall)3]], VfM_Metrics_2023_Consol[[#This Row],[Share of operating surplus/(deficit) in joint ventures or associates]] )</f>
        <v>1542</v>
      </c>
      <c r="CF18" s="84" vm="1309">
        <v>1542</v>
      </c>
      <c r="CG18" s="83" vm="8536">
        <v>0</v>
      </c>
      <c r="CH18" s="5" vm="8143">
        <f xml:space="preserve"> VfM_Metrics_2023_Consol[[#This Row],[Total assets less current liabilities]]</f>
        <v>63478</v>
      </c>
      <c r="CI18" s="84" vm="8143">
        <v>63478</v>
      </c>
      <c r="CJ18" s="71" vm="1301">
        <f xml:space="preserve"> VfM_Metrics_2023_Consol[[#This Row],[Total social housing units owned (Period end)]]</f>
        <v>1316</v>
      </c>
      <c r="CK18" s="103">
        <v>3.3383915022761758E-2</v>
      </c>
      <c r="CL18" s="6">
        <f xml:space="preserve"> -- ( VfM_Metrics_2023_Consol[[#This Row],[% Supported housing (excl. HOP)]] &gt; 0.3 )</f>
        <v>0</v>
      </c>
      <c r="CM18" s="103">
        <v>0</v>
      </c>
      <c r="CN18" s="6">
        <f xml:space="preserve"> -- ( VfM_Metrics_2023_Consol[[#This Row],[% Housing for older people]] &gt; 0.3 )</f>
        <v>0</v>
      </c>
      <c r="CO18" s="103">
        <f xml:space="preserve"> VfM_Metrics_2023_Consol[[#This Row],[% Supported housing (excl. HOP)]] + VfM_Metrics_2023_Consol[[#This Row],[% Housing for older people]]</f>
        <v>3.3383915022761758E-2</v>
      </c>
      <c r="CP18" s="6">
        <f xml:space="preserve"> -- ( VfM_Metrics_2023_Consol[[#This Row],[SH specialist in RSH analysis]] + VfM_Metrics_2023_Consol[[#This Row],[OP specialist in RSH analysis]] &gt; 0 )</f>
        <v>0</v>
      </c>
      <c r="CQ18" s="10">
        <f xml:space="preserve"> -- ( VfM_Metrics_2023_Consol[[#This Row],[% SH and OP]] &gt; 0.3 )</f>
        <v>0</v>
      </c>
      <c r="CR18" s="104" t="s">
        <v>143</v>
      </c>
      <c r="CS18" s="124" t="s">
        <v>144</v>
      </c>
      <c r="CT18" s="105"/>
      <c r="CU1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18" s="85">
        <v>0</v>
      </c>
      <c r="CW18" s="85">
        <v>0</v>
      </c>
      <c r="CX18" s="85">
        <v>0</v>
      </c>
      <c r="CY18" s="85">
        <v>9.8784194528875376E-3</v>
      </c>
      <c r="CZ18" s="85">
        <v>0</v>
      </c>
      <c r="DA18" s="85">
        <v>0</v>
      </c>
      <c r="DB18" s="85">
        <v>0</v>
      </c>
      <c r="DC18" s="85">
        <v>0</v>
      </c>
      <c r="DD18" s="85">
        <v>0.99012158054711241</v>
      </c>
      <c r="DE18" s="13">
        <v>0.94456891961563894</v>
      </c>
    </row>
    <row r="19" spans="1:109" x14ac:dyDescent="0.25">
      <c r="A19" s="4" t="s" vm="385">
        <v>160</v>
      </c>
      <c r="B19" s="2" t="s" vm="9">
        <v>161</v>
      </c>
      <c r="C19" s="72" vm="415">
        <v>45016</v>
      </c>
      <c r="D19" s="7">
        <f>IFERROR( VfM_Metrics_2023_Consol[[#This Row],[Reinvestment Spend]] / VfM_Metrics_2023_Consol[[#This Row],[Net Book Value of Housing Properties]], "n/a" )</f>
        <v>0.11146065257141681</v>
      </c>
      <c r="E1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32490</v>
      </c>
      <c r="F19" s="83" vm="6377">
        <v>23589</v>
      </c>
      <c r="G19" s="83" vm="6378">
        <v>0</v>
      </c>
      <c r="H19" s="83" vm="6379">
        <v>8901</v>
      </c>
      <c r="I19" s="83" vm="6380">
        <v>0</v>
      </c>
      <c r="J19" s="83" vm="6381">
        <v>0</v>
      </c>
      <c r="K19" s="5">
        <f xml:space="preserve"> SUM( VfM_Metrics_2023_Consol[[#This Row],[Tangible fixed assets: Housing properties at cost (Current period)]],VfM_Metrics_2023_Consol[[#This Row],[Tangible fixed assets Housing properties at valuation (Current period)]] )</f>
        <v>291493</v>
      </c>
      <c r="L19" s="84" vm="6382">
        <v>291493</v>
      </c>
      <c r="M19" s="83" vm="6383">
        <v>0</v>
      </c>
      <c r="N19" s="7">
        <f xml:space="preserve"> IFERROR( VfM_Metrics_2023_Consol[[#This Row],[Total social units developed or newly built units acquired in-year]] / VfM_Metrics_2023_Consol[[#This Row],[Social housing units owned (period end)]], "n/a" )</f>
        <v>1.7663043478260868E-2</v>
      </c>
      <c r="O19" s="5">
        <f xml:space="preserve"> SUM( VfM_Metrics_2023_Consol[[#This Row],[Total social units developed or newly built units acquired in-year (owned)]], VfM_Metrics_2023_Consol[[#This Row],[Total social leasehold units developed or newly built units acquired in-year (owned)]] )</f>
        <v>169</v>
      </c>
      <c r="P19" s="84" vm="6882">
        <v>167</v>
      </c>
      <c r="Q19" s="83" vm="6384">
        <v>2</v>
      </c>
      <c r="R19" s="5">
        <f xml:space="preserve"> SUM( VfM_Metrics_2023_Consol[[#This Row],[Total social housing units owned (Period end)]], VfM_Metrics_2023_Consol[[#This Row],[Total social leasehold units owned (Period end)]] )</f>
        <v>9568</v>
      </c>
      <c r="S19" s="84" vm="6375">
        <v>9300</v>
      </c>
      <c r="T19" s="83" vm="6385">
        <v>268</v>
      </c>
      <c r="U19" s="86">
        <f xml:space="preserve"> IFERROR( VfM_Metrics_2023_Consol[[#This Row],[Total non-social housing units developed or newly built units acquired (owned)]] / VfM_Metrics_2023_Consol[[#This Row],[Total social and non-social housing units owned (Period end)]], "n/a" )</f>
        <v>0</v>
      </c>
      <c r="V1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9" s="83" vm="6386">
        <v>0</v>
      </c>
      <c r="X19" s="83" vm="6387">
        <v>0</v>
      </c>
      <c r="Y19" s="83" vm="6388">
        <v>0</v>
      </c>
      <c r="Z1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9568</v>
      </c>
      <c r="AA19" s="84" vm="6375">
        <v>9300</v>
      </c>
      <c r="AB19" s="83" vm="6385">
        <v>268</v>
      </c>
      <c r="AC19" s="83" vm="6389">
        <v>0</v>
      </c>
      <c r="AD19" s="83" vm="6390">
        <v>0</v>
      </c>
      <c r="AE19" s="7">
        <f xml:space="preserve"> IFERROR( VfM_Metrics_2023_Consol[[#This Row],[Total Net Debt]] / VfM_Metrics_2023_Consol[[#This Row],[Net Book Value of Housing Properties2]], "n/a" )</f>
        <v>0.6937628004789137</v>
      </c>
      <c r="AF1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202227</v>
      </c>
      <c r="AG19" s="84" vm="6391">
        <v>0</v>
      </c>
      <c r="AH19" s="83" vm="6392">
        <v>202667</v>
      </c>
      <c r="AI19" s="83" vm="6393">
        <v>440</v>
      </c>
      <c r="AJ19" s="83" vm="6394">
        <v>0</v>
      </c>
      <c r="AK19" s="83" vm="6395">
        <v>0</v>
      </c>
      <c r="AL19" s="5">
        <f xml:space="preserve"> SUM( VfM_Metrics_2023_Consol[[#This Row],[Tangible fixed assets: Housing properties at cost (Current period)2]], VfM_Metrics_2023_Consol[[#This Row],[Tangible fixed assets Housing properties at valuation (Current period)2]] )</f>
        <v>291493</v>
      </c>
      <c r="AM19" s="84" vm="6382">
        <v>291493</v>
      </c>
      <c r="AN19" s="83" vm="6383">
        <v>0</v>
      </c>
      <c r="AO19" s="87">
        <f xml:space="preserve"> IFERROR( VfM_Metrics_2023_Consol[[#This Row],[EBITDA MRI]] / VfM_Metrics_2023_Consol[[#This Row],[Total interest]], "n/a" )</f>
        <v>0.6343742607049917</v>
      </c>
      <c r="AP1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5363</v>
      </c>
      <c r="AQ19" s="84" vm="6396">
        <v>8365</v>
      </c>
      <c r="AR19" s="84" vm="6397">
        <v>2836</v>
      </c>
      <c r="AS19" s="84" vm="6398">
        <v>77</v>
      </c>
      <c r="AT19" s="84" vm="6937">
        <v>706</v>
      </c>
      <c r="AU19" s="84" vm="6399">
        <v>0</v>
      </c>
      <c r="AV19" s="84" vm="6400">
        <v>476</v>
      </c>
      <c r="AW19" s="84" vm="6401">
        <v>8901</v>
      </c>
      <c r="AX19" s="84" vm="6402">
        <v>9042</v>
      </c>
      <c r="AY19" s="3">
        <f xml:space="preserve"> - SUM( VfM_Metrics_2023_Consol[[#This Row],[Interest capitalised]], VfM_Metrics_2023_Consol[[#This Row],[Interest payable and financing costs]] )</f>
        <v>8454</v>
      </c>
      <c r="AZ19" s="84" vm="6403">
        <v>0</v>
      </c>
      <c r="BA19" s="83" vm="6404">
        <v>-8454</v>
      </c>
      <c r="BB19" s="8">
        <f xml:space="preserve"> IFERROR( ( VfM_Metrics_2023_Consol[[#This Row],[Total Costs]] / VfM_Metrics_2023_Consol[[#This Row],[Total units for costs]] ) * 1000, "n/a" )</f>
        <v>4067.9362362255265</v>
      </c>
      <c r="BC1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38023</v>
      </c>
      <c r="BD19" s="84" vm="6897">
        <v>10270</v>
      </c>
      <c r="BE19" s="83" vm="6406">
        <v>3626</v>
      </c>
      <c r="BF19" s="83" vm="7179">
        <v>8315</v>
      </c>
      <c r="BG19" s="83" vm="6407">
        <v>5517</v>
      </c>
      <c r="BH19" s="83" vm="6408">
        <v>0</v>
      </c>
      <c r="BI19" s="83" vm="6409">
        <v>0</v>
      </c>
      <c r="BJ19" s="83" vm="6401">
        <v>8901</v>
      </c>
      <c r="BK19" s="83" vm="6454">
        <v>0</v>
      </c>
      <c r="BL19" s="83" vm="6411">
        <v>0</v>
      </c>
      <c r="BM19" s="83" vm="6412">
        <v>0</v>
      </c>
      <c r="BN19" s="83" vm="6413">
        <v>1394</v>
      </c>
      <c r="BO19" s="83" vm="6414">
        <v>0</v>
      </c>
      <c r="BP19" s="5" vm="6376">
        <f xml:space="preserve"> VfM_Metrics_2023_Consol[[#This Row],[Total social housing units owned and/or managed at period end]]</f>
        <v>9347</v>
      </c>
      <c r="BQ19" s="84" vm="6376">
        <v>9347</v>
      </c>
      <c r="BR19" s="7">
        <f xml:space="preserve"> IFERROR( VfM_Metrics_2023_Consol[[#This Row],[SHL operating surplus / (deficit)]] / VfM_Metrics_2023_Consol[[#This Row],[Turnover from social housing lettings]], "n/a" )</f>
        <v>0.16646604009444882</v>
      </c>
      <c r="BS19" s="5" vm="6415">
        <f xml:space="preserve"> VfM_Metrics_2023_Consol[[#This Row],[Operating surplus/(deficit) (social housing lettings)]]</f>
        <v>7191</v>
      </c>
      <c r="BT19" s="84" vm="6415">
        <v>7191</v>
      </c>
      <c r="BU19" s="5" vm="6416">
        <f xml:space="preserve"> VfM_Metrics_2023_Consol[[#This Row],[Turnover from social housing lettings]]</f>
        <v>43198</v>
      </c>
      <c r="BV19" s="84" vm="6416">
        <v>43198</v>
      </c>
      <c r="BW19" s="7">
        <f xml:space="preserve"> IFERROR( VfM_Metrics_2023_Consol[[#This Row],[Net operating surplus]] / VfM_Metrics_2023_Consol[[#This Row],[Overall turnover]], "n/a" )</f>
        <v>0.10961878719639698</v>
      </c>
      <c r="BX19" s="5">
        <f xml:space="preserve"> SUM( VfM_Metrics_2023_Consol[[#This Row],[Operating surplus/(deficit) (overall)2]], - VfM_Metrics_2023_Consol[[#This Row],[Gain/(loss) on disposal of fixed assets (housing properties)2]], - VfM_Metrics_2023_Consol[[#This Row],[Gain/(loss) on disposal of fixed assets (other)2]] )</f>
        <v>5452</v>
      </c>
      <c r="BY19" s="84" vm="6396">
        <v>8365</v>
      </c>
      <c r="BZ19" s="83" vm="6397">
        <v>2836</v>
      </c>
      <c r="CA19" s="83" vm="6398">
        <v>77</v>
      </c>
      <c r="CB19" s="5" vm="6417">
        <f xml:space="preserve"> VfM_Metrics_2023_Consol[[#This Row],[Turnover (overall)]]</f>
        <v>49736</v>
      </c>
      <c r="CC19" s="84" vm="6417">
        <v>49736</v>
      </c>
      <c r="CD19" s="7">
        <f xml:space="preserve"> IFERROR( VfM_Metrics_2023_Consol[[#This Row],[Operating surplus including from JVs]] / VfM_Metrics_2023_Consol[[#This Row],[Net assets]], "n/a" )</f>
        <v>2.837151249160556E-2</v>
      </c>
      <c r="CE19" s="5">
        <f xml:space="preserve"> SUM( VfM_Metrics_2023_Consol[[#This Row],[Operating surplus/(deficit) (overall)3]], VfM_Metrics_2023_Consol[[#This Row],[Share of operating surplus/(deficit) in joint ventures or associates]] )</f>
        <v>8365</v>
      </c>
      <c r="CF19" s="84" vm="6396">
        <v>8365</v>
      </c>
      <c r="CG19" s="83" vm="6419">
        <v>0</v>
      </c>
      <c r="CH19" s="5" vm="6418">
        <f xml:space="preserve"> VfM_Metrics_2023_Consol[[#This Row],[Total assets less current liabilities]]</f>
        <v>294838</v>
      </c>
      <c r="CI19" s="84" vm="6418">
        <v>294838</v>
      </c>
      <c r="CJ19" s="71" vm="6375">
        <f xml:space="preserve"> VfM_Metrics_2023_Consol[[#This Row],[Total social housing units owned (Period end)]]</f>
        <v>9300</v>
      </c>
      <c r="CK19" s="103">
        <v>0</v>
      </c>
      <c r="CL19" s="6">
        <f xml:space="preserve"> -- ( VfM_Metrics_2023_Consol[[#This Row],[% Supported housing (excl. HOP)]] &gt; 0.3 )</f>
        <v>0</v>
      </c>
      <c r="CM19" s="103">
        <v>6.8059444324790011E-2</v>
      </c>
      <c r="CN19" s="6">
        <f xml:space="preserve"> -- ( VfM_Metrics_2023_Consol[[#This Row],[% Housing for older people]] &gt; 0.3 )</f>
        <v>0</v>
      </c>
      <c r="CO19" s="103">
        <f xml:space="preserve"> VfM_Metrics_2023_Consol[[#This Row],[% Supported housing (excl. HOP)]] + VfM_Metrics_2023_Consol[[#This Row],[% Housing for older people]]</f>
        <v>6.8059444324790011E-2</v>
      </c>
      <c r="CP19" s="6">
        <f xml:space="preserve"> -- ( VfM_Metrics_2023_Consol[[#This Row],[SH specialist in RSH analysis]] + VfM_Metrics_2023_Consol[[#This Row],[OP specialist in RSH analysis]] &gt; 0 )</f>
        <v>0</v>
      </c>
      <c r="CQ19" s="10">
        <f xml:space="preserve"> -- ( VfM_Metrics_2023_Consol[[#This Row],[% SH and OP]] &gt; 0.3 )</f>
        <v>0</v>
      </c>
      <c r="CR19" s="104" t="s">
        <v>143</v>
      </c>
      <c r="CS19" s="124"/>
      <c r="CT19" s="105" t="s">
        <v>151</v>
      </c>
      <c r="CU1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9" s="85">
        <v>0</v>
      </c>
      <c r="CW19" s="85">
        <v>0</v>
      </c>
      <c r="CX19" s="85">
        <v>0</v>
      </c>
      <c r="CY19" s="85">
        <v>0</v>
      </c>
      <c r="CZ19" s="85">
        <v>0.9043010752688172</v>
      </c>
      <c r="DA19" s="85">
        <v>0</v>
      </c>
      <c r="DB19" s="85">
        <v>0</v>
      </c>
      <c r="DC19" s="85">
        <v>9.56989247311828E-2</v>
      </c>
      <c r="DD19" s="85">
        <v>0</v>
      </c>
      <c r="DE19" s="13">
        <v>0.96425240493668152</v>
      </c>
    </row>
    <row r="20" spans="1:109" x14ac:dyDescent="0.25">
      <c r="A20" s="4" t="s" vm="250">
        <v>162</v>
      </c>
      <c r="B20" s="2" t="s" vm="10">
        <v>163</v>
      </c>
      <c r="C20" s="72" vm="444">
        <v>45016</v>
      </c>
      <c r="D20" s="7">
        <f>IFERROR( VfM_Metrics_2023_Consol[[#This Row],[Reinvestment Spend]] / VfM_Metrics_2023_Consol[[#This Row],[Net Book Value of Housing Properties]], "n/a" )</f>
        <v>8.9062823595090809E-2</v>
      </c>
      <c r="E2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197821</v>
      </c>
      <c r="F20" s="83" vm="8119">
        <v>169902</v>
      </c>
      <c r="G20" s="83" vm="1662">
        <v>0</v>
      </c>
      <c r="H20" s="83" vm="1698">
        <v>20502</v>
      </c>
      <c r="I20" s="83" vm="1746">
        <v>7417</v>
      </c>
      <c r="J20" s="83" vm="1747">
        <v>0</v>
      </c>
      <c r="K20" s="5">
        <f xml:space="preserve"> SUM( VfM_Metrics_2023_Consol[[#This Row],[Tangible fixed assets: Housing properties at cost (Current period)]],VfM_Metrics_2023_Consol[[#This Row],[Tangible fixed assets Housing properties at valuation (Current period)]] )</f>
        <v>2221140</v>
      </c>
      <c r="L20" s="84" vm="7124">
        <v>2221140</v>
      </c>
      <c r="M20" s="83" vm="1749">
        <v>0</v>
      </c>
      <c r="N20" s="7">
        <f xml:space="preserve"> IFERROR( VfM_Metrics_2023_Consol[[#This Row],[Total social units developed or newly built units acquired in-year]] / VfM_Metrics_2023_Consol[[#This Row],[Social housing units owned (period end)]], "n/a" )</f>
        <v>2.7783945819917843E-2</v>
      </c>
      <c r="O20" s="5">
        <f xml:space="preserve"> SUM( VfM_Metrics_2023_Consol[[#This Row],[Total social units developed or newly built units acquired in-year (owned)]], VfM_Metrics_2023_Consol[[#This Row],[Total social leasehold units developed or newly built units acquired in-year (owned)]] )</f>
        <v>1001</v>
      </c>
      <c r="P20" s="84" vm="8056">
        <v>1001</v>
      </c>
      <c r="Q20" s="83" vm="7123">
        <v>0</v>
      </c>
      <c r="R20" s="5">
        <f xml:space="preserve"> SUM( VfM_Metrics_2023_Consol[[#This Row],[Total social housing units owned (Period end)]], VfM_Metrics_2023_Consol[[#This Row],[Total social leasehold units owned (Period end)]] )</f>
        <v>36028</v>
      </c>
      <c r="S20" s="84" vm="1464">
        <v>34384</v>
      </c>
      <c r="T20" s="83" vm="1750">
        <v>1644</v>
      </c>
      <c r="U20" s="86">
        <f xml:space="preserve"> IFERROR( VfM_Metrics_2023_Consol[[#This Row],[Total non-social housing units developed or newly built units acquired (owned)]] / VfM_Metrics_2023_Consol[[#This Row],[Total social and non-social housing units owned (Period end)]], "n/a" )</f>
        <v>0</v>
      </c>
      <c r="V2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0" s="83" vm="1751">
        <v>0</v>
      </c>
      <c r="X20" s="83" vm="8139">
        <v>0</v>
      </c>
      <c r="Y20" s="83" vm="8276">
        <v>0</v>
      </c>
      <c r="Z2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36122</v>
      </c>
      <c r="AA20" s="84" vm="1744">
        <v>34384</v>
      </c>
      <c r="AB20" s="83" vm="1750">
        <v>1644</v>
      </c>
      <c r="AC20" s="83" vm="8234">
        <v>94</v>
      </c>
      <c r="AD20" s="83" vm="1752">
        <v>0</v>
      </c>
      <c r="AE20" s="7">
        <f xml:space="preserve"> IFERROR( VfM_Metrics_2023_Consol[[#This Row],[Total Net Debt]] / VfM_Metrics_2023_Consol[[#This Row],[Net Book Value of Housing Properties2]], "n/a" )</f>
        <v>0.51008581179034185</v>
      </c>
      <c r="AF2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1132972</v>
      </c>
      <c r="AG20" s="84" vm="1753">
        <v>18201</v>
      </c>
      <c r="AH20" s="83" vm="8214">
        <v>1209080</v>
      </c>
      <c r="AI20" s="83" vm="1755">
        <v>94309</v>
      </c>
      <c r="AJ20" s="83" vm="8038">
        <v>0</v>
      </c>
      <c r="AK20" s="83" vm="1756">
        <v>0</v>
      </c>
      <c r="AL20" s="5">
        <f xml:space="preserve"> SUM( VfM_Metrics_2023_Consol[[#This Row],[Tangible fixed assets: Housing properties at cost (Current period)2]], VfM_Metrics_2023_Consol[[#This Row],[Tangible fixed assets Housing properties at valuation (Current period)2]] )</f>
        <v>2221140</v>
      </c>
      <c r="AM20" s="84" vm="1748">
        <v>2221140</v>
      </c>
      <c r="AN20" s="83" vm="7855">
        <v>0</v>
      </c>
      <c r="AO20" s="87">
        <f xml:space="preserve"> IFERROR( VfM_Metrics_2023_Consol[[#This Row],[EBITDA MRI]] / VfM_Metrics_2023_Consol[[#This Row],[Total interest]], "n/a" )</f>
        <v>1.7235586383313657</v>
      </c>
      <c r="AP2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70073</v>
      </c>
      <c r="AQ20" s="84" vm="8214">
        <v>70285</v>
      </c>
      <c r="AR20" s="84" vm="8033">
        <v>20303</v>
      </c>
      <c r="AS20" s="84" vm="1863">
        <v>6</v>
      </c>
      <c r="AT20" s="84" vm="8223">
        <v>1015</v>
      </c>
      <c r="AU20" s="84" vm="1760">
        <v>0</v>
      </c>
      <c r="AV20" s="84" vm="1850">
        <v>5863</v>
      </c>
      <c r="AW20" s="84" vm="1761">
        <v>20502</v>
      </c>
      <c r="AX20" s="84" vm="1762">
        <v>35751</v>
      </c>
      <c r="AY20" s="3">
        <f xml:space="preserve"> - SUM( VfM_Metrics_2023_Consol[[#This Row],[Interest capitalised]], VfM_Metrics_2023_Consol[[#This Row],[Interest payable and financing costs]] )</f>
        <v>40656</v>
      </c>
      <c r="AZ20" s="84" vm="1763">
        <v>-8378</v>
      </c>
      <c r="BA20" s="83" vm="8273">
        <v>-32278</v>
      </c>
      <c r="BB20" s="8">
        <f xml:space="preserve"> IFERROR( ( VfM_Metrics_2023_Consol[[#This Row],[Total Costs]] / VfM_Metrics_2023_Consol[[#This Row],[Total units for costs]] ) * 1000, "n/a" )</f>
        <v>5062.1827411167515</v>
      </c>
      <c r="BC2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175516</v>
      </c>
      <c r="BD20" s="84" vm="1764">
        <v>45482</v>
      </c>
      <c r="BE20" s="83" vm="1765">
        <v>25455</v>
      </c>
      <c r="BF20" s="83" vm="1766">
        <v>26699</v>
      </c>
      <c r="BG20" s="83" vm="1767">
        <v>12728</v>
      </c>
      <c r="BH20" s="83" vm="1768">
        <v>23425</v>
      </c>
      <c r="BI20" s="83" vm="8122">
        <v>0</v>
      </c>
      <c r="BJ20" s="83" vm="1761">
        <v>20502</v>
      </c>
      <c r="BK20" s="83" vm="1769">
        <v>1073</v>
      </c>
      <c r="BL20" s="83" vm="2049">
        <v>2859</v>
      </c>
      <c r="BM20" s="83" vm="7122">
        <v>1581</v>
      </c>
      <c r="BN20" s="83" vm="8229">
        <v>12838</v>
      </c>
      <c r="BO20" s="83" vm="1770">
        <v>2874</v>
      </c>
      <c r="BP20" s="5" vm="8055">
        <f xml:space="preserve"> VfM_Metrics_2023_Consol[[#This Row],[Total social housing units owned and/or managed at period end]]</f>
        <v>34672</v>
      </c>
      <c r="BQ20" s="84" vm="8055">
        <v>34672</v>
      </c>
      <c r="BR20" s="7">
        <f xml:space="preserve"> IFERROR( VfM_Metrics_2023_Consol[[#This Row],[SHL operating surplus / (deficit)]] / VfM_Metrics_2023_Consol[[#This Row],[Turnover from social housing lettings]], "n/a" )</f>
        <v>0.20415919378256042</v>
      </c>
      <c r="BS20" s="5" vm="8209">
        <f xml:space="preserve"> VfM_Metrics_2023_Consol[[#This Row],[Operating surplus/(deficit) (social housing lettings)]]</f>
        <v>43029</v>
      </c>
      <c r="BT20" s="84" vm="8209">
        <v>43029</v>
      </c>
      <c r="BU20" s="5" vm="1491">
        <f xml:space="preserve"> VfM_Metrics_2023_Consol[[#This Row],[Turnover from social housing lettings]]</f>
        <v>210762</v>
      </c>
      <c r="BV20" s="84" vm="1491">
        <v>210762</v>
      </c>
      <c r="BW20" s="7">
        <f xml:space="preserve"> IFERROR( VfM_Metrics_2023_Consol[[#This Row],[Net operating surplus]] / VfM_Metrics_2023_Consol[[#This Row],[Overall turnover]], "n/a" )</f>
        <v>0.16592352564251542</v>
      </c>
      <c r="BX20" s="5">
        <f xml:space="preserve"> SUM( VfM_Metrics_2023_Consol[[#This Row],[Operating surplus/(deficit) (overall)2]], - VfM_Metrics_2023_Consol[[#This Row],[Gain/(loss) on disposal of fixed assets (housing properties)2]], - VfM_Metrics_2023_Consol[[#This Row],[Gain/(loss) on disposal of fixed assets (other)2]] )</f>
        <v>49976</v>
      </c>
      <c r="BY20" s="84" vm="1757">
        <v>70285</v>
      </c>
      <c r="BZ20" s="83" vm="1758">
        <v>20303</v>
      </c>
      <c r="CA20" s="83" vm="1759">
        <v>6</v>
      </c>
      <c r="CB20" s="5" vm="1771">
        <f xml:space="preserve"> VfM_Metrics_2023_Consol[[#This Row],[Turnover (overall)]]</f>
        <v>301199</v>
      </c>
      <c r="CC20" s="84" vm="1771">
        <v>301199</v>
      </c>
      <c r="CD20" s="7">
        <f xml:space="preserve"> IFERROR( VfM_Metrics_2023_Consol[[#This Row],[Operating surplus including from JVs]] / VfM_Metrics_2023_Consol[[#This Row],[Net assets]], "n/a" )</f>
        <v>2.962820124859385E-2</v>
      </c>
      <c r="CE20" s="5">
        <f xml:space="preserve"> SUM( VfM_Metrics_2023_Consol[[#This Row],[Operating surplus/(deficit) (overall)3]], VfM_Metrics_2023_Consol[[#This Row],[Share of operating surplus/(deficit) in joint ventures or associates]] )</f>
        <v>72061</v>
      </c>
      <c r="CF20" s="84" vm="1757">
        <v>70285</v>
      </c>
      <c r="CG20" s="83" vm="8264">
        <v>1776</v>
      </c>
      <c r="CH20" s="5" vm="8197">
        <f xml:space="preserve"> VfM_Metrics_2023_Consol[[#This Row],[Total assets less current liabilities]]</f>
        <v>2432176</v>
      </c>
      <c r="CI20" s="84" vm="8197">
        <v>2432176</v>
      </c>
      <c r="CJ20" s="71" vm="1464">
        <f xml:space="preserve"> VfM_Metrics_2023_Consol[[#This Row],[Total social housing units owned (Period end)]]</f>
        <v>34384</v>
      </c>
      <c r="CK20" s="103">
        <v>4.2089084621523366E-2</v>
      </c>
      <c r="CL20" s="6">
        <f xml:space="preserve"> -- ( VfM_Metrics_2023_Consol[[#This Row],[% Supported housing (excl. HOP)]] &gt; 0.3 )</f>
        <v>0</v>
      </c>
      <c r="CM20" s="103">
        <v>0.12088789052108888</v>
      </c>
      <c r="CN20" s="6">
        <f xml:space="preserve"> -- ( VfM_Metrics_2023_Consol[[#This Row],[% Housing for older people]] &gt; 0.3 )</f>
        <v>0</v>
      </c>
      <c r="CO20" s="103">
        <f xml:space="preserve"> VfM_Metrics_2023_Consol[[#This Row],[% Supported housing (excl. HOP)]] + VfM_Metrics_2023_Consol[[#This Row],[% Housing for older people]]</f>
        <v>0.16297697514261225</v>
      </c>
      <c r="CP20" s="6">
        <f xml:space="preserve"> -- ( VfM_Metrics_2023_Consol[[#This Row],[SH specialist in RSH analysis]] + VfM_Metrics_2023_Consol[[#This Row],[OP specialist in RSH analysis]] &gt; 0 )</f>
        <v>0</v>
      </c>
      <c r="CQ20" s="10">
        <f xml:space="preserve"> -- ( VfM_Metrics_2023_Consol[[#This Row],[% SH and OP]] &gt; 0.3 )</f>
        <v>0</v>
      </c>
      <c r="CR20" s="104" t="s">
        <v>143</v>
      </c>
      <c r="CS20" s="124"/>
      <c r="CT20" s="105" t="s">
        <v>151</v>
      </c>
      <c r="CU2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20" s="85">
        <v>4.81462940604847E-2</v>
      </c>
      <c r="CW20" s="85">
        <v>0.25869430784180925</v>
      </c>
      <c r="CX20" s="85">
        <v>0.6931593980977061</v>
      </c>
      <c r="CY20" s="85">
        <v>0</v>
      </c>
      <c r="CZ20" s="85">
        <v>0</v>
      </c>
      <c r="DA20" s="85">
        <v>0</v>
      </c>
      <c r="DB20" s="85">
        <v>0</v>
      </c>
      <c r="DC20" s="85">
        <v>0</v>
      </c>
      <c r="DD20" s="85">
        <v>0</v>
      </c>
      <c r="DE20" s="13">
        <v>0.9991959900537839</v>
      </c>
    </row>
    <row r="21" spans="1:109" x14ac:dyDescent="0.25">
      <c r="A21" s="4" t="s" vm="326">
        <v>164</v>
      </c>
      <c r="B21" s="2" t="s" vm="11">
        <v>165</v>
      </c>
      <c r="C21" s="72" vm="419">
        <v>45016</v>
      </c>
      <c r="D21" s="7">
        <f>IFERROR( VfM_Metrics_2023_Consol[[#This Row],[Reinvestment Spend]] / VfM_Metrics_2023_Consol[[#This Row],[Net Book Value of Housing Properties]], "n/a" )</f>
        <v>8.1123874768960977E-2</v>
      </c>
      <c r="E2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25720</v>
      </c>
      <c r="F21" s="83" vm="7388">
        <v>19232</v>
      </c>
      <c r="G21" s="83" vm="4250">
        <v>0</v>
      </c>
      <c r="H21" s="83" vm="7290">
        <v>4577</v>
      </c>
      <c r="I21" s="83" vm="4251">
        <v>1911</v>
      </c>
      <c r="J21" s="83" vm="4252">
        <v>0</v>
      </c>
      <c r="K21" s="5">
        <f xml:space="preserve"> SUM( VfM_Metrics_2023_Consol[[#This Row],[Tangible fixed assets: Housing properties at cost (Current period)]],VfM_Metrics_2023_Consol[[#This Row],[Tangible fixed assets Housing properties at valuation (Current period)]] )</f>
        <v>317046</v>
      </c>
      <c r="L21" s="84" vm="4253">
        <v>317046</v>
      </c>
      <c r="M21" s="83" vm="4254">
        <v>0</v>
      </c>
      <c r="N21" s="7">
        <f xml:space="preserve"> IFERROR( VfM_Metrics_2023_Consol[[#This Row],[Total social units developed or newly built units acquired in-year]] / VfM_Metrics_2023_Consol[[#This Row],[Social housing units owned (period end)]], "n/a" )</f>
        <v>4.9246039320481008E-2</v>
      </c>
      <c r="O21" s="5">
        <f xml:space="preserve"> SUM( VfM_Metrics_2023_Consol[[#This Row],[Total social units developed or newly built units acquired in-year (owned)]], VfM_Metrics_2023_Consol[[#This Row],[Total social leasehold units developed or newly built units acquired in-year (owned)]] )</f>
        <v>258</v>
      </c>
      <c r="P21" s="84" vm="7628">
        <v>258</v>
      </c>
      <c r="Q21" s="83" vm="4255">
        <v>0</v>
      </c>
      <c r="R21" s="5">
        <f xml:space="preserve"> SUM( VfM_Metrics_2023_Consol[[#This Row],[Total social housing units owned (Period end)]], VfM_Metrics_2023_Consol[[#This Row],[Total social leasehold units owned (Period end)]] )</f>
        <v>5239</v>
      </c>
      <c r="S21" s="84" vm="4248">
        <v>4540</v>
      </c>
      <c r="T21" s="83" vm="4256">
        <v>699</v>
      </c>
      <c r="U21" s="86">
        <f xml:space="preserve"> IFERROR( VfM_Metrics_2023_Consol[[#This Row],[Total non-social housing units developed or newly built units acquired (owned)]] / VfM_Metrics_2023_Consol[[#This Row],[Total social and non-social housing units owned (Period end)]], "n/a" )</f>
        <v>0</v>
      </c>
      <c r="V2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1" s="83" vm="4257">
        <v>0</v>
      </c>
      <c r="X21" s="83" vm="4258">
        <v>0</v>
      </c>
      <c r="Y21" s="83" vm="4259">
        <v>0</v>
      </c>
      <c r="Z2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5349</v>
      </c>
      <c r="AA21" s="84" vm="4248">
        <v>4540</v>
      </c>
      <c r="AB21" s="83" vm="4256">
        <v>699</v>
      </c>
      <c r="AC21" s="83" vm="6985">
        <v>6</v>
      </c>
      <c r="AD21" s="83" vm="4260">
        <v>104</v>
      </c>
      <c r="AE21" s="7">
        <f xml:space="preserve"> IFERROR( VfM_Metrics_2023_Consol[[#This Row],[Total Net Debt]] / VfM_Metrics_2023_Consol[[#This Row],[Net Book Value of Housing Properties2]], "n/a" )</f>
        <v>0.63280407259514393</v>
      </c>
      <c r="AF2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200628</v>
      </c>
      <c r="AG21" s="84" vm="4261">
        <v>0</v>
      </c>
      <c r="AH21" s="83" vm="4947">
        <v>207673</v>
      </c>
      <c r="AI21" s="83" vm="4262">
        <v>7045</v>
      </c>
      <c r="AJ21" s="83" vm="4365">
        <v>0</v>
      </c>
      <c r="AK21" s="83" vm="4263">
        <v>0</v>
      </c>
      <c r="AL21" s="5">
        <f xml:space="preserve"> SUM( VfM_Metrics_2023_Consol[[#This Row],[Tangible fixed assets: Housing properties at cost (Current period)2]], VfM_Metrics_2023_Consol[[#This Row],[Tangible fixed assets Housing properties at valuation (Current period)2]] )</f>
        <v>317046</v>
      </c>
      <c r="AM21" s="84" vm="4253">
        <v>317046</v>
      </c>
      <c r="AN21" s="83" vm="4254">
        <v>0</v>
      </c>
      <c r="AO21" s="87">
        <f xml:space="preserve"> IFERROR( VfM_Metrics_2023_Consol[[#This Row],[EBITDA MRI]] / VfM_Metrics_2023_Consol[[#This Row],[Total interest]], "n/a" )</f>
        <v>1.6856588677415445</v>
      </c>
      <c r="AP2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13905</v>
      </c>
      <c r="AQ21" s="84" vm="4264">
        <v>15243</v>
      </c>
      <c r="AR21" s="84" vm="4265">
        <v>669</v>
      </c>
      <c r="AS21" s="84" vm="7402">
        <v>0</v>
      </c>
      <c r="AT21" s="84" vm="7289">
        <v>234</v>
      </c>
      <c r="AU21" s="84" vm="4266">
        <v>0</v>
      </c>
      <c r="AV21" s="84" vm="6984">
        <v>29</v>
      </c>
      <c r="AW21" s="84" vm="3089">
        <v>4577</v>
      </c>
      <c r="AX21" s="84" vm="4267">
        <v>4113</v>
      </c>
      <c r="AY21" s="3">
        <f xml:space="preserve"> - SUM( VfM_Metrics_2023_Consol[[#This Row],[Interest capitalised]], VfM_Metrics_2023_Consol[[#This Row],[Interest payable and financing costs]] )</f>
        <v>8249</v>
      </c>
      <c r="AZ21" s="84" vm="4268">
        <v>-1911</v>
      </c>
      <c r="BA21" s="83" vm="4269">
        <v>-6338</v>
      </c>
      <c r="BB21" s="8">
        <f xml:space="preserve"> IFERROR( ( VfM_Metrics_2023_Consol[[#This Row],[Total Costs]] / VfM_Metrics_2023_Consol[[#This Row],[Total units for costs]] ) * 1000, "n/a" )</f>
        <v>4487.6651982378853</v>
      </c>
      <c r="BC2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20374</v>
      </c>
      <c r="BD21" s="84" vm="4270">
        <v>3809</v>
      </c>
      <c r="BE21" s="83" vm="7679">
        <v>2026</v>
      </c>
      <c r="BF21" s="83" vm="4271">
        <v>6164</v>
      </c>
      <c r="BG21" s="83" vm="7055">
        <v>3064</v>
      </c>
      <c r="BH21" s="83" vm="4272">
        <v>0</v>
      </c>
      <c r="BI21" s="83" vm="4273">
        <v>0</v>
      </c>
      <c r="BJ21" s="83" vm="3090">
        <v>4577</v>
      </c>
      <c r="BK21" s="83" vm="4274">
        <v>115</v>
      </c>
      <c r="BL21" s="83" vm="4275">
        <v>0</v>
      </c>
      <c r="BM21" s="83" vm="4276">
        <v>0</v>
      </c>
      <c r="BN21" s="83" vm="4277">
        <v>521</v>
      </c>
      <c r="BO21" s="83" vm="4278">
        <v>98</v>
      </c>
      <c r="BP21" s="5" vm="4249">
        <f xml:space="preserve"> VfM_Metrics_2023_Consol[[#This Row],[Total social housing units owned and/or managed at period end]]</f>
        <v>4540</v>
      </c>
      <c r="BQ21" s="84" vm="4249">
        <v>4540</v>
      </c>
      <c r="BR21" s="7">
        <f xml:space="preserve"> IFERROR( VfM_Metrics_2023_Consol[[#This Row],[SHL operating surplus / (deficit)]] / VfM_Metrics_2023_Consol[[#This Row],[Turnover from social housing lettings]], "n/a" )</f>
        <v>0.40549119187430566</v>
      </c>
      <c r="BS21" s="5" vm="4279">
        <f xml:space="preserve"> VfM_Metrics_2023_Consol[[#This Row],[Operating surplus/(deficit) (social housing lettings)]]</f>
        <v>12775</v>
      </c>
      <c r="BT21" s="84" vm="4279">
        <v>12775</v>
      </c>
      <c r="BU21" s="5" vm="7607">
        <f xml:space="preserve"> VfM_Metrics_2023_Consol[[#This Row],[Turnover from social housing lettings]]</f>
        <v>31505</v>
      </c>
      <c r="BV21" s="84" vm="7607">
        <v>31505</v>
      </c>
      <c r="BW21" s="7">
        <f xml:space="preserve"> IFERROR( VfM_Metrics_2023_Consol[[#This Row],[Net operating surplus]] / VfM_Metrics_2023_Consol[[#This Row],[Overall turnover]], "n/a" )</f>
        <v>0.34316795780451625</v>
      </c>
      <c r="BX21" s="5">
        <f xml:space="preserve"> SUM( VfM_Metrics_2023_Consol[[#This Row],[Operating surplus/(deficit) (overall)2]], - VfM_Metrics_2023_Consol[[#This Row],[Gain/(loss) on disposal of fixed assets (housing properties)2]], - VfM_Metrics_2023_Consol[[#This Row],[Gain/(loss) on disposal of fixed assets (other)2]] )</f>
        <v>14574</v>
      </c>
      <c r="BY21" s="84" vm="4264">
        <v>15243</v>
      </c>
      <c r="BZ21" s="83" vm="4265">
        <v>669</v>
      </c>
      <c r="CA21" s="83" vm="7065">
        <v>0</v>
      </c>
      <c r="CB21" s="5" vm="4280">
        <f xml:space="preserve"> VfM_Metrics_2023_Consol[[#This Row],[Turnover (overall)]]</f>
        <v>42469</v>
      </c>
      <c r="CC21" s="84" vm="4280">
        <v>42469</v>
      </c>
      <c r="CD21" s="7">
        <f xml:space="preserve"> IFERROR( VfM_Metrics_2023_Consol[[#This Row],[Operating surplus including from JVs]] / VfM_Metrics_2023_Consol[[#This Row],[Net assets]], "n/a" )</f>
        <v>4.5431453230143047E-2</v>
      </c>
      <c r="CE21" s="5">
        <f xml:space="preserve"> SUM( VfM_Metrics_2023_Consol[[#This Row],[Operating surplus/(deficit) (overall)3]], VfM_Metrics_2023_Consol[[#This Row],[Share of operating surplus/(deficit) in joint ventures or associates]] )</f>
        <v>15292</v>
      </c>
      <c r="CF21" s="84" vm="4264">
        <v>15243</v>
      </c>
      <c r="CG21" s="83" vm="7688">
        <v>49</v>
      </c>
      <c r="CH21" s="5" vm="4281">
        <f xml:space="preserve"> VfM_Metrics_2023_Consol[[#This Row],[Total assets less current liabilities]]</f>
        <v>336595</v>
      </c>
      <c r="CI21" s="84" vm="4281">
        <v>336595</v>
      </c>
      <c r="CJ21" s="71" vm="4248">
        <f xml:space="preserve"> VfM_Metrics_2023_Consol[[#This Row],[Total social housing units owned (Period end)]]</f>
        <v>4540</v>
      </c>
      <c r="CK21" s="103">
        <v>0</v>
      </c>
      <c r="CL21" s="6">
        <f xml:space="preserve"> -- ( VfM_Metrics_2023_Consol[[#This Row],[% Supported housing (excl. HOP)]] &gt; 0.3 )</f>
        <v>0</v>
      </c>
      <c r="CM21" s="103">
        <v>6.4061790095411172E-2</v>
      </c>
      <c r="CN21" s="6">
        <f xml:space="preserve"> -- ( VfM_Metrics_2023_Consol[[#This Row],[% Housing for older people]] &gt; 0.3 )</f>
        <v>0</v>
      </c>
      <c r="CO21" s="103">
        <f xml:space="preserve"> VfM_Metrics_2023_Consol[[#This Row],[% Supported housing (excl. HOP)]] + VfM_Metrics_2023_Consol[[#This Row],[% Housing for older people]]</f>
        <v>6.4061790095411172E-2</v>
      </c>
      <c r="CP21" s="6">
        <f xml:space="preserve"> -- ( VfM_Metrics_2023_Consol[[#This Row],[SH specialist in RSH analysis]] + VfM_Metrics_2023_Consol[[#This Row],[OP specialist in RSH analysis]] &gt; 0 )</f>
        <v>0</v>
      </c>
      <c r="CQ21" s="10">
        <f xml:space="preserve"> -- ( VfM_Metrics_2023_Consol[[#This Row],[% SH and OP]] &gt; 0.3 )</f>
        <v>0</v>
      </c>
      <c r="CR21" s="104" t="s">
        <v>143</v>
      </c>
      <c r="CS21" s="124"/>
      <c r="CT21" s="105" t="s">
        <v>151</v>
      </c>
      <c r="CU2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21" s="85">
        <v>0</v>
      </c>
      <c r="CW21" s="85">
        <v>0</v>
      </c>
      <c r="CX21" s="85">
        <v>0</v>
      </c>
      <c r="CY21" s="85">
        <v>0</v>
      </c>
      <c r="CZ21" s="85">
        <v>0</v>
      </c>
      <c r="DA21" s="85">
        <v>1</v>
      </c>
      <c r="DB21" s="85">
        <v>0</v>
      </c>
      <c r="DC21" s="85">
        <v>0</v>
      </c>
      <c r="DD21" s="85">
        <v>0</v>
      </c>
      <c r="DE21" s="13">
        <v>1.0113701298544711</v>
      </c>
    </row>
    <row r="22" spans="1:109" x14ac:dyDescent="0.25">
      <c r="A22" s="4" t="s" vm="284">
        <v>166</v>
      </c>
      <c r="B22" s="2" t="s" vm="12">
        <v>167</v>
      </c>
      <c r="C22" s="72" vm="403">
        <v>45016</v>
      </c>
      <c r="D22" s="7">
        <f>IFERROR( VfM_Metrics_2023_Consol[[#This Row],[Reinvestment Spend]] / VfM_Metrics_2023_Consol[[#This Row],[Net Book Value of Housing Properties]], "n/a" )</f>
        <v>0.1613248974676641</v>
      </c>
      <c r="E2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51175</v>
      </c>
      <c r="F22" s="83" vm="2790">
        <v>20274</v>
      </c>
      <c r="G22" s="83" vm="7829">
        <v>5158</v>
      </c>
      <c r="H22" s="83" vm="2791">
        <v>25743</v>
      </c>
      <c r="I22" s="83" vm="7087">
        <v>0</v>
      </c>
      <c r="J22" s="83" vm="2792">
        <v>0</v>
      </c>
      <c r="K22" s="5">
        <f xml:space="preserve"> SUM( VfM_Metrics_2023_Consol[[#This Row],[Tangible fixed assets: Housing properties at cost (Current period)]],VfM_Metrics_2023_Consol[[#This Row],[Tangible fixed assets Housing properties at valuation (Current period)]] )</f>
        <v>317217</v>
      </c>
      <c r="L22" s="84" vm="2793">
        <v>317217</v>
      </c>
      <c r="M22" s="83" vm="2794">
        <v>0</v>
      </c>
      <c r="N22" s="7">
        <f xml:space="preserve"> IFERROR( VfM_Metrics_2023_Consol[[#This Row],[Total social units developed or newly built units acquired in-year]] / VfM_Metrics_2023_Consol[[#This Row],[Social housing units owned (period end)]], "n/a" )</f>
        <v>5.4776511831726559E-3</v>
      </c>
      <c r="O22" s="5">
        <f xml:space="preserve"> SUM( VfM_Metrics_2023_Consol[[#This Row],[Total social units developed or newly built units acquired in-year (owned)]], VfM_Metrics_2023_Consol[[#This Row],[Total social leasehold units developed or newly built units acquired in-year (owned)]] )</f>
        <v>100</v>
      </c>
      <c r="P22" s="84" vm="2795">
        <v>100</v>
      </c>
      <c r="Q22" s="83" vm="2796">
        <v>0</v>
      </c>
      <c r="R22" s="5">
        <f xml:space="preserve"> SUM( VfM_Metrics_2023_Consol[[#This Row],[Total social housing units owned (Period end)]], VfM_Metrics_2023_Consol[[#This Row],[Total social leasehold units owned (Period end)]] )</f>
        <v>18256</v>
      </c>
      <c r="S22" s="84" vm="7608">
        <v>18044</v>
      </c>
      <c r="T22" s="83" vm="2797">
        <v>212</v>
      </c>
      <c r="U22" s="86">
        <f xml:space="preserve"> IFERROR( VfM_Metrics_2023_Consol[[#This Row],[Total non-social housing units developed or newly built units acquired (owned)]] / VfM_Metrics_2023_Consol[[#This Row],[Total social and non-social housing units owned (Period end)]], "n/a" )</f>
        <v>0</v>
      </c>
      <c r="V2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2" s="83" vm="2798">
        <v>0</v>
      </c>
      <c r="X22" s="83" vm="2799">
        <v>0</v>
      </c>
      <c r="Y22" s="83" vm="2800">
        <v>0</v>
      </c>
      <c r="Z2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18256</v>
      </c>
      <c r="AA22" s="84" vm="2788">
        <v>18044</v>
      </c>
      <c r="AB22" s="83" vm="2797">
        <v>212</v>
      </c>
      <c r="AC22" s="83" vm="2801">
        <v>0</v>
      </c>
      <c r="AD22" s="83" vm="2812">
        <v>0</v>
      </c>
      <c r="AE22" s="7">
        <f xml:space="preserve"> IFERROR( VfM_Metrics_2023_Consol[[#This Row],[Total Net Debt]] / VfM_Metrics_2023_Consol[[#This Row],[Net Book Value of Housing Properties2]], "n/a" )</f>
        <v>0.48707036508131657</v>
      </c>
      <c r="AF2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154507</v>
      </c>
      <c r="AG22" s="84" vm="7782">
        <v>0</v>
      </c>
      <c r="AH22" s="83" vm="2802">
        <v>159065</v>
      </c>
      <c r="AI22" s="83" vm="2803">
        <v>4558</v>
      </c>
      <c r="AJ22" s="83" vm="2804">
        <v>0</v>
      </c>
      <c r="AK22" s="83" vm="7482">
        <v>0</v>
      </c>
      <c r="AL22" s="5">
        <f xml:space="preserve"> SUM( VfM_Metrics_2023_Consol[[#This Row],[Tangible fixed assets: Housing properties at cost (Current period)2]], VfM_Metrics_2023_Consol[[#This Row],[Tangible fixed assets Housing properties at valuation (Current period)2]] )</f>
        <v>317217</v>
      </c>
      <c r="AM22" s="84" vm="2793">
        <v>317217</v>
      </c>
      <c r="AN22" s="83" vm="2794">
        <v>0</v>
      </c>
      <c r="AO22" s="87">
        <f xml:space="preserve"> IFERROR( VfM_Metrics_2023_Consol[[#This Row],[EBITDA MRI]] / VfM_Metrics_2023_Consol[[#This Row],[Total interest]], "n/a" )</f>
        <v>-0.79515978071934745</v>
      </c>
      <c r="AP2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-5947</v>
      </c>
      <c r="AQ22" s="84" vm="2805">
        <v>13437</v>
      </c>
      <c r="AR22" s="84" vm="7727">
        <v>3248</v>
      </c>
      <c r="AS22" s="84" vm="2807">
        <v>87</v>
      </c>
      <c r="AT22" s="84" vm="2808">
        <v>405</v>
      </c>
      <c r="AU22" s="84" vm="2809">
        <v>0</v>
      </c>
      <c r="AV22" s="84" vm="2810">
        <v>625</v>
      </c>
      <c r="AW22" s="84" vm="7941">
        <v>25743</v>
      </c>
      <c r="AX22" s="84" vm="2812">
        <v>9474</v>
      </c>
      <c r="AY22" s="3">
        <f xml:space="preserve"> - SUM( VfM_Metrics_2023_Consol[[#This Row],[Interest capitalised]], VfM_Metrics_2023_Consol[[#This Row],[Interest payable and financing costs]] )</f>
        <v>7479</v>
      </c>
      <c r="AZ22" s="84" vm="7779">
        <v>0</v>
      </c>
      <c r="BA22" s="83" vm="2813">
        <v>-7479</v>
      </c>
      <c r="BB22" s="8">
        <f xml:space="preserve"> IFERROR( ( VfM_Metrics_2023_Consol[[#This Row],[Total Costs]] / VfM_Metrics_2023_Consol[[#This Row],[Total units for costs]] ) * 1000, "n/a" )</f>
        <v>4370.9820438927072</v>
      </c>
      <c r="BC2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78870</v>
      </c>
      <c r="BD22" s="84" vm="2814">
        <v>24646</v>
      </c>
      <c r="BE22" s="83" vm="2815">
        <v>995</v>
      </c>
      <c r="BF22" s="83" vm="2816">
        <v>18574</v>
      </c>
      <c r="BG22" s="83" vm="7929">
        <v>4220</v>
      </c>
      <c r="BH22" s="83" vm="2817">
        <v>3441</v>
      </c>
      <c r="BI22" s="83" vm="2818">
        <v>0</v>
      </c>
      <c r="BJ22" s="83" vm="2811">
        <v>25743</v>
      </c>
      <c r="BK22" s="83" vm="2819">
        <v>0</v>
      </c>
      <c r="BL22" s="83" vm="2820">
        <v>289</v>
      </c>
      <c r="BM22" s="83" vm="2821">
        <v>962</v>
      </c>
      <c r="BN22" s="83" vm="2822">
        <v>0</v>
      </c>
      <c r="BO22" s="83" vm="2823">
        <v>0</v>
      </c>
      <c r="BP22" s="5" vm="2789">
        <f xml:space="preserve"> VfM_Metrics_2023_Consol[[#This Row],[Total social housing units owned and/or managed at period end]]</f>
        <v>18044</v>
      </c>
      <c r="BQ22" s="84" vm="2789">
        <v>18044</v>
      </c>
      <c r="BR22" s="7">
        <f xml:space="preserve"> IFERROR( VfM_Metrics_2023_Consol[[#This Row],[SHL operating surplus / (deficit)]] / VfM_Metrics_2023_Consol[[#This Row],[Turnover from social housing lettings]], "n/a" )</f>
        <v>0.14326878257553285</v>
      </c>
      <c r="BS22" s="5" vm="2824">
        <f xml:space="preserve"> VfM_Metrics_2023_Consol[[#This Row],[Operating surplus/(deficit) (social housing lettings)]]</f>
        <v>10143</v>
      </c>
      <c r="BT22" s="84" vm="2824">
        <v>10143</v>
      </c>
      <c r="BU22" s="5" vm="2825">
        <f xml:space="preserve"> VfM_Metrics_2023_Consol[[#This Row],[Turnover from social housing lettings]]</f>
        <v>70797</v>
      </c>
      <c r="BV22" s="84" vm="2825">
        <v>70797</v>
      </c>
      <c r="BW22" s="7">
        <f xml:space="preserve"> IFERROR( VfM_Metrics_2023_Consol[[#This Row],[Net operating surplus]] / VfM_Metrics_2023_Consol[[#This Row],[Overall turnover]], "n/a" )</f>
        <v>0.13661505172763541</v>
      </c>
      <c r="BX22" s="5">
        <f xml:space="preserve"> SUM( VfM_Metrics_2023_Consol[[#This Row],[Operating surplus/(deficit) (overall)2]], - VfM_Metrics_2023_Consol[[#This Row],[Gain/(loss) on disposal of fixed assets (housing properties)2]], - VfM_Metrics_2023_Consol[[#This Row],[Gain/(loss) on disposal of fixed assets (other)2]] )</f>
        <v>10102</v>
      </c>
      <c r="BY22" s="84" vm="2805">
        <v>13437</v>
      </c>
      <c r="BZ22" s="83" vm="2806">
        <v>3248</v>
      </c>
      <c r="CA22" s="83" vm="2807">
        <v>87</v>
      </c>
      <c r="CB22" s="5" vm="2826">
        <f xml:space="preserve"> VfM_Metrics_2023_Consol[[#This Row],[Turnover (overall)]]</f>
        <v>73945</v>
      </c>
      <c r="CC22" s="84" vm="2826">
        <v>73945</v>
      </c>
      <c r="CD22" s="7">
        <f xml:space="preserve"> IFERROR( VfM_Metrics_2023_Consol[[#This Row],[Operating surplus including from JVs]] / VfM_Metrics_2023_Consol[[#This Row],[Net assets]], "n/a" )</f>
        <v>4.1729165696184845E-2</v>
      </c>
      <c r="CE22" s="5">
        <f xml:space="preserve"> SUM( VfM_Metrics_2023_Consol[[#This Row],[Operating surplus/(deficit) (overall)3]], VfM_Metrics_2023_Consol[[#This Row],[Share of operating surplus/(deficit) in joint ventures or associates]] )</f>
        <v>13437</v>
      </c>
      <c r="CF22" s="84" vm="2767">
        <v>13437</v>
      </c>
      <c r="CG22" s="83" vm="7831">
        <v>0</v>
      </c>
      <c r="CH22" s="5" vm="7691">
        <f xml:space="preserve"> VfM_Metrics_2023_Consol[[#This Row],[Total assets less current liabilities]]</f>
        <v>322005</v>
      </c>
      <c r="CI22" s="84" vm="7691">
        <v>322005</v>
      </c>
      <c r="CJ22" s="71" vm="7608">
        <f xml:space="preserve"> VfM_Metrics_2023_Consol[[#This Row],[Total social housing units owned (Period end)]]</f>
        <v>18044</v>
      </c>
      <c r="CK22" s="103">
        <v>0</v>
      </c>
      <c r="CL22" s="6">
        <f xml:space="preserve"> -- ( VfM_Metrics_2023_Consol[[#This Row],[% Supported housing (excl. HOP)]] &gt; 0.3 )</f>
        <v>0</v>
      </c>
      <c r="CM22" s="103">
        <v>0</v>
      </c>
      <c r="CN22" s="6">
        <f xml:space="preserve"> -- ( VfM_Metrics_2023_Consol[[#This Row],[% Housing for older people]] &gt; 0.3 )</f>
        <v>0</v>
      </c>
      <c r="CO22" s="103">
        <f xml:space="preserve"> VfM_Metrics_2023_Consol[[#This Row],[% Supported housing (excl. HOP)]] + VfM_Metrics_2023_Consol[[#This Row],[% Housing for older people]]</f>
        <v>0</v>
      </c>
      <c r="CP22" s="6">
        <f xml:space="preserve"> -- ( VfM_Metrics_2023_Consol[[#This Row],[SH specialist in RSH analysis]] + VfM_Metrics_2023_Consol[[#This Row],[OP specialist in RSH analysis]] &gt; 0 )</f>
        <v>0</v>
      </c>
      <c r="CQ22" s="10">
        <f xml:space="preserve"> -- ( VfM_Metrics_2023_Consol[[#This Row],[% SH and OP]] &gt; 0.3 )</f>
        <v>0</v>
      </c>
      <c r="CR22" s="104" t="s">
        <v>168</v>
      </c>
      <c r="CS22" s="124">
        <v>42107</v>
      </c>
      <c r="CT22" s="105" t="s">
        <v>169</v>
      </c>
      <c r="CU2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22" s="85">
        <v>0</v>
      </c>
      <c r="CW22" s="85">
        <v>0</v>
      </c>
      <c r="CX22" s="85">
        <v>0</v>
      </c>
      <c r="CY22" s="85">
        <v>0</v>
      </c>
      <c r="CZ22" s="85">
        <v>0</v>
      </c>
      <c r="DA22" s="85">
        <v>0</v>
      </c>
      <c r="DB22" s="85">
        <v>1</v>
      </c>
      <c r="DC22" s="85">
        <v>0</v>
      </c>
      <c r="DD22" s="85">
        <v>0</v>
      </c>
      <c r="DE22" s="13">
        <v>0.90654753410084521</v>
      </c>
    </row>
    <row r="23" spans="1:109" x14ac:dyDescent="0.25">
      <c r="A23" s="4" t="s" vm="291">
        <v>170</v>
      </c>
      <c r="B23" s="2" t="s" vm="13">
        <v>171</v>
      </c>
      <c r="C23" s="72" vm="402">
        <v>45016</v>
      </c>
      <c r="D23" s="7">
        <f>IFERROR( VfM_Metrics_2023_Consol[[#This Row],[Reinvestment Spend]] / VfM_Metrics_2023_Consol[[#This Row],[Net Book Value of Housing Properties]], "n/a" )</f>
        <v>5.449823199924899E-2</v>
      </c>
      <c r="E2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26124</v>
      </c>
      <c r="F23" s="83" vm="3041">
        <v>9479</v>
      </c>
      <c r="G23" s="83" vm="7826">
        <v>1644</v>
      </c>
      <c r="H23" s="83" vm="3042">
        <v>14582</v>
      </c>
      <c r="I23" s="83" vm="3043">
        <v>419</v>
      </c>
      <c r="J23" s="83" vm="3044">
        <v>0</v>
      </c>
      <c r="K23" s="5">
        <f xml:space="preserve"> SUM( VfM_Metrics_2023_Consol[[#This Row],[Tangible fixed assets: Housing properties at cost (Current period)]],VfM_Metrics_2023_Consol[[#This Row],[Tangible fixed assets Housing properties at valuation (Current period)]] )</f>
        <v>479355</v>
      </c>
      <c r="L23" s="84" vm="3045">
        <v>479355</v>
      </c>
      <c r="M23" s="83">
        <v>0</v>
      </c>
      <c r="N23" s="7">
        <f xml:space="preserve"> IFERROR( VfM_Metrics_2023_Consol[[#This Row],[Total social units developed or newly built units acquired in-year]] / VfM_Metrics_2023_Consol[[#This Row],[Social housing units owned (period end)]], "n/a" )</f>
        <v>8.0143705955506434E-3</v>
      </c>
      <c r="O23" s="5">
        <f xml:space="preserve"> SUM( VfM_Metrics_2023_Consol[[#This Row],[Total social units developed or newly built units acquired in-year (owned)]], VfM_Metrics_2023_Consol[[#This Row],[Total social leasehold units developed or newly built units acquired in-year (owned)]] )</f>
        <v>116</v>
      </c>
      <c r="P23" s="84" vm="7469">
        <v>116</v>
      </c>
      <c r="Q23" s="83">
        <v>0</v>
      </c>
      <c r="R23" s="5">
        <f xml:space="preserve"> SUM( VfM_Metrics_2023_Consol[[#This Row],[Total social housing units owned (Period end)]], VfM_Metrics_2023_Consol[[#This Row],[Total social leasehold units owned (Period end)]] )</f>
        <v>14474</v>
      </c>
      <c r="S23" s="84" vm="3039">
        <v>13715</v>
      </c>
      <c r="T23" s="83" vm="7736">
        <v>759</v>
      </c>
      <c r="U23" s="86">
        <f xml:space="preserve"> IFERROR( VfM_Metrics_2023_Consol[[#This Row],[Total non-social housing units developed or newly built units acquired (owned)]] / VfM_Metrics_2023_Consol[[#This Row],[Total social and non-social housing units owned (Period end)]], "n/a" )</f>
        <v>0</v>
      </c>
      <c r="V2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3" s="83">
        <v>0</v>
      </c>
      <c r="X23" s="83">
        <v>0</v>
      </c>
      <c r="Y23" s="83">
        <v>0</v>
      </c>
      <c r="Z2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14486</v>
      </c>
      <c r="AA23" s="84" vm="3039">
        <v>13715</v>
      </c>
      <c r="AB23" s="83" vm="3046">
        <v>759</v>
      </c>
      <c r="AC23" s="83" vm="3047">
        <v>12</v>
      </c>
      <c r="AD23" s="83" vm="7844">
        <v>0</v>
      </c>
      <c r="AE23" s="7">
        <f xml:space="preserve"> IFERROR( VfM_Metrics_2023_Consol[[#This Row],[Total Net Debt]] / VfM_Metrics_2023_Consol[[#This Row],[Net Book Value of Housing Properties2]], "n/a" )</f>
        <v>0.23945092885231195</v>
      </c>
      <c r="AF2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114782</v>
      </c>
      <c r="AG23" s="84" vm="3048">
        <v>2206</v>
      </c>
      <c r="AH23" s="83" vm="3049">
        <v>152011</v>
      </c>
      <c r="AI23" s="83" vm="3050">
        <v>39435</v>
      </c>
      <c r="AJ23" s="83" vm="1675">
        <v>0</v>
      </c>
      <c r="AK23" s="83">
        <v>0</v>
      </c>
      <c r="AL23" s="5">
        <f xml:space="preserve"> SUM( VfM_Metrics_2023_Consol[[#This Row],[Tangible fixed assets: Housing properties at cost (Current period)2]], VfM_Metrics_2023_Consol[[#This Row],[Tangible fixed assets Housing properties at valuation (Current period)2]] )</f>
        <v>479355</v>
      </c>
      <c r="AM23" s="84" vm="7725">
        <v>479355</v>
      </c>
      <c r="AN23" s="83">
        <v>0</v>
      </c>
      <c r="AO23" s="87">
        <f xml:space="preserve"> IFERROR( VfM_Metrics_2023_Consol[[#This Row],[EBITDA MRI]] / VfM_Metrics_2023_Consol[[#This Row],[Total interest]], "n/a" )</f>
        <v>2.2713606381346834</v>
      </c>
      <c r="AP2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14807</v>
      </c>
      <c r="AQ23" s="84" vm="2125">
        <v>23518</v>
      </c>
      <c r="AR23" s="84" vm="7213">
        <v>2375</v>
      </c>
      <c r="AS23" s="84">
        <v>0</v>
      </c>
      <c r="AT23" s="84" vm="3052">
        <v>4330</v>
      </c>
      <c r="AU23" s="84" vm="3053">
        <v>0</v>
      </c>
      <c r="AV23" s="84" vm="3054">
        <v>539</v>
      </c>
      <c r="AW23" s="84" vm="3055">
        <v>14582</v>
      </c>
      <c r="AX23" s="84" vm="3056">
        <v>12037</v>
      </c>
      <c r="AY23" s="3">
        <f xml:space="preserve"> - SUM( VfM_Metrics_2023_Consol[[#This Row],[Interest capitalised]], VfM_Metrics_2023_Consol[[#This Row],[Interest payable and financing costs]] )</f>
        <v>6519</v>
      </c>
      <c r="AZ23" s="84" vm="3057">
        <v>-419</v>
      </c>
      <c r="BA23" s="83" vm="3091">
        <v>-6100</v>
      </c>
      <c r="BB23" s="8">
        <f xml:space="preserve"> IFERROR( ( VfM_Metrics_2023_Consol[[#This Row],[Total Costs]] / VfM_Metrics_2023_Consol[[#This Row],[Total units for costs]] ) * 1000, "n/a" )</f>
        <v>4086.3777761701508</v>
      </c>
      <c r="BC2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56486</v>
      </c>
      <c r="BD23" s="84" vm="7824">
        <v>10281</v>
      </c>
      <c r="BE23" s="83" vm="7788">
        <v>5977</v>
      </c>
      <c r="BF23" s="83" vm="3059">
        <v>12902</v>
      </c>
      <c r="BG23" s="83" vm="3060">
        <v>5697</v>
      </c>
      <c r="BH23" s="83" vm="3061">
        <v>1756</v>
      </c>
      <c r="BI23" s="83" vm="3062">
        <v>330</v>
      </c>
      <c r="BJ23" s="83" vm="3055">
        <v>14582</v>
      </c>
      <c r="BK23" s="83" vm="3063">
        <v>3038</v>
      </c>
      <c r="BL23" s="83" vm="3064">
        <v>1310</v>
      </c>
      <c r="BM23" s="83" vm="3065">
        <v>403</v>
      </c>
      <c r="BN23" s="83" vm="3066">
        <v>210</v>
      </c>
      <c r="BO23" s="83">
        <v>0</v>
      </c>
      <c r="BP23" s="5" vm="3040">
        <f xml:space="preserve"> VfM_Metrics_2023_Consol[[#This Row],[Total social housing units owned and/or managed at period end]]</f>
        <v>13823</v>
      </c>
      <c r="BQ23" s="84" vm="3040">
        <v>13823</v>
      </c>
      <c r="BR23" s="7">
        <f xml:space="preserve"> IFERROR( VfM_Metrics_2023_Consol[[#This Row],[SHL operating surplus / (deficit)]] / VfM_Metrics_2023_Consol[[#This Row],[Turnover from social housing lettings]], "n/a" )</f>
        <v>0.28320705331312851</v>
      </c>
      <c r="BS23" s="5" vm="3067">
        <f xml:space="preserve"> VfM_Metrics_2023_Consol[[#This Row],[Operating surplus/(deficit) (social housing lettings)]]</f>
        <v>20558</v>
      </c>
      <c r="BT23" s="84" vm="3067">
        <v>20558</v>
      </c>
      <c r="BU23" s="5" vm="3068">
        <f xml:space="preserve"> VfM_Metrics_2023_Consol[[#This Row],[Turnover from social housing lettings]]</f>
        <v>72590</v>
      </c>
      <c r="BV23" s="84" vm="3068">
        <v>72590</v>
      </c>
      <c r="BW23" s="7">
        <f xml:space="preserve"> IFERROR( VfM_Metrics_2023_Consol[[#This Row],[Net operating surplus]] / VfM_Metrics_2023_Consol[[#This Row],[Overall turnover]], "n/a" )</f>
        <v>0.25053322589818938</v>
      </c>
      <c r="BX23" s="5">
        <f xml:space="preserve"> SUM( VfM_Metrics_2023_Consol[[#This Row],[Operating surplus/(deficit) (overall)2]], - VfM_Metrics_2023_Consol[[#This Row],[Gain/(loss) on disposal of fixed assets (housing properties)2]], - VfM_Metrics_2023_Consol[[#This Row],[Gain/(loss) on disposal of fixed assets (other)2]] )</f>
        <v>21143</v>
      </c>
      <c r="BY23" s="84" vm="3051">
        <v>23518</v>
      </c>
      <c r="BZ23" s="83" vm="7843">
        <v>2375</v>
      </c>
      <c r="CA23" s="83">
        <v>0</v>
      </c>
      <c r="CB23" s="5" vm="7467">
        <f xml:space="preserve"> VfM_Metrics_2023_Consol[[#This Row],[Turnover (overall)]]</f>
        <v>84392</v>
      </c>
      <c r="CC23" s="84" vm="7467">
        <v>84392</v>
      </c>
      <c r="CD23" s="7">
        <f xml:space="preserve"> IFERROR( VfM_Metrics_2023_Consol[[#This Row],[Operating surplus including from JVs]] / VfM_Metrics_2023_Consol[[#This Row],[Net assets]], "n/a" )</f>
        <v>4.5174104124408386E-2</v>
      </c>
      <c r="CE23" s="5">
        <f xml:space="preserve"> SUM( VfM_Metrics_2023_Consol[[#This Row],[Operating surplus/(deficit) (overall)3]], VfM_Metrics_2023_Consol[[#This Row],[Share of operating surplus/(deficit) in joint ventures or associates]] )</f>
        <v>23518</v>
      </c>
      <c r="CF23" s="84" vm="3051">
        <v>23518</v>
      </c>
      <c r="CG23" s="83">
        <v>0</v>
      </c>
      <c r="CH23" s="5" vm="7748">
        <f xml:space="preserve"> VfM_Metrics_2023_Consol[[#This Row],[Total assets less current liabilities]]</f>
        <v>520608</v>
      </c>
      <c r="CI23" s="84" vm="7748">
        <v>520608</v>
      </c>
      <c r="CJ23" s="71" vm="3039">
        <f xml:space="preserve"> VfM_Metrics_2023_Consol[[#This Row],[Total social housing units owned (Period end)]]</f>
        <v>13715</v>
      </c>
      <c r="CK23" s="103">
        <v>4.2495808732414896E-2</v>
      </c>
      <c r="CL23" s="6">
        <f xml:space="preserve"> -- ( VfM_Metrics_2023_Consol[[#This Row],[% Supported housing (excl. HOP)]] &gt; 0.3 )</f>
        <v>0</v>
      </c>
      <c r="CM23" s="103">
        <v>0.18667541365988774</v>
      </c>
      <c r="CN23" s="6">
        <f xml:space="preserve"> -- ( VfM_Metrics_2023_Consol[[#This Row],[% Housing for older people]] &gt; 0.3 )</f>
        <v>0</v>
      </c>
      <c r="CO23" s="103">
        <f xml:space="preserve"> VfM_Metrics_2023_Consol[[#This Row],[% Supported housing (excl. HOP)]] + VfM_Metrics_2023_Consol[[#This Row],[% Housing for older people]]</f>
        <v>0.22917122239230264</v>
      </c>
      <c r="CP23" s="6">
        <f xml:space="preserve"> -- ( VfM_Metrics_2023_Consol[[#This Row],[SH specialist in RSH analysis]] + VfM_Metrics_2023_Consol[[#This Row],[OP specialist in RSH analysis]] &gt; 0 )</f>
        <v>0</v>
      </c>
      <c r="CQ23" s="10">
        <f xml:space="preserve"> -- ( VfM_Metrics_2023_Consol[[#This Row],[% SH and OP]] &gt; 0.3 )</f>
        <v>0</v>
      </c>
      <c r="CR23" s="104" t="s">
        <v>143</v>
      </c>
      <c r="CS23" s="124"/>
      <c r="CT23" s="105" t="s">
        <v>151</v>
      </c>
      <c r="CU2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23" s="85">
        <v>0</v>
      </c>
      <c r="CW23" s="85">
        <v>0</v>
      </c>
      <c r="CX23" s="85">
        <v>0</v>
      </c>
      <c r="CY23" s="85">
        <v>0</v>
      </c>
      <c r="CZ23" s="85">
        <v>0</v>
      </c>
      <c r="DA23" s="85">
        <v>0</v>
      </c>
      <c r="DB23" s="85">
        <v>1</v>
      </c>
      <c r="DC23" s="85">
        <v>0</v>
      </c>
      <c r="DD23" s="85">
        <v>0</v>
      </c>
      <c r="DE23" s="13">
        <v>0.90654753410084521</v>
      </c>
    </row>
    <row r="24" spans="1:109" x14ac:dyDescent="0.25">
      <c r="A24" s="4" t="s" vm="285">
        <v>172</v>
      </c>
      <c r="B24" s="2" t="s" vm="14">
        <v>173</v>
      </c>
      <c r="C24" s="72" vm="457">
        <v>45016</v>
      </c>
      <c r="D24" s="7">
        <f>IFERROR( VfM_Metrics_2023_Consol[[#This Row],[Reinvestment Spend]] / VfM_Metrics_2023_Consol[[#This Row],[Net Book Value of Housing Properties]], "n/a" )</f>
        <v>0.1068225556323686</v>
      </c>
      <c r="E2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45738</v>
      </c>
      <c r="F24" s="83" vm="2829">
        <v>0</v>
      </c>
      <c r="G24" s="83" vm="2830">
        <v>30386</v>
      </c>
      <c r="H24" s="83" vm="2831">
        <v>14448</v>
      </c>
      <c r="I24" s="83" vm="2832">
        <v>904</v>
      </c>
      <c r="J24" s="83" vm="2833">
        <v>0</v>
      </c>
      <c r="K24" s="5">
        <f xml:space="preserve"> SUM( VfM_Metrics_2023_Consol[[#This Row],[Tangible fixed assets: Housing properties at cost (Current period)]],VfM_Metrics_2023_Consol[[#This Row],[Tangible fixed assets Housing properties at valuation (Current period)]] )</f>
        <v>428168</v>
      </c>
      <c r="L24" s="84" vm="2834">
        <v>428168</v>
      </c>
      <c r="M24" s="83" vm="2835">
        <v>0</v>
      </c>
      <c r="N24" s="7">
        <f xml:space="preserve"> IFERROR( VfM_Metrics_2023_Consol[[#This Row],[Total social units developed or newly built units acquired in-year]] / VfM_Metrics_2023_Consol[[#This Row],[Social housing units owned (period end)]], "n/a" )</f>
        <v>1.0319314641744548E-2</v>
      </c>
      <c r="O24" s="5">
        <f xml:space="preserve"> SUM( VfM_Metrics_2023_Consol[[#This Row],[Total social units developed or newly built units acquired in-year (owned)]], VfM_Metrics_2023_Consol[[#This Row],[Total social leasehold units developed or newly built units acquired in-year (owned)]] )</f>
        <v>159</v>
      </c>
      <c r="P24" s="84" vm="2836">
        <v>159</v>
      </c>
      <c r="Q24" s="83" vm="7841">
        <v>0</v>
      </c>
      <c r="R24" s="5">
        <f xml:space="preserve"> SUM( VfM_Metrics_2023_Consol[[#This Row],[Total social housing units owned (Period end)]], VfM_Metrics_2023_Consol[[#This Row],[Total social leasehold units owned (Period end)]] )</f>
        <v>15408</v>
      </c>
      <c r="S24" s="84" vm="2827">
        <v>15130</v>
      </c>
      <c r="T24" s="83" vm="2761">
        <v>278</v>
      </c>
      <c r="U24" s="86">
        <f xml:space="preserve"> IFERROR( VfM_Metrics_2023_Consol[[#This Row],[Total non-social housing units developed or newly built units acquired (owned)]] / VfM_Metrics_2023_Consol[[#This Row],[Total social and non-social housing units owned (Period end)]], "n/a" )</f>
        <v>3.1849162367029748E-3</v>
      </c>
      <c r="V2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50</v>
      </c>
      <c r="W24" s="83" vm="2838">
        <v>0</v>
      </c>
      <c r="X24" s="83" vm="2839">
        <v>0</v>
      </c>
      <c r="Y24" s="83" vm="2840">
        <v>50</v>
      </c>
      <c r="Z2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15699</v>
      </c>
      <c r="AA24" s="84" vm="2827">
        <v>15130</v>
      </c>
      <c r="AB24" s="83" vm="2837">
        <v>278</v>
      </c>
      <c r="AC24" s="83" vm="7972">
        <v>278</v>
      </c>
      <c r="AD24" s="83" vm="7480">
        <v>13</v>
      </c>
      <c r="AE24" s="7">
        <f xml:space="preserve"> IFERROR( VfM_Metrics_2023_Consol[[#This Row],[Total Net Debt]] / VfM_Metrics_2023_Consol[[#This Row],[Net Book Value of Housing Properties2]], "n/a" )</f>
        <v>0.47361783225276061</v>
      </c>
      <c r="AF2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202788</v>
      </c>
      <c r="AG24" s="84" vm="2841">
        <v>0</v>
      </c>
      <c r="AH24" s="83" vm="2842">
        <v>230132</v>
      </c>
      <c r="AI24" s="83" vm="2843">
        <v>27344</v>
      </c>
      <c r="AJ24" s="83" vm="2844">
        <v>0</v>
      </c>
      <c r="AK24" s="83" vm="2845">
        <v>0</v>
      </c>
      <c r="AL24" s="5">
        <f xml:space="preserve"> SUM( VfM_Metrics_2023_Consol[[#This Row],[Tangible fixed assets: Housing properties at cost (Current period)2]], VfM_Metrics_2023_Consol[[#This Row],[Tangible fixed assets Housing properties at valuation (Current period)2]] )</f>
        <v>428168</v>
      </c>
      <c r="AM24" s="84" vm="2834">
        <v>428168</v>
      </c>
      <c r="AN24" s="83" vm="2835">
        <v>0</v>
      </c>
      <c r="AO24" s="87">
        <f xml:space="preserve"> IFERROR( VfM_Metrics_2023_Consol[[#This Row],[EBITDA MRI]] / VfM_Metrics_2023_Consol[[#This Row],[Total interest]], "n/a" )</f>
        <v>0.94291454910767047</v>
      </c>
      <c r="AP2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7978</v>
      </c>
      <c r="AQ24" s="84" vm="2846">
        <v>14911</v>
      </c>
      <c r="AR24" s="84" vm="2847">
        <v>832</v>
      </c>
      <c r="AS24" s="84" vm="2848">
        <v>0</v>
      </c>
      <c r="AT24" s="84" vm="2849">
        <v>1356</v>
      </c>
      <c r="AU24" s="84" vm="2850">
        <v>148</v>
      </c>
      <c r="AV24" s="84" vm="2851">
        <v>210</v>
      </c>
      <c r="AW24" s="84" vm="2852">
        <v>14448</v>
      </c>
      <c r="AX24" s="84" vm="7951">
        <v>9641</v>
      </c>
      <c r="AY24" s="3">
        <f xml:space="preserve"> - SUM( VfM_Metrics_2023_Consol[[#This Row],[Interest capitalised]], VfM_Metrics_2023_Consol[[#This Row],[Interest payable and financing costs]] )</f>
        <v>8461</v>
      </c>
      <c r="AZ24" s="84" vm="2853">
        <v>-1183</v>
      </c>
      <c r="BA24" s="83" vm="7904">
        <v>-7278</v>
      </c>
      <c r="BB24" s="8">
        <f xml:space="preserve"> IFERROR( ( VfM_Metrics_2023_Consol[[#This Row],[Total Costs]] / VfM_Metrics_2023_Consol[[#This Row],[Total units for costs]] ) * 1000, "n/a" )</f>
        <v>4363.7441538765561</v>
      </c>
      <c r="BC2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66246</v>
      </c>
      <c r="BD24" s="84" vm="2854">
        <v>20641</v>
      </c>
      <c r="BE24" s="83" vm="2855">
        <v>1996</v>
      </c>
      <c r="BF24" s="83" vm="2856">
        <v>15462</v>
      </c>
      <c r="BG24" s="83" vm="3270">
        <v>4483</v>
      </c>
      <c r="BH24" s="83" vm="2924">
        <v>6899</v>
      </c>
      <c r="BI24" s="83" vm="2857">
        <v>0</v>
      </c>
      <c r="BJ24" s="83" vm="2852">
        <v>14448</v>
      </c>
      <c r="BK24" s="83" vm="2858">
        <v>0</v>
      </c>
      <c r="BL24" s="83" vm="2859">
        <v>0</v>
      </c>
      <c r="BM24" s="83" vm="7928">
        <v>0</v>
      </c>
      <c r="BN24" s="83" vm="2860">
        <v>2317</v>
      </c>
      <c r="BO24" s="83" vm="7942">
        <v>0</v>
      </c>
      <c r="BP24" s="5" vm="2828">
        <f xml:space="preserve"> VfM_Metrics_2023_Consol[[#This Row],[Total social housing units owned and/or managed at period end]]</f>
        <v>15181</v>
      </c>
      <c r="BQ24" s="84" vm="2828">
        <v>15181</v>
      </c>
      <c r="BR24" s="7">
        <f xml:space="preserve"> IFERROR( VfM_Metrics_2023_Consol[[#This Row],[SHL operating surplus / (deficit)]] / VfM_Metrics_2023_Consol[[#This Row],[Turnover from social housing lettings]], "n/a" )</f>
        <v>0.17599883347914844</v>
      </c>
      <c r="BS24" s="5" vm="2861">
        <f xml:space="preserve"> VfM_Metrics_2023_Consol[[#This Row],[Operating surplus/(deficit) (social housing lettings)]]</f>
        <v>13277</v>
      </c>
      <c r="BT24" s="84" vm="2861">
        <v>13277</v>
      </c>
      <c r="BU24" s="5" vm="2862">
        <f xml:space="preserve"> VfM_Metrics_2023_Consol[[#This Row],[Turnover from social housing lettings]]</f>
        <v>75438</v>
      </c>
      <c r="BV24" s="84" vm="2862">
        <v>75438</v>
      </c>
      <c r="BW24" s="7">
        <f xml:space="preserve"> IFERROR( VfM_Metrics_2023_Consol[[#This Row],[Net operating surplus]] / VfM_Metrics_2023_Consol[[#This Row],[Overall turnover]], "n/a" )</f>
        <v>0.15403719912472646</v>
      </c>
      <c r="BX24" s="5">
        <f xml:space="preserve"> SUM( VfM_Metrics_2023_Consol[[#This Row],[Operating surplus/(deficit) (overall)2]], - VfM_Metrics_2023_Consol[[#This Row],[Gain/(loss) on disposal of fixed assets (housing properties)2]], - VfM_Metrics_2023_Consol[[#This Row],[Gain/(loss) on disposal of fixed assets (other)2]] )</f>
        <v>14079</v>
      </c>
      <c r="BY24" s="84" vm="2846">
        <v>14911</v>
      </c>
      <c r="BZ24" s="83" vm="6170">
        <v>832</v>
      </c>
      <c r="CA24" s="83" vm="2848">
        <v>0</v>
      </c>
      <c r="CB24" s="5" vm="2863">
        <f xml:space="preserve"> VfM_Metrics_2023_Consol[[#This Row],[Turnover (overall)]]</f>
        <v>91400</v>
      </c>
      <c r="CC24" s="84" vm="2863">
        <v>91400</v>
      </c>
      <c r="CD24" s="7">
        <f xml:space="preserve"> IFERROR( VfM_Metrics_2023_Consol[[#This Row],[Operating surplus including from JVs]] / VfM_Metrics_2023_Consol[[#This Row],[Net assets]], "n/a" )</f>
        <v>3.2792401294014416E-2</v>
      </c>
      <c r="CE24" s="5">
        <f xml:space="preserve"> SUM( VfM_Metrics_2023_Consol[[#This Row],[Operating surplus/(deficit) (overall)3]], VfM_Metrics_2023_Consol[[#This Row],[Share of operating surplus/(deficit) in joint ventures or associates]] )</f>
        <v>14911</v>
      </c>
      <c r="CF24" s="84" vm="2846">
        <v>14911</v>
      </c>
      <c r="CG24" s="83" vm="7830">
        <v>0</v>
      </c>
      <c r="CH24" s="5" vm="2932">
        <f xml:space="preserve"> VfM_Metrics_2023_Consol[[#This Row],[Total assets less current liabilities]]</f>
        <v>454709</v>
      </c>
      <c r="CI24" s="84" vm="2932">
        <v>454709</v>
      </c>
      <c r="CJ24" s="71" vm="2827">
        <f xml:space="preserve"> VfM_Metrics_2023_Consol[[#This Row],[Total social housing units owned (Period end)]]</f>
        <v>15130</v>
      </c>
      <c r="CK24" s="103">
        <v>9.254974548819991E-4</v>
      </c>
      <c r="CL24" s="6">
        <f xml:space="preserve"> -- ( VfM_Metrics_2023_Consol[[#This Row],[% Supported housing (excl. HOP)]] &gt; 0.3 )</f>
        <v>0</v>
      </c>
      <c r="CM24" s="103">
        <v>1.3551927017914987E-2</v>
      </c>
      <c r="CN24" s="6">
        <f xml:space="preserve"> -- ( VfM_Metrics_2023_Consol[[#This Row],[% Housing for older people]] &gt; 0.3 )</f>
        <v>0</v>
      </c>
      <c r="CO24" s="103">
        <f xml:space="preserve"> VfM_Metrics_2023_Consol[[#This Row],[% Supported housing (excl. HOP)]] + VfM_Metrics_2023_Consol[[#This Row],[% Housing for older people]]</f>
        <v>1.4477424472796986E-2</v>
      </c>
      <c r="CP24" s="6">
        <f xml:space="preserve"> -- ( VfM_Metrics_2023_Consol[[#This Row],[SH specialist in RSH analysis]] + VfM_Metrics_2023_Consol[[#This Row],[OP specialist in RSH analysis]] &gt; 0 )</f>
        <v>0</v>
      </c>
      <c r="CQ24" s="10">
        <f xml:space="preserve"> -- ( VfM_Metrics_2023_Consol[[#This Row],[% SH and OP]] &gt; 0.3 )</f>
        <v>0</v>
      </c>
      <c r="CR24" s="104" t="s">
        <v>143</v>
      </c>
      <c r="CS24" s="124"/>
      <c r="CT24" s="105" t="s">
        <v>151</v>
      </c>
      <c r="CU2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24" s="85">
        <v>0</v>
      </c>
      <c r="CW24" s="85">
        <v>0</v>
      </c>
      <c r="CX24" s="85">
        <v>0</v>
      </c>
      <c r="CY24" s="85">
        <v>0</v>
      </c>
      <c r="CZ24" s="85">
        <v>0</v>
      </c>
      <c r="DA24" s="85">
        <v>0</v>
      </c>
      <c r="DB24" s="85">
        <v>0.69061467283542632</v>
      </c>
      <c r="DC24" s="85">
        <v>0</v>
      </c>
      <c r="DD24" s="85">
        <v>0.30938532716457368</v>
      </c>
      <c r="DE24" s="13">
        <v>0.91831769058235735</v>
      </c>
    </row>
    <row r="25" spans="1:109" x14ac:dyDescent="0.25">
      <c r="A25" s="4" t="s" vm="215">
        <v>174</v>
      </c>
      <c r="B25" s="2" t="s" vm="15">
        <v>175</v>
      </c>
      <c r="C25" s="72" vm="406">
        <v>45016</v>
      </c>
      <c r="D25" s="7">
        <f>IFERROR( VfM_Metrics_2023_Consol[[#This Row],[Reinvestment Spend]] / VfM_Metrics_2023_Consol[[#This Row],[Net Book Value of Housing Properties]], "n/a" )</f>
        <v>6.1655982495873479E-2</v>
      </c>
      <c r="E2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8031</v>
      </c>
      <c r="F25" s="83" vm="8837">
        <v>6191</v>
      </c>
      <c r="G25" s="83" vm="913">
        <v>205</v>
      </c>
      <c r="H25" s="83" vm="8664">
        <v>1500</v>
      </c>
      <c r="I25" s="83" vm="914">
        <v>135</v>
      </c>
      <c r="J25" s="83" vm="8708">
        <v>0</v>
      </c>
      <c r="K25" s="5">
        <f xml:space="preserve"> SUM( VfM_Metrics_2023_Consol[[#This Row],[Tangible fixed assets: Housing properties at cost (Current period)]],VfM_Metrics_2023_Consol[[#This Row],[Tangible fixed assets Housing properties at valuation (Current period)]] )</f>
        <v>130255</v>
      </c>
      <c r="L25" s="84" vm="8937">
        <v>130255</v>
      </c>
      <c r="M25" s="83" vm="915">
        <v>0</v>
      </c>
      <c r="N25" s="7">
        <f xml:space="preserve"> IFERROR( VfM_Metrics_2023_Consol[[#This Row],[Total social units developed or newly built units acquired in-year]] / VfM_Metrics_2023_Consol[[#This Row],[Social housing units owned (period end)]], "n/a" )</f>
        <v>1.3444598980064905E-2</v>
      </c>
      <c r="O25" s="5">
        <f xml:space="preserve"> SUM( VfM_Metrics_2023_Consol[[#This Row],[Total social units developed or newly built units acquired in-year (owned)]], VfM_Metrics_2023_Consol[[#This Row],[Total social leasehold units developed or newly built units acquired in-year (owned)]] )</f>
        <v>29</v>
      </c>
      <c r="P25" s="84" vm="875">
        <v>29</v>
      </c>
      <c r="Q25" s="83" vm="1043">
        <v>0</v>
      </c>
      <c r="R25" s="5">
        <f xml:space="preserve"> SUM( VfM_Metrics_2023_Consol[[#This Row],[Total social housing units owned (Period end)]], VfM_Metrics_2023_Consol[[#This Row],[Total social leasehold units owned (Period end)]] )</f>
        <v>2157</v>
      </c>
      <c r="S25" s="84" vm="8736">
        <v>2134</v>
      </c>
      <c r="T25" s="83" vm="8934">
        <v>23</v>
      </c>
      <c r="U25" s="86">
        <f xml:space="preserve"> IFERROR( VfM_Metrics_2023_Consol[[#This Row],[Total non-social housing units developed or newly built units acquired (owned)]] / VfM_Metrics_2023_Consol[[#This Row],[Total social and non-social housing units owned (Period end)]], "n/a" )</f>
        <v>0</v>
      </c>
      <c r="V2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5" s="83" vm="1277">
        <v>0</v>
      </c>
      <c r="X25" s="83" vm="8841">
        <v>0</v>
      </c>
      <c r="Y25" s="83" vm="8870">
        <v>0</v>
      </c>
      <c r="Z2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2157</v>
      </c>
      <c r="AA25" s="84" vm="804">
        <v>2134</v>
      </c>
      <c r="AB25" s="83" vm="917">
        <v>23</v>
      </c>
      <c r="AC25" s="83" vm="8931">
        <v>0</v>
      </c>
      <c r="AD25" s="83" vm="8676">
        <v>0</v>
      </c>
      <c r="AE25" s="7">
        <f xml:space="preserve"> IFERROR( VfM_Metrics_2023_Consol[[#This Row],[Total Net Debt]] / VfM_Metrics_2023_Consol[[#This Row],[Net Book Value of Housing Properties2]], "n/a" )</f>
        <v>0.30837203946105718</v>
      </c>
      <c r="AF2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40167</v>
      </c>
      <c r="AG25" s="84" vm="918">
        <v>758</v>
      </c>
      <c r="AH25" s="83" vm="919">
        <v>41056</v>
      </c>
      <c r="AI25" s="83" vm="8652">
        <v>1647</v>
      </c>
      <c r="AJ25" s="83" vm="8854">
        <v>0</v>
      </c>
      <c r="AK25" s="83" vm="920">
        <v>0</v>
      </c>
      <c r="AL25" s="5">
        <f xml:space="preserve"> SUM( VfM_Metrics_2023_Consol[[#This Row],[Tangible fixed assets: Housing properties at cost (Current period)2]], VfM_Metrics_2023_Consol[[#This Row],[Tangible fixed assets Housing properties at valuation (Current period)2]] )</f>
        <v>130255</v>
      </c>
      <c r="AM25" s="84" vm="898">
        <v>130255</v>
      </c>
      <c r="AN25" s="83" vm="915">
        <v>0</v>
      </c>
      <c r="AO25" s="87">
        <f xml:space="preserve"> IFERROR( VfM_Metrics_2023_Consol[[#This Row],[EBITDA MRI]] / VfM_Metrics_2023_Consol[[#This Row],[Total interest]], "n/a" )</f>
        <v>1.8504672897196262</v>
      </c>
      <c r="AP2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2772</v>
      </c>
      <c r="AQ25" s="84" vm="921">
        <v>5261</v>
      </c>
      <c r="AR25" s="84" vm="8928">
        <v>2535</v>
      </c>
      <c r="AS25" s="84" vm="923">
        <v>0</v>
      </c>
      <c r="AT25" s="84" vm="924">
        <v>509</v>
      </c>
      <c r="AU25" s="84" vm="925">
        <v>0</v>
      </c>
      <c r="AV25" s="84" vm="8867">
        <v>20</v>
      </c>
      <c r="AW25" s="84" vm="9088">
        <v>1500</v>
      </c>
      <c r="AX25" s="84" vm="8884">
        <v>2035</v>
      </c>
      <c r="AY25" s="3">
        <f xml:space="preserve"> - SUM( VfM_Metrics_2023_Consol[[#This Row],[Interest capitalised]], VfM_Metrics_2023_Consol[[#This Row],[Interest payable and financing costs]] )</f>
        <v>1498</v>
      </c>
      <c r="AZ25" s="84" vm="927">
        <v>-135</v>
      </c>
      <c r="BA25" s="83" vm="8852">
        <v>-1363</v>
      </c>
      <c r="BB25" s="8">
        <f xml:space="preserve"> IFERROR( ( VfM_Metrics_2023_Consol[[#This Row],[Total Costs]] / VfM_Metrics_2023_Consol[[#This Row],[Total units for costs]] ) * 1000, "n/a" )</f>
        <v>6270.3842549203373</v>
      </c>
      <c r="BC2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13381</v>
      </c>
      <c r="BD25" s="84" vm="8835">
        <v>2720</v>
      </c>
      <c r="BE25" s="83" vm="928">
        <v>1566</v>
      </c>
      <c r="BF25" s="83" vm="8826">
        <v>2083</v>
      </c>
      <c r="BG25" s="83" vm="8649">
        <v>445</v>
      </c>
      <c r="BH25" s="83" vm="8850">
        <v>0</v>
      </c>
      <c r="BI25" s="83" vm="1104">
        <v>0</v>
      </c>
      <c r="BJ25" s="83" vm="926">
        <v>1500</v>
      </c>
      <c r="BK25" s="83" vm="929">
        <v>0</v>
      </c>
      <c r="BL25" s="83" vm="930">
        <v>19</v>
      </c>
      <c r="BM25" s="83" vm="931">
        <v>0</v>
      </c>
      <c r="BN25" s="83" vm="8897">
        <v>3704</v>
      </c>
      <c r="BO25" s="83" vm="8924">
        <v>1344</v>
      </c>
      <c r="BP25" s="5" vm="912">
        <f xml:space="preserve"> VfM_Metrics_2023_Consol[[#This Row],[Total social housing units owned and/or managed at period end]]</f>
        <v>2134</v>
      </c>
      <c r="BQ25" s="84" vm="912">
        <v>2134</v>
      </c>
      <c r="BR25" s="7">
        <f xml:space="preserve"> IFERROR( VfM_Metrics_2023_Consol[[#This Row],[SHL operating surplus / (deficit)]] / VfM_Metrics_2023_Consol[[#This Row],[Turnover from social housing lettings]], "n/a" )</f>
        <v>0.27507430997876858</v>
      </c>
      <c r="BS25" s="5" vm="9067">
        <f xml:space="preserve"> VfM_Metrics_2023_Consol[[#This Row],[Operating surplus/(deficit) (social housing lettings)]]</f>
        <v>3239</v>
      </c>
      <c r="BT25" s="84" vm="9067">
        <v>3239</v>
      </c>
      <c r="BU25" s="5" vm="7921">
        <f xml:space="preserve"> VfM_Metrics_2023_Consol[[#This Row],[Turnover from social housing lettings]]</f>
        <v>11775</v>
      </c>
      <c r="BV25" s="84" vm="7921">
        <v>11775</v>
      </c>
      <c r="BW25" s="7">
        <f xml:space="preserve"> IFERROR( VfM_Metrics_2023_Consol[[#This Row],[Net operating surplus]] / VfM_Metrics_2023_Consol[[#This Row],[Overall turnover]], "n/a" )</f>
        <v>0.15550484883057616</v>
      </c>
      <c r="BX25" s="5">
        <f xml:space="preserve"> SUM( VfM_Metrics_2023_Consol[[#This Row],[Operating surplus/(deficit) (overall)2]], - VfM_Metrics_2023_Consol[[#This Row],[Gain/(loss) on disposal of fixed assets (housing properties)2]], - VfM_Metrics_2023_Consol[[#This Row],[Gain/(loss) on disposal of fixed assets (other)2]] )</f>
        <v>2726</v>
      </c>
      <c r="BY25" s="84" vm="8718">
        <v>5261</v>
      </c>
      <c r="BZ25" s="83" vm="8771">
        <v>2535</v>
      </c>
      <c r="CA25" s="83" vm="8827">
        <v>0</v>
      </c>
      <c r="CB25" s="5" vm="8856">
        <f xml:space="preserve"> VfM_Metrics_2023_Consol[[#This Row],[Turnover (overall)]]</f>
        <v>17530</v>
      </c>
      <c r="CC25" s="84" vm="8856">
        <v>17530</v>
      </c>
      <c r="CD25" s="7">
        <f xml:space="preserve"> IFERROR( VfM_Metrics_2023_Consol[[#This Row],[Operating surplus including from JVs]] / VfM_Metrics_2023_Consol[[#This Row],[Net assets]], "n/a" )</f>
        <v>4.0478571978148803E-2</v>
      </c>
      <c r="CE25" s="5">
        <f xml:space="preserve"> SUM( VfM_Metrics_2023_Consol[[#This Row],[Operating surplus/(deficit) (overall)3]], VfM_Metrics_2023_Consol[[#This Row],[Share of operating surplus/(deficit) in joint ventures or associates]] )</f>
        <v>5261</v>
      </c>
      <c r="CF25" s="84" vm="939">
        <v>5261</v>
      </c>
      <c r="CG25" s="83" vm="8673">
        <v>0</v>
      </c>
      <c r="CH25" s="5" vm="932">
        <f xml:space="preserve"> VfM_Metrics_2023_Consol[[#This Row],[Total assets less current liabilities]]</f>
        <v>129970</v>
      </c>
      <c r="CI25" s="84" vm="932">
        <v>129970</v>
      </c>
      <c r="CJ25" s="71" vm="8736">
        <f xml:space="preserve"> VfM_Metrics_2023_Consol[[#This Row],[Total social housing units owned (Period end)]]</f>
        <v>2134</v>
      </c>
      <c r="CK25" s="103">
        <v>2.9439252336448597E-2</v>
      </c>
      <c r="CL25" s="6">
        <f xml:space="preserve"> -- ( VfM_Metrics_2023_Consol[[#This Row],[% Supported housing (excl. HOP)]] &gt; 0.3 )</f>
        <v>0</v>
      </c>
      <c r="CM25" s="103">
        <v>0.10700934579439253</v>
      </c>
      <c r="CN25" s="6">
        <f xml:space="preserve"> -- ( VfM_Metrics_2023_Consol[[#This Row],[% Housing for older people]] &gt; 0.3 )</f>
        <v>0</v>
      </c>
      <c r="CO25" s="103">
        <f xml:space="preserve"> VfM_Metrics_2023_Consol[[#This Row],[% Supported housing (excl. HOP)]] + VfM_Metrics_2023_Consol[[#This Row],[% Housing for older people]]</f>
        <v>0.13644859813084112</v>
      </c>
      <c r="CP25" s="6">
        <f xml:space="preserve"> -- ( VfM_Metrics_2023_Consol[[#This Row],[SH specialist in RSH analysis]] + VfM_Metrics_2023_Consol[[#This Row],[OP specialist in RSH analysis]] &gt; 0 )</f>
        <v>0</v>
      </c>
      <c r="CQ25" s="10">
        <f xml:space="preserve"> -- ( VfM_Metrics_2023_Consol[[#This Row],[% SH and OP]] &gt; 0.3 )</f>
        <v>0</v>
      </c>
      <c r="CR25" s="104" t="s">
        <v>143</v>
      </c>
      <c r="CS25" s="124" t="s">
        <v>144</v>
      </c>
      <c r="CT25" s="105"/>
      <c r="CU2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25" s="85">
        <v>0</v>
      </c>
      <c r="CW25" s="85">
        <v>0</v>
      </c>
      <c r="CX25" s="85">
        <v>0</v>
      </c>
      <c r="CY25" s="85">
        <v>0</v>
      </c>
      <c r="CZ25" s="85">
        <v>1</v>
      </c>
      <c r="DA25" s="85">
        <v>0</v>
      </c>
      <c r="DB25" s="85">
        <v>0</v>
      </c>
      <c r="DC25" s="85">
        <v>0</v>
      </c>
      <c r="DD25" s="85">
        <v>0</v>
      </c>
      <c r="DE25" s="13">
        <v>0.96459033333600952</v>
      </c>
    </row>
    <row r="26" spans="1:109" x14ac:dyDescent="0.25">
      <c r="A26" s="4" t="s" vm="278">
        <v>176</v>
      </c>
      <c r="B26" s="2" t="s" vm="16">
        <v>177</v>
      </c>
      <c r="C26" s="72" vm="432">
        <v>45016</v>
      </c>
      <c r="D26" s="7">
        <f>IFERROR( VfM_Metrics_2023_Consol[[#This Row],[Reinvestment Spend]] / VfM_Metrics_2023_Consol[[#This Row],[Net Book Value of Housing Properties]], "n/a" )</f>
        <v>0.14710643072716487</v>
      </c>
      <c r="E2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45623</v>
      </c>
      <c r="F26" s="83" vm="2602">
        <v>29627</v>
      </c>
      <c r="G26" s="83" vm="2603">
        <v>0</v>
      </c>
      <c r="H26" s="83" vm="2604">
        <v>15996</v>
      </c>
      <c r="I26" s="83" vm="4633">
        <v>0</v>
      </c>
      <c r="J26" s="83" vm="7802">
        <v>0</v>
      </c>
      <c r="K26" s="5">
        <f xml:space="preserve"> SUM( VfM_Metrics_2023_Consol[[#This Row],[Tangible fixed assets: Housing properties at cost (Current period)]],VfM_Metrics_2023_Consol[[#This Row],[Tangible fixed assets Housing properties at valuation (Current period)]] )</f>
        <v>310136</v>
      </c>
      <c r="L26" s="84" vm="2605">
        <v>310136</v>
      </c>
      <c r="M26" s="83" vm="2606">
        <v>0</v>
      </c>
      <c r="N26" s="7">
        <f xml:space="preserve"> IFERROR( VfM_Metrics_2023_Consol[[#This Row],[Total social units developed or newly built units acquired in-year]] / VfM_Metrics_2023_Consol[[#This Row],[Social housing units owned (period end)]], "n/a" )</f>
        <v>1.4276649746192893E-2</v>
      </c>
      <c r="O26" s="5">
        <f xml:space="preserve"> SUM( VfM_Metrics_2023_Consol[[#This Row],[Total social units developed or newly built units acquired in-year (owned)]], VfM_Metrics_2023_Consol[[#This Row],[Total social leasehold units developed or newly built units acquired in-year (owned)]] )</f>
        <v>270</v>
      </c>
      <c r="P26" s="84" vm="2607">
        <v>270</v>
      </c>
      <c r="Q26" s="83">
        <v>0</v>
      </c>
      <c r="R26" s="5">
        <f xml:space="preserve"> SUM( VfM_Metrics_2023_Consol[[#This Row],[Total social housing units owned (Period end)]], VfM_Metrics_2023_Consol[[#This Row],[Total social leasehold units owned (Period end)]] )</f>
        <v>18912</v>
      </c>
      <c r="S26" s="84" vm="2601">
        <v>18912</v>
      </c>
      <c r="T26" s="83" vm="2608">
        <v>0</v>
      </c>
      <c r="U26" s="86">
        <f xml:space="preserve"> IFERROR( VfM_Metrics_2023_Consol[[#This Row],[Total non-social housing units developed or newly built units acquired (owned)]] / VfM_Metrics_2023_Consol[[#This Row],[Total social and non-social housing units owned (Period end)]], "n/a" )</f>
        <v>6.7228629053110614E-4</v>
      </c>
      <c r="V2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13</v>
      </c>
      <c r="W26" s="83">
        <v>0</v>
      </c>
      <c r="X26" s="83" vm="2609">
        <v>13</v>
      </c>
      <c r="Y26" s="83">
        <v>0</v>
      </c>
      <c r="Z2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19337</v>
      </c>
      <c r="AA26" s="84" vm="2601">
        <v>18912</v>
      </c>
      <c r="AB26" s="83" vm="2608">
        <v>0</v>
      </c>
      <c r="AC26" s="83" vm="2610">
        <v>0</v>
      </c>
      <c r="AD26" s="83" vm="2611">
        <v>425</v>
      </c>
      <c r="AE26" s="7">
        <f xml:space="preserve"> IFERROR( VfM_Metrics_2023_Consol[[#This Row],[Total Net Debt]] / VfM_Metrics_2023_Consol[[#This Row],[Net Book Value of Housing Properties2]], "n/a" )</f>
        <v>0.22740023731524234</v>
      </c>
      <c r="AF2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70525</v>
      </c>
      <c r="AG26" s="84" vm="7619">
        <v>20339</v>
      </c>
      <c r="AH26" s="83" vm="7717">
        <v>58407</v>
      </c>
      <c r="AI26" s="83" vm="2612">
        <v>8221</v>
      </c>
      <c r="AJ26" s="83" vm="1675">
        <v>0</v>
      </c>
      <c r="AK26" s="83">
        <v>0</v>
      </c>
      <c r="AL26" s="5">
        <f xml:space="preserve"> SUM( VfM_Metrics_2023_Consol[[#This Row],[Tangible fixed assets: Housing properties at cost (Current period)2]], VfM_Metrics_2023_Consol[[#This Row],[Tangible fixed assets Housing properties at valuation (Current period)2]] )</f>
        <v>310136</v>
      </c>
      <c r="AM26" s="84" vm="2605">
        <v>310136</v>
      </c>
      <c r="AN26" s="83" vm="2606">
        <v>0</v>
      </c>
      <c r="AO26" s="87">
        <f xml:space="preserve"> IFERROR( VfM_Metrics_2023_Consol[[#This Row],[EBITDA MRI]] / VfM_Metrics_2023_Consol[[#This Row],[Total interest]], "n/a" )</f>
        <v>-0.57804047285113203</v>
      </c>
      <c r="AP2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-2885</v>
      </c>
      <c r="AQ26" s="84" vm="7714">
        <v>8773</v>
      </c>
      <c r="AR26" s="84" vm="2614">
        <v>4413</v>
      </c>
      <c r="AS26" s="84" vm="2615">
        <v>600</v>
      </c>
      <c r="AT26" s="84" vm="8007">
        <v>738</v>
      </c>
      <c r="AU26" s="84" vm="2616">
        <v>0</v>
      </c>
      <c r="AV26" s="84" vm="2617">
        <v>126</v>
      </c>
      <c r="AW26" s="84" vm="2618">
        <v>15996</v>
      </c>
      <c r="AX26" s="84" vm="7713">
        <v>9963</v>
      </c>
      <c r="AY26" s="3">
        <f xml:space="preserve"> - SUM( VfM_Metrics_2023_Consol[[#This Row],[Interest capitalised]], VfM_Metrics_2023_Consol[[#This Row],[Interest payable and financing costs]] )</f>
        <v>4991</v>
      </c>
      <c r="AZ26" s="84">
        <v>0</v>
      </c>
      <c r="BA26" s="83" vm="2619">
        <v>-4991</v>
      </c>
      <c r="BB26" s="8">
        <f xml:space="preserve"> IFERROR( ( VfM_Metrics_2023_Consol[[#This Row],[Total Costs]] / VfM_Metrics_2023_Consol[[#This Row],[Total units for costs]] ) * 1000, "n/a" )</f>
        <v>4818.2635363790187</v>
      </c>
      <c r="BC2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91123</v>
      </c>
      <c r="BD26" s="84" vm="2620">
        <v>31807</v>
      </c>
      <c r="BE26" s="83" vm="2621">
        <v>6547</v>
      </c>
      <c r="BF26" s="83" vm="2622">
        <v>20666</v>
      </c>
      <c r="BG26" s="83" vm="7092">
        <v>5109</v>
      </c>
      <c r="BH26" s="83" vm="2623">
        <v>1424</v>
      </c>
      <c r="BI26" s="83" vm="2624">
        <v>0</v>
      </c>
      <c r="BJ26" s="83" vm="7913">
        <v>15996</v>
      </c>
      <c r="BK26" s="83" vm="2625">
        <v>47</v>
      </c>
      <c r="BL26" s="83" vm="7865">
        <v>228</v>
      </c>
      <c r="BM26" s="83" vm="2626">
        <v>3652</v>
      </c>
      <c r="BN26" s="83" vm="2627">
        <v>1157</v>
      </c>
      <c r="BO26" s="83" vm="2628">
        <v>4490</v>
      </c>
      <c r="BP26" s="5" vm="7801">
        <f xml:space="preserve"> VfM_Metrics_2023_Consol[[#This Row],[Total social housing units owned and/or managed at period end]]</f>
        <v>18912</v>
      </c>
      <c r="BQ26" s="84" vm="7801">
        <v>18912</v>
      </c>
      <c r="BR26" s="7">
        <f xml:space="preserve"> IFERROR( VfM_Metrics_2023_Consol[[#This Row],[SHL operating surplus / (deficit)]] / VfM_Metrics_2023_Consol[[#This Row],[Turnover from social housing lettings]], "n/a" )</f>
        <v>9.9915315895564225E-2</v>
      </c>
      <c r="BS26" s="5" vm="2629">
        <f xml:space="preserve"> VfM_Metrics_2023_Consol[[#This Row],[Operating surplus/(deficit) (social housing lettings)]]</f>
        <v>8377</v>
      </c>
      <c r="BT26" s="84" vm="2629">
        <v>8377</v>
      </c>
      <c r="BU26" s="5" vm="2630">
        <f xml:space="preserve"> VfM_Metrics_2023_Consol[[#This Row],[Turnover from social housing lettings]]</f>
        <v>83841</v>
      </c>
      <c r="BV26" s="84" vm="2630">
        <v>83841</v>
      </c>
      <c r="BW26" s="7">
        <f xml:space="preserve"> IFERROR( VfM_Metrics_2023_Consol[[#This Row],[Net operating surplus]] / VfM_Metrics_2023_Consol[[#This Row],[Overall turnover]], "n/a" )</f>
        <v>3.8205558095818729E-2</v>
      </c>
      <c r="BX26" s="5">
        <f xml:space="preserve"> SUM( VfM_Metrics_2023_Consol[[#This Row],[Operating surplus/(deficit) (overall)2]], - VfM_Metrics_2023_Consol[[#This Row],[Gain/(loss) on disposal of fixed assets (housing properties)2]], - VfM_Metrics_2023_Consol[[#This Row],[Gain/(loss) on disposal of fixed assets (other)2]] )</f>
        <v>3760</v>
      </c>
      <c r="BY26" s="84" vm="2613">
        <v>8773</v>
      </c>
      <c r="BZ26" s="83" vm="4737">
        <v>4413</v>
      </c>
      <c r="CA26" s="83" vm="2615">
        <v>600</v>
      </c>
      <c r="CB26" s="5" vm="2607">
        <f xml:space="preserve"> VfM_Metrics_2023_Consol[[#This Row],[Turnover (overall)]]</f>
        <v>98415</v>
      </c>
      <c r="CC26" s="84" vm="2607">
        <v>98415</v>
      </c>
      <c r="CD26" s="7">
        <f xml:space="preserve"> IFERROR( VfM_Metrics_2023_Consol[[#This Row],[Operating surplus including from JVs]] / VfM_Metrics_2023_Consol[[#This Row],[Net assets]], "n/a" )</f>
        <v>2.5132854912408863E-2</v>
      </c>
      <c r="CE26" s="5">
        <f xml:space="preserve"> SUM( VfM_Metrics_2023_Consol[[#This Row],[Operating surplus/(deficit) (overall)3]], VfM_Metrics_2023_Consol[[#This Row],[Share of operating surplus/(deficit) in joint ventures or associates]] )</f>
        <v>8773</v>
      </c>
      <c r="CF26" s="84" vm="2613">
        <v>8773</v>
      </c>
      <c r="CG26" s="83">
        <v>0</v>
      </c>
      <c r="CH26" s="5" vm="2631">
        <f xml:space="preserve"> VfM_Metrics_2023_Consol[[#This Row],[Total assets less current liabilities]]</f>
        <v>349065</v>
      </c>
      <c r="CI26" s="84" vm="2631">
        <v>349065</v>
      </c>
      <c r="CJ26" s="71" vm="2601">
        <f xml:space="preserve"> VfM_Metrics_2023_Consol[[#This Row],[Total social housing units owned (Period end)]]</f>
        <v>18912</v>
      </c>
      <c r="CK26" s="103">
        <v>5.9934231462819565E-3</v>
      </c>
      <c r="CL26" s="6">
        <f xml:space="preserve"> -- ( VfM_Metrics_2023_Consol[[#This Row],[% Supported housing (excl. HOP)]] &gt; 0.3 )</f>
        <v>0</v>
      </c>
      <c r="CM26" s="103">
        <v>0.11779993635302853</v>
      </c>
      <c r="CN26" s="6">
        <f xml:space="preserve"> -- ( VfM_Metrics_2023_Consol[[#This Row],[% Housing for older people]] &gt; 0.3 )</f>
        <v>0</v>
      </c>
      <c r="CO26" s="103">
        <f xml:space="preserve"> VfM_Metrics_2023_Consol[[#This Row],[% Supported housing (excl. HOP)]] + VfM_Metrics_2023_Consol[[#This Row],[% Housing for older people]]</f>
        <v>0.12379335949931049</v>
      </c>
      <c r="CP26" s="6">
        <f xml:space="preserve"> -- ( VfM_Metrics_2023_Consol[[#This Row],[SH specialist in RSH analysis]] + VfM_Metrics_2023_Consol[[#This Row],[OP specialist in RSH analysis]] &gt; 0 )</f>
        <v>0</v>
      </c>
      <c r="CQ26" s="10">
        <f xml:space="preserve"> -- ( VfM_Metrics_2023_Consol[[#This Row],[% SH and OP]] &gt; 0.3 )</f>
        <v>0</v>
      </c>
      <c r="CR26" s="104" t="s">
        <v>143</v>
      </c>
      <c r="CS26" s="124"/>
      <c r="CT26" s="105" t="s">
        <v>151</v>
      </c>
      <c r="CU2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26" s="85">
        <v>0</v>
      </c>
      <c r="CW26" s="85">
        <v>0</v>
      </c>
      <c r="CX26" s="85">
        <v>0</v>
      </c>
      <c r="CY26" s="85">
        <v>1.2713211145248438E-3</v>
      </c>
      <c r="CZ26" s="85">
        <v>0</v>
      </c>
      <c r="DA26" s="85">
        <v>0</v>
      </c>
      <c r="DB26" s="85">
        <v>0</v>
      </c>
      <c r="DC26" s="85">
        <v>0.99872867888547512</v>
      </c>
      <c r="DD26" s="85">
        <v>0</v>
      </c>
      <c r="DE26" s="13">
        <v>0.96103536607895024</v>
      </c>
    </row>
    <row r="27" spans="1:109" x14ac:dyDescent="0.25">
      <c r="A27" s="4" t="s" vm="206">
        <v>178</v>
      </c>
      <c r="B27" s="2" t="s" vm="17">
        <v>179</v>
      </c>
      <c r="C27" s="72" vm="451">
        <v>45016</v>
      </c>
      <c r="D27" s="7">
        <f>IFERROR( VfM_Metrics_2023_Consol[[#This Row],[Reinvestment Spend]] / VfM_Metrics_2023_Consol[[#This Row],[Net Book Value of Housing Properties]], "n/a" )</f>
        <v>5.89976110959246E-2</v>
      </c>
      <c r="E2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4964</v>
      </c>
      <c r="F27" s="83" vm="8994">
        <v>2853</v>
      </c>
      <c r="G27" s="83" vm="9052">
        <v>1736</v>
      </c>
      <c r="H27" s="83" vm="738">
        <v>375</v>
      </c>
      <c r="I27" s="83" vm="9133">
        <v>0</v>
      </c>
      <c r="J27" s="83" vm="739">
        <v>0</v>
      </c>
      <c r="K27" s="5">
        <f xml:space="preserve"> SUM( VfM_Metrics_2023_Consol[[#This Row],[Tangible fixed assets: Housing properties at cost (Current period)]],VfM_Metrics_2023_Consol[[#This Row],[Tangible fixed assets Housing properties at valuation (Current period)]] )</f>
        <v>84139</v>
      </c>
      <c r="L27" s="84" vm="740">
        <v>84139</v>
      </c>
      <c r="M27" s="83">
        <v>0</v>
      </c>
      <c r="N27" s="7">
        <f xml:space="preserve"> IFERROR( VfM_Metrics_2023_Consol[[#This Row],[Total social units developed or newly built units acquired in-year]] / VfM_Metrics_2023_Consol[[#This Row],[Social housing units owned (period end)]], "n/a" )</f>
        <v>3.0557677616501145E-3</v>
      </c>
      <c r="O27" s="5">
        <f xml:space="preserve"> SUM( VfM_Metrics_2023_Consol[[#This Row],[Total social units developed or newly built units acquired in-year (owned)]], VfM_Metrics_2023_Consol[[#This Row],[Total social leasehold units developed or newly built units acquired in-year (owned)]] )</f>
        <v>4</v>
      </c>
      <c r="P27" s="84" vm="8965">
        <v>4</v>
      </c>
      <c r="Q27" s="83">
        <v>0</v>
      </c>
      <c r="R27" s="5">
        <f xml:space="preserve"> SUM( VfM_Metrics_2023_Consol[[#This Row],[Total social housing units owned (Period end)]], VfM_Metrics_2023_Consol[[#This Row],[Total social leasehold units owned (Period end)]] )</f>
        <v>1309</v>
      </c>
      <c r="S27" s="84" vm="838">
        <v>1309</v>
      </c>
      <c r="T27" s="83" vm="9050">
        <v>0</v>
      </c>
      <c r="U27" s="86">
        <f xml:space="preserve"> IFERROR( VfM_Metrics_2023_Consol[[#This Row],[Total non-social housing units developed or newly built units acquired (owned)]] / VfM_Metrics_2023_Consol[[#This Row],[Total social and non-social housing units owned (Period end)]], "n/a" )</f>
        <v>5.8181818181818178E-3</v>
      </c>
      <c r="V2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8</v>
      </c>
      <c r="W27" s="83" vm="652">
        <v>8</v>
      </c>
      <c r="X27" s="83">
        <v>0</v>
      </c>
      <c r="Y27" s="83">
        <v>0</v>
      </c>
      <c r="Z2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1375</v>
      </c>
      <c r="AA27" s="84" vm="9182">
        <v>1309</v>
      </c>
      <c r="AB27" s="83" vm="9201">
        <v>0</v>
      </c>
      <c r="AC27" s="83" vm="8964">
        <v>66</v>
      </c>
      <c r="AD27" s="83" vm="742">
        <v>0</v>
      </c>
      <c r="AE27" s="7">
        <f xml:space="preserve"> IFERROR( VfM_Metrics_2023_Consol[[#This Row],[Total Net Debt]] / VfM_Metrics_2023_Consol[[#This Row],[Net Book Value of Housing Properties2]], "n/a" )</f>
        <v>0.4042001925385374</v>
      </c>
      <c r="AF2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34009</v>
      </c>
      <c r="AG27" s="84" vm="9092">
        <v>2458</v>
      </c>
      <c r="AH27" s="83" vm="8957">
        <v>33173</v>
      </c>
      <c r="AI27" s="83" vm="9195">
        <v>1622</v>
      </c>
      <c r="AJ27" s="83" vm="1675">
        <v>0</v>
      </c>
      <c r="AK27" s="83">
        <v>0</v>
      </c>
      <c r="AL27" s="5">
        <f xml:space="preserve"> SUM( VfM_Metrics_2023_Consol[[#This Row],[Tangible fixed assets: Housing properties at cost (Current period)2]], VfM_Metrics_2023_Consol[[#This Row],[Tangible fixed assets Housing properties at valuation (Current period)2]] )</f>
        <v>84139</v>
      </c>
      <c r="AM27" s="84" vm="740">
        <v>84139</v>
      </c>
      <c r="AN27" s="83">
        <v>0</v>
      </c>
      <c r="AO27" s="87">
        <f xml:space="preserve"> IFERROR( VfM_Metrics_2023_Consol[[#This Row],[EBITDA MRI]] / VfM_Metrics_2023_Consol[[#This Row],[Total interest]], "n/a" )</f>
        <v>1.8754925137903862</v>
      </c>
      <c r="AP2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2380</v>
      </c>
      <c r="AQ27" s="84" vm="743">
        <v>1722</v>
      </c>
      <c r="AR27" s="84" vm="748">
        <v>145</v>
      </c>
      <c r="AS27" s="84" vm="9075">
        <v>0</v>
      </c>
      <c r="AT27" s="84" vm="8926">
        <v>436</v>
      </c>
      <c r="AU27" s="84" vm="745">
        <v>0</v>
      </c>
      <c r="AV27" s="84" vm="746">
        <v>1</v>
      </c>
      <c r="AW27" s="84" vm="747">
        <v>195</v>
      </c>
      <c r="AX27" s="84" vm="9112">
        <v>1433</v>
      </c>
      <c r="AY27" s="3">
        <f xml:space="preserve"> - SUM( VfM_Metrics_2023_Consol[[#This Row],[Interest capitalised]], VfM_Metrics_2023_Consol[[#This Row],[Interest payable and financing costs]] )</f>
        <v>1269</v>
      </c>
      <c r="AZ27" s="84">
        <v>0</v>
      </c>
      <c r="BA27" s="83" vm="8901">
        <v>-1269</v>
      </c>
      <c r="BB27" s="8">
        <f xml:space="preserve"> IFERROR( ( VfM_Metrics_2023_Consol[[#This Row],[Total Costs]] / VfM_Metrics_2023_Consol[[#This Row],[Total units for costs]] ) * 1000, "n/a" )</f>
        <v>13069.518716577541</v>
      </c>
      <c r="BC2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17108</v>
      </c>
      <c r="BD27" s="84" vm="9125">
        <v>2409</v>
      </c>
      <c r="BE27" s="83" vm="9065">
        <v>2476</v>
      </c>
      <c r="BF27" s="83" vm="8880">
        <v>990</v>
      </c>
      <c r="BG27" s="83" vm="9171">
        <v>1290</v>
      </c>
      <c r="BH27" s="83" vm="844">
        <v>211</v>
      </c>
      <c r="BI27" s="83" vm="749">
        <v>945</v>
      </c>
      <c r="BJ27" s="83" vm="747">
        <v>195</v>
      </c>
      <c r="BK27" s="83" vm="750">
        <v>623</v>
      </c>
      <c r="BL27" s="83">
        <v>0</v>
      </c>
      <c r="BM27" s="83">
        <v>0</v>
      </c>
      <c r="BN27" s="83">
        <v>0</v>
      </c>
      <c r="BO27" s="83" vm="653">
        <v>7969</v>
      </c>
      <c r="BP27" s="5" vm="9134">
        <f xml:space="preserve"> VfM_Metrics_2023_Consol[[#This Row],[Total social housing units owned and/or managed at period end]]</f>
        <v>1309</v>
      </c>
      <c r="BQ27" s="84" vm="9134">
        <v>1309</v>
      </c>
      <c r="BR27" s="7">
        <f xml:space="preserve"> IFERROR( VfM_Metrics_2023_Consol[[#This Row],[SHL operating surplus / (deficit)]] / VfM_Metrics_2023_Consol[[#This Row],[Turnover from social housing lettings]], "n/a" )</f>
        <v>0.20325577823850111</v>
      </c>
      <c r="BS27" s="5" vm="751">
        <f xml:space="preserve"> VfM_Metrics_2023_Consol[[#This Row],[Operating surplus/(deficit) (social housing lettings)]]</f>
        <v>2647</v>
      </c>
      <c r="BT27" s="84" vm="751">
        <v>2647</v>
      </c>
      <c r="BU27" s="5" vm="9060">
        <f xml:space="preserve"> VfM_Metrics_2023_Consol[[#This Row],[Turnover from social housing lettings]]</f>
        <v>13023</v>
      </c>
      <c r="BV27" s="84" vm="9060">
        <v>13023</v>
      </c>
      <c r="BW27" s="7">
        <f xml:space="preserve"> IFERROR( VfM_Metrics_2023_Consol[[#This Row],[Net operating surplus]] / VfM_Metrics_2023_Consol[[#This Row],[Overall turnover]], "n/a" )</f>
        <v>6.7329860814618739E-2</v>
      </c>
      <c r="BX27" s="5">
        <f xml:space="preserve"> SUM( VfM_Metrics_2023_Consol[[#This Row],[Operating surplus/(deficit) (overall)2]], - VfM_Metrics_2023_Consol[[#This Row],[Gain/(loss) on disposal of fixed assets (housing properties)2]], - VfM_Metrics_2023_Consol[[#This Row],[Gain/(loss) on disposal of fixed assets (other)2]] )</f>
        <v>1577</v>
      </c>
      <c r="BY27" s="84" vm="9041">
        <v>1722</v>
      </c>
      <c r="BZ27" s="83" vm="9126">
        <v>145</v>
      </c>
      <c r="CA27" s="83" vm="744">
        <v>0</v>
      </c>
      <c r="CB27" s="5" vm="8871">
        <f xml:space="preserve"> VfM_Metrics_2023_Consol[[#This Row],[Turnover (overall)]]</f>
        <v>23422</v>
      </c>
      <c r="CC27" s="84" vm="8871">
        <v>23422</v>
      </c>
      <c r="CD27" s="7">
        <f xml:space="preserve"> IFERROR( VfM_Metrics_2023_Consol[[#This Row],[Operating surplus including from JVs]] / VfM_Metrics_2023_Consol[[#This Row],[Net assets]], "n/a" )</f>
        <v>2.0028845259142086E-2</v>
      </c>
      <c r="CE27" s="5">
        <f xml:space="preserve"> SUM( VfM_Metrics_2023_Consol[[#This Row],[Operating surplus/(deficit) (overall)3]], VfM_Metrics_2023_Consol[[#This Row],[Share of operating surplus/(deficit) in joint ventures or associates]] )</f>
        <v>1722</v>
      </c>
      <c r="CF27" s="84" vm="743">
        <v>1722</v>
      </c>
      <c r="CG27" s="83">
        <v>0</v>
      </c>
      <c r="CH27" s="5" vm="9039">
        <f xml:space="preserve"> VfM_Metrics_2023_Consol[[#This Row],[Total assets less current liabilities]]</f>
        <v>85976</v>
      </c>
      <c r="CI27" s="84" vm="9039">
        <v>85976</v>
      </c>
      <c r="CJ27" s="71" vm="838">
        <f xml:space="preserve"> VfM_Metrics_2023_Consol[[#This Row],[Total social housing units owned (Period end)]]</f>
        <v>1309</v>
      </c>
      <c r="CK27" s="103">
        <v>0.53098039215686277</v>
      </c>
      <c r="CL27" s="6">
        <f xml:space="preserve"> -- ( VfM_Metrics_2023_Consol[[#This Row],[% Supported housing (excl. HOP)]] &gt; 0.3 )</f>
        <v>1</v>
      </c>
      <c r="CM27" s="103">
        <v>0.04</v>
      </c>
      <c r="CN27" s="6">
        <f xml:space="preserve"> -- ( VfM_Metrics_2023_Consol[[#This Row],[% Housing for older people]] &gt; 0.3 )</f>
        <v>0</v>
      </c>
      <c r="CO27" s="103">
        <f xml:space="preserve"> VfM_Metrics_2023_Consol[[#This Row],[% Supported housing (excl. HOP)]] + VfM_Metrics_2023_Consol[[#This Row],[% Housing for older people]]</f>
        <v>0.5709803921568628</v>
      </c>
      <c r="CP27" s="6">
        <f xml:space="preserve"> -- ( VfM_Metrics_2023_Consol[[#This Row],[SH specialist in RSH analysis]] + VfM_Metrics_2023_Consol[[#This Row],[OP specialist in RSH analysis]] &gt; 0 )</f>
        <v>1</v>
      </c>
      <c r="CQ27" s="10">
        <f xml:space="preserve"> -- ( VfM_Metrics_2023_Consol[[#This Row],[% SH and OP]] &gt; 0.3 )</f>
        <v>1</v>
      </c>
      <c r="CR27" s="104" t="s">
        <v>143</v>
      </c>
      <c r="CS27" s="124" t="s">
        <v>144</v>
      </c>
      <c r="CT27" s="105"/>
      <c r="CU2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27" s="85">
        <v>0</v>
      </c>
      <c r="CW27" s="85">
        <v>2.8688524590163935E-2</v>
      </c>
      <c r="CX27" s="85">
        <v>0.97131147540983609</v>
      </c>
      <c r="CY27" s="85">
        <v>0</v>
      </c>
      <c r="CZ27" s="85">
        <v>0</v>
      </c>
      <c r="DA27" s="85">
        <v>0</v>
      </c>
      <c r="DB27" s="85">
        <v>0</v>
      </c>
      <c r="DC27" s="85">
        <v>0</v>
      </c>
      <c r="DD27" s="85">
        <v>0</v>
      </c>
      <c r="DE27" s="13">
        <v>0.97679998910314292</v>
      </c>
    </row>
    <row r="28" spans="1:109" x14ac:dyDescent="0.25">
      <c r="A28" s="4" t="s" vm="325">
        <v>180</v>
      </c>
      <c r="B28" s="2" t="s" vm="18">
        <v>181</v>
      </c>
      <c r="C28" s="72" vm="405">
        <v>44926</v>
      </c>
      <c r="D28" s="7">
        <f>IFERROR( VfM_Metrics_2023_Consol[[#This Row],[Reinvestment Spend]] / VfM_Metrics_2023_Consol[[#This Row],[Net Book Value of Housing Properties]], "n/a" )</f>
        <v>2.9691538280804217E-2</v>
      </c>
      <c r="E2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4423</v>
      </c>
      <c r="F28" s="83" vm="4221">
        <v>21</v>
      </c>
      <c r="G28" s="83" vm="4222">
        <v>374</v>
      </c>
      <c r="H28" s="83" vm="4223">
        <v>4028</v>
      </c>
      <c r="I28" s="83" vm="4224">
        <v>0</v>
      </c>
      <c r="J28" s="83" vm="4225">
        <v>0</v>
      </c>
      <c r="K28" s="5">
        <f xml:space="preserve"> SUM( VfM_Metrics_2023_Consol[[#This Row],[Tangible fixed assets: Housing properties at cost (Current period)]],VfM_Metrics_2023_Consol[[#This Row],[Tangible fixed assets Housing properties at valuation (Current period)]] )</f>
        <v>148965</v>
      </c>
      <c r="L28" s="84" vm="4226">
        <v>148965</v>
      </c>
      <c r="M28" s="83">
        <v>0</v>
      </c>
      <c r="N28" s="7">
        <f xml:space="preserve"> IFERROR( VfM_Metrics_2023_Consol[[#This Row],[Total social units developed or newly built units acquired in-year]] / VfM_Metrics_2023_Consol[[#This Row],[Social housing units owned (period end)]], "n/a" )</f>
        <v>8.0645161290322581E-4</v>
      </c>
      <c r="O28" s="5">
        <f xml:space="preserve"> SUM( VfM_Metrics_2023_Consol[[#This Row],[Total social units developed or newly built units acquired in-year (owned)]], VfM_Metrics_2023_Consol[[#This Row],[Total social leasehold units developed or newly built units acquired in-year (owned)]] )</f>
        <v>3</v>
      </c>
      <c r="P28" s="84" vm="4227">
        <v>3</v>
      </c>
      <c r="Q28" s="83">
        <v>0</v>
      </c>
      <c r="R28" s="5">
        <f xml:space="preserve"> SUM( VfM_Metrics_2023_Consol[[#This Row],[Total social housing units owned (Period end)]], VfM_Metrics_2023_Consol[[#This Row],[Total social leasehold units owned (Period end)]] )</f>
        <v>3720</v>
      </c>
      <c r="S28" s="84" vm="4219">
        <v>3720</v>
      </c>
      <c r="T28" s="83" vm="4228">
        <v>0</v>
      </c>
      <c r="U28" s="86">
        <f xml:space="preserve"> IFERROR( VfM_Metrics_2023_Consol[[#This Row],[Total non-social housing units developed or newly built units acquired (owned)]] / VfM_Metrics_2023_Consol[[#This Row],[Total social and non-social housing units owned (Period end)]], "n/a" )</f>
        <v>0</v>
      </c>
      <c r="V2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8" s="83">
        <v>0</v>
      </c>
      <c r="X28" s="83">
        <v>0</v>
      </c>
      <c r="Y28" s="83">
        <v>0</v>
      </c>
      <c r="Z2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4187</v>
      </c>
      <c r="AA28" s="84" vm="7367">
        <v>3720</v>
      </c>
      <c r="AB28" s="83" vm="4228">
        <v>0</v>
      </c>
      <c r="AC28" s="83" vm="4229">
        <v>93</v>
      </c>
      <c r="AD28" s="83" vm="7648">
        <v>374</v>
      </c>
      <c r="AE28" s="7">
        <f xml:space="preserve"> IFERROR( VfM_Metrics_2023_Consol[[#This Row],[Total Net Debt]] / VfM_Metrics_2023_Consol[[#This Row],[Net Book Value of Housing Properties2]], "n/a" )</f>
        <v>0.53000369214244958</v>
      </c>
      <c r="AF2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78952</v>
      </c>
      <c r="AG28" s="84" vm="4230">
        <v>3600</v>
      </c>
      <c r="AH28" s="83" vm="4231">
        <v>78672</v>
      </c>
      <c r="AI28" s="83" vm="4232">
        <v>3320</v>
      </c>
      <c r="AJ28" s="83" vm="1675">
        <v>0</v>
      </c>
      <c r="AK28" s="83">
        <v>0</v>
      </c>
      <c r="AL28" s="5">
        <f xml:space="preserve"> SUM( VfM_Metrics_2023_Consol[[#This Row],[Tangible fixed assets: Housing properties at cost (Current period)2]], VfM_Metrics_2023_Consol[[#This Row],[Tangible fixed assets Housing properties at valuation (Current period)2]] )</f>
        <v>148965</v>
      </c>
      <c r="AM28" s="84" vm="7647">
        <v>148965</v>
      </c>
      <c r="AN28" s="83">
        <v>0</v>
      </c>
      <c r="AO28" s="87">
        <f xml:space="preserve"> IFERROR( VfM_Metrics_2023_Consol[[#This Row],[EBITDA MRI]] / VfM_Metrics_2023_Consol[[#This Row],[Total interest]], "n/a" )</f>
        <v>1.3669467787114846</v>
      </c>
      <c r="AP2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5368</v>
      </c>
      <c r="AQ28" s="84" vm="4233">
        <v>5716</v>
      </c>
      <c r="AR28" s="84" vm="4234">
        <v>360</v>
      </c>
      <c r="AS28" s="84" vm="3685">
        <v>394</v>
      </c>
      <c r="AT28" s="84" vm="4236">
        <v>297</v>
      </c>
      <c r="AU28" s="84" vm="4237">
        <v>0</v>
      </c>
      <c r="AV28" s="84" vm="2916">
        <v>47</v>
      </c>
      <c r="AW28" s="84" vm="4238">
        <v>4028</v>
      </c>
      <c r="AX28" s="84" vm="5376">
        <v>4684</v>
      </c>
      <c r="AY28" s="3">
        <f xml:space="preserve"> - SUM( VfM_Metrics_2023_Consol[[#This Row],[Interest capitalised]], VfM_Metrics_2023_Consol[[#This Row],[Interest payable and financing costs]] )</f>
        <v>3927</v>
      </c>
      <c r="AZ28" s="84">
        <v>0</v>
      </c>
      <c r="BA28" s="83" vm="4239">
        <v>-3927</v>
      </c>
      <c r="BB28" s="8">
        <f xml:space="preserve"> IFERROR( ( VfM_Metrics_2023_Consol[[#This Row],[Total Costs]] / VfM_Metrics_2023_Consol[[#This Row],[Total units for costs]] ) * 1000, "n/a" )</f>
        <v>4527.4185204345576</v>
      </c>
      <c r="BC2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17503</v>
      </c>
      <c r="BD28" s="84" vm="4240">
        <v>4119</v>
      </c>
      <c r="BE28" s="83" vm="7353">
        <v>1410</v>
      </c>
      <c r="BF28" s="83" vm="4241">
        <v>3479</v>
      </c>
      <c r="BG28" s="83" vm="4242">
        <v>2073</v>
      </c>
      <c r="BH28" s="83" vm="4243">
        <v>470</v>
      </c>
      <c r="BI28" s="83" vm="4244">
        <v>0</v>
      </c>
      <c r="BJ28" s="83" vm="4238">
        <v>4028</v>
      </c>
      <c r="BK28" s="83" vm="7594">
        <v>47</v>
      </c>
      <c r="BL28" s="83">
        <v>0</v>
      </c>
      <c r="BM28" s="83" vm="4245">
        <v>960</v>
      </c>
      <c r="BN28" s="83" vm="7521">
        <v>917</v>
      </c>
      <c r="BO28" s="83">
        <v>0</v>
      </c>
      <c r="BP28" s="5" vm="4220">
        <f xml:space="preserve"> VfM_Metrics_2023_Consol[[#This Row],[Total social housing units owned and/or managed at period end]]</f>
        <v>3866</v>
      </c>
      <c r="BQ28" s="84" vm="4220">
        <v>3866</v>
      </c>
      <c r="BR28" s="7">
        <f xml:space="preserve"> IFERROR( VfM_Metrics_2023_Consol[[#This Row],[SHL operating surplus / (deficit)]] / VfM_Metrics_2023_Consol[[#This Row],[Turnover from social housing lettings]], "n/a" )</f>
        <v>0.27232308262319377</v>
      </c>
      <c r="BS28" s="5" vm="4586">
        <f xml:space="preserve"> VfM_Metrics_2023_Consol[[#This Row],[Operating surplus/(deficit) (social housing lettings)]]</f>
        <v>5880</v>
      </c>
      <c r="BT28" s="84" vm="4586">
        <v>5880</v>
      </c>
      <c r="BU28" s="5" vm="7431">
        <f xml:space="preserve"> VfM_Metrics_2023_Consol[[#This Row],[Turnover from social housing lettings]]</f>
        <v>21592</v>
      </c>
      <c r="BV28" s="84" vm="7431">
        <v>21592</v>
      </c>
      <c r="BW28" s="7">
        <f xml:space="preserve"> IFERROR( VfM_Metrics_2023_Consol[[#This Row],[Net operating surplus]] / VfM_Metrics_2023_Consol[[#This Row],[Overall turnover]], "n/a" )</f>
        <v>0.18131326049621807</v>
      </c>
      <c r="BX28" s="5">
        <f xml:space="preserve"> SUM( VfM_Metrics_2023_Consol[[#This Row],[Operating surplus/(deficit) (overall)2]], - VfM_Metrics_2023_Consol[[#This Row],[Gain/(loss) on disposal of fixed assets (housing properties)2]], - VfM_Metrics_2023_Consol[[#This Row],[Gain/(loss) on disposal of fixed assets (other)2]] )</f>
        <v>4962</v>
      </c>
      <c r="BY28" s="84" vm="7543">
        <v>5716</v>
      </c>
      <c r="BZ28" s="83" vm="4234">
        <v>360</v>
      </c>
      <c r="CA28" s="83" vm="4235">
        <v>394</v>
      </c>
      <c r="CB28" s="5" vm="4246">
        <f xml:space="preserve"> VfM_Metrics_2023_Consol[[#This Row],[Turnover (overall)]]</f>
        <v>27367</v>
      </c>
      <c r="CC28" s="84" vm="4246">
        <v>27367</v>
      </c>
      <c r="CD28" s="7">
        <f xml:space="preserve"> IFERROR( VfM_Metrics_2023_Consol[[#This Row],[Operating surplus including from JVs]] / VfM_Metrics_2023_Consol[[#This Row],[Net assets]], "n/a" )</f>
        <v>3.3125478105658454E-2</v>
      </c>
      <c r="CE28" s="5">
        <f xml:space="preserve"> SUM( VfM_Metrics_2023_Consol[[#This Row],[Operating surplus/(deficit) (overall)3]], VfM_Metrics_2023_Consol[[#This Row],[Share of operating surplus/(deficit) in joint ventures or associates]] )</f>
        <v>5716</v>
      </c>
      <c r="CF28" s="84" vm="4233">
        <v>5716</v>
      </c>
      <c r="CG28" s="83">
        <v>0</v>
      </c>
      <c r="CH28" s="5" vm="4247">
        <f xml:space="preserve"> VfM_Metrics_2023_Consol[[#This Row],[Total assets less current liabilities]]</f>
        <v>172556</v>
      </c>
      <c r="CI28" s="84" vm="4247">
        <v>172556</v>
      </c>
      <c r="CJ28" s="71" vm="4219">
        <f xml:space="preserve"> VfM_Metrics_2023_Consol[[#This Row],[Total social housing units owned (Period end)]]</f>
        <v>3720</v>
      </c>
      <c r="CK28" s="103">
        <v>2.4219590958019376E-3</v>
      </c>
      <c r="CL28" s="6">
        <f xml:space="preserve"> -- ( VfM_Metrics_2023_Consol[[#This Row],[% Supported housing (excl. HOP)]] &gt; 0.3 )</f>
        <v>0</v>
      </c>
      <c r="CM28" s="103">
        <v>7.0505920344456408E-2</v>
      </c>
      <c r="CN28" s="6">
        <f xml:space="preserve"> -- ( VfM_Metrics_2023_Consol[[#This Row],[% Housing for older people]] &gt; 0.3 )</f>
        <v>0</v>
      </c>
      <c r="CO28" s="103">
        <f xml:space="preserve"> VfM_Metrics_2023_Consol[[#This Row],[% Supported housing (excl. HOP)]] + VfM_Metrics_2023_Consol[[#This Row],[% Housing for older people]]</f>
        <v>7.2927879440258345E-2</v>
      </c>
      <c r="CP28" s="6">
        <f xml:space="preserve"> -- ( VfM_Metrics_2023_Consol[[#This Row],[SH specialist in RSH analysis]] + VfM_Metrics_2023_Consol[[#This Row],[OP specialist in RSH analysis]] &gt; 0 )</f>
        <v>0</v>
      </c>
      <c r="CQ28" s="10">
        <f xml:space="preserve"> -- ( VfM_Metrics_2023_Consol[[#This Row],[% SH and OP]] &gt; 0.3 )</f>
        <v>0</v>
      </c>
      <c r="CR28" s="104" t="s">
        <v>143</v>
      </c>
      <c r="CS28" s="124" t="s">
        <v>144</v>
      </c>
      <c r="CT28" s="105"/>
      <c r="CU2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28" s="85">
        <v>0</v>
      </c>
      <c r="CW28" s="85">
        <v>0</v>
      </c>
      <c r="CX28" s="85">
        <v>0</v>
      </c>
      <c r="CY28" s="85">
        <v>0</v>
      </c>
      <c r="CZ28" s="85">
        <v>1</v>
      </c>
      <c r="DA28" s="85">
        <v>0</v>
      </c>
      <c r="DB28" s="85">
        <v>0</v>
      </c>
      <c r="DC28" s="85">
        <v>0</v>
      </c>
      <c r="DD28" s="85">
        <v>0</v>
      </c>
      <c r="DE28" s="13">
        <v>0.96459033333600952</v>
      </c>
    </row>
    <row r="29" spans="1:109" x14ac:dyDescent="0.25">
      <c r="A29" s="4" t="s" vm="294">
        <v>182</v>
      </c>
      <c r="B29" s="2" t="s" vm="19">
        <v>183</v>
      </c>
      <c r="C29" s="72" vm="446">
        <v>45016</v>
      </c>
      <c r="D29" s="7">
        <f>IFERROR( VfM_Metrics_2023_Consol[[#This Row],[Reinvestment Spend]] / VfM_Metrics_2023_Consol[[#This Row],[Net Book Value of Housing Properties]], "n/a" )</f>
        <v>5.24961697453242E-2</v>
      </c>
      <c r="E2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69008</v>
      </c>
      <c r="F29" s="83" vm="3147">
        <v>44582</v>
      </c>
      <c r="G29" s="83" vm="3148">
        <v>0</v>
      </c>
      <c r="H29" s="83" vm="7745">
        <v>21193</v>
      </c>
      <c r="I29" s="83" vm="3149">
        <v>3233</v>
      </c>
      <c r="J29" s="83" vm="3107">
        <v>0</v>
      </c>
      <c r="K29" s="5">
        <f xml:space="preserve"> SUM( VfM_Metrics_2023_Consol[[#This Row],[Tangible fixed assets: Housing properties at cost (Current period)]],VfM_Metrics_2023_Consol[[#This Row],[Tangible fixed assets Housing properties at valuation (Current period)]] )</f>
        <v>1314534</v>
      </c>
      <c r="L29" s="84" vm="3150">
        <v>1314534</v>
      </c>
      <c r="M29" s="83" vm="3151">
        <v>0</v>
      </c>
      <c r="N29" s="7">
        <f xml:space="preserve"> IFERROR( VfM_Metrics_2023_Consol[[#This Row],[Total social units developed or newly built units acquired in-year]] / VfM_Metrics_2023_Consol[[#This Row],[Social housing units owned (period end)]], "n/a" )</f>
        <v>1.3788138878121713E-2</v>
      </c>
      <c r="O29" s="5">
        <f xml:space="preserve"> SUM( VfM_Metrics_2023_Consol[[#This Row],[Total social units developed or newly built units acquired in-year (owned)]], VfM_Metrics_2023_Consol[[#This Row],[Total social leasehold units developed or newly built units acquired in-year (owned)]] )</f>
        <v>249</v>
      </c>
      <c r="P29" s="84" vm="3152">
        <v>223</v>
      </c>
      <c r="Q29" s="83" vm="3126">
        <v>26</v>
      </c>
      <c r="R29" s="5">
        <f xml:space="preserve"> SUM( VfM_Metrics_2023_Consol[[#This Row],[Total social housing units owned (Period end)]], VfM_Metrics_2023_Consol[[#This Row],[Total social leasehold units owned (Period end)]] )</f>
        <v>18059</v>
      </c>
      <c r="S29" s="84" vm="3145">
        <v>17363</v>
      </c>
      <c r="T29" s="83" vm="7580">
        <v>696</v>
      </c>
      <c r="U29" s="86">
        <f xml:space="preserve"> IFERROR( VfM_Metrics_2023_Consol[[#This Row],[Total non-social housing units developed or newly built units acquired (owned)]] / VfM_Metrics_2023_Consol[[#This Row],[Total social and non-social housing units owned (Period end)]], "n/a" )</f>
        <v>0</v>
      </c>
      <c r="V2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9" s="83" vm="3154">
        <v>0</v>
      </c>
      <c r="X29" s="83" vm="3155">
        <v>0</v>
      </c>
      <c r="Y29" s="83" vm="3156">
        <v>0</v>
      </c>
      <c r="Z2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19053</v>
      </c>
      <c r="AA29" s="84" vm="1780">
        <v>17363</v>
      </c>
      <c r="AB29" s="83" vm="3153">
        <v>696</v>
      </c>
      <c r="AC29" s="83" vm="3157">
        <v>994</v>
      </c>
      <c r="AD29" s="83" vm="3158">
        <v>0</v>
      </c>
      <c r="AE29" s="7">
        <f xml:space="preserve"> IFERROR( VfM_Metrics_2023_Consol[[#This Row],[Total Net Debt]] / VfM_Metrics_2023_Consol[[#This Row],[Net Book Value of Housing Properties2]], "n/a" )</f>
        <v>0.63951712165680008</v>
      </c>
      <c r="AF2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840667</v>
      </c>
      <c r="AG29" s="84" vm="3159">
        <v>12500</v>
      </c>
      <c r="AH29" s="83" vm="3160">
        <v>847323</v>
      </c>
      <c r="AI29" s="83" vm="3161">
        <v>19156</v>
      </c>
      <c r="AJ29" s="83" vm="3162">
        <v>0</v>
      </c>
      <c r="AK29" s="83" vm="3163">
        <v>0</v>
      </c>
      <c r="AL29" s="5">
        <f xml:space="preserve"> SUM( VfM_Metrics_2023_Consol[[#This Row],[Tangible fixed assets: Housing properties at cost (Current period)2]], VfM_Metrics_2023_Consol[[#This Row],[Tangible fixed assets Housing properties at valuation (Current period)2]] )</f>
        <v>1314534</v>
      </c>
      <c r="AM29" s="84" vm="6596">
        <v>1314534</v>
      </c>
      <c r="AN29" s="83" vm="2869">
        <v>0</v>
      </c>
      <c r="AO29" s="87">
        <f xml:space="preserve"> IFERROR( VfM_Metrics_2023_Consol[[#This Row],[EBITDA MRI]] / VfM_Metrics_2023_Consol[[#This Row],[Total interest]], "n/a" )</f>
        <v>1.3059675565888986</v>
      </c>
      <c r="AP2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48868</v>
      </c>
      <c r="AQ29" s="84" vm="3121">
        <v>56014</v>
      </c>
      <c r="AR29" s="84" vm="3165">
        <v>7924</v>
      </c>
      <c r="AS29" s="84" vm="3166">
        <v>0</v>
      </c>
      <c r="AT29" s="84" vm="3167">
        <v>0</v>
      </c>
      <c r="AU29" s="84" vm="3168">
        <v>0</v>
      </c>
      <c r="AV29" s="84" vm="3169">
        <v>919</v>
      </c>
      <c r="AW29" s="84" vm="3170">
        <v>21193</v>
      </c>
      <c r="AX29" s="84" vm="3171">
        <v>21052</v>
      </c>
      <c r="AY29" s="3">
        <f xml:space="preserve"> - SUM( VfM_Metrics_2023_Consol[[#This Row],[Interest capitalised]], VfM_Metrics_2023_Consol[[#This Row],[Interest payable and financing costs]] )</f>
        <v>37419</v>
      </c>
      <c r="AZ29" s="84" vm="7765">
        <v>-3233</v>
      </c>
      <c r="BA29" s="83" vm="3172">
        <v>-34186</v>
      </c>
      <c r="BB29" s="8">
        <f xml:space="preserve"> IFERROR( ( VfM_Metrics_2023_Consol[[#This Row],[Total Costs]] / VfM_Metrics_2023_Consol[[#This Row],[Total units for costs]] ) * 1000, "n/a" )</f>
        <v>4054.3108909750617</v>
      </c>
      <c r="BC2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70395</v>
      </c>
      <c r="BD29" s="84" vm="7080">
        <v>17971</v>
      </c>
      <c r="BE29" s="83" vm="3173">
        <v>11573</v>
      </c>
      <c r="BF29" s="83" vm="3174">
        <v>12667</v>
      </c>
      <c r="BG29" s="83" vm="3149">
        <v>4937</v>
      </c>
      <c r="BH29" s="83" vm="3175">
        <v>0</v>
      </c>
      <c r="BI29" s="83" vm="3176">
        <v>0</v>
      </c>
      <c r="BJ29" s="83" vm="3195">
        <v>21193</v>
      </c>
      <c r="BK29" s="83" vm="3177">
        <v>0</v>
      </c>
      <c r="BL29" s="83" vm="7768">
        <v>0</v>
      </c>
      <c r="BM29" s="83" vm="3178">
        <v>0</v>
      </c>
      <c r="BN29" s="83" vm="3179">
        <v>2054</v>
      </c>
      <c r="BO29" s="83" vm="3180">
        <v>0</v>
      </c>
      <c r="BP29" s="5" vm="3146">
        <f xml:space="preserve"> VfM_Metrics_2023_Consol[[#This Row],[Total social housing units owned and/or managed at period end]]</f>
        <v>17363</v>
      </c>
      <c r="BQ29" s="84" vm="3146">
        <v>17363</v>
      </c>
      <c r="BR29" s="7">
        <f xml:space="preserve"> IFERROR( VfM_Metrics_2023_Consol[[#This Row],[SHL operating surplus / (deficit)]] / VfM_Metrics_2023_Consol[[#This Row],[Turnover from social housing lettings]], "n/a" )</f>
        <v>0.38660239997813234</v>
      </c>
      <c r="BS29" s="5" vm="7599">
        <f xml:space="preserve"> VfM_Metrics_2023_Consol[[#This Row],[Operating surplus/(deficit) (social housing lettings)]]</f>
        <v>42430</v>
      </c>
      <c r="BT29" s="84" vm="7599">
        <v>42430</v>
      </c>
      <c r="BU29" s="5" vm="3143">
        <f xml:space="preserve"> VfM_Metrics_2023_Consol[[#This Row],[Turnover from social housing lettings]]</f>
        <v>109751</v>
      </c>
      <c r="BV29" s="84" vm="3143">
        <v>109751</v>
      </c>
      <c r="BW29" s="7">
        <f xml:space="preserve"> IFERROR( VfM_Metrics_2023_Consol[[#This Row],[Net operating surplus]] / VfM_Metrics_2023_Consol[[#This Row],[Overall turnover]], "n/a" )</f>
        <v>0.36156807314065742</v>
      </c>
      <c r="BX29" s="5">
        <f xml:space="preserve"> SUM( VfM_Metrics_2023_Consol[[#This Row],[Operating surplus/(deficit) (overall)2]], - VfM_Metrics_2023_Consol[[#This Row],[Gain/(loss) on disposal of fixed assets (housing properties)2]], - VfM_Metrics_2023_Consol[[#This Row],[Gain/(loss) on disposal of fixed assets (other)2]] )</f>
        <v>48090</v>
      </c>
      <c r="BY29" s="84" vm="3164">
        <v>56014</v>
      </c>
      <c r="BZ29" s="83" vm="3165">
        <v>7924</v>
      </c>
      <c r="CA29" s="83" vm="3166">
        <v>0</v>
      </c>
      <c r="CB29" s="5" vm="3273">
        <f xml:space="preserve"> VfM_Metrics_2023_Consol[[#This Row],[Turnover (overall)]]</f>
        <v>133004</v>
      </c>
      <c r="CC29" s="84" vm="3273">
        <v>133004</v>
      </c>
      <c r="CD29" s="7">
        <f xml:space="preserve"> IFERROR( VfM_Metrics_2023_Consol[[#This Row],[Operating surplus including from JVs]] / VfM_Metrics_2023_Consol[[#This Row],[Net assets]], "n/a" )</f>
        <v>4.0759153236486621E-2</v>
      </c>
      <c r="CE29" s="5">
        <f xml:space="preserve"> SUM( VfM_Metrics_2023_Consol[[#This Row],[Operating surplus/(deficit) (overall)3]], VfM_Metrics_2023_Consol[[#This Row],[Share of operating surplus/(deficit) in joint ventures or associates]] )</f>
        <v>56014</v>
      </c>
      <c r="CF29" s="84" vm="3164">
        <v>56014</v>
      </c>
      <c r="CG29" s="83" vm="3181">
        <v>0</v>
      </c>
      <c r="CH29" s="5" vm="3242">
        <f xml:space="preserve"> VfM_Metrics_2023_Consol[[#This Row],[Total assets less current liabilities]]</f>
        <v>1374268</v>
      </c>
      <c r="CI29" s="84" vm="3242">
        <v>1374268</v>
      </c>
      <c r="CJ29" s="71" vm="3145">
        <f xml:space="preserve"> VfM_Metrics_2023_Consol[[#This Row],[Total social housing units owned (Period end)]]</f>
        <v>17363</v>
      </c>
      <c r="CK29" s="103">
        <v>1.1210117849956885E-2</v>
      </c>
      <c r="CL29" s="6">
        <f xml:space="preserve"> -- ( VfM_Metrics_2023_Consol[[#This Row],[% Supported housing (excl. HOP)]] &gt; 0.3 )</f>
        <v>0</v>
      </c>
      <c r="CM29" s="103">
        <v>5.8005173900546131E-2</v>
      </c>
      <c r="CN29" s="6">
        <f xml:space="preserve"> -- ( VfM_Metrics_2023_Consol[[#This Row],[% Housing for older people]] &gt; 0.3 )</f>
        <v>0</v>
      </c>
      <c r="CO29" s="103">
        <f xml:space="preserve"> VfM_Metrics_2023_Consol[[#This Row],[% Supported housing (excl. HOP)]] + VfM_Metrics_2023_Consol[[#This Row],[% Housing for older people]]</f>
        <v>6.9215291750503019E-2</v>
      </c>
      <c r="CP29" s="6">
        <f xml:space="preserve"> -- ( VfM_Metrics_2023_Consol[[#This Row],[SH specialist in RSH analysis]] + VfM_Metrics_2023_Consol[[#This Row],[OP specialist in RSH analysis]] &gt; 0 )</f>
        <v>0</v>
      </c>
      <c r="CQ29" s="10">
        <f xml:space="preserve"> -- ( VfM_Metrics_2023_Consol[[#This Row],[% SH and OP]] &gt; 0.3 )</f>
        <v>0</v>
      </c>
      <c r="CR29" s="104" t="s">
        <v>143</v>
      </c>
      <c r="CS29" s="124" t="s">
        <v>144</v>
      </c>
      <c r="CT29" s="105"/>
      <c r="CU2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29" s="85">
        <v>0</v>
      </c>
      <c r="CW29" s="85">
        <v>0.11513653625896679</v>
      </c>
      <c r="CX29" s="85">
        <v>2.7126409066248721E-3</v>
      </c>
      <c r="CY29" s="85">
        <v>6.8659955392127311E-2</v>
      </c>
      <c r="CZ29" s="85">
        <v>6.0280909036108268E-5</v>
      </c>
      <c r="DA29" s="85">
        <v>0.81337030562420887</v>
      </c>
      <c r="DB29" s="85">
        <v>0</v>
      </c>
      <c r="DC29" s="85">
        <v>0</v>
      </c>
      <c r="DD29" s="85">
        <v>6.0280909036108268E-5</v>
      </c>
      <c r="DE29" s="13">
        <v>1.0090973806214263</v>
      </c>
    </row>
    <row r="30" spans="1:109" x14ac:dyDescent="0.25">
      <c r="A30" s="4" t="s" vm="324">
        <v>184</v>
      </c>
      <c r="B30" s="2" t="s" vm="20">
        <v>185</v>
      </c>
      <c r="C30" s="72" vm="445">
        <v>45016</v>
      </c>
      <c r="D30" s="7">
        <f>IFERROR( VfM_Metrics_2023_Consol[[#This Row],[Reinvestment Spend]] / VfM_Metrics_2023_Consol[[#This Row],[Net Book Value of Housing Properties]], "n/a" )</f>
        <v>3.3688765260392523E-2</v>
      </c>
      <c r="E3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8066</v>
      </c>
      <c r="F30" s="83" vm="4186">
        <v>4734</v>
      </c>
      <c r="G30" s="83" vm="4187">
        <v>0</v>
      </c>
      <c r="H30" s="83" vm="4188">
        <v>2058</v>
      </c>
      <c r="I30" s="83" vm="4189">
        <v>1274</v>
      </c>
      <c r="J30" s="83" vm="4293">
        <v>0</v>
      </c>
      <c r="K30" s="5">
        <f xml:space="preserve"> SUM( VfM_Metrics_2023_Consol[[#This Row],[Tangible fixed assets: Housing properties at cost (Current period)]],VfM_Metrics_2023_Consol[[#This Row],[Tangible fixed assets Housing properties at valuation (Current period)]] )</f>
        <v>239427</v>
      </c>
      <c r="L30" s="84" vm="4190">
        <v>239427</v>
      </c>
      <c r="M30" s="83" vm="4191">
        <v>0</v>
      </c>
      <c r="N30" s="7">
        <f xml:space="preserve"> IFERROR( VfM_Metrics_2023_Consol[[#This Row],[Total social units developed or newly built units acquired in-year]] / VfM_Metrics_2023_Consol[[#This Row],[Social housing units owned (period end)]], "n/a" )</f>
        <v>1.0328638497652582E-2</v>
      </c>
      <c r="O30" s="5">
        <f xml:space="preserve"> SUM( VfM_Metrics_2023_Consol[[#This Row],[Total social units developed or newly built units acquired in-year (owned)]], VfM_Metrics_2023_Consol[[#This Row],[Total social leasehold units developed or newly built units acquired in-year (owned)]] )</f>
        <v>33</v>
      </c>
      <c r="P30" s="84" vm="4192">
        <v>33</v>
      </c>
      <c r="Q30" s="83">
        <v>0</v>
      </c>
      <c r="R30" s="5">
        <f xml:space="preserve"> SUM( VfM_Metrics_2023_Consol[[#This Row],[Total social housing units owned (Period end)]], VfM_Metrics_2023_Consol[[#This Row],[Total social leasehold units owned (Period end)]] )</f>
        <v>3195</v>
      </c>
      <c r="S30" s="84" vm="4184">
        <v>3195</v>
      </c>
      <c r="T30" s="83" vm="4193">
        <v>0</v>
      </c>
      <c r="U30" s="86">
        <f xml:space="preserve"> IFERROR( VfM_Metrics_2023_Consol[[#This Row],[Total non-social housing units developed or newly built units acquired (owned)]] / VfM_Metrics_2023_Consol[[#This Row],[Total social and non-social housing units owned (Period end)]], "n/a" )</f>
        <v>0</v>
      </c>
      <c r="V3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30" s="83">
        <v>0</v>
      </c>
      <c r="X30" s="83">
        <v>0</v>
      </c>
      <c r="Y30" s="83" vm="2304">
        <v>0</v>
      </c>
      <c r="Z3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3216</v>
      </c>
      <c r="AA30" s="84" vm="4184">
        <v>3195</v>
      </c>
      <c r="AB30" s="83" vm="6988">
        <v>0</v>
      </c>
      <c r="AC30" s="83" vm="4194">
        <v>0</v>
      </c>
      <c r="AD30" s="83" vm="4195">
        <v>21</v>
      </c>
      <c r="AE30" s="7">
        <f xml:space="preserve"> IFERROR( VfM_Metrics_2023_Consol[[#This Row],[Total Net Debt]] / VfM_Metrics_2023_Consol[[#This Row],[Net Book Value of Housing Properties2]], "n/a" )</f>
        <v>0.36102026922611069</v>
      </c>
      <c r="AF3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86438</v>
      </c>
      <c r="AG30" s="84" vm="4196">
        <v>6586</v>
      </c>
      <c r="AH30" s="83" vm="6980">
        <v>89972</v>
      </c>
      <c r="AI30" s="83" vm="3946">
        <v>10120</v>
      </c>
      <c r="AJ30" s="83" vm="4197">
        <v>0</v>
      </c>
      <c r="AK30" s="83" vm="4198">
        <v>0</v>
      </c>
      <c r="AL30" s="5">
        <f xml:space="preserve"> SUM( VfM_Metrics_2023_Consol[[#This Row],[Tangible fixed assets: Housing properties at cost (Current period)2]], VfM_Metrics_2023_Consol[[#This Row],[Tangible fixed assets Housing properties at valuation (Current period)2]] )</f>
        <v>239427</v>
      </c>
      <c r="AM30" s="84" vm="7529">
        <v>239427</v>
      </c>
      <c r="AN30" s="83" vm="4191">
        <v>0</v>
      </c>
      <c r="AO30" s="87">
        <f xml:space="preserve"> IFERROR( VfM_Metrics_2023_Consol[[#This Row],[EBITDA MRI]] / VfM_Metrics_2023_Consol[[#This Row],[Total interest]], "n/a" )</f>
        <v>1.0843945607597669</v>
      </c>
      <c r="AP3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5024</v>
      </c>
      <c r="AQ30" s="84" vm="4199">
        <v>4660</v>
      </c>
      <c r="AR30" s="84" vm="4200">
        <v>369</v>
      </c>
      <c r="AS30" s="84" vm="4201">
        <v>0</v>
      </c>
      <c r="AT30" s="84" vm="7432">
        <v>648</v>
      </c>
      <c r="AU30" s="84" vm="4202">
        <v>79</v>
      </c>
      <c r="AV30" s="84" vm="4203">
        <v>63</v>
      </c>
      <c r="AW30" s="84" vm="7393">
        <v>2058</v>
      </c>
      <c r="AX30" s="84" vm="7058">
        <v>3455</v>
      </c>
      <c r="AY30" s="3">
        <f xml:space="preserve"> - SUM( VfM_Metrics_2023_Consol[[#This Row],[Interest capitalised]], VfM_Metrics_2023_Consol[[#This Row],[Interest payable and financing costs]] )</f>
        <v>4633</v>
      </c>
      <c r="AZ30" s="84" vm="4205">
        <v>-1274</v>
      </c>
      <c r="BA30" s="83" vm="4206">
        <v>-3359</v>
      </c>
      <c r="BB30" s="8">
        <f xml:space="preserve"> IFERROR( ( VfM_Metrics_2023_Consol[[#This Row],[Total Costs]] / VfM_Metrics_2023_Consol[[#This Row],[Total units for costs]] ) * 1000, "n/a" )</f>
        <v>4574.0567508574995</v>
      </c>
      <c r="BC3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14669</v>
      </c>
      <c r="BD30" s="84" vm="5459">
        <v>2950</v>
      </c>
      <c r="BE30" s="83" vm="7291">
        <v>1176</v>
      </c>
      <c r="BF30" s="83" vm="4207">
        <v>7364</v>
      </c>
      <c r="BG30" s="83" vm="4208">
        <v>650</v>
      </c>
      <c r="BH30" s="83" vm="4209">
        <v>71</v>
      </c>
      <c r="BI30" s="83" vm="4210">
        <v>285</v>
      </c>
      <c r="BJ30" s="83" vm="4204">
        <v>2058</v>
      </c>
      <c r="BK30" s="83" vm="4211">
        <v>0</v>
      </c>
      <c r="BL30" s="83" vm="4212">
        <v>0</v>
      </c>
      <c r="BM30" s="83" vm="4213">
        <v>49</v>
      </c>
      <c r="BN30" s="83" vm="6987">
        <v>66</v>
      </c>
      <c r="BO30" s="83" vm="4214">
        <v>0</v>
      </c>
      <c r="BP30" s="5" vm="4185">
        <f xml:space="preserve"> VfM_Metrics_2023_Consol[[#This Row],[Total social housing units owned and/or managed at period end]]</f>
        <v>3207</v>
      </c>
      <c r="BQ30" s="84" vm="4185">
        <v>3207</v>
      </c>
      <c r="BR30" s="7">
        <f xml:space="preserve"> IFERROR( VfM_Metrics_2023_Consol[[#This Row],[SHL operating surplus / (deficit)]] / VfM_Metrics_2023_Consol[[#This Row],[Turnover from social housing lettings]], "n/a" )</f>
        <v>0.17319354507143592</v>
      </c>
      <c r="BS30" s="5" vm="7188">
        <f xml:space="preserve"> VfM_Metrics_2023_Consol[[#This Row],[Operating surplus/(deficit) (social housing lettings)]]</f>
        <v>3370</v>
      </c>
      <c r="BT30" s="84" vm="7188">
        <v>3370</v>
      </c>
      <c r="BU30" s="5" vm="4215">
        <f xml:space="preserve"> VfM_Metrics_2023_Consol[[#This Row],[Turnover from social housing lettings]]</f>
        <v>19458</v>
      </c>
      <c r="BV30" s="84" vm="4215">
        <v>19458</v>
      </c>
      <c r="BW30" s="7">
        <f xml:space="preserve"> IFERROR( VfM_Metrics_2023_Consol[[#This Row],[Net operating surplus]] / VfM_Metrics_2023_Consol[[#This Row],[Overall turnover]], "n/a" )</f>
        <v>0.18659766915985387</v>
      </c>
      <c r="BX30" s="5">
        <f xml:space="preserve"> SUM( VfM_Metrics_2023_Consol[[#This Row],[Operating surplus/(deficit) (overall)2]], - VfM_Metrics_2023_Consol[[#This Row],[Gain/(loss) on disposal of fixed assets (housing properties)2]], - VfM_Metrics_2023_Consol[[#This Row],[Gain/(loss) on disposal of fixed assets (other)2]] )</f>
        <v>4291</v>
      </c>
      <c r="BY30" s="84" vm="4199">
        <v>4660</v>
      </c>
      <c r="BZ30" s="83" vm="4200">
        <v>369</v>
      </c>
      <c r="CA30" s="83" vm="4201">
        <v>0</v>
      </c>
      <c r="CB30" s="5" vm="4216">
        <f xml:space="preserve"> VfM_Metrics_2023_Consol[[#This Row],[Turnover (overall)]]</f>
        <v>22996</v>
      </c>
      <c r="CC30" s="84" vm="4216">
        <v>22996</v>
      </c>
      <c r="CD30" s="7">
        <f xml:space="preserve"> IFERROR( VfM_Metrics_2023_Consol[[#This Row],[Operating surplus including from JVs]] / VfM_Metrics_2023_Consol[[#This Row],[Net assets]], "n/a" )</f>
        <v>1.9354008065554436E-2</v>
      </c>
      <c r="CE30" s="5">
        <f xml:space="preserve"> SUM( VfM_Metrics_2023_Consol[[#This Row],[Operating surplus/(deficit) (overall)3]], VfM_Metrics_2023_Consol[[#This Row],[Share of operating surplus/(deficit) in joint ventures or associates]] )</f>
        <v>4660</v>
      </c>
      <c r="CF30" s="84" vm="7604">
        <v>4660</v>
      </c>
      <c r="CG30" s="83" vm="4218">
        <v>0</v>
      </c>
      <c r="CH30" s="5" vm="4217">
        <f xml:space="preserve"> VfM_Metrics_2023_Consol[[#This Row],[Total assets less current liabilities]]</f>
        <v>240777</v>
      </c>
      <c r="CI30" s="84" vm="4217">
        <v>240777</v>
      </c>
      <c r="CJ30" s="71" vm="4184">
        <f xml:space="preserve"> VfM_Metrics_2023_Consol[[#This Row],[Total social housing units owned (Period end)]]</f>
        <v>3195</v>
      </c>
      <c r="CK30" s="103">
        <v>5.284680717206669E-2</v>
      </c>
      <c r="CL30" s="6">
        <f xml:space="preserve"> -- ( VfM_Metrics_2023_Consol[[#This Row],[% Supported housing (excl. HOP)]] &gt; 0.3 )</f>
        <v>0</v>
      </c>
      <c r="CM30" s="103">
        <v>1.1953444479396037E-2</v>
      </c>
      <c r="CN30" s="6">
        <f xml:space="preserve"> -- ( VfM_Metrics_2023_Consol[[#This Row],[% Housing for older people]] &gt; 0.3 )</f>
        <v>0</v>
      </c>
      <c r="CO30" s="103">
        <f xml:space="preserve"> VfM_Metrics_2023_Consol[[#This Row],[% Supported housing (excl. HOP)]] + VfM_Metrics_2023_Consol[[#This Row],[% Housing for older people]]</f>
        <v>6.480025165146272E-2</v>
      </c>
      <c r="CP30" s="6">
        <f xml:space="preserve"> -- ( VfM_Metrics_2023_Consol[[#This Row],[SH specialist in RSH analysis]] + VfM_Metrics_2023_Consol[[#This Row],[OP specialist in RSH analysis]] &gt; 0 )</f>
        <v>0</v>
      </c>
      <c r="CQ30" s="10">
        <f xml:space="preserve"> -- ( VfM_Metrics_2023_Consol[[#This Row],[% SH and OP]] &gt; 0.3 )</f>
        <v>0</v>
      </c>
      <c r="CR30" s="104" t="s">
        <v>143</v>
      </c>
      <c r="CS30" s="124" t="s">
        <v>144</v>
      </c>
      <c r="CT30" s="105"/>
      <c r="CU3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30" s="85">
        <v>0</v>
      </c>
      <c r="CW30" s="85">
        <v>0</v>
      </c>
      <c r="CX30" s="85">
        <v>1</v>
      </c>
      <c r="CY30" s="85">
        <v>0</v>
      </c>
      <c r="CZ30" s="85">
        <v>0</v>
      </c>
      <c r="DA30" s="85">
        <v>0</v>
      </c>
      <c r="DB30" s="85">
        <v>0</v>
      </c>
      <c r="DC30" s="85">
        <v>0</v>
      </c>
      <c r="DD30" s="85">
        <v>0</v>
      </c>
      <c r="DE30" s="13">
        <v>0.97511902715076015</v>
      </c>
    </row>
    <row r="31" spans="1:109" x14ac:dyDescent="0.25">
      <c r="A31" s="4" t="s" vm="366">
        <v>186</v>
      </c>
      <c r="B31" s="2" t="s" vm="21">
        <v>187</v>
      </c>
      <c r="C31" s="72" vm="443">
        <v>45016</v>
      </c>
      <c r="D31" s="7">
        <f>IFERROR( VfM_Metrics_2023_Consol[[#This Row],[Reinvestment Spend]] / VfM_Metrics_2023_Consol[[#This Row],[Net Book Value of Housing Properties]], "n/a" )</f>
        <v>5.450266353968302E-2</v>
      </c>
      <c r="E3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19777</v>
      </c>
      <c r="F31" s="83" vm="5644">
        <v>14933</v>
      </c>
      <c r="G31" s="83" vm="5645">
        <v>0</v>
      </c>
      <c r="H31" s="83" vm="5646">
        <v>4430</v>
      </c>
      <c r="I31" s="83" vm="5647">
        <v>414</v>
      </c>
      <c r="J31" s="83" vm="5648">
        <v>0</v>
      </c>
      <c r="K31" s="5">
        <f xml:space="preserve"> SUM( VfM_Metrics_2023_Consol[[#This Row],[Tangible fixed assets: Housing properties at cost (Current period)]],VfM_Metrics_2023_Consol[[#This Row],[Tangible fixed assets Housing properties at valuation (Current period)]] )</f>
        <v>362863</v>
      </c>
      <c r="L31" s="84" vm="5510">
        <v>362863</v>
      </c>
      <c r="M31" s="83">
        <v>0</v>
      </c>
      <c r="N31" s="7">
        <f xml:space="preserve"> IFERROR( VfM_Metrics_2023_Consol[[#This Row],[Total social units developed or newly built units acquired in-year]] / VfM_Metrics_2023_Consol[[#This Row],[Social housing units owned (period end)]], "n/a" )</f>
        <v>1.6526442307692308E-2</v>
      </c>
      <c r="O31" s="5">
        <f xml:space="preserve"> SUM( VfM_Metrics_2023_Consol[[#This Row],[Total social units developed or newly built units acquired in-year (owned)]], VfM_Metrics_2023_Consol[[#This Row],[Total social leasehold units developed or newly built units acquired in-year (owned)]] )</f>
        <v>110</v>
      </c>
      <c r="P31" s="84" vm="6947">
        <v>110</v>
      </c>
      <c r="Q31" s="83">
        <v>0</v>
      </c>
      <c r="R31" s="5">
        <f xml:space="preserve"> SUM( VfM_Metrics_2023_Consol[[#This Row],[Total social housing units owned (Period end)]], VfM_Metrics_2023_Consol[[#This Row],[Total social leasehold units owned (Period end)]] )</f>
        <v>6656</v>
      </c>
      <c r="S31" s="84" vm="7248">
        <v>6656</v>
      </c>
      <c r="T31" s="83" vm="5649">
        <v>0</v>
      </c>
      <c r="U31" s="86">
        <f xml:space="preserve"> IFERROR( VfM_Metrics_2023_Consol[[#This Row],[Total non-social housing units developed or newly built units acquired (owned)]] / VfM_Metrics_2023_Consol[[#This Row],[Total social and non-social housing units owned (Period end)]], "n/a" )</f>
        <v>3.0048076923076925E-4</v>
      </c>
      <c r="V3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v>
      </c>
      <c r="W31" s="83">
        <v>0</v>
      </c>
      <c r="X31" s="83">
        <v>0</v>
      </c>
      <c r="Y31" s="83" vm="5650">
        <v>2</v>
      </c>
      <c r="Z3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6656</v>
      </c>
      <c r="AA31" s="84" vm="5313">
        <v>6656</v>
      </c>
      <c r="AB31" s="83" vm="5649">
        <v>0</v>
      </c>
      <c r="AC31" s="83" vm="5651">
        <v>0</v>
      </c>
      <c r="AD31" s="83" vm="5652">
        <v>0</v>
      </c>
      <c r="AE31" s="7">
        <f xml:space="preserve"> IFERROR( VfM_Metrics_2023_Consol[[#This Row],[Total Net Debt]] / VfM_Metrics_2023_Consol[[#This Row],[Net Book Value of Housing Properties2]], "n/a" )</f>
        <v>0.46793417901522061</v>
      </c>
      <c r="AF3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169796</v>
      </c>
      <c r="AG31" s="84" vm="7009">
        <v>900</v>
      </c>
      <c r="AH31" s="83" vm="5653">
        <v>171655</v>
      </c>
      <c r="AI31" s="83" vm="5654">
        <v>2759</v>
      </c>
      <c r="AJ31" s="83" vm="5655">
        <v>0</v>
      </c>
      <c r="AK31" s="83" vm="5656">
        <v>0</v>
      </c>
      <c r="AL31" s="5">
        <f xml:space="preserve"> SUM( VfM_Metrics_2023_Consol[[#This Row],[Tangible fixed assets: Housing properties at cost (Current period)2]], VfM_Metrics_2023_Consol[[#This Row],[Tangible fixed assets Housing properties at valuation (Current period)2]] )</f>
        <v>362863</v>
      </c>
      <c r="AM31" s="84" vm="5542">
        <v>362863</v>
      </c>
      <c r="AN31" s="83">
        <v>0</v>
      </c>
      <c r="AO31" s="87">
        <f xml:space="preserve"> IFERROR( VfM_Metrics_2023_Consol[[#This Row],[EBITDA MRI]] / VfM_Metrics_2023_Consol[[#This Row],[Total interest]], "n/a" )</f>
        <v>1.338818515449272</v>
      </c>
      <c r="AP3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11309</v>
      </c>
      <c r="AQ31" s="84" vm="7251">
        <v>7923</v>
      </c>
      <c r="AR31" s="84" vm="5658">
        <v>486</v>
      </c>
      <c r="AS31" s="84">
        <v>0</v>
      </c>
      <c r="AT31" s="84" vm="5659">
        <v>132</v>
      </c>
      <c r="AU31" s="84" vm="5660">
        <v>0</v>
      </c>
      <c r="AV31" s="84" vm="5661">
        <v>118</v>
      </c>
      <c r="AW31" s="84" vm="5662">
        <v>4430</v>
      </c>
      <c r="AX31" s="84" vm="5320">
        <v>8316</v>
      </c>
      <c r="AY31" s="3">
        <f xml:space="preserve"> - SUM( VfM_Metrics_2023_Consol[[#This Row],[Interest capitalised]], VfM_Metrics_2023_Consol[[#This Row],[Interest payable and financing costs]] )</f>
        <v>8447</v>
      </c>
      <c r="AZ31" s="84" vm="7250">
        <v>-414</v>
      </c>
      <c r="BA31" s="83" vm="6911">
        <v>-8033</v>
      </c>
      <c r="BB31" s="8">
        <f xml:space="preserve"> IFERROR( ( VfM_Metrics_2023_Consol[[#This Row],[Total Costs]] / VfM_Metrics_2023_Consol[[#This Row],[Total units for costs]] ) * 1000, "n/a" )</f>
        <v>4633.7139423076924</v>
      </c>
      <c r="BC3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30842</v>
      </c>
      <c r="BD31" s="84" vm="5663">
        <v>1457</v>
      </c>
      <c r="BE31" s="83" vm="5664">
        <v>3402</v>
      </c>
      <c r="BF31" s="83" vm="5665">
        <v>9360</v>
      </c>
      <c r="BG31" s="83" vm="5666">
        <v>591</v>
      </c>
      <c r="BH31" s="83" vm="5667">
        <v>5704</v>
      </c>
      <c r="BI31" s="83" vm="5668">
        <v>0</v>
      </c>
      <c r="BJ31" s="83" vm="7280">
        <v>4430</v>
      </c>
      <c r="BK31" s="83" vm="5669">
        <v>0</v>
      </c>
      <c r="BL31" s="83" vm="5670">
        <v>1612</v>
      </c>
      <c r="BM31" s="83" vm="5671">
        <v>107</v>
      </c>
      <c r="BN31" s="83" vm="5672">
        <v>1782</v>
      </c>
      <c r="BO31" s="83" vm="5673">
        <v>2397</v>
      </c>
      <c r="BP31" s="5" vm="5643">
        <f xml:space="preserve"> VfM_Metrics_2023_Consol[[#This Row],[Total social housing units owned and/or managed at period end]]</f>
        <v>6656</v>
      </c>
      <c r="BQ31" s="84" vm="5643">
        <v>6656</v>
      </c>
      <c r="BR31" s="7">
        <f xml:space="preserve"> IFERROR( VfM_Metrics_2023_Consol[[#This Row],[SHL operating surplus / (deficit)]] / VfM_Metrics_2023_Consol[[#This Row],[Turnover from social housing lettings]], "n/a" )</f>
        <v>0.2107843137254902</v>
      </c>
      <c r="BS31" s="5" vm="5674">
        <f xml:space="preserve"> VfM_Metrics_2023_Consol[[#This Row],[Operating surplus/(deficit) (social housing lettings)]]</f>
        <v>7568</v>
      </c>
      <c r="BT31" s="84" vm="5674">
        <v>7568</v>
      </c>
      <c r="BU31" s="5" vm="5675">
        <f xml:space="preserve"> VfM_Metrics_2023_Consol[[#This Row],[Turnover from social housing lettings]]</f>
        <v>35904</v>
      </c>
      <c r="BV31" s="84" vm="5675">
        <v>35904</v>
      </c>
      <c r="BW31" s="7">
        <f xml:space="preserve"> IFERROR( VfM_Metrics_2023_Consol[[#This Row],[Net operating surplus]] / VfM_Metrics_2023_Consol[[#This Row],[Overall turnover]], "n/a" )</f>
        <v>0.169469510527755</v>
      </c>
      <c r="BX31" s="5">
        <f xml:space="preserve"> SUM( VfM_Metrics_2023_Consol[[#This Row],[Operating surplus/(deficit) (overall)2]], - VfM_Metrics_2023_Consol[[#This Row],[Gain/(loss) on disposal of fixed assets (housing properties)2]], - VfM_Metrics_2023_Consol[[#This Row],[Gain/(loss) on disposal of fixed assets (other)2]] )</f>
        <v>7437</v>
      </c>
      <c r="BY31" s="84" vm="6939">
        <v>7923</v>
      </c>
      <c r="BZ31" s="83" vm="5658">
        <v>486</v>
      </c>
      <c r="CA31" s="83">
        <v>0</v>
      </c>
      <c r="CB31" s="5" vm="6910">
        <f xml:space="preserve"> VfM_Metrics_2023_Consol[[#This Row],[Turnover (overall)]]</f>
        <v>43884</v>
      </c>
      <c r="CC31" s="84" vm="6910">
        <v>43884</v>
      </c>
      <c r="CD31" s="7">
        <f xml:space="preserve"> IFERROR( VfM_Metrics_2023_Consol[[#This Row],[Operating surplus including from JVs]] / VfM_Metrics_2023_Consol[[#This Row],[Net assets]], "n/a" )</f>
        <v>2.0999427505194859E-2</v>
      </c>
      <c r="CE31" s="5">
        <f xml:space="preserve"> SUM( VfM_Metrics_2023_Consol[[#This Row],[Operating surplus/(deficit) (overall)3]], VfM_Metrics_2023_Consol[[#This Row],[Share of operating surplus/(deficit) in joint ventures or associates]] )</f>
        <v>7923</v>
      </c>
      <c r="CF31" s="84" vm="5657">
        <v>7923</v>
      </c>
      <c r="CG31" s="83">
        <v>0</v>
      </c>
      <c r="CH31" s="5" vm="5676">
        <f xml:space="preserve"> VfM_Metrics_2023_Consol[[#This Row],[Total assets less current liabilities]]</f>
        <v>377296</v>
      </c>
      <c r="CI31" s="84" vm="5676">
        <v>377296</v>
      </c>
      <c r="CJ31" s="71" vm="7248">
        <f xml:space="preserve"> VfM_Metrics_2023_Consol[[#This Row],[Total social housing units owned (Period end)]]</f>
        <v>6656</v>
      </c>
      <c r="CK31" s="103">
        <v>3.896103896103896E-2</v>
      </c>
      <c r="CL31" s="6">
        <f xml:space="preserve"> -- ( VfM_Metrics_2023_Consol[[#This Row],[% Supported housing (excl. HOP)]] &gt; 0.3 )</f>
        <v>0</v>
      </c>
      <c r="CM31" s="103">
        <v>0</v>
      </c>
      <c r="CN31" s="6">
        <f xml:space="preserve"> -- ( VfM_Metrics_2023_Consol[[#This Row],[% Housing for older people]] &gt; 0.3 )</f>
        <v>0</v>
      </c>
      <c r="CO31" s="103">
        <f xml:space="preserve"> VfM_Metrics_2023_Consol[[#This Row],[% Supported housing (excl. HOP)]] + VfM_Metrics_2023_Consol[[#This Row],[% Housing for older people]]</f>
        <v>3.896103896103896E-2</v>
      </c>
      <c r="CP31" s="6">
        <f xml:space="preserve"> -- ( VfM_Metrics_2023_Consol[[#This Row],[SH specialist in RSH analysis]] + VfM_Metrics_2023_Consol[[#This Row],[OP specialist in RSH analysis]] &gt; 0 )</f>
        <v>0</v>
      </c>
      <c r="CQ31" s="10">
        <f xml:space="preserve"> -- ( VfM_Metrics_2023_Consol[[#This Row],[% SH and OP]] &gt; 0.3 )</f>
        <v>0</v>
      </c>
      <c r="CR31" s="104" t="s">
        <v>143</v>
      </c>
      <c r="CS31" s="124"/>
      <c r="CT31" s="105" t="s">
        <v>151</v>
      </c>
      <c r="CU3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31" s="85">
        <v>0</v>
      </c>
      <c r="CW31" s="85">
        <v>0</v>
      </c>
      <c r="CX31" s="85">
        <v>0</v>
      </c>
      <c r="CY31" s="85">
        <v>0</v>
      </c>
      <c r="CZ31" s="85">
        <v>0</v>
      </c>
      <c r="DA31" s="85">
        <v>0</v>
      </c>
      <c r="DB31" s="85">
        <v>4.9586776859504135E-3</v>
      </c>
      <c r="DC31" s="85">
        <v>0</v>
      </c>
      <c r="DD31" s="85">
        <v>0.99504132231404963</v>
      </c>
      <c r="DE31" s="13">
        <v>0.94440256806946365</v>
      </c>
    </row>
    <row r="32" spans="1:109" x14ac:dyDescent="0.25">
      <c r="A32" s="4" t="s" vm="391">
        <v>188</v>
      </c>
      <c r="B32" s="2" t="s" vm="22">
        <v>189</v>
      </c>
      <c r="C32" s="72" vm="528">
        <v>45016</v>
      </c>
      <c r="D32" s="7">
        <f>IFERROR( VfM_Metrics_2023_Consol[[#This Row],[Reinvestment Spend]] / VfM_Metrics_2023_Consol[[#This Row],[Net Book Value of Housing Properties]], "n/a" )</f>
        <v>6.7561674557687509E-2</v>
      </c>
      <c r="E3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23859</v>
      </c>
      <c r="F32" s="83" vm="6626">
        <v>13488</v>
      </c>
      <c r="G32" s="83" vm="6627">
        <v>5445</v>
      </c>
      <c r="H32" s="83" vm="6628">
        <v>4214</v>
      </c>
      <c r="I32" s="83" vm="3149">
        <v>712</v>
      </c>
      <c r="J32" s="83" vm="6629">
        <v>0</v>
      </c>
      <c r="K32" s="5">
        <f xml:space="preserve"> SUM( VfM_Metrics_2023_Consol[[#This Row],[Tangible fixed assets: Housing properties at cost (Current period)]],VfM_Metrics_2023_Consol[[#This Row],[Tangible fixed assets Housing properties at valuation (Current period)]] )</f>
        <v>353144</v>
      </c>
      <c r="L32" s="84" vm="7018">
        <v>353144</v>
      </c>
      <c r="M32" s="83">
        <v>0</v>
      </c>
      <c r="N32" s="7">
        <f xml:space="preserve"> IFERROR( VfM_Metrics_2023_Consol[[#This Row],[Total social units developed or newly built units acquired in-year]] / VfM_Metrics_2023_Consol[[#This Row],[Social housing units owned (period end)]], "n/a" )</f>
        <v>2.487382840663302E-2</v>
      </c>
      <c r="O32" s="5">
        <f xml:space="preserve"> SUM( VfM_Metrics_2023_Consol[[#This Row],[Total social units developed or newly built units acquired in-year (owned)]], VfM_Metrics_2023_Consol[[#This Row],[Total social leasehold units developed or newly built units acquired in-year (owned)]] )</f>
        <v>138</v>
      </c>
      <c r="P32" s="84" vm="6631">
        <v>138</v>
      </c>
      <c r="Q32" s="83">
        <v>0</v>
      </c>
      <c r="R32" s="5">
        <f xml:space="preserve"> SUM( VfM_Metrics_2023_Consol[[#This Row],[Total social housing units owned (Period end)]], VfM_Metrics_2023_Consol[[#This Row],[Total social leasehold units owned (Period end)]] )</f>
        <v>5548</v>
      </c>
      <c r="S32" s="84" vm="6624">
        <v>5548</v>
      </c>
      <c r="T32" s="83" vm="6632">
        <v>0</v>
      </c>
      <c r="U32" s="86">
        <f xml:space="preserve"> IFERROR( VfM_Metrics_2023_Consol[[#This Row],[Total non-social housing units developed or newly built units acquired (owned)]] / VfM_Metrics_2023_Consol[[#This Row],[Total social and non-social housing units owned (Period end)]], "n/a" )</f>
        <v>1.0741138560687433E-2</v>
      </c>
      <c r="V3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60</v>
      </c>
      <c r="W32" s="83">
        <v>0</v>
      </c>
      <c r="X32" s="83">
        <v>0</v>
      </c>
      <c r="Y32" s="83" vm="6633">
        <v>60</v>
      </c>
      <c r="Z3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5586</v>
      </c>
      <c r="AA32" s="84" vm="6624">
        <v>5548</v>
      </c>
      <c r="AB32" s="83" vm="6632">
        <v>0</v>
      </c>
      <c r="AC32" s="83" vm="6634">
        <v>25</v>
      </c>
      <c r="AD32" s="83" vm="6635">
        <v>13</v>
      </c>
      <c r="AE32" s="7">
        <f xml:space="preserve"> IFERROR( VfM_Metrics_2023_Consol[[#This Row],[Total Net Debt]] / VfM_Metrics_2023_Consol[[#This Row],[Net Book Value of Housing Properties2]], "n/a" )</f>
        <v>0.57788607480234688</v>
      </c>
      <c r="AF3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204077</v>
      </c>
      <c r="AG32" s="84" vm="6936">
        <v>6148</v>
      </c>
      <c r="AH32" s="83" vm="6636">
        <v>202379</v>
      </c>
      <c r="AI32" s="83" vm="6637">
        <v>4450</v>
      </c>
      <c r="AJ32" s="83" vm="1675">
        <v>0</v>
      </c>
      <c r="AK32" s="83">
        <v>0</v>
      </c>
      <c r="AL32" s="5">
        <f xml:space="preserve"> SUM( VfM_Metrics_2023_Consol[[#This Row],[Tangible fixed assets: Housing properties at cost (Current period)2]], VfM_Metrics_2023_Consol[[#This Row],[Tangible fixed assets Housing properties at valuation (Current period)2]] )</f>
        <v>353144</v>
      </c>
      <c r="AM32" s="84" vm="6630">
        <v>353144</v>
      </c>
      <c r="AN32" s="83">
        <v>0</v>
      </c>
      <c r="AO32" s="87">
        <f xml:space="preserve"> IFERROR( VfM_Metrics_2023_Consol[[#This Row],[EBITDA MRI]] / VfM_Metrics_2023_Consol[[#This Row],[Total interest]], "n/a" )</f>
        <v>1.1123926380368099</v>
      </c>
      <c r="AP3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9066</v>
      </c>
      <c r="AQ32" s="84" vm="6639">
        <v>8835</v>
      </c>
      <c r="AR32" s="84" vm="6640">
        <v>125</v>
      </c>
      <c r="AS32" s="84" vm="6641">
        <v>0</v>
      </c>
      <c r="AT32" s="84" vm="6642">
        <v>1006</v>
      </c>
      <c r="AU32" s="84" vm="6643">
        <v>0</v>
      </c>
      <c r="AV32" s="84" vm="6644">
        <v>41</v>
      </c>
      <c r="AW32" s="84" vm="7266">
        <v>4214</v>
      </c>
      <c r="AX32" s="84" vm="6646">
        <v>5535</v>
      </c>
      <c r="AY32" s="3">
        <f xml:space="preserve"> - SUM( VfM_Metrics_2023_Consol[[#This Row],[Interest capitalised]], VfM_Metrics_2023_Consol[[#This Row],[Interest payable and financing costs]] )</f>
        <v>8150</v>
      </c>
      <c r="AZ32" s="84" vm="6647">
        <v>-712</v>
      </c>
      <c r="BA32" s="83" vm="6648">
        <v>-7438</v>
      </c>
      <c r="BB32" s="8">
        <f xml:space="preserve"> IFERROR( ( VfM_Metrics_2023_Consol[[#This Row],[Total Costs]] / VfM_Metrics_2023_Consol[[#This Row],[Total units for costs]] ) * 1000, "n/a" )</f>
        <v>3805.2816901408451</v>
      </c>
      <c r="BC3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21614</v>
      </c>
      <c r="BD32" s="84" vm="6405">
        <v>5237</v>
      </c>
      <c r="BE32" s="83" vm="6649">
        <v>3194</v>
      </c>
      <c r="BF32" s="83" vm="6650">
        <v>4745</v>
      </c>
      <c r="BG32" s="83" vm="6651">
        <v>2098</v>
      </c>
      <c r="BH32" s="83" vm="6652">
        <v>1808</v>
      </c>
      <c r="BI32" s="83" vm="6653">
        <v>0</v>
      </c>
      <c r="BJ32" s="83" vm="6645">
        <v>4214</v>
      </c>
      <c r="BK32" s="83" vm="6654">
        <v>0</v>
      </c>
      <c r="BL32" s="83" vm="7017">
        <v>227</v>
      </c>
      <c r="BM32" s="83">
        <v>0</v>
      </c>
      <c r="BN32" s="83" vm="6655">
        <v>61</v>
      </c>
      <c r="BO32" s="83" vm="6656">
        <v>30</v>
      </c>
      <c r="BP32" s="5" vm="6625">
        <f xml:space="preserve"> VfM_Metrics_2023_Consol[[#This Row],[Total social housing units owned and/or managed at period end]]</f>
        <v>5680</v>
      </c>
      <c r="BQ32" s="84" vm="6625">
        <v>5680</v>
      </c>
      <c r="BR32" s="7">
        <f xml:space="preserve"> IFERROR( VfM_Metrics_2023_Consol[[#This Row],[SHL operating surplus / (deficit)]] / VfM_Metrics_2023_Consol[[#This Row],[Turnover from social housing lettings]], "n/a" )</f>
        <v>0.24737756397407631</v>
      </c>
      <c r="BS32" s="5" vm="6657">
        <f xml:space="preserve"> VfM_Metrics_2023_Consol[[#This Row],[Operating surplus/(deficit) (social housing lettings)]]</f>
        <v>7405</v>
      </c>
      <c r="BT32" s="84" vm="6657">
        <v>7405</v>
      </c>
      <c r="BU32" s="5" vm="6658">
        <f xml:space="preserve"> VfM_Metrics_2023_Consol[[#This Row],[Turnover from social housing lettings]]</f>
        <v>29934</v>
      </c>
      <c r="BV32" s="84" vm="6658">
        <v>29934</v>
      </c>
      <c r="BW32" s="7">
        <f xml:space="preserve"> IFERROR( VfM_Metrics_2023_Consol[[#This Row],[Net operating surplus]] / VfM_Metrics_2023_Consol[[#This Row],[Overall turnover]], "n/a" )</f>
        <v>0.24493124490312421</v>
      </c>
      <c r="BX32" s="5">
        <f xml:space="preserve"> SUM( VfM_Metrics_2023_Consol[[#This Row],[Operating surplus/(deficit) (overall)2]], - VfM_Metrics_2023_Consol[[#This Row],[Gain/(loss) on disposal of fixed assets (housing properties)2]], - VfM_Metrics_2023_Consol[[#This Row],[Gain/(loss) on disposal of fixed assets (other)2]] )</f>
        <v>8710</v>
      </c>
      <c r="BY32" s="84" vm="6639">
        <v>8835</v>
      </c>
      <c r="BZ32" s="83" vm="6640">
        <v>125</v>
      </c>
      <c r="CA32" s="83" vm="6641">
        <v>0</v>
      </c>
      <c r="CB32" s="5" vm="6659">
        <f xml:space="preserve"> VfM_Metrics_2023_Consol[[#This Row],[Turnover (overall)]]</f>
        <v>35561</v>
      </c>
      <c r="CC32" s="84" vm="6659">
        <v>35561</v>
      </c>
      <c r="CD32" s="7">
        <f xml:space="preserve"> IFERROR( VfM_Metrics_2023_Consol[[#This Row],[Operating surplus including from JVs]] / VfM_Metrics_2023_Consol[[#This Row],[Net assets]], "n/a" )</f>
        <v>2.4111675126903553E-2</v>
      </c>
      <c r="CE32" s="5">
        <f xml:space="preserve"> SUM( VfM_Metrics_2023_Consol[[#This Row],[Operating surplus/(deficit) (overall)3]], VfM_Metrics_2023_Consol[[#This Row],[Share of operating surplus/(deficit) in joint ventures or associates]] )</f>
        <v>8835</v>
      </c>
      <c r="CF32" s="84" vm="6356">
        <v>8835</v>
      </c>
      <c r="CG32" s="83">
        <v>0</v>
      </c>
      <c r="CH32" s="5" vm="6660">
        <f xml:space="preserve"> VfM_Metrics_2023_Consol[[#This Row],[Total assets less current liabilities]]</f>
        <v>366420</v>
      </c>
      <c r="CI32" s="84" vm="6660">
        <v>366420</v>
      </c>
      <c r="CJ32" s="71" vm="6624">
        <f xml:space="preserve"> VfM_Metrics_2023_Consol[[#This Row],[Total social housing units owned (Period end)]]</f>
        <v>5548</v>
      </c>
      <c r="CK32" s="103">
        <v>2.6918879592579121E-2</v>
      </c>
      <c r="CL32" s="6">
        <f xml:space="preserve"> -- ( VfM_Metrics_2023_Consol[[#This Row],[% Supported housing (excl. HOP)]] &gt; 0.3 )</f>
        <v>0</v>
      </c>
      <c r="CM32" s="103">
        <v>0.10894870862131684</v>
      </c>
      <c r="CN32" s="6">
        <f xml:space="preserve"> -- ( VfM_Metrics_2023_Consol[[#This Row],[% Housing for older people]] &gt; 0.3 )</f>
        <v>0</v>
      </c>
      <c r="CO32" s="103">
        <f xml:space="preserve"> VfM_Metrics_2023_Consol[[#This Row],[% Supported housing (excl. HOP)]] + VfM_Metrics_2023_Consol[[#This Row],[% Housing for older people]]</f>
        <v>0.13586758821389597</v>
      </c>
      <c r="CP32" s="6">
        <f xml:space="preserve"> -- ( VfM_Metrics_2023_Consol[[#This Row],[SH specialist in RSH analysis]] + VfM_Metrics_2023_Consol[[#This Row],[OP specialist in RSH analysis]] &gt; 0 )</f>
        <v>0</v>
      </c>
      <c r="CQ32" s="10">
        <f xml:space="preserve"> -- ( VfM_Metrics_2023_Consol[[#This Row],[% SH and OP]] &gt; 0.3 )</f>
        <v>0</v>
      </c>
      <c r="CR32" s="104" t="s">
        <v>143</v>
      </c>
      <c r="CS32" s="124" t="s">
        <v>144</v>
      </c>
      <c r="CT32" s="105"/>
      <c r="CU3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32" s="85">
        <v>0</v>
      </c>
      <c r="CW32" s="85">
        <v>0</v>
      </c>
      <c r="CX32" s="85">
        <v>0</v>
      </c>
      <c r="CY32" s="85">
        <v>0</v>
      </c>
      <c r="CZ32" s="85">
        <v>0</v>
      </c>
      <c r="DA32" s="85">
        <v>1</v>
      </c>
      <c r="DB32" s="85">
        <v>0</v>
      </c>
      <c r="DC32" s="85">
        <v>0</v>
      </c>
      <c r="DD32" s="85">
        <v>0</v>
      </c>
      <c r="DE32" s="13">
        <v>1.0113701298544711</v>
      </c>
    </row>
    <row r="33" spans="1:109" x14ac:dyDescent="0.25">
      <c r="A33" s="4" t="s" vm="263">
        <v>190</v>
      </c>
      <c r="B33" s="2" t="s" vm="23">
        <v>191</v>
      </c>
      <c r="C33" s="72" vm="423">
        <v>45016</v>
      </c>
      <c r="D33" s="7">
        <f>IFERROR( VfM_Metrics_2023_Consol[[#This Row],[Reinvestment Spend]] / VfM_Metrics_2023_Consol[[#This Row],[Net Book Value of Housing Properties]], "n/a" )</f>
        <v>8.8339775669742729E-2</v>
      </c>
      <c r="E3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243829</v>
      </c>
      <c r="F33" s="83" vm="7100">
        <v>197576</v>
      </c>
      <c r="G33" s="83" vm="2115">
        <v>0</v>
      </c>
      <c r="H33" s="83" vm="7900">
        <v>42788</v>
      </c>
      <c r="I33" s="83" vm="2116">
        <v>3465</v>
      </c>
      <c r="J33" s="83" vm="2117">
        <v>0</v>
      </c>
      <c r="K33" s="5">
        <f xml:space="preserve"> SUM( VfM_Metrics_2023_Consol[[#This Row],[Tangible fixed assets: Housing properties at cost (Current period)]],VfM_Metrics_2023_Consol[[#This Row],[Tangible fixed assets Housing properties at valuation (Current period)]] )</f>
        <v>2760127</v>
      </c>
      <c r="L33" s="84" vm="7993">
        <v>2760127</v>
      </c>
      <c r="M33" s="83">
        <v>0</v>
      </c>
      <c r="N33" s="7">
        <f xml:space="preserve"> IFERROR( VfM_Metrics_2023_Consol[[#This Row],[Total social units developed or newly built units acquired in-year]] / VfM_Metrics_2023_Consol[[#This Row],[Social housing units owned (period end)]], "n/a" )</f>
        <v>2.8329942087963689E-2</v>
      </c>
      <c r="O33" s="5">
        <f xml:space="preserve"> SUM( VfM_Metrics_2023_Consol[[#This Row],[Total social units developed or newly built units acquired in-year (owned)]], VfM_Metrics_2023_Consol[[#This Row],[Total social leasehold units developed or newly built units acquired in-year (owned)]] )</f>
        <v>1267</v>
      </c>
      <c r="P33" s="84" vm="2119">
        <v>1267</v>
      </c>
      <c r="Q33" s="83">
        <v>0</v>
      </c>
      <c r="R33" s="5">
        <f xml:space="preserve"> SUM( VfM_Metrics_2023_Consol[[#This Row],[Total social housing units owned (Period end)]], VfM_Metrics_2023_Consol[[#This Row],[Total social leasehold units owned (Period end)]] )</f>
        <v>44723</v>
      </c>
      <c r="S33" s="84" vm="2114">
        <v>42808</v>
      </c>
      <c r="T33" s="83" vm="2120">
        <v>1915</v>
      </c>
      <c r="U33" s="86">
        <f xml:space="preserve"> IFERROR( VfM_Metrics_2023_Consol[[#This Row],[Total non-social housing units developed or newly built units acquired (owned)]] / VfM_Metrics_2023_Consol[[#This Row],[Total social and non-social housing units owned (Period end)]], "n/a" )</f>
        <v>0</v>
      </c>
      <c r="V3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33" s="83">
        <v>0</v>
      </c>
      <c r="X33" s="83">
        <v>0</v>
      </c>
      <c r="Y33" s="83" vm="8123">
        <v>0</v>
      </c>
      <c r="Z3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44902</v>
      </c>
      <c r="AA33" s="84" vm="2114">
        <v>42808</v>
      </c>
      <c r="AB33" s="83" vm="2120">
        <v>1915</v>
      </c>
      <c r="AC33" s="83" vm="2121">
        <v>179</v>
      </c>
      <c r="AD33" s="83" vm="2122">
        <v>0</v>
      </c>
      <c r="AE33" s="7">
        <f xml:space="preserve"> IFERROR( VfM_Metrics_2023_Consol[[#This Row],[Total Net Debt]] / VfM_Metrics_2023_Consol[[#This Row],[Net Book Value of Housing Properties2]], "n/a" )</f>
        <v>0.46379894838172303</v>
      </c>
      <c r="AF3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1280144</v>
      </c>
      <c r="AG33" s="84" vm="4196">
        <v>15161</v>
      </c>
      <c r="AH33" s="83" vm="2123">
        <v>1390674</v>
      </c>
      <c r="AI33" s="83" vm="2124">
        <v>125691</v>
      </c>
      <c r="AJ33" s="83" vm="1675">
        <v>0</v>
      </c>
      <c r="AK33" s="83">
        <v>0</v>
      </c>
      <c r="AL33" s="5">
        <f xml:space="preserve"> SUM( VfM_Metrics_2023_Consol[[#This Row],[Tangible fixed assets: Housing properties at cost (Current period)2]], VfM_Metrics_2023_Consol[[#This Row],[Tangible fixed assets Housing properties at valuation (Current period)2]] )</f>
        <v>2760127</v>
      </c>
      <c r="AM33" s="84" vm="2118">
        <v>2760127</v>
      </c>
      <c r="AN33" s="83">
        <v>0</v>
      </c>
      <c r="AO33" s="87">
        <f xml:space="preserve"> IFERROR( VfM_Metrics_2023_Consol[[#This Row],[EBITDA MRI]] / VfM_Metrics_2023_Consol[[#This Row],[Total interest]], "n/a" )</f>
        <v>1.8740396530359356</v>
      </c>
      <c r="AP3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90741</v>
      </c>
      <c r="AQ33" s="84" vm="2125">
        <v>106384</v>
      </c>
      <c r="AR33" s="84" vm="2126">
        <v>15242</v>
      </c>
      <c r="AS33" s="84">
        <v>0</v>
      </c>
      <c r="AT33" s="84" vm="2127">
        <v>4668</v>
      </c>
      <c r="AU33" s="84" vm="2128">
        <v>0</v>
      </c>
      <c r="AV33" s="84" vm="2129">
        <v>2242</v>
      </c>
      <c r="AW33" s="84" vm="2987">
        <v>42788</v>
      </c>
      <c r="AX33" s="84" vm="7635">
        <v>44813</v>
      </c>
      <c r="AY33" s="3">
        <f xml:space="preserve"> - SUM( VfM_Metrics_2023_Consol[[#This Row],[Interest capitalised]], VfM_Metrics_2023_Consol[[#This Row],[Interest payable and financing costs]] )</f>
        <v>48420</v>
      </c>
      <c r="AZ33" s="84" vm="2130">
        <v>-4182</v>
      </c>
      <c r="BA33" s="83" vm="4206">
        <v>-44238</v>
      </c>
      <c r="BB33" s="8">
        <f xml:space="preserve"> IFERROR( ( VfM_Metrics_2023_Consol[[#This Row],[Total Costs]] / VfM_Metrics_2023_Consol[[#This Row],[Total units for costs]] ) * 1000, "n/a" )</f>
        <v>3950.0638125072514</v>
      </c>
      <c r="BC3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170228</v>
      </c>
      <c r="BD33" s="84" vm="2131">
        <v>41417</v>
      </c>
      <c r="BE33" s="83" vm="2132">
        <v>20265</v>
      </c>
      <c r="BF33" s="83" vm="8087">
        <v>33294</v>
      </c>
      <c r="BG33" s="83" vm="4020">
        <v>13739</v>
      </c>
      <c r="BH33" s="83" vm="2134">
        <v>12825</v>
      </c>
      <c r="BI33" s="83" vm="2135">
        <v>0</v>
      </c>
      <c r="BJ33" s="83" vm="7773">
        <v>42788</v>
      </c>
      <c r="BK33" s="83" vm="7634">
        <v>0</v>
      </c>
      <c r="BL33" s="83" vm="2136">
        <v>3098</v>
      </c>
      <c r="BM33" s="83">
        <v>0</v>
      </c>
      <c r="BN33" s="83" vm="2137">
        <v>1793</v>
      </c>
      <c r="BO33" s="83" vm="2138">
        <v>1009</v>
      </c>
      <c r="BP33" s="5" vm="7772">
        <f xml:space="preserve"> VfM_Metrics_2023_Consol[[#This Row],[Total social housing units owned and/or managed at period end]]</f>
        <v>43095</v>
      </c>
      <c r="BQ33" s="84" vm="7772">
        <v>43095</v>
      </c>
      <c r="BR33" s="7">
        <f xml:space="preserve"> IFERROR( VfM_Metrics_2023_Consol[[#This Row],[SHL operating surplus / (deficit)]] / VfM_Metrics_2023_Consol[[#This Row],[Turnover from social housing lettings]], "n/a" )</f>
        <v>0.3350845784462998</v>
      </c>
      <c r="BS33" s="5" vm="2139">
        <f xml:space="preserve"> VfM_Metrics_2023_Consol[[#This Row],[Operating surplus/(deficit) (social housing lettings)]]</f>
        <v>80108</v>
      </c>
      <c r="BT33" s="84" vm="2139">
        <v>80108</v>
      </c>
      <c r="BU33" s="5" vm="2140">
        <f xml:space="preserve"> VfM_Metrics_2023_Consol[[#This Row],[Turnover from social housing lettings]]</f>
        <v>239068</v>
      </c>
      <c r="BV33" s="84" vm="2140">
        <v>239068</v>
      </c>
      <c r="BW33" s="7">
        <f xml:space="preserve"> IFERROR( VfM_Metrics_2023_Consol[[#This Row],[Net operating surplus]] / VfM_Metrics_2023_Consol[[#This Row],[Overall turnover]], "n/a" )</f>
        <v>0.31442913080227003</v>
      </c>
      <c r="BX33" s="5">
        <f xml:space="preserve"> SUM( VfM_Metrics_2023_Consol[[#This Row],[Operating surplus/(deficit) (overall)2]], - VfM_Metrics_2023_Consol[[#This Row],[Gain/(loss) on disposal of fixed assets (housing properties)2]], - VfM_Metrics_2023_Consol[[#This Row],[Gain/(loss) on disposal of fixed assets (other)2]] )</f>
        <v>91142</v>
      </c>
      <c r="BY33" s="84" vm="4330">
        <v>106384</v>
      </c>
      <c r="BZ33" s="83" vm="2126">
        <v>15242</v>
      </c>
      <c r="CA33" s="83">
        <v>0</v>
      </c>
      <c r="CB33" s="5" vm="7959">
        <f xml:space="preserve"> VfM_Metrics_2023_Consol[[#This Row],[Turnover (overall)]]</f>
        <v>289865</v>
      </c>
      <c r="CC33" s="84" vm="7959">
        <v>289865</v>
      </c>
      <c r="CD33" s="7">
        <f xml:space="preserve"> IFERROR( VfM_Metrics_2023_Consol[[#This Row],[Operating surplus including from JVs]] / VfM_Metrics_2023_Consol[[#This Row],[Net assets]], "n/a" )</f>
        <v>3.554139625195691E-2</v>
      </c>
      <c r="CE33" s="5">
        <f xml:space="preserve"> SUM( VfM_Metrics_2023_Consol[[#This Row],[Operating surplus/(deficit) (overall)3]], VfM_Metrics_2023_Consol[[#This Row],[Share of operating surplus/(deficit) in joint ventures or associates]] )</f>
        <v>106384</v>
      </c>
      <c r="CF33" s="84" vm="2125">
        <v>106384</v>
      </c>
      <c r="CG33" s="83">
        <v>0</v>
      </c>
      <c r="CH33" s="5" vm="2142">
        <f xml:space="preserve"> VfM_Metrics_2023_Consol[[#This Row],[Total assets less current liabilities]]</f>
        <v>2993242</v>
      </c>
      <c r="CI33" s="84" vm="2142">
        <v>2993242</v>
      </c>
      <c r="CJ33" s="71" vm="2114">
        <f xml:space="preserve"> VfM_Metrics_2023_Consol[[#This Row],[Total social housing units owned (Period end)]]</f>
        <v>42808</v>
      </c>
      <c r="CK33" s="103">
        <v>1.9520789288231147E-2</v>
      </c>
      <c r="CL33" s="6">
        <f xml:space="preserve"> -- ( VfM_Metrics_2023_Consol[[#This Row],[% Supported housing (excl. HOP)]] &gt; 0.3 )</f>
        <v>0</v>
      </c>
      <c r="CM33" s="103">
        <v>6.0018792576932115E-2</v>
      </c>
      <c r="CN33" s="6">
        <f xml:space="preserve"> -- ( VfM_Metrics_2023_Consol[[#This Row],[% Housing for older people]] &gt; 0.3 )</f>
        <v>0</v>
      </c>
      <c r="CO33" s="103">
        <f xml:space="preserve"> VfM_Metrics_2023_Consol[[#This Row],[% Supported housing (excl. HOP)]] + VfM_Metrics_2023_Consol[[#This Row],[% Housing for older people]]</f>
        <v>7.9539581865163259E-2</v>
      </c>
      <c r="CP33" s="6">
        <f xml:space="preserve"> -- ( VfM_Metrics_2023_Consol[[#This Row],[SH specialist in RSH analysis]] + VfM_Metrics_2023_Consol[[#This Row],[OP specialist in RSH analysis]] &gt; 0 )</f>
        <v>0</v>
      </c>
      <c r="CQ33" s="10">
        <f xml:space="preserve"> -- ( VfM_Metrics_2023_Consol[[#This Row],[% SH and OP]] &gt; 0.3 )</f>
        <v>0</v>
      </c>
      <c r="CR33" s="104" t="s">
        <v>143</v>
      </c>
      <c r="CS33" s="124" t="s">
        <v>144</v>
      </c>
      <c r="CT33" s="105"/>
      <c r="CU3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33" s="85">
        <v>0</v>
      </c>
      <c r="CW33" s="85">
        <v>3.6137801734239514E-2</v>
      </c>
      <c r="CX33" s="85">
        <v>0.47932973986407312</v>
      </c>
      <c r="CY33" s="85">
        <v>2.3505976095617529E-2</v>
      </c>
      <c r="CZ33" s="85">
        <v>0.46102648230606985</v>
      </c>
      <c r="DA33" s="85">
        <v>0</v>
      </c>
      <c r="DB33" s="85">
        <v>0</v>
      </c>
      <c r="DC33" s="85">
        <v>0</v>
      </c>
      <c r="DD33" s="85">
        <v>0</v>
      </c>
      <c r="DE33" s="13">
        <v>0.97161182473697183</v>
      </c>
    </row>
    <row r="34" spans="1:109" x14ac:dyDescent="0.25">
      <c r="A34" s="4" t="s" vm="323">
        <v>192</v>
      </c>
      <c r="B34" s="2" t="s" vm="24">
        <v>193</v>
      </c>
      <c r="C34" s="72" vm="407">
        <v>45016</v>
      </c>
      <c r="D34" s="7">
        <f>IFERROR( VfM_Metrics_2023_Consol[[#This Row],[Reinvestment Spend]] / VfM_Metrics_2023_Consol[[#This Row],[Net Book Value of Housing Properties]], "n/a" )</f>
        <v>0.1026080678639112</v>
      </c>
      <c r="E3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17055</v>
      </c>
      <c r="F34" s="83" vm="4147">
        <v>7960</v>
      </c>
      <c r="G34" s="83" vm="4148">
        <v>3394</v>
      </c>
      <c r="H34" s="83" vm="7060">
        <v>5701</v>
      </c>
      <c r="I34" s="83" vm="4149">
        <v>0</v>
      </c>
      <c r="J34" s="83" vm="7532">
        <v>0</v>
      </c>
      <c r="K34" s="5">
        <f xml:space="preserve"> SUM( VfM_Metrics_2023_Consol[[#This Row],[Tangible fixed assets: Housing properties at cost (Current period)]],VfM_Metrics_2023_Consol[[#This Row],[Tangible fixed assets Housing properties at valuation (Current period)]] )</f>
        <v>166215</v>
      </c>
      <c r="L34" s="84" vm="7524">
        <v>166215</v>
      </c>
      <c r="M34" s="83" vm="7166">
        <v>0</v>
      </c>
      <c r="N34" s="7">
        <f xml:space="preserve"> IFERROR( VfM_Metrics_2023_Consol[[#This Row],[Total social units developed or newly built units acquired in-year]] / VfM_Metrics_2023_Consol[[#This Row],[Social housing units owned (period end)]], "n/a" )</f>
        <v>4.4737461737697198E-3</v>
      </c>
      <c r="O34" s="5">
        <f xml:space="preserve"> SUM( VfM_Metrics_2023_Consol[[#This Row],[Total social units developed or newly built units acquired in-year (owned)]], VfM_Metrics_2023_Consol[[#This Row],[Total social leasehold units developed or newly built units acquired in-year (owned)]] )</f>
        <v>19</v>
      </c>
      <c r="P34" s="84" vm="4152">
        <v>19</v>
      </c>
      <c r="Q34" s="83" vm="7484">
        <v>0</v>
      </c>
      <c r="R34" s="5">
        <f xml:space="preserve"> SUM( VfM_Metrics_2023_Consol[[#This Row],[Total social housing units owned (Period end)]], VfM_Metrics_2023_Consol[[#This Row],[Total social leasehold units owned (Period end)]] )</f>
        <v>4247</v>
      </c>
      <c r="S34" s="84" vm="4145">
        <v>4072</v>
      </c>
      <c r="T34" s="83" vm="4154">
        <v>175</v>
      </c>
      <c r="U34" s="86">
        <f xml:space="preserve"> IFERROR( VfM_Metrics_2023_Consol[[#This Row],[Total non-social housing units developed or newly built units acquired (owned)]] / VfM_Metrics_2023_Consol[[#This Row],[Total social and non-social housing units owned (Period end)]], "n/a" )</f>
        <v>0</v>
      </c>
      <c r="V3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34" s="83" vm="4155">
        <v>0</v>
      </c>
      <c r="X34" s="83" vm="4156">
        <v>0</v>
      </c>
      <c r="Y34" s="83" vm="4157">
        <v>0</v>
      </c>
      <c r="Z3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4334</v>
      </c>
      <c r="AA34" s="84" vm="4145">
        <v>4072</v>
      </c>
      <c r="AB34" s="83" vm="4154">
        <v>175</v>
      </c>
      <c r="AC34" s="83" vm="4158">
        <v>87</v>
      </c>
      <c r="AD34" s="83" vm="4159">
        <v>0</v>
      </c>
      <c r="AE34" s="7">
        <f xml:space="preserve"> IFERROR( VfM_Metrics_2023_Consol[[#This Row],[Total Net Debt]] / VfM_Metrics_2023_Consol[[#This Row],[Net Book Value of Housing Properties2]], "n/a" )</f>
        <v>0.49074993231657793</v>
      </c>
      <c r="AF3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81570</v>
      </c>
      <c r="AG34" s="84" vm="4160">
        <v>0</v>
      </c>
      <c r="AH34" s="83" vm="4161">
        <v>92200</v>
      </c>
      <c r="AI34" s="83" vm="7405">
        <v>10630</v>
      </c>
      <c r="AJ34" s="83" vm="4162">
        <v>0</v>
      </c>
      <c r="AK34" s="83" vm="4163">
        <v>0</v>
      </c>
      <c r="AL34" s="5">
        <f xml:space="preserve"> SUM( VfM_Metrics_2023_Consol[[#This Row],[Tangible fixed assets: Housing properties at cost (Current period)2]], VfM_Metrics_2023_Consol[[#This Row],[Tangible fixed assets Housing properties at valuation (Current period)2]] )</f>
        <v>166215</v>
      </c>
      <c r="AM34" s="84" vm="4150">
        <v>166215</v>
      </c>
      <c r="AN34" s="83" vm="4151">
        <v>0</v>
      </c>
      <c r="AO34" s="87">
        <f xml:space="preserve"> IFERROR( VfM_Metrics_2023_Consol[[#This Row],[EBITDA MRI]] / VfM_Metrics_2023_Consol[[#This Row],[Total interest]], "n/a" )</f>
        <v>1.0940241228070176</v>
      </c>
      <c r="AP3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3991</v>
      </c>
      <c r="AQ34" s="84" vm="4164">
        <v>5655</v>
      </c>
      <c r="AR34" s="84" vm="4165">
        <v>863</v>
      </c>
      <c r="AS34" s="84" vm="4166">
        <v>0</v>
      </c>
      <c r="AT34" s="84" vm="6981">
        <v>223</v>
      </c>
      <c r="AU34" s="84" vm="4167">
        <v>0</v>
      </c>
      <c r="AV34" s="84" vm="4168">
        <v>176</v>
      </c>
      <c r="AW34" s="84" vm="4169">
        <v>5701</v>
      </c>
      <c r="AX34" s="84" vm="4401">
        <v>4947</v>
      </c>
      <c r="AY34" s="3">
        <f xml:space="preserve"> - SUM( VfM_Metrics_2023_Consol[[#This Row],[Interest capitalised]], VfM_Metrics_2023_Consol[[#This Row],[Interest payable and financing costs]] )</f>
        <v>3648</v>
      </c>
      <c r="AZ34" s="84" vm="4170">
        <v>0</v>
      </c>
      <c r="BA34" s="83" vm="4171">
        <v>-3648</v>
      </c>
      <c r="BB34" s="8">
        <f xml:space="preserve"> IFERROR( ( VfM_Metrics_2023_Consol[[#This Row],[Total Costs]] / VfM_Metrics_2023_Consol[[#This Row],[Total units for costs]] ) * 1000, "n/a" )</f>
        <v>4641.9449901768176</v>
      </c>
      <c r="BC3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18902</v>
      </c>
      <c r="BD34" s="84" vm="4172">
        <v>6640</v>
      </c>
      <c r="BE34" s="83" vm="7059">
        <v>1434</v>
      </c>
      <c r="BF34" s="83" vm="4173">
        <v>3578</v>
      </c>
      <c r="BG34" s="83" vm="4174">
        <v>1108</v>
      </c>
      <c r="BH34" s="83" vm="4175">
        <v>0</v>
      </c>
      <c r="BI34" s="83" vm="4176">
        <v>0</v>
      </c>
      <c r="BJ34" s="83" vm="4169">
        <v>5701</v>
      </c>
      <c r="BK34" s="83" vm="7066">
        <v>106</v>
      </c>
      <c r="BL34" s="83" vm="4177">
        <v>0</v>
      </c>
      <c r="BM34" s="83" vm="4153">
        <v>0</v>
      </c>
      <c r="BN34" s="83" vm="4178">
        <v>335</v>
      </c>
      <c r="BO34" s="83" vm="4179">
        <v>0</v>
      </c>
      <c r="BP34" s="5" vm="4146">
        <f xml:space="preserve"> VfM_Metrics_2023_Consol[[#This Row],[Total social housing units owned and/or managed at period end]]</f>
        <v>4072</v>
      </c>
      <c r="BQ34" s="84" vm="4146">
        <v>4072</v>
      </c>
      <c r="BR34" s="7">
        <f xml:space="preserve"> IFERROR( VfM_Metrics_2023_Consol[[#This Row],[SHL operating surplus / (deficit)]] / VfM_Metrics_2023_Consol[[#This Row],[Turnover from social housing lettings]], "n/a" )</f>
        <v>0.16626862820022928</v>
      </c>
      <c r="BS34" s="5" vm="4180">
        <f xml:space="preserve"> VfM_Metrics_2023_Consol[[#This Row],[Operating surplus/(deficit) (social housing lettings)]]</f>
        <v>3481</v>
      </c>
      <c r="BT34" s="84" vm="4180">
        <v>3481</v>
      </c>
      <c r="BU34" s="5" vm="7544">
        <f xml:space="preserve"> VfM_Metrics_2023_Consol[[#This Row],[Turnover from social housing lettings]]</f>
        <v>20936</v>
      </c>
      <c r="BV34" s="84" vm="7544">
        <v>20936</v>
      </c>
      <c r="BW34" s="7">
        <f xml:space="preserve"> IFERROR( VfM_Metrics_2023_Consol[[#This Row],[Net operating surplus]] / VfM_Metrics_2023_Consol[[#This Row],[Overall turnover]], "n/a" )</f>
        <v>0.20164106879865348</v>
      </c>
      <c r="BX34" s="5">
        <f xml:space="preserve"> SUM( VfM_Metrics_2023_Consol[[#This Row],[Operating surplus/(deficit) (overall)2]], - VfM_Metrics_2023_Consol[[#This Row],[Gain/(loss) on disposal of fixed assets (housing properties)2]], - VfM_Metrics_2023_Consol[[#This Row],[Gain/(loss) on disposal of fixed assets (other)2]] )</f>
        <v>4792</v>
      </c>
      <c r="BY34" s="84" vm="4164">
        <v>5655</v>
      </c>
      <c r="BZ34" s="83" vm="4165">
        <v>863</v>
      </c>
      <c r="CA34" s="83" vm="4166">
        <v>0</v>
      </c>
      <c r="CB34" s="5" vm="4181">
        <f xml:space="preserve"> VfM_Metrics_2023_Consol[[#This Row],[Turnover (overall)]]</f>
        <v>23765</v>
      </c>
      <c r="CC34" s="84" vm="4181">
        <v>23765</v>
      </c>
      <c r="CD34" s="7">
        <f xml:space="preserve"> IFERROR( VfM_Metrics_2023_Consol[[#This Row],[Operating surplus including from JVs]] / VfM_Metrics_2023_Consol[[#This Row],[Net assets]], "n/a" )</f>
        <v>2.961523757652567E-2</v>
      </c>
      <c r="CE34" s="5">
        <f xml:space="preserve"> SUM( VfM_Metrics_2023_Consol[[#This Row],[Operating surplus/(deficit) (overall)3]], VfM_Metrics_2023_Consol[[#This Row],[Share of operating surplus/(deficit) in joint ventures or associates]] )</f>
        <v>5655</v>
      </c>
      <c r="CF34" s="84" vm="4164">
        <v>5655</v>
      </c>
      <c r="CG34" s="83" vm="4183">
        <v>0</v>
      </c>
      <c r="CH34" s="5" vm="4182">
        <f xml:space="preserve"> VfM_Metrics_2023_Consol[[#This Row],[Total assets less current liabilities]]</f>
        <v>190949</v>
      </c>
      <c r="CI34" s="84" vm="4182">
        <v>190949</v>
      </c>
      <c r="CJ34" s="71" vm="4145">
        <f xml:space="preserve"> VfM_Metrics_2023_Consol[[#This Row],[Total social housing units owned (Period end)]]</f>
        <v>4072</v>
      </c>
      <c r="CK34" s="103">
        <v>7.5150300601202404E-4</v>
      </c>
      <c r="CL34" s="6">
        <f xml:space="preserve"> -- ( VfM_Metrics_2023_Consol[[#This Row],[% Supported housing (excl. HOP)]] &gt; 0.3 )</f>
        <v>0</v>
      </c>
      <c r="CM34" s="103">
        <v>0.22870741482965931</v>
      </c>
      <c r="CN34" s="6">
        <f xml:space="preserve"> -- ( VfM_Metrics_2023_Consol[[#This Row],[% Housing for older people]] &gt; 0.3 )</f>
        <v>0</v>
      </c>
      <c r="CO34" s="103">
        <f xml:space="preserve"> VfM_Metrics_2023_Consol[[#This Row],[% Supported housing (excl. HOP)]] + VfM_Metrics_2023_Consol[[#This Row],[% Housing for older people]]</f>
        <v>0.22945891783567132</v>
      </c>
      <c r="CP34" s="6">
        <f xml:space="preserve"> -- ( VfM_Metrics_2023_Consol[[#This Row],[SH specialist in RSH analysis]] + VfM_Metrics_2023_Consol[[#This Row],[OP specialist in RSH analysis]] &gt; 0 )</f>
        <v>0</v>
      </c>
      <c r="CQ34" s="10">
        <f xml:space="preserve"> -- ( VfM_Metrics_2023_Consol[[#This Row],[% SH and OP]] &gt; 0.3 )</f>
        <v>0</v>
      </c>
      <c r="CR34" s="104" t="s">
        <v>143</v>
      </c>
      <c r="CS34" s="124"/>
      <c r="CT34" s="105" t="s">
        <v>151</v>
      </c>
      <c r="CU3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34" s="85">
        <v>0</v>
      </c>
      <c r="CW34" s="85">
        <v>0</v>
      </c>
      <c r="CX34" s="85">
        <v>0</v>
      </c>
      <c r="CY34" s="85">
        <v>0</v>
      </c>
      <c r="CZ34" s="85">
        <v>1</v>
      </c>
      <c r="DA34" s="85">
        <v>0</v>
      </c>
      <c r="DB34" s="85">
        <v>0</v>
      </c>
      <c r="DC34" s="85">
        <v>0</v>
      </c>
      <c r="DD34" s="85">
        <v>0</v>
      </c>
      <c r="DE34" s="13">
        <v>0.96459033333600952</v>
      </c>
    </row>
    <row r="35" spans="1:109" x14ac:dyDescent="0.25">
      <c r="A35" s="4" t="s" vm="211">
        <v>194</v>
      </c>
      <c r="B35" s="2" t="s" vm="25">
        <v>195</v>
      </c>
      <c r="C35" s="72" vm="404">
        <v>45016</v>
      </c>
      <c r="D35" s="7">
        <f>IFERROR( VfM_Metrics_2023_Consol[[#This Row],[Reinvestment Spend]] / VfM_Metrics_2023_Consol[[#This Row],[Net Book Value of Housing Properties]], "n/a" )</f>
        <v>1.8979877644283924E-2</v>
      </c>
      <c r="E3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1030</v>
      </c>
      <c r="F35" s="83" vm="827">
        <v>0</v>
      </c>
      <c r="G35" s="83" vm="8948">
        <v>0</v>
      </c>
      <c r="H35" s="83" vm="828">
        <v>1030</v>
      </c>
      <c r="I35" s="83" vm="829">
        <v>0</v>
      </c>
      <c r="J35" s="83" vm="9142">
        <v>0</v>
      </c>
      <c r="K35" s="5">
        <f xml:space="preserve"> SUM( VfM_Metrics_2023_Consol[[#This Row],[Tangible fixed assets: Housing properties at cost (Current period)]],VfM_Metrics_2023_Consol[[#This Row],[Tangible fixed assets Housing properties at valuation (Current period)]] )</f>
        <v>54268</v>
      </c>
      <c r="L35" s="84" vm="830">
        <v>54268</v>
      </c>
      <c r="M35" s="83" vm="873">
        <v>0</v>
      </c>
      <c r="N35" s="7">
        <f xml:space="preserve"> IFERROR( VfM_Metrics_2023_Consol[[#This Row],[Total social units developed or newly built units acquired in-year]] / VfM_Metrics_2023_Consol[[#This Row],[Social housing units owned (period end)]], "n/a" )</f>
        <v>0</v>
      </c>
      <c r="O35" s="5">
        <f xml:space="preserve"> SUM( VfM_Metrics_2023_Consol[[#This Row],[Total social units developed or newly built units acquired in-year (owned)]], VfM_Metrics_2023_Consol[[#This Row],[Total social leasehold units developed or newly built units acquired in-year (owned)]] )</f>
        <v>0</v>
      </c>
      <c r="P35" s="84" vm="818">
        <v>0</v>
      </c>
      <c r="Q35" s="83" vm="756">
        <v>0</v>
      </c>
      <c r="R35" s="5">
        <f xml:space="preserve"> SUM( VfM_Metrics_2023_Consol[[#This Row],[Total social housing units owned (Period end)]], VfM_Metrics_2023_Consol[[#This Row],[Total social leasehold units owned (Period end)]] )</f>
        <v>1143</v>
      </c>
      <c r="S35" s="84" vm="8906">
        <v>1128</v>
      </c>
      <c r="T35" s="83" vm="8961">
        <v>15</v>
      </c>
      <c r="U35" s="86">
        <f xml:space="preserve"> IFERROR( VfM_Metrics_2023_Consol[[#This Row],[Total non-social housing units developed or newly built units acquired (owned)]] / VfM_Metrics_2023_Consol[[#This Row],[Total social and non-social housing units owned (Period end)]], "n/a" )</f>
        <v>0</v>
      </c>
      <c r="V3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35" s="83" vm="834">
        <v>0</v>
      </c>
      <c r="X35" s="83" vm="835">
        <v>0</v>
      </c>
      <c r="Y35" s="83" vm="8905">
        <v>0</v>
      </c>
      <c r="Z3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1500</v>
      </c>
      <c r="AA35" s="84" vm="852">
        <v>1128</v>
      </c>
      <c r="AB35" s="83" vm="833">
        <v>15</v>
      </c>
      <c r="AC35" s="83" vm="758">
        <v>301</v>
      </c>
      <c r="AD35" s="83" vm="8778">
        <v>56</v>
      </c>
      <c r="AE35" s="7">
        <f xml:space="preserve"> IFERROR( VfM_Metrics_2023_Consol[[#This Row],[Total Net Debt]] / VfM_Metrics_2023_Consol[[#This Row],[Net Book Value of Housing Properties2]], "n/a" )</f>
        <v>5.321736566669124E-2</v>
      </c>
      <c r="AF3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2888</v>
      </c>
      <c r="AG35" s="84" vm="836">
        <v>724</v>
      </c>
      <c r="AH35" s="83" vm="8824">
        <v>11046</v>
      </c>
      <c r="AI35" s="83" vm="8978">
        <v>8882</v>
      </c>
      <c r="AJ35" s="83" vm="837">
        <v>0</v>
      </c>
      <c r="AK35" s="83" vm="9104">
        <v>0</v>
      </c>
      <c r="AL35" s="5">
        <f xml:space="preserve"> SUM( VfM_Metrics_2023_Consol[[#This Row],[Tangible fixed assets: Housing properties at cost (Current period)2]], VfM_Metrics_2023_Consol[[#This Row],[Tangible fixed assets Housing properties at valuation (Current period)2]] )</f>
        <v>54268</v>
      </c>
      <c r="AM35" s="84" vm="8903">
        <v>54268</v>
      </c>
      <c r="AN35" s="83" vm="831">
        <v>0</v>
      </c>
      <c r="AO35" s="87">
        <f xml:space="preserve"> IFERROR( VfM_Metrics_2023_Consol[[#This Row],[EBITDA MRI]] / VfM_Metrics_2023_Consol[[#This Row],[Total interest]], "n/a" )</f>
        <v>2.9902439024390244</v>
      </c>
      <c r="AP3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1839</v>
      </c>
      <c r="AQ35" s="84" vm="8962">
        <v>1335</v>
      </c>
      <c r="AR35" s="84" vm="8851">
        <v>0</v>
      </c>
      <c r="AS35" s="84" vm="7936">
        <v>87</v>
      </c>
      <c r="AT35" s="84" vm="781">
        <v>237</v>
      </c>
      <c r="AU35" s="84" vm="839">
        <v>0</v>
      </c>
      <c r="AV35" s="84" vm="842">
        <v>80</v>
      </c>
      <c r="AW35" s="84" vm="840">
        <v>1030</v>
      </c>
      <c r="AX35" s="84" vm="643">
        <v>1778</v>
      </c>
      <c r="AY35" s="3">
        <f xml:space="preserve"> - SUM( VfM_Metrics_2023_Consol[[#This Row],[Interest capitalised]], VfM_Metrics_2023_Consol[[#This Row],[Interest payable and financing costs]] )</f>
        <v>615</v>
      </c>
      <c r="AZ35" s="84" vm="841">
        <v>0</v>
      </c>
      <c r="BA35" s="83" vm="842">
        <v>-615</v>
      </c>
      <c r="BB35" s="8">
        <f xml:space="preserve"> IFERROR( ( VfM_Metrics_2023_Consol[[#This Row],[Total Costs]] / VfM_Metrics_2023_Consol[[#This Row],[Total units for costs]] ) * 1000, "n/a" )</f>
        <v>8060.2836879432616</v>
      </c>
      <c r="BC3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9092</v>
      </c>
      <c r="BD35" s="84" vm="8960">
        <v>2069</v>
      </c>
      <c r="BE35" s="83" vm="843">
        <v>4094</v>
      </c>
      <c r="BF35" s="83" vm="8901">
        <v>862</v>
      </c>
      <c r="BG35" s="83" vm="783">
        <v>316</v>
      </c>
      <c r="BH35" s="83" vm="924">
        <v>93</v>
      </c>
      <c r="BI35" s="83" vm="8976">
        <v>0</v>
      </c>
      <c r="BJ35" s="83" vm="8956">
        <v>1030</v>
      </c>
      <c r="BK35" s="83" vm="7933">
        <v>413</v>
      </c>
      <c r="BL35" s="83" vm="845">
        <v>0</v>
      </c>
      <c r="BM35" s="83" vm="846">
        <v>0</v>
      </c>
      <c r="BN35" s="83" vm="847">
        <v>18</v>
      </c>
      <c r="BO35" s="83" vm="8943">
        <v>197</v>
      </c>
      <c r="BP35" s="5" vm="826">
        <f xml:space="preserve"> VfM_Metrics_2023_Consol[[#This Row],[Total social housing units owned and/or managed at period end]]</f>
        <v>1128</v>
      </c>
      <c r="BQ35" s="84" vm="826">
        <v>1128</v>
      </c>
      <c r="BR35" s="7">
        <f xml:space="preserve"> IFERROR( VfM_Metrics_2023_Consol[[#This Row],[SHL operating surplus / (deficit)]] / VfM_Metrics_2023_Consol[[#This Row],[Turnover from social housing lettings]], "n/a" )</f>
        <v>8.3732789393166751E-2</v>
      </c>
      <c r="BS35" s="5" vm="830">
        <f xml:space="preserve"> VfM_Metrics_2023_Consol[[#This Row],[Operating surplus/(deficit) (social housing lettings)]]</f>
        <v>821</v>
      </c>
      <c r="BT35" s="84" vm="830">
        <v>821</v>
      </c>
      <c r="BU35" s="5" vm="848">
        <f xml:space="preserve"> VfM_Metrics_2023_Consol[[#This Row],[Turnover from social housing lettings]]</f>
        <v>9805</v>
      </c>
      <c r="BV35" s="84" vm="848">
        <v>9805</v>
      </c>
      <c r="BW35" s="7">
        <f xml:space="preserve"> IFERROR( VfM_Metrics_2023_Consol[[#This Row],[Net operating surplus]] / VfM_Metrics_2023_Consol[[#This Row],[Overall turnover]], "n/a" )</f>
        <v>2.8842153917263694E-2</v>
      </c>
      <c r="BX35" s="5">
        <f xml:space="preserve"> SUM( VfM_Metrics_2023_Consol[[#This Row],[Operating surplus/(deficit) (overall)2]], - VfM_Metrics_2023_Consol[[#This Row],[Gain/(loss) on disposal of fixed assets (housing properties)2]], - VfM_Metrics_2023_Consol[[#This Row],[Gain/(loss) on disposal of fixed assets (other)2]] )</f>
        <v>1248</v>
      </c>
      <c r="BY35" s="84" vm="838">
        <v>1335</v>
      </c>
      <c r="BZ35" s="83" vm="8820">
        <v>0</v>
      </c>
      <c r="CA35" s="83" vm="8905">
        <v>87</v>
      </c>
      <c r="CB35" s="5" vm="849">
        <f xml:space="preserve"> VfM_Metrics_2023_Consol[[#This Row],[Turnover (overall)]]</f>
        <v>43270</v>
      </c>
      <c r="CC35" s="84" vm="849">
        <v>43270</v>
      </c>
      <c r="CD35" s="7">
        <f xml:space="preserve"> IFERROR( VfM_Metrics_2023_Consol[[#This Row],[Operating surplus including from JVs]] / VfM_Metrics_2023_Consol[[#This Row],[Net assets]], "n/a" )</f>
        <v>2.1958320311857495E-2</v>
      </c>
      <c r="CE35" s="5">
        <f xml:space="preserve"> SUM( VfM_Metrics_2023_Consol[[#This Row],[Operating surplus/(deficit) (overall)3]], VfM_Metrics_2023_Consol[[#This Row],[Share of operating surplus/(deficit) in joint ventures or associates]] )</f>
        <v>1335</v>
      </c>
      <c r="CF35" s="84" vm="838">
        <v>1335</v>
      </c>
      <c r="CG35" s="83" vm="851">
        <v>0</v>
      </c>
      <c r="CH35" s="5" vm="850">
        <f xml:space="preserve"> VfM_Metrics_2023_Consol[[#This Row],[Total assets less current liabilities]]</f>
        <v>60797</v>
      </c>
      <c r="CI35" s="84" vm="850">
        <v>60797</v>
      </c>
      <c r="CJ35" s="71" vm="8906">
        <f xml:space="preserve"> VfM_Metrics_2023_Consol[[#This Row],[Total social housing units owned (Period end)]]</f>
        <v>1128</v>
      </c>
      <c r="CK35" s="103">
        <v>0.97539543057996481</v>
      </c>
      <c r="CL35" s="6">
        <f xml:space="preserve"> -- ( VfM_Metrics_2023_Consol[[#This Row],[% Supported housing (excl. HOP)]] &gt; 0.3 )</f>
        <v>1</v>
      </c>
      <c r="CM35" s="103">
        <v>0</v>
      </c>
      <c r="CN35" s="6">
        <f xml:space="preserve"> -- ( VfM_Metrics_2023_Consol[[#This Row],[% Housing for older people]] &gt; 0.3 )</f>
        <v>0</v>
      </c>
      <c r="CO35" s="103">
        <f xml:space="preserve"> VfM_Metrics_2023_Consol[[#This Row],[% Supported housing (excl. HOP)]] + VfM_Metrics_2023_Consol[[#This Row],[% Housing for older people]]</f>
        <v>0.97539543057996481</v>
      </c>
      <c r="CP35" s="6">
        <f xml:space="preserve"> -- ( VfM_Metrics_2023_Consol[[#This Row],[SH specialist in RSH analysis]] + VfM_Metrics_2023_Consol[[#This Row],[OP specialist in RSH analysis]] &gt; 0 )</f>
        <v>1</v>
      </c>
      <c r="CQ35" s="10">
        <f xml:space="preserve"> -- ( VfM_Metrics_2023_Consol[[#This Row],[% SH and OP]] &gt; 0.3 )</f>
        <v>1</v>
      </c>
      <c r="CR35" s="104" t="s">
        <v>143</v>
      </c>
      <c r="CS35" s="124" t="s">
        <v>144</v>
      </c>
      <c r="CT35" s="105"/>
      <c r="CU3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35" s="85">
        <v>0</v>
      </c>
      <c r="CW35" s="85">
        <v>0</v>
      </c>
      <c r="CX35" s="85">
        <v>1</v>
      </c>
      <c r="CY35" s="85">
        <v>0</v>
      </c>
      <c r="CZ35" s="85">
        <v>0</v>
      </c>
      <c r="DA35" s="85">
        <v>0</v>
      </c>
      <c r="DB35" s="85">
        <v>0</v>
      </c>
      <c r="DC35" s="85">
        <v>0</v>
      </c>
      <c r="DD35" s="85">
        <v>0</v>
      </c>
      <c r="DE35" s="13">
        <v>0.97511902715076015</v>
      </c>
    </row>
    <row r="36" spans="1:109" x14ac:dyDescent="0.25">
      <c r="A36" s="4" t="s" vm="393">
        <v>196</v>
      </c>
      <c r="B36" s="2" t="s" vm="26">
        <v>197</v>
      </c>
      <c r="C36" s="72" vm="461">
        <v>45016</v>
      </c>
      <c r="D36" s="7">
        <f>IFERROR( VfM_Metrics_2023_Consol[[#This Row],[Reinvestment Spend]] / VfM_Metrics_2023_Consol[[#This Row],[Net Book Value of Housing Properties]], "n/a" )</f>
        <v>0.1051414192470826</v>
      </c>
      <c r="E3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19137</v>
      </c>
      <c r="F36" s="83" vm="6703">
        <v>13724</v>
      </c>
      <c r="G36" s="83" vm="6704">
        <v>1554</v>
      </c>
      <c r="H36" s="83" vm="6705">
        <v>3441</v>
      </c>
      <c r="I36" s="83" vm="6706">
        <v>418</v>
      </c>
      <c r="J36" s="83" vm="6707">
        <v>0</v>
      </c>
      <c r="K36" s="5">
        <f xml:space="preserve"> SUM( VfM_Metrics_2023_Consol[[#This Row],[Tangible fixed assets: Housing properties at cost (Current period)]],VfM_Metrics_2023_Consol[[#This Row],[Tangible fixed assets Housing properties at valuation (Current period)]] )</f>
        <v>182012</v>
      </c>
      <c r="L36" s="84" vm="6708">
        <v>182012</v>
      </c>
      <c r="M36" s="83" vm="6709">
        <v>0</v>
      </c>
      <c r="N36" s="7">
        <f xml:space="preserve"> IFERROR( VfM_Metrics_2023_Consol[[#This Row],[Total social units developed or newly built units acquired in-year]] / VfM_Metrics_2023_Consol[[#This Row],[Social housing units owned (period end)]], "n/a" )</f>
        <v>2.2329735764793451E-2</v>
      </c>
      <c r="O36" s="5">
        <f xml:space="preserve"> SUM( VfM_Metrics_2023_Consol[[#This Row],[Total social units developed or newly built units acquired in-year (owned)]], VfM_Metrics_2023_Consol[[#This Row],[Total social leasehold units developed or newly built units acquired in-year (owned)]] )</f>
        <v>120</v>
      </c>
      <c r="P36" s="84" vm="6710">
        <v>120</v>
      </c>
      <c r="Q36" s="83" vm="6711">
        <v>0</v>
      </c>
      <c r="R36" s="5">
        <f xml:space="preserve"> SUM( VfM_Metrics_2023_Consol[[#This Row],[Total social housing units owned (Period end)]], VfM_Metrics_2023_Consol[[#This Row],[Total social leasehold units owned (Period end)]] )</f>
        <v>5374</v>
      </c>
      <c r="S36" s="84" vm="6701">
        <v>5293</v>
      </c>
      <c r="T36" s="83" vm="6712">
        <v>81</v>
      </c>
      <c r="U36" s="86">
        <f xml:space="preserve"> IFERROR( VfM_Metrics_2023_Consol[[#This Row],[Total non-social housing units developed or newly built units acquired (owned)]] / VfM_Metrics_2023_Consol[[#This Row],[Total social and non-social housing units owned (Period end)]], "n/a" )</f>
        <v>0</v>
      </c>
      <c r="V3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36" s="83" vm="6713">
        <v>0</v>
      </c>
      <c r="X36" s="83" vm="6714">
        <v>0</v>
      </c>
      <c r="Y36" s="83" vm="6715">
        <v>0</v>
      </c>
      <c r="Z3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5414</v>
      </c>
      <c r="AA36" s="84" vm="7285">
        <v>5293</v>
      </c>
      <c r="AB36" s="83" vm="6712">
        <v>81</v>
      </c>
      <c r="AC36" s="83" vm="6716">
        <v>40</v>
      </c>
      <c r="AD36" s="83" vm="6717">
        <v>0</v>
      </c>
      <c r="AE36" s="7">
        <f xml:space="preserve"> IFERROR( VfM_Metrics_2023_Consol[[#This Row],[Total Net Debt]] / VfM_Metrics_2023_Consol[[#This Row],[Net Book Value of Housing Properties2]], "n/a" )</f>
        <v>0.76466386831637478</v>
      </c>
      <c r="AF3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139178</v>
      </c>
      <c r="AG36" s="84" vm="6718">
        <v>0</v>
      </c>
      <c r="AH36" s="83" vm="6719">
        <v>141244</v>
      </c>
      <c r="AI36" s="83" vm="6720">
        <v>2066</v>
      </c>
      <c r="AJ36" s="83" vm="5617">
        <v>0</v>
      </c>
      <c r="AK36" s="83" vm="6721">
        <v>0</v>
      </c>
      <c r="AL36" s="5">
        <f xml:space="preserve"> SUM( VfM_Metrics_2023_Consol[[#This Row],[Tangible fixed assets: Housing properties at cost (Current period)2]], VfM_Metrics_2023_Consol[[#This Row],[Tangible fixed assets Housing properties at valuation (Current period)2]] )</f>
        <v>182012</v>
      </c>
      <c r="AM36" s="84" vm="6708">
        <v>182012</v>
      </c>
      <c r="AN36" s="83" vm="6709">
        <v>0</v>
      </c>
      <c r="AO36" s="87">
        <f xml:space="preserve"> IFERROR( VfM_Metrics_2023_Consol[[#This Row],[EBITDA MRI]] / VfM_Metrics_2023_Consol[[#This Row],[Total interest]], "n/a" )</f>
        <v>0.98504514672686228</v>
      </c>
      <c r="AP3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6982</v>
      </c>
      <c r="AQ36" s="84" vm="6722">
        <v>8125</v>
      </c>
      <c r="AR36" s="84" vm="6723">
        <v>1678</v>
      </c>
      <c r="AS36" s="84" vm="6724">
        <v>0</v>
      </c>
      <c r="AT36" s="84" vm="7170">
        <v>339</v>
      </c>
      <c r="AU36" s="84" vm="6726">
        <v>0</v>
      </c>
      <c r="AV36" s="84" vm="6727">
        <v>143</v>
      </c>
      <c r="AW36" s="84" vm="6728">
        <v>3441</v>
      </c>
      <c r="AX36" s="84" vm="6729">
        <v>4172</v>
      </c>
      <c r="AY36" s="3">
        <f xml:space="preserve"> - SUM( VfM_Metrics_2023_Consol[[#This Row],[Interest capitalised]], VfM_Metrics_2023_Consol[[#This Row],[Interest payable and financing costs]] )</f>
        <v>7088</v>
      </c>
      <c r="AZ36" s="84" vm="6730">
        <v>-418</v>
      </c>
      <c r="BA36" s="83" vm="6731">
        <v>-6670</v>
      </c>
      <c r="BB36" s="8">
        <f xml:space="preserve"> IFERROR( ( VfM_Metrics_2023_Consol[[#This Row],[Total Costs]] / VfM_Metrics_2023_Consol[[#This Row],[Total units for costs]] ) * 1000, "n/a" )</f>
        <v>3593.5278713056487</v>
      </c>
      <c r="BC3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19211</v>
      </c>
      <c r="BD36" s="84" vm="6732">
        <v>6684</v>
      </c>
      <c r="BE36" s="83" vm="6733">
        <v>1107</v>
      </c>
      <c r="BF36" s="83" vm="6734">
        <v>3428</v>
      </c>
      <c r="BG36" s="83" vm="6735">
        <v>1520</v>
      </c>
      <c r="BH36" s="83" vm="6736">
        <v>1430</v>
      </c>
      <c r="BI36" s="83" vm="6737">
        <v>0</v>
      </c>
      <c r="BJ36" s="83" vm="7227">
        <v>3441</v>
      </c>
      <c r="BK36" s="83" vm="6738">
        <v>993</v>
      </c>
      <c r="BL36" s="83" vm="6871">
        <v>0</v>
      </c>
      <c r="BM36" s="83" vm="6739">
        <v>0</v>
      </c>
      <c r="BN36" s="83" vm="6740">
        <v>0</v>
      </c>
      <c r="BO36" s="83" vm="6741">
        <v>608</v>
      </c>
      <c r="BP36" s="5" vm="6702">
        <f xml:space="preserve"> VfM_Metrics_2023_Consol[[#This Row],[Total social housing units owned and/or managed at period end]]</f>
        <v>5346</v>
      </c>
      <c r="BQ36" s="84" vm="6702">
        <v>5346</v>
      </c>
      <c r="BR36" s="7">
        <f xml:space="preserve"> IFERROR( VfM_Metrics_2023_Consol[[#This Row],[SHL operating surplus / (deficit)]] / VfM_Metrics_2023_Consol[[#This Row],[Turnover from social housing lettings]], "n/a" )</f>
        <v>0.26181467181467183</v>
      </c>
      <c r="BS36" s="5" vm="7234">
        <f xml:space="preserve"> VfM_Metrics_2023_Consol[[#This Row],[Operating surplus/(deficit) (social housing lettings)]]</f>
        <v>6781</v>
      </c>
      <c r="BT36" s="84" vm="7234">
        <v>6781</v>
      </c>
      <c r="BU36" s="5" vm="6742">
        <f xml:space="preserve"> VfM_Metrics_2023_Consol[[#This Row],[Turnover from social housing lettings]]</f>
        <v>25900</v>
      </c>
      <c r="BV36" s="84" vm="6742">
        <v>25900</v>
      </c>
      <c r="BW36" s="7">
        <f xml:space="preserve"> IFERROR( VfM_Metrics_2023_Consol[[#This Row],[Net operating surplus]] / VfM_Metrics_2023_Consol[[#This Row],[Overall turnover]], "n/a" )</f>
        <v>0.22134102379235759</v>
      </c>
      <c r="BX36" s="5">
        <f xml:space="preserve"> SUM( VfM_Metrics_2023_Consol[[#This Row],[Operating surplus/(deficit) (overall)2]], - VfM_Metrics_2023_Consol[[#This Row],[Gain/(loss) on disposal of fixed assets (housing properties)2]], - VfM_Metrics_2023_Consol[[#This Row],[Gain/(loss) on disposal of fixed assets (other)2]] )</f>
        <v>6447</v>
      </c>
      <c r="BY36" s="84" vm="6722">
        <v>8125</v>
      </c>
      <c r="BZ36" s="83" vm="6723">
        <v>1678</v>
      </c>
      <c r="CA36" s="83" vm="6724">
        <v>0</v>
      </c>
      <c r="CB36" s="5" vm="6743">
        <f xml:space="preserve"> VfM_Metrics_2023_Consol[[#This Row],[Turnover (overall)]]</f>
        <v>29127</v>
      </c>
      <c r="CC36" s="84" vm="6743">
        <v>29127</v>
      </c>
      <c r="CD36" s="7">
        <f xml:space="preserve"> IFERROR( VfM_Metrics_2023_Consol[[#This Row],[Operating surplus including from JVs]] / VfM_Metrics_2023_Consol[[#This Row],[Net assets]], "n/a" )</f>
        <v>4.3086762155769912E-2</v>
      </c>
      <c r="CE36" s="5">
        <f xml:space="preserve"> SUM( VfM_Metrics_2023_Consol[[#This Row],[Operating surplus/(deficit) (overall)3]], VfM_Metrics_2023_Consol[[#This Row],[Share of operating surplus/(deficit) in joint ventures or associates]] )</f>
        <v>8125</v>
      </c>
      <c r="CF36" s="84" vm="6722">
        <v>8125</v>
      </c>
      <c r="CG36" s="83" vm="6745">
        <v>0</v>
      </c>
      <c r="CH36" s="5" vm="6744">
        <f xml:space="preserve"> VfM_Metrics_2023_Consol[[#This Row],[Total assets less current liabilities]]</f>
        <v>188573</v>
      </c>
      <c r="CI36" s="84" vm="6744">
        <v>188573</v>
      </c>
      <c r="CJ36" s="71" vm="6701">
        <f xml:space="preserve"> VfM_Metrics_2023_Consol[[#This Row],[Total social housing units owned (Period end)]]</f>
        <v>5293</v>
      </c>
      <c r="CK36" s="103">
        <v>2.7224934284641383E-2</v>
      </c>
      <c r="CL36" s="6">
        <f xml:space="preserve"> -- ( VfM_Metrics_2023_Consol[[#This Row],[% Supported housing (excl. HOP)]] &gt; 0.3 )</f>
        <v>0</v>
      </c>
      <c r="CM36" s="103">
        <v>0.20296657904618851</v>
      </c>
      <c r="CN36" s="6">
        <f xml:space="preserve"> -- ( VfM_Metrics_2023_Consol[[#This Row],[% Housing for older people]] &gt; 0.3 )</f>
        <v>0</v>
      </c>
      <c r="CO36" s="103">
        <f xml:space="preserve"> VfM_Metrics_2023_Consol[[#This Row],[% Supported housing (excl. HOP)]] + VfM_Metrics_2023_Consol[[#This Row],[% Housing for older people]]</f>
        <v>0.23019151333082988</v>
      </c>
      <c r="CP36" s="6">
        <f xml:space="preserve"> -- ( VfM_Metrics_2023_Consol[[#This Row],[SH specialist in RSH analysis]] + VfM_Metrics_2023_Consol[[#This Row],[OP specialist in RSH analysis]] &gt; 0 )</f>
        <v>0</v>
      </c>
      <c r="CQ36" s="10">
        <f xml:space="preserve"> -- ( VfM_Metrics_2023_Consol[[#This Row],[% SH and OP]] &gt; 0.3 )</f>
        <v>0</v>
      </c>
      <c r="CR36" s="104" t="s">
        <v>143</v>
      </c>
      <c r="CS36" s="124"/>
      <c r="CT36" s="105" t="s">
        <v>151</v>
      </c>
      <c r="CU3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36" s="85">
        <v>0</v>
      </c>
      <c r="CW36" s="85">
        <v>0</v>
      </c>
      <c r="CX36" s="85">
        <v>0</v>
      </c>
      <c r="CY36" s="85">
        <v>0</v>
      </c>
      <c r="CZ36" s="85">
        <v>0</v>
      </c>
      <c r="DA36" s="85">
        <v>0</v>
      </c>
      <c r="DB36" s="85">
        <v>0</v>
      </c>
      <c r="DC36" s="85">
        <v>1</v>
      </c>
      <c r="DD36" s="85">
        <v>0</v>
      </c>
      <c r="DE36" s="13">
        <v>0.96105917141044694</v>
      </c>
    </row>
    <row r="37" spans="1:109" x14ac:dyDescent="0.25">
      <c r="A37" s="4" t="s" vm="371">
        <v>198</v>
      </c>
      <c r="B37" s="2" t="s" vm="27">
        <v>199</v>
      </c>
      <c r="C37" s="72" vm="410">
        <v>45016</v>
      </c>
      <c r="D37" s="7">
        <f>IFERROR( VfM_Metrics_2023_Consol[[#This Row],[Reinvestment Spend]] / VfM_Metrics_2023_Consol[[#This Row],[Net Book Value of Housing Properties]], "n/a" )</f>
        <v>6.2050403535669707E-2</v>
      </c>
      <c r="E3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16553</v>
      </c>
      <c r="F37" s="83" vm="6078">
        <v>260</v>
      </c>
      <c r="G37" s="83" vm="5835">
        <v>8811</v>
      </c>
      <c r="H37" s="83" vm="5836">
        <v>7389</v>
      </c>
      <c r="I37" s="83" vm="5837">
        <v>93</v>
      </c>
      <c r="J37" s="83" vm="5838">
        <v>0</v>
      </c>
      <c r="K37" s="5">
        <f xml:space="preserve"> SUM( VfM_Metrics_2023_Consol[[#This Row],[Tangible fixed assets: Housing properties at cost (Current period)]],VfM_Metrics_2023_Consol[[#This Row],[Tangible fixed assets Housing properties at valuation (Current period)]] )</f>
        <v>266767</v>
      </c>
      <c r="L37" s="84" vm="5839">
        <v>266767</v>
      </c>
      <c r="M37" s="83" vm="5840">
        <v>0</v>
      </c>
      <c r="N37" s="7">
        <f xml:space="preserve"> IFERROR( VfM_Metrics_2023_Consol[[#This Row],[Total social units developed or newly built units acquired in-year]] / VfM_Metrics_2023_Consol[[#This Row],[Social housing units owned (period end)]], "n/a" )</f>
        <v>1.1527777777777777E-2</v>
      </c>
      <c r="O37" s="5">
        <f xml:space="preserve"> SUM( VfM_Metrics_2023_Consol[[#This Row],[Total social units developed or newly built units acquired in-year (owned)]], VfM_Metrics_2023_Consol[[#This Row],[Total social leasehold units developed or newly built units acquired in-year (owned)]] )</f>
        <v>83</v>
      </c>
      <c r="P37" s="84" vm="5841">
        <v>83</v>
      </c>
      <c r="Q37" s="83" vm="5842">
        <v>0</v>
      </c>
      <c r="R37" s="5">
        <f xml:space="preserve"> SUM( VfM_Metrics_2023_Consol[[#This Row],[Total social housing units owned (Period end)]], VfM_Metrics_2023_Consol[[#This Row],[Total social leasehold units owned (Period end)]] )</f>
        <v>7200</v>
      </c>
      <c r="S37" s="84" vm="5833">
        <v>6795</v>
      </c>
      <c r="T37" s="83" vm="5843">
        <v>405</v>
      </c>
      <c r="U37" s="86">
        <f xml:space="preserve"> IFERROR( VfM_Metrics_2023_Consol[[#This Row],[Total non-social housing units developed or newly built units acquired (owned)]] / VfM_Metrics_2023_Consol[[#This Row],[Total social and non-social housing units owned (Period end)]], "n/a" )</f>
        <v>0</v>
      </c>
      <c r="V3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37" s="83" vm="5844">
        <v>0</v>
      </c>
      <c r="X37" s="83" vm="5845">
        <v>0</v>
      </c>
      <c r="Y37" s="83" vm="5846">
        <v>0</v>
      </c>
      <c r="Z3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7200</v>
      </c>
      <c r="AA37" s="84" vm="5833">
        <v>6795</v>
      </c>
      <c r="AB37" s="83" vm="5843">
        <v>405</v>
      </c>
      <c r="AC37" s="83" vm="5847">
        <v>0</v>
      </c>
      <c r="AD37" s="83" vm="5848">
        <v>0</v>
      </c>
      <c r="AE37" s="7">
        <f xml:space="preserve"> IFERROR( VfM_Metrics_2023_Consol[[#This Row],[Total Net Debt]] / VfM_Metrics_2023_Consol[[#This Row],[Net Book Value of Housing Properties2]], "n/a" )</f>
        <v>0.28486282036383809</v>
      </c>
      <c r="AF3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75992</v>
      </c>
      <c r="AG37" s="84" vm="5849">
        <v>49</v>
      </c>
      <c r="AH37" s="83" vm="5213">
        <v>80990</v>
      </c>
      <c r="AI37" s="83" vm="5850">
        <v>5092</v>
      </c>
      <c r="AJ37" s="83" vm="5851">
        <v>0</v>
      </c>
      <c r="AK37" s="83" vm="5852">
        <v>45</v>
      </c>
      <c r="AL37" s="5">
        <f xml:space="preserve"> SUM( VfM_Metrics_2023_Consol[[#This Row],[Tangible fixed assets: Housing properties at cost (Current period)2]], VfM_Metrics_2023_Consol[[#This Row],[Tangible fixed assets Housing properties at valuation (Current period)2]] )</f>
        <v>266767</v>
      </c>
      <c r="AM37" s="84" vm="5839">
        <v>266767</v>
      </c>
      <c r="AN37" s="83" vm="6039">
        <v>0</v>
      </c>
      <c r="AO37" s="87">
        <f xml:space="preserve"> IFERROR( VfM_Metrics_2023_Consol[[#This Row],[EBITDA MRI]] / VfM_Metrics_2023_Consol[[#This Row],[Total interest]], "n/a" )</f>
        <v>0.77404921700223717</v>
      </c>
      <c r="AP3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3460</v>
      </c>
      <c r="AQ37" s="84" vm="5853">
        <v>5871</v>
      </c>
      <c r="AR37" s="84" vm="5854">
        <v>978</v>
      </c>
      <c r="AS37" s="84" vm="5855">
        <v>4</v>
      </c>
      <c r="AT37" s="84" vm="5856">
        <v>1071</v>
      </c>
      <c r="AU37" s="84" vm="5857">
        <v>0</v>
      </c>
      <c r="AV37" s="84" vm="5858">
        <v>52</v>
      </c>
      <c r="AW37" s="84" vm="5859">
        <v>5700</v>
      </c>
      <c r="AX37" s="84" vm="5860">
        <v>5290</v>
      </c>
      <c r="AY37" s="3">
        <f xml:space="preserve"> - SUM( VfM_Metrics_2023_Consol[[#This Row],[Interest capitalised]], VfM_Metrics_2023_Consol[[#This Row],[Interest payable and financing costs]] )</f>
        <v>4470</v>
      </c>
      <c r="AZ37" s="84" vm="5861">
        <v>-93</v>
      </c>
      <c r="BA37" s="83" vm="5862">
        <v>-4377</v>
      </c>
      <c r="BB37" s="8">
        <f xml:space="preserve"> IFERROR( ( VfM_Metrics_2023_Consol[[#This Row],[Total Costs]] / VfM_Metrics_2023_Consol[[#This Row],[Total units for costs]] ) * 1000, "n/a" )</f>
        <v>4514.7902869757172</v>
      </c>
      <c r="BC3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30678</v>
      </c>
      <c r="BD37" s="84" vm="5863">
        <v>6819</v>
      </c>
      <c r="BE37" s="83" vm="5864">
        <v>4771</v>
      </c>
      <c r="BF37" s="83" vm="5865">
        <v>6774</v>
      </c>
      <c r="BG37" s="83" vm="5866">
        <v>4375</v>
      </c>
      <c r="BH37" s="83" vm="7210">
        <v>1699</v>
      </c>
      <c r="BI37" s="83" vm="5867">
        <v>540</v>
      </c>
      <c r="BJ37" s="83" vm="5859">
        <v>5700</v>
      </c>
      <c r="BK37" s="83" vm="7273">
        <v>0</v>
      </c>
      <c r="BL37" s="83" vm="5868">
        <v>0</v>
      </c>
      <c r="BM37" s="83" vm="5869">
        <v>0</v>
      </c>
      <c r="BN37" s="83" vm="5949">
        <v>0</v>
      </c>
      <c r="BO37" s="83" vm="5870">
        <v>0</v>
      </c>
      <c r="BP37" s="5" vm="5834">
        <f xml:space="preserve"> VfM_Metrics_2023_Consol[[#This Row],[Total social housing units owned and/or managed at period end]]</f>
        <v>6795</v>
      </c>
      <c r="BQ37" s="84" vm="5834">
        <v>6795</v>
      </c>
      <c r="BR37" s="7">
        <f xml:space="preserve"> IFERROR( VfM_Metrics_2023_Consol[[#This Row],[SHL operating surplus / (deficit)]] / VfM_Metrics_2023_Consol[[#This Row],[Turnover from social housing lettings]], "n/a" )</f>
        <v>0.11361491269466729</v>
      </c>
      <c r="BS37" s="5" vm="5871">
        <f xml:space="preserve"> VfM_Metrics_2023_Consol[[#This Row],[Operating surplus/(deficit) (social housing lettings)]]</f>
        <v>3852</v>
      </c>
      <c r="BT37" s="84" vm="5871">
        <v>3852</v>
      </c>
      <c r="BU37" s="5" vm="5872">
        <f xml:space="preserve"> VfM_Metrics_2023_Consol[[#This Row],[Turnover from social housing lettings]]</f>
        <v>33904</v>
      </c>
      <c r="BV37" s="84" vm="5872">
        <v>33904</v>
      </c>
      <c r="BW37" s="7">
        <f xml:space="preserve"> IFERROR( VfM_Metrics_2023_Consol[[#This Row],[Net operating surplus]] / VfM_Metrics_2023_Consol[[#This Row],[Overall turnover]], "n/a" )</f>
        <v>0.13678202725009092</v>
      </c>
      <c r="BX37" s="5">
        <f xml:space="preserve"> SUM( VfM_Metrics_2023_Consol[[#This Row],[Operating surplus/(deficit) (overall)2]], - VfM_Metrics_2023_Consol[[#This Row],[Gain/(loss) on disposal of fixed assets (housing properties)2]], - VfM_Metrics_2023_Consol[[#This Row],[Gain/(loss) on disposal of fixed assets (other)2]] )</f>
        <v>4889</v>
      </c>
      <c r="BY37" s="84" vm="5853">
        <v>5871</v>
      </c>
      <c r="BZ37" s="83" vm="5854">
        <v>978</v>
      </c>
      <c r="CA37" s="83" vm="5855">
        <v>4</v>
      </c>
      <c r="CB37" s="5" vm="5873">
        <f xml:space="preserve"> VfM_Metrics_2023_Consol[[#This Row],[Turnover (overall)]]</f>
        <v>35743</v>
      </c>
      <c r="CC37" s="84" vm="5873">
        <v>35743</v>
      </c>
      <c r="CD37" s="7">
        <f xml:space="preserve"> IFERROR( VfM_Metrics_2023_Consol[[#This Row],[Operating surplus including from JVs]] / VfM_Metrics_2023_Consol[[#This Row],[Net assets]], "n/a" )</f>
        <v>2.1424270622365755E-2</v>
      </c>
      <c r="CE37" s="5">
        <f xml:space="preserve"> SUM( VfM_Metrics_2023_Consol[[#This Row],[Operating surplus/(deficit) (overall)3]], VfM_Metrics_2023_Consol[[#This Row],[Share of operating surplus/(deficit) in joint ventures or associates]] )</f>
        <v>5871</v>
      </c>
      <c r="CF37" s="84" vm="5853">
        <v>5871</v>
      </c>
      <c r="CG37" s="83" vm="5875">
        <v>0</v>
      </c>
      <c r="CH37" s="5" vm="5874">
        <f xml:space="preserve"> VfM_Metrics_2023_Consol[[#This Row],[Total assets less current liabilities]]</f>
        <v>274035</v>
      </c>
      <c r="CI37" s="84" vm="5874">
        <v>274035</v>
      </c>
      <c r="CJ37" s="71" vm="5833">
        <f xml:space="preserve"> VfM_Metrics_2023_Consol[[#This Row],[Total social housing units owned (Period end)]]</f>
        <v>6795</v>
      </c>
      <c r="CK37" s="103">
        <v>5.3970701619121047E-3</v>
      </c>
      <c r="CL37" s="6">
        <f xml:space="preserve"> -- ( VfM_Metrics_2023_Consol[[#This Row],[% Supported housing (excl. HOP)]] &gt; 0.3 )</f>
        <v>0</v>
      </c>
      <c r="CM37" s="103">
        <v>9.7455666923670012E-2</v>
      </c>
      <c r="CN37" s="6">
        <f xml:space="preserve"> -- ( VfM_Metrics_2023_Consol[[#This Row],[% Housing for older people]] &gt; 0.3 )</f>
        <v>0</v>
      </c>
      <c r="CO37" s="103">
        <f xml:space="preserve"> VfM_Metrics_2023_Consol[[#This Row],[% Supported housing (excl. HOP)]] + VfM_Metrics_2023_Consol[[#This Row],[% Housing for older people]]</f>
        <v>0.10285273708558211</v>
      </c>
      <c r="CP37" s="6">
        <f xml:space="preserve"> -- ( VfM_Metrics_2023_Consol[[#This Row],[SH specialist in RSH analysis]] + VfM_Metrics_2023_Consol[[#This Row],[OP specialist in RSH analysis]] &gt; 0 )</f>
        <v>0</v>
      </c>
      <c r="CQ37" s="10">
        <f xml:space="preserve"> -- ( VfM_Metrics_2023_Consol[[#This Row],[% SH and OP]] &gt; 0.3 )</f>
        <v>0</v>
      </c>
      <c r="CR37" s="104" t="s">
        <v>143</v>
      </c>
      <c r="CS37" s="124"/>
      <c r="CT37" s="105" t="s">
        <v>151</v>
      </c>
      <c r="CU3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37" s="85">
        <v>0</v>
      </c>
      <c r="CW37" s="85">
        <v>0</v>
      </c>
      <c r="CX37" s="85">
        <v>0</v>
      </c>
      <c r="CY37" s="85">
        <v>0</v>
      </c>
      <c r="CZ37" s="85">
        <v>0</v>
      </c>
      <c r="DA37" s="85">
        <v>0</v>
      </c>
      <c r="DB37" s="85">
        <v>0.21428571428571427</v>
      </c>
      <c r="DC37" s="85">
        <v>0.78509852216748766</v>
      </c>
      <c r="DD37" s="85">
        <v>6.1576354679802956E-4</v>
      </c>
      <c r="DE37" s="13">
        <v>0.94936796590506911</v>
      </c>
    </row>
    <row r="38" spans="1:109" x14ac:dyDescent="0.25">
      <c r="A38" s="4" t="s" vm="279">
        <v>200</v>
      </c>
      <c r="B38" s="2" t="s" vm="28">
        <v>201</v>
      </c>
      <c r="C38" s="72" vm="437">
        <v>45016</v>
      </c>
      <c r="D38" s="7">
        <f>IFERROR( VfM_Metrics_2023_Consol[[#This Row],[Reinvestment Spend]] / VfM_Metrics_2023_Consol[[#This Row],[Net Book Value of Housing Properties]], "n/a" )</f>
        <v>6.863181557114631E-2</v>
      </c>
      <c r="E3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49949</v>
      </c>
      <c r="F38" s="83" vm="7088">
        <v>41336</v>
      </c>
      <c r="G38" s="83" vm="2634">
        <v>0</v>
      </c>
      <c r="H38" s="83" vm="7733">
        <v>7378</v>
      </c>
      <c r="I38" s="83" vm="7492">
        <v>1235</v>
      </c>
      <c r="J38" s="83" vm="2635">
        <v>0</v>
      </c>
      <c r="K38" s="5">
        <f xml:space="preserve"> SUM( VfM_Metrics_2023_Consol[[#This Row],[Tangible fixed assets: Housing properties at cost (Current period)]],VfM_Metrics_2023_Consol[[#This Row],[Tangible fixed assets Housing properties at valuation (Current period)]] )</f>
        <v>727782</v>
      </c>
      <c r="L38" s="84" vm="2636">
        <v>727782</v>
      </c>
      <c r="M38" s="83">
        <v>0</v>
      </c>
      <c r="N38" s="7">
        <f xml:space="preserve"> IFERROR( VfM_Metrics_2023_Consol[[#This Row],[Total social units developed or newly built units acquired in-year]] / VfM_Metrics_2023_Consol[[#This Row],[Social housing units owned (period end)]], "n/a" )</f>
        <v>2.7029520295202954E-2</v>
      </c>
      <c r="O38" s="5">
        <f xml:space="preserve"> SUM( VfM_Metrics_2023_Consol[[#This Row],[Total social units developed or newly built units acquired in-year (owned)]], VfM_Metrics_2023_Consol[[#This Row],[Total social leasehold units developed or newly built units acquired in-year (owned)]] )</f>
        <v>293</v>
      </c>
      <c r="P38" s="84" vm="2637">
        <v>293</v>
      </c>
      <c r="Q38" s="83" vm="2906">
        <v>0</v>
      </c>
      <c r="R38" s="5">
        <f xml:space="preserve"> SUM( VfM_Metrics_2023_Consol[[#This Row],[Total social housing units owned (Period end)]], VfM_Metrics_2023_Consol[[#This Row],[Total social leasehold units owned (Period end)]] )</f>
        <v>10840</v>
      </c>
      <c r="S38" s="84" vm="2632">
        <v>10036</v>
      </c>
      <c r="T38" s="83" vm="2638">
        <v>804</v>
      </c>
      <c r="U38" s="86">
        <f xml:space="preserve"> IFERROR( VfM_Metrics_2023_Consol[[#This Row],[Total non-social housing units developed or newly built units acquired (owned)]] / VfM_Metrics_2023_Consol[[#This Row],[Total social and non-social housing units owned (Period end)]], "n/a" )</f>
        <v>0</v>
      </c>
      <c r="V3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38" s="83" vm="7989">
        <v>0</v>
      </c>
      <c r="X38" s="83">
        <v>0</v>
      </c>
      <c r="Y38" s="83">
        <v>0</v>
      </c>
      <c r="Z3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10882</v>
      </c>
      <c r="AA38" s="84" vm="3369">
        <v>10036</v>
      </c>
      <c r="AB38" s="83" vm="2638">
        <v>804</v>
      </c>
      <c r="AC38" s="83" vm="7952">
        <v>42</v>
      </c>
      <c r="AD38" s="83" vm="2639">
        <v>0</v>
      </c>
      <c r="AE38" s="7">
        <f xml:space="preserve"> IFERROR( VfM_Metrics_2023_Consol[[#This Row],[Total Net Debt]] / VfM_Metrics_2023_Consol[[#This Row],[Net Book Value of Housing Properties2]], "n/a" )</f>
        <v>0.66291691742857062</v>
      </c>
      <c r="AF3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482459</v>
      </c>
      <c r="AG38" s="84" vm="4763">
        <v>5557</v>
      </c>
      <c r="AH38" s="83" vm="2642">
        <v>496756</v>
      </c>
      <c r="AI38" s="83" vm="2640">
        <v>19854</v>
      </c>
      <c r="AJ38" s="83" vm="1675">
        <v>0</v>
      </c>
      <c r="AK38" s="83">
        <v>0</v>
      </c>
      <c r="AL38" s="5">
        <f xml:space="preserve"> SUM( VfM_Metrics_2023_Consol[[#This Row],[Tangible fixed assets: Housing properties at cost (Current period)2]], VfM_Metrics_2023_Consol[[#This Row],[Tangible fixed assets Housing properties at valuation (Current period)2]] )</f>
        <v>727782</v>
      </c>
      <c r="AM38" s="84" vm="7964">
        <v>727782</v>
      </c>
      <c r="AN38" s="83">
        <v>0</v>
      </c>
      <c r="AO38" s="87">
        <f xml:space="preserve"> IFERROR( VfM_Metrics_2023_Consol[[#This Row],[EBITDA MRI]] / VfM_Metrics_2023_Consol[[#This Row],[Total interest]], "n/a" )</f>
        <v>1.0415794481446241</v>
      </c>
      <c r="AP3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21894</v>
      </c>
      <c r="AQ38" s="84" vm="2641">
        <v>20005</v>
      </c>
      <c r="AR38" s="84" vm="2642">
        <v>2155</v>
      </c>
      <c r="AS38" s="84">
        <v>0</v>
      </c>
      <c r="AT38" s="84" vm="2643">
        <v>74</v>
      </c>
      <c r="AU38" s="84" vm="7775">
        <v>0</v>
      </c>
      <c r="AV38" s="84" vm="2644">
        <v>455</v>
      </c>
      <c r="AW38" s="84" vm="2645">
        <v>7378</v>
      </c>
      <c r="AX38" s="84" vm="2646">
        <v>11041</v>
      </c>
      <c r="AY38" s="3">
        <f xml:space="preserve"> - SUM( VfM_Metrics_2023_Consol[[#This Row],[Interest capitalised]], VfM_Metrics_2023_Consol[[#This Row],[Interest payable and financing costs]] )</f>
        <v>21020</v>
      </c>
      <c r="AZ38" s="84" vm="2647">
        <v>-1235</v>
      </c>
      <c r="BA38" s="83" vm="7496">
        <v>-19785</v>
      </c>
      <c r="BB38" s="8">
        <f xml:space="preserve"> IFERROR( ( VfM_Metrics_2023_Consol[[#This Row],[Total Costs]] / VfM_Metrics_2023_Consol[[#This Row],[Total units for costs]] ) * 1000, "n/a" )</f>
        <v>4623.0529595015578</v>
      </c>
      <c r="BC3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48972</v>
      </c>
      <c r="BD38" s="84" vm="2648">
        <v>16974</v>
      </c>
      <c r="BE38" s="83" vm="2649">
        <v>5017</v>
      </c>
      <c r="BF38" s="83" vm="2650">
        <v>9373</v>
      </c>
      <c r="BG38" s="83" vm="7495">
        <v>6971</v>
      </c>
      <c r="BH38" s="83" vm="2651">
        <v>1348</v>
      </c>
      <c r="BI38" s="83" vm="2652">
        <v>0</v>
      </c>
      <c r="BJ38" s="83" vm="2645">
        <v>7378</v>
      </c>
      <c r="BK38" s="83" vm="2653">
        <v>427</v>
      </c>
      <c r="BL38" s="83" vm="7616">
        <v>45</v>
      </c>
      <c r="BM38" s="83" vm="2654">
        <v>0</v>
      </c>
      <c r="BN38" s="83" vm="2655">
        <v>1439</v>
      </c>
      <c r="BO38" s="83" vm="2656">
        <v>0</v>
      </c>
      <c r="BP38" s="5" vm="2633">
        <f xml:space="preserve"> VfM_Metrics_2023_Consol[[#This Row],[Total social housing units owned and/or managed at period end]]</f>
        <v>10593</v>
      </c>
      <c r="BQ38" s="84" vm="2633">
        <v>10593</v>
      </c>
      <c r="BR38" s="7">
        <f xml:space="preserve"> IFERROR( VfM_Metrics_2023_Consol[[#This Row],[SHL operating surplus / (deficit)]] / VfM_Metrics_2023_Consol[[#This Row],[Turnover from social housing lettings]], "n/a" )</f>
        <v>0.19891158608723086</v>
      </c>
      <c r="BS38" s="5" vm="2657">
        <f xml:space="preserve"> VfM_Metrics_2023_Consol[[#This Row],[Operating surplus/(deficit) (social housing lettings)]]</f>
        <v>12610</v>
      </c>
      <c r="BT38" s="84" vm="2657">
        <v>12610</v>
      </c>
      <c r="BU38" s="5" vm="2658">
        <f xml:space="preserve"> VfM_Metrics_2023_Consol[[#This Row],[Turnover from social housing lettings]]</f>
        <v>63395</v>
      </c>
      <c r="BV38" s="84" vm="2658">
        <v>63395</v>
      </c>
      <c r="BW38" s="7">
        <f xml:space="preserve"> IFERROR( VfM_Metrics_2023_Consol[[#This Row],[Net operating surplus]] / VfM_Metrics_2023_Consol[[#This Row],[Overall turnover]], "n/a" )</f>
        <v>0.23009693719707125</v>
      </c>
      <c r="BX38" s="5">
        <f xml:space="preserve"> SUM( VfM_Metrics_2023_Consol[[#This Row],[Operating surplus/(deficit) (overall)2]], - VfM_Metrics_2023_Consol[[#This Row],[Gain/(loss) on disposal of fixed assets (housing properties)2]], - VfM_Metrics_2023_Consol[[#This Row],[Gain/(loss) on disposal of fixed assets (other)2]] )</f>
        <v>17850</v>
      </c>
      <c r="BY38" s="84" vm="3402">
        <v>20005</v>
      </c>
      <c r="BZ38" s="83" vm="2642">
        <v>2155</v>
      </c>
      <c r="CA38" s="83">
        <v>0</v>
      </c>
      <c r="CB38" s="5" vm="2659">
        <f xml:space="preserve"> VfM_Metrics_2023_Consol[[#This Row],[Turnover (overall)]]</f>
        <v>77576</v>
      </c>
      <c r="CC38" s="84" vm="2659">
        <v>77576</v>
      </c>
      <c r="CD38" s="7">
        <f xml:space="preserve"> IFERROR( VfM_Metrics_2023_Consol[[#This Row],[Operating surplus including from JVs]] / VfM_Metrics_2023_Consol[[#This Row],[Net assets]], "n/a" )</f>
        <v>2.5971749798769247E-2</v>
      </c>
      <c r="CE38" s="5">
        <f xml:space="preserve"> SUM( VfM_Metrics_2023_Consol[[#This Row],[Operating surplus/(deficit) (overall)3]], VfM_Metrics_2023_Consol[[#This Row],[Share of operating surplus/(deficit) in joint ventures or associates]] )</f>
        <v>20005</v>
      </c>
      <c r="CF38" s="84" vm="2641">
        <v>20005</v>
      </c>
      <c r="CG38" s="83" vm="2661">
        <v>0</v>
      </c>
      <c r="CH38" s="5" vm="2660">
        <f xml:space="preserve"> VfM_Metrics_2023_Consol[[#This Row],[Total assets less current liabilities]]</f>
        <v>770260</v>
      </c>
      <c r="CI38" s="84" vm="2660">
        <v>770260</v>
      </c>
      <c r="CJ38" s="71" vm="2632">
        <f xml:space="preserve"> VfM_Metrics_2023_Consol[[#This Row],[Total social housing units owned (Period end)]]</f>
        <v>10036</v>
      </c>
      <c r="CK38" s="103">
        <v>2.8050490883590462E-3</v>
      </c>
      <c r="CL38" s="6">
        <f xml:space="preserve"> -- ( VfM_Metrics_2023_Consol[[#This Row],[% Supported housing (excl. HOP)]] &gt; 0.3 )</f>
        <v>0</v>
      </c>
      <c r="CM38" s="103">
        <v>0</v>
      </c>
      <c r="CN38" s="6">
        <f xml:space="preserve"> -- ( VfM_Metrics_2023_Consol[[#This Row],[% Housing for older people]] &gt; 0.3 )</f>
        <v>0</v>
      </c>
      <c r="CO38" s="103">
        <f xml:space="preserve"> VfM_Metrics_2023_Consol[[#This Row],[% Supported housing (excl. HOP)]] + VfM_Metrics_2023_Consol[[#This Row],[% Housing for older people]]</f>
        <v>2.8050490883590462E-3</v>
      </c>
      <c r="CP38" s="6">
        <f xml:space="preserve"> -- ( VfM_Metrics_2023_Consol[[#This Row],[SH specialist in RSH analysis]] + VfM_Metrics_2023_Consol[[#This Row],[OP specialist in RSH analysis]] &gt; 0 )</f>
        <v>0</v>
      </c>
      <c r="CQ38" s="10">
        <f xml:space="preserve"> -- ( VfM_Metrics_2023_Consol[[#This Row],[% SH and OP]] &gt; 0.3 )</f>
        <v>0</v>
      </c>
      <c r="CR38" s="104" t="s">
        <v>143</v>
      </c>
      <c r="CS38" s="124"/>
      <c r="CT38" s="105" t="s">
        <v>151</v>
      </c>
      <c r="CU3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38" s="85">
        <v>0</v>
      </c>
      <c r="CW38" s="85">
        <v>0</v>
      </c>
      <c r="CX38" s="85">
        <v>0</v>
      </c>
      <c r="CY38" s="85">
        <v>0</v>
      </c>
      <c r="CZ38" s="85">
        <v>0</v>
      </c>
      <c r="DA38" s="85">
        <v>1</v>
      </c>
      <c r="DB38" s="85">
        <v>0</v>
      </c>
      <c r="DC38" s="85">
        <v>0</v>
      </c>
      <c r="DD38" s="85">
        <v>0</v>
      </c>
      <c r="DE38" s="13">
        <v>1.0113701298544711</v>
      </c>
    </row>
    <row r="39" spans="1:109" x14ac:dyDescent="0.25">
      <c r="A39" s="4" t="s" vm="370">
        <v>202</v>
      </c>
      <c r="B39" s="2" t="s" vm="29">
        <v>203</v>
      </c>
      <c r="C39" s="72" vm="587">
        <v>45016</v>
      </c>
      <c r="D39" s="7">
        <f>IFERROR( VfM_Metrics_2023_Consol[[#This Row],[Reinvestment Spend]] / VfM_Metrics_2023_Consol[[#This Row],[Net Book Value of Housing Properties]], "n/a" )</f>
        <v>6.6186610509153906E-2</v>
      </c>
      <c r="E3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9743</v>
      </c>
      <c r="F39" s="83" vm="5805">
        <v>1982</v>
      </c>
      <c r="G39" s="83" vm="5806">
        <v>432</v>
      </c>
      <c r="H39" s="83" vm="7145">
        <v>7180</v>
      </c>
      <c r="I39" s="83" vm="5807">
        <v>149</v>
      </c>
      <c r="J39" s="83" vm="5808">
        <v>0</v>
      </c>
      <c r="K39" s="5">
        <f xml:space="preserve"> SUM( VfM_Metrics_2023_Consol[[#This Row],[Tangible fixed assets: Housing properties at cost (Current period)]],VfM_Metrics_2023_Consol[[#This Row],[Tangible fixed assets Housing properties at valuation (Current period)]] )</f>
        <v>147205</v>
      </c>
      <c r="L39" s="84" vm="5809">
        <v>147205</v>
      </c>
      <c r="M39" s="83">
        <v>0</v>
      </c>
      <c r="N39" s="7">
        <f xml:space="preserve"> IFERROR( VfM_Metrics_2023_Consol[[#This Row],[Total social units developed or newly built units acquired in-year]] / VfM_Metrics_2023_Consol[[#This Row],[Social housing units owned (period end)]], "n/a" )</f>
        <v>1.2788700133613285E-2</v>
      </c>
      <c r="O39" s="5">
        <f xml:space="preserve"> SUM( VfM_Metrics_2023_Consol[[#This Row],[Total social units developed or newly built units acquired in-year (owned)]], VfM_Metrics_2023_Consol[[#This Row],[Total social leasehold units developed or newly built units acquired in-year (owned)]] )</f>
        <v>67</v>
      </c>
      <c r="P39" s="84" vm="5810">
        <v>67</v>
      </c>
      <c r="Q39" s="83">
        <v>0</v>
      </c>
      <c r="R39" s="5">
        <f xml:space="preserve"> SUM( VfM_Metrics_2023_Consol[[#This Row],[Total social housing units owned (Period end)]], VfM_Metrics_2023_Consol[[#This Row],[Total social leasehold units owned (Period end)]] )</f>
        <v>5239</v>
      </c>
      <c r="S39" s="84" vm="5803">
        <v>5239</v>
      </c>
      <c r="T39" s="83" vm="5811">
        <v>0</v>
      </c>
      <c r="U39" s="86">
        <f xml:space="preserve"> IFERROR( VfM_Metrics_2023_Consol[[#This Row],[Total non-social housing units developed or newly built units acquired (owned)]] / VfM_Metrics_2023_Consol[[#This Row],[Total social and non-social housing units owned (Period end)]], "n/a" )</f>
        <v>8.8261253309797002E-4</v>
      </c>
      <c r="V3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5</v>
      </c>
      <c r="W39" s="83" vm="6943">
        <v>5</v>
      </c>
      <c r="X39" s="83">
        <v>0</v>
      </c>
      <c r="Y39" s="83" vm="5812">
        <v>0</v>
      </c>
      <c r="Z3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5665</v>
      </c>
      <c r="AA39" s="84" vm="7338">
        <v>5239</v>
      </c>
      <c r="AB39" s="83" vm="5811">
        <v>0</v>
      </c>
      <c r="AC39" s="83" vm="5928">
        <v>33</v>
      </c>
      <c r="AD39" s="83" vm="5813">
        <v>393</v>
      </c>
      <c r="AE39" s="7">
        <f xml:space="preserve"> IFERROR( VfM_Metrics_2023_Consol[[#This Row],[Total Net Debt]] / VfM_Metrics_2023_Consol[[#This Row],[Net Book Value of Housing Properties2]], "n/a" )</f>
        <v>0.51135491321626303</v>
      </c>
      <c r="AF3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75274</v>
      </c>
      <c r="AG39" s="84" vm="5814">
        <v>0</v>
      </c>
      <c r="AH39" s="83" vm="7264">
        <v>88485</v>
      </c>
      <c r="AI39" s="83" vm="7244">
        <v>13211</v>
      </c>
      <c r="AJ39" s="83" vm="1675">
        <v>0</v>
      </c>
      <c r="AK39" s="83">
        <v>0</v>
      </c>
      <c r="AL39" s="5">
        <f xml:space="preserve"> SUM( VfM_Metrics_2023_Consol[[#This Row],[Tangible fixed assets: Housing properties at cost (Current period)2]], VfM_Metrics_2023_Consol[[#This Row],[Tangible fixed assets Housing properties at valuation (Current period)2]] )</f>
        <v>147205</v>
      </c>
      <c r="AM39" s="84" vm="5809">
        <v>147205</v>
      </c>
      <c r="AN39" s="83">
        <v>0</v>
      </c>
      <c r="AO39" s="87">
        <f xml:space="preserve"> IFERROR( VfM_Metrics_2023_Consol[[#This Row],[EBITDA MRI]] / VfM_Metrics_2023_Consol[[#This Row],[Total interest]], "n/a" )</f>
        <v>0.74221548635987877</v>
      </c>
      <c r="AP3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5387</v>
      </c>
      <c r="AQ39" s="84" vm="5815">
        <v>7593</v>
      </c>
      <c r="AR39" s="84" vm="5816">
        <v>937</v>
      </c>
      <c r="AS39" s="84">
        <v>0</v>
      </c>
      <c r="AT39" s="84" vm="5817">
        <v>140</v>
      </c>
      <c r="AU39" s="84" vm="7241">
        <v>0</v>
      </c>
      <c r="AV39" s="84" vm="5818">
        <v>276</v>
      </c>
      <c r="AW39" s="84" vm="5819">
        <v>7180</v>
      </c>
      <c r="AX39" s="84" vm="5820">
        <v>5775</v>
      </c>
      <c r="AY39" s="3">
        <f xml:space="preserve"> - SUM( VfM_Metrics_2023_Consol[[#This Row],[Interest capitalised]], VfM_Metrics_2023_Consol[[#This Row],[Interest payable and financing costs]] )</f>
        <v>7258</v>
      </c>
      <c r="AZ39" s="84" vm="5821">
        <v>-149</v>
      </c>
      <c r="BA39" s="83" vm="7182">
        <v>-7109</v>
      </c>
      <c r="BB39" s="8">
        <f xml:space="preserve"> IFERROR( ( VfM_Metrics_2023_Consol[[#This Row],[Total Costs]] / VfM_Metrics_2023_Consol[[#This Row],[Total units for costs]] ) * 1000, "n/a" )</f>
        <v>4540</v>
      </c>
      <c r="BC3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23835</v>
      </c>
      <c r="BD39" s="84" vm="5822">
        <v>7361</v>
      </c>
      <c r="BE39" s="83" vm="7243">
        <v>1198</v>
      </c>
      <c r="BF39" s="83" vm="5823">
        <v>3427</v>
      </c>
      <c r="BG39" s="83" vm="5824">
        <v>2553</v>
      </c>
      <c r="BH39" s="83" vm="5825">
        <v>1717</v>
      </c>
      <c r="BI39" s="83" vm="5826">
        <v>0</v>
      </c>
      <c r="BJ39" s="83" vm="6887">
        <v>7180</v>
      </c>
      <c r="BK39" s="83" vm="3738">
        <v>0</v>
      </c>
      <c r="BL39" s="83">
        <v>0</v>
      </c>
      <c r="BM39" s="83">
        <v>0</v>
      </c>
      <c r="BN39" s="83" vm="5827">
        <v>363</v>
      </c>
      <c r="BO39" s="83" vm="5828">
        <v>36</v>
      </c>
      <c r="BP39" s="5" vm="5804">
        <f xml:space="preserve"> VfM_Metrics_2023_Consol[[#This Row],[Total social housing units owned and/or managed at period end]]</f>
        <v>5250</v>
      </c>
      <c r="BQ39" s="84" vm="5804">
        <v>5250</v>
      </c>
      <c r="BR39" s="7">
        <f xml:space="preserve"> IFERROR( VfM_Metrics_2023_Consol[[#This Row],[SHL operating surplus / (deficit)]] / VfM_Metrics_2023_Consol[[#This Row],[Turnover from social housing lettings]], "n/a" )</f>
        <v>0.22458183884370894</v>
      </c>
      <c r="BS39" s="5" vm="5829">
        <f xml:space="preserve"> VfM_Metrics_2023_Consol[[#This Row],[Operating surplus/(deficit) (social housing lettings)]]</f>
        <v>6324</v>
      </c>
      <c r="BT39" s="84" vm="5829">
        <v>6324</v>
      </c>
      <c r="BU39" s="5" vm="5830">
        <f xml:space="preserve"> VfM_Metrics_2023_Consol[[#This Row],[Turnover from social housing lettings]]</f>
        <v>28159</v>
      </c>
      <c r="BV39" s="84" vm="5830">
        <v>28159</v>
      </c>
      <c r="BW39" s="7">
        <f xml:space="preserve"> IFERROR( VfM_Metrics_2023_Consol[[#This Row],[Net operating surplus]] / VfM_Metrics_2023_Consol[[#This Row],[Overall turnover]], "n/a" )</f>
        <v>0.21104699093157461</v>
      </c>
      <c r="BX39" s="5">
        <f xml:space="preserve"> SUM( VfM_Metrics_2023_Consol[[#This Row],[Operating surplus/(deficit) (overall)2]], - VfM_Metrics_2023_Consol[[#This Row],[Gain/(loss) on disposal of fixed assets (housing properties)2]], - VfM_Metrics_2023_Consol[[#This Row],[Gain/(loss) on disposal of fixed assets (other)2]] )</f>
        <v>6656</v>
      </c>
      <c r="BY39" s="84" vm="5815">
        <v>7593</v>
      </c>
      <c r="BZ39" s="83" vm="5816">
        <v>937</v>
      </c>
      <c r="CA39" s="83">
        <v>0</v>
      </c>
      <c r="CB39" s="5" vm="5831">
        <f xml:space="preserve"> VfM_Metrics_2023_Consol[[#This Row],[Turnover (overall)]]</f>
        <v>31538</v>
      </c>
      <c r="CC39" s="84" vm="5831">
        <v>31538</v>
      </c>
      <c r="CD39" s="7">
        <f xml:space="preserve"> IFERROR( VfM_Metrics_2023_Consol[[#This Row],[Operating surplus including from JVs]] / VfM_Metrics_2023_Consol[[#This Row],[Net assets]], "n/a" )</f>
        <v>4.5462982366853276E-2</v>
      </c>
      <c r="CE39" s="5">
        <f xml:space="preserve"> SUM( VfM_Metrics_2023_Consol[[#This Row],[Operating surplus/(deficit) (overall)3]], VfM_Metrics_2023_Consol[[#This Row],[Share of operating surplus/(deficit) in joint ventures or associates]] )</f>
        <v>7593</v>
      </c>
      <c r="CF39" s="84" vm="5695">
        <v>7593</v>
      </c>
      <c r="CG39" s="83">
        <v>0</v>
      </c>
      <c r="CH39" s="5" vm="5832">
        <f xml:space="preserve"> VfM_Metrics_2023_Consol[[#This Row],[Total assets less current liabilities]]</f>
        <v>167015</v>
      </c>
      <c r="CI39" s="84" vm="5832">
        <v>167015</v>
      </c>
      <c r="CJ39" s="71" vm="5803">
        <f xml:space="preserve"> VfM_Metrics_2023_Consol[[#This Row],[Total social housing units owned (Period end)]]</f>
        <v>5239</v>
      </c>
      <c r="CK39" s="103">
        <v>9.5822154082023765E-4</v>
      </c>
      <c r="CL39" s="6">
        <f xml:space="preserve"> -- ( VfM_Metrics_2023_Consol[[#This Row],[% Supported housing (excl. HOP)]] &gt; 0.3 )</f>
        <v>0</v>
      </c>
      <c r="CM39" s="103">
        <v>0.20582598696818705</v>
      </c>
      <c r="CN39" s="6">
        <f xml:space="preserve"> -- ( VfM_Metrics_2023_Consol[[#This Row],[% Housing for older people]] &gt; 0.3 )</f>
        <v>0</v>
      </c>
      <c r="CO39" s="103">
        <f xml:space="preserve"> VfM_Metrics_2023_Consol[[#This Row],[% Supported housing (excl. HOP)]] + VfM_Metrics_2023_Consol[[#This Row],[% Housing for older people]]</f>
        <v>0.20678420850900728</v>
      </c>
      <c r="CP39" s="6">
        <f xml:space="preserve"> -- ( VfM_Metrics_2023_Consol[[#This Row],[SH specialist in RSH analysis]] + VfM_Metrics_2023_Consol[[#This Row],[OP specialist in RSH analysis]] &gt; 0 )</f>
        <v>0</v>
      </c>
      <c r="CQ39" s="10">
        <f xml:space="preserve"> -- ( VfM_Metrics_2023_Consol[[#This Row],[% SH and OP]] &gt; 0.3 )</f>
        <v>0</v>
      </c>
      <c r="CR39" s="104" t="s">
        <v>143</v>
      </c>
      <c r="CS39" s="124"/>
      <c r="CT39" s="105" t="s">
        <v>151</v>
      </c>
      <c r="CU3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39" s="85">
        <v>0</v>
      </c>
      <c r="CW39" s="85">
        <v>0</v>
      </c>
      <c r="CX39" s="85">
        <v>0</v>
      </c>
      <c r="CY39" s="85">
        <v>3.6571428571428574E-2</v>
      </c>
      <c r="CZ39" s="85">
        <v>0</v>
      </c>
      <c r="DA39" s="85">
        <v>0</v>
      </c>
      <c r="DB39" s="85">
        <v>0</v>
      </c>
      <c r="DC39" s="85">
        <v>0.96342857142857141</v>
      </c>
      <c r="DD39" s="85">
        <v>0</v>
      </c>
      <c r="DE39" s="13">
        <v>0.96037437590874097</v>
      </c>
    </row>
    <row r="40" spans="1:109" x14ac:dyDescent="0.25">
      <c r="A40" s="4" t="s" vm="214">
        <v>204</v>
      </c>
      <c r="B40" s="2" t="s" vm="30">
        <v>205</v>
      </c>
      <c r="C40" s="72" vm="409">
        <v>45016</v>
      </c>
      <c r="D40" s="7">
        <f>IFERROR( VfM_Metrics_2023_Consol[[#This Row],[Reinvestment Spend]] / VfM_Metrics_2023_Consol[[#This Row],[Net Book Value of Housing Properties]], "n/a" )</f>
        <v>2.0411160957457878E-2</v>
      </c>
      <c r="E4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3335</v>
      </c>
      <c r="F40" s="83" vm="8810">
        <v>2311</v>
      </c>
      <c r="G40" s="83" vm="8920">
        <v>0</v>
      </c>
      <c r="H40" s="83" vm="8707">
        <v>353</v>
      </c>
      <c r="I40" s="83" vm="8902">
        <v>671</v>
      </c>
      <c r="J40" s="83" vm="897">
        <v>0</v>
      </c>
      <c r="K40" s="5">
        <f xml:space="preserve"> SUM( VfM_Metrics_2023_Consol[[#This Row],[Tangible fixed assets: Housing properties at cost (Current period)]],VfM_Metrics_2023_Consol[[#This Row],[Tangible fixed assets Housing properties at valuation (Current period)]] )</f>
        <v>163391</v>
      </c>
      <c r="L40" s="84" vm="8908">
        <v>163391</v>
      </c>
      <c r="M40" s="83" vm="899">
        <v>0</v>
      </c>
      <c r="N40" s="7">
        <f xml:space="preserve"> IFERROR( VfM_Metrics_2023_Consol[[#This Row],[Total social units developed or newly built units acquired in-year]] / VfM_Metrics_2023_Consol[[#This Row],[Social housing units owned (period end)]], "n/a" )</f>
        <v>6.4608758076094763E-3</v>
      </c>
      <c r="O40" s="5">
        <f xml:space="preserve"> SUM( VfM_Metrics_2023_Consol[[#This Row],[Total social units developed or newly built units acquired in-year (owned)]], VfM_Metrics_2023_Consol[[#This Row],[Total social leasehold units developed or newly built units acquired in-year (owned)]] )</f>
        <v>9</v>
      </c>
      <c r="P40" s="84" vm="8864">
        <v>9</v>
      </c>
      <c r="Q40" s="83">
        <v>0</v>
      </c>
      <c r="R40" s="5">
        <f xml:space="preserve"> SUM( VfM_Metrics_2023_Consol[[#This Row],[Total social housing units owned (Period end)]], VfM_Metrics_2023_Consol[[#This Row],[Total social leasehold units owned (Period end)]] )</f>
        <v>1393</v>
      </c>
      <c r="S40" s="84" vm="8698">
        <v>1358</v>
      </c>
      <c r="T40" s="83" vm="900">
        <v>35</v>
      </c>
      <c r="U40" s="86">
        <f xml:space="preserve"> IFERROR( VfM_Metrics_2023_Consol[[#This Row],[Total non-social housing units developed or newly built units acquired (owned)]] / VfM_Metrics_2023_Consol[[#This Row],[Total social and non-social housing units owned (Period end)]], "n/a" )</f>
        <v>2.1186440677966102E-3</v>
      </c>
      <c r="V4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v>
      </c>
      <c r="W40" s="83" vm="8861">
        <v>3</v>
      </c>
      <c r="X40" s="83">
        <v>0</v>
      </c>
      <c r="Y40" s="83" vm="8831">
        <v>0</v>
      </c>
      <c r="Z4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1416</v>
      </c>
      <c r="AA40" s="84" vm="895">
        <v>1358</v>
      </c>
      <c r="AB40" s="83" vm="8753">
        <v>35</v>
      </c>
      <c r="AC40" s="83" vm="8878">
        <v>23</v>
      </c>
      <c r="AD40" s="83" vm="8858">
        <v>0</v>
      </c>
      <c r="AE40" s="7">
        <f xml:space="preserve"> IFERROR( VfM_Metrics_2023_Consol[[#This Row],[Total Net Debt]] / VfM_Metrics_2023_Consol[[#This Row],[Net Book Value of Housing Properties2]], "n/a" )</f>
        <v>0.47646443194545601</v>
      </c>
      <c r="AF4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77850</v>
      </c>
      <c r="AG40" s="84" vm="8829">
        <v>2179</v>
      </c>
      <c r="AH40" s="83" vm="1135">
        <v>75874</v>
      </c>
      <c r="AI40" s="83" vm="8942">
        <v>203</v>
      </c>
      <c r="AJ40" s="83" vm="902">
        <v>0</v>
      </c>
      <c r="AK40" s="83" vm="8912">
        <v>0</v>
      </c>
      <c r="AL40" s="5">
        <f xml:space="preserve"> SUM( VfM_Metrics_2023_Consol[[#This Row],[Tangible fixed assets: Housing properties at cost (Current period)2]], VfM_Metrics_2023_Consol[[#This Row],[Tangible fixed assets Housing properties at valuation (Current period)2]] )</f>
        <v>163391</v>
      </c>
      <c r="AM40" s="84" vm="8693">
        <v>163391</v>
      </c>
      <c r="AN40" s="83" vm="8898">
        <v>0</v>
      </c>
      <c r="AO40" s="87">
        <f xml:space="preserve"> IFERROR( VfM_Metrics_2023_Consol[[#This Row],[EBITDA MRI]] / VfM_Metrics_2023_Consol[[#This Row],[Total interest]], "n/a" )</f>
        <v>1.2088627207933065</v>
      </c>
      <c r="AP4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3901</v>
      </c>
      <c r="AQ40" s="84" vm="903">
        <v>2617</v>
      </c>
      <c r="AR40" s="84" vm="8808">
        <v>0</v>
      </c>
      <c r="AS40" s="84" vm="905">
        <v>0</v>
      </c>
      <c r="AT40" s="84" vm="906">
        <v>663</v>
      </c>
      <c r="AU40" s="84" vm="8699">
        <v>0</v>
      </c>
      <c r="AV40" s="84" vm="9097">
        <v>0</v>
      </c>
      <c r="AW40" s="84" vm="732">
        <v>353</v>
      </c>
      <c r="AX40" s="84" vm="8907">
        <v>2300</v>
      </c>
      <c r="AY40" s="3">
        <f xml:space="preserve"> - SUM( VfM_Metrics_2023_Consol[[#This Row],[Interest capitalised]], VfM_Metrics_2023_Consol[[#This Row],[Interest payable and financing costs]] )</f>
        <v>3227</v>
      </c>
      <c r="AZ40" s="84" vm="8680">
        <v>-671</v>
      </c>
      <c r="BA40" s="83" vm="8840">
        <v>-2556</v>
      </c>
      <c r="BB40" s="8">
        <f xml:space="preserve"> IFERROR( ( VfM_Metrics_2023_Consol[[#This Row],[Total Costs]] / VfM_Metrics_2023_Consol[[#This Row],[Total units for costs]] ) * 1000, "n/a" )</f>
        <v>7137.5166889185584</v>
      </c>
      <c r="BC4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10692</v>
      </c>
      <c r="BD40" s="84" vm="908">
        <v>3305</v>
      </c>
      <c r="BE40" s="83" vm="8891">
        <v>2856</v>
      </c>
      <c r="BF40" s="83" vm="8904">
        <v>2477</v>
      </c>
      <c r="BG40" s="83" vm="803">
        <v>51</v>
      </c>
      <c r="BH40" s="83" vm="1235">
        <v>0</v>
      </c>
      <c r="BI40" s="83" vm="909">
        <v>718</v>
      </c>
      <c r="BJ40" s="83" vm="907">
        <v>353</v>
      </c>
      <c r="BK40" s="83" vm="8875">
        <v>45</v>
      </c>
      <c r="BL40" s="83" vm="8677">
        <v>0</v>
      </c>
      <c r="BM40" s="83" vm="8900">
        <v>0</v>
      </c>
      <c r="BN40" s="83" vm="8728">
        <v>0</v>
      </c>
      <c r="BO40" s="83" vm="1131">
        <v>887</v>
      </c>
      <c r="BP40" s="5" vm="8749">
        <f xml:space="preserve"> VfM_Metrics_2023_Consol[[#This Row],[Total social housing units owned and/or managed at period end]]</f>
        <v>1498</v>
      </c>
      <c r="BQ40" s="84" vm="8749">
        <v>1498</v>
      </c>
      <c r="BR40" s="7">
        <f xml:space="preserve"> IFERROR( VfM_Metrics_2023_Consol[[#This Row],[SHL operating surplus / (deficit)]] / VfM_Metrics_2023_Consol[[#This Row],[Turnover from social housing lettings]], "n/a" )</f>
        <v>0.1584560690705942</v>
      </c>
      <c r="BS40" s="5" vm="769">
        <f xml:space="preserve"> VfM_Metrics_2023_Consol[[#This Row],[Operating surplus/(deficit) (social housing lettings)]]</f>
        <v>2184</v>
      </c>
      <c r="BT40" s="84" vm="769">
        <v>2184</v>
      </c>
      <c r="BU40" s="5" vm="910">
        <f xml:space="preserve"> VfM_Metrics_2023_Consol[[#This Row],[Turnover from social housing lettings]]</f>
        <v>13783</v>
      </c>
      <c r="BV40" s="84" vm="910">
        <v>13783</v>
      </c>
      <c r="BW40" s="7">
        <f xml:space="preserve"> IFERROR( VfM_Metrics_2023_Consol[[#This Row],[Net operating surplus]] / VfM_Metrics_2023_Consol[[#This Row],[Overall turnover]], "n/a" )</f>
        <v>0.17075557875505676</v>
      </c>
      <c r="BX40" s="5">
        <f xml:space="preserve"> SUM( VfM_Metrics_2023_Consol[[#This Row],[Operating surplus/(deficit) (overall)2]], - VfM_Metrics_2023_Consol[[#This Row],[Gain/(loss) on disposal of fixed assets (housing properties)2]], - VfM_Metrics_2023_Consol[[#This Row],[Gain/(loss) on disposal of fixed assets (other)2]] )</f>
        <v>2617</v>
      </c>
      <c r="BY40" s="84" vm="903">
        <v>2617</v>
      </c>
      <c r="BZ40" s="83" vm="904">
        <v>0</v>
      </c>
      <c r="CA40" s="83" vm="8889">
        <v>0</v>
      </c>
      <c r="CB40" s="5" vm="1223">
        <f xml:space="preserve"> VfM_Metrics_2023_Consol[[#This Row],[Turnover (overall)]]</f>
        <v>15326</v>
      </c>
      <c r="CC40" s="84" vm="1223">
        <v>15326</v>
      </c>
      <c r="CD40" s="7">
        <f xml:space="preserve"> IFERROR( VfM_Metrics_2023_Consol[[#This Row],[Operating surplus including from JVs]] / VfM_Metrics_2023_Consol[[#This Row],[Net assets]], "n/a" )</f>
        <v>1.6237311691857145E-2</v>
      </c>
      <c r="CE40" s="5">
        <f xml:space="preserve"> SUM( VfM_Metrics_2023_Consol[[#This Row],[Operating surplus/(deficit) (overall)3]], VfM_Metrics_2023_Consol[[#This Row],[Share of operating surplus/(deficit) in joint ventures or associates]] )</f>
        <v>2617</v>
      </c>
      <c r="CF40" s="84" vm="903">
        <v>2617</v>
      </c>
      <c r="CG40" s="83" vm="911">
        <v>0</v>
      </c>
      <c r="CH40" s="5" vm="8723">
        <f xml:space="preserve"> VfM_Metrics_2023_Consol[[#This Row],[Total assets less current liabilities]]</f>
        <v>161172</v>
      </c>
      <c r="CI40" s="84" vm="8723">
        <v>161172</v>
      </c>
      <c r="CJ40" s="71" vm="8698">
        <f xml:space="preserve"> VfM_Metrics_2023_Consol[[#This Row],[Total social housing units owned (Period end)]]</f>
        <v>1358</v>
      </c>
      <c r="CK40" s="103">
        <v>0.13574982231698648</v>
      </c>
      <c r="CL40" s="6">
        <f xml:space="preserve"> -- ( VfM_Metrics_2023_Consol[[#This Row],[% Supported housing (excl. HOP)]] &gt; 0.3 )</f>
        <v>0</v>
      </c>
      <c r="CM40" s="103">
        <v>0.1634683724235963</v>
      </c>
      <c r="CN40" s="6">
        <f xml:space="preserve"> -- ( VfM_Metrics_2023_Consol[[#This Row],[% Housing for older people]] &gt; 0.3 )</f>
        <v>0</v>
      </c>
      <c r="CO40" s="103">
        <f xml:space="preserve"> VfM_Metrics_2023_Consol[[#This Row],[% Supported housing (excl. HOP)]] + VfM_Metrics_2023_Consol[[#This Row],[% Housing for older people]]</f>
        <v>0.29921819474058275</v>
      </c>
      <c r="CP40" s="6">
        <f xml:space="preserve"> -- ( VfM_Metrics_2023_Consol[[#This Row],[SH specialist in RSH analysis]] + VfM_Metrics_2023_Consol[[#This Row],[OP specialist in RSH analysis]] &gt; 0 )</f>
        <v>0</v>
      </c>
      <c r="CQ40" s="10">
        <f xml:space="preserve"> -- ( VfM_Metrics_2023_Consol[[#This Row],[% SH and OP]] &gt; 0.3 )</f>
        <v>0</v>
      </c>
      <c r="CR40" s="104" t="s">
        <v>143</v>
      </c>
      <c r="CS40" s="124" t="s">
        <v>144</v>
      </c>
      <c r="CT40" s="105"/>
      <c r="CU4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40" s="85">
        <v>1</v>
      </c>
      <c r="CW40" s="85">
        <v>0</v>
      </c>
      <c r="CX40" s="85">
        <v>0</v>
      </c>
      <c r="CY40" s="85">
        <v>0</v>
      </c>
      <c r="CZ40" s="85">
        <v>0</v>
      </c>
      <c r="DA40" s="85">
        <v>0</v>
      </c>
      <c r="DB40" s="85">
        <v>0</v>
      </c>
      <c r="DC40" s="85">
        <v>0</v>
      </c>
      <c r="DD40" s="85">
        <v>0</v>
      </c>
      <c r="DE40" s="13">
        <v>1.1603700449887588</v>
      </c>
    </row>
    <row r="41" spans="1:109" x14ac:dyDescent="0.25">
      <c r="A41" s="4" t="s" vm="342">
        <v>206</v>
      </c>
      <c r="B41" s="2" t="s" vm="31">
        <v>207</v>
      </c>
      <c r="C41" s="72" vm="452">
        <v>45016</v>
      </c>
      <c r="D41" s="7">
        <f>IFERROR( VfM_Metrics_2023_Consol[[#This Row],[Reinvestment Spend]] / VfM_Metrics_2023_Consol[[#This Row],[Net Book Value of Housing Properties]], "n/a" )</f>
        <v>8.9448107581523037E-2</v>
      </c>
      <c r="E4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126067</v>
      </c>
      <c r="F41" s="83" vm="4811">
        <v>94635</v>
      </c>
      <c r="G41" s="83" vm="4812">
        <v>0</v>
      </c>
      <c r="H41" s="83" vm="7399">
        <v>30277</v>
      </c>
      <c r="I41" s="83" vm="4147">
        <v>1155</v>
      </c>
      <c r="J41" s="83" vm="4813">
        <v>0</v>
      </c>
      <c r="K41" s="5">
        <f xml:space="preserve"> SUM( VfM_Metrics_2023_Consol[[#This Row],[Tangible fixed assets: Housing properties at cost (Current period)]],VfM_Metrics_2023_Consol[[#This Row],[Tangible fixed assets Housing properties at valuation (Current period)]] )</f>
        <v>1409387</v>
      </c>
      <c r="L41" s="84" vm="4814">
        <v>1409387</v>
      </c>
      <c r="M41" s="83">
        <v>0</v>
      </c>
      <c r="N41" s="7">
        <f xml:space="preserve"> IFERROR( VfM_Metrics_2023_Consol[[#This Row],[Total social units developed or newly built units acquired in-year]] / VfM_Metrics_2023_Consol[[#This Row],[Social housing units owned (period end)]], "n/a" )</f>
        <v>1.9354397483244426E-2</v>
      </c>
      <c r="O41" s="5">
        <f xml:space="preserve"> SUM( VfM_Metrics_2023_Consol[[#This Row],[Total social units developed or newly built units acquired in-year (owned)]], VfM_Metrics_2023_Consol[[#This Row],[Total social leasehold units developed or newly built units acquired in-year (owned)]] )</f>
        <v>566</v>
      </c>
      <c r="P41" s="84" vm="2264">
        <v>566</v>
      </c>
      <c r="Q41" s="83">
        <v>0</v>
      </c>
      <c r="R41" s="5">
        <f xml:space="preserve"> SUM( VfM_Metrics_2023_Consol[[#This Row],[Total social housing units owned (Period end)]], VfM_Metrics_2023_Consol[[#This Row],[Total social leasehold units owned (Period end)]] )</f>
        <v>29244</v>
      </c>
      <c r="S41" s="84" vm="7048">
        <v>29244</v>
      </c>
      <c r="T41" s="83" vm="4815">
        <v>0</v>
      </c>
      <c r="U41" s="86">
        <f xml:space="preserve"> IFERROR( VfM_Metrics_2023_Consol[[#This Row],[Total non-social housing units developed or newly built units acquired (owned)]] / VfM_Metrics_2023_Consol[[#This Row],[Total social and non-social housing units owned (Period end)]], "n/a" )</f>
        <v>9.4664100217727433E-4</v>
      </c>
      <c r="V4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30</v>
      </c>
      <c r="W41" s="83">
        <v>0</v>
      </c>
      <c r="X41" s="83">
        <v>0</v>
      </c>
      <c r="Y41" s="83" vm="4816">
        <v>30</v>
      </c>
      <c r="Z4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31691</v>
      </c>
      <c r="AA41" s="84" vm="4810">
        <v>29244</v>
      </c>
      <c r="AB41" s="83" vm="4815">
        <v>0</v>
      </c>
      <c r="AC41" s="83" vm="4817">
        <v>118</v>
      </c>
      <c r="AD41" s="83" vm="4818">
        <v>2329</v>
      </c>
      <c r="AE41" s="7">
        <f xml:space="preserve"> IFERROR( VfM_Metrics_2023_Consol[[#This Row],[Total Net Debt]] / VfM_Metrics_2023_Consol[[#This Row],[Net Book Value of Housing Properties2]], "n/a" )</f>
        <v>0.46799566052475294</v>
      </c>
      <c r="AF4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659587</v>
      </c>
      <c r="AG41" s="84" vm="4819">
        <v>7367</v>
      </c>
      <c r="AH41" s="83" vm="4820">
        <v>696740</v>
      </c>
      <c r="AI41" s="83" vm="4821">
        <v>44520</v>
      </c>
      <c r="AJ41" s="83" vm="1675">
        <v>0</v>
      </c>
      <c r="AK41" s="83">
        <v>0</v>
      </c>
      <c r="AL41" s="5">
        <f xml:space="preserve"> SUM( VfM_Metrics_2023_Consol[[#This Row],[Tangible fixed assets: Housing properties at cost (Current period)2]], VfM_Metrics_2023_Consol[[#This Row],[Tangible fixed assets Housing properties at valuation (Current period)2]] )</f>
        <v>1409387</v>
      </c>
      <c r="AM41" s="84" vm="4814">
        <v>1409387</v>
      </c>
      <c r="AN41" s="83">
        <v>0</v>
      </c>
      <c r="AO41" s="87">
        <f xml:space="preserve"> IFERROR( VfM_Metrics_2023_Consol[[#This Row],[EBITDA MRI]] / VfM_Metrics_2023_Consol[[#This Row],[Total interest]], "n/a" )</f>
        <v>1.2825911973984996</v>
      </c>
      <c r="AP4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39836</v>
      </c>
      <c r="AQ41" s="84" vm="3492">
        <v>50928</v>
      </c>
      <c r="AR41" s="84" vm="7358">
        <v>5623</v>
      </c>
      <c r="AS41" s="84">
        <v>0</v>
      </c>
      <c r="AT41" s="84" vm="4824">
        <v>4336</v>
      </c>
      <c r="AU41" s="84" vm="4825">
        <v>1485</v>
      </c>
      <c r="AV41" s="84" vm="4826">
        <v>2024</v>
      </c>
      <c r="AW41" s="84" vm="4827">
        <v>30277</v>
      </c>
      <c r="AX41" s="84" vm="7283">
        <v>28605</v>
      </c>
      <c r="AY41" s="3">
        <f xml:space="preserve"> - SUM( VfM_Metrics_2023_Consol[[#This Row],[Interest capitalised]], VfM_Metrics_2023_Consol[[#This Row],[Interest payable and financing costs]] )</f>
        <v>31059</v>
      </c>
      <c r="AZ41" s="84" vm="7494">
        <v>-1155</v>
      </c>
      <c r="BA41" s="83" vm="4828">
        <v>-29904</v>
      </c>
      <c r="BB41" s="8">
        <f xml:space="preserve"> IFERROR( ( VfM_Metrics_2023_Consol[[#This Row],[Total Costs]] / VfM_Metrics_2023_Consol[[#This Row],[Total units for costs]] ) * 1000, "n/a" )</f>
        <v>4188.4602253328776</v>
      </c>
      <c r="BC4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122680</v>
      </c>
      <c r="BD41" s="84" vm="5149">
        <v>16728</v>
      </c>
      <c r="BE41" s="83" vm="4829">
        <v>21164</v>
      </c>
      <c r="BF41" s="83" vm="4830">
        <v>30444</v>
      </c>
      <c r="BG41" s="83" vm="7383">
        <v>11630</v>
      </c>
      <c r="BH41" s="83" vm="4831">
        <v>9692</v>
      </c>
      <c r="BI41" s="83" vm="7508">
        <v>127</v>
      </c>
      <c r="BJ41" s="83" vm="4827">
        <v>30277</v>
      </c>
      <c r="BK41" s="83" vm="4832">
        <v>54</v>
      </c>
      <c r="BL41" s="83" vm="4833">
        <v>401</v>
      </c>
      <c r="BM41" s="83" vm="4834">
        <v>1447</v>
      </c>
      <c r="BN41" s="83" vm="4835">
        <v>716</v>
      </c>
      <c r="BO41" s="83">
        <v>0</v>
      </c>
      <c r="BP41" s="5" vm="5030">
        <f xml:space="preserve"> VfM_Metrics_2023_Consol[[#This Row],[Total social housing units owned and/or managed at period end]]</f>
        <v>29290</v>
      </c>
      <c r="BQ41" s="84" vm="5030">
        <v>29290</v>
      </c>
      <c r="BR41" s="7">
        <f xml:space="preserve"> IFERROR( VfM_Metrics_2023_Consol[[#This Row],[SHL operating surplus / (deficit)]] / VfM_Metrics_2023_Consol[[#This Row],[Turnover from social housing lettings]], "n/a" )</f>
        <v>0.24258492024275596</v>
      </c>
      <c r="BS41" s="5" vm="4836">
        <f xml:space="preserve"> VfM_Metrics_2023_Consol[[#This Row],[Operating surplus/(deficit) (social housing lettings)]]</f>
        <v>38293</v>
      </c>
      <c r="BT41" s="84" vm="4836">
        <v>38293</v>
      </c>
      <c r="BU41" s="5" vm="4837">
        <f xml:space="preserve"> VfM_Metrics_2023_Consol[[#This Row],[Turnover from social housing lettings]]</f>
        <v>157854</v>
      </c>
      <c r="BV41" s="84" vm="4837">
        <v>157854</v>
      </c>
      <c r="BW41" s="7">
        <f xml:space="preserve"> IFERROR( VfM_Metrics_2023_Consol[[#This Row],[Net operating surplus]] / VfM_Metrics_2023_Consol[[#This Row],[Overall turnover]], "n/a" )</f>
        <v>0.24482439976006615</v>
      </c>
      <c r="BX41" s="5">
        <f xml:space="preserve"> SUM( VfM_Metrics_2023_Consol[[#This Row],[Operating surplus/(deficit) (overall)2]], - VfM_Metrics_2023_Consol[[#This Row],[Gain/(loss) on disposal of fixed assets (housing properties)2]], - VfM_Metrics_2023_Consol[[#This Row],[Gain/(loss) on disposal of fixed assets (other)2]] )</f>
        <v>45305</v>
      </c>
      <c r="BY41" s="84" vm="4683">
        <v>50928</v>
      </c>
      <c r="BZ41" s="83" vm="4823">
        <v>5623</v>
      </c>
      <c r="CA41" s="83">
        <v>0</v>
      </c>
      <c r="CB41" s="5" vm="6961">
        <f xml:space="preserve"> VfM_Metrics_2023_Consol[[#This Row],[Turnover (overall)]]</f>
        <v>185051</v>
      </c>
      <c r="CC41" s="84" vm="6961">
        <v>185051</v>
      </c>
      <c r="CD41" s="7">
        <f xml:space="preserve"> IFERROR( VfM_Metrics_2023_Consol[[#This Row],[Operating surplus including from JVs]] / VfM_Metrics_2023_Consol[[#This Row],[Net assets]], "n/a" )</f>
        <v>3.6494824744014741E-2</v>
      </c>
      <c r="CE41" s="5">
        <f xml:space="preserve"> SUM( VfM_Metrics_2023_Consol[[#This Row],[Operating surplus/(deficit) (overall)3]], VfM_Metrics_2023_Consol[[#This Row],[Share of operating surplus/(deficit) in joint ventures or associates]] )</f>
        <v>52557</v>
      </c>
      <c r="CF41" s="84" vm="4822">
        <v>50928</v>
      </c>
      <c r="CG41" s="83" vm="7373">
        <v>1629</v>
      </c>
      <c r="CH41" s="5" vm="4839">
        <f xml:space="preserve"> VfM_Metrics_2023_Consol[[#This Row],[Total assets less current liabilities]]</f>
        <v>1440122</v>
      </c>
      <c r="CI41" s="84" vm="4839">
        <v>1440122</v>
      </c>
      <c r="CJ41" s="71" vm="7048">
        <f xml:space="preserve"> VfM_Metrics_2023_Consol[[#This Row],[Total social housing units owned (Period end)]]</f>
        <v>29244</v>
      </c>
      <c r="CK41" s="103">
        <v>1.5339313839621995E-2</v>
      </c>
      <c r="CL41" s="6">
        <f xml:space="preserve"> -- ( VfM_Metrics_2023_Consol[[#This Row],[% Supported housing (excl. HOP)]] &gt; 0.3 )</f>
        <v>0</v>
      </c>
      <c r="CM41" s="103">
        <v>2.4378552352256385E-2</v>
      </c>
      <c r="CN41" s="6">
        <f xml:space="preserve"> -- ( VfM_Metrics_2023_Consol[[#This Row],[% Housing for older people]] &gt; 0.3 )</f>
        <v>0</v>
      </c>
      <c r="CO41" s="103">
        <f xml:space="preserve"> VfM_Metrics_2023_Consol[[#This Row],[% Supported housing (excl. HOP)]] + VfM_Metrics_2023_Consol[[#This Row],[% Housing for older people]]</f>
        <v>3.9717866191878379E-2</v>
      </c>
      <c r="CP41" s="6">
        <f xml:space="preserve"> -- ( VfM_Metrics_2023_Consol[[#This Row],[SH specialist in RSH analysis]] + VfM_Metrics_2023_Consol[[#This Row],[OP specialist in RSH analysis]] &gt; 0 )</f>
        <v>0</v>
      </c>
      <c r="CQ41" s="10">
        <f xml:space="preserve"> -- ( VfM_Metrics_2023_Consol[[#This Row],[% SH and OP]] &gt; 0.3 )</f>
        <v>0</v>
      </c>
      <c r="CR41" s="104" t="s">
        <v>143</v>
      </c>
      <c r="CS41" s="124"/>
      <c r="CT41" s="105" t="s">
        <v>151</v>
      </c>
      <c r="CU4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41" s="85">
        <v>0</v>
      </c>
      <c r="CW41" s="85">
        <v>0</v>
      </c>
      <c r="CX41" s="85">
        <v>8.8907126248119277E-4</v>
      </c>
      <c r="CY41" s="85">
        <v>0</v>
      </c>
      <c r="CZ41" s="85">
        <v>0.99911092873751883</v>
      </c>
      <c r="DA41" s="85">
        <v>0</v>
      </c>
      <c r="DB41" s="85">
        <v>0</v>
      </c>
      <c r="DC41" s="85">
        <v>0</v>
      </c>
      <c r="DD41" s="85">
        <v>0</v>
      </c>
      <c r="DE41" s="13">
        <v>0.9645996940951117</v>
      </c>
    </row>
    <row r="42" spans="1:109" x14ac:dyDescent="0.25">
      <c r="A42" s="4" t="s" vm="246">
        <v>208</v>
      </c>
      <c r="B42" s="2" t="s" vm="32">
        <v>209</v>
      </c>
      <c r="C42" s="72" vm="450">
        <v>45016</v>
      </c>
      <c r="D42" s="7">
        <f>IFERROR( VfM_Metrics_2023_Consol[[#This Row],[Reinvestment Spend]] / VfM_Metrics_2023_Consol[[#This Row],[Net Book Value of Housing Properties]], "n/a" )</f>
        <v>5.5830186656502009E-2</v>
      </c>
      <c r="E4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468700</v>
      </c>
      <c r="F42" s="83" vm="1634">
        <v>302700</v>
      </c>
      <c r="G42" s="83" vm="1635">
        <v>300</v>
      </c>
      <c r="H42" s="83" vm="1636">
        <v>145900</v>
      </c>
      <c r="I42" s="83" vm="1637">
        <v>19800</v>
      </c>
      <c r="J42" s="83" vm="8385">
        <v>0</v>
      </c>
      <c r="K42" s="5">
        <f xml:space="preserve"> SUM( VfM_Metrics_2023_Consol[[#This Row],[Tangible fixed assets: Housing properties at cost (Current period)]],VfM_Metrics_2023_Consol[[#This Row],[Tangible fixed assets Housing properties at valuation (Current period)]] )</f>
        <v>8395100</v>
      </c>
      <c r="L42" s="84" vm="1638">
        <v>8395100</v>
      </c>
      <c r="M42" s="83" vm="1400">
        <v>0</v>
      </c>
      <c r="N42" s="7">
        <f xml:space="preserve"> IFERROR( VfM_Metrics_2023_Consol[[#This Row],[Total social units developed or newly built units acquired in-year]] / VfM_Metrics_2023_Consol[[#This Row],[Social housing units owned (period end)]], "n/a" )</f>
        <v>1.3360834384107288E-2</v>
      </c>
      <c r="O42" s="5">
        <f xml:space="preserve"> SUM( VfM_Metrics_2023_Consol[[#This Row],[Total social units developed or newly built units acquired in-year (owned)]], VfM_Metrics_2023_Consol[[#This Row],[Total social leasehold units developed or newly built units acquired in-year (owned)]] )</f>
        <v>1600</v>
      </c>
      <c r="P42" s="84" vm="1640">
        <v>1595</v>
      </c>
      <c r="Q42" s="83" vm="7132">
        <v>5</v>
      </c>
      <c r="R42" s="5">
        <f xml:space="preserve"> SUM( VfM_Metrics_2023_Consol[[#This Row],[Total social housing units owned (Period end)]], VfM_Metrics_2023_Consol[[#This Row],[Total social leasehold units owned (Period end)]] )</f>
        <v>119753</v>
      </c>
      <c r="S42" s="84" vm="1632">
        <v>109520</v>
      </c>
      <c r="T42" s="83" vm="1641">
        <v>10233</v>
      </c>
      <c r="U42" s="86">
        <f xml:space="preserve"> IFERROR( VfM_Metrics_2023_Consol[[#This Row],[Total non-social housing units developed or newly built units acquired (owned)]] / VfM_Metrics_2023_Consol[[#This Row],[Total social and non-social housing units owned (Period end)]], "n/a" )</f>
        <v>2.5087286178822814E-3</v>
      </c>
      <c r="V4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314</v>
      </c>
      <c r="W42" s="83" vm="1642">
        <v>0</v>
      </c>
      <c r="X42" s="83" vm="1643">
        <v>258</v>
      </c>
      <c r="Y42" s="83" vm="8220">
        <v>56</v>
      </c>
      <c r="Z4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125163</v>
      </c>
      <c r="AA42" s="84" vm="8364">
        <v>109520</v>
      </c>
      <c r="AB42" s="83" vm="1641">
        <v>10233</v>
      </c>
      <c r="AC42" s="83" vm="1401">
        <v>887</v>
      </c>
      <c r="AD42" s="83" vm="1644">
        <v>4523</v>
      </c>
      <c r="AE42" s="7">
        <f xml:space="preserve"> IFERROR( VfM_Metrics_2023_Consol[[#This Row],[Total Net Debt]] / VfM_Metrics_2023_Consol[[#This Row],[Net Book Value of Housing Properties2]], "n/a" )</f>
        <v>0.52745053662255359</v>
      </c>
      <c r="AF4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4428000</v>
      </c>
      <c r="AG42" s="84" vm="1276">
        <v>45300</v>
      </c>
      <c r="AH42" s="83" vm="8219">
        <v>4464900</v>
      </c>
      <c r="AI42" s="83" vm="1645">
        <v>89400</v>
      </c>
      <c r="AJ42" s="83" vm="1646">
        <v>0</v>
      </c>
      <c r="AK42" s="83" vm="7869">
        <v>7200</v>
      </c>
      <c r="AL42" s="5">
        <f xml:space="preserve"> SUM( VfM_Metrics_2023_Consol[[#This Row],[Tangible fixed assets: Housing properties at cost (Current period)2]], VfM_Metrics_2023_Consol[[#This Row],[Tangible fixed assets Housing properties at valuation (Current period)2]] )</f>
        <v>8395100</v>
      </c>
      <c r="AM42" s="84" vm="8194">
        <v>8395100</v>
      </c>
      <c r="AN42" s="83" vm="1639">
        <v>0</v>
      </c>
      <c r="AO42" s="87">
        <f xml:space="preserve"> IFERROR( VfM_Metrics_2023_Consol[[#This Row],[EBITDA MRI]] / VfM_Metrics_2023_Consol[[#This Row],[Total interest]], "n/a" )</f>
        <v>0.66839602248162555</v>
      </c>
      <c r="AP4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154600</v>
      </c>
      <c r="AQ42" s="84" vm="8335">
        <v>260600</v>
      </c>
      <c r="AR42" s="84" vm="2158">
        <v>95800</v>
      </c>
      <c r="AS42" s="84" vm="1648">
        <v>300</v>
      </c>
      <c r="AT42" s="84" vm="2411">
        <v>24300</v>
      </c>
      <c r="AU42" s="84" vm="1649">
        <v>0</v>
      </c>
      <c r="AV42" s="84" vm="8285">
        <v>14700</v>
      </c>
      <c r="AW42" s="84" vm="8377">
        <v>145900</v>
      </c>
      <c r="AX42" s="84" vm="1650">
        <v>145600</v>
      </c>
      <c r="AY42" s="3">
        <f xml:space="preserve"> - SUM( VfM_Metrics_2023_Consol[[#This Row],[Interest capitalised]], VfM_Metrics_2023_Consol[[#This Row],[Interest payable and financing costs]] )</f>
        <v>231300</v>
      </c>
      <c r="AZ42" s="84" vm="8333">
        <v>-33600</v>
      </c>
      <c r="BA42" s="83" vm="1651">
        <v>-197700</v>
      </c>
      <c r="BB42" s="8">
        <f xml:space="preserve"> IFERROR( ( VfM_Metrics_2023_Consol[[#This Row],[Total Costs]] / VfM_Metrics_2023_Consol[[#This Row],[Total units for costs]] ) * 1000, "n/a" )</f>
        <v>5564.7227210983583</v>
      </c>
      <c r="BC4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610400</v>
      </c>
      <c r="BD42" s="84" vm="1652">
        <v>110200</v>
      </c>
      <c r="BE42" s="83" vm="1653">
        <v>71700</v>
      </c>
      <c r="BF42" s="83" vm="8320">
        <v>157500</v>
      </c>
      <c r="BG42" s="83" vm="1654">
        <v>67100</v>
      </c>
      <c r="BH42" s="83" vm="1655">
        <v>26500</v>
      </c>
      <c r="BI42" s="83" vm="8191">
        <v>200</v>
      </c>
      <c r="BJ42" s="83" vm="8263">
        <v>145900</v>
      </c>
      <c r="BK42" s="83" vm="8267">
        <v>1000</v>
      </c>
      <c r="BL42" s="83" vm="1656">
        <v>1700</v>
      </c>
      <c r="BM42" s="83" vm="7129">
        <v>16800</v>
      </c>
      <c r="BN42" s="83" vm="2847">
        <v>3600</v>
      </c>
      <c r="BO42" s="83" vm="1657">
        <v>8200</v>
      </c>
      <c r="BP42" s="5" vm="1633">
        <f xml:space="preserve"> VfM_Metrics_2023_Consol[[#This Row],[Total social housing units owned and/or managed at period end]]</f>
        <v>109691</v>
      </c>
      <c r="BQ42" s="84" vm="1633">
        <v>109691</v>
      </c>
      <c r="BR42" s="7">
        <f xml:space="preserve"> IFERROR( VfM_Metrics_2023_Consol[[#This Row],[SHL operating surplus / (deficit)]] / VfM_Metrics_2023_Consol[[#This Row],[Turnover from social housing lettings]], "n/a" )</f>
        <v>0.19585814834867352</v>
      </c>
      <c r="BS42" s="5" vm="8048">
        <f xml:space="preserve"> VfM_Metrics_2023_Consol[[#This Row],[Operating surplus/(deficit) (social housing lettings)]]</f>
        <v>144700</v>
      </c>
      <c r="BT42" s="84" vm="8048">
        <v>144700</v>
      </c>
      <c r="BU42" s="5" vm="8189">
        <f xml:space="preserve"> VfM_Metrics_2023_Consol[[#This Row],[Turnover from social housing lettings]]</f>
        <v>738800</v>
      </c>
      <c r="BV42" s="84" vm="8189">
        <v>738800</v>
      </c>
      <c r="BW42" s="7">
        <f xml:space="preserve"> IFERROR( VfM_Metrics_2023_Consol[[#This Row],[Net operating surplus]] / VfM_Metrics_2023_Consol[[#This Row],[Overall turnover]], "n/a" )</f>
        <v>0.16322683072038102</v>
      </c>
      <c r="BX42" s="5">
        <f xml:space="preserve"> SUM( VfM_Metrics_2023_Consol[[#This Row],[Operating surplus/(deficit) (overall)2]], - VfM_Metrics_2023_Consol[[#This Row],[Gain/(loss) on disposal of fixed assets (housing properties)2]], - VfM_Metrics_2023_Consol[[#This Row],[Gain/(loss) on disposal of fixed assets (other)2]] )</f>
        <v>164500</v>
      </c>
      <c r="BY42" s="84" vm="8248">
        <v>260600</v>
      </c>
      <c r="BZ42" s="83" vm="1647">
        <v>95800</v>
      </c>
      <c r="CA42" s="83" vm="8262">
        <v>300</v>
      </c>
      <c r="CB42" s="5" vm="1658">
        <f xml:space="preserve"> VfM_Metrics_2023_Consol[[#This Row],[Turnover (overall)]]</f>
        <v>1007800</v>
      </c>
      <c r="CC42" s="84" vm="1658">
        <v>1007800</v>
      </c>
      <c r="CD42" s="7">
        <f xml:space="preserve"> IFERROR( VfM_Metrics_2023_Consol[[#This Row],[Operating surplus including from JVs]] / VfM_Metrics_2023_Consol[[#This Row],[Net assets]], "n/a" )</f>
        <v>2.8760431722988301E-2</v>
      </c>
      <c r="CE42" s="5">
        <f xml:space="preserve"> SUM( VfM_Metrics_2023_Consol[[#This Row],[Operating surplus/(deficit) (overall)3]], VfM_Metrics_2023_Consol[[#This Row],[Share of operating surplus/(deficit) in joint ventures or associates]] )</f>
        <v>272600</v>
      </c>
      <c r="CF42" s="84" vm="1382">
        <v>260600</v>
      </c>
      <c r="CG42" s="83" vm="1659">
        <v>12000</v>
      </c>
      <c r="CH42" s="5" vm="8217">
        <f xml:space="preserve"> VfM_Metrics_2023_Consol[[#This Row],[Total assets less current liabilities]]</f>
        <v>9478300</v>
      </c>
      <c r="CI42" s="84" vm="8217">
        <v>9478300</v>
      </c>
      <c r="CJ42" s="71" vm="1632">
        <f xml:space="preserve"> VfM_Metrics_2023_Consol[[#This Row],[Total social housing units owned (Period end)]]</f>
        <v>109520</v>
      </c>
      <c r="CK42" s="103">
        <v>1.4766073821191932E-2</v>
      </c>
      <c r="CL42" s="6">
        <f xml:space="preserve"> -- ( VfM_Metrics_2023_Consol[[#This Row],[% Supported housing (excl. HOP)]] &gt; 0.3 )</f>
        <v>0</v>
      </c>
      <c r="CM42" s="103">
        <v>6.0055430134170293E-2</v>
      </c>
      <c r="CN42" s="6">
        <f xml:space="preserve"> -- ( VfM_Metrics_2023_Consol[[#This Row],[% Housing for older people]] &gt; 0.3 )</f>
        <v>0</v>
      </c>
      <c r="CO42" s="103">
        <f xml:space="preserve"> VfM_Metrics_2023_Consol[[#This Row],[% Supported housing (excl. HOP)]] + VfM_Metrics_2023_Consol[[#This Row],[% Housing for older people]]</f>
        <v>7.4821503955362217E-2</v>
      </c>
      <c r="CP42" s="6">
        <f xml:space="preserve"> -- ( VfM_Metrics_2023_Consol[[#This Row],[SH specialist in RSH analysis]] + VfM_Metrics_2023_Consol[[#This Row],[OP specialist in RSH analysis]] &gt; 0 )</f>
        <v>0</v>
      </c>
      <c r="CQ42" s="10">
        <f xml:space="preserve"> -- ( VfM_Metrics_2023_Consol[[#This Row],[% SH and OP]] &gt; 0.3 )</f>
        <v>0</v>
      </c>
      <c r="CR42" s="104" t="s">
        <v>143</v>
      </c>
      <c r="CS42" s="124" t="s">
        <v>144</v>
      </c>
      <c r="CT42" s="105"/>
      <c r="CU4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42" s="85">
        <v>0.38621370223497375</v>
      </c>
      <c r="CW42" s="85">
        <v>0.25905045594926995</v>
      </c>
      <c r="CX42" s="85">
        <v>2.0385226878163777E-2</v>
      </c>
      <c r="CY42" s="85">
        <v>2.5036092176678056E-3</v>
      </c>
      <c r="CZ42" s="85">
        <v>4.8381791268434421E-2</v>
      </c>
      <c r="DA42" s="85">
        <v>0.24374554558578973</v>
      </c>
      <c r="DB42" s="85">
        <v>0</v>
      </c>
      <c r="DC42" s="85">
        <v>2.5136602035781511E-2</v>
      </c>
      <c r="DD42" s="85">
        <v>1.4583066829919044E-2</v>
      </c>
      <c r="DE42" s="13">
        <v>1.0692901509404711</v>
      </c>
    </row>
    <row r="43" spans="1:109" x14ac:dyDescent="0.25">
      <c r="A43" s="4" t="s" vm="363">
        <v>210</v>
      </c>
      <c r="B43" s="2" t="s" vm="33">
        <v>211</v>
      </c>
      <c r="C43" s="72" vm="447">
        <v>45016</v>
      </c>
      <c r="D43" s="7">
        <f>IFERROR( VfM_Metrics_2023_Consol[[#This Row],[Reinvestment Spend]] / VfM_Metrics_2023_Consol[[#This Row],[Net Book Value of Housing Properties]], "n/a" )</f>
        <v>8.8568227537055108E-2</v>
      </c>
      <c r="E4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28222</v>
      </c>
      <c r="F43" s="83" vm="5539">
        <v>24097</v>
      </c>
      <c r="G43" s="83" vm="6941">
        <v>0</v>
      </c>
      <c r="H43" s="83" vm="7377">
        <v>4125</v>
      </c>
      <c r="I43" s="83" vm="5540">
        <v>0</v>
      </c>
      <c r="J43" s="83" vm="5541">
        <v>0</v>
      </c>
      <c r="K43" s="5">
        <f xml:space="preserve"> SUM( VfM_Metrics_2023_Consol[[#This Row],[Tangible fixed assets: Housing properties at cost (Current period)]],VfM_Metrics_2023_Consol[[#This Row],[Tangible fixed assets Housing properties at valuation (Current period)]] )</f>
        <v>318647</v>
      </c>
      <c r="L43" s="84" vm="5542">
        <v>318647</v>
      </c>
      <c r="M43" s="83">
        <v>0</v>
      </c>
      <c r="N43" s="7">
        <f xml:space="preserve"> IFERROR( VfM_Metrics_2023_Consol[[#This Row],[Total social units developed or newly built units acquired in-year]] / VfM_Metrics_2023_Consol[[#This Row],[Social housing units owned (period end)]], "n/a" )</f>
        <v>3.3403321244512313E-2</v>
      </c>
      <c r="O43" s="5">
        <f xml:space="preserve"> SUM( VfM_Metrics_2023_Consol[[#This Row],[Total social units developed or newly built units acquired in-year (owned)]], VfM_Metrics_2023_Consol[[#This Row],[Total social leasehold units developed or newly built units acquired in-year (owned)]] )</f>
        <v>175</v>
      </c>
      <c r="P43" s="84" vm="7274">
        <v>175</v>
      </c>
      <c r="Q43" s="83">
        <v>0</v>
      </c>
      <c r="R43" s="5">
        <f xml:space="preserve"> SUM( VfM_Metrics_2023_Consol[[#This Row],[Total social housing units owned (Period end)]], VfM_Metrics_2023_Consol[[#This Row],[Total social leasehold units owned (Period end)]] )</f>
        <v>5239</v>
      </c>
      <c r="S43" s="84" vm="5538">
        <v>5111</v>
      </c>
      <c r="T43" s="83" vm="5462">
        <v>128</v>
      </c>
      <c r="U43" s="86">
        <f xml:space="preserve"> IFERROR( VfM_Metrics_2023_Consol[[#This Row],[Total non-social housing units developed or newly built units acquired (owned)]] / VfM_Metrics_2023_Consol[[#This Row],[Total social and non-social housing units owned (Period end)]], "n/a" )</f>
        <v>3.8160656363289448E-3</v>
      </c>
      <c r="V4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20</v>
      </c>
      <c r="W43" s="83">
        <v>0</v>
      </c>
      <c r="X43" s="83">
        <v>0</v>
      </c>
      <c r="Y43" s="83" vm="6915">
        <v>20</v>
      </c>
      <c r="Z4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5241</v>
      </c>
      <c r="AA43" s="84" vm="5538">
        <v>5111</v>
      </c>
      <c r="AB43" s="83" vm="5543">
        <v>128</v>
      </c>
      <c r="AC43" s="83" vm="5544">
        <v>2</v>
      </c>
      <c r="AD43" s="83" vm="5545">
        <v>0</v>
      </c>
      <c r="AE43" s="7">
        <f xml:space="preserve"> IFERROR( VfM_Metrics_2023_Consol[[#This Row],[Total Net Debt]] / VfM_Metrics_2023_Consol[[#This Row],[Net Book Value of Housing Properties2]], "n/a" )</f>
        <v>0.54028752820519255</v>
      </c>
      <c r="AF4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172161</v>
      </c>
      <c r="AG43" s="84">
        <v>0</v>
      </c>
      <c r="AH43" s="83" vm="5546">
        <v>233707</v>
      </c>
      <c r="AI43" s="83" vm="5547">
        <v>61546</v>
      </c>
      <c r="AJ43" s="83" vm="1675">
        <v>0</v>
      </c>
      <c r="AK43" s="83">
        <v>0</v>
      </c>
      <c r="AL43" s="5">
        <f xml:space="preserve"> SUM( VfM_Metrics_2023_Consol[[#This Row],[Tangible fixed assets: Housing properties at cost (Current period)2]], VfM_Metrics_2023_Consol[[#This Row],[Tangible fixed assets Housing properties at valuation (Current period)2]] )</f>
        <v>318647</v>
      </c>
      <c r="AM43" s="84" vm="5542">
        <v>318647</v>
      </c>
      <c r="AN43" s="83">
        <v>0</v>
      </c>
      <c r="AO43" s="87">
        <f xml:space="preserve"> IFERROR( VfM_Metrics_2023_Consol[[#This Row],[EBITDA MRI]] / VfM_Metrics_2023_Consol[[#This Row],[Total interest]], "n/a" )</f>
        <v>0.88412408759124084</v>
      </c>
      <c r="AP4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6783</v>
      </c>
      <c r="AQ43" s="84" vm="5548">
        <v>11706</v>
      </c>
      <c r="AR43" s="84" vm="5549">
        <v>5034</v>
      </c>
      <c r="AS43" s="84" vm="5550">
        <v>0</v>
      </c>
      <c r="AT43" s="84" vm="7296">
        <v>1053</v>
      </c>
      <c r="AU43" s="84" vm="5551">
        <v>0</v>
      </c>
      <c r="AV43" s="84" vm="5552">
        <v>85</v>
      </c>
      <c r="AW43" s="84" vm="5553">
        <v>4125</v>
      </c>
      <c r="AX43" s="84" vm="5554">
        <v>5204</v>
      </c>
      <c r="AY43" s="3">
        <f xml:space="preserve"> - SUM( VfM_Metrics_2023_Consol[[#This Row],[Interest capitalised]], VfM_Metrics_2023_Consol[[#This Row],[Interest payable and financing costs]] )</f>
        <v>7672</v>
      </c>
      <c r="AZ43" s="84" vm="5555">
        <v>-2204</v>
      </c>
      <c r="BA43" s="83" vm="5556">
        <v>-5468</v>
      </c>
      <c r="BB43" s="8">
        <f xml:space="preserve"> IFERROR( ( VfM_Metrics_2023_Consol[[#This Row],[Total Costs]] / VfM_Metrics_2023_Consol[[#This Row],[Total units for costs]] ) * 1000, "n/a" )</f>
        <v>4678.6607658264384</v>
      </c>
      <c r="BC4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24315</v>
      </c>
      <c r="BD43" s="84" vm="5557">
        <v>5379</v>
      </c>
      <c r="BE43" s="83" vm="5558">
        <v>2289</v>
      </c>
      <c r="BF43" s="83" vm="6914">
        <v>1638</v>
      </c>
      <c r="BG43" s="83" vm="5559">
        <v>7645</v>
      </c>
      <c r="BH43" s="83" vm="5560">
        <v>1325</v>
      </c>
      <c r="BI43" s="83" vm="5561">
        <v>0</v>
      </c>
      <c r="BJ43" s="83" vm="5553">
        <v>4125</v>
      </c>
      <c r="BK43" s="83" vm="5562">
        <v>314</v>
      </c>
      <c r="BL43" s="83">
        <v>0</v>
      </c>
      <c r="BM43" s="83">
        <v>0</v>
      </c>
      <c r="BN43" s="83" vm="5564">
        <v>203</v>
      </c>
      <c r="BO43" s="83" vm="5565">
        <v>1397</v>
      </c>
      <c r="BP43" s="5" vm="7509">
        <f xml:space="preserve"> VfM_Metrics_2023_Consol[[#This Row],[Total social housing units owned and/or managed at period end]]</f>
        <v>5197</v>
      </c>
      <c r="BQ43" s="84" vm="7509">
        <v>5197</v>
      </c>
      <c r="BR43" s="7">
        <f xml:space="preserve"> IFERROR( VfM_Metrics_2023_Consol[[#This Row],[SHL operating surplus / (deficit)]] / VfM_Metrics_2023_Consol[[#This Row],[Turnover from social housing lettings]], "n/a" )</f>
        <v>0.17970822281167109</v>
      </c>
      <c r="BS43" s="5" vm="5566">
        <f xml:space="preserve"> VfM_Metrics_2023_Consol[[#This Row],[Operating surplus/(deficit) (social housing lettings)]]</f>
        <v>5149</v>
      </c>
      <c r="BT43" s="84" vm="5566">
        <v>5149</v>
      </c>
      <c r="BU43" s="5" vm="5567">
        <f xml:space="preserve"> VfM_Metrics_2023_Consol[[#This Row],[Turnover from social housing lettings]]</f>
        <v>28652</v>
      </c>
      <c r="BV43" s="84" vm="5567">
        <v>28652</v>
      </c>
      <c r="BW43" s="7">
        <f xml:space="preserve"> IFERROR( VfM_Metrics_2023_Consol[[#This Row],[Net operating surplus]] / VfM_Metrics_2023_Consol[[#This Row],[Overall turnover]], "n/a" )</f>
        <v>0.18184791496320524</v>
      </c>
      <c r="BX43" s="5">
        <f xml:space="preserve"> SUM( VfM_Metrics_2023_Consol[[#This Row],[Operating surplus/(deficit) (overall)2]], - VfM_Metrics_2023_Consol[[#This Row],[Gain/(loss) on disposal of fixed assets (housing properties)2]], - VfM_Metrics_2023_Consol[[#This Row],[Gain/(loss) on disposal of fixed assets (other)2]] )</f>
        <v>6672</v>
      </c>
      <c r="BY43" s="84" vm="5548">
        <v>11706</v>
      </c>
      <c r="BZ43" s="83" vm="7010">
        <v>5034</v>
      </c>
      <c r="CA43" s="83" vm="5550">
        <v>0</v>
      </c>
      <c r="CB43" s="5" vm="5568">
        <f xml:space="preserve"> VfM_Metrics_2023_Consol[[#This Row],[Turnover (overall)]]</f>
        <v>36690</v>
      </c>
      <c r="CC43" s="84" vm="5568">
        <v>36690</v>
      </c>
      <c r="CD43" s="7">
        <f xml:space="preserve"> IFERROR( VfM_Metrics_2023_Consol[[#This Row],[Operating surplus including from JVs]] / VfM_Metrics_2023_Consol[[#This Row],[Net assets]], "n/a" )</f>
        <v>2.9798770476154111E-2</v>
      </c>
      <c r="CE43" s="5">
        <f xml:space="preserve"> SUM( VfM_Metrics_2023_Consol[[#This Row],[Operating surplus/(deficit) (overall)3]], VfM_Metrics_2023_Consol[[#This Row],[Share of operating surplus/(deficit) in joint ventures or associates]] )</f>
        <v>11706</v>
      </c>
      <c r="CF43" s="84" vm="5548">
        <v>11706</v>
      </c>
      <c r="CG43" s="83" vm="5570">
        <v>0</v>
      </c>
      <c r="CH43" s="5" vm="5569">
        <f xml:space="preserve"> VfM_Metrics_2023_Consol[[#This Row],[Total assets less current liabilities]]</f>
        <v>392835</v>
      </c>
      <c r="CI43" s="84" vm="5569">
        <v>392835</v>
      </c>
      <c r="CJ43" s="71" vm="5538">
        <f xml:space="preserve"> VfM_Metrics_2023_Consol[[#This Row],[Total social housing units owned (Period end)]]</f>
        <v>5111</v>
      </c>
      <c r="CK43" s="103">
        <v>2.0270270270270271E-2</v>
      </c>
      <c r="CL43" s="6">
        <f xml:space="preserve"> -- ( VfM_Metrics_2023_Consol[[#This Row],[% Supported housing (excl. HOP)]] &gt; 0.3 )</f>
        <v>0</v>
      </c>
      <c r="CM43" s="103">
        <v>0.14169316375198729</v>
      </c>
      <c r="CN43" s="6">
        <f xml:space="preserve"> -- ( VfM_Metrics_2023_Consol[[#This Row],[% Housing for older people]] &gt; 0.3 )</f>
        <v>0</v>
      </c>
      <c r="CO43" s="103">
        <f xml:space="preserve"> VfM_Metrics_2023_Consol[[#This Row],[% Supported housing (excl. HOP)]] + VfM_Metrics_2023_Consol[[#This Row],[% Housing for older people]]</f>
        <v>0.16196343402225755</v>
      </c>
      <c r="CP43" s="6">
        <f xml:space="preserve"> -- ( VfM_Metrics_2023_Consol[[#This Row],[SH specialist in RSH analysis]] + VfM_Metrics_2023_Consol[[#This Row],[OP specialist in RSH analysis]] &gt; 0 )</f>
        <v>0</v>
      </c>
      <c r="CQ43" s="10">
        <f xml:space="preserve"> -- ( VfM_Metrics_2023_Consol[[#This Row],[% SH and OP]] &gt; 0.3 )</f>
        <v>0</v>
      </c>
      <c r="CR43" s="104" t="s">
        <v>143</v>
      </c>
      <c r="CS43" s="124"/>
      <c r="CT43" s="105" t="s">
        <v>151</v>
      </c>
      <c r="CU4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43" s="85">
        <v>0</v>
      </c>
      <c r="CW43" s="85">
        <v>0</v>
      </c>
      <c r="CX43" s="85">
        <v>1</v>
      </c>
      <c r="CY43" s="85">
        <v>0</v>
      </c>
      <c r="CZ43" s="85">
        <v>0</v>
      </c>
      <c r="DA43" s="85">
        <v>0</v>
      </c>
      <c r="DB43" s="85">
        <v>0</v>
      </c>
      <c r="DC43" s="85">
        <v>0</v>
      </c>
      <c r="DD43" s="85">
        <v>0</v>
      </c>
      <c r="DE43" s="13">
        <v>0.97511902715076015</v>
      </c>
    </row>
    <row r="44" spans="1:109" x14ac:dyDescent="0.25">
      <c r="A44" s="4" t="s" vm="394">
        <v>212</v>
      </c>
      <c r="B44" s="2" t="s" vm="34">
        <v>213</v>
      </c>
      <c r="C44" s="72" vm="515">
        <v>45016</v>
      </c>
      <c r="D44" s="7">
        <f>IFERROR( VfM_Metrics_2023_Consol[[#This Row],[Reinvestment Spend]] / VfM_Metrics_2023_Consol[[#This Row],[Net Book Value of Housing Properties]], "n/a" )</f>
        <v>2.8088798236101036E-2</v>
      </c>
      <c r="E4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3911</v>
      </c>
      <c r="F44" s="83" vm="6748">
        <v>1235</v>
      </c>
      <c r="G44" s="83" vm="6749">
        <v>0</v>
      </c>
      <c r="H44" s="83" vm="6750">
        <v>2647</v>
      </c>
      <c r="I44" s="83" vm="6751">
        <v>29</v>
      </c>
      <c r="J44" s="83" vm="6752">
        <v>0</v>
      </c>
      <c r="K44" s="5">
        <f xml:space="preserve"> SUM( VfM_Metrics_2023_Consol[[#This Row],[Tangible fixed assets: Housing properties at cost (Current period)]],VfM_Metrics_2023_Consol[[#This Row],[Tangible fixed assets Housing properties at valuation (Current period)]] )</f>
        <v>139237</v>
      </c>
      <c r="L44" s="84" vm="6753">
        <v>139237</v>
      </c>
      <c r="M44" s="83">
        <v>0</v>
      </c>
      <c r="N44" s="7">
        <f xml:space="preserve"> IFERROR( VfM_Metrics_2023_Consol[[#This Row],[Total social units developed or newly built units acquired in-year]] / VfM_Metrics_2023_Consol[[#This Row],[Social housing units owned (period end)]], "n/a" )</f>
        <v>8.6251509401414524E-3</v>
      </c>
      <c r="O44" s="5">
        <f xml:space="preserve"> SUM( VfM_Metrics_2023_Consol[[#This Row],[Total social units developed or newly built units acquired in-year (owned)]], VfM_Metrics_2023_Consol[[#This Row],[Total social leasehold units developed or newly built units acquired in-year (owned)]] )</f>
        <v>50</v>
      </c>
      <c r="P44" s="84" vm="2383">
        <v>50</v>
      </c>
      <c r="Q44" s="83">
        <v>0</v>
      </c>
      <c r="R44" s="5">
        <f xml:space="preserve"> SUM( VfM_Metrics_2023_Consol[[#This Row],[Total social housing units owned (Period end)]], VfM_Metrics_2023_Consol[[#This Row],[Total social leasehold units owned (Period end)]] )</f>
        <v>5797</v>
      </c>
      <c r="S44" s="84" vm="6781">
        <v>5797</v>
      </c>
      <c r="T44" s="83" vm="6755">
        <v>0</v>
      </c>
      <c r="U44" s="86">
        <f xml:space="preserve"> IFERROR( VfM_Metrics_2023_Consol[[#This Row],[Total non-social housing units developed or newly built units acquired (owned)]] / VfM_Metrics_2023_Consol[[#This Row],[Total social and non-social housing units owned (Period end)]], "n/a" )</f>
        <v>0</v>
      </c>
      <c r="V4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44" s="83">
        <v>0</v>
      </c>
      <c r="X44" s="83">
        <v>0</v>
      </c>
      <c r="Y44" s="83" vm="6756">
        <v>0</v>
      </c>
      <c r="Z4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5806</v>
      </c>
      <c r="AA44" s="84" vm="6746">
        <v>5797</v>
      </c>
      <c r="AB44" s="83" vm="6755">
        <v>0</v>
      </c>
      <c r="AC44" s="83" vm="6757">
        <v>9</v>
      </c>
      <c r="AD44" s="83" vm="7200">
        <v>0</v>
      </c>
      <c r="AE44" s="7">
        <f xml:space="preserve"> IFERROR( VfM_Metrics_2023_Consol[[#This Row],[Total Net Debt]] / VfM_Metrics_2023_Consol[[#This Row],[Net Book Value of Housing Properties2]], "n/a" )</f>
        <v>-0.11793560619662877</v>
      </c>
      <c r="AF4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-16421</v>
      </c>
      <c r="AG44" s="84" vm="6758">
        <v>105</v>
      </c>
      <c r="AH44" s="83" vm="6759">
        <v>28331</v>
      </c>
      <c r="AI44" s="83" vm="7270">
        <v>44857</v>
      </c>
      <c r="AJ44" s="83" vm="1675">
        <v>0</v>
      </c>
      <c r="AK44" s="83">
        <v>0</v>
      </c>
      <c r="AL44" s="5">
        <f xml:space="preserve"> SUM( VfM_Metrics_2023_Consol[[#This Row],[Tangible fixed assets: Housing properties at cost (Current period)2]], VfM_Metrics_2023_Consol[[#This Row],[Tangible fixed assets Housing properties at valuation (Current period)2]] )</f>
        <v>139237</v>
      </c>
      <c r="AM44" s="84" vm="6753">
        <v>139237</v>
      </c>
      <c r="AN44" s="83">
        <v>0</v>
      </c>
      <c r="AO44" s="87">
        <f xml:space="preserve"> IFERROR( VfM_Metrics_2023_Consol[[#This Row],[EBITDA MRI]] / VfM_Metrics_2023_Consol[[#This Row],[Total interest]], "n/a" )</f>
        <v>13.108949416342412</v>
      </c>
      <c r="AP4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10107</v>
      </c>
      <c r="AQ44" s="84" vm="6760">
        <v>9348</v>
      </c>
      <c r="AR44" s="84" vm="6761">
        <v>2640</v>
      </c>
      <c r="AS44" s="84" vm="6762">
        <v>5</v>
      </c>
      <c r="AT44" s="84" vm="6725">
        <v>475</v>
      </c>
      <c r="AU44" s="84" vm="6763">
        <v>0</v>
      </c>
      <c r="AV44" s="84" vm="6764">
        <v>995</v>
      </c>
      <c r="AW44" s="84" vm="6765">
        <v>2647</v>
      </c>
      <c r="AX44" s="84" vm="6766">
        <v>5531</v>
      </c>
      <c r="AY44" s="3">
        <f xml:space="preserve"> - SUM( VfM_Metrics_2023_Consol[[#This Row],[Interest capitalised]], VfM_Metrics_2023_Consol[[#This Row],[Interest payable and financing costs]] )</f>
        <v>771</v>
      </c>
      <c r="AZ44" s="84" vm="6767">
        <v>-29</v>
      </c>
      <c r="BA44" s="83" vm="6768">
        <v>-742</v>
      </c>
      <c r="BB44" s="8">
        <f xml:space="preserve"> IFERROR( ( VfM_Metrics_2023_Consol[[#This Row],[Total Costs]] / VfM_Metrics_2023_Consol[[#This Row],[Total units for costs]] ) * 1000, "n/a" )</f>
        <v>3357.4262549594619</v>
      </c>
      <c r="BC4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19463</v>
      </c>
      <c r="BD44" s="84" vm="6769">
        <v>6369</v>
      </c>
      <c r="BE44" s="83" vm="6770">
        <v>252</v>
      </c>
      <c r="BF44" s="83" vm="6771">
        <v>4649</v>
      </c>
      <c r="BG44" s="83" vm="6772">
        <v>1196</v>
      </c>
      <c r="BH44" s="83" vm="6773">
        <v>1141</v>
      </c>
      <c r="BI44" s="83" vm="6774">
        <v>0</v>
      </c>
      <c r="BJ44" s="83" vm="6765">
        <v>2647</v>
      </c>
      <c r="BK44" s="83" vm="6775">
        <v>1623</v>
      </c>
      <c r="BL44" s="83" vm="6864">
        <v>786</v>
      </c>
      <c r="BM44" s="83" vm="6776">
        <v>520</v>
      </c>
      <c r="BN44" s="83" vm="6777">
        <v>280</v>
      </c>
      <c r="BO44" s="83">
        <v>0</v>
      </c>
      <c r="BP44" s="5" vm="6747">
        <f xml:space="preserve"> VfM_Metrics_2023_Consol[[#This Row],[Total social housing units owned and/or managed at period end]]</f>
        <v>5797</v>
      </c>
      <c r="BQ44" s="84" vm="6747">
        <v>5797</v>
      </c>
      <c r="BR44" s="7">
        <f xml:space="preserve"> IFERROR( VfM_Metrics_2023_Consol[[#This Row],[SHL operating surplus / (deficit)]] / VfM_Metrics_2023_Consol[[#This Row],[Turnover from social housing lettings]], "n/a" )</f>
        <v>0.27976417548118604</v>
      </c>
      <c r="BS44" s="5" vm="6778">
        <f xml:space="preserve"> VfM_Metrics_2023_Consol[[#This Row],[Operating surplus/(deficit) (social housing lettings)]]</f>
        <v>8067</v>
      </c>
      <c r="BT44" s="84" vm="6778">
        <v>8067</v>
      </c>
      <c r="BU44" s="5" vm="6779">
        <f xml:space="preserve"> VfM_Metrics_2023_Consol[[#This Row],[Turnover from social housing lettings]]</f>
        <v>28835</v>
      </c>
      <c r="BV44" s="84" vm="6779">
        <v>28835</v>
      </c>
      <c r="BW44" s="7">
        <f xml:space="preserve"> IFERROR( VfM_Metrics_2023_Consol[[#This Row],[Net operating surplus]] / VfM_Metrics_2023_Consol[[#This Row],[Overall turnover]], "n/a" )</f>
        <v>0.23054170249355116</v>
      </c>
      <c r="BX44" s="5">
        <f xml:space="preserve"> SUM( VfM_Metrics_2023_Consol[[#This Row],[Operating surplus/(deficit) (overall)2]], - VfM_Metrics_2023_Consol[[#This Row],[Gain/(loss) on disposal of fixed assets (housing properties)2]], - VfM_Metrics_2023_Consol[[#This Row],[Gain/(loss) on disposal of fixed assets (other)2]] )</f>
        <v>6703</v>
      </c>
      <c r="BY44" s="84" vm="6760">
        <v>9348</v>
      </c>
      <c r="BZ44" s="83" vm="7175">
        <v>2640</v>
      </c>
      <c r="CA44" s="83" vm="6762">
        <v>5</v>
      </c>
      <c r="CB44" s="5" vm="6818">
        <f xml:space="preserve"> VfM_Metrics_2023_Consol[[#This Row],[Turnover (overall)]]</f>
        <v>29075</v>
      </c>
      <c r="CC44" s="84" vm="6818">
        <v>29075</v>
      </c>
      <c r="CD44" s="7">
        <f xml:space="preserve"> IFERROR( VfM_Metrics_2023_Consol[[#This Row],[Operating surplus including from JVs]] / VfM_Metrics_2023_Consol[[#This Row],[Net assets]], "n/a" )</f>
        <v>4.8038973852984709E-2</v>
      </c>
      <c r="CE44" s="5">
        <f xml:space="preserve"> SUM( VfM_Metrics_2023_Consol[[#This Row],[Operating surplus/(deficit) (overall)3]], VfM_Metrics_2023_Consol[[#This Row],[Share of operating surplus/(deficit) in joint ventures or associates]] )</f>
        <v>9348</v>
      </c>
      <c r="CF44" s="84" vm="6760">
        <v>9348</v>
      </c>
      <c r="CG44" s="83">
        <v>0</v>
      </c>
      <c r="CH44" s="5" vm="6780">
        <f xml:space="preserve"> VfM_Metrics_2023_Consol[[#This Row],[Total assets less current liabilities]]</f>
        <v>194592</v>
      </c>
      <c r="CI44" s="84" vm="6780">
        <v>194592</v>
      </c>
      <c r="CJ44" s="71" vm="6781">
        <f xml:space="preserve"> VfM_Metrics_2023_Consol[[#This Row],[Total social housing units owned (Period end)]]</f>
        <v>5797</v>
      </c>
      <c r="CK44" s="103">
        <v>0</v>
      </c>
      <c r="CL44" s="6">
        <f xml:space="preserve"> -- ( VfM_Metrics_2023_Consol[[#This Row],[% Supported housing (excl. HOP)]] &gt; 0.3 )</f>
        <v>0</v>
      </c>
      <c r="CM44" s="103">
        <v>0</v>
      </c>
      <c r="CN44" s="6">
        <f xml:space="preserve"> -- ( VfM_Metrics_2023_Consol[[#This Row],[% Housing for older people]] &gt; 0.3 )</f>
        <v>0</v>
      </c>
      <c r="CO44" s="103">
        <f xml:space="preserve"> VfM_Metrics_2023_Consol[[#This Row],[% Supported housing (excl. HOP)]] + VfM_Metrics_2023_Consol[[#This Row],[% Housing for older people]]</f>
        <v>0</v>
      </c>
      <c r="CP44" s="6">
        <f xml:space="preserve"> -- ( VfM_Metrics_2023_Consol[[#This Row],[SH specialist in RSH analysis]] + VfM_Metrics_2023_Consol[[#This Row],[OP specialist in RSH analysis]] &gt; 0 )</f>
        <v>0</v>
      </c>
      <c r="CQ44" s="10">
        <f xml:space="preserve"> -- ( VfM_Metrics_2023_Consol[[#This Row],[% SH and OP]] &gt; 0.3 )</f>
        <v>0</v>
      </c>
      <c r="CR44" s="104" t="s">
        <v>143</v>
      </c>
      <c r="CS44" s="124"/>
      <c r="CT44" s="105" t="s">
        <v>151</v>
      </c>
      <c r="CU4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44" s="85">
        <v>0</v>
      </c>
      <c r="CW44" s="85">
        <v>0</v>
      </c>
      <c r="CX44" s="85">
        <v>0</v>
      </c>
      <c r="CY44" s="85">
        <v>0</v>
      </c>
      <c r="CZ44" s="85">
        <v>0</v>
      </c>
      <c r="DA44" s="85">
        <v>0</v>
      </c>
      <c r="DB44" s="85">
        <v>0</v>
      </c>
      <c r="DC44" s="85">
        <v>1</v>
      </c>
      <c r="DD44" s="85">
        <v>0</v>
      </c>
      <c r="DE44" s="13">
        <v>0.96105917141044694</v>
      </c>
    </row>
    <row r="45" spans="1:109" x14ac:dyDescent="0.25">
      <c r="A45" s="4" t="s" vm="396">
        <v>214</v>
      </c>
      <c r="B45" s="2" t="s" vm="35">
        <v>215</v>
      </c>
      <c r="C45" s="72" vm="426">
        <v>45016</v>
      </c>
      <c r="D45" s="7">
        <f>IFERROR( VfM_Metrics_2023_Consol[[#This Row],[Reinvestment Spend]] / VfM_Metrics_2023_Consol[[#This Row],[Net Book Value of Housing Properties]], "n/a" )</f>
        <v>0.12777179627899574</v>
      </c>
      <c r="E4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30499</v>
      </c>
      <c r="F45" s="83" vm="6822">
        <v>27002</v>
      </c>
      <c r="G45" s="83" vm="6823">
        <v>742</v>
      </c>
      <c r="H45" s="83" vm="6870">
        <v>2292</v>
      </c>
      <c r="I45" s="83" vm="6824">
        <v>463</v>
      </c>
      <c r="J45" s="83" vm="6825">
        <v>0</v>
      </c>
      <c r="K45" s="5">
        <f xml:space="preserve"> SUM( VfM_Metrics_2023_Consol[[#This Row],[Tangible fixed assets: Housing properties at cost (Current period)]],VfM_Metrics_2023_Consol[[#This Row],[Tangible fixed assets Housing properties at valuation (Current period)]] )</f>
        <v>238699</v>
      </c>
      <c r="L45" s="84" vm="6826">
        <v>238699</v>
      </c>
      <c r="M45" s="83" vm="6827">
        <v>0</v>
      </c>
      <c r="N45" s="7">
        <f xml:space="preserve"> IFERROR( VfM_Metrics_2023_Consol[[#This Row],[Total social units developed or newly built units acquired in-year]] / VfM_Metrics_2023_Consol[[#This Row],[Social housing units owned (period end)]], "n/a" )</f>
        <v>1.5870661524770097E-2</v>
      </c>
      <c r="O45" s="5">
        <f xml:space="preserve"> SUM( VfM_Metrics_2023_Consol[[#This Row],[Total social units developed or newly built units acquired in-year (owned)]], VfM_Metrics_2023_Consol[[#This Row],[Total social leasehold units developed or newly built units acquired in-year (owned)]] )</f>
        <v>107</v>
      </c>
      <c r="P45" s="84" vm="6828">
        <v>107</v>
      </c>
      <c r="Q45" s="83" vm="6829">
        <v>0</v>
      </c>
      <c r="R45" s="5">
        <f xml:space="preserve"> SUM( VfM_Metrics_2023_Consol[[#This Row],[Total social housing units owned (Period end)]], VfM_Metrics_2023_Consol[[#This Row],[Total social leasehold units owned (Period end)]] )</f>
        <v>6742</v>
      </c>
      <c r="S45" s="84" vm="6820">
        <v>6742</v>
      </c>
      <c r="T45" s="83" vm="6830">
        <v>0</v>
      </c>
      <c r="U45" s="86">
        <f xml:space="preserve"> IFERROR( VfM_Metrics_2023_Consol[[#This Row],[Total non-social housing units developed or newly built units acquired (owned)]] / VfM_Metrics_2023_Consol[[#This Row],[Total social and non-social housing units owned (Period end)]], "n/a" )</f>
        <v>0</v>
      </c>
      <c r="V4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45" s="83" vm="6831">
        <v>0</v>
      </c>
      <c r="X45" s="83" vm="7138">
        <v>0</v>
      </c>
      <c r="Y45" s="83" vm="6832">
        <v>0</v>
      </c>
      <c r="Z4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6746</v>
      </c>
      <c r="AA45" s="84" vm="6820">
        <v>6742</v>
      </c>
      <c r="AB45" s="83" vm="6830">
        <v>0</v>
      </c>
      <c r="AC45" s="83" vm="6833">
        <v>4</v>
      </c>
      <c r="AD45" s="83" vm="6834">
        <v>0</v>
      </c>
      <c r="AE45" s="7">
        <f xml:space="preserve"> IFERROR( VfM_Metrics_2023_Consol[[#This Row],[Total Net Debt]] / VfM_Metrics_2023_Consol[[#This Row],[Net Book Value of Housing Properties2]], "n/a" )</f>
        <v>0.42542281283122257</v>
      </c>
      <c r="AF4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101548</v>
      </c>
      <c r="AG45" s="84" vm="6835">
        <v>0</v>
      </c>
      <c r="AH45" s="83" vm="6836">
        <v>133832</v>
      </c>
      <c r="AI45" s="83" vm="6837">
        <v>32284</v>
      </c>
      <c r="AJ45" s="83" vm="6838">
        <v>0</v>
      </c>
      <c r="AK45" s="83" vm="6839">
        <v>0</v>
      </c>
      <c r="AL45" s="5">
        <f xml:space="preserve"> SUM( VfM_Metrics_2023_Consol[[#This Row],[Tangible fixed assets: Housing properties at cost (Current period)2]], VfM_Metrics_2023_Consol[[#This Row],[Tangible fixed assets Housing properties at valuation (Current period)2]] )</f>
        <v>238699</v>
      </c>
      <c r="AM45" s="84" vm="6826">
        <v>238699</v>
      </c>
      <c r="AN45" s="83" vm="6827">
        <v>0</v>
      </c>
      <c r="AO45" s="87">
        <f xml:space="preserve"> IFERROR( VfM_Metrics_2023_Consol[[#This Row],[EBITDA MRI]] / VfM_Metrics_2023_Consol[[#This Row],[Total interest]], "n/a" )</f>
        <v>2.4050925925925926</v>
      </c>
      <c r="AP4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12468</v>
      </c>
      <c r="AQ45" s="84" vm="6840">
        <v>11375</v>
      </c>
      <c r="AR45" s="84" vm="6841">
        <v>1297</v>
      </c>
      <c r="AS45" s="84" vm="6842">
        <v>0</v>
      </c>
      <c r="AT45" s="84" vm="6843">
        <v>2567</v>
      </c>
      <c r="AU45" s="84" vm="6844">
        <v>0</v>
      </c>
      <c r="AV45" s="84" vm="6845">
        <v>607</v>
      </c>
      <c r="AW45" s="84" vm="6846">
        <v>2292</v>
      </c>
      <c r="AX45" s="84" vm="6847">
        <v>6642</v>
      </c>
      <c r="AY45" s="3">
        <f xml:space="preserve"> - SUM( VfM_Metrics_2023_Consol[[#This Row],[Interest capitalised]], VfM_Metrics_2023_Consol[[#This Row],[Interest payable and financing costs]] )</f>
        <v>5184</v>
      </c>
      <c r="AZ45" s="84" vm="6848">
        <v>-463</v>
      </c>
      <c r="BA45" s="83" vm="6849">
        <v>-4721</v>
      </c>
      <c r="BB45" s="8">
        <f xml:space="preserve"> IFERROR( ( VfM_Metrics_2023_Consol[[#This Row],[Total Costs]] / VfM_Metrics_2023_Consol[[#This Row],[Total units for costs]] ) * 1000, "n/a" )</f>
        <v>3056.3630970038562</v>
      </c>
      <c r="BC4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20606</v>
      </c>
      <c r="BD45" s="84" vm="6850">
        <v>6299</v>
      </c>
      <c r="BE45" s="83" vm="6809">
        <v>2617</v>
      </c>
      <c r="BF45" s="83" vm="6851">
        <v>5599</v>
      </c>
      <c r="BG45" s="83" vm="6852">
        <v>1701</v>
      </c>
      <c r="BH45" s="83" vm="6853">
        <v>696</v>
      </c>
      <c r="BI45" s="83" vm="6892">
        <v>326</v>
      </c>
      <c r="BJ45" s="83" vm="6865">
        <v>2292</v>
      </c>
      <c r="BK45" s="83" vm="6854">
        <v>0</v>
      </c>
      <c r="BL45" s="83" vm="6855">
        <v>0</v>
      </c>
      <c r="BM45" s="83" vm="6856">
        <v>1076</v>
      </c>
      <c r="BN45" s="83" vm="6857">
        <v>0</v>
      </c>
      <c r="BO45" s="83" vm="6858">
        <v>0</v>
      </c>
      <c r="BP45" s="5" vm="6821">
        <f xml:space="preserve"> VfM_Metrics_2023_Consol[[#This Row],[Total social housing units owned and/or managed at period end]]</f>
        <v>6742</v>
      </c>
      <c r="BQ45" s="84" vm="6821">
        <v>6742</v>
      </c>
      <c r="BR45" s="7">
        <f xml:space="preserve"> IFERROR( VfM_Metrics_2023_Consol[[#This Row],[SHL operating surplus / (deficit)]] / VfM_Metrics_2023_Consol[[#This Row],[Turnover from social housing lettings]], "n/a" )</f>
        <v>0.31388578486149504</v>
      </c>
      <c r="BS45" s="5" vm="6861">
        <f xml:space="preserve"> VfM_Metrics_2023_Consol[[#This Row],[Operating surplus/(deficit) (social housing lettings)]]</f>
        <v>10674</v>
      </c>
      <c r="BT45" s="84" vm="6861">
        <v>10674</v>
      </c>
      <c r="BU45" s="5" vm="7000">
        <f xml:space="preserve"> VfM_Metrics_2023_Consol[[#This Row],[Turnover from social housing lettings]]</f>
        <v>34006</v>
      </c>
      <c r="BV45" s="84" vm="7000">
        <v>34006</v>
      </c>
      <c r="BW45" s="7">
        <f xml:space="preserve"> IFERROR( VfM_Metrics_2023_Consol[[#This Row],[Net operating surplus]] / VfM_Metrics_2023_Consol[[#This Row],[Overall turnover]], "n/a" )</f>
        <v>0.26856046474444384</v>
      </c>
      <c r="BX45" s="5">
        <f xml:space="preserve"> SUM( VfM_Metrics_2023_Consol[[#This Row],[Operating surplus/(deficit) (overall)2]], - VfM_Metrics_2023_Consol[[#This Row],[Gain/(loss) on disposal of fixed assets (housing properties)2]], - VfM_Metrics_2023_Consol[[#This Row],[Gain/(loss) on disposal of fixed assets (other)2]] )</f>
        <v>10078</v>
      </c>
      <c r="BY45" s="84" vm="6840">
        <v>11375</v>
      </c>
      <c r="BZ45" s="83" vm="6873">
        <v>1297</v>
      </c>
      <c r="CA45" s="83" vm="6842">
        <v>0</v>
      </c>
      <c r="CB45" s="5" vm="6859">
        <f xml:space="preserve"> VfM_Metrics_2023_Consol[[#This Row],[Turnover (overall)]]</f>
        <v>37526</v>
      </c>
      <c r="CC45" s="84" vm="6859">
        <v>37526</v>
      </c>
      <c r="CD45" s="7">
        <f xml:space="preserve"> IFERROR( VfM_Metrics_2023_Consol[[#This Row],[Operating surplus including from JVs]] / VfM_Metrics_2023_Consol[[#This Row],[Net assets]], "n/a" )</f>
        <v>4.0985526254157106E-2</v>
      </c>
      <c r="CE45" s="5">
        <f xml:space="preserve"> SUM( VfM_Metrics_2023_Consol[[#This Row],[Operating surplus/(deficit) (overall)3]], VfM_Metrics_2023_Consol[[#This Row],[Share of operating surplus/(deficit) in joint ventures or associates]] )</f>
        <v>11375</v>
      </c>
      <c r="CF45" s="84" vm="7245">
        <v>11375</v>
      </c>
      <c r="CG45" s="83" vm="6860">
        <v>0</v>
      </c>
      <c r="CH45" s="5" vm="7015">
        <f xml:space="preserve"> VfM_Metrics_2023_Consol[[#This Row],[Total assets less current liabilities]]</f>
        <v>277537</v>
      </c>
      <c r="CI45" s="84" vm="7015">
        <v>277537</v>
      </c>
      <c r="CJ45" s="71" vm="6820">
        <f xml:space="preserve"> VfM_Metrics_2023_Consol[[#This Row],[Total social housing units owned (Period end)]]</f>
        <v>6742</v>
      </c>
      <c r="CK45" s="103">
        <v>1.4151646059883808E-2</v>
      </c>
      <c r="CL45" s="6">
        <f xml:space="preserve"> -- ( VfM_Metrics_2023_Consol[[#This Row],[% Supported housing (excl. HOP)]] &gt; 0.3 )</f>
        <v>0</v>
      </c>
      <c r="CM45" s="103">
        <v>6.3905854312527932E-2</v>
      </c>
      <c r="CN45" s="6">
        <f xml:space="preserve"> -- ( VfM_Metrics_2023_Consol[[#This Row],[% Housing for older people]] &gt; 0.3 )</f>
        <v>0</v>
      </c>
      <c r="CO45" s="103">
        <f xml:space="preserve"> VfM_Metrics_2023_Consol[[#This Row],[% Supported housing (excl. HOP)]] + VfM_Metrics_2023_Consol[[#This Row],[% Housing for older people]]</f>
        <v>7.8057500372411742E-2</v>
      </c>
      <c r="CP45" s="6">
        <f xml:space="preserve"> -- ( VfM_Metrics_2023_Consol[[#This Row],[SH specialist in RSH analysis]] + VfM_Metrics_2023_Consol[[#This Row],[OP specialist in RSH analysis]] &gt; 0 )</f>
        <v>0</v>
      </c>
      <c r="CQ45" s="10">
        <f xml:space="preserve"> -- ( VfM_Metrics_2023_Consol[[#This Row],[% SH and OP]] &gt; 0.3 )</f>
        <v>0</v>
      </c>
      <c r="CR45" s="104" t="s">
        <v>143</v>
      </c>
      <c r="CS45" s="124"/>
      <c r="CT45" s="105" t="s">
        <v>151</v>
      </c>
      <c r="CU4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45" s="85">
        <v>0</v>
      </c>
      <c r="CW45" s="85">
        <v>0</v>
      </c>
      <c r="CX45" s="85">
        <v>0</v>
      </c>
      <c r="CY45" s="85">
        <v>0</v>
      </c>
      <c r="CZ45" s="85">
        <v>0</v>
      </c>
      <c r="DA45" s="85">
        <v>0</v>
      </c>
      <c r="DB45" s="85">
        <v>0</v>
      </c>
      <c r="DC45" s="85">
        <v>1</v>
      </c>
      <c r="DD45" s="85">
        <v>0</v>
      </c>
      <c r="DE45" s="13">
        <v>0.96105917141044694</v>
      </c>
    </row>
    <row r="46" spans="1:109" x14ac:dyDescent="0.25">
      <c r="A46" s="4" t="s" vm="321">
        <v>216</v>
      </c>
      <c r="B46" s="2" t="s" vm="36">
        <v>217</v>
      </c>
      <c r="C46" s="72" vm="425">
        <v>45016</v>
      </c>
      <c r="D46" s="7">
        <f>IFERROR( VfM_Metrics_2023_Consol[[#This Row],[Reinvestment Spend]] / VfM_Metrics_2023_Consol[[#This Row],[Net Book Value of Housing Properties]], "n/a" )</f>
        <v>4.3062759430693251E-2</v>
      </c>
      <c r="E4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5903</v>
      </c>
      <c r="F46" s="83" vm="4071">
        <v>2820</v>
      </c>
      <c r="G46" s="83" vm="6986">
        <v>0</v>
      </c>
      <c r="H46" s="83" vm="4072">
        <v>3083</v>
      </c>
      <c r="I46" s="83" vm="7295">
        <v>0</v>
      </c>
      <c r="J46" s="83" vm="4074">
        <v>0</v>
      </c>
      <c r="K46" s="5">
        <f xml:space="preserve"> SUM( VfM_Metrics_2023_Consol[[#This Row],[Tangible fixed assets: Housing properties at cost (Current period)]],VfM_Metrics_2023_Consol[[#This Row],[Tangible fixed assets Housing properties at valuation (Current period)]] )</f>
        <v>137079</v>
      </c>
      <c r="L46" s="84" vm="4075">
        <v>137079</v>
      </c>
      <c r="M46" s="83" vm="4076">
        <v>0</v>
      </c>
      <c r="N46" s="7">
        <f xml:space="preserve"> IFERROR( VfM_Metrics_2023_Consol[[#This Row],[Total social units developed or newly built units acquired in-year]] / VfM_Metrics_2023_Consol[[#This Row],[Social housing units owned (period end)]], "n/a" )</f>
        <v>7.0339976553341153E-3</v>
      </c>
      <c r="O46" s="5">
        <f xml:space="preserve"> SUM( VfM_Metrics_2023_Consol[[#This Row],[Total social units developed or newly built units acquired in-year (owned)]], VfM_Metrics_2023_Consol[[#This Row],[Total social leasehold units developed or newly built units acquired in-year (owned)]] )</f>
        <v>24</v>
      </c>
      <c r="P46" s="84" vm="4077">
        <v>24</v>
      </c>
      <c r="Q46" s="83" vm="4078">
        <v>0</v>
      </c>
      <c r="R46" s="5">
        <f xml:space="preserve"> SUM( VfM_Metrics_2023_Consol[[#This Row],[Total social housing units owned (Period end)]], VfM_Metrics_2023_Consol[[#This Row],[Total social leasehold units owned (Period end)]] )</f>
        <v>3412</v>
      </c>
      <c r="S46" s="84" vm="4069">
        <v>3412</v>
      </c>
      <c r="T46" s="83" vm="4079">
        <v>0</v>
      </c>
      <c r="U46" s="86">
        <f xml:space="preserve"> IFERROR( VfM_Metrics_2023_Consol[[#This Row],[Total non-social housing units developed or newly built units acquired (owned)]] / VfM_Metrics_2023_Consol[[#This Row],[Total social and non-social housing units owned (Period end)]], "n/a" )</f>
        <v>0</v>
      </c>
      <c r="V4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46" s="83" vm="4080">
        <v>0</v>
      </c>
      <c r="X46" s="83" vm="7821">
        <v>0</v>
      </c>
      <c r="Y46" s="83" vm="4081">
        <v>0</v>
      </c>
      <c r="Z4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3657</v>
      </c>
      <c r="AA46" s="84" vm="7649">
        <v>3412</v>
      </c>
      <c r="AB46" s="83" vm="4079">
        <v>0</v>
      </c>
      <c r="AC46" s="83" vm="4082">
        <v>245</v>
      </c>
      <c r="AD46" s="83" vm="4083">
        <v>0</v>
      </c>
      <c r="AE46" s="7">
        <f xml:space="preserve"> IFERROR( VfM_Metrics_2023_Consol[[#This Row],[Total Net Debt]] / VfM_Metrics_2023_Consol[[#This Row],[Net Book Value of Housing Properties2]], "n/a" )</f>
        <v>0.33800946899233286</v>
      </c>
      <c r="AF4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46334</v>
      </c>
      <c r="AG46" s="84" vm="7605">
        <v>10319</v>
      </c>
      <c r="AH46" s="83" vm="4084">
        <v>60499</v>
      </c>
      <c r="AI46" s="83" vm="4085">
        <v>24484</v>
      </c>
      <c r="AJ46" s="83" vm="4086">
        <v>0</v>
      </c>
      <c r="AK46" s="83" vm="4087">
        <v>0</v>
      </c>
      <c r="AL46" s="5">
        <f xml:space="preserve"> SUM( VfM_Metrics_2023_Consol[[#This Row],[Tangible fixed assets: Housing properties at cost (Current period)2]], VfM_Metrics_2023_Consol[[#This Row],[Tangible fixed assets Housing properties at valuation (Current period)2]] )</f>
        <v>137079</v>
      </c>
      <c r="AM46" s="84" vm="4075">
        <v>137079</v>
      </c>
      <c r="AN46" s="83" vm="4076">
        <v>0</v>
      </c>
      <c r="AO46" s="87">
        <f xml:space="preserve"> IFERROR( VfM_Metrics_2023_Consol[[#This Row],[EBITDA MRI]] / VfM_Metrics_2023_Consol[[#This Row],[Total interest]], "n/a" )</f>
        <v>1.2887788778877889</v>
      </c>
      <c r="AP4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3124</v>
      </c>
      <c r="AQ46" s="84" vm="7394">
        <v>4636</v>
      </c>
      <c r="AR46" s="84" vm="4089">
        <v>983</v>
      </c>
      <c r="AS46" s="84" vm="4090">
        <v>0</v>
      </c>
      <c r="AT46" s="84" vm="4091">
        <v>1446</v>
      </c>
      <c r="AU46" s="84" vm="4092">
        <v>144</v>
      </c>
      <c r="AV46" s="84" vm="4093">
        <v>292</v>
      </c>
      <c r="AW46" s="84" vm="4094">
        <v>3083</v>
      </c>
      <c r="AX46" s="84" vm="4095">
        <v>3852</v>
      </c>
      <c r="AY46" s="3">
        <f xml:space="preserve"> - SUM( VfM_Metrics_2023_Consol[[#This Row],[Interest capitalised]], VfM_Metrics_2023_Consol[[#This Row],[Interest payable and financing costs]] )</f>
        <v>2424</v>
      </c>
      <c r="AZ46" s="84" vm="4096">
        <v>0</v>
      </c>
      <c r="BA46" s="83" vm="4097">
        <v>-2424</v>
      </c>
      <c r="BB46" s="8">
        <f xml:space="preserve"> IFERROR( ( VfM_Metrics_2023_Consol[[#This Row],[Total Costs]] / VfM_Metrics_2023_Consol[[#This Row],[Total units for costs]] ) * 1000, "n/a" )</f>
        <v>4788.1355932203387</v>
      </c>
      <c r="BC4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16385</v>
      </c>
      <c r="BD46" s="84" vm="4098">
        <v>3970</v>
      </c>
      <c r="BE46" s="83" vm="4099">
        <v>1365</v>
      </c>
      <c r="BF46" s="83" vm="4100">
        <v>3024</v>
      </c>
      <c r="BG46" s="83" vm="2756">
        <v>2245</v>
      </c>
      <c r="BH46" s="83" vm="4101">
        <v>316</v>
      </c>
      <c r="BI46" s="83" vm="7152">
        <v>0</v>
      </c>
      <c r="BJ46" s="83" vm="4094">
        <v>3083</v>
      </c>
      <c r="BK46" s="83" vm="4211">
        <v>184</v>
      </c>
      <c r="BL46" s="83" vm="4102">
        <v>176</v>
      </c>
      <c r="BM46" s="83" vm="4103">
        <v>0</v>
      </c>
      <c r="BN46" s="83" vm="4104">
        <v>327</v>
      </c>
      <c r="BO46" s="83" vm="4343">
        <v>1695</v>
      </c>
      <c r="BP46" s="5" vm="4070">
        <f xml:space="preserve"> VfM_Metrics_2023_Consol[[#This Row],[Total social housing units owned and/or managed at period end]]</f>
        <v>3422</v>
      </c>
      <c r="BQ46" s="84" vm="4070">
        <v>3422</v>
      </c>
      <c r="BR46" s="7">
        <f xml:space="preserve"> IFERROR( VfM_Metrics_2023_Consol[[#This Row],[SHL operating surplus / (deficit)]] / VfM_Metrics_2023_Consol[[#This Row],[Turnover from social housing lettings]], "n/a" )</f>
        <v>0.18121212121212121</v>
      </c>
      <c r="BS46" s="5" vm="4105">
        <f xml:space="preserve"> VfM_Metrics_2023_Consol[[#This Row],[Operating surplus/(deficit) (social housing lettings)]]</f>
        <v>3289</v>
      </c>
      <c r="BT46" s="84" vm="4105">
        <v>3289</v>
      </c>
      <c r="BU46" s="5" vm="4106">
        <f xml:space="preserve"> VfM_Metrics_2023_Consol[[#This Row],[Turnover from social housing lettings]]</f>
        <v>18150</v>
      </c>
      <c r="BV46" s="84" vm="4106">
        <v>18150</v>
      </c>
      <c r="BW46" s="7">
        <f xml:space="preserve"> IFERROR( VfM_Metrics_2023_Consol[[#This Row],[Net operating surplus]] / VfM_Metrics_2023_Consol[[#This Row],[Overall turnover]], "n/a" )</f>
        <v>0.17309514783927218</v>
      </c>
      <c r="BX46" s="5">
        <f xml:space="preserve"> SUM( VfM_Metrics_2023_Consol[[#This Row],[Operating surplus/(deficit) (overall)2]], - VfM_Metrics_2023_Consol[[#This Row],[Gain/(loss) on disposal of fixed assets (housing properties)2]], - VfM_Metrics_2023_Consol[[#This Row],[Gain/(loss) on disposal of fixed assets (other)2]] )</f>
        <v>3653</v>
      </c>
      <c r="BY46" s="84" vm="4088">
        <v>4636</v>
      </c>
      <c r="BZ46" s="83" vm="4089">
        <v>983</v>
      </c>
      <c r="CA46" s="83" vm="4090">
        <v>0</v>
      </c>
      <c r="CB46" s="5" vm="4107">
        <f xml:space="preserve"> VfM_Metrics_2023_Consol[[#This Row],[Turnover (overall)]]</f>
        <v>21104</v>
      </c>
      <c r="CC46" s="84" vm="4107">
        <v>21104</v>
      </c>
      <c r="CD46" s="7">
        <f xml:space="preserve"> IFERROR( VfM_Metrics_2023_Consol[[#This Row],[Operating surplus including from JVs]] / VfM_Metrics_2023_Consol[[#This Row],[Net assets]], "n/a" )</f>
        <v>2.9641943734015345E-2</v>
      </c>
      <c r="CE46" s="5">
        <f xml:space="preserve"> SUM( VfM_Metrics_2023_Consol[[#This Row],[Operating surplus/(deficit) (overall)3]], VfM_Metrics_2023_Consol[[#This Row],[Share of operating surplus/(deficit) in joint ventures or associates]] )</f>
        <v>4636</v>
      </c>
      <c r="CF46" s="84" vm="4088">
        <v>4636</v>
      </c>
      <c r="CG46" s="83" vm="4109">
        <v>0</v>
      </c>
      <c r="CH46" s="5" vm="4108">
        <f xml:space="preserve"> VfM_Metrics_2023_Consol[[#This Row],[Total assets less current liabilities]]</f>
        <v>156400</v>
      </c>
      <c r="CI46" s="84" vm="4108">
        <v>156400</v>
      </c>
      <c r="CJ46" s="71" vm="4069">
        <f xml:space="preserve"> VfM_Metrics_2023_Consol[[#This Row],[Total social housing units owned (Period end)]]</f>
        <v>3412</v>
      </c>
      <c r="CK46" s="103">
        <v>5.2366863905325446E-2</v>
      </c>
      <c r="CL46" s="6">
        <f xml:space="preserve"> -- ( VfM_Metrics_2023_Consol[[#This Row],[% Supported housing (excl. HOP)]] &gt; 0.3 )</f>
        <v>0</v>
      </c>
      <c r="CM46" s="103">
        <v>0.23431952662721894</v>
      </c>
      <c r="CN46" s="6">
        <f xml:space="preserve"> -- ( VfM_Metrics_2023_Consol[[#This Row],[% Housing for older people]] &gt; 0.3 )</f>
        <v>0</v>
      </c>
      <c r="CO46" s="103">
        <f xml:space="preserve"> VfM_Metrics_2023_Consol[[#This Row],[% Supported housing (excl. HOP)]] + VfM_Metrics_2023_Consol[[#This Row],[% Housing for older people]]</f>
        <v>0.28668639053254441</v>
      </c>
      <c r="CP46" s="6">
        <f xml:space="preserve"> -- ( VfM_Metrics_2023_Consol[[#This Row],[SH specialist in RSH analysis]] + VfM_Metrics_2023_Consol[[#This Row],[OP specialist in RSH analysis]] &gt; 0 )</f>
        <v>0</v>
      </c>
      <c r="CQ46" s="10">
        <f xml:space="preserve"> -- ( VfM_Metrics_2023_Consol[[#This Row],[% SH and OP]] &gt; 0.3 )</f>
        <v>0</v>
      </c>
      <c r="CR46" s="104" t="s">
        <v>143</v>
      </c>
      <c r="CS46" s="124" t="s">
        <v>144</v>
      </c>
      <c r="CT46" s="105"/>
      <c r="CU4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46" s="85">
        <v>0</v>
      </c>
      <c r="CW46" s="85">
        <v>0</v>
      </c>
      <c r="CX46" s="85">
        <v>0</v>
      </c>
      <c r="CY46" s="85">
        <v>0</v>
      </c>
      <c r="CZ46" s="85">
        <v>0</v>
      </c>
      <c r="DA46" s="85">
        <v>0</v>
      </c>
      <c r="DB46" s="85">
        <v>0</v>
      </c>
      <c r="DC46" s="85">
        <v>0</v>
      </c>
      <c r="DD46" s="85">
        <v>1</v>
      </c>
      <c r="DE46" s="13">
        <v>0.94459121441814442</v>
      </c>
    </row>
    <row r="47" spans="1:109" x14ac:dyDescent="0.25">
      <c r="A47" s="4" t="s" vm="277">
        <v>218</v>
      </c>
      <c r="B47" s="2" t="s" vm="37">
        <v>219</v>
      </c>
      <c r="C47" s="72" vm="408">
        <v>45016</v>
      </c>
      <c r="D47" s="7">
        <f>IFERROR( VfM_Metrics_2023_Consol[[#This Row],[Reinvestment Spend]] / VfM_Metrics_2023_Consol[[#This Row],[Net Book Value of Housing Properties]], "n/a" )</f>
        <v>0.10132529363733433</v>
      </c>
      <c r="E4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40330</v>
      </c>
      <c r="F47" s="83" vm="2564">
        <v>15608</v>
      </c>
      <c r="G47" s="83" vm="2565">
        <v>9344</v>
      </c>
      <c r="H47" s="83" vm="2566">
        <v>14548</v>
      </c>
      <c r="I47" s="83" vm="2567">
        <v>830</v>
      </c>
      <c r="J47" s="83" vm="2568">
        <v>0</v>
      </c>
      <c r="K47" s="5">
        <f xml:space="preserve"> SUM( VfM_Metrics_2023_Consol[[#This Row],[Tangible fixed assets: Housing properties at cost (Current period)]],VfM_Metrics_2023_Consol[[#This Row],[Tangible fixed assets Housing properties at valuation (Current period)]] )</f>
        <v>398025</v>
      </c>
      <c r="L47" s="84" vm="2569">
        <v>398025</v>
      </c>
      <c r="M47" s="83" vm="2570">
        <v>0</v>
      </c>
      <c r="N47" s="7">
        <f xml:space="preserve"> IFERROR( VfM_Metrics_2023_Consol[[#This Row],[Total social units developed or newly built units acquired in-year]] / VfM_Metrics_2023_Consol[[#This Row],[Social housing units owned (period end)]], "n/a" )</f>
        <v>1.9767659733932921E-2</v>
      </c>
      <c r="O47" s="5">
        <f xml:space="preserve"> SUM( VfM_Metrics_2023_Consol[[#This Row],[Total social units developed or newly built units acquired in-year (owned)]], VfM_Metrics_2023_Consol[[#This Row],[Total social leasehold units developed or newly built units acquired in-year (owned)]] )</f>
        <v>211</v>
      </c>
      <c r="P47" s="84" vm="2571">
        <v>211</v>
      </c>
      <c r="Q47" s="83" vm="7956">
        <v>0</v>
      </c>
      <c r="R47" s="5">
        <f xml:space="preserve"> SUM( VfM_Metrics_2023_Consol[[#This Row],[Total social housing units owned (Period end)]], VfM_Metrics_2023_Consol[[#This Row],[Total social leasehold units owned (Period end)]] )</f>
        <v>10674</v>
      </c>
      <c r="S47" s="84" vm="7737">
        <v>10673</v>
      </c>
      <c r="T47" s="83" vm="2572">
        <v>1</v>
      </c>
      <c r="U47" s="86">
        <f xml:space="preserve"> IFERROR( VfM_Metrics_2023_Consol[[#This Row],[Total non-social housing units developed or newly built units acquired (owned)]] / VfM_Metrics_2023_Consol[[#This Row],[Total social and non-social housing units owned (Period end)]], "n/a" )</f>
        <v>0</v>
      </c>
      <c r="V4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47" s="83" vm="8023">
        <v>0</v>
      </c>
      <c r="X47" s="83" vm="2573">
        <v>0</v>
      </c>
      <c r="Y47" s="83" vm="8014">
        <v>0</v>
      </c>
      <c r="Z4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11140</v>
      </c>
      <c r="AA47" s="84" vm="2563">
        <v>10673</v>
      </c>
      <c r="AB47" s="83" vm="2572">
        <v>1</v>
      </c>
      <c r="AC47" s="83" vm="7498">
        <v>33</v>
      </c>
      <c r="AD47" s="83" vm="2574">
        <v>433</v>
      </c>
      <c r="AE47" s="7">
        <f xml:space="preserve"> IFERROR( VfM_Metrics_2023_Consol[[#This Row],[Total Net Debt]] / VfM_Metrics_2023_Consol[[#This Row],[Net Book Value of Housing Properties2]], "n/a" )</f>
        <v>0.60846429244394196</v>
      </c>
      <c r="AF4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242184</v>
      </c>
      <c r="AG47" s="84" vm="2575">
        <v>896</v>
      </c>
      <c r="AH47" s="83" vm="2576">
        <v>242210</v>
      </c>
      <c r="AI47" s="83" vm="2577">
        <v>922</v>
      </c>
      <c r="AJ47" s="83" vm="7720">
        <v>0</v>
      </c>
      <c r="AK47" s="83" vm="2578">
        <v>0</v>
      </c>
      <c r="AL47" s="5">
        <f xml:space="preserve"> SUM( VfM_Metrics_2023_Consol[[#This Row],[Tangible fixed assets: Housing properties at cost (Current period)2]], VfM_Metrics_2023_Consol[[#This Row],[Tangible fixed assets Housing properties at valuation (Current period)2]] )</f>
        <v>398025</v>
      </c>
      <c r="AM47" s="84" vm="2569">
        <v>398025</v>
      </c>
      <c r="AN47" s="83" vm="2570">
        <v>0</v>
      </c>
      <c r="AO47" s="87">
        <f xml:space="preserve"> IFERROR( VfM_Metrics_2023_Consol[[#This Row],[EBITDA MRI]] / VfM_Metrics_2023_Consol[[#This Row],[Total interest]], "n/a" )</f>
        <v>0.51223676721684686</v>
      </c>
      <c r="AP4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5400</v>
      </c>
      <c r="AQ47" s="84" vm="3257">
        <v>11856</v>
      </c>
      <c r="AR47" s="84" vm="7222">
        <v>1969</v>
      </c>
      <c r="AS47" s="84" vm="7091">
        <v>-93</v>
      </c>
      <c r="AT47" s="84" vm="2581">
        <v>759</v>
      </c>
      <c r="AU47" s="84" vm="2582">
        <v>0</v>
      </c>
      <c r="AV47" s="84" vm="2583">
        <v>297</v>
      </c>
      <c r="AW47" s="84" vm="2584">
        <v>14548</v>
      </c>
      <c r="AX47" s="84" vm="2585">
        <v>10430</v>
      </c>
      <c r="AY47" s="3">
        <f xml:space="preserve"> - SUM( VfM_Metrics_2023_Consol[[#This Row],[Interest capitalised]], VfM_Metrics_2023_Consol[[#This Row],[Interest payable and financing costs]] )</f>
        <v>10542</v>
      </c>
      <c r="AZ47" s="84" vm="2586">
        <v>-830</v>
      </c>
      <c r="BA47" s="83" vm="2587">
        <v>-9712</v>
      </c>
      <c r="BB47" s="8">
        <f xml:space="preserve"> IFERROR( ( VfM_Metrics_2023_Consol[[#This Row],[Total Costs]] / VfM_Metrics_2023_Consol[[#This Row],[Total units for costs]] ) * 1000, "n/a" )</f>
        <v>4861.5197226646678</v>
      </c>
      <c r="BC4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51887</v>
      </c>
      <c r="BD47" s="84" vm="2588">
        <v>14154</v>
      </c>
      <c r="BE47" s="83" vm="2589">
        <v>2989</v>
      </c>
      <c r="BF47" s="83" vm="2590">
        <v>16853</v>
      </c>
      <c r="BG47" s="83" vm="2591">
        <v>744</v>
      </c>
      <c r="BH47" s="83" vm="2592">
        <v>0</v>
      </c>
      <c r="BI47" s="83" vm="2664">
        <v>0</v>
      </c>
      <c r="BJ47" s="83" vm="2584">
        <v>14548</v>
      </c>
      <c r="BK47" s="83" vm="2593">
        <v>946</v>
      </c>
      <c r="BL47" s="83" vm="2594">
        <v>0</v>
      </c>
      <c r="BM47" s="83" vm="2595">
        <v>0</v>
      </c>
      <c r="BN47" s="83" vm="2596">
        <v>0</v>
      </c>
      <c r="BO47" s="83" vm="3415">
        <v>1653</v>
      </c>
      <c r="BP47" s="5" vm="7221">
        <f xml:space="preserve"> VfM_Metrics_2023_Consol[[#This Row],[Total social housing units owned and/or managed at period end]]</f>
        <v>10673</v>
      </c>
      <c r="BQ47" s="84" vm="7221">
        <v>10673</v>
      </c>
      <c r="BR47" s="7">
        <f xml:space="preserve"> IFERROR( VfM_Metrics_2023_Consol[[#This Row],[SHL operating surplus / (deficit)]] / VfM_Metrics_2023_Consol[[#This Row],[Turnover from social housing lettings]], "n/a" )</f>
        <v>0.15357189281536091</v>
      </c>
      <c r="BS47" s="5" vm="7845">
        <f xml:space="preserve"> VfM_Metrics_2023_Consol[[#This Row],[Operating surplus/(deficit) (social housing lettings)]]</f>
        <v>8270</v>
      </c>
      <c r="BT47" s="84" vm="7845">
        <v>8270</v>
      </c>
      <c r="BU47" s="5" vm="2597">
        <f xml:space="preserve"> VfM_Metrics_2023_Consol[[#This Row],[Turnover from social housing lettings]]</f>
        <v>53851</v>
      </c>
      <c r="BV47" s="84" vm="2597">
        <v>53851</v>
      </c>
      <c r="BW47" s="7">
        <f xml:space="preserve"> IFERROR( VfM_Metrics_2023_Consol[[#This Row],[Net operating surplus]] / VfM_Metrics_2023_Consol[[#This Row],[Overall turnover]], "n/a" )</f>
        <v>0.15206923873956238</v>
      </c>
      <c r="BX47" s="5">
        <f xml:space="preserve"> SUM( VfM_Metrics_2023_Consol[[#This Row],[Operating surplus/(deficit) (overall)2]], - VfM_Metrics_2023_Consol[[#This Row],[Gain/(loss) on disposal of fixed assets (housing properties)2]], - VfM_Metrics_2023_Consol[[#This Row],[Gain/(loss) on disposal of fixed assets (other)2]] )</f>
        <v>9980</v>
      </c>
      <c r="BY47" s="84" vm="2579">
        <v>11856</v>
      </c>
      <c r="BZ47" s="83" vm="2244">
        <v>1969</v>
      </c>
      <c r="CA47" s="83" vm="2580">
        <v>-93</v>
      </c>
      <c r="CB47" s="5" vm="2598">
        <f xml:space="preserve"> VfM_Metrics_2023_Consol[[#This Row],[Turnover (overall)]]</f>
        <v>65628</v>
      </c>
      <c r="CC47" s="84" vm="2598">
        <v>65628</v>
      </c>
      <c r="CD47" s="7">
        <f xml:space="preserve"> IFERROR( VfM_Metrics_2023_Consol[[#This Row],[Operating surplus including from JVs]] / VfM_Metrics_2023_Consol[[#This Row],[Net assets]], "n/a" )</f>
        <v>2.7476818751723673E-2</v>
      </c>
      <c r="CE47" s="5">
        <f xml:space="preserve"> SUM( VfM_Metrics_2023_Consol[[#This Row],[Operating surplus/(deficit) (overall)3]], VfM_Metrics_2023_Consol[[#This Row],[Share of operating surplus/(deficit) in joint ventures or associates]] )</f>
        <v>11856</v>
      </c>
      <c r="CF47" s="84" vm="2579">
        <v>11856</v>
      </c>
      <c r="CG47" s="83" vm="2600">
        <v>0</v>
      </c>
      <c r="CH47" s="5" vm="2599">
        <f xml:space="preserve"> VfM_Metrics_2023_Consol[[#This Row],[Total assets less current liabilities]]</f>
        <v>431491</v>
      </c>
      <c r="CI47" s="84" vm="2599">
        <v>431491</v>
      </c>
      <c r="CJ47" s="71" vm="7737">
        <f xml:space="preserve"> VfM_Metrics_2023_Consol[[#This Row],[Total social housing units owned (Period end)]]</f>
        <v>10673</v>
      </c>
      <c r="CK47" s="103">
        <v>9.8094699113374841E-3</v>
      </c>
      <c r="CL47" s="6">
        <f xml:space="preserve"> -- ( VfM_Metrics_2023_Consol[[#This Row],[% Supported housing (excl. HOP)]] &gt; 0.3 )</f>
        <v>0</v>
      </c>
      <c r="CM47" s="103">
        <v>0.13223920015091492</v>
      </c>
      <c r="CN47" s="6">
        <f xml:space="preserve"> -- ( VfM_Metrics_2023_Consol[[#This Row],[% Housing for older people]] &gt; 0.3 )</f>
        <v>0</v>
      </c>
      <c r="CO47" s="103">
        <f xml:space="preserve"> VfM_Metrics_2023_Consol[[#This Row],[% Supported housing (excl. HOP)]] + VfM_Metrics_2023_Consol[[#This Row],[% Housing for older people]]</f>
        <v>0.14204867006225241</v>
      </c>
      <c r="CP47" s="6">
        <f xml:space="preserve"> -- ( VfM_Metrics_2023_Consol[[#This Row],[SH specialist in RSH analysis]] + VfM_Metrics_2023_Consol[[#This Row],[OP specialist in RSH analysis]] &gt; 0 )</f>
        <v>0</v>
      </c>
      <c r="CQ47" s="10">
        <f xml:space="preserve"> -- ( VfM_Metrics_2023_Consol[[#This Row],[% SH and OP]] &gt; 0.3 )</f>
        <v>0</v>
      </c>
      <c r="CR47" s="104" t="s">
        <v>143</v>
      </c>
      <c r="CS47" s="124"/>
      <c r="CT47" s="105" t="s">
        <v>151</v>
      </c>
      <c r="CU4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47" s="85">
        <v>0</v>
      </c>
      <c r="CW47" s="85">
        <v>0</v>
      </c>
      <c r="CX47" s="85">
        <v>0</v>
      </c>
      <c r="CY47" s="85">
        <v>0</v>
      </c>
      <c r="CZ47" s="85">
        <v>1</v>
      </c>
      <c r="DA47" s="85">
        <v>0</v>
      </c>
      <c r="DB47" s="85">
        <v>0</v>
      </c>
      <c r="DC47" s="85">
        <v>0</v>
      </c>
      <c r="DD47" s="85">
        <v>0</v>
      </c>
      <c r="DE47" s="13">
        <v>0.96459033333600952</v>
      </c>
    </row>
    <row r="48" spans="1:109" x14ac:dyDescent="0.25">
      <c r="A48" s="4" t="s" vm="228">
        <v>220</v>
      </c>
      <c r="B48" s="2" t="s" vm="38">
        <v>221</v>
      </c>
      <c r="C48" s="72" vm="466">
        <v>45016</v>
      </c>
      <c r="D48" s="7">
        <f>IFERROR( VfM_Metrics_2023_Consol[[#This Row],[Reinvestment Spend]] / VfM_Metrics_2023_Consol[[#This Row],[Net Book Value of Housing Properties]], "n/a" )</f>
        <v>3.4832701549115004E-2</v>
      </c>
      <c r="E4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2334</v>
      </c>
      <c r="F48" s="83" vm="1146">
        <v>930</v>
      </c>
      <c r="G48" s="83" vm="1200">
        <v>0</v>
      </c>
      <c r="H48" s="83" vm="8600">
        <v>1397</v>
      </c>
      <c r="I48" s="83" vm="8735">
        <v>7</v>
      </c>
      <c r="J48" s="83" vm="1201">
        <v>0</v>
      </c>
      <c r="K48" s="5">
        <f xml:space="preserve"> SUM( VfM_Metrics_2023_Consol[[#This Row],[Tangible fixed assets: Housing properties at cost (Current period)]],VfM_Metrics_2023_Consol[[#This Row],[Tangible fixed assets Housing properties at valuation (Current period)]] )</f>
        <v>67006</v>
      </c>
      <c r="L48" s="84" vm="8458">
        <v>67006</v>
      </c>
      <c r="M48" s="83" vm="8661">
        <v>0</v>
      </c>
      <c r="N48" s="7">
        <f xml:space="preserve"> IFERROR( VfM_Metrics_2023_Consol[[#This Row],[Total social units developed or newly built units acquired in-year]] / VfM_Metrics_2023_Consol[[#This Row],[Social housing units owned (period end)]], "n/a" )</f>
        <v>7.2411296162201303E-3</v>
      </c>
      <c r="O48" s="5">
        <f xml:space="preserve"> SUM( VfM_Metrics_2023_Consol[[#This Row],[Total social units developed or newly built units acquired in-year (owned)]], VfM_Metrics_2023_Consol[[#This Row],[Total social leasehold units developed or newly built units acquired in-year (owned)]] )</f>
        <v>10</v>
      </c>
      <c r="P48" s="84" vm="1202">
        <v>10</v>
      </c>
      <c r="Q48" s="83" vm="8605">
        <v>0</v>
      </c>
      <c r="R48" s="5">
        <f xml:space="preserve"> SUM( VfM_Metrics_2023_Consol[[#This Row],[Total social housing units owned (Period end)]], VfM_Metrics_2023_Consol[[#This Row],[Total social leasehold units owned (Period end)]] )</f>
        <v>1381</v>
      </c>
      <c r="S48" s="84" vm="8485">
        <v>1381</v>
      </c>
      <c r="T48" s="83" vm="1203">
        <v>0</v>
      </c>
      <c r="U48" s="86">
        <f xml:space="preserve"> IFERROR( VfM_Metrics_2023_Consol[[#This Row],[Total non-social housing units developed or newly built units acquired (owned)]] / VfM_Metrics_2023_Consol[[#This Row],[Total social and non-social housing units owned (Period end)]], "n/a" )</f>
        <v>0</v>
      </c>
      <c r="V4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48" s="83" vm="8578">
        <v>0</v>
      </c>
      <c r="X48" s="83" vm="1249">
        <v>0</v>
      </c>
      <c r="Y48" s="83" vm="1204">
        <v>0</v>
      </c>
      <c r="Z4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1381</v>
      </c>
      <c r="AA48" s="84" vm="8763">
        <v>1381</v>
      </c>
      <c r="AB48" s="83" vm="1203">
        <v>0</v>
      </c>
      <c r="AC48" s="83" vm="1205">
        <v>0</v>
      </c>
      <c r="AD48" s="83" vm="1206">
        <v>0</v>
      </c>
      <c r="AE48" s="7">
        <f xml:space="preserve"> IFERROR( VfM_Metrics_2023_Consol[[#This Row],[Total Net Debt]] / VfM_Metrics_2023_Consol[[#This Row],[Net Book Value of Housing Properties2]], "n/a" )</f>
        <v>0.3290899322448736</v>
      </c>
      <c r="AF4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22051</v>
      </c>
      <c r="AG48" s="84" vm="8493">
        <v>8</v>
      </c>
      <c r="AH48" s="83" vm="1207">
        <v>29524</v>
      </c>
      <c r="AI48" s="83" vm="1328">
        <v>7481</v>
      </c>
      <c r="AJ48" s="83" vm="8547">
        <v>0</v>
      </c>
      <c r="AK48" s="83" vm="1209">
        <v>0</v>
      </c>
      <c r="AL48" s="5">
        <f xml:space="preserve"> SUM( VfM_Metrics_2023_Consol[[#This Row],[Tangible fixed assets: Housing properties at cost (Current period)2]], VfM_Metrics_2023_Consol[[#This Row],[Tangible fixed assets Housing properties at valuation (Current period)2]] )</f>
        <v>67006</v>
      </c>
      <c r="AM48" s="84" vm="8655">
        <v>67006</v>
      </c>
      <c r="AN48" s="83" vm="1186">
        <v>0</v>
      </c>
      <c r="AO48" s="87">
        <f xml:space="preserve"> IFERROR( VfM_Metrics_2023_Consol[[#This Row],[EBITDA MRI]] / VfM_Metrics_2023_Consol[[#This Row],[Total interest]], "n/a" )</f>
        <v>1.8472949389179756</v>
      </c>
      <c r="AP4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2117</v>
      </c>
      <c r="AQ48" s="84" vm="1210">
        <v>1813</v>
      </c>
      <c r="AR48" s="84" vm="1211">
        <v>68</v>
      </c>
      <c r="AS48" s="84" vm="1212">
        <v>0</v>
      </c>
      <c r="AT48" s="84" vm="8492">
        <v>327</v>
      </c>
      <c r="AU48" s="84" vm="1213">
        <v>0</v>
      </c>
      <c r="AV48" s="84" vm="1237">
        <v>174</v>
      </c>
      <c r="AW48" s="84" vm="1214">
        <v>1397</v>
      </c>
      <c r="AX48" s="84" vm="8456">
        <v>1922</v>
      </c>
      <c r="AY48" s="3">
        <f xml:space="preserve"> - SUM( VfM_Metrics_2023_Consol[[#This Row],[Interest capitalised]], VfM_Metrics_2023_Consol[[#This Row],[Interest payable and financing costs]] )</f>
        <v>1146</v>
      </c>
      <c r="AZ48" s="84" vm="8636">
        <v>-7</v>
      </c>
      <c r="BA48" s="83" vm="867">
        <v>-1139</v>
      </c>
      <c r="BB48" s="8">
        <f xml:space="preserve"> IFERROR( ( VfM_Metrics_2023_Consol[[#This Row],[Total Costs]] / VfM_Metrics_2023_Consol[[#This Row],[Total units for costs]] ) * 1000, "n/a" )</f>
        <v>4014.2247510668562</v>
      </c>
      <c r="BC4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5644</v>
      </c>
      <c r="BD48" s="84" vm="1102">
        <v>1400</v>
      </c>
      <c r="BE48" s="83" vm="1215">
        <v>351</v>
      </c>
      <c r="BF48" s="83" vm="8635">
        <v>1087</v>
      </c>
      <c r="BG48" s="83" vm="1216">
        <v>489</v>
      </c>
      <c r="BH48" s="83" vm="1486">
        <v>877</v>
      </c>
      <c r="BI48" s="83" vm="1217">
        <v>0</v>
      </c>
      <c r="BJ48" s="83" vm="1214">
        <v>1397</v>
      </c>
      <c r="BK48" s="83" vm="1413">
        <v>-208</v>
      </c>
      <c r="BL48" s="83" vm="1218">
        <v>251</v>
      </c>
      <c r="BM48" s="83" vm="1219">
        <v>0</v>
      </c>
      <c r="BN48" s="83" vm="1220">
        <v>0</v>
      </c>
      <c r="BO48" s="83" vm="1221">
        <v>0</v>
      </c>
      <c r="BP48" s="5" vm="8500">
        <f xml:space="preserve"> VfM_Metrics_2023_Consol[[#This Row],[Total social housing units owned and/or managed at period end]]</f>
        <v>1406</v>
      </c>
      <c r="BQ48" s="84" vm="8500">
        <v>1406</v>
      </c>
      <c r="BR48" s="7">
        <f xml:space="preserve"> IFERROR( VfM_Metrics_2023_Consol[[#This Row],[SHL operating surplus / (deficit)]] / VfM_Metrics_2023_Consol[[#This Row],[Turnover from social housing lettings]], "n/a" )</f>
        <v>0.24533437013996889</v>
      </c>
      <c r="BS48" s="5" vm="8454">
        <f xml:space="preserve"> VfM_Metrics_2023_Consol[[#This Row],[Operating surplus/(deficit) (social housing lettings)]]</f>
        <v>1893</v>
      </c>
      <c r="BT48" s="84" vm="8454">
        <v>1893</v>
      </c>
      <c r="BU48" s="5" vm="1222">
        <f xml:space="preserve"> VfM_Metrics_2023_Consol[[#This Row],[Turnover from social housing lettings]]</f>
        <v>7716</v>
      </c>
      <c r="BV48" s="84" vm="1222">
        <v>7716</v>
      </c>
      <c r="BW48" s="7">
        <f xml:space="preserve"> IFERROR( VfM_Metrics_2023_Consol[[#This Row],[Net operating surplus]] / VfM_Metrics_2023_Consol[[#This Row],[Overall turnover]], "n/a" )</f>
        <v>0.22317431896661977</v>
      </c>
      <c r="BX48" s="5">
        <f xml:space="preserve"> SUM( VfM_Metrics_2023_Consol[[#This Row],[Operating surplus/(deficit) (overall)2]], - VfM_Metrics_2023_Consol[[#This Row],[Gain/(loss) on disposal of fixed assets (housing properties)2]], - VfM_Metrics_2023_Consol[[#This Row],[Gain/(loss) on disposal of fixed assets (other)2]] )</f>
        <v>1745</v>
      </c>
      <c r="BY48" s="84" vm="1210">
        <v>1813</v>
      </c>
      <c r="BZ48" s="83" vm="1211">
        <v>68</v>
      </c>
      <c r="CA48" s="83" vm="1208">
        <v>0</v>
      </c>
      <c r="CB48" s="5" vm="8490">
        <f xml:space="preserve"> VfM_Metrics_2023_Consol[[#This Row],[Turnover (overall)]]</f>
        <v>7819</v>
      </c>
      <c r="CC48" s="84" vm="8490">
        <v>7819</v>
      </c>
      <c r="CD48" s="7">
        <f xml:space="preserve"> IFERROR( VfM_Metrics_2023_Consol[[#This Row],[Operating surplus including from JVs]] / VfM_Metrics_2023_Consol[[#This Row],[Net assets]], "n/a" )</f>
        <v>2.3612920031258141E-2</v>
      </c>
      <c r="CE48" s="5">
        <f xml:space="preserve"> SUM( VfM_Metrics_2023_Consol[[#This Row],[Operating surplus/(deficit) (overall)3]], VfM_Metrics_2023_Consol[[#This Row],[Share of operating surplus/(deficit) in joint ventures or associates]] )</f>
        <v>1813</v>
      </c>
      <c r="CF48" s="84" vm="974">
        <v>1813</v>
      </c>
      <c r="CG48" s="83" vm="8717">
        <v>0</v>
      </c>
      <c r="CH48" s="5" vm="1224">
        <f xml:space="preserve"> VfM_Metrics_2023_Consol[[#This Row],[Total assets less current liabilities]]</f>
        <v>76780</v>
      </c>
      <c r="CI48" s="84" vm="1224">
        <v>76780</v>
      </c>
      <c r="CJ48" s="71" vm="8485">
        <f xml:space="preserve"> VfM_Metrics_2023_Consol[[#This Row],[Total social housing units owned (Period end)]]</f>
        <v>1381</v>
      </c>
      <c r="CK48" s="103">
        <v>0</v>
      </c>
      <c r="CL48" s="6">
        <f xml:space="preserve"> -- ( VfM_Metrics_2023_Consol[[#This Row],[% Supported housing (excl. HOP)]] &gt; 0.3 )</f>
        <v>0</v>
      </c>
      <c r="CM48" s="103">
        <v>0</v>
      </c>
      <c r="CN48" s="6">
        <f xml:space="preserve"> -- ( VfM_Metrics_2023_Consol[[#This Row],[% Housing for older people]] &gt; 0.3 )</f>
        <v>0</v>
      </c>
      <c r="CO48" s="103">
        <f xml:space="preserve"> VfM_Metrics_2023_Consol[[#This Row],[% Supported housing (excl. HOP)]] + VfM_Metrics_2023_Consol[[#This Row],[% Housing for older people]]</f>
        <v>0</v>
      </c>
      <c r="CP48" s="6">
        <f xml:space="preserve"> -- ( VfM_Metrics_2023_Consol[[#This Row],[SH specialist in RSH analysis]] + VfM_Metrics_2023_Consol[[#This Row],[OP specialist in RSH analysis]] &gt; 0 )</f>
        <v>0</v>
      </c>
      <c r="CQ48" s="10">
        <f xml:space="preserve"> -- ( VfM_Metrics_2023_Consol[[#This Row],[% SH and OP]] &gt; 0.3 )</f>
        <v>0</v>
      </c>
      <c r="CR48" s="104" t="s">
        <v>143</v>
      </c>
      <c r="CS48" s="124" t="s">
        <v>144</v>
      </c>
      <c r="CT48" s="105"/>
      <c r="CU4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48" s="85">
        <v>0</v>
      </c>
      <c r="CW48" s="85">
        <v>0</v>
      </c>
      <c r="CX48" s="85">
        <v>1</v>
      </c>
      <c r="CY48" s="85">
        <v>0</v>
      </c>
      <c r="CZ48" s="85">
        <v>0</v>
      </c>
      <c r="DA48" s="85">
        <v>0</v>
      </c>
      <c r="DB48" s="85">
        <v>0</v>
      </c>
      <c r="DC48" s="85">
        <v>0</v>
      </c>
      <c r="DD48" s="85">
        <v>0</v>
      </c>
      <c r="DE48" s="13">
        <v>0.97511902715076015</v>
      </c>
    </row>
    <row r="49" spans="1:109" x14ac:dyDescent="0.25">
      <c r="A49" s="4" t="s" vm="390">
        <v>222</v>
      </c>
      <c r="B49" s="2" t="s" vm="39">
        <v>223</v>
      </c>
      <c r="C49" s="72" vm="413">
        <v>45016</v>
      </c>
      <c r="D49" s="7">
        <f>IFERROR( VfM_Metrics_2023_Consol[[#This Row],[Reinvestment Spend]] / VfM_Metrics_2023_Consol[[#This Row],[Net Book Value of Housing Properties]], "n/a" )</f>
        <v>8.5099312850639E-2</v>
      </c>
      <c r="E4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35085</v>
      </c>
      <c r="F49" s="83" vm="7019">
        <v>177</v>
      </c>
      <c r="G49" s="83" vm="6592">
        <v>29835</v>
      </c>
      <c r="H49" s="83" vm="6593">
        <v>4445</v>
      </c>
      <c r="I49" s="83" vm="6594">
        <v>628</v>
      </c>
      <c r="J49" s="83" vm="6595">
        <v>0</v>
      </c>
      <c r="K49" s="5">
        <f xml:space="preserve"> SUM( VfM_Metrics_2023_Consol[[#This Row],[Tangible fixed assets: Housing properties at cost (Current period)]],VfM_Metrics_2023_Consol[[#This Row],[Tangible fixed assets Housing properties at valuation (Current period)]] )</f>
        <v>412283</v>
      </c>
      <c r="L49" s="84" vm="6596">
        <v>412283</v>
      </c>
      <c r="M49" s="83">
        <v>0</v>
      </c>
      <c r="N49" s="7">
        <f xml:space="preserve"> IFERROR( VfM_Metrics_2023_Consol[[#This Row],[Total social units developed or newly built units acquired in-year]] / VfM_Metrics_2023_Consol[[#This Row],[Social housing units owned (period end)]], "n/a" )</f>
        <v>3.8176225800615159E-2</v>
      </c>
      <c r="O49" s="5">
        <f xml:space="preserve"> SUM( VfM_Metrics_2023_Consol[[#This Row],[Total social units developed or newly built units acquired in-year (owned)]], VfM_Metrics_2023_Consol[[#This Row],[Total social leasehold units developed or newly built units acquired in-year (owned)]] )</f>
        <v>211</v>
      </c>
      <c r="P49" s="84" vm="6597">
        <v>211</v>
      </c>
      <c r="Q49" s="83">
        <v>0</v>
      </c>
      <c r="R49" s="5">
        <f xml:space="preserve"> SUM( VfM_Metrics_2023_Consol[[#This Row],[Total social housing units owned (Period end)]], VfM_Metrics_2023_Consol[[#This Row],[Total social leasehold units owned (Period end)]] )</f>
        <v>5527</v>
      </c>
      <c r="S49" s="84" vm="6590">
        <v>5386</v>
      </c>
      <c r="T49" s="83" vm="6598">
        <v>141</v>
      </c>
      <c r="U49" s="86">
        <f xml:space="preserve"> IFERROR( VfM_Metrics_2023_Consol[[#This Row],[Total non-social housing units developed or newly built units acquired (owned)]] / VfM_Metrics_2023_Consol[[#This Row],[Total social and non-social housing units owned (Period end)]], "n/a" )</f>
        <v>0</v>
      </c>
      <c r="V4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49" s="83">
        <v>0</v>
      </c>
      <c r="X49" s="83">
        <v>0</v>
      </c>
      <c r="Y49" s="83" vm="6599">
        <v>0</v>
      </c>
      <c r="Z4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5527</v>
      </c>
      <c r="AA49" s="84" vm="6590">
        <v>5386</v>
      </c>
      <c r="AB49" s="83" vm="6598">
        <v>141</v>
      </c>
      <c r="AC49" s="83" vm="6600">
        <v>0</v>
      </c>
      <c r="AD49" s="83" vm="6601">
        <v>0</v>
      </c>
      <c r="AE49" s="7">
        <f xml:space="preserve"> IFERROR( VfM_Metrics_2023_Consol[[#This Row],[Total Net Debt]] / VfM_Metrics_2023_Consol[[#This Row],[Net Book Value of Housing Properties2]], "n/a" )</f>
        <v>0.59561757336586763</v>
      </c>
      <c r="AF4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245563</v>
      </c>
      <c r="AG49" s="84" vm="6718">
        <v>157</v>
      </c>
      <c r="AH49" s="83" vm="6602">
        <v>255541</v>
      </c>
      <c r="AI49" s="83" vm="6603">
        <v>10135</v>
      </c>
      <c r="AJ49" s="83" vm="1675">
        <v>0</v>
      </c>
      <c r="AK49" s="83">
        <v>0</v>
      </c>
      <c r="AL49" s="5">
        <f xml:space="preserve"> SUM( VfM_Metrics_2023_Consol[[#This Row],[Tangible fixed assets: Housing properties at cost (Current period)2]], VfM_Metrics_2023_Consol[[#This Row],[Tangible fixed assets Housing properties at valuation (Current period)2]] )</f>
        <v>412283</v>
      </c>
      <c r="AM49" s="84" vm="6596">
        <v>412283</v>
      </c>
      <c r="AN49" s="83">
        <v>0</v>
      </c>
      <c r="AO49" s="87">
        <f xml:space="preserve"> IFERROR( VfM_Metrics_2023_Consol[[#This Row],[EBITDA MRI]] / VfM_Metrics_2023_Consol[[#This Row],[Total interest]], "n/a" )</f>
        <v>1.3828945104112889</v>
      </c>
      <c r="AP4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16072</v>
      </c>
      <c r="AQ49" s="84" vm="6604">
        <v>14704</v>
      </c>
      <c r="AR49" s="84" vm="6605">
        <v>1236</v>
      </c>
      <c r="AS49" s="84" vm="6606">
        <v>0</v>
      </c>
      <c r="AT49" s="84" vm="6607">
        <v>76</v>
      </c>
      <c r="AU49" s="84" vm="6608">
        <v>0</v>
      </c>
      <c r="AV49" s="84" vm="6717">
        <v>282</v>
      </c>
      <c r="AW49" s="84" vm="6609">
        <v>4445</v>
      </c>
      <c r="AX49" s="84" vm="6610">
        <v>6843</v>
      </c>
      <c r="AY49" s="3">
        <f xml:space="preserve"> - SUM( VfM_Metrics_2023_Consol[[#This Row],[Interest capitalised]], VfM_Metrics_2023_Consol[[#This Row],[Interest payable and financing costs]] )</f>
        <v>11622</v>
      </c>
      <c r="AZ49" s="84" vm="7236">
        <v>-628</v>
      </c>
      <c r="BA49" s="83" vm="6611">
        <v>-10994</v>
      </c>
      <c r="BB49" s="8">
        <f xml:space="preserve"> IFERROR( ( VfM_Metrics_2023_Consol[[#This Row],[Total Costs]] / VfM_Metrics_2023_Consol[[#This Row],[Total units for costs]] ) * 1000, "n/a" )</f>
        <v>3825.102116598589</v>
      </c>
      <c r="BC4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20602</v>
      </c>
      <c r="BD49" s="84" vm="6612">
        <v>6199</v>
      </c>
      <c r="BE49" s="83" vm="6613">
        <v>1346</v>
      </c>
      <c r="BF49" s="83" vm="6614">
        <v>3594</v>
      </c>
      <c r="BG49" s="83" vm="6615">
        <v>2561</v>
      </c>
      <c r="BH49" s="83" vm="6616">
        <v>921</v>
      </c>
      <c r="BI49" s="83" vm="6617">
        <v>0</v>
      </c>
      <c r="BJ49" s="83" vm="6609">
        <v>4445</v>
      </c>
      <c r="BK49" s="83" vm="6618">
        <v>847</v>
      </c>
      <c r="BL49" s="83">
        <v>0</v>
      </c>
      <c r="BM49" s="83">
        <v>0</v>
      </c>
      <c r="BN49" s="83" vm="6875">
        <v>689</v>
      </c>
      <c r="BO49" s="83">
        <v>0</v>
      </c>
      <c r="BP49" s="5" vm="6591">
        <f xml:space="preserve"> VfM_Metrics_2023_Consol[[#This Row],[Total social housing units owned and/or managed at period end]]</f>
        <v>5386</v>
      </c>
      <c r="BQ49" s="84" vm="6591">
        <v>5386</v>
      </c>
      <c r="BR49" s="7">
        <f xml:space="preserve"> IFERROR( VfM_Metrics_2023_Consol[[#This Row],[SHL operating surplus / (deficit)]] / VfM_Metrics_2023_Consol[[#This Row],[Turnover from social housing lettings]], "n/a" )</f>
        <v>0.34390347420117623</v>
      </c>
      <c r="BS49" s="5" vm="6619">
        <f xml:space="preserve"> VfM_Metrics_2023_Consol[[#This Row],[Operating surplus/(deficit) (social housing lettings)]]</f>
        <v>11344</v>
      </c>
      <c r="BT49" s="84" vm="6619">
        <v>11344</v>
      </c>
      <c r="BU49" s="5" vm="6620">
        <f xml:space="preserve"> VfM_Metrics_2023_Consol[[#This Row],[Turnover from social housing lettings]]</f>
        <v>32986</v>
      </c>
      <c r="BV49" s="84" vm="6620">
        <v>32986</v>
      </c>
      <c r="BW49" s="7">
        <f xml:space="preserve"> IFERROR( VfM_Metrics_2023_Consol[[#This Row],[Net operating surplus]] / VfM_Metrics_2023_Consol[[#This Row],[Overall turnover]], "n/a" )</f>
        <v>0.34130765331981755</v>
      </c>
      <c r="BX49" s="5">
        <f xml:space="preserve"> SUM( VfM_Metrics_2023_Consol[[#This Row],[Operating surplus/(deficit) (overall)2]], - VfM_Metrics_2023_Consol[[#This Row],[Gain/(loss) on disposal of fixed assets (housing properties)2]], - VfM_Metrics_2023_Consol[[#This Row],[Gain/(loss) on disposal of fixed assets (other)2]] )</f>
        <v>13468</v>
      </c>
      <c r="BY49" s="84" vm="6604">
        <v>14704</v>
      </c>
      <c r="BZ49" s="83" vm="6605">
        <v>1236</v>
      </c>
      <c r="CA49" s="83" vm="6606">
        <v>0</v>
      </c>
      <c r="CB49" s="5" vm="6621">
        <f xml:space="preserve"> VfM_Metrics_2023_Consol[[#This Row],[Turnover (overall)]]</f>
        <v>39460</v>
      </c>
      <c r="CC49" s="84" vm="6621">
        <v>39460</v>
      </c>
      <c r="CD49" s="7">
        <f xml:space="preserve"> IFERROR( VfM_Metrics_2023_Consol[[#This Row],[Operating surplus including from JVs]] / VfM_Metrics_2023_Consol[[#This Row],[Net assets]], "n/a" )</f>
        <v>3.5221776946312185E-2</v>
      </c>
      <c r="CE49" s="5">
        <f xml:space="preserve"> SUM( VfM_Metrics_2023_Consol[[#This Row],[Operating surplus/(deficit) (overall)3]], VfM_Metrics_2023_Consol[[#This Row],[Share of operating surplus/(deficit) in joint ventures or associates]] )</f>
        <v>14704</v>
      </c>
      <c r="CF49" s="84" vm="6604">
        <v>14704</v>
      </c>
      <c r="CG49" s="83" vm="6623">
        <v>0</v>
      </c>
      <c r="CH49" s="5" vm="6622">
        <f xml:space="preserve"> VfM_Metrics_2023_Consol[[#This Row],[Total assets less current liabilities]]</f>
        <v>417469</v>
      </c>
      <c r="CI49" s="84" vm="6622">
        <v>417469</v>
      </c>
      <c r="CJ49" s="71" vm="6590">
        <f xml:space="preserve"> VfM_Metrics_2023_Consol[[#This Row],[Total social housing units owned (Period end)]]</f>
        <v>5386</v>
      </c>
      <c r="CK49" s="103">
        <v>0</v>
      </c>
      <c r="CL49" s="6">
        <f xml:space="preserve"> -- ( VfM_Metrics_2023_Consol[[#This Row],[% Supported housing (excl. HOP)]] &gt; 0.3 )</f>
        <v>0</v>
      </c>
      <c r="CM49" s="103">
        <v>0</v>
      </c>
      <c r="CN49" s="6">
        <f xml:space="preserve"> -- ( VfM_Metrics_2023_Consol[[#This Row],[% Housing for older people]] &gt; 0.3 )</f>
        <v>0</v>
      </c>
      <c r="CO49" s="103">
        <f xml:space="preserve"> VfM_Metrics_2023_Consol[[#This Row],[% Supported housing (excl. HOP)]] + VfM_Metrics_2023_Consol[[#This Row],[% Housing for older people]]</f>
        <v>0</v>
      </c>
      <c r="CP49" s="6">
        <f xml:space="preserve"> -- ( VfM_Metrics_2023_Consol[[#This Row],[SH specialist in RSH analysis]] + VfM_Metrics_2023_Consol[[#This Row],[OP specialist in RSH analysis]] &gt; 0 )</f>
        <v>0</v>
      </c>
      <c r="CQ49" s="10">
        <f xml:space="preserve"> -- ( VfM_Metrics_2023_Consol[[#This Row],[% SH and OP]] &gt; 0.3 )</f>
        <v>0</v>
      </c>
      <c r="CR49" s="104" t="s">
        <v>143</v>
      </c>
      <c r="CS49" s="124"/>
      <c r="CT49" s="105" t="s">
        <v>151</v>
      </c>
      <c r="CU4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49" s="85">
        <v>0</v>
      </c>
      <c r="CW49" s="85">
        <v>0.80614525139664805</v>
      </c>
      <c r="CX49" s="85">
        <v>0.17746741154562384</v>
      </c>
      <c r="CY49" s="85">
        <v>0</v>
      </c>
      <c r="CZ49" s="85">
        <v>1.6387337057728119E-2</v>
      </c>
      <c r="DA49" s="85">
        <v>0</v>
      </c>
      <c r="DB49" s="85">
        <v>0</v>
      </c>
      <c r="DC49" s="85">
        <v>0</v>
      </c>
      <c r="DD49" s="85">
        <v>0</v>
      </c>
      <c r="DE49" s="13">
        <v>1.022181386603412</v>
      </c>
    </row>
    <row r="50" spans="1:109" x14ac:dyDescent="0.25">
      <c r="A50" s="4" t="s" vm="302">
        <v>224</v>
      </c>
      <c r="B50" s="2" t="s" vm="40">
        <v>225</v>
      </c>
      <c r="C50" s="72" vm="506">
        <v>45016</v>
      </c>
      <c r="D50" s="7">
        <f>IFERROR( VfM_Metrics_2023_Consol[[#This Row],[Reinvestment Spend]] / VfM_Metrics_2023_Consol[[#This Row],[Net Book Value of Housing Properties]], "n/a" )</f>
        <v>0.12489563462442288</v>
      </c>
      <c r="E5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90352</v>
      </c>
      <c r="F50" s="83" vm="3421">
        <v>78723</v>
      </c>
      <c r="G50" s="83" vm="7617">
        <v>104</v>
      </c>
      <c r="H50" s="83" vm="3422">
        <v>9753</v>
      </c>
      <c r="I50" s="83" vm="7692">
        <v>1772</v>
      </c>
      <c r="J50" s="83" vm="3423">
        <v>0</v>
      </c>
      <c r="K50" s="5">
        <f xml:space="preserve"> SUM( VfM_Metrics_2023_Consol[[#This Row],[Tangible fixed assets: Housing properties at cost (Current period)]],VfM_Metrics_2023_Consol[[#This Row],[Tangible fixed assets Housing properties at valuation (Current period)]] )</f>
        <v>723420</v>
      </c>
      <c r="L50" s="84" vm="3424">
        <v>723420</v>
      </c>
      <c r="M50" s="83" vm="2455">
        <v>0</v>
      </c>
      <c r="N50" s="7">
        <f xml:space="preserve"> IFERROR( VfM_Metrics_2023_Consol[[#This Row],[Total social units developed or newly built units acquired in-year]] / VfM_Metrics_2023_Consol[[#This Row],[Social housing units owned (period end)]], "n/a" )</f>
        <v>1.8152085036794767E-2</v>
      </c>
      <c r="O50" s="5">
        <f xml:space="preserve"> SUM( VfM_Metrics_2023_Consol[[#This Row],[Total social units developed or newly built units acquired in-year (owned)]], VfM_Metrics_2023_Consol[[#This Row],[Total social leasehold units developed or newly built units acquired in-year (owned)]] )</f>
        <v>222</v>
      </c>
      <c r="P50" s="84" vm="3426">
        <v>222</v>
      </c>
      <c r="Q50" s="83" vm="3427">
        <v>0</v>
      </c>
      <c r="R50" s="5">
        <f xml:space="preserve"> SUM( VfM_Metrics_2023_Consol[[#This Row],[Total social housing units owned (Period end)]], VfM_Metrics_2023_Consol[[#This Row],[Total social leasehold units owned (Period end)]] )</f>
        <v>12230</v>
      </c>
      <c r="S50" s="84" vm="3419">
        <v>12230</v>
      </c>
      <c r="T50" s="83" vm="7452">
        <v>0</v>
      </c>
      <c r="U50" s="86">
        <f xml:space="preserve"> IFERROR( VfM_Metrics_2023_Consol[[#This Row],[Total non-social housing units developed or newly built units acquired (owned)]] / VfM_Metrics_2023_Consol[[#This Row],[Total social and non-social housing units owned (Period end)]], "n/a" )</f>
        <v>0</v>
      </c>
      <c r="V5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50" s="83" vm="3429">
        <v>0</v>
      </c>
      <c r="X50" s="83" vm="3430">
        <v>0</v>
      </c>
      <c r="Y50" s="83" vm="3431">
        <v>0</v>
      </c>
      <c r="Z5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13394</v>
      </c>
      <c r="AA50" s="84" vm="3419">
        <v>12230</v>
      </c>
      <c r="AB50" s="83" vm="3428">
        <v>0</v>
      </c>
      <c r="AC50" s="83" vm="3432">
        <v>100</v>
      </c>
      <c r="AD50" s="83" vm="7550">
        <v>1064</v>
      </c>
      <c r="AE50" s="7">
        <f xml:space="preserve"> IFERROR( VfM_Metrics_2023_Consol[[#This Row],[Total Net Debt]] / VfM_Metrics_2023_Consol[[#This Row],[Net Book Value of Housing Properties2]], "n/a" )</f>
        <v>0.56164607005612233</v>
      </c>
      <c r="AF5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406306</v>
      </c>
      <c r="AG50" s="84" vm="3433">
        <v>3857</v>
      </c>
      <c r="AH50" s="83" vm="3434">
        <v>409103</v>
      </c>
      <c r="AI50" s="83" vm="7944">
        <v>6654</v>
      </c>
      <c r="AJ50" s="83" vm="3435">
        <v>0</v>
      </c>
      <c r="AK50" s="83" vm="7549">
        <v>0</v>
      </c>
      <c r="AL50" s="5">
        <f xml:space="preserve"> SUM( VfM_Metrics_2023_Consol[[#This Row],[Tangible fixed assets: Housing properties at cost (Current period)2]], VfM_Metrics_2023_Consol[[#This Row],[Tangible fixed assets Housing properties at valuation (Current period)2]] )</f>
        <v>723420</v>
      </c>
      <c r="AM50" s="84" vm="3424">
        <v>723420</v>
      </c>
      <c r="AN50" s="83" vm="3425">
        <v>0</v>
      </c>
      <c r="AO50" s="87">
        <f xml:space="preserve"> IFERROR( VfM_Metrics_2023_Consol[[#This Row],[EBITDA MRI]] / VfM_Metrics_2023_Consol[[#This Row],[Total interest]], "n/a" )</f>
        <v>1.2588597842835132</v>
      </c>
      <c r="AP5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24510</v>
      </c>
      <c r="AQ50" s="84" vm="3385">
        <v>25079</v>
      </c>
      <c r="AR50" s="84" vm="3437">
        <v>4030</v>
      </c>
      <c r="AS50" s="84" vm="3438">
        <v>0</v>
      </c>
      <c r="AT50" s="84" vm="3439">
        <v>559</v>
      </c>
      <c r="AU50" s="84" vm="3440">
        <v>0</v>
      </c>
      <c r="AV50" s="84" vm="3441">
        <v>225</v>
      </c>
      <c r="AW50" s="84" vm="3442">
        <v>9753</v>
      </c>
      <c r="AX50" s="84" vm="3443">
        <v>13548</v>
      </c>
      <c r="AY50" s="3">
        <f xml:space="preserve"> - SUM( VfM_Metrics_2023_Consol[[#This Row],[Interest capitalised]], VfM_Metrics_2023_Consol[[#This Row],[Interest payable and financing costs]] )</f>
        <v>19470</v>
      </c>
      <c r="AZ50" s="84" vm="3444">
        <v>-1772</v>
      </c>
      <c r="BA50" s="83" vm="7548">
        <v>-17698</v>
      </c>
      <c r="BB50" s="8">
        <f xml:space="preserve"> IFERROR( ( VfM_Metrics_2023_Consol[[#This Row],[Total Costs]] / VfM_Metrics_2023_Consol[[#This Row],[Total units for costs]] ) * 1000, "n/a" )</f>
        <v>3749.8585172608941</v>
      </c>
      <c r="BC5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46382</v>
      </c>
      <c r="BD50" s="84" vm="7079">
        <v>14382</v>
      </c>
      <c r="BE50" s="83" vm="7676">
        <v>6229</v>
      </c>
      <c r="BF50" s="83" vm="3445">
        <v>6957</v>
      </c>
      <c r="BG50" s="83" vm="3446">
        <v>6501</v>
      </c>
      <c r="BH50" s="83" vm="3447">
        <v>0</v>
      </c>
      <c r="BI50" s="83" vm="3448">
        <v>0</v>
      </c>
      <c r="BJ50" s="83" vm="3442">
        <v>9753</v>
      </c>
      <c r="BK50" s="83" vm="3449">
        <v>0</v>
      </c>
      <c r="BL50" s="83" vm="7673">
        <v>1148</v>
      </c>
      <c r="BM50" s="83" vm="3450">
        <v>1243</v>
      </c>
      <c r="BN50" s="83" vm="7690">
        <v>0</v>
      </c>
      <c r="BO50" s="83" vm="3114">
        <v>169</v>
      </c>
      <c r="BP50" s="5" vm="3420">
        <f xml:space="preserve"> VfM_Metrics_2023_Consol[[#This Row],[Total social housing units owned and/or managed at period end]]</f>
        <v>12369</v>
      </c>
      <c r="BQ50" s="84" vm="3420">
        <v>12369</v>
      </c>
      <c r="BR50" s="7">
        <f xml:space="preserve"> IFERROR( VfM_Metrics_2023_Consol[[#This Row],[SHL operating surplus / (deficit)]] / VfM_Metrics_2023_Consol[[#This Row],[Turnover from social housing lettings]], "n/a" )</f>
        <v>0.27766874175841028</v>
      </c>
      <c r="BS50" s="5" vm="3451">
        <f xml:space="preserve"> VfM_Metrics_2023_Consol[[#This Row],[Operating surplus/(deficit) (social housing lettings)]]</f>
        <v>18109</v>
      </c>
      <c r="BT50" s="84" vm="3451">
        <v>18109</v>
      </c>
      <c r="BU50" s="5" vm="3452">
        <f xml:space="preserve"> VfM_Metrics_2023_Consol[[#This Row],[Turnover from social housing lettings]]</f>
        <v>65218</v>
      </c>
      <c r="BV50" s="84" vm="3452">
        <v>65218</v>
      </c>
      <c r="BW50" s="7">
        <f xml:space="preserve"> IFERROR( VfM_Metrics_2023_Consol[[#This Row],[Net operating surplus]] / VfM_Metrics_2023_Consol[[#This Row],[Overall turnover]], "n/a" )</f>
        <v>0.26000222340254703</v>
      </c>
      <c r="BX50" s="5">
        <f xml:space="preserve"> SUM( VfM_Metrics_2023_Consol[[#This Row],[Operating surplus/(deficit) (overall)2]], - VfM_Metrics_2023_Consol[[#This Row],[Gain/(loss) on disposal of fixed assets (housing properties)2]], - VfM_Metrics_2023_Consol[[#This Row],[Gain/(loss) on disposal of fixed assets (other)2]] )</f>
        <v>21049</v>
      </c>
      <c r="BY50" s="84" vm="3137">
        <v>25079</v>
      </c>
      <c r="BZ50" s="83" vm="3437">
        <v>4030</v>
      </c>
      <c r="CA50" s="83" vm="3438">
        <v>0</v>
      </c>
      <c r="CB50" s="5" vm="4307">
        <f xml:space="preserve"> VfM_Metrics_2023_Consol[[#This Row],[Turnover (overall)]]</f>
        <v>80957</v>
      </c>
      <c r="CC50" s="84" vm="4307">
        <v>80957</v>
      </c>
      <c r="CD50" s="7">
        <f xml:space="preserve"> IFERROR( VfM_Metrics_2023_Consol[[#This Row],[Operating surplus including from JVs]] / VfM_Metrics_2023_Consol[[#This Row],[Net assets]], "n/a" )</f>
        <v>3.3926778075584009E-2</v>
      </c>
      <c r="CE50" s="5">
        <f xml:space="preserve"> SUM( VfM_Metrics_2023_Consol[[#This Row],[Operating surplus/(deficit) (overall)3]], VfM_Metrics_2023_Consol[[#This Row],[Share of operating surplus/(deficit) in joint ventures or associates]] )</f>
        <v>25911</v>
      </c>
      <c r="CF50" s="84" vm="3436">
        <v>25079</v>
      </c>
      <c r="CG50" s="83" vm="3454">
        <v>832</v>
      </c>
      <c r="CH50" s="5" vm="3453">
        <f xml:space="preserve"> VfM_Metrics_2023_Consol[[#This Row],[Total assets less current liabilities]]</f>
        <v>763733</v>
      </c>
      <c r="CI50" s="84" vm="3453">
        <v>763733</v>
      </c>
      <c r="CJ50" s="71" vm="3419">
        <f xml:space="preserve"> VfM_Metrics_2023_Consol[[#This Row],[Total social housing units owned (Period end)]]</f>
        <v>12230</v>
      </c>
      <c r="CK50" s="103">
        <v>9.4448094612352169E-3</v>
      </c>
      <c r="CL50" s="6">
        <f xml:space="preserve"> -- ( VfM_Metrics_2023_Consol[[#This Row],[% Supported housing (excl. HOP)]] &gt; 0.3 )</f>
        <v>0</v>
      </c>
      <c r="CM50" s="103">
        <v>9.2723390275952694E-2</v>
      </c>
      <c r="CN50" s="6">
        <f xml:space="preserve"> -- ( VfM_Metrics_2023_Consol[[#This Row],[% Housing for older people]] &gt; 0.3 )</f>
        <v>0</v>
      </c>
      <c r="CO50" s="103">
        <f xml:space="preserve"> VfM_Metrics_2023_Consol[[#This Row],[% Supported housing (excl. HOP)]] + VfM_Metrics_2023_Consol[[#This Row],[% Housing for older people]]</f>
        <v>0.10216819973718791</v>
      </c>
      <c r="CP50" s="6">
        <f xml:space="preserve"> -- ( VfM_Metrics_2023_Consol[[#This Row],[SH specialist in RSH analysis]] + VfM_Metrics_2023_Consol[[#This Row],[OP specialist in RSH analysis]] &gt; 0 )</f>
        <v>0</v>
      </c>
      <c r="CQ50" s="10">
        <f xml:space="preserve"> -- ( VfM_Metrics_2023_Consol[[#This Row],[% SH and OP]] &gt; 0.3 )</f>
        <v>0</v>
      </c>
      <c r="CR50" s="104" t="s">
        <v>143</v>
      </c>
      <c r="CS50" s="124"/>
      <c r="CT50" s="105" t="s">
        <v>151</v>
      </c>
      <c r="CU5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50" s="85">
        <v>0</v>
      </c>
      <c r="CW50" s="85">
        <v>2.4693376941946035E-2</v>
      </c>
      <c r="CX50" s="85">
        <v>0</v>
      </c>
      <c r="CY50" s="85">
        <v>2.5919869174161898E-2</v>
      </c>
      <c r="CZ50" s="85">
        <v>0</v>
      </c>
      <c r="DA50" s="85">
        <v>0.94938675388389204</v>
      </c>
      <c r="DB50" s="85">
        <v>0</v>
      </c>
      <c r="DC50" s="85">
        <v>0</v>
      </c>
      <c r="DD50" s="85">
        <v>0</v>
      </c>
      <c r="DE50" s="13">
        <v>1.0101324400329754</v>
      </c>
    </row>
    <row r="51" spans="1:109" x14ac:dyDescent="0.25">
      <c r="A51" s="4" t="s" vm="213">
        <v>226</v>
      </c>
      <c r="B51" s="2" t="s" vm="41">
        <v>227</v>
      </c>
      <c r="C51" s="72" vm="569">
        <v>45016</v>
      </c>
      <c r="D51" s="7">
        <f>IFERROR( VfM_Metrics_2023_Consol[[#This Row],[Reinvestment Spend]] / VfM_Metrics_2023_Consol[[#This Row],[Net Book Value of Housing Properties]], "n/a" )</f>
        <v>2.8887815498633829E-2</v>
      </c>
      <c r="E5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4007</v>
      </c>
      <c r="F51" s="83" vm="7930">
        <v>2621</v>
      </c>
      <c r="G51" s="83" vm="8927">
        <v>0</v>
      </c>
      <c r="H51" s="83" vm="8836">
        <v>1115</v>
      </c>
      <c r="I51" s="83" vm="853">
        <v>271</v>
      </c>
      <c r="J51" s="83" vm="8952">
        <v>0</v>
      </c>
      <c r="K51" s="5">
        <f xml:space="preserve"> SUM( VfM_Metrics_2023_Consol[[#This Row],[Tangible fixed assets: Housing properties at cost (Current period)]],VfM_Metrics_2023_Consol[[#This Row],[Tangible fixed assets Housing properties at valuation (Current period)]] )</f>
        <v>138709</v>
      </c>
      <c r="L51" s="84" vm="8816">
        <v>138709</v>
      </c>
      <c r="M51" s="83" vm="878">
        <v>0</v>
      </c>
      <c r="N51" s="7">
        <f xml:space="preserve"> IFERROR( VfM_Metrics_2023_Consol[[#This Row],[Total social units developed or newly built units acquired in-year]] / VfM_Metrics_2023_Consol[[#This Row],[Social housing units owned (period end)]], "n/a" )</f>
        <v>2.7333333333333334E-2</v>
      </c>
      <c r="O51" s="5">
        <f xml:space="preserve"> SUM( VfM_Metrics_2023_Consol[[#This Row],[Total social units developed or newly built units acquired in-year (owned)]], VfM_Metrics_2023_Consol[[#This Row],[Total social leasehold units developed or newly built units acquired in-year (owned)]] )</f>
        <v>41</v>
      </c>
      <c r="P51" s="84" vm="8958">
        <v>41</v>
      </c>
      <c r="Q51" s="83" vm="832">
        <v>0</v>
      </c>
      <c r="R51" s="5">
        <f xml:space="preserve"> SUM( VfM_Metrics_2023_Consol[[#This Row],[Total social housing units owned (Period end)]], VfM_Metrics_2023_Consol[[#This Row],[Total social leasehold units owned (Period end)]] )</f>
        <v>1500</v>
      </c>
      <c r="S51" s="84" vm="876">
        <v>1444</v>
      </c>
      <c r="T51" s="83" vm="879">
        <v>56</v>
      </c>
      <c r="U51" s="86">
        <f xml:space="preserve"> IFERROR( VfM_Metrics_2023_Consol[[#This Row],[Total non-social housing units developed or newly built units acquired (owned)]] / VfM_Metrics_2023_Consol[[#This Row],[Total social and non-social housing units owned (Period end)]], "n/a" )</f>
        <v>0</v>
      </c>
      <c r="V5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51" s="83" vm="8951">
        <v>0</v>
      </c>
      <c r="X51" s="83" vm="880">
        <v>0</v>
      </c>
      <c r="Y51" s="83" vm="881">
        <v>0</v>
      </c>
      <c r="Z5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1541</v>
      </c>
      <c r="AA51" s="84" vm="8879">
        <v>1444</v>
      </c>
      <c r="AB51" s="83" vm="8922">
        <v>56</v>
      </c>
      <c r="AC51" s="83" vm="882">
        <v>15</v>
      </c>
      <c r="AD51" s="83" vm="859">
        <v>26</v>
      </c>
      <c r="AE51" s="7">
        <f xml:space="preserve"> IFERROR( VfM_Metrics_2023_Consol[[#This Row],[Total Net Debt]] / VfM_Metrics_2023_Consol[[#This Row],[Net Book Value of Housing Properties2]], "n/a" )</f>
        <v>0.40283615338586537</v>
      </c>
      <c r="AF5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55877</v>
      </c>
      <c r="AG51" s="84" vm="1067">
        <v>6034</v>
      </c>
      <c r="AH51" s="83" vm="8919">
        <v>59976</v>
      </c>
      <c r="AI51" s="83" vm="8834">
        <v>10133</v>
      </c>
      <c r="AJ51" s="83" vm="884">
        <v>0</v>
      </c>
      <c r="AK51" s="83" vm="8939">
        <v>0</v>
      </c>
      <c r="AL51" s="5">
        <f xml:space="preserve"> SUM( VfM_Metrics_2023_Consol[[#This Row],[Tangible fixed assets: Housing properties at cost (Current period)2]], VfM_Metrics_2023_Consol[[#This Row],[Tangible fixed assets Housing properties at valuation (Current period)2]] )</f>
        <v>138709</v>
      </c>
      <c r="AM51" s="84" vm="8869">
        <v>138709</v>
      </c>
      <c r="AN51" s="83" vm="8710">
        <v>0</v>
      </c>
      <c r="AO51" s="87">
        <f xml:space="preserve"> IFERROR( VfM_Metrics_2023_Consol[[#This Row],[EBITDA MRI]] / VfM_Metrics_2023_Consol[[#This Row],[Total interest]], "n/a" )</f>
        <v>1.3420639078051335</v>
      </c>
      <c r="AP5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2562</v>
      </c>
      <c r="AQ51" s="84" vm="903">
        <v>2611</v>
      </c>
      <c r="AR51" s="84" vm="885">
        <v>76</v>
      </c>
      <c r="AS51" s="84" vm="8961">
        <v>0</v>
      </c>
      <c r="AT51" s="84" vm="886">
        <v>730</v>
      </c>
      <c r="AU51" s="84" vm="8914">
        <v>0</v>
      </c>
      <c r="AV51" s="84" vm="888">
        <v>157</v>
      </c>
      <c r="AW51" s="84" vm="8722">
        <v>1115</v>
      </c>
      <c r="AX51" s="84" vm="8936">
        <v>1715</v>
      </c>
      <c r="AY51" s="3">
        <f xml:space="preserve"> - SUM( VfM_Metrics_2023_Consol[[#This Row],[Interest capitalised]], VfM_Metrics_2023_Consol[[#This Row],[Interest payable and financing costs]] )</f>
        <v>1909</v>
      </c>
      <c r="AZ51" s="84" vm="8867">
        <v>-271</v>
      </c>
      <c r="BA51" s="83" vm="890">
        <v>-1638</v>
      </c>
      <c r="BB51" s="8">
        <f xml:space="preserve"> IFERROR( ( VfM_Metrics_2023_Consol[[#This Row],[Total Costs]] / VfM_Metrics_2023_Consol[[#This Row],[Total units for costs]] ) * 1000, "n/a" )</f>
        <v>7254.9420586230408</v>
      </c>
      <c r="BC5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10643</v>
      </c>
      <c r="BD51" s="84" vm="891">
        <v>4271</v>
      </c>
      <c r="BE51" s="83" vm="8949">
        <v>2581</v>
      </c>
      <c r="BF51" s="83" vm="1074">
        <v>2202</v>
      </c>
      <c r="BG51" s="83" vm="8950">
        <v>474</v>
      </c>
      <c r="BH51" s="83" vm="7927">
        <v>0</v>
      </c>
      <c r="BI51" s="83" vm="9151">
        <v>0</v>
      </c>
      <c r="BJ51" s="83" vm="889">
        <v>1115</v>
      </c>
      <c r="BK51" s="83" vm="8932">
        <v>0</v>
      </c>
      <c r="BL51" s="83" vm="892">
        <v>0</v>
      </c>
      <c r="BM51" s="83" vm="8865">
        <v>0</v>
      </c>
      <c r="BN51" s="83" vm="7926">
        <v>0</v>
      </c>
      <c r="BO51" s="83" vm="8910">
        <v>0</v>
      </c>
      <c r="BP51" s="5" vm="9132">
        <f xml:space="preserve"> VfM_Metrics_2023_Consol[[#This Row],[Total social housing units owned and/or managed at period end]]</f>
        <v>1467</v>
      </c>
      <c r="BQ51" s="84" vm="9132">
        <v>1467</v>
      </c>
      <c r="BR51" s="7">
        <f xml:space="preserve"> IFERROR( VfM_Metrics_2023_Consol[[#This Row],[SHL operating surplus / (deficit)]] / VfM_Metrics_2023_Consol[[#This Row],[Turnover from social housing lettings]], "n/a" )</f>
        <v>0.1475917258040163</v>
      </c>
      <c r="BS51" s="5" vm="893">
        <f xml:space="preserve"> VfM_Metrics_2023_Consol[[#This Row],[Operating surplus/(deficit) (social housing lettings)]]</f>
        <v>1955</v>
      </c>
      <c r="BT51" s="84" vm="893">
        <v>1955</v>
      </c>
      <c r="BU51" s="5" vm="9119">
        <f xml:space="preserve"> VfM_Metrics_2023_Consol[[#This Row],[Turnover from social housing lettings]]</f>
        <v>13246</v>
      </c>
      <c r="BV51" s="84" vm="9119">
        <v>13246</v>
      </c>
      <c r="BW51" s="7">
        <f xml:space="preserve"> IFERROR( VfM_Metrics_2023_Consol[[#This Row],[Net operating surplus]] / VfM_Metrics_2023_Consol[[#This Row],[Overall turnover]], "n/a" )</f>
        <v>0.14667592431869467</v>
      </c>
      <c r="BX51" s="5">
        <f xml:space="preserve"> SUM( VfM_Metrics_2023_Consol[[#This Row],[Operating surplus/(deficit) (overall)2]], - VfM_Metrics_2023_Consol[[#This Row],[Gain/(loss) on disposal of fixed assets (housing properties)2]], - VfM_Metrics_2023_Consol[[#This Row],[Gain/(loss) on disposal of fixed assets (other)2]] )</f>
        <v>2535</v>
      </c>
      <c r="BY51" s="84" vm="8813">
        <v>2611</v>
      </c>
      <c r="BZ51" s="83" vm="8862">
        <v>76</v>
      </c>
      <c r="CA51" s="83" vm="8925">
        <v>0</v>
      </c>
      <c r="CB51" s="5" vm="8702">
        <f xml:space="preserve"> VfM_Metrics_2023_Consol[[#This Row],[Turnover (overall)]]</f>
        <v>17283</v>
      </c>
      <c r="CC51" s="84" vm="8702">
        <v>17283</v>
      </c>
      <c r="CD51" s="7">
        <f xml:space="preserve"> IFERROR( VfM_Metrics_2023_Consol[[#This Row],[Operating surplus including from JVs]] / VfM_Metrics_2023_Consol[[#This Row],[Net assets]], "n/a" )</f>
        <v>1.8388230405724227E-2</v>
      </c>
      <c r="CE51" s="5">
        <f xml:space="preserve"> SUM( VfM_Metrics_2023_Consol[[#This Row],[Operating surplus/(deficit) (overall)3]], VfM_Metrics_2023_Consol[[#This Row],[Share of operating surplus/(deficit) in joint ventures or associates]] )</f>
        <v>2611</v>
      </c>
      <c r="CF51" s="84" vm="2961">
        <v>2611</v>
      </c>
      <c r="CG51" s="83" vm="894">
        <v>0</v>
      </c>
      <c r="CH51" s="5" vm="824">
        <f xml:space="preserve"> VfM_Metrics_2023_Consol[[#This Row],[Total assets less current liabilities]]</f>
        <v>141993</v>
      </c>
      <c r="CI51" s="84" vm="824">
        <v>141993</v>
      </c>
      <c r="CJ51" s="71" vm="876">
        <f xml:space="preserve"> VfM_Metrics_2023_Consol[[#This Row],[Total social housing units owned (Period end)]]</f>
        <v>1444</v>
      </c>
      <c r="CK51" s="103">
        <v>9.0845070422535215E-2</v>
      </c>
      <c r="CL51" s="6">
        <f xml:space="preserve"> -- ( VfM_Metrics_2023_Consol[[#This Row],[% Supported housing (excl. HOP)]] &gt; 0.3 )</f>
        <v>0</v>
      </c>
      <c r="CM51" s="103">
        <v>0.22323943661971832</v>
      </c>
      <c r="CN51" s="6">
        <f xml:space="preserve"> -- ( VfM_Metrics_2023_Consol[[#This Row],[% Housing for older people]] &gt; 0.3 )</f>
        <v>0</v>
      </c>
      <c r="CO51" s="103">
        <f xml:space="preserve"> VfM_Metrics_2023_Consol[[#This Row],[% Supported housing (excl. HOP)]] + VfM_Metrics_2023_Consol[[#This Row],[% Housing for older people]]</f>
        <v>0.31408450704225355</v>
      </c>
      <c r="CP51" s="6">
        <f xml:space="preserve"> -- ( VfM_Metrics_2023_Consol[[#This Row],[SH specialist in RSH analysis]] + VfM_Metrics_2023_Consol[[#This Row],[OP specialist in RSH analysis]] &gt; 0 )</f>
        <v>0</v>
      </c>
      <c r="CQ51" s="10">
        <f xml:space="preserve"> -- ( VfM_Metrics_2023_Consol[[#This Row],[% SH and OP]] &gt; 0.3 )</f>
        <v>1</v>
      </c>
      <c r="CR51" s="104" t="s">
        <v>143</v>
      </c>
      <c r="CS51" s="124" t="s">
        <v>144</v>
      </c>
      <c r="CT51" s="105"/>
      <c r="CU5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51" s="85">
        <v>1</v>
      </c>
      <c r="CW51" s="85">
        <v>0</v>
      </c>
      <c r="CX51" s="85">
        <v>0</v>
      </c>
      <c r="CY51" s="85">
        <v>0</v>
      </c>
      <c r="CZ51" s="85">
        <v>0</v>
      </c>
      <c r="DA51" s="85">
        <v>0</v>
      </c>
      <c r="DB51" s="85">
        <v>0</v>
      </c>
      <c r="DC51" s="85">
        <v>0</v>
      </c>
      <c r="DD51" s="85">
        <v>0</v>
      </c>
      <c r="DE51" s="13">
        <v>1.1603700449887588</v>
      </c>
    </row>
    <row r="52" spans="1:109" x14ac:dyDescent="0.25">
      <c r="A52" s="4" t="s" vm="272">
        <v>228</v>
      </c>
      <c r="B52" s="2" t="s" vm="42">
        <v>229</v>
      </c>
      <c r="C52" s="72" vm="411">
        <v>45016</v>
      </c>
      <c r="D52" s="7">
        <f>IFERROR( VfM_Metrics_2023_Consol[[#This Row],[Reinvestment Spend]] / VfM_Metrics_2023_Consol[[#This Row],[Net Book Value of Housing Properties]], "n/a" )</f>
        <v>7.8895638906309962E-2</v>
      </c>
      <c r="E5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50571</v>
      </c>
      <c r="F52" s="83" vm="2400">
        <v>29802</v>
      </c>
      <c r="G52" s="83" vm="7812">
        <v>0</v>
      </c>
      <c r="H52" s="83" vm="2401">
        <v>17907</v>
      </c>
      <c r="I52" s="83" vm="2402">
        <v>2862</v>
      </c>
      <c r="J52" s="83" vm="2403">
        <v>0</v>
      </c>
      <c r="K52" s="5">
        <f xml:space="preserve"> SUM( VfM_Metrics_2023_Consol[[#This Row],[Tangible fixed assets: Housing properties at cost (Current period)]],VfM_Metrics_2023_Consol[[#This Row],[Tangible fixed assets Housing properties at valuation (Current period)]] )</f>
        <v>640986</v>
      </c>
      <c r="L52" s="84" vm="2404">
        <v>640986</v>
      </c>
      <c r="M52" s="83">
        <v>0</v>
      </c>
      <c r="N52" s="7">
        <f xml:space="preserve"> IFERROR( VfM_Metrics_2023_Consol[[#This Row],[Total social units developed or newly built units acquired in-year]] / VfM_Metrics_2023_Consol[[#This Row],[Social housing units owned (period end)]], "n/a" )</f>
        <v>1.3857355358960308E-2</v>
      </c>
      <c r="O52" s="5">
        <f xml:space="preserve"> SUM( VfM_Metrics_2023_Consol[[#This Row],[Total social units developed or newly built units acquired in-year (owned)]], VfM_Metrics_2023_Consol[[#This Row],[Total social leasehold units developed or newly built units acquired in-year (owned)]] )</f>
        <v>177</v>
      </c>
      <c r="P52" s="84" vm="2405">
        <v>177</v>
      </c>
      <c r="Q52" s="83">
        <v>0</v>
      </c>
      <c r="R52" s="5">
        <f xml:space="preserve"> SUM( VfM_Metrics_2023_Consol[[#This Row],[Total social housing units owned (Period end)]], VfM_Metrics_2023_Consol[[#This Row],[Total social leasehold units owned (Period end)]] )</f>
        <v>12773</v>
      </c>
      <c r="S52" s="84" vm="8041">
        <v>12773</v>
      </c>
      <c r="T52" s="83" vm="2120">
        <v>0</v>
      </c>
      <c r="U52" s="86">
        <f xml:space="preserve"> IFERROR( VfM_Metrics_2023_Consol[[#This Row],[Total non-social housing units developed or newly built units acquired (owned)]] / VfM_Metrics_2023_Consol[[#This Row],[Total social and non-social housing units owned (Period end)]], "n/a" )</f>
        <v>9.3062605752961079E-3</v>
      </c>
      <c r="V5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121</v>
      </c>
      <c r="W52" s="83" vm="2406">
        <v>5</v>
      </c>
      <c r="X52" s="83">
        <v>0</v>
      </c>
      <c r="Y52" s="83" vm="2700">
        <v>116</v>
      </c>
      <c r="Z5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13002</v>
      </c>
      <c r="AA52" s="84" vm="2398">
        <v>12773</v>
      </c>
      <c r="AB52" s="83" vm="8061">
        <v>0</v>
      </c>
      <c r="AC52" s="83" vm="7959">
        <v>229</v>
      </c>
      <c r="AD52" s="83" vm="3288">
        <v>0</v>
      </c>
      <c r="AE52" s="7">
        <f xml:space="preserve"> IFERROR( VfM_Metrics_2023_Consol[[#This Row],[Total Net Debt]] / VfM_Metrics_2023_Consol[[#This Row],[Net Book Value of Housing Properties2]], "n/a" )</f>
        <v>0.47674676201976329</v>
      </c>
      <c r="AF5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305588</v>
      </c>
      <c r="AG52" s="84" vm="7793">
        <v>5971</v>
      </c>
      <c r="AH52" s="83" vm="2408">
        <v>338908</v>
      </c>
      <c r="AI52" s="83" vm="3103">
        <v>39291</v>
      </c>
      <c r="AJ52" s="83" vm="1675">
        <v>0</v>
      </c>
      <c r="AK52" s="83">
        <v>0</v>
      </c>
      <c r="AL52" s="5">
        <f xml:space="preserve"> SUM( VfM_Metrics_2023_Consol[[#This Row],[Tangible fixed assets: Housing properties at cost (Current period)2]], VfM_Metrics_2023_Consol[[#This Row],[Tangible fixed assets Housing properties at valuation (Current period)2]] )</f>
        <v>640986</v>
      </c>
      <c r="AM52" s="84" vm="2177">
        <v>640986</v>
      </c>
      <c r="AN52" s="83">
        <v>0</v>
      </c>
      <c r="AO52" s="87">
        <f xml:space="preserve"> IFERROR( VfM_Metrics_2023_Consol[[#This Row],[EBITDA MRI]] / VfM_Metrics_2023_Consol[[#This Row],[Total interest]], "n/a" )</f>
        <v>1.8099374021909234</v>
      </c>
      <c r="AP5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23131</v>
      </c>
      <c r="AQ52" s="84" vm="2409">
        <v>32259</v>
      </c>
      <c r="AR52" s="84" vm="2410">
        <v>2878</v>
      </c>
      <c r="AS52" s="84">
        <v>0</v>
      </c>
      <c r="AT52" s="84" vm="2411">
        <v>1333</v>
      </c>
      <c r="AU52" s="84" vm="2412">
        <v>0</v>
      </c>
      <c r="AV52" s="84" vm="2413">
        <v>841</v>
      </c>
      <c r="AW52" s="84" vm="2414">
        <v>17907</v>
      </c>
      <c r="AX52" s="84" vm="2415">
        <v>12149</v>
      </c>
      <c r="AY52" s="3">
        <f xml:space="preserve"> - SUM( VfM_Metrics_2023_Consol[[#This Row],[Interest capitalised]], VfM_Metrics_2023_Consol[[#This Row],[Interest payable and financing costs]] )</f>
        <v>12780</v>
      </c>
      <c r="AZ52" s="84" vm="2416">
        <v>-2862</v>
      </c>
      <c r="BA52" s="83" vm="2417">
        <v>-9918</v>
      </c>
      <c r="BB52" s="8">
        <f xml:space="preserve"> IFERROR( ( VfM_Metrics_2023_Consol[[#This Row],[Total Costs]] / VfM_Metrics_2023_Consol[[#This Row],[Total units for costs]] ) * 1000, "n/a" )</f>
        <v>5132.936663274093</v>
      </c>
      <c r="BC5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65563</v>
      </c>
      <c r="BD52" s="84" vm="7097">
        <v>10210</v>
      </c>
      <c r="BE52" s="83" vm="2418">
        <v>3866</v>
      </c>
      <c r="BF52" s="83" vm="2419">
        <v>16791</v>
      </c>
      <c r="BG52" s="83" vm="2420">
        <v>0</v>
      </c>
      <c r="BH52" s="83" vm="7568">
        <v>9561</v>
      </c>
      <c r="BI52" s="83" vm="2422">
        <v>0</v>
      </c>
      <c r="BJ52" s="83" vm="2414">
        <v>17907</v>
      </c>
      <c r="BK52" s="83" vm="2423">
        <v>3683</v>
      </c>
      <c r="BL52" s="83" vm="2424">
        <v>389</v>
      </c>
      <c r="BM52" s="83">
        <v>0</v>
      </c>
      <c r="BN52" s="83">
        <v>0</v>
      </c>
      <c r="BO52" s="83" vm="2425">
        <v>3156</v>
      </c>
      <c r="BP52" s="5" vm="2399">
        <f xml:space="preserve"> VfM_Metrics_2023_Consol[[#This Row],[Total social housing units owned and/or managed at period end]]</f>
        <v>12773</v>
      </c>
      <c r="BQ52" s="84" vm="2399">
        <v>12773</v>
      </c>
      <c r="BR52" s="7">
        <f xml:space="preserve"> IFERROR( VfM_Metrics_2023_Consol[[#This Row],[SHL operating surplus / (deficit)]] / VfM_Metrics_2023_Consol[[#This Row],[Turnover from social housing lettings]], "n/a" )</f>
        <v>0.25342575313249799</v>
      </c>
      <c r="BS52" s="5" vm="2426">
        <f xml:space="preserve"> VfM_Metrics_2023_Consol[[#This Row],[Operating surplus/(deficit) (social housing lettings)]]</f>
        <v>19012</v>
      </c>
      <c r="BT52" s="84" vm="2426">
        <v>19012</v>
      </c>
      <c r="BU52" s="5" vm="2427">
        <f xml:space="preserve"> VfM_Metrics_2023_Consol[[#This Row],[Turnover from social housing lettings]]</f>
        <v>75020</v>
      </c>
      <c r="BV52" s="84" vm="2427">
        <v>75020</v>
      </c>
      <c r="BW52" s="7">
        <f xml:space="preserve"> IFERROR( VfM_Metrics_2023_Consol[[#This Row],[Net operating surplus]] / VfM_Metrics_2023_Consol[[#This Row],[Overall turnover]], "n/a" )</f>
        <v>0.20732309689802139</v>
      </c>
      <c r="BX52" s="5">
        <f xml:space="preserve"> SUM( VfM_Metrics_2023_Consol[[#This Row],[Operating surplus/(deficit) (overall)2]], - VfM_Metrics_2023_Consol[[#This Row],[Gain/(loss) on disposal of fixed assets (housing properties)2]], - VfM_Metrics_2023_Consol[[#This Row],[Gain/(loss) on disposal of fixed assets (other)2]] )</f>
        <v>29381</v>
      </c>
      <c r="BY52" s="84" vm="3164">
        <v>32259</v>
      </c>
      <c r="BZ52" s="83" vm="2410">
        <v>2878</v>
      </c>
      <c r="CA52" s="83">
        <v>0</v>
      </c>
      <c r="CB52" s="5" vm="7744">
        <f xml:space="preserve"> VfM_Metrics_2023_Consol[[#This Row],[Turnover (overall)]]</f>
        <v>141716</v>
      </c>
      <c r="CC52" s="84" vm="7744">
        <v>141716</v>
      </c>
      <c r="CD52" s="7">
        <f xml:space="preserve"> IFERROR( VfM_Metrics_2023_Consol[[#This Row],[Operating surplus including from JVs]] / VfM_Metrics_2023_Consol[[#This Row],[Net assets]], "n/a" )</f>
        <v>4.406864867892412E-2</v>
      </c>
      <c r="CE52" s="5">
        <f xml:space="preserve"> SUM( VfM_Metrics_2023_Consol[[#This Row],[Operating surplus/(deficit) (overall)3]], VfM_Metrics_2023_Consol[[#This Row],[Share of operating surplus/(deficit) in joint ventures or associates]] )</f>
        <v>32259</v>
      </c>
      <c r="CF52" s="84" vm="2409">
        <v>32259</v>
      </c>
      <c r="CG52" s="83">
        <v>0</v>
      </c>
      <c r="CH52" s="5" vm="2428">
        <f xml:space="preserve"> VfM_Metrics_2023_Consol[[#This Row],[Total assets less current liabilities]]</f>
        <v>732017</v>
      </c>
      <c r="CI52" s="84" vm="2428">
        <v>732017</v>
      </c>
      <c r="CJ52" s="71" vm="8041">
        <f xml:space="preserve"> VfM_Metrics_2023_Consol[[#This Row],[Total social housing units owned (Period end)]]</f>
        <v>12773</v>
      </c>
      <c r="CK52" s="103">
        <v>1.7672007540056552E-2</v>
      </c>
      <c r="CL52" s="6">
        <f xml:space="preserve"> -- ( VfM_Metrics_2023_Consol[[#This Row],[% Supported housing (excl. HOP)]] &gt; 0.3 )</f>
        <v>0</v>
      </c>
      <c r="CM52" s="103">
        <v>0.14051209550738297</v>
      </c>
      <c r="CN52" s="6">
        <f xml:space="preserve"> -- ( VfM_Metrics_2023_Consol[[#This Row],[% Housing for older people]] &gt; 0.3 )</f>
        <v>0</v>
      </c>
      <c r="CO52" s="103">
        <f xml:space="preserve"> VfM_Metrics_2023_Consol[[#This Row],[% Supported housing (excl. HOP)]] + VfM_Metrics_2023_Consol[[#This Row],[% Housing for older people]]</f>
        <v>0.15818410304743952</v>
      </c>
      <c r="CP52" s="6">
        <f xml:space="preserve"> -- ( VfM_Metrics_2023_Consol[[#This Row],[SH specialist in RSH analysis]] + VfM_Metrics_2023_Consol[[#This Row],[OP specialist in RSH analysis]] &gt; 0 )</f>
        <v>0</v>
      </c>
      <c r="CQ52" s="10">
        <f xml:space="preserve"> -- ( VfM_Metrics_2023_Consol[[#This Row],[% SH and OP]] &gt; 0.3 )</f>
        <v>0</v>
      </c>
      <c r="CR52" s="104" t="s">
        <v>143</v>
      </c>
      <c r="CS52" s="124"/>
      <c r="CT52" s="105" t="s">
        <v>151</v>
      </c>
      <c r="CU5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52" s="85">
        <v>0</v>
      </c>
      <c r="CW52" s="85">
        <v>0</v>
      </c>
      <c r="CX52" s="85">
        <v>1</v>
      </c>
      <c r="CY52" s="85">
        <v>0</v>
      </c>
      <c r="CZ52" s="85">
        <v>0</v>
      </c>
      <c r="DA52" s="85">
        <v>0</v>
      </c>
      <c r="DB52" s="85">
        <v>0</v>
      </c>
      <c r="DC52" s="85">
        <v>0</v>
      </c>
      <c r="DD52" s="85">
        <v>0</v>
      </c>
      <c r="DE52" s="13">
        <v>0.97511902715076015</v>
      </c>
    </row>
    <row r="53" spans="1:109" x14ac:dyDescent="0.25">
      <c r="A53" s="4" t="s" vm="236">
        <v>230</v>
      </c>
      <c r="B53" s="2" t="s" vm="43">
        <v>231</v>
      </c>
      <c r="C53" s="72" vm="591">
        <v>45016</v>
      </c>
      <c r="D53" s="7">
        <f>IFERROR( VfM_Metrics_2023_Consol[[#This Row],[Reinvestment Spend]] / VfM_Metrics_2023_Consol[[#This Row],[Net Book Value of Housing Properties]], "n/a" )</f>
        <v>1.6219253658910374E-2</v>
      </c>
      <c r="E5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1270</v>
      </c>
      <c r="F53" s="83" vm="8124">
        <v>40</v>
      </c>
      <c r="G53" s="83" vm="1369">
        <v>0</v>
      </c>
      <c r="H53" s="83" vm="8393">
        <v>1230</v>
      </c>
      <c r="I53" s="83" vm="1525">
        <v>0</v>
      </c>
      <c r="J53" s="83" vm="8561">
        <v>0</v>
      </c>
      <c r="K53" s="5">
        <f xml:space="preserve"> SUM( VfM_Metrics_2023_Consol[[#This Row],[Tangible fixed assets: Housing properties at cost (Current period)]],VfM_Metrics_2023_Consol[[#This Row],[Tangible fixed assets Housing properties at valuation (Current period)]] )</f>
        <v>78302</v>
      </c>
      <c r="L53" s="84" vm="1370">
        <v>78302</v>
      </c>
      <c r="M53" s="83" vm="1371">
        <v>0</v>
      </c>
      <c r="N53" s="7">
        <f xml:space="preserve"> IFERROR( VfM_Metrics_2023_Consol[[#This Row],[Total social units developed or newly built units acquired in-year]] / VfM_Metrics_2023_Consol[[#This Row],[Social housing units owned (period end)]], "n/a" )</f>
        <v>0</v>
      </c>
      <c r="O53" s="5">
        <f xml:space="preserve"> SUM( VfM_Metrics_2023_Consol[[#This Row],[Total social units developed or newly built units acquired in-year (owned)]], VfM_Metrics_2023_Consol[[#This Row],[Total social leasehold units developed or newly built units acquired in-year (owned)]] )</f>
        <v>0</v>
      </c>
      <c r="P53" s="84" vm="1372">
        <v>0</v>
      </c>
      <c r="Q53" s="83" vm="1373">
        <v>0</v>
      </c>
      <c r="R53" s="5">
        <f xml:space="preserve"> SUM( VfM_Metrics_2023_Consol[[#This Row],[Total social housing units owned (Period end)]], VfM_Metrics_2023_Consol[[#This Row],[Total social leasehold units owned (Period end)]] )</f>
        <v>1800</v>
      </c>
      <c r="S53" s="84" vm="1367">
        <v>1784</v>
      </c>
      <c r="T53" s="83" vm="1374">
        <v>16</v>
      </c>
      <c r="U53" s="86">
        <f xml:space="preserve"> IFERROR( VfM_Metrics_2023_Consol[[#This Row],[Total non-social housing units developed or newly built units acquired (owned)]] / VfM_Metrics_2023_Consol[[#This Row],[Total social and non-social housing units owned (Period end)]], "n/a" )</f>
        <v>0</v>
      </c>
      <c r="V5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53" s="83" vm="1375">
        <v>0</v>
      </c>
      <c r="X53" s="83" vm="8414">
        <v>0</v>
      </c>
      <c r="Y53" s="83" vm="1376">
        <v>0</v>
      </c>
      <c r="Z5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1800</v>
      </c>
      <c r="AA53" s="84" vm="1249">
        <v>1784</v>
      </c>
      <c r="AB53" s="83" vm="1725">
        <v>16</v>
      </c>
      <c r="AC53" s="83" vm="1377">
        <v>0</v>
      </c>
      <c r="AD53" s="83" vm="8366">
        <v>0</v>
      </c>
      <c r="AE53" s="7">
        <f xml:space="preserve"> IFERROR( VfM_Metrics_2023_Consol[[#This Row],[Total Net Debt]] / VfM_Metrics_2023_Consol[[#This Row],[Net Book Value of Housing Properties2]], "n/a" )</f>
        <v>0.12159331817833516</v>
      </c>
      <c r="AF5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9521</v>
      </c>
      <c r="AG53" s="84" vm="8541">
        <v>834</v>
      </c>
      <c r="AH53" s="83" vm="1378">
        <v>17507</v>
      </c>
      <c r="AI53" s="83" vm="1379">
        <v>8820</v>
      </c>
      <c r="AJ53" s="83" vm="1380">
        <v>0</v>
      </c>
      <c r="AK53" s="83" vm="1381">
        <v>0</v>
      </c>
      <c r="AL53" s="5">
        <f xml:space="preserve"> SUM( VfM_Metrics_2023_Consol[[#This Row],[Tangible fixed assets: Housing properties at cost (Current period)2]], VfM_Metrics_2023_Consol[[#This Row],[Tangible fixed assets Housing properties at valuation (Current period)2]] )</f>
        <v>78302</v>
      </c>
      <c r="AM53" s="84" vm="1370">
        <v>78302</v>
      </c>
      <c r="AN53" s="83" vm="1371">
        <v>0</v>
      </c>
      <c r="AO53" s="87">
        <f xml:space="preserve"> IFERROR( VfM_Metrics_2023_Consol[[#This Row],[EBITDA MRI]] / VfM_Metrics_2023_Consol[[#This Row],[Total interest]], "n/a" )</f>
        <v>2.5971615720524017</v>
      </c>
      <c r="AP5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2379</v>
      </c>
      <c r="AQ53" s="84" vm="1382">
        <v>2105</v>
      </c>
      <c r="AR53" s="84" vm="1383">
        <v>92</v>
      </c>
      <c r="AS53" s="84" vm="1918">
        <v>0</v>
      </c>
      <c r="AT53" s="84" vm="1385">
        <v>437</v>
      </c>
      <c r="AU53" s="84" vm="8526">
        <v>14</v>
      </c>
      <c r="AV53" s="84" vm="8471">
        <v>77</v>
      </c>
      <c r="AW53" s="84" vm="1386">
        <v>1230</v>
      </c>
      <c r="AX53" s="84" vm="1387">
        <v>1970</v>
      </c>
      <c r="AY53" s="3">
        <f xml:space="preserve"> - SUM( VfM_Metrics_2023_Consol[[#This Row],[Interest capitalised]], VfM_Metrics_2023_Consol[[#This Row],[Interest payable and financing costs]] )</f>
        <v>916</v>
      </c>
      <c r="AZ53" s="84" vm="1410">
        <v>0</v>
      </c>
      <c r="BA53" s="83" vm="1388">
        <v>-916</v>
      </c>
      <c r="BB53" s="8">
        <f xml:space="preserve"> IFERROR( ( VfM_Metrics_2023_Consol[[#This Row],[Total Costs]] / VfM_Metrics_2023_Consol[[#This Row],[Total units for costs]] ) * 1000, "n/a" )</f>
        <v>3316.192560175055</v>
      </c>
      <c r="BC5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6062</v>
      </c>
      <c r="BD53" s="84" vm="1389">
        <v>1035</v>
      </c>
      <c r="BE53" s="83" vm="8418">
        <v>518</v>
      </c>
      <c r="BF53" s="83" vm="1390">
        <v>3137</v>
      </c>
      <c r="BG53" s="83" vm="1391">
        <v>95</v>
      </c>
      <c r="BH53" s="83" vm="1392">
        <v>0</v>
      </c>
      <c r="BI53" s="83" vm="1393">
        <v>7</v>
      </c>
      <c r="BJ53" s="83" vm="8507">
        <v>1230</v>
      </c>
      <c r="BK53" s="83" vm="8467">
        <v>0</v>
      </c>
      <c r="BL53" s="83" vm="1719">
        <v>0</v>
      </c>
      <c r="BM53" s="83" vm="2232">
        <v>0</v>
      </c>
      <c r="BN53" s="83" vm="1338">
        <v>40</v>
      </c>
      <c r="BO53" s="83" vm="1394">
        <v>0</v>
      </c>
      <c r="BP53" s="5" vm="8403">
        <f xml:space="preserve"> VfM_Metrics_2023_Consol[[#This Row],[Total social housing units owned and/or managed at period end]]</f>
        <v>1828</v>
      </c>
      <c r="BQ53" s="84" vm="8403">
        <v>1828</v>
      </c>
      <c r="BR53" s="7">
        <f xml:space="preserve"> IFERROR( VfM_Metrics_2023_Consol[[#This Row],[SHL operating surplus / (deficit)]] / VfM_Metrics_2023_Consol[[#This Row],[Turnover from social housing lettings]], "n/a" )</f>
        <v>0.2287087912087912</v>
      </c>
      <c r="BS53" s="5" vm="8596">
        <f xml:space="preserve"> VfM_Metrics_2023_Consol[[#This Row],[Operating surplus/(deficit) (social housing lettings)]]</f>
        <v>1998</v>
      </c>
      <c r="BT53" s="84" vm="8596">
        <v>1998</v>
      </c>
      <c r="BU53" s="5" vm="1395">
        <f xml:space="preserve"> VfM_Metrics_2023_Consol[[#This Row],[Turnover from social housing lettings]]</f>
        <v>8736</v>
      </c>
      <c r="BV53" s="84" vm="1395">
        <v>8736</v>
      </c>
      <c r="BW53" s="7">
        <f xml:space="preserve"> IFERROR( VfM_Metrics_2023_Consol[[#This Row],[Net operating surplus]] / VfM_Metrics_2023_Consol[[#This Row],[Overall turnover]], "n/a" )</f>
        <v>0.2289841883744739</v>
      </c>
      <c r="BX53" s="5">
        <f xml:space="preserve"> SUM( VfM_Metrics_2023_Consol[[#This Row],[Operating surplus/(deficit) (overall)2]], - VfM_Metrics_2023_Consol[[#This Row],[Gain/(loss) on disposal of fixed assets (housing properties)2]], - VfM_Metrics_2023_Consol[[#This Row],[Gain/(loss) on disposal of fixed assets (other)2]] )</f>
        <v>2013</v>
      </c>
      <c r="BY53" s="84" vm="1382">
        <v>2105</v>
      </c>
      <c r="BZ53" s="83" vm="8465">
        <v>92</v>
      </c>
      <c r="CA53" s="83" vm="1384">
        <v>0</v>
      </c>
      <c r="CB53" s="5" vm="1396">
        <f xml:space="preserve"> VfM_Metrics_2023_Consol[[#This Row],[Turnover (overall)]]</f>
        <v>8791</v>
      </c>
      <c r="CC53" s="84" vm="1396">
        <v>8791</v>
      </c>
      <c r="CD53" s="7">
        <f xml:space="preserve"> IFERROR( VfM_Metrics_2023_Consol[[#This Row],[Operating surplus including from JVs]] / VfM_Metrics_2023_Consol[[#This Row],[Net assets]], "n/a" )</f>
        <v>2.4561853865720754E-2</v>
      </c>
      <c r="CE53" s="5">
        <f xml:space="preserve"> SUM( VfM_Metrics_2023_Consol[[#This Row],[Operating surplus/(deficit) (overall)3]], VfM_Metrics_2023_Consol[[#This Row],[Share of operating surplus/(deficit) in joint ventures or associates]] )</f>
        <v>2105</v>
      </c>
      <c r="CF53" s="84" vm="8391">
        <v>2105</v>
      </c>
      <c r="CG53" s="83" vm="1945">
        <v>0</v>
      </c>
      <c r="CH53" s="5" vm="1397">
        <f xml:space="preserve"> VfM_Metrics_2023_Consol[[#This Row],[Total assets less current liabilities]]</f>
        <v>85702</v>
      </c>
      <c r="CI53" s="84" vm="1397">
        <v>85702</v>
      </c>
      <c r="CJ53" s="71" vm="1367">
        <f xml:space="preserve"> VfM_Metrics_2023_Consol[[#This Row],[Total social housing units owned (Period end)]]</f>
        <v>1784</v>
      </c>
      <c r="CK53" s="103">
        <v>0</v>
      </c>
      <c r="CL53" s="6">
        <f xml:space="preserve"> -- ( VfM_Metrics_2023_Consol[[#This Row],[% Supported housing (excl. HOP)]] &gt; 0.3 )</f>
        <v>0</v>
      </c>
      <c r="CM53" s="103">
        <v>3.5127478753541073E-2</v>
      </c>
      <c r="CN53" s="6">
        <f xml:space="preserve"> -- ( VfM_Metrics_2023_Consol[[#This Row],[% Housing for older people]] &gt; 0.3 )</f>
        <v>0</v>
      </c>
      <c r="CO53" s="103">
        <f xml:space="preserve"> VfM_Metrics_2023_Consol[[#This Row],[% Supported housing (excl. HOP)]] + VfM_Metrics_2023_Consol[[#This Row],[% Housing for older people]]</f>
        <v>3.5127478753541073E-2</v>
      </c>
      <c r="CP53" s="6">
        <f xml:space="preserve"> -- ( VfM_Metrics_2023_Consol[[#This Row],[SH specialist in RSH analysis]] + VfM_Metrics_2023_Consol[[#This Row],[OP specialist in RSH analysis]] &gt; 0 )</f>
        <v>0</v>
      </c>
      <c r="CQ53" s="10">
        <f xml:space="preserve"> -- ( VfM_Metrics_2023_Consol[[#This Row],[% SH and OP]] &gt; 0.3 )</f>
        <v>0</v>
      </c>
      <c r="CR53" s="104" t="s">
        <v>143</v>
      </c>
      <c r="CS53" s="124" t="s">
        <v>144</v>
      </c>
      <c r="CT53" s="105"/>
      <c r="CU5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53" s="85">
        <v>0</v>
      </c>
      <c r="CW53" s="85">
        <v>0</v>
      </c>
      <c r="CX53" s="85">
        <v>0</v>
      </c>
      <c r="CY53" s="85">
        <v>0</v>
      </c>
      <c r="CZ53" s="85">
        <v>0</v>
      </c>
      <c r="DA53" s="85">
        <v>0</v>
      </c>
      <c r="DB53" s="85">
        <v>1</v>
      </c>
      <c r="DC53" s="85">
        <v>0</v>
      </c>
      <c r="DD53" s="85">
        <v>0</v>
      </c>
      <c r="DE53" s="13">
        <v>0.90654753410084521</v>
      </c>
    </row>
    <row r="54" spans="1:109" x14ac:dyDescent="0.25">
      <c r="A54" s="4" t="s" vm="217">
        <v>232</v>
      </c>
      <c r="B54" s="2" t="s" vm="44">
        <v>233</v>
      </c>
      <c r="C54" s="72" vm="456">
        <v>45016</v>
      </c>
      <c r="D54" s="7">
        <f>IFERROR( VfM_Metrics_2023_Consol[[#This Row],[Reinvestment Spend]] / VfM_Metrics_2023_Consol[[#This Row],[Net Book Value of Housing Properties]], "n/a" )</f>
        <v>9.9308085033894308E-2</v>
      </c>
      <c r="E5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19821</v>
      </c>
      <c r="F54" s="83" vm="8598">
        <v>0</v>
      </c>
      <c r="G54" s="83" vm="8791">
        <v>16278</v>
      </c>
      <c r="H54" s="83" vm="8832">
        <v>3543</v>
      </c>
      <c r="I54" s="83" vm="8820">
        <v>0</v>
      </c>
      <c r="J54" s="83" vm="1201">
        <v>0</v>
      </c>
      <c r="K54" s="5">
        <f xml:space="preserve"> SUM( VfM_Metrics_2023_Consol[[#This Row],[Tangible fixed assets: Housing properties at cost (Current period)]],VfM_Metrics_2023_Consol[[#This Row],[Tangible fixed assets Housing properties at valuation (Current period)]] )</f>
        <v>199591</v>
      </c>
      <c r="L54" s="84" vm="8918">
        <v>199591</v>
      </c>
      <c r="M54" s="83">
        <v>0</v>
      </c>
      <c r="N54" s="7">
        <f xml:space="preserve"> IFERROR( VfM_Metrics_2023_Consol[[#This Row],[Total social units developed or newly built units acquired in-year]] / VfM_Metrics_2023_Consol[[#This Row],[Social housing units owned (period end)]], "n/a" )</f>
        <v>4.9325463743676225E-2</v>
      </c>
      <c r="O54" s="5">
        <f xml:space="preserve"> SUM( VfM_Metrics_2023_Consol[[#This Row],[Total social units developed or newly built units acquired in-year (owned)]], VfM_Metrics_2023_Consol[[#This Row],[Total social leasehold units developed or newly built units acquired in-year (owned)]] )</f>
        <v>117</v>
      </c>
      <c r="P54" s="84" vm="949">
        <v>117</v>
      </c>
      <c r="Q54" s="83">
        <v>0</v>
      </c>
      <c r="R54" s="5">
        <f xml:space="preserve"> SUM( VfM_Metrics_2023_Consol[[#This Row],[Total social housing units owned (Period end)]], VfM_Metrics_2023_Consol[[#This Row],[Total social leasehold units owned (Period end)]] )</f>
        <v>2372</v>
      </c>
      <c r="S54" s="84" vm="947">
        <v>2372</v>
      </c>
      <c r="T54" s="83" vm="991">
        <v>0</v>
      </c>
      <c r="U54" s="86">
        <f xml:space="preserve"> IFERROR( VfM_Metrics_2023_Consol[[#This Row],[Total non-social housing units developed or newly built units acquired (owned)]] / VfM_Metrics_2023_Consol[[#This Row],[Total social and non-social housing units owned (Period end)]], "n/a" )</f>
        <v>0</v>
      </c>
      <c r="V5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54" s="83">
        <v>0</v>
      </c>
      <c r="X54" s="83">
        <v>0</v>
      </c>
      <c r="Y54" s="83" vm="951">
        <v>0</v>
      </c>
      <c r="Z5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3920</v>
      </c>
      <c r="AA54" s="84" vm="1225">
        <v>2372</v>
      </c>
      <c r="AB54" s="83" vm="8819">
        <v>0</v>
      </c>
      <c r="AC54" s="83" vm="8872">
        <v>60</v>
      </c>
      <c r="AD54" s="83" vm="8916">
        <v>1488</v>
      </c>
      <c r="AE54" s="7">
        <f xml:space="preserve"> IFERROR( VfM_Metrics_2023_Consol[[#This Row],[Total Net Debt]] / VfM_Metrics_2023_Consol[[#This Row],[Net Book Value of Housing Properties2]], "n/a" )</f>
        <v>0.42171240186180742</v>
      </c>
      <c r="AF5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84170</v>
      </c>
      <c r="AG54" s="84" vm="952">
        <v>10000</v>
      </c>
      <c r="AH54" s="83" vm="8769">
        <v>83147</v>
      </c>
      <c r="AI54" s="83" vm="953">
        <v>8977</v>
      </c>
      <c r="AJ54" s="83" vm="1675">
        <v>0</v>
      </c>
      <c r="AK54" s="83">
        <v>0</v>
      </c>
      <c r="AL54" s="5">
        <f xml:space="preserve"> SUM( VfM_Metrics_2023_Consol[[#This Row],[Tangible fixed assets: Housing properties at cost (Current period)2]], VfM_Metrics_2023_Consol[[#This Row],[Tangible fixed assets Housing properties at valuation (Current period)2]] )</f>
        <v>199591</v>
      </c>
      <c r="AM54" s="84" vm="8868">
        <v>199591</v>
      </c>
      <c r="AN54" s="83">
        <v>0</v>
      </c>
      <c r="AO54" s="87">
        <f xml:space="preserve"> IFERROR( VfM_Metrics_2023_Consol[[#This Row],[EBITDA MRI]] / VfM_Metrics_2023_Consol[[#This Row],[Total interest]], "n/a" )</f>
        <v>1.0014371945961482</v>
      </c>
      <c r="AP5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3484</v>
      </c>
      <c r="AQ54" s="84" vm="954">
        <v>4180</v>
      </c>
      <c r="AR54" s="84" vm="955">
        <v>728</v>
      </c>
      <c r="AS54" s="84">
        <v>0</v>
      </c>
      <c r="AT54" s="84" vm="9022">
        <v>590</v>
      </c>
      <c r="AU54" s="84" vm="8592">
        <v>0</v>
      </c>
      <c r="AV54" s="84" vm="8663">
        <v>363</v>
      </c>
      <c r="AW54" s="84" vm="8752">
        <v>3543</v>
      </c>
      <c r="AX54" s="84" vm="957">
        <v>3802</v>
      </c>
      <c r="AY54" s="3">
        <f xml:space="preserve"> - SUM( VfM_Metrics_2023_Consol[[#This Row],[Interest capitalised]], VfM_Metrics_2023_Consol[[#This Row],[Interest payable and financing costs]] )</f>
        <v>3479</v>
      </c>
      <c r="AZ54" s="84" vm="958">
        <v>0</v>
      </c>
      <c r="BA54" s="83" vm="1022">
        <v>-3479</v>
      </c>
      <c r="BB54" s="8">
        <f xml:space="preserve"> IFERROR( ( VfM_Metrics_2023_Consol[[#This Row],[Total Costs]] / VfM_Metrics_2023_Consol[[#This Row],[Total units for costs]] ) * 1000, "n/a" )</f>
        <v>5840.6408094435074</v>
      </c>
      <c r="BC5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13854</v>
      </c>
      <c r="BD54" s="84" vm="755">
        <v>2128</v>
      </c>
      <c r="BE54" s="83" vm="959">
        <v>3442</v>
      </c>
      <c r="BF54" s="83" vm="8590">
        <v>3919</v>
      </c>
      <c r="BG54" s="83" vm="960">
        <v>410</v>
      </c>
      <c r="BH54" s="83" vm="8626">
        <v>412</v>
      </c>
      <c r="BI54" s="83" vm="8766">
        <v>0</v>
      </c>
      <c r="BJ54" s="83" vm="8788">
        <v>3543</v>
      </c>
      <c r="BK54" s="83" vm="8720">
        <v>0</v>
      </c>
      <c r="BL54" s="83" vm="7920">
        <v>0</v>
      </c>
      <c r="BM54" s="83" vm="8893">
        <v>0</v>
      </c>
      <c r="BN54" s="83" vm="8761">
        <v>0</v>
      </c>
      <c r="BO54" s="83" vm="8586">
        <v>0</v>
      </c>
      <c r="BP54" s="5" vm="8649">
        <f xml:space="preserve"> VfM_Metrics_2023_Consol[[#This Row],[Total social housing units owned and/or managed at period end]]</f>
        <v>2372</v>
      </c>
      <c r="BQ54" s="84" vm="8649">
        <v>2372</v>
      </c>
      <c r="BR54" s="7">
        <f xml:space="preserve"> IFERROR( VfM_Metrics_2023_Consol[[#This Row],[SHL operating surplus / (deficit)]] / VfM_Metrics_2023_Consol[[#This Row],[Turnover from social housing lettings]], "n/a" )</f>
        <v>0.1869249119618312</v>
      </c>
      <c r="BS54" s="5" vm="8866">
        <f xml:space="preserve"> VfM_Metrics_2023_Consol[[#This Row],[Operating surplus/(deficit) (social housing lettings)]]</f>
        <v>3291</v>
      </c>
      <c r="BT54" s="84" vm="8866">
        <v>3291</v>
      </c>
      <c r="BU54" s="5" vm="1115">
        <f xml:space="preserve"> VfM_Metrics_2023_Consol[[#This Row],[Turnover from social housing lettings]]</f>
        <v>17606</v>
      </c>
      <c r="BV54" s="84" vm="1115">
        <v>17606</v>
      </c>
      <c r="BW54" s="7">
        <f xml:space="preserve"> IFERROR( VfM_Metrics_2023_Consol[[#This Row],[Net operating surplus]] / VfM_Metrics_2023_Consol[[#This Row],[Overall turnover]], "n/a" )</f>
        <v>0.14281577096520623</v>
      </c>
      <c r="BX54" s="5">
        <f xml:space="preserve"> SUM( VfM_Metrics_2023_Consol[[#This Row],[Operating surplus/(deficit) (overall)2]], - VfM_Metrics_2023_Consol[[#This Row],[Gain/(loss) on disposal of fixed assets (housing properties)2]], - VfM_Metrics_2023_Consol[[#This Row],[Gain/(loss) on disposal of fixed assets (other)2]] )</f>
        <v>3452</v>
      </c>
      <c r="BY54" s="84" vm="954">
        <v>4180</v>
      </c>
      <c r="BZ54" s="83" vm="8765">
        <v>728</v>
      </c>
      <c r="CA54" s="83">
        <v>0</v>
      </c>
      <c r="CB54" s="5" vm="962">
        <f xml:space="preserve"> VfM_Metrics_2023_Consol[[#This Row],[Turnover (overall)]]</f>
        <v>24171</v>
      </c>
      <c r="CC54" s="84" vm="962">
        <v>24171</v>
      </c>
      <c r="CD54" s="7">
        <f xml:space="preserve"> IFERROR( VfM_Metrics_2023_Consol[[#This Row],[Operating surplus including from JVs]] / VfM_Metrics_2023_Consol[[#This Row],[Net assets]], "n/a" )</f>
        <v>1.8690418701150041E-2</v>
      </c>
      <c r="CE54" s="5">
        <f xml:space="preserve"> SUM( VfM_Metrics_2023_Consol[[#This Row],[Operating surplus/(deficit) (overall)3]], VfM_Metrics_2023_Consol[[#This Row],[Share of operating surplus/(deficit) in joint ventures or associates]] )</f>
        <v>4180</v>
      </c>
      <c r="CF54" s="84" vm="8731">
        <v>4180</v>
      </c>
      <c r="CG54" s="83">
        <v>0</v>
      </c>
      <c r="CH54" s="5" vm="963">
        <f xml:space="preserve"> VfM_Metrics_2023_Consol[[#This Row],[Total assets less current liabilities]]</f>
        <v>223644</v>
      </c>
      <c r="CI54" s="84" vm="963">
        <v>223644</v>
      </c>
      <c r="CJ54" s="71" vm="947">
        <f xml:space="preserve"> VfM_Metrics_2023_Consol[[#This Row],[Total social housing units owned (Period end)]]</f>
        <v>2372</v>
      </c>
      <c r="CK54" s="103">
        <v>0</v>
      </c>
      <c r="CL54" s="6">
        <f xml:space="preserve"> -- ( VfM_Metrics_2023_Consol[[#This Row],[% Supported housing (excl. HOP)]] &gt; 0.3 )</f>
        <v>0</v>
      </c>
      <c r="CM54" s="103">
        <v>0</v>
      </c>
      <c r="CN54" s="6">
        <f xml:space="preserve"> -- ( VfM_Metrics_2023_Consol[[#This Row],[% Housing for older people]] &gt; 0.3 )</f>
        <v>0</v>
      </c>
      <c r="CO54" s="103">
        <f xml:space="preserve"> VfM_Metrics_2023_Consol[[#This Row],[% Supported housing (excl. HOP)]] + VfM_Metrics_2023_Consol[[#This Row],[% Housing for older people]]</f>
        <v>0</v>
      </c>
      <c r="CP54" s="6">
        <f xml:space="preserve"> -- ( VfM_Metrics_2023_Consol[[#This Row],[SH specialist in RSH analysis]] + VfM_Metrics_2023_Consol[[#This Row],[OP specialist in RSH analysis]] &gt; 0 )</f>
        <v>0</v>
      </c>
      <c r="CQ54" s="10">
        <f xml:space="preserve"> -- ( VfM_Metrics_2023_Consol[[#This Row],[% SH and OP]] &gt; 0.3 )</f>
        <v>0</v>
      </c>
      <c r="CR54" s="104" t="s">
        <v>143</v>
      </c>
      <c r="CS54" s="124"/>
      <c r="CT54" s="105" t="s">
        <v>151</v>
      </c>
      <c r="CU5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54" s="85">
        <v>1</v>
      </c>
      <c r="CW54" s="85">
        <v>0</v>
      </c>
      <c r="CX54" s="85">
        <v>0</v>
      </c>
      <c r="CY54" s="85">
        <v>0</v>
      </c>
      <c r="CZ54" s="85">
        <v>0</v>
      </c>
      <c r="DA54" s="85">
        <v>0</v>
      </c>
      <c r="DB54" s="85">
        <v>0</v>
      </c>
      <c r="DC54" s="85">
        <v>0</v>
      </c>
      <c r="DD54" s="85">
        <v>0</v>
      </c>
      <c r="DE54" s="13">
        <v>1.1603700449887588</v>
      </c>
    </row>
    <row r="55" spans="1:109" x14ac:dyDescent="0.25">
      <c r="A55" s="4" t="s" vm="303">
        <v>234</v>
      </c>
      <c r="B55" s="2" t="s" vm="45">
        <v>235</v>
      </c>
      <c r="C55" s="72" vm="449">
        <v>45016</v>
      </c>
      <c r="D55" s="7">
        <f>IFERROR( VfM_Metrics_2023_Consol[[#This Row],[Reinvestment Spend]] / VfM_Metrics_2023_Consol[[#This Row],[Net Book Value of Housing Properties]], "n/a" )</f>
        <v>0.1045004005813462</v>
      </c>
      <c r="E5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103827</v>
      </c>
      <c r="F55" s="83" vm="3456">
        <v>85600</v>
      </c>
      <c r="G55" s="83" vm="7451">
        <v>0</v>
      </c>
      <c r="H55" s="83" vm="3457">
        <v>14584</v>
      </c>
      <c r="I55" s="83" vm="3458">
        <v>3643</v>
      </c>
      <c r="J55" s="83" vm="3464">
        <v>0</v>
      </c>
      <c r="K55" s="5">
        <f xml:space="preserve"> SUM( VfM_Metrics_2023_Consol[[#This Row],[Tangible fixed assets: Housing properties at cost (Current period)]],VfM_Metrics_2023_Consol[[#This Row],[Tangible fixed assets Housing properties at valuation (Current period)]] )</f>
        <v>993556</v>
      </c>
      <c r="L55" s="84" vm="7735">
        <v>993556</v>
      </c>
      <c r="M55" s="83">
        <v>0</v>
      </c>
      <c r="N55" s="7">
        <f xml:space="preserve"> IFERROR( VfM_Metrics_2023_Consol[[#This Row],[Total social units developed or newly built units acquired in-year]] / VfM_Metrics_2023_Consol[[#This Row],[Social housing units owned (period end)]], "n/a" )</f>
        <v>2.4969057740946026E-2</v>
      </c>
      <c r="O55" s="5">
        <f xml:space="preserve"> SUM( VfM_Metrics_2023_Consol[[#This Row],[Total social units developed or newly built units acquired in-year (owned)]], VfM_Metrics_2023_Consol[[#This Row],[Total social leasehold units developed or newly built units acquired in-year (owned)]] )</f>
        <v>464</v>
      </c>
      <c r="P55" s="84" vm="7708">
        <v>464</v>
      </c>
      <c r="Q55" s="83">
        <v>0</v>
      </c>
      <c r="R55" s="5">
        <f xml:space="preserve"> SUM( VfM_Metrics_2023_Consol[[#This Row],[Total social housing units owned (Period end)]], VfM_Metrics_2023_Consol[[#This Row],[Total social leasehold units owned (Period end)]] )</f>
        <v>18583</v>
      </c>
      <c r="S55" s="84" vm="3455">
        <v>18583</v>
      </c>
      <c r="T55" s="83" vm="3460">
        <v>0</v>
      </c>
      <c r="U55" s="86">
        <f xml:space="preserve"> IFERROR( VfM_Metrics_2023_Consol[[#This Row],[Total non-social housing units developed or newly built units acquired (owned)]] / VfM_Metrics_2023_Consol[[#This Row],[Total social and non-social housing units owned (Period end)]], "n/a" )</f>
        <v>0</v>
      </c>
      <c r="V5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55" s="83">
        <v>0</v>
      </c>
      <c r="X55" s="83">
        <v>0</v>
      </c>
      <c r="Y55" s="83">
        <v>0</v>
      </c>
      <c r="Z5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19268</v>
      </c>
      <c r="AA55" s="84" vm="7675">
        <v>18583</v>
      </c>
      <c r="AB55" s="83" vm="3460">
        <v>0</v>
      </c>
      <c r="AC55" s="83" vm="3461">
        <v>51</v>
      </c>
      <c r="AD55" s="83" vm="7689">
        <v>634</v>
      </c>
      <c r="AE55" s="7">
        <f xml:space="preserve"> IFERROR( VfM_Metrics_2023_Consol[[#This Row],[Total Net Debt]] / VfM_Metrics_2023_Consol[[#This Row],[Net Book Value of Housing Properties2]], "n/a" )</f>
        <v>0.48962715740230045</v>
      </c>
      <c r="AF5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486472</v>
      </c>
      <c r="AG55" s="84" vm="3462">
        <v>20159</v>
      </c>
      <c r="AH55" s="83" vm="3463">
        <v>509413</v>
      </c>
      <c r="AI55" s="83" vm="3464">
        <v>43100</v>
      </c>
      <c r="AJ55" s="83" vm="1675">
        <v>0</v>
      </c>
      <c r="AK55" s="83">
        <v>0</v>
      </c>
      <c r="AL55" s="5">
        <f xml:space="preserve"> SUM( VfM_Metrics_2023_Consol[[#This Row],[Tangible fixed assets: Housing properties at cost (Current period)2]], VfM_Metrics_2023_Consol[[#This Row],[Tangible fixed assets Housing properties at valuation (Current period)2]] )</f>
        <v>993556</v>
      </c>
      <c r="AM55" s="84" vm="3459">
        <v>993556</v>
      </c>
      <c r="AN55" s="83">
        <v>0</v>
      </c>
      <c r="AO55" s="87">
        <f xml:space="preserve"> IFERROR( VfM_Metrics_2023_Consol[[#This Row],[EBITDA MRI]] / VfM_Metrics_2023_Consol[[#This Row],[Total interest]], "n/a" )</f>
        <v>1.0132630623712959</v>
      </c>
      <c r="AP5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29031</v>
      </c>
      <c r="AQ55" s="84" vm="3465">
        <v>31426</v>
      </c>
      <c r="AR55" s="84" vm="3466">
        <v>5203</v>
      </c>
      <c r="AS55" s="84">
        <v>0</v>
      </c>
      <c r="AT55" s="84" vm="3467">
        <v>2539</v>
      </c>
      <c r="AU55" s="84" vm="6207">
        <v>1</v>
      </c>
      <c r="AV55" s="84" vm="3468">
        <v>149</v>
      </c>
      <c r="AW55" s="84" vm="3469">
        <v>14584</v>
      </c>
      <c r="AX55" s="84" vm="3470">
        <v>19783</v>
      </c>
      <c r="AY55" s="3">
        <f xml:space="preserve"> - SUM( VfM_Metrics_2023_Consol[[#This Row],[Interest capitalised]], VfM_Metrics_2023_Consol[[#This Row],[Interest payable and financing costs]] )</f>
        <v>28651</v>
      </c>
      <c r="AZ55" s="84" vm="3471">
        <v>-3643</v>
      </c>
      <c r="BA55" s="83" vm="3472">
        <v>-25008</v>
      </c>
      <c r="BB55" s="8">
        <f xml:space="preserve"> IFERROR( ( VfM_Metrics_2023_Consol[[#This Row],[Total Costs]] / VfM_Metrics_2023_Consol[[#This Row],[Total units for costs]] ) * 1000, "n/a" )</f>
        <v>3595.7895794603828</v>
      </c>
      <c r="BC5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71567</v>
      </c>
      <c r="BD55" s="84" vm="7077">
        <v>23345</v>
      </c>
      <c r="BE55" s="83" vm="3473">
        <v>9960</v>
      </c>
      <c r="BF55" s="83" vm="3474">
        <v>19408</v>
      </c>
      <c r="BG55" s="83" vm="3475">
        <v>3339</v>
      </c>
      <c r="BH55" s="83" vm="3476">
        <v>17</v>
      </c>
      <c r="BI55" s="83" vm="3477">
        <v>0</v>
      </c>
      <c r="BJ55" s="83" vm="3469">
        <v>14584</v>
      </c>
      <c r="BK55" s="83" vm="7599">
        <v>13</v>
      </c>
      <c r="BL55" s="83">
        <v>0</v>
      </c>
      <c r="BM55" s="83">
        <v>0</v>
      </c>
      <c r="BN55" s="83" vm="3478">
        <v>328</v>
      </c>
      <c r="BO55" s="83" vm="3479">
        <v>573</v>
      </c>
      <c r="BP55" s="5" vm="7564">
        <f xml:space="preserve"> VfM_Metrics_2023_Consol[[#This Row],[Total social housing units owned and/or managed at period end]]</f>
        <v>19903</v>
      </c>
      <c r="BQ55" s="84" vm="7564">
        <v>19903</v>
      </c>
      <c r="BR55" s="7">
        <f xml:space="preserve"> IFERROR( VfM_Metrics_2023_Consol[[#This Row],[SHL operating surplus / (deficit)]] / VfM_Metrics_2023_Consol[[#This Row],[Turnover from social housing lettings]], "n/a" )</f>
        <v>0.23014180726632855</v>
      </c>
      <c r="BS55" s="5" vm="6999">
        <f xml:space="preserve"> VfM_Metrics_2023_Consol[[#This Row],[Operating surplus/(deficit) (social housing lettings)]]</f>
        <v>22234</v>
      </c>
      <c r="BT55" s="84" vm="6999">
        <v>22234</v>
      </c>
      <c r="BU55" s="5" vm="3509">
        <f xml:space="preserve"> VfM_Metrics_2023_Consol[[#This Row],[Turnover from social housing lettings]]</f>
        <v>96610</v>
      </c>
      <c r="BV55" s="84" vm="3509">
        <v>96610</v>
      </c>
      <c r="BW55" s="7">
        <f xml:space="preserve"> IFERROR( VfM_Metrics_2023_Consol[[#This Row],[Net operating surplus]] / VfM_Metrics_2023_Consol[[#This Row],[Overall turnover]], "n/a" )</f>
        <v>0.20169211244856364</v>
      </c>
      <c r="BX55" s="5">
        <f xml:space="preserve"> SUM( VfM_Metrics_2023_Consol[[#This Row],[Operating surplus/(deficit) (overall)2]], - VfM_Metrics_2023_Consol[[#This Row],[Gain/(loss) on disposal of fixed assets (housing properties)2]], - VfM_Metrics_2023_Consol[[#This Row],[Gain/(loss) on disposal of fixed assets (other)2]] )</f>
        <v>26223</v>
      </c>
      <c r="BY55" s="84" vm="3465">
        <v>31426</v>
      </c>
      <c r="BZ55" s="83" vm="7547">
        <v>5203</v>
      </c>
      <c r="CA55" s="83">
        <v>0</v>
      </c>
      <c r="CB55" s="5" vm="6998">
        <f xml:space="preserve"> VfM_Metrics_2023_Consol[[#This Row],[Turnover (overall)]]</f>
        <v>130015</v>
      </c>
      <c r="CC55" s="84" vm="6998">
        <v>130015</v>
      </c>
      <c r="CD55" s="7">
        <f xml:space="preserve"> IFERROR( VfM_Metrics_2023_Consol[[#This Row],[Operating surplus including from JVs]] / VfM_Metrics_2023_Consol[[#This Row],[Net assets]], "n/a" )</f>
        <v>3.0239027455297218E-2</v>
      </c>
      <c r="CE55" s="5">
        <f xml:space="preserve"> SUM( VfM_Metrics_2023_Consol[[#This Row],[Operating surplus/(deficit) (overall)3]], VfM_Metrics_2023_Consol[[#This Row],[Share of operating surplus/(deficit) in joint ventures or associates]] )</f>
        <v>31426</v>
      </c>
      <c r="CF55" s="84" vm="3465">
        <v>31426</v>
      </c>
      <c r="CG55" s="83">
        <v>0</v>
      </c>
      <c r="CH55" s="5" vm="3480">
        <f xml:space="preserve"> VfM_Metrics_2023_Consol[[#This Row],[Total assets less current liabilities]]</f>
        <v>1039253</v>
      </c>
      <c r="CI55" s="84" vm="3480">
        <v>1039253</v>
      </c>
      <c r="CJ55" s="71" vm="3455">
        <f xml:space="preserve"> VfM_Metrics_2023_Consol[[#This Row],[Total social housing units owned (Period end)]]</f>
        <v>18583</v>
      </c>
      <c r="CK55" s="103">
        <v>3.0181979582778518E-2</v>
      </c>
      <c r="CL55" s="6">
        <f xml:space="preserve"> -- ( VfM_Metrics_2023_Consol[[#This Row],[% Supported housing (excl. HOP)]] &gt; 0.3 )</f>
        <v>0</v>
      </c>
      <c r="CM55" s="103">
        <v>0.19346426986240567</v>
      </c>
      <c r="CN55" s="6">
        <f xml:space="preserve"> -- ( VfM_Metrics_2023_Consol[[#This Row],[% Housing for older people]] &gt; 0.3 )</f>
        <v>0</v>
      </c>
      <c r="CO55" s="103">
        <f xml:space="preserve"> VfM_Metrics_2023_Consol[[#This Row],[% Supported housing (excl. HOP)]] + VfM_Metrics_2023_Consol[[#This Row],[% Housing for older people]]</f>
        <v>0.22364624944518419</v>
      </c>
      <c r="CP55" s="6">
        <f xml:space="preserve"> -- ( VfM_Metrics_2023_Consol[[#This Row],[SH specialist in RSH analysis]] + VfM_Metrics_2023_Consol[[#This Row],[OP specialist in RSH analysis]] &gt; 0 )</f>
        <v>0</v>
      </c>
      <c r="CQ55" s="10">
        <f xml:space="preserve"> -- ( VfM_Metrics_2023_Consol[[#This Row],[% SH and OP]] &gt; 0.3 )</f>
        <v>0</v>
      </c>
      <c r="CR55" s="104" t="s">
        <v>143</v>
      </c>
      <c r="CS55" s="124" t="s">
        <v>144</v>
      </c>
      <c r="CT55" s="105"/>
      <c r="CU5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Midlands</v>
      </c>
      <c r="CV55" s="85">
        <v>0</v>
      </c>
      <c r="CW55" s="85">
        <v>0</v>
      </c>
      <c r="CX55" s="85">
        <v>0</v>
      </c>
      <c r="CY55" s="85">
        <v>0.99757615821076406</v>
      </c>
      <c r="CZ55" s="85">
        <v>2.2585798490607615E-3</v>
      </c>
      <c r="DA55" s="85">
        <v>5.5087313391725883E-5</v>
      </c>
      <c r="DB55" s="85">
        <v>0</v>
      </c>
      <c r="DC55" s="85">
        <v>0</v>
      </c>
      <c r="DD55" s="85">
        <v>1.1017462678345177E-4</v>
      </c>
      <c r="DE55" s="13">
        <v>0.9423886131057333</v>
      </c>
    </row>
    <row r="56" spans="1:109" x14ac:dyDescent="0.25">
      <c r="A56" s="4" t="s" vm="290">
        <v>236</v>
      </c>
      <c r="B56" s="2" t="s" vm="46">
        <v>237</v>
      </c>
      <c r="C56" s="72" vm="517">
        <v>45016</v>
      </c>
      <c r="D56" s="7">
        <f>IFERROR( VfM_Metrics_2023_Consol[[#This Row],[Reinvestment Spend]] / VfM_Metrics_2023_Consol[[#This Row],[Net Book Value of Housing Properties]], "n/a" )</f>
        <v>9.1831239534511916E-2</v>
      </c>
      <c r="E5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65481</v>
      </c>
      <c r="F56" s="83" vm="3006">
        <v>3909</v>
      </c>
      <c r="G56" s="83" vm="3007">
        <v>52767</v>
      </c>
      <c r="H56" s="83" vm="7754">
        <v>7633</v>
      </c>
      <c r="I56" s="83" vm="7969">
        <v>1172</v>
      </c>
      <c r="J56" s="83" vm="3009">
        <v>0</v>
      </c>
      <c r="K56" s="5">
        <f xml:space="preserve"> SUM( VfM_Metrics_2023_Consol[[#This Row],[Tangible fixed assets: Housing properties at cost (Current period)]],VfM_Metrics_2023_Consol[[#This Row],[Tangible fixed assets Housing properties at valuation (Current period)]] )</f>
        <v>713058</v>
      </c>
      <c r="L56" s="84" vm="3010">
        <v>713058</v>
      </c>
      <c r="M56" s="83">
        <v>0</v>
      </c>
      <c r="N56" s="7">
        <f xml:space="preserve"> IFERROR( VfM_Metrics_2023_Consol[[#This Row],[Total social units developed or newly built units acquired in-year]] / VfM_Metrics_2023_Consol[[#This Row],[Social housing units owned (period end)]], "n/a" )</f>
        <v>2.4871420895064097E-2</v>
      </c>
      <c r="O56" s="5">
        <f xml:space="preserve"> SUM( VfM_Metrics_2023_Consol[[#This Row],[Total social units developed or newly built units acquired in-year (owned)]], VfM_Metrics_2023_Consol[[#This Row],[Total social leasehold units developed or newly built units acquired in-year (owned)]] )</f>
        <v>324</v>
      </c>
      <c r="P56" s="84" vm="3011">
        <v>324</v>
      </c>
      <c r="Q56" s="83">
        <v>0</v>
      </c>
      <c r="R56" s="5">
        <f xml:space="preserve"> SUM( VfM_Metrics_2023_Consol[[#This Row],[Total social housing units owned (Period end)]], VfM_Metrics_2023_Consol[[#This Row],[Total social leasehold units owned (Period end)]] )</f>
        <v>13027</v>
      </c>
      <c r="S56" s="84" vm="7753">
        <v>12450</v>
      </c>
      <c r="T56" s="83" vm="3012">
        <v>577</v>
      </c>
      <c r="U56" s="86">
        <f xml:space="preserve"> IFERROR( VfM_Metrics_2023_Consol[[#This Row],[Total non-social housing units developed or newly built units acquired (owned)]] / VfM_Metrics_2023_Consol[[#This Row],[Total social and non-social housing units owned (Period end)]], "n/a" )</f>
        <v>0</v>
      </c>
      <c r="V5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56" s="83">
        <v>0</v>
      </c>
      <c r="X56" s="83">
        <v>0</v>
      </c>
      <c r="Y56" s="83">
        <v>0</v>
      </c>
      <c r="Z5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13027</v>
      </c>
      <c r="AA56" s="84" vm="3004">
        <v>12450</v>
      </c>
      <c r="AB56" s="83" vm="7850">
        <v>577</v>
      </c>
      <c r="AC56" s="83" vm="2542">
        <v>0</v>
      </c>
      <c r="AD56" s="83" vm="3013">
        <v>0</v>
      </c>
      <c r="AE56" s="7">
        <f xml:space="preserve"> IFERROR( VfM_Metrics_2023_Consol[[#This Row],[Total Net Debt]] / VfM_Metrics_2023_Consol[[#This Row],[Net Book Value of Housing Properties2]], "n/a" )</f>
        <v>0.51110148122593113</v>
      </c>
      <c r="AF5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364445</v>
      </c>
      <c r="AG56" s="84" vm="3014">
        <v>42468</v>
      </c>
      <c r="AH56" s="83" vm="3015">
        <v>336944</v>
      </c>
      <c r="AI56" s="83" vm="3016">
        <v>14967</v>
      </c>
      <c r="AJ56" s="83" vm="1675">
        <v>0</v>
      </c>
      <c r="AK56" s="83">
        <v>0</v>
      </c>
      <c r="AL56" s="5">
        <f xml:space="preserve"> SUM( VfM_Metrics_2023_Consol[[#This Row],[Tangible fixed assets: Housing properties at cost (Current period)2]], VfM_Metrics_2023_Consol[[#This Row],[Tangible fixed assets Housing properties at valuation (Current period)2]] )</f>
        <v>713058</v>
      </c>
      <c r="AM56" s="84" vm="3010">
        <v>713058</v>
      </c>
      <c r="AN56" s="83">
        <v>0</v>
      </c>
      <c r="AO56" s="87">
        <f xml:space="preserve"> IFERROR( VfM_Metrics_2023_Consol[[#This Row],[EBITDA MRI]] / VfM_Metrics_2023_Consol[[#This Row],[Total interest]], "n/a" )</f>
        <v>1.6382811382811382</v>
      </c>
      <c r="AP5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22913</v>
      </c>
      <c r="AQ56" s="84" vm="7686">
        <v>19685</v>
      </c>
      <c r="AR56" s="84" vm="7771">
        <v>988</v>
      </c>
      <c r="AS56" s="84" vm="3019">
        <v>-5</v>
      </c>
      <c r="AT56" s="84" vm="3020">
        <v>981</v>
      </c>
      <c r="AU56" s="84" vm="3021">
        <v>0</v>
      </c>
      <c r="AV56" s="84" vm="3022">
        <v>749</v>
      </c>
      <c r="AW56" s="84" vm="3023">
        <v>7633</v>
      </c>
      <c r="AX56" s="84" vm="3024">
        <v>12076</v>
      </c>
      <c r="AY56" s="3">
        <f xml:space="preserve"> - SUM( VfM_Metrics_2023_Consol[[#This Row],[Interest capitalised]], VfM_Metrics_2023_Consol[[#This Row],[Interest payable and financing costs]] )</f>
        <v>13986</v>
      </c>
      <c r="AZ56" s="84" vm="3025">
        <v>-1175</v>
      </c>
      <c r="BA56" s="83" vm="3026">
        <v>-12811</v>
      </c>
      <c r="BB56" s="8">
        <f xml:space="preserve"> IFERROR( ( VfM_Metrics_2023_Consol[[#This Row],[Total Costs]] / VfM_Metrics_2023_Consol[[#This Row],[Total units for costs]] ) * 1000, "n/a" )</f>
        <v>4190.1204819277109</v>
      </c>
      <c r="BC5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52167</v>
      </c>
      <c r="BD56" s="84" vm="3027">
        <v>16547</v>
      </c>
      <c r="BE56" s="83" vm="3028">
        <v>3385</v>
      </c>
      <c r="BF56" s="83" vm="3029">
        <v>9701</v>
      </c>
      <c r="BG56" s="83" vm="3030">
        <v>5552</v>
      </c>
      <c r="BH56" s="83" vm="3031">
        <v>6591</v>
      </c>
      <c r="BI56" s="83" vm="3032">
        <v>0</v>
      </c>
      <c r="BJ56" s="83" vm="7770">
        <v>7633</v>
      </c>
      <c r="BK56" s="83" vm="7752">
        <v>639</v>
      </c>
      <c r="BL56" s="83" vm="3033">
        <v>520</v>
      </c>
      <c r="BM56" s="83">
        <v>0</v>
      </c>
      <c r="BN56" s="83" vm="7083">
        <v>1559</v>
      </c>
      <c r="BO56" s="83" vm="3034">
        <v>40</v>
      </c>
      <c r="BP56" s="5" vm="3005">
        <f xml:space="preserve"> VfM_Metrics_2023_Consol[[#This Row],[Total social housing units owned and/or managed at period end]]</f>
        <v>12450</v>
      </c>
      <c r="BQ56" s="84" vm="3005">
        <v>12450</v>
      </c>
      <c r="BR56" s="7">
        <f xml:space="preserve"> IFERROR( VfM_Metrics_2023_Consol[[#This Row],[SHL operating surplus / (deficit)]] / VfM_Metrics_2023_Consol[[#This Row],[Turnover from social housing lettings]], "n/a" )</f>
        <v>0.24982547395797686</v>
      </c>
      <c r="BS56" s="5" vm="3035">
        <f xml:space="preserve"> VfM_Metrics_2023_Consol[[#This Row],[Operating surplus/(deficit) (social housing lettings)]]</f>
        <v>18251</v>
      </c>
      <c r="BT56" s="84" vm="3035">
        <v>18251</v>
      </c>
      <c r="BU56" s="5" vm="3036">
        <f xml:space="preserve"> VfM_Metrics_2023_Consol[[#This Row],[Turnover from social housing lettings]]</f>
        <v>73055</v>
      </c>
      <c r="BV56" s="84" vm="3036">
        <v>73055</v>
      </c>
      <c r="BW56" s="7">
        <f xml:space="preserve"> IFERROR( VfM_Metrics_2023_Consol[[#This Row],[Net operating surplus]] / VfM_Metrics_2023_Consol[[#This Row],[Overall turnover]], "n/a" )</f>
        <v>0.21538142620232173</v>
      </c>
      <c r="BX56" s="5">
        <f xml:space="preserve"> SUM( VfM_Metrics_2023_Consol[[#This Row],[Operating surplus/(deficit) (overall)2]], - VfM_Metrics_2023_Consol[[#This Row],[Gain/(loss) on disposal of fixed assets (housing properties)2]], - VfM_Metrics_2023_Consol[[#This Row],[Gain/(loss) on disposal of fixed assets (other)2]] )</f>
        <v>18702</v>
      </c>
      <c r="BY56" s="84" vm="3017">
        <v>19685</v>
      </c>
      <c r="BZ56" s="83" vm="3018">
        <v>988</v>
      </c>
      <c r="CA56" s="83" vm="3019">
        <v>-5</v>
      </c>
      <c r="CB56" s="5" vm="3037">
        <f xml:space="preserve"> VfM_Metrics_2023_Consol[[#This Row],[Turnover (overall)]]</f>
        <v>86832</v>
      </c>
      <c r="CC56" s="84" vm="3037">
        <v>86832</v>
      </c>
      <c r="CD56" s="7">
        <f xml:space="preserve"> IFERROR( VfM_Metrics_2023_Consol[[#This Row],[Operating surplus including from JVs]] / VfM_Metrics_2023_Consol[[#This Row],[Net assets]], "n/a" )</f>
        <v>2.8494956747304668E-2</v>
      </c>
      <c r="CE56" s="5">
        <f xml:space="preserve"> SUM( VfM_Metrics_2023_Consol[[#This Row],[Operating surplus/(deficit) (overall)3]], VfM_Metrics_2023_Consol[[#This Row],[Share of operating surplus/(deficit) in joint ventures or associates]] )</f>
        <v>19685</v>
      </c>
      <c r="CF56" s="84" vm="2347">
        <v>19685</v>
      </c>
      <c r="CG56" s="83">
        <v>0</v>
      </c>
      <c r="CH56" s="5" vm="3038">
        <f xml:space="preserve"> VfM_Metrics_2023_Consol[[#This Row],[Total assets less current liabilities]]</f>
        <v>690824</v>
      </c>
      <c r="CI56" s="84" vm="3038">
        <v>690824</v>
      </c>
      <c r="CJ56" s="71" vm="7753">
        <f xml:space="preserve"> VfM_Metrics_2023_Consol[[#This Row],[Total social housing units owned (Period end)]]</f>
        <v>12450</v>
      </c>
      <c r="CK56" s="103">
        <v>1.2070641607258587E-2</v>
      </c>
      <c r="CL56" s="6">
        <f xml:space="preserve"> -- ( VfM_Metrics_2023_Consol[[#This Row],[% Supported housing (excl. HOP)]] &gt; 0.3 )</f>
        <v>0</v>
      </c>
      <c r="CM56" s="103">
        <v>5.1604018146467923E-2</v>
      </c>
      <c r="CN56" s="6">
        <f xml:space="preserve"> -- ( VfM_Metrics_2023_Consol[[#This Row],[% Housing for older people]] &gt; 0.3 )</f>
        <v>0</v>
      </c>
      <c r="CO56" s="103">
        <f xml:space="preserve"> VfM_Metrics_2023_Consol[[#This Row],[% Supported housing (excl. HOP)]] + VfM_Metrics_2023_Consol[[#This Row],[% Housing for older people]]</f>
        <v>6.3674659753726506E-2</v>
      </c>
      <c r="CP56" s="6">
        <f xml:space="preserve"> -- ( VfM_Metrics_2023_Consol[[#This Row],[SH specialist in RSH analysis]] + VfM_Metrics_2023_Consol[[#This Row],[OP specialist in RSH analysis]] &gt; 0 )</f>
        <v>0</v>
      </c>
      <c r="CQ56" s="10">
        <f xml:space="preserve"> -- ( VfM_Metrics_2023_Consol[[#This Row],[% SH and OP]] &gt; 0.3 )</f>
        <v>0</v>
      </c>
      <c r="CR56" s="104" t="s">
        <v>143</v>
      </c>
      <c r="CS56" s="124"/>
      <c r="CT56" s="105" t="s">
        <v>151</v>
      </c>
      <c r="CU5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56" s="85">
        <v>0</v>
      </c>
      <c r="CW56" s="85">
        <v>0</v>
      </c>
      <c r="CX56" s="85">
        <v>0</v>
      </c>
      <c r="CY56" s="85">
        <v>0</v>
      </c>
      <c r="CZ56" s="85">
        <v>0</v>
      </c>
      <c r="DA56" s="85">
        <v>1</v>
      </c>
      <c r="DB56" s="85">
        <v>0</v>
      </c>
      <c r="DC56" s="85">
        <v>0</v>
      </c>
      <c r="DD56" s="85">
        <v>0</v>
      </c>
      <c r="DE56" s="13">
        <v>1.0113701298544711</v>
      </c>
    </row>
    <row r="57" spans="1:109" x14ac:dyDescent="0.25">
      <c r="A57" s="4" t="s" vm="231">
        <v>238</v>
      </c>
      <c r="B57" s="2" t="s" vm="47">
        <v>239</v>
      </c>
      <c r="C57" s="72" vm="431">
        <v>45016</v>
      </c>
      <c r="D57" s="7">
        <f>IFERROR( VfM_Metrics_2023_Consol[[#This Row],[Reinvestment Spend]] / VfM_Metrics_2023_Consol[[#This Row],[Net Book Value of Housing Properties]], "n/a" )</f>
        <v>2.5498366399924238E-2</v>
      </c>
      <c r="E5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2154</v>
      </c>
      <c r="F57" s="83" vm="8477">
        <v>0</v>
      </c>
      <c r="G57" s="83" vm="1268">
        <v>0</v>
      </c>
      <c r="H57" s="83" vm="896">
        <v>2045</v>
      </c>
      <c r="I57" s="83" vm="1242">
        <v>109</v>
      </c>
      <c r="J57" s="83" vm="1269">
        <v>0</v>
      </c>
      <c r="K57" s="5">
        <f xml:space="preserve"> SUM( VfM_Metrics_2023_Consol[[#This Row],[Tangible fixed assets: Housing properties at cost (Current period)]],VfM_Metrics_2023_Consol[[#This Row],[Tangible fixed assets Housing properties at valuation (Current period)]] )</f>
        <v>84476</v>
      </c>
      <c r="L57" s="84">
        <v>0</v>
      </c>
      <c r="M57" s="83" vm="1270">
        <v>84476</v>
      </c>
      <c r="N57" s="7">
        <f xml:space="preserve"> IFERROR( VfM_Metrics_2023_Consol[[#This Row],[Total social units developed or newly built units acquired in-year]] / VfM_Metrics_2023_Consol[[#This Row],[Social housing units owned (period end)]], "n/a" )</f>
        <v>0</v>
      </c>
      <c r="O57" s="5">
        <f xml:space="preserve"> SUM( VfM_Metrics_2023_Consol[[#This Row],[Total social units developed or newly built units acquired in-year (owned)]], VfM_Metrics_2023_Consol[[#This Row],[Total social leasehold units developed or newly built units acquired in-year (owned)]] )</f>
        <v>0</v>
      </c>
      <c r="P57" s="84" vm="1271">
        <v>0</v>
      </c>
      <c r="Q57" s="83">
        <v>0</v>
      </c>
      <c r="R57" s="5">
        <f xml:space="preserve"> SUM( VfM_Metrics_2023_Consol[[#This Row],[Total social housing units owned (Period end)]], VfM_Metrics_2023_Consol[[#This Row],[Total social leasehold units owned (Period end)]] )</f>
        <v>1823</v>
      </c>
      <c r="S57" s="84" vm="1266">
        <v>1823</v>
      </c>
      <c r="T57" s="83" vm="8455">
        <v>0</v>
      </c>
      <c r="U57" s="86">
        <f xml:space="preserve"> IFERROR( VfM_Metrics_2023_Consol[[#This Row],[Total non-social housing units developed or newly built units acquired (owned)]] / VfM_Metrics_2023_Consol[[#This Row],[Total social and non-social housing units owned (Period end)]], "n/a" )</f>
        <v>0</v>
      </c>
      <c r="V5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57" s="83">
        <v>0</v>
      </c>
      <c r="X57" s="83">
        <v>0</v>
      </c>
      <c r="Y57" s="83">
        <v>0</v>
      </c>
      <c r="Z5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1832</v>
      </c>
      <c r="AA57" s="84" vm="8336">
        <v>1823</v>
      </c>
      <c r="AB57" s="83" vm="8452">
        <v>0</v>
      </c>
      <c r="AC57" s="83" vm="8164">
        <v>9</v>
      </c>
      <c r="AD57" s="83" vm="7905">
        <v>0</v>
      </c>
      <c r="AE57" s="7">
        <f xml:space="preserve"> IFERROR( VfM_Metrics_2023_Consol[[#This Row],[Total Net Debt]] / VfM_Metrics_2023_Consol[[#This Row],[Net Book Value of Housing Properties2]], "n/a" )</f>
        <v>0.4495004498319049</v>
      </c>
      <c r="AF5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37972</v>
      </c>
      <c r="AG57" s="84" vm="1252">
        <v>1152</v>
      </c>
      <c r="AH57" s="83" vm="1273">
        <v>39798</v>
      </c>
      <c r="AI57" s="83" vm="1274">
        <v>2978</v>
      </c>
      <c r="AJ57" s="83" vm="1675">
        <v>0</v>
      </c>
      <c r="AK57" s="83">
        <v>0</v>
      </c>
      <c r="AL57" s="5">
        <f xml:space="preserve"> SUM( VfM_Metrics_2023_Consol[[#This Row],[Tangible fixed assets: Housing properties at cost (Current period)2]], VfM_Metrics_2023_Consol[[#This Row],[Tangible fixed assets Housing properties at valuation (Current period)2]] )</f>
        <v>84476</v>
      </c>
      <c r="AM57" s="84">
        <v>0</v>
      </c>
      <c r="AN57" s="83" vm="8483">
        <v>84476</v>
      </c>
      <c r="AO57" s="87">
        <f xml:space="preserve"> IFERROR( VfM_Metrics_2023_Consol[[#This Row],[EBITDA MRI]] / VfM_Metrics_2023_Consol[[#This Row],[Total interest]], "n/a" )</f>
        <v>1.2853817504655494</v>
      </c>
      <c r="AP5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2761</v>
      </c>
      <c r="AQ57" s="84" vm="8185">
        <v>3693</v>
      </c>
      <c r="AR57" s="84" vm="1277">
        <v>317</v>
      </c>
      <c r="AS57" s="84">
        <v>0</v>
      </c>
      <c r="AT57" s="84" vm="8642">
        <v>0</v>
      </c>
      <c r="AU57" s="84" vm="1486">
        <v>261</v>
      </c>
      <c r="AV57" s="84" vm="8544">
        <v>141</v>
      </c>
      <c r="AW57" s="84" vm="1279">
        <v>2045</v>
      </c>
      <c r="AX57" s="84" vm="1332">
        <v>1550</v>
      </c>
      <c r="AY57" s="3">
        <f xml:space="preserve"> - SUM( VfM_Metrics_2023_Consol[[#This Row],[Interest capitalised]], VfM_Metrics_2023_Consol[[#This Row],[Interest payable and financing costs]] )</f>
        <v>2148</v>
      </c>
      <c r="AZ57" s="84" vm="8429">
        <v>-109</v>
      </c>
      <c r="BA57" s="83" vm="1280">
        <v>-2039</v>
      </c>
      <c r="BB57" s="8">
        <f xml:space="preserve"> IFERROR( ( VfM_Metrics_2023_Consol[[#This Row],[Total Costs]] / VfM_Metrics_2023_Consol[[#This Row],[Total units for costs]] ) * 1000, "n/a" )</f>
        <v>3822.3452440865631</v>
      </c>
      <c r="BC5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7595</v>
      </c>
      <c r="BD57" s="84" vm="8543">
        <v>2554</v>
      </c>
      <c r="BE57" s="83" vm="8444">
        <v>644</v>
      </c>
      <c r="BF57" s="83" vm="8399">
        <v>1386</v>
      </c>
      <c r="BG57" s="83" vm="1412">
        <v>573</v>
      </c>
      <c r="BH57" s="83" vm="1282">
        <v>0</v>
      </c>
      <c r="BI57" s="83" vm="1254">
        <v>0</v>
      </c>
      <c r="BJ57" s="83" vm="1279">
        <v>2045</v>
      </c>
      <c r="BK57" s="83" vm="8182">
        <v>79</v>
      </c>
      <c r="BL57" s="83">
        <v>0</v>
      </c>
      <c r="BM57" s="83">
        <v>0</v>
      </c>
      <c r="BN57" s="83" vm="8427">
        <v>150</v>
      </c>
      <c r="BO57" s="83" vm="8554">
        <v>164</v>
      </c>
      <c r="BP57" s="5" vm="8622">
        <f xml:space="preserve"> VfM_Metrics_2023_Consol[[#This Row],[Total social housing units owned and/or managed at period end]]</f>
        <v>1987</v>
      </c>
      <c r="BQ57" s="84" vm="8622">
        <v>1987</v>
      </c>
      <c r="BR57" s="7">
        <f xml:space="preserve"> IFERROR( VfM_Metrics_2023_Consol[[#This Row],[SHL operating surplus / (deficit)]] / VfM_Metrics_2023_Consol[[#This Row],[Turnover from social housing lettings]], "n/a" )</f>
        <v>0.32979356887653832</v>
      </c>
      <c r="BS57" s="5" vm="1283">
        <f xml:space="preserve"> VfM_Metrics_2023_Consol[[#This Row],[Operating surplus/(deficit) (social housing lettings)]]</f>
        <v>3323</v>
      </c>
      <c r="BT57" s="84" vm="1283">
        <v>3323</v>
      </c>
      <c r="BU57" s="5" vm="2825">
        <f xml:space="preserve"> VfM_Metrics_2023_Consol[[#This Row],[Turnover from social housing lettings]]</f>
        <v>10076</v>
      </c>
      <c r="BV57" s="84" vm="2825">
        <v>10076</v>
      </c>
      <c r="BW57" s="7">
        <f xml:space="preserve"> IFERROR( VfM_Metrics_2023_Consol[[#This Row],[Net operating surplus]] / VfM_Metrics_2023_Consol[[#This Row],[Overall turnover]], "n/a" )</f>
        <v>0.30226519831676962</v>
      </c>
      <c r="BX57" s="5">
        <f xml:space="preserve"> SUM( VfM_Metrics_2023_Consol[[#This Row],[Operating surplus/(deficit) (overall)2]], - VfM_Metrics_2023_Consol[[#This Row],[Gain/(loss) on disposal of fixed assets (housing properties)2]], - VfM_Metrics_2023_Consol[[#This Row],[Gain/(loss) on disposal of fixed assets (other)2]] )</f>
        <v>3376</v>
      </c>
      <c r="BY57" s="84" vm="1226">
        <v>3693</v>
      </c>
      <c r="BZ57" s="83" vm="8668">
        <v>317</v>
      </c>
      <c r="CA57" s="83">
        <v>0</v>
      </c>
      <c r="CB57" s="5" vm="8511">
        <f xml:space="preserve"> VfM_Metrics_2023_Consol[[#This Row],[Turnover (overall)]]</f>
        <v>11169</v>
      </c>
      <c r="CC57" s="84" vm="8511">
        <v>11169</v>
      </c>
      <c r="CD57" s="7">
        <f xml:space="preserve"> IFERROR( VfM_Metrics_2023_Consol[[#This Row],[Operating surplus including from JVs]] / VfM_Metrics_2023_Consol[[#This Row],[Net assets]], "n/a" )</f>
        <v>4.0944166038405248E-2</v>
      </c>
      <c r="CE57" s="5">
        <f xml:space="preserve"> SUM( VfM_Metrics_2023_Consol[[#This Row],[Operating surplus/(deficit) (overall)3]], VfM_Metrics_2023_Consol[[#This Row],[Share of operating surplus/(deficit) in joint ventures or associates]] )</f>
        <v>3693</v>
      </c>
      <c r="CF57" s="84" vm="8179">
        <v>3693</v>
      </c>
      <c r="CG57" s="83">
        <v>0</v>
      </c>
      <c r="CH57" s="5" vm="1341">
        <f xml:space="preserve"> VfM_Metrics_2023_Consol[[#This Row],[Total assets less current liabilities]]</f>
        <v>90196</v>
      </c>
      <c r="CI57" s="84" vm="1341">
        <v>90196</v>
      </c>
      <c r="CJ57" s="71" vm="1266">
        <f xml:space="preserve"> VfM_Metrics_2023_Consol[[#This Row],[Total social housing units owned (Period end)]]</f>
        <v>1823</v>
      </c>
      <c r="CK57" s="103">
        <v>4.4628099173553717E-2</v>
      </c>
      <c r="CL57" s="6">
        <f xml:space="preserve"> -- ( VfM_Metrics_2023_Consol[[#This Row],[% Supported housing (excl. HOP)]] &gt; 0.3 )</f>
        <v>0</v>
      </c>
      <c r="CM57" s="103">
        <v>3.7465564738292011E-2</v>
      </c>
      <c r="CN57" s="6">
        <f xml:space="preserve"> -- ( VfM_Metrics_2023_Consol[[#This Row],[% Housing for older people]] &gt; 0.3 )</f>
        <v>0</v>
      </c>
      <c r="CO57" s="103">
        <f xml:space="preserve"> VfM_Metrics_2023_Consol[[#This Row],[% Supported housing (excl. HOP)]] + VfM_Metrics_2023_Consol[[#This Row],[% Housing for older people]]</f>
        <v>8.2093663911845721E-2</v>
      </c>
      <c r="CP57" s="6">
        <f xml:space="preserve"> -- ( VfM_Metrics_2023_Consol[[#This Row],[SH specialist in RSH analysis]] + VfM_Metrics_2023_Consol[[#This Row],[OP specialist in RSH analysis]] &gt; 0 )</f>
        <v>0</v>
      </c>
      <c r="CQ57" s="10">
        <f xml:space="preserve"> -- ( VfM_Metrics_2023_Consol[[#This Row],[% SH and OP]] &gt; 0.3 )</f>
        <v>0</v>
      </c>
      <c r="CR57" s="104" t="s">
        <v>143</v>
      </c>
      <c r="CS57" s="124"/>
      <c r="CT57" s="105" t="s">
        <v>151</v>
      </c>
      <c r="CU5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57" s="85">
        <v>0</v>
      </c>
      <c r="CW57" s="85">
        <v>0</v>
      </c>
      <c r="CX57" s="85">
        <v>0</v>
      </c>
      <c r="CY57" s="85">
        <v>0</v>
      </c>
      <c r="CZ57" s="85">
        <v>0</v>
      </c>
      <c r="DA57" s="85">
        <v>0</v>
      </c>
      <c r="DB57" s="85">
        <v>0</v>
      </c>
      <c r="DC57" s="85">
        <v>1</v>
      </c>
      <c r="DD57" s="85">
        <v>0</v>
      </c>
      <c r="DE57" s="13">
        <v>0.96105917141044694</v>
      </c>
    </row>
    <row r="58" spans="1:109" x14ac:dyDescent="0.25">
      <c r="A58" s="4" t="s" vm="237">
        <v>240</v>
      </c>
      <c r="B58" s="2" t="s" vm="48">
        <v>241</v>
      </c>
      <c r="C58" s="72" vm="430">
        <v>45016</v>
      </c>
      <c r="D58" s="7">
        <f>IFERROR( VfM_Metrics_2023_Consol[[#This Row],[Reinvestment Spend]] / VfM_Metrics_2023_Consol[[#This Row],[Net Book Value of Housing Properties]], "n/a" )</f>
        <v>1.2840644815043035E-2</v>
      </c>
      <c r="E5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646</v>
      </c>
      <c r="F58" s="83" vm="8400">
        <v>0</v>
      </c>
      <c r="G58" s="83" vm="1344">
        <v>0</v>
      </c>
      <c r="H58" s="83" vm="1399">
        <v>646</v>
      </c>
      <c r="I58" s="83" vm="1229">
        <v>0</v>
      </c>
      <c r="J58" s="83" vm="1553">
        <v>0</v>
      </c>
      <c r="K58" s="5">
        <f xml:space="preserve"> SUM( VfM_Metrics_2023_Consol[[#This Row],[Tangible fixed assets: Housing properties at cost (Current period)]],VfM_Metrics_2023_Consol[[#This Row],[Tangible fixed assets Housing properties at valuation (Current period)]] )</f>
        <v>50309</v>
      </c>
      <c r="L58" s="84" vm="8318">
        <v>50309</v>
      </c>
      <c r="M58" s="83" vm="8380">
        <v>0</v>
      </c>
      <c r="N58" s="7">
        <f xml:space="preserve"> IFERROR( VfM_Metrics_2023_Consol[[#This Row],[Total social units developed or newly built units acquired in-year]] / VfM_Metrics_2023_Consol[[#This Row],[Social housing units owned (period end)]], "n/a" )</f>
        <v>0</v>
      </c>
      <c r="O58" s="5">
        <f xml:space="preserve"> SUM( VfM_Metrics_2023_Consol[[#This Row],[Total social units developed or newly built units acquired in-year (owned)]], VfM_Metrics_2023_Consol[[#This Row],[Total social leasehold units developed or newly built units acquired in-year (owned)]] )</f>
        <v>0</v>
      </c>
      <c r="P58" s="84" vm="8454">
        <v>0</v>
      </c>
      <c r="Q58" s="83" vm="1187">
        <v>0</v>
      </c>
      <c r="R58" s="5">
        <f xml:space="preserve"> SUM( VfM_Metrics_2023_Consol[[#This Row],[Total social housing units owned (Period end)]], VfM_Metrics_2023_Consol[[#This Row],[Total social leasehold units owned (Period end)]] )</f>
        <v>1387</v>
      </c>
      <c r="S58" s="84" vm="8435">
        <v>1387</v>
      </c>
      <c r="T58" s="83" vm="8457">
        <v>0</v>
      </c>
      <c r="U58" s="86">
        <f xml:space="preserve"> IFERROR( VfM_Metrics_2023_Consol[[#This Row],[Total non-social housing units developed or newly built units acquired (owned)]] / VfM_Metrics_2023_Consol[[#This Row],[Total social and non-social housing units owned (Period end)]], "n/a" )</f>
        <v>0</v>
      </c>
      <c r="V5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58" s="83" vm="8398">
        <v>0</v>
      </c>
      <c r="X58" s="83" vm="1611">
        <v>0</v>
      </c>
      <c r="Y58" s="83" vm="8392">
        <v>0</v>
      </c>
      <c r="Z5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1407</v>
      </c>
      <c r="AA58" s="84" vm="1398">
        <v>1387</v>
      </c>
      <c r="AB58" s="83" vm="8269">
        <v>0</v>
      </c>
      <c r="AC58" s="83" vm="1401">
        <v>20</v>
      </c>
      <c r="AD58" s="83" vm="1259">
        <v>0</v>
      </c>
      <c r="AE58" s="7">
        <f xml:space="preserve"> IFERROR( VfM_Metrics_2023_Consol[[#This Row],[Total Net Debt]] / VfM_Metrics_2023_Consol[[#This Row],[Net Book Value of Housing Properties2]], "n/a" )</f>
        <v>0.2792939633067642</v>
      </c>
      <c r="AF5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14051</v>
      </c>
      <c r="AG58" s="84" vm="1305">
        <v>469</v>
      </c>
      <c r="AH58" s="83" vm="1253">
        <v>17280</v>
      </c>
      <c r="AI58" s="83" vm="8268">
        <v>3698</v>
      </c>
      <c r="AJ58" s="83" vm="1403">
        <v>0</v>
      </c>
      <c r="AK58" s="83" vm="1404">
        <v>0</v>
      </c>
      <c r="AL58" s="5">
        <f xml:space="preserve"> SUM( VfM_Metrics_2023_Consol[[#This Row],[Tangible fixed assets: Housing properties at cost (Current period)2]], VfM_Metrics_2023_Consol[[#This Row],[Tangible fixed assets Housing properties at valuation (Current period)2]] )</f>
        <v>50309</v>
      </c>
      <c r="AM58" s="84" vm="8116">
        <v>50309</v>
      </c>
      <c r="AN58" s="83" vm="1354">
        <v>0</v>
      </c>
      <c r="AO58" s="87">
        <f xml:space="preserve"> IFERROR( VfM_Metrics_2023_Consol[[#This Row],[EBITDA MRI]] / VfM_Metrics_2023_Consol[[#This Row],[Total interest]], "n/a" )</f>
        <v>1.927063339731286</v>
      </c>
      <c r="AP5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1004</v>
      </c>
      <c r="AQ58" s="84" vm="8449">
        <v>806</v>
      </c>
      <c r="AR58" s="84" vm="1406">
        <v>149</v>
      </c>
      <c r="AS58" s="84" vm="1407">
        <v>0</v>
      </c>
      <c r="AT58" s="84" vm="1071">
        <v>69</v>
      </c>
      <c r="AU58" s="84" vm="1358">
        <v>0</v>
      </c>
      <c r="AV58" s="84" vm="1408">
        <v>0</v>
      </c>
      <c r="AW58" s="84" vm="1409">
        <v>671</v>
      </c>
      <c r="AX58" s="84" vm="1257">
        <v>1087</v>
      </c>
      <c r="AY58" s="3">
        <f xml:space="preserve"> - SUM( VfM_Metrics_2023_Consol[[#This Row],[Interest capitalised]], VfM_Metrics_2023_Consol[[#This Row],[Interest payable and financing costs]] )</f>
        <v>521</v>
      </c>
      <c r="AZ58" s="84" vm="8433">
        <v>0</v>
      </c>
      <c r="BA58" s="83" vm="8439">
        <v>-521</v>
      </c>
      <c r="BB58" s="8">
        <f xml:space="preserve"> IFERROR( ( VfM_Metrics_2023_Consol[[#This Row],[Total Costs]] / VfM_Metrics_2023_Consol[[#This Row],[Total units for costs]] ) * 1000, "n/a" )</f>
        <v>3271.8096611391493</v>
      </c>
      <c r="BC5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4538</v>
      </c>
      <c r="BD58" s="84" vm="1411">
        <v>2462</v>
      </c>
      <c r="BE58" s="83" vm="8386">
        <v>170</v>
      </c>
      <c r="BF58" s="83" vm="8265">
        <v>993</v>
      </c>
      <c r="BG58" s="83" vm="1412">
        <v>0</v>
      </c>
      <c r="BH58" s="83" vm="8428">
        <v>242</v>
      </c>
      <c r="BI58" s="83" vm="8432">
        <v>0</v>
      </c>
      <c r="BJ58" s="83" vm="8407">
        <v>671</v>
      </c>
      <c r="BK58" s="83" vm="8337">
        <v>0</v>
      </c>
      <c r="BL58" s="83" vm="1414">
        <v>0</v>
      </c>
      <c r="BM58" s="83" vm="1453">
        <v>0</v>
      </c>
      <c r="BN58" s="83" vm="8375">
        <v>0</v>
      </c>
      <c r="BO58" s="83" vm="2233">
        <v>0</v>
      </c>
      <c r="BP58" s="5" vm="1368">
        <f xml:space="preserve"> VfM_Metrics_2023_Consol[[#This Row],[Total social housing units owned and/or managed at period end]]</f>
        <v>1387</v>
      </c>
      <c r="BQ58" s="84" vm="1368">
        <v>1387</v>
      </c>
      <c r="BR58" s="7">
        <f xml:space="preserve"> IFERROR( VfM_Metrics_2023_Consol[[#This Row],[SHL operating surplus / (deficit)]] / VfM_Metrics_2023_Consol[[#This Row],[Turnover from social housing lettings]], "n/a" )</f>
        <v>0.11497466363795213</v>
      </c>
      <c r="BS58" s="5" vm="1415">
        <f xml:space="preserve"> VfM_Metrics_2023_Consol[[#This Row],[Operating surplus/(deficit) (social housing lettings)]]</f>
        <v>658</v>
      </c>
      <c r="BT58" s="84" vm="1415">
        <v>658</v>
      </c>
      <c r="BU58" s="5" vm="1416">
        <f xml:space="preserve"> VfM_Metrics_2023_Consol[[#This Row],[Turnover from social housing lettings]]</f>
        <v>5723</v>
      </c>
      <c r="BV58" s="84" vm="1416">
        <v>5723</v>
      </c>
      <c r="BW58" s="7">
        <f xml:space="preserve"> IFERROR( VfM_Metrics_2023_Consol[[#This Row],[Net operating surplus]] / VfM_Metrics_2023_Consol[[#This Row],[Overall turnover]], "n/a" )</f>
        <v>0.11481999300943727</v>
      </c>
      <c r="BX58" s="5">
        <f xml:space="preserve"> SUM( VfM_Metrics_2023_Consol[[#This Row],[Operating surplus/(deficit) (overall)2]], - VfM_Metrics_2023_Consol[[#This Row],[Gain/(loss) on disposal of fixed assets (housing properties)2]], - VfM_Metrics_2023_Consol[[#This Row],[Gain/(loss) on disposal of fixed assets (other)2]] )</f>
        <v>657</v>
      </c>
      <c r="BY58" s="84" vm="8063">
        <v>806</v>
      </c>
      <c r="BZ58" s="83" vm="1406">
        <v>149</v>
      </c>
      <c r="CA58" s="83" vm="1407">
        <v>0</v>
      </c>
      <c r="CB58" s="5" vm="1832">
        <f xml:space="preserve"> VfM_Metrics_2023_Consol[[#This Row],[Turnover (overall)]]</f>
        <v>5722</v>
      </c>
      <c r="CC58" s="84" vm="1832">
        <v>5722</v>
      </c>
      <c r="CD58" s="7">
        <f xml:space="preserve"> IFERROR( VfM_Metrics_2023_Consol[[#This Row],[Operating surplus including from JVs]] / VfM_Metrics_2023_Consol[[#This Row],[Net assets]], "n/a" )</f>
        <v>1.5216734632230781E-2</v>
      </c>
      <c r="CE58" s="5">
        <f xml:space="preserve"> SUM( VfM_Metrics_2023_Consol[[#This Row],[Operating surplus/(deficit) (overall)3]], VfM_Metrics_2023_Consol[[#This Row],[Share of operating surplus/(deficit) in joint ventures or associates]] )</f>
        <v>806</v>
      </c>
      <c r="CF58" s="84" vm="1291">
        <v>806</v>
      </c>
      <c r="CG58" s="83" vm="1418">
        <v>0</v>
      </c>
      <c r="CH58" s="5" vm="1417">
        <f xml:space="preserve"> VfM_Metrics_2023_Consol[[#This Row],[Total assets less current liabilities]]</f>
        <v>52968</v>
      </c>
      <c r="CI58" s="84" vm="1417">
        <v>52968</v>
      </c>
      <c r="CJ58" s="71" vm="8435">
        <f xml:space="preserve"> VfM_Metrics_2023_Consol[[#This Row],[Total social housing units owned (Period end)]]</f>
        <v>1387</v>
      </c>
      <c r="CK58" s="103">
        <v>1.4450867052023121E-2</v>
      </c>
      <c r="CL58" s="6">
        <f xml:space="preserve"> -- ( VfM_Metrics_2023_Consol[[#This Row],[% Supported housing (excl. HOP)]] &gt; 0.3 )</f>
        <v>0</v>
      </c>
      <c r="CM58" s="103">
        <v>0</v>
      </c>
      <c r="CN58" s="6">
        <f xml:space="preserve"> -- ( VfM_Metrics_2023_Consol[[#This Row],[% Housing for older people]] &gt; 0.3 )</f>
        <v>0</v>
      </c>
      <c r="CO58" s="103">
        <f xml:space="preserve"> VfM_Metrics_2023_Consol[[#This Row],[% Supported housing (excl. HOP)]] + VfM_Metrics_2023_Consol[[#This Row],[% Housing for older people]]</f>
        <v>1.4450867052023121E-2</v>
      </c>
      <c r="CP58" s="6">
        <f xml:space="preserve"> -- ( VfM_Metrics_2023_Consol[[#This Row],[SH specialist in RSH analysis]] + VfM_Metrics_2023_Consol[[#This Row],[OP specialist in RSH analysis]] &gt; 0 )</f>
        <v>0</v>
      </c>
      <c r="CQ58" s="10">
        <f xml:space="preserve"> -- ( VfM_Metrics_2023_Consol[[#This Row],[% SH and OP]] &gt; 0.3 )</f>
        <v>0</v>
      </c>
      <c r="CR58" s="104" t="s">
        <v>143</v>
      </c>
      <c r="CS58" s="124"/>
      <c r="CT58" s="105" t="s">
        <v>151</v>
      </c>
      <c r="CU5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58" s="85">
        <v>0</v>
      </c>
      <c r="CW58" s="85">
        <v>0</v>
      </c>
      <c r="CX58" s="85">
        <v>0</v>
      </c>
      <c r="CY58" s="85">
        <v>0</v>
      </c>
      <c r="CZ58" s="85">
        <v>1</v>
      </c>
      <c r="DA58" s="85">
        <v>0</v>
      </c>
      <c r="DB58" s="85">
        <v>0</v>
      </c>
      <c r="DC58" s="85">
        <v>0</v>
      </c>
      <c r="DD58" s="85">
        <v>0</v>
      </c>
      <c r="DE58" s="13">
        <v>0.96459033333600952</v>
      </c>
    </row>
    <row r="59" spans="1:109" x14ac:dyDescent="0.25">
      <c r="A59" s="4" t="s" vm="234">
        <v>242</v>
      </c>
      <c r="B59" s="2" t="s" vm="49">
        <v>243</v>
      </c>
      <c r="C59" s="72" vm="412">
        <v>45016</v>
      </c>
      <c r="D59" s="7">
        <f>IFERROR( VfM_Metrics_2023_Consol[[#This Row],[Reinvestment Spend]] / VfM_Metrics_2023_Consol[[#This Row],[Net Book Value of Housing Properties]], "n/a" )</f>
        <v>7.2708878351863959E-2</v>
      </c>
      <c r="E5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7115</v>
      </c>
      <c r="F59" s="83" vm="8618">
        <v>6140</v>
      </c>
      <c r="G59" s="83" vm="1268">
        <v>0</v>
      </c>
      <c r="H59" s="83" vm="1319">
        <v>817</v>
      </c>
      <c r="I59" s="83" vm="1320">
        <v>158</v>
      </c>
      <c r="J59" s="83" vm="1321">
        <v>0</v>
      </c>
      <c r="K59" s="5">
        <f xml:space="preserve"> SUM( VfM_Metrics_2023_Consol[[#This Row],[Tangible fixed assets: Housing properties at cost (Current period)]],VfM_Metrics_2023_Consol[[#This Row],[Tangible fixed assets Housing properties at valuation (Current period)]] )</f>
        <v>97856</v>
      </c>
      <c r="L59" s="84" vm="1322">
        <v>97856</v>
      </c>
      <c r="M59" s="83">
        <v>0</v>
      </c>
      <c r="N59" s="7">
        <f xml:space="preserve"> IFERROR( VfM_Metrics_2023_Consol[[#This Row],[Total social units developed or newly built units acquired in-year]] / VfM_Metrics_2023_Consol[[#This Row],[Social housing units owned (period end)]], "n/a" )</f>
        <v>1.2658227848101266E-2</v>
      </c>
      <c r="O59" s="5">
        <f xml:space="preserve"> SUM( VfM_Metrics_2023_Consol[[#This Row],[Total social units developed or newly built units acquired in-year (owned)]], VfM_Metrics_2023_Consol[[#This Row],[Total social leasehold units developed or newly built units acquired in-year (owned)]] )</f>
        <v>17</v>
      </c>
      <c r="P59" s="84" vm="1323">
        <v>17</v>
      </c>
      <c r="Q59" s="83">
        <v>0</v>
      </c>
      <c r="R59" s="5">
        <f xml:space="preserve"> SUM( VfM_Metrics_2023_Consol[[#This Row],[Total social housing units owned (Period end)]], VfM_Metrics_2023_Consol[[#This Row],[Total social leasehold units owned (Period end)]] )</f>
        <v>1343</v>
      </c>
      <c r="S59" s="84" vm="8419">
        <v>1343</v>
      </c>
      <c r="T59" s="83" vm="1272">
        <v>0</v>
      </c>
      <c r="U59" s="86">
        <f xml:space="preserve"> IFERROR( VfM_Metrics_2023_Consol[[#This Row],[Total non-social housing units developed or newly built units acquired (owned)]] / VfM_Metrics_2023_Consol[[#This Row],[Total social and non-social housing units owned (Period end)]], "n/a" )</f>
        <v>1.4892032762472078E-3</v>
      </c>
      <c r="V5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v>
      </c>
      <c r="W59" s="83">
        <v>0</v>
      </c>
      <c r="X59" s="83">
        <v>0</v>
      </c>
      <c r="Y59" s="83" vm="1324">
        <v>2</v>
      </c>
      <c r="Z5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1343</v>
      </c>
      <c r="AA59" s="84" vm="1318">
        <v>1343</v>
      </c>
      <c r="AB59" s="83" vm="8404">
        <v>0</v>
      </c>
      <c r="AC59" s="83" vm="1325">
        <v>0</v>
      </c>
      <c r="AD59" s="83" vm="8532">
        <v>0</v>
      </c>
      <c r="AE59" s="7">
        <f xml:space="preserve"> IFERROR( VfM_Metrics_2023_Consol[[#This Row],[Total Net Debt]] / VfM_Metrics_2023_Consol[[#This Row],[Net Book Value of Housing Properties2]], "n/a" )</f>
        <v>0.34692813930673644</v>
      </c>
      <c r="AF5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33949</v>
      </c>
      <c r="AG59" s="84" vm="1326">
        <v>938</v>
      </c>
      <c r="AH59" s="83" vm="1327">
        <v>37685</v>
      </c>
      <c r="AI59" s="83" vm="1328">
        <v>4674</v>
      </c>
      <c r="AJ59" s="83" vm="1675">
        <v>0</v>
      </c>
      <c r="AK59" s="83">
        <v>0</v>
      </c>
      <c r="AL59" s="5">
        <f xml:space="preserve"> SUM( VfM_Metrics_2023_Consol[[#This Row],[Tangible fixed assets: Housing properties at cost (Current period)2]], VfM_Metrics_2023_Consol[[#This Row],[Tangible fixed assets Housing properties at valuation (Current period)2]] )</f>
        <v>97856</v>
      </c>
      <c r="AM59" s="84" vm="2149">
        <v>97856</v>
      </c>
      <c r="AN59" s="83">
        <v>0</v>
      </c>
      <c r="AO59" s="87">
        <f xml:space="preserve"> IFERROR( VfM_Metrics_2023_Consol[[#This Row],[EBITDA MRI]] / VfM_Metrics_2023_Consol[[#This Row],[Total interest]], "n/a" )</f>
        <v>1.8363903154805576</v>
      </c>
      <c r="AP5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2503</v>
      </c>
      <c r="AQ59" s="84" vm="8609">
        <v>2449</v>
      </c>
      <c r="AR59" s="84" vm="8499">
        <v>464</v>
      </c>
      <c r="AS59" s="84">
        <v>0</v>
      </c>
      <c r="AT59" s="84" vm="1330">
        <v>482</v>
      </c>
      <c r="AU59" s="84" vm="8604">
        <v>0</v>
      </c>
      <c r="AV59" s="84" vm="1331">
        <v>14</v>
      </c>
      <c r="AW59" s="84" vm="1214">
        <v>817</v>
      </c>
      <c r="AX59" s="84" vm="1332">
        <v>1803</v>
      </c>
      <c r="AY59" s="3">
        <f xml:space="preserve"> - SUM( VfM_Metrics_2023_Consol[[#This Row],[Interest capitalised]], VfM_Metrics_2023_Consol[[#This Row],[Interest payable and financing costs]] )</f>
        <v>1363</v>
      </c>
      <c r="AZ59" s="84" vm="8498">
        <v>-158</v>
      </c>
      <c r="BA59" s="83" vm="1333">
        <v>-1205</v>
      </c>
      <c r="BB59" s="8">
        <f xml:space="preserve"> IFERROR( ( VfM_Metrics_2023_Consol[[#This Row],[Total Costs]] / VfM_Metrics_2023_Consol[[#This Row],[Total units for costs]] ) * 1000, "n/a" )</f>
        <v>3644.3949517446176</v>
      </c>
      <c r="BC5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4909</v>
      </c>
      <c r="BD59" s="84" vm="8402">
        <v>1099</v>
      </c>
      <c r="BE59" s="83" vm="1891">
        <v>760</v>
      </c>
      <c r="BF59" s="83" vm="1335">
        <v>807</v>
      </c>
      <c r="BG59" s="83" vm="8476">
        <v>576</v>
      </c>
      <c r="BH59" s="83" vm="8319">
        <v>699</v>
      </c>
      <c r="BI59" s="83" vm="8410">
        <v>0</v>
      </c>
      <c r="BJ59" s="83" vm="1140">
        <v>817</v>
      </c>
      <c r="BK59" s="83" vm="1336">
        <v>0</v>
      </c>
      <c r="BL59" s="83" vm="1337">
        <v>46</v>
      </c>
      <c r="BM59" s="83">
        <v>0</v>
      </c>
      <c r="BN59" s="83" vm="1305">
        <v>105</v>
      </c>
      <c r="BO59" s="83">
        <v>0</v>
      </c>
      <c r="BP59" s="5" vm="1226">
        <f xml:space="preserve"> VfM_Metrics_2023_Consol[[#This Row],[Total social housing units owned and/or managed at period end]]</f>
        <v>1347</v>
      </c>
      <c r="BQ59" s="84" vm="1226">
        <v>1347</v>
      </c>
      <c r="BR59" s="7">
        <f xml:space="preserve"> IFERROR( VfM_Metrics_2023_Consol[[#This Row],[SHL operating surplus / (deficit)]] / VfM_Metrics_2023_Consol[[#This Row],[Turnover from social housing lettings]], "n/a" )</f>
        <v>0.21443298969072164</v>
      </c>
      <c r="BS59" s="5" vm="8284">
        <f xml:space="preserve"> VfM_Metrics_2023_Consol[[#This Row],[Operating surplus/(deficit) (social housing lettings)]]</f>
        <v>1560</v>
      </c>
      <c r="BT59" s="84" vm="8284">
        <v>1560</v>
      </c>
      <c r="BU59" s="5" vm="1339">
        <f xml:space="preserve"> VfM_Metrics_2023_Consol[[#This Row],[Turnover from social housing lettings]]</f>
        <v>7275</v>
      </c>
      <c r="BV59" s="84" vm="1339">
        <v>7275</v>
      </c>
      <c r="BW59" s="7">
        <f xml:space="preserve"> IFERROR( VfM_Metrics_2023_Consol[[#This Row],[Net operating surplus]] / VfM_Metrics_2023_Consol[[#This Row],[Overall turnover]], "n/a" )</f>
        <v>0.2211699164345404</v>
      </c>
      <c r="BX59" s="5">
        <f xml:space="preserve"> SUM( VfM_Metrics_2023_Consol[[#This Row],[Operating surplus/(deficit) (overall)2]], - VfM_Metrics_2023_Consol[[#This Row],[Gain/(loss) on disposal of fixed assets (housing properties)2]], - VfM_Metrics_2023_Consol[[#This Row],[Gain/(loss) on disposal of fixed assets (other)2]] )</f>
        <v>1985</v>
      </c>
      <c r="BY59" s="84" vm="1329">
        <v>2449</v>
      </c>
      <c r="BZ59" s="83" vm="1406">
        <v>464</v>
      </c>
      <c r="CA59" s="83">
        <v>0</v>
      </c>
      <c r="CB59" s="5" vm="1340">
        <f xml:space="preserve"> VfM_Metrics_2023_Consol[[#This Row],[Turnover (overall)]]</f>
        <v>8975</v>
      </c>
      <c r="CC59" s="84" vm="1340">
        <v>8975</v>
      </c>
      <c r="CD59" s="7">
        <f xml:space="preserve"> IFERROR( VfM_Metrics_2023_Consol[[#This Row],[Operating surplus including from JVs]] / VfM_Metrics_2023_Consol[[#This Row],[Net assets]], "n/a" )</f>
        <v>2.4493184113934811E-2</v>
      </c>
      <c r="CE59" s="5">
        <f xml:space="preserve"> SUM( VfM_Metrics_2023_Consol[[#This Row],[Operating surplus/(deficit) (overall)3]], VfM_Metrics_2023_Consol[[#This Row],[Share of operating surplus/(deficit) in joint ventures or associates]] )</f>
        <v>2449</v>
      </c>
      <c r="CF59" s="84" vm="8113">
        <v>2449</v>
      </c>
      <c r="CG59" s="83">
        <v>0</v>
      </c>
      <c r="CH59" s="5" vm="8145">
        <f xml:space="preserve"> VfM_Metrics_2023_Consol[[#This Row],[Total assets less current liabilities]]</f>
        <v>99987</v>
      </c>
      <c r="CI59" s="84" vm="8145">
        <v>99987</v>
      </c>
      <c r="CJ59" s="71" vm="8419">
        <f xml:space="preserve"> VfM_Metrics_2023_Consol[[#This Row],[Total social housing units owned (Period end)]]</f>
        <v>1343</v>
      </c>
      <c r="CK59" s="103">
        <v>0</v>
      </c>
      <c r="CL59" s="6">
        <f xml:space="preserve"> -- ( VfM_Metrics_2023_Consol[[#This Row],[% Supported housing (excl. HOP)]] &gt; 0.3 )</f>
        <v>0</v>
      </c>
      <c r="CM59" s="103">
        <v>0</v>
      </c>
      <c r="CN59" s="6">
        <f xml:space="preserve"> -- ( VfM_Metrics_2023_Consol[[#This Row],[% Housing for older people]] &gt; 0.3 )</f>
        <v>0</v>
      </c>
      <c r="CO59" s="103">
        <f xml:space="preserve"> VfM_Metrics_2023_Consol[[#This Row],[% Supported housing (excl. HOP)]] + VfM_Metrics_2023_Consol[[#This Row],[% Housing for older people]]</f>
        <v>0</v>
      </c>
      <c r="CP59" s="6">
        <f xml:space="preserve"> -- ( VfM_Metrics_2023_Consol[[#This Row],[SH specialist in RSH analysis]] + VfM_Metrics_2023_Consol[[#This Row],[OP specialist in RSH analysis]] &gt; 0 )</f>
        <v>0</v>
      </c>
      <c r="CQ59" s="10">
        <f xml:space="preserve"> -- ( VfM_Metrics_2023_Consol[[#This Row],[% SH and OP]] &gt; 0.3 )</f>
        <v>0</v>
      </c>
      <c r="CR59" s="104" t="s">
        <v>143</v>
      </c>
      <c r="CS59" s="124" t="s">
        <v>144</v>
      </c>
      <c r="CT59" s="105"/>
      <c r="CU5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59" s="85">
        <v>0</v>
      </c>
      <c r="CW59" s="85">
        <v>0.68950111690245719</v>
      </c>
      <c r="CX59" s="85">
        <v>7.520476545048399E-2</v>
      </c>
      <c r="CY59" s="85">
        <v>2.3082650781831721E-2</v>
      </c>
      <c r="CZ59" s="85">
        <v>0</v>
      </c>
      <c r="DA59" s="85">
        <v>0.2092330603127327</v>
      </c>
      <c r="DB59" s="85">
        <v>0</v>
      </c>
      <c r="DC59" s="85">
        <v>2.9784065524944155E-3</v>
      </c>
      <c r="DD59" s="85">
        <v>0</v>
      </c>
      <c r="DE59" s="13">
        <v>1.0223056268127158</v>
      </c>
    </row>
    <row r="60" spans="1:109" x14ac:dyDescent="0.25">
      <c r="A60" s="4" t="s" vm="316">
        <v>244</v>
      </c>
      <c r="B60" s="2" t="s" vm="50">
        <v>245</v>
      </c>
      <c r="C60" s="72" vm="470">
        <v>45016</v>
      </c>
      <c r="D60" s="7">
        <f>IFERROR( VfM_Metrics_2023_Consol[[#This Row],[Reinvestment Spend]] / VfM_Metrics_2023_Consol[[#This Row],[Net Book Value of Housing Properties]], "n/a" )</f>
        <v>2.1829675975909568E-2</v>
      </c>
      <c r="E6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8391</v>
      </c>
      <c r="F60" s="83" vm="3900">
        <v>5755</v>
      </c>
      <c r="G60" s="83" vm="3901">
        <v>0</v>
      </c>
      <c r="H60" s="83" vm="3902">
        <v>2636</v>
      </c>
      <c r="I60" s="83" vm="3903">
        <v>0</v>
      </c>
      <c r="J60" s="83" vm="3904">
        <v>0</v>
      </c>
      <c r="K60" s="5">
        <f xml:space="preserve"> SUM( VfM_Metrics_2023_Consol[[#This Row],[Tangible fixed assets: Housing properties at cost (Current period)]],VfM_Metrics_2023_Consol[[#This Row],[Tangible fixed assets Housing properties at valuation (Current period)]] )</f>
        <v>384385</v>
      </c>
      <c r="L60" s="84" vm="4640">
        <v>384385</v>
      </c>
      <c r="M60" s="83">
        <v>0</v>
      </c>
      <c r="N60" s="7">
        <f xml:space="preserve"> IFERROR( VfM_Metrics_2023_Consol[[#This Row],[Total social units developed or newly built units acquired in-year]] / VfM_Metrics_2023_Consol[[#This Row],[Social housing units owned (period end)]], "n/a" )</f>
        <v>1.500808127453244E-2</v>
      </c>
      <c r="O60" s="5">
        <f xml:space="preserve"> SUM( VfM_Metrics_2023_Consol[[#This Row],[Total social units developed or newly built units acquired in-year (owned)]], VfM_Metrics_2023_Consol[[#This Row],[Total social leasehold units developed or newly built units acquired in-year (owned)]] )</f>
        <v>65</v>
      </c>
      <c r="P60" s="84" vm="3906">
        <v>65</v>
      </c>
      <c r="Q60" s="83">
        <v>0</v>
      </c>
      <c r="R60" s="5">
        <f xml:space="preserve"> SUM( VfM_Metrics_2023_Consol[[#This Row],[Total social housing units owned (Period end)]], VfM_Metrics_2023_Consol[[#This Row],[Total social leasehold units owned (Period end)]] )</f>
        <v>4331</v>
      </c>
      <c r="S60" s="84" vm="3899">
        <v>4331</v>
      </c>
      <c r="T60" s="83" vm="3907">
        <v>0</v>
      </c>
      <c r="U60" s="86">
        <f xml:space="preserve"> IFERROR( VfM_Metrics_2023_Consol[[#This Row],[Total non-social housing units developed or newly built units acquired (owned)]] / VfM_Metrics_2023_Consol[[#This Row],[Total social and non-social housing units owned (Period end)]], "n/a" )</f>
        <v>0</v>
      </c>
      <c r="V6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60" s="83">
        <v>0</v>
      </c>
      <c r="X60" s="83">
        <v>0</v>
      </c>
      <c r="Y60" s="83">
        <v>0</v>
      </c>
      <c r="Z6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4685</v>
      </c>
      <c r="AA60" s="84" vm="7403">
        <v>4331</v>
      </c>
      <c r="AB60" s="83" vm="3907">
        <v>0</v>
      </c>
      <c r="AC60" s="83" vm="3908">
        <v>225</v>
      </c>
      <c r="AD60" s="83" vm="3909">
        <v>129</v>
      </c>
      <c r="AE60" s="7">
        <f xml:space="preserve"> IFERROR( VfM_Metrics_2023_Consol[[#This Row],[Total Net Debt]] / VfM_Metrics_2023_Consol[[#This Row],[Net Book Value of Housing Properties2]], "n/a" )</f>
        <v>0.56296421556512355</v>
      </c>
      <c r="AF6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216395</v>
      </c>
      <c r="AG60" s="84" vm="3910">
        <v>9311</v>
      </c>
      <c r="AH60" s="83" vm="3911">
        <v>218670</v>
      </c>
      <c r="AI60" s="83" vm="4262">
        <v>11586</v>
      </c>
      <c r="AJ60" s="83" vm="1675">
        <v>0</v>
      </c>
      <c r="AK60" s="83">
        <v>0</v>
      </c>
      <c r="AL60" s="5">
        <f xml:space="preserve"> SUM( VfM_Metrics_2023_Consol[[#This Row],[Tangible fixed assets: Housing properties at cost (Current period)2]], VfM_Metrics_2023_Consol[[#This Row],[Tangible fixed assets Housing properties at valuation (Current period)2]] )</f>
        <v>384385</v>
      </c>
      <c r="AM60" s="84" vm="3905">
        <v>384385</v>
      </c>
      <c r="AN60" s="83">
        <v>0</v>
      </c>
      <c r="AO60" s="87">
        <f xml:space="preserve"> IFERROR( VfM_Metrics_2023_Consol[[#This Row],[EBITDA MRI]] / VfM_Metrics_2023_Consol[[#This Row],[Total interest]], "n/a" )</f>
        <v>1.1283107710417892</v>
      </c>
      <c r="AP6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9585</v>
      </c>
      <c r="AQ60" s="84" vm="7553">
        <v>8849</v>
      </c>
      <c r="AR60" s="84" vm="7400">
        <v>1083</v>
      </c>
      <c r="AS60" s="84">
        <v>0</v>
      </c>
      <c r="AT60" s="84" vm="3915">
        <v>2032</v>
      </c>
      <c r="AU60" s="84" vm="3916">
        <v>0</v>
      </c>
      <c r="AV60" s="84" vm="3917">
        <v>74</v>
      </c>
      <c r="AW60" s="84" vm="3918">
        <v>2693</v>
      </c>
      <c r="AX60" s="84" vm="3919">
        <v>6470</v>
      </c>
      <c r="AY60" s="3">
        <f xml:space="preserve"> - SUM( VfM_Metrics_2023_Consol[[#This Row],[Interest capitalised]], VfM_Metrics_2023_Consol[[#This Row],[Interest payable and financing costs]] )</f>
        <v>8495</v>
      </c>
      <c r="AZ60" s="84">
        <v>0</v>
      </c>
      <c r="BA60" s="83" vm="3920">
        <v>-8495</v>
      </c>
      <c r="BB60" s="8">
        <f xml:space="preserve"> IFERROR( ( VfM_Metrics_2023_Consol[[#This Row],[Total Costs]] / VfM_Metrics_2023_Consol[[#This Row],[Total units for costs]] ) * 1000, "n/a" )</f>
        <v>5793.7788018433175</v>
      </c>
      <c r="BC6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25145</v>
      </c>
      <c r="BD60" s="84" vm="7438">
        <v>4952</v>
      </c>
      <c r="BE60" s="83" vm="3921">
        <v>4249</v>
      </c>
      <c r="BF60" s="83" vm="3922">
        <v>5780</v>
      </c>
      <c r="BG60" s="83" vm="3923">
        <v>1428</v>
      </c>
      <c r="BH60" s="83" vm="3924">
        <v>1084</v>
      </c>
      <c r="BI60" s="83" vm="3925">
        <v>127</v>
      </c>
      <c r="BJ60" s="83" vm="3918">
        <v>2693</v>
      </c>
      <c r="BK60" s="83" vm="3926">
        <v>-6</v>
      </c>
      <c r="BL60" s="83" vm="3927">
        <v>730</v>
      </c>
      <c r="BM60" s="83" vm="4802">
        <v>439</v>
      </c>
      <c r="BN60" s="83" vm="6989">
        <v>85</v>
      </c>
      <c r="BO60" s="83" vm="3928">
        <v>3584</v>
      </c>
      <c r="BP60" s="5" vm="7442">
        <f xml:space="preserve"> VfM_Metrics_2023_Consol[[#This Row],[Total social housing units owned and/or managed at period end]]</f>
        <v>4340</v>
      </c>
      <c r="BQ60" s="84" vm="7442">
        <v>4340</v>
      </c>
      <c r="BR60" s="7">
        <f xml:space="preserve"> IFERROR( VfM_Metrics_2023_Consol[[#This Row],[SHL operating surplus / (deficit)]] / VfM_Metrics_2023_Consol[[#This Row],[Turnover from social housing lettings]], "n/a" )</f>
        <v>0.22539702992623137</v>
      </c>
      <c r="BS60" s="5" vm="3929">
        <f xml:space="preserve"> VfM_Metrics_2023_Consol[[#This Row],[Operating surplus/(deficit) (social housing lettings)]]</f>
        <v>6997</v>
      </c>
      <c r="BT60" s="84" vm="3929">
        <v>6997</v>
      </c>
      <c r="BU60" s="5" vm="3930">
        <f xml:space="preserve"> VfM_Metrics_2023_Consol[[#This Row],[Turnover from social housing lettings]]</f>
        <v>31043</v>
      </c>
      <c r="BV60" s="84" vm="3930">
        <v>31043</v>
      </c>
      <c r="BW60" s="7">
        <f xml:space="preserve"> IFERROR( VfM_Metrics_2023_Consol[[#This Row],[Net operating surplus]] / VfM_Metrics_2023_Consol[[#This Row],[Overall turnover]], "n/a" )</f>
        <v>0.1940772210421092</v>
      </c>
      <c r="BX60" s="5">
        <f xml:space="preserve"> SUM( VfM_Metrics_2023_Consol[[#This Row],[Operating surplus/(deficit) (overall)2]], - VfM_Metrics_2023_Consol[[#This Row],[Gain/(loss) on disposal of fixed assets (housing properties)2]], - VfM_Metrics_2023_Consol[[#This Row],[Gain/(loss) on disposal of fixed assets (other)2]] )</f>
        <v>7766</v>
      </c>
      <c r="BY60" s="84" vm="3913">
        <v>8849</v>
      </c>
      <c r="BZ60" s="83" vm="3914">
        <v>1083</v>
      </c>
      <c r="CA60" s="83">
        <v>0</v>
      </c>
      <c r="CB60" s="5" vm="3931">
        <f xml:space="preserve"> VfM_Metrics_2023_Consol[[#This Row],[Turnover (overall)]]</f>
        <v>40015</v>
      </c>
      <c r="CC60" s="84" vm="3931">
        <v>40015</v>
      </c>
      <c r="CD60" s="7">
        <f xml:space="preserve"> IFERROR( VfM_Metrics_2023_Consol[[#This Row],[Operating surplus including from JVs]] / VfM_Metrics_2023_Consol[[#This Row],[Net assets]], "n/a" )</f>
        <v>2.0149464441853688E-2</v>
      </c>
      <c r="CE60" s="5">
        <f xml:space="preserve"> SUM( VfM_Metrics_2023_Consol[[#This Row],[Operating surplus/(deficit) (overall)3]], VfM_Metrics_2023_Consol[[#This Row],[Share of operating surplus/(deficit) in joint ventures or associates]] )</f>
        <v>8849</v>
      </c>
      <c r="CF60" s="84" vm="7693">
        <v>8849</v>
      </c>
      <c r="CG60" s="83">
        <v>0</v>
      </c>
      <c r="CH60" s="5" vm="3932">
        <f xml:space="preserve"> VfM_Metrics_2023_Consol[[#This Row],[Total assets less current liabilities]]</f>
        <v>439168</v>
      </c>
      <c r="CI60" s="84" vm="3932">
        <v>439168</v>
      </c>
      <c r="CJ60" s="71" vm="3899">
        <f xml:space="preserve"> VfM_Metrics_2023_Consol[[#This Row],[Total social housing units owned (Period end)]]</f>
        <v>4331</v>
      </c>
      <c r="CK60" s="103">
        <v>2.333641404805915E-2</v>
      </c>
      <c r="CL60" s="6">
        <f xml:space="preserve"> -- ( VfM_Metrics_2023_Consol[[#This Row],[% Supported housing (excl. HOP)]] &gt; 0.3 )</f>
        <v>0</v>
      </c>
      <c r="CM60" s="103">
        <v>1.8022181146025877E-2</v>
      </c>
      <c r="CN60" s="6">
        <f xml:space="preserve"> -- ( VfM_Metrics_2023_Consol[[#This Row],[% Housing for older people]] &gt; 0.3 )</f>
        <v>0</v>
      </c>
      <c r="CO60" s="103">
        <f xml:space="preserve"> VfM_Metrics_2023_Consol[[#This Row],[% Supported housing (excl. HOP)]] + VfM_Metrics_2023_Consol[[#This Row],[% Housing for older people]]</f>
        <v>4.1358595194085024E-2</v>
      </c>
      <c r="CP60" s="6">
        <f xml:space="preserve"> -- ( VfM_Metrics_2023_Consol[[#This Row],[SH specialist in RSH analysis]] + VfM_Metrics_2023_Consol[[#This Row],[OP specialist in RSH analysis]] &gt; 0 )</f>
        <v>0</v>
      </c>
      <c r="CQ60" s="10">
        <f xml:space="preserve"> -- ( VfM_Metrics_2023_Consol[[#This Row],[% SH and OP]] &gt; 0.3 )</f>
        <v>0</v>
      </c>
      <c r="CR60" s="104" t="s">
        <v>143</v>
      </c>
      <c r="CS60" s="124" t="s">
        <v>144</v>
      </c>
      <c r="CT60" s="105"/>
      <c r="CU6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60" s="85">
        <v>0.18227964928472543</v>
      </c>
      <c r="CW60" s="85">
        <v>0</v>
      </c>
      <c r="CX60" s="85">
        <v>0</v>
      </c>
      <c r="CY60" s="85">
        <v>0</v>
      </c>
      <c r="CZ60" s="85">
        <v>0</v>
      </c>
      <c r="DA60" s="85">
        <v>0.8177203507152746</v>
      </c>
      <c r="DB60" s="85">
        <v>0</v>
      </c>
      <c r="DC60" s="85">
        <v>0</v>
      </c>
      <c r="DD60" s="85">
        <v>0</v>
      </c>
      <c r="DE60" s="13">
        <v>1.038529782128603</v>
      </c>
    </row>
    <row r="61" spans="1:109" x14ac:dyDescent="0.25">
      <c r="A61" s="4" t="s" vm="355">
        <v>246</v>
      </c>
      <c r="B61" s="2" t="s" vm="51">
        <v>247</v>
      </c>
      <c r="C61" s="72" vm="417">
        <v>45016</v>
      </c>
      <c r="D61" s="7">
        <f>IFERROR( VfM_Metrics_2023_Consol[[#This Row],[Reinvestment Spend]] / VfM_Metrics_2023_Consol[[#This Row],[Net Book Value of Housing Properties]], "n/a" )</f>
        <v>0.11554648982554903</v>
      </c>
      <c r="E6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51888</v>
      </c>
      <c r="F61" s="83" vm="5272">
        <v>41162</v>
      </c>
      <c r="G61" s="83" vm="5273">
        <v>0</v>
      </c>
      <c r="H61" s="83" vm="5274">
        <v>8976</v>
      </c>
      <c r="I61" s="83" vm="5275">
        <v>1750</v>
      </c>
      <c r="J61" s="83" vm="5276">
        <v>0</v>
      </c>
      <c r="K61" s="5">
        <f xml:space="preserve"> SUM( VfM_Metrics_2023_Consol[[#This Row],[Tangible fixed assets: Housing properties at cost (Current period)]],VfM_Metrics_2023_Consol[[#This Row],[Tangible fixed assets Housing properties at valuation (Current period)]] )</f>
        <v>449066</v>
      </c>
      <c r="L61" s="84" vm="5277">
        <v>449066</v>
      </c>
      <c r="M61" s="83">
        <v>0</v>
      </c>
      <c r="N61" s="7">
        <f xml:space="preserve"> IFERROR( VfM_Metrics_2023_Consol[[#This Row],[Total social units developed or newly built units acquired in-year]] / VfM_Metrics_2023_Consol[[#This Row],[Social housing units owned (period end)]], "n/a" )</f>
        <v>2.3003269500233535E-2</v>
      </c>
      <c r="O61" s="5">
        <f xml:space="preserve"> SUM( VfM_Metrics_2023_Consol[[#This Row],[Total social units developed or newly built units acquired in-year (owned)]], VfM_Metrics_2023_Consol[[#This Row],[Total social leasehold units developed or newly built units acquired in-year (owned)]] )</f>
        <v>197</v>
      </c>
      <c r="P61" s="84" vm="5278">
        <v>197</v>
      </c>
      <c r="Q61" s="83">
        <v>0</v>
      </c>
      <c r="R61" s="5">
        <f xml:space="preserve"> SUM( VfM_Metrics_2023_Consol[[#This Row],[Total social housing units owned (Period end)]], VfM_Metrics_2023_Consol[[#This Row],[Total social leasehold units owned (Period end)]] )</f>
        <v>8564</v>
      </c>
      <c r="S61" s="84" vm="5270">
        <v>8564</v>
      </c>
      <c r="T61" s="83" vm="5279">
        <v>0</v>
      </c>
      <c r="U61" s="86">
        <f xml:space="preserve"> IFERROR( VfM_Metrics_2023_Consol[[#This Row],[Total non-social housing units developed or newly built units acquired (owned)]] / VfM_Metrics_2023_Consol[[#This Row],[Total social and non-social housing units owned (Period end)]], "n/a" )</f>
        <v>0</v>
      </c>
      <c r="V6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61" s="83">
        <v>0</v>
      </c>
      <c r="X61" s="83">
        <v>0</v>
      </c>
      <c r="Y61" s="83">
        <v>0</v>
      </c>
      <c r="Z6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9251</v>
      </c>
      <c r="AA61" s="84" vm="5363">
        <v>8564</v>
      </c>
      <c r="AB61" s="83" vm="6672">
        <v>0</v>
      </c>
      <c r="AC61" s="83" vm="5445">
        <v>0</v>
      </c>
      <c r="AD61" s="83" vm="5280">
        <v>687</v>
      </c>
      <c r="AE61" s="7">
        <f xml:space="preserve"> IFERROR( VfM_Metrics_2023_Consol[[#This Row],[Total Net Debt]] / VfM_Metrics_2023_Consol[[#This Row],[Net Book Value of Housing Properties2]], "n/a" )</f>
        <v>0.43744349382941483</v>
      </c>
      <c r="AF6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196441</v>
      </c>
      <c r="AG61" s="84">
        <v>0</v>
      </c>
      <c r="AH61" s="83" vm="5281">
        <v>203271</v>
      </c>
      <c r="AI61" s="83" vm="5282">
        <v>6830</v>
      </c>
      <c r="AJ61" s="83" vm="1675">
        <v>0</v>
      </c>
      <c r="AK61" s="83">
        <v>0</v>
      </c>
      <c r="AL61" s="5">
        <f xml:space="preserve"> SUM( VfM_Metrics_2023_Consol[[#This Row],[Tangible fixed assets: Housing properties at cost (Current period)2]], VfM_Metrics_2023_Consol[[#This Row],[Tangible fixed assets Housing properties at valuation (Current period)2]] )</f>
        <v>449066</v>
      </c>
      <c r="AM61" s="84" vm="5277">
        <v>449066</v>
      </c>
      <c r="AN61" s="83">
        <v>0</v>
      </c>
      <c r="AO61" s="87">
        <f xml:space="preserve"> IFERROR( VfM_Metrics_2023_Consol[[#This Row],[EBITDA MRI]] / VfM_Metrics_2023_Consol[[#This Row],[Total interest]], "n/a" )</f>
        <v>1.1288957291265871</v>
      </c>
      <c r="AP6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8802</v>
      </c>
      <c r="AQ61" s="84" vm="5283">
        <v>12788</v>
      </c>
      <c r="AR61" s="84" vm="5284">
        <v>1998</v>
      </c>
      <c r="AS61" s="84">
        <v>0</v>
      </c>
      <c r="AT61" s="84" vm="5285">
        <v>150</v>
      </c>
      <c r="AU61" s="84" vm="5286">
        <v>1070</v>
      </c>
      <c r="AV61" s="84" vm="5287">
        <v>133</v>
      </c>
      <c r="AW61" s="84" vm="5288">
        <v>8976</v>
      </c>
      <c r="AX61" s="84" vm="5289">
        <v>8075</v>
      </c>
      <c r="AY61" s="3">
        <f xml:space="preserve"> - SUM( VfM_Metrics_2023_Consol[[#This Row],[Interest capitalised]], VfM_Metrics_2023_Consol[[#This Row],[Interest payable and financing costs]] )</f>
        <v>7797</v>
      </c>
      <c r="AZ61" s="84" vm="5290">
        <v>-1750</v>
      </c>
      <c r="BA61" s="83" vm="5291">
        <v>-6047</v>
      </c>
      <c r="BB61" s="8">
        <f xml:space="preserve"> IFERROR( ( VfM_Metrics_2023_Consol[[#This Row],[Total Costs]] / VfM_Metrics_2023_Consol[[#This Row],[Total units for costs]] ) * 1000, "n/a" )</f>
        <v>5461.0631848915828</v>
      </c>
      <c r="BC6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46845</v>
      </c>
      <c r="BD61" s="84" vm="7342">
        <v>12129</v>
      </c>
      <c r="BE61" s="83" vm="7038">
        <v>2023</v>
      </c>
      <c r="BF61" s="83" vm="5292">
        <v>15791</v>
      </c>
      <c r="BG61" s="83" vm="6921">
        <v>2398</v>
      </c>
      <c r="BH61" s="83" vm="5293">
        <v>4928</v>
      </c>
      <c r="BI61" s="83" vm="5294">
        <v>0</v>
      </c>
      <c r="BJ61" s="83" vm="5288">
        <v>8976</v>
      </c>
      <c r="BK61" s="83" vm="5295">
        <v>0</v>
      </c>
      <c r="BL61" s="83">
        <v>0</v>
      </c>
      <c r="BM61" s="83" vm="5296">
        <v>231</v>
      </c>
      <c r="BN61" s="83" vm="5297">
        <v>369</v>
      </c>
      <c r="BO61" s="83">
        <v>0</v>
      </c>
      <c r="BP61" s="5" vm="5271">
        <f xml:space="preserve"> VfM_Metrics_2023_Consol[[#This Row],[Total social housing units owned and/or managed at period end]]</f>
        <v>8578</v>
      </c>
      <c r="BQ61" s="84" vm="5271">
        <v>8578</v>
      </c>
      <c r="BR61" s="7">
        <f xml:space="preserve"> IFERROR( VfM_Metrics_2023_Consol[[#This Row],[SHL operating surplus / (deficit)]] / VfM_Metrics_2023_Consol[[#This Row],[Turnover from social housing lettings]], "n/a" )</f>
        <v>0.12608900400282552</v>
      </c>
      <c r="BS61" s="5" vm="5298">
        <f xml:space="preserve"> VfM_Metrics_2023_Consol[[#This Row],[Operating surplus/(deficit) (social housing lettings)]]</f>
        <v>6426</v>
      </c>
      <c r="BT61" s="84" vm="5298">
        <v>6426</v>
      </c>
      <c r="BU61" s="5" vm="5299">
        <f xml:space="preserve"> VfM_Metrics_2023_Consol[[#This Row],[Turnover from social housing lettings]]</f>
        <v>50964</v>
      </c>
      <c r="BV61" s="84" vm="5299">
        <v>50964</v>
      </c>
      <c r="BW61" s="7">
        <f xml:space="preserve"> IFERROR( VfM_Metrics_2023_Consol[[#This Row],[Net operating surplus]] / VfM_Metrics_2023_Consol[[#This Row],[Overall turnover]], "n/a" )</f>
        <v>0.1752249179901913</v>
      </c>
      <c r="BX61" s="5">
        <f xml:space="preserve"> SUM( VfM_Metrics_2023_Consol[[#This Row],[Operating surplus/(deficit) (overall)2]], - VfM_Metrics_2023_Consol[[#This Row],[Gain/(loss) on disposal of fixed assets (housing properties)2]], - VfM_Metrics_2023_Consol[[#This Row],[Gain/(loss) on disposal of fixed assets (other)2]] )</f>
        <v>10790</v>
      </c>
      <c r="BY61" s="84" vm="5283">
        <v>12788</v>
      </c>
      <c r="BZ61" s="83" vm="5284">
        <v>1998</v>
      </c>
      <c r="CA61" s="83">
        <v>0</v>
      </c>
      <c r="CB61" s="5" vm="7306">
        <f xml:space="preserve"> VfM_Metrics_2023_Consol[[#This Row],[Turnover (overall)]]</f>
        <v>61578</v>
      </c>
      <c r="CC61" s="84" vm="7306">
        <v>61578</v>
      </c>
      <c r="CD61" s="7">
        <f xml:space="preserve"> IFERROR( VfM_Metrics_2023_Consol[[#This Row],[Operating surplus including from JVs]] / VfM_Metrics_2023_Consol[[#This Row],[Net assets]], "n/a" )</f>
        <v>2.782310527438003E-2</v>
      </c>
      <c r="CE61" s="5">
        <f xml:space="preserve"> SUM( VfM_Metrics_2023_Consol[[#This Row],[Operating surplus/(deficit) (overall)3]], VfM_Metrics_2023_Consol[[#This Row],[Share of operating surplus/(deficit) in joint ventures or associates]] )</f>
        <v>12788</v>
      </c>
      <c r="CF61" s="84" vm="5283">
        <v>12788</v>
      </c>
      <c r="CG61" s="83">
        <v>0</v>
      </c>
      <c r="CH61" s="5" vm="6926">
        <f xml:space="preserve"> VfM_Metrics_2023_Consol[[#This Row],[Total assets less current liabilities]]</f>
        <v>459618</v>
      </c>
      <c r="CI61" s="84" vm="6926">
        <v>459618</v>
      </c>
      <c r="CJ61" s="71" vm="5270">
        <f xml:space="preserve"> VfM_Metrics_2023_Consol[[#This Row],[Total social housing units owned (Period end)]]</f>
        <v>8564</v>
      </c>
      <c r="CK61" s="103">
        <v>1.2945745557255502E-3</v>
      </c>
      <c r="CL61" s="6">
        <f xml:space="preserve"> -- ( VfM_Metrics_2023_Consol[[#This Row],[% Supported housing (excl. HOP)]] &gt; 0.3 )</f>
        <v>0</v>
      </c>
      <c r="CM61" s="103">
        <v>7.4379192656231607E-2</v>
      </c>
      <c r="CN61" s="6">
        <f xml:space="preserve"> -- ( VfM_Metrics_2023_Consol[[#This Row],[% Housing for older people]] &gt; 0.3 )</f>
        <v>0</v>
      </c>
      <c r="CO61" s="103">
        <f xml:space="preserve"> VfM_Metrics_2023_Consol[[#This Row],[% Supported housing (excl. HOP)]] + VfM_Metrics_2023_Consol[[#This Row],[% Housing for older people]]</f>
        <v>7.5673767211957163E-2</v>
      </c>
      <c r="CP61" s="6">
        <f xml:space="preserve"> -- ( VfM_Metrics_2023_Consol[[#This Row],[SH specialist in RSH analysis]] + VfM_Metrics_2023_Consol[[#This Row],[OP specialist in RSH analysis]] &gt; 0 )</f>
        <v>0</v>
      </c>
      <c r="CQ61" s="10">
        <f xml:space="preserve"> -- ( VfM_Metrics_2023_Consol[[#This Row],[% SH and OP]] &gt; 0.3 )</f>
        <v>0</v>
      </c>
      <c r="CR61" s="104" t="s">
        <v>143</v>
      </c>
      <c r="CS61" s="124"/>
      <c r="CT61" s="105" t="s">
        <v>151</v>
      </c>
      <c r="CU6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61" s="85">
        <v>0</v>
      </c>
      <c r="CW61" s="85">
        <v>0.99311069593647827</v>
      </c>
      <c r="CX61" s="85">
        <v>0</v>
      </c>
      <c r="CY61" s="85">
        <v>6.3054647361046236E-3</v>
      </c>
      <c r="CZ61" s="85">
        <v>0</v>
      </c>
      <c r="DA61" s="85">
        <v>5.838393274170948E-4</v>
      </c>
      <c r="DB61" s="85">
        <v>0</v>
      </c>
      <c r="DC61" s="85">
        <v>0</v>
      </c>
      <c r="DD61" s="85">
        <v>0</v>
      </c>
      <c r="DE61" s="13">
        <v>1.0331233312550281</v>
      </c>
    </row>
    <row r="62" spans="1:109" x14ac:dyDescent="0.25">
      <c r="A62" s="4" t="s" vm="289">
        <v>248</v>
      </c>
      <c r="B62" s="2" t="s" vm="52">
        <v>249</v>
      </c>
      <c r="C62" s="72" vm="509">
        <v>45016</v>
      </c>
      <c r="D62" s="7">
        <f>IFERROR( VfM_Metrics_2023_Consol[[#This Row],[Reinvestment Spend]] / VfM_Metrics_2023_Consol[[#This Row],[Net Book Value of Housing Properties]], "n/a" )</f>
        <v>0.16910459863315186</v>
      </c>
      <c r="E6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36497</v>
      </c>
      <c r="F62" s="83" vm="2964">
        <v>23777</v>
      </c>
      <c r="G62" s="83" vm="2965">
        <v>0</v>
      </c>
      <c r="H62" s="83" vm="2966">
        <v>12016</v>
      </c>
      <c r="I62" s="83" vm="2967">
        <v>704</v>
      </c>
      <c r="J62" s="83" vm="3394">
        <v>0</v>
      </c>
      <c r="K62" s="5">
        <f xml:space="preserve"> SUM( VfM_Metrics_2023_Consol[[#This Row],[Tangible fixed assets: Housing properties at cost (Current period)]],VfM_Metrics_2023_Consol[[#This Row],[Tangible fixed assets Housing properties at valuation (Current period)]] )</f>
        <v>215825</v>
      </c>
      <c r="L62" s="84" vm="7827">
        <v>215825</v>
      </c>
      <c r="M62" s="83" vm="2969">
        <v>0</v>
      </c>
      <c r="N62" s="7">
        <f xml:space="preserve"> IFERROR( VfM_Metrics_2023_Consol[[#This Row],[Total social units developed or newly built units acquired in-year]] / VfM_Metrics_2023_Consol[[#This Row],[Social housing units owned (period end)]], "n/a" )</f>
        <v>1.14780004990435E-2</v>
      </c>
      <c r="O62" s="5">
        <f xml:space="preserve"> SUM( VfM_Metrics_2023_Consol[[#This Row],[Total social units developed or newly built units acquired in-year (owned)]], VfM_Metrics_2023_Consol[[#This Row],[Total social leasehold units developed or newly built units acquired in-year (owned)]] )</f>
        <v>138</v>
      </c>
      <c r="P62" s="84" vm="2970">
        <v>138</v>
      </c>
      <c r="Q62" s="83" vm="2971">
        <v>0</v>
      </c>
      <c r="R62" s="5">
        <f xml:space="preserve"> SUM( VfM_Metrics_2023_Consol[[#This Row],[Total social housing units owned (Period end)]], VfM_Metrics_2023_Consol[[#This Row],[Total social leasehold units owned (Period end)]] )</f>
        <v>12023</v>
      </c>
      <c r="S62" s="84" vm="7851">
        <v>11426</v>
      </c>
      <c r="T62" s="83" vm="2972">
        <v>597</v>
      </c>
      <c r="U62" s="86">
        <f xml:space="preserve"> IFERROR( VfM_Metrics_2023_Consol[[#This Row],[Total non-social housing units developed or newly built units acquired (owned)]] / VfM_Metrics_2023_Consol[[#This Row],[Total social and non-social housing units owned (Period end)]], "n/a" )</f>
        <v>0</v>
      </c>
      <c r="V6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62" s="83" vm="2973">
        <v>0</v>
      </c>
      <c r="X62" s="83" vm="2974">
        <v>0</v>
      </c>
      <c r="Y62" s="83" vm="7474">
        <v>0</v>
      </c>
      <c r="Z6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12023</v>
      </c>
      <c r="AA62" s="84" vm="2535">
        <v>11426</v>
      </c>
      <c r="AB62" s="83" vm="2972">
        <v>597</v>
      </c>
      <c r="AC62" s="83" vm="3461">
        <v>0</v>
      </c>
      <c r="AD62" s="83" vm="2975">
        <v>0</v>
      </c>
      <c r="AE62" s="7">
        <f xml:space="preserve"> IFERROR( VfM_Metrics_2023_Consol[[#This Row],[Total Net Debt]] / VfM_Metrics_2023_Consol[[#This Row],[Net Book Value of Housing Properties2]], "n/a" )</f>
        <v>0.13625390941735202</v>
      </c>
      <c r="AF6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29407</v>
      </c>
      <c r="AG62" s="84" vm="2976">
        <v>0</v>
      </c>
      <c r="AH62" s="83" vm="2977">
        <v>31974</v>
      </c>
      <c r="AI62" s="83" vm="2978">
        <v>2567</v>
      </c>
      <c r="AJ62" s="83" vm="2979">
        <v>0</v>
      </c>
      <c r="AK62" s="83" vm="2980">
        <v>0</v>
      </c>
      <c r="AL62" s="5">
        <f xml:space="preserve"> SUM( VfM_Metrics_2023_Consol[[#This Row],[Tangible fixed assets: Housing properties at cost (Current period)2]], VfM_Metrics_2023_Consol[[#This Row],[Tangible fixed assets Housing properties at valuation (Current period)2]] )</f>
        <v>215825</v>
      </c>
      <c r="AM62" s="84" vm="2968">
        <v>215825</v>
      </c>
      <c r="AN62" s="83" vm="2969">
        <v>0</v>
      </c>
      <c r="AO62" s="87">
        <f xml:space="preserve"> IFERROR( VfM_Metrics_2023_Consol[[#This Row],[EBITDA MRI]] / VfM_Metrics_2023_Consol[[#This Row],[Total interest]], "n/a" )</f>
        <v>1.0392087601554221</v>
      </c>
      <c r="AP6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2942</v>
      </c>
      <c r="AQ62" s="84" vm="2981">
        <v>10160</v>
      </c>
      <c r="AR62" s="84" vm="2982">
        <v>2555</v>
      </c>
      <c r="AS62" s="84" vm="2983">
        <v>0</v>
      </c>
      <c r="AT62" s="84" vm="2984">
        <v>230</v>
      </c>
      <c r="AU62" s="84" vm="2985">
        <v>0</v>
      </c>
      <c r="AV62" s="84" vm="2986">
        <v>84</v>
      </c>
      <c r="AW62" s="84" vm="2987">
        <v>12016</v>
      </c>
      <c r="AX62" s="84" vm="2988">
        <v>7499</v>
      </c>
      <c r="AY62" s="3">
        <f xml:space="preserve"> - SUM( VfM_Metrics_2023_Consol[[#This Row],[Interest capitalised]], VfM_Metrics_2023_Consol[[#This Row],[Interest payable and financing costs]] )</f>
        <v>2831</v>
      </c>
      <c r="AZ62" s="84" vm="2989">
        <v>-750</v>
      </c>
      <c r="BA62" s="83" vm="2990">
        <v>-2081</v>
      </c>
      <c r="BB62" s="8">
        <f xml:space="preserve"> IFERROR( ( VfM_Metrics_2023_Consol[[#This Row],[Total Costs]] / VfM_Metrics_2023_Consol[[#This Row],[Total units for costs]] ) * 1000, "n/a" )</f>
        <v>4241.8169088044806</v>
      </c>
      <c r="BC6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48467</v>
      </c>
      <c r="BD62" s="84" vm="2991">
        <v>13720</v>
      </c>
      <c r="BE62" s="83" vm="2992">
        <v>3627</v>
      </c>
      <c r="BF62" s="83" vm="2993">
        <v>9005</v>
      </c>
      <c r="BG62" s="83" vm="2994">
        <v>3748</v>
      </c>
      <c r="BH62" s="83" vm="2995">
        <v>5746</v>
      </c>
      <c r="BI62" s="83" vm="2996">
        <v>0</v>
      </c>
      <c r="BJ62" s="83" vm="2987">
        <v>12016</v>
      </c>
      <c r="BK62" s="83" vm="2997">
        <v>0</v>
      </c>
      <c r="BL62" s="83" vm="2998">
        <v>172</v>
      </c>
      <c r="BM62" s="83" vm="2999">
        <v>0</v>
      </c>
      <c r="BN62" s="83" vm="3000">
        <v>433</v>
      </c>
      <c r="BO62" s="83" vm="7470">
        <v>0</v>
      </c>
      <c r="BP62" s="5" vm="2963">
        <f xml:space="preserve"> VfM_Metrics_2023_Consol[[#This Row],[Total social housing units owned and/or managed at period end]]</f>
        <v>11426</v>
      </c>
      <c r="BQ62" s="84" vm="2963">
        <v>11426</v>
      </c>
      <c r="BR62" s="7">
        <f xml:space="preserve"> IFERROR( VfM_Metrics_2023_Consol[[#This Row],[SHL operating surplus / (deficit)]] / VfM_Metrics_2023_Consol[[#This Row],[Turnover from social housing lettings]], "n/a" )</f>
        <v>0.13733262340018537</v>
      </c>
      <c r="BS62" s="5" vm="3001">
        <f xml:space="preserve"> VfM_Metrics_2023_Consol[[#This Row],[Operating surplus/(deficit) (social housing lettings)]]</f>
        <v>6964</v>
      </c>
      <c r="BT62" s="84" vm="3001">
        <v>6964</v>
      </c>
      <c r="BU62" s="5" vm="3002">
        <f xml:space="preserve"> VfM_Metrics_2023_Consol[[#This Row],[Turnover from social housing lettings]]</f>
        <v>50709</v>
      </c>
      <c r="BV62" s="84" vm="3002">
        <v>50709</v>
      </c>
      <c r="BW62" s="7">
        <f xml:space="preserve"> IFERROR( VfM_Metrics_2023_Consol[[#This Row],[Net operating surplus]] / VfM_Metrics_2023_Consol[[#This Row],[Overall turnover]], "n/a" )</f>
        <v>0.14005009023608705</v>
      </c>
      <c r="BX62" s="5">
        <f xml:space="preserve"> SUM( VfM_Metrics_2023_Consol[[#This Row],[Operating surplus/(deficit) (overall)2]], - VfM_Metrics_2023_Consol[[#This Row],[Gain/(loss) on disposal of fixed assets (housing properties)2]], - VfM_Metrics_2023_Consol[[#This Row],[Gain/(loss) on disposal of fixed assets (other)2]] )</f>
        <v>7605</v>
      </c>
      <c r="BY62" s="84" vm="2981">
        <v>10160</v>
      </c>
      <c r="BZ62" s="83" vm="2982">
        <v>2555</v>
      </c>
      <c r="CA62" s="83" vm="2983">
        <v>0</v>
      </c>
      <c r="CB62" s="5" vm="7687">
        <f xml:space="preserve"> VfM_Metrics_2023_Consol[[#This Row],[Turnover (overall)]]</f>
        <v>54302</v>
      </c>
      <c r="CC62" s="84" vm="7687">
        <v>54302</v>
      </c>
      <c r="CD62" s="7">
        <f xml:space="preserve"> IFERROR( VfM_Metrics_2023_Consol[[#This Row],[Operating surplus including from JVs]] / VfM_Metrics_2023_Consol[[#This Row],[Net assets]], "n/a" )</f>
        <v>4.0441191104530129E-2</v>
      </c>
      <c r="CE62" s="5">
        <f xml:space="preserve"> SUM( VfM_Metrics_2023_Consol[[#This Row],[Operating surplus/(deficit) (overall)3]], VfM_Metrics_2023_Consol[[#This Row],[Share of operating surplus/(deficit) in joint ventures or associates]] )</f>
        <v>10160</v>
      </c>
      <c r="CF62" s="84" vm="2805">
        <v>10160</v>
      </c>
      <c r="CG62" s="83" vm="3003">
        <v>0</v>
      </c>
      <c r="CH62" s="5" vm="6416">
        <f xml:space="preserve"> VfM_Metrics_2023_Consol[[#This Row],[Total assets less current liabilities]]</f>
        <v>251229</v>
      </c>
      <c r="CI62" s="84" vm="6416">
        <v>251229</v>
      </c>
      <c r="CJ62" s="71" vm="7851">
        <f xml:space="preserve"> VfM_Metrics_2023_Consol[[#This Row],[Total social housing units owned (Period end)]]</f>
        <v>11426</v>
      </c>
      <c r="CK62" s="103">
        <v>0</v>
      </c>
      <c r="CL62" s="6">
        <f xml:space="preserve"> -- ( VfM_Metrics_2023_Consol[[#This Row],[% Supported housing (excl. HOP)]] &gt; 0.3 )</f>
        <v>0</v>
      </c>
      <c r="CM62" s="103">
        <v>0</v>
      </c>
      <c r="CN62" s="6">
        <f xml:space="preserve"> -- ( VfM_Metrics_2023_Consol[[#This Row],[% Housing for older people]] &gt; 0.3 )</f>
        <v>0</v>
      </c>
      <c r="CO62" s="103">
        <f xml:space="preserve"> VfM_Metrics_2023_Consol[[#This Row],[% Supported housing (excl. HOP)]] + VfM_Metrics_2023_Consol[[#This Row],[% Housing for older people]]</f>
        <v>0</v>
      </c>
      <c r="CP62" s="6">
        <f xml:space="preserve"> -- ( VfM_Metrics_2023_Consol[[#This Row],[SH specialist in RSH analysis]] + VfM_Metrics_2023_Consol[[#This Row],[OP specialist in RSH analysis]] &gt; 0 )</f>
        <v>0</v>
      </c>
      <c r="CQ62" s="10">
        <f xml:space="preserve"> -- ( VfM_Metrics_2023_Consol[[#This Row],[% SH and OP]] &gt; 0.3 )</f>
        <v>0</v>
      </c>
      <c r="CR62" s="104" t="s">
        <v>143</v>
      </c>
      <c r="CS62" s="124"/>
      <c r="CT62" s="105" t="s">
        <v>151</v>
      </c>
      <c r="CU6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62" s="85">
        <v>0</v>
      </c>
      <c r="CW62" s="85">
        <v>0</v>
      </c>
      <c r="CX62" s="85">
        <v>0</v>
      </c>
      <c r="CY62" s="85">
        <v>0</v>
      </c>
      <c r="CZ62" s="85">
        <v>0</v>
      </c>
      <c r="DA62" s="85">
        <v>0</v>
      </c>
      <c r="DB62" s="85">
        <v>0</v>
      </c>
      <c r="DC62" s="85">
        <v>1</v>
      </c>
      <c r="DD62" s="85">
        <v>0</v>
      </c>
      <c r="DE62" s="13">
        <v>0.96105917141044694</v>
      </c>
    </row>
    <row r="63" spans="1:109" x14ac:dyDescent="0.25">
      <c r="A63" s="4" t="s" vm="224">
        <v>250</v>
      </c>
      <c r="B63" s="2" t="s" vm="53">
        <v>251</v>
      </c>
      <c r="C63" s="72" vm="570">
        <v>45016</v>
      </c>
      <c r="D63" s="7">
        <f>IFERROR( VfM_Metrics_2023_Consol[[#This Row],[Reinvestment Spend]] / VfM_Metrics_2023_Consol[[#This Row],[Net Book Value of Housing Properties]], "n/a" )</f>
        <v>3.6396893874029335E-2</v>
      </c>
      <c r="E6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5273</v>
      </c>
      <c r="F63" s="83" vm="1111">
        <v>3333</v>
      </c>
      <c r="G63" s="83" vm="1112">
        <v>0</v>
      </c>
      <c r="H63" s="83" vm="8537">
        <v>1874</v>
      </c>
      <c r="I63" s="83" vm="8803">
        <v>66</v>
      </c>
      <c r="J63" s="83" vm="1113">
        <v>0</v>
      </c>
      <c r="K63" s="5">
        <f xml:space="preserve"> SUM( VfM_Metrics_2023_Consol[[#This Row],[Tangible fixed assets: Housing properties at cost (Current period)]],VfM_Metrics_2023_Consol[[#This Row],[Tangible fixed assets Housing properties at valuation (Current period)]] )</f>
        <v>144875</v>
      </c>
      <c r="L63" s="84" vm="1453">
        <v>144875</v>
      </c>
      <c r="M63" s="83">
        <v>0</v>
      </c>
      <c r="N63" s="7">
        <f xml:space="preserve"> IFERROR( VfM_Metrics_2023_Consol[[#This Row],[Total social units developed or newly built units acquired in-year]] / VfM_Metrics_2023_Consol[[#This Row],[Social housing units owned (period end)]], "n/a" )</f>
        <v>5.7042562527424307E-3</v>
      </c>
      <c r="O63" s="5">
        <f xml:space="preserve"> SUM( VfM_Metrics_2023_Consol[[#This Row],[Total social units developed or newly built units acquired in-year (owned)]], VfM_Metrics_2023_Consol[[#This Row],[Total social leasehold units developed or newly built units acquired in-year (owned)]] )</f>
        <v>13</v>
      </c>
      <c r="P63" s="84" vm="1116">
        <v>13</v>
      </c>
      <c r="Q63" s="83">
        <v>0</v>
      </c>
      <c r="R63" s="5">
        <f xml:space="preserve"> SUM( VfM_Metrics_2023_Consol[[#This Row],[Total social housing units owned (Period end)]], VfM_Metrics_2023_Consol[[#This Row],[Total social leasehold units owned (Period end)]] )</f>
        <v>2279</v>
      </c>
      <c r="S63" s="84" vm="1301">
        <v>2276</v>
      </c>
      <c r="T63" s="83" vm="1117">
        <v>3</v>
      </c>
      <c r="U63" s="86">
        <f xml:space="preserve"> IFERROR( VfM_Metrics_2023_Consol[[#This Row],[Total non-social housing units developed or newly built units acquired (owned)]] / VfM_Metrics_2023_Consol[[#This Row],[Total social and non-social housing units owned (Period end)]], "n/a" )</f>
        <v>0</v>
      </c>
      <c r="V6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63" s="83">
        <v>0</v>
      </c>
      <c r="X63" s="83">
        <v>0</v>
      </c>
      <c r="Y63" s="83" vm="1118">
        <v>0</v>
      </c>
      <c r="Z6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2284</v>
      </c>
      <c r="AA63" s="84" vm="8646">
        <v>2276</v>
      </c>
      <c r="AB63" s="83" vm="8533">
        <v>3</v>
      </c>
      <c r="AC63" s="83" vm="8804">
        <v>5</v>
      </c>
      <c r="AD63" s="83" vm="8807">
        <v>0</v>
      </c>
      <c r="AE63" s="7">
        <f xml:space="preserve"> IFERROR( VfM_Metrics_2023_Consol[[#This Row],[Total Net Debt]] / VfM_Metrics_2023_Consol[[#This Row],[Net Book Value of Housing Properties2]], "n/a" )</f>
        <v>0.38511820534943919</v>
      </c>
      <c r="AF6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55794</v>
      </c>
      <c r="AG63" s="84" vm="1119">
        <v>160</v>
      </c>
      <c r="AH63" s="83" vm="1120">
        <v>47347</v>
      </c>
      <c r="AI63" s="83" vm="903">
        <v>2491</v>
      </c>
      <c r="AJ63" s="83" vm="1675">
        <v>0</v>
      </c>
      <c r="AK63" s="83" vm="1121">
        <v>10778</v>
      </c>
      <c r="AL63" s="5">
        <f xml:space="preserve"> SUM( VfM_Metrics_2023_Consol[[#This Row],[Tangible fixed assets: Housing properties at cost (Current period)2]], VfM_Metrics_2023_Consol[[#This Row],[Tangible fixed assets Housing properties at valuation (Current period)2]] )</f>
        <v>144875</v>
      </c>
      <c r="AM63" s="84" vm="1086">
        <v>144875</v>
      </c>
      <c r="AN63" s="83">
        <v>0</v>
      </c>
      <c r="AO63" s="87">
        <f xml:space="preserve"> IFERROR( VfM_Metrics_2023_Consol[[#This Row],[EBITDA MRI]] / VfM_Metrics_2023_Consol[[#This Row],[Total interest]], "n/a" )</f>
        <v>1.7692967409948541</v>
      </c>
      <c r="AP6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4126</v>
      </c>
      <c r="AQ63" s="84" vm="1122">
        <v>3835</v>
      </c>
      <c r="AR63" s="84" vm="8535">
        <v>-60</v>
      </c>
      <c r="AS63" s="84">
        <v>0</v>
      </c>
      <c r="AT63" s="84" vm="1123">
        <v>405</v>
      </c>
      <c r="AU63" s="84" vm="8783">
        <v>0</v>
      </c>
      <c r="AV63" s="84" vm="944">
        <v>37</v>
      </c>
      <c r="AW63" s="84" vm="1124">
        <v>1874</v>
      </c>
      <c r="AX63" s="84" vm="1125">
        <v>2473</v>
      </c>
      <c r="AY63" s="3">
        <f xml:space="preserve"> - SUM( VfM_Metrics_2023_Consol[[#This Row],[Interest capitalised]], VfM_Metrics_2023_Consol[[#This Row],[Interest payable and financing costs]] )</f>
        <v>2332</v>
      </c>
      <c r="AZ63" s="84" vm="8644">
        <v>-66</v>
      </c>
      <c r="BA63" s="83" vm="1127">
        <v>-2266</v>
      </c>
      <c r="BB63" s="8">
        <f xml:space="preserve"> IFERROR( ( VfM_Metrics_2023_Consol[[#This Row],[Total Costs]] / VfM_Metrics_2023_Consol[[#This Row],[Total units for costs]] ) * 1000, "n/a" )</f>
        <v>4317.3496076721885</v>
      </c>
      <c r="BC6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9904</v>
      </c>
      <c r="BD63" s="84" vm="1128">
        <v>3551</v>
      </c>
      <c r="BE63" s="83" vm="8772">
        <v>1176</v>
      </c>
      <c r="BF63" s="83" vm="8703">
        <v>1741</v>
      </c>
      <c r="BG63" s="83" vm="1129">
        <v>753</v>
      </c>
      <c r="BH63" s="83" vm="8802">
        <v>725</v>
      </c>
      <c r="BI63" s="83" vm="1130">
        <v>0</v>
      </c>
      <c r="BJ63" s="83" vm="1124">
        <v>1874</v>
      </c>
      <c r="BK63" s="83" vm="8768">
        <v>84</v>
      </c>
      <c r="BL63" s="83">
        <v>0</v>
      </c>
      <c r="BM63" s="83">
        <v>0</v>
      </c>
      <c r="BN63" s="83">
        <v>0</v>
      </c>
      <c r="BO63" s="83">
        <v>0</v>
      </c>
      <c r="BP63" s="5" vm="1110">
        <f xml:space="preserve"> VfM_Metrics_2023_Consol[[#This Row],[Total social housing units owned and/or managed at period end]]</f>
        <v>2294</v>
      </c>
      <c r="BQ63" s="84" vm="1110">
        <v>2294</v>
      </c>
      <c r="BR63" s="7">
        <f xml:space="preserve"> IFERROR( VfM_Metrics_2023_Consol[[#This Row],[SHL operating surplus / (deficit)]] / VfM_Metrics_2023_Consol[[#This Row],[Turnover from social housing lettings]], "n/a" )</f>
        <v>0.21776486196222125</v>
      </c>
      <c r="BS63" s="5" vm="1126">
        <f xml:space="preserve"> VfM_Metrics_2023_Consol[[#This Row],[Operating surplus/(deficit) (social housing lettings)]]</f>
        <v>3447</v>
      </c>
      <c r="BT63" s="84" vm="1126">
        <v>3447</v>
      </c>
      <c r="BU63" s="5" vm="8632">
        <f xml:space="preserve"> VfM_Metrics_2023_Consol[[#This Row],[Turnover from social housing lettings]]</f>
        <v>15829</v>
      </c>
      <c r="BV63" s="84" vm="8632">
        <v>15829</v>
      </c>
      <c r="BW63" s="7">
        <f xml:space="preserve"> IFERROR( VfM_Metrics_2023_Consol[[#This Row],[Net operating surplus]] / VfM_Metrics_2023_Consol[[#This Row],[Overall turnover]], "n/a" )</f>
        <v>0.23342922210236125</v>
      </c>
      <c r="BX63" s="5">
        <f xml:space="preserve"> SUM( VfM_Metrics_2023_Consol[[#This Row],[Operating surplus/(deficit) (overall)2]], - VfM_Metrics_2023_Consol[[#This Row],[Gain/(loss) on disposal of fixed assets (housing properties)2]], - VfM_Metrics_2023_Consol[[#This Row],[Gain/(loss) on disposal of fixed assets (other)2]] )</f>
        <v>3895</v>
      </c>
      <c r="BY63" s="84" vm="1122">
        <v>3835</v>
      </c>
      <c r="BZ63" s="83" vm="8756">
        <v>-60</v>
      </c>
      <c r="CA63" s="83">
        <v>0</v>
      </c>
      <c r="CB63" s="5" vm="7914">
        <f xml:space="preserve"> VfM_Metrics_2023_Consol[[#This Row],[Turnover (overall)]]</f>
        <v>16686</v>
      </c>
      <c r="CC63" s="84" vm="7914">
        <v>16686</v>
      </c>
      <c r="CD63" s="7">
        <f xml:space="preserve"> IFERROR( VfM_Metrics_2023_Consol[[#This Row],[Operating surplus including from JVs]] / VfM_Metrics_2023_Consol[[#This Row],[Net assets]], "n/a" )</f>
        <v>2.5673124556494262E-2</v>
      </c>
      <c r="CE63" s="5">
        <f xml:space="preserve"> SUM( VfM_Metrics_2023_Consol[[#This Row],[Operating surplus/(deficit) (overall)3]], VfM_Metrics_2023_Consol[[#This Row],[Share of operating surplus/(deficit) in joint ventures or associates]] )</f>
        <v>3835</v>
      </c>
      <c r="CF63" s="84" vm="8545">
        <v>3835</v>
      </c>
      <c r="CG63" s="83">
        <v>0</v>
      </c>
      <c r="CH63" s="5" vm="1580">
        <f xml:space="preserve"> VfM_Metrics_2023_Consol[[#This Row],[Total assets less current liabilities]]</f>
        <v>149378</v>
      </c>
      <c r="CI63" s="84" vm="1580">
        <v>149378</v>
      </c>
      <c r="CJ63" s="71" vm="1301">
        <f xml:space="preserve"> VfM_Metrics_2023_Consol[[#This Row],[Total social housing units owned (Period end)]]</f>
        <v>2276</v>
      </c>
      <c r="CK63" s="103">
        <v>2.0255394099515631E-2</v>
      </c>
      <c r="CL63" s="6">
        <f xml:space="preserve"> -- ( VfM_Metrics_2023_Consol[[#This Row],[% Supported housing (excl. HOP)]] &gt; 0.3 )</f>
        <v>0</v>
      </c>
      <c r="CM63" s="103">
        <v>0.20387494495816821</v>
      </c>
      <c r="CN63" s="6">
        <f xml:space="preserve"> -- ( VfM_Metrics_2023_Consol[[#This Row],[% Housing for older people]] &gt; 0.3 )</f>
        <v>0</v>
      </c>
      <c r="CO63" s="103">
        <f xml:space="preserve"> VfM_Metrics_2023_Consol[[#This Row],[% Supported housing (excl. HOP)]] + VfM_Metrics_2023_Consol[[#This Row],[% Housing for older people]]</f>
        <v>0.22413033905768384</v>
      </c>
      <c r="CP63" s="6">
        <f xml:space="preserve"> -- ( VfM_Metrics_2023_Consol[[#This Row],[SH specialist in RSH analysis]] + VfM_Metrics_2023_Consol[[#This Row],[OP specialist in RSH analysis]] &gt; 0 )</f>
        <v>0</v>
      </c>
      <c r="CQ63" s="10">
        <f xml:space="preserve"> -- ( VfM_Metrics_2023_Consol[[#This Row],[% SH and OP]] &gt; 0.3 )</f>
        <v>0</v>
      </c>
      <c r="CR63" s="104" t="s">
        <v>143</v>
      </c>
      <c r="CS63" s="124" t="s">
        <v>144</v>
      </c>
      <c r="CT63" s="105"/>
      <c r="CU6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63" s="85">
        <v>0</v>
      </c>
      <c r="CW63" s="85">
        <v>0</v>
      </c>
      <c r="CX63" s="85">
        <v>0</v>
      </c>
      <c r="CY63" s="85">
        <v>0</v>
      </c>
      <c r="CZ63" s="85">
        <v>0</v>
      </c>
      <c r="DA63" s="85">
        <v>1</v>
      </c>
      <c r="DB63" s="85">
        <v>0</v>
      </c>
      <c r="DC63" s="85">
        <v>0</v>
      </c>
      <c r="DD63" s="85">
        <v>0</v>
      </c>
      <c r="DE63" s="13">
        <v>1.0113701298544711</v>
      </c>
    </row>
    <row r="64" spans="1:109" x14ac:dyDescent="0.25">
      <c r="A64" s="4" t="s" vm="255">
        <v>252</v>
      </c>
      <c r="B64" s="2" t="s" vm="54">
        <v>253</v>
      </c>
      <c r="C64" s="72" vm="414">
        <v>45016</v>
      </c>
      <c r="D64" s="7">
        <f>IFERROR( VfM_Metrics_2023_Consol[[#This Row],[Reinvestment Spend]] / VfM_Metrics_2023_Consol[[#This Row],[Net Book Value of Housing Properties]], "n/a" )</f>
        <v>8.6372255379854865E-2</v>
      </c>
      <c r="E6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169767</v>
      </c>
      <c r="F64" s="83" vm="1891">
        <v>120895</v>
      </c>
      <c r="G64" s="83" vm="1892">
        <v>0</v>
      </c>
      <c r="H64" s="83" vm="8039">
        <v>47361</v>
      </c>
      <c r="I64" s="83" vm="1893">
        <v>1511</v>
      </c>
      <c r="J64" s="83" vm="8154">
        <v>0</v>
      </c>
      <c r="K64" s="5">
        <f xml:space="preserve"> SUM( VfM_Metrics_2023_Consol[[#This Row],[Tangible fixed assets: Housing properties at cost (Current period)]],VfM_Metrics_2023_Consol[[#This Row],[Tangible fixed assets Housing properties at valuation (Current period)]] )</f>
        <v>1965527</v>
      </c>
      <c r="L64" s="84" vm="8192">
        <v>1965527</v>
      </c>
      <c r="M64" s="83">
        <v>0</v>
      </c>
      <c r="N64" s="7">
        <f xml:space="preserve"> IFERROR( VfM_Metrics_2023_Consol[[#This Row],[Total social units developed or newly built units acquired in-year]] / VfM_Metrics_2023_Consol[[#This Row],[Social housing units owned (period end)]], "n/a" )</f>
        <v>1.9581155071611966E-2</v>
      </c>
      <c r="O64" s="5">
        <f xml:space="preserve"> SUM( VfM_Metrics_2023_Consol[[#This Row],[Total social units developed or newly built units acquired in-year (owned)]], VfM_Metrics_2023_Consol[[#This Row],[Total social leasehold units developed or newly built units acquired in-year (owned)]] )</f>
        <v>633</v>
      </c>
      <c r="P64" s="84" vm="1895">
        <v>633</v>
      </c>
      <c r="Q64" s="83">
        <v>0</v>
      </c>
      <c r="R64" s="5">
        <f xml:space="preserve"> SUM( VfM_Metrics_2023_Consol[[#This Row],[Total social housing units owned (Period end)]], VfM_Metrics_2023_Consol[[#This Row],[Total social leasehold units owned (Period end)]] )</f>
        <v>32327</v>
      </c>
      <c r="S64" s="84" vm="1889">
        <v>31550</v>
      </c>
      <c r="T64" s="83" vm="8190">
        <v>777</v>
      </c>
      <c r="U64" s="86">
        <f xml:space="preserve"> IFERROR( VfM_Metrics_2023_Consol[[#This Row],[Total non-social housing units developed or newly built units acquired (owned)]] / VfM_Metrics_2023_Consol[[#This Row],[Total social and non-social housing units owned (Period end)]], "n/a" )</f>
        <v>3.4260984552503455E-3</v>
      </c>
      <c r="V6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114</v>
      </c>
      <c r="W64" s="83">
        <v>0</v>
      </c>
      <c r="X64" s="83">
        <v>0</v>
      </c>
      <c r="Y64" s="83" vm="8036">
        <v>114</v>
      </c>
      <c r="Z6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33274</v>
      </c>
      <c r="AA64" s="84" vm="8089">
        <v>31550</v>
      </c>
      <c r="AB64" s="83" vm="1896">
        <v>777</v>
      </c>
      <c r="AC64" s="83" vm="7994">
        <v>947</v>
      </c>
      <c r="AD64" s="83" vm="1897">
        <v>0</v>
      </c>
      <c r="AE64" s="7">
        <f xml:space="preserve"> IFERROR( VfM_Metrics_2023_Consol[[#This Row],[Total Net Debt]] / VfM_Metrics_2023_Consol[[#This Row],[Net Book Value of Housing Properties2]], "n/a" )</f>
        <v>0.44532535040220766</v>
      </c>
      <c r="AF6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875299</v>
      </c>
      <c r="AG64" s="84" vm="1898">
        <v>14138</v>
      </c>
      <c r="AH64" s="83" vm="1899">
        <v>900669</v>
      </c>
      <c r="AI64" s="83" vm="1900">
        <v>60228</v>
      </c>
      <c r="AJ64" s="83" vm="1675">
        <v>0</v>
      </c>
      <c r="AK64" s="83" vm="1901">
        <v>20720</v>
      </c>
      <c r="AL64" s="5">
        <f xml:space="preserve"> SUM( VfM_Metrics_2023_Consol[[#This Row],[Tangible fixed assets: Housing properties at cost (Current period)2]], VfM_Metrics_2023_Consol[[#This Row],[Tangible fixed assets Housing properties at valuation (Current period)2]] )</f>
        <v>1965527</v>
      </c>
      <c r="AM64" s="84" vm="1587">
        <v>1965527</v>
      </c>
      <c r="AN64" s="83">
        <v>0</v>
      </c>
      <c r="AO64" s="87">
        <f xml:space="preserve"> IFERROR( VfM_Metrics_2023_Consol[[#This Row],[EBITDA MRI]] / VfM_Metrics_2023_Consol[[#This Row],[Total interest]], "n/a" )</f>
        <v>1.305652559928973</v>
      </c>
      <c r="AP6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44118</v>
      </c>
      <c r="AQ64" s="84" vm="1902">
        <v>78538</v>
      </c>
      <c r="AR64" s="84" vm="1903">
        <v>17750</v>
      </c>
      <c r="AS64" s="84" vm="1904">
        <v>23</v>
      </c>
      <c r="AT64" s="84" vm="8016">
        <v>2392</v>
      </c>
      <c r="AU64" s="84" vm="1905">
        <v>0</v>
      </c>
      <c r="AV64" s="84" vm="1906">
        <v>1717</v>
      </c>
      <c r="AW64" s="84" vm="1907">
        <v>47361</v>
      </c>
      <c r="AX64" s="84" vm="1908">
        <v>31389</v>
      </c>
      <c r="AY64" s="3">
        <f xml:space="preserve"> - SUM( VfM_Metrics_2023_Consol[[#This Row],[Interest capitalised]], VfM_Metrics_2023_Consol[[#This Row],[Interest payable and financing costs]] )</f>
        <v>33790</v>
      </c>
      <c r="AZ64" s="84" vm="7992">
        <v>-1511</v>
      </c>
      <c r="BA64" s="83" vm="8189">
        <v>-32279</v>
      </c>
      <c r="BB64" s="8">
        <f xml:space="preserve"> IFERROR( ( VfM_Metrics_2023_Consol[[#This Row],[Total Costs]] / VfM_Metrics_2023_Consol[[#This Row],[Total units for costs]] ) * 1000, "n/a" )</f>
        <v>4380.3738906023791</v>
      </c>
      <c r="BC6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139182</v>
      </c>
      <c r="BD64" s="84" vm="7980">
        <v>31735</v>
      </c>
      <c r="BE64" s="83" vm="3058">
        <v>9952</v>
      </c>
      <c r="BF64" s="83" vm="1909">
        <v>38308</v>
      </c>
      <c r="BG64" s="83" vm="7990">
        <v>6662</v>
      </c>
      <c r="BH64" s="83" vm="1910">
        <v>0</v>
      </c>
      <c r="BI64" s="83" vm="8072">
        <v>0</v>
      </c>
      <c r="BJ64" s="83" vm="817">
        <v>47361</v>
      </c>
      <c r="BK64" s="83" vm="7663">
        <v>5164</v>
      </c>
      <c r="BL64" s="83">
        <v>0</v>
      </c>
      <c r="BM64" s="83">
        <v>0</v>
      </c>
      <c r="BN64" s="83">
        <v>0</v>
      </c>
      <c r="BO64" s="83">
        <v>0</v>
      </c>
      <c r="BP64" s="5" vm="1890">
        <f xml:space="preserve"> VfM_Metrics_2023_Consol[[#This Row],[Total social housing units owned and/or managed at period end]]</f>
        <v>31774</v>
      </c>
      <c r="BQ64" s="84" vm="1890">
        <v>31774</v>
      </c>
      <c r="BR64" s="7">
        <f xml:space="preserve"> IFERROR( VfM_Metrics_2023_Consol[[#This Row],[SHL operating surplus / (deficit)]] / VfM_Metrics_2023_Consol[[#This Row],[Turnover from social housing lettings]], "n/a" )</f>
        <v>0.28380265231643226</v>
      </c>
      <c r="BS64" s="5" vm="8247">
        <f xml:space="preserve"> VfM_Metrics_2023_Consol[[#This Row],[Operating surplus/(deficit) (social housing lettings)]]</f>
        <v>47359</v>
      </c>
      <c r="BT64" s="84" vm="8247">
        <v>47359</v>
      </c>
      <c r="BU64" s="5" vm="1912">
        <f xml:space="preserve"> VfM_Metrics_2023_Consol[[#This Row],[Turnover from social housing lettings]]</f>
        <v>166873</v>
      </c>
      <c r="BV64" s="84" vm="1912">
        <v>166873</v>
      </c>
      <c r="BW64" s="7">
        <f xml:space="preserve"> IFERROR( VfM_Metrics_2023_Consol[[#This Row],[Net operating surplus]] / VfM_Metrics_2023_Consol[[#This Row],[Overall turnover]], "n/a" )</f>
        <v>0.24284338370173805</v>
      </c>
      <c r="BX64" s="5">
        <f xml:space="preserve"> SUM( VfM_Metrics_2023_Consol[[#This Row],[Operating surplus/(deficit) (overall)2]], - VfM_Metrics_2023_Consol[[#This Row],[Gain/(loss) on disposal of fixed assets (housing properties)2]], - VfM_Metrics_2023_Consol[[#This Row],[Gain/(loss) on disposal of fixed assets (other)2]] )</f>
        <v>60765</v>
      </c>
      <c r="BY64" s="84" vm="1902">
        <v>78538</v>
      </c>
      <c r="BZ64" s="83" vm="7950">
        <v>17750</v>
      </c>
      <c r="CA64" s="83" vm="1904">
        <v>23</v>
      </c>
      <c r="CB64" s="5" vm="1913">
        <f xml:space="preserve"> VfM_Metrics_2023_Consol[[#This Row],[Turnover (overall)]]</f>
        <v>250223</v>
      </c>
      <c r="CC64" s="84" vm="1913">
        <v>250223</v>
      </c>
      <c r="CD64" s="7">
        <f xml:space="preserve"> IFERROR( VfM_Metrics_2023_Consol[[#This Row],[Operating surplus including from JVs]] / VfM_Metrics_2023_Consol[[#This Row],[Net assets]], "n/a" )</f>
        <v>3.7180599218135081E-2</v>
      </c>
      <c r="CE64" s="5">
        <f xml:space="preserve"> SUM( VfM_Metrics_2023_Consol[[#This Row],[Operating surplus/(deficit) (overall)3]], VfM_Metrics_2023_Consol[[#This Row],[Share of operating surplus/(deficit) in joint ventures or associates]] )</f>
        <v>79643</v>
      </c>
      <c r="CF64" s="84" vm="7105">
        <v>78538</v>
      </c>
      <c r="CG64" s="83" vm="1915">
        <v>1105</v>
      </c>
      <c r="CH64" s="5" vm="1914">
        <f xml:space="preserve"> VfM_Metrics_2023_Consol[[#This Row],[Total assets less current liabilities]]</f>
        <v>2142058</v>
      </c>
      <c r="CI64" s="84" vm="1914">
        <v>2142058</v>
      </c>
      <c r="CJ64" s="71" vm="1889">
        <f xml:space="preserve"> VfM_Metrics_2023_Consol[[#This Row],[Total social housing units owned (Period end)]]</f>
        <v>31550</v>
      </c>
      <c r="CK64" s="103">
        <v>7.7697108648579795E-3</v>
      </c>
      <c r="CL64" s="6">
        <f xml:space="preserve"> -- ( VfM_Metrics_2023_Consol[[#This Row],[% Supported housing (excl. HOP)]] &gt; 0.3 )</f>
        <v>0</v>
      </c>
      <c r="CM64" s="103">
        <v>1.3437778626926506E-2</v>
      </c>
      <c r="CN64" s="6">
        <f xml:space="preserve"> -- ( VfM_Metrics_2023_Consol[[#This Row],[% Housing for older people]] &gt; 0.3 )</f>
        <v>0</v>
      </c>
      <c r="CO64" s="103">
        <f xml:space="preserve"> VfM_Metrics_2023_Consol[[#This Row],[% Supported housing (excl. HOP)]] + VfM_Metrics_2023_Consol[[#This Row],[% Housing for older people]]</f>
        <v>2.1207489491784484E-2</v>
      </c>
      <c r="CP64" s="6">
        <f xml:space="preserve"> -- ( VfM_Metrics_2023_Consol[[#This Row],[SH specialist in RSH analysis]] + VfM_Metrics_2023_Consol[[#This Row],[OP specialist in RSH analysis]] &gt; 0 )</f>
        <v>0</v>
      </c>
      <c r="CQ64" s="10">
        <f xml:space="preserve"> -- ( VfM_Metrics_2023_Consol[[#This Row],[% SH and OP]] &gt; 0.3 )</f>
        <v>0</v>
      </c>
      <c r="CR64" s="104" t="s">
        <v>143</v>
      </c>
      <c r="CS64" s="124"/>
      <c r="CT64" s="105" t="s">
        <v>151</v>
      </c>
      <c r="CU6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64" s="85">
        <v>0</v>
      </c>
      <c r="CW64" s="85">
        <v>0</v>
      </c>
      <c r="CX64" s="85">
        <v>0</v>
      </c>
      <c r="CY64" s="85">
        <v>0</v>
      </c>
      <c r="CZ64" s="85">
        <v>0</v>
      </c>
      <c r="DA64" s="85">
        <v>1</v>
      </c>
      <c r="DB64" s="85">
        <v>0</v>
      </c>
      <c r="DC64" s="85">
        <v>0</v>
      </c>
      <c r="DD64" s="85">
        <v>0</v>
      </c>
      <c r="DE64" s="13">
        <v>1.0113701298544711</v>
      </c>
    </row>
    <row r="65" spans="1:109" x14ac:dyDescent="0.25">
      <c r="A65" s="4" t="s" vm="296">
        <v>254</v>
      </c>
      <c r="B65" s="2" t="s" vm="55">
        <v>255</v>
      </c>
      <c r="C65" s="72" vm="503">
        <v>45016</v>
      </c>
      <c r="D65" s="7">
        <f>IFERROR( VfM_Metrics_2023_Consol[[#This Row],[Reinvestment Spend]] / VfM_Metrics_2023_Consol[[#This Row],[Net Book Value of Housing Properties]], "n/a" )</f>
        <v>6.7141445545031694E-2</v>
      </c>
      <c r="E6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27859</v>
      </c>
      <c r="F65" s="83" vm="3211">
        <v>15538</v>
      </c>
      <c r="G65" s="83" vm="3212">
        <v>0</v>
      </c>
      <c r="H65" s="83" vm="3213">
        <v>12321</v>
      </c>
      <c r="I65" s="83" vm="3214">
        <v>0</v>
      </c>
      <c r="J65" s="83" vm="3215">
        <v>0</v>
      </c>
      <c r="K65" s="5">
        <f xml:space="preserve"> SUM( VfM_Metrics_2023_Consol[[#This Row],[Tangible fixed assets: Housing properties at cost (Current period)]],VfM_Metrics_2023_Consol[[#This Row],[Tangible fixed assets Housing properties at valuation (Current period)]] )</f>
        <v>414930</v>
      </c>
      <c r="L65" s="84" vm="3216">
        <v>414930</v>
      </c>
      <c r="M65" s="83">
        <v>0</v>
      </c>
      <c r="N65" s="7">
        <f xml:space="preserve"> IFERROR( VfM_Metrics_2023_Consol[[#This Row],[Total social units developed or newly built units acquired in-year]] / VfM_Metrics_2023_Consol[[#This Row],[Social housing units owned (period end)]], "n/a" )</f>
        <v>8.9376053962900506E-3</v>
      </c>
      <c r="O65" s="5">
        <f xml:space="preserve"> SUM( VfM_Metrics_2023_Consol[[#This Row],[Total social units developed or newly built units acquired in-year (owned)]], VfM_Metrics_2023_Consol[[#This Row],[Total social leasehold units developed or newly built units acquired in-year (owned)]] )</f>
        <v>159</v>
      </c>
      <c r="P65" s="84" vm="3217">
        <v>159</v>
      </c>
      <c r="Q65" s="83">
        <v>0</v>
      </c>
      <c r="R65" s="5">
        <f xml:space="preserve"> SUM( VfM_Metrics_2023_Consol[[#This Row],[Total social housing units owned (Period end)]], VfM_Metrics_2023_Consol[[#This Row],[Total social leasehold units owned (Period end)]] )</f>
        <v>17790</v>
      </c>
      <c r="S65" s="84" vm="3209">
        <v>17790</v>
      </c>
      <c r="T65" s="83" vm="7559">
        <v>0</v>
      </c>
      <c r="U65" s="86">
        <f xml:space="preserve"> IFERROR( VfM_Metrics_2023_Consol[[#This Row],[Total non-social housing units developed or newly built units acquired (owned)]] / VfM_Metrics_2023_Consol[[#This Row],[Total social and non-social housing units owned (Period end)]], "n/a" )</f>
        <v>1.4838569409718448E-2</v>
      </c>
      <c r="V6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273</v>
      </c>
      <c r="W65" s="83" vm="1927">
        <v>273</v>
      </c>
      <c r="X65" s="83">
        <v>0</v>
      </c>
      <c r="Y65" s="83" vm="3219">
        <v>0</v>
      </c>
      <c r="Z6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18398</v>
      </c>
      <c r="AA65" s="84" vm="3209">
        <v>17790</v>
      </c>
      <c r="AB65" s="83" vm="3218">
        <v>0</v>
      </c>
      <c r="AC65" s="83" vm="3220">
        <v>608</v>
      </c>
      <c r="AD65" s="83" vm="7462">
        <v>0</v>
      </c>
      <c r="AE65" s="7">
        <f xml:space="preserve"> IFERROR( VfM_Metrics_2023_Consol[[#This Row],[Total Net Debt]] / VfM_Metrics_2023_Consol[[#This Row],[Net Book Value of Housing Properties2]], "n/a" )</f>
        <v>0.48408888246210202</v>
      </c>
      <c r="AF6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200863</v>
      </c>
      <c r="AG65" s="84" vm="3221">
        <v>15255</v>
      </c>
      <c r="AH65" s="83" vm="3222">
        <v>190964</v>
      </c>
      <c r="AI65" s="83" vm="7743">
        <v>5356</v>
      </c>
      <c r="AJ65" s="83" vm="1675">
        <v>0</v>
      </c>
      <c r="AK65" s="83">
        <v>0</v>
      </c>
      <c r="AL65" s="5">
        <f xml:space="preserve"> SUM( VfM_Metrics_2023_Consol[[#This Row],[Tangible fixed assets: Housing properties at cost (Current period)2]], VfM_Metrics_2023_Consol[[#This Row],[Tangible fixed assets Housing properties at valuation (Current period)2]] )</f>
        <v>414930</v>
      </c>
      <c r="AM65" s="84" vm="3216">
        <v>414930</v>
      </c>
      <c r="AN65" s="83">
        <v>0</v>
      </c>
      <c r="AO65" s="87">
        <f xml:space="preserve"> IFERROR( VfM_Metrics_2023_Consol[[#This Row],[EBITDA MRI]] / VfM_Metrics_2023_Consol[[#This Row],[Total interest]], "n/a" )</f>
        <v>1.4383534533940234</v>
      </c>
      <c r="AP6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14536</v>
      </c>
      <c r="AQ65" s="84" vm="3223">
        <v>22717</v>
      </c>
      <c r="AR65" s="84" vm="3224">
        <v>6496</v>
      </c>
      <c r="AS65" s="84">
        <v>0</v>
      </c>
      <c r="AT65" s="84" vm="3225">
        <v>4016</v>
      </c>
      <c r="AU65" s="84" vm="3226">
        <v>0</v>
      </c>
      <c r="AV65" s="84" vm="7721">
        <v>254</v>
      </c>
      <c r="AW65" s="84" vm="3227">
        <v>14252</v>
      </c>
      <c r="AX65" s="84" vm="3228">
        <v>16329</v>
      </c>
      <c r="AY65" s="3">
        <f xml:space="preserve"> - SUM( VfM_Metrics_2023_Consol[[#This Row],[Interest capitalised]], VfM_Metrics_2023_Consol[[#This Row],[Interest payable and financing costs]] )</f>
        <v>10106</v>
      </c>
      <c r="AZ65" s="84">
        <v>0</v>
      </c>
      <c r="BA65" s="83" vm="3229">
        <v>-10106</v>
      </c>
      <c r="BB65" s="8">
        <f xml:space="preserve"> IFERROR( ( VfM_Metrics_2023_Consol[[#This Row],[Total Costs]] / VfM_Metrics_2023_Consol[[#This Row],[Total units for costs]] ) * 1000, "n/a" )</f>
        <v>4025.4138894861321</v>
      </c>
      <c r="BC6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93611</v>
      </c>
      <c r="BD65" s="84" vm="3230">
        <v>24004</v>
      </c>
      <c r="BE65" s="83" vm="3231">
        <v>4301</v>
      </c>
      <c r="BF65" s="83" vm="3232">
        <v>18301</v>
      </c>
      <c r="BG65" s="83" vm="3233">
        <v>7053</v>
      </c>
      <c r="BH65" s="83" vm="3234">
        <v>1808</v>
      </c>
      <c r="BI65" s="83" vm="3191">
        <v>0</v>
      </c>
      <c r="BJ65" s="83" vm="7683">
        <v>14252</v>
      </c>
      <c r="BK65" s="83" vm="3236">
        <v>2917</v>
      </c>
      <c r="BL65" s="83" vm="3237">
        <v>0</v>
      </c>
      <c r="BM65" s="83">
        <v>0</v>
      </c>
      <c r="BN65" s="83" vm="3239">
        <v>20169</v>
      </c>
      <c r="BO65" s="83" vm="2565">
        <v>806</v>
      </c>
      <c r="BP65" s="5" vm="3210">
        <f xml:space="preserve"> VfM_Metrics_2023_Consol[[#This Row],[Total social housing units owned and/or managed at period end]]</f>
        <v>23255</v>
      </c>
      <c r="BQ65" s="84" vm="3210">
        <v>23255</v>
      </c>
      <c r="BR65" s="7">
        <f xml:space="preserve"> IFERROR( VfM_Metrics_2023_Consol[[#This Row],[SHL operating surplus / (deficit)]] / VfM_Metrics_2023_Consol[[#This Row],[Turnover from social housing lettings]], "n/a" )</f>
        <v>0.15348069276905452</v>
      </c>
      <c r="BS65" s="5" vm="7742">
        <f xml:space="preserve"> VfM_Metrics_2023_Consol[[#This Row],[Operating surplus/(deficit) (social housing lettings)]]</f>
        <v>13665</v>
      </c>
      <c r="BT65" s="84" vm="7742">
        <v>13665</v>
      </c>
      <c r="BU65" s="5" vm="3240">
        <f xml:space="preserve"> VfM_Metrics_2023_Consol[[#This Row],[Turnover from social housing lettings]]</f>
        <v>89034</v>
      </c>
      <c r="BV65" s="84" vm="3240">
        <v>89034</v>
      </c>
      <c r="BW65" s="7">
        <f xml:space="preserve"> IFERROR( VfM_Metrics_2023_Consol[[#This Row],[Net operating surplus]] / VfM_Metrics_2023_Consol[[#This Row],[Overall turnover]], "n/a" )</f>
        <v>0.12834592712742809</v>
      </c>
      <c r="BX65" s="5">
        <f xml:space="preserve"> SUM( VfM_Metrics_2023_Consol[[#This Row],[Operating surplus/(deficit) (overall)2]], - VfM_Metrics_2023_Consol[[#This Row],[Gain/(loss) on disposal of fixed assets (housing properties)2]], - VfM_Metrics_2023_Consol[[#This Row],[Gain/(loss) on disposal of fixed assets (other)2]] )</f>
        <v>16221</v>
      </c>
      <c r="BY65" s="84" vm="3223">
        <v>22717</v>
      </c>
      <c r="BZ65" s="83" vm="3224">
        <v>6496</v>
      </c>
      <c r="CA65" s="83">
        <v>0</v>
      </c>
      <c r="CB65" s="5" vm="3241">
        <f xml:space="preserve"> VfM_Metrics_2023_Consol[[#This Row],[Turnover (overall)]]</f>
        <v>126385</v>
      </c>
      <c r="CC65" s="84" vm="3241">
        <v>126385</v>
      </c>
      <c r="CD65" s="7">
        <f xml:space="preserve"> IFERROR( VfM_Metrics_2023_Consol[[#This Row],[Operating surplus including from JVs]] / VfM_Metrics_2023_Consol[[#This Row],[Net assets]], "n/a" )</f>
        <v>4.0153920119912048E-2</v>
      </c>
      <c r="CE65" s="5">
        <f xml:space="preserve"> SUM( VfM_Metrics_2023_Consol[[#This Row],[Operating surplus/(deficit) (overall)3]], VfM_Metrics_2023_Consol[[#This Row],[Share of operating surplus/(deficit) in joint ventures or associates]] )</f>
        <v>22717</v>
      </c>
      <c r="CF65" s="84" vm="3223">
        <v>22717</v>
      </c>
      <c r="CG65" s="83">
        <v>0</v>
      </c>
      <c r="CH65" s="5" vm="3242">
        <f xml:space="preserve"> VfM_Metrics_2023_Consol[[#This Row],[Total assets less current liabilities]]</f>
        <v>565748</v>
      </c>
      <c r="CI65" s="84" vm="3242">
        <v>565748</v>
      </c>
      <c r="CJ65" s="71" vm="3209">
        <f xml:space="preserve"> VfM_Metrics_2023_Consol[[#This Row],[Total social housing units owned (Period end)]]</f>
        <v>17790</v>
      </c>
      <c r="CK65" s="103">
        <v>7.8816058063052849E-2</v>
      </c>
      <c r="CL65" s="6">
        <f xml:space="preserve"> -- ( VfM_Metrics_2023_Consol[[#This Row],[% Supported housing (excl. HOP)]] &gt; 0.3 )</f>
        <v>0</v>
      </c>
      <c r="CM65" s="103">
        <v>0</v>
      </c>
      <c r="CN65" s="6">
        <f xml:space="preserve"> -- ( VfM_Metrics_2023_Consol[[#This Row],[% Housing for older people]] &gt; 0.3 )</f>
        <v>0</v>
      </c>
      <c r="CO65" s="103">
        <f xml:space="preserve"> VfM_Metrics_2023_Consol[[#This Row],[% Supported housing (excl. HOP)]] + VfM_Metrics_2023_Consol[[#This Row],[% Housing for older people]]</f>
        <v>7.8816058063052849E-2</v>
      </c>
      <c r="CP65" s="6">
        <f xml:space="preserve"> -- ( VfM_Metrics_2023_Consol[[#This Row],[SH specialist in RSH analysis]] + VfM_Metrics_2023_Consol[[#This Row],[OP specialist in RSH analysis]] &gt; 0 )</f>
        <v>0</v>
      </c>
      <c r="CQ65" s="10">
        <f xml:space="preserve"> -- ( VfM_Metrics_2023_Consol[[#This Row],[% SH and OP]] &gt; 0.3 )</f>
        <v>0</v>
      </c>
      <c r="CR65" s="104" t="s">
        <v>143</v>
      </c>
      <c r="CS65" s="124"/>
      <c r="CT65" s="105" t="s">
        <v>151</v>
      </c>
      <c r="CU6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65" s="85">
        <v>0</v>
      </c>
      <c r="CW65" s="85">
        <v>0</v>
      </c>
      <c r="CX65" s="85">
        <v>0</v>
      </c>
      <c r="CY65" s="85">
        <v>0</v>
      </c>
      <c r="CZ65" s="85">
        <v>0</v>
      </c>
      <c r="DA65" s="85">
        <v>0</v>
      </c>
      <c r="DB65" s="85">
        <v>0</v>
      </c>
      <c r="DC65" s="85">
        <v>1</v>
      </c>
      <c r="DD65" s="85">
        <v>0</v>
      </c>
      <c r="DE65" s="13">
        <v>0.96105917141044694</v>
      </c>
    </row>
    <row r="66" spans="1:109" x14ac:dyDescent="0.25">
      <c r="A66" s="4" t="s" vm="200">
        <v>256</v>
      </c>
      <c r="B66" s="2" t="s" vm="56">
        <v>257</v>
      </c>
      <c r="C66" s="72" vm="462">
        <v>45016</v>
      </c>
      <c r="D66" s="7">
        <f>IFERROR( VfM_Metrics_2023_Consol[[#This Row],[Reinvestment Spend]] / VfM_Metrics_2023_Consol[[#This Row],[Net Book Value of Housing Properties]], "n/a" )</f>
        <v>6.4498138853222309E-2</v>
      </c>
      <c r="E6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4973</v>
      </c>
      <c r="F66" s="83" vm="626">
        <v>4228</v>
      </c>
      <c r="G66" s="83" vm="9207">
        <v>0</v>
      </c>
      <c r="H66" s="83" vm="598">
        <v>694</v>
      </c>
      <c r="I66" s="83" vm="9093">
        <v>51</v>
      </c>
      <c r="J66" s="83" vm="627">
        <v>0</v>
      </c>
      <c r="K66" s="5">
        <f xml:space="preserve"> SUM( VfM_Metrics_2023_Consol[[#This Row],[Tangible fixed assets: Housing properties at cost (Current period)]],VfM_Metrics_2023_Consol[[#This Row],[Tangible fixed assets Housing properties at valuation (Current period)]] )</f>
        <v>77103</v>
      </c>
      <c r="L66" s="84" vm="628">
        <v>77103</v>
      </c>
      <c r="M66" s="83">
        <v>0</v>
      </c>
      <c r="N66" s="7">
        <f xml:space="preserve"> IFERROR( VfM_Metrics_2023_Consol[[#This Row],[Total social units developed or newly built units acquired in-year]] / VfM_Metrics_2023_Consol[[#This Row],[Social housing units owned (period end)]], "n/a" )</f>
        <v>4.4153720359771054E-2</v>
      </c>
      <c r="O66" s="5">
        <f xml:space="preserve"> SUM( VfM_Metrics_2023_Consol[[#This Row],[Total social units developed or newly built units acquired in-year (owned)]], VfM_Metrics_2023_Consol[[#This Row],[Total social leasehold units developed or newly built units acquired in-year (owned)]] )</f>
        <v>54</v>
      </c>
      <c r="P66" s="84" vm="9198">
        <v>54</v>
      </c>
      <c r="Q66" s="83">
        <v>0</v>
      </c>
      <c r="R66" s="5">
        <f xml:space="preserve"> SUM( VfM_Metrics_2023_Consol[[#This Row],[Total social housing units owned (Period end)]], VfM_Metrics_2023_Consol[[#This Row],[Total social leasehold units owned (Period end)]] )</f>
        <v>1223</v>
      </c>
      <c r="S66" s="84" vm="624">
        <v>1223</v>
      </c>
      <c r="T66" s="83" vm="629">
        <v>0</v>
      </c>
      <c r="U66" s="86">
        <f xml:space="preserve"> IFERROR( VfM_Metrics_2023_Consol[[#This Row],[Total non-social housing units developed or newly built units acquired (owned)]] / VfM_Metrics_2023_Consol[[#This Row],[Total social and non-social housing units owned (Period end)]], "n/a" )</f>
        <v>0</v>
      </c>
      <c r="V6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66" s="83">
        <v>0</v>
      </c>
      <c r="X66" s="83">
        <v>0</v>
      </c>
      <c r="Y66" s="83">
        <v>0</v>
      </c>
      <c r="Z6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1223</v>
      </c>
      <c r="AA66" s="84" vm="9190">
        <v>1223</v>
      </c>
      <c r="AB66" s="83" vm="9087">
        <v>0</v>
      </c>
      <c r="AC66" s="83" vm="9213">
        <v>0</v>
      </c>
      <c r="AD66" s="83" vm="630">
        <v>0</v>
      </c>
      <c r="AE66" s="7">
        <f xml:space="preserve"> IFERROR( VfM_Metrics_2023_Consol[[#This Row],[Total Net Debt]] / VfM_Metrics_2023_Consol[[#This Row],[Net Book Value of Housing Properties2]], "n/a" )</f>
        <v>6.1320571184000625E-2</v>
      </c>
      <c r="AF6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4728</v>
      </c>
      <c r="AG66" s="84" vm="9082">
        <v>519</v>
      </c>
      <c r="AH66" s="83" vm="596">
        <v>12861</v>
      </c>
      <c r="AI66" s="83" vm="631">
        <v>8652</v>
      </c>
      <c r="AJ66" s="83" vm="1675">
        <v>0</v>
      </c>
      <c r="AK66" s="83">
        <v>0</v>
      </c>
      <c r="AL66" s="5">
        <f xml:space="preserve"> SUM( VfM_Metrics_2023_Consol[[#This Row],[Tangible fixed assets: Housing properties at cost (Current period)2]], VfM_Metrics_2023_Consol[[#This Row],[Tangible fixed assets Housing properties at valuation (Current period)2]] )</f>
        <v>77103</v>
      </c>
      <c r="AM66" s="84" vm="9135">
        <v>77103</v>
      </c>
      <c r="AN66" s="83">
        <v>0</v>
      </c>
      <c r="AO66" s="87">
        <f xml:space="preserve"> IFERROR( VfM_Metrics_2023_Consol[[#This Row],[EBITDA MRI]] / VfM_Metrics_2023_Consol[[#This Row],[Total interest]], "n/a" )</f>
        <v>2.7260273972602738</v>
      </c>
      <c r="AP6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1393</v>
      </c>
      <c r="AQ66" s="84" vm="688">
        <v>972</v>
      </c>
      <c r="AR66" s="84">
        <v>0</v>
      </c>
      <c r="AS66" s="84">
        <v>0</v>
      </c>
      <c r="AT66" s="84" vm="9187">
        <v>602</v>
      </c>
      <c r="AU66" s="84" vm="9212">
        <v>0</v>
      </c>
      <c r="AV66" s="84" vm="633">
        <v>50</v>
      </c>
      <c r="AW66" s="84" vm="9197">
        <v>694</v>
      </c>
      <c r="AX66" s="84" vm="9144">
        <v>1667</v>
      </c>
      <c r="AY66" s="3">
        <f xml:space="preserve"> - SUM( VfM_Metrics_2023_Consol[[#This Row],[Interest capitalised]], VfM_Metrics_2023_Consol[[#This Row],[Interest payable and financing costs]] )</f>
        <v>511</v>
      </c>
      <c r="AZ66" s="84" vm="783">
        <v>-51</v>
      </c>
      <c r="BA66" s="83" vm="634">
        <v>-460</v>
      </c>
      <c r="BB66" s="8">
        <f xml:space="preserve"> IFERROR( ( VfM_Metrics_2023_Consol[[#This Row],[Total Costs]] / VfM_Metrics_2023_Consol[[#This Row],[Total units for costs]] ) * 1000, "n/a" )</f>
        <v>28646.294881589001</v>
      </c>
      <c r="BC6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37498</v>
      </c>
      <c r="BD66" s="84" vm="597">
        <v>7193</v>
      </c>
      <c r="BE66" s="83" vm="9071">
        <v>10760</v>
      </c>
      <c r="BF66" s="83" vm="604">
        <v>5291</v>
      </c>
      <c r="BG66" s="83" vm="9099">
        <v>0</v>
      </c>
      <c r="BH66" s="83" vm="9186">
        <v>0</v>
      </c>
      <c r="BI66" s="83" vm="9211">
        <v>0</v>
      </c>
      <c r="BJ66" s="83" vm="9123">
        <v>694</v>
      </c>
      <c r="BK66" s="83" vm="9059">
        <v>1663</v>
      </c>
      <c r="BL66" s="83">
        <v>0</v>
      </c>
      <c r="BM66" s="83">
        <v>0</v>
      </c>
      <c r="BN66" s="83">
        <v>0</v>
      </c>
      <c r="BO66" s="83" vm="9185">
        <v>11897</v>
      </c>
      <c r="BP66" s="5" vm="625">
        <f xml:space="preserve"> VfM_Metrics_2023_Consol[[#This Row],[Total social housing units owned and/or managed at period end]]</f>
        <v>1309</v>
      </c>
      <c r="BQ66" s="84" vm="625">
        <v>1309</v>
      </c>
      <c r="BR66" s="7">
        <f xml:space="preserve"> IFERROR( VfM_Metrics_2023_Consol[[#This Row],[SHL operating surplus / (deficit)]] / VfM_Metrics_2023_Consol[[#This Row],[Turnover from social housing lettings]], "n/a" )</f>
        <v>2.5755109423042141E-2</v>
      </c>
      <c r="BS66" s="5" vm="635">
        <f xml:space="preserve"> VfM_Metrics_2023_Consol[[#This Row],[Operating surplus/(deficit) (social housing lettings)]]</f>
        <v>712</v>
      </c>
      <c r="BT66" s="84" vm="635">
        <v>712</v>
      </c>
      <c r="BU66" s="5" vm="9063">
        <f xml:space="preserve"> VfM_Metrics_2023_Consol[[#This Row],[Turnover from social housing lettings]]</f>
        <v>27645</v>
      </c>
      <c r="BV66" s="84" vm="9063">
        <v>27645</v>
      </c>
      <c r="BW66" s="7">
        <f xml:space="preserve"> IFERROR( VfM_Metrics_2023_Consol[[#This Row],[Net operating surplus]] / VfM_Metrics_2023_Consol[[#This Row],[Overall turnover]], "n/a" )</f>
        <v>1.7418106228944161E-2</v>
      </c>
      <c r="BX66" s="5">
        <f xml:space="preserve"> SUM( VfM_Metrics_2023_Consol[[#This Row],[Operating surplus/(deficit) (overall)2]], - VfM_Metrics_2023_Consol[[#This Row],[Gain/(loss) on disposal of fixed assets (housing properties)2]], - VfM_Metrics_2023_Consol[[#This Row],[Gain/(loss) on disposal of fixed assets (other)2]] )</f>
        <v>972</v>
      </c>
      <c r="BY66" s="84" vm="632">
        <v>972</v>
      </c>
      <c r="BZ66" s="83">
        <v>0</v>
      </c>
      <c r="CA66" s="83">
        <v>0</v>
      </c>
      <c r="CB66" s="5" vm="9131">
        <f xml:space="preserve"> VfM_Metrics_2023_Consol[[#This Row],[Turnover (overall)]]</f>
        <v>55804</v>
      </c>
      <c r="CC66" s="84" vm="9131">
        <v>55804</v>
      </c>
      <c r="CD66" s="7">
        <f xml:space="preserve"> IFERROR( VfM_Metrics_2023_Consol[[#This Row],[Operating surplus including from JVs]] / VfM_Metrics_2023_Consol[[#This Row],[Net assets]], "n/a" )</f>
        <v>1.1749205236374186E-2</v>
      </c>
      <c r="CE66" s="5">
        <f xml:space="preserve"> SUM( VfM_Metrics_2023_Consol[[#This Row],[Operating surplus/(deficit) (overall)3]], VfM_Metrics_2023_Consol[[#This Row],[Share of operating surplus/(deficit) in joint ventures or associates]] )</f>
        <v>972</v>
      </c>
      <c r="CF66" s="84" vm="632">
        <v>972</v>
      </c>
      <c r="CG66" s="83">
        <v>0</v>
      </c>
      <c r="CH66" s="5" vm="636">
        <f xml:space="preserve"> VfM_Metrics_2023_Consol[[#This Row],[Total assets less current liabilities]]</f>
        <v>82729</v>
      </c>
      <c r="CI66" s="84" vm="636">
        <v>82729</v>
      </c>
      <c r="CJ66" s="71" vm="624">
        <f xml:space="preserve"> VfM_Metrics_2023_Consol[[#This Row],[Total social housing units owned (Period end)]]</f>
        <v>1223</v>
      </c>
      <c r="CK66" s="103">
        <v>0.84791496320523307</v>
      </c>
      <c r="CL66" s="6">
        <f xml:space="preserve"> -- ( VfM_Metrics_2023_Consol[[#This Row],[% Supported housing (excl. HOP)]] &gt; 0.3 )</f>
        <v>1</v>
      </c>
      <c r="CM66" s="103">
        <v>0</v>
      </c>
      <c r="CN66" s="6">
        <f xml:space="preserve"> -- ( VfM_Metrics_2023_Consol[[#This Row],[% Housing for older people]] &gt; 0.3 )</f>
        <v>0</v>
      </c>
      <c r="CO66" s="103">
        <f xml:space="preserve"> VfM_Metrics_2023_Consol[[#This Row],[% Supported housing (excl. HOP)]] + VfM_Metrics_2023_Consol[[#This Row],[% Housing for older people]]</f>
        <v>0.84791496320523307</v>
      </c>
      <c r="CP66" s="6">
        <f xml:space="preserve"> -- ( VfM_Metrics_2023_Consol[[#This Row],[SH specialist in RSH analysis]] + VfM_Metrics_2023_Consol[[#This Row],[OP specialist in RSH analysis]] &gt; 0 )</f>
        <v>1</v>
      </c>
      <c r="CQ66" s="10">
        <f xml:space="preserve"> -- ( VfM_Metrics_2023_Consol[[#This Row],[% SH and OP]] &gt; 0.3 )</f>
        <v>1</v>
      </c>
      <c r="CR66" s="104" t="s">
        <v>143</v>
      </c>
      <c r="CS66" s="124" t="s">
        <v>144</v>
      </c>
      <c r="CT66" s="105"/>
      <c r="CU6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Midlands</v>
      </c>
      <c r="CV66" s="85">
        <v>0</v>
      </c>
      <c r="CW66" s="85">
        <v>0</v>
      </c>
      <c r="CX66" s="85">
        <v>0</v>
      </c>
      <c r="CY66" s="85">
        <v>0.97327586206896555</v>
      </c>
      <c r="CZ66" s="85">
        <v>2.5862068965517241E-3</v>
      </c>
      <c r="DA66" s="85">
        <v>0</v>
      </c>
      <c r="DB66" s="85">
        <v>0</v>
      </c>
      <c r="DC66" s="85">
        <v>0</v>
      </c>
      <c r="DD66" s="85">
        <v>2.4137931034482758E-2</v>
      </c>
      <c r="DE66" s="13">
        <v>0.94244633051152416</v>
      </c>
    </row>
    <row r="67" spans="1:109" x14ac:dyDescent="0.25">
      <c r="A67" s="4" t="s" vm="388">
        <v>258</v>
      </c>
      <c r="B67" s="2" t="s" vm="57">
        <v>259</v>
      </c>
      <c r="C67" s="72" vm="453">
        <v>45016</v>
      </c>
      <c r="D67" s="7">
        <f>IFERROR( VfM_Metrics_2023_Consol[[#This Row],[Reinvestment Spend]] / VfM_Metrics_2023_Consol[[#This Row],[Net Book Value of Housing Properties]], "n/a" )</f>
        <v>0.10017830291775881</v>
      </c>
      <c r="E6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12192</v>
      </c>
      <c r="F67" s="83" vm="3627">
        <v>9038</v>
      </c>
      <c r="G67" s="83" vm="6506">
        <v>0</v>
      </c>
      <c r="H67" s="83" vm="6507">
        <v>3002</v>
      </c>
      <c r="I67" s="83" vm="6508">
        <v>152</v>
      </c>
      <c r="J67" s="83" vm="6509">
        <v>0</v>
      </c>
      <c r="K67" s="5">
        <f xml:space="preserve"> SUM( VfM_Metrics_2023_Consol[[#This Row],[Tangible fixed assets: Housing properties at cost (Current period)]],VfM_Metrics_2023_Consol[[#This Row],[Tangible fixed assets Housing properties at valuation (Current period)]] )</f>
        <v>121703</v>
      </c>
      <c r="L67" s="84" vm="6510">
        <v>121703</v>
      </c>
      <c r="M67" s="83" vm="6344">
        <v>0</v>
      </c>
      <c r="N67" s="7">
        <f xml:space="preserve"> IFERROR( VfM_Metrics_2023_Consol[[#This Row],[Total social units developed or newly built units acquired in-year]] / VfM_Metrics_2023_Consol[[#This Row],[Social housing units owned (period end)]], "n/a" )</f>
        <v>5.2804338518624237E-3</v>
      </c>
      <c r="O67" s="5">
        <f xml:space="preserve"> SUM( VfM_Metrics_2023_Consol[[#This Row],[Total social units developed or newly built units acquired in-year (owned)]], VfM_Metrics_2023_Consol[[#This Row],[Total social leasehold units developed or newly built units acquired in-year (owned)]] )</f>
        <v>37</v>
      </c>
      <c r="P67" s="84" vm="6511">
        <v>37</v>
      </c>
      <c r="Q67" s="83" vm="6512">
        <v>0</v>
      </c>
      <c r="R67" s="5">
        <f xml:space="preserve"> SUM( VfM_Metrics_2023_Consol[[#This Row],[Total social housing units owned (Period end)]], VfM_Metrics_2023_Consol[[#This Row],[Total social leasehold units owned (Period end)]] )</f>
        <v>7007</v>
      </c>
      <c r="S67" s="84" vm="6504">
        <v>6832</v>
      </c>
      <c r="T67" s="83" vm="6513">
        <v>175</v>
      </c>
      <c r="U67" s="86">
        <f xml:space="preserve"> IFERROR( VfM_Metrics_2023_Consol[[#This Row],[Total non-social housing units developed or newly built units acquired (owned)]] / VfM_Metrics_2023_Consol[[#This Row],[Total social and non-social housing units owned (Period end)]], "n/a" )</f>
        <v>0</v>
      </c>
      <c r="V6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67" s="83" vm="6514">
        <v>0</v>
      </c>
      <c r="X67" s="83" vm="6515">
        <v>0</v>
      </c>
      <c r="Y67" s="83" vm="6516">
        <v>0</v>
      </c>
      <c r="Z6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7015</v>
      </c>
      <c r="AA67" s="84" vm="6504">
        <v>6832</v>
      </c>
      <c r="AB67" s="83" vm="6513">
        <v>175</v>
      </c>
      <c r="AC67" s="83" vm="6517">
        <v>8</v>
      </c>
      <c r="AD67" s="83" vm="6518">
        <v>0</v>
      </c>
      <c r="AE67" s="7">
        <f xml:space="preserve"> IFERROR( VfM_Metrics_2023_Consol[[#This Row],[Total Net Debt]] / VfM_Metrics_2023_Consol[[#This Row],[Net Book Value of Housing Properties2]], "n/a" )</f>
        <v>0.23442314486906649</v>
      </c>
      <c r="AF6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28530</v>
      </c>
      <c r="AG67" s="84" vm="6519">
        <v>0</v>
      </c>
      <c r="AH67" s="83" vm="6520">
        <v>52500</v>
      </c>
      <c r="AI67" s="83" vm="6521">
        <v>23970</v>
      </c>
      <c r="AJ67" s="83" vm="6522">
        <v>0</v>
      </c>
      <c r="AK67" s="83" vm="6523">
        <v>0</v>
      </c>
      <c r="AL67" s="5">
        <f xml:space="preserve"> SUM( VfM_Metrics_2023_Consol[[#This Row],[Tangible fixed assets: Housing properties at cost (Current period)2]], VfM_Metrics_2023_Consol[[#This Row],[Tangible fixed assets Housing properties at valuation (Current period)2]] )</f>
        <v>121703</v>
      </c>
      <c r="AM67" s="84" vm="6510">
        <v>121703</v>
      </c>
      <c r="AN67" s="83" vm="6872">
        <v>0</v>
      </c>
      <c r="AO67" s="87">
        <f xml:space="preserve"> IFERROR( VfM_Metrics_2023_Consol[[#This Row],[EBITDA MRI]] / VfM_Metrics_2023_Consol[[#This Row],[Total interest]], "n/a" )</f>
        <v>2.8025672371638142</v>
      </c>
      <c r="AP6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4585</v>
      </c>
      <c r="AQ67" s="84" vm="6524">
        <v>5296</v>
      </c>
      <c r="AR67" s="84" vm="6525">
        <v>2333</v>
      </c>
      <c r="AS67" s="84" vm="6526">
        <v>0</v>
      </c>
      <c r="AT67" s="84" vm="6527">
        <v>88</v>
      </c>
      <c r="AU67" s="84" vm="6528">
        <v>0</v>
      </c>
      <c r="AV67" s="84" vm="6529">
        <v>57</v>
      </c>
      <c r="AW67" s="84" vm="6530">
        <v>3002</v>
      </c>
      <c r="AX67" s="84" vm="6531">
        <v>4655</v>
      </c>
      <c r="AY67" s="3">
        <f xml:space="preserve"> - SUM( VfM_Metrics_2023_Consol[[#This Row],[Interest capitalised]], VfM_Metrics_2023_Consol[[#This Row],[Interest payable and financing costs]] )</f>
        <v>1636</v>
      </c>
      <c r="AZ67" s="84" vm="6532">
        <v>-152</v>
      </c>
      <c r="BA67" s="83" vm="6533">
        <v>-1484</v>
      </c>
      <c r="BB67" s="8">
        <f xml:space="preserve"> IFERROR( ( VfM_Metrics_2023_Consol[[#This Row],[Total Costs]] / VfM_Metrics_2023_Consol[[#This Row],[Total units for costs]] ) * 1000, "n/a" )</f>
        <v>3968.2377049180327</v>
      </c>
      <c r="BC6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27111</v>
      </c>
      <c r="BD67" s="84" vm="6534">
        <v>5684</v>
      </c>
      <c r="BE67" s="83" vm="6875">
        <v>4956</v>
      </c>
      <c r="BF67" s="83" vm="6535">
        <v>7673</v>
      </c>
      <c r="BG67" s="83" vm="7232">
        <v>1654</v>
      </c>
      <c r="BH67" s="83" vm="6536">
        <v>3862</v>
      </c>
      <c r="BI67" s="83" vm="6537">
        <v>0</v>
      </c>
      <c r="BJ67" s="83" vm="7255">
        <v>3002</v>
      </c>
      <c r="BK67" s="83" vm="6538">
        <v>280</v>
      </c>
      <c r="BL67" s="83" vm="6539">
        <v>0</v>
      </c>
      <c r="BM67" s="83" vm="6540">
        <v>0</v>
      </c>
      <c r="BN67" s="83" vm="6541">
        <v>0</v>
      </c>
      <c r="BO67" s="83" vm="6542">
        <v>0</v>
      </c>
      <c r="BP67" s="5" vm="6505">
        <f xml:space="preserve"> VfM_Metrics_2023_Consol[[#This Row],[Total social housing units owned and/or managed at period end]]</f>
        <v>6832</v>
      </c>
      <c r="BQ67" s="84" vm="6505">
        <v>6832</v>
      </c>
      <c r="BR67" s="7">
        <f xml:space="preserve"> IFERROR( VfM_Metrics_2023_Consol[[#This Row],[SHL operating surplus / (deficit)]] / VfM_Metrics_2023_Consol[[#This Row],[Turnover from social housing lettings]], "n/a" )</f>
        <v>7.7553232181563181E-2</v>
      </c>
      <c r="BS67" s="5" vm="6543">
        <f xml:space="preserve"> VfM_Metrics_2023_Consol[[#This Row],[Operating surplus/(deficit) (social housing lettings)]]</f>
        <v>2433</v>
      </c>
      <c r="BT67" s="84" vm="6543">
        <v>2433</v>
      </c>
      <c r="BU67" s="5" vm="6544">
        <f xml:space="preserve"> VfM_Metrics_2023_Consol[[#This Row],[Turnover from social housing lettings]]</f>
        <v>31372</v>
      </c>
      <c r="BV67" s="84" vm="6544">
        <v>31372</v>
      </c>
      <c r="BW67" s="7">
        <f xml:space="preserve"> IFERROR( VfM_Metrics_2023_Consol[[#This Row],[Net operating surplus]] / VfM_Metrics_2023_Consol[[#This Row],[Overall turnover]], "n/a" )</f>
        <v>9.0528567063855786E-2</v>
      </c>
      <c r="BX67" s="5">
        <f xml:space="preserve"> SUM( VfM_Metrics_2023_Consol[[#This Row],[Operating surplus/(deficit) (overall)2]], - VfM_Metrics_2023_Consol[[#This Row],[Gain/(loss) on disposal of fixed assets (housing properties)2]], - VfM_Metrics_2023_Consol[[#This Row],[Gain/(loss) on disposal of fixed assets (other)2]] )</f>
        <v>2963</v>
      </c>
      <c r="BY67" s="84" vm="6895">
        <v>5296</v>
      </c>
      <c r="BZ67" s="83" vm="6525">
        <v>2333</v>
      </c>
      <c r="CA67" s="83" vm="6526">
        <v>0</v>
      </c>
      <c r="CB67" s="5" vm="6545">
        <f xml:space="preserve"> VfM_Metrics_2023_Consol[[#This Row],[Turnover (overall)]]</f>
        <v>32730</v>
      </c>
      <c r="CC67" s="84" vm="6545">
        <v>32730</v>
      </c>
      <c r="CD67" s="7">
        <f xml:space="preserve"> IFERROR( VfM_Metrics_2023_Consol[[#This Row],[Operating surplus including from JVs]] / VfM_Metrics_2023_Consol[[#This Row],[Net assets]], "n/a" )</f>
        <v>3.6472573258496607E-2</v>
      </c>
      <c r="CE67" s="5">
        <f xml:space="preserve"> SUM( VfM_Metrics_2023_Consol[[#This Row],[Operating surplus/(deficit) (overall)3]], VfM_Metrics_2023_Consol[[#This Row],[Share of operating surplus/(deficit) in joint ventures or associates]] )</f>
        <v>5296</v>
      </c>
      <c r="CF67" s="84" vm="7268">
        <v>5296</v>
      </c>
      <c r="CG67" s="83" vm="6547">
        <v>0</v>
      </c>
      <c r="CH67" s="5" vm="6546">
        <f xml:space="preserve"> VfM_Metrics_2023_Consol[[#This Row],[Total assets less current liabilities]]</f>
        <v>145205</v>
      </c>
      <c r="CI67" s="84" vm="6546">
        <v>145205</v>
      </c>
      <c r="CJ67" s="71" vm="6504">
        <f xml:space="preserve"> VfM_Metrics_2023_Consol[[#This Row],[Total social housing units owned (Period end)]]</f>
        <v>6832</v>
      </c>
      <c r="CK67" s="103">
        <v>4.1049699457557541E-3</v>
      </c>
      <c r="CL67" s="6">
        <f xml:space="preserve"> -- ( VfM_Metrics_2023_Consol[[#This Row],[% Supported housing (excl. HOP)]] &gt; 0.3 )</f>
        <v>0</v>
      </c>
      <c r="CM67" s="103">
        <v>8.5471338513414458E-2</v>
      </c>
      <c r="CN67" s="6">
        <f xml:space="preserve"> -- ( VfM_Metrics_2023_Consol[[#This Row],[% Housing for older people]] &gt; 0.3 )</f>
        <v>0</v>
      </c>
      <c r="CO67" s="103">
        <f xml:space="preserve"> VfM_Metrics_2023_Consol[[#This Row],[% Supported housing (excl. HOP)]] + VfM_Metrics_2023_Consol[[#This Row],[% Housing for older people]]</f>
        <v>8.9576308459170209E-2</v>
      </c>
      <c r="CP67" s="6">
        <f xml:space="preserve"> -- ( VfM_Metrics_2023_Consol[[#This Row],[SH specialist in RSH analysis]] + VfM_Metrics_2023_Consol[[#This Row],[OP specialist in RSH analysis]] &gt; 0 )</f>
        <v>0</v>
      </c>
      <c r="CQ67" s="10">
        <f xml:space="preserve"> -- ( VfM_Metrics_2023_Consol[[#This Row],[% SH and OP]] &gt; 0.3 )</f>
        <v>0</v>
      </c>
      <c r="CR67" s="104" t="s">
        <v>143</v>
      </c>
      <c r="CS67" s="124"/>
      <c r="CT67" s="105" t="s">
        <v>151</v>
      </c>
      <c r="CU6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67" s="85">
        <v>0</v>
      </c>
      <c r="CW67" s="85">
        <v>0</v>
      </c>
      <c r="CX67" s="85">
        <v>0</v>
      </c>
      <c r="CY67" s="85">
        <v>0</v>
      </c>
      <c r="CZ67" s="85">
        <v>0</v>
      </c>
      <c r="DA67" s="85">
        <v>1</v>
      </c>
      <c r="DB67" s="85">
        <v>0</v>
      </c>
      <c r="DC67" s="85">
        <v>0</v>
      </c>
      <c r="DD67" s="85">
        <v>0</v>
      </c>
      <c r="DE67" s="13">
        <v>1.0113701298544711</v>
      </c>
    </row>
    <row r="68" spans="1:109" x14ac:dyDescent="0.25">
      <c r="A68" s="4" t="s" vm="288">
        <v>260</v>
      </c>
      <c r="B68" s="2" t="s" vm="58">
        <v>261</v>
      </c>
      <c r="C68" s="72" vm="520">
        <v>45016</v>
      </c>
      <c r="D68" s="7">
        <f>IFERROR( VfM_Metrics_2023_Consol[[#This Row],[Reinvestment Spend]] / VfM_Metrics_2023_Consol[[#This Row],[Net Book Value of Housing Properties]], "n/a" )</f>
        <v>0.11452563706057113</v>
      </c>
      <c r="E6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36660</v>
      </c>
      <c r="F68" s="83" vm="2934">
        <v>24779</v>
      </c>
      <c r="G68" s="83" vm="2935">
        <v>0</v>
      </c>
      <c r="H68" s="83" vm="2936">
        <v>11881</v>
      </c>
      <c r="I68" s="83" vm="2937">
        <v>0</v>
      </c>
      <c r="J68" s="83" vm="2938">
        <v>0</v>
      </c>
      <c r="K68" s="5">
        <f xml:space="preserve"> SUM( VfM_Metrics_2023_Consol[[#This Row],[Tangible fixed assets: Housing properties at cost (Current period)]],VfM_Metrics_2023_Consol[[#This Row],[Tangible fixed assets Housing properties at valuation (Current period)]] )</f>
        <v>320103</v>
      </c>
      <c r="L68" s="84" vm="2939">
        <v>320103</v>
      </c>
      <c r="M68" s="83">
        <v>0</v>
      </c>
      <c r="N68" s="7">
        <f xml:space="preserve"> IFERROR( VfM_Metrics_2023_Consol[[#This Row],[Total social units developed or newly built units acquired in-year]] / VfM_Metrics_2023_Consol[[#This Row],[Social housing units owned (period end)]], "n/a" )</f>
        <v>1.4309847957865447E-2</v>
      </c>
      <c r="O68" s="5">
        <f xml:space="preserve"> SUM( VfM_Metrics_2023_Consol[[#This Row],[Total social units developed or newly built units acquired in-year (owned)]], VfM_Metrics_2023_Consol[[#This Row],[Total social leasehold units developed or newly built units acquired in-year (owned)]] )</f>
        <v>144</v>
      </c>
      <c r="P68" s="84" vm="3283">
        <v>144</v>
      </c>
      <c r="Q68" s="83">
        <v>0</v>
      </c>
      <c r="R68" s="5">
        <f xml:space="preserve"> SUM( VfM_Metrics_2023_Consol[[#This Row],[Total social housing units owned (Period end)]], VfM_Metrics_2023_Consol[[#This Row],[Total social leasehold units owned (Period end)]] )</f>
        <v>10063</v>
      </c>
      <c r="S68" s="84" vm="2933">
        <v>10063</v>
      </c>
      <c r="T68" s="83" vm="2940">
        <v>0</v>
      </c>
      <c r="U68" s="86">
        <f xml:space="preserve"> IFERROR( VfM_Metrics_2023_Consol[[#This Row],[Total non-social housing units developed or newly built units acquired (owned)]] / VfM_Metrics_2023_Consol[[#This Row],[Total social and non-social housing units owned (Period end)]], "n/a" )</f>
        <v>3.8109756097560977E-4</v>
      </c>
      <c r="V6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4</v>
      </c>
      <c r="W68" s="83">
        <v>0</v>
      </c>
      <c r="X68" s="83" vm="7705">
        <v>4</v>
      </c>
      <c r="Y68" s="83">
        <v>0</v>
      </c>
      <c r="Z6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10496</v>
      </c>
      <c r="AA68" s="84" vm="2933">
        <v>10063</v>
      </c>
      <c r="AB68" s="83" vm="2940">
        <v>0</v>
      </c>
      <c r="AC68" s="83" vm="3461">
        <v>268</v>
      </c>
      <c r="AD68" s="83" vm="2941">
        <v>165</v>
      </c>
      <c r="AE68" s="7">
        <f xml:space="preserve"> IFERROR( VfM_Metrics_2023_Consol[[#This Row],[Total Net Debt]] / VfM_Metrics_2023_Consol[[#This Row],[Net Book Value of Housing Properties2]], "n/a" )</f>
        <v>0.81152004198648564</v>
      </c>
      <c r="AF6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259770</v>
      </c>
      <c r="AG68" s="84" vm="2976">
        <v>15876</v>
      </c>
      <c r="AH68" s="83" vm="2942">
        <v>324489</v>
      </c>
      <c r="AI68" s="83" vm="7774">
        <v>80595</v>
      </c>
      <c r="AJ68" s="83" vm="1675">
        <v>0</v>
      </c>
      <c r="AK68" s="83">
        <v>0</v>
      </c>
      <c r="AL68" s="5">
        <f xml:space="preserve"> SUM( VfM_Metrics_2023_Consol[[#This Row],[Tangible fixed assets: Housing properties at cost (Current period)2]], VfM_Metrics_2023_Consol[[#This Row],[Tangible fixed assets Housing properties at valuation (Current period)2]] )</f>
        <v>320103</v>
      </c>
      <c r="AM68" s="84" vm="2939">
        <v>320103</v>
      </c>
      <c r="AN68" s="83">
        <v>0</v>
      </c>
      <c r="AO68" s="87">
        <f xml:space="preserve"> IFERROR( VfM_Metrics_2023_Consol[[#This Row],[EBITDA MRI]] / VfM_Metrics_2023_Consol[[#This Row],[Total interest]], "n/a" )</f>
        <v>1.1035451615568961</v>
      </c>
      <c r="AP6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13354</v>
      </c>
      <c r="AQ68" s="84" vm="2943">
        <v>16665</v>
      </c>
      <c r="AR68" s="84" vm="2944">
        <v>1185</v>
      </c>
      <c r="AS68" s="84" vm="2945">
        <v>19</v>
      </c>
      <c r="AT68" s="84" vm="2946">
        <v>587</v>
      </c>
      <c r="AU68" s="84" vm="2947">
        <v>0</v>
      </c>
      <c r="AV68" s="84" vm="2948">
        <v>1735</v>
      </c>
      <c r="AW68" s="84" vm="2949">
        <v>11881</v>
      </c>
      <c r="AX68" s="84" vm="2950">
        <v>8626</v>
      </c>
      <c r="AY68" s="3">
        <f xml:space="preserve"> - SUM( VfM_Metrics_2023_Consol[[#This Row],[Interest capitalised]], VfM_Metrics_2023_Consol[[#This Row],[Interest payable and financing costs]] )</f>
        <v>12101</v>
      </c>
      <c r="AZ68" s="84" vm="2951">
        <v>0</v>
      </c>
      <c r="BA68" s="83" vm="2952">
        <v>-12101</v>
      </c>
      <c r="BB68" s="8">
        <f xml:space="preserve"> IFERROR( ( VfM_Metrics_2023_Consol[[#This Row],[Total Costs]] / VfM_Metrics_2023_Consol[[#This Row],[Total units for costs]] ) * 1000, "n/a" )</f>
        <v>4288.3392928088997</v>
      </c>
      <c r="BC6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43175</v>
      </c>
      <c r="BD68" s="84" vm="2953">
        <v>13530</v>
      </c>
      <c r="BE68" s="83" vm="2954">
        <v>2830</v>
      </c>
      <c r="BF68" s="83" vm="7084">
        <v>6030</v>
      </c>
      <c r="BG68" s="83" vm="2955">
        <v>2428</v>
      </c>
      <c r="BH68" s="83" vm="2956">
        <v>3561</v>
      </c>
      <c r="BI68" s="83" vm="7473">
        <v>0</v>
      </c>
      <c r="BJ68" s="83" vm="2949">
        <v>11881</v>
      </c>
      <c r="BK68" s="83" vm="2957">
        <v>2754</v>
      </c>
      <c r="BL68" s="83">
        <v>0</v>
      </c>
      <c r="BM68" s="83">
        <v>0</v>
      </c>
      <c r="BN68" s="83" vm="2958">
        <v>161</v>
      </c>
      <c r="BO68" s="83">
        <v>0</v>
      </c>
      <c r="BP68" s="5" vm="7472">
        <f xml:space="preserve"> VfM_Metrics_2023_Consol[[#This Row],[Total social housing units owned and/or managed at period end]]</f>
        <v>10068</v>
      </c>
      <c r="BQ68" s="84" vm="7472">
        <v>10068</v>
      </c>
      <c r="BR68" s="7">
        <f xml:space="preserve"> IFERROR( VfM_Metrics_2023_Consol[[#This Row],[SHL operating surplus / (deficit)]] / VfM_Metrics_2023_Consol[[#This Row],[Turnover from social housing lettings]], "n/a" )</f>
        <v>0.27308425246867241</v>
      </c>
      <c r="BS68" s="5" vm="2959">
        <f xml:space="preserve"> VfM_Metrics_2023_Consol[[#This Row],[Operating surplus/(deficit) (social housing lettings)]]</f>
        <v>14187</v>
      </c>
      <c r="BT68" s="84" vm="2959">
        <v>14187</v>
      </c>
      <c r="BU68" s="5" vm="7471">
        <f xml:space="preserve"> VfM_Metrics_2023_Consol[[#This Row],[Turnover from social housing lettings]]</f>
        <v>51951</v>
      </c>
      <c r="BV68" s="84" vm="7471">
        <v>51951</v>
      </c>
      <c r="BW68" s="7">
        <f xml:space="preserve"> IFERROR( VfM_Metrics_2023_Consol[[#This Row],[Net operating surplus]] / VfM_Metrics_2023_Consol[[#This Row],[Overall turnover]], "n/a" )</f>
        <v>0.26033440536126218</v>
      </c>
      <c r="BX68" s="5">
        <f xml:space="preserve"> SUM( VfM_Metrics_2023_Consol[[#This Row],[Operating surplus/(deficit) (overall)2]], - VfM_Metrics_2023_Consol[[#This Row],[Gain/(loss) on disposal of fixed assets (housing properties)2]], - VfM_Metrics_2023_Consol[[#This Row],[Gain/(loss) on disposal of fixed assets (other)2]] )</f>
        <v>15461</v>
      </c>
      <c r="BY68" s="84" vm="2943">
        <v>16665</v>
      </c>
      <c r="BZ68" s="83" vm="2944">
        <v>1185</v>
      </c>
      <c r="CA68" s="83" vm="2945">
        <v>19</v>
      </c>
      <c r="CB68" s="5" vm="7925">
        <f xml:space="preserve"> VfM_Metrics_2023_Consol[[#This Row],[Turnover (overall)]]</f>
        <v>59389</v>
      </c>
      <c r="CC68" s="84" vm="7925">
        <v>59389</v>
      </c>
      <c r="CD68" s="7">
        <f xml:space="preserve"> IFERROR( VfM_Metrics_2023_Consol[[#This Row],[Operating surplus including from JVs]] / VfM_Metrics_2023_Consol[[#This Row],[Net assets]], "n/a" )</f>
        <v>3.6604410979785756E-2</v>
      </c>
      <c r="CE68" s="5">
        <f xml:space="preserve"> SUM( VfM_Metrics_2023_Consol[[#This Row],[Operating surplus/(deficit) (overall)3]], VfM_Metrics_2023_Consol[[#This Row],[Share of operating surplus/(deficit) in joint ventures or associates]] )</f>
        <v>16665</v>
      </c>
      <c r="CF68" s="84" vm="2943">
        <v>16665</v>
      </c>
      <c r="CG68" s="83">
        <v>0</v>
      </c>
      <c r="CH68" s="5" vm="7587">
        <f xml:space="preserve"> VfM_Metrics_2023_Consol[[#This Row],[Total assets less current liabilities]]</f>
        <v>455273</v>
      </c>
      <c r="CI68" s="84" vm="7587">
        <v>455273</v>
      </c>
      <c r="CJ68" s="71" vm="2933">
        <f xml:space="preserve"> VfM_Metrics_2023_Consol[[#This Row],[Total social housing units owned (Period end)]]</f>
        <v>10063</v>
      </c>
      <c r="CK68" s="103">
        <v>2.008838891120932E-3</v>
      </c>
      <c r="CL68" s="6">
        <f xml:space="preserve"> -- ( VfM_Metrics_2023_Consol[[#This Row],[% Supported housing (excl. HOP)]] &gt; 0.3 )</f>
        <v>0</v>
      </c>
      <c r="CM68" s="103">
        <v>0.31106870229007633</v>
      </c>
      <c r="CN68" s="6">
        <f xml:space="preserve"> -- ( VfM_Metrics_2023_Consol[[#This Row],[% Housing for older people]] &gt; 0.3 )</f>
        <v>1</v>
      </c>
      <c r="CO68" s="103">
        <f xml:space="preserve"> VfM_Metrics_2023_Consol[[#This Row],[% Supported housing (excl. HOP)]] + VfM_Metrics_2023_Consol[[#This Row],[% Housing for older people]]</f>
        <v>0.31307754118119724</v>
      </c>
      <c r="CP68" s="6">
        <f xml:space="preserve"> -- ( VfM_Metrics_2023_Consol[[#This Row],[SH specialist in RSH analysis]] + VfM_Metrics_2023_Consol[[#This Row],[OP specialist in RSH analysis]] &gt; 0 )</f>
        <v>1</v>
      </c>
      <c r="CQ68" s="10">
        <f xml:space="preserve"> -- ( VfM_Metrics_2023_Consol[[#This Row],[% SH and OP]] &gt; 0.3 )</f>
        <v>1</v>
      </c>
      <c r="CR68" s="104" t="s">
        <v>143</v>
      </c>
      <c r="CS68" s="124"/>
      <c r="CT68" s="105" t="s">
        <v>151</v>
      </c>
      <c r="CU6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Midlands</v>
      </c>
      <c r="CV68" s="85">
        <v>0</v>
      </c>
      <c r="CW68" s="85">
        <v>0</v>
      </c>
      <c r="CX68" s="85">
        <v>0</v>
      </c>
      <c r="CY68" s="85">
        <v>0.99479166666666663</v>
      </c>
      <c r="CZ68" s="85">
        <v>0</v>
      </c>
      <c r="DA68" s="85">
        <v>5.208333333333333E-3</v>
      </c>
      <c r="DB68" s="85">
        <v>0</v>
      </c>
      <c r="DC68" s="85">
        <v>0</v>
      </c>
      <c r="DD68" s="85">
        <v>0</v>
      </c>
      <c r="DE68" s="13">
        <v>0.94269385605361122</v>
      </c>
    </row>
    <row r="69" spans="1:109" x14ac:dyDescent="0.25">
      <c r="A69" s="4" t="s" vm="312">
        <v>262</v>
      </c>
      <c r="B69" s="2" t="s" vm="59">
        <v>263</v>
      </c>
      <c r="C69" s="72" vm="436">
        <v>45016</v>
      </c>
      <c r="D69" s="7">
        <f>IFERROR( VfM_Metrics_2023_Consol[[#This Row],[Reinvestment Spend]] / VfM_Metrics_2023_Consol[[#This Row],[Net Book Value of Housing Properties]], "n/a" )</f>
        <v>3.2281803463670704E-2</v>
      </c>
      <c r="E6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9212</v>
      </c>
      <c r="F69" s="83" vm="7618">
        <v>5902</v>
      </c>
      <c r="G69" s="83" vm="3749">
        <v>0</v>
      </c>
      <c r="H69" s="83" vm="3750">
        <v>3010</v>
      </c>
      <c r="I69" s="83" vm="3751">
        <v>300</v>
      </c>
      <c r="J69" s="83" vm="3752">
        <v>0</v>
      </c>
      <c r="K69" s="5">
        <f xml:space="preserve"> SUM( VfM_Metrics_2023_Consol[[#This Row],[Tangible fixed assets: Housing properties at cost (Current period)]],VfM_Metrics_2023_Consol[[#This Row],[Tangible fixed assets Housing properties at valuation (Current period)]] )</f>
        <v>285362</v>
      </c>
      <c r="L69" s="84" vm="3753">
        <v>285362</v>
      </c>
      <c r="M69" s="83" vm="7685">
        <v>0</v>
      </c>
      <c r="N69" s="7">
        <f xml:space="preserve"> IFERROR( VfM_Metrics_2023_Consol[[#This Row],[Total social units developed or newly built units acquired in-year]] / VfM_Metrics_2023_Consol[[#This Row],[Social housing units owned (period end)]], "n/a" )</f>
        <v>3.2797638570022957E-4</v>
      </c>
      <c r="O69" s="5">
        <f xml:space="preserve"> SUM( VfM_Metrics_2023_Consol[[#This Row],[Total social units developed or newly built units acquired in-year (owned)]], VfM_Metrics_2023_Consol[[#This Row],[Total social leasehold units developed or newly built units acquired in-year (owned)]] )</f>
        <v>1</v>
      </c>
      <c r="P69" s="84" vm="3250">
        <v>0</v>
      </c>
      <c r="Q69" s="83" vm="3755">
        <v>1</v>
      </c>
      <c r="R69" s="5">
        <f xml:space="preserve"> SUM( VfM_Metrics_2023_Consol[[#This Row],[Total social housing units owned (Period end)]], VfM_Metrics_2023_Consol[[#This Row],[Total social leasehold units owned (Period end)]] )</f>
        <v>3049</v>
      </c>
      <c r="S69" s="84" vm="3747">
        <v>2803</v>
      </c>
      <c r="T69" s="83" vm="7668">
        <v>246</v>
      </c>
      <c r="U69" s="86">
        <f xml:space="preserve"> IFERROR( VfM_Metrics_2023_Consol[[#This Row],[Total non-social housing units developed or newly built units acquired (owned)]] / VfM_Metrics_2023_Consol[[#This Row],[Total social and non-social housing units owned (Period end)]], "n/a" )</f>
        <v>0</v>
      </c>
      <c r="V6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69" s="83" vm="3757">
        <v>0</v>
      </c>
      <c r="X69" s="83" vm="3758">
        <v>0</v>
      </c>
      <c r="Y69" s="83" vm="3759">
        <v>0</v>
      </c>
      <c r="Z6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3049</v>
      </c>
      <c r="AA69" s="84" vm="3747">
        <v>2803</v>
      </c>
      <c r="AB69" s="83" vm="3756">
        <v>246</v>
      </c>
      <c r="AC69" s="83" vm="3760">
        <v>0</v>
      </c>
      <c r="AD69" s="83" vm="3761">
        <v>0</v>
      </c>
      <c r="AE69" s="7">
        <f xml:space="preserve"> IFERROR( VfM_Metrics_2023_Consol[[#This Row],[Total Net Debt]] / VfM_Metrics_2023_Consol[[#This Row],[Net Book Value of Housing Properties2]], "n/a" )</f>
        <v>0.27238735360699745</v>
      </c>
      <c r="AF6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77729</v>
      </c>
      <c r="AG69" s="84" vm="3762">
        <v>2899</v>
      </c>
      <c r="AH69" s="83" vm="3763">
        <v>114774</v>
      </c>
      <c r="AI69" s="83" vm="3764">
        <v>39944</v>
      </c>
      <c r="AJ69" s="83" vm="7726">
        <v>0</v>
      </c>
      <c r="AK69" s="83" vm="3765">
        <v>0</v>
      </c>
      <c r="AL69" s="5">
        <f xml:space="preserve"> SUM( VfM_Metrics_2023_Consol[[#This Row],[Tangible fixed assets: Housing properties at cost (Current period)2]], VfM_Metrics_2023_Consol[[#This Row],[Tangible fixed assets Housing properties at valuation (Current period)2]] )</f>
        <v>285362</v>
      </c>
      <c r="AM69" s="84" vm="3753">
        <v>285362</v>
      </c>
      <c r="AN69" s="83" vm="3754">
        <v>0</v>
      </c>
      <c r="AO69" s="87">
        <f xml:space="preserve"> IFERROR( VfM_Metrics_2023_Consol[[#This Row],[EBITDA MRI]] / VfM_Metrics_2023_Consol[[#This Row],[Total interest]], "n/a" )</f>
        <v>1.1914093959731544</v>
      </c>
      <c r="AP6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4438</v>
      </c>
      <c r="AQ69" s="84" vm="3766">
        <v>5561</v>
      </c>
      <c r="AR69" s="84" vm="3767">
        <v>1199</v>
      </c>
      <c r="AS69" s="84" vm="3768">
        <v>0</v>
      </c>
      <c r="AT69" s="84" vm="3769">
        <v>1319</v>
      </c>
      <c r="AU69" s="84" vm="3770">
        <v>0</v>
      </c>
      <c r="AV69" s="84" vm="3771">
        <v>132</v>
      </c>
      <c r="AW69" s="84" vm="7667">
        <v>3010</v>
      </c>
      <c r="AX69" s="84" vm="3772">
        <v>4273</v>
      </c>
      <c r="AY69" s="3">
        <f xml:space="preserve"> - SUM( VfM_Metrics_2023_Consol[[#This Row],[Interest capitalised]], VfM_Metrics_2023_Consol[[#This Row],[Interest payable and financing costs]] )</f>
        <v>3725</v>
      </c>
      <c r="AZ69" s="84" vm="3773">
        <v>-300</v>
      </c>
      <c r="BA69" s="83" vm="3774">
        <v>-3425</v>
      </c>
      <c r="BB69" s="8">
        <f xml:space="preserve"> IFERROR( ( VfM_Metrics_2023_Consol[[#This Row],[Total Costs]] / VfM_Metrics_2023_Consol[[#This Row],[Total units for costs]] ) * 1000, "n/a" )</f>
        <v>6936.8533713877987</v>
      </c>
      <c r="BC6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19444</v>
      </c>
      <c r="BD69" s="84" vm="3775">
        <v>4297</v>
      </c>
      <c r="BE69" s="83" vm="6990">
        <v>3440</v>
      </c>
      <c r="BF69" s="83" vm="3776">
        <v>2752</v>
      </c>
      <c r="BG69" s="83" vm="3898">
        <v>2988</v>
      </c>
      <c r="BH69" s="83" vm="7410">
        <v>2317</v>
      </c>
      <c r="BI69" s="83" vm="3777">
        <v>0</v>
      </c>
      <c r="BJ69" s="83" vm="3868">
        <v>3010</v>
      </c>
      <c r="BK69" s="83" vm="3778">
        <v>0</v>
      </c>
      <c r="BL69" s="83" vm="3779">
        <v>640</v>
      </c>
      <c r="BM69" s="83" vm="3780">
        <v>0</v>
      </c>
      <c r="BN69" s="83" vm="7922">
        <v>0</v>
      </c>
      <c r="BO69" s="83" vm="3781">
        <v>0</v>
      </c>
      <c r="BP69" s="5" vm="3748">
        <f xml:space="preserve"> VfM_Metrics_2023_Consol[[#This Row],[Total social housing units owned and/or managed at period end]]</f>
        <v>2803</v>
      </c>
      <c r="BQ69" s="84" vm="3748">
        <v>2803</v>
      </c>
      <c r="BR69" s="7">
        <f xml:space="preserve"> IFERROR( VfM_Metrics_2023_Consol[[#This Row],[SHL operating surplus / (deficit)]] / VfM_Metrics_2023_Consol[[#This Row],[Turnover from social housing lettings]], "n/a" )</f>
        <v>0.15805342052741092</v>
      </c>
      <c r="BS69" s="5" vm="3782">
        <f xml:space="preserve"> VfM_Metrics_2023_Consol[[#This Row],[Operating surplus/(deficit) (social housing lettings)]]</f>
        <v>3722</v>
      </c>
      <c r="BT69" s="84" vm="3782">
        <v>3722</v>
      </c>
      <c r="BU69" s="5" vm="7617">
        <f xml:space="preserve"> VfM_Metrics_2023_Consol[[#This Row],[Turnover from social housing lettings]]</f>
        <v>23549</v>
      </c>
      <c r="BV69" s="84" vm="7617">
        <v>23549</v>
      </c>
      <c r="BW69" s="7">
        <f xml:space="preserve"> IFERROR( VfM_Metrics_2023_Consol[[#This Row],[Net operating surplus]] / VfM_Metrics_2023_Consol[[#This Row],[Overall turnover]], "n/a" )</f>
        <v>0.1384542136168862</v>
      </c>
      <c r="BX69" s="5">
        <f xml:space="preserve"> SUM( VfM_Metrics_2023_Consol[[#This Row],[Operating surplus/(deficit) (overall)2]], - VfM_Metrics_2023_Consol[[#This Row],[Gain/(loss) on disposal of fixed assets (housing properties)2]], - VfM_Metrics_2023_Consol[[#This Row],[Gain/(loss) on disposal of fixed assets (other)2]] )</f>
        <v>4362</v>
      </c>
      <c r="BY69" s="84" vm="3766">
        <v>5561</v>
      </c>
      <c r="BZ69" s="83" vm="3684">
        <v>1199</v>
      </c>
      <c r="CA69" s="83" vm="3768">
        <v>0</v>
      </c>
      <c r="CB69" s="5" vm="3783">
        <f xml:space="preserve"> VfM_Metrics_2023_Consol[[#This Row],[Turnover (overall)]]</f>
        <v>31505</v>
      </c>
      <c r="CC69" s="84" vm="3783">
        <v>31505</v>
      </c>
      <c r="CD69" s="7">
        <f xml:space="preserve"> IFERROR( VfM_Metrics_2023_Consol[[#This Row],[Operating surplus including from JVs]] / VfM_Metrics_2023_Consol[[#This Row],[Net assets]], "n/a" )</f>
        <v>1.7313523913896275E-2</v>
      </c>
      <c r="CE69" s="5">
        <f xml:space="preserve"> SUM( VfM_Metrics_2023_Consol[[#This Row],[Operating surplus/(deficit) (overall)3]], VfM_Metrics_2023_Consol[[#This Row],[Share of operating surplus/(deficit) in joint ventures or associates]] )</f>
        <v>5561</v>
      </c>
      <c r="CF69" s="84" vm="7070">
        <v>5561</v>
      </c>
      <c r="CG69" s="83" vm="3785">
        <v>0</v>
      </c>
      <c r="CH69" s="5" vm="3784">
        <f xml:space="preserve"> VfM_Metrics_2023_Consol[[#This Row],[Total assets less current liabilities]]</f>
        <v>321194</v>
      </c>
      <c r="CI69" s="84" vm="3784">
        <v>321194</v>
      </c>
      <c r="CJ69" s="71" vm="3747">
        <f xml:space="preserve"> VfM_Metrics_2023_Consol[[#This Row],[Total social housing units owned (Period end)]]</f>
        <v>2803</v>
      </c>
      <c r="CK69" s="103">
        <v>3.6402569593147749E-2</v>
      </c>
      <c r="CL69" s="6">
        <f xml:space="preserve"> -- ( VfM_Metrics_2023_Consol[[#This Row],[% Supported housing (excl. HOP)]] &gt; 0.3 )</f>
        <v>0</v>
      </c>
      <c r="CM69" s="103">
        <v>0.12955032119914348</v>
      </c>
      <c r="CN69" s="6">
        <f xml:space="preserve"> -- ( VfM_Metrics_2023_Consol[[#This Row],[% Housing for older people]] &gt; 0.3 )</f>
        <v>0</v>
      </c>
      <c r="CO69" s="103">
        <f xml:space="preserve"> VfM_Metrics_2023_Consol[[#This Row],[% Supported housing (excl. HOP)]] + VfM_Metrics_2023_Consol[[#This Row],[% Housing for older people]]</f>
        <v>0.16595289079229122</v>
      </c>
      <c r="CP69" s="6">
        <f xml:space="preserve"> -- ( VfM_Metrics_2023_Consol[[#This Row],[SH specialist in RSH analysis]] + VfM_Metrics_2023_Consol[[#This Row],[OP specialist in RSH analysis]] &gt; 0 )</f>
        <v>0</v>
      </c>
      <c r="CQ69" s="10">
        <f xml:space="preserve"> -- ( VfM_Metrics_2023_Consol[[#This Row],[% SH and OP]] &gt; 0.3 )</f>
        <v>0</v>
      </c>
      <c r="CR69" s="104" t="s">
        <v>143</v>
      </c>
      <c r="CS69" s="124" t="s">
        <v>144</v>
      </c>
      <c r="CT69" s="105"/>
      <c r="CU6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69" s="85">
        <v>0.99964323938637178</v>
      </c>
      <c r="CW69" s="85">
        <v>0</v>
      </c>
      <c r="CX69" s="85">
        <v>0</v>
      </c>
      <c r="CY69" s="85">
        <v>0</v>
      </c>
      <c r="CZ69" s="85">
        <v>0</v>
      </c>
      <c r="DA69" s="85">
        <v>3.5676061362825543E-4</v>
      </c>
      <c r="DB69" s="85">
        <v>0</v>
      </c>
      <c r="DC69" s="85">
        <v>0</v>
      </c>
      <c r="DD69" s="85">
        <v>0</v>
      </c>
      <c r="DE69" s="13">
        <v>1.1603168876876051</v>
      </c>
    </row>
    <row r="70" spans="1:109" x14ac:dyDescent="0.25">
      <c r="A70" s="4" t="s" vm="344">
        <v>264</v>
      </c>
      <c r="B70" s="2" t="s" vm="60">
        <v>265</v>
      </c>
      <c r="C70" s="72" vm="435">
        <v>45016</v>
      </c>
      <c r="D70" s="7">
        <f>IFERROR( VfM_Metrics_2023_Consol[[#This Row],[Reinvestment Spend]] / VfM_Metrics_2023_Consol[[#This Row],[Net Book Value of Housing Properties]], "n/a" )</f>
        <v>5.2965665949476097E-2</v>
      </c>
      <c r="E7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56398</v>
      </c>
      <c r="F70" s="83" vm="5125">
        <v>19807</v>
      </c>
      <c r="G70" s="83" vm="7416">
        <v>0</v>
      </c>
      <c r="H70" s="83" vm="4880">
        <v>36410</v>
      </c>
      <c r="I70" s="83" vm="4881">
        <v>181</v>
      </c>
      <c r="J70" s="83" vm="7460">
        <v>0</v>
      </c>
      <c r="K70" s="5">
        <f xml:space="preserve"> SUM( VfM_Metrics_2023_Consol[[#This Row],[Tangible fixed assets: Housing properties at cost (Current period)]],VfM_Metrics_2023_Consol[[#This Row],[Tangible fixed assets Housing properties at valuation (Current period)]] )</f>
        <v>1064803</v>
      </c>
      <c r="L70" s="84" vm="4882">
        <v>1064803</v>
      </c>
      <c r="M70" s="83">
        <v>0</v>
      </c>
      <c r="N70" s="7">
        <f xml:space="preserve"> IFERROR( VfM_Metrics_2023_Consol[[#This Row],[Total social units developed or newly built units acquired in-year]] / VfM_Metrics_2023_Consol[[#This Row],[Social housing units owned (period end)]], "n/a" )</f>
        <v>2.0736308937009213E-3</v>
      </c>
      <c r="O70" s="5">
        <f xml:space="preserve"> SUM( VfM_Metrics_2023_Consol[[#This Row],[Total social units developed or newly built units acquired in-year (owned)]], VfM_Metrics_2023_Consol[[#This Row],[Total social leasehold units developed or newly built units acquired in-year (owned)]] )</f>
        <v>61</v>
      </c>
      <c r="P70" s="84" vm="4883">
        <v>54</v>
      </c>
      <c r="Q70" s="83" vm="4884">
        <v>7</v>
      </c>
      <c r="R70" s="5">
        <f xml:space="preserve"> SUM( VfM_Metrics_2023_Consol[[#This Row],[Total social housing units owned (Period end)]], VfM_Metrics_2023_Consol[[#This Row],[Total social leasehold units owned (Period end)]] )</f>
        <v>29417</v>
      </c>
      <c r="S70" s="84" vm="5642">
        <v>28701</v>
      </c>
      <c r="T70" s="83" vm="4885">
        <v>716</v>
      </c>
      <c r="U70" s="86">
        <f xml:space="preserve"> IFERROR( VfM_Metrics_2023_Consol[[#This Row],[Total non-social housing units developed or newly built units acquired (owned)]] / VfM_Metrics_2023_Consol[[#This Row],[Total social and non-social housing units owned (Period end)]], "n/a" )</f>
        <v>6.3672809352154427E-3</v>
      </c>
      <c r="V7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189</v>
      </c>
      <c r="W70" s="83" vm="4886">
        <v>0</v>
      </c>
      <c r="X70" s="83" vm="4887">
        <v>0</v>
      </c>
      <c r="Y70" s="83" vm="4888">
        <v>189</v>
      </c>
      <c r="Z7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29683</v>
      </c>
      <c r="AA70" s="84" vm="4878">
        <v>28701</v>
      </c>
      <c r="AB70" s="83" vm="4885">
        <v>716</v>
      </c>
      <c r="AC70" s="83" vm="4889">
        <v>62</v>
      </c>
      <c r="AD70" s="83" vm="4890">
        <v>204</v>
      </c>
      <c r="AE70" s="7">
        <f xml:space="preserve"> IFERROR( VfM_Metrics_2023_Consol[[#This Row],[Total Net Debt]] / VfM_Metrics_2023_Consol[[#This Row],[Net Book Value of Housing Properties2]], "n/a" )</f>
        <v>0.46135857994389573</v>
      </c>
      <c r="AF7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491256</v>
      </c>
      <c r="AG70" s="84" vm="3048">
        <v>5477</v>
      </c>
      <c r="AH70" s="83" vm="4891">
        <v>507651</v>
      </c>
      <c r="AI70" s="83" vm="4892">
        <v>21872</v>
      </c>
      <c r="AJ70" s="83" vm="1675">
        <v>0</v>
      </c>
      <c r="AK70" s="83">
        <v>0</v>
      </c>
      <c r="AL70" s="5">
        <f xml:space="preserve"> SUM( VfM_Metrics_2023_Consol[[#This Row],[Tangible fixed assets: Housing properties at cost (Current period)2]], VfM_Metrics_2023_Consol[[#This Row],[Tangible fixed assets Housing properties at valuation (Current period)2]] )</f>
        <v>1064803</v>
      </c>
      <c r="AM70" s="84" vm="7397">
        <v>1064803</v>
      </c>
      <c r="AN70" s="83">
        <v>0</v>
      </c>
      <c r="AO70" s="87">
        <f xml:space="preserve"> IFERROR( VfM_Metrics_2023_Consol[[#This Row],[EBITDA MRI]] / VfM_Metrics_2023_Consol[[#This Row],[Total interest]], "n/a" )</f>
        <v>0.90063275478101024</v>
      </c>
      <c r="AP7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25478</v>
      </c>
      <c r="AQ70" s="84" vm="7421">
        <v>29996</v>
      </c>
      <c r="AR70" s="84" vm="6960">
        <v>3862</v>
      </c>
      <c r="AS70" s="84" vm="3949">
        <v>28</v>
      </c>
      <c r="AT70" s="84" vm="4895">
        <v>210</v>
      </c>
      <c r="AU70" s="84" vm="4896">
        <v>0</v>
      </c>
      <c r="AV70" s="84" vm="4897">
        <v>6102</v>
      </c>
      <c r="AW70" s="84" vm="4898">
        <v>36410</v>
      </c>
      <c r="AX70" s="84" vm="4899">
        <v>29890</v>
      </c>
      <c r="AY70" s="3">
        <f xml:space="preserve"> - SUM( VfM_Metrics_2023_Consol[[#This Row],[Interest capitalised]], VfM_Metrics_2023_Consol[[#This Row],[Interest payable and financing costs]] )</f>
        <v>28289</v>
      </c>
      <c r="AZ70" s="84" vm="7378">
        <v>-181</v>
      </c>
      <c r="BA70" s="83" vm="7372">
        <v>-28108</v>
      </c>
      <c r="BB70" s="8">
        <f xml:space="preserve"> IFERROR( ( VfM_Metrics_2023_Consol[[#This Row],[Total Costs]] / VfM_Metrics_2023_Consol[[#This Row],[Total units for costs]] ) * 1000, "n/a" )</f>
        <v>4037.9901107319452</v>
      </c>
      <c r="BC7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115963</v>
      </c>
      <c r="BD70" s="84" vm="4538">
        <v>21687</v>
      </c>
      <c r="BE70" s="83" vm="6966">
        <v>3563</v>
      </c>
      <c r="BF70" s="83" vm="4900">
        <v>37077</v>
      </c>
      <c r="BG70" s="83" vm="4949">
        <v>7212</v>
      </c>
      <c r="BH70" s="83" vm="4901">
        <v>6854</v>
      </c>
      <c r="BI70" s="83" vm="4902">
        <v>1700</v>
      </c>
      <c r="BJ70" s="83" vm="5180">
        <v>36410</v>
      </c>
      <c r="BK70" s="83" vm="4903">
        <v>189</v>
      </c>
      <c r="BL70" s="83">
        <v>0</v>
      </c>
      <c r="BM70" s="83">
        <v>0</v>
      </c>
      <c r="BN70" s="83">
        <v>0</v>
      </c>
      <c r="BO70" s="83" vm="4904">
        <v>1271</v>
      </c>
      <c r="BP70" s="5" vm="4879">
        <f xml:space="preserve"> VfM_Metrics_2023_Consol[[#This Row],[Total social housing units owned and/or managed at period end]]</f>
        <v>28718</v>
      </c>
      <c r="BQ70" s="84" vm="4879">
        <v>28718</v>
      </c>
      <c r="BR70" s="7">
        <f xml:space="preserve"> IFERROR( VfM_Metrics_2023_Consol[[#This Row],[SHL operating surplus / (deficit)]] / VfM_Metrics_2023_Consol[[#This Row],[Turnover from social housing lettings]], "n/a" )</f>
        <v>0.18378436376734952</v>
      </c>
      <c r="BS70" s="5" vm="7352">
        <f xml:space="preserve"> VfM_Metrics_2023_Consol[[#This Row],[Operating surplus/(deficit) (social housing lettings)]]</f>
        <v>23980</v>
      </c>
      <c r="BT70" s="84" vm="7352">
        <v>23980</v>
      </c>
      <c r="BU70" s="5" vm="4587">
        <f xml:space="preserve"> VfM_Metrics_2023_Consol[[#This Row],[Turnover from social housing lettings]]</f>
        <v>130479</v>
      </c>
      <c r="BV70" s="84" vm="4587">
        <v>130479</v>
      </c>
      <c r="BW70" s="7">
        <f xml:space="preserve"> IFERROR( VfM_Metrics_2023_Consol[[#This Row],[Net operating surplus]] / VfM_Metrics_2023_Consol[[#This Row],[Overall turnover]], "n/a" )</f>
        <v>0.14288138097870406</v>
      </c>
      <c r="BX70" s="5">
        <f xml:space="preserve"> SUM( VfM_Metrics_2023_Consol[[#This Row],[Operating surplus/(deficit) (overall)2]], - VfM_Metrics_2023_Consol[[#This Row],[Gain/(loss) on disposal of fixed assets (housing properties)2]], - VfM_Metrics_2023_Consol[[#This Row],[Gain/(loss) on disposal of fixed assets (other)2]] )</f>
        <v>26106</v>
      </c>
      <c r="BY70" s="84" vm="4893">
        <v>29996</v>
      </c>
      <c r="BZ70" s="83" vm="4894">
        <v>3862</v>
      </c>
      <c r="CA70" s="83" vm="7040">
        <v>28</v>
      </c>
      <c r="CB70" s="5" vm="4905">
        <f xml:space="preserve"> VfM_Metrics_2023_Consol[[#This Row],[Turnover (overall)]]</f>
        <v>182711</v>
      </c>
      <c r="CC70" s="84" vm="4905">
        <v>182711</v>
      </c>
      <c r="CD70" s="7">
        <f xml:space="preserve"> IFERROR( VfM_Metrics_2023_Consol[[#This Row],[Operating surplus including from JVs]] / VfM_Metrics_2023_Consol[[#This Row],[Net assets]], "n/a" )</f>
        <v>2.5615909942945762E-2</v>
      </c>
      <c r="CE70" s="5">
        <f xml:space="preserve"> SUM( VfM_Metrics_2023_Consol[[#This Row],[Operating surplus/(deficit) (overall)3]], VfM_Metrics_2023_Consol[[#This Row],[Share of operating surplus/(deficit) in joint ventures or associates]] )</f>
        <v>29996</v>
      </c>
      <c r="CF70" s="84" vm="4681">
        <v>29996</v>
      </c>
      <c r="CG70" s="83">
        <v>0</v>
      </c>
      <c r="CH70" s="5" vm="4906">
        <f xml:space="preserve"> VfM_Metrics_2023_Consol[[#This Row],[Total assets less current liabilities]]</f>
        <v>1170991</v>
      </c>
      <c r="CI70" s="84" vm="4906">
        <v>1170991</v>
      </c>
      <c r="CJ70" s="71" vm="5642">
        <f xml:space="preserve"> VfM_Metrics_2023_Consol[[#This Row],[Total social housing units owned (Period end)]]</f>
        <v>28701</v>
      </c>
      <c r="CK70" s="103">
        <v>4.6672007244610084E-3</v>
      </c>
      <c r="CL70" s="6">
        <f xml:space="preserve"> -- ( VfM_Metrics_2023_Consol[[#This Row],[% Supported housing (excl. HOP)]] &gt; 0.3 )</f>
        <v>0</v>
      </c>
      <c r="CM70" s="103">
        <v>6.6525025251645709E-3</v>
      </c>
      <c r="CN70" s="6">
        <f xml:space="preserve"> -- ( VfM_Metrics_2023_Consol[[#This Row],[% Housing for older people]] &gt; 0.3 )</f>
        <v>0</v>
      </c>
      <c r="CO70" s="103">
        <f xml:space="preserve"> VfM_Metrics_2023_Consol[[#This Row],[% Supported housing (excl. HOP)]] + VfM_Metrics_2023_Consol[[#This Row],[% Housing for older people]]</f>
        <v>1.1319703249625579E-2</v>
      </c>
      <c r="CP70" s="6">
        <f xml:space="preserve"> -- ( VfM_Metrics_2023_Consol[[#This Row],[SH specialist in RSH analysis]] + VfM_Metrics_2023_Consol[[#This Row],[OP specialist in RSH analysis]] &gt; 0 )</f>
        <v>0</v>
      </c>
      <c r="CQ70" s="10">
        <f xml:space="preserve"> -- ( VfM_Metrics_2023_Consol[[#This Row],[% SH and OP]] &gt; 0.3 )</f>
        <v>0</v>
      </c>
      <c r="CR70" s="104" t="s">
        <v>143</v>
      </c>
      <c r="CS70" s="124"/>
      <c r="CT70" s="105" t="s">
        <v>151</v>
      </c>
      <c r="CU7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70" s="85">
        <v>0</v>
      </c>
      <c r="CW70" s="85">
        <v>0</v>
      </c>
      <c r="CX70" s="85">
        <v>0</v>
      </c>
      <c r="CY70" s="85">
        <v>0</v>
      </c>
      <c r="CZ70" s="85">
        <v>0</v>
      </c>
      <c r="DA70" s="85">
        <v>0</v>
      </c>
      <c r="DB70" s="85">
        <v>1</v>
      </c>
      <c r="DC70" s="85">
        <v>0</v>
      </c>
      <c r="DD70" s="85">
        <v>0</v>
      </c>
      <c r="DE70" s="13">
        <v>0.90654753410084521</v>
      </c>
    </row>
    <row r="71" spans="1:109" x14ac:dyDescent="0.25">
      <c r="A71" s="4" t="s" vm="322">
        <v>266</v>
      </c>
      <c r="B71" s="2" t="s" vm="61">
        <v>267</v>
      </c>
      <c r="C71" s="72" vm="416">
        <v>45016</v>
      </c>
      <c r="D71" s="7">
        <f>IFERROR( VfM_Metrics_2023_Consol[[#This Row],[Reinvestment Spend]] / VfM_Metrics_2023_Consol[[#This Row],[Net Book Value of Housing Properties]], "n/a" )</f>
        <v>0.15812378736462931</v>
      </c>
      <c r="E7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20456</v>
      </c>
      <c r="F71" s="83" vm="4112">
        <v>14291</v>
      </c>
      <c r="G71" s="83" vm="4113">
        <v>0</v>
      </c>
      <c r="H71" s="83" vm="4114">
        <v>5899</v>
      </c>
      <c r="I71" s="83" vm="7525">
        <v>266</v>
      </c>
      <c r="J71" s="83" vm="4115">
        <v>0</v>
      </c>
      <c r="K71" s="5">
        <f xml:space="preserve"> SUM( VfM_Metrics_2023_Consol[[#This Row],[Tangible fixed assets: Housing properties at cost (Current period)]],VfM_Metrics_2023_Consol[[#This Row],[Tangible fixed assets Housing properties at valuation (Current period)]] )</f>
        <v>129367</v>
      </c>
      <c r="L71" s="84" vm="4116">
        <v>129367</v>
      </c>
      <c r="M71" s="83" vm="4117">
        <v>0</v>
      </c>
      <c r="N71" s="7">
        <f xml:space="preserve"> IFERROR( VfM_Metrics_2023_Consol[[#This Row],[Total social units developed or newly built units acquired in-year]] / VfM_Metrics_2023_Consol[[#This Row],[Social housing units owned (period end)]], "n/a" )</f>
        <v>2.129757444291067E-2</v>
      </c>
      <c r="O71" s="5">
        <f xml:space="preserve"> SUM( VfM_Metrics_2023_Consol[[#This Row],[Total social units developed or newly built units acquired in-year (owned)]], VfM_Metrics_2023_Consol[[#This Row],[Total social leasehold units developed or newly built units acquired in-year (owned)]] )</f>
        <v>108</v>
      </c>
      <c r="P71" s="84" vm="7778">
        <v>105</v>
      </c>
      <c r="Q71" s="83" vm="4118">
        <v>3</v>
      </c>
      <c r="R71" s="5">
        <f xml:space="preserve"> SUM( VfM_Metrics_2023_Consol[[#This Row],[Total social housing units owned (Period end)]], VfM_Metrics_2023_Consol[[#This Row],[Total social leasehold units owned (Period end)]] )</f>
        <v>5071</v>
      </c>
      <c r="S71" s="84" vm="4110">
        <v>4756</v>
      </c>
      <c r="T71" s="83" vm="4119">
        <v>315</v>
      </c>
      <c r="U71" s="86">
        <f xml:space="preserve"> IFERROR( VfM_Metrics_2023_Consol[[#This Row],[Total non-social housing units developed or newly built units acquired (owned)]] / VfM_Metrics_2023_Consol[[#This Row],[Total social and non-social housing units owned (Period end)]], "n/a" )</f>
        <v>0</v>
      </c>
      <c r="V7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71" s="83" vm="4120">
        <v>0</v>
      </c>
      <c r="X71" s="83" vm="5061">
        <v>0</v>
      </c>
      <c r="Y71" s="83" vm="4121">
        <v>0</v>
      </c>
      <c r="Z7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5071</v>
      </c>
      <c r="AA71" s="84" vm="4110">
        <v>4756</v>
      </c>
      <c r="AB71" s="83" vm="4119">
        <v>315</v>
      </c>
      <c r="AC71" s="83" vm="4122">
        <v>0</v>
      </c>
      <c r="AD71" s="83" vm="3870">
        <v>0</v>
      </c>
      <c r="AE71" s="7">
        <f xml:space="preserve"> IFERROR( VfM_Metrics_2023_Consol[[#This Row],[Total Net Debt]] / VfM_Metrics_2023_Consol[[#This Row],[Net Book Value of Housing Properties2]], "n/a" )</f>
        <v>0.53168891602959023</v>
      </c>
      <c r="AF7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68783</v>
      </c>
      <c r="AG71" s="84" vm="4123">
        <v>0</v>
      </c>
      <c r="AH71" s="83" vm="7596">
        <v>71800</v>
      </c>
      <c r="AI71" s="83" vm="4232">
        <v>3017</v>
      </c>
      <c r="AJ71" s="83" vm="4124">
        <v>0</v>
      </c>
      <c r="AK71" s="83" vm="4125">
        <v>0</v>
      </c>
      <c r="AL71" s="5">
        <f xml:space="preserve"> SUM( VfM_Metrics_2023_Consol[[#This Row],[Tangible fixed assets: Housing properties at cost (Current period)2]], VfM_Metrics_2023_Consol[[#This Row],[Tangible fixed assets Housing properties at valuation (Current period)2]] )</f>
        <v>129367</v>
      </c>
      <c r="AM71" s="84" vm="4116">
        <v>129367</v>
      </c>
      <c r="AN71" s="83" vm="7294">
        <v>0</v>
      </c>
      <c r="AO71" s="87">
        <f xml:space="preserve"> IFERROR( VfM_Metrics_2023_Consol[[#This Row],[EBITDA MRI]] / VfM_Metrics_2023_Consol[[#This Row],[Total interest]], "n/a" )</f>
        <v>0.80233990147783252</v>
      </c>
      <c r="AP7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2606</v>
      </c>
      <c r="AQ71" s="84" vm="4126">
        <v>6879</v>
      </c>
      <c r="AR71" s="84" vm="4127">
        <v>2416</v>
      </c>
      <c r="AS71" s="84" vm="4128">
        <v>0</v>
      </c>
      <c r="AT71" s="84" vm="3784">
        <v>108</v>
      </c>
      <c r="AU71" s="84" vm="4129">
        <v>0</v>
      </c>
      <c r="AV71" s="84" vm="4130">
        <v>8</v>
      </c>
      <c r="AW71" s="84" vm="4131">
        <v>5899</v>
      </c>
      <c r="AX71" s="84" vm="4132">
        <v>4142</v>
      </c>
      <c r="AY71" s="3">
        <f xml:space="preserve"> - SUM( VfM_Metrics_2023_Consol[[#This Row],[Interest capitalised]], VfM_Metrics_2023_Consol[[#This Row],[Interest payable and financing costs]] )</f>
        <v>3248</v>
      </c>
      <c r="AZ71" s="84" vm="4133">
        <v>-266</v>
      </c>
      <c r="BA71" s="83" vm="4134">
        <v>-2982</v>
      </c>
      <c r="BB71" s="8">
        <f xml:space="preserve"> IFERROR( ( VfM_Metrics_2023_Consol[[#This Row],[Total Costs]] / VfM_Metrics_2023_Consol[[#This Row],[Total units for costs]] ) * 1000, "n/a" )</f>
        <v>4645.4526360008404</v>
      </c>
      <c r="BC7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22117</v>
      </c>
      <c r="BD71" s="84" vm="4135">
        <v>6740</v>
      </c>
      <c r="BE71" s="83" vm="4136">
        <v>2589</v>
      </c>
      <c r="BF71" s="83" vm="6983">
        <v>5384</v>
      </c>
      <c r="BG71" s="83" vm="7061">
        <v>582</v>
      </c>
      <c r="BH71" s="83" vm="4137">
        <v>8</v>
      </c>
      <c r="BI71" s="83" vm="7369">
        <v>0</v>
      </c>
      <c r="BJ71" s="83" vm="7356">
        <v>5899</v>
      </c>
      <c r="BK71" s="83" vm="4023">
        <v>384</v>
      </c>
      <c r="BL71" s="83" vm="4138">
        <v>101</v>
      </c>
      <c r="BM71" s="83" vm="4139">
        <v>429</v>
      </c>
      <c r="BN71" s="83" vm="4140">
        <v>1</v>
      </c>
      <c r="BO71" s="83" vm="4141">
        <v>0</v>
      </c>
      <c r="BP71" s="5" vm="4111">
        <f xml:space="preserve"> VfM_Metrics_2023_Consol[[#This Row],[Total social housing units owned and/or managed at period end]]</f>
        <v>4761</v>
      </c>
      <c r="BQ71" s="84" vm="4111">
        <v>4761</v>
      </c>
      <c r="BR71" s="7">
        <f xml:space="preserve"> IFERROR( VfM_Metrics_2023_Consol[[#This Row],[SHL operating surplus / (deficit)]] / VfM_Metrics_2023_Consol[[#This Row],[Turnover from social housing lettings]], "n/a" )</f>
        <v>0.16199430690934186</v>
      </c>
      <c r="BS71" s="5" vm="4142">
        <f xml:space="preserve"> VfM_Metrics_2023_Consol[[#This Row],[Operating surplus/(deficit) (social housing lettings)]]</f>
        <v>3756</v>
      </c>
      <c r="BT71" s="84" vm="4142">
        <v>3756</v>
      </c>
      <c r="BU71" s="5" vm="4143">
        <f xml:space="preserve"> VfM_Metrics_2023_Consol[[#This Row],[Turnover from social housing lettings]]</f>
        <v>23186</v>
      </c>
      <c r="BV71" s="84" vm="4143">
        <v>23186</v>
      </c>
      <c r="BW71" s="7">
        <f xml:space="preserve"> IFERROR( VfM_Metrics_2023_Consol[[#This Row],[Net operating surplus]] / VfM_Metrics_2023_Consol[[#This Row],[Overall turnover]], "n/a" )</f>
        <v>0.16767479430439192</v>
      </c>
      <c r="BX71" s="5">
        <f xml:space="preserve"> SUM( VfM_Metrics_2023_Consol[[#This Row],[Operating surplus/(deficit) (overall)2]], - VfM_Metrics_2023_Consol[[#This Row],[Gain/(loss) on disposal of fixed assets (housing properties)2]], - VfM_Metrics_2023_Consol[[#This Row],[Gain/(loss) on disposal of fixed assets (other)2]] )</f>
        <v>4463</v>
      </c>
      <c r="BY71" s="84" vm="4126">
        <v>6879</v>
      </c>
      <c r="BZ71" s="83" vm="4127">
        <v>2416</v>
      </c>
      <c r="CA71" s="83" vm="4128">
        <v>0</v>
      </c>
      <c r="CB71" s="5" vm="4144">
        <f xml:space="preserve"> VfM_Metrics_2023_Consol[[#This Row],[Turnover (overall)]]</f>
        <v>26617</v>
      </c>
      <c r="CC71" s="84" vm="4144">
        <v>26617</v>
      </c>
      <c r="CD71" s="7">
        <f xml:space="preserve"> IFERROR( VfM_Metrics_2023_Consol[[#This Row],[Operating surplus including from JVs]] / VfM_Metrics_2023_Consol[[#This Row],[Net assets]], "n/a" )</f>
        <v>3.1752259446285645E-2</v>
      </c>
      <c r="CE71" s="5">
        <f xml:space="preserve"> SUM( VfM_Metrics_2023_Consol[[#This Row],[Operating surplus/(deficit) (overall)3]], VfM_Metrics_2023_Consol[[#This Row],[Share of operating surplus/(deficit) in joint ventures or associates]] )</f>
        <v>6879</v>
      </c>
      <c r="CF71" s="84" vm="4126">
        <v>6879</v>
      </c>
      <c r="CG71" s="83" vm="4348">
        <v>0</v>
      </c>
      <c r="CH71" s="5" vm="7430">
        <f xml:space="preserve"> VfM_Metrics_2023_Consol[[#This Row],[Total assets less current liabilities]]</f>
        <v>216646</v>
      </c>
      <c r="CI71" s="84" vm="7430">
        <v>216646</v>
      </c>
      <c r="CJ71" s="71" vm="4110">
        <f xml:space="preserve"> VfM_Metrics_2023_Consol[[#This Row],[Total social housing units owned (Period end)]]</f>
        <v>4756</v>
      </c>
      <c r="CK71" s="103">
        <v>1.5443198646075735E-2</v>
      </c>
      <c r="CL71" s="6">
        <f xml:space="preserve"> -- ( VfM_Metrics_2023_Consol[[#This Row],[% Supported housing (excl. HOP)]] &gt; 0.3 )</f>
        <v>0</v>
      </c>
      <c r="CM71" s="103">
        <v>6.1349693251533742E-2</v>
      </c>
      <c r="CN71" s="6">
        <f xml:space="preserve"> -- ( VfM_Metrics_2023_Consol[[#This Row],[% Housing for older people]] &gt; 0.3 )</f>
        <v>0</v>
      </c>
      <c r="CO71" s="103">
        <f xml:space="preserve"> VfM_Metrics_2023_Consol[[#This Row],[% Supported housing (excl. HOP)]] + VfM_Metrics_2023_Consol[[#This Row],[% Housing for older people]]</f>
        <v>7.6792891897609475E-2</v>
      </c>
      <c r="CP71" s="6">
        <f xml:space="preserve"> -- ( VfM_Metrics_2023_Consol[[#This Row],[SH specialist in RSH analysis]] + VfM_Metrics_2023_Consol[[#This Row],[OP specialist in RSH analysis]] &gt; 0 )</f>
        <v>0</v>
      </c>
      <c r="CQ71" s="10">
        <f xml:space="preserve"> -- ( VfM_Metrics_2023_Consol[[#This Row],[% SH and OP]] &gt; 0.3 )</f>
        <v>0</v>
      </c>
      <c r="CR71" s="104" t="s">
        <v>168</v>
      </c>
      <c r="CS71" s="124">
        <v>42079</v>
      </c>
      <c r="CT71" s="105" t="s">
        <v>169</v>
      </c>
      <c r="CU7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71" s="85">
        <v>0</v>
      </c>
      <c r="CW71" s="85">
        <v>0</v>
      </c>
      <c r="CX71" s="85">
        <v>1</v>
      </c>
      <c r="CY71" s="85">
        <v>0</v>
      </c>
      <c r="CZ71" s="85">
        <v>0</v>
      </c>
      <c r="DA71" s="85">
        <v>0</v>
      </c>
      <c r="DB71" s="85">
        <v>0</v>
      </c>
      <c r="DC71" s="85">
        <v>0</v>
      </c>
      <c r="DD71" s="85">
        <v>0</v>
      </c>
      <c r="DE71" s="13">
        <v>0.97511902715076015</v>
      </c>
    </row>
    <row r="72" spans="1:109" x14ac:dyDescent="0.25">
      <c r="A72" s="4" t="s" vm="309">
        <v>268</v>
      </c>
      <c r="B72" s="2" t="s" vm="62">
        <v>269</v>
      </c>
      <c r="C72" s="72" vm="475">
        <v>45016</v>
      </c>
      <c r="D72" s="7">
        <f>IFERROR( VfM_Metrics_2023_Consol[[#This Row],[Reinvestment Spend]] / VfM_Metrics_2023_Consol[[#This Row],[Net Book Value of Housing Properties]], "n/a" )</f>
        <v>8.244655354232576E-2</v>
      </c>
      <c r="E7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10320</v>
      </c>
      <c r="F72" s="83" vm="3638">
        <v>9633</v>
      </c>
      <c r="G72" s="83" vm="3639">
        <v>0</v>
      </c>
      <c r="H72" s="83" vm="3640">
        <v>687</v>
      </c>
      <c r="I72" s="83" vm="3641">
        <v>0</v>
      </c>
      <c r="J72" s="83" vm="3642">
        <v>0</v>
      </c>
      <c r="K72" s="5">
        <f xml:space="preserve"> SUM( VfM_Metrics_2023_Consol[[#This Row],[Tangible fixed assets: Housing properties at cost (Current period)]],VfM_Metrics_2023_Consol[[#This Row],[Tangible fixed assets Housing properties at valuation (Current period)]] )</f>
        <v>125172</v>
      </c>
      <c r="L72" s="84" vm="3643">
        <v>125172</v>
      </c>
      <c r="M72" s="83">
        <v>0</v>
      </c>
      <c r="N72" s="7">
        <f xml:space="preserve"> IFERROR( VfM_Metrics_2023_Consol[[#This Row],[Total social units developed or newly built units acquired in-year]] / VfM_Metrics_2023_Consol[[#This Row],[Social housing units owned (period end)]], "n/a" )</f>
        <v>0.10295769374766005</v>
      </c>
      <c r="O72" s="5">
        <f xml:space="preserve"> SUM( VfM_Metrics_2023_Consol[[#This Row],[Total social units developed or newly built units acquired in-year (owned)]], VfM_Metrics_2023_Consol[[#This Row],[Total social leasehold units developed or newly built units acquired in-year (owned)]] )</f>
        <v>275</v>
      </c>
      <c r="P72" s="84" vm="3644">
        <v>275</v>
      </c>
      <c r="Q72" s="83">
        <v>0</v>
      </c>
      <c r="R72" s="5">
        <f xml:space="preserve"> SUM( VfM_Metrics_2023_Consol[[#This Row],[Total social housing units owned (Period end)]], VfM_Metrics_2023_Consol[[#This Row],[Total social leasehold units owned (Period end)]] )</f>
        <v>2671</v>
      </c>
      <c r="S72" s="84" vm="3636">
        <v>2671</v>
      </c>
      <c r="T72" s="83" vm="7414">
        <v>0</v>
      </c>
      <c r="U72" s="86">
        <f xml:space="preserve"> IFERROR( VfM_Metrics_2023_Consol[[#This Row],[Total non-social housing units developed or newly built units acquired (owned)]] / VfM_Metrics_2023_Consol[[#This Row],[Total social and non-social housing units owned (Period end)]], "n/a" )</f>
        <v>0</v>
      </c>
      <c r="V7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72" s="83">
        <v>0</v>
      </c>
      <c r="X72" s="83">
        <v>0</v>
      </c>
      <c r="Y72" s="83" vm="3646">
        <v>0</v>
      </c>
      <c r="Z7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2675</v>
      </c>
      <c r="AA72" s="84" vm="3636">
        <v>2671</v>
      </c>
      <c r="AB72" s="83" vm="3645">
        <v>0</v>
      </c>
      <c r="AC72" s="83" vm="3647">
        <v>4</v>
      </c>
      <c r="AD72" s="83" vm="3648">
        <v>0</v>
      </c>
      <c r="AE72" s="7">
        <f xml:space="preserve"> IFERROR( VfM_Metrics_2023_Consol[[#This Row],[Total Net Debt]] / VfM_Metrics_2023_Consol[[#This Row],[Net Book Value of Housing Properties2]], "n/a" )</f>
        <v>0.43765378838717922</v>
      </c>
      <c r="AF7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54782</v>
      </c>
      <c r="AG72" s="84" vm="7413">
        <v>1075</v>
      </c>
      <c r="AH72" s="83" vm="3649">
        <v>61134</v>
      </c>
      <c r="AI72" s="83" vm="3650">
        <v>7427</v>
      </c>
      <c r="AJ72" s="83" vm="1675">
        <v>0</v>
      </c>
      <c r="AK72" s="83">
        <v>0</v>
      </c>
      <c r="AL72" s="5">
        <f xml:space="preserve"> SUM( VfM_Metrics_2023_Consol[[#This Row],[Tangible fixed assets: Housing properties at cost (Current period)2]], VfM_Metrics_2023_Consol[[#This Row],[Tangible fixed assets Housing properties at valuation (Current period)2]] )</f>
        <v>125172</v>
      </c>
      <c r="AM72" s="84" vm="3475">
        <v>125172</v>
      </c>
      <c r="AN72" s="83">
        <v>0</v>
      </c>
      <c r="AO72" s="87">
        <f xml:space="preserve"> IFERROR( VfM_Metrics_2023_Consol[[#This Row],[EBITDA MRI]] / VfM_Metrics_2023_Consol[[#This Row],[Total interest]], "n/a" )</f>
        <v>1.5244444444444445</v>
      </c>
      <c r="AP7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3773</v>
      </c>
      <c r="AQ72" s="84" vm="3651">
        <v>3275</v>
      </c>
      <c r="AR72" s="84" vm="3652">
        <v>65</v>
      </c>
      <c r="AS72" s="84" vm="3653">
        <v>-74</v>
      </c>
      <c r="AT72" s="84" vm="3654">
        <v>255</v>
      </c>
      <c r="AU72" s="84" vm="3655">
        <v>0</v>
      </c>
      <c r="AV72" s="84" vm="3656">
        <v>5</v>
      </c>
      <c r="AW72" s="84" vm="3657">
        <v>687</v>
      </c>
      <c r="AX72" s="84" vm="7201">
        <v>1426</v>
      </c>
      <c r="AY72" s="3">
        <f xml:space="preserve"> - SUM( VfM_Metrics_2023_Consol[[#This Row],[Interest capitalised]], VfM_Metrics_2023_Consol[[#This Row],[Interest payable and financing costs]] )</f>
        <v>2475</v>
      </c>
      <c r="AZ72" s="84">
        <v>0</v>
      </c>
      <c r="BA72" s="83" vm="3658">
        <v>-2475</v>
      </c>
      <c r="BB72" s="8">
        <f xml:space="preserve"> IFERROR( ( VfM_Metrics_2023_Consol[[#This Row],[Total Costs]] / VfM_Metrics_2023_Consol[[#This Row],[Total units for costs]] ) * 1000, "n/a" )</f>
        <v>9220.516660426807</v>
      </c>
      <c r="BC7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24628</v>
      </c>
      <c r="BD72" s="84" vm="3659">
        <v>6724</v>
      </c>
      <c r="BE72" s="83" vm="7446">
        <v>2150</v>
      </c>
      <c r="BF72" s="83" vm="3660">
        <v>1696</v>
      </c>
      <c r="BG72" s="83" vm="3736">
        <v>1159</v>
      </c>
      <c r="BH72" s="83" vm="3661">
        <v>1803</v>
      </c>
      <c r="BI72" s="83" vm="3662">
        <v>9567</v>
      </c>
      <c r="BJ72" s="83" vm="3657">
        <v>687</v>
      </c>
      <c r="BK72" s="83" vm="3663">
        <v>842</v>
      </c>
      <c r="BL72" s="83">
        <v>0</v>
      </c>
      <c r="BM72" s="83">
        <v>0</v>
      </c>
      <c r="BN72" s="83">
        <v>0</v>
      </c>
      <c r="BO72" s="83">
        <v>0</v>
      </c>
      <c r="BP72" s="5" vm="3637">
        <f xml:space="preserve"> VfM_Metrics_2023_Consol[[#This Row],[Total social housing units owned and/or managed at period end]]</f>
        <v>2671</v>
      </c>
      <c r="BQ72" s="84" vm="3637">
        <v>2671</v>
      </c>
      <c r="BR72" s="7">
        <f xml:space="preserve"> IFERROR( VfM_Metrics_2023_Consol[[#This Row],[SHL operating surplus / (deficit)]] / VfM_Metrics_2023_Consol[[#This Row],[Turnover from social housing lettings]], "n/a" )</f>
        <v>0.11368827973994025</v>
      </c>
      <c r="BS72" s="5" vm="3664">
        <f xml:space="preserve"> VfM_Metrics_2023_Consol[[#This Row],[Operating surplus/(deficit) (social housing lettings)]]</f>
        <v>3235</v>
      </c>
      <c r="BT72" s="84" vm="3664">
        <v>3235</v>
      </c>
      <c r="BU72" s="5" vm="2960">
        <f xml:space="preserve"> VfM_Metrics_2023_Consol[[#This Row],[Turnover from social housing lettings]]</f>
        <v>28455</v>
      </c>
      <c r="BV72" s="84" vm="2960">
        <v>28455</v>
      </c>
      <c r="BW72" s="7">
        <f xml:space="preserve"> IFERROR( VfM_Metrics_2023_Consol[[#This Row],[Net operating surplus]] / VfM_Metrics_2023_Consol[[#This Row],[Overall turnover]], "n/a" )</f>
        <v>0.11507866979710552</v>
      </c>
      <c r="BX72" s="5">
        <f xml:space="preserve"> SUM( VfM_Metrics_2023_Consol[[#This Row],[Operating surplus/(deficit) (overall)2]], - VfM_Metrics_2023_Consol[[#This Row],[Gain/(loss) on disposal of fixed assets (housing properties)2]], - VfM_Metrics_2023_Consol[[#This Row],[Gain/(loss) on disposal of fixed assets (other)2]] )</f>
        <v>3284</v>
      </c>
      <c r="BY72" s="84" vm="3651">
        <v>3275</v>
      </c>
      <c r="BZ72" s="83" vm="3652">
        <v>65</v>
      </c>
      <c r="CA72" s="83" vm="3653">
        <v>-74</v>
      </c>
      <c r="CB72" s="5" vm="3665">
        <f xml:space="preserve"> VfM_Metrics_2023_Consol[[#This Row],[Turnover (overall)]]</f>
        <v>28537</v>
      </c>
      <c r="CC72" s="84" vm="3665">
        <v>28537</v>
      </c>
      <c r="CD72" s="7">
        <f xml:space="preserve"> IFERROR( VfM_Metrics_2023_Consol[[#This Row],[Operating surplus including from JVs]] / VfM_Metrics_2023_Consol[[#This Row],[Net assets]], "n/a" )</f>
        <v>2.5196959438665598E-2</v>
      </c>
      <c r="CE72" s="5">
        <f xml:space="preserve"> SUM( VfM_Metrics_2023_Consol[[#This Row],[Operating surplus/(deficit) (overall)3]], VfM_Metrics_2023_Consol[[#This Row],[Share of operating surplus/(deficit) in joint ventures or associates]] )</f>
        <v>3275</v>
      </c>
      <c r="CF72" s="84" vm="3651">
        <v>3275</v>
      </c>
      <c r="CG72" s="83">
        <v>0</v>
      </c>
      <c r="CH72" s="5" vm="3666">
        <f xml:space="preserve"> VfM_Metrics_2023_Consol[[#This Row],[Total assets less current liabilities]]</f>
        <v>129976</v>
      </c>
      <c r="CI72" s="84" vm="3666">
        <v>129976</v>
      </c>
      <c r="CJ72" s="71" vm="3636">
        <f xml:space="preserve"> VfM_Metrics_2023_Consol[[#This Row],[Total social housing units owned (Period end)]]</f>
        <v>2671</v>
      </c>
      <c r="CK72" s="103">
        <v>0.97603893672781727</v>
      </c>
      <c r="CL72" s="6">
        <f xml:space="preserve"> -- ( VfM_Metrics_2023_Consol[[#This Row],[% Supported housing (excl. HOP)]] &gt; 0.3 )</f>
        <v>1</v>
      </c>
      <c r="CM72" s="103">
        <v>0</v>
      </c>
      <c r="CN72" s="6">
        <f xml:space="preserve"> -- ( VfM_Metrics_2023_Consol[[#This Row],[% Housing for older people]] &gt; 0.3 )</f>
        <v>0</v>
      </c>
      <c r="CO72" s="103">
        <f xml:space="preserve"> VfM_Metrics_2023_Consol[[#This Row],[% Supported housing (excl. HOP)]] + VfM_Metrics_2023_Consol[[#This Row],[% Housing for older people]]</f>
        <v>0.97603893672781727</v>
      </c>
      <c r="CP72" s="6">
        <f xml:space="preserve"> -- ( VfM_Metrics_2023_Consol[[#This Row],[SH specialist in RSH analysis]] + VfM_Metrics_2023_Consol[[#This Row],[OP specialist in RSH analysis]] &gt; 0 )</f>
        <v>1</v>
      </c>
      <c r="CQ72" s="10">
        <f xml:space="preserve"> -- ( VfM_Metrics_2023_Consol[[#This Row],[% SH and OP]] &gt; 0.3 )</f>
        <v>1</v>
      </c>
      <c r="CR72" s="104" t="s">
        <v>143</v>
      </c>
      <c r="CS72" s="124" t="s">
        <v>144</v>
      </c>
      <c r="CT72" s="105"/>
      <c r="CU7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72" s="85">
        <v>7.9698651863600312E-2</v>
      </c>
      <c r="CW72" s="85">
        <v>0.16613798572561458</v>
      </c>
      <c r="CX72" s="85">
        <v>0.15067406819984139</v>
      </c>
      <c r="CY72" s="85">
        <v>0.15741475019825535</v>
      </c>
      <c r="CZ72" s="85">
        <v>7.1371927042030131E-2</v>
      </c>
      <c r="DA72" s="85">
        <v>7.5337034099920694E-2</v>
      </c>
      <c r="DB72" s="85">
        <v>4.4012688342585253E-2</v>
      </c>
      <c r="DC72" s="85">
        <v>7.6526566217287872E-2</v>
      </c>
      <c r="DD72" s="85">
        <v>0.1788263283108644</v>
      </c>
      <c r="DE72" s="13">
        <v>0.98688354671373213</v>
      </c>
    </row>
    <row r="73" spans="1:109" x14ac:dyDescent="0.25">
      <c r="A73" s="4" t="s" vm="361">
        <v>270</v>
      </c>
      <c r="B73" s="2" t="s" vm="63">
        <v>271</v>
      </c>
      <c r="C73" s="72" vm="422">
        <v>45016</v>
      </c>
      <c r="D73" s="7">
        <f>IFERROR( VfM_Metrics_2023_Consol[[#This Row],[Reinvestment Spend]] / VfM_Metrics_2023_Consol[[#This Row],[Net Book Value of Housing Properties]], "n/a" )</f>
        <v>6.4768570792070726E-2</v>
      </c>
      <c r="E7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34016</v>
      </c>
      <c r="F73" s="83" vm="5473">
        <v>0</v>
      </c>
      <c r="G73" s="83" vm="5474">
        <v>25287</v>
      </c>
      <c r="H73" s="83" vm="5575">
        <v>6959</v>
      </c>
      <c r="I73" s="83" vm="5475">
        <v>1770</v>
      </c>
      <c r="J73" s="83" vm="5476">
        <v>0</v>
      </c>
      <c r="K73" s="5">
        <f xml:space="preserve"> SUM( VfM_Metrics_2023_Consol[[#This Row],[Tangible fixed assets: Housing properties at cost (Current period)]],VfM_Metrics_2023_Consol[[#This Row],[Tangible fixed assets Housing properties at valuation (Current period)]] )</f>
        <v>525193</v>
      </c>
      <c r="L73" s="84" vm="5477">
        <v>525193</v>
      </c>
      <c r="M73" s="83" vm="5478">
        <v>0</v>
      </c>
      <c r="N73" s="7">
        <f xml:space="preserve"> IFERROR( VfM_Metrics_2023_Consol[[#This Row],[Total social units developed or newly built units acquired in-year]] / VfM_Metrics_2023_Consol[[#This Row],[Social housing units owned (period end)]], "n/a" )</f>
        <v>3.0497398039452984E-2</v>
      </c>
      <c r="O73" s="5">
        <f xml:space="preserve"> SUM( VfM_Metrics_2023_Consol[[#This Row],[Total social units developed or newly built units acquired in-year (owned)]], VfM_Metrics_2023_Consol[[#This Row],[Total social leasehold units developed or newly built units acquired in-year (owned)]] )</f>
        <v>252</v>
      </c>
      <c r="P73" s="84" vm="5479">
        <v>252</v>
      </c>
      <c r="Q73" s="83">
        <v>0</v>
      </c>
      <c r="R73" s="5">
        <f xml:space="preserve"> SUM( VfM_Metrics_2023_Consol[[#This Row],[Total social housing units owned (Period end)]], VfM_Metrics_2023_Consol[[#This Row],[Total social leasehold units owned (Period end)]] )</f>
        <v>8263</v>
      </c>
      <c r="S73" s="84" vm="5471">
        <v>7783</v>
      </c>
      <c r="T73" s="83" vm="5480">
        <v>480</v>
      </c>
      <c r="U73" s="86">
        <f xml:space="preserve"> IFERROR( VfM_Metrics_2023_Consol[[#This Row],[Total non-social housing units developed or newly built units acquired (owned)]] / VfM_Metrics_2023_Consol[[#This Row],[Total social and non-social housing units owned (Period end)]], "n/a" )</f>
        <v>0</v>
      </c>
      <c r="V7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73" s="83">
        <v>0</v>
      </c>
      <c r="X73" s="83">
        <v>0</v>
      </c>
      <c r="Y73" s="83">
        <v>0</v>
      </c>
      <c r="Z7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8455</v>
      </c>
      <c r="AA73" s="84" vm="5471">
        <v>7783</v>
      </c>
      <c r="AB73" s="83" vm="5480">
        <v>480</v>
      </c>
      <c r="AC73" s="83" vm="5481">
        <v>192</v>
      </c>
      <c r="AD73" s="83" vm="5482">
        <v>0</v>
      </c>
      <c r="AE73" s="7">
        <f xml:space="preserve"> IFERROR( VfM_Metrics_2023_Consol[[#This Row],[Total Net Debt]] / VfM_Metrics_2023_Consol[[#This Row],[Net Book Value of Housing Properties2]], "n/a" )</f>
        <v>0.56455626788628177</v>
      </c>
      <c r="AF7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296501</v>
      </c>
      <c r="AG73" s="84" vm="5483">
        <v>3666</v>
      </c>
      <c r="AH73" s="83" vm="5484">
        <v>302471</v>
      </c>
      <c r="AI73" s="83" vm="5485">
        <v>9636</v>
      </c>
      <c r="AJ73" s="83" vm="1675">
        <v>0</v>
      </c>
      <c r="AK73" s="83">
        <v>0</v>
      </c>
      <c r="AL73" s="5">
        <f xml:space="preserve"> SUM( VfM_Metrics_2023_Consol[[#This Row],[Tangible fixed assets: Housing properties at cost (Current period)2]], VfM_Metrics_2023_Consol[[#This Row],[Tangible fixed assets Housing properties at valuation (Current period)2]] )</f>
        <v>525193</v>
      </c>
      <c r="AM73" s="84" vm="5477">
        <v>525193</v>
      </c>
      <c r="AN73" s="83" vm="5478">
        <v>0</v>
      </c>
      <c r="AO73" s="87">
        <f xml:space="preserve"> IFERROR( VfM_Metrics_2023_Consol[[#This Row],[EBITDA MRI]] / VfM_Metrics_2023_Consol[[#This Row],[Total interest]], "n/a" )</f>
        <v>1.0909863945578231</v>
      </c>
      <c r="AP7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11547</v>
      </c>
      <c r="AQ73" s="84" vm="5486">
        <v>12551</v>
      </c>
      <c r="AR73" s="84" vm="5487">
        <v>2599</v>
      </c>
      <c r="AS73" s="84" vm="5488">
        <v>0</v>
      </c>
      <c r="AT73" s="84" vm="7503">
        <v>382</v>
      </c>
      <c r="AU73" s="84" vm="7253">
        <v>0</v>
      </c>
      <c r="AV73" s="84" vm="5489">
        <v>227</v>
      </c>
      <c r="AW73" s="84" vm="5490">
        <v>6959</v>
      </c>
      <c r="AX73" s="84" vm="5491">
        <v>8709</v>
      </c>
      <c r="AY73" s="3">
        <f xml:space="preserve"> - SUM( VfM_Metrics_2023_Consol[[#This Row],[Interest capitalised]], VfM_Metrics_2023_Consol[[#This Row],[Interest payable and financing costs]] )</f>
        <v>10584</v>
      </c>
      <c r="AZ73" s="84" vm="5492">
        <v>-2256</v>
      </c>
      <c r="BA73" s="83" vm="5493">
        <v>-8328</v>
      </c>
      <c r="BB73" s="8">
        <f xml:space="preserve"> IFERROR( ( VfM_Metrics_2023_Consol[[#This Row],[Total Costs]] / VfM_Metrics_2023_Consol[[#This Row],[Total units for costs]] ) * 1000, "n/a" )</f>
        <v>5144.2888346395985</v>
      </c>
      <c r="BC7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40038</v>
      </c>
      <c r="BD73" s="84" vm="5494">
        <v>10649</v>
      </c>
      <c r="BE73" s="83" vm="5495">
        <v>2772</v>
      </c>
      <c r="BF73" s="83" vm="5496">
        <v>10146</v>
      </c>
      <c r="BG73" s="83" vm="5355">
        <v>9155</v>
      </c>
      <c r="BH73" s="83" vm="5497">
        <v>0</v>
      </c>
      <c r="BI73" s="83" vm="5908">
        <v>0</v>
      </c>
      <c r="BJ73" s="83" vm="6946">
        <v>6959</v>
      </c>
      <c r="BK73" s="83" vm="5498">
        <v>282</v>
      </c>
      <c r="BL73" s="83">
        <v>0</v>
      </c>
      <c r="BM73" s="83">
        <v>0</v>
      </c>
      <c r="BN73" s="83" vm="5232">
        <v>3</v>
      </c>
      <c r="BO73" s="83" vm="5499">
        <v>72</v>
      </c>
      <c r="BP73" s="5" vm="5472">
        <f xml:space="preserve"> VfM_Metrics_2023_Consol[[#This Row],[Total social housing units owned and/or managed at period end]]</f>
        <v>7783</v>
      </c>
      <c r="BQ73" s="84" vm="5472">
        <v>7783</v>
      </c>
      <c r="BR73" s="7">
        <f xml:space="preserve"> IFERROR( VfM_Metrics_2023_Consol[[#This Row],[SHL operating surplus / (deficit)]] / VfM_Metrics_2023_Consol[[#This Row],[Turnover from social housing lettings]], "n/a" )</f>
        <v>0.11260974678712304</v>
      </c>
      <c r="BS73" s="5" vm="5500">
        <f xml:space="preserve"> VfM_Metrics_2023_Consol[[#This Row],[Operating surplus/(deficit) (social housing lettings)]]</f>
        <v>5310</v>
      </c>
      <c r="BT73" s="84" vm="5500">
        <v>5310</v>
      </c>
      <c r="BU73" s="5" vm="5501">
        <f xml:space="preserve"> VfM_Metrics_2023_Consol[[#This Row],[Turnover from social housing lettings]]</f>
        <v>47154</v>
      </c>
      <c r="BV73" s="84" vm="5501">
        <v>47154</v>
      </c>
      <c r="BW73" s="7">
        <f xml:space="preserve"> IFERROR( VfM_Metrics_2023_Consol[[#This Row],[Net operating surplus]] / VfM_Metrics_2023_Consol[[#This Row],[Overall turnover]], "n/a" )</f>
        <v>0.14873710955014199</v>
      </c>
      <c r="BX73" s="5">
        <f xml:space="preserve"> SUM( VfM_Metrics_2023_Consol[[#This Row],[Operating surplus/(deficit) (overall)2]], - VfM_Metrics_2023_Consol[[#This Row],[Gain/(loss) on disposal of fixed assets (housing properties)2]], - VfM_Metrics_2023_Consol[[#This Row],[Gain/(loss) on disposal of fixed assets (other)2]] )</f>
        <v>9952</v>
      </c>
      <c r="BY73" s="84" vm="5486">
        <v>12551</v>
      </c>
      <c r="BZ73" s="83" vm="5487">
        <v>2599</v>
      </c>
      <c r="CA73" s="83" vm="5488">
        <v>0</v>
      </c>
      <c r="CB73" s="5" vm="5502">
        <f xml:space="preserve"> VfM_Metrics_2023_Consol[[#This Row],[Turnover (overall)]]</f>
        <v>66910</v>
      </c>
      <c r="CC73" s="84" vm="5502">
        <v>66910</v>
      </c>
      <c r="CD73" s="7">
        <f xml:space="preserve"> IFERROR( VfM_Metrics_2023_Consol[[#This Row],[Operating surplus including from JVs]] / VfM_Metrics_2023_Consol[[#This Row],[Net assets]], "n/a" )</f>
        <v>2.1952132422902559E-2</v>
      </c>
      <c r="CE73" s="5">
        <f xml:space="preserve"> SUM( VfM_Metrics_2023_Consol[[#This Row],[Operating surplus/(deficit) (overall)3]], VfM_Metrics_2023_Consol[[#This Row],[Share of operating surplus/(deficit) in joint ventures or associates]] )</f>
        <v>12551</v>
      </c>
      <c r="CF73" s="84" vm="5486">
        <v>12551</v>
      </c>
      <c r="CG73" s="83" vm="5504">
        <v>0</v>
      </c>
      <c r="CH73" s="5" vm="5503">
        <f xml:space="preserve"> VfM_Metrics_2023_Consol[[#This Row],[Total assets less current liabilities]]</f>
        <v>571744</v>
      </c>
      <c r="CI73" s="84" vm="5503">
        <v>571744</v>
      </c>
      <c r="CJ73" s="71" vm="5471">
        <f xml:space="preserve"> VfM_Metrics_2023_Consol[[#This Row],[Total social housing units owned (Period end)]]</f>
        <v>7783</v>
      </c>
      <c r="CK73" s="103">
        <v>0</v>
      </c>
      <c r="CL73" s="6">
        <f xml:space="preserve"> -- ( VfM_Metrics_2023_Consol[[#This Row],[% Supported housing (excl. HOP)]] &gt; 0.3 )</f>
        <v>0</v>
      </c>
      <c r="CM73" s="103">
        <v>0.12736773350751143</v>
      </c>
      <c r="CN73" s="6">
        <f xml:space="preserve"> -- ( VfM_Metrics_2023_Consol[[#This Row],[% Housing for older people]] &gt; 0.3 )</f>
        <v>0</v>
      </c>
      <c r="CO73" s="103">
        <f xml:space="preserve"> VfM_Metrics_2023_Consol[[#This Row],[% Supported housing (excl. HOP)]] + VfM_Metrics_2023_Consol[[#This Row],[% Housing for older people]]</f>
        <v>0.12736773350751143</v>
      </c>
      <c r="CP73" s="6">
        <f xml:space="preserve"> -- ( VfM_Metrics_2023_Consol[[#This Row],[SH specialist in RSH analysis]] + VfM_Metrics_2023_Consol[[#This Row],[OP specialist in RSH analysis]] &gt; 0 )</f>
        <v>0</v>
      </c>
      <c r="CQ73" s="10">
        <f xml:space="preserve"> -- ( VfM_Metrics_2023_Consol[[#This Row],[% SH and OP]] &gt; 0.3 )</f>
        <v>0</v>
      </c>
      <c r="CR73" s="104" t="s">
        <v>143</v>
      </c>
      <c r="CS73" s="124"/>
      <c r="CT73" s="105" t="s">
        <v>151</v>
      </c>
      <c r="CU7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73" s="85">
        <v>3.5971223021582736E-3</v>
      </c>
      <c r="CW73" s="85">
        <v>0.99640287769784175</v>
      </c>
      <c r="CX73" s="85">
        <v>0</v>
      </c>
      <c r="CY73" s="85">
        <v>0</v>
      </c>
      <c r="CZ73" s="85">
        <v>0</v>
      </c>
      <c r="DA73" s="85">
        <v>0</v>
      </c>
      <c r="DB73" s="85">
        <v>0</v>
      </c>
      <c r="DC73" s="85">
        <v>0</v>
      </c>
      <c r="DD73" s="85">
        <v>0</v>
      </c>
      <c r="DE73" s="13">
        <v>1.0341681605333464</v>
      </c>
    </row>
    <row r="74" spans="1:109" x14ac:dyDescent="0.25">
      <c r="A74" s="4" t="s" vm="292">
        <v>272</v>
      </c>
      <c r="B74" s="2" t="s" vm="64">
        <v>273</v>
      </c>
      <c r="C74" s="72" vm="513">
        <v>45016</v>
      </c>
      <c r="D74" s="7">
        <f>IFERROR( VfM_Metrics_2023_Consol[[#This Row],[Reinvestment Spend]] / VfM_Metrics_2023_Consol[[#This Row],[Net Book Value of Housing Properties]], "n/a" )</f>
        <v>6.2850516339934617E-2</v>
      </c>
      <c r="E7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44009</v>
      </c>
      <c r="F74" s="83" vm="3071">
        <v>32552</v>
      </c>
      <c r="G74" s="83" vm="3072">
        <v>0</v>
      </c>
      <c r="H74" s="83" vm="3073">
        <v>9265</v>
      </c>
      <c r="I74" s="83" vm="3074">
        <v>2192</v>
      </c>
      <c r="J74" s="83" vm="7662">
        <v>0</v>
      </c>
      <c r="K74" s="5">
        <f xml:space="preserve"> SUM( VfM_Metrics_2023_Consol[[#This Row],[Tangible fixed assets: Housing properties at cost (Current period)]],VfM_Metrics_2023_Consol[[#This Row],[Tangible fixed assets Housing properties at valuation (Current period)]] )</f>
        <v>700217</v>
      </c>
      <c r="L74" s="84" vm="3075">
        <v>700217</v>
      </c>
      <c r="M74" s="83" vm="3076">
        <v>0</v>
      </c>
      <c r="N74" s="7">
        <f xml:space="preserve"> IFERROR( VfM_Metrics_2023_Consol[[#This Row],[Total social units developed or newly built units acquired in-year]] / VfM_Metrics_2023_Consol[[#This Row],[Social housing units owned (period end)]], "n/a" )</f>
        <v>2.1916290845794762E-2</v>
      </c>
      <c r="O74" s="5">
        <f xml:space="preserve"> SUM( VfM_Metrics_2023_Consol[[#This Row],[Total social units developed or newly built units acquired in-year (owned)]], VfM_Metrics_2023_Consol[[#This Row],[Total social leasehold units developed or newly built units acquired in-year (owned)]] )</f>
        <v>277</v>
      </c>
      <c r="P74" s="84" vm="7603">
        <v>277</v>
      </c>
      <c r="Q74" s="83" vm="3077">
        <v>0</v>
      </c>
      <c r="R74" s="5">
        <f xml:space="preserve"> SUM( VfM_Metrics_2023_Consol[[#This Row],[Total social housing units owned (Period end)]], VfM_Metrics_2023_Consol[[#This Row],[Total social leasehold units owned (Period end)]] )</f>
        <v>12639</v>
      </c>
      <c r="S74" s="84" vm="1916">
        <v>12266</v>
      </c>
      <c r="T74" s="83" vm="3078">
        <v>373</v>
      </c>
      <c r="U74" s="86">
        <f xml:space="preserve"> IFERROR( VfM_Metrics_2023_Consol[[#This Row],[Total non-social housing units developed or newly built units acquired (owned)]] / VfM_Metrics_2023_Consol[[#This Row],[Total social and non-social housing units owned (Period end)]], "n/a" )</f>
        <v>3.9108330074305825E-4</v>
      </c>
      <c r="V7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5</v>
      </c>
      <c r="W74" s="83" vm="3079">
        <v>0</v>
      </c>
      <c r="X74" s="83" vm="7842">
        <v>0</v>
      </c>
      <c r="Y74" s="83" vm="7465">
        <v>5</v>
      </c>
      <c r="Z7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12785</v>
      </c>
      <c r="AA74" s="84" vm="3069">
        <v>12266</v>
      </c>
      <c r="AB74" s="83" vm="3078">
        <v>373</v>
      </c>
      <c r="AC74" s="83" vm="3080">
        <v>146</v>
      </c>
      <c r="AD74" s="83" vm="7747">
        <v>0</v>
      </c>
      <c r="AE74" s="7">
        <f xml:space="preserve"> IFERROR( VfM_Metrics_2023_Consol[[#This Row],[Total Net Debt]] / VfM_Metrics_2023_Consol[[#This Row],[Net Book Value of Housing Properties2]], "n/a" )</f>
        <v>0.48194202654320017</v>
      </c>
      <c r="AF7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337464</v>
      </c>
      <c r="AG74" s="84" vm="7976">
        <v>1929</v>
      </c>
      <c r="AH74" s="83" vm="3081">
        <v>344974</v>
      </c>
      <c r="AI74" s="83" vm="7082">
        <v>9439</v>
      </c>
      <c r="AJ74" s="83" vm="3082">
        <v>0</v>
      </c>
      <c r="AK74" s="83" vm="3083">
        <v>0</v>
      </c>
      <c r="AL74" s="5">
        <f xml:space="preserve"> SUM( VfM_Metrics_2023_Consol[[#This Row],[Tangible fixed assets: Housing properties at cost (Current period)2]], VfM_Metrics_2023_Consol[[#This Row],[Tangible fixed assets Housing properties at valuation (Current period)2]] )</f>
        <v>700217</v>
      </c>
      <c r="AM74" s="84" vm="7769">
        <v>700217</v>
      </c>
      <c r="AN74" s="83" vm="3076">
        <v>0</v>
      </c>
      <c r="AO74" s="87">
        <f xml:space="preserve"> IFERROR( VfM_Metrics_2023_Consol[[#This Row],[EBITDA MRI]] / VfM_Metrics_2023_Consol[[#This Row],[Total interest]], "n/a" )</f>
        <v>1.4620513712529715</v>
      </c>
      <c r="AP7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25216</v>
      </c>
      <c r="AQ74" s="84" vm="3188">
        <v>26825</v>
      </c>
      <c r="AR74" s="84" vm="3085">
        <v>3213</v>
      </c>
      <c r="AS74" s="84" vm="7466">
        <v>86</v>
      </c>
      <c r="AT74" s="84" vm="3087">
        <v>357</v>
      </c>
      <c r="AU74" s="84" vm="2194">
        <v>0</v>
      </c>
      <c r="AV74" s="84" vm="3088">
        <v>292</v>
      </c>
      <c r="AW74" s="84" vm="3089">
        <v>9265</v>
      </c>
      <c r="AX74" s="84" vm="7563">
        <v>11020</v>
      </c>
      <c r="AY74" s="3">
        <f xml:space="preserve"> - SUM( VfM_Metrics_2023_Consol[[#This Row],[Interest capitalised]], VfM_Metrics_2023_Consol[[#This Row],[Interest payable and financing costs]] )</f>
        <v>17247</v>
      </c>
      <c r="AZ74" s="84" vm="3090">
        <v>-2192</v>
      </c>
      <c r="BA74" s="83" vm="3091">
        <v>-15055</v>
      </c>
      <c r="BB74" s="8">
        <f xml:space="preserve"> IFERROR( ( VfM_Metrics_2023_Consol[[#This Row],[Total Costs]] / VfM_Metrics_2023_Consol[[#This Row],[Total units for costs]] ) * 1000, "n/a" )</f>
        <v>4086.048920404749</v>
      </c>
      <c r="BC7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51284</v>
      </c>
      <c r="BD74" s="84" vm="3092">
        <v>9935</v>
      </c>
      <c r="BE74" s="83" vm="7212">
        <v>2663</v>
      </c>
      <c r="BF74" s="83" vm="3093">
        <v>13839</v>
      </c>
      <c r="BG74" s="83" vm="3094">
        <v>3587</v>
      </c>
      <c r="BH74" s="83" vm="3095">
        <v>7327</v>
      </c>
      <c r="BI74" s="83" vm="3046">
        <v>477</v>
      </c>
      <c r="BJ74" s="83" vm="3089">
        <v>9265</v>
      </c>
      <c r="BK74" s="83" vm="7463">
        <v>2186</v>
      </c>
      <c r="BL74" s="83" vm="3096">
        <v>0</v>
      </c>
      <c r="BM74" s="83" vm="7899">
        <v>1000</v>
      </c>
      <c r="BN74" s="83" vm="3097">
        <v>86</v>
      </c>
      <c r="BO74" s="83" vm="3098">
        <v>919</v>
      </c>
      <c r="BP74" s="5" vm="3070">
        <f xml:space="preserve"> VfM_Metrics_2023_Consol[[#This Row],[Total social housing units owned and/or managed at period end]]</f>
        <v>12551</v>
      </c>
      <c r="BQ74" s="84" vm="3070">
        <v>12551</v>
      </c>
      <c r="BR74" s="7">
        <f xml:space="preserve"> IFERROR( VfM_Metrics_2023_Consol[[#This Row],[SHL operating surplus / (deficit)]] / VfM_Metrics_2023_Consol[[#This Row],[Turnover from social housing lettings]], "n/a" )</f>
        <v>0.26809944974215666</v>
      </c>
      <c r="BS74" s="5" vm="3099">
        <f xml:space="preserve"> VfM_Metrics_2023_Consol[[#This Row],[Operating surplus/(deficit) (social housing lettings)]]</f>
        <v>18612</v>
      </c>
      <c r="BT74" s="84" vm="3099">
        <v>18612</v>
      </c>
      <c r="BU74" s="5" vm="3417">
        <f xml:space="preserve"> VfM_Metrics_2023_Consol[[#This Row],[Turnover from social housing lettings]]</f>
        <v>69422</v>
      </c>
      <c r="BV74" s="84" vm="3417">
        <v>69422</v>
      </c>
      <c r="BW74" s="7">
        <f xml:space="preserve"> IFERROR( VfM_Metrics_2023_Consol[[#This Row],[Net operating surplus]] / VfM_Metrics_2023_Consol[[#This Row],[Overall turnover]], "n/a" )</f>
        <v>0.25701644179821925</v>
      </c>
      <c r="BX74" s="5">
        <f xml:space="preserve"> SUM( VfM_Metrics_2023_Consol[[#This Row],[Operating surplus/(deficit) (overall)2]], - VfM_Metrics_2023_Consol[[#This Row],[Gain/(loss) on disposal of fixed assets (housing properties)2]], - VfM_Metrics_2023_Consol[[#This Row],[Gain/(loss) on disposal of fixed assets (other)2]] )</f>
        <v>23526</v>
      </c>
      <c r="BY74" s="84" vm="3084">
        <v>26825</v>
      </c>
      <c r="BZ74" s="83" vm="3085">
        <v>3213</v>
      </c>
      <c r="CA74" s="83" vm="3086">
        <v>86</v>
      </c>
      <c r="CB74" s="5" vm="3100">
        <f xml:space="preserve"> VfM_Metrics_2023_Consol[[#This Row],[Turnover (overall)]]</f>
        <v>91535</v>
      </c>
      <c r="CC74" s="84" vm="3100">
        <v>91535</v>
      </c>
      <c r="CD74" s="7">
        <f xml:space="preserve"> IFERROR( VfM_Metrics_2023_Consol[[#This Row],[Operating surplus including from JVs]] / VfM_Metrics_2023_Consol[[#This Row],[Net assets]], "n/a" )</f>
        <v>3.5884271385420483E-2</v>
      </c>
      <c r="CE74" s="5">
        <f xml:space="preserve"> SUM( VfM_Metrics_2023_Consol[[#This Row],[Operating surplus/(deficit) (overall)3]], VfM_Metrics_2023_Consol[[#This Row],[Share of operating surplus/(deficit) in joint ventures or associates]] )</f>
        <v>26825</v>
      </c>
      <c r="CF74" s="84" vm="3084">
        <v>26825</v>
      </c>
      <c r="CG74" s="83" vm="3102">
        <v>0</v>
      </c>
      <c r="CH74" s="5" vm="3101">
        <f xml:space="preserve"> VfM_Metrics_2023_Consol[[#This Row],[Total assets less current liabilities]]</f>
        <v>747542</v>
      </c>
      <c r="CI74" s="84" vm="3101">
        <v>747542</v>
      </c>
      <c r="CJ74" s="71" vm="1916">
        <f xml:space="preserve"> VfM_Metrics_2023_Consol[[#This Row],[Total social housing units owned (Period end)]]</f>
        <v>12266</v>
      </c>
      <c r="CK74" s="103">
        <v>2.9102268990463663E-2</v>
      </c>
      <c r="CL74" s="6">
        <f xml:space="preserve"> -- ( VfM_Metrics_2023_Consol[[#This Row],[% Supported housing (excl. HOP)]] &gt; 0.3 )</f>
        <v>0</v>
      </c>
      <c r="CM74" s="103">
        <v>8.3196317000986522E-2</v>
      </c>
      <c r="CN74" s="6">
        <f xml:space="preserve"> -- ( VfM_Metrics_2023_Consol[[#This Row],[% Housing for older people]] &gt; 0.3 )</f>
        <v>0</v>
      </c>
      <c r="CO74" s="103">
        <f xml:space="preserve"> VfM_Metrics_2023_Consol[[#This Row],[% Supported housing (excl. HOP)]] + VfM_Metrics_2023_Consol[[#This Row],[% Housing for older people]]</f>
        <v>0.11229858599145018</v>
      </c>
      <c r="CP74" s="6">
        <f xml:space="preserve"> -- ( VfM_Metrics_2023_Consol[[#This Row],[SH specialist in RSH analysis]] + VfM_Metrics_2023_Consol[[#This Row],[OP specialist in RSH analysis]] &gt; 0 )</f>
        <v>0</v>
      </c>
      <c r="CQ74" s="10">
        <f xml:space="preserve"> -- ( VfM_Metrics_2023_Consol[[#This Row],[% SH and OP]] &gt; 0.3 )</f>
        <v>0</v>
      </c>
      <c r="CR74" s="104" t="s">
        <v>143</v>
      </c>
      <c r="CS74" s="124"/>
      <c r="CT74" s="105" t="s">
        <v>151</v>
      </c>
      <c r="CU7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74" s="85">
        <v>0</v>
      </c>
      <c r="CW74" s="85">
        <v>4.984782429875792E-2</v>
      </c>
      <c r="CX74" s="85">
        <v>0</v>
      </c>
      <c r="CY74" s="85">
        <v>0.35954594061034795</v>
      </c>
      <c r="CZ74" s="85">
        <v>0</v>
      </c>
      <c r="DA74" s="85">
        <v>0.59060623509089416</v>
      </c>
      <c r="DB74" s="85">
        <v>0</v>
      </c>
      <c r="DC74" s="85">
        <v>0</v>
      </c>
      <c r="DD74" s="85">
        <v>0</v>
      </c>
      <c r="DE74" s="13">
        <v>0.98766229689972607</v>
      </c>
    </row>
    <row r="75" spans="1:109" x14ac:dyDescent="0.25">
      <c r="A75" s="4" t="s" vm="345">
        <v>274</v>
      </c>
      <c r="B75" s="2" t="s" vm="65">
        <v>275</v>
      </c>
      <c r="C75" s="72" vm="571">
        <v>45016</v>
      </c>
      <c r="D75" s="7">
        <f>IFERROR( VfM_Metrics_2023_Consol[[#This Row],[Reinvestment Spend]] / VfM_Metrics_2023_Consol[[#This Row],[Net Book Value of Housing Properties]], "n/a" )</f>
        <v>8.0753039605739013E-2</v>
      </c>
      <c r="E7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115978</v>
      </c>
      <c r="F75" s="83" vm="4909">
        <v>99085</v>
      </c>
      <c r="G75" s="83" vm="4910">
        <v>0</v>
      </c>
      <c r="H75" s="83" vm="4911">
        <v>13746</v>
      </c>
      <c r="I75" s="83" vm="4912">
        <v>3147</v>
      </c>
      <c r="J75" s="83" vm="4913">
        <v>0</v>
      </c>
      <c r="K75" s="5">
        <f xml:space="preserve"> SUM( VfM_Metrics_2023_Consol[[#This Row],[Tangible fixed assets: Housing properties at cost (Current period)]],VfM_Metrics_2023_Consol[[#This Row],[Tangible fixed assets Housing properties at valuation (Current period)]] )</f>
        <v>1436206</v>
      </c>
      <c r="L75" s="84" vm="7323">
        <v>1436206</v>
      </c>
      <c r="M75" s="83">
        <v>0</v>
      </c>
      <c r="N75" s="7">
        <f xml:space="preserve"> IFERROR( VfM_Metrics_2023_Consol[[#This Row],[Total social units developed or newly built units acquired in-year]] / VfM_Metrics_2023_Consol[[#This Row],[Social housing units owned (period end)]], "n/a" )</f>
        <v>2.8868822561273964E-2</v>
      </c>
      <c r="O75" s="5">
        <f xml:space="preserve"> SUM( VfM_Metrics_2023_Consol[[#This Row],[Total social units developed or newly built units acquired in-year (owned)]], VfM_Metrics_2023_Consol[[#This Row],[Total social leasehold units developed or newly built units acquired in-year (owned)]] )</f>
        <v>649</v>
      </c>
      <c r="P75" s="84" vm="4914">
        <v>649</v>
      </c>
      <c r="Q75" s="83">
        <v>0</v>
      </c>
      <c r="R75" s="5">
        <f xml:space="preserve"> SUM( VfM_Metrics_2023_Consol[[#This Row],[Total social housing units owned (Period end)]], VfM_Metrics_2023_Consol[[#This Row],[Total social leasehold units owned (Period end)]] )</f>
        <v>22481</v>
      </c>
      <c r="S75" s="84" vm="4907">
        <v>21331</v>
      </c>
      <c r="T75" s="83" vm="4915">
        <v>1150</v>
      </c>
      <c r="U75" s="86">
        <f xml:space="preserve"> IFERROR( VfM_Metrics_2023_Consol[[#This Row],[Total non-social housing units developed or newly built units acquired (owned)]] / VfM_Metrics_2023_Consol[[#This Row],[Total social and non-social housing units owned (Period end)]], "n/a" )</f>
        <v>1.6179814588070667E-3</v>
      </c>
      <c r="V7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37</v>
      </c>
      <c r="W75" s="83">
        <v>0</v>
      </c>
      <c r="X75" s="83">
        <v>0</v>
      </c>
      <c r="Y75" s="83" vm="4916">
        <v>37</v>
      </c>
      <c r="Z7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22868</v>
      </c>
      <c r="AA75" s="84" vm="4907">
        <v>21331</v>
      </c>
      <c r="AB75" s="83" vm="5257">
        <v>1150</v>
      </c>
      <c r="AC75" s="83" vm="4917">
        <v>289</v>
      </c>
      <c r="AD75" s="83" vm="4918">
        <v>98</v>
      </c>
      <c r="AE75" s="7">
        <f xml:space="preserve"> IFERROR( VfM_Metrics_2023_Consol[[#This Row],[Total Net Debt]] / VfM_Metrics_2023_Consol[[#This Row],[Net Book Value of Housing Properties2]], "n/a" )</f>
        <v>0.41681207291990147</v>
      </c>
      <c r="AF7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598628</v>
      </c>
      <c r="AG75" s="84" vm="4919">
        <v>12655</v>
      </c>
      <c r="AH75" s="83" vm="4920">
        <v>679246</v>
      </c>
      <c r="AI75" s="83" vm="4921">
        <v>96369</v>
      </c>
      <c r="AJ75" s="83" vm="1675">
        <v>0</v>
      </c>
      <c r="AK75" s="83" vm="4922">
        <v>3096</v>
      </c>
      <c r="AL75" s="5">
        <f xml:space="preserve"> SUM( VfM_Metrics_2023_Consol[[#This Row],[Tangible fixed assets: Housing properties at cost (Current period)2]], VfM_Metrics_2023_Consol[[#This Row],[Tangible fixed assets Housing properties at valuation (Current period)2]] )</f>
        <v>1436206</v>
      </c>
      <c r="AM75" s="84" vm="6965">
        <v>1436206</v>
      </c>
      <c r="AN75" s="83">
        <v>0</v>
      </c>
      <c r="AO75" s="87">
        <f xml:space="preserve"> IFERROR( VfM_Metrics_2023_Consol[[#This Row],[EBITDA MRI]] / VfM_Metrics_2023_Consol[[#This Row],[Total interest]], "n/a" )</f>
        <v>1.4689018783659529</v>
      </c>
      <c r="AP7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44731</v>
      </c>
      <c r="AQ75" s="84" vm="4923">
        <v>45911</v>
      </c>
      <c r="AR75" s="84" vm="4924">
        <v>6146</v>
      </c>
      <c r="AS75" s="84" vm="4925">
        <v>248</v>
      </c>
      <c r="AT75" s="84" vm="4926">
        <v>6542</v>
      </c>
      <c r="AU75" s="84" vm="4927">
        <v>0</v>
      </c>
      <c r="AV75" s="84" vm="4928">
        <v>2149</v>
      </c>
      <c r="AW75" s="84" vm="4929">
        <v>13746</v>
      </c>
      <c r="AX75" s="84" vm="7422">
        <v>23353</v>
      </c>
      <c r="AY75" s="3">
        <f xml:space="preserve"> - SUM( VfM_Metrics_2023_Consol[[#This Row],[Interest capitalised]], VfM_Metrics_2023_Consol[[#This Row],[Interest payable and financing costs]] )</f>
        <v>30452</v>
      </c>
      <c r="AZ75" s="84" vm="5148">
        <v>-3347</v>
      </c>
      <c r="BA75" s="83" vm="4931">
        <v>-27105</v>
      </c>
      <c r="BB75" s="8">
        <f xml:space="preserve"> IFERROR( ( VfM_Metrics_2023_Consol[[#This Row],[Total Costs]] / VfM_Metrics_2023_Consol[[#This Row],[Total units for costs]] ) * 1000, "n/a" )</f>
        <v>3941.7922570165147</v>
      </c>
      <c r="BC7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87358</v>
      </c>
      <c r="BD75" s="84" vm="4932">
        <v>27232</v>
      </c>
      <c r="BE75" s="83" vm="4933">
        <v>12655</v>
      </c>
      <c r="BF75" s="83" vm="4934">
        <v>15055</v>
      </c>
      <c r="BG75" s="83" vm="4935">
        <v>3630</v>
      </c>
      <c r="BH75" s="83" vm="4936">
        <v>7448</v>
      </c>
      <c r="BI75" s="83" vm="4937">
        <v>103</v>
      </c>
      <c r="BJ75" s="83" vm="5146">
        <v>13746</v>
      </c>
      <c r="BK75" s="83" vm="4938">
        <v>143</v>
      </c>
      <c r="BL75" s="83">
        <v>0</v>
      </c>
      <c r="BM75" s="83" vm="4939">
        <v>1630</v>
      </c>
      <c r="BN75" s="83" vm="4940">
        <v>3875</v>
      </c>
      <c r="BO75" s="83" vm="4941">
        <v>1841</v>
      </c>
      <c r="BP75" s="5" vm="4908">
        <f xml:space="preserve"> VfM_Metrics_2023_Consol[[#This Row],[Total social housing units owned and/or managed at period end]]</f>
        <v>22162</v>
      </c>
      <c r="BQ75" s="84" vm="4908">
        <v>22162</v>
      </c>
      <c r="BR75" s="7">
        <f xml:space="preserve"> IFERROR( VfM_Metrics_2023_Consol[[#This Row],[SHL operating surplus / (deficit)]] / VfM_Metrics_2023_Consol[[#This Row],[Turnover from social housing lettings]], "n/a" )</f>
        <v>0.26382021360759494</v>
      </c>
      <c r="BS75" s="5" vm="4942">
        <f xml:space="preserve"> VfM_Metrics_2023_Consol[[#This Row],[Operating surplus/(deficit) (social housing lettings)]]</f>
        <v>32013</v>
      </c>
      <c r="BT75" s="84" vm="4942">
        <v>32013</v>
      </c>
      <c r="BU75" s="5" vm="4943">
        <f xml:space="preserve"> VfM_Metrics_2023_Consol[[#This Row],[Turnover from social housing lettings]]</f>
        <v>121344</v>
      </c>
      <c r="BV75" s="84" vm="4943">
        <v>121344</v>
      </c>
      <c r="BW75" s="7">
        <f xml:space="preserve"> IFERROR( VfM_Metrics_2023_Consol[[#This Row],[Net operating surplus]] / VfM_Metrics_2023_Consol[[#This Row],[Overall turnover]], "n/a" )</f>
        <v>0.23556376859110012</v>
      </c>
      <c r="BX75" s="5">
        <f xml:space="preserve"> SUM( VfM_Metrics_2023_Consol[[#This Row],[Operating surplus/(deficit) (overall)2]], - VfM_Metrics_2023_Consol[[#This Row],[Gain/(loss) on disposal of fixed assets (housing properties)2]], - VfM_Metrics_2023_Consol[[#This Row],[Gain/(loss) on disposal of fixed assets (other)2]] )</f>
        <v>39517</v>
      </c>
      <c r="BY75" s="84" vm="4923">
        <v>45911</v>
      </c>
      <c r="BZ75" s="83" vm="4924">
        <v>6146</v>
      </c>
      <c r="CA75" s="83" vm="5218">
        <v>248</v>
      </c>
      <c r="CB75" s="5" vm="4944">
        <f xml:space="preserve"> VfM_Metrics_2023_Consol[[#This Row],[Turnover (overall)]]</f>
        <v>167755</v>
      </c>
      <c r="CC75" s="84" vm="4944">
        <v>167755</v>
      </c>
      <c r="CD75" s="7">
        <f xml:space="preserve"> IFERROR( VfM_Metrics_2023_Consol[[#This Row],[Operating surplus including from JVs]] / VfM_Metrics_2023_Consol[[#This Row],[Net assets]], "n/a" )</f>
        <v>2.9776985332195218E-2</v>
      </c>
      <c r="CE75" s="5">
        <f xml:space="preserve"> SUM( VfM_Metrics_2023_Consol[[#This Row],[Operating surplus/(deficit) (overall)3]], VfM_Metrics_2023_Consol[[#This Row],[Share of operating surplus/(deficit) in joint ventures or associates]] )</f>
        <v>45943</v>
      </c>
      <c r="CF75" s="84" vm="4923">
        <v>45911</v>
      </c>
      <c r="CG75" s="83" vm="4945">
        <v>32</v>
      </c>
      <c r="CH75" s="5" vm="7415">
        <f xml:space="preserve"> VfM_Metrics_2023_Consol[[#This Row],[Total assets less current liabilities]]</f>
        <v>1542903</v>
      </c>
      <c r="CI75" s="84" vm="7415">
        <v>1542903</v>
      </c>
      <c r="CJ75" s="71" vm="4907">
        <f xml:space="preserve"> VfM_Metrics_2023_Consol[[#This Row],[Total social housing units owned (Period end)]]</f>
        <v>21331</v>
      </c>
      <c r="CK75" s="103">
        <v>6.2836453718260202E-2</v>
      </c>
      <c r="CL75" s="6">
        <f xml:space="preserve"> -- ( VfM_Metrics_2023_Consol[[#This Row],[% Supported housing (excl. HOP)]] &gt; 0.3 )</f>
        <v>0</v>
      </c>
      <c r="CM75" s="103">
        <v>2.2771664046496116E-2</v>
      </c>
      <c r="CN75" s="6">
        <f xml:space="preserve"> -- ( VfM_Metrics_2023_Consol[[#This Row],[% Housing for older people]] &gt; 0.3 )</f>
        <v>0</v>
      </c>
      <c r="CO75" s="103">
        <f xml:space="preserve"> VfM_Metrics_2023_Consol[[#This Row],[% Supported housing (excl. HOP)]] + VfM_Metrics_2023_Consol[[#This Row],[% Housing for older people]]</f>
        <v>8.5608117764756325E-2</v>
      </c>
      <c r="CP75" s="6">
        <f xml:space="preserve"> -- ( VfM_Metrics_2023_Consol[[#This Row],[SH specialist in RSH analysis]] + VfM_Metrics_2023_Consol[[#This Row],[OP specialist in RSH analysis]] &gt; 0 )</f>
        <v>0</v>
      </c>
      <c r="CQ75" s="10">
        <f xml:space="preserve"> -- ( VfM_Metrics_2023_Consol[[#This Row],[% SH and OP]] &gt; 0.3 )</f>
        <v>0</v>
      </c>
      <c r="CR75" s="104" t="s">
        <v>143</v>
      </c>
      <c r="CS75" s="124" t="s">
        <v>144</v>
      </c>
      <c r="CT75" s="105"/>
      <c r="CU7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75" s="85">
        <v>0</v>
      </c>
      <c r="CW75" s="85">
        <v>4.725451280597297E-5</v>
      </c>
      <c r="CX75" s="85">
        <v>0</v>
      </c>
      <c r="CY75" s="85">
        <v>1.8807296096777244E-2</v>
      </c>
      <c r="CZ75" s="85">
        <v>4.1583971269256214E-3</v>
      </c>
      <c r="DA75" s="85">
        <v>0</v>
      </c>
      <c r="DB75" s="85">
        <v>0</v>
      </c>
      <c r="DC75" s="85">
        <v>0.83772800302428885</v>
      </c>
      <c r="DD75" s="85">
        <v>0.13925904923920235</v>
      </c>
      <c r="DE75" s="13">
        <v>0.95843181224467244</v>
      </c>
    </row>
    <row r="76" spans="1:109" x14ac:dyDescent="0.25">
      <c r="A76" s="4" t="s" vm="373">
        <v>276</v>
      </c>
      <c r="B76" s="2" t="s" vm="66">
        <v>277</v>
      </c>
      <c r="C76" s="72" vm="418">
        <v>45016</v>
      </c>
      <c r="D76" s="7">
        <f>IFERROR( VfM_Metrics_2023_Consol[[#This Row],[Reinvestment Spend]] / VfM_Metrics_2023_Consol[[#This Row],[Net Book Value of Housing Properties]], "n/a" )</f>
        <v>5.3993397527847743E-2</v>
      </c>
      <c r="E7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7867</v>
      </c>
      <c r="F76" s="83" vm="5918">
        <v>396</v>
      </c>
      <c r="G76" s="83" vm="5919">
        <v>2445</v>
      </c>
      <c r="H76" s="83" vm="5920">
        <v>5026</v>
      </c>
      <c r="I76" s="83" vm="5921">
        <v>0</v>
      </c>
      <c r="J76" s="83" vm="5922">
        <v>0</v>
      </c>
      <c r="K76" s="5">
        <f xml:space="preserve"> SUM( VfM_Metrics_2023_Consol[[#This Row],[Tangible fixed assets: Housing properties at cost (Current period)]],VfM_Metrics_2023_Consol[[#This Row],[Tangible fixed assets Housing properties at valuation (Current period)]] )</f>
        <v>145703</v>
      </c>
      <c r="L76" s="84" vm="5923">
        <v>145703</v>
      </c>
      <c r="M76" s="83" vm="5924">
        <v>0</v>
      </c>
      <c r="N76" s="7">
        <f xml:space="preserve"> IFERROR( VfM_Metrics_2023_Consol[[#This Row],[Total social units developed or newly built units acquired in-year]] / VfM_Metrics_2023_Consol[[#This Row],[Social housing units owned (period end)]], "n/a" )</f>
        <v>2.5033699210475638E-3</v>
      </c>
      <c r="O76" s="5">
        <f xml:space="preserve"> SUM( VfM_Metrics_2023_Consol[[#This Row],[Total social units developed or newly built units acquired in-year (owned)]], VfM_Metrics_2023_Consol[[#This Row],[Total social leasehold units developed or newly built units acquired in-year (owned)]] )</f>
        <v>13</v>
      </c>
      <c r="P76" s="84" vm="5925">
        <v>13</v>
      </c>
      <c r="Q76" s="83">
        <v>0</v>
      </c>
      <c r="R76" s="5">
        <f xml:space="preserve"> SUM( VfM_Metrics_2023_Consol[[#This Row],[Total social housing units owned (Period end)]], VfM_Metrics_2023_Consol[[#This Row],[Total social leasehold units owned (Period end)]] )</f>
        <v>5193</v>
      </c>
      <c r="S76" s="84" vm="5916">
        <v>5078</v>
      </c>
      <c r="T76" s="83" vm="5926">
        <v>115</v>
      </c>
      <c r="U76" s="86">
        <f xml:space="preserve"> IFERROR( VfM_Metrics_2023_Consol[[#This Row],[Total non-social housing units developed or newly built units acquired (owned)]] / VfM_Metrics_2023_Consol[[#This Row],[Total social and non-social housing units owned (Period end)]], "n/a" )</f>
        <v>0</v>
      </c>
      <c r="V7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76" s="83" vm="7027">
        <v>0</v>
      </c>
      <c r="X76" s="83">
        <v>0</v>
      </c>
      <c r="Y76" s="83" vm="5927">
        <v>0</v>
      </c>
      <c r="Z7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5226</v>
      </c>
      <c r="AA76" s="84" vm="5916">
        <v>5078</v>
      </c>
      <c r="AB76" s="83" vm="5926">
        <v>115</v>
      </c>
      <c r="AC76" s="83" vm="5928">
        <v>33</v>
      </c>
      <c r="AD76" s="83" vm="5929">
        <v>0</v>
      </c>
      <c r="AE76" s="7">
        <f xml:space="preserve"> IFERROR( VfM_Metrics_2023_Consol[[#This Row],[Total Net Debt]] / VfM_Metrics_2023_Consol[[#This Row],[Net Book Value of Housing Properties2]], "n/a" )</f>
        <v>0.34797499021983075</v>
      </c>
      <c r="AF7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50701</v>
      </c>
      <c r="AG76" s="84" vm="5930">
        <v>0</v>
      </c>
      <c r="AH76" s="83" vm="5931">
        <v>59862</v>
      </c>
      <c r="AI76" s="83" vm="5932">
        <v>9161</v>
      </c>
      <c r="AJ76" s="83" vm="5933">
        <v>0</v>
      </c>
      <c r="AK76" s="83" vm="5934">
        <v>0</v>
      </c>
      <c r="AL76" s="5">
        <f xml:space="preserve"> SUM( VfM_Metrics_2023_Consol[[#This Row],[Tangible fixed assets: Housing properties at cost (Current period)2]], VfM_Metrics_2023_Consol[[#This Row],[Tangible fixed assets Housing properties at valuation (Current period)2]] )</f>
        <v>145703</v>
      </c>
      <c r="AM76" s="84" vm="5923">
        <v>145703</v>
      </c>
      <c r="AN76" s="83" vm="7375">
        <v>0</v>
      </c>
      <c r="AO76" s="87">
        <f xml:space="preserve"> IFERROR( VfM_Metrics_2023_Consol[[#This Row],[EBITDA MRI]] / VfM_Metrics_2023_Consol[[#This Row],[Total interest]], "n/a" )</f>
        <v>1.0775967413441956</v>
      </c>
      <c r="AP7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5291</v>
      </c>
      <c r="AQ76" s="84" vm="5935">
        <v>6084</v>
      </c>
      <c r="AR76" s="84" vm="5936">
        <v>579</v>
      </c>
      <c r="AS76" s="84" vm="5937">
        <v>0</v>
      </c>
      <c r="AT76" s="84" vm="7218">
        <v>93</v>
      </c>
      <c r="AU76" s="84" vm="5938">
        <v>0</v>
      </c>
      <c r="AV76" s="84" vm="7208">
        <v>244</v>
      </c>
      <c r="AW76" s="84" vm="5939">
        <v>5319</v>
      </c>
      <c r="AX76" s="84" vm="5940">
        <v>4954</v>
      </c>
      <c r="AY76" s="3">
        <f xml:space="preserve"> - SUM( VfM_Metrics_2023_Consol[[#This Row],[Interest capitalised]], VfM_Metrics_2023_Consol[[#This Row],[Interest payable and financing costs]] )</f>
        <v>4910</v>
      </c>
      <c r="AZ76" s="84" vm="6906">
        <v>0</v>
      </c>
      <c r="BA76" s="83" vm="5941">
        <v>-4910</v>
      </c>
      <c r="BB76" s="8">
        <f xml:space="preserve"> IFERROR( ( VfM_Metrics_2023_Consol[[#This Row],[Total Costs]] / VfM_Metrics_2023_Consol[[#This Row],[Total units for costs]] ) * 1000, "n/a" )</f>
        <v>4454.7748447204967</v>
      </c>
      <c r="BC7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22951</v>
      </c>
      <c r="BD76" s="84" vm="5942">
        <v>6975</v>
      </c>
      <c r="BE76" s="83" vm="2719">
        <v>753</v>
      </c>
      <c r="BF76" s="83" vm="5943">
        <v>6174</v>
      </c>
      <c r="BG76" s="83" vm="5944">
        <v>664</v>
      </c>
      <c r="BH76" s="83" vm="5945">
        <v>1864</v>
      </c>
      <c r="BI76" s="83" vm="5946">
        <v>496</v>
      </c>
      <c r="BJ76" s="83" vm="5939">
        <v>5319</v>
      </c>
      <c r="BK76" s="83" vm="5947">
        <v>0</v>
      </c>
      <c r="BL76" s="83" vm="7173">
        <v>0</v>
      </c>
      <c r="BM76" s="83" vm="5948">
        <v>0</v>
      </c>
      <c r="BN76" s="83" vm="5949">
        <v>408</v>
      </c>
      <c r="BO76" s="83" vm="5950">
        <v>298</v>
      </c>
      <c r="BP76" s="5" vm="5917">
        <f xml:space="preserve"> VfM_Metrics_2023_Consol[[#This Row],[Total social housing units owned and/or managed at period end]]</f>
        <v>5152</v>
      </c>
      <c r="BQ76" s="84" vm="5917">
        <v>5152</v>
      </c>
      <c r="BR76" s="7">
        <f xml:space="preserve"> IFERROR( VfM_Metrics_2023_Consol[[#This Row],[SHL operating surplus / (deficit)]] / VfM_Metrics_2023_Consol[[#This Row],[Turnover from social housing lettings]], "n/a" )</f>
        <v>0.16449272489394601</v>
      </c>
      <c r="BS76" s="5" vm="5951">
        <f xml:space="preserve"> VfM_Metrics_2023_Consol[[#This Row],[Operating surplus/(deficit) (social housing lettings)]]</f>
        <v>4149</v>
      </c>
      <c r="BT76" s="84" vm="5951">
        <v>4149</v>
      </c>
      <c r="BU76" s="5" vm="5952">
        <f xml:space="preserve"> VfM_Metrics_2023_Consol[[#This Row],[Turnover from social housing lettings]]</f>
        <v>25223</v>
      </c>
      <c r="BV76" s="84" vm="5952">
        <v>25223</v>
      </c>
      <c r="BW76" s="7">
        <f xml:space="preserve"> IFERROR( VfM_Metrics_2023_Consol[[#This Row],[Net operating surplus]] / VfM_Metrics_2023_Consol[[#This Row],[Overall turnover]], "n/a" )</f>
        <v>0.19349736379613358</v>
      </c>
      <c r="BX76" s="5">
        <f xml:space="preserve"> SUM( VfM_Metrics_2023_Consol[[#This Row],[Operating surplus/(deficit) (overall)2]], - VfM_Metrics_2023_Consol[[#This Row],[Gain/(loss) on disposal of fixed assets (housing properties)2]], - VfM_Metrics_2023_Consol[[#This Row],[Gain/(loss) on disposal of fixed assets (other)2]] )</f>
        <v>5505</v>
      </c>
      <c r="BY76" s="84" vm="5935">
        <v>6084</v>
      </c>
      <c r="BZ76" s="83" vm="5936">
        <v>579</v>
      </c>
      <c r="CA76" s="83" vm="5937">
        <v>0</v>
      </c>
      <c r="CB76" s="5" vm="5953">
        <f xml:space="preserve"> VfM_Metrics_2023_Consol[[#This Row],[Turnover (overall)]]</f>
        <v>28450</v>
      </c>
      <c r="CC76" s="84" vm="5953">
        <v>28450</v>
      </c>
      <c r="CD76" s="7">
        <f xml:space="preserve"> IFERROR( VfM_Metrics_2023_Consol[[#This Row],[Operating surplus including from JVs]] / VfM_Metrics_2023_Consol[[#This Row],[Net assets]], "n/a" )</f>
        <v>3.7777087860912759E-2</v>
      </c>
      <c r="CE76" s="5">
        <f xml:space="preserve"> SUM( VfM_Metrics_2023_Consol[[#This Row],[Operating surplus/(deficit) (overall)3]], VfM_Metrics_2023_Consol[[#This Row],[Share of operating surplus/(deficit) in joint ventures or associates]] )</f>
        <v>6084</v>
      </c>
      <c r="CF76" s="84" vm="7239">
        <v>6084</v>
      </c>
      <c r="CG76" s="83" vm="6224">
        <v>0</v>
      </c>
      <c r="CH76" s="5" vm="5954">
        <f xml:space="preserve"> VfM_Metrics_2023_Consol[[#This Row],[Total assets less current liabilities]]</f>
        <v>161050</v>
      </c>
      <c r="CI76" s="84" vm="5954">
        <v>161050</v>
      </c>
      <c r="CJ76" s="71" vm="5916">
        <f xml:space="preserve"> VfM_Metrics_2023_Consol[[#This Row],[Total social housing units owned (Period end)]]</f>
        <v>5078</v>
      </c>
      <c r="CK76" s="103">
        <v>4.8143053645116916E-2</v>
      </c>
      <c r="CL76" s="6">
        <f xml:space="preserve"> -- ( VfM_Metrics_2023_Consol[[#This Row],[% Supported housing (excl. HOP)]] &gt; 0.3 )</f>
        <v>0</v>
      </c>
      <c r="CM76" s="103">
        <v>0</v>
      </c>
      <c r="CN76" s="6">
        <f xml:space="preserve"> -- ( VfM_Metrics_2023_Consol[[#This Row],[% Housing for older people]] &gt; 0.3 )</f>
        <v>0</v>
      </c>
      <c r="CO76" s="103">
        <f xml:space="preserve"> VfM_Metrics_2023_Consol[[#This Row],[% Supported housing (excl. HOP)]] + VfM_Metrics_2023_Consol[[#This Row],[% Housing for older people]]</f>
        <v>4.8143053645116916E-2</v>
      </c>
      <c r="CP76" s="6">
        <f xml:space="preserve"> -- ( VfM_Metrics_2023_Consol[[#This Row],[SH specialist in RSH analysis]] + VfM_Metrics_2023_Consol[[#This Row],[OP specialist in RSH analysis]] &gt; 0 )</f>
        <v>0</v>
      </c>
      <c r="CQ76" s="10">
        <f xml:space="preserve"> -- ( VfM_Metrics_2023_Consol[[#This Row],[% SH and OP]] &gt; 0.3 )</f>
        <v>0</v>
      </c>
      <c r="CR76" s="104" t="s">
        <v>143</v>
      </c>
      <c r="CS76" s="124"/>
      <c r="CT76" s="105" t="s">
        <v>151</v>
      </c>
      <c r="CU7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Midlands</v>
      </c>
      <c r="CV76" s="85">
        <v>0</v>
      </c>
      <c r="CW76" s="85">
        <v>0</v>
      </c>
      <c r="CX76" s="85">
        <v>0</v>
      </c>
      <c r="CY76" s="85">
        <v>1</v>
      </c>
      <c r="CZ76" s="85">
        <v>0</v>
      </c>
      <c r="DA76" s="85">
        <v>0</v>
      </c>
      <c r="DB76" s="85">
        <v>0</v>
      </c>
      <c r="DC76" s="85">
        <v>0</v>
      </c>
      <c r="DD76" s="85">
        <v>0</v>
      </c>
      <c r="DE76" s="13">
        <v>0.94233429441067484</v>
      </c>
    </row>
    <row r="77" spans="1:109" x14ac:dyDescent="0.25">
      <c r="A77" s="4" t="s" vm="340">
        <v>278</v>
      </c>
      <c r="B77" s="2" t="s" vm="67">
        <v>279</v>
      </c>
      <c r="C77" s="72" vm="504">
        <v>45016</v>
      </c>
      <c r="D77" s="7">
        <f>IFERROR( VfM_Metrics_2023_Consol[[#This Row],[Reinvestment Spend]] / VfM_Metrics_2023_Consol[[#This Row],[Net Book Value of Housing Properties]], "n/a" )</f>
        <v>6.9603909884597207E-2</v>
      </c>
      <c r="E7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137389</v>
      </c>
      <c r="F77" s="83" vm="4742">
        <v>122426</v>
      </c>
      <c r="G77" s="83" vm="4743">
        <v>0</v>
      </c>
      <c r="H77" s="83" vm="4744">
        <v>11418</v>
      </c>
      <c r="I77" s="83" vm="3903">
        <v>3545</v>
      </c>
      <c r="J77" s="83" vm="4745">
        <v>0</v>
      </c>
      <c r="K77" s="5">
        <f xml:space="preserve"> SUM( VfM_Metrics_2023_Consol[[#This Row],[Tangible fixed assets: Housing properties at cost (Current period)]],VfM_Metrics_2023_Consol[[#This Row],[Tangible fixed assets Housing properties at valuation (Current period)]] )</f>
        <v>1973869</v>
      </c>
      <c r="L77" s="84" vm="4746">
        <v>1973869</v>
      </c>
      <c r="M77" s="83" vm="4747">
        <v>0</v>
      </c>
      <c r="N77" s="7">
        <f xml:space="preserve"> IFERROR( VfM_Metrics_2023_Consol[[#This Row],[Total social units developed or newly built units acquired in-year]] / VfM_Metrics_2023_Consol[[#This Row],[Social housing units owned (period end)]], "n/a" )</f>
        <v>1.6555530006898137E-2</v>
      </c>
      <c r="O77" s="5">
        <f xml:space="preserve"> SUM( VfM_Metrics_2023_Consol[[#This Row],[Total social units developed or newly built units acquired in-year (owned)]], VfM_Metrics_2023_Consol[[#This Row],[Total social leasehold units developed or newly built units acquired in-year (owned)]] )</f>
        <v>432</v>
      </c>
      <c r="P77" s="84" vm="4748">
        <v>432</v>
      </c>
      <c r="Q77" s="83">
        <v>0</v>
      </c>
      <c r="R77" s="5">
        <f xml:space="preserve"> SUM( VfM_Metrics_2023_Consol[[#This Row],[Total social housing units owned (Period end)]], VfM_Metrics_2023_Consol[[#This Row],[Total social leasehold units owned (Period end)]] )</f>
        <v>26094</v>
      </c>
      <c r="S77" s="84" vm="4741">
        <v>25313</v>
      </c>
      <c r="T77" s="83" vm="4749">
        <v>781</v>
      </c>
      <c r="U77" s="86">
        <f xml:space="preserve"> IFERROR( VfM_Metrics_2023_Consol[[#This Row],[Total non-social housing units developed or newly built units acquired (owned)]] / VfM_Metrics_2023_Consol[[#This Row],[Total social and non-social housing units owned (Period end)]], "n/a" )</f>
        <v>1.9507343941248471E-3</v>
      </c>
      <c r="V7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51</v>
      </c>
      <c r="W77" s="83" vm="4750">
        <v>0</v>
      </c>
      <c r="X77" s="83">
        <v>0</v>
      </c>
      <c r="Y77" s="83" vm="4710">
        <v>51</v>
      </c>
      <c r="Z7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26144</v>
      </c>
      <c r="AA77" s="84" vm="4741">
        <v>25313</v>
      </c>
      <c r="AB77" s="83" vm="4749">
        <v>781</v>
      </c>
      <c r="AC77" s="83" vm="4751">
        <v>50</v>
      </c>
      <c r="AD77" s="83" vm="7363">
        <v>0</v>
      </c>
      <c r="AE77" s="7">
        <f xml:space="preserve"> IFERROR( VfM_Metrics_2023_Consol[[#This Row],[Total Net Debt]] / VfM_Metrics_2023_Consol[[#This Row],[Net Book Value of Housing Properties2]], "n/a" )</f>
        <v>0.53547018571141247</v>
      </c>
      <c r="AF7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1056948</v>
      </c>
      <c r="AG77" s="84" vm="4753">
        <v>28618</v>
      </c>
      <c r="AH77" s="83" vm="4754">
        <v>1060405</v>
      </c>
      <c r="AI77" s="83" vm="4755">
        <v>93072</v>
      </c>
      <c r="AJ77" s="83" vm="4756">
        <v>0</v>
      </c>
      <c r="AK77" s="83" vm="4757">
        <v>60997</v>
      </c>
      <c r="AL77" s="5">
        <f xml:space="preserve"> SUM( VfM_Metrics_2023_Consol[[#This Row],[Tangible fixed assets: Housing properties at cost (Current period)2]], VfM_Metrics_2023_Consol[[#This Row],[Tangible fixed assets Housing properties at valuation (Current period)2]] )</f>
        <v>1973869</v>
      </c>
      <c r="AM77" s="84" vm="7327">
        <v>1973869</v>
      </c>
      <c r="AN77" s="83" vm="4747">
        <v>0</v>
      </c>
      <c r="AO77" s="87">
        <f xml:space="preserve"> IFERROR( VfM_Metrics_2023_Consol[[#This Row],[EBITDA MRI]] / VfM_Metrics_2023_Consol[[#This Row],[Total interest]], "n/a" )</f>
        <v>0.55868144359192951</v>
      </c>
      <c r="AP7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27524</v>
      </c>
      <c r="AQ77" s="84" vm="4758">
        <v>23757</v>
      </c>
      <c r="AR77" s="84" vm="4759">
        <v>6191</v>
      </c>
      <c r="AS77" s="84" vm="3493">
        <v>0</v>
      </c>
      <c r="AT77" s="84" vm="4761">
        <v>3041</v>
      </c>
      <c r="AU77" s="84" vm="7512">
        <v>0</v>
      </c>
      <c r="AV77" s="84" vm="4762">
        <v>1193</v>
      </c>
      <c r="AW77" s="84" vm="4763">
        <v>11418</v>
      </c>
      <c r="AX77" s="84" vm="4764">
        <v>23224</v>
      </c>
      <c r="AY77" s="3">
        <f xml:space="preserve"> - SUM( VfM_Metrics_2023_Consol[[#This Row],[Interest capitalised]], VfM_Metrics_2023_Consol[[#This Row],[Interest payable and financing costs]] )</f>
        <v>49266</v>
      </c>
      <c r="AZ77" s="84" vm="4765">
        <v>-4139</v>
      </c>
      <c r="BA77" s="83" vm="4766">
        <v>-45127</v>
      </c>
      <c r="BB77" s="8">
        <f xml:space="preserve"> IFERROR( ( VfM_Metrics_2023_Consol[[#This Row],[Total Costs]] / VfM_Metrics_2023_Consol[[#This Row],[Total units for costs]] ) * 1000, "n/a" )</f>
        <v>4452.3431140741895</v>
      </c>
      <c r="BC7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114866</v>
      </c>
      <c r="BD77" s="84" vm="7315">
        <v>18949</v>
      </c>
      <c r="BE77" s="83" vm="7362">
        <v>19493</v>
      </c>
      <c r="BF77" s="83" vm="7050">
        <v>32041</v>
      </c>
      <c r="BG77" s="83" vm="4767">
        <v>16605</v>
      </c>
      <c r="BH77" s="83" vm="7404">
        <v>0</v>
      </c>
      <c r="BI77" s="83" vm="4768">
        <v>1164</v>
      </c>
      <c r="BJ77" s="83" vm="3010">
        <v>11418</v>
      </c>
      <c r="BK77" s="83" vm="4769">
        <v>13011</v>
      </c>
      <c r="BL77" s="83" vm="7359">
        <v>-427</v>
      </c>
      <c r="BM77" s="83" vm="4770">
        <v>0</v>
      </c>
      <c r="BN77" s="83" vm="4771">
        <v>1060</v>
      </c>
      <c r="BO77" s="83" vm="4772">
        <v>1552</v>
      </c>
      <c r="BP77" s="5" vm="6962">
        <f xml:space="preserve"> VfM_Metrics_2023_Consol[[#This Row],[Total social housing units owned and/or managed at period end]]</f>
        <v>25799</v>
      </c>
      <c r="BQ77" s="84" vm="6962">
        <v>25799</v>
      </c>
      <c r="BR77" s="7">
        <f xml:space="preserve"> IFERROR( VfM_Metrics_2023_Consol[[#This Row],[SHL operating surplus / (deficit)]] / VfM_Metrics_2023_Consol[[#This Row],[Turnover from social housing lettings]], "n/a" )</f>
        <v>0.15190419341329717</v>
      </c>
      <c r="BS77" s="5" vm="6972">
        <f xml:space="preserve"> VfM_Metrics_2023_Consol[[#This Row],[Operating surplus/(deficit) (social housing lettings)]]</f>
        <v>24303</v>
      </c>
      <c r="BT77" s="84" vm="6972">
        <v>24303</v>
      </c>
      <c r="BU77" s="5" vm="4773">
        <f xml:space="preserve"> VfM_Metrics_2023_Consol[[#This Row],[Turnover from social housing lettings]]</f>
        <v>159989</v>
      </c>
      <c r="BV77" s="84" vm="4773">
        <v>159989</v>
      </c>
      <c r="BW77" s="7">
        <f xml:space="preserve"> IFERROR( VfM_Metrics_2023_Consol[[#This Row],[Net operating surplus]] / VfM_Metrics_2023_Consol[[#This Row],[Overall turnover]], "n/a" )</f>
        <v>8.1938613676648939E-2</v>
      </c>
      <c r="BX77" s="5">
        <f xml:space="preserve"> SUM( VfM_Metrics_2023_Consol[[#This Row],[Operating surplus/(deficit) (overall)2]], - VfM_Metrics_2023_Consol[[#This Row],[Gain/(loss) on disposal of fixed assets (housing properties)2]], - VfM_Metrics_2023_Consol[[#This Row],[Gain/(loss) on disposal of fixed assets (other)2]] )</f>
        <v>17566</v>
      </c>
      <c r="BY77" s="84" vm="4758">
        <v>23757</v>
      </c>
      <c r="BZ77" s="83" vm="5696">
        <v>6191</v>
      </c>
      <c r="CA77" s="83" vm="4760">
        <v>0</v>
      </c>
      <c r="CB77" s="5" vm="7043">
        <f xml:space="preserve"> VfM_Metrics_2023_Consol[[#This Row],[Turnover (overall)]]</f>
        <v>214380</v>
      </c>
      <c r="CC77" s="84" vm="7043">
        <v>214380</v>
      </c>
      <c r="CD77" s="7">
        <f xml:space="preserve"> IFERROR( VfM_Metrics_2023_Consol[[#This Row],[Operating surplus including from JVs]] / VfM_Metrics_2023_Consol[[#This Row],[Net assets]], "n/a" )</f>
        <v>1.1530664148537189E-2</v>
      </c>
      <c r="CE77" s="5">
        <f xml:space="preserve"> SUM( VfM_Metrics_2023_Consol[[#This Row],[Operating surplus/(deficit) (overall)3]], VfM_Metrics_2023_Consol[[#This Row],[Share of operating surplus/(deficit) in joint ventures or associates]] )</f>
        <v>23689</v>
      </c>
      <c r="CF77" s="84" vm="4758">
        <v>23757</v>
      </c>
      <c r="CG77" s="83" vm="4775">
        <v>-68</v>
      </c>
      <c r="CH77" s="5" vm="4774">
        <f xml:space="preserve"> VfM_Metrics_2023_Consol[[#This Row],[Total assets less current liabilities]]</f>
        <v>2054435</v>
      </c>
      <c r="CI77" s="84" vm="4774">
        <v>2054435</v>
      </c>
      <c r="CJ77" s="71" vm="4741">
        <f xml:space="preserve"> VfM_Metrics_2023_Consol[[#This Row],[Total social housing units owned (Period end)]]</f>
        <v>25313</v>
      </c>
      <c r="CK77" s="103">
        <v>4.0750501514376744E-2</v>
      </c>
      <c r="CL77" s="6">
        <f xml:space="preserve"> -- ( VfM_Metrics_2023_Consol[[#This Row],[% Supported housing (excl. HOP)]] &gt; 0.3 )</f>
        <v>0</v>
      </c>
      <c r="CM77" s="103">
        <v>7.5246823742280616E-2</v>
      </c>
      <c r="CN77" s="6">
        <f xml:space="preserve"> -- ( VfM_Metrics_2023_Consol[[#This Row],[% Housing for older people]] &gt; 0.3 )</f>
        <v>0</v>
      </c>
      <c r="CO77" s="103">
        <f xml:space="preserve"> VfM_Metrics_2023_Consol[[#This Row],[% Supported housing (excl. HOP)]] + VfM_Metrics_2023_Consol[[#This Row],[% Housing for older people]]</f>
        <v>0.11599732525665736</v>
      </c>
      <c r="CP77" s="6">
        <f xml:space="preserve"> -- ( VfM_Metrics_2023_Consol[[#This Row],[SH specialist in RSH analysis]] + VfM_Metrics_2023_Consol[[#This Row],[OP specialist in RSH analysis]] &gt; 0 )</f>
        <v>0</v>
      </c>
      <c r="CQ77" s="10">
        <f xml:space="preserve"> -- ( VfM_Metrics_2023_Consol[[#This Row],[% SH and OP]] &gt; 0.3 )</f>
        <v>0</v>
      </c>
      <c r="CR77" s="104" t="s">
        <v>143</v>
      </c>
      <c r="CS77" s="124" t="s">
        <v>144</v>
      </c>
      <c r="CT77" s="105"/>
      <c r="CU7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77" s="85">
        <v>0</v>
      </c>
      <c r="CW77" s="85">
        <v>0.14541110889906431</v>
      </c>
      <c r="CX77" s="85">
        <v>0.35253832371092975</v>
      </c>
      <c r="CY77" s="85">
        <v>2.0704758112681664E-3</v>
      </c>
      <c r="CZ77" s="85">
        <v>0.49998009157873802</v>
      </c>
      <c r="DA77" s="85">
        <v>0</v>
      </c>
      <c r="DB77" s="85">
        <v>0</v>
      </c>
      <c r="DC77" s="85">
        <v>0</v>
      </c>
      <c r="DD77" s="85">
        <v>0</v>
      </c>
      <c r="DE77" s="13">
        <v>0.97830716016111086</v>
      </c>
    </row>
    <row r="78" spans="1:109" x14ac:dyDescent="0.25">
      <c r="A78" s="4" t="s" vm="311">
        <v>280</v>
      </c>
      <c r="B78" s="2" t="s" vm="68">
        <v>281</v>
      </c>
      <c r="C78" s="72" vm="467">
        <v>45016</v>
      </c>
      <c r="D78" s="7">
        <f>IFERROR( VfM_Metrics_2023_Consol[[#This Row],[Reinvestment Spend]] / VfM_Metrics_2023_Consol[[#This Row],[Net Book Value of Housing Properties]], "n/a" )</f>
        <v>3.8147572178803706E-2</v>
      </c>
      <c r="E7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7678</v>
      </c>
      <c r="F78" s="83" vm="3707">
        <v>2647</v>
      </c>
      <c r="G78" s="83" vm="3708">
        <v>0</v>
      </c>
      <c r="H78" s="83" vm="3709">
        <v>5031</v>
      </c>
      <c r="I78" s="83" vm="3710">
        <v>0</v>
      </c>
      <c r="J78" s="83" vm="3904">
        <v>0</v>
      </c>
      <c r="K78" s="5">
        <f xml:space="preserve"> SUM( VfM_Metrics_2023_Consol[[#This Row],[Tangible fixed assets: Housing properties at cost (Current period)]],VfM_Metrics_2023_Consol[[#This Row],[Tangible fixed assets Housing properties at valuation (Current period)]] )</f>
        <v>201271</v>
      </c>
      <c r="L78" s="84" vm="3711">
        <v>201271</v>
      </c>
      <c r="M78" s="83" vm="3712">
        <v>0</v>
      </c>
      <c r="N78" s="7">
        <f xml:space="preserve"> IFERROR( VfM_Metrics_2023_Consol[[#This Row],[Total social units developed or newly built units acquired in-year]] / VfM_Metrics_2023_Consol[[#This Row],[Social housing units owned (period end)]], "n/a" )</f>
        <v>0</v>
      </c>
      <c r="O78" s="5">
        <f xml:space="preserve"> SUM( VfM_Metrics_2023_Consol[[#This Row],[Total social units developed or newly built units acquired in-year (owned)]], VfM_Metrics_2023_Consol[[#This Row],[Total social leasehold units developed or newly built units acquired in-year (owned)]] )</f>
        <v>0</v>
      </c>
      <c r="P78" s="84" vm="3713">
        <v>0</v>
      </c>
      <c r="Q78" s="83" vm="3714">
        <v>0</v>
      </c>
      <c r="R78" s="5">
        <f xml:space="preserve"> SUM( VfM_Metrics_2023_Consol[[#This Row],[Total social housing units owned (Period end)]], VfM_Metrics_2023_Consol[[#This Row],[Total social leasehold units owned (Period end)]] )</f>
        <v>3320</v>
      </c>
      <c r="S78" s="84" vm="3705">
        <v>3320</v>
      </c>
      <c r="T78" s="83" vm="3715">
        <v>0</v>
      </c>
      <c r="U78" s="86">
        <f xml:space="preserve"> IFERROR( VfM_Metrics_2023_Consol[[#This Row],[Total non-social housing units developed or newly built units acquired (owned)]] / VfM_Metrics_2023_Consol[[#This Row],[Total social and non-social housing units owned (Period end)]], "n/a" )</f>
        <v>0</v>
      </c>
      <c r="V7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78" s="83" vm="3716">
        <v>0</v>
      </c>
      <c r="X78" s="83" vm="3717">
        <v>0</v>
      </c>
      <c r="Y78" s="83" vm="3718">
        <v>0</v>
      </c>
      <c r="Z7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3320</v>
      </c>
      <c r="AA78" s="84" vm="7665">
        <v>3320</v>
      </c>
      <c r="AB78" s="83" vm="3715">
        <v>0</v>
      </c>
      <c r="AC78" s="83" vm="3719">
        <v>0</v>
      </c>
      <c r="AD78" s="83" vm="3720">
        <v>0</v>
      </c>
      <c r="AE78" s="7">
        <f xml:space="preserve"> IFERROR( VfM_Metrics_2023_Consol[[#This Row],[Total Net Debt]] / VfM_Metrics_2023_Consol[[#This Row],[Net Book Value of Housing Properties2]], "n/a" )</f>
        <v>0.1008938197753278</v>
      </c>
      <c r="AF7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20307</v>
      </c>
      <c r="AG78" s="84" vm="3721">
        <v>2417</v>
      </c>
      <c r="AH78" s="83" vm="3619">
        <v>22045</v>
      </c>
      <c r="AI78" s="83" vm="3722">
        <v>4155</v>
      </c>
      <c r="AJ78" s="83" vm="3723">
        <v>0</v>
      </c>
      <c r="AK78" s="83" vm="3724">
        <v>0</v>
      </c>
      <c r="AL78" s="5">
        <f xml:space="preserve"> SUM( VfM_Metrics_2023_Consol[[#This Row],[Tangible fixed assets: Housing properties at cost (Current period)2]], VfM_Metrics_2023_Consol[[#This Row],[Tangible fixed assets Housing properties at valuation (Current period)2]] )</f>
        <v>201271</v>
      </c>
      <c r="AM78" s="84" vm="3711">
        <v>201271</v>
      </c>
      <c r="AN78" s="83" vm="4571">
        <v>0</v>
      </c>
      <c r="AO78" s="87">
        <f xml:space="preserve"> IFERROR( VfM_Metrics_2023_Consol[[#This Row],[EBITDA MRI]] / VfM_Metrics_2023_Consol[[#This Row],[Total interest]], "n/a" )</f>
        <v>-0.39828897338403041</v>
      </c>
      <c r="AP7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-838</v>
      </c>
      <c r="AQ78" s="84" vm="3725">
        <v>4436</v>
      </c>
      <c r="AR78" s="84" vm="3726">
        <v>2757</v>
      </c>
      <c r="AS78" s="84" vm="3727">
        <v>0</v>
      </c>
      <c r="AT78" s="84" vm="3728">
        <v>1351</v>
      </c>
      <c r="AU78" s="84" vm="3729">
        <v>0</v>
      </c>
      <c r="AV78" s="84" vm="3730">
        <v>37</v>
      </c>
      <c r="AW78" s="84" vm="3731">
        <v>5031</v>
      </c>
      <c r="AX78" s="84" vm="3732">
        <v>3828</v>
      </c>
      <c r="AY78" s="3">
        <f xml:space="preserve"> - SUM( VfM_Metrics_2023_Consol[[#This Row],[Interest capitalised]], VfM_Metrics_2023_Consol[[#This Row],[Interest payable and financing costs]] )</f>
        <v>2104</v>
      </c>
      <c r="AZ78" s="84" vm="7071">
        <v>0</v>
      </c>
      <c r="BA78" s="83" vm="3733">
        <v>-2104</v>
      </c>
      <c r="BB78" s="8">
        <f xml:space="preserve"> IFERROR( ( VfM_Metrics_2023_Consol[[#This Row],[Total Costs]] / VfM_Metrics_2023_Consol[[#This Row],[Total units for costs]] ) * 1000, "n/a" )</f>
        <v>7226.7546490701861</v>
      </c>
      <c r="BC7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24094</v>
      </c>
      <c r="BD78" s="84" vm="2620">
        <v>4588</v>
      </c>
      <c r="BE78" s="83" vm="3734">
        <v>5762</v>
      </c>
      <c r="BF78" s="83" vm="3735">
        <v>6149</v>
      </c>
      <c r="BG78" s="83" vm="3736">
        <v>1382</v>
      </c>
      <c r="BH78" s="83" vm="7661">
        <v>1059</v>
      </c>
      <c r="BI78" s="83" vm="3737">
        <v>0</v>
      </c>
      <c r="BJ78" s="83" vm="3731">
        <v>5031</v>
      </c>
      <c r="BK78" s="83" vm="3959">
        <v>0</v>
      </c>
      <c r="BL78" s="83" vm="3739">
        <v>0</v>
      </c>
      <c r="BM78" s="83" vm="3740">
        <v>0</v>
      </c>
      <c r="BN78" s="83" vm="3741">
        <v>123</v>
      </c>
      <c r="BO78" s="83" vm="3742">
        <v>0</v>
      </c>
      <c r="BP78" s="5" vm="3706">
        <f xml:space="preserve"> VfM_Metrics_2023_Consol[[#This Row],[Total social housing units owned and/or managed at period end]]</f>
        <v>3334</v>
      </c>
      <c r="BQ78" s="84" vm="3706">
        <v>3334</v>
      </c>
      <c r="BR78" s="7">
        <f xml:space="preserve"> IFERROR( VfM_Metrics_2023_Consol[[#This Row],[SHL operating surplus / (deficit)]] / VfM_Metrics_2023_Consol[[#This Row],[Turnover from social housing lettings]], "n/a" )</f>
        <v>-8.8964014056314221E-4</v>
      </c>
      <c r="BS78" s="5" vm="6991">
        <f xml:space="preserve"> VfM_Metrics_2023_Consol[[#This Row],[Operating surplus/(deficit) (social housing lettings)]]</f>
        <v>-20</v>
      </c>
      <c r="BT78" s="84" vm="6991">
        <v>-20</v>
      </c>
      <c r="BU78" s="5" vm="3743">
        <f xml:space="preserve"> VfM_Metrics_2023_Consol[[#This Row],[Turnover from social housing lettings]]</f>
        <v>22481</v>
      </c>
      <c r="BV78" s="84" vm="3743">
        <v>22481</v>
      </c>
      <c r="BW78" s="7">
        <f xml:space="preserve"> IFERROR( VfM_Metrics_2023_Consol[[#This Row],[Net operating surplus]] / VfM_Metrics_2023_Consol[[#This Row],[Overall turnover]], "n/a" )</f>
        <v>6.6985836824256934E-2</v>
      </c>
      <c r="BX78" s="5">
        <f xml:space="preserve"> SUM( VfM_Metrics_2023_Consol[[#This Row],[Operating surplus/(deficit) (overall)2]], - VfM_Metrics_2023_Consol[[#This Row],[Gain/(loss) on disposal of fixed assets (housing properties)2]], - VfM_Metrics_2023_Consol[[#This Row],[Gain/(loss) on disposal of fixed assets (other)2]] )</f>
        <v>1679</v>
      </c>
      <c r="BY78" s="84" vm="3725">
        <v>4436</v>
      </c>
      <c r="BZ78" s="83" vm="3726">
        <v>2757</v>
      </c>
      <c r="CA78" s="83" vm="3727">
        <v>0</v>
      </c>
      <c r="CB78" s="5" vm="3744">
        <f xml:space="preserve"> VfM_Metrics_2023_Consol[[#This Row],[Turnover (overall)]]</f>
        <v>25065</v>
      </c>
      <c r="CC78" s="84" vm="3744">
        <v>25065</v>
      </c>
      <c r="CD78" s="7">
        <f xml:space="preserve"> IFERROR( VfM_Metrics_2023_Consol[[#This Row],[Operating surplus including from JVs]] / VfM_Metrics_2023_Consol[[#This Row],[Net assets]], "n/a" )</f>
        <v>2.2351998629453647E-2</v>
      </c>
      <c r="CE78" s="5">
        <f xml:space="preserve"> SUM( VfM_Metrics_2023_Consol[[#This Row],[Operating surplus/(deficit) (overall)3]], VfM_Metrics_2023_Consol[[#This Row],[Share of operating surplus/(deficit) in joint ventures or associates]] )</f>
        <v>4436</v>
      </c>
      <c r="CF78" s="84" vm="3725">
        <v>4436</v>
      </c>
      <c r="CG78" s="83" vm="3746">
        <v>0</v>
      </c>
      <c r="CH78" s="5" vm="3745">
        <f xml:space="preserve"> VfM_Metrics_2023_Consol[[#This Row],[Total assets less current liabilities]]</f>
        <v>198461</v>
      </c>
      <c r="CI78" s="84" vm="3745">
        <v>198461</v>
      </c>
      <c r="CJ78" s="71" vm="3705">
        <f xml:space="preserve"> VfM_Metrics_2023_Consol[[#This Row],[Total social housing units owned (Period end)]]</f>
        <v>3320</v>
      </c>
      <c r="CK78" s="103">
        <v>0.39323789217179411</v>
      </c>
      <c r="CL78" s="6">
        <f xml:space="preserve"> -- ( VfM_Metrics_2023_Consol[[#This Row],[% Supported housing (excl. HOP)]] &gt; 0.3 )</f>
        <v>1</v>
      </c>
      <c r="CM78" s="103">
        <v>7.4322266219920802E-2</v>
      </c>
      <c r="CN78" s="6">
        <f xml:space="preserve"> -- ( VfM_Metrics_2023_Consol[[#This Row],[% Housing for older people]] &gt; 0.3 )</f>
        <v>0</v>
      </c>
      <c r="CO78" s="103">
        <f xml:space="preserve"> VfM_Metrics_2023_Consol[[#This Row],[% Supported housing (excl. HOP)]] + VfM_Metrics_2023_Consol[[#This Row],[% Housing for older people]]</f>
        <v>0.46756015839171494</v>
      </c>
      <c r="CP78" s="6">
        <f xml:space="preserve"> -- ( VfM_Metrics_2023_Consol[[#This Row],[SH specialist in RSH analysis]] + VfM_Metrics_2023_Consol[[#This Row],[OP specialist in RSH analysis]] &gt; 0 )</f>
        <v>1</v>
      </c>
      <c r="CQ78" s="10">
        <f xml:space="preserve"> -- ( VfM_Metrics_2023_Consol[[#This Row],[% SH and OP]] &gt; 0.3 )</f>
        <v>1</v>
      </c>
      <c r="CR78" s="104" t="s">
        <v>143</v>
      </c>
      <c r="CS78" s="124" t="s">
        <v>144</v>
      </c>
      <c r="CT78" s="105"/>
      <c r="CU7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78" s="85">
        <v>0.2916923076923077</v>
      </c>
      <c r="CW78" s="85">
        <v>0.12553846153846154</v>
      </c>
      <c r="CX78" s="85">
        <v>0.11138461538461539</v>
      </c>
      <c r="CY78" s="85">
        <v>1.0153846153846154E-2</v>
      </c>
      <c r="CZ78" s="85">
        <v>4.2769230769230768E-2</v>
      </c>
      <c r="DA78" s="85">
        <v>9.1692307692307698E-2</v>
      </c>
      <c r="DB78" s="85">
        <v>0.13292307692307692</v>
      </c>
      <c r="DC78" s="85">
        <v>1.3846153846153847E-2</v>
      </c>
      <c r="DD78" s="85">
        <v>0.18</v>
      </c>
      <c r="DE78" s="13">
        <v>1.0242474027055117</v>
      </c>
    </row>
    <row r="79" spans="1:109" x14ac:dyDescent="0.25">
      <c r="A79" s="4" t="s" vm="387">
        <v>282</v>
      </c>
      <c r="B79" s="2" t="s" vm="69">
        <v>283</v>
      </c>
      <c r="C79" s="72" vm="455">
        <v>45016</v>
      </c>
      <c r="D79" s="7">
        <f>IFERROR( VfM_Metrics_2023_Consol[[#This Row],[Reinvestment Spend]] / VfM_Metrics_2023_Consol[[#This Row],[Net Book Value of Housing Properties]], "n/a" )</f>
        <v>7.4760794249464968E-2</v>
      </c>
      <c r="E7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15580</v>
      </c>
      <c r="F79" s="83" vm="6466">
        <v>12028</v>
      </c>
      <c r="G79" s="83" vm="6467">
        <v>0</v>
      </c>
      <c r="H79" s="83" vm="6468">
        <v>2841</v>
      </c>
      <c r="I79" s="83" vm="6469">
        <v>711</v>
      </c>
      <c r="J79" s="83" vm="6470">
        <v>0</v>
      </c>
      <c r="K79" s="5">
        <f xml:space="preserve"> SUM( VfM_Metrics_2023_Consol[[#This Row],[Tangible fixed assets: Housing properties at cost (Current period)]],VfM_Metrics_2023_Consol[[#This Row],[Tangible fixed assets Housing properties at valuation (Current period)]] )</f>
        <v>208398</v>
      </c>
      <c r="L79" s="84" vm="6471">
        <v>208398</v>
      </c>
      <c r="M79" s="83" vm="6472">
        <v>0</v>
      </c>
      <c r="N79" s="7">
        <f xml:space="preserve"> IFERROR( VfM_Metrics_2023_Consol[[#This Row],[Total social units developed or newly built units acquired in-year]] / VfM_Metrics_2023_Consol[[#This Row],[Social housing units owned (period end)]], "n/a" )</f>
        <v>2.5977504017139795E-2</v>
      </c>
      <c r="O79" s="5">
        <f xml:space="preserve"> SUM( VfM_Metrics_2023_Consol[[#This Row],[Total social units developed or newly built units acquired in-year (owned)]], VfM_Metrics_2023_Consol[[#This Row],[Total social leasehold units developed or newly built units acquired in-year (owned)]] )</f>
        <v>194</v>
      </c>
      <c r="P79" s="84" vm="5791">
        <v>194</v>
      </c>
      <c r="Q79" s="83" vm="6473">
        <v>0</v>
      </c>
      <c r="R79" s="5">
        <f xml:space="preserve"> SUM( VfM_Metrics_2023_Consol[[#This Row],[Total social housing units owned (Period end)]], VfM_Metrics_2023_Consol[[#This Row],[Total social leasehold units owned (Period end)]] )</f>
        <v>7468</v>
      </c>
      <c r="S79" s="84" vm="6464">
        <v>7330</v>
      </c>
      <c r="T79" s="83" vm="6474">
        <v>138</v>
      </c>
      <c r="U79" s="86">
        <f xml:space="preserve"> IFERROR( VfM_Metrics_2023_Consol[[#This Row],[Total non-social housing units developed or newly built units acquired (owned)]] / VfM_Metrics_2023_Consol[[#This Row],[Total social and non-social housing units owned (Period end)]], "n/a" )</f>
        <v>0</v>
      </c>
      <c r="V7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79" s="83" vm="6475">
        <v>0</v>
      </c>
      <c r="X79" s="83" vm="6476">
        <v>0</v>
      </c>
      <c r="Y79" s="83" vm="6477">
        <v>0</v>
      </c>
      <c r="Z7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7853</v>
      </c>
      <c r="AA79" s="84" vm="6464">
        <v>7330</v>
      </c>
      <c r="AB79" s="83" vm="6474">
        <v>138</v>
      </c>
      <c r="AC79" s="83" vm="6478">
        <v>385</v>
      </c>
      <c r="AD79" s="83" vm="6479">
        <v>0</v>
      </c>
      <c r="AE79" s="7">
        <f xml:space="preserve"> IFERROR( VfM_Metrics_2023_Consol[[#This Row],[Total Net Debt]] / VfM_Metrics_2023_Consol[[#This Row],[Net Book Value of Housing Properties2]], "n/a" )</f>
        <v>0.77659574468085102</v>
      </c>
      <c r="AF7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161841</v>
      </c>
      <c r="AG79" s="84" vm="6480">
        <v>5000</v>
      </c>
      <c r="AH79" s="83" vm="6898">
        <v>164245</v>
      </c>
      <c r="AI79" s="83" vm="7178">
        <v>7404</v>
      </c>
      <c r="AJ79" s="83" vm="6481">
        <v>0</v>
      </c>
      <c r="AK79" s="83" vm="6482">
        <v>0</v>
      </c>
      <c r="AL79" s="5">
        <f xml:space="preserve"> SUM( VfM_Metrics_2023_Consol[[#This Row],[Tangible fixed assets: Housing properties at cost (Current period)2]], VfM_Metrics_2023_Consol[[#This Row],[Tangible fixed assets Housing properties at valuation (Current period)2]] )</f>
        <v>208398</v>
      </c>
      <c r="AM79" s="84" vm="6471">
        <v>208398</v>
      </c>
      <c r="AN79" s="83" vm="7002">
        <v>0</v>
      </c>
      <c r="AO79" s="87">
        <f xml:space="preserve"> IFERROR( VfM_Metrics_2023_Consol[[#This Row],[EBITDA MRI]] / VfM_Metrics_2023_Consol[[#This Row],[Total interest]], "n/a" )</f>
        <v>1.0704208221843834</v>
      </c>
      <c r="AP7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8801</v>
      </c>
      <c r="AQ79" s="84" vm="6483">
        <v>7372</v>
      </c>
      <c r="AR79" s="84" vm="6484">
        <v>841</v>
      </c>
      <c r="AS79" s="84" vm="6485">
        <v>-1</v>
      </c>
      <c r="AT79" s="84" vm="6486">
        <v>363</v>
      </c>
      <c r="AU79" s="84" vm="7171">
        <v>71</v>
      </c>
      <c r="AV79" s="84" vm="6487">
        <v>1</v>
      </c>
      <c r="AW79" s="84" vm="6488">
        <v>2841</v>
      </c>
      <c r="AX79" s="84" vm="6489">
        <v>5543</v>
      </c>
      <c r="AY79" s="3">
        <f xml:space="preserve"> - SUM( VfM_Metrics_2023_Consol[[#This Row],[Interest capitalised]], VfM_Metrics_2023_Consol[[#This Row],[Interest payable and financing costs]] )</f>
        <v>8222</v>
      </c>
      <c r="AZ79" s="84" vm="6490">
        <v>-843</v>
      </c>
      <c r="BA79" s="83" vm="6878">
        <v>-7379</v>
      </c>
      <c r="BB79" s="8">
        <f xml:space="preserve"> IFERROR( ( VfM_Metrics_2023_Consol[[#This Row],[Total Costs]] / VfM_Metrics_2023_Consol[[#This Row],[Total units for costs]] ) * 1000, "n/a" )</f>
        <v>4008.8640392745124</v>
      </c>
      <c r="BC7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29397</v>
      </c>
      <c r="BD79" s="84" vm="7177">
        <v>10963</v>
      </c>
      <c r="BE79" s="83" vm="6491">
        <v>2153</v>
      </c>
      <c r="BF79" s="83" vm="6492">
        <v>7890</v>
      </c>
      <c r="BG79" s="83" vm="6493">
        <v>2401</v>
      </c>
      <c r="BH79" s="83" vm="7141">
        <v>2535</v>
      </c>
      <c r="BI79" s="83" vm="6876">
        <v>0</v>
      </c>
      <c r="BJ79" s="83" vm="6488">
        <v>2841</v>
      </c>
      <c r="BK79" s="83" vm="6494">
        <v>614</v>
      </c>
      <c r="BL79" s="83" vm="6495">
        <v>0</v>
      </c>
      <c r="BM79" s="83" vm="6496">
        <v>0</v>
      </c>
      <c r="BN79" s="83" vm="6497">
        <v>0</v>
      </c>
      <c r="BO79" s="83" vm="6498">
        <v>0</v>
      </c>
      <c r="BP79" s="5" vm="6465">
        <f xml:space="preserve"> VfM_Metrics_2023_Consol[[#This Row],[Total social housing units owned and/or managed at period end]]</f>
        <v>7333</v>
      </c>
      <c r="BQ79" s="84" vm="6465">
        <v>7333</v>
      </c>
      <c r="BR79" s="7">
        <f xml:space="preserve"> IFERROR( VfM_Metrics_2023_Consol[[#This Row],[SHL operating surplus / (deficit)]] / VfM_Metrics_2023_Consol[[#This Row],[Turnover from social housing lettings]], "n/a" )</f>
        <v>0.11051941668032116</v>
      </c>
      <c r="BS79" s="5" vm="6499">
        <f xml:space="preserve"> VfM_Metrics_2023_Consol[[#This Row],[Operating surplus/(deficit) (social housing lettings)]]</f>
        <v>4047</v>
      </c>
      <c r="BT79" s="84" vm="6499">
        <v>4047</v>
      </c>
      <c r="BU79" s="5" vm="6500">
        <f xml:space="preserve"> VfM_Metrics_2023_Consol[[#This Row],[Turnover from social housing lettings]]</f>
        <v>36618</v>
      </c>
      <c r="BV79" s="84" vm="6500">
        <v>36618</v>
      </c>
      <c r="BW79" s="7">
        <f xml:space="preserve"> IFERROR( VfM_Metrics_2023_Consol[[#This Row],[Net operating surplus]] / VfM_Metrics_2023_Consol[[#This Row],[Overall turnover]], "n/a" )</f>
        <v>0.12703722431833211</v>
      </c>
      <c r="BX79" s="5">
        <f xml:space="preserve"> SUM( VfM_Metrics_2023_Consol[[#This Row],[Operating surplus/(deficit) (overall)2]], - VfM_Metrics_2023_Consol[[#This Row],[Gain/(loss) on disposal of fixed assets (housing properties)2]], - VfM_Metrics_2023_Consol[[#This Row],[Gain/(loss) on disposal of fixed assets (other)2]] )</f>
        <v>6532</v>
      </c>
      <c r="BY79" s="84" vm="6483">
        <v>7372</v>
      </c>
      <c r="BZ79" s="83" vm="6484">
        <v>841</v>
      </c>
      <c r="CA79" s="83" vm="6485">
        <v>-1</v>
      </c>
      <c r="CB79" s="5" vm="6501">
        <f xml:space="preserve"> VfM_Metrics_2023_Consol[[#This Row],[Turnover (overall)]]</f>
        <v>51418</v>
      </c>
      <c r="CC79" s="84" vm="6501">
        <v>51418</v>
      </c>
      <c r="CD79" s="7">
        <f xml:space="preserve"> IFERROR( VfM_Metrics_2023_Consol[[#This Row],[Operating surplus including from JVs]] / VfM_Metrics_2023_Consol[[#This Row],[Net assets]], "n/a" )</f>
        <v>2.8917855559783313E-2</v>
      </c>
      <c r="CE79" s="5">
        <f xml:space="preserve"> SUM( VfM_Metrics_2023_Consol[[#This Row],[Operating surplus/(deficit) (overall)3]], VfM_Metrics_2023_Consol[[#This Row],[Share of operating surplus/(deficit) in joint ventures or associates]] )</f>
        <v>7372</v>
      </c>
      <c r="CF79" s="84" vm="6483">
        <v>7372</v>
      </c>
      <c r="CG79" s="83" vm="6503">
        <v>0</v>
      </c>
      <c r="CH79" s="5" vm="6502">
        <f xml:space="preserve"> VfM_Metrics_2023_Consol[[#This Row],[Total assets less current liabilities]]</f>
        <v>254929</v>
      </c>
      <c r="CI79" s="84" vm="6502">
        <v>254929</v>
      </c>
      <c r="CJ79" s="71" vm="6464">
        <f xml:space="preserve"> VfM_Metrics_2023_Consol[[#This Row],[Total social housing units owned (Period end)]]</f>
        <v>7330</v>
      </c>
      <c r="CK79" s="103">
        <v>1.7662481026631708E-2</v>
      </c>
      <c r="CL79" s="6">
        <f xml:space="preserve"> -- ( VfM_Metrics_2023_Consol[[#This Row],[% Supported housing (excl. HOP)]] &gt; 0.3 )</f>
        <v>0</v>
      </c>
      <c r="CM79" s="103">
        <v>0</v>
      </c>
      <c r="CN79" s="6">
        <f xml:space="preserve"> -- ( VfM_Metrics_2023_Consol[[#This Row],[% Housing for older people]] &gt; 0.3 )</f>
        <v>0</v>
      </c>
      <c r="CO79" s="103">
        <f xml:space="preserve"> VfM_Metrics_2023_Consol[[#This Row],[% Supported housing (excl. HOP)]] + VfM_Metrics_2023_Consol[[#This Row],[% Housing for older people]]</f>
        <v>1.7662481026631708E-2</v>
      </c>
      <c r="CP79" s="6">
        <f xml:space="preserve"> -- ( VfM_Metrics_2023_Consol[[#This Row],[SH specialist in RSH analysis]] + VfM_Metrics_2023_Consol[[#This Row],[OP specialist in RSH analysis]] &gt; 0 )</f>
        <v>0</v>
      </c>
      <c r="CQ79" s="10">
        <f xml:space="preserve"> -- ( VfM_Metrics_2023_Consol[[#This Row],[% SH and OP]] &gt; 0.3 )</f>
        <v>0</v>
      </c>
      <c r="CR79" s="104" t="s">
        <v>143</v>
      </c>
      <c r="CS79" s="124"/>
      <c r="CT79" s="105" t="s">
        <v>151</v>
      </c>
      <c r="CU7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79" s="85">
        <v>0</v>
      </c>
      <c r="CW79" s="85">
        <v>0</v>
      </c>
      <c r="CX79" s="85">
        <v>0</v>
      </c>
      <c r="CY79" s="85">
        <v>0</v>
      </c>
      <c r="CZ79" s="85">
        <v>0</v>
      </c>
      <c r="DA79" s="85">
        <v>0</v>
      </c>
      <c r="DB79" s="85">
        <v>0</v>
      </c>
      <c r="DC79" s="85">
        <v>1</v>
      </c>
      <c r="DD79" s="85">
        <v>0</v>
      </c>
      <c r="DE79" s="13">
        <v>0.96105917141044694</v>
      </c>
    </row>
    <row r="80" spans="1:109" x14ac:dyDescent="0.25">
      <c r="A80" s="4" t="s" vm="395">
        <v>284</v>
      </c>
      <c r="B80" s="2" t="s" vm="70">
        <v>285</v>
      </c>
      <c r="C80" s="72" vm="522">
        <v>45016</v>
      </c>
      <c r="D80" s="7">
        <f>IFERROR( VfM_Metrics_2023_Consol[[#This Row],[Reinvestment Spend]] / VfM_Metrics_2023_Consol[[#This Row],[Net Book Value of Housing Properties]], "n/a" )</f>
        <v>2.6817271163696157E-2</v>
      </c>
      <c r="E8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11351</v>
      </c>
      <c r="F80" s="83" vm="6783">
        <v>7954</v>
      </c>
      <c r="G80" s="83" vm="6894">
        <v>0</v>
      </c>
      <c r="H80" s="83" vm="6784">
        <v>3113</v>
      </c>
      <c r="I80" s="83" vm="6867">
        <v>284</v>
      </c>
      <c r="J80" s="83" vm="6785">
        <v>0</v>
      </c>
      <c r="K80" s="5">
        <f xml:space="preserve"> SUM( VfM_Metrics_2023_Consol[[#This Row],[Tangible fixed assets: Housing properties at cost (Current period)]],VfM_Metrics_2023_Consol[[#This Row],[Tangible fixed assets Housing properties at valuation (Current period)]] )</f>
        <v>423272</v>
      </c>
      <c r="L80" s="84" vm="6786">
        <v>423272</v>
      </c>
      <c r="M80" s="83" vm="6787">
        <v>0</v>
      </c>
      <c r="N80" s="7">
        <f xml:space="preserve"> IFERROR( VfM_Metrics_2023_Consol[[#This Row],[Total social units developed or newly built units acquired in-year]] / VfM_Metrics_2023_Consol[[#This Row],[Social housing units owned (period end)]], "n/a" )</f>
        <v>6.3598952487841373E-3</v>
      </c>
      <c r="O80" s="5">
        <f xml:space="preserve"> SUM( VfM_Metrics_2023_Consol[[#This Row],[Total social units developed or newly built units acquired in-year (owned)]], VfM_Metrics_2023_Consol[[#This Row],[Total social leasehold units developed or newly built units acquired in-year (owned)]] )</f>
        <v>34</v>
      </c>
      <c r="P80" s="84" vm="6788">
        <v>34</v>
      </c>
      <c r="Q80" s="83" vm="6642">
        <v>0</v>
      </c>
      <c r="R80" s="5">
        <f xml:space="preserve"> SUM( VfM_Metrics_2023_Consol[[#This Row],[Total social housing units owned (Period end)]], VfM_Metrics_2023_Consol[[#This Row],[Total social leasehold units owned (Period end)]] )</f>
        <v>5346</v>
      </c>
      <c r="S80" s="84" vm="6781">
        <v>5075</v>
      </c>
      <c r="T80" s="83" vm="6781">
        <v>271</v>
      </c>
      <c r="U80" s="86">
        <f xml:space="preserve"> IFERROR( VfM_Metrics_2023_Consol[[#This Row],[Total non-social housing units developed or newly built units acquired (owned)]] / VfM_Metrics_2023_Consol[[#This Row],[Total social and non-social housing units owned (Period end)]], "n/a" )</f>
        <v>1.4771048744460858E-3</v>
      </c>
      <c r="V8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11</v>
      </c>
      <c r="W80" s="83" vm="6790">
        <v>0</v>
      </c>
      <c r="X80" s="83" vm="6791">
        <v>11</v>
      </c>
      <c r="Y80" s="83" vm="6792">
        <v>0</v>
      </c>
      <c r="Z8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7447</v>
      </c>
      <c r="AA80" s="84" vm="6781">
        <v>5075</v>
      </c>
      <c r="AB80" s="83" vm="6789">
        <v>271</v>
      </c>
      <c r="AC80" s="83" vm="7199">
        <v>7</v>
      </c>
      <c r="AD80" s="83" vm="6793">
        <v>2094</v>
      </c>
      <c r="AE80" s="7">
        <f xml:space="preserve"> IFERROR( VfM_Metrics_2023_Consol[[#This Row],[Total Net Debt]] / VfM_Metrics_2023_Consol[[#This Row],[Net Book Value of Housing Properties2]], "n/a" )</f>
        <v>0.53606900527320489</v>
      </c>
      <c r="AF8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226903</v>
      </c>
      <c r="AG80" s="84" vm="6794">
        <v>4979</v>
      </c>
      <c r="AH80" s="83" vm="6863">
        <v>226095</v>
      </c>
      <c r="AI80" s="83" vm="6795">
        <v>4171</v>
      </c>
      <c r="AJ80" s="83" vm="6796">
        <v>0</v>
      </c>
      <c r="AK80" s="83" vm="6797">
        <v>0</v>
      </c>
      <c r="AL80" s="5">
        <f xml:space="preserve"> SUM( VfM_Metrics_2023_Consol[[#This Row],[Tangible fixed assets: Housing properties at cost (Current period)2]], VfM_Metrics_2023_Consol[[#This Row],[Tangible fixed assets Housing properties at valuation (Current period)2]] )</f>
        <v>423272</v>
      </c>
      <c r="AM80" s="84" vm="6786">
        <v>423272</v>
      </c>
      <c r="AN80" s="83" vm="6787">
        <v>0</v>
      </c>
      <c r="AO80" s="87">
        <f xml:space="preserve"> IFERROR( VfM_Metrics_2023_Consol[[#This Row],[EBITDA MRI]] / VfM_Metrics_2023_Consol[[#This Row],[Total interest]], "n/a" )</f>
        <v>1.329421768707483</v>
      </c>
      <c r="AP8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15634</v>
      </c>
      <c r="AQ80" s="84" vm="6798">
        <v>16819</v>
      </c>
      <c r="AR80" s="84" vm="6799">
        <v>2644</v>
      </c>
      <c r="AS80" s="84" vm="6800">
        <v>0</v>
      </c>
      <c r="AT80" s="84" vm="6801">
        <v>1816</v>
      </c>
      <c r="AU80" s="84" vm="6802">
        <v>0</v>
      </c>
      <c r="AV80" s="84" vm="6803">
        <v>40</v>
      </c>
      <c r="AW80" s="84" vm="6804">
        <v>3113</v>
      </c>
      <c r="AX80" s="84" vm="6805">
        <v>6348</v>
      </c>
      <c r="AY80" s="3">
        <f xml:space="preserve"> - SUM( VfM_Metrics_2023_Consol[[#This Row],[Interest capitalised]], VfM_Metrics_2023_Consol[[#This Row],[Interest payable and financing costs]] )</f>
        <v>11760</v>
      </c>
      <c r="AZ80" s="84" vm="6806">
        <v>-284</v>
      </c>
      <c r="BA80" s="83" vm="6807">
        <v>-11476</v>
      </c>
      <c r="BB80" s="8">
        <f xml:space="preserve"> IFERROR( ( VfM_Metrics_2023_Consol[[#This Row],[Total Costs]] / VfM_Metrics_2023_Consol[[#This Row],[Total units for costs]] ) * 1000, "n/a" )</f>
        <v>3142.5762045231072</v>
      </c>
      <c r="BC8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15980</v>
      </c>
      <c r="BD80" s="84" vm="6808">
        <v>3203</v>
      </c>
      <c r="BE80" s="83" vm="7001">
        <v>1505</v>
      </c>
      <c r="BF80" s="83" vm="6810">
        <v>4752</v>
      </c>
      <c r="BG80" s="83" vm="6811">
        <v>1183</v>
      </c>
      <c r="BH80" s="83" vm="6812">
        <v>1490</v>
      </c>
      <c r="BI80" s="83" vm="6813">
        <v>27</v>
      </c>
      <c r="BJ80" s="83" vm="6804">
        <v>3113</v>
      </c>
      <c r="BK80" s="83" vm="6814">
        <v>104</v>
      </c>
      <c r="BL80" s="83" vm="6893">
        <v>427</v>
      </c>
      <c r="BM80" s="83" vm="7229">
        <v>109</v>
      </c>
      <c r="BN80" s="83" vm="6815">
        <v>37</v>
      </c>
      <c r="BO80" s="83" vm="6816">
        <v>30</v>
      </c>
      <c r="BP80" s="5" vm="6782">
        <f xml:space="preserve"> VfM_Metrics_2023_Consol[[#This Row],[Total social housing units owned and/or managed at period end]]</f>
        <v>5085</v>
      </c>
      <c r="BQ80" s="84" vm="6782">
        <v>5085</v>
      </c>
      <c r="BR80" s="7">
        <f xml:space="preserve"> IFERROR( VfM_Metrics_2023_Consol[[#This Row],[SHL operating surplus / (deficit)]] / VfM_Metrics_2023_Consol[[#This Row],[Turnover from social housing lettings]], "n/a" )</f>
        <v>0.42503883587483754</v>
      </c>
      <c r="BS80" s="5" vm="6817">
        <f xml:space="preserve"> VfM_Metrics_2023_Consol[[#This Row],[Operating surplus/(deficit) (social housing lettings)]]</f>
        <v>13407</v>
      </c>
      <c r="BT80" s="84" vm="6817">
        <v>13407</v>
      </c>
      <c r="BU80" s="5" vm="6742">
        <f xml:space="preserve"> VfM_Metrics_2023_Consol[[#This Row],[Turnover from social housing lettings]]</f>
        <v>31543</v>
      </c>
      <c r="BV80" s="84" vm="6742">
        <v>31543</v>
      </c>
      <c r="BW80" s="7">
        <f xml:space="preserve"> IFERROR( VfM_Metrics_2023_Consol[[#This Row],[Net operating surplus]] / VfM_Metrics_2023_Consol[[#This Row],[Overall turnover]], "n/a" )</f>
        <v>0.40549818348256428</v>
      </c>
      <c r="BX80" s="5">
        <f xml:space="preserve"> SUM( VfM_Metrics_2023_Consol[[#This Row],[Operating surplus/(deficit) (overall)2]], - VfM_Metrics_2023_Consol[[#This Row],[Gain/(loss) on disposal of fixed assets (housing properties)2]], - VfM_Metrics_2023_Consol[[#This Row],[Gain/(loss) on disposal of fixed assets (other)2]] )</f>
        <v>14175</v>
      </c>
      <c r="BY80" s="84" vm="6798">
        <v>16819</v>
      </c>
      <c r="BZ80" s="83" vm="6799">
        <v>2644</v>
      </c>
      <c r="CA80" s="83" vm="6800">
        <v>0</v>
      </c>
      <c r="CB80" s="5" vm="6818">
        <f xml:space="preserve"> VfM_Metrics_2023_Consol[[#This Row],[Turnover (overall)]]</f>
        <v>34957</v>
      </c>
      <c r="CC80" s="84" vm="6818">
        <v>34957</v>
      </c>
      <c r="CD80" s="7">
        <f xml:space="preserve"> IFERROR( VfM_Metrics_2023_Consol[[#This Row],[Operating surplus including from JVs]] / VfM_Metrics_2023_Consol[[#This Row],[Net assets]], "n/a" )</f>
        <v>3.9329626182648104E-2</v>
      </c>
      <c r="CE80" s="5">
        <f xml:space="preserve"> SUM( VfM_Metrics_2023_Consol[[#This Row],[Operating surplus/(deficit) (overall)3]], VfM_Metrics_2023_Consol[[#This Row],[Share of operating surplus/(deficit) in joint ventures or associates]] )</f>
        <v>16819</v>
      </c>
      <c r="CF80" s="84" vm="6798">
        <v>16819</v>
      </c>
      <c r="CG80" s="83" vm="6819">
        <v>0</v>
      </c>
      <c r="CH80" s="5" vm="6862">
        <f xml:space="preserve"> VfM_Metrics_2023_Consol[[#This Row],[Total assets less current liabilities]]</f>
        <v>427642</v>
      </c>
      <c r="CI80" s="84" vm="6862">
        <v>427642</v>
      </c>
      <c r="CJ80" s="71" vm="6781">
        <f xml:space="preserve"> VfM_Metrics_2023_Consol[[#This Row],[Total social housing units owned (Period end)]]</f>
        <v>5075</v>
      </c>
      <c r="CK80" s="103">
        <v>0</v>
      </c>
      <c r="CL80" s="6">
        <f xml:space="preserve"> -- ( VfM_Metrics_2023_Consol[[#This Row],[% Supported housing (excl. HOP)]] &gt; 0.3 )</f>
        <v>0</v>
      </c>
      <c r="CM80" s="103">
        <v>0</v>
      </c>
      <c r="CN80" s="6">
        <f xml:space="preserve"> -- ( VfM_Metrics_2023_Consol[[#This Row],[% Housing for older people]] &gt; 0.3 )</f>
        <v>0</v>
      </c>
      <c r="CO80" s="103">
        <f xml:space="preserve"> VfM_Metrics_2023_Consol[[#This Row],[% Supported housing (excl. HOP)]] + VfM_Metrics_2023_Consol[[#This Row],[% Housing for older people]]</f>
        <v>0</v>
      </c>
      <c r="CP80" s="6">
        <f xml:space="preserve"> -- ( VfM_Metrics_2023_Consol[[#This Row],[SH specialist in RSH analysis]] + VfM_Metrics_2023_Consol[[#This Row],[OP specialist in RSH analysis]] &gt; 0 )</f>
        <v>0</v>
      </c>
      <c r="CQ80" s="10">
        <f xml:space="preserve"> -- ( VfM_Metrics_2023_Consol[[#This Row],[% SH and OP]] &gt; 0.3 )</f>
        <v>0</v>
      </c>
      <c r="CR80" s="104" t="s">
        <v>143</v>
      </c>
      <c r="CS80" s="124" t="s">
        <v>144</v>
      </c>
      <c r="CT80" s="105"/>
      <c r="CU8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80" s="85">
        <v>5.1737756714060029E-2</v>
      </c>
      <c r="CW80" s="85">
        <v>0.26599526066350709</v>
      </c>
      <c r="CX80" s="85">
        <v>0.29601105845181674</v>
      </c>
      <c r="CY80" s="85">
        <v>8.0963665086887827E-3</v>
      </c>
      <c r="CZ80" s="85">
        <v>0</v>
      </c>
      <c r="DA80" s="85">
        <v>0.37815955766192733</v>
      </c>
      <c r="DB80" s="85">
        <v>0</v>
      </c>
      <c r="DC80" s="85">
        <v>0</v>
      </c>
      <c r="DD80" s="85">
        <v>0</v>
      </c>
      <c r="DE80" s="13">
        <v>1.0137323645217675</v>
      </c>
    </row>
    <row r="81" spans="1:109" x14ac:dyDescent="0.25">
      <c r="A81" s="4" t="s" vm="313">
        <v>286</v>
      </c>
      <c r="B81" s="2" t="s" vm="71">
        <v>287</v>
      </c>
      <c r="C81" s="72" vm="458">
        <v>45016</v>
      </c>
      <c r="D81" s="7">
        <f>IFERROR( VfM_Metrics_2023_Consol[[#This Row],[Reinvestment Spend]] / VfM_Metrics_2023_Consol[[#This Row],[Net Book Value of Housing Properties]], "n/a" )</f>
        <v>3.6425466693808146E-2</v>
      </c>
      <c r="E8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18252</v>
      </c>
      <c r="F81" s="83" vm="3788">
        <v>8193</v>
      </c>
      <c r="G81" s="83" vm="3789">
        <v>0</v>
      </c>
      <c r="H81" s="83" vm="2936">
        <v>7968</v>
      </c>
      <c r="I81" s="83" vm="3790">
        <v>2091</v>
      </c>
      <c r="J81" s="83" vm="3791">
        <v>0</v>
      </c>
      <c r="K81" s="5">
        <f xml:space="preserve"> SUM( VfM_Metrics_2023_Consol[[#This Row],[Tangible fixed assets: Housing properties at cost (Current period)]],VfM_Metrics_2023_Consol[[#This Row],[Tangible fixed assets Housing properties at valuation (Current period)]] )</f>
        <v>501078</v>
      </c>
      <c r="L81" s="84" vm="7684">
        <v>501078</v>
      </c>
      <c r="M81" s="83" vm="3793">
        <v>0</v>
      </c>
      <c r="N81" s="7">
        <f xml:space="preserve"> IFERROR( VfM_Metrics_2023_Consol[[#This Row],[Total social units developed or newly built units acquired in-year]] / VfM_Metrics_2023_Consol[[#This Row],[Social housing units owned (period end)]], "n/a" )</f>
        <v>5.6293627561360051E-3</v>
      </c>
      <c r="O81" s="5">
        <f xml:space="preserve"> SUM( VfM_Metrics_2023_Consol[[#This Row],[Total social units developed or newly built units acquired in-year (owned)]], VfM_Metrics_2023_Consol[[#This Row],[Total social leasehold units developed or newly built units acquired in-year (owned)]] )</f>
        <v>25</v>
      </c>
      <c r="P81" s="84" vm="3794">
        <v>15</v>
      </c>
      <c r="Q81" s="83" vm="3795">
        <v>10</v>
      </c>
      <c r="R81" s="5">
        <f xml:space="preserve"> SUM( VfM_Metrics_2023_Consol[[#This Row],[Total social housing units owned (Period end)]], VfM_Metrics_2023_Consol[[#This Row],[Total social leasehold units owned (Period end)]] )</f>
        <v>4441</v>
      </c>
      <c r="S81" s="84" vm="3786">
        <v>4313</v>
      </c>
      <c r="T81" s="83" vm="3796">
        <v>128</v>
      </c>
      <c r="U81" s="86">
        <f xml:space="preserve"> IFERROR( VfM_Metrics_2023_Consol[[#This Row],[Total non-social housing units developed or newly built units acquired (owned)]] / VfM_Metrics_2023_Consol[[#This Row],[Total social and non-social housing units owned (Period end)]], "n/a" )</f>
        <v>8.94254415381176E-4</v>
      </c>
      <c r="V8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4</v>
      </c>
      <c r="W81" s="83" vm="3797">
        <v>0</v>
      </c>
      <c r="X81" s="83" vm="3798">
        <v>4</v>
      </c>
      <c r="Y81" s="83" vm="3799">
        <v>0</v>
      </c>
      <c r="Z8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4473</v>
      </c>
      <c r="AA81" s="84" vm="3822">
        <v>4313</v>
      </c>
      <c r="AB81" s="83" vm="3796">
        <v>128</v>
      </c>
      <c r="AC81" s="83" vm="3800">
        <v>0</v>
      </c>
      <c r="AD81" s="83" vm="3801">
        <v>32</v>
      </c>
      <c r="AE81" s="7">
        <f xml:space="preserve"> IFERROR( VfM_Metrics_2023_Consol[[#This Row],[Total Net Debt]] / VfM_Metrics_2023_Consol[[#This Row],[Net Book Value of Housing Properties2]], "n/a" )</f>
        <v>0.47036389544142826</v>
      </c>
      <c r="AF8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235689</v>
      </c>
      <c r="AG81" s="84" vm="3802">
        <v>599</v>
      </c>
      <c r="AH81" s="83" vm="3803">
        <v>306534</v>
      </c>
      <c r="AI81" s="83" vm="3804">
        <v>71444</v>
      </c>
      <c r="AJ81" s="83" vm="7639">
        <v>0</v>
      </c>
      <c r="AK81" s="83" vm="3805">
        <v>0</v>
      </c>
      <c r="AL81" s="5">
        <f xml:space="preserve"> SUM( VfM_Metrics_2023_Consol[[#This Row],[Tangible fixed assets: Housing properties at cost (Current period)2]], VfM_Metrics_2023_Consol[[#This Row],[Tangible fixed assets Housing properties at valuation (Current period)2]] )</f>
        <v>501078</v>
      </c>
      <c r="AM81" s="84" vm="3792">
        <v>501078</v>
      </c>
      <c r="AN81" s="83" vm="3793">
        <v>0</v>
      </c>
      <c r="AO81" s="87">
        <f xml:space="preserve"> IFERROR( VfM_Metrics_2023_Consol[[#This Row],[EBITDA MRI]] / VfM_Metrics_2023_Consol[[#This Row],[Total interest]], "n/a" )</f>
        <v>0.12657474456899118</v>
      </c>
      <c r="AP8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1276</v>
      </c>
      <c r="AQ81" s="84" vm="3806">
        <v>3735</v>
      </c>
      <c r="AR81" s="84" vm="3807">
        <v>1733</v>
      </c>
      <c r="AS81" s="84" vm="3808">
        <v>0</v>
      </c>
      <c r="AT81" s="84" vm="3809">
        <v>1873</v>
      </c>
      <c r="AU81" s="84" vm="3729">
        <v>0</v>
      </c>
      <c r="AV81" s="84" vm="3810">
        <v>370</v>
      </c>
      <c r="AW81" s="84" vm="3811">
        <v>7968</v>
      </c>
      <c r="AX81" s="84" vm="3812">
        <v>8745</v>
      </c>
      <c r="AY81" s="3">
        <f xml:space="preserve"> - SUM( VfM_Metrics_2023_Consol[[#This Row],[Interest capitalised]], VfM_Metrics_2023_Consol[[#This Row],[Interest payable and financing costs]] )</f>
        <v>10081</v>
      </c>
      <c r="AZ81" s="84" vm="7440">
        <v>-2091</v>
      </c>
      <c r="BA81" s="83" vm="3813">
        <v>-7990</v>
      </c>
      <c r="BB81" s="8">
        <f xml:space="preserve"> IFERROR( ( VfM_Metrics_2023_Consol[[#This Row],[Total Costs]] / VfM_Metrics_2023_Consol[[#This Row],[Total units for costs]] ) * 1000, "n/a" )</f>
        <v>6893.5580697298547</v>
      </c>
      <c r="BC8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29856</v>
      </c>
      <c r="BD81" s="84" vm="3814">
        <v>4544</v>
      </c>
      <c r="BE81" s="83" vm="3815">
        <v>2760</v>
      </c>
      <c r="BF81" s="83" vm="3816">
        <v>5563</v>
      </c>
      <c r="BG81" s="83" vm="7444">
        <v>2153</v>
      </c>
      <c r="BH81" s="83" vm="3817">
        <v>3435</v>
      </c>
      <c r="BI81" s="83" vm="3818">
        <v>0</v>
      </c>
      <c r="BJ81" s="83" vm="3811">
        <v>7968</v>
      </c>
      <c r="BK81" s="83" vm="3819">
        <v>469</v>
      </c>
      <c r="BL81" s="83" vm="3820">
        <v>957</v>
      </c>
      <c r="BM81" s="83" vm="7069">
        <v>0</v>
      </c>
      <c r="BN81" s="83" vm="3821">
        <v>1911</v>
      </c>
      <c r="BO81" s="83" vm="3986">
        <v>96</v>
      </c>
      <c r="BP81" s="5" vm="3787">
        <f xml:space="preserve"> VfM_Metrics_2023_Consol[[#This Row],[Total social housing units owned and/or managed at period end]]</f>
        <v>4331</v>
      </c>
      <c r="BQ81" s="84" vm="3787">
        <v>4331</v>
      </c>
      <c r="BR81" s="7">
        <f xml:space="preserve"> IFERROR( VfM_Metrics_2023_Consol[[#This Row],[SHL operating surplus / (deficit)]] / VfM_Metrics_2023_Consol[[#This Row],[Turnover from social housing lettings]], "n/a" )</f>
        <v>0.10398630313994056</v>
      </c>
      <c r="BS81" s="5" vm="3712">
        <f xml:space="preserve"> VfM_Metrics_2023_Consol[[#This Row],[Operating surplus/(deficit) (social housing lettings)]]</f>
        <v>3219</v>
      </c>
      <c r="BT81" s="84" vm="3712">
        <v>3219</v>
      </c>
      <c r="BU81" s="5" vm="3823">
        <f xml:space="preserve"> VfM_Metrics_2023_Consol[[#This Row],[Turnover from social housing lettings]]</f>
        <v>30956</v>
      </c>
      <c r="BV81" s="84" vm="3823">
        <v>30956</v>
      </c>
      <c r="BW81" s="7">
        <f xml:space="preserve"> IFERROR( VfM_Metrics_2023_Consol[[#This Row],[Net operating surplus]] / VfM_Metrics_2023_Consol[[#This Row],[Overall turnover]], "n/a" )</f>
        <v>6.0856613065021124E-2</v>
      </c>
      <c r="BX81" s="5">
        <f xml:space="preserve"> SUM( VfM_Metrics_2023_Consol[[#This Row],[Operating surplus/(deficit) (overall)2]], - VfM_Metrics_2023_Consol[[#This Row],[Gain/(loss) on disposal of fixed assets (housing properties)2]], - VfM_Metrics_2023_Consol[[#This Row],[Gain/(loss) on disposal of fixed assets (other)2]] )</f>
        <v>2002</v>
      </c>
      <c r="BY81" s="84" vm="7068">
        <v>3735</v>
      </c>
      <c r="BZ81" s="83" vm="3807">
        <v>1733</v>
      </c>
      <c r="CA81" s="83" vm="3808">
        <v>0</v>
      </c>
      <c r="CB81" s="5" vm="3824">
        <f xml:space="preserve"> VfM_Metrics_2023_Consol[[#This Row],[Turnover (overall)]]</f>
        <v>32897</v>
      </c>
      <c r="CC81" s="84" vm="3824">
        <v>32897</v>
      </c>
      <c r="CD81" s="7">
        <f xml:space="preserve"> IFERROR( VfM_Metrics_2023_Consol[[#This Row],[Operating surplus including from JVs]] / VfM_Metrics_2023_Consol[[#This Row],[Net assets]], "n/a" )</f>
        <v>6.2416026630838029E-3</v>
      </c>
      <c r="CE81" s="5">
        <f xml:space="preserve"> SUM( VfM_Metrics_2023_Consol[[#This Row],[Operating surplus/(deficit) (overall)3]], VfM_Metrics_2023_Consol[[#This Row],[Share of operating surplus/(deficit) in joint ventures or associates]] )</f>
        <v>3735</v>
      </c>
      <c r="CF81" s="84" vm="3806">
        <v>3735</v>
      </c>
      <c r="CG81" s="83" vm="3825">
        <v>0</v>
      </c>
      <c r="CH81" s="5" vm="7637">
        <f xml:space="preserve"> VfM_Metrics_2023_Consol[[#This Row],[Total assets less current liabilities]]</f>
        <v>598404</v>
      </c>
      <c r="CI81" s="84" vm="7637">
        <v>598404</v>
      </c>
      <c r="CJ81" s="71" vm="3786">
        <f xml:space="preserve"> VfM_Metrics_2023_Consol[[#This Row],[Total social housing units owned (Period end)]]</f>
        <v>4313</v>
      </c>
      <c r="CK81" s="103">
        <v>5.5594324261456156E-2</v>
      </c>
      <c r="CL81" s="6">
        <f xml:space="preserve"> -- ( VfM_Metrics_2023_Consol[[#This Row],[% Supported housing (excl. HOP)]] &gt; 0.3 )</f>
        <v>0</v>
      </c>
      <c r="CM81" s="103">
        <v>0</v>
      </c>
      <c r="CN81" s="6">
        <f xml:space="preserve"> -- ( VfM_Metrics_2023_Consol[[#This Row],[% Housing for older people]] &gt; 0.3 )</f>
        <v>0</v>
      </c>
      <c r="CO81" s="103">
        <f xml:space="preserve"> VfM_Metrics_2023_Consol[[#This Row],[% Supported housing (excl. HOP)]] + VfM_Metrics_2023_Consol[[#This Row],[% Housing for older people]]</f>
        <v>5.5594324261456156E-2</v>
      </c>
      <c r="CP81" s="6">
        <f xml:space="preserve"> -- ( VfM_Metrics_2023_Consol[[#This Row],[SH specialist in RSH analysis]] + VfM_Metrics_2023_Consol[[#This Row],[OP specialist in RSH analysis]] &gt; 0 )</f>
        <v>0</v>
      </c>
      <c r="CQ81" s="10">
        <f xml:space="preserve"> -- ( VfM_Metrics_2023_Consol[[#This Row],[% SH and OP]] &gt; 0.3 )</f>
        <v>0</v>
      </c>
      <c r="CR81" s="104" t="s">
        <v>143</v>
      </c>
      <c r="CS81" s="124" t="s">
        <v>144</v>
      </c>
      <c r="CT81" s="105"/>
      <c r="CU8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81" s="85">
        <v>0.99765203099319089</v>
      </c>
      <c r="CW81" s="85">
        <v>2.3479690068091102E-3</v>
      </c>
      <c r="CX81" s="85">
        <v>0</v>
      </c>
      <c r="CY81" s="85">
        <v>0</v>
      </c>
      <c r="CZ81" s="85">
        <v>0</v>
      </c>
      <c r="DA81" s="85">
        <v>0</v>
      </c>
      <c r="DB81" s="85">
        <v>0</v>
      </c>
      <c r="DC81" s="85">
        <v>0</v>
      </c>
      <c r="DD81" s="85">
        <v>0</v>
      </c>
      <c r="DE81" s="13">
        <v>1.1600726571349755</v>
      </c>
    </row>
    <row r="82" spans="1:109" x14ac:dyDescent="0.25">
      <c r="A82" s="4" t="s" vm="349">
        <v>288</v>
      </c>
      <c r="B82" s="2" t="s" vm="72">
        <v>289</v>
      </c>
      <c r="C82" s="72" vm="420">
        <v>45016</v>
      </c>
      <c r="D82" s="7">
        <f>IFERROR( VfM_Metrics_2023_Consol[[#This Row],[Reinvestment Spend]] / VfM_Metrics_2023_Consol[[#This Row],[Net Book Value of Housing Properties]], "n/a" )</f>
        <v>0.11007676260539605</v>
      </c>
      <c r="E8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113658</v>
      </c>
      <c r="F82" s="83" vm="5052">
        <v>106975</v>
      </c>
      <c r="G82" s="83" vm="5053">
        <v>0</v>
      </c>
      <c r="H82" s="83" vm="7268">
        <v>2159</v>
      </c>
      <c r="I82" s="83" vm="5054">
        <v>4524</v>
      </c>
      <c r="J82" s="83" vm="5055">
        <v>0</v>
      </c>
      <c r="K82" s="5">
        <f xml:space="preserve"> SUM( VfM_Metrics_2023_Consol[[#This Row],[Tangible fixed assets: Housing properties at cost (Current period)]],VfM_Metrics_2023_Consol[[#This Row],[Tangible fixed assets Housing properties at valuation (Current period)]] )</f>
        <v>1032534</v>
      </c>
      <c r="L82" s="84" vm="4668">
        <v>1032534</v>
      </c>
      <c r="M82" s="83" vm="7350">
        <v>0</v>
      </c>
      <c r="N82" s="7">
        <f xml:space="preserve"> IFERROR( VfM_Metrics_2023_Consol[[#This Row],[Total social units developed or newly built units acquired in-year]] / VfM_Metrics_2023_Consol[[#This Row],[Social housing units owned (period end)]], "n/a" )</f>
        <v>7.3795600111389581E-2</v>
      </c>
      <c r="O82" s="5">
        <f xml:space="preserve"> SUM( VfM_Metrics_2023_Consol[[#This Row],[Total social units developed or newly built units acquired in-year (owned)]], VfM_Metrics_2023_Consol[[#This Row],[Total social leasehold units developed or newly built units acquired in-year (owned)]] )</f>
        <v>530</v>
      </c>
      <c r="P82" s="84" vm="7261">
        <v>530</v>
      </c>
      <c r="Q82" s="83" vm="5058">
        <v>0</v>
      </c>
      <c r="R82" s="5">
        <f xml:space="preserve"> SUM( VfM_Metrics_2023_Consol[[#This Row],[Total social housing units owned (Period end)]], VfM_Metrics_2023_Consol[[#This Row],[Total social leasehold units owned (Period end)]] )</f>
        <v>7182</v>
      </c>
      <c r="S82" s="84" vm="5050">
        <v>6980</v>
      </c>
      <c r="T82" s="83" vm="5059">
        <v>202</v>
      </c>
      <c r="U82" s="86">
        <f xml:space="preserve"> IFERROR( VfM_Metrics_2023_Consol[[#This Row],[Total non-social housing units developed or newly built units acquired (owned)]] / VfM_Metrics_2023_Consol[[#This Row],[Total social and non-social housing units owned (Period end)]], "n/a" )</f>
        <v>0</v>
      </c>
      <c r="V8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82" s="83" vm="5060">
        <v>0</v>
      </c>
      <c r="X82" s="83" vm="5061">
        <v>0</v>
      </c>
      <c r="Y82" s="83" vm="5062">
        <v>0</v>
      </c>
      <c r="Z8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8141</v>
      </c>
      <c r="AA82" s="84" vm="7260">
        <v>6980</v>
      </c>
      <c r="AB82" s="83" vm="5059">
        <v>202</v>
      </c>
      <c r="AC82" s="83" vm="5063">
        <v>341</v>
      </c>
      <c r="AD82" s="83" vm="5064">
        <v>618</v>
      </c>
      <c r="AE82" s="7">
        <f xml:space="preserve"> IFERROR( VfM_Metrics_2023_Consol[[#This Row],[Total Net Debt]] / VfM_Metrics_2023_Consol[[#This Row],[Net Book Value of Housing Properties2]], "n/a" )</f>
        <v>0.63196853566081113</v>
      </c>
      <c r="AF8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652529</v>
      </c>
      <c r="AG82" s="84" vm="5065">
        <v>4846</v>
      </c>
      <c r="AH82" s="83" vm="5066">
        <v>664501</v>
      </c>
      <c r="AI82" s="83" vm="5067">
        <v>16818</v>
      </c>
      <c r="AJ82" s="83" vm="5068">
        <v>0</v>
      </c>
      <c r="AK82" s="83" vm="5069">
        <v>0</v>
      </c>
      <c r="AL82" s="5">
        <f xml:space="preserve"> SUM( VfM_Metrics_2023_Consol[[#This Row],[Tangible fixed assets: Housing properties at cost (Current period)2]], VfM_Metrics_2023_Consol[[#This Row],[Tangible fixed assets Housing properties at valuation (Current period)2]] )</f>
        <v>1032534</v>
      </c>
      <c r="AM82" s="84" vm="5056">
        <v>1032534</v>
      </c>
      <c r="AN82" s="83" vm="5057">
        <v>0</v>
      </c>
      <c r="AO82" s="87">
        <f xml:space="preserve"> IFERROR( VfM_Metrics_2023_Consol[[#This Row],[EBITDA MRI]] / VfM_Metrics_2023_Consol[[#This Row],[Total interest]], "n/a" )</f>
        <v>1.6787606682036971</v>
      </c>
      <c r="AP8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41504</v>
      </c>
      <c r="AQ82" s="84" vm="5070">
        <v>38356</v>
      </c>
      <c r="AR82" s="84" vm="7197">
        <v>3501</v>
      </c>
      <c r="AS82" s="84" vm="5072">
        <v>0</v>
      </c>
      <c r="AT82" s="84" vm="5073">
        <v>2303</v>
      </c>
      <c r="AU82" s="84" vm="5074">
        <v>0</v>
      </c>
      <c r="AV82" s="84" vm="5075">
        <v>40</v>
      </c>
      <c r="AW82" s="84" vm="5076">
        <v>2159</v>
      </c>
      <c r="AX82" s="84" vm="5077">
        <v>11071</v>
      </c>
      <c r="AY82" s="3">
        <f xml:space="preserve"> - SUM( VfM_Metrics_2023_Consol[[#This Row],[Interest capitalised]], VfM_Metrics_2023_Consol[[#This Row],[Interest payable and financing costs]] )</f>
        <v>24723</v>
      </c>
      <c r="AZ82" s="84" vm="5078">
        <v>-4524</v>
      </c>
      <c r="BA82" s="83" vm="5079">
        <v>-20199</v>
      </c>
      <c r="BB82" s="8">
        <f xml:space="preserve"> IFERROR( ( VfM_Metrics_2023_Consol[[#This Row],[Total Costs]] / VfM_Metrics_2023_Consol[[#This Row],[Total units for costs]] ) * 1000, "n/a" )</f>
        <v>6765.6821378340364</v>
      </c>
      <c r="BC8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48104</v>
      </c>
      <c r="BD82" s="84" vm="5080">
        <v>7942</v>
      </c>
      <c r="BE82" s="83" vm="5081">
        <v>7138</v>
      </c>
      <c r="BF82" s="83" vm="5082">
        <v>6727</v>
      </c>
      <c r="BG82" s="83" vm="5083">
        <v>1022</v>
      </c>
      <c r="BH82" s="83" vm="5084">
        <v>3266</v>
      </c>
      <c r="BI82" s="83" vm="5085">
        <v>121</v>
      </c>
      <c r="BJ82" s="83" vm="5076">
        <v>2159</v>
      </c>
      <c r="BK82" s="83" vm="5086">
        <v>14120</v>
      </c>
      <c r="BL82" s="83" vm="5295">
        <v>0</v>
      </c>
      <c r="BM82" s="83" vm="5087">
        <v>0</v>
      </c>
      <c r="BN82" s="83" vm="5088">
        <v>3956</v>
      </c>
      <c r="BO82" s="83" vm="5089">
        <v>1653</v>
      </c>
      <c r="BP82" s="5" vm="5051">
        <f xml:space="preserve"> VfM_Metrics_2023_Consol[[#This Row],[Total social housing units owned and/or managed at period end]]</f>
        <v>7110</v>
      </c>
      <c r="BQ82" s="84" vm="5051">
        <v>7110</v>
      </c>
      <c r="BR82" s="7">
        <f xml:space="preserve"> IFERROR( VfM_Metrics_2023_Consol[[#This Row],[SHL operating surplus / (deficit)]] / VfM_Metrics_2023_Consol[[#This Row],[Turnover from social housing lettings]], "n/a" )</f>
        <v>0.34278662035446644</v>
      </c>
      <c r="BS82" s="5" vm="5090">
        <f xml:space="preserve"> VfM_Metrics_2023_Consol[[#This Row],[Operating surplus/(deficit) (social housing lettings)]]</f>
        <v>26942</v>
      </c>
      <c r="BT82" s="84" vm="5090">
        <v>26942</v>
      </c>
      <c r="BU82" s="5" vm="5091">
        <f xml:space="preserve"> VfM_Metrics_2023_Consol[[#This Row],[Turnover from social housing lettings]]</f>
        <v>78597</v>
      </c>
      <c r="BV82" s="84" vm="5091">
        <v>78597</v>
      </c>
      <c r="BW82" s="7">
        <f xml:space="preserve"> IFERROR( VfM_Metrics_2023_Consol[[#This Row],[Net operating surplus]] / VfM_Metrics_2023_Consol[[#This Row],[Overall turnover]], "n/a" )</f>
        <v>0.31144450202834317</v>
      </c>
      <c r="BX82" s="5">
        <f xml:space="preserve"> SUM( VfM_Metrics_2023_Consol[[#This Row],[Operating surplus/(deficit) (overall)2]], - VfM_Metrics_2023_Consol[[#This Row],[Gain/(loss) on disposal of fixed assets (housing properties)2]], - VfM_Metrics_2023_Consol[[#This Row],[Gain/(loss) on disposal of fixed assets (other)2]] )</f>
        <v>34855</v>
      </c>
      <c r="BY82" s="84" vm="7265">
        <v>38356</v>
      </c>
      <c r="BZ82" s="83" vm="5071">
        <v>3501</v>
      </c>
      <c r="CA82" s="83" vm="5072">
        <v>0</v>
      </c>
      <c r="CB82" s="5" vm="4905">
        <f xml:space="preserve"> VfM_Metrics_2023_Consol[[#This Row],[Turnover (overall)]]</f>
        <v>111914</v>
      </c>
      <c r="CC82" s="84" vm="4905">
        <v>111914</v>
      </c>
      <c r="CD82" s="7">
        <f xml:space="preserve"> IFERROR( VfM_Metrics_2023_Consol[[#This Row],[Operating surplus including from JVs]] / VfM_Metrics_2023_Consol[[#This Row],[Net assets]], "n/a" )</f>
        <v>3.599528521449271E-2</v>
      </c>
      <c r="CE82" s="5">
        <f xml:space="preserve"> SUM( VfM_Metrics_2023_Consol[[#This Row],[Operating surplus/(deficit) (overall)3]], VfM_Metrics_2023_Consol[[#This Row],[Share of operating surplus/(deficit) in joint ventures or associates]] )</f>
        <v>38356</v>
      </c>
      <c r="CF82" s="84" vm="7196">
        <v>38356</v>
      </c>
      <c r="CG82" s="83" vm="5093">
        <v>0</v>
      </c>
      <c r="CH82" s="5" vm="5092">
        <f xml:space="preserve"> VfM_Metrics_2023_Consol[[#This Row],[Total assets less current liabilities]]</f>
        <v>1065584</v>
      </c>
      <c r="CI82" s="84" vm="5092">
        <v>1065584</v>
      </c>
      <c r="CJ82" s="71" vm="5050">
        <f xml:space="preserve"> VfM_Metrics_2023_Consol[[#This Row],[Total social housing units owned (Period end)]]</f>
        <v>6980</v>
      </c>
      <c r="CK82" s="103">
        <v>5.5989946942194918E-2</v>
      </c>
      <c r="CL82" s="6">
        <f xml:space="preserve"> -- ( VfM_Metrics_2023_Consol[[#This Row],[% Supported housing (excl. HOP)]] &gt; 0.3 )</f>
        <v>0</v>
      </c>
      <c r="CM82" s="103">
        <v>1.1309690030717677E-2</v>
      </c>
      <c r="CN82" s="6">
        <f xml:space="preserve"> -- ( VfM_Metrics_2023_Consol[[#This Row],[% Housing for older people]] &gt; 0.3 )</f>
        <v>0</v>
      </c>
      <c r="CO82" s="103">
        <f xml:space="preserve"> VfM_Metrics_2023_Consol[[#This Row],[% Supported housing (excl. HOP)]] + VfM_Metrics_2023_Consol[[#This Row],[% Housing for older people]]</f>
        <v>6.7299636972912594E-2</v>
      </c>
      <c r="CP82" s="6">
        <f xml:space="preserve"> -- ( VfM_Metrics_2023_Consol[[#This Row],[SH specialist in RSH analysis]] + VfM_Metrics_2023_Consol[[#This Row],[OP specialist in RSH analysis]] &gt; 0 )</f>
        <v>0</v>
      </c>
      <c r="CQ82" s="10">
        <f xml:space="preserve"> -- ( VfM_Metrics_2023_Consol[[#This Row],[% SH and OP]] &gt; 0.3 )</f>
        <v>0</v>
      </c>
      <c r="CR82" s="104" t="s">
        <v>143</v>
      </c>
      <c r="CS82" s="124" t="s">
        <v>144</v>
      </c>
      <c r="CT82" s="105"/>
      <c r="CU8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82" s="85">
        <v>0</v>
      </c>
      <c r="CW82" s="85">
        <v>0.22642551428965899</v>
      </c>
      <c r="CX82" s="85">
        <v>0</v>
      </c>
      <c r="CY82" s="85">
        <v>0</v>
      </c>
      <c r="CZ82" s="85">
        <v>0</v>
      </c>
      <c r="DA82" s="85">
        <v>0.77357448571034104</v>
      </c>
      <c r="DB82" s="85">
        <v>0</v>
      </c>
      <c r="DC82" s="85">
        <v>0</v>
      </c>
      <c r="DD82" s="85">
        <v>0</v>
      </c>
      <c r="DE82" s="13">
        <v>1.0164290256519286</v>
      </c>
    </row>
    <row r="83" spans="1:109" x14ac:dyDescent="0.25">
      <c r="A83" s="4" t="s" vm="243">
        <v>290</v>
      </c>
      <c r="B83" s="2" t="s" vm="73">
        <v>291</v>
      </c>
      <c r="C83" s="72" vm="479">
        <v>45016</v>
      </c>
      <c r="D83" s="7">
        <f>IFERROR( VfM_Metrics_2023_Consol[[#This Row],[Reinvestment Spend]] / VfM_Metrics_2023_Consol[[#This Row],[Net Book Value of Housing Properties]], "n/a" )</f>
        <v>5.9697279518802812E-2</v>
      </c>
      <c r="E8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162846</v>
      </c>
      <c r="F83" s="83" vm="1551">
        <v>112891</v>
      </c>
      <c r="G83" s="83" vm="8260">
        <v>0</v>
      </c>
      <c r="H83" s="83" vm="1552">
        <v>45695</v>
      </c>
      <c r="I83" s="83" vm="8351">
        <v>4260</v>
      </c>
      <c r="J83" s="83" vm="8230">
        <v>0</v>
      </c>
      <c r="K83" s="5">
        <f xml:space="preserve"> SUM( VfM_Metrics_2023_Consol[[#This Row],[Tangible fixed assets: Housing properties at cost (Current period)]],VfM_Metrics_2023_Consol[[#This Row],[Tangible fixed assets Housing properties at valuation (Current period)]] )</f>
        <v>2727863</v>
      </c>
      <c r="L83" s="84" vm="1554">
        <v>2727863</v>
      </c>
      <c r="M83" s="83" vm="1555">
        <v>0</v>
      </c>
      <c r="N83" s="7">
        <f xml:space="preserve"> IFERROR( VfM_Metrics_2023_Consol[[#This Row],[Total social units developed or newly built units acquired in-year]] / VfM_Metrics_2023_Consol[[#This Row],[Social housing units owned (period end)]], "n/a" )</f>
        <v>1.3626398548533415E-2</v>
      </c>
      <c r="O83" s="5">
        <f xml:space="preserve"> SUM( VfM_Metrics_2023_Consol[[#This Row],[Total social units developed or newly built units acquired in-year (owned)]], VfM_Metrics_2023_Consol[[#This Row],[Total social leasehold units developed or newly built units acquired in-year (owned)]] )</f>
        <v>721</v>
      </c>
      <c r="P83" s="84" vm="1556">
        <v>721</v>
      </c>
      <c r="Q83" s="83" vm="8291">
        <v>0</v>
      </c>
      <c r="R83" s="5">
        <f xml:space="preserve"> SUM( VfM_Metrics_2023_Consol[[#This Row],[Total social housing units owned (Period end)]], VfM_Metrics_2023_Consol[[#This Row],[Total social leasehold units owned (Period end)]] )</f>
        <v>52912</v>
      </c>
      <c r="S83" s="84" vm="1549">
        <v>50973</v>
      </c>
      <c r="T83" s="83" vm="1557">
        <v>1939</v>
      </c>
      <c r="U83" s="86">
        <f xml:space="preserve"> IFERROR( VfM_Metrics_2023_Consol[[#This Row],[Total non-social housing units developed or newly built units acquired (owned)]] / VfM_Metrics_2023_Consol[[#This Row],[Total social and non-social housing units owned (Period end)]], "n/a" )</f>
        <v>4.4371287483002935E-3</v>
      </c>
      <c r="V8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248</v>
      </c>
      <c r="W83" s="83" vm="1558">
        <v>0</v>
      </c>
      <c r="X83" s="83" vm="1559">
        <v>91</v>
      </c>
      <c r="Y83" s="83" vm="1988">
        <v>157</v>
      </c>
      <c r="Z8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55892</v>
      </c>
      <c r="AA83" s="84" vm="1549">
        <v>50973</v>
      </c>
      <c r="AB83" s="83" vm="1557">
        <v>1939</v>
      </c>
      <c r="AC83" s="83" vm="8258">
        <v>419</v>
      </c>
      <c r="AD83" s="83" vm="1429">
        <v>2561</v>
      </c>
      <c r="AE83" s="7">
        <f xml:space="preserve"> IFERROR( VfM_Metrics_2023_Consol[[#This Row],[Total Net Debt]] / VfM_Metrics_2023_Consol[[#This Row],[Net Book Value of Housing Properties2]], "n/a" )</f>
        <v>0.42162014734610936</v>
      </c>
      <c r="AF8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1150122</v>
      </c>
      <c r="AG83" s="84" vm="1560">
        <v>18273</v>
      </c>
      <c r="AH83" s="83" vm="1561">
        <v>1180071</v>
      </c>
      <c r="AI83" s="83" vm="1307">
        <v>48222</v>
      </c>
      <c r="AJ83" s="83" vm="1562">
        <v>0</v>
      </c>
      <c r="AK83" s="83" vm="1563">
        <v>0</v>
      </c>
      <c r="AL83" s="5">
        <f xml:space="preserve"> SUM( VfM_Metrics_2023_Consol[[#This Row],[Tangible fixed assets: Housing properties at cost (Current period)2]], VfM_Metrics_2023_Consol[[#This Row],[Tangible fixed assets Housing properties at valuation (Current period)2]] )</f>
        <v>2727863</v>
      </c>
      <c r="AM83" s="84" vm="1329">
        <v>2727863</v>
      </c>
      <c r="AN83" s="83" vm="1639">
        <v>0</v>
      </c>
      <c r="AO83" s="87">
        <f xml:space="preserve"> IFERROR( VfM_Metrics_2023_Consol[[#This Row],[EBITDA MRI]] / VfM_Metrics_2023_Consol[[#This Row],[Total interest]], "n/a" )</f>
        <v>0.974587500680692</v>
      </c>
      <c r="AP8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53691</v>
      </c>
      <c r="AQ83" s="84" vm="1356">
        <v>68631</v>
      </c>
      <c r="AR83" s="84" vm="1565">
        <v>19412</v>
      </c>
      <c r="AS83" s="84" vm="1566">
        <v>0</v>
      </c>
      <c r="AT83" s="84" vm="1232">
        <v>9212</v>
      </c>
      <c r="AU83" s="84" vm="1567">
        <v>390</v>
      </c>
      <c r="AV83" s="84" vm="1568">
        <v>2830</v>
      </c>
      <c r="AW83" s="84" vm="1569">
        <v>45695</v>
      </c>
      <c r="AX83" s="84" vm="1570">
        <v>56939</v>
      </c>
      <c r="AY83" s="3">
        <f xml:space="preserve"> - SUM( VfM_Metrics_2023_Consol[[#This Row],[Interest capitalised]], VfM_Metrics_2023_Consol[[#This Row],[Interest payable and financing costs]] )</f>
        <v>55091</v>
      </c>
      <c r="AZ83" s="84" vm="1126">
        <v>-6169</v>
      </c>
      <c r="BA83" s="83" vm="8242">
        <v>-48922</v>
      </c>
      <c r="BB83" s="8">
        <f xml:space="preserve"> IFERROR( ( VfM_Metrics_2023_Consol[[#This Row],[Total Costs]] / VfM_Metrics_2023_Consol[[#This Row],[Total units for costs]] ) * 1000, "n/a" )</f>
        <v>6153.0456852791876</v>
      </c>
      <c r="BC8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315159</v>
      </c>
      <c r="BD83" s="84" vm="1823">
        <v>60687</v>
      </c>
      <c r="BE83" s="83" vm="1571">
        <v>38580</v>
      </c>
      <c r="BF83" s="83" vm="8270">
        <v>62922</v>
      </c>
      <c r="BG83" s="83" vm="8308">
        <v>24674</v>
      </c>
      <c r="BH83" s="83" vm="1572">
        <v>18729</v>
      </c>
      <c r="BI83" s="83" vm="1573">
        <v>2463</v>
      </c>
      <c r="BJ83" s="83" vm="8238">
        <v>45695</v>
      </c>
      <c r="BK83" s="83" vm="8201">
        <v>15</v>
      </c>
      <c r="BL83" s="83" vm="1574">
        <v>5052</v>
      </c>
      <c r="BM83" s="83" vm="8441">
        <v>3345</v>
      </c>
      <c r="BN83" s="83" vm="1575">
        <v>8265</v>
      </c>
      <c r="BO83" s="83" vm="8325">
        <v>44732</v>
      </c>
      <c r="BP83" s="5" vm="1550">
        <f xml:space="preserve"> VfM_Metrics_2023_Consol[[#This Row],[Total social housing units owned and/or managed at period end]]</f>
        <v>51220</v>
      </c>
      <c r="BQ83" s="84" vm="1550">
        <v>51220</v>
      </c>
      <c r="BR83" s="7">
        <f xml:space="preserve"> IFERROR( VfM_Metrics_2023_Consol[[#This Row],[SHL operating surplus / (deficit)]] / VfM_Metrics_2023_Consol[[#This Row],[Turnover from social housing lettings]], "n/a" )</f>
        <v>0.17749846523763238</v>
      </c>
      <c r="BS83" s="5" vm="8304">
        <f xml:space="preserve"> VfM_Metrics_2023_Consol[[#This Row],[Operating surplus/(deficit) (social housing lettings)]]</f>
        <v>55513</v>
      </c>
      <c r="BT83" s="84" vm="8304">
        <v>55513</v>
      </c>
      <c r="BU83" s="5" vm="8228">
        <f xml:space="preserve"> VfM_Metrics_2023_Consol[[#This Row],[Turnover from social housing lettings]]</f>
        <v>312752</v>
      </c>
      <c r="BV83" s="84" vm="8228">
        <v>312752</v>
      </c>
      <c r="BW83" s="7">
        <f xml:space="preserve"> IFERROR( VfM_Metrics_2023_Consol[[#This Row],[Net operating surplus]] / VfM_Metrics_2023_Consol[[#This Row],[Overall turnover]], "n/a" )</f>
        <v>0.10686053353191878</v>
      </c>
      <c r="BX83" s="5">
        <f xml:space="preserve"> SUM( VfM_Metrics_2023_Consol[[#This Row],[Operating surplus/(deficit) (overall)2]], - VfM_Metrics_2023_Consol[[#This Row],[Gain/(loss) on disposal of fixed assets (housing properties)2]], - VfM_Metrics_2023_Consol[[#This Row],[Gain/(loss) on disposal of fixed assets (other)2]] )</f>
        <v>49219</v>
      </c>
      <c r="BY83" s="84" vm="1564">
        <v>68631</v>
      </c>
      <c r="BZ83" s="83" vm="2642">
        <v>19412</v>
      </c>
      <c r="CA83" s="83" vm="1588">
        <v>0</v>
      </c>
      <c r="CB83" s="5" vm="8307">
        <f xml:space="preserve"> VfM_Metrics_2023_Consol[[#This Row],[Turnover (overall)]]</f>
        <v>460591</v>
      </c>
      <c r="CC83" s="84" vm="8307">
        <v>460591</v>
      </c>
      <c r="CD83" s="7">
        <f xml:space="preserve"> IFERROR( VfM_Metrics_2023_Consol[[#This Row],[Operating surplus including from JVs]] / VfM_Metrics_2023_Consol[[#This Row],[Net assets]], "n/a" )</f>
        <v>2.459705238925658E-2</v>
      </c>
      <c r="CE83" s="5">
        <f xml:space="preserve"> SUM( VfM_Metrics_2023_Consol[[#This Row],[Operating surplus/(deficit) (overall)3]], VfM_Metrics_2023_Consol[[#This Row],[Share of operating surplus/(deficit) in joint ventures or associates]] )</f>
        <v>70947</v>
      </c>
      <c r="CF83" s="84" vm="1564">
        <v>68631</v>
      </c>
      <c r="CG83" s="83" vm="1132">
        <v>2316</v>
      </c>
      <c r="CH83" s="5" vm="8196">
        <f xml:space="preserve"> VfM_Metrics_2023_Consol[[#This Row],[Total assets less current liabilities]]</f>
        <v>2884370</v>
      </c>
      <c r="CI83" s="84" vm="8196">
        <v>2884370</v>
      </c>
      <c r="CJ83" s="71" vm="1549">
        <f xml:space="preserve"> VfM_Metrics_2023_Consol[[#This Row],[Total social housing units owned (Period end)]]</f>
        <v>50973</v>
      </c>
      <c r="CK83" s="103">
        <v>8.3588584465240076E-2</v>
      </c>
      <c r="CL83" s="6">
        <f xml:space="preserve"> -- ( VfM_Metrics_2023_Consol[[#This Row],[% Supported housing (excl. HOP)]] &gt; 0.3 )</f>
        <v>0</v>
      </c>
      <c r="CM83" s="103">
        <v>3.2615813599780309E-2</v>
      </c>
      <c r="CN83" s="6">
        <f xml:space="preserve"> -- ( VfM_Metrics_2023_Consol[[#This Row],[% Housing for older people]] &gt; 0.3 )</f>
        <v>0</v>
      </c>
      <c r="CO83" s="103">
        <f xml:space="preserve"> VfM_Metrics_2023_Consol[[#This Row],[% Supported housing (excl. HOP)]] + VfM_Metrics_2023_Consol[[#This Row],[% Housing for older people]]</f>
        <v>0.11620439806502039</v>
      </c>
      <c r="CP83" s="6">
        <f xml:space="preserve"> -- ( VfM_Metrics_2023_Consol[[#This Row],[SH specialist in RSH analysis]] + VfM_Metrics_2023_Consol[[#This Row],[OP specialist in RSH analysis]] &gt; 0 )</f>
        <v>0</v>
      </c>
      <c r="CQ83" s="10">
        <f xml:space="preserve"> -- ( VfM_Metrics_2023_Consol[[#This Row],[% SH and OP]] &gt; 0.3 )</f>
        <v>0</v>
      </c>
      <c r="CR83" s="104" t="s">
        <v>143</v>
      </c>
      <c r="CS83" s="124" t="s">
        <v>144</v>
      </c>
      <c r="CT83" s="105"/>
      <c r="CU8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83" s="85">
        <v>8.0234791889007465E-2</v>
      </c>
      <c r="CW83" s="85">
        <v>0.14029882604055496</v>
      </c>
      <c r="CX83" s="85">
        <v>1.1718249733191036E-2</v>
      </c>
      <c r="CY83" s="85">
        <v>2.3991462113127002E-2</v>
      </c>
      <c r="CZ83" s="85">
        <v>4.6744930629669156E-3</v>
      </c>
      <c r="DA83" s="85">
        <v>0.10542155816435432</v>
      </c>
      <c r="DB83" s="85">
        <v>0.31054429028815367</v>
      </c>
      <c r="DC83" s="85">
        <v>0.2087086446104589</v>
      </c>
      <c r="DD83" s="85">
        <v>0.11440768409818571</v>
      </c>
      <c r="DE83" s="13">
        <v>0.97346756993378458</v>
      </c>
    </row>
    <row r="84" spans="1:109" x14ac:dyDescent="0.25">
      <c r="A84" s="4" t="s" vm="315">
        <v>292</v>
      </c>
      <c r="B84" s="2" t="s" vm="74">
        <v>293</v>
      </c>
      <c r="C84" s="72" vm="588">
        <v>45016</v>
      </c>
      <c r="D84" s="7">
        <f>IFERROR( VfM_Metrics_2023_Consol[[#This Row],[Reinvestment Spend]] / VfM_Metrics_2023_Consol[[#This Row],[Net Book Value of Housing Properties]], "n/a" )</f>
        <v>2.727839845743776E-2</v>
      </c>
      <c r="E8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4329</v>
      </c>
      <c r="F84" s="83" vm="3859">
        <v>2950</v>
      </c>
      <c r="G84" s="83" vm="3860">
        <v>0</v>
      </c>
      <c r="H84" s="83" vm="3861">
        <v>1144</v>
      </c>
      <c r="I84" s="83" vm="3862">
        <v>235</v>
      </c>
      <c r="J84" s="83" vm="3863">
        <v>0</v>
      </c>
      <c r="K84" s="5">
        <f xml:space="preserve"> SUM( VfM_Metrics_2023_Consol[[#This Row],[Tangible fixed assets: Housing properties at cost (Current period)]],VfM_Metrics_2023_Consol[[#This Row],[Tangible fixed assets Housing properties at valuation (Current period)]] )</f>
        <v>158697</v>
      </c>
      <c r="L84" s="84" vm="3864">
        <v>158697</v>
      </c>
      <c r="M84" s="83" vm="3865">
        <v>0</v>
      </c>
      <c r="N84" s="7">
        <f xml:space="preserve"> IFERROR( VfM_Metrics_2023_Consol[[#This Row],[Total social units developed or newly built units acquired in-year]] / VfM_Metrics_2023_Consol[[#This Row],[Social housing units owned (period end)]], "n/a" )</f>
        <v>6.9532237673830596E-3</v>
      </c>
      <c r="O84" s="5">
        <f xml:space="preserve"> SUM( VfM_Metrics_2023_Consol[[#This Row],[Total social units developed or newly built units acquired in-year (owned)]], VfM_Metrics_2023_Consol[[#This Row],[Total social leasehold units developed or newly built units acquired in-year (owned)]] )</f>
        <v>22</v>
      </c>
      <c r="P84" s="84" vm="3866">
        <v>22</v>
      </c>
      <c r="Q84" s="83">
        <v>0</v>
      </c>
      <c r="R84" s="5">
        <f xml:space="preserve"> SUM( VfM_Metrics_2023_Consol[[#This Row],[Total social housing units owned (Period end)]], VfM_Metrics_2023_Consol[[#This Row],[Total social leasehold units owned (Period end)]] )</f>
        <v>3164</v>
      </c>
      <c r="S84" s="84" vm="3857">
        <v>3121</v>
      </c>
      <c r="T84" s="83" vm="3867">
        <v>43</v>
      </c>
      <c r="U84" s="86">
        <f xml:space="preserve"> IFERROR( VfM_Metrics_2023_Consol[[#This Row],[Total non-social housing units developed or newly built units acquired (owned)]] / VfM_Metrics_2023_Consol[[#This Row],[Total social and non-social housing units owned (Period end)]], "n/a" )</f>
        <v>0</v>
      </c>
      <c r="V8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84" s="83" vm="3868">
        <v>0</v>
      </c>
      <c r="X84" s="83">
        <v>0</v>
      </c>
      <c r="Y84" s="83" vm="3869">
        <v>0</v>
      </c>
      <c r="Z8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3219</v>
      </c>
      <c r="AA84" s="84" vm="7445">
        <v>3121</v>
      </c>
      <c r="AB84" s="83" vm="3867">
        <v>43</v>
      </c>
      <c r="AC84" s="83" vm="7589">
        <v>55</v>
      </c>
      <c r="AD84" s="83" vm="3870">
        <v>0</v>
      </c>
      <c r="AE84" s="7">
        <f xml:space="preserve"> IFERROR( VfM_Metrics_2023_Consol[[#This Row],[Total Net Debt]] / VfM_Metrics_2023_Consol[[#This Row],[Net Book Value of Housing Properties2]], "n/a" )</f>
        <v>0.45286930439768869</v>
      </c>
      <c r="AF8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71869</v>
      </c>
      <c r="AG84" s="84" vm="3871">
        <v>4494</v>
      </c>
      <c r="AH84" s="83" vm="3872">
        <v>73047</v>
      </c>
      <c r="AI84" s="83" vm="3873">
        <v>5672</v>
      </c>
      <c r="AJ84" s="83" vm="3874">
        <v>0</v>
      </c>
      <c r="AK84" s="83" vm="3875">
        <v>0</v>
      </c>
      <c r="AL84" s="5">
        <f xml:space="preserve"> SUM( VfM_Metrics_2023_Consol[[#This Row],[Tangible fixed assets: Housing properties at cost (Current period)2]], VfM_Metrics_2023_Consol[[#This Row],[Tangible fixed assets Housing properties at valuation (Current period)2]] )</f>
        <v>158697</v>
      </c>
      <c r="AM84" s="84" vm="3864">
        <v>158697</v>
      </c>
      <c r="AN84" s="83" vm="3865">
        <v>0</v>
      </c>
      <c r="AO84" s="87">
        <f xml:space="preserve"> IFERROR( VfM_Metrics_2023_Consol[[#This Row],[EBITDA MRI]] / VfM_Metrics_2023_Consol[[#This Row],[Total interest]], "n/a" )</f>
        <v>1.1376916401504193</v>
      </c>
      <c r="AP8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3933</v>
      </c>
      <c r="AQ84" s="84" vm="3876">
        <v>3074</v>
      </c>
      <c r="AR84" s="84" vm="3877">
        <v>461</v>
      </c>
      <c r="AS84" s="84" vm="3878">
        <v>0</v>
      </c>
      <c r="AT84" s="84" vm="3879">
        <v>1028</v>
      </c>
      <c r="AU84" s="84" vm="3880">
        <v>0</v>
      </c>
      <c r="AV84" s="84" vm="3881">
        <v>29</v>
      </c>
      <c r="AW84" s="84" vm="3882">
        <v>1144</v>
      </c>
      <c r="AX84" s="84" vm="3883">
        <v>3463</v>
      </c>
      <c r="AY84" s="3">
        <f xml:space="preserve"> - SUM( VfM_Metrics_2023_Consol[[#This Row],[Interest capitalised]], VfM_Metrics_2023_Consol[[#This Row],[Interest payable and financing costs]] )</f>
        <v>3457</v>
      </c>
      <c r="AZ84" s="84" vm="3884">
        <v>-235</v>
      </c>
      <c r="BA84" s="83" vm="3885">
        <v>-3222</v>
      </c>
      <c r="BB84" s="8">
        <f xml:space="preserve"> IFERROR( ( VfM_Metrics_2023_Consol[[#This Row],[Total Costs]] / VfM_Metrics_2023_Consol[[#This Row],[Total units for costs]] ) * 1000, "n/a" )</f>
        <v>6214.090494989372</v>
      </c>
      <c r="BC8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20463</v>
      </c>
      <c r="BD84" s="84" vm="3814">
        <v>3238</v>
      </c>
      <c r="BE84" s="83" vm="3886">
        <v>2669</v>
      </c>
      <c r="BF84" s="83" vm="3887">
        <v>3311</v>
      </c>
      <c r="BG84" s="83" vm="3888">
        <v>670</v>
      </c>
      <c r="BH84" s="83" vm="3889">
        <v>1161</v>
      </c>
      <c r="BI84" s="83" vm="3890">
        <v>0</v>
      </c>
      <c r="BJ84" s="83" vm="3882">
        <v>1144</v>
      </c>
      <c r="BK84" s="83" vm="4211">
        <v>8</v>
      </c>
      <c r="BL84" s="83" vm="3891">
        <v>56</v>
      </c>
      <c r="BM84" s="83" vm="3892">
        <v>95</v>
      </c>
      <c r="BN84" s="83" vm="3893">
        <v>0</v>
      </c>
      <c r="BO84" s="83" vm="3894">
        <v>8111</v>
      </c>
      <c r="BP84" s="5" vm="3858">
        <f xml:space="preserve"> VfM_Metrics_2023_Consol[[#This Row],[Total social housing units owned and/or managed at period end]]</f>
        <v>3293</v>
      </c>
      <c r="BQ84" s="84" vm="3858">
        <v>3293</v>
      </c>
      <c r="BR84" s="7">
        <f xml:space="preserve"> IFERROR( VfM_Metrics_2023_Consol[[#This Row],[SHL operating surplus / (deficit)]] / VfM_Metrics_2023_Consol[[#This Row],[Turnover from social housing lettings]], "n/a" )</f>
        <v>0.12231131475117729</v>
      </c>
      <c r="BS84" s="5" vm="3895">
        <f xml:space="preserve"> VfM_Metrics_2023_Consol[[#This Row],[Operating surplus/(deficit) (social housing lettings)]]</f>
        <v>1922</v>
      </c>
      <c r="BT84" s="84" vm="3895">
        <v>1922</v>
      </c>
      <c r="BU84" s="5" vm="3896">
        <f xml:space="preserve"> VfM_Metrics_2023_Consol[[#This Row],[Turnover from social housing lettings]]</f>
        <v>15714</v>
      </c>
      <c r="BV84" s="84" vm="3896">
        <v>15714</v>
      </c>
      <c r="BW84" s="7">
        <f xml:space="preserve"> IFERROR( VfM_Metrics_2023_Consol[[#This Row],[Net operating surplus]] / VfM_Metrics_2023_Consol[[#This Row],[Overall turnover]], "n/a" )</f>
        <v>9.7394610309739463E-2</v>
      </c>
      <c r="BX84" s="5">
        <f xml:space="preserve"> SUM( VfM_Metrics_2023_Consol[[#This Row],[Operating surplus/(deficit) (overall)2]], - VfM_Metrics_2023_Consol[[#This Row],[Gain/(loss) on disposal of fixed assets (housing properties)2]], - VfM_Metrics_2023_Consol[[#This Row],[Gain/(loss) on disposal of fixed assets (other)2]] )</f>
        <v>2613</v>
      </c>
      <c r="BY84" s="84" vm="3876">
        <v>3074</v>
      </c>
      <c r="BZ84" s="83" vm="3877">
        <v>461</v>
      </c>
      <c r="CA84" s="83" vm="3878">
        <v>0</v>
      </c>
      <c r="CB84" s="5" vm="4165">
        <f xml:space="preserve"> VfM_Metrics_2023_Consol[[#This Row],[Turnover (overall)]]</f>
        <v>26829</v>
      </c>
      <c r="CC84" s="84" vm="4165">
        <v>26829</v>
      </c>
      <c r="CD84" s="7">
        <f xml:space="preserve"> IFERROR( VfM_Metrics_2023_Consol[[#This Row],[Operating surplus including from JVs]] / VfM_Metrics_2023_Consol[[#This Row],[Net assets]], "n/a" )</f>
        <v>1.8531133389196E-2</v>
      </c>
      <c r="CE84" s="5">
        <f xml:space="preserve"> SUM( VfM_Metrics_2023_Consol[[#This Row],[Operating surplus/(deficit) (overall)3]], VfM_Metrics_2023_Consol[[#This Row],[Share of operating surplus/(deficit) in joint ventures or associates]] )</f>
        <v>3074</v>
      </c>
      <c r="CF84" s="84" vm="7301">
        <v>3074</v>
      </c>
      <c r="CG84" s="83" vm="3898">
        <v>0</v>
      </c>
      <c r="CH84" s="5" vm="3897">
        <f xml:space="preserve"> VfM_Metrics_2023_Consol[[#This Row],[Total assets less current liabilities]]</f>
        <v>165883</v>
      </c>
      <c r="CI84" s="84" vm="3897">
        <v>165883</v>
      </c>
      <c r="CJ84" s="71" vm="3857">
        <f xml:space="preserve"> VfM_Metrics_2023_Consol[[#This Row],[Total social housing units owned (Period end)]]</f>
        <v>3121</v>
      </c>
      <c r="CK84" s="103">
        <v>4.6804389928986445E-2</v>
      </c>
      <c r="CL84" s="6">
        <f xml:space="preserve"> -- ( VfM_Metrics_2023_Consol[[#This Row],[% Supported housing (excl. HOP)]] &gt; 0.3 )</f>
        <v>0</v>
      </c>
      <c r="CM84" s="103">
        <v>0.14138153647514526</v>
      </c>
      <c r="CN84" s="6">
        <f xml:space="preserve"> -- ( VfM_Metrics_2023_Consol[[#This Row],[% Housing for older people]] &gt; 0.3 )</f>
        <v>0</v>
      </c>
      <c r="CO84" s="103">
        <f xml:space="preserve"> VfM_Metrics_2023_Consol[[#This Row],[% Supported housing (excl. HOP)]] + VfM_Metrics_2023_Consol[[#This Row],[% Housing for older people]]</f>
        <v>0.1881859264041317</v>
      </c>
      <c r="CP84" s="6">
        <f xml:space="preserve"> -- ( VfM_Metrics_2023_Consol[[#This Row],[SH specialist in RSH analysis]] + VfM_Metrics_2023_Consol[[#This Row],[OP specialist in RSH analysis]] &gt; 0 )</f>
        <v>0</v>
      </c>
      <c r="CQ84" s="10">
        <f xml:space="preserve"> -- ( VfM_Metrics_2023_Consol[[#This Row],[% SH and OP]] &gt; 0.3 )</f>
        <v>0</v>
      </c>
      <c r="CR84" s="104" t="s">
        <v>143</v>
      </c>
      <c r="CS84" s="124" t="s">
        <v>144</v>
      </c>
      <c r="CT84" s="105"/>
      <c r="CU8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84" s="85">
        <v>0</v>
      </c>
      <c r="CW84" s="85">
        <v>0</v>
      </c>
      <c r="CX84" s="85">
        <v>0</v>
      </c>
      <c r="CY84" s="85">
        <v>0</v>
      </c>
      <c r="CZ84" s="85">
        <v>0.96701502286087526</v>
      </c>
      <c r="DA84" s="85">
        <v>0</v>
      </c>
      <c r="DB84" s="85">
        <v>0</v>
      </c>
      <c r="DC84" s="85">
        <v>3.2984977139124752E-2</v>
      </c>
      <c r="DD84" s="85">
        <v>0</v>
      </c>
      <c r="DE84" s="13">
        <v>0.96447385804062036</v>
      </c>
    </row>
    <row r="85" spans="1:109" x14ac:dyDescent="0.25">
      <c r="A85" s="4" t="s" vm="268">
        <v>294</v>
      </c>
      <c r="B85" s="2" t="s" vm="75">
        <v>295</v>
      </c>
      <c r="C85" s="72" vm="516">
        <v>45016</v>
      </c>
      <c r="D85" s="7">
        <f>IFERROR( VfM_Metrics_2023_Consol[[#This Row],[Reinvestment Spend]] / VfM_Metrics_2023_Consol[[#This Row],[Net Book Value of Housing Properties]], "n/a" )</f>
        <v>5.3293284972170944E-2</v>
      </c>
      <c r="E8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76419</v>
      </c>
      <c r="F85" s="83" vm="1679">
        <v>45658</v>
      </c>
      <c r="G85" s="83" vm="2281">
        <v>0</v>
      </c>
      <c r="H85" s="83" vm="2282">
        <v>30301</v>
      </c>
      <c r="I85" s="83" vm="2283">
        <v>460</v>
      </c>
      <c r="J85" s="83" vm="2284">
        <v>0</v>
      </c>
      <c r="K85" s="5">
        <f xml:space="preserve"> SUM( VfM_Metrics_2023_Consol[[#This Row],[Tangible fixed assets: Housing properties at cost (Current period)]],VfM_Metrics_2023_Consol[[#This Row],[Tangible fixed assets Housing properties at valuation (Current period)]] )</f>
        <v>1433933</v>
      </c>
      <c r="L85" s="84" vm="7817">
        <v>1433933</v>
      </c>
      <c r="M85" s="83">
        <v>0</v>
      </c>
      <c r="N85" s="7">
        <f xml:space="preserve"> IFERROR( VfM_Metrics_2023_Consol[[#This Row],[Total social units developed or newly built units acquired in-year]] / VfM_Metrics_2023_Consol[[#This Row],[Social housing units owned (period end)]], "n/a" )</f>
        <v>1.4027764294728667E-2</v>
      </c>
      <c r="O85" s="5">
        <f xml:space="preserve"> SUM( VfM_Metrics_2023_Consol[[#This Row],[Total social units developed or newly built units acquired in-year (owned)]], VfM_Metrics_2023_Consol[[#This Row],[Total social leasehold units developed or newly built units acquired in-year (owned)]] )</f>
        <v>289</v>
      </c>
      <c r="P85" s="84" vm="2286">
        <v>265</v>
      </c>
      <c r="Q85" s="83" vm="2287">
        <v>24</v>
      </c>
      <c r="R85" s="5">
        <f xml:space="preserve"> SUM( VfM_Metrics_2023_Consol[[#This Row],[Total social housing units owned (Period end)]], VfM_Metrics_2023_Consol[[#This Row],[Total social leasehold units owned (Period end)]] )</f>
        <v>20602</v>
      </c>
      <c r="S85" s="84" vm="2279">
        <v>19733</v>
      </c>
      <c r="T85" s="83" vm="2288">
        <v>869</v>
      </c>
      <c r="U85" s="86">
        <f xml:space="preserve"> IFERROR( VfM_Metrics_2023_Consol[[#This Row],[Total non-social housing units developed or newly built units acquired (owned)]] / VfM_Metrics_2023_Consol[[#This Row],[Total social and non-social housing units owned (Period end)]], "n/a" )</f>
        <v>1.1257563675594539E-3</v>
      </c>
      <c r="V8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24</v>
      </c>
      <c r="W85" s="83">
        <v>0</v>
      </c>
      <c r="X85" s="83">
        <v>0</v>
      </c>
      <c r="Y85" s="83" vm="3287">
        <v>24</v>
      </c>
      <c r="Z8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21319</v>
      </c>
      <c r="AA85" s="84" vm="2279">
        <v>19733</v>
      </c>
      <c r="AB85" s="83" vm="7890">
        <v>869</v>
      </c>
      <c r="AC85" s="83" vm="2289">
        <v>209</v>
      </c>
      <c r="AD85" s="83" vm="7846">
        <v>508</v>
      </c>
      <c r="AE85" s="7">
        <f xml:space="preserve"> IFERROR( VfM_Metrics_2023_Consol[[#This Row],[Total Net Debt]] / VfM_Metrics_2023_Consol[[#This Row],[Net Book Value of Housing Properties2]], "n/a" )</f>
        <v>0.4329232955793611</v>
      </c>
      <c r="AF8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620783</v>
      </c>
      <c r="AG85" s="84" vm="2290">
        <v>14530</v>
      </c>
      <c r="AH85" s="83" vm="7757">
        <v>702448</v>
      </c>
      <c r="AI85" s="83" vm="2291">
        <v>96195</v>
      </c>
      <c r="AJ85" s="83" vm="1675">
        <v>0</v>
      </c>
      <c r="AK85" s="83">
        <v>0</v>
      </c>
      <c r="AL85" s="5">
        <f xml:space="preserve"> SUM( VfM_Metrics_2023_Consol[[#This Row],[Tangible fixed assets: Housing properties at cost (Current period)2]], VfM_Metrics_2023_Consol[[#This Row],[Tangible fixed assets Housing properties at valuation (Current period)2]] )</f>
        <v>1433933</v>
      </c>
      <c r="AM85" s="84" vm="2285">
        <v>1433933</v>
      </c>
      <c r="AN85" s="83">
        <v>0</v>
      </c>
      <c r="AO85" s="87">
        <f xml:space="preserve"> IFERROR( VfM_Metrics_2023_Consol[[#This Row],[EBITDA MRI]] / VfM_Metrics_2023_Consol[[#This Row],[Total interest]], "n/a" )</f>
        <v>1.3086024341535099</v>
      </c>
      <c r="AP8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34729</v>
      </c>
      <c r="AQ85" s="84" vm="2292">
        <v>26440</v>
      </c>
      <c r="AR85" s="84" vm="2293">
        <v>278</v>
      </c>
      <c r="AS85" s="84">
        <v>0</v>
      </c>
      <c r="AT85" s="84" vm="2103">
        <v>781</v>
      </c>
      <c r="AU85" s="84" vm="7888">
        <v>0</v>
      </c>
      <c r="AV85" s="84" vm="7626">
        <v>9206</v>
      </c>
      <c r="AW85" s="84" vm="8019">
        <v>30301</v>
      </c>
      <c r="AX85" s="84" vm="2295">
        <v>30443</v>
      </c>
      <c r="AY85" s="3">
        <f xml:space="preserve"> - SUM( VfM_Metrics_2023_Consol[[#This Row],[Interest capitalised]], VfM_Metrics_2023_Consol[[#This Row],[Interest payable and financing costs]] )</f>
        <v>26539</v>
      </c>
      <c r="AZ85" s="84" vm="2296">
        <v>-528</v>
      </c>
      <c r="BA85" s="83" vm="2297">
        <v>-26011</v>
      </c>
      <c r="BB85" s="8">
        <f xml:space="preserve"> IFERROR( ( VfM_Metrics_2023_Consol[[#This Row],[Total Costs]] / VfM_Metrics_2023_Consol[[#This Row],[Total units for costs]] ) * 1000, "n/a" )</f>
        <v>7635.6219937753467</v>
      </c>
      <c r="BC8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161921</v>
      </c>
      <c r="BD85" s="84" vm="2298">
        <v>34103</v>
      </c>
      <c r="BE85" s="83" vm="2299">
        <v>57135</v>
      </c>
      <c r="BF85" s="83" vm="2300">
        <v>15751</v>
      </c>
      <c r="BG85" s="83" vm="2301">
        <v>11242</v>
      </c>
      <c r="BH85" s="83" vm="2302">
        <v>2443</v>
      </c>
      <c r="BI85" s="83" vm="2303">
        <v>501</v>
      </c>
      <c r="BJ85" s="83" vm="2294">
        <v>30301</v>
      </c>
      <c r="BK85" s="83" vm="2304">
        <v>1675</v>
      </c>
      <c r="BL85" s="83" vm="7870">
        <v>1934</v>
      </c>
      <c r="BM85" s="83">
        <v>0</v>
      </c>
      <c r="BN85" s="83" vm="7954">
        <v>2290</v>
      </c>
      <c r="BO85" s="83" vm="2305">
        <v>4546</v>
      </c>
      <c r="BP85" s="5" vm="2280">
        <f xml:space="preserve"> VfM_Metrics_2023_Consol[[#This Row],[Total social housing units owned and/or managed at period end]]</f>
        <v>21206</v>
      </c>
      <c r="BQ85" s="84" vm="2280">
        <v>21206</v>
      </c>
      <c r="BR85" s="7">
        <f xml:space="preserve"> IFERROR( VfM_Metrics_2023_Consol[[#This Row],[SHL operating surplus / (deficit)]] / VfM_Metrics_2023_Consol[[#This Row],[Turnover from social housing lettings]], "n/a" )</f>
        <v>0.14801834133013833</v>
      </c>
      <c r="BS85" s="5" vm="2306">
        <f xml:space="preserve"> VfM_Metrics_2023_Consol[[#This Row],[Operating surplus/(deficit) (social housing lettings)]]</f>
        <v>26438</v>
      </c>
      <c r="BT85" s="84" vm="2306">
        <v>26438</v>
      </c>
      <c r="BU85" s="5" vm="2307">
        <f xml:space="preserve"> VfM_Metrics_2023_Consol[[#This Row],[Turnover from social housing lettings]]</f>
        <v>178613</v>
      </c>
      <c r="BV85" s="84" vm="2307">
        <v>178613</v>
      </c>
      <c r="BW85" s="7">
        <f xml:space="preserve"> IFERROR( VfM_Metrics_2023_Consol[[#This Row],[Net operating surplus]] / VfM_Metrics_2023_Consol[[#This Row],[Overall turnover]], "n/a" )</f>
        <v>0.10400731493996979</v>
      </c>
      <c r="BX85" s="5">
        <f xml:space="preserve"> SUM( VfM_Metrics_2023_Consol[[#This Row],[Operating surplus/(deficit) (overall)2]], - VfM_Metrics_2023_Consol[[#This Row],[Gain/(loss) on disposal of fixed assets (housing properties)2]], - VfM_Metrics_2023_Consol[[#This Row],[Gain/(loss) on disposal of fixed assets (other)2]] )</f>
        <v>26162</v>
      </c>
      <c r="BY85" s="84" vm="2292">
        <v>26440</v>
      </c>
      <c r="BZ85" s="83" vm="2293">
        <v>278</v>
      </c>
      <c r="CA85" s="83">
        <v>0</v>
      </c>
      <c r="CB85" s="5" vm="2308">
        <f xml:space="preserve"> VfM_Metrics_2023_Consol[[#This Row],[Turnover (overall)]]</f>
        <v>251540</v>
      </c>
      <c r="CC85" s="84" vm="2308">
        <v>251540</v>
      </c>
      <c r="CD85" s="7">
        <f xml:space="preserve"> IFERROR( VfM_Metrics_2023_Consol[[#This Row],[Operating surplus including from JVs]] / VfM_Metrics_2023_Consol[[#This Row],[Net assets]], "n/a" )</f>
        <v>1.6473489457652105E-2</v>
      </c>
      <c r="CE85" s="5">
        <f xml:space="preserve"> SUM( VfM_Metrics_2023_Consol[[#This Row],[Operating surplus/(deficit) (overall)3]], VfM_Metrics_2023_Consol[[#This Row],[Share of operating surplus/(deficit) in joint ventures or associates]] )</f>
        <v>26440</v>
      </c>
      <c r="CF85" s="84" vm="7579">
        <v>26440</v>
      </c>
      <c r="CG85" s="83">
        <v>0</v>
      </c>
      <c r="CH85" s="5" vm="8070">
        <f xml:space="preserve"> VfM_Metrics_2023_Consol[[#This Row],[Total assets less current liabilities]]</f>
        <v>1605003</v>
      </c>
      <c r="CI85" s="84" vm="8070">
        <v>1605003</v>
      </c>
      <c r="CJ85" s="71" vm="2279">
        <f xml:space="preserve"> VfM_Metrics_2023_Consol[[#This Row],[Total social housing units owned (Period end)]]</f>
        <v>19733</v>
      </c>
      <c r="CK85" s="103">
        <v>8.5643101837433819E-3</v>
      </c>
      <c r="CL85" s="6">
        <f xml:space="preserve"> -- ( VfM_Metrics_2023_Consol[[#This Row],[% Supported housing (excl. HOP)]] &gt; 0.3 )</f>
        <v>0</v>
      </c>
      <c r="CM85" s="103">
        <v>0.91363022941970307</v>
      </c>
      <c r="CN85" s="6">
        <f xml:space="preserve"> -- ( VfM_Metrics_2023_Consol[[#This Row],[% Housing for older people]] &gt; 0.3 )</f>
        <v>1</v>
      </c>
      <c r="CO85" s="103">
        <f xml:space="preserve"> VfM_Metrics_2023_Consol[[#This Row],[% Supported housing (excl. HOP)]] + VfM_Metrics_2023_Consol[[#This Row],[% Housing for older people]]</f>
        <v>0.92219453960344644</v>
      </c>
      <c r="CP85" s="6">
        <f xml:space="preserve"> -- ( VfM_Metrics_2023_Consol[[#This Row],[SH specialist in RSH analysis]] + VfM_Metrics_2023_Consol[[#This Row],[OP specialist in RSH analysis]] &gt; 0 )</f>
        <v>1</v>
      </c>
      <c r="CQ85" s="10">
        <f xml:space="preserve"> -- ( VfM_Metrics_2023_Consol[[#This Row],[% SH and OP]] &gt; 0.3 )</f>
        <v>1</v>
      </c>
      <c r="CR85" s="104" t="s">
        <v>143</v>
      </c>
      <c r="CS85" s="124" t="s">
        <v>144</v>
      </c>
      <c r="CT85" s="105"/>
      <c r="CU8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85" s="85">
        <v>7.3153078633097238E-2</v>
      </c>
      <c r="CW85" s="85">
        <v>0.17453342294370056</v>
      </c>
      <c r="CX85" s="85">
        <v>8.9334643023315924E-2</v>
      </c>
      <c r="CY85" s="85">
        <v>7.3256475210670524E-2</v>
      </c>
      <c r="CZ85" s="85">
        <v>0.1304864808974823</v>
      </c>
      <c r="DA85" s="85">
        <v>0.10592979372382774</v>
      </c>
      <c r="DB85" s="85">
        <v>8.4681797032518227E-2</v>
      </c>
      <c r="DC85" s="85">
        <v>0.13922349170242465</v>
      </c>
      <c r="DD85" s="85">
        <v>0.12940081683296284</v>
      </c>
      <c r="DE85" s="13">
        <v>0.98724722123456488</v>
      </c>
    </row>
    <row r="86" spans="1:109" x14ac:dyDescent="0.25">
      <c r="A86" s="4" t="s" vm="377">
        <v>296</v>
      </c>
      <c r="B86" s="2" t="s" vm="76">
        <v>297</v>
      </c>
      <c r="C86" s="72" vm="579">
        <v>45016</v>
      </c>
      <c r="D86" s="7">
        <f>IFERROR( VfM_Metrics_2023_Consol[[#This Row],[Reinvestment Spend]] / VfM_Metrics_2023_Consol[[#This Row],[Net Book Value of Housing Properties]], "n/a" )</f>
        <v>2.2673479546124073E-2</v>
      </c>
      <c r="E8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11160</v>
      </c>
      <c r="F86" s="83" vm="6078">
        <v>0</v>
      </c>
      <c r="G86" s="83" vm="7022">
        <v>7474</v>
      </c>
      <c r="H86" s="83" vm="6079">
        <v>3686</v>
      </c>
      <c r="I86" s="83" vm="6080">
        <v>0</v>
      </c>
      <c r="J86" s="83" vm="5834">
        <v>0</v>
      </c>
      <c r="K86" s="5">
        <f xml:space="preserve"> SUM( VfM_Metrics_2023_Consol[[#This Row],[Tangible fixed assets: Housing properties at cost (Current period)]],VfM_Metrics_2023_Consol[[#This Row],[Tangible fixed assets Housing properties at valuation (Current period)]] )</f>
        <v>492205</v>
      </c>
      <c r="L86" s="84" vm="6081">
        <v>492205</v>
      </c>
      <c r="M86" s="83" vm="6082">
        <v>0</v>
      </c>
      <c r="N86" s="7">
        <f xml:space="preserve"> IFERROR( VfM_Metrics_2023_Consol[[#This Row],[Total social units developed or newly built units acquired in-year]] / VfM_Metrics_2023_Consol[[#This Row],[Social housing units owned (period end)]], "n/a" )</f>
        <v>5.6346846141806231E-3</v>
      </c>
      <c r="O86" s="5">
        <f xml:space="preserve"> SUM( VfM_Metrics_2023_Consol[[#This Row],[Total social units developed or newly built units acquired in-year (owned)]], VfM_Metrics_2023_Consol[[#This Row],[Total social leasehold units developed or newly built units acquired in-year (owned)]] )</f>
        <v>36</v>
      </c>
      <c r="P86" s="84" vm="6083">
        <v>36</v>
      </c>
      <c r="Q86" s="83">
        <v>0</v>
      </c>
      <c r="R86" s="5">
        <f xml:space="preserve"> SUM( VfM_Metrics_2023_Consol[[#This Row],[Total social housing units owned (Period end)]], VfM_Metrics_2023_Consol[[#This Row],[Total social leasehold units owned (Period end)]] )</f>
        <v>6389</v>
      </c>
      <c r="S86" s="84" vm="6076">
        <v>6389</v>
      </c>
      <c r="T86" s="83" vm="6084">
        <v>0</v>
      </c>
      <c r="U86" s="86">
        <f xml:space="preserve"> IFERROR( VfM_Metrics_2023_Consol[[#This Row],[Total non-social housing units developed or newly built units acquired (owned)]] / VfM_Metrics_2023_Consol[[#This Row],[Total social and non-social housing units owned (Period end)]], "n/a" )</f>
        <v>0</v>
      </c>
      <c r="V8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86" s="83">
        <v>0</v>
      </c>
      <c r="X86" s="83">
        <v>0</v>
      </c>
      <c r="Y86" s="83">
        <v>0</v>
      </c>
      <c r="Z8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6436</v>
      </c>
      <c r="AA86" s="84" vm="6076">
        <v>6389</v>
      </c>
      <c r="AB86" s="83" vm="6084">
        <v>0</v>
      </c>
      <c r="AC86" s="83" vm="6085">
        <v>47</v>
      </c>
      <c r="AD86" s="83" vm="6086">
        <v>0</v>
      </c>
      <c r="AE86" s="7">
        <f xml:space="preserve"> IFERROR( VfM_Metrics_2023_Consol[[#This Row],[Total Net Debt]] / VfM_Metrics_2023_Consol[[#This Row],[Net Book Value of Housing Properties2]], "n/a" )</f>
        <v>0.64691947460915677</v>
      </c>
      <c r="AF8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318417</v>
      </c>
      <c r="AG86" s="84" vm="6087">
        <v>2500</v>
      </c>
      <c r="AH86" s="83" vm="6088">
        <v>325323</v>
      </c>
      <c r="AI86" s="83" vm="6089">
        <v>9406</v>
      </c>
      <c r="AJ86" s="83" vm="6090">
        <v>0</v>
      </c>
      <c r="AK86" s="83" vm="6091">
        <v>0</v>
      </c>
      <c r="AL86" s="5">
        <f xml:space="preserve"> SUM( VfM_Metrics_2023_Consol[[#This Row],[Tangible fixed assets: Housing properties at cost (Current period)2]], VfM_Metrics_2023_Consol[[#This Row],[Tangible fixed assets Housing properties at valuation (Current period)2]] )</f>
        <v>492205</v>
      </c>
      <c r="AM86" s="84" vm="6081">
        <v>492205</v>
      </c>
      <c r="AN86" s="83" vm="6082">
        <v>0</v>
      </c>
      <c r="AO86" s="87">
        <f xml:space="preserve"> IFERROR( VfM_Metrics_2023_Consol[[#This Row],[EBITDA MRI]] / VfM_Metrics_2023_Consol[[#This Row],[Total interest]], "n/a" )</f>
        <v>1.5211705661977803</v>
      </c>
      <c r="AP8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21520</v>
      </c>
      <c r="AQ86" s="84" vm="6092">
        <v>19253</v>
      </c>
      <c r="AR86" s="84" vm="6093">
        <v>896</v>
      </c>
      <c r="AS86" s="84" vm="6094">
        <v>64</v>
      </c>
      <c r="AT86" s="84" vm="6095">
        <v>642</v>
      </c>
      <c r="AU86" s="84" vm="6096">
        <v>0</v>
      </c>
      <c r="AV86" s="84" vm="6097">
        <v>1826</v>
      </c>
      <c r="AW86" s="84" vm="6098">
        <v>3686</v>
      </c>
      <c r="AX86" s="84" vm="6099">
        <v>5729</v>
      </c>
      <c r="AY86" s="3">
        <f xml:space="preserve"> - SUM( VfM_Metrics_2023_Consol[[#This Row],[Interest capitalised]], VfM_Metrics_2023_Consol[[#This Row],[Interest payable and financing costs]] )</f>
        <v>14147</v>
      </c>
      <c r="AZ86" s="84" vm="6100">
        <v>-89</v>
      </c>
      <c r="BA86" s="83" vm="6101">
        <v>-14058</v>
      </c>
      <c r="BB86" s="8">
        <f xml:space="preserve"> IFERROR( ( VfM_Metrics_2023_Consol[[#This Row],[Total Costs]] / VfM_Metrics_2023_Consol[[#This Row],[Total units for costs]] ) * 1000, "n/a" )</f>
        <v>4277.0386601972141</v>
      </c>
      <c r="BC8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27326</v>
      </c>
      <c r="BD86" s="84" vm="6102">
        <v>10125</v>
      </c>
      <c r="BE86" s="83" vm="6103">
        <v>3596</v>
      </c>
      <c r="BF86" s="83" vm="6104">
        <v>4022</v>
      </c>
      <c r="BG86" s="83" vm="6105">
        <v>5121</v>
      </c>
      <c r="BH86" s="83" vm="6106">
        <v>0</v>
      </c>
      <c r="BI86" s="83" vm="7269">
        <v>0</v>
      </c>
      <c r="BJ86" s="83" vm="6098">
        <v>3686</v>
      </c>
      <c r="BK86" s="83" vm="6107">
        <v>718</v>
      </c>
      <c r="BL86" s="83">
        <v>0</v>
      </c>
      <c r="BM86" s="83">
        <v>0</v>
      </c>
      <c r="BN86" s="83" vm="6108">
        <v>58</v>
      </c>
      <c r="BO86" s="83">
        <v>0</v>
      </c>
      <c r="BP86" s="5" vm="6077">
        <f xml:space="preserve"> VfM_Metrics_2023_Consol[[#This Row],[Total social housing units owned and/or managed at period end]]</f>
        <v>6389</v>
      </c>
      <c r="BQ86" s="84" vm="6077">
        <v>6389</v>
      </c>
      <c r="BR86" s="7">
        <f xml:space="preserve"> IFERROR( VfM_Metrics_2023_Consol[[#This Row],[SHL operating surplus / (deficit)]] / VfM_Metrics_2023_Consol[[#This Row],[Turnover from social housing lettings]], "n/a" )</f>
        <v>0.35506343200534163</v>
      </c>
      <c r="BS86" s="5" vm="6110">
        <f xml:space="preserve"> VfM_Metrics_2023_Consol[[#This Row],[Operating surplus/(deficit) (social housing lettings)]]</f>
        <v>15953</v>
      </c>
      <c r="BT86" s="84" vm="6110">
        <v>15953</v>
      </c>
      <c r="BU86" s="5" vm="4949">
        <f xml:space="preserve"> VfM_Metrics_2023_Consol[[#This Row],[Turnover from social housing lettings]]</f>
        <v>44930</v>
      </c>
      <c r="BV86" s="84" vm="4949">
        <v>44930</v>
      </c>
      <c r="BW86" s="7">
        <f xml:space="preserve"> IFERROR( VfM_Metrics_2023_Consol[[#This Row],[Net operating surplus]] / VfM_Metrics_2023_Consol[[#This Row],[Overall turnover]], "n/a" )</f>
        <v>0.34072156307623536</v>
      </c>
      <c r="BX86" s="5">
        <f xml:space="preserve"> SUM( VfM_Metrics_2023_Consol[[#This Row],[Operating surplus/(deficit) (overall)2]], - VfM_Metrics_2023_Consol[[#This Row],[Gain/(loss) on disposal of fixed assets (housing properties)2]], - VfM_Metrics_2023_Consol[[#This Row],[Gain/(loss) on disposal of fixed assets (other)2]] )</f>
        <v>18293</v>
      </c>
      <c r="BY86" s="84" vm="6092">
        <v>19253</v>
      </c>
      <c r="BZ86" s="83" vm="7005">
        <v>896</v>
      </c>
      <c r="CA86" s="83" vm="7206">
        <v>64</v>
      </c>
      <c r="CB86" s="5" vm="6111">
        <f xml:space="preserve"> VfM_Metrics_2023_Consol[[#This Row],[Turnover (overall)]]</f>
        <v>53689</v>
      </c>
      <c r="CC86" s="84" vm="6111">
        <v>53689</v>
      </c>
      <c r="CD86" s="7">
        <f xml:space="preserve"> IFERROR( VfM_Metrics_2023_Consol[[#This Row],[Operating surplus including from JVs]] / VfM_Metrics_2023_Consol[[#This Row],[Net assets]], "n/a" )</f>
        <v>3.7126097218579825E-2</v>
      </c>
      <c r="CE86" s="5">
        <f xml:space="preserve"> SUM( VfM_Metrics_2023_Consol[[#This Row],[Operating surplus/(deficit) (overall)3]], VfM_Metrics_2023_Consol[[#This Row],[Share of operating surplus/(deficit) in joint ventures or associates]] )</f>
        <v>19253</v>
      </c>
      <c r="CF86" s="84" vm="6092">
        <v>19253</v>
      </c>
      <c r="CG86" s="83">
        <v>0</v>
      </c>
      <c r="CH86" s="5" vm="6112">
        <f xml:space="preserve"> VfM_Metrics_2023_Consol[[#This Row],[Total assets less current liabilities]]</f>
        <v>518584</v>
      </c>
      <c r="CI86" s="84" vm="6112">
        <v>518584</v>
      </c>
      <c r="CJ86" s="71" vm="6076">
        <f xml:space="preserve"> VfM_Metrics_2023_Consol[[#This Row],[Total social housing units owned (Period end)]]</f>
        <v>6389</v>
      </c>
      <c r="CK86" s="103">
        <v>4.2976773581924477E-2</v>
      </c>
      <c r="CL86" s="6">
        <f xml:space="preserve"> -- ( VfM_Metrics_2023_Consol[[#This Row],[% Supported housing (excl. HOP)]] &gt; 0.3 )</f>
        <v>0</v>
      </c>
      <c r="CM86" s="103">
        <v>4.7242850371306683E-2</v>
      </c>
      <c r="CN86" s="6">
        <f xml:space="preserve"> -- ( VfM_Metrics_2023_Consol[[#This Row],[% Housing for older people]] &gt; 0.3 )</f>
        <v>0</v>
      </c>
      <c r="CO86" s="103">
        <f xml:space="preserve"> VfM_Metrics_2023_Consol[[#This Row],[% Supported housing (excl. HOP)]] + VfM_Metrics_2023_Consol[[#This Row],[% Housing for older people]]</f>
        <v>9.0219623953231159E-2</v>
      </c>
      <c r="CP86" s="6">
        <f xml:space="preserve"> -- ( VfM_Metrics_2023_Consol[[#This Row],[SH specialist in RSH analysis]] + VfM_Metrics_2023_Consol[[#This Row],[OP specialist in RSH analysis]] &gt; 0 )</f>
        <v>0</v>
      </c>
      <c r="CQ86" s="10">
        <f xml:space="preserve"> -- ( VfM_Metrics_2023_Consol[[#This Row],[% SH and OP]] &gt; 0.3 )</f>
        <v>0</v>
      </c>
      <c r="CR86" s="104" t="s">
        <v>143</v>
      </c>
      <c r="CS86" s="124" t="s">
        <v>144</v>
      </c>
      <c r="CT86" s="105"/>
      <c r="CU8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86" s="85">
        <v>0</v>
      </c>
      <c r="CW86" s="85">
        <v>0.99824314827828531</v>
      </c>
      <c r="CX86" s="85">
        <v>0</v>
      </c>
      <c r="CY86" s="85">
        <v>0</v>
      </c>
      <c r="CZ86" s="85">
        <v>0</v>
      </c>
      <c r="DA86" s="85">
        <v>1.7568517217146872E-3</v>
      </c>
      <c r="DB86" s="85">
        <v>0</v>
      </c>
      <c r="DC86" s="85">
        <v>0</v>
      </c>
      <c r="DD86" s="85">
        <v>0</v>
      </c>
      <c r="DE86" s="13">
        <v>1.0336733057289238</v>
      </c>
    </row>
    <row r="87" spans="1:109" x14ac:dyDescent="0.25">
      <c r="A87" s="4" t="s" vm="225">
        <v>298</v>
      </c>
      <c r="B87" s="2" t="s" vm="77">
        <v>299</v>
      </c>
      <c r="C87" s="72" vm="421">
        <v>45016</v>
      </c>
      <c r="D87" s="7">
        <f>IFERROR( VfM_Metrics_2023_Consol[[#This Row],[Reinvestment Spend]] / VfM_Metrics_2023_Consol[[#This Row],[Net Book Value of Housing Properties]], "n/a" )</f>
        <v>8.9974017049968859E-3</v>
      </c>
      <c r="E8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838</v>
      </c>
      <c r="F87" s="83" vm="8376">
        <v>0</v>
      </c>
      <c r="G87" s="83" vm="1134">
        <v>0</v>
      </c>
      <c r="H87" s="83" vm="8640">
        <v>838</v>
      </c>
      <c r="I87" s="83" vm="1135">
        <v>0</v>
      </c>
      <c r="J87" s="83" vm="1136">
        <v>0</v>
      </c>
      <c r="K87" s="5">
        <f xml:space="preserve"> SUM( VfM_Metrics_2023_Consol[[#This Row],[Tangible fixed assets: Housing properties at cost (Current period)]],VfM_Metrics_2023_Consol[[#This Row],[Tangible fixed assets Housing properties at valuation (Current period)]] )</f>
        <v>93138</v>
      </c>
      <c r="L87" s="84" vm="1086">
        <v>93138</v>
      </c>
      <c r="M87" s="83" vm="1138">
        <v>0</v>
      </c>
      <c r="N87" s="7">
        <f xml:space="preserve"> IFERROR( VfM_Metrics_2023_Consol[[#This Row],[Total social units developed or newly built units acquired in-year]] / VfM_Metrics_2023_Consol[[#This Row],[Social housing units owned (period end)]], "n/a" )</f>
        <v>0</v>
      </c>
      <c r="O87" s="5">
        <f xml:space="preserve"> SUM( VfM_Metrics_2023_Consol[[#This Row],[Total social units developed or newly built units acquired in-year (owned)]], VfM_Metrics_2023_Consol[[#This Row],[Total social leasehold units developed or newly built units acquired in-year (owned)]] )</f>
        <v>0</v>
      </c>
      <c r="P87" s="84" vm="8700">
        <v>0</v>
      </c>
      <c r="Q87" s="83" vm="1139">
        <v>0</v>
      </c>
      <c r="R87" s="5">
        <f xml:space="preserve"> SUM( VfM_Metrics_2023_Consol[[#This Row],[Total social housing units owned (Period end)]], VfM_Metrics_2023_Consol[[#This Row],[Total social leasehold units owned (Period end)]] )</f>
        <v>1384</v>
      </c>
      <c r="S87" s="84" vm="1133">
        <v>1368</v>
      </c>
      <c r="T87" s="83" vm="1140">
        <v>16</v>
      </c>
      <c r="U87" s="86">
        <f xml:space="preserve"> IFERROR( VfM_Metrics_2023_Consol[[#This Row],[Total non-social housing units developed or newly built units acquired (owned)]] / VfM_Metrics_2023_Consol[[#This Row],[Total social and non-social housing units owned (Period end)]], "n/a" )</f>
        <v>0</v>
      </c>
      <c r="V8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87" s="83" vm="1141">
        <v>0</v>
      </c>
      <c r="X87" s="83" vm="1190">
        <v>0</v>
      </c>
      <c r="Y87" s="83" vm="1142">
        <v>0</v>
      </c>
      <c r="Z8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1388</v>
      </c>
      <c r="AA87" s="84" vm="8512">
        <v>1368</v>
      </c>
      <c r="AB87" s="83" vm="1140">
        <v>16</v>
      </c>
      <c r="AC87" s="83" vm="1143">
        <v>0</v>
      </c>
      <c r="AD87" s="83" vm="1206">
        <v>4</v>
      </c>
      <c r="AE87" s="7">
        <f xml:space="preserve"> IFERROR( VfM_Metrics_2023_Consol[[#This Row],[Total Net Debt]] / VfM_Metrics_2023_Consol[[#This Row],[Net Book Value of Housing Properties2]], "n/a" )</f>
        <v>0.24114754450385451</v>
      </c>
      <c r="AF8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22460</v>
      </c>
      <c r="AG87" s="84" vm="1144">
        <v>1119</v>
      </c>
      <c r="AH87" s="83" vm="8373">
        <v>28374</v>
      </c>
      <c r="AI87" s="83" vm="8523">
        <v>7033</v>
      </c>
      <c r="AJ87" s="83" vm="1095">
        <v>0</v>
      </c>
      <c r="AK87" s="83" vm="8527">
        <v>0</v>
      </c>
      <c r="AL87" s="5">
        <f xml:space="preserve"> SUM( VfM_Metrics_2023_Consol[[#This Row],[Tangible fixed assets: Housing properties at cost (Current period)2]], VfM_Metrics_2023_Consol[[#This Row],[Tangible fixed assets Housing properties at valuation (Current period)2]] )</f>
        <v>93138</v>
      </c>
      <c r="AM87" s="84" vm="1137">
        <v>93138</v>
      </c>
      <c r="AN87" s="83" vm="1138">
        <v>0</v>
      </c>
      <c r="AO87" s="87">
        <f xml:space="preserve"> IFERROR( VfM_Metrics_2023_Consol[[#This Row],[EBITDA MRI]] / VfM_Metrics_2023_Consol[[#This Row],[Total interest]], "n/a" )</f>
        <v>2.1857485988791034</v>
      </c>
      <c r="AP8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2730</v>
      </c>
      <c r="AQ87" s="84" vm="8631">
        <v>2766</v>
      </c>
      <c r="AR87" s="84" vm="1147">
        <v>728</v>
      </c>
      <c r="AS87" s="84" vm="1148">
        <v>0</v>
      </c>
      <c r="AT87" s="84" vm="1149">
        <v>58</v>
      </c>
      <c r="AU87" s="84" vm="8510">
        <v>0</v>
      </c>
      <c r="AV87" s="84" vm="8630">
        <v>74</v>
      </c>
      <c r="AW87" s="84" vm="8781">
        <v>838</v>
      </c>
      <c r="AX87" s="84" vm="8697">
        <v>1514</v>
      </c>
      <c r="AY87" s="3">
        <f xml:space="preserve"> - SUM( VfM_Metrics_2023_Consol[[#This Row],[Interest capitalised]], VfM_Metrics_2023_Consol[[#This Row],[Interest payable and financing costs]] )</f>
        <v>1249</v>
      </c>
      <c r="AZ87" s="84" vm="1152">
        <v>0</v>
      </c>
      <c r="BA87" s="83" vm="1153">
        <v>-1249</v>
      </c>
      <c r="BB87" s="8">
        <f xml:space="preserve"> IFERROR( ( VfM_Metrics_2023_Consol[[#This Row],[Total Costs]] / VfM_Metrics_2023_Consol[[#This Row],[Total units for costs]] ) * 1000, "n/a" )</f>
        <v>4313.3640552995394</v>
      </c>
      <c r="BC8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6552</v>
      </c>
      <c r="BD87" s="84" vm="1154">
        <v>1549</v>
      </c>
      <c r="BE87" s="83" vm="8685">
        <v>1476</v>
      </c>
      <c r="BF87" s="83" vm="8525">
        <v>1181</v>
      </c>
      <c r="BG87" s="83" vm="8743">
        <v>930</v>
      </c>
      <c r="BH87" s="83" vm="8762">
        <v>407</v>
      </c>
      <c r="BI87" s="83" vm="8372">
        <v>106</v>
      </c>
      <c r="BJ87" s="83" vm="1294">
        <v>838</v>
      </c>
      <c r="BK87" s="83" vm="8885">
        <v>46</v>
      </c>
      <c r="BL87" s="83" vm="1155">
        <v>0</v>
      </c>
      <c r="BM87" s="83" vm="8540">
        <v>0</v>
      </c>
      <c r="BN87" s="83" vm="1156">
        <v>0</v>
      </c>
      <c r="BO87" s="83" vm="1157">
        <v>19</v>
      </c>
      <c r="BP87" s="5" vm="990">
        <f xml:space="preserve"> VfM_Metrics_2023_Consol[[#This Row],[Total social housing units owned and/or managed at period end]]</f>
        <v>1519</v>
      </c>
      <c r="BQ87" s="84" vm="990">
        <v>1519</v>
      </c>
      <c r="BR87" s="7">
        <f xml:space="preserve"> IFERROR( VfM_Metrics_2023_Consol[[#This Row],[SHL operating surplus / (deficit)]] / VfM_Metrics_2023_Consol[[#This Row],[Turnover from social housing lettings]], "n/a" )</f>
        <v>0.21018134149005899</v>
      </c>
      <c r="BS87" s="5" vm="1415">
        <f xml:space="preserve"> VfM_Metrics_2023_Consol[[#This Row],[Operating surplus/(deficit) (social housing lettings)]]</f>
        <v>1924</v>
      </c>
      <c r="BT87" s="84" vm="1415">
        <v>1924</v>
      </c>
      <c r="BU87" s="5" vm="8615">
        <f xml:space="preserve"> VfM_Metrics_2023_Consol[[#This Row],[Turnover from social housing lettings]]</f>
        <v>9154</v>
      </c>
      <c r="BV87" s="84" vm="8615">
        <v>9154</v>
      </c>
      <c r="BW87" s="7">
        <f xml:space="preserve"> IFERROR( VfM_Metrics_2023_Consol[[#This Row],[Net operating surplus]] / VfM_Metrics_2023_Consol[[#This Row],[Overall turnover]], "n/a" )</f>
        <v>0.21944653817163778</v>
      </c>
      <c r="BX87" s="5">
        <f xml:space="preserve"> SUM( VfM_Metrics_2023_Consol[[#This Row],[Operating surplus/(deficit) (overall)2]], - VfM_Metrics_2023_Consol[[#This Row],[Gain/(loss) on disposal of fixed assets (housing properties)2]], - VfM_Metrics_2023_Consol[[#This Row],[Gain/(loss) on disposal of fixed assets (other)2]] )</f>
        <v>2038</v>
      </c>
      <c r="BY87" s="84" vm="1146">
        <v>2766</v>
      </c>
      <c r="BZ87" s="83" vm="8755">
        <v>728</v>
      </c>
      <c r="CA87" s="83" vm="1148">
        <v>0</v>
      </c>
      <c r="CB87" s="5" vm="1159">
        <f xml:space="preserve"> VfM_Metrics_2023_Consol[[#This Row],[Turnover (overall)]]</f>
        <v>9287</v>
      </c>
      <c r="CC87" s="84" vm="1159">
        <v>9287</v>
      </c>
      <c r="CD87" s="7">
        <f xml:space="preserve"> IFERROR( VfM_Metrics_2023_Consol[[#This Row],[Operating surplus including from JVs]] / VfM_Metrics_2023_Consol[[#This Row],[Net assets]], "n/a" )</f>
        <v>2.805700664401278E-2</v>
      </c>
      <c r="CE87" s="5">
        <f xml:space="preserve"> SUM( VfM_Metrics_2023_Consol[[#This Row],[Operating surplus/(deficit) (overall)3]], VfM_Metrics_2023_Consol[[#This Row],[Share of operating surplus/(deficit) in joint ventures or associates]] )</f>
        <v>2766</v>
      </c>
      <c r="CF87" s="84" vm="1146">
        <v>2766</v>
      </c>
      <c r="CG87" s="83" vm="1082">
        <v>0</v>
      </c>
      <c r="CH87" s="5" vm="8539">
        <f xml:space="preserve"> VfM_Metrics_2023_Consol[[#This Row],[Total assets less current liabilities]]</f>
        <v>98585</v>
      </c>
      <c r="CI87" s="84" vm="8539">
        <v>98585</v>
      </c>
      <c r="CJ87" s="71" vm="1133">
        <f xml:space="preserve"> VfM_Metrics_2023_Consol[[#This Row],[Total social housing units owned (Period end)]]</f>
        <v>1368</v>
      </c>
      <c r="CK87" s="103">
        <v>0</v>
      </c>
      <c r="CL87" s="6">
        <f xml:space="preserve"> -- ( VfM_Metrics_2023_Consol[[#This Row],[% Supported housing (excl. HOP)]] &gt; 0.3 )</f>
        <v>0</v>
      </c>
      <c r="CM87" s="103">
        <v>0</v>
      </c>
      <c r="CN87" s="6">
        <f xml:space="preserve"> -- ( VfM_Metrics_2023_Consol[[#This Row],[% Housing for older people]] &gt; 0.3 )</f>
        <v>0</v>
      </c>
      <c r="CO87" s="103">
        <f xml:space="preserve"> VfM_Metrics_2023_Consol[[#This Row],[% Supported housing (excl. HOP)]] + VfM_Metrics_2023_Consol[[#This Row],[% Housing for older people]]</f>
        <v>0</v>
      </c>
      <c r="CP87" s="6">
        <f xml:space="preserve"> -- ( VfM_Metrics_2023_Consol[[#This Row],[SH specialist in RSH analysis]] + VfM_Metrics_2023_Consol[[#This Row],[OP specialist in RSH analysis]] &gt; 0 )</f>
        <v>0</v>
      </c>
      <c r="CQ87" s="10">
        <f xml:space="preserve"> -- ( VfM_Metrics_2023_Consol[[#This Row],[% SH and OP]] &gt; 0.3 )</f>
        <v>0</v>
      </c>
      <c r="CR87" s="104" t="s">
        <v>143</v>
      </c>
      <c r="CS87" s="124" t="s">
        <v>144</v>
      </c>
      <c r="CT87" s="105"/>
      <c r="CU8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87" s="85">
        <v>0</v>
      </c>
      <c r="CW87" s="85">
        <v>1.827485380116959E-2</v>
      </c>
      <c r="CX87" s="85">
        <v>0</v>
      </c>
      <c r="CY87" s="85">
        <v>0</v>
      </c>
      <c r="CZ87" s="85">
        <v>0</v>
      </c>
      <c r="DA87" s="85">
        <v>0.98172514619883045</v>
      </c>
      <c r="DB87" s="85">
        <v>0</v>
      </c>
      <c r="DC87" s="85">
        <v>0</v>
      </c>
      <c r="DD87" s="85">
        <v>0</v>
      </c>
      <c r="DE87" s="13">
        <v>1.0117784344635339</v>
      </c>
    </row>
    <row r="88" spans="1:109" x14ac:dyDescent="0.25">
      <c r="A88" s="4" t="s" vm="245">
        <v>300</v>
      </c>
      <c r="B88" s="2" t="s" vm="78">
        <v>301</v>
      </c>
      <c r="C88" s="72" vm="508">
        <v>45016</v>
      </c>
      <c r="D88" s="7">
        <f>IFERROR( VfM_Metrics_2023_Consol[[#This Row],[Reinvestment Spend]] / VfM_Metrics_2023_Consol[[#This Row],[Net Book Value of Housing Properties]], "n/a" )</f>
        <v>4.5009685531306312E-2</v>
      </c>
      <c r="E8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146500</v>
      </c>
      <c r="F88" s="83" vm="1745">
        <v>81193</v>
      </c>
      <c r="G88" s="83" vm="1603">
        <v>0</v>
      </c>
      <c r="H88" s="83" vm="2010">
        <v>57523</v>
      </c>
      <c r="I88" s="83" vm="1604">
        <v>7784</v>
      </c>
      <c r="J88" s="83" vm="1605">
        <v>0</v>
      </c>
      <c r="K88" s="5">
        <f xml:space="preserve"> SUM( VfM_Metrics_2023_Consol[[#This Row],[Tangible fixed assets: Housing properties at cost (Current period)]],VfM_Metrics_2023_Consol[[#This Row],[Tangible fixed assets Housing properties at valuation (Current period)]] )</f>
        <v>3254855</v>
      </c>
      <c r="L88" s="84" vm="8341">
        <v>3254855</v>
      </c>
      <c r="M88" s="83" vm="1607">
        <v>0</v>
      </c>
      <c r="N88" s="7">
        <f xml:space="preserve"> IFERROR( VfM_Metrics_2023_Consol[[#This Row],[Total social units developed or newly built units acquired in-year]] / VfM_Metrics_2023_Consol[[#This Row],[Social housing units owned (period end)]], "n/a" )</f>
        <v>1.2509069801189958E-2</v>
      </c>
      <c r="O88" s="5">
        <f xml:space="preserve"> SUM( VfM_Metrics_2023_Consol[[#This Row],[Total social units developed or newly built units acquired in-year (owned)]], VfM_Metrics_2023_Consol[[#This Row],[Total social leasehold units developed or newly built units acquired in-year (owned)]] )</f>
        <v>431</v>
      </c>
      <c r="P88" s="84" vm="8105">
        <v>431</v>
      </c>
      <c r="Q88" s="83" vm="1608">
        <v>0</v>
      </c>
      <c r="R88" s="5">
        <f xml:space="preserve"> SUM( VfM_Metrics_2023_Consol[[#This Row],[Total social housing units owned (Period end)]], VfM_Metrics_2023_Consol[[#This Row],[Total social leasehold units owned (Period end)]] )</f>
        <v>34455</v>
      </c>
      <c r="S88" s="84" vm="1601">
        <v>34455</v>
      </c>
      <c r="T88" s="83" vm="1609">
        <v>0</v>
      </c>
      <c r="U88" s="86">
        <f xml:space="preserve"> IFERROR( VfM_Metrics_2023_Consol[[#This Row],[Total non-social housing units developed or newly built units acquired (owned)]] / VfM_Metrics_2023_Consol[[#This Row],[Total social and non-social housing units owned (Period end)]], "n/a" )</f>
        <v>4.7535038714103693E-3</v>
      </c>
      <c r="V8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194</v>
      </c>
      <c r="W88" s="83" vm="1610">
        <v>0</v>
      </c>
      <c r="X88" s="83">
        <v>0</v>
      </c>
      <c r="Y88" s="83" vm="1612">
        <v>194</v>
      </c>
      <c r="Z8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40812</v>
      </c>
      <c r="AA88" s="84" vm="1601">
        <v>34455</v>
      </c>
      <c r="AB88" s="83" vm="1609">
        <v>0</v>
      </c>
      <c r="AC88" s="83" vm="1406">
        <v>68</v>
      </c>
      <c r="AD88" s="83" vm="1613">
        <v>6289</v>
      </c>
      <c r="AE88" s="7">
        <f xml:space="preserve"> IFERROR( VfM_Metrics_2023_Consol[[#This Row],[Total Net Debt]] / VfM_Metrics_2023_Consol[[#This Row],[Net Book Value of Housing Properties2]], "n/a" )</f>
        <v>0.45455757629756166</v>
      </c>
      <c r="AF8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1479519</v>
      </c>
      <c r="AG88" s="84" vm="1614">
        <v>11095</v>
      </c>
      <c r="AH88" s="83" vm="8406">
        <v>1567015</v>
      </c>
      <c r="AI88" s="83" vm="1615">
        <v>98591</v>
      </c>
      <c r="AJ88" s="83" vm="1675">
        <v>0</v>
      </c>
      <c r="AK88" s="83">
        <v>0</v>
      </c>
      <c r="AL88" s="5">
        <f xml:space="preserve"> SUM( VfM_Metrics_2023_Consol[[#This Row],[Tangible fixed assets: Housing properties at cost (Current period)2]], VfM_Metrics_2023_Consol[[#This Row],[Tangible fixed assets Housing properties at valuation (Current period)2]] )</f>
        <v>3254855</v>
      </c>
      <c r="AM88" s="84" vm="1606">
        <v>3254855</v>
      </c>
      <c r="AN88" s="83" vm="1607">
        <v>0</v>
      </c>
      <c r="AO88" s="87">
        <f xml:space="preserve"> IFERROR( VfM_Metrics_2023_Consol[[#This Row],[EBITDA MRI]] / VfM_Metrics_2023_Consol[[#This Row],[Total interest]], "n/a" )</f>
        <v>0.73830924025665989</v>
      </c>
      <c r="AP8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59143</v>
      </c>
      <c r="AQ88" s="84" vm="1616">
        <v>94294</v>
      </c>
      <c r="AR88" s="84" vm="1617">
        <v>38918</v>
      </c>
      <c r="AS88" s="84" vm="1618">
        <v>0</v>
      </c>
      <c r="AT88" s="84" vm="8203">
        <v>12186</v>
      </c>
      <c r="AU88" s="84" vm="1619">
        <v>0</v>
      </c>
      <c r="AV88" s="84" vm="8310">
        <v>2417</v>
      </c>
      <c r="AW88" s="84" vm="7872">
        <v>36858</v>
      </c>
      <c r="AX88" s="84" vm="8309">
        <v>50394</v>
      </c>
      <c r="AY88" s="3">
        <f xml:space="preserve"> - SUM( VfM_Metrics_2023_Consol[[#This Row],[Interest capitalised]], VfM_Metrics_2023_Consol[[#This Row],[Interest payable and financing costs]] )</f>
        <v>80106</v>
      </c>
      <c r="AZ88" s="84" vm="1621">
        <v>-10927</v>
      </c>
      <c r="BA88" s="83" vm="1622">
        <v>-69179</v>
      </c>
      <c r="BB88" s="8">
        <f xml:space="preserve"> IFERROR( ( VfM_Metrics_2023_Consol[[#This Row],[Total Costs]] / VfM_Metrics_2023_Consol[[#This Row],[Total units for costs]] ) * 1000, "n/a" )</f>
        <v>5782.1143960616855</v>
      </c>
      <c r="BC8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212591</v>
      </c>
      <c r="BD88" s="84" vm="1623">
        <v>63721</v>
      </c>
      <c r="BE88" s="83" vm="1624">
        <v>30796</v>
      </c>
      <c r="BF88" s="83" vm="8049">
        <v>33747</v>
      </c>
      <c r="BG88" s="83" vm="1625">
        <v>21972</v>
      </c>
      <c r="BH88" s="83" vm="1626">
        <v>1722</v>
      </c>
      <c r="BI88" s="83" vm="1627">
        <v>93</v>
      </c>
      <c r="BJ88" s="83" vm="1620">
        <v>36858</v>
      </c>
      <c r="BK88" s="83" vm="1628">
        <v>0</v>
      </c>
      <c r="BL88" s="83" vm="8299">
        <v>0</v>
      </c>
      <c r="BM88" s="83" vm="8052">
        <v>2644</v>
      </c>
      <c r="BN88" s="83" vm="8198">
        <v>21038</v>
      </c>
      <c r="BO88" s="83" vm="8379">
        <v>0</v>
      </c>
      <c r="BP88" s="5" vm="1602">
        <f xml:space="preserve"> VfM_Metrics_2023_Consol[[#This Row],[Total social housing units owned and/or managed at period end]]</f>
        <v>36767</v>
      </c>
      <c r="BQ88" s="84" vm="1602">
        <v>36767</v>
      </c>
      <c r="BR88" s="7">
        <f xml:space="preserve"> IFERROR( VfM_Metrics_2023_Consol[[#This Row],[SHL operating surplus / (deficit)]] / VfM_Metrics_2023_Consol[[#This Row],[Turnover from social housing lettings]], "n/a" )</f>
        <v>0.24583590258175955</v>
      </c>
      <c r="BS88" s="5" vm="1630">
        <f xml:space="preserve"> VfM_Metrics_2023_Consol[[#This Row],[Operating surplus/(deficit) (social housing lettings)]]</f>
        <v>64188</v>
      </c>
      <c r="BT88" s="84" vm="1630">
        <v>64188</v>
      </c>
      <c r="BU88" s="5" vm="1631">
        <f xml:space="preserve"> VfM_Metrics_2023_Consol[[#This Row],[Turnover from social housing lettings]]</f>
        <v>261101</v>
      </c>
      <c r="BV88" s="84" vm="1631">
        <v>261101</v>
      </c>
      <c r="BW88" s="7">
        <f xml:space="preserve"> IFERROR( VfM_Metrics_2023_Consol[[#This Row],[Net operating surplus]] / VfM_Metrics_2023_Consol[[#This Row],[Overall turnover]], "n/a" )</f>
        <v>0.15239353285173718</v>
      </c>
      <c r="BX88" s="5">
        <f xml:space="preserve"> SUM( VfM_Metrics_2023_Consol[[#This Row],[Operating surplus/(deficit) (overall)2]], - VfM_Metrics_2023_Consol[[#This Row],[Gain/(loss) on disposal of fixed assets (housing properties)2]], - VfM_Metrics_2023_Consol[[#This Row],[Gain/(loss) on disposal of fixed assets (other)2]] )</f>
        <v>55376</v>
      </c>
      <c r="BY88" s="84" vm="1616">
        <v>94294</v>
      </c>
      <c r="BZ88" s="83" vm="2735">
        <v>38918</v>
      </c>
      <c r="CA88" s="83" vm="8051">
        <v>0</v>
      </c>
      <c r="CB88" s="5" vm="2141">
        <f xml:space="preserve"> VfM_Metrics_2023_Consol[[#This Row],[Turnover (overall)]]</f>
        <v>363375</v>
      </c>
      <c r="CC88" s="84" vm="2141">
        <v>363375</v>
      </c>
      <c r="CD88" s="7">
        <f xml:space="preserve"> IFERROR( VfM_Metrics_2023_Consol[[#This Row],[Operating surplus including from JVs]] / VfM_Metrics_2023_Consol[[#This Row],[Net assets]], "n/a" )</f>
        <v>2.7692030856635418E-2</v>
      </c>
      <c r="CE88" s="5">
        <f xml:space="preserve"> SUM( VfM_Metrics_2023_Consol[[#This Row],[Operating surplus/(deficit) (overall)3]], VfM_Metrics_2023_Consol[[#This Row],[Share of operating surplus/(deficit) in joint ventures or associates]] )</f>
        <v>99415</v>
      </c>
      <c r="CF88" s="84" vm="8288">
        <v>94294</v>
      </c>
      <c r="CG88" s="83" vm="1496">
        <v>5121</v>
      </c>
      <c r="CH88" s="5" vm="1269">
        <f xml:space="preserve"> VfM_Metrics_2023_Consol[[#This Row],[Total assets less current liabilities]]</f>
        <v>3590022</v>
      </c>
      <c r="CI88" s="84" vm="1269">
        <v>3590022</v>
      </c>
      <c r="CJ88" s="71" vm="1601">
        <f xml:space="preserve"> VfM_Metrics_2023_Consol[[#This Row],[Total social housing units owned (Period end)]]</f>
        <v>34455</v>
      </c>
      <c r="CK88" s="103">
        <v>3.4118744896768922E-2</v>
      </c>
      <c r="CL88" s="6">
        <f xml:space="preserve"> -- ( VfM_Metrics_2023_Consol[[#This Row],[% Supported housing (excl. HOP)]] &gt; 0.3 )</f>
        <v>0</v>
      </c>
      <c r="CM88" s="103">
        <v>4.2254753295229208E-2</v>
      </c>
      <c r="CN88" s="6">
        <f xml:space="preserve"> -- ( VfM_Metrics_2023_Consol[[#This Row],[% Housing for older people]] &gt; 0.3 )</f>
        <v>0</v>
      </c>
      <c r="CO88" s="103">
        <f xml:space="preserve"> VfM_Metrics_2023_Consol[[#This Row],[% Supported housing (excl. HOP)]] + VfM_Metrics_2023_Consol[[#This Row],[% Housing for older people]]</f>
        <v>7.6373498191998124E-2</v>
      </c>
      <c r="CP88" s="6">
        <f xml:space="preserve"> -- ( VfM_Metrics_2023_Consol[[#This Row],[SH specialist in RSH analysis]] + VfM_Metrics_2023_Consol[[#This Row],[OP specialist in RSH analysis]] &gt; 0 )</f>
        <v>0</v>
      </c>
      <c r="CQ88" s="10">
        <f xml:space="preserve"> -- ( VfM_Metrics_2023_Consol[[#This Row],[% SH and OP]] &gt; 0.3 )</f>
        <v>0</v>
      </c>
      <c r="CR88" s="104" t="s">
        <v>143</v>
      </c>
      <c r="CS88" s="124" t="s">
        <v>144</v>
      </c>
      <c r="CT88" s="105"/>
      <c r="CU8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88" s="85">
        <v>0.4638433064210557</v>
      </c>
      <c r="CW88" s="85">
        <v>0.49672097700311874</v>
      </c>
      <c r="CX88" s="85">
        <v>0</v>
      </c>
      <c r="CY88" s="85">
        <v>5.7710804745110611E-3</v>
      </c>
      <c r="CZ88" s="85">
        <v>0</v>
      </c>
      <c r="DA88" s="85">
        <v>3.3664636101314524E-2</v>
      </c>
      <c r="DB88" s="85">
        <v>0</v>
      </c>
      <c r="DC88" s="85">
        <v>0</v>
      </c>
      <c r="DD88" s="85">
        <v>0</v>
      </c>
      <c r="DE88" s="13">
        <v>1.0911822845529033</v>
      </c>
    </row>
    <row r="89" spans="1:109" x14ac:dyDescent="0.25">
      <c r="A89" s="4" t="s" vm="304">
        <v>302</v>
      </c>
      <c r="B89" s="2" t="s" vm="79">
        <v>303</v>
      </c>
      <c r="C89" s="72" vm="472">
        <v>45016</v>
      </c>
      <c r="D89" s="7">
        <f>IFERROR( VfM_Metrics_2023_Consol[[#This Row],[Reinvestment Spend]] / VfM_Metrics_2023_Consol[[#This Row],[Net Book Value of Housing Properties]], "n/a" )</f>
        <v>5.8761061946902657E-2</v>
      </c>
      <c r="E8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166</v>
      </c>
      <c r="F89" s="83" vm="3483">
        <v>0</v>
      </c>
      <c r="G89" s="83" vm="3484">
        <v>166</v>
      </c>
      <c r="H89" s="83" vm="2363">
        <v>0</v>
      </c>
      <c r="I89" s="83" vm="3485">
        <v>0</v>
      </c>
      <c r="J89" s="83" vm="3486">
        <v>0</v>
      </c>
      <c r="K89" s="5">
        <f xml:space="preserve"> SUM( VfM_Metrics_2023_Consol[[#This Row],[Tangible fixed assets: Housing properties at cost (Current period)]],VfM_Metrics_2023_Consol[[#This Row],[Tangible fixed assets Housing properties at valuation (Current period)]] )</f>
        <v>2825</v>
      </c>
      <c r="L89" s="84" vm="3487">
        <v>2825</v>
      </c>
      <c r="M89" s="83">
        <v>0</v>
      </c>
      <c r="N89" s="7">
        <f xml:space="preserve"> IFERROR( VfM_Metrics_2023_Consol[[#This Row],[Total social units developed or newly built units acquired in-year]] / VfM_Metrics_2023_Consol[[#This Row],[Social housing units owned (period end)]], "n/a" )</f>
        <v>0.11229377328366152</v>
      </c>
      <c r="O89" s="5">
        <f xml:space="preserve"> SUM( VfM_Metrics_2023_Consol[[#This Row],[Total social units developed or newly built units acquired in-year (owned)]], VfM_Metrics_2023_Consol[[#This Row],[Total social leasehold units developed or newly built units acquired in-year (owned)]] )</f>
        <v>422</v>
      </c>
      <c r="P89" s="84" vm="3488">
        <v>422</v>
      </c>
      <c r="Q89" s="83">
        <v>0</v>
      </c>
      <c r="R89" s="5">
        <f xml:space="preserve"> SUM( VfM_Metrics_2023_Consol[[#This Row],[Total social housing units owned (Period end)]], VfM_Metrics_2023_Consol[[#This Row],[Total social leasehold units owned (Period end)]] )</f>
        <v>3758</v>
      </c>
      <c r="S89" s="84" vm="3482">
        <v>3758</v>
      </c>
      <c r="T89" s="83" vm="3489">
        <v>0</v>
      </c>
      <c r="U89" s="86">
        <f xml:space="preserve"> IFERROR( VfM_Metrics_2023_Consol[[#This Row],[Total non-social housing units developed or newly built units acquired (owned)]] / VfM_Metrics_2023_Consol[[#This Row],[Total social and non-social housing units owned (Period end)]], "n/a" )</f>
        <v>0</v>
      </c>
      <c r="V8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89" s="83">
        <v>0</v>
      </c>
      <c r="X89" s="83">
        <v>0</v>
      </c>
      <c r="Y89" s="83">
        <v>0</v>
      </c>
      <c r="Z8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3758</v>
      </c>
      <c r="AA89" s="84" vm="7825">
        <v>3758</v>
      </c>
      <c r="AB89" s="83" vm="3489">
        <v>0</v>
      </c>
      <c r="AC89" s="83" vm="3490">
        <v>0</v>
      </c>
      <c r="AD89" s="83" vm="6997">
        <v>0</v>
      </c>
      <c r="AE89" s="7">
        <f xml:space="preserve"> IFERROR( VfM_Metrics_2023_Consol[[#This Row],[Total Net Debt]] / VfM_Metrics_2023_Consol[[#This Row],[Net Book Value of Housing Properties2]], "n/a" )</f>
        <v>-7.2028318584070794</v>
      </c>
      <c r="AF8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-20348</v>
      </c>
      <c r="AG89" s="84">
        <v>0</v>
      </c>
      <c r="AH89" s="83">
        <v>0</v>
      </c>
      <c r="AI89" s="83" vm="3491">
        <v>20348</v>
      </c>
      <c r="AJ89" s="83" vm="1675">
        <v>0</v>
      </c>
      <c r="AK89" s="83">
        <v>0</v>
      </c>
      <c r="AL89" s="5">
        <f xml:space="preserve"> SUM( VfM_Metrics_2023_Consol[[#This Row],[Tangible fixed assets: Housing properties at cost (Current period)2]], VfM_Metrics_2023_Consol[[#This Row],[Tangible fixed assets Housing properties at valuation (Current period)2]] )</f>
        <v>2825</v>
      </c>
      <c r="AM89" s="84" vm="3487">
        <v>2825</v>
      </c>
      <c r="AN89" s="83">
        <v>0</v>
      </c>
      <c r="AO89" s="87" t="str">
        <f xml:space="preserve"> IFERROR( VfM_Metrics_2023_Consol[[#This Row],[EBITDA MRI]] / VfM_Metrics_2023_Consol[[#This Row],[Total interest]], "n/a" )</f>
        <v>n/a</v>
      </c>
      <c r="AP8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3744</v>
      </c>
      <c r="AQ89" s="84" vm="3492">
        <v>3281</v>
      </c>
      <c r="AR89" s="84">
        <v>0</v>
      </c>
      <c r="AS89" s="84">
        <v>0</v>
      </c>
      <c r="AT89" s="84" vm="3494">
        <v>0</v>
      </c>
      <c r="AU89" s="84" vm="3495">
        <v>0</v>
      </c>
      <c r="AV89" s="84" vm="3496">
        <v>361</v>
      </c>
      <c r="AW89" s="84" vm="3497">
        <v>0</v>
      </c>
      <c r="AX89" s="84" vm="3498">
        <v>102</v>
      </c>
      <c r="AY89" s="3">
        <f xml:space="preserve"> - SUM( VfM_Metrics_2023_Consol[[#This Row],[Interest capitalised]], VfM_Metrics_2023_Consol[[#This Row],[Interest payable and financing costs]] )</f>
        <v>0</v>
      </c>
      <c r="AZ89" s="84">
        <v>0</v>
      </c>
      <c r="BA89" s="83" vm="7418">
        <v>0</v>
      </c>
      <c r="BB89" s="8">
        <f xml:space="preserve"> IFERROR( ( VfM_Metrics_2023_Consol[[#This Row],[Total Costs]] / VfM_Metrics_2023_Consol[[#This Row],[Total units for costs]] ) * 1000, "n/a" )</f>
        <v>16439.595529536986</v>
      </c>
      <c r="BC8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61780</v>
      </c>
      <c r="BD89" s="84" vm="3472">
        <v>7335</v>
      </c>
      <c r="BE89" s="83" vm="3499">
        <v>5503</v>
      </c>
      <c r="BF89" s="83" vm="3500">
        <v>3294</v>
      </c>
      <c r="BG89" s="83" vm="3501">
        <v>3877</v>
      </c>
      <c r="BH89" s="83" vm="3502">
        <v>0</v>
      </c>
      <c r="BI89" s="83" vm="3503">
        <v>39184</v>
      </c>
      <c r="BJ89" s="83" vm="3497">
        <v>0</v>
      </c>
      <c r="BK89" s="83" vm="3504">
        <v>0</v>
      </c>
      <c r="BL89" s="83" vm="3505">
        <v>309</v>
      </c>
      <c r="BM89" s="83">
        <v>0</v>
      </c>
      <c r="BN89" s="83" vm="3506">
        <v>1391</v>
      </c>
      <c r="BO89" s="83" vm="3507">
        <v>887</v>
      </c>
      <c r="BP89" s="5" vm="7417">
        <f xml:space="preserve"> VfM_Metrics_2023_Consol[[#This Row],[Total social housing units owned and/or managed at period end]]</f>
        <v>3758</v>
      </c>
      <c r="BQ89" s="84" vm="7417">
        <v>3758</v>
      </c>
      <c r="BR89" s="7">
        <f xml:space="preserve"> IFERROR( VfM_Metrics_2023_Consol[[#This Row],[SHL operating surplus / (deficit)]] / VfM_Metrics_2023_Consol[[#This Row],[Turnover from social housing lettings]], "n/a" )</f>
        <v>5.5904173352185171E-2</v>
      </c>
      <c r="BS89" s="5" vm="3508">
        <f xml:space="preserve"> VfM_Metrics_2023_Consol[[#This Row],[Operating surplus/(deficit) (social housing lettings)]]</f>
        <v>3519</v>
      </c>
      <c r="BT89" s="84" vm="3508">
        <v>3519</v>
      </c>
      <c r="BU89" s="5" vm="3509">
        <f xml:space="preserve"> VfM_Metrics_2023_Consol[[#This Row],[Turnover from social housing lettings]]</f>
        <v>62947</v>
      </c>
      <c r="BV89" s="84" vm="3509">
        <v>62947</v>
      </c>
      <c r="BW89" s="7">
        <f xml:space="preserve"> IFERROR( VfM_Metrics_2023_Consol[[#This Row],[Net operating surplus]] / VfM_Metrics_2023_Consol[[#This Row],[Overall turnover]], "n/a" )</f>
        <v>4.9980196813210247E-2</v>
      </c>
      <c r="BX89" s="5">
        <f xml:space="preserve"> SUM( VfM_Metrics_2023_Consol[[#This Row],[Operating surplus/(deficit) (overall)2]], - VfM_Metrics_2023_Consol[[#This Row],[Gain/(loss) on disposal of fixed assets (housing properties)2]], - VfM_Metrics_2023_Consol[[#This Row],[Gain/(loss) on disposal of fixed assets (other)2]] )</f>
        <v>3281</v>
      </c>
      <c r="BY89" s="84" vm="3492">
        <v>3281</v>
      </c>
      <c r="BZ89" s="83">
        <v>0</v>
      </c>
      <c r="CA89" s="83">
        <v>0</v>
      </c>
      <c r="CB89" s="5">
        <f xml:space="preserve"> VfM_Metrics_2023_Consol[[#This Row],[Turnover (overall)]]</f>
        <v>65646</v>
      </c>
      <c r="CC89" s="84">
        <v>65646</v>
      </c>
      <c r="CD89" s="7">
        <f xml:space="preserve"> IFERROR( VfM_Metrics_2023_Consol[[#This Row],[Operating surplus including from JVs]] / VfM_Metrics_2023_Consol[[#This Row],[Net assets]], "n/a" )</f>
        <v>0.14566037735849058</v>
      </c>
      <c r="CE89" s="5">
        <f xml:space="preserve"> SUM( VfM_Metrics_2023_Consol[[#This Row],[Operating surplus/(deficit) (overall)3]], VfM_Metrics_2023_Consol[[#This Row],[Share of operating surplus/(deficit) in joint ventures or associates]] )</f>
        <v>3281</v>
      </c>
      <c r="CF89" s="84" vm="6996">
        <v>3281</v>
      </c>
      <c r="CG89" s="83">
        <v>0</v>
      </c>
      <c r="CH89" s="5">
        <f xml:space="preserve"> VfM_Metrics_2023_Consol[[#This Row],[Total assets less current liabilities]]</f>
        <v>22525</v>
      </c>
      <c r="CI89" s="84">
        <v>22525</v>
      </c>
      <c r="CJ89" s="71" vm="3482">
        <f xml:space="preserve"> VfM_Metrics_2023_Consol[[#This Row],[Total social housing units owned (Period end)]]</f>
        <v>3758</v>
      </c>
      <c r="CK89" s="103">
        <v>0.96487493347525277</v>
      </c>
      <c r="CL89" s="6">
        <f xml:space="preserve"> -- ( VfM_Metrics_2023_Consol[[#This Row],[% Supported housing (excl. HOP)]] &gt; 0.3 )</f>
        <v>1</v>
      </c>
      <c r="CM89" s="103">
        <v>3.3262373602980309E-2</v>
      </c>
      <c r="CN89" s="6">
        <f xml:space="preserve"> -- ( VfM_Metrics_2023_Consol[[#This Row],[% Housing for older people]] &gt; 0.3 )</f>
        <v>0</v>
      </c>
      <c r="CO89" s="103">
        <f xml:space="preserve"> VfM_Metrics_2023_Consol[[#This Row],[% Supported housing (excl. HOP)]] + VfM_Metrics_2023_Consol[[#This Row],[% Housing for older people]]</f>
        <v>0.99813730707823312</v>
      </c>
      <c r="CP89" s="6">
        <f xml:space="preserve"> -- ( VfM_Metrics_2023_Consol[[#This Row],[SH specialist in RSH analysis]] + VfM_Metrics_2023_Consol[[#This Row],[OP specialist in RSH analysis]] &gt; 0 )</f>
        <v>1</v>
      </c>
      <c r="CQ89" s="10">
        <f xml:space="preserve"> -- ( VfM_Metrics_2023_Consol[[#This Row],[% SH and OP]] &gt; 0.3 )</f>
        <v>1</v>
      </c>
      <c r="CR89" s="104" t="s">
        <v>143</v>
      </c>
      <c r="CS89" s="124" t="s">
        <v>144</v>
      </c>
      <c r="CT89" s="105"/>
      <c r="CU8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89" s="85">
        <v>2.415591545429591E-2</v>
      </c>
      <c r="CW89" s="85">
        <v>5.9566291517979687E-2</v>
      </c>
      <c r="CX89" s="85">
        <v>5.3252813615152349E-2</v>
      </c>
      <c r="CY89" s="85">
        <v>0.14054350809772165</v>
      </c>
      <c r="CZ89" s="85">
        <v>0.2034037880867417</v>
      </c>
      <c r="DA89" s="85">
        <v>6.0664287674993135E-2</v>
      </c>
      <c r="DB89" s="85">
        <v>7.987922042272852E-2</v>
      </c>
      <c r="DC89" s="85">
        <v>0.24348064781773263</v>
      </c>
      <c r="DD89" s="85">
        <v>0.13505352731265441</v>
      </c>
      <c r="DE89" s="13">
        <v>0.96551039520231197</v>
      </c>
    </row>
    <row r="90" spans="1:109" x14ac:dyDescent="0.25">
      <c r="A90" s="4" t="s" vm="339">
        <v>304</v>
      </c>
      <c r="B90" s="2" t="s" vm="80">
        <v>305</v>
      </c>
      <c r="C90" s="72" vm="459">
        <v>45016</v>
      </c>
      <c r="D90" s="7">
        <f>IFERROR( VfM_Metrics_2023_Consol[[#This Row],[Reinvestment Spend]] / VfM_Metrics_2023_Consol[[#This Row],[Net Book Value of Housing Properties]], "n/a" )</f>
        <v>0.11045786123070164</v>
      </c>
      <c r="E9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48773</v>
      </c>
      <c r="F90" s="83" vm="4699">
        <v>14519</v>
      </c>
      <c r="G90" s="83" vm="4700">
        <v>14839</v>
      </c>
      <c r="H90" s="83" vm="3481">
        <v>18864</v>
      </c>
      <c r="I90" s="83" vm="4701">
        <v>551</v>
      </c>
      <c r="J90" s="83" vm="4702">
        <v>0</v>
      </c>
      <c r="K90" s="5">
        <f xml:space="preserve"> SUM( VfM_Metrics_2023_Consol[[#This Row],[Tangible fixed assets: Housing properties at cost (Current period)]],VfM_Metrics_2023_Consol[[#This Row],[Tangible fixed assets Housing properties at valuation (Current period)]] )</f>
        <v>441553</v>
      </c>
      <c r="L90" s="84" vm="4703">
        <v>441553</v>
      </c>
      <c r="M90" s="83" vm="4704">
        <v>0</v>
      </c>
      <c r="N90" s="7">
        <f xml:space="preserve"> IFERROR( VfM_Metrics_2023_Consol[[#This Row],[Total social units developed or newly built units acquired in-year]] / VfM_Metrics_2023_Consol[[#This Row],[Social housing units owned (period end)]], "n/a" )</f>
        <v>4.3010752688172043E-3</v>
      </c>
      <c r="O90" s="5">
        <f xml:space="preserve"> SUM( VfM_Metrics_2023_Consol[[#This Row],[Total social units developed or newly built units acquired in-year (owned)]], VfM_Metrics_2023_Consol[[#This Row],[Total social leasehold units developed or newly built units acquired in-year (owned)]] )</f>
        <v>96</v>
      </c>
      <c r="P90" s="84" vm="4705">
        <v>84</v>
      </c>
      <c r="Q90" s="83" vm="4706">
        <v>12</v>
      </c>
      <c r="R90" s="5">
        <f xml:space="preserve"> SUM( VfM_Metrics_2023_Consol[[#This Row],[Total social housing units owned (Period end)]], VfM_Metrics_2023_Consol[[#This Row],[Total social leasehold units owned (Period end)]] )</f>
        <v>22320</v>
      </c>
      <c r="S90" s="84" vm="4697">
        <v>21192</v>
      </c>
      <c r="T90" s="83" vm="4707">
        <v>1128</v>
      </c>
      <c r="U90" s="86">
        <f xml:space="preserve"> IFERROR( VfM_Metrics_2023_Consol[[#This Row],[Total non-social housing units developed or newly built units acquired (owned)]] / VfM_Metrics_2023_Consol[[#This Row],[Total social and non-social housing units owned (Period end)]], "n/a" )</f>
        <v>0</v>
      </c>
      <c r="V9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90" s="83" vm="4708">
        <v>0</v>
      </c>
      <c r="X90" s="83" vm="4709">
        <v>0</v>
      </c>
      <c r="Y90" s="83" vm="4710">
        <v>0</v>
      </c>
      <c r="Z9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22340</v>
      </c>
      <c r="AA90" s="84" vm="4697">
        <v>21192</v>
      </c>
      <c r="AB90" s="83" vm="4707">
        <v>1128</v>
      </c>
      <c r="AC90" s="83" vm="4711">
        <v>20</v>
      </c>
      <c r="AD90" s="83" vm="4853">
        <v>0</v>
      </c>
      <c r="AE90" s="7">
        <f xml:space="preserve"> IFERROR( VfM_Metrics_2023_Consol[[#This Row],[Total Net Debt]] / VfM_Metrics_2023_Consol[[#This Row],[Net Book Value of Housing Properties2]], "n/a" )</f>
        <v>0.61820211843198891</v>
      </c>
      <c r="AF9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272969</v>
      </c>
      <c r="AG90" s="84" vm="4712">
        <v>73</v>
      </c>
      <c r="AH90" s="83" vm="4713">
        <v>279634</v>
      </c>
      <c r="AI90" s="83" vm="4714">
        <v>6738</v>
      </c>
      <c r="AJ90" s="83" vm="4715">
        <v>0</v>
      </c>
      <c r="AK90" s="83" vm="4716">
        <v>0</v>
      </c>
      <c r="AL90" s="5">
        <f xml:space="preserve"> SUM( VfM_Metrics_2023_Consol[[#This Row],[Tangible fixed assets: Housing properties at cost (Current period)2]], VfM_Metrics_2023_Consol[[#This Row],[Tangible fixed assets Housing properties at valuation (Current period)2]] )</f>
        <v>441553</v>
      </c>
      <c r="AM90" s="84" vm="4703">
        <v>441553</v>
      </c>
      <c r="AN90" s="83" vm="4704">
        <v>0</v>
      </c>
      <c r="AO90" s="87">
        <f xml:space="preserve"> IFERROR( VfM_Metrics_2023_Consol[[#This Row],[EBITDA MRI]] / VfM_Metrics_2023_Consol[[#This Row],[Total interest]], "n/a" )</f>
        <v>0.12554112554112554</v>
      </c>
      <c r="AP9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1508</v>
      </c>
      <c r="AQ90" s="84" vm="4717">
        <v>11960</v>
      </c>
      <c r="AR90" s="84" vm="4718">
        <v>6359</v>
      </c>
      <c r="AS90" s="84" vm="4719">
        <v>44</v>
      </c>
      <c r="AT90" s="84" vm="4720">
        <v>898</v>
      </c>
      <c r="AU90" s="84" vm="4721">
        <v>1057</v>
      </c>
      <c r="AV90" s="84" vm="7405">
        <v>213</v>
      </c>
      <c r="AW90" s="84" vm="4722">
        <v>18864</v>
      </c>
      <c r="AX90" s="84" vm="4723">
        <v>16557</v>
      </c>
      <c r="AY90" s="3">
        <f xml:space="preserve"> - SUM( VfM_Metrics_2023_Consol[[#This Row],[Interest capitalised]], VfM_Metrics_2023_Consol[[#This Row],[Interest payable and financing costs]] )</f>
        <v>12012</v>
      </c>
      <c r="AZ90" s="84" vm="4724">
        <v>-551</v>
      </c>
      <c r="BA90" s="83" vm="4725">
        <v>-11461</v>
      </c>
      <c r="BB90" s="8">
        <f xml:space="preserve"> IFERROR( ( VfM_Metrics_2023_Consol[[#This Row],[Total Costs]] / VfM_Metrics_2023_Consol[[#This Row],[Total units for costs]] ) * 1000, "n/a" )</f>
        <v>4534.7519048504</v>
      </c>
      <c r="BC9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97606</v>
      </c>
      <c r="BD90" s="84" vm="4726">
        <v>28049</v>
      </c>
      <c r="BE90" s="83" vm="4727">
        <v>10650</v>
      </c>
      <c r="BF90" s="83" vm="4728">
        <v>24661</v>
      </c>
      <c r="BG90" s="83" vm="4729">
        <v>3378</v>
      </c>
      <c r="BH90" s="83" vm="4730">
        <v>1562</v>
      </c>
      <c r="BI90" s="83" vm="4731">
        <v>0</v>
      </c>
      <c r="BJ90" s="83" vm="4722">
        <v>18864</v>
      </c>
      <c r="BK90" s="83" vm="4732">
        <v>9882</v>
      </c>
      <c r="BL90" s="83" vm="4733">
        <v>0</v>
      </c>
      <c r="BM90" s="83" vm="4734">
        <v>0</v>
      </c>
      <c r="BN90" s="83" vm="4735">
        <v>160</v>
      </c>
      <c r="BO90" s="83" vm="4736">
        <v>400</v>
      </c>
      <c r="BP90" s="5" vm="4698">
        <f xml:space="preserve"> VfM_Metrics_2023_Consol[[#This Row],[Total social housing units owned and/or managed at period end]]</f>
        <v>21524</v>
      </c>
      <c r="BQ90" s="84" vm="4698">
        <v>21524</v>
      </c>
      <c r="BR90" s="7">
        <f xml:space="preserve"> IFERROR( VfM_Metrics_2023_Consol[[#This Row],[SHL operating surplus / (deficit)]] / VfM_Metrics_2023_Consol[[#This Row],[Turnover from social housing lettings]], "n/a" )</f>
        <v>3.9072294191391556E-2</v>
      </c>
      <c r="BS90" s="5" vm="4737">
        <f xml:space="preserve"> VfM_Metrics_2023_Consol[[#This Row],[Operating surplus/(deficit) (social housing lettings)]]</f>
        <v>3927</v>
      </c>
      <c r="BT90" s="84" vm="4737">
        <v>3927</v>
      </c>
      <c r="BU90" s="5" vm="4738">
        <f xml:space="preserve"> VfM_Metrics_2023_Consol[[#This Row],[Turnover from social housing lettings]]</f>
        <v>100506</v>
      </c>
      <c r="BV90" s="84" vm="4738">
        <v>100506</v>
      </c>
      <c r="BW90" s="7">
        <f xml:space="preserve"> IFERROR( VfM_Metrics_2023_Consol[[#This Row],[Net operating surplus]] / VfM_Metrics_2023_Consol[[#This Row],[Overall turnover]], "n/a" )</f>
        <v>5.3204526741091093E-2</v>
      </c>
      <c r="BX90" s="5">
        <f xml:space="preserve"> SUM( VfM_Metrics_2023_Consol[[#This Row],[Operating surplus/(deficit) (overall)2]], - VfM_Metrics_2023_Consol[[#This Row],[Gain/(loss) on disposal of fixed assets (housing properties)2]], - VfM_Metrics_2023_Consol[[#This Row],[Gain/(loss) on disposal of fixed assets (other)2]] )</f>
        <v>5557</v>
      </c>
      <c r="BY90" s="84" vm="4717">
        <v>11960</v>
      </c>
      <c r="BZ90" s="83" vm="4718">
        <v>6359</v>
      </c>
      <c r="CA90" s="83" vm="4719">
        <v>44</v>
      </c>
      <c r="CB90" s="5" vm="4739">
        <f xml:space="preserve"> VfM_Metrics_2023_Consol[[#This Row],[Turnover (overall)]]</f>
        <v>104446</v>
      </c>
      <c r="CC90" s="84" vm="4739">
        <v>104446</v>
      </c>
      <c r="CD90" s="7">
        <f xml:space="preserve"> IFERROR( VfM_Metrics_2023_Consol[[#This Row],[Operating surplus including from JVs]] / VfM_Metrics_2023_Consol[[#This Row],[Net assets]], "n/a" )</f>
        <v>2.6568390279878888E-2</v>
      </c>
      <c r="CE90" s="5">
        <f xml:space="preserve"> SUM( VfM_Metrics_2023_Consol[[#This Row],[Operating surplus/(deficit) (overall)3]], VfM_Metrics_2023_Consol[[#This Row],[Share of operating surplus/(deficit) in joint ventures or associates]] )</f>
        <v>11960</v>
      </c>
      <c r="CF90" s="84" vm="4717">
        <v>11960</v>
      </c>
      <c r="CG90" s="83" vm="4740">
        <v>0</v>
      </c>
      <c r="CH90" s="5" vm="4627">
        <f xml:space="preserve"> VfM_Metrics_2023_Consol[[#This Row],[Total assets less current liabilities]]</f>
        <v>450159</v>
      </c>
      <c r="CI90" s="84" vm="4627">
        <v>450159</v>
      </c>
      <c r="CJ90" s="71" vm="4697">
        <f xml:space="preserve"> VfM_Metrics_2023_Consol[[#This Row],[Total social housing units owned (Period end)]]</f>
        <v>21192</v>
      </c>
      <c r="CK90" s="103">
        <v>3.0689329556185078E-3</v>
      </c>
      <c r="CL90" s="6">
        <f xml:space="preserve"> -- ( VfM_Metrics_2023_Consol[[#This Row],[% Supported housing (excl. HOP)]] &gt; 0.3 )</f>
        <v>0</v>
      </c>
      <c r="CM90" s="103">
        <v>3.375826251180359E-2</v>
      </c>
      <c r="CN90" s="6">
        <f xml:space="preserve"> -- ( VfM_Metrics_2023_Consol[[#This Row],[% Housing for older people]] &gt; 0.3 )</f>
        <v>0</v>
      </c>
      <c r="CO90" s="103">
        <f xml:space="preserve"> VfM_Metrics_2023_Consol[[#This Row],[% Supported housing (excl. HOP)]] + VfM_Metrics_2023_Consol[[#This Row],[% Housing for older people]]</f>
        <v>3.6827195467422094E-2</v>
      </c>
      <c r="CP90" s="6">
        <f xml:space="preserve"> -- ( VfM_Metrics_2023_Consol[[#This Row],[SH specialist in RSH analysis]] + VfM_Metrics_2023_Consol[[#This Row],[OP specialist in RSH analysis]] &gt; 0 )</f>
        <v>0</v>
      </c>
      <c r="CQ90" s="10">
        <f xml:space="preserve"> -- ( VfM_Metrics_2023_Consol[[#This Row],[% SH and OP]] &gt; 0.3 )</f>
        <v>0</v>
      </c>
      <c r="CR90" s="104" t="s">
        <v>143</v>
      </c>
      <c r="CS90" s="124"/>
      <c r="CT90" s="105" t="s">
        <v>151</v>
      </c>
      <c r="CU9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90" s="85">
        <v>0</v>
      </c>
      <c r="CW90" s="85">
        <v>0</v>
      </c>
      <c r="CX90" s="85">
        <v>0</v>
      </c>
      <c r="CY90" s="85">
        <v>0</v>
      </c>
      <c r="CZ90" s="85">
        <v>0</v>
      </c>
      <c r="DA90" s="85">
        <v>0</v>
      </c>
      <c r="DB90" s="85">
        <v>0</v>
      </c>
      <c r="DC90" s="85">
        <v>1.8875047187617969E-4</v>
      </c>
      <c r="DD90" s="85">
        <v>0.99981124952812384</v>
      </c>
      <c r="DE90" s="13">
        <v>0.94459432275279764</v>
      </c>
    </row>
    <row r="91" spans="1:109" x14ac:dyDescent="0.25">
      <c r="A91" s="4" t="s" vm="216">
        <v>306</v>
      </c>
      <c r="B91" s="2" t="s" vm="81">
        <v>307</v>
      </c>
      <c r="C91" s="72" vm="524">
        <v>45016</v>
      </c>
      <c r="D91" s="7">
        <f>IFERROR( VfM_Metrics_2023_Consol[[#This Row],[Reinvestment Spend]] / VfM_Metrics_2023_Consol[[#This Row],[Net Book Value of Housing Properties]], "n/a" )</f>
        <v>7.7051904551709814E-3</v>
      </c>
      <c r="E9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1187</v>
      </c>
      <c r="F91" s="83" vm="1183">
        <v>0</v>
      </c>
      <c r="G91" s="83" vm="8882">
        <v>0</v>
      </c>
      <c r="H91" s="83" vm="8921">
        <v>1117</v>
      </c>
      <c r="I91" s="83" vm="8654">
        <v>70</v>
      </c>
      <c r="J91" s="83" vm="1230">
        <v>0</v>
      </c>
      <c r="K91" s="5">
        <f xml:space="preserve"> SUM( VfM_Metrics_2023_Consol[[#This Row],[Tangible fixed assets: Housing properties at cost (Current period)]],VfM_Metrics_2023_Consol[[#This Row],[Tangible fixed assets Housing properties at valuation (Current period)]] )</f>
        <v>154052</v>
      </c>
      <c r="L91" s="84" vm="934">
        <v>154052</v>
      </c>
      <c r="M91" s="83" vm="831">
        <v>0</v>
      </c>
      <c r="N91" s="7">
        <f xml:space="preserve"> IFERROR( VfM_Metrics_2023_Consol[[#This Row],[Total social units developed or newly built units acquired in-year]] / VfM_Metrics_2023_Consol[[#This Row],[Social housing units owned (period end)]], "n/a" )</f>
        <v>0</v>
      </c>
      <c r="O91" s="5">
        <f xml:space="preserve"> SUM( VfM_Metrics_2023_Consol[[#This Row],[Total social units developed or newly built units acquired in-year (owned)]], VfM_Metrics_2023_Consol[[#This Row],[Total social leasehold units developed or newly built units acquired in-year (owned)]] )</f>
        <v>0</v>
      </c>
      <c r="P91" s="84" vm="8881">
        <v>0</v>
      </c>
      <c r="Q91" s="83" vm="1277">
        <v>0</v>
      </c>
      <c r="R91" s="5">
        <f xml:space="preserve"> SUM( VfM_Metrics_2023_Consol[[#This Row],[Total social housing units owned (Period end)]], VfM_Metrics_2023_Consol[[#This Row],[Total social leasehold units owned (Period end)]] )</f>
        <v>1332</v>
      </c>
      <c r="S91" s="84" vm="933">
        <v>1332</v>
      </c>
      <c r="T91" s="83" vm="935">
        <v>0</v>
      </c>
      <c r="U91" s="86">
        <f xml:space="preserve"> IFERROR( VfM_Metrics_2023_Consol[[#This Row],[Total non-social housing units developed or newly built units acquired (owned)]] / VfM_Metrics_2023_Consol[[#This Row],[Total social and non-social housing units owned (Period end)]], "n/a" )</f>
        <v>0</v>
      </c>
      <c r="V9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91" s="83" vm="901">
        <v>0</v>
      </c>
      <c r="X91" s="83" vm="9037">
        <v>0</v>
      </c>
      <c r="Y91" s="83" vm="936">
        <v>0</v>
      </c>
      <c r="Z9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1332</v>
      </c>
      <c r="AA91" s="84" vm="8659">
        <v>1332</v>
      </c>
      <c r="AB91" s="83" vm="950">
        <v>0</v>
      </c>
      <c r="AC91" s="83" vm="937">
        <v>0</v>
      </c>
      <c r="AD91" s="83" vm="937">
        <v>0</v>
      </c>
      <c r="AE91" s="7">
        <f xml:space="preserve"> IFERROR( VfM_Metrics_2023_Consol[[#This Row],[Total Net Debt]] / VfM_Metrics_2023_Consol[[#This Row],[Net Book Value of Housing Properties2]], "n/a" )</f>
        <v>0.30246280476722148</v>
      </c>
      <c r="AF9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46595</v>
      </c>
      <c r="AG91" s="84" vm="8823">
        <v>9017</v>
      </c>
      <c r="AH91" s="83" vm="8896">
        <v>53619</v>
      </c>
      <c r="AI91" s="83" vm="8641">
        <v>16041</v>
      </c>
      <c r="AJ91" s="83" vm="1169">
        <v>0</v>
      </c>
      <c r="AK91" s="83" vm="938">
        <v>0</v>
      </c>
      <c r="AL91" s="5">
        <f xml:space="preserve"> SUM( VfM_Metrics_2023_Consol[[#This Row],[Tangible fixed assets: Housing properties at cost (Current period)2]], VfM_Metrics_2023_Consol[[#This Row],[Tangible fixed assets Housing properties at valuation (Current period)2]] )</f>
        <v>154052</v>
      </c>
      <c r="AM91" s="84" vm="934">
        <v>154052</v>
      </c>
      <c r="AN91" s="83" vm="8657">
        <v>0</v>
      </c>
      <c r="AO91" s="87">
        <f xml:space="preserve"> IFERROR( VfM_Metrics_2023_Consol[[#This Row],[EBITDA MRI]] / VfM_Metrics_2023_Consol[[#This Row],[Total interest]], "n/a" )</f>
        <v>0.8956086286594761</v>
      </c>
      <c r="AP9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2325</v>
      </c>
      <c r="AQ91" s="84" vm="8684">
        <v>2640</v>
      </c>
      <c r="AR91" s="84" vm="940">
        <v>549</v>
      </c>
      <c r="AS91" s="84" vm="8744">
        <v>0</v>
      </c>
      <c r="AT91" s="84" vm="8801">
        <v>807</v>
      </c>
      <c r="AU91" s="84" vm="8860">
        <v>0</v>
      </c>
      <c r="AV91" s="84" vm="8637">
        <v>186</v>
      </c>
      <c r="AW91" s="84" vm="941">
        <v>1117</v>
      </c>
      <c r="AX91" s="84" vm="800">
        <v>1972</v>
      </c>
      <c r="AY91" s="3">
        <f xml:space="preserve"> - SUM( VfM_Metrics_2023_Consol[[#This Row],[Interest capitalised]], VfM_Metrics_2023_Consol[[#This Row],[Interest payable and financing costs]] )</f>
        <v>2596</v>
      </c>
      <c r="AZ91" s="84" vm="8876">
        <v>-70</v>
      </c>
      <c r="BA91" s="83" vm="8645">
        <v>-2526</v>
      </c>
      <c r="BB91" s="8">
        <f xml:space="preserve"> IFERROR( ( VfM_Metrics_2023_Consol[[#This Row],[Total Costs]] / VfM_Metrics_2023_Consol[[#This Row],[Total units for costs]] ) * 1000, "n/a" )</f>
        <v>6002.2522522522522</v>
      </c>
      <c r="BC9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7995</v>
      </c>
      <c r="BD91" s="84" vm="1000">
        <v>1790</v>
      </c>
      <c r="BE91" s="83" vm="8821">
        <v>888</v>
      </c>
      <c r="BF91" s="83" vm="8740">
        <v>1939</v>
      </c>
      <c r="BG91" s="83" vm="942">
        <v>1726</v>
      </c>
      <c r="BH91" s="83" vm="8895">
        <v>365</v>
      </c>
      <c r="BI91" s="83" vm="1095">
        <v>0</v>
      </c>
      <c r="BJ91" s="83" vm="8799">
        <v>1117</v>
      </c>
      <c r="BK91" s="83" vm="943">
        <v>130</v>
      </c>
      <c r="BL91" s="83" vm="8770">
        <v>40</v>
      </c>
      <c r="BM91" s="83" vm="8738">
        <v>0</v>
      </c>
      <c r="BN91" s="83" vm="8845">
        <v>0</v>
      </c>
      <c r="BO91" s="83" vm="8822">
        <v>0</v>
      </c>
      <c r="BP91" s="5" vm="8627">
        <f xml:space="preserve"> VfM_Metrics_2023_Consol[[#This Row],[Total social housing units owned and/or managed at period end]]</f>
        <v>1332</v>
      </c>
      <c r="BQ91" s="84" vm="8627">
        <v>1332</v>
      </c>
      <c r="BR91" s="7">
        <f xml:space="preserve"> IFERROR( VfM_Metrics_2023_Consol[[#This Row],[SHL operating surplus / (deficit)]] / VfM_Metrics_2023_Consol[[#This Row],[Turnover from social housing lettings]], "n/a" )</f>
        <v>0.19708503527664314</v>
      </c>
      <c r="BS91" s="5" vm="945">
        <f xml:space="preserve"> VfM_Metrics_2023_Consol[[#This Row],[Operating surplus/(deficit) (social housing lettings)]]</f>
        <v>2123</v>
      </c>
      <c r="BT91" s="84" vm="945">
        <v>2123</v>
      </c>
      <c r="BU91" s="5" vm="1146">
        <f xml:space="preserve"> VfM_Metrics_2023_Consol[[#This Row],[Turnover from social housing lettings]]</f>
        <v>10772</v>
      </c>
      <c r="BV91" s="84" vm="1146">
        <v>10772</v>
      </c>
      <c r="BW91" s="7">
        <f xml:space="preserve"> IFERROR( VfM_Metrics_2023_Consol[[#This Row],[Net operating surplus]] / VfM_Metrics_2023_Consol[[#This Row],[Overall turnover]], "n/a" )</f>
        <v>0.19397031539888682</v>
      </c>
      <c r="BX91" s="5">
        <f xml:space="preserve"> SUM( VfM_Metrics_2023_Consol[[#This Row],[Operating surplus/(deficit) (overall)2]], - VfM_Metrics_2023_Consol[[#This Row],[Gain/(loss) on disposal of fixed assets (housing properties)2]], - VfM_Metrics_2023_Consol[[#This Row],[Gain/(loss) on disposal of fixed assets (other)2]] )</f>
        <v>2091</v>
      </c>
      <c r="BY91" s="84" vm="8764">
        <v>2640</v>
      </c>
      <c r="BZ91" s="83" vm="943">
        <v>549</v>
      </c>
      <c r="CA91" s="83" vm="975">
        <v>0</v>
      </c>
      <c r="CB91" s="5" vm="8611">
        <f xml:space="preserve"> VfM_Metrics_2023_Consol[[#This Row],[Turnover (overall)]]</f>
        <v>10780</v>
      </c>
      <c r="CC91" s="84" vm="8611">
        <v>10780</v>
      </c>
      <c r="CD91" s="7">
        <f xml:space="preserve"> IFERROR( VfM_Metrics_2023_Consol[[#This Row],[Operating surplus including from JVs]] / VfM_Metrics_2023_Consol[[#This Row],[Net assets]], "n/a" )</f>
        <v>1.621362681635611E-2</v>
      </c>
      <c r="CE91" s="5">
        <f xml:space="preserve"> SUM( VfM_Metrics_2023_Consol[[#This Row],[Operating surplus/(deficit) (overall)3]], VfM_Metrics_2023_Consol[[#This Row],[Share of operating surplus/(deficit) in joint ventures or associates]] )</f>
        <v>2640</v>
      </c>
      <c r="CF91" s="84" vm="9025">
        <v>2640</v>
      </c>
      <c r="CG91" s="83" vm="8737">
        <v>0</v>
      </c>
      <c r="CH91" s="5" vm="8614">
        <f xml:space="preserve"> VfM_Metrics_2023_Consol[[#This Row],[Total assets less current liabilities]]</f>
        <v>162826</v>
      </c>
      <c r="CI91" s="84" vm="8614">
        <v>162826</v>
      </c>
      <c r="CJ91" s="71" vm="933">
        <f xml:space="preserve"> VfM_Metrics_2023_Consol[[#This Row],[Total social housing units owned (Period end)]]</f>
        <v>1332</v>
      </c>
      <c r="CK91" s="103">
        <v>0</v>
      </c>
      <c r="CL91" s="6">
        <f xml:space="preserve"> -- ( VfM_Metrics_2023_Consol[[#This Row],[% Supported housing (excl. HOP)]] &gt; 0.3 )</f>
        <v>0</v>
      </c>
      <c r="CM91" s="103">
        <v>0</v>
      </c>
      <c r="CN91" s="6">
        <f xml:space="preserve"> -- ( VfM_Metrics_2023_Consol[[#This Row],[% Housing for older people]] &gt; 0.3 )</f>
        <v>0</v>
      </c>
      <c r="CO91" s="103">
        <f xml:space="preserve"> VfM_Metrics_2023_Consol[[#This Row],[% Supported housing (excl. HOP)]] + VfM_Metrics_2023_Consol[[#This Row],[% Housing for older people]]</f>
        <v>0</v>
      </c>
      <c r="CP91" s="6">
        <f xml:space="preserve"> -- ( VfM_Metrics_2023_Consol[[#This Row],[SH specialist in RSH analysis]] + VfM_Metrics_2023_Consol[[#This Row],[OP specialist in RSH analysis]] &gt; 0 )</f>
        <v>0</v>
      </c>
      <c r="CQ91" s="10">
        <f xml:space="preserve"> -- ( VfM_Metrics_2023_Consol[[#This Row],[% SH and OP]] &gt; 0.3 )</f>
        <v>0</v>
      </c>
      <c r="CR91" s="104" t="s">
        <v>143</v>
      </c>
      <c r="CS91" s="124" t="s">
        <v>144</v>
      </c>
      <c r="CT91" s="105"/>
      <c r="CU9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91" s="85">
        <v>0.93348450491307633</v>
      </c>
      <c r="CW91" s="85">
        <v>6.6515495086923657E-2</v>
      </c>
      <c r="CX91" s="85">
        <v>0</v>
      </c>
      <c r="CY91" s="85">
        <v>0</v>
      </c>
      <c r="CZ91" s="85">
        <v>0</v>
      </c>
      <c r="DA91" s="85">
        <v>0</v>
      </c>
      <c r="DB91" s="85">
        <v>0</v>
      </c>
      <c r="DC91" s="85">
        <v>0</v>
      </c>
      <c r="DD91" s="85">
        <v>0</v>
      </c>
      <c r="DE91" s="13">
        <v>1.1519453595393858</v>
      </c>
    </row>
    <row r="92" spans="1:109" x14ac:dyDescent="0.25">
      <c r="A92" s="4" t="s" vm="389">
        <v>308</v>
      </c>
      <c r="B92" s="2" t="s" vm="82">
        <v>309</v>
      </c>
      <c r="C92" s="72" vm="463">
        <v>45016</v>
      </c>
      <c r="D92" s="7">
        <f>IFERROR( VfM_Metrics_2023_Consol[[#This Row],[Reinvestment Spend]] / VfM_Metrics_2023_Consol[[#This Row],[Net Book Value of Housing Properties]], "n/a" )</f>
        <v>5.7461176890581306E-2</v>
      </c>
      <c r="E9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19315</v>
      </c>
      <c r="F92" s="83" vm="6550">
        <v>11595</v>
      </c>
      <c r="G92" s="83" vm="6551">
        <v>0</v>
      </c>
      <c r="H92" s="83" vm="6552">
        <v>7720</v>
      </c>
      <c r="I92" s="83" vm="6553">
        <v>0</v>
      </c>
      <c r="J92" s="83" vm="6554">
        <v>0</v>
      </c>
      <c r="K92" s="5">
        <f xml:space="preserve"> SUM( VfM_Metrics_2023_Consol[[#This Row],[Tangible fixed assets: Housing properties at cost (Current period)]],VfM_Metrics_2023_Consol[[#This Row],[Tangible fixed assets Housing properties at valuation (Current period)]] )</f>
        <v>336140</v>
      </c>
      <c r="L92" s="84" vm="6555">
        <v>336140</v>
      </c>
      <c r="M92" s="83" vm="6556">
        <v>0</v>
      </c>
      <c r="N92" s="7">
        <f xml:space="preserve"> IFERROR( VfM_Metrics_2023_Consol[[#This Row],[Total social units developed or newly built units acquired in-year]] / VfM_Metrics_2023_Consol[[#This Row],[Social housing units owned (period end)]], "n/a" )</f>
        <v>9.3811074918566783E-3</v>
      </c>
      <c r="O92" s="5">
        <f xml:space="preserve"> SUM( VfM_Metrics_2023_Consol[[#This Row],[Total social units developed or newly built units acquired in-year (owned)]], VfM_Metrics_2023_Consol[[#This Row],[Total social leasehold units developed or newly built units acquired in-year (owned)]] )</f>
        <v>72</v>
      </c>
      <c r="P92" s="84" vm="6557">
        <v>72</v>
      </c>
      <c r="Q92" s="83">
        <v>0</v>
      </c>
      <c r="R92" s="5">
        <f xml:space="preserve"> SUM( VfM_Metrics_2023_Consol[[#This Row],[Total social housing units owned (Period end)]], VfM_Metrics_2023_Consol[[#This Row],[Total social leasehold units owned (Period end)]] )</f>
        <v>7675</v>
      </c>
      <c r="S92" s="84" vm="6548">
        <v>7423</v>
      </c>
      <c r="T92" s="83" vm="6558">
        <v>252</v>
      </c>
      <c r="U92" s="86">
        <f xml:space="preserve"> IFERROR( VfM_Metrics_2023_Consol[[#This Row],[Total non-social housing units developed or newly built units acquired (owned)]] / VfM_Metrics_2023_Consol[[#This Row],[Total social and non-social housing units owned (Period end)]], "n/a" )</f>
        <v>0</v>
      </c>
      <c r="V9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92" s="83">
        <v>0</v>
      </c>
      <c r="X92" s="83">
        <v>0</v>
      </c>
      <c r="Y92" s="83" vm="6559">
        <v>0</v>
      </c>
      <c r="Z9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7774</v>
      </c>
      <c r="AA92" s="84" vm="6548">
        <v>7423</v>
      </c>
      <c r="AB92" s="83" vm="6558">
        <v>252</v>
      </c>
      <c r="AC92" s="83" vm="6560">
        <v>99</v>
      </c>
      <c r="AD92" s="83" vm="6561">
        <v>0</v>
      </c>
      <c r="AE92" s="7">
        <f xml:space="preserve"> IFERROR( VfM_Metrics_2023_Consol[[#This Row],[Total Net Debt]] / VfM_Metrics_2023_Consol[[#This Row],[Net Book Value of Housing Properties2]], "n/a" )</f>
        <v>0.42561730231451184</v>
      </c>
      <c r="AF9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143067</v>
      </c>
      <c r="AG92" s="84" vm="6562">
        <v>6706</v>
      </c>
      <c r="AH92" s="83" vm="6563">
        <v>153923</v>
      </c>
      <c r="AI92" s="83" vm="6564">
        <v>17562</v>
      </c>
      <c r="AJ92" s="83" vm="6565">
        <v>0</v>
      </c>
      <c r="AK92" s="83" vm="6566">
        <v>0</v>
      </c>
      <c r="AL92" s="5">
        <f xml:space="preserve"> SUM( VfM_Metrics_2023_Consol[[#This Row],[Tangible fixed assets: Housing properties at cost (Current period)2]], VfM_Metrics_2023_Consol[[#This Row],[Tangible fixed assets Housing properties at valuation (Current period)2]] )</f>
        <v>336140</v>
      </c>
      <c r="AM92" s="84" vm="6555">
        <v>336140</v>
      </c>
      <c r="AN92" s="83" vm="6556">
        <v>0</v>
      </c>
      <c r="AO92" s="87">
        <f xml:space="preserve"> IFERROR( VfM_Metrics_2023_Consol[[#This Row],[EBITDA MRI]] / VfM_Metrics_2023_Consol[[#This Row],[Total interest]], "n/a" )</f>
        <v>1.0591226031377106</v>
      </c>
      <c r="AP9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7291</v>
      </c>
      <c r="AQ92" s="84" vm="7176">
        <v>10587</v>
      </c>
      <c r="AR92" s="84" vm="6568">
        <v>541</v>
      </c>
      <c r="AS92" s="84" vm="6569">
        <v>933</v>
      </c>
      <c r="AT92" s="84" vm="6570">
        <v>1366</v>
      </c>
      <c r="AU92" s="84" vm="6571">
        <v>0</v>
      </c>
      <c r="AV92" s="84" vm="6572">
        <v>191</v>
      </c>
      <c r="AW92" s="84" vm="4722">
        <v>7720</v>
      </c>
      <c r="AX92" s="84" vm="6574">
        <v>7073</v>
      </c>
      <c r="AY92" s="3">
        <f xml:space="preserve"> - SUM( VfM_Metrics_2023_Consol[[#This Row],[Interest capitalised]], VfM_Metrics_2023_Consol[[#This Row],[Interest payable and financing costs]] )</f>
        <v>6884</v>
      </c>
      <c r="AZ92" s="84" vm="6575">
        <v>0</v>
      </c>
      <c r="BA92" s="83" vm="6576">
        <v>-6884</v>
      </c>
      <c r="BB92" s="8">
        <f xml:space="preserve"> IFERROR( ( VfM_Metrics_2023_Consol[[#This Row],[Total Costs]] / VfM_Metrics_2023_Consol[[#This Row],[Total units for costs]] ) * 1000, "n/a" )</f>
        <v>3868.1126229287347</v>
      </c>
      <c r="BC9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28713</v>
      </c>
      <c r="BD92" s="84" vm="6577">
        <v>4345</v>
      </c>
      <c r="BE92" s="83" vm="6578">
        <v>3309</v>
      </c>
      <c r="BF92" s="83" vm="6869">
        <v>8031</v>
      </c>
      <c r="BG92" s="83" vm="6579">
        <v>4103</v>
      </c>
      <c r="BH92" s="83" vm="6580">
        <v>15</v>
      </c>
      <c r="BI92" s="83" vm="6581">
        <v>0</v>
      </c>
      <c r="BJ92" s="83" vm="6573">
        <v>7720</v>
      </c>
      <c r="BK92" s="83" vm="6582">
        <v>5</v>
      </c>
      <c r="BL92" s="83" vm="6583">
        <v>104</v>
      </c>
      <c r="BM92" s="83" vm="6868">
        <v>491</v>
      </c>
      <c r="BN92" s="83" vm="6584">
        <v>0</v>
      </c>
      <c r="BO92" s="83" vm="6585">
        <v>590</v>
      </c>
      <c r="BP92" s="5" vm="6549">
        <f xml:space="preserve"> VfM_Metrics_2023_Consol[[#This Row],[Total social housing units owned and/or managed at period end]]</f>
        <v>7423</v>
      </c>
      <c r="BQ92" s="84" vm="6549">
        <v>7423</v>
      </c>
      <c r="BR92" s="7">
        <f xml:space="preserve"> IFERROR( VfM_Metrics_2023_Consol[[#This Row],[SHL operating surplus / (deficit)]] / VfM_Metrics_2023_Consol[[#This Row],[Turnover from social housing lettings]], "n/a" )</f>
        <v>0.2958954137666393</v>
      </c>
      <c r="BS92" s="5" vm="6586">
        <f xml:space="preserve"> VfM_Metrics_2023_Consol[[#This Row],[Operating surplus/(deficit) (social housing lettings)]]</f>
        <v>11181</v>
      </c>
      <c r="BT92" s="84" vm="6586">
        <v>11181</v>
      </c>
      <c r="BU92" s="5" vm="6587">
        <f xml:space="preserve"> VfM_Metrics_2023_Consol[[#This Row],[Turnover from social housing lettings]]</f>
        <v>37787</v>
      </c>
      <c r="BV92" s="84" vm="6587">
        <v>37787</v>
      </c>
      <c r="BW92" s="7">
        <f xml:space="preserve"> IFERROR( VfM_Metrics_2023_Consol[[#This Row],[Net operating surplus]] / VfM_Metrics_2023_Consol[[#This Row],[Overall turnover]], "n/a" )</f>
        <v>0.22816725087631448</v>
      </c>
      <c r="BX92" s="5">
        <f xml:space="preserve"> SUM( VfM_Metrics_2023_Consol[[#This Row],[Operating surplus/(deficit) (overall)2]], - VfM_Metrics_2023_Consol[[#This Row],[Gain/(loss) on disposal of fixed assets (housing properties)2]], - VfM_Metrics_2023_Consol[[#This Row],[Gain/(loss) on disposal of fixed assets (other)2]] )</f>
        <v>9113</v>
      </c>
      <c r="BY92" s="84" vm="6567">
        <v>10587</v>
      </c>
      <c r="BZ92" s="83" vm="6568">
        <v>541</v>
      </c>
      <c r="CA92" s="83" vm="6896">
        <v>933</v>
      </c>
      <c r="CB92" s="5" vm="7307">
        <f xml:space="preserve"> VfM_Metrics_2023_Consol[[#This Row],[Turnover (overall)]]</f>
        <v>39940</v>
      </c>
      <c r="CC92" s="84" vm="7307">
        <v>39940</v>
      </c>
      <c r="CD92" s="7">
        <f xml:space="preserve"> IFERROR( VfM_Metrics_2023_Consol[[#This Row],[Operating surplus including from JVs]] / VfM_Metrics_2023_Consol[[#This Row],[Net assets]], "n/a" )</f>
        <v>2.9796767302642503E-2</v>
      </c>
      <c r="CE92" s="5">
        <f xml:space="preserve"> SUM( VfM_Metrics_2023_Consol[[#This Row],[Operating surplus/(deficit) (overall)3]], VfM_Metrics_2023_Consol[[#This Row],[Share of operating surplus/(deficit) in joint ventures or associates]] )</f>
        <v>10587</v>
      </c>
      <c r="CF92" s="84" vm="6567">
        <v>10587</v>
      </c>
      <c r="CG92" s="83" vm="6589">
        <v>0</v>
      </c>
      <c r="CH92" s="5" vm="6588">
        <f xml:space="preserve"> VfM_Metrics_2023_Consol[[#This Row],[Total assets less current liabilities]]</f>
        <v>355307</v>
      </c>
      <c r="CI92" s="84" vm="6588">
        <v>355307</v>
      </c>
      <c r="CJ92" s="71" vm="6548">
        <f xml:space="preserve"> VfM_Metrics_2023_Consol[[#This Row],[Total social housing units owned (Period end)]]</f>
        <v>7423</v>
      </c>
      <c r="CK92" s="103">
        <v>3.5524703960800326E-2</v>
      </c>
      <c r="CL92" s="6">
        <f xml:space="preserve"> -- ( VfM_Metrics_2023_Consol[[#This Row],[% Supported housing (excl. HOP)]] &gt; 0.3 )</f>
        <v>0</v>
      </c>
      <c r="CM92" s="103">
        <v>6.2202259425615899E-2</v>
      </c>
      <c r="CN92" s="6">
        <f xml:space="preserve"> -- ( VfM_Metrics_2023_Consol[[#This Row],[% Housing for older people]] &gt; 0.3 )</f>
        <v>0</v>
      </c>
      <c r="CO92" s="103">
        <f xml:space="preserve"> VfM_Metrics_2023_Consol[[#This Row],[% Supported housing (excl. HOP)]] + VfM_Metrics_2023_Consol[[#This Row],[% Housing for older people]]</f>
        <v>9.7726963386416232E-2</v>
      </c>
      <c r="CP92" s="6">
        <f xml:space="preserve"> -- ( VfM_Metrics_2023_Consol[[#This Row],[SH specialist in RSH analysis]] + VfM_Metrics_2023_Consol[[#This Row],[OP specialist in RSH analysis]] &gt; 0 )</f>
        <v>0</v>
      </c>
      <c r="CQ92" s="10">
        <f xml:space="preserve"> -- ( VfM_Metrics_2023_Consol[[#This Row],[% SH and OP]] &gt; 0.3 )</f>
        <v>0</v>
      </c>
      <c r="CR92" s="104" t="s">
        <v>143</v>
      </c>
      <c r="CS92" s="124" t="s">
        <v>144</v>
      </c>
      <c r="CT92" s="105"/>
      <c r="CU9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92" s="85">
        <v>0</v>
      </c>
      <c r="CW92" s="85">
        <v>0</v>
      </c>
      <c r="CX92" s="85">
        <v>0</v>
      </c>
      <c r="CY92" s="85">
        <v>0</v>
      </c>
      <c r="CZ92" s="85">
        <v>0</v>
      </c>
      <c r="DA92" s="85">
        <v>0</v>
      </c>
      <c r="DB92" s="85">
        <v>0</v>
      </c>
      <c r="DC92" s="85">
        <v>1</v>
      </c>
      <c r="DD92" s="85">
        <v>0</v>
      </c>
      <c r="DE92" s="13">
        <v>0.96105917141044694</v>
      </c>
    </row>
    <row r="93" spans="1:109" x14ac:dyDescent="0.25">
      <c r="A93" s="4" t="s" vm="210">
        <v>310</v>
      </c>
      <c r="B93" s="2" t="s" vm="83">
        <v>311</v>
      </c>
      <c r="C93" s="72" vm="527">
        <v>45016</v>
      </c>
      <c r="D93" s="7">
        <f>IFERROR( VfM_Metrics_2023_Consol[[#This Row],[Reinvestment Spend]] / VfM_Metrics_2023_Consol[[#This Row],[Net Book Value of Housing Properties]], "n/a" )</f>
        <v>2.4900793981890938E-2</v>
      </c>
      <c r="E9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7461</v>
      </c>
      <c r="F93" s="83" vm="806">
        <v>3865</v>
      </c>
      <c r="G93" s="83" vm="737">
        <v>0</v>
      </c>
      <c r="H93" s="83" vm="807">
        <v>3073</v>
      </c>
      <c r="I93" s="83" vm="8890">
        <v>523</v>
      </c>
      <c r="J93" s="83" vm="8990">
        <v>0</v>
      </c>
      <c r="K93" s="5">
        <f xml:space="preserve"> SUM( VfM_Metrics_2023_Consol[[#This Row],[Tangible fixed assets: Housing properties at cost (Current period)]],VfM_Metrics_2023_Consol[[#This Row],[Tangible fixed assets Housing properties at valuation (Current period)]] )</f>
        <v>299629</v>
      </c>
      <c r="L93" s="84" vm="8734">
        <v>299629</v>
      </c>
      <c r="M93" s="83" vm="809">
        <v>0</v>
      </c>
      <c r="N93" s="7">
        <f xml:space="preserve"> IFERROR( VfM_Metrics_2023_Consol[[#This Row],[Total social units developed or newly built units acquired in-year]] / VfM_Metrics_2023_Consol[[#This Row],[Social housing units owned (period end)]], "n/a" )</f>
        <v>3.7037037037037035E-2</v>
      </c>
      <c r="O93" s="5">
        <f xml:space="preserve"> SUM( VfM_Metrics_2023_Consol[[#This Row],[Total social units developed or newly built units acquired in-year (owned)]], VfM_Metrics_2023_Consol[[#This Row],[Total social leasehold units developed or newly built units acquired in-year (owned)]] )</f>
        <v>97</v>
      </c>
      <c r="P93" s="84" vm="8917">
        <v>97</v>
      </c>
      <c r="Q93" s="83" vm="810">
        <v>0</v>
      </c>
      <c r="R93" s="5">
        <f xml:space="preserve"> SUM( VfM_Metrics_2023_Consol[[#This Row],[Total social housing units owned (Period end)]], VfM_Metrics_2023_Consol[[#This Row],[Total social leasehold units owned (Period end)]] )</f>
        <v>2619</v>
      </c>
      <c r="S93" s="84" vm="8995">
        <v>2403</v>
      </c>
      <c r="T93" s="83" vm="811">
        <v>216</v>
      </c>
      <c r="U93" s="86">
        <f xml:space="preserve"> IFERROR( VfM_Metrics_2023_Consol[[#This Row],[Total non-social housing units developed or newly built units acquired (owned)]] / VfM_Metrics_2023_Consol[[#This Row],[Total social and non-social housing units owned (Period end)]], "n/a" )</f>
        <v>3.7921880925293893E-4</v>
      </c>
      <c r="V9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v>
      </c>
      <c r="W93" s="83" vm="812">
        <v>0</v>
      </c>
      <c r="X93" s="83" vm="813">
        <v>0</v>
      </c>
      <c r="Y93" s="83" vm="970">
        <v>1</v>
      </c>
      <c r="Z9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2637</v>
      </c>
      <c r="AA93" s="84" vm="804">
        <v>2403</v>
      </c>
      <c r="AB93" s="83" vm="811">
        <v>216</v>
      </c>
      <c r="AC93" s="83" vm="8999">
        <v>18</v>
      </c>
      <c r="AD93" s="83" vm="8888">
        <v>0</v>
      </c>
      <c r="AE93" s="7">
        <f xml:space="preserve"> IFERROR( VfM_Metrics_2023_Consol[[#This Row],[Total Net Debt]] / VfM_Metrics_2023_Consol[[#This Row],[Net Book Value of Housing Properties2]], "n/a" )</f>
        <v>0.28555980896375183</v>
      </c>
      <c r="AF9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85562</v>
      </c>
      <c r="AG93" s="84" vm="815">
        <v>3782</v>
      </c>
      <c r="AH93" s="83" vm="816">
        <v>95573</v>
      </c>
      <c r="AI93" s="83" vm="8979">
        <v>13793</v>
      </c>
      <c r="AJ93" s="83" vm="8887">
        <v>0</v>
      </c>
      <c r="AK93" s="83" vm="8732">
        <v>0</v>
      </c>
      <c r="AL93" s="5">
        <f xml:space="preserve"> SUM( VfM_Metrics_2023_Consol[[#This Row],[Tangible fixed assets: Housing properties at cost (Current period)2]], VfM_Metrics_2023_Consol[[#This Row],[Tangible fixed assets Housing properties at valuation (Current period)2]] )</f>
        <v>299629</v>
      </c>
      <c r="AM93" s="84" vm="9021">
        <v>299629</v>
      </c>
      <c r="AN93" s="83" vm="809">
        <v>0</v>
      </c>
      <c r="AO93" s="87">
        <f xml:space="preserve"> IFERROR( VfM_Metrics_2023_Consol[[#This Row],[EBITDA MRI]] / VfM_Metrics_2023_Consol[[#This Row],[Total interest]], "n/a" )</f>
        <v>0.30557753164556961</v>
      </c>
      <c r="AP9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1545</v>
      </c>
      <c r="AQ93" s="84" vm="8915">
        <v>7049</v>
      </c>
      <c r="AR93" s="84" vm="955">
        <v>5202</v>
      </c>
      <c r="AS93" s="84" vm="8988">
        <v>0</v>
      </c>
      <c r="AT93" s="84" vm="8974">
        <v>1428</v>
      </c>
      <c r="AU93" s="84" vm="999">
        <v>0</v>
      </c>
      <c r="AV93" s="84" vm="8973">
        <v>130</v>
      </c>
      <c r="AW93" s="84" vm="8883">
        <v>3073</v>
      </c>
      <c r="AX93" s="84" vm="819">
        <v>4069</v>
      </c>
      <c r="AY93" s="3">
        <f xml:space="preserve"> - SUM( VfM_Metrics_2023_Consol[[#This Row],[Interest capitalised]], VfM_Metrics_2023_Consol[[#This Row],[Interest payable and financing costs]] )</f>
        <v>5056</v>
      </c>
      <c r="AZ93" s="84" vm="8980">
        <v>-523</v>
      </c>
      <c r="BA93" s="83" vm="842">
        <v>-4533</v>
      </c>
      <c r="BB93" s="8">
        <f xml:space="preserve"> IFERROR( ( VfM_Metrics_2023_Consol[[#This Row],[Total Costs]] / VfM_Metrics_2023_Consol[[#This Row],[Total units for costs]] ) * 1000, "n/a" )</f>
        <v>8261.3399916770704</v>
      </c>
      <c r="BC9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19852</v>
      </c>
      <c r="BD93" s="84" vm="9146">
        <v>3872</v>
      </c>
      <c r="BE93" s="83" vm="8727">
        <v>4773</v>
      </c>
      <c r="BF93" s="83" vm="9017">
        <v>4935</v>
      </c>
      <c r="BG93" s="83" vm="8832">
        <v>1934</v>
      </c>
      <c r="BH93" s="83" vm="8981">
        <v>962</v>
      </c>
      <c r="BI93" s="83" vm="820">
        <v>0</v>
      </c>
      <c r="BJ93" s="83" vm="866">
        <v>3073</v>
      </c>
      <c r="BK93" s="83" vm="821">
        <v>0</v>
      </c>
      <c r="BL93" s="83" vm="8911">
        <v>25</v>
      </c>
      <c r="BM93" s="83" vm="822">
        <v>0</v>
      </c>
      <c r="BN93" s="83" vm="8830">
        <v>278</v>
      </c>
      <c r="BO93" s="83" vm="804">
        <v>0</v>
      </c>
      <c r="BP93" s="5" vm="805">
        <f xml:space="preserve"> VfM_Metrics_2023_Consol[[#This Row],[Total social housing units owned and/or managed at period end]]</f>
        <v>2403</v>
      </c>
      <c r="BQ93" s="84" vm="805">
        <v>2403</v>
      </c>
      <c r="BR93" s="7">
        <f xml:space="preserve"> IFERROR( VfM_Metrics_2023_Consol[[#This Row],[SHL operating surplus / (deficit)]] / VfM_Metrics_2023_Consol[[#This Row],[Turnover from social housing lettings]], "n/a" )</f>
        <v>2.3157595026811559E-2</v>
      </c>
      <c r="BS93" s="5" vm="8967">
        <f xml:space="preserve"> VfM_Metrics_2023_Consol[[#This Row],[Operating surplus/(deficit) (social housing lettings)]]</f>
        <v>488</v>
      </c>
      <c r="BT93" s="84" vm="8967">
        <v>488</v>
      </c>
      <c r="BU93" s="5" vm="8780">
        <f xml:space="preserve"> VfM_Metrics_2023_Consol[[#This Row],[Turnover from social housing lettings]]</f>
        <v>21073</v>
      </c>
      <c r="BV93" s="84" vm="8780">
        <v>21073</v>
      </c>
      <c r="BW93" s="7">
        <f xml:space="preserve"> IFERROR( VfM_Metrics_2023_Consol[[#This Row],[Net operating surplus]] / VfM_Metrics_2023_Consol[[#This Row],[Overall turnover]], "n/a" )</f>
        <v>7.1263214754224868E-2</v>
      </c>
      <c r="BX93" s="5">
        <f xml:space="preserve"> SUM( VfM_Metrics_2023_Consol[[#This Row],[Operating surplus/(deficit) (overall)2]], - VfM_Metrics_2023_Consol[[#This Row],[Gain/(loss) on disposal of fixed assets (housing properties)2]], - VfM_Metrics_2023_Consol[[#This Row],[Gain/(loss) on disposal of fixed assets (other)2]] )</f>
        <v>1847</v>
      </c>
      <c r="BY93" s="84" vm="8982">
        <v>7049</v>
      </c>
      <c r="BZ93" s="83" vm="817">
        <v>5202</v>
      </c>
      <c r="CA93" s="83" vm="818">
        <v>0</v>
      </c>
      <c r="CB93" s="5" vm="8953">
        <f xml:space="preserve"> VfM_Metrics_2023_Consol[[#This Row],[Turnover (overall)]]</f>
        <v>25918</v>
      </c>
      <c r="CC93" s="84" vm="8953">
        <v>25918</v>
      </c>
      <c r="CD93" s="7">
        <f xml:space="preserve"> IFERROR( VfM_Metrics_2023_Consol[[#This Row],[Operating surplus including from JVs]] / VfM_Metrics_2023_Consol[[#This Row],[Net assets]], "n/a" )</f>
        <v>2.235520966135774E-2</v>
      </c>
      <c r="CE93" s="5">
        <f xml:space="preserve"> SUM( VfM_Metrics_2023_Consol[[#This Row],[Operating surplus/(deficit) (overall)3]], VfM_Metrics_2023_Consol[[#This Row],[Share of operating surplus/(deficit) in joint ventures or associates]] )</f>
        <v>7049</v>
      </c>
      <c r="CF93" s="84" vm="8871">
        <v>7049</v>
      </c>
      <c r="CG93" s="83" vm="825">
        <v>0</v>
      </c>
      <c r="CH93" s="5" vm="815">
        <f xml:space="preserve"> VfM_Metrics_2023_Consol[[#This Row],[Total assets less current liabilities]]</f>
        <v>315318</v>
      </c>
      <c r="CI93" s="84" vm="815">
        <v>315318</v>
      </c>
      <c r="CJ93" s="71" vm="8995">
        <f xml:space="preserve"> VfM_Metrics_2023_Consol[[#This Row],[Total social housing units owned (Period end)]]</f>
        <v>2403</v>
      </c>
      <c r="CK93" s="103">
        <v>2.9635901778154106E-2</v>
      </c>
      <c r="CL93" s="6">
        <f xml:space="preserve"> -- ( VfM_Metrics_2023_Consol[[#This Row],[% Supported housing (excl. HOP)]] &gt; 0.3 )</f>
        <v>0</v>
      </c>
      <c r="CM93" s="103">
        <v>1.7781541066892465E-2</v>
      </c>
      <c r="CN93" s="6">
        <f xml:space="preserve"> -- ( VfM_Metrics_2023_Consol[[#This Row],[% Housing for older people]] &gt; 0.3 )</f>
        <v>0</v>
      </c>
      <c r="CO93" s="103">
        <f xml:space="preserve"> VfM_Metrics_2023_Consol[[#This Row],[% Supported housing (excl. HOP)]] + VfM_Metrics_2023_Consol[[#This Row],[% Housing for older people]]</f>
        <v>4.7417442845046572E-2</v>
      </c>
      <c r="CP93" s="6">
        <f xml:space="preserve"> -- ( VfM_Metrics_2023_Consol[[#This Row],[SH specialist in RSH analysis]] + VfM_Metrics_2023_Consol[[#This Row],[OP specialist in RSH analysis]] &gt; 0 )</f>
        <v>0</v>
      </c>
      <c r="CQ93" s="10">
        <f xml:space="preserve"> -- ( VfM_Metrics_2023_Consol[[#This Row],[% SH and OP]] &gt; 0.3 )</f>
        <v>0</v>
      </c>
      <c r="CR93" s="104" t="s">
        <v>143</v>
      </c>
      <c r="CS93" s="124" t="s">
        <v>144</v>
      </c>
      <c r="CT93" s="105"/>
      <c r="CU9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93" s="85">
        <v>1</v>
      </c>
      <c r="CW93" s="85">
        <v>0</v>
      </c>
      <c r="CX93" s="85">
        <v>0</v>
      </c>
      <c r="CY93" s="85">
        <v>0</v>
      </c>
      <c r="CZ93" s="85">
        <v>0</v>
      </c>
      <c r="DA93" s="85">
        <v>0</v>
      </c>
      <c r="DB93" s="85">
        <v>0</v>
      </c>
      <c r="DC93" s="85">
        <v>0</v>
      </c>
      <c r="DD93" s="85">
        <v>0</v>
      </c>
      <c r="DE93" s="13">
        <v>1.1603700449887588</v>
      </c>
    </row>
    <row r="94" spans="1:109" x14ac:dyDescent="0.25">
      <c r="A94" s="4" t="s" vm="262">
        <v>312</v>
      </c>
      <c r="B94" s="2" t="s" vm="84">
        <v>313</v>
      </c>
      <c r="C94" s="72" vm="424">
        <v>45016</v>
      </c>
      <c r="D94" s="7">
        <f>IFERROR( VfM_Metrics_2023_Consol[[#This Row],[Reinvestment Spend]] / VfM_Metrics_2023_Consol[[#This Row],[Net Book Value of Housing Properties]], "n/a" )</f>
        <v>9.5002748971257905E-2</v>
      </c>
      <c r="E9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145495</v>
      </c>
      <c r="F94" s="83" vm="2094">
        <v>101388</v>
      </c>
      <c r="G94" s="83" vm="2095">
        <v>28556</v>
      </c>
      <c r="H94" s="83" vm="2096">
        <v>10229</v>
      </c>
      <c r="I94" s="83" vm="8174">
        <v>5322</v>
      </c>
      <c r="J94" s="83" vm="2040">
        <v>0</v>
      </c>
      <c r="K94" s="5">
        <f xml:space="preserve"> SUM( VfM_Metrics_2023_Consol[[#This Row],[Tangible fixed assets: Housing properties at cost (Current period)]],VfM_Metrics_2023_Consol[[#This Row],[Tangible fixed assets Housing properties at valuation (Current period)]] )</f>
        <v>1531482</v>
      </c>
      <c r="L94" s="84" vm="1778">
        <v>1531482</v>
      </c>
      <c r="M94" s="83">
        <v>0</v>
      </c>
      <c r="N94" s="7">
        <f xml:space="preserve"> IFERROR( VfM_Metrics_2023_Consol[[#This Row],[Total social units developed or newly built units acquired in-year]] / VfM_Metrics_2023_Consol[[#This Row],[Social housing units owned (period end)]], "n/a" )</f>
        <v>2.0110579539920358E-2</v>
      </c>
      <c r="O94" s="5">
        <f xml:space="preserve"> SUM( VfM_Metrics_2023_Consol[[#This Row],[Total social units developed or newly built units acquired in-year (owned)]], VfM_Metrics_2023_Consol[[#This Row],[Total social leasehold units developed or newly built units acquired in-year (owned)]] )</f>
        <v>702</v>
      </c>
      <c r="P94" s="84" vm="7960">
        <v>702</v>
      </c>
      <c r="Q94" s="83">
        <v>0</v>
      </c>
      <c r="R94" s="5">
        <f xml:space="preserve"> SUM( VfM_Metrics_2023_Consol[[#This Row],[Total social housing units owned (Period end)]], VfM_Metrics_2023_Consol[[#This Row],[Total social leasehold units owned (Period end)]] )</f>
        <v>34907</v>
      </c>
      <c r="S94" s="84" vm="7978">
        <v>33428</v>
      </c>
      <c r="T94" s="83" vm="2098">
        <v>1479</v>
      </c>
      <c r="U94" s="86">
        <f xml:space="preserve"> IFERROR( VfM_Metrics_2023_Consol[[#This Row],[Total non-social housing units developed or newly built units acquired (owned)]] / VfM_Metrics_2023_Consol[[#This Row],[Total social and non-social housing units owned (Period end)]], "n/a" )</f>
        <v>0</v>
      </c>
      <c r="V9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94" s="83">
        <v>0</v>
      </c>
      <c r="X94" s="83">
        <v>0</v>
      </c>
      <c r="Y94" s="83">
        <v>0</v>
      </c>
      <c r="Z9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34990</v>
      </c>
      <c r="AA94" s="84" vm="7640">
        <v>33428</v>
      </c>
      <c r="AB94" s="83" vm="2098">
        <v>1479</v>
      </c>
      <c r="AC94" s="83" vm="7777">
        <v>83</v>
      </c>
      <c r="AD94" s="83" vm="2099">
        <v>0</v>
      </c>
      <c r="AE94" s="7">
        <f xml:space="preserve"> IFERROR( VfM_Metrics_2023_Consol[[#This Row],[Total Net Debt]] / VfM_Metrics_2023_Consol[[#This Row],[Net Book Value of Housing Properties2]], "n/a" )</f>
        <v>0.45695999038839502</v>
      </c>
      <c r="AF9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699826</v>
      </c>
      <c r="AG94" s="84" vm="1869">
        <v>12026</v>
      </c>
      <c r="AH94" s="83" vm="2100">
        <v>797315</v>
      </c>
      <c r="AI94" s="83" vm="7111">
        <v>109515</v>
      </c>
      <c r="AJ94" s="83" vm="1675">
        <v>0</v>
      </c>
      <c r="AK94" s="83">
        <v>0</v>
      </c>
      <c r="AL94" s="5">
        <f xml:space="preserve"> SUM( VfM_Metrics_2023_Consol[[#This Row],[Tangible fixed assets: Housing properties at cost (Current period)2]], VfM_Metrics_2023_Consol[[#This Row],[Tangible fixed assets Housing properties at valuation (Current period)2]] )</f>
        <v>1531482</v>
      </c>
      <c r="AM94" s="84" vm="7902">
        <v>1531482</v>
      </c>
      <c r="AN94" s="83">
        <v>0</v>
      </c>
      <c r="AO94" s="87">
        <f xml:space="preserve"> IFERROR( VfM_Metrics_2023_Consol[[#This Row],[EBITDA MRI]] / VfM_Metrics_2023_Consol[[#This Row],[Total interest]], "n/a" )</f>
        <v>1.2426570998727</v>
      </c>
      <c r="AP9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53689</v>
      </c>
      <c r="AQ94" s="84" vm="2102">
        <v>48809</v>
      </c>
      <c r="AR94" s="84" vm="2103">
        <v>5698</v>
      </c>
      <c r="AS94" s="84">
        <v>0</v>
      </c>
      <c r="AT94" s="84" vm="3594">
        <v>3248</v>
      </c>
      <c r="AU94" s="84" vm="2104">
        <v>0</v>
      </c>
      <c r="AV94" s="84" vm="8155">
        <v>2237</v>
      </c>
      <c r="AW94" s="84" vm="7776">
        <v>10229</v>
      </c>
      <c r="AX94" s="84" vm="2105">
        <v>21818</v>
      </c>
      <c r="AY94" s="3">
        <f xml:space="preserve"> - SUM( VfM_Metrics_2023_Consol[[#This Row],[Interest capitalised]], VfM_Metrics_2023_Consol[[#This Row],[Interest payable and financing costs]] )</f>
        <v>43205</v>
      </c>
      <c r="AZ94" s="84" vm="2106">
        <v>-5322</v>
      </c>
      <c r="BA94" s="83" vm="2107">
        <v>-37883</v>
      </c>
      <c r="BB94" s="8">
        <f xml:space="preserve"> IFERROR( ( VfM_Metrics_2023_Consol[[#This Row],[Total Costs]] / VfM_Metrics_2023_Consol[[#This Row],[Total units for costs]] ) * 1000, "n/a" )</f>
        <v>3982.2180225066577</v>
      </c>
      <c r="BC9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139071</v>
      </c>
      <c r="BD94" s="84" vm="2108">
        <v>34857</v>
      </c>
      <c r="BE94" s="83" vm="7800">
        <v>11238</v>
      </c>
      <c r="BF94" s="83" vm="8067">
        <v>31105</v>
      </c>
      <c r="BG94" s="83" vm="2109">
        <v>27473</v>
      </c>
      <c r="BH94" s="83" vm="7638">
        <v>9125</v>
      </c>
      <c r="BI94" s="83" vm="7970">
        <v>183</v>
      </c>
      <c r="BJ94" s="83" vm="2098">
        <v>10229</v>
      </c>
      <c r="BK94" s="83" vm="2110">
        <v>716</v>
      </c>
      <c r="BL94" s="83">
        <v>0</v>
      </c>
      <c r="BM94" s="83">
        <v>0</v>
      </c>
      <c r="BN94" s="83" vm="1629">
        <v>13870</v>
      </c>
      <c r="BO94" s="83" vm="2111">
        <v>275</v>
      </c>
      <c r="BP94" s="5" vm="8151">
        <f xml:space="preserve"> VfM_Metrics_2023_Consol[[#This Row],[Total social housing units owned and/or managed at period end]]</f>
        <v>34923</v>
      </c>
      <c r="BQ94" s="84" vm="8151">
        <v>34923</v>
      </c>
      <c r="BR94" s="7">
        <f xml:space="preserve"> IFERROR( VfM_Metrics_2023_Consol[[#This Row],[SHL operating surplus / (deficit)]] / VfM_Metrics_2023_Consol[[#This Row],[Turnover from social housing lettings]], "n/a" )</f>
        <v>0.2132540504271675</v>
      </c>
      <c r="BS94" s="5" vm="2112">
        <f xml:space="preserve"> VfM_Metrics_2023_Consol[[#This Row],[Operating surplus/(deficit) (social housing lettings)]]</f>
        <v>36868</v>
      </c>
      <c r="BT94" s="84" vm="2112">
        <v>36868</v>
      </c>
      <c r="BU94" s="5" vm="1365">
        <f xml:space="preserve"> VfM_Metrics_2023_Consol[[#This Row],[Turnover from social housing lettings]]</f>
        <v>172883</v>
      </c>
      <c r="BV94" s="84" vm="1365">
        <v>172883</v>
      </c>
      <c r="BW94" s="7">
        <f xml:space="preserve"> IFERROR( VfM_Metrics_2023_Consol[[#This Row],[Net operating surplus]] / VfM_Metrics_2023_Consol[[#This Row],[Overall turnover]], "n/a" )</f>
        <v>0.21462353386303443</v>
      </c>
      <c r="BX94" s="5">
        <f xml:space="preserve"> SUM( VfM_Metrics_2023_Consol[[#This Row],[Operating surplus/(deficit) (overall)2]], - VfM_Metrics_2023_Consol[[#This Row],[Gain/(loss) on disposal of fixed assets (housing properties)2]], - VfM_Metrics_2023_Consol[[#This Row],[Gain/(loss) on disposal of fixed assets (other)2]] )</f>
        <v>43111</v>
      </c>
      <c r="BY94" s="84" vm="2102">
        <v>48809</v>
      </c>
      <c r="BZ94" s="83" vm="2103">
        <v>5698</v>
      </c>
      <c r="CA94" s="83">
        <v>0</v>
      </c>
      <c r="CB94" s="5" vm="8073">
        <f xml:space="preserve"> VfM_Metrics_2023_Consol[[#This Row],[Turnover (overall)]]</f>
        <v>200868</v>
      </c>
      <c r="CC94" s="84" vm="8073">
        <v>200868</v>
      </c>
      <c r="CD94" s="7">
        <f xml:space="preserve"> IFERROR( VfM_Metrics_2023_Consol[[#This Row],[Operating surplus including from JVs]] / VfM_Metrics_2023_Consol[[#This Row],[Net assets]], "n/a" )</f>
        <v>2.9938312686044879E-2</v>
      </c>
      <c r="CE94" s="5">
        <f xml:space="preserve"> SUM( VfM_Metrics_2023_Consol[[#This Row],[Operating surplus/(deficit) (overall)3]], VfM_Metrics_2023_Consol[[#This Row],[Share of operating surplus/(deficit) in joint ventures or associates]] )</f>
        <v>48809</v>
      </c>
      <c r="CF94" s="84" vm="8093">
        <v>48809</v>
      </c>
      <c r="CG94" s="83">
        <v>0</v>
      </c>
      <c r="CH94" s="5" vm="2113">
        <f xml:space="preserve"> VfM_Metrics_2023_Consol[[#This Row],[Total assets less current liabilities]]</f>
        <v>1630319</v>
      </c>
      <c r="CI94" s="84" vm="2113">
        <v>1630319</v>
      </c>
      <c r="CJ94" s="71" vm="7978">
        <f xml:space="preserve"> VfM_Metrics_2023_Consol[[#This Row],[Total social housing units owned (Period end)]]</f>
        <v>33428</v>
      </c>
      <c r="CK94" s="103">
        <v>2.0427724195770682E-2</v>
      </c>
      <c r="CL94" s="6">
        <f xml:space="preserve"> -- ( VfM_Metrics_2023_Consol[[#This Row],[% Supported housing (excl. HOP)]] &gt; 0.3 )</f>
        <v>0</v>
      </c>
      <c r="CM94" s="103">
        <v>9.3092913197148505E-2</v>
      </c>
      <c r="CN94" s="6">
        <f xml:space="preserve"> -- ( VfM_Metrics_2023_Consol[[#This Row],[% Housing for older people]] &gt; 0.3 )</f>
        <v>0</v>
      </c>
      <c r="CO94" s="103">
        <f xml:space="preserve"> VfM_Metrics_2023_Consol[[#This Row],[% Supported housing (excl. HOP)]] + VfM_Metrics_2023_Consol[[#This Row],[% Housing for older people]]</f>
        <v>0.11352063739291919</v>
      </c>
      <c r="CP94" s="6">
        <f xml:space="preserve"> -- ( VfM_Metrics_2023_Consol[[#This Row],[SH specialist in RSH analysis]] + VfM_Metrics_2023_Consol[[#This Row],[OP specialist in RSH analysis]] &gt; 0 )</f>
        <v>0</v>
      </c>
      <c r="CQ94" s="10">
        <f xml:space="preserve"> -- ( VfM_Metrics_2023_Consol[[#This Row],[% SH and OP]] &gt; 0.3 )</f>
        <v>0</v>
      </c>
      <c r="CR94" s="104" t="s">
        <v>143</v>
      </c>
      <c r="CS94" s="124"/>
      <c r="CT94" s="105" t="s">
        <v>151</v>
      </c>
      <c r="CU9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94" s="85">
        <v>0</v>
      </c>
      <c r="CW94" s="85">
        <v>0</v>
      </c>
      <c r="CX94" s="85">
        <v>0</v>
      </c>
      <c r="CY94" s="85">
        <v>9.7732907195555427E-2</v>
      </c>
      <c r="CZ94" s="85">
        <v>8.960841124286867E-5</v>
      </c>
      <c r="DA94" s="85">
        <v>0</v>
      </c>
      <c r="DB94" s="85">
        <v>0</v>
      </c>
      <c r="DC94" s="85">
        <v>0.90158009498491587</v>
      </c>
      <c r="DD94" s="85">
        <v>5.9738940828579106E-4</v>
      </c>
      <c r="DE94" s="13">
        <v>0.95921961338310668</v>
      </c>
    </row>
    <row r="95" spans="1:109" x14ac:dyDescent="0.25">
      <c r="A95" s="4" t="s" vm="318">
        <v>314</v>
      </c>
      <c r="B95" s="2" t="s" vm="85">
        <v>315</v>
      </c>
      <c r="C95" s="72" vm="482">
        <v>45016</v>
      </c>
      <c r="D95" s="7">
        <f>IFERROR( VfM_Metrics_2023_Consol[[#This Row],[Reinvestment Spend]] / VfM_Metrics_2023_Consol[[#This Row],[Net Book Value of Housing Properties]], "n/a" )</f>
        <v>5.6831905431709365E-2</v>
      </c>
      <c r="E9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8000</v>
      </c>
      <c r="F95" s="83" vm="3964">
        <v>4117</v>
      </c>
      <c r="G95" s="83" vm="3965">
        <v>0</v>
      </c>
      <c r="H95" s="83" vm="3966">
        <v>3739</v>
      </c>
      <c r="I95" s="83" vm="4073">
        <v>144</v>
      </c>
      <c r="J95" s="83" vm="3967">
        <v>0</v>
      </c>
      <c r="K95" s="5">
        <f xml:space="preserve"> SUM( VfM_Metrics_2023_Consol[[#This Row],[Tangible fixed assets: Housing properties at cost (Current period)]],VfM_Metrics_2023_Consol[[#This Row],[Tangible fixed assets Housing properties at valuation (Current period)]] )</f>
        <v>140766</v>
      </c>
      <c r="L95" s="84" vm="3968">
        <v>140766</v>
      </c>
      <c r="M95" s="83">
        <v>0</v>
      </c>
      <c r="N95" s="7">
        <f xml:space="preserve"> IFERROR( VfM_Metrics_2023_Consol[[#This Row],[Total social units developed or newly built units acquired in-year]] / VfM_Metrics_2023_Consol[[#This Row],[Social housing units owned (period end)]], "n/a" )</f>
        <v>2.6067776218167233E-3</v>
      </c>
      <c r="O95" s="5">
        <f xml:space="preserve"> SUM( VfM_Metrics_2023_Consol[[#This Row],[Total social units developed or newly built units acquired in-year (owned)]], VfM_Metrics_2023_Consol[[#This Row],[Total social leasehold units developed or newly built units acquired in-year (owned)]] )</f>
        <v>13</v>
      </c>
      <c r="P95" s="84" vm="3969">
        <v>13</v>
      </c>
      <c r="Q95" s="83">
        <v>0</v>
      </c>
      <c r="R95" s="5">
        <f xml:space="preserve"> SUM( VfM_Metrics_2023_Consol[[#This Row],[Total social housing units owned (Period end)]], VfM_Metrics_2023_Consol[[#This Row],[Total social leasehold units owned (Period end)]] )</f>
        <v>4987</v>
      </c>
      <c r="S95" s="84" vm="7439">
        <v>4908</v>
      </c>
      <c r="T95" s="83" vm="3970">
        <v>79</v>
      </c>
      <c r="U95" s="86">
        <f xml:space="preserve"> IFERROR( VfM_Metrics_2023_Consol[[#This Row],[Total non-social housing units developed or newly built units acquired (owned)]] / VfM_Metrics_2023_Consol[[#This Row],[Total social and non-social housing units owned (Period end)]], "n/a" )</f>
        <v>0</v>
      </c>
      <c r="V9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95" s="83">
        <v>0</v>
      </c>
      <c r="X95" s="83">
        <v>0</v>
      </c>
      <c r="Y95" s="83">
        <v>0</v>
      </c>
      <c r="Z9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4987</v>
      </c>
      <c r="AA95" s="84" vm="3962">
        <v>4908</v>
      </c>
      <c r="AB95" s="83" vm="3970">
        <v>79</v>
      </c>
      <c r="AC95" s="83" vm="3971">
        <v>0</v>
      </c>
      <c r="AD95" s="83" vm="4766">
        <v>0</v>
      </c>
      <c r="AE95" s="7">
        <f xml:space="preserve"> IFERROR( VfM_Metrics_2023_Consol[[#This Row],[Total Net Debt]] / VfM_Metrics_2023_Consol[[#This Row],[Net Book Value of Housing Properties2]], "n/a" )</f>
        <v>0.50855320176747221</v>
      </c>
      <c r="AF9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71587</v>
      </c>
      <c r="AG95" s="84" vm="3972">
        <v>2392</v>
      </c>
      <c r="AH95" s="83" vm="3973">
        <v>73302</v>
      </c>
      <c r="AI95" s="83" vm="3974">
        <v>4107</v>
      </c>
      <c r="AJ95" s="83" vm="1675">
        <v>0</v>
      </c>
      <c r="AK95" s="83">
        <v>0</v>
      </c>
      <c r="AL95" s="5">
        <f xml:space="preserve"> SUM( VfM_Metrics_2023_Consol[[#This Row],[Tangible fixed assets: Housing properties at cost (Current period)2]], VfM_Metrics_2023_Consol[[#This Row],[Tangible fixed assets Housing properties at valuation (Current period)2]] )</f>
        <v>140766</v>
      </c>
      <c r="AM95" s="84" vm="3968">
        <v>140766</v>
      </c>
      <c r="AN95" s="83">
        <v>0</v>
      </c>
      <c r="AO95" s="87">
        <f xml:space="preserve"> IFERROR( VfM_Metrics_2023_Consol[[#This Row],[EBITDA MRI]] / VfM_Metrics_2023_Consol[[#This Row],[Total interest]], "n/a" )</f>
        <v>1.0232362821948489</v>
      </c>
      <c r="AP9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3655</v>
      </c>
      <c r="AQ95" s="84" vm="3975">
        <v>3583</v>
      </c>
      <c r="AR95" s="84" vm="7531">
        <v>4</v>
      </c>
      <c r="AS95" s="84">
        <v>0</v>
      </c>
      <c r="AT95" s="84" vm="3977">
        <v>45</v>
      </c>
      <c r="AU95" s="84" vm="3978">
        <v>0</v>
      </c>
      <c r="AV95" s="84" vm="3979">
        <v>19</v>
      </c>
      <c r="AW95" s="84" vm="3980">
        <v>3739</v>
      </c>
      <c r="AX95" s="84" vm="3981">
        <v>3841</v>
      </c>
      <c r="AY95" s="3">
        <f xml:space="preserve"> - SUM( VfM_Metrics_2023_Consol[[#This Row],[Interest capitalised]], VfM_Metrics_2023_Consol[[#This Row],[Interest payable and financing costs]] )</f>
        <v>3572</v>
      </c>
      <c r="AZ95" s="84" vm="3982">
        <v>-144</v>
      </c>
      <c r="BA95" s="83" vm="7530">
        <v>-3428</v>
      </c>
      <c r="BB95" s="8">
        <f xml:space="preserve"> IFERROR( ( VfM_Metrics_2023_Consol[[#This Row],[Total Costs]] / VfM_Metrics_2023_Consol[[#This Row],[Total units for costs]] ) * 1000, "n/a" )</f>
        <v>5033.0695881517549</v>
      </c>
      <c r="BC9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24808</v>
      </c>
      <c r="BD95" s="84" vm="3983">
        <v>7405</v>
      </c>
      <c r="BE95" s="83" vm="3984">
        <v>6869</v>
      </c>
      <c r="BF95" s="83" vm="7167">
        <v>2867</v>
      </c>
      <c r="BG95" s="83" vm="3985">
        <v>1824</v>
      </c>
      <c r="BH95" s="83" vm="3986">
        <v>0</v>
      </c>
      <c r="BI95" s="83" vm="3987">
        <v>0</v>
      </c>
      <c r="BJ95" s="83" vm="3980">
        <v>3739</v>
      </c>
      <c r="BK95" s="83" vm="7651">
        <v>0</v>
      </c>
      <c r="BL95" s="83" vm="4268">
        <v>130</v>
      </c>
      <c r="BM95" s="83">
        <v>0</v>
      </c>
      <c r="BN95" s="83" vm="3988">
        <v>1974</v>
      </c>
      <c r="BO95" s="83">
        <v>0</v>
      </c>
      <c r="BP95" s="5" vm="3963">
        <f xml:space="preserve"> VfM_Metrics_2023_Consol[[#This Row],[Total social housing units owned and/or managed at period end]]</f>
        <v>4929</v>
      </c>
      <c r="BQ95" s="84" vm="3963">
        <v>4929</v>
      </c>
      <c r="BR95" s="7">
        <f xml:space="preserve"> IFERROR( VfM_Metrics_2023_Consol[[#This Row],[SHL operating surplus / (deficit)]] / VfM_Metrics_2023_Consol[[#This Row],[Turnover from social housing lettings]], "n/a" )</f>
        <v>0.14701873271799665</v>
      </c>
      <c r="BS95" s="5" vm="3989">
        <f xml:space="preserve"> VfM_Metrics_2023_Consol[[#This Row],[Operating surplus/(deficit) (social housing lettings)]]</f>
        <v>3775</v>
      </c>
      <c r="BT95" s="84" vm="3989">
        <v>3775</v>
      </c>
      <c r="BU95" s="5" vm="3990">
        <f xml:space="preserve"> VfM_Metrics_2023_Consol[[#This Row],[Turnover from social housing lettings]]</f>
        <v>25677</v>
      </c>
      <c r="BV95" s="84" vm="3990">
        <v>25677</v>
      </c>
      <c r="BW95" s="7">
        <f xml:space="preserve"> IFERROR( VfM_Metrics_2023_Consol[[#This Row],[Net operating surplus]] / VfM_Metrics_2023_Consol[[#This Row],[Overall turnover]], "n/a" )</f>
        <v>0.12973972304792286</v>
      </c>
      <c r="BX95" s="5">
        <f xml:space="preserve"> SUM( VfM_Metrics_2023_Consol[[#This Row],[Operating surplus/(deficit) (overall)2]], - VfM_Metrics_2023_Consol[[#This Row],[Gain/(loss) on disposal of fixed assets (housing properties)2]], - VfM_Metrics_2023_Consol[[#This Row],[Gain/(loss) on disposal of fixed assets (other)2]] )</f>
        <v>3579</v>
      </c>
      <c r="BY95" s="84" vm="4996">
        <v>3583</v>
      </c>
      <c r="BZ95" s="83" vm="3976">
        <v>4</v>
      </c>
      <c r="CA95" s="83">
        <v>0</v>
      </c>
      <c r="CB95" s="5" vm="3991">
        <f xml:space="preserve"> VfM_Metrics_2023_Consol[[#This Row],[Turnover (overall)]]</f>
        <v>27586</v>
      </c>
      <c r="CC95" s="84" vm="3991">
        <v>27586</v>
      </c>
      <c r="CD95" s="7">
        <f xml:space="preserve"> IFERROR( VfM_Metrics_2023_Consol[[#This Row],[Operating surplus including from JVs]] / VfM_Metrics_2023_Consol[[#This Row],[Net assets]], "n/a" )</f>
        <v>2.5282781882201854E-2</v>
      </c>
      <c r="CE95" s="5">
        <f xml:space="preserve"> SUM( VfM_Metrics_2023_Consol[[#This Row],[Operating surplus/(deficit) (overall)3]], VfM_Metrics_2023_Consol[[#This Row],[Share of operating surplus/(deficit) in joint ventures or associates]] )</f>
        <v>3583</v>
      </c>
      <c r="CF95" s="84" vm="7298">
        <v>3583</v>
      </c>
      <c r="CG95" s="83">
        <v>0</v>
      </c>
      <c r="CH95" s="5" vm="3992">
        <f xml:space="preserve"> VfM_Metrics_2023_Consol[[#This Row],[Total assets less current liabilities]]</f>
        <v>141717</v>
      </c>
      <c r="CI95" s="84" vm="3992">
        <v>141717</v>
      </c>
      <c r="CJ95" s="71" vm="7439">
        <f xml:space="preserve"> VfM_Metrics_2023_Consol[[#This Row],[Total social housing units owned (Period end)]]</f>
        <v>4908</v>
      </c>
      <c r="CK95" s="103">
        <v>1.8207855973813421E-2</v>
      </c>
      <c r="CL95" s="6">
        <f xml:space="preserve"> -- ( VfM_Metrics_2023_Consol[[#This Row],[% Supported housing (excl. HOP)]] &gt; 0.3 )</f>
        <v>0</v>
      </c>
      <c r="CM95" s="103">
        <v>0.49549918166939444</v>
      </c>
      <c r="CN95" s="6">
        <f xml:space="preserve"> -- ( VfM_Metrics_2023_Consol[[#This Row],[% Housing for older people]] &gt; 0.3 )</f>
        <v>1</v>
      </c>
      <c r="CO95" s="103">
        <f xml:space="preserve"> VfM_Metrics_2023_Consol[[#This Row],[% Supported housing (excl. HOP)]] + VfM_Metrics_2023_Consol[[#This Row],[% Housing for older people]]</f>
        <v>0.51370703764320791</v>
      </c>
      <c r="CP95" s="6">
        <f xml:space="preserve"> -- ( VfM_Metrics_2023_Consol[[#This Row],[SH specialist in RSH analysis]] + VfM_Metrics_2023_Consol[[#This Row],[OP specialist in RSH analysis]] &gt; 0 )</f>
        <v>1</v>
      </c>
      <c r="CQ95" s="10">
        <f xml:space="preserve"> -- ( VfM_Metrics_2023_Consol[[#This Row],[% SH and OP]] &gt; 0.3 )</f>
        <v>1</v>
      </c>
      <c r="CR95" s="104" t="s">
        <v>143</v>
      </c>
      <c r="CS95" s="124" t="s">
        <v>144</v>
      </c>
      <c r="CT95" s="105"/>
      <c r="CU9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95" s="85">
        <v>0</v>
      </c>
      <c r="CW95" s="85">
        <v>0</v>
      </c>
      <c r="CX95" s="85">
        <v>0</v>
      </c>
      <c r="CY95" s="85">
        <v>6.9981583793738492E-2</v>
      </c>
      <c r="CZ95" s="85">
        <v>0</v>
      </c>
      <c r="DA95" s="85">
        <v>1.0026601186822181E-2</v>
      </c>
      <c r="DB95" s="85">
        <v>0.21424186617556784</v>
      </c>
      <c r="DC95" s="85">
        <v>0.45979128299570288</v>
      </c>
      <c r="DD95" s="85">
        <v>0.24595866584816861</v>
      </c>
      <c r="DE95" s="13">
        <v>0.94452411114073842</v>
      </c>
    </row>
    <row r="96" spans="1:109" x14ac:dyDescent="0.25">
      <c r="A96" s="4" t="s" vm="207">
        <v>316</v>
      </c>
      <c r="B96" s="2" t="s" vm="86">
        <v>317</v>
      </c>
      <c r="C96" s="72" vm="552">
        <v>44926</v>
      </c>
      <c r="D96" s="7">
        <f>IFERROR( VfM_Metrics_2023_Consol[[#This Row],[Reinvestment Spend]] / VfM_Metrics_2023_Consol[[#This Row],[Net Book Value of Housing Properties]], "n/a" )</f>
        <v>2.0537136398000602E-2</v>
      </c>
      <c r="E9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2798</v>
      </c>
      <c r="F96" s="83" vm="9072">
        <v>813</v>
      </c>
      <c r="G96" s="83" vm="752">
        <v>0</v>
      </c>
      <c r="H96" s="83" vm="8946">
        <v>1951</v>
      </c>
      <c r="I96" s="83" vm="698">
        <v>34</v>
      </c>
      <c r="J96" s="83" vm="753">
        <v>0</v>
      </c>
      <c r="K96" s="5">
        <f xml:space="preserve"> SUM( VfM_Metrics_2023_Consol[[#This Row],[Tangible fixed assets: Housing properties at cost (Current period)]],VfM_Metrics_2023_Consol[[#This Row],[Tangible fixed assets Housing properties at valuation (Current period)]] )</f>
        <v>136241</v>
      </c>
      <c r="L96" s="84" vm="754">
        <v>136241</v>
      </c>
      <c r="M96" s="83" vm="9062">
        <v>0</v>
      </c>
      <c r="N96" s="7">
        <f xml:space="preserve"> IFERROR( VfM_Metrics_2023_Consol[[#This Row],[Total social units developed or newly built units acquired in-year]] / VfM_Metrics_2023_Consol[[#This Row],[Social housing units owned (period end)]], "n/a" )</f>
        <v>8.2610491532424622E-4</v>
      </c>
      <c r="O96" s="5">
        <f xml:space="preserve"> SUM( VfM_Metrics_2023_Consol[[#This Row],[Total social units developed or newly built units acquired in-year (owned)]], VfM_Metrics_2023_Consol[[#This Row],[Total social leasehold units developed or newly built units acquired in-year (owned)]] )</f>
        <v>2</v>
      </c>
      <c r="P96" s="84" vm="755">
        <v>2</v>
      </c>
      <c r="Q96" s="83" vm="756">
        <v>0</v>
      </c>
      <c r="R96" s="5">
        <f xml:space="preserve"> SUM( VfM_Metrics_2023_Consol[[#This Row],[Total social housing units owned (Period end)]], VfM_Metrics_2023_Consol[[#This Row],[Total social leasehold units owned (Period end)]] )</f>
        <v>2421</v>
      </c>
      <c r="S96" s="84" vm="9045">
        <v>2154</v>
      </c>
      <c r="T96" s="83" vm="757">
        <v>267</v>
      </c>
      <c r="U96" s="86">
        <f xml:space="preserve"> IFERROR( VfM_Metrics_2023_Consol[[#This Row],[Total non-social housing units developed or newly built units acquired (owned)]] / VfM_Metrics_2023_Consol[[#This Row],[Total social and non-social housing units owned (Period end)]], "n/a" )</f>
        <v>0</v>
      </c>
      <c r="V9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96" s="83" vm="778">
        <v>0</v>
      </c>
      <c r="X96" s="83" vm="9043">
        <v>0</v>
      </c>
      <c r="Y96" s="83" vm="9105">
        <v>0</v>
      </c>
      <c r="Z9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2616</v>
      </c>
      <c r="AA96" s="84" vm="8945">
        <v>2154</v>
      </c>
      <c r="AB96" s="83" vm="757">
        <v>267</v>
      </c>
      <c r="AC96" s="83" vm="758">
        <v>0</v>
      </c>
      <c r="AD96" s="83" vm="779">
        <v>195</v>
      </c>
      <c r="AE96" s="7">
        <f xml:space="preserve"> IFERROR( VfM_Metrics_2023_Consol[[#This Row],[Total Net Debt]] / VfM_Metrics_2023_Consol[[#This Row],[Net Book Value of Housing Properties2]], "n/a" )</f>
        <v>0.29780315763977072</v>
      </c>
      <c r="AF9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40573</v>
      </c>
      <c r="AG96" s="84" vm="759">
        <v>1073</v>
      </c>
      <c r="AH96" s="83" vm="8863">
        <v>45664</v>
      </c>
      <c r="AI96" s="83" vm="9074">
        <v>6164</v>
      </c>
      <c r="AJ96" s="83" vm="9020">
        <v>0</v>
      </c>
      <c r="AK96" s="83" vm="760">
        <v>0</v>
      </c>
      <c r="AL96" s="5">
        <f xml:space="preserve"> SUM( VfM_Metrics_2023_Consol[[#This Row],[Tangible fixed assets: Housing properties at cost (Current period)2]], VfM_Metrics_2023_Consol[[#This Row],[Tangible fixed assets Housing properties at valuation (Current period)2]] )</f>
        <v>136241</v>
      </c>
      <c r="AM96" s="84" vm="8944">
        <v>136241</v>
      </c>
      <c r="AN96" s="83" vm="9111">
        <v>0</v>
      </c>
      <c r="AO96" s="87">
        <f xml:space="preserve"> IFERROR( VfM_Metrics_2023_Consol[[#This Row],[EBITDA MRI]] / VfM_Metrics_2023_Consol[[#This Row],[Total interest]], "n/a" )</f>
        <v>0.24505622334238078</v>
      </c>
      <c r="AP9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632</v>
      </c>
      <c r="AQ96" s="84" vm="9122">
        <v>1524</v>
      </c>
      <c r="AR96" s="84" vm="762">
        <v>2186</v>
      </c>
      <c r="AS96" s="84" vm="9193">
        <v>0</v>
      </c>
      <c r="AT96" s="84" vm="8861">
        <v>510</v>
      </c>
      <c r="AU96" s="84" vm="9058">
        <v>30</v>
      </c>
      <c r="AV96" s="84" vm="671">
        <v>256</v>
      </c>
      <c r="AW96" s="84" vm="9121">
        <v>1985</v>
      </c>
      <c r="AX96" s="84" vm="8941">
        <v>3563</v>
      </c>
      <c r="AY96" s="3">
        <f xml:space="preserve"> - SUM( VfM_Metrics_2023_Consol[[#This Row],[Interest capitalised]], VfM_Metrics_2023_Consol[[#This Row],[Interest payable and financing costs]] )</f>
        <v>2579</v>
      </c>
      <c r="AZ96" s="84" vm="9100">
        <v>-34</v>
      </c>
      <c r="BA96" s="83" vm="766">
        <v>-2545</v>
      </c>
      <c r="BB96" s="8">
        <f xml:space="preserve"> IFERROR( ( VfM_Metrics_2023_Consol[[#This Row],[Total Costs]] / VfM_Metrics_2023_Consol[[#This Row],[Total units for costs]] ) * 1000, "n/a" )</f>
        <v>8779.0157845868143</v>
      </c>
      <c r="BC9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18910</v>
      </c>
      <c r="BD96" s="84" vm="767">
        <v>3213</v>
      </c>
      <c r="BE96" s="83" vm="768">
        <v>1499</v>
      </c>
      <c r="BF96" s="83" vm="8859">
        <v>1612</v>
      </c>
      <c r="BG96" s="83" vm="9056">
        <v>628</v>
      </c>
      <c r="BH96" s="83" vm="9015">
        <v>339</v>
      </c>
      <c r="BI96" s="83" vm="733">
        <v>0</v>
      </c>
      <c r="BJ96" s="83" vm="8938">
        <v>1985</v>
      </c>
      <c r="BK96" s="83" vm="9089">
        <v>5000</v>
      </c>
      <c r="BL96" s="83" vm="8857">
        <v>0</v>
      </c>
      <c r="BM96" s="83" vm="9029">
        <v>1930</v>
      </c>
      <c r="BN96" s="83" vm="721">
        <v>697</v>
      </c>
      <c r="BO96" s="83" vm="9109">
        <v>2007</v>
      </c>
      <c r="BP96" s="5" vm="8935">
        <f xml:space="preserve"> VfM_Metrics_2023_Consol[[#This Row],[Total social housing units owned and/or managed at period end]]</f>
        <v>2154</v>
      </c>
      <c r="BQ96" s="84" vm="8935">
        <v>2154</v>
      </c>
      <c r="BR96" s="7">
        <f xml:space="preserve"> IFERROR( VfM_Metrics_2023_Consol[[#This Row],[SHL operating surplus / (deficit)]] / VfM_Metrics_2023_Consol[[#This Row],[Turnover from social housing lettings]], "n/a" )</f>
        <v>1.0959257349149047E-2</v>
      </c>
      <c r="BS96" s="5" vm="8933">
        <f xml:space="preserve"> VfM_Metrics_2023_Consol[[#This Row],[Operating surplus/(deficit) (social housing lettings)]]</f>
        <v>170</v>
      </c>
      <c r="BT96" s="84" vm="8933">
        <v>170</v>
      </c>
      <c r="BU96" s="5" vm="770">
        <f xml:space="preserve"> VfM_Metrics_2023_Consol[[#This Row],[Turnover from social housing lettings]]</f>
        <v>15512</v>
      </c>
      <c r="BV96" s="84" vm="770">
        <v>15512</v>
      </c>
      <c r="BW96" s="7">
        <f xml:space="preserve"> IFERROR( VfM_Metrics_2023_Consol[[#This Row],[Net operating surplus]] / VfM_Metrics_2023_Consol[[#This Row],[Overall turnover]], "n/a" )</f>
        <v>-2.6142242230383445E-2</v>
      </c>
      <c r="BX96" s="5">
        <f xml:space="preserve"> SUM( VfM_Metrics_2023_Consol[[#This Row],[Operating surplus/(deficit) (overall)2]], - VfM_Metrics_2023_Consol[[#This Row],[Gain/(loss) on disposal of fixed assets (housing properties)2]], - VfM_Metrics_2023_Consol[[#This Row],[Gain/(loss) on disposal of fixed assets (other)2]] )</f>
        <v>-662</v>
      </c>
      <c r="BY96" s="84" vm="761">
        <v>1524</v>
      </c>
      <c r="BZ96" s="83" vm="762">
        <v>2186</v>
      </c>
      <c r="CA96" s="83" vm="8930">
        <v>0</v>
      </c>
      <c r="CB96" s="5" vm="771">
        <f xml:space="preserve"> VfM_Metrics_2023_Consol[[#This Row],[Turnover (overall)]]</f>
        <v>25323</v>
      </c>
      <c r="CC96" s="84" vm="771">
        <v>25323</v>
      </c>
      <c r="CD96" s="7">
        <f xml:space="preserve"> IFERROR( VfM_Metrics_2023_Consol[[#This Row],[Operating surplus including from JVs]] / VfM_Metrics_2023_Consol[[#This Row],[Net assets]], "n/a" )</f>
        <v>7.6261008807045633E-3</v>
      </c>
      <c r="CE96" s="5">
        <f xml:space="preserve"> SUM( VfM_Metrics_2023_Consol[[#This Row],[Operating surplus/(deficit) (overall)3]], VfM_Metrics_2023_Consol[[#This Row],[Share of operating surplus/(deficit) in joint ventures or associates]] )</f>
        <v>1524</v>
      </c>
      <c r="CF96" s="84" vm="8991">
        <v>1524</v>
      </c>
      <c r="CG96" s="83" vm="772">
        <v>0</v>
      </c>
      <c r="CH96" s="5" vm="9180">
        <f xml:space="preserve"> VfM_Metrics_2023_Consol[[#This Row],[Total assets less current liabilities]]</f>
        <v>199840</v>
      </c>
      <c r="CI96" s="84" vm="9180">
        <v>199840</v>
      </c>
      <c r="CJ96" s="71" vm="9045">
        <f xml:space="preserve"> VfM_Metrics_2023_Consol[[#This Row],[Total social housing units owned (Period end)]]</f>
        <v>2154</v>
      </c>
      <c r="CK96" s="103">
        <v>2.1561017680034499E-2</v>
      </c>
      <c r="CL96" s="6">
        <f xml:space="preserve"> -- ( VfM_Metrics_2023_Consol[[#This Row],[% Supported housing (excl. HOP)]] &gt; 0.3 )</f>
        <v>0</v>
      </c>
      <c r="CM96" s="103">
        <v>0.13885295385942217</v>
      </c>
      <c r="CN96" s="6">
        <f xml:space="preserve"> -- ( VfM_Metrics_2023_Consol[[#This Row],[% Housing for older people]] &gt; 0.3 )</f>
        <v>0</v>
      </c>
      <c r="CO96" s="103">
        <f xml:space="preserve"> VfM_Metrics_2023_Consol[[#This Row],[% Supported housing (excl. HOP)]] + VfM_Metrics_2023_Consol[[#This Row],[% Housing for older people]]</f>
        <v>0.16041397153945666</v>
      </c>
      <c r="CP96" s="6">
        <f xml:space="preserve"> -- ( VfM_Metrics_2023_Consol[[#This Row],[SH specialist in RSH analysis]] + VfM_Metrics_2023_Consol[[#This Row],[OP specialist in RSH analysis]] &gt; 0 )</f>
        <v>0</v>
      </c>
      <c r="CQ96" s="10">
        <f xml:space="preserve"> -- ( VfM_Metrics_2023_Consol[[#This Row],[% SH and OP]] &gt; 0.3 )</f>
        <v>0</v>
      </c>
      <c r="CR96" s="104" t="s">
        <v>143</v>
      </c>
      <c r="CS96" s="124" t="s">
        <v>144</v>
      </c>
      <c r="CT96" s="105"/>
      <c r="CU9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96" s="85">
        <v>0</v>
      </c>
      <c r="CW96" s="85">
        <v>0</v>
      </c>
      <c r="CX96" s="85">
        <v>0</v>
      </c>
      <c r="CY96" s="85">
        <v>0</v>
      </c>
      <c r="CZ96" s="85">
        <v>0</v>
      </c>
      <c r="DA96" s="85">
        <v>0</v>
      </c>
      <c r="DB96" s="85">
        <v>9.3453724604966135E-2</v>
      </c>
      <c r="DC96" s="85">
        <v>0</v>
      </c>
      <c r="DD96" s="85">
        <v>0.90654627539503385</v>
      </c>
      <c r="DE96" s="13">
        <v>0.9410358907948122</v>
      </c>
    </row>
    <row r="97" spans="1:109" x14ac:dyDescent="0.25">
      <c r="A97" s="4" t="s" vm="265">
        <v>318</v>
      </c>
      <c r="B97" s="2" t="s" vm="87">
        <v>319</v>
      </c>
      <c r="C97" s="72" vm="518">
        <v>45016</v>
      </c>
      <c r="D97" s="7">
        <f>IFERROR( VfM_Metrics_2023_Consol[[#This Row],[Reinvestment Spend]] / VfM_Metrics_2023_Consol[[#This Row],[Net Book Value of Housing Properties]], "n/a" )</f>
        <v>0.10721303184491367</v>
      </c>
      <c r="E9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125498</v>
      </c>
      <c r="F97" s="83" vm="7948">
        <v>69354</v>
      </c>
      <c r="G97" s="83" vm="2174">
        <v>25618</v>
      </c>
      <c r="H97" s="83" vm="8135">
        <v>30526</v>
      </c>
      <c r="I97" s="83" vm="2175">
        <v>0</v>
      </c>
      <c r="J97" s="83" vm="2176">
        <v>0</v>
      </c>
      <c r="K97" s="5">
        <f xml:space="preserve"> SUM( VfM_Metrics_2023_Consol[[#This Row],[Tangible fixed assets: Housing properties at cost (Current period)]],VfM_Metrics_2023_Consol[[#This Row],[Tangible fixed assets Housing properties at valuation (Current period)]] )</f>
        <v>1170548</v>
      </c>
      <c r="L97" s="84" vm="7813">
        <v>1170548</v>
      </c>
      <c r="M97" s="83" vm="2178">
        <v>0</v>
      </c>
      <c r="N97" s="7">
        <f xml:space="preserve"> IFERROR( VfM_Metrics_2023_Consol[[#This Row],[Total social units developed or newly built units acquired in-year]] / VfM_Metrics_2023_Consol[[#This Row],[Social housing units owned (period end)]], "n/a" )</f>
        <v>1.7051864745511396E-2</v>
      </c>
      <c r="O97" s="5">
        <f xml:space="preserve"> SUM( VfM_Metrics_2023_Consol[[#This Row],[Total social units developed or newly built units acquired in-year (owned)]], VfM_Metrics_2023_Consol[[#This Row],[Total social leasehold units developed or newly built units acquired in-year (owned)]] )</f>
        <v>529</v>
      </c>
      <c r="P97" s="84" vm="2179">
        <v>529</v>
      </c>
      <c r="Q97" s="83" vm="2180">
        <v>0</v>
      </c>
      <c r="R97" s="5">
        <f xml:space="preserve"> SUM( VfM_Metrics_2023_Consol[[#This Row],[Total social housing units owned (Period end)]], VfM_Metrics_2023_Consol[[#This Row],[Total social leasehold units owned (Period end)]] )</f>
        <v>31023</v>
      </c>
      <c r="S97" s="84" vm="2172">
        <v>30403</v>
      </c>
      <c r="T97" s="83" vm="7767">
        <v>620</v>
      </c>
      <c r="U97" s="86">
        <f xml:space="preserve"> IFERROR( VfM_Metrics_2023_Consol[[#This Row],[Total non-social housing units developed or newly built units acquired (owned)]] / VfM_Metrics_2023_Consol[[#This Row],[Total social and non-social housing units owned (Period end)]], "n/a" )</f>
        <v>0</v>
      </c>
      <c r="V9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97" s="83" vm="2182">
        <v>0</v>
      </c>
      <c r="X97" s="83" vm="2183">
        <v>0</v>
      </c>
      <c r="Y97" s="83" vm="2184">
        <v>0</v>
      </c>
      <c r="Z9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31578</v>
      </c>
      <c r="AA97" s="84" vm="1351">
        <v>30403</v>
      </c>
      <c r="AB97" s="83" vm="2181">
        <v>620</v>
      </c>
      <c r="AC97" s="83" vm="2185">
        <v>514</v>
      </c>
      <c r="AD97" s="83" vm="2186">
        <v>41</v>
      </c>
      <c r="AE97" s="7">
        <f xml:space="preserve"> IFERROR( VfM_Metrics_2023_Consol[[#This Row],[Total Net Debt]] / VfM_Metrics_2023_Consol[[#This Row],[Net Book Value of Housing Properties2]], "n/a" )</f>
        <v>0.38177503186541689</v>
      </c>
      <c r="AF9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446886</v>
      </c>
      <c r="AG97" s="84" vm="2187">
        <v>4299</v>
      </c>
      <c r="AH97" s="83" vm="2188">
        <v>474339</v>
      </c>
      <c r="AI97" s="83" vm="2189">
        <v>31752</v>
      </c>
      <c r="AJ97" s="83" vm="2190">
        <v>0</v>
      </c>
      <c r="AK97" s="83" vm="7796">
        <v>0</v>
      </c>
      <c r="AL97" s="5">
        <f xml:space="preserve"> SUM( VfM_Metrics_2023_Consol[[#This Row],[Tangible fixed assets: Housing properties at cost (Current period)2]], VfM_Metrics_2023_Consol[[#This Row],[Tangible fixed assets Housing properties at valuation (Current period)2]] )</f>
        <v>1170548</v>
      </c>
      <c r="AM97" s="84" vm="2177">
        <v>1170548</v>
      </c>
      <c r="AN97" s="83" vm="2178">
        <v>0</v>
      </c>
      <c r="AO97" s="87">
        <f xml:space="preserve"> IFERROR( VfM_Metrics_2023_Consol[[#This Row],[EBITDA MRI]] / VfM_Metrics_2023_Consol[[#This Row],[Total interest]], "n/a" )</f>
        <v>1.8196147997972631</v>
      </c>
      <c r="AP9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35901</v>
      </c>
      <c r="AQ97" s="84" vm="2191">
        <v>46566</v>
      </c>
      <c r="AR97" s="84" vm="2192">
        <v>3273</v>
      </c>
      <c r="AS97" s="84" vm="2193">
        <v>-346</v>
      </c>
      <c r="AT97" s="84" vm="3728">
        <v>5132</v>
      </c>
      <c r="AU97" s="84" vm="8132">
        <v>0</v>
      </c>
      <c r="AV97" s="84" vm="2195">
        <v>1931</v>
      </c>
      <c r="AW97" s="84" vm="2196">
        <v>30526</v>
      </c>
      <c r="AX97" s="84" vm="2197">
        <v>25989</v>
      </c>
      <c r="AY97" s="3">
        <f xml:space="preserve"> - SUM( VfM_Metrics_2023_Consol[[#This Row],[Interest capitalised]], VfM_Metrics_2023_Consol[[#This Row],[Interest payable and financing costs]] )</f>
        <v>19730</v>
      </c>
      <c r="AZ97" s="84" vm="2198">
        <v>0</v>
      </c>
      <c r="BA97" s="83" vm="2199">
        <v>-19730</v>
      </c>
      <c r="BB97" s="8">
        <f xml:space="preserve"> IFERROR( ( VfM_Metrics_2023_Consol[[#This Row],[Total Costs]] / VfM_Metrics_2023_Consol[[#This Row],[Total units for costs]] ) * 1000, "n/a" )</f>
        <v>3809.2062246632668</v>
      </c>
      <c r="BC9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116516</v>
      </c>
      <c r="BD97" s="84" vm="2739">
        <v>19526</v>
      </c>
      <c r="BE97" s="83" vm="2200">
        <v>18532</v>
      </c>
      <c r="BF97" s="83" vm="2201">
        <v>27774</v>
      </c>
      <c r="BG97" s="83" vm="7811">
        <v>9825</v>
      </c>
      <c r="BH97" s="83" vm="7519">
        <v>0</v>
      </c>
      <c r="BI97" s="83" vm="2202">
        <v>0</v>
      </c>
      <c r="BJ97" s="83" vm="989">
        <v>30526</v>
      </c>
      <c r="BK97" s="83" vm="2203">
        <v>1742</v>
      </c>
      <c r="BL97" s="83" vm="2204">
        <v>1035</v>
      </c>
      <c r="BM97" s="83" vm="2205">
        <v>3657</v>
      </c>
      <c r="BN97" s="83" vm="2206">
        <v>1683</v>
      </c>
      <c r="BO97" s="83" vm="2207">
        <v>2216</v>
      </c>
      <c r="BP97" s="5" vm="2173">
        <f xml:space="preserve"> VfM_Metrics_2023_Consol[[#This Row],[Total social housing units owned and/or managed at period end]]</f>
        <v>30588</v>
      </c>
      <c r="BQ97" s="84" vm="2173">
        <v>30588</v>
      </c>
      <c r="BR97" s="7">
        <f xml:space="preserve"> IFERROR( VfM_Metrics_2023_Consol[[#This Row],[SHL operating surplus / (deficit)]] / VfM_Metrics_2023_Consol[[#This Row],[Turnover from social housing lettings]], "n/a" )</f>
        <v>0.28950909956727883</v>
      </c>
      <c r="BS97" s="5" vm="7810">
        <f xml:space="preserve"> VfM_Metrics_2023_Consol[[#This Row],[Operating surplus/(deficit) (social housing lettings)]]</f>
        <v>41949</v>
      </c>
      <c r="BT97" s="84" vm="7810">
        <v>41949</v>
      </c>
      <c r="BU97" s="5" vm="2208">
        <f xml:space="preserve"> VfM_Metrics_2023_Consol[[#This Row],[Turnover from social housing lettings]]</f>
        <v>144897</v>
      </c>
      <c r="BV97" s="84" vm="2208">
        <v>144897</v>
      </c>
      <c r="BW97" s="7">
        <f xml:space="preserve"> IFERROR( VfM_Metrics_2023_Consol[[#This Row],[Net operating surplus]] / VfM_Metrics_2023_Consol[[#This Row],[Overall turnover]], "n/a" )</f>
        <v>0.26351416632448493</v>
      </c>
      <c r="BX97" s="5">
        <f xml:space="preserve"> SUM( VfM_Metrics_2023_Consol[[#This Row],[Operating surplus/(deficit) (overall)2]], - VfM_Metrics_2023_Consol[[#This Row],[Gain/(loss) on disposal of fixed assets (housing properties)2]], - VfM_Metrics_2023_Consol[[#This Row],[Gain/(loss) on disposal of fixed assets (other)2]] )</f>
        <v>43639</v>
      </c>
      <c r="BY97" s="84" vm="4493">
        <v>46566</v>
      </c>
      <c r="BZ97" s="83" vm="3165">
        <v>3273</v>
      </c>
      <c r="CA97" s="83" vm="7896">
        <v>-346</v>
      </c>
      <c r="CB97" s="5" vm="7809">
        <f xml:space="preserve"> VfM_Metrics_2023_Consol[[#This Row],[Turnover (overall)]]</f>
        <v>165604</v>
      </c>
      <c r="CC97" s="84" vm="7809">
        <v>165604</v>
      </c>
      <c r="CD97" s="7">
        <f xml:space="preserve"> IFERROR( VfM_Metrics_2023_Consol[[#This Row],[Operating surplus including from JVs]] / VfM_Metrics_2023_Consol[[#This Row],[Net assets]], "n/a" )</f>
        <v>3.6914486117629153E-2</v>
      </c>
      <c r="CE97" s="5">
        <f xml:space="preserve"> SUM( VfM_Metrics_2023_Consol[[#This Row],[Operating surplus/(deficit) (overall)3]], VfM_Metrics_2023_Consol[[#This Row],[Share of operating surplus/(deficit) in joint ventures or associates]] )</f>
        <v>46566</v>
      </c>
      <c r="CF97" s="84" vm="2191">
        <v>46566</v>
      </c>
      <c r="CG97" s="83" vm="7957">
        <v>0</v>
      </c>
      <c r="CH97" s="5" vm="4068">
        <f xml:space="preserve"> VfM_Metrics_2023_Consol[[#This Row],[Total assets less current liabilities]]</f>
        <v>1261456</v>
      </c>
      <c r="CI97" s="84" vm="4068">
        <v>1261456</v>
      </c>
      <c r="CJ97" s="71" vm="2172">
        <f xml:space="preserve"> VfM_Metrics_2023_Consol[[#This Row],[Total social housing units owned (Period end)]]</f>
        <v>30403</v>
      </c>
      <c r="CK97" s="103">
        <v>2.133914709477092E-2</v>
      </c>
      <c r="CL97" s="6">
        <f xml:space="preserve"> -- ( VfM_Metrics_2023_Consol[[#This Row],[% Supported housing (excl. HOP)]] &gt; 0.3 )</f>
        <v>0</v>
      </c>
      <c r="CM97" s="103">
        <v>3.2239949790242133E-2</v>
      </c>
      <c r="CN97" s="6">
        <f xml:space="preserve"> -- ( VfM_Metrics_2023_Consol[[#This Row],[% Housing for older people]] &gt; 0.3 )</f>
        <v>0</v>
      </c>
      <c r="CO97" s="103">
        <f xml:space="preserve"> VfM_Metrics_2023_Consol[[#This Row],[% Supported housing (excl. HOP)]] + VfM_Metrics_2023_Consol[[#This Row],[% Housing for older people]]</f>
        <v>5.3579096885013056E-2</v>
      </c>
      <c r="CP97" s="6">
        <f xml:space="preserve"> -- ( VfM_Metrics_2023_Consol[[#This Row],[SH specialist in RSH analysis]] + VfM_Metrics_2023_Consol[[#This Row],[OP specialist in RSH analysis]] &gt; 0 )</f>
        <v>0</v>
      </c>
      <c r="CQ97" s="10">
        <f xml:space="preserve"> -- ( VfM_Metrics_2023_Consol[[#This Row],[% SH and OP]] &gt; 0.3 )</f>
        <v>0</v>
      </c>
      <c r="CR97" s="104" t="s">
        <v>143</v>
      </c>
      <c r="CS97" s="124"/>
      <c r="CT97" s="105" t="s">
        <v>151</v>
      </c>
      <c r="CU9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97" s="85">
        <v>0</v>
      </c>
      <c r="CW97" s="85">
        <v>0</v>
      </c>
      <c r="CX97" s="85">
        <v>0</v>
      </c>
      <c r="CY97" s="85">
        <v>0</v>
      </c>
      <c r="CZ97" s="85">
        <v>0</v>
      </c>
      <c r="DA97" s="85">
        <v>0</v>
      </c>
      <c r="DB97" s="85">
        <v>0.89318503405837635</v>
      </c>
      <c r="DC97" s="85">
        <v>0</v>
      </c>
      <c r="DD97" s="85">
        <v>0.10681496594162361</v>
      </c>
      <c r="DE97" s="13">
        <v>0.91061116851823154</v>
      </c>
    </row>
    <row r="98" spans="1:109" x14ac:dyDescent="0.25">
      <c r="A98" s="4" t="s" vm="330">
        <v>320</v>
      </c>
      <c r="B98" s="2" t="s" vm="88">
        <v>321</v>
      </c>
      <c r="C98" s="72" vm="572">
        <v>45016</v>
      </c>
      <c r="D98" s="7">
        <f>IFERROR( VfM_Metrics_2023_Consol[[#This Row],[Reinvestment Spend]] / VfM_Metrics_2023_Consol[[#This Row],[Net Book Value of Housing Properties]], "n/a" )</f>
        <v>0.10201933915739045</v>
      </c>
      <c r="E9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23169</v>
      </c>
      <c r="F98" s="83" vm="4389">
        <v>6361</v>
      </c>
      <c r="G98" s="83" vm="7625">
        <v>13089</v>
      </c>
      <c r="H98" s="83" vm="7588">
        <v>3719</v>
      </c>
      <c r="I98" s="83" vm="4390">
        <v>0</v>
      </c>
      <c r="J98" s="83" vm="4391">
        <v>0</v>
      </c>
      <c r="K98" s="5">
        <f xml:space="preserve"> SUM( VfM_Metrics_2023_Consol[[#This Row],[Tangible fixed assets: Housing properties at cost (Current period)]],VfM_Metrics_2023_Consol[[#This Row],[Tangible fixed assets Housing properties at valuation (Current period)]] )</f>
        <v>227104</v>
      </c>
      <c r="L98" s="84" vm="4392">
        <v>227104</v>
      </c>
      <c r="M98" s="83">
        <v>0</v>
      </c>
      <c r="N98" s="7">
        <f xml:space="preserve"> IFERROR( VfM_Metrics_2023_Consol[[#This Row],[Total social units developed or newly built units acquired in-year]] / VfM_Metrics_2023_Consol[[#This Row],[Social housing units owned (period end)]], "n/a" )</f>
        <v>1.8918317382595147E-2</v>
      </c>
      <c r="O98" s="5">
        <f xml:space="preserve"> SUM( VfM_Metrics_2023_Consol[[#This Row],[Total social units developed or newly built units acquired in-year (owned)]], VfM_Metrics_2023_Consol[[#This Row],[Total social leasehold units developed or newly built units acquired in-year (owned)]] )</f>
        <v>85</v>
      </c>
      <c r="P98" s="84" vm="4456">
        <v>85</v>
      </c>
      <c r="Q98" s="83">
        <v>0</v>
      </c>
      <c r="R98" s="5">
        <f xml:space="preserve"> SUM( VfM_Metrics_2023_Consol[[#This Row],[Total social housing units owned (Period end)]], VfM_Metrics_2023_Consol[[#This Row],[Total social leasehold units owned (Period end)]] )</f>
        <v>4493</v>
      </c>
      <c r="S98" s="84" vm="4387">
        <v>4452</v>
      </c>
      <c r="T98" s="83" vm="4393">
        <v>41</v>
      </c>
      <c r="U98" s="86">
        <f xml:space="preserve"> IFERROR( VfM_Metrics_2023_Consol[[#This Row],[Total non-social housing units developed or newly built units acquired (owned)]] / VfM_Metrics_2023_Consol[[#This Row],[Total social and non-social housing units owned (Period end)]], "n/a" )</f>
        <v>0</v>
      </c>
      <c r="V9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98" s="83">
        <v>0</v>
      </c>
      <c r="X98" s="83">
        <v>0</v>
      </c>
      <c r="Y98" s="83">
        <v>0</v>
      </c>
      <c r="Z9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4578</v>
      </c>
      <c r="AA98" s="84" vm="4387">
        <v>4452</v>
      </c>
      <c r="AB98" s="83" vm="4393">
        <v>41</v>
      </c>
      <c r="AC98" s="83" vm="4394">
        <v>85</v>
      </c>
      <c r="AD98" s="83" vm="7645">
        <v>0</v>
      </c>
      <c r="AE98" s="7">
        <f xml:space="preserve"> IFERROR( VfM_Metrics_2023_Consol[[#This Row],[Total Net Debt]] / VfM_Metrics_2023_Consol[[#This Row],[Net Book Value of Housing Properties2]], "n/a" )</f>
        <v>0.26667077638438774</v>
      </c>
      <c r="AF9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60562</v>
      </c>
      <c r="AG98" s="84" vm="4395">
        <v>3943</v>
      </c>
      <c r="AH98" s="83" vm="4396">
        <v>58045</v>
      </c>
      <c r="AI98" s="83" vm="2983">
        <v>1426</v>
      </c>
      <c r="AJ98" s="83" vm="1675">
        <v>0</v>
      </c>
      <c r="AK98" s="83">
        <v>0</v>
      </c>
      <c r="AL98" s="5">
        <f xml:space="preserve"> SUM( VfM_Metrics_2023_Consol[[#This Row],[Tangible fixed assets: Housing properties at cost (Current period)2]], VfM_Metrics_2023_Consol[[#This Row],[Tangible fixed assets Housing properties at valuation (Current period)2]] )</f>
        <v>227104</v>
      </c>
      <c r="AM98" s="84" vm="4392">
        <v>227104</v>
      </c>
      <c r="AN98" s="83">
        <v>0</v>
      </c>
      <c r="AO98" s="87">
        <f xml:space="preserve"> IFERROR( VfM_Metrics_2023_Consol[[#This Row],[EBITDA MRI]] / VfM_Metrics_2023_Consol[[#This Row],[Total interest]], "n/a" )</f>
        <v>2.1486191860465116</v>
      </c>
      <c r="AP9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5913</v>
      </c>
      <c r="AQ98" s="84" vm="7674">
        <v>6706</v>
      </c>
      <c r="AR98" s="84" vm="4398">
        <v>802</v>
      </c>
      <c r="AS98" s="84" vm="4399">
        <v>-1</v>
      </c>
      <c r="AT98" s="84" vm="4400">
        <v>1778</v>
      </c>
      <c r="AU98" s="84" vm="7052">
        <v>0</v>
      </c>
      <c r="AV98" s="84" vm="4406">
        <v>155</v>
      </c>
      <c r="AW98" s="84" vm="7288">
        <v>3719</v>
      </c>
      <c r="AX98" s="84" vm="4401">
        <v>5350</v>
      </c>
      <c r="AY98" s="3">
        <f xml:space="preserve"> - SUM( VfM_Metrics_2023_Consol[[#This Row],[Interest capitalised]], VfM_Metrics_2023_Consol[[#This Row],[Interest payable and financing costs]] )</f>
        <v>2752</v>
      </c>
      <c r="AZ98" s="84">
        <v>0</v>
      </c>
      <c r="BA98" s="83" vm="4402">
        <v>-2752</v>
      </c>
      <c r="BB98" s="8">
        <f xml:space="preserve"> IFERROR( ( VfM_Metrics_2023_Consol[[#This Row],[Total Costs]] / VfM_Metrics_2023_Consol[[#This Row],[Total units for costs]] ) * 1000, "n/a" )</f>
        <v>4232.9290206648693</v>
      </c>
      <c r="BC9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18845</v>
      </c>
      <c r="BD98" s="84" vm="4403">
        <v>5350</v>
      </c>
      <c r="BE98" s="83" vm="4404">
        <v>1015</v>
      </c>
      <c r="BF98" s="83" vm="4405">
        <v>4691</v>
      </c>
      <c r="BG98" s="83" vm="7396">
        <v>875</v>
      </c>
      <c r="BH98" s="83" vm="2883">
        <v>1665</v>
      </c>
      <c r="BI98" s="83" vm="4407">
        <v>4</v>
      </c>
      <c r="BJ98" s="83" vm="7428">
        <v>3719</v>
      </c>
      <c r="BK98" s="83" vm="4408">
        <v>0</v>
      </c>
      <c r="BL98" s="83" vm="4409">
        <v>281</v>
      </c>
      <c r="BM98" s="83">
        <v>0</v>
      </c>
      <c r="BN98" s="83" vm="7162">
        <v>1245</v>
      </c>
      <c r="BO98" s="83">
        <v>0</v>
      </c>
      <c r="BP98" s="5" vm="4388">
        <f xml:space="preserve"> VfM_Metrics_2023_Consol[[#This Row],[Total social housing units owned and/or managed at period end]]</f>
        <v>4452</v>
      </c>
      <c r="BQ98" s="84" vm="4388">
        <v>4452</v>
      </c>
      <c r="BR98" s="7">
        <f xml:space="preserve"> IFERROR( VfM_Metrics_2023_Consol[[#This Row],[SHL operating surplus / (deficit)]] / VfM_Metrics_2023_Consol[[#This Row],[Turnover from social housing lettings]], "n/a" )</f>
        <v>0.17258471521268925</v>
      </c>
      <c r="BS98" s="5" vm="4411">
        <f xml:space="preserve"> VfM_Metrics_2023_Consol[[#This Row],[Operating surplus/(deficit) (social housing lettings)]]</f>
        <v>3830</v>
      </c>
      <c r="BT98" s="84" vm="4411">
        <v>3830</v>
      </c>
      <c r="BU98" s="5" vm="7057">
        <f xml:space="preserve"> VfM_Metrics_2023_Consol[[#This Row],[Turnover from social housing lettings]]</f>
        <v>22192</v>
      </c>
      <c r="BV98" s="84" vm="7057">
        <v>22192</v>
      </c>
      <c r="BW98" s="7">
        <f xml:space="preserve"> IFERROR( VfM_Metrics_2023_Consol[[#This Row],[Net operating surplus]] / VfM_Metrics_2023_Consol[[#This Row],[Overall turnover]], "n/a" )</f>
        <v>0.21270081406238744</v>
      </c>
      <c r="BX98" s="5">
        <f xml:space="preserve"> SUM( VfM_Metrics_2023_Consol[[#This Row],[Operating surplus/(deficit) (overall)2]], - VfM_Metrics_2023_Consol[[#This Row],[Gain/(loss) on disposal of fixed assets (housing properties)2]], - VfM_Metrics_2023_Consol[[#This Row],[Gain/(loss) on disposal of fixed assets (other)2]] )</f>
        <v>5905</v>
      </c>
      <c r="BY98" s="84" vm="4397">
        <v>6706</v>
      </c>
      <c r="BZ98" s="83" vm="4398">
        <v>802</v>
      </c>
      <c r="CA98" s="83" vm="7477">
        <v>-1</v>
      </c>
      <c r="CB98" s="5" vm="4412">
        <f xml:space="preserve"> VfM_Metrics_2023_Consol[[#This Row],[Turnover (overall)]]</f>
        <v>27762</v>
      </c>
      <c r="CC98" s="84" vm="4412">
        <v>27762</v>
      </c>
      <c r="CD98" s="7">
        <f xml:space="preserve"> IFERROR( VfM_Metrics_2023_Consol[[#This Row],[Operating surplus including from JVs]] / VfM_Metrics_2023_Consol[[#This Row],[Net assets]], "n/a" )</f>
        <v>2.8749158660544716E-2</v>
      </c>
      <c r="CE98" s="5">
        <f xml:space="preserve"> SUM( VfM_Metrics_2023_Consol[[#This Row],[Operating surplus/(deficit) (overall)3]], VfM_Metrics_2023_Consol[[#This Row],[Share of operating surplus/(deficit) in joint ventures or associates]] )</f>
        <v>6706</v>
      </c>
      <c r="CF98" s="84" vm="4397">
        <v>6706</v>
      </c>
      <c r="CG98" s="83">
        <v>0</v>
      </c>
      <c r="CH98" s="5" vm="4182">
        <f xml:space="preserve"> VfM_Metrics_2023_Consol[[#This Row],[Total assets less current liabilities]]</f>
        <v>233259</v>
      </c>
      <c r="CI98" s="84" vm="4182">
        <v>233259</v>
      </c>
      <c r="CJ98" s="71" vm="4387">
        <f xml:space="preserve"> VfM_Metrics_2023_Consol[[#This Row],[Total social housing units owned (Period end)]]</f>
        <v>4452</v>
      </c>
      <c r="CK98" s="103">
        <v>4.6741573033707864E-2</v>
      </c>
      <c r="CL98" s="6">
        <f xml:space="preserve"> -- ( VfM_Metrics_2023_Consol[[#This Row],[% Supported housing (excl. HOP)]] &gt; 0.3 )</f>
        <v>0</v>
      </c>
      <c r="CM98" s="103">
        <v>5.7078651685393257E-2</v>
      </c>
      <c r="CN98" s="6">
        <f xml:space="preserve"> -- ( VfM_Metrics_2023_Consol[[#This Row],[% Housing for older people]] &gt; 0.3 )</f>
        <v>0</v>
      </c>
      <c r="CO98" s="103">
        <f xml:space="preserve"> VfM_Metrics_2023_Consol[[#This Row],[% Supported housing (excl. HOP)]] + VfM_Metrics_2023_Consol[[#This Row],[% Housing for older people]]</f>
        <v>0.10382022471910113</v>
      </c>
      <c r="CP98" s="6">
        <f xml:space="preserve"> -- ( VfM_Metrics_2023_Consol[[#This Row],[SH specialist in RSH analysis]] + VfM_Metrics_2023_Consol[[#This Row],[OP specialist in RSH analysis]] &gt; 0 )</f>
        <v>0</v>
      </c>
      <c r="CQ98" s="10">
        <f xml:space="preserve"> -- ( VfM_Metrics_2023_Consol[[#This Row],[% SH and OP]] &gt; 0.3 )</f>
        <v>0</v>
      </c>
      <c r="CR98" s="104" t="s">
        <v>143</v>
      </c>
      <c r="CS98" s="124" t="s">
        <v>144</v>
      </c>
      <c r="CT98" s="105"/>
      <c r="CU9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98" s="85">
        <v>0</v>
      </c>
      <c r="CW98" s="85">
        <v>0</v>
      </c>
      <c r="CX98" s="85">
        <v>0</v>
      </c>
      <c r="CY98" s="85">
        <v>2.2386389075442132E-4</v>
      </c>
      <c r="CZ98" s="85">
        <v>0</v>
      </c>
      <c r="DA98" s="85">
        <v>0</v>
      </c>
      <c r="DB98" s="85">
        <v>0</v>
      </c>
      <c r="DC98" s="85">
        <v>0</v>
      </c>
      <c r="DD98" s="85">
        <v>0.99977613610924554</v>
      </c>
      <c r="DE98" s="13">
        <v>0.94459070917525034</v>
      </c>
    </row>
    <row r="99" spans="1:109" x14ac:dyDescent="0.25">
      <c r="A99" s="4" t="s" vm="299">
        <v>322</v>
      </c>
      <c r="B99" s="2" t="s" vm="89">
        <v>323</v>
      </c>
      <c r="C99" s="72" vm="510">
        <v>45016</v>
      </c>
      <c r="D99" s="7">
        <f>IFERROR( VfM_Metrics_2023_Consol[[#This Row],[Reinvestment Spend]] / VfM_Metrics_2023_Consol[[#This Row],[Net Book Value of Housing Properties]], "n/a" )</f>
        <v>5.8194103194103196E-2</v>
      </c>
      <c r="E9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18948</v>
      </c>
      <c r="F99" s="83" vm="3312">
        <v>0</v>
      </c>
      <c r="G99" s="83" vm="3313">
        <v>5028</v>
      </c>
      <c r="H99" s="83" vm="3314">
        <v>13920</v>
      </c>
      <c r="I99" s="83" vm="3315">
        <v>0</v>
      </c>
      <c r="J99" s="83" vm="3316">
        <v>0</v>
      </c>
      <c r="K99" s="5">
        <f xml:space="preserve"> SUM( VfM_Metrics_2023_Consol[[#This Row],[Tangible fixed assets: Housing properties at cost (Current period)]],VfM_Metrics_2023_Consol[[#This Row],[Tangible fixed assets Housing properties at valuation (Current period)]] )</f>
        <v>325600</v>
      </c>
      <c r="L99" s="84" vm="3317">
        <v>325600</v>
      </c>
      <c r="M99" s="83" vm="3318">
        <v>0</v>
      </c>
      <c r="N99" s="7">
        <f xml:space="preserve"> IFERROR( VfM_Metrics_2023_Consol[[#This Row],[Total social units developed or newly built units acquired in-year]] / VfM_Metrics_2023_Consol[[#This Row],[Social housing units owned (period end)]], "n/a" )</f>
        <v>6.2882809309922419E-3</v>
      </c>
      <c r="O99" s="5">
        <f xml:space="preserve"> SUM( VfM_Metrics_2023_Consol[[#This Row],[Total social units developed or newly built units acquired in-year (owned)]], VfM_Metrics_2023_Consol[[#This Row],[Total social leasehold units developed or newly built units acquired in-year (owned)]] )</f>
        <v>77</v>
      </c>
      <c r="P99" s="84" vm="7758">
        <v>77</v>
      </c>
      <c r="Q99" s="83" vm="3319">
        <v>0</v>
      </c>
      <c r="R99" s="5">
        <f xml:space="preserve"> SUM( VfM_Metrics_2023_Consol[[#This Row],[Total social housing units owned (Period end)]], VfM_Metrics_2023_Consol[[#This Row],[Total social leasehold units owned (Period end)]] )</f>
        <v>12245</v>
      </c>
      <c r="S99" s="84" vm="3311">
        <v>12245</v>
      </c>
      <c r="T99" s="83" vm="3320">
        <v>0</v>
      </c>
      <c r="U99" s="86">
        <f xml:space="preserve"> IFERROR( VfM_Metrics_2023_Consol[[#This Row],[Total non-social housing units developed or newly built units acquired (owned)]] / VfM_Metrics_2023_Consol[[#This Row],[Total social and non-social housing units owned (Period end)]], "n/a" )</f>
        <v>0</v>
      </c>
      <c r="V9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99" s="83" vm="7458">
        <v>0</v>
      </c>
      <c r="X99" s="83" vm="3321">
        <v>0</v>
      </c>
      <c r="Y99" s="83" vm="3322">
        <v>0</v>
      </c>
      <c r="Z9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12642</v>
      </c>
      <c r="AA99" s="84" vm="7569">
        <v>12245</v>
      </c>
      <c r="AB99" s="83" vm="3320">
        <v>0</v>
      </c>
      <c r="AC99" s="83" vm="3323">
        <v>31</v>
      </c>
      <c r="AD99" s="83" vm="7756">
        <v>366</v>
      </c>
      <c r="AE99" s="7">
        <f xml:space="preserve"> IFERROR( VfM_Metrics_2023_Consol[[#This Row],[Total Net Debt]] / VfM_Metrics_2023_Consol[[#This Row],[Net Book Value of Housing Properties2]], "n/a" )</f>
        <v>0.55354729729729735</v>
      </c>
      <c r="AF9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180235</v>
      </c>
      <c r="AG99" s="84" vm="3325">
        <v>0</v>
      </c>
      <c r="AH99" s="83" vm="3326">
        <v>194682</v>
      </c>
      <c r="AI99" s="83" vm="3327">
        <v>14447</v>
      </c>
      <c r="AJ99" s="83" vm="3328">
        <v>0</v>
      </c>
      <c r="AK99" s="83" vm="3329">
        <v>0</v>
      </c>
      <c r="AL99" s="5">
        <f xml:space="preserve"> SUM( VfM_Metrics_2023_Consol[[#This Row],[Tangible fixed assets: Housing properties at cost (Current period)2]], VfM_Metrics_2023_Consol[[#This Row],[Tangible fixed assets Housing properties at valuation (Current period)2]] )</f>
        <v>325600</v>
      </c>
      <c r="AM99" s="84" vm="7457">
        <v>325600</v>
      </c>
      <c r="AN99" s="83" vm="3318">
        <v>0</v>
      </c>
      <c r="AO99" s="87">
        <f xml:space="preserve"> IFERROR( VfM_Metrics_2023_Consol[[#This Row],[EBITDA MRI]] / VfM_Metrics_2023_Consol[[#This Row],[Total interest]], "n/a" )</f>
        <v>1.1572831650297413</v>
      </c>
      <c r="AP9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8366</v>
      </c>
      <c r="AQ99" s="84" vm="3330">
        <v>13837</v>
      </c>
      <c r="AR99" s="84" vm="3331">
        <v>1566</v>
      </c>
      <c r="AS99" s="84" vm="3332">
        <v>0</v>
      </c>
      <c r="AT99" s="84" vm="3333">
        <v>772</v>
      </c>
      <c r="AU99" s="84" vm="3334">
        <v>0</v>
      </c>
      <c r="AV99" s="84" vm="3335">
        <v>153</v>
      </c>
      <c r="AW99" s="84" vm="3336">
        <v>13920</v>
      </c>
      <c r="AX99" s="84" vm="3337">
        <v>10634</v>
      </c>
      <c r="AY99" s="3">
        <f xml:space="preserve"> - SUM( VfM_Metrics_2023_Consol[[#This Row],[Interest capitalised]], VfM_Metrics_2023_Consol[[#This Row],[Interest payable and financing costs]] )</f>
        <v>7229</v>
      </c>
      <c r="AZ99" s="84" vm="3338">
        <v>0</v>
      </c>
      <c r="BA99" s="83" vm="3339">
        <v>-7229</v>
      </c>
      <c r="BB99" s="8">
        <f xml:space="preserve"> IFERROR( ( VfM_Metrics_2023_Consol[[#This Row],[Total Costs]] / VfM_Metrics_2023_Consol[[#This Row],[Total units for costs]] ) * 1000, "n/a" )</f>
        <v>3861.269789456504</v>
      </c>
      <c r="BC9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47316</v>
      </c>
      <c r="BD99" s="84" vm="3534">
        <v>17693</v>
      </c>
      <c r="BE99" s="83" vm="7453">
        <v>3031</v>
      </c>
      <c r="BF99" s="83" vm="3340">
        <v>12157</v>
      </c>
      <c r="BG99" s="83" vm="3341">
        <v>515</v>
      </c>
      <c r="BH99" s="83" vm="3342">
        <v>0</v>
      </c>
      <c r="BI99" s="83" vm="3343">
        <v>0</v>
      </c>
      <c r="BJ99" s="83" vm="3336">
        <v>13920</v>
      </c>
      <c r="BK99" s="83" vm="3344">
        <v>0</v>
      </c>
      <c r="BL99" s="83" vm="3345">
        <v>0</v>
      </c>
      <c r="BM99" s="83" vm="3346">
        <v>0</v>
      </c>
      <c r="BN99" s="83" vm="3347">
        <v>0</v>
      </c>
      <c r="BO99" s="83" vm="7540">
        <v>0</v>
      </c>
      <c r="BP99" s="5" vm="7712">
        <f xml:space="preserve"> VfM_Metrics_2023_Consol[[#This Row],[Total social housing units owned and/or managed at period end]]</f>
        <v>12254</v>
      </c>
      <c r="BQ99" s="84" vm="7712">
        <v>12254</v>
      </c>
      <c r="BR99" s="7">
        <f xml:space="preserve"> IFERROR( VfM_Metrics_2023_Consol[[#This Row],[SHL operating surplus / (deficit)]] / VfM_Metrics_2023_Consol[[#This Row],[Turnover from social housing lettings]], "n/a" )</f>
        <v>0.19850986491129718</v>
      </c>
      <c r="BS99" s="5" vm="3348">
        <f xml:space="preserve"> VfM_Metrics_2023_Consol[[#This Row],[Operating surplus/(deficit) (social housing lettings)]]</f>
        <v>10977</v>
      </c>
      <c r="BT99" s="84" vm="3348">
        <v>10977</v>
      </c>
      <c r="BU99" s="5" vm="3657">
        <f xml:space="preserve"> VfM_Metrics_2023_Consol[[#This Row],[Turnover from social housing lettings]]</f>
        <v>55297</v>
      </c>
      <c r="BV99" s="84" vm="3657">
        <v>55297</v>
      </c>
      <c r="BW99" s="7">
        <f xml:space="preserve"> IFERROR( VfM_Metrics_2023_Consol[[#This Row],[Net operating surplus]] / VfM_Metrics_2023_Consol[[#This Row],[Overall turnover]], "n/a" )</f>
        <v>0.21271690328843587</v>
      </c>
      <c r="BX99" s="5">
        <f xml:space="preserve"> SUM( VfM_Metrics_2023_Consol[[#This Row],[Operating surplus/(deficit) (overall)2]], - VfM_Metrics_2023_Consol[[#This Row],[Gain/(loss) on disposal of fixed assets (housing properties)2]], - VfM_Metrics_2023_Consol[[#This Row],[Gain/(loss) on disposal of fixed assets (other)2]] )</f>
        <v>12271</v>
      </c>
      <c r="BY99" s="84" vm="1902">
        <v>13837</v>
      </c>
      <c r="BZ99" s="83" vm="3331">
        <v>1566</v>
      </c>
      <c r="CA99" s="83" vm="3332">
        <v>0</v>
      </c>
      <c r="CB99" s="5" vm="3349">
        <f xml:space="preserve"> VfM_Metrics_2023_Consol[[#This Row],[Turnover (overall)]]</f>
        <v>57687</v>
      </c>
      <c r="CC99" s="84" vm="3349">
        <v>57687</v>
      </c>
      <c r="CD99" s="7">
        <f xml:space="preserve"> IFERROR( VfM_Metrics_2023_Consol[[#This Row],[Operating surplus including from JVs]] / VfM_Metrics_2023_Consol[[#This Row],[Net assets]], "n/a" )</f>
        <v>4.0947803905089397E-2</v>
      </c>
      <c r="CE99" s="5">
        <f xml:space="preserve"> SUM( VfM_Metrics_2023_Consol[[#This Row],[Operating surplus/(deficit) (overall)3]], VfM_Metrics_2023_Consol[[#This Row],[Share of operating surplus/(deficit) in joint ventures or associates]] )</f>
        <v>13837</v>
      </c>
      <c r="CF99" s="84" vm="3330">
        <v>13837</v>
      </c>
      <c r="CG99" s="83" vm="7785">
        <v>0</v>
      </c>
      <c r="CH99" s="5" vm="3350">
        <f xml:space="preserve"> VfM_Metrics_2023_Consol[[#This Row],[Total assets less current liabilities]]</f>
        <v>337918</v>
      </c>
      <c r="CI99" s="84" vm="3350">
        <v>337918</v>
      </c>
      <c r="CJ99" s="71" vm="3311">
        <f xml:space="preserve"> VfM_Metrics_2023_Consol[[#This Row],[Total social housing units owned (Period end)]]</f>
        <v>12245</v>
      </c>
      <c r="CK99" s="103">
        <v>1.6425755584756898E-3</v>
      </c>
      <c r="CL99" s="6">
        <f xml:space="preserve"> -- ( VfM_Metrics_2023_Consol[[#This Row],[% Supported housing (excl. HOP)]] &gt; 0.3 )</f>
        <v>0</v>
      </c>
      <c r="CM99" s="103">
        <v>0.139865308804205</v>
      </c>
      <c r="CN99" s="6">
        <f xml:space="preserve"> -- ( VfM_Metrics_2023_Consol[[#This Row],[% Housing for older people]] &gt; 0.3 )</f>
        <v>0</v>
      </c>
      <c r="CO99" s="103">
        <f xml:space="preserve"> VfM_Metrics_2023_Consol[[#This Row],[% Supported housing (excl. HOP)]] + VfM_Metrics_2023_Consol[[#This Row],[% Housing for older people]]</f>
        <v>0.14150788436268069</v>
      </c>
      <c r="CP99" s="6">
        <f xml:space="preserve"> -- ( VfM_Metrics_2023_Consol[[#This Row],[SH specialist in RSH analysis]] + VfM_Metrics_2023_Consol[[#This Row],[OP specialist in RSH analysis]] &gt; 0 )</f>
        <v>0</v>
      </c>
      <c r="CQ99" s="10">
        <f xml:space="preserve"> -- ( VfM_Metrics_2023_Consol[[#This Row],[% SH and OP]] &gt; 0.3 )</f>
        <v>0</v>
      </c>
      <c r="CR99" s="104" t="s">
        <v>143</v>
      </c>
      <c r="CS99" s="124"/>
      <c r="CT99" s="105" t="s">
        <v>151</v>
      </c>
      <c r="CU9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99" s="85">
        <v>0</v>
      </c>
      <c r="CW99" s="85">
        <v>0</v>
      </c>
      <c r="CX99" s="85">
        <v>0</v>
      </c>
      <c r="CY99" s="85">
        <v>0.41254315304948214</v>
      </c>
      <c r="CZ99" s="85">
        <v>0</v>
      </c>
      <c r="DA99" s="85">
        <v>0</v>
      </c>
      <c r="DB99" s="85">
        <v>0</v>
      </c>
      <c r="DC99" s="85">
        <v>0</v>
      </c>
      <c r="DD99" s="85">
        <v>0.58745684695051781</v>
      </c>
      <c r="DE99" s="13">
        <v>0.94366013752208233</v>
      </c>
    </row>
    <row r="100" spans="1:109" x14ac:dyDescent="0.25">
      <c r="A100" s="4" t="s" vm="256">
        <v>324</v>
      </c>
      <c r="B100" s="2" t="s" vm="90">
        <v>325</v>
      </c>
      <c r="C100" s="72" vm="476">
        <v>45016</v>
      </c>
      <c r="D100" s="7">
        <f>IFERROR( VfM_Metrics_2023_Consol[[#This Row],[Reinvestment Spend]] / VfM_Metrics_2023_Consol[[#This Row],[Net Book Value of Housing Properties]], "n/a" )</f>
        <v>5.7551110741053436E-2</v>
      </c>
      <c r="E10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133401</v>
      </c>
      <c r="F100" s="83" vm="1918">
        <v>36127</v>
      </c>
      <c r="G100" s="83" vm="1919">
        <v>69649</v>
      </c>
      <c r="H100" s="83" vm="1920">
        <v>24330</v>
      </c>
      <c r="I100" s="83" vm="1921">
        <v>3295</v>
      </c>
      <c r="J100" s="83" vm="1922">
        <v>0</v>
      </c>
      <c r="K100" s="5">
        <f xml:space="preserve"> SUM( VfM_Metrics_2023_Consol[[#This Row],[Tangible fixed assets: Housing properties at cost (Current period)]],VfM_Metrics_2023_Consol[[#This Row],[Tangible fixed assets Housing properties at valuation (Current period)]] )</f>
        <v>2317957</v>
      </c>
      <c r="L100" s="84" vm="1923">
        <v>2317957</v>
      </c>
      <c r="M100" s="83" vm="1924">
        <v>0</v>
      </c>
      <c r="N100" s="7">
        <f xml:space="preserve"> IFERROR( VfM_Metrics_2023_Consol[[#This Row],[Total social units developed or newly built units acquired in-year]] / VfM_Metrics_2023_Consol[[#This Row],[Social housing units owned (period end)]], "n/a" )</f>
        <v>2.5049387593836427E-2</v>
      </c>
      <c r="O100" s="5">
        <f xml:space="preserve"> SUM( VfM_Metrics_2023_Consol[[#This Row],[Total social units developed or newly built units acquired in-year (owned)]], VfM_Metrics_2023_Consol[[#This Row],[Total social leasehold units developed or newly built units acquired in-year (owned)]] )</f>
        <v>951</v>
      </c>
      <c r="P100" s="84" vm="1916">
        <v>951</v>
      </c>
      <c r="Q100" s="83" vm="1925">
        <v>0</v>
      </c>
      <c r="R100" s="5">
        <f xml:space="preserve"> SUM( VfM_Metrics_2023_Consol[[#This Row],[Total social housing units owned (Period end)]], VfM_Metrics_2023_Consol[[#This Row],[Total social leasehold units owned (Period end)]] )</f>
        <v>37965</v>
      </c>
      <c r="S100" s="84" vm="1916">
        <v>36983</v>
      </c>
      <c r="T100" s="83" vm="8032">
        <v>982</v>
      </c>
      <c r="U100" s="86">
        <f xml:space="preserve"> IFERROR( VfM_Metrics_2023_Consol[[#This Row],[Total non-social housing units developed or newly built units acquired (owned)]] / VfM_Metrics_2023_Consol[[#This Row],[Total social and non-social housing units owned (Period end)]], "n/a" )</f>
        <v>5.1582649472450177E-3</v>
      </c>
      <c r="V10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198</v>
      </c>
      <c r="W100" s="83" vm="1927">
        <v>37</v>
      </c>
      <c r="X100" s="83" vm="1928">
        <v>0</v>
      </c>
      <c r="Y100" s="83" vm="7819">
        <v>161</v>
      </c>
      <c r="Z10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38385</v>
      </c>
      <c r="AA100" s="84" vm="1916">
        <v>36983</v>
      </c>
      <c r="AB100" s="83" vm="1926">
        <v>982</v>
      </c>
      <c r="AC100" s="83" vm="1930">
        <v>138</v>
      </c>
      <c r="AD100" s="83" vm="1931">
        <v>282</v>
      </c>
      <c r="AE100" s="7">
        <f xml:space="preserve"> IFERROR( VfM_Metrics_2023_Consol[[#This Row],[Total Net Debt]] / VfM_Metrics_2023_Consol[[#This Row],[Net Book Value of Housing Properties2]], "n/a" )</f>
        <v>0.40529008950554302</v>
      </c>
      <c r="AF10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939445</v>
      </c>
      <c r="AG100" s="84" vm="2258">
        <v>9622</v>
      </c>
      <c r="AH100" s="83" vm="1932">
        <v>951173</v>
      </c>
      <c r="AI100" s="83" vm="7937">
        <v>21350</v>
      </c>
      <c r="AJ100" s="83" vm="8029">
        <v>0</v>
      </c>
      <c r="AK100" s="83" vm="1933">
        <v>0</v>
      </c>
      <c r="AL100" s="5">
        <f xml:space="preserve"> SUM( VfM_Metrics_2023_Consol[[#This Row],[Tangible fixed assets: Housing properties at cost (Current period)2]], VfM_Metrics_2023_Consol[[#This Row],[Tangible fixed assets Housing properties at valuation (Current period)2]] )</f>
        <v>2317957</v>
      </c>
      <c r="AM100" s="84" vm="1923">
        <v>2317957</v>
      </c>
      <c r="AN100" s="83" vm="8129">
        <v>0</v>
      </c>
      <c r="AO100" s="87">
        <f xml:space="preserve"> IFERROR( VfM_Metrics_2023_Consol[[#This Row],[EBITDA MRI]] / VfM_Metrics_2023_Consol[[#This Row],[Total interest]], "n/a" )</f>
        <v>2.0279397844208984</v>
      </c>
      <c r="AP10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66413</v>
      </c>
      <c r="AQ100" s="84" vm="3084">
        <v>76893</v>
      </c>
      <c r="AR100" s="84" vm="1935">
        <v>15645</v>
      </c>
      <c r="AS100" s="84" vm="1936">
        <v>54</v>
      </c>
      <c r="AT100" s="84" vm="1818">
        <v>8082</v>
      </c>
      <c r="AU100" s="84" vm="8088">
        <v>0</v>
      </c>
      <c r="AV100" s="84" vm="1938">
        <v>811</v>
      </c>
      <c r="AW100" s="84" vm="2324">
        <v>24330</v>
      </c>
      <c r="AX100" s="84" vm="1549">
        <v>36820</v>
      </c>
      <c r="AY100" s="3">
        <f xml:space="preserve"> - SUM( VfM_Metrics_2023_Consol[[#This Row],[Interest capitalised]], VfM_Metrics_2023_Consol[[#This Row],[Interest payable and financing costs]] )</f>
        <v>32749</v>
      </c>
      <c r="AZ100" s="84" vm="8188">
        <v>-3295</v>
      </c>
      <c r="BA100" s="83" vm="2075">
        <v>-29454</v>
      </c>
      <c r="BB100" s="8">
        <f xml:space="preserve"> IFERROR( ( VfM_Metrics_2023_Consol[[#This Row],[Total Costs]] / VfM_Metrics_2023_Consol[[#This Row],[Total units for costs]] ) * 1000, "n/a" )</f>
        <v>4189.9251007219527</v>
      </c>
      <c r="BC10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154956</v>
      </c>
      <c r="BD100" s="84" vm="1939">
        <v>41335</v>
      </c>
      <c r="BE100" s="83" vm="1940">
        <v>16929</v>
      </c>
      <c r="BF100" s="83" vm="7949">
        <v>29575</v>
      </c>
      <c r="BG100" s="83" vm="1941">
        <v>12219</v>
      </c>
      <c r="BH100" s="83" vm="8186">
        <v>23203</v>
      </c>
      <c r="BI100" s="83" vm="1942">
        <v>0</v>
      </c>
      <c r="BJ100" s="83" vm="1568">
        <v>24330</v>
      </c>
      <c r="BK100" s="83" vm="7660">
        <v>0</v>
      </c>
      <c r="BL100" s="83" vm="7935">
        <v>2830</v>
      </c>
      <c r="BM100" s="83" vm="8120">
        <v>0</v>
      </c>
      <c r="BN100" s="83" vm="7818">
        <v>5</v>
      </c>
      <c r="BO100" s="83" vm="8183">
        <v>4530</v>
      </c>
      <c r="BP100" s="5" vm="1917">
        <f xml:space="preserve"> VfM_Metrics_2023_Consol[[#This Row],[Total social housing units owned and/or managed at period end]]</f>
        <v>36983</v>
      </c>
      <c r="BQ100" s="84" vm="1917">
        <v>36983</v>
      </c>
      <c r="BR100" s="7">
        <f xml:space="preserve"> IFERROR( VfM_Metrics_2023_Consol[[#This Row],[SHL operating surplus / (deficit)]] / VfM_Metrics_2023_Consol[[#This Row],[Turnover from social housing lettings]], "n/a" )</f>
        <v>0.23070853327152305</v>
      </c>
      <c r="BS100" s="5" vm="1943">
        <f xml:space="preserve"> VfM_Metrics_2023_Consol[[#This Row],[Operating surplus/(deficit) (social housing lettings)]]</f>
        <v>46781</v>
      </c>
      <c r="BT100" s="84" vm="1943">
        <v>46781</v>
      </c>
      <c r="BU100" s="5" vm="1944">
        <f xml:space="preserve"> VfM_Metrics_2023_Consol[[#This Row],[Turnover from social housing lettings]]</f>
        <v>202771</v>
      </c>
      <c r="BV100" s="84" vm="1944">
        <v>202771</v>
      </c>
      <c r="BW100" s="7">
        <f xml:space="preserve"> IFERROR( VfM_Metrics_2023_Consol[[#This Row],[Net operating surplus]] / VfM_Metrics_2023_Consol[[#This Row],[Overall turnover]], "n/a" )</f>
        <v>0.20408408288226995</v>
      </c>
      <c r="BX100" s="5">
        <f xml:space="preserve"> SUM( VfM_Metrics_2023_Consol[[#This Row],[Operating surplus/(deficit) (overall)2]], - VfM_Metrics_2023_Consol[[#This Row],[Gain/(loss) on disposal of fixed assets (housing properties)2]], - VfM_Metrics_2023_Consol[[#This Row],[Gain/(loss) on disposal of fixed assets (other)2]] )</f>
        <v>61194</v>
      </c>
      <c r="BY100" s="84" vm="1934">
        <v>76893</v>
      </c>
      <c r="BZ100" s="83" vm="1935">
        <v>15645</v>
      </c>
      <c r="CA100" s="83" vm="1936">
        <v>54</v>
      </c>
      <c r="CB100" s="5" vm="7849">
        <f xml:space="preserve"> VfM_Metrics_2023_Consol[[#This Row],[Turnover (overall)]]</f>
        <v>299847</v>
      </c>
      <c r="CC100" s="84" vm="7849">
        <v>299847</v>
      </c>
      <c r="CD100" s="7">
        <f xml:space="preserve"> IFERROR( VfM_Metrics_2023_Consol[[#This Row],[Operating surplus including from JVs]] / VfM_Metrics_2023_Consol[[#This Row],[Net assets]], "n/a" )</f>
        <v>3.142180447256563E-2</v>
      </c>
      <c r="CE100" s="5">
        <f xml:space="preserve"> SUM( VfM_Metrics_2023_Consol[[#This Row],[Operating surplus/(deficit) (overall)3]], VfM_Metrics_2023_Consol[[#This Row],[Share of operating surplus/(deficit) in joint ventures or associates]] )</f>
        <v>76895</v>
      </c>
      <c r="CF100" s="84" vm="8183">
        <v>76893</v>
      </c>
      <c r="CG100" s="83" vm="1945">
        <v>2</v>
      </c>
      <c r="CH100" s="5" vm="7932">
        <f xml:space="preserve"> VfM_Metrics_2023_Consol[[#This Row],[Total assets less current liabilities]]</f>
        <v>2447186</v>
      </c>
      <c r="CI100" s="84" vm="7932">
        <v>2447186</v>
      </c>
      <c r="CJ100" s="71" vm="1916">
        <f xml:space="preserve"> VfM_Metrics_2023_Consol[[#This Row],[Total social housing units owned (Period end)]]</f>
        <v>36983</v>
      </c>
      <c r="CK100" s="103">
        <v>3.6951438359889066E-2</v>
      </c>
      <c r="CL100" s="6">
        <f xml:space="preserve"> -- ( VfM_Metrics_2023_Consol[[#This Row],[% Supported housing (excl. HOP)]] &gt; 0.3 )</f>
        <v>0</v>
      </c>
      <c r="CM100" s="103">
        <v>4.9921148512697806E-2</v>
      </c>
      <c r="CN100" s="6">
        <f xml:space="preserve"> -- ( VfM_Metrics_2023_Consol[[#This Row],[% Housing for older people]] &gt; 0.3 )</f>
        <v>0</v>
      </c>
      <c r="CO100" s="103">
        <f xml:space="preserve"> VfM_Metrics_2023_Consol[[#This Row],[% Supported housing (excl. HOP)]] + VfM_Metrics_2023_Consol[[#This Row],[% Housing for older people]]</f>
        <v>8.6872586872586866E-2</v>
      </c>
      <c r="CP100" s="6">
        <f xml:space="preserve"> -- ( VfM_Metrics_2023_Consol[[#This Row],[SH specialist in RSH analysis]] + VfM_Metrics_2023_Consol[[#This Row],[OP specialist in RSH analysis]] &gt; 0 )</f>
        <v>0</v>
      </c>
      <c r="CQ100" s="10">
        <f xml:space="preserve"> -- ( VfM_Metrics_2023_Consol[[#This Row],[% SH and OP]] &gt; 0.3 )</f>
        <v>0</v>
      </c>
      <c r="CR100" s="104" t="s">
        <v>143</v>
      </c>
      <c r="CS100" s="124" t="s">
        <v>144</v>
      </c>
      <c r="CT100" s="105"/>
      <c r="CU10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100" s="85">
        <v>0</v>
      </c>
      <c r="CW100" s="85">
        <v>5.4177050601365261E-5</v>
      </c>
      <c r="CX100" s="85">
        <v>0.99986455737349655</v>
      </c>
      <c r="CY100" s="85">
        <v>8.1265575902047895E-5</v>
      </c>
      <c r="CZ100" s="85">
        <v>0</v>
      </c>
      <c r="DA100" s="85">
        <v>0</v>
      </c>
      <c r="DB100" s="85">
        <v>0</v>
      </c>
      <c r="DC100" s="85">
        <v>0</v>
      </c>
      <c r="DD100" s="85">
        <v>0</v>
      </c>
      <c r="DE100" s="13">
        <v>0.97511953730526235</v>
      </c>
    </row>
    <row r="101" spans="1:109" x14ac:dyDescent="0.25">
      <c r="A101" s="4" t="s" vm="381">
        <v>326</v>
      </c>
      <c r="B101" s="2" t="s" vm="91">
        <v>327</v>
      </c>
      <c r="C101" s="72" vm="464">
        <v>45016</v>
      </c>
      <c r="D101" s="7">
        <f>IFERROR( VfM_Metrics_2023_Consol[[#This Row],[Reinvestment Spend]] / VfM_Metrics_2023_Consol[[#This Row],[Net Book Value of Housing Properties]], "n/a" )</f>
        <v>0.1452192385632752</v>
      </c>
      <c r="E10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29668</v>
      </c>
      <c r="F101" s="83" vm="6227">
        <v>7193</v>
      </c>
      <c r="G101" s="83" vm="6228">
        <v>9827</v>
      </c>
      <c r="H101" s="83" vm="6229">
        <v>12648</v>
      </c>
      <c r="I101" s="83" vm="6230">
        <v>0</v>
      </c>
      <c r="J101" s="83" vm="6231">
        <v>0</v>
      </c>
      <c r="K101" s="5">
        <f xml:space="preserve"> SUM( VfM_Metrics_2023_Consol[[#This Row],[Tangible fixed assets: Housing properties at cost (Current period)]],VfM_Metrics_2023_Consol[[#This Row],[Tangible fixed assets Housing properties at valuation (Current period)]] )</f>
        <v>204298</v>
      </c>
      <c r="L101" s="84" vm="6232">
        <v>204298</v>
      </c>
      <c r="M101" s="83">
        <v>0</v>
      </c>
      <c r="N101" s="7">
        <f xml:space="preserve"> IFERROR( VfM_Metrics_2023_Consol[[#This Row],[Total social units developed or newly built units acquired in-year]] / VfM_Metrics_2023_Consol[[#This Row],[Social housing units owned (period end)]], "n/a" )</f>
        <v>1.2706043956043956E-2</v>
      </c>
      <c r="O101" s="5">
        <f xml:space="preserve"> SUM( VfM_Metrics_2023_Consol[[#This Row],[Total social units developed or newly built units acquired in-year (owned)]], VfM_Metrics_2023_Consol[[#This Row],[Total social leasehold units developed or newly built units acquired in-year (owned)]] )</f>
        <v>111</v>
      </c>
      <c r="P101" s="84" vm="6233">
        <v>111</v>
      </c>
      <c r="Q101" s="83">
        <v>0</v>
      </c>
      <c r="R101" s="5">
        <f xml:space="preserve"> SUM( VfM_Metrics_2023_Consol[[#This Row],[Total social housing units owned (Period end)]], VfM_Metrics_2023_Consol[[#This Row],[Total social leasehold units owned (Period end)]] )</f>
        <v>8736</v>
      </c>
      <c r="S101" s="84" vm="6225">
        <v>8670</v>
      </c>
      <c r="T101" s="83" vm="6234">
        <v>66</v>
      </c>
      <c r="U101" s="86">
        <f xml:space="preserve"> IFERROR( VfM_Metrics_2023_Consol[[#This Row],[Total non-social housing units developed or newly built units acquired (owned)]] / VfM_Metrics_2023_Consol[[#This Row],[Total social and non-social housing units owned (Period end)]], "n/a" )</f>
        <v>0</v>
      </c>
      <c r="V10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01" s="83">
        <v>0</v>
      </c>
      <c r="X101" s="83">
        <v>0</v>
      </c>
      <c r="Y101" s="83">
        <v>0</v>
      </c>
      <c r="Z10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8736</v>
      </c>
      <c r="AA101" s="84" vm="6225">
        <v>8670</v>
      </c>
      <c r="AB101" s="83" vm="6234">
        <v>66</v>
      </c>
      <c r="AC101" s="83" vm="6236">
        <v>0</v>
      </c>
      <c r="AD101" s="83" vm="6237">
        <v>0</v>
      </c>
      <c r="AE101" s="7">
        <f xml:space="preserve"> IFERROR( VfM_Metrics_2023_Consol[[#This Row],[Total Net Debt]] / VfM_Metrics_2023_Consol[[#This Row],[Net Book Value of Housing Properties2]], "n/a" )</f>
        <v>0.53748445897659303</v>
      </c>
      <c r="AF10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109807</v>
      </c>
      <c r="AG101" s="84">
        <v>0</v>
      </c>
      <c r="AH101" s="83" vm="6238">
        <v>116485</v>
      </c>
      <c r="AI101" s="83" vm="6239">
        <v>6678</v>
      </c>
      <c r="AJ101" s="83" vm="1675">
        <v>0</v>
      </c>
      <c r="AK101" s="83">
        <v>0</v>
      </c>
      <c r="AL101" s="5">
        <f xml:space="preserve"> SUM( VfM_Metrics_2023_Consol[[#This Row],[Tangible fixed assets: Housing properties at cost (Current period)2]], VfM_Metrics_2023_Consol[[#This Row],[Tangible fixed assets Housing properties at valuation (Current period)2]] )</f>
        <v>204298</v>
      </c>
      <c r="AM101" s="84" vm="7310">
        <v>204298</v>
      </c>
      <c r="AN101" s="83">
        <v>0</v>
      </c>
      <c r="AO101" s="87">
        <f xml:space="preserve"> IFERROR( VfM_Metrics_2023_Consol[[#This Row],[EBITDA MRI]] / VfM_Metrics_2023_Consol[[#This Row],[Total interest]], "n/a" )</f>
        <v>0.6942040388145817</v>
      </c>
      <c r="AP10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2647</v>
      </c>
      <c r="AQ101" s="84" vm="6240">
        <v>9265</v>
      </c>
      <c r="AR101" s="84" vm="6241">
        <v>1283</v>
      </c>
      <c r="AS101" s="84" vm="6242">
        <v>5</v>
      </c>
      <c r="AT101" s="84" vm="7237">
        <v>546</v>
      </c>
      <c r="AU101" s="84" vm="6243">
        <v>0</v>
      </c>
      <c r="AV101" s="84" vm="6244">
        <v>57</v>
      </c>
      <c r="AW101" s="84" vm="6245">
        <v>12648</v>
      </c>
      <c r="AX101" s="84" vm="6246">
        <v>7807</v>
      </c>
      <c r="AY101" s="3">
        <f xml:space="preserve"> - SUM( VfM_Metrics_2023_Consol[[#This Row],[Interest capitalised]], VfM_Metrics_2023_Consol[[#This Row],[Interest payable and financing costs]] )</f>
        <v>3813</v>
      </c>
      <c r="AZ101" s="84">
        <v>0</v>
      </c>
      <c r="BA101" s="83" vm="6247">
        <v>-3813</v>
      </c>
      <c r="BB101" s="8">
        <f xml:space="preserve"> IFERROR( ( VfM_Metrics_2023_Consol[[#This Row],[Total Costs]] / VfM_Metrics_2023_Consol[[#This Row],[Total units for costs]] ) * 1000, "n/a" )</f>
        <v>4158.246828143022</v>
      </c>
      <c r="BC10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36052</v>
      </c>
      <c r="BD101" s="84" vm="6248">
        <v>10766</v>
      </c>
      <c r="BE101" s="83" vm="6406">
        <v>182</v>
      </c>
      <c r="BF101" s="83" vm="6249">
        <v>9746</v>
      </c>
      <c r="BG101" s="83" vm="6250">
        <v>801</v>
      </c>
      <c r="BH101" s="83" vm="6251">
        <v>947</v>
      </c>
      <c r="BI101" s="83" vm="6252">
        <v>0</v>
      </c>
      <c r="BJ101" s="83" vm="6245">
        <v>12648</v>
      </c>
      <c r="BK101" s="83" vm="6253">
        <v>796</v>
      </c>
      <c r="BL101" s="83">
        <v>0</v>
      </c>
      <c r="BM101" s="83">
        <v>0</v>
      </c>
      <c r="BN101" s="83" vm="6254">
        <v>166</v>
      </c>
      <c r="BO101" s="83">
        <v>0</v>
      </c>
      <c r="BP101" s="5" vm="6226">
        <f xml:space="preserve"> VfM_Metrics_2023_Consol[[#This Row],[Total social housing units owned and/or managed at period end]]</f>
        <v>8670</v>
      </c>
      <c r="BQ101" s="84" vm="6226">
        <v>8670</v>
      </c>
      <c r="BR101" s="7">
        <f xml:space="preserve"> IFERROR( VfM_Metrics_2023_Consol[[#This Row],[SHL operating surplus / (deficit)]] / VfM_Metrics_2023_Consol[[#This Row],[Turnover from social housing lettings]], "n/a" )</f>
        <v>0.18346103038309114</v>
      </c>
      <c r="BS101" s="5" vm="6255">
        <f xml:space="preserve"> VfM_Metrics_2023_Consol[[#This Row],[Operating surplus/(deficit) (social housing lettings)]]</f>
        <v>6944</v>
      </c>
      <c r="BT101" s="84" vm="6255">
        <v>6944</v>
      </c>
      <c r="BU101" s="5" vm="6256">
        <f xml:space="preserve"> VfM_Metrics_2023_Consol[[#This Row],[Turnover from social housing lettings]]</f>
        <v>37850</v>
      </c>
      <c r="BV101" s="84" vm="6256">
        <v>37850</v>
      </c>
      <c r="BW101" s="7">
        <f xml:space="preserve"> IFERROR( VfM_Metrics_2023_Consol[[#This Row],[Net operating surplus]] / VfM_Metrics_2023_Consol[[#This Row],[Overall turnover]], "n/a" )</f>
        <v>0.20290997888739093</v>
      </c>
      <c r="BX101" s="5">
        <f xml:space="preserve"> SUM( VfM_Metrics_2023_Consol[[#This Row],[Operating surplus/(deficit) (overall)2]], - VfM_Metrics_2023_Consol[[#This Row],[Gain/(loss) on disposal of fixed assets (housing properties)2]], - VfM_Metrics_2023_Consol[[#This Row],[Gain/(loss) on disposal of fixed assets (other)2]] )</f>
        <v>7977</v>
      </c>
      <c r="BY101" s="84" vm="6240">
        <v>9265</v>
      </c>
      <c r="BZ101" s="83" vm="6241">
        <v>1283</v>
      </c>
      <c r="CA101" s="83" vm="6242">
        <v>5</v>
      </c>
      <c r="CB101" s="5" vm="6181">
        <f xml:space="preserve"> VfM_Metrics_2023_Consol[[#This Row],[Turnover (overall)]]</f>
        <v>39313</v>
      </c>
      <c r="CC101" s="84" vm="6181">
        <v>39313</v>
      </c>
      <c r="CD101" s="7">
        <f xml:space="preserve"> IFERROR( VfM_Metrics_2023_Consol[[#This Row],[Operating surplus including from JVs]] / VfM_Metrics_2023_Consol[[#This Row],[Net assets]], "n/a" )</f>
        <v>4.2480123978688868E-2</v>
      </c>
      <c r="CE101" s="5">
        <f xml:space="preserve"> SUM( VfM_Metrics_2023_Consol[[#This Row],[Operating surplus/(deficit) (overall)3]], VfM_Metrics_2023_Consol[[#This Row],[Share of operating surplus/(deficit) in joint ventures or associates]] )</f>
        <v>9265</v>
      </c>
      <c r="CF101" s="84" vm="6169">
        <v>9265</v>
      </c>
      <c r="CG101" s="83">
        <v>0</v>
      </c>
      <c r="CH101" s="5" vm="6257">
        <f xml:space="preserve"> VfM_Metrics_2023_Consol[[#This Row],[Total assets less current liabilities]]</f>
        <v>218102</v>
      </c>
      <c r="CI101" s="84" vm="6257">
        <v>218102</v>
      </c>
      <c r="CJ101" s="71" vm="6225">
        <f xml:space="preserve"> VfM_Metrics_2023_Consol[[#This Row],[Total social housing units owned (Period end)]]</f>
        <v>8670</v>
      </c>
      <c r="CK101" s="103">
        <v>0</v>
      </c>
      <c r="CL101" s="6">
        <f xml:space="preserve"> -- ( VfM_Metrics_2023_Consol[[#This Row],[% Supported housing (excl. HOP)]] &gt; 0.3 )</f>
        <v>0</v>
      </c>
      <c r="CM101" s="103">
        <v>0</v>
      </c>
      <c r="CN101" s="6">
        <f xml:space="preserve"> -- ( VfM_Metrics_2023_Consol[[#This Row],[% Housing for older people]] &gt; 0.3 )</f>
        <v>0</v>
      </c>
      <c r="CO101" s="103">
        <f xml:space="preserve"> VfM_Metrics_2023_Consol[[#This Row],[% Supported housing (excl. HOP)]] + VfM_Metrics_2023_Consol[[#This Row],[% Housing for older people]]</f>
        <v>0</v>
      </c>
      <c r="CP101" s="6">
        <f xml:space="preserve"> -- ( VfM_Metrics_2023_Consol[[#This Row],[SH specialist in RSH analysis]] + VfM_Metrics_2023_Consol[[#This Row],[OP specialist in RSH analysis]] &gt; 0 )</f>
        <v>0</v>
      </c>
      <c r="CQ101" s="10">
        <f xml:space="preserve"> -- ( VfM_Metrics_2023_Consol[[#This Row],[% SH and OP]] &gt; 0.3 )</f>
        <v>0</v>
      </c>
      <c r="CR101" s="104" t="s">
        <v>143</v>
      </c>
      <c r="CS101" s="124"/>
      <c r="CT101" s="105" t="s">
        <v>151</v>
      </c>
      <c r="CU10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101" s="85">
        <v>0</v>
      </c>
      <c r="CW101" s="85">
        <v>0</v>
      </c>
      <c r="CX101" s="85">
        <v>0</v>
      </c>
      <c r="CY101" s="85">
        <v>0</v>
      </c>
      <c r="CZ101" s="85">
        <v>0</v>
      </c>
      <c r="DA101" s="85">
        <v>0</v>
      </c>
      <c r="DB101" s="85">
        <v>1</v>
      </c>
      <c r="DC101" s="85">
        <v>0</v>
      </c>
      <c r="DD101" s="85">
        <v>0</v>
      </c>
      <c r="DE101" s="13">
        <v>0.90654753410084521</v>
      </c>
    </row>
    <row r="102" spans="1:109" x14ac:dyDescent="0.25">
      <c r="A102" s="4" t="s" vm="295">
        <v>328</v>
      </c>
      <c r="B102" s="2" t="s" vm="92">
        <v>329</v>
      </c>
      <c r="C102" s="72" vm="525">
        <v>45016</v>
      </c>
      <c r="D102" s="7">
        <f>IFERROR( VfM_Metrics_2023_Consol[[#This Row],[Reinvestment Spend]] / VfM_Metrics_2023_Consol[[#This Row],[Net Book Value of Housing Properties]], "n/a" )</f>
        <v>0.12214971341758166</v>
      </c>
      <c r="E10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35377</v>
      </c>
      <c r="F102" s="83" vm="3184">
        <v>23206</v>
      </c>
      <c r="G102" s="83" vm="3185">
        <v>0</v>
      </c>
      <c r="H102" s="83" vm="3186">
        <v>12171</v>
      </c>
      <c r="I102" s="83" vm="3852">
        <v>0</v>
      </c>
      <c r="J102" s="83" vm="7766">
        <v>0</v>
      </c>
      <c r="K102" s="5">
        <f xml:space="preserve"> SUM( VfM_Metrics_2023_Consol[[#This Row],[Tangible fixed assets: Housing properties at cost (Current period)]],VfM_Metrics_2023_Consol[[#This Row],[Tangible fixed assets Housing properties at valuation (Current period)]] )</f>
        <v>289620</v>
      </c>
      <c r="L102" s="84" vm="2312">
        <v>289620</v>
      </c>
      <c r="M102" s="83">
        <v>0</v>
      </c>
      <c r="N102" s="7">
        <f xml:space="preserve"> IFERROR( VfM_Metrics_2023_Consol[[#This Row],[Total social units developed or newly built units acquired in-year]] / VfM_Metrics_2023_Consol[[#This Row],[Social housing units owned (period end)]], "n/a" )</f>
        <v>9.7971148653860987E-3</v>
      </c>
      <c r="O102" s="5">
        <f xml:space="preserve"> SUM( VfM_Metrics_2023_Consol[[#This Row],[Total social units developed or newly built units acquired in-year (owned)]], VfM_Metrics_2023_Consol[[#This Row],[Total social leasehold units developed or newly built units acquired in-year (owned)]] )</f>
        <v>127</v>
      </c>
      <c r="P102" s="84" vm="3187">
        <v>127</v>
      </c>
      <c r="Q102" s="83">
        <v>0</v>
      </c>
      <c r="R102" s="5">
        <f xml:space="preserve"> SUM( VfM_Metrics_2023_Consol[[#This Row],[Total social housing units owned (Period end)]], VfM_Metrics_2023_Consol[[#This Row],[Total social leasehold units owned (Period end)]] )</f>
        <v>12963</v>
      </c>
      <c r="S102" s="84" vm="3182">
        <v>12963</v>
      </c>
      <c r="T102" s="83" vm="3188">
        <v>0</v>
      </c>
      <c r="U102" s="86">
        <f xml:space="preserve"> IFERROR( VfM_Metrics_2023_Consol[[#This Row],[Total non-social housing units developed or newly built units acquired (owned)]] / VfM_Metrics_2023_Consol[[#This Row],[Total social and non-social housing units owned (Period end)]], "n/a" )</f>
        <v>0</v>
      </c>
      <c r="V10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02" s="83">
        <v>0</v>
      </c>
      <c r="X102" s="83">
        <v>0</v>
      </c>
      <c r="Y102" s="83">
        <v>0</v>
      </c>
      <c r="Z10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12963</v>
      </c>
      <c r="AA102" s="84" vm="3182">
        <v>12963</v>
      </c>
      <c r="AB102" s="83" vm="3188">
        <v>0</v>
      </c>
      <c r="AC102" s="83" vm="3189">
        <v>0</v>
      </c>
      <c r="AD102" s="83" vm="7462">
        <v>0</v>
      </c>
      <c r="AE102" s="7">
        <f xml:space="preserve"> IFERROR( VfM_Metrics_2023_Consol[[#This Row],[Total Net Debt]] / VfM_Metrics_2023_Consol[[#This Row],[Net Book Value of Housing Properties2]], "n/a" )</f>
        <v>0.45280022097921413</v>
      </c>
      <c r="AF10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131140</v>
      </c>
      <c r="AG102" s="84" vm="7722">
        <v>163</v>
      </c>
      <c r="AH102" s="83" vm="2205">
        <v>166719</v>
      </c>
      <c r="AI102" s="83" vm="7677">
        <v>35742</v>
      </c>
      <c r="AJ102" s="83" vm="1675">
        <v>0</v>
      </c>
      <c r="AK102" s="83">
        <v>0</v>
      </c>
      <c r="AL102" s="5">
        <f xml:space="preserve"> SUM( VfM_Metrics_2023_Consol[[#This Row],[Tangible fixed assets: Housing properties at cost (Current period)2]], VfM_Metrics_2023_Consol[[#This Row],[Tangible fixed assets Housing properties at valuation (Current period)2]] )</f>
        <v>289620</v>
      </c>
      <c r="AM102" s="84" vm="7762">
        <v>289620</v>
      </c>
      <c r="AN102" s="83">
        <v>0</v>
      </c>
      <c r="AO102" s="87">
        <f xml:space="preserve"> IFERROR( VfM_Metrics_2023_Consol[[#This Row],[EBITDA MRI]] / VfM_Metrics_2023_Consol[[#This Row],[Total interest]], "n/a" )</f>
        <v>1.3607209446861404</v>
      </c>
      <c r="AP10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10947</v>
      </c>
      <c r="AQ102" s="84" vm="3190">
        <v>20871</v>
      </c>
      <c r="AR102" s="84" vm="3191">
        <v>5202</v>
      </c>
      <c r="AS102" s="84">
        <v>0</v>
      </c>
      <c r="AT102" s="84" vm="3192">
        <v>510</v>
      </c>
      <c r="AU102" s="84" vm="3193">
        <v>360</v>
      </c>
      <c r="AV102" s="84" vm="3194">
        <v>366</v>
      </c>
      <c r="AW102" s="84" vm="3195">
        <v>12171</v>
      </c>
      <c r="AX102" s="84" vm="3196">
        <v>7953</v>
      </c>
      <c r="AY102" s="3">
        <f xml:space="preserve"> - SUM( VfM_Metrics_2023_Consol[[#This Row],[Interest capitalised]], VfM_Metrics_2023_Consol[[#This Row],[Interest payable and financing costs]] )</f>
        <v>8045</v>
      </c>
      <c r="AZ102" s="84">
        <v>0</v>
      </c>
      <c r="BA102" s="83" vm="3197">
        <v>-8045</v>
      </c>
      <c r="BB102" s="8">
        <f xml:space="preserve"> IFERROR( ( VfM_Metrics_2023_Consol[[#This Row],[Total Costs]] / VfM_Metrics_2023_Consol[[#This Row],[Total units for costs]] ) * 1000, "n/a" )</f>
        <v>4033.1713337961892</v>
      </c>
      <c r="BC10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52282</v>
      </c>
      <c r="BD102" s="84" vm="3198">
        <v>17070</v>
      </c>
      <c r="BE102" s="83" vm="3199">
        <v>3415</v>
      </c>
      <c r="BF102" s="83" vm="3200">
        <v>15029</v>
      </c>
      <c r="BG102" s="83" vm="7698">
        <v>0</v>
      </c>
      <c r="BH102" s="83" vm="3201">
        <v>3499</v>
      </c>
      <c r="BI102" s="83" vm="7780">
        <v>0</v>
      </c>
      <c r="BJ102" s="83" vm="3195">
        <v>12171</v>
      </c>
      <c r="BK102" s="83" vm="3202">
        <v>138</v>
      </c>
      <c r="BL102" s="83">
        <v>0</v>
      </c>
      <c r="BM102" s="83" vm="3203">
        <v>723</v>
      </c>
      <c r="BN102" s="83" vm="3204">
        <v>68</v>
      </c>
      <c r="BO102" s="83" vm="3205">
        <v>169</v>
      </c>
      <c r="BP102" s="5" vm="3183">
        <f xml:space="preserve"> VfM_Metrics_2023_Consol[[#This Row],[Total social housing units owned and/or managed at period end]]</f>
        <v>12963</v>
      </c>
      <c r="BQ102" s="84" vm="3183">
        <v>12963</v>
      </c>
      <c r="BR102" s="7">
        <f xml:space="preserve"> IFERROR( VfM_Metrics_2023_Consol[[#This Row],[SHL operating surplus / (deficit)]] / VfM_Metrics_2023_Consol[[#This Row],[Turnover from social housing lettings]], "n/a" )</f>
        <v>0.25290988487495036</v>
      </c>
      <c r="BS102" s="5" vm="3206">
        <f xml:space="preserve"> VfM_Metrics_2023_Consol[[#This Row],[Operating surplus/(deficit) (social housing lettings)]]</f>
        <v>15927</v>
      </c>
      <c r="BT102" s="84" vm="3206">
        <v>15927</v>
      </c>
      <c r="BU102" s="5" vm="5695">
        <f xml:space="preserve"> VfM_Metrics_2023_Consol[[#This Row],[Turnover from social housing lettings]]</f>
        <v>62975</v>
      </c>
      <c r="BV102" s="84" vm="5695">
        <v>62975</v>
      </c>
      <c r="BW102" s="7">
        <f xml:space="preserve"> IFERROR( VfM_Metrics_2023_Consol[[#This Row],[Net operating surplus]] / VfM_Metrics_2023_Consol[[#This Row],[Overall turnover]], "n/a" )</f>
        <v>0.23125285948315302</v>
      </c>
      <c r="BX102" s="5">
        <f xml:space="preserve"> SUM( VfM_Metrics_2023_Consol[[#This Row],[Operating surplus/(deficit) (overall)2]], - VfM_Metrics_2023_Consol[[#This Row],[Gain/(loss) on disposal of fixed assets (housing properties)2]], - VfM_Metrics_2023_Consol[[#This Row],[Gain/(loss) on disposal of fixed assets (other)2]] )</f>
        <v>15669</v>
      </c>
      <c r="BY102" s="84" vm="3190">
        <v>20871</v>
      </c>
      <c r="BZ102" s="83" vm="2321">
        <v>5202</v>
      </c>
      <c r="CA102" s="83">
        <v>0</v>
      </c>
      <c r="CB102" s="5" vm="3207">
        <f xml:space="preserve"> VfM_Metrics_2023_Consol[[#This Row],[Turnover (overall)]]</f>
        <v>67757</v>
      </c>
      <c r="CC102" s="84" vm="3207">
        <v>67757</v>
      </c>
      <c r="CD102" s="7">
        <f xml:space="preserve"> IFERROR( VfM_Metrics_2023_Consol[[#This Row],[Operating surplus including from JVs]] / VfM_Metrics_2023_Consol[[#This Row],[Net assets]], "n/a" )</f>
        <v>6.3773226306188494E-2</v>
      </c>
      <c r="CE102" s="5">
        <f xml:space="preserve"> SUM( VfM_Metrics_2023_Consol[[#This Row],[Operating surplus/(deficit) (overall)3]], VfM_Metrics_2023_Consol[[#This Row],[Share of operating surplus/(deficit) in joint ventures or associates]] )</f>
        <v>20871</v>
      </c>
      <c r="CF102" s="84" vm="3190">
        <v>20871</v>
      </c>
      <c r="CG102" s="83">
        <v>0</v>
      </c>
      <c r="CH102" s="5" vm="3208">
        <f xml:space="preserve"> VfM_Metrics_2023_Consol[[#This Row],[Total assets less current liabilities]]</f>
        <v>327269</v>
      </c>
      <c r="CI102" s="84" vm="3208">
        <v>327269</v>
      </c>
      <c r="CJ102" s="71" vm="3182">
        <f xml:space="preserve"> VfM_Metrics_2023_Consol[[#This Row],[Total social housing units owned (Period end)]]</f>
        <v>12963</v>
      </c>
      <c r="CK102" s="103">
        <v>1.0066594393681276E-3</v>
      </c>
      <c r="CL102" s="6">
        <f xml:space="preserve"> -- ( VfM_Metrics_2023_Consol[[#This Row],[% Supported housing (excl. HOP)]] &gt; 0.3 )</f>
        <v>0</v>
      </c>
      <c r="CM102" s="103">
        <v>4.4447886015177324E-2</v>
      </c>
      <c r="CN102" s="6">
        <f xml:space="preserve"> -- ( VfM_Metrics_2023_Consol[[#This Row],[% Housing for older people]] &gt; 0.3 )</f>
        <v>0</v>
      </c>
      <c r="CO102" s="103">
        <f xml:space="preserve"> VfM_Metrics_2023_Consol[[#This Row],[% Supported housing (excl. HOP)]] + VfM_Metrics_2023_Consol[[#This Row],[% Housing for older people]]</f>
        <v>4.5454545454545449E-2</v>
      </c>
      <c r="CP102" s="6">
        <f xml:space="preserve"> -- ( VfM_Metrics_2023_Consol[[#This Row],[SH specialist in RSH analysis]] + VfM_Metrics_2023_Consol[[#This Row],[OP specialist in RSH analysis]] &gt; 0 )</f>
        <v>0</v>
      </c>
      <c r="CQ102" s="10">
        <f xml:space="preserve"> -- ( VfM_Metrics_2023_Consol[[#This Row],[% SH and OP]] &gt; 0.3 )</f>
        <v>0</v>
      </c>
      <c r="CR102" s="104" t="s">
        <v>143</v>
      </c>
      <c r="CS102" s="124"/>
      <c r="CT102" s="105" t="s">
        <v>151</v>
      </c>
      <c r="CU10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02" s="85">
        <v>0</v>
      </c>
      <c r="CW102" s="85">
        <v>0</v>
      </c>
      <c r="CX102" s="85">
        <v>0</v>
      </c>
      <c r="CY102" s="85">
        <v>0</v>
      </c>
      <c r="CZ102" s="85">
        <v>0</v>
      </c>
      <c r="DA102" s="85">
        <v>0</v>
      </c>
      <c r="DB102" s="85">
        <v>0</v>
      </c>
      <c r="DC102" s="85">
        <v>1</v>
      </c>
      <c r="DD102" s="85">
        <v>0</v>
      </c>
      <c r="DE102" s="13">
        <v>0.96105917141044694</v>
      </c>
    </row>
    <row r="103" spans="1:109" x14ac:dyDescent="0.25">
      <c r="A103" s="4" t="s" vm="212">
        <v>330</v>
      </c>
      <c r="B103" s="2" t="s" vm="93">
        <v>331</v>
      </c>
      <c r="C103" s="72" vm="468">
        <v>45016</v>
      </c>
      <c r="D103" s="7">
        <f>IFERROR( VfM_Metrics_2023_Consol[[#This Row],[Reinvestment Spend]] / VfM_Metrics_2023_Consol[[#This Row],[Net Book Value of Housing Properties]], "n/a" )</f>
        <v>3.15702969097615E-2</v>
      </c>
      <c r="E10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19285</v>
      </c>
      <c r="F103" s="83" vm="8726">
        <v>0</v>
      </c>
      <c r="G103" s="83" vm="8775">
        <v>15957</v>
      </c>
      <c r="H103" s="83" vm="8949">
        <v>3328</v>
      </c>
      <c r="I103" s="83" vm="853">
        <v>0</v>
      </c>
      <c r="J103" s="83" vm="8971">
        <v>0</v>
      </c>
      <c r="K103" s="5">
        <f xml:space="preserve"> SUM( VfM_Metrics_2023_Consol[[#This Row],[Tangible fixed assets: Housing properties at cost (Current period)]],VfM_Metrics_2023_Consol[[#This Row],[Tangible fixed assets Housing properties at valuation (Current period)]] )</f>
        <v>610859</v>
      </c>
      <c r="L103" s="84" vm="776">
        <v>610859</v>
      </c>
      <c r="M103" s="83" vm="855">
        <v>0</v>
      </c>
      <c r="N103" s="7">
        <f xml:space="preserve"> IFERROR( VfM_Metrics_2023_Consol[[#This Row],[Total social units developed or newly built units acquired in-year]] / VfM_Metrics_2023_Consol[[#This Row],[Social housing units owned (period end)]], "n/a" )</f>
        <v>3.3333333333333333E-2</v>
      </c>
      <c r="O103" s="5">
        <f xml:space="preserve"> SUM( VfM_Metrics_2023_Consol[[#This Row],[Total social units developed or newly built units acquired in-year (owned)]], VfM_Metrics_2023_Consol[[#This Row],[Total social leasehold units developed or newly built units acquired in-year (owned)]] )</f>
        <v>45</v>
      </c>
      <c r="P103" s="84" vm="856">
        <v>45</v>
      </c>
      <c r="Q103" s="83" vm="916">
        <v>0</v>
      </c>
      <c r="R103" s="5">
        <f xml:space="preserve"> SUM( VfM_Metrics_2023_Consol[[#This Row],[Total social housing units owned (Period end)]], VfM_Metrics_2023_Consol[[#This Row],[Total social leasehold units owned (Period end)]] )</f>
        <v>1350</v>
      </c>
      <c r="S103" s="84" vm="848">
        <v>1350</v>
      </c>
      <c r="T103" s="83" vm="8721">
        <v>0</v>
      </c>
      <c r="U103" s="86">
        <f xml:space="preserve"> IFERROR( VfM_Metrics_2023_Consol[[#This Row],[Total non-social housing units developed or newly built units acquired (owned)]] / VfM_Metrics_2023_Consol[[#This Row],[Total social and non-social housing units owned (Period end)]], "n/a" )</f>
        <v>0</v>
      </c>
      <c r="V10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03" s="83" vm="858">
        <v>0</v>
      </c>
      <c r="X103" s="83" vm="8970">
        <v>0</v>
      </c>
      <c r="Y103" s="83" vm="762">
        <v>0</v>
      </c>
      <c r="Z10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2800</v>
      </c>
      <c r="AA103" s="84" vm="852">
        <v>1350</v>
      </c>
      <c r="AB103" s="83" vm="8975">
        <v>0</v>
      </c>
      <c r="AC103" s="83" vm="8940">
        <v>1448</v>
      </c>
      <c r="AD103" s="83" vm="8947">
        <v>2</v>
      </c>
      <c r="AE103" s="7">
        <f xml:space="preserve"> IFERROR( VfM_Metrics_2023_Consol[[#This Row],[Total Net Debt]] / VfM_Metrics_2023_Consol[[#This Row],[Net Book Value of Housing Properties2]], "n/a" )</f>
        <v>0.604859713943807</v>
      </c>
      <c r="AF10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369484</v>
      </c>
      <c r="AG103" s="84" vm="860">
        <v>21107</v>
      </c>
      <c r="AH103" s="83" vm="8899">
        <v>355436</v>
      </c>
      <c r="AI103" s="83" vm="861">
        <v>7059</v>
      </c>
      <c r="AJ103" s="83" vm="8742">
        <v>0</v>
      </c>
      <c r="AK103" s="83" vm="9154">
        <v>0</v>
      </c>
      <c r="AL103" s="5">
        <f xml:space="preserve"> SUM( VfM_Metrics_2023_Consol[[#This Row],[Tangible fixed assets: Housing properties at cost (Current period)2]], VfM_Metrics_2023_Consol[[#This Row],[Tangible fixed assets Housing properties at valuation (Current period)2]] )</f>
        <v>610859</v>
      </c>
      <c r="AM103" s="84" vm="854">
        <v>610859</v>
      </c>
      <c r="AN103" s="83" vm="855">
        <v>0</v>
      </c>
      <c r="AO103" s="87">
        <f xml:space="preserve"> IFERROR( VfM_Metrics_2023_Consol[[#This Row],[EBITDA MRI]] / VfM_Metrics_2023_Consol[[#This Row],[Total interest]], "n/a" )</f>
        <v>1.9005235602094241</v>
      </c>
      <c r="AP10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24684</v>
      </c>
      <c r="AQ103" s="84" vm="862">
        <v>21553</v>
      </c>
      <c r="AR103" s="84" vm="762">
        <v>0</v>
      </c>
      <c r="AS103" s="84" vm="8719">
        <v>0</v>
      </c>
      <c r="AT103" s="84" vm="864">
        <v>826</v>
      </c>
      <c r="AU103" s="84" vm="799">
        <v>0</v>
      </c>
      <c r="AV103" s="84" vm="865">
        <v>0</v>
      </c>
      <c r="AW103" s="84" vm="866">
        <v>3328</v>
      </c>
      <c r="AX103" s="84" vm="8894">
        <v>7285</v>
      </c>
      <c r="AY103" s="3">
        <f xml:space="preserve"> - SUM( VfM_Metrics_2023_Consol[[#This Row],[Interest capitalised]], VfM_Metrics_2023_Consol[[#This Row],[Interest payable and financing costs]] )</f>
        <v>12988</v>
      </c>
      <c r="AZ103" s="84" vm="9107">
        <v>0</v>
      </c>
      <c r="BA103" s="83" vm="8843">
        <v>-12988</v>
      </c>
      <c r="BB103" s="8">
        <f xml:space="preserve"> IFERROR( ( VfM_Metrics_2023_Consol[[#This Row],[Total Costs]] / VfM_Metrics_2023_Consol[[#This Row],[Total units for costs]] ) * 1000, "n/a" )</f>
        <v>7632.5925925925922</v>
      </c>
      <c r="BC10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10304</v>
      </c>
      <c r="BD103" s="84" vm="8874">
        <v>2829</v>
      </c>
      <c r="BE103" s="83" vm="8773">
        <v>1573</v>
      </c>
      <c r="BF103" s="83" vm="868">
        <v>2074</v>
      </c>
      <c r="BG103" s="83" vm="869">
        <v>364</v>
      </c>
      <c r="BH103" s="83" vm="870">
        <v>0</v>
      </c>
      <c r="BI103" s="83" vm="8955">
        <v>0</v>
      </c>
      <c r="BJ103" s="83" vm="8733">
        <v>3328</v>
      </c>
      <c r="BK103" s="83" vm="8969">
        <v>136</v>
      </c>
      <c r="BL103" s="83" vm="930">
        <v>0</v>
      </c>
      <c r="BM103" s="83" vm="871">
        <v>0</v>
      </c>
      <c r="BN103" s="83" vm="872">
        <v>0</v>
      </c>
      <c r="BO103" s="83" vm="8966">
        <v>0</v>
      </c>
      <c r="BP103" s="5" vm="881">
        <f xml:space="preserve"> VfM_Metrics_2023_Consol[[#This Row],[Total social housing units owned and/or managed at period end]]</f>
        <v>1350</v>
      </c>
      <c r="BQ103" s="84" vm="881">
        <v>1350</v>
      </c>
      <c r="BR103" s="7">
        <f xml:space="preserve"> IFERROR( VfM_Metrics_2023_Consol[[#This Row],[SHL operating surplus / (deficit)]] / VfM_Metrics_2023_Consol[[#This Row],[Turnover from social housing lettings]], "n/a" )</f>
        <v>0.35274407856730211</v>
      </c>
      <c r="BS103" s="5" vm="785">
        <f xml:space="preserve"> VfM_Metrics_2023_Consol[[#This Row],[Operating surplus/(deficit) (social housing lettings)]]</f>
        <v>6106</v>
      </c>
      <c r="BT103" s="84" vm="785">
        <v>6106</v>
      </c>
      <c r="BU103" s="5" vm="8954">
        <f xml:space="preserve"> VfM_Metrics_2023_Consol[[#This Row],[Turnover from social housing lettings]]</f>
        <v>17310</v>
      </c>
      <c r="BV103" s="84" vm="8954">
        <v>17310</v>
      </c>
      <c r="BW103" s="7">
        <f xml:space="preserve"> IFERROR( VfM_Metrics_2023_Consol[[#This Row],[Net operating surplus]] / VfM_Metrics_2023_Consol[[#This Row],[Overall turnover]], "n/a" )</f>
        <v>0.54421270578729419</v>
      </c>
      <c r="BX103" s="5">
        <f xml:space="preserve"> SUM( VfM_Metrics_2023_Consol[[#This Row],[Operating surplus/(deficit) (overall)2]], - VfM_Metrics_2023_Consol[[#This Row],[Gain/(loss) on disposal of fixed assets (housing properties)2]], - VfM_Metrics_2023_Consol[[#This Row],[Gain/(loss) on disposal of fixed assets (other)2]] )</f>
        <v>21553</v>
      </c>
      <c r="BY103" s="84" vm="8886">
        <v>21553</v>
      </c>
      <c r="BZ103" s="83" vm="922">
        <v>0</v>
      </c>
      <c r="CA103" s="83" vm="863">
        <v>0</v>
      </c>
      <c r="CB103" s="5" vm="8838">
        <f xml:space="preserve"> VfM_Metrics_2023_Consol[[#This Row],[Turnover (overall)]]</f>
        <v>39604</v>
      </c>
      <c r="CC103" s="84" vm="8838">
        <v>39604</v>
      </c>
      <c r="CD103" s="7">
        <f xml:space="preserve"> IFERROR( VfM_Metrics_2023_Consol[[#This Row],[Operating surplus including from JVs]] / VfM_Metrics_2023_Consol[[#This Row],[Net assets]], "n/a" )</f>
        <v>3.6257593268297444E-2</v>
      </c>
      <c r="CE103" s="5">
        <f xml:space="preserve"> SUM( VfM_Metrics_2023_Consol[[#This Row],[Operating surplus/(deficit) (overall)3]], VfM_Metrics_2023_Consol[[#This Row],[Share of operating surplus/(deficit) in joint ventures or associates]] )</f>
        <v>21553</v>
      </c>
      <c r="CF103" s="84" vm="8712">
        <v>21553</v>
      </c>
      <c r="CG103" s="83" vm="875">
        <v>0</v>
      </c>
      <c r="CH103" s="5" vm="874">
        <f xml:space="preserve"> VfM_Metrics_2023_Consol[[#This Row],[Total assets less current liabilities]]</f>
        <v>594441</v>
      </c>
      <c r="CI103" s="84" vm="874">
        <v>594441</v>
      </c>
      <c r="CJ103" s="71" vm="848">
        <f xml:space="preserve"> VfM_Metrics_2023_Consol[[#This Row],[Total social housing units owned (Period end)]]</f>
        <v>1350</v>
      </c>
      <c r="CK103" s="103">
        <v>0</v>
      </c>
      <c r="CL103" s="6">
        <f xml:space="preserve"> -- ( VfM_Metrics_2023_Consol[[#This Row],[% Supported housing (excl. HOP)]] &gt; 0.3 )</f>
        <v>0</v>
      </c>
      <c r="CM103" s="103">
        <v>0</v>
      </c>
      <c r="CN103" s="6">
        <f xml:space="preserve"> -- ( VfM_Metrics_2023_Consol[[#This Row],[% Housing for older people]] &gt; 0.3 )</f>
        <v>0</v>
      </c>
      <c r="CO103" s="103">
        <f xml:space="preserve"> VfM_Metrics_2023_Consol[[#This Row],[% Supported housing (excl. HOP)]] + VfM_Metrics_2023_Consol[[#This Row],[% Housing for older people]]</f>
        <v>0</v>
      </c>
      <c r="CP103" s="6">
        <f xml:space="preserve"> -- ( VfM_Metrics_2023_Consol[[#This Row],[SH specialist in RSH analysis]] + VfM_Metrics_2023_Consol[[#This Row],[OP specialist in RSH analysis]] &gt; 0 )</f>
        <v>0</v>
      </c>
      <c r="CQ103" s="10">
        <f xml:space="preserve"> -- ( VfM_Metrics_2023_Consol[[#This Row],[% SH and OP]] &gt; 0.3 )</f>
        <v>0</v>
      </c>
      <c r="CR103" s="104" t="s">
        <v>143</v>
      </c>
      <c r="CS103" s="124" t="s">
        <v>144</v>
      </c>
      <c r="CT103" s="105"/>
      <c r="CU10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03" s="85">
        <v>0.83851851851851855</v>
      </c>
      <c r="CW103" s="85">
        <v>3.7037037037037038E-3</v>
      </c>
      <c r="CX103" s="85">
        <v>0</v>
      </c>
      <c r="CY103" s="85">
        <v>0</v>
      </c>
      <c r="CZ103" s="85">
        <v>0</v>
      </c>
      <c r="DA103" s="85">
        <v>0.15777777777777777</v>
      </c>
      <c r="DB103" s="85">
        <v>0</v>
      </c>
      <c r="DC103" s="85">
        <v>0</v>
      </c>
      <c r="DD103" s="85">
        <v>0</v>
      </c>
      <c r="DE103" s="13">
        <v>1.1363920676863624</v>
      </c>
    </row>
    <row r="104" spans="1:109" x14ac:dyDescent="0.25">
      <c r="A104" s="4" t="s" vm="240">
        <v>332</v>
      </c>
      <c r="B104" s="2" t="s" vm="94">
        <v>333</v>
      </c>
      <c r="C104" s="72" vm="531">
        <v>45016</v>
      </c>
      <c r="D104" s="7">
        <f>IFERROR( VfM_Metrics_2023_Consol[[#This Row],[Reinvestment Spend]] / VfM_Metrics_2023_Consol[[#This Row],[Net Book Value of Housing Properties]], "n/a" )</f>
        <v>6.1298335004089259E-2</v>
      </c>
      <c r="E10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695990</v>
      </c>
      <c r="F104" s="83" vm="1465">
        <v>555710</v>
      </c>
      <c r="G104" s="83" vm="1466">
        <v>0</v>
      </c>
      <c r="H104" s="83" vm="1467">
        <v>117747</v>
      </c>
      <c r="I104" s="83" vm="8329">
        <v>22533</v>
      </c>
      <c r="J104" s="83" vm="1468">
        <v>0</v>
      </c>
      <c r="K104" s="5">
        <f xml:space="preserve"> SUM( VfM_Metrics_2023_Consol[[#This Row],[Tangible fixed assets: Housing properties at cost (Current period)]],VfM_Metrics_2023_Consol[[#This Row],[Tangible fixed assets Housing properties at valuation (Current period)]] )</f>
        <v>11354142</v>
      </c>
      <c r="L104" s="84" vm="1469">
        <v>11354142</v>
      </c>
      <c r="M104" s="83" vm="1470">
        <v>0</v>
      </c>
      <c r="N104" s="7">
        <f xml:space="preserve"> IFERROR( VfM_Metrics_2023_Consol[[#This Row],[Total social units developed or newly built units acquired in-year]] / VfM_Metrics_2023_Consol[[#This Row],[Social housing units owned (period end)]], "n/a" )</f>
        <v>3.1225867105395697E-2</v>
      </c>
      <c r="O104" s="5">
        <f xml:space="preserve"> SUM( VfM_Metrics_2023_Consol[[#This Row],[Total social units developed or newly built units acquired in-year (owned)]], VfM_Metrics_2023_Consol[[#This Row],[Total social leasehold units developed or newly built units acquired in-year (owned)]] )</f>
        <v>2790</v>
      </c>
      <c r="P104" s="84" vm="1471">
        <v>2790</v>
      </c>
      <c r="Q104" s="83" vm="1472">
        <v>0</v>
      </c>
      <c r="R104" s="5">
        <f xml:space="preserve"> SUM( VfM_Metrics_2023_Consol[[#This Row],[Total social housing units owned (Period end)]], VfM_Metrics_2023_Consol[[#This Row],[Total social leasehold units owned (Period end)]] )</f>
        <v>89349</v>
      </c>
      <c r="S104" s="84" vm="1464">
        <v>88736</v>
      </c>
      <c r="T104" s="83" vm="8339">
        <v>613</v>
      </c>
      <c r="U104" s="86">
        <f xml:space="preserve"> IFERROR( VfM_Metrics_2023_Consol[[#This Row],[Total non-social housing units developed or newly built units acquired (owned)]] / VfM_Metrics_2023_Consol[[#This Row],[Total social and non-social housing units owned (Period end)]], "n/a" )</f>
        <v>6.5167525649515801E-3</v>
      </c>
      <c r="V10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679</v>
      </c>
      <c r="W104" s="83" vm="1473">
        <v>9</v>
      </c>
      <c r="X104" s="83" vm="1474">
        <v>241</v>
      </c>
      <c r="Y104" s="83" vm="1475">
        <v>429</v>
      </c>
      <c r="Z10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104193</v>
      </c>
      <c r="AA104" s="84" vm="1464">
        <v>88736</v>
      </c>
      <c r="AB104" s="83" vm="8338">
        <v>613</v>
      </c>
      <c r="AC104" s="83" vm="1476">
        <v>3775</v>
      </c>
      <c r="AD104" s="83" vm="8430">
        <v>11069</v>
      </c>
      <c r="AE104" s="7">
        <f xml:space="preserve"> IFERROR( VfM_Metrics_2023_Consol[[#This Row],[Total Net Debt]] / VfM_Metrics_2023_Consol[[#This Row],[Net Book Value of Housing Properties2]], "n/a" )</f>
        <v>0.46627398177687052</v>
      </c>
      <c r="AF10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5294141</v>
      </c>
      <c r="AG104" s="84" vm="1402">
        <v>316220</v>
      </c>
      <c r="AH104" s="83" vm="8243">
        <v>5124274</v>
      </c>
      <c r="AI104" s="83" vm="1477">
        <v>146353</v>
      </c>
      <c r="AJ104" s="83" vm="1478">
        <v>0</v>
      </c>
      <c r="AK104" s="83" vm="8413">
        <v>0</v>
      </c>
      <c r="AL104" s="5">
        <f xml:space="preserve"> SUM( VfM_Metrics_2023_Consol[[#This Row],[Tangible fixed assets: Housing properties at cost (Current period)2]], VfM_Metrics_2023_Consol[[#This Row],[Tangible fixed assets Housing properties at valuation (Current period)2]] )</f>
        <v>11354142</v>
      </c>
      <c r="AM104" s="84" vm="1469">
        <v>11354142</v>
      </c>
      <c r="AN104" s="83" vm="8085">
        <v>0</v>
      </c>
      <c r="AO104" s="87">
        <f xml:space="preserve"> IFERROR( VfM_Metrics_2023_Consol[[#This Row],[EBITDA MRI]] / VfM_Metrics_2023_Consol[[#This Row],[Total interest]], "n/a" )</f>
        <v>0.17519683008120854</v>
      </c>
      <c r="AP10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33957</v>
      </c>
      <c r="AQ104" s="84" vm="1276">
        <v>228232</v>
      </c>
      <c r="AR104" s="84" vm="1479">
        <v>151770</v>
      </c>
      <c r="AS104" s="84" vm="8440">
        <v>25</v>
      </c>
      <c r="AT104" s="84" vm="1126">
        <v>25634</v>
      </c>
      <c r="AU104" s="84" vm="1480">
        <v>0</v>
      </c>
      <c r="AV104" s="84" vm="1481">
        <v>1390</v>
      </c>
      <c r="AW104" s="84" vm="1482">
        <v>117747</v>
      </c>
      <c r="AX104" s="84" vm="8241">
        <v>99511</v>
      </c>
      <c r="AY104" s="3">
        <f xml:space="preserve"> - SUM( VfM_Metrics_2023_Consol[[#This Row],[Interest capitalised]], VfM_Metrics_2023_Consol[[#This Row],[Interest payable and financing costs]] )</f>
        <v>193822</v>
      </c>
      <c r="AZ104" s="84" vm="1483">
        <v>-45048</v>
      </c>
      <c r="BA104" s="83" vm="8243">
        <v>-148774</v>
      </c>
      <c r="BB104" s="8">
        <f xml:space="preserve"> IFERROR( ( VfM_Metrics_2023_Consol[[#This Row],[Total Costs]] / VfM_Metrics_2023_Consol[[#This Row],[Total units for costs]] ) * 1000, "n/a" )</f>
        <v>7625.6759035467376</v>
      </c>
      <c r="BC10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678342</v>
      </c>
      <c r="BD104" s="84" vm="2521">
        <v>73757</v>
      </c>
      <c r="BE104" s="83" vm="1484">
        <v>90580</v>
      </c>
      <c r="BF104" s="83" vm="1485">
        <v>172723</v>
      </c>
      <c r="BG104" s="83" vm="8353">
        <v>56720</v>
      </c>
      <c r="BH104" s="83" vm="1486">
        <v>0</v>
      </c>
      <c r="BI104" s="83" vm="1487">
        <v>0</v>
      </c>
      <c r="BJ104" s="83" vm="1482">
        <v>117747</v>
      </c>
      <c r="BK104" s="83" vm="1262">
        <v>643</v>
      </c>
      <c r="BL104" s="83" vm="8356">
        <v>143271</v>
      </c>
      <c r="BM104" s="83" vm="1488">
        <v>10444</v>
      </c>
      <c r="BN104" s="83" vm="1489">
        <v>1548</v>
      </c>
      <c r="BO104" s="83" vm="8565">
        <v>10909</v>
      </c>
      <c r="BP104" s="5" vm="8084">
        <f xml:space="preserve"> VfM_Metrics_2023_Consol[[#This Row],[Total social housing units owned and/or managed at period end]]</f>
        <v>88955</v>
      </c>
      <c r="BQ104" s="84" vm="8084">
        <v>88955</v>
      </c>
      <c r="BR104" s="7">
        <f xml:space="preserve"> IFERROR( VfM_Metrics_2023_Consol[[#This Row],[SHL operating surplus / (deficit)]] / VfM_Metrics_2023_Consol[[#This Row],[Turnover from social housing lettings]], "n/a" )</f>
        <v>0.25105201953639816</v>
      </c>
      <c r="BS104" s="5" vm="1490">
        <f xml:space="preserve"> VfM_Metrics_2023_Consol[[#This Row],[Operating surplus/(deficit) (social housing lettings)]]</f>
        <v>161916</v>
      </c>
      <c r="BT104" s="84" vm="1490">
        <v>161916</v>
      </c>
      <c r="BU104" s="5" vm="1491">
        <f xml:space="preserve"> VfM_Metrics_2023_Consol[[#This Row],[Turnover from social housing lettings]]</f>
        <v>644950</v>
      </c>
      <c r="BV104" s="84" vm="1491">
        <v>644950</v>
      </c>
      <c r="BW104" s="7">
        <f xml:space="preserve"> IFERROR( VfM_Metrics_2023_Consol[[#This Row],[Net operating surplus]] / VfM_Metrics_2023_Consol[[#This Row],[Overall turnover]], "n/a" )</f>
        <v>6.4984905124606043E-2</v>
      </c>
      <c r="BX104" s="5">
        <f xml:space="preserve"> SUM( VfM_Metrics_2023_Consol[[#This Row],[Operating surplus/(deficit) (overall)2]], - VfM_Metrics_2023_Consol[[#This Row],[Gain/(loss) on disposal of fixed assets (housing properties)2]], - VfM_Metrics_2023_Consol[[#This Row],[Gain/(loss) on disposal of fixed assets (other)2]] )</f>
        <v>76437</v>
      </c>
      <c r="BY104" s="84" vm="8334">
        <v>228232</v>
      </c>
      <c r="BZ104" s="83" vm="1479">
        <v>151770</v>
      </c>
      <c r="CA104" s="83" vm="7140">
        <v>25</v>
      </c>
      <c r="CB104" s="5" vm="8431">
        <f xml:space="preserve"> VfM_Metrics_2023_Consol[[#This Row],[Turnover (overall)]]</f>
        <v>1176227</v>
      </c>
      <c r="CC104" s="84" vm="8431">
        <v>1176227</v>
      </c>
      <c r="CD104" s="7">
        <f xml:space="preserve"> IFERROR( VfM_Metrics_2023_Consol[[#This Row],[Operating surplus including from JVs]] / VfM_Metrics_2023_Consol[[#This Row],[Net assets]], "n/a" )</f>
        <v>1.8778592503139624E-2</v>
      </c>
      <c r="CE104" s="5">
        <f xml:space="preserve"> SUM( VfM_Metrics_2023_Consol[[#This Row],[Operating surplus/(deficit) (overall)3]], VfM_Metrics_2023_Consol[[#This Row],[Share of operating surplus/(deficit) in joint ventures or associates]] )</f>
        <v>247605</v>
      </c>
      <c r="CF104" s="84" vm="1329">
        <v>228232</v>
      </c>
      <c r="CG104" s="83" vm="1493">
        <v>19373</v>
      </c>
      <c r="CH104" s="5" vm="1492">
        <f xml:space="preserve"> VfM_Metrics_2023_Consol[[#This Row],[Total assets less current liabilities]]</f>
        <v>13185493</v>
      </c>
      <c r="CI104" s="84" vm="1492">
        <v>13185493</v>
      </c>
      <c r="CJ104" s="71" vm="1464">
        <f xml:space="preserve"> VfM_Metrics_2023_Consol[[#This Row],[Total social housing units owned (Period end)]]</f>
        <v>88736</v>
      </c>
      <c r="CK104" s="103">
        <v>2.7788560337938122E-2</v>
      </c>
      <c r="CL104" s="6">
        <f xml:space="preserve"> -- ( VfM_Metrics_2023_Consol[[#This Row],[% Supported housing (excl. HOP)]] &gt; 0.3 )</f>
        <v>0</v>
      </c>
      <c r="CM104" s="103">
        <v>5.6935723256079464E-2</v>
      </c>
      <c r="CN104" s="6">
        <f xml:space="preserve"> -- ( VfM_Metrics_2023_Consol[[#This Row],[% Housing for older people]] &gt; 0.3 )</f>
        <v>0</v>
      </c>
      <c r="CO104" s="103">
        <f xml:space="preserve"> VfM_Metrics_2023_Consol[[#This Row],[% Supported housing (excl. HOP)]] + VfM_Metrics_2023_Consol[[#This Row],[% Housing for older people]]</f>
        <v>8.4724283594017583E-2</v>
      </c>
      <c r="CP104" s="6">
        <f xml:space="preserve"> -- ( VfM_Metrics_2023_Consol[[#This Row],[SH specialist in RSH analysis]] + VfM_Metrics_2023_Consol[[#This Row],[OP specialist in RSH analysis]] &gt; 0 )</f>
        <v>0</v>
      </c>
      <c r="CQ104" s="10">
        <f xml:space="preserve"> -- ( VfM_Metrics_2023_Consol[[#This Row],[% SH and OP]] &gt; 0.3 )</f>
        <v>0</v>
      </c>
      <c r="CR104" s="104" t="s">
        <v>143</v>
      </c>
      <c r="CS104" s="124" t="s">
        <v>144</v>
      </c>
      <c r="CT104" s="105"/>
      <c r="CU10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04" s="85">
        <v>0.76900419807700993</v>
      </c>
      <c r="CW104" s="85">
        <v>8.4221098722520649E-2</v>
      </c>
      <c r="CX104" s="85">
        <v>7.8996072766668166E-5</v>
      </c>
      <c r="CY104" s="85">
        <v>3.3855459757143503E-5</v>
      </c>
      <c r="CZ104" s="85">
        <v>2.7648625468333862E-3</v>
      </c>
      <c r="DA104" s="85">
        <v>3.7534419717419762E-2</v>
      </c>
      <c r="DB104" s="85">
        <v>1.1285153252381168E-5</v>
      </c>
      <c r="DC104" s="85">
        <v>0.10635128425044012</v>
      </c>
      <c r="DD104" s="85">
        <v>0</v>
      </c>
      <c r="DE104" s="13">
        <v>1.1223470353341685</v>
      </c>
    </row>
    <row r="105" spans="1:109" x14ac:dyDescent="0.25">
      <c r="A105" s="4" t="s" vm="341">
        <v>334</v>
      </c>
      <c r="B105" s="2" t="s" vm="95">
        <v>335</v>
      </c>
      <c r="C105" s="72" vm="428">
        <v>45016</v>
      </c>
      <c r="D105" s="7">
        <f>IFERROR( VfM_Metrics_2023_Consol[[#This Row],[Reinvestment Spend]] / VfM_Metrics_2023_Consol[[#This Row],[Net Book Value of Housing Properties]], "n/a" )</f>
        <v>6.8565815472386799E-2</v>
      </c>
      <c r="E10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90882</v>
      </c>
      <c r="F105" s="83" vm="4778">
        <v>76021</v>
      </c>
      <c r="G105" s="83" vm="4779">
        <v>0</v>
      </c>
      <c r="H105" s="83" vm="4780">
        <v>11961</v>
      </c>
      <c r="I105" s="83" vm="4781">
        <v>2900</v>
      </c>
      <c r="J105" s="83" vm="4782">
        <v>0</v>
      </c>
      <c r="K105" s="5">
        <f xml:space="preserve"> SUM( VfM_Metrics_2023_Consol[[#This Row],[Tangible fixed assets: Housing properties at cost (Current period)]],VfM_Metrics_2023_Consol[[#This Row],[Tangible fixed assets Housing properties at valuation (Current period)]] )</f>
        <v>1325471</v>
      </c>
      <c r="L105" s="84" vm="7497">
        <v>1325471</v>
      </c>
      <c r="M105" s="83">
        <v>0</v>
      </c>
      <c r="N105" s="7">
        <f xml:space="preserve"> IFERROR( VfM_Metrics_2023_Consol[[#This Row],[Total social units developed or newly built units acquired in-year]] / VfM_Metrics_2023_Consol[[#This Row],[Social housing units owned (period end)]], "n/a" )</f>
        <v>2.5313867419130578E-2</v>
      </c>
      <c r="O105" s="5">
        <f xml:space="preserve"> SUM( VfM_Metrics_2023_Consol[[#This Row],[Total social units developed or newly built units acquired in-year (owned)]], VfM_Metrics_2023_Consol[[#This Row],[Total social leasehold units developed or newly built units acquired in-year (owned)]] )</f>
        <v>619</v>
      </c>
      <c r="P105" s="84" vm="4783">
        <v>619</v>
      </c>
      <c r="Q105" s="83" vm="4784">
        <v>0</v>
      </c>
      <c r="R105" s="5">
        <f xml:space="preserve"> SUM( VfM_Metrics_2023_Consol[[#This Row],[Total social housing units owned (Period end)]], VfM_Metrics_2023_Consol[[#This Row],[Total social leasehold units owned (Period end)]] )</f>
        <v>24453</v>
      </c>
      <c r="S105" s="84" vm="4776">
        <v>22549</v>
      </c>
      <c r="T105" s="83" vm="4785">
        <v>1904</v>
      </c>
      <c r="U105" s="86">
        <f xml:space="preserve"> IFERROR( VfM_Metrics_2023_Consol[[#This Row],[Total non-social housing units developed or newly built units acquired (owned)]] / VfM_Metrics_2023_Consol[[#This Row],[Total social and non-social housing units owned (Period end)]], "n/a" )</f>
        <v>0</v>
      </c>
      <c r="V10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05" s="83" vm="4786">
        <v>0</v>
      </c>
      <c r="X105" s="83">
        <v>0</v>
      </c>
      <c r="Y105" s="83" vm="4787">
        <v>0</v>
      </c>
      <c r="Z10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24531</v>
      </c>
      <c r="AA105" s="84" vm="4776">
        <v>22549</v>
      </c>
      <c r="AB105" s="83" vm="4785">
        <v>1904</v>
      </c>
      <c r="AC105" s="83" vm="7386">
        <v>78</v>
      </c>
      <c r="AD105" s="83" vm="4080">
        <v>0</v>
      </c>
      <c r="AE105" s="7">
        <f xml:space="preserve"> IFERROR( VfM_Metrics_2023_Consol[[#This Row],[Total Net Debt]] / VfM_Metrics_2023_Consol[[#This Row],[Net Book Value of Housing Properties2]], "n/a" )</f>
        <v>0.51150723026003586</v>
      </c>
      <c r="AF10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677988</v>
      </c>
      <c r="AG105" s="84" vm="4788">
        <v>14969</v>
      </c>
      <c r="AH105" s="83" vm="4789">
        <v>706842</v>
      </c>
      <c r="AI105" s="83" vm="4790">
        <v>43823</v>
      </c>
      <c r="AJ105" s="83" vm="1675">
        <v>0</v>
      </c>
      <c r="AK105" s="83">
        <v>0</v>
      </c>
      <c r="AL105" s="5">
        <f xml:space="preserve"> SUM( VfM_Metrics_2023_Consol[[#This Row],[Tangible fixed assets: Housing properties at cost (Current period)2]], VfM_Metrics_2023_Consol[[#This Row],[Tangible fixed assets Housing properties at valuation (Current period)2]] )</f>
        <v>1325471</v>
      </c>
      <c r="AM105" s="84" vm="7049">
        <v>1325471</v>
      </c>
      <c r="AN105" s="83">
        <v>0</v>
      </c>
      <c r="AO105" s="87">
        <f xml:space="preserve"> IFERROR( VfM_Metrics_2023_Consol[[#This Row],[EBITDA MRI]] / VfM_Metrics_2023_Consol[[#This Row],[Total interest]], "n/a" )</f>
        <v>1.1790504131241768</v>
      </c>
      <c r="AP10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39385</v>
      </c>
      <c r="AQ105" s="84" vm="7461">
        <v>36744</v>
      </c>
      <c r="AR105" s="84" vm="4792">
        <v>4454</v>
      </c>
      <c r="AS105" s="84" vm="7325">
        <v>-267</v>
      </c>
      <c r="AT105" s="84" vm="4793">
        <v>3036</v>
      </c>
      <c r="AU105" s="84" vm="7153">
        <v>0</v>
      </c>
      <c r="AV105" s="84" vm="4794">
        <v>1370</v>
      </c>
      <c r="AW105" s="84" vm="4795">
        <v>11961</v>
      </c>
      <c r="AX105" s="84" vm="4796">
        <v>20455</v>
      </c>
      <c r="AY105" s="3">
        <f xml:space="preserve"> - SUM( VfM_Metrics_2023_Consol[[#This Row],[Interest capitalised]], VfM_Metrics_2023_Consol[[#This Row],[Interest payable and financing costs]] )</f>
        <v>33404</v>
      </c>
      <c r="AZ105" s="84" vm="4797">
        <v>-3234</v>
      </c>
      <c r="BA105" s="83" vm="4798">
        <v>-30170</v>
      </c>
      <c r="BB105" s="8">
        <f xml:space="preserve"> IFERROR( ( VfM_Metrics_2023_Consol[[#This Row],[Total Costs]] / VfM_Metrics_2023_Consol[[#This Row],[Total units for costs]] ) * 1000, "n/a" )</f>
        <v>4418.4751381215474</v>
      </c>
      <c r="BC10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99968</v>
      </c>
      <c r="BD105" s="84" vm="4799">
        <v>23878</v>
      </c>
      <c r="BE105" s="83" vm="3486">
        <v>12267</v>
      </c>
      <c r="BF105" s="83" vm="3922">
        <v>20422</v>
      </c>
      <c r="BG105" s="83" vm="4800">
        <v>10156</v>
      </c>
      <c r="BH105" s="83" vm="4801">
        <v>1016</v>
      </c>
      <c r="BI105" s="83" vm="4802">
        <v>230</v>
      </c>
      <c r="BJ105" s="83" vm="4795">
        <v>11961</v>
      </c>
      <c r="BK105" s="83" vm="5681">
        <v>9851</v>
      </c>
      <c r="BL105" s="83" vm="5563">
        <v>1076</v>
      </c>
      <c r="BM105" s="83">
        <v>0</v>
      </c>
      <c r="BN105" s="83" vm="4803">
        <v>6318</v>
      </c>
      <c r="BO105" s="83" vm="4804">
        <v>2793</v>
      </c>
      <c r="BP105" s="5" vm="4777">
        <f xml:space="preserve"> VfM_Metrics_2023_Consol[[#This Row],[Total social housing units owned and/or managed at period end]]</f>
        <v>22625</v>
      </c>
      <c r="BQ105" s="84" vm="4777">
        <v>22625</v>
      </c>
      <c r="BR105" s="7">
        <f xml:space="preserve"> IFERROR( VfM_Metrics_2023_Consol[[#This Row],[SHL operating surplus / (deficit)]] / VfM_Metrics_2023_Consol[[#This Row],[Turnover from social housing lettings]], "n/a" )</f>
        <v>0.2311346276257161</v>
      </c>
      <c r="BS105" s="5" vm="4805">
        <f xml:space="preserve"> VfM_Metrics_2023_Consol[[#This Row],[Operating surplus/(deficit) (social housing lettings)]]</f>
        <v>29049</v>
      </c>
      <c r="BT105" s="84" vm="4805">
        <v>29049</v>
      </c>
      <c r="BU105" s="5" vm="4806">
        <f xml:space="preserve"> VfM_Metrics_2023_Consol[[#This Row],[Turnover from social housing lettings]]</f>
        <v>125680</v>
      </c>
      <c r="BV105" s="84" vm="4806">
        <v>125680</v>
      </c>
      <c r="BW105" s="7">
        <f xml:space="preserve"> IFERROR( VfM_Metrics_2023_Consol[[#This Row],[Net operating surplus]] / VfM_Metrics_2023_Consol[[#This Row],[Overall turnover]], "n/a" )</f>
        <v>0.20680959186914405</v>
      </c>
      <c r="BX105" s="5">
        <f xml:space="preserve"> SUM( VfM_Metrics_2023_Consol[[#This Row],[Operating surplus/(deficit) (overall)2]], - VfM_Metrics_2023_Consol[[#This Row],[Gain/(loss) on disposal of fixed assets (housing properties)2]], - VfM_Metrics_2023_Consol[[#This Row],[Gain/(loss) on disposal of fixed assets (other)2]] )</f>
        <v>32557</v>
      </c>
      <c r="BY105" s="84" vm="4791">
        <v>36744</v>
      </c>
      <c r="BZ105" s="83" vm="4792">
        <v>4454</v>
      </c>
      <c r="CA105" s="83" vm="7401">
        <v>-267</v>
      </c>
      <c r="CB105" s="5" vm="4807">
        <f xml:space="preserve"> VfM_Metrics_2023_Consol[[#This Row],[Turnover (overall)]]</f>
        <v>157425</v>
      </c>
      <c r="CC105" s="84" vm="4807">
        <v>157425</v>
      </c>
      <c r="CD105" s="7">
        <f xml:space="preserve"> IFERROR( VfM_Metrics_2023_Consol[[#This Row],[Operating surplus including from JVs]] / VfM_Metrics_2023_Consol[[#This Row],[Net assets]], "n/a" )</f>
        <v>2.655058876543237E-2</v>
      </c>
      <c r="CE105" s="5">
        <f xml:space="preserve"> SUM( VfM_Metrics_2023_Consol[[#This Row],[Operating surplus/(deficit) (overall)3]], VfM_Metrics_2023_Consol[[#This Row],[Share of operating surplus/(deficit) in joint ventures or associates]] )</f>
        <v>36295</v>
      </c>
      <c r="CF105" s="84" vm="4791">
        <v>36744</v>
      </c>
      <c r="CG105" s="83" vm="4809">
        <v>-449</v>
      </c>
      <c r="CH105" s="5" vm="4808">
        <f xml:space="preserve"> VfM_Metrics_2023_Consol[[#This Row],[Total assets less current liabilities]]</f>
        <v>1367013</v>
      </c>
      <c r="CI105" s="84" vm="4808">
        <v>1367013</v>
      </c>
      <c r="CJ105" s="71" vm="4776">
        <f xml:space="preserve"> VfM_Metrics_2023_Consol[[#This Row],[Total social housing units owned (Period end)]]</f>
        <v>22549</v>
      </c>
      <c r="CK105" s="103">
        <v>2.2470404288586106E-2</v>
      </c>
      <c r="CL105" s="6">
        <f xml:space="preserve"> -- ( VfM_Metrics_2023_Consol[[#This Row],[% Supported housing (excl. HOP)]] &gt; 0.3 )</f>
        <v>0</v>
      </c>
      <c r="CM105" s="103">
        <v>5.2669198123743578E-2</v>
      </c>
      <c r="CN105" s="6">
        <f xml:space="preserve"> -- ( VfM_Metrics_2023_Consol[[#This Row],[% Housing for older people]] &gt; 0.3 )</f>
        <v>0</v>
      </c>
      <c r="CO105" s="103">
        <f xml:space="preserve"> VfM_Metrics_2023_Consol[[#This Row],[% Supported housing (excl. HOP)]] + VfM_Metrics_2023_Consol[[#This Row],[% Housing for older people]]</f>
        <v>7.5139602412329684E-2</v>
      </c>
      <c r="CP105" s="6">
        <f xml:space="preserve"> -- ( VfM_Metrics_2023_Consol[[#This Row],[SH specialist in RSH analysis]] + VfM_Metrics_2023_Consol[[#This Row],[OP specialist in RSH analysis]] &gt; 0 )</f>
        <v>0</v>
      </c>
      <c r="CQ105" s="10">
        <f xml:space="preserve"> -- ( VfM_Metrics_2023_Consol[[#This Row],[% SH and OP]] &gt; 0.3 )</f>
        <v>0</v>
      </c>
      <c r="CR105" s="104" t="s">
        <v>143</v>
      </c>
      <c r="CS105" s="124" t="s">
        <v>144</v>
      </c>
      <c r="CT105" s="105"/>
      <c r="CU10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Midlands</v>
      </c>
      <c r="CV105" s="85">
        <v>4.4499822000712E-5</v>
      </c>
      <c r="CW105" s="85">
        <v>0</v>
      </c>
      <c r="CX105" s="85">
        <v>0</v>
      </c>
      <c r="CY105" s="85">
        <v>0.625</v>
      </c>
      <c r="CZ105" s="85">
        <v>0.1242435030259879</v>
      </c>
      <c r="DA105" s="85">
        <v>0.16300284798860804</v>
      </c>
      <c r="DB105" s="85">
        <v>0</v>
      </c>
      <c r="DC105" s="85">
        <v>0</v>
      </c>
      <c r="DD105" s="85">
        <v>8.7709149163403347E-2</v>
      </c>
      <c r="DE105" s="13">
        <v>0.9565601555265284</v>
      </c>
    </row>
    <row r="106" spans="1:109" x14ac:dyDescent="0.25">
      <c r="A106" s="4" t="s" vm="199">
        <v>336</v>
      </c>
      <c r="B106" s="2" t="s" vm="96">
        <v>337</v>
      </c>
      <c r="C106" s="72" vm="486">
        <v>45016</v>
      </c>
      <c r="D106" s="7">
        <f>IFERROR( VfM_Metrics_2023_Consol[[#This Row],[Reinvestment Spend]] / VfM_Metrics_2023_Consol[[#This Row],[Net Book Value of Housing Properties]], "n/a" )</f>
        <v>3.7959952577334581E-2</v>
      </c>
      <c r="E10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5219</v>
      </c>
      <c r="F106" s="83" vm="9181">
        <v>0</v>
      </c>
      <c r="G106" s="83" vm="9103">
        <v>858</v>
      </c>
      <c r="H106" s="83" vm="607">
        <v>4361</v>
      </c>
      <c r="I106" s="83" vm="595">
        <v>0</v>
      </c>
      <c r="J106" s="83" vm="9202">
        <v>0</v>
      </c>
      <c r="K106" s="5">
        <f xml:space="preserve"> SUM( VfM_Metrics_2023_Consol[[#This Row],[Tangible fixed assets: Housing properties at cost (Current period)]],VfM_Metrics_2023_Consol[[#This Row],[Tangible fixed assets Housing properties at valuation (Current period)]] )</f>
        <v>137487</v>
      </c>
      <c r="L106" s="84" vm="9176">
        <v>137487</v>
      </c>
      <c r="M106" s="83">
        <v>0</v>
      </c>
      <c r="N106" s="7">
        <f xml:space="preserve"> IFERROR( VfM_Metrics_2023_Consol[[#This Row],[Total social units developed or newly built units acquired in-year]] / VfM_Metrics_2023_Consol[[#This Row],[Social housing units owned (period end)]], "n/a" )</f>
        <v>4.7808764940239041E-3</v>
      </c>
      <c r="O106" s="5">
        <f xml:space="preserve"> SUM( VfM_Metrics_2023_Consol[[#This Row],[Total social units developed or newly built units acquired in-year (owned)]], VfM_Metrics_2023_Consol[[#This Row],[Total social leasehold units developed or newly built units acquired in-year (owned)]] )</f>
        <v>6</v>
      </c>
      <c r="P106" s="84" vm="9152">
        <v>6</v>
      </c>
      <c r="Q106" s="83">
        <v>0</v>
      </c>
      <c r="R106" s="5">
        <f xml:space="preserve"> SUM( VfM_Metrics_2023_Consol[[#This Row],[Total social housing units owned (Period end)]], VfM_Metrics_2023_Consol[[#This Row],[Total social leasehold units owned (Period end)]] )</f>
        <v>1255</v>
      </c>
      <c r="S106" s="84" vm="9175">
        <v>1255</v>
      </c>
      <c r="T106" s="83" vm="712">
        <v>0</v>
      </c>
      <c r="U106" s="86">
        <f xml:space="preserve"> IFERROR( VfM_Metrics_2023_Consol[[#This Row],[Total non-social housing units developed or newly built units acquired (owned)]] / VfM_Metrics_2023_Consol[[#This Row],[Total social and non-social housing units owned (Period end)]], "n/a" )</f>
        <v>0</v>
      </c>
      <c r="V10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06" s="83">
        <v>0</v>
      </c>
      <c r="X106" s="83">
        <v>0</v>
      </c>
      <c r="Y106" s="83">
        <v>0</v>
      </c>
      <c r="Z10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1299</v>
      </c>
      <c r="AA106" s="84" vm="9042">
        <v>1255</v>
      </c>
      <c r="AB106" s="83" vm="741">
        <v>0</v>
      </c>
      <c r="AC106" s="83" vm="9208">
        <v>44</v>
      </c>
      <c r="AD106" s="83" vm="609">
        <v>0</v>
      </c>
      <c r="AE106" s="7">
        <f xml:space="preserve"> IFERROR( VfM_Metrics_2023_Consol[[#This Row],[Total Net Debt]] / VfM_Metrics_2023_Consol[[#This Row],[Net Book Value of Housing Properties2]], "n/a" )</f>
        <v>0.15199982543804141</v>
      </c>
      <c r="AF10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20898</v>
      </c>
      <c r="AG106" s="84" vm="610">
        <v>21866</v>
      </c>
      <c r="AH106" s="83" vm="611">
        <v>3134</v>
      </c>
      <c r="AI106" s="83" vm="9145">
        <v>4119</v>
      </c>
      <c r="AJ106" s="83" vm="1675">
        <v>0</v>
      </c>
      <c r="AK106" s="83" vm="9174">
        <v>17</v>
      </c>
      <c r="AL106" s="5">
        <f xml:space="preserve"> SUM( VfM_Metrics_2023_Consol[[#This Row],[Tangible fixed assets: Housing properties at cost (Current period)2]], VfM_Metrics_2023_Consol[[#This Row],[Tangible fixed assets Housing properties at valuation (Current period)2]] )</f>
        <v>137487</v>
      </c>
      <c r="AM106" s="84" vm="608">
        <v>137487</v>
      </c>
      <c r="AN106" s="83">
        <v>0</v>
      </c>
      <c r="AO106" s="87">
        <f xml:space="preserve"> IFERROR( VfM_Metrics_2023_Consol[[#This Row],[EBITDA MRI]] / VfM_Metrics_2023_Consol[[#This Row],[Total interest]], "n/a" )</f>
        <v>-2.3613101330603889</v>
      </c>
      <c r="AP10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-2307</v>
      </c>
      <c r="AQ106" s="84" vm="612">
        <v>-1577</v>
      </c>
      <c r="AR106" s="84" vm="613">
        <v>38</v>
      </c>
      <c r="AS106" s="84" vm="614">
        <v>0</v>
      </c>
      <c r="AT106" s="84" vm="615">
        <v>888</v>
      </c>
      <c r="AU106" s="84" vm="9143">
        <v>0</v>
      </c>
      <c r="AV106" s="84" vm="9199">
        <v>352</v>
      </c>
      <c r="AW106" s="84" vm="9170">
        <v>4361</v>
      </c>
      <c r="AX106" s="84" vm="9038">
        <v>4205</v>
      </c>
      <c r="AY106" s="3">
        <f xml:space="preserve"> - SUM( VfM_Metrics_2023_Consol[[#This Row],[Interest capitalised]], VfM_Metrics_2023_Consol[[#This Row],[Interest payable and financing costs]] )</f>
        <v>977</v>
      </c>
      <c r="AZ106" s="84">
        <v>0</v>
      </c>
      <c r="BA106" s="83" vm="616">
        <v>-977</v>
      </c>
      <c r="BB106" s="8">
        <f xml:space="preserve"> IFERROR( ( VfM_Metrics_2023_Consol[[#This Row],[Total Costs]] / VfM_Metrics_2023_Consol[[#This Row],[Total units for costs]] ) * 1000, "n/a" )</f>
        <v>30446.12244897959</v>
      </c>
      <c r="BC10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74593</v>
      </c>
      <c r="BD106" s="84" vm="617">
        <v>12850</v>
      </c>
      <c r="BE106" s="83" vm="748">
        <v>12879</v>
      </c>
      <c r="BF106" s="83" vm="618">
        <v>2268</v>
      </c>
      <c r="BG106" s="83" vm="9141">
        <v>0</v>
      </c>
      <c r="BH106" s="83" vm="619">
        <v>272</v>
      </c>
      <c r="BI106" s="83" vm="9167">
        <v>0</v>
      </c>
      <c r="BJ106" s="83" vm="9035">
        <v>4361</v>
      </c>
      <c r="BK106" s="83" vm="620">
        <v>0</v>
      </c>
      <c r="BL106" s="83">
        <v>0</v>
      </c>
      <c r="BM106" s="83">
        <v>0</v>
      </c>
      <c r="BN106" s="83">
        <v>0</v>
      </c>
      <c r="BO106" s="83" vm="621">
        <v>41963</v>
      </c>
      <c r="BP106" s="5" vm="606">
        <f xml:space="preserve"> VfM_Metrics_2023_Consol[[#This Row],[Total social housing units owned and/or managed at period end]]</f>
        <v>2450</v>
      </c>
      <c r="BQ106" s="84" vm="606">
        <v>2450</v>
      </c>
      <c r="BR106" s="7">
        <f xml:space="preserve"> IFERROR( VfM_Metrics_2023_Consol[[#This Row],[SHL operating surplus / (deficit)]] / VfM_Metrics_2023_Consol[[#This Row],[Turnover from social housing lettings]], "n/a" )</f>
        <v>-5.9482583010796494E-2</v>
      </c>
      <c r="BS106" s="5" vm="9032">
        <f xml:space="preserve"> VfM_Metrics_2023_Consol[[#This Row],[Operating surplus/(deficit) (social housing lettings)]]</f>
        <v>-1752</v>
      </c>
      <c r="BT106" s="84" vm="9032">
        <v>-1752</v>
      </c>
      <c r="BU106" s="5" vm="622">
        <f xml:space="preserve"> VfM_Metrics_2023_Consol[[#This Row],[Turnover from social housing lettings]]</f>
        <v>29454</v>
      </c>
      <c r="BV106" s="84" vm="622">
        <v>29454</v>
      </c>
      <c r="BW106" s="7">
        <f xml:space="preserve"> IFERROR( VfM_Metrics_2023_Consol[[#This Row],[Net operating surplus]] / VfM_Metrics_2023_Consol[[#This Row],[Overall turnover]], "n/a" )</f>
        <v>-2.0374435445209799E-2</v>
      </c>
      <c r="BX106" s="5">
        <f xml:space="preserve"> SUM( VfM_Metrics_2023_Consol[[#This Row],[Operating surplus/(deficit) (overall)2]], - VfM_Metrics_2023_Consol[[#This Row],[Gain/(loss) on disposal of fixed assets (housing properties)2]], - VfM_Metrics_2023_Consol[[#This Row],[Gain/(loss) on disposal of fixed assets (other)2]] )</f>
        <v>-1615</v>
      </c>
      <c r="BY106" s="84" vm="9163">
        <v>-1577</v>
      </c>
      <c r="BZ106" s="83" vm="9179">
        <v>38</v>
      </c>
      <c r="CA106" s="83" vm="9031">
        <v>0</v>
      </c>
      <c r="CB106" s="5" vm="9101">
        <f xml:space="preserve"> VfM_Metrics_2023_Consol[[#This Row],[Turnover (overall)]]</f>
        <v>79266</v>
      </c>
      <c r="CC106" s="84" vm="9101">
        <v>79266</v>
      </c>
      <c r="CD106" s="7">
        <f xml:space="preserve"> IFERROR( VfM_Metrics_2023_Consol[[#This Row],[Operating surplus including from JVs]] / VfM_Metrics_2023_Consol[[#This Row],[Net assets]], "n/a" )</f>
        <v>-9.3357802510063929E-3</v>
      </c>
      <c r="CE106" s="5">
        <f xml:space="preserve"> SUM( VfM_Metrics_2023_Consol[[#This Row],[Operating surplus/(deficit) (overall)3]], VfM_Metrics_2023_Consol[[#This Row],[Share of operating surplus/(deficit) in joint ventures or associates]] )</f>
        <v>-1577</v>
      </c>
      <c r="CF106" s="84" vm="612">
        <v>-1577</v>
      </c>
      <c r="CG106" s="83" vm="9157">
        <v>0</v>
      </c>
      <c r="CH106" s="5" vm="623">
        <f xml:space="preserve"> VfM_Metrics_2023_Consol[[#This Row],[Total assets less current liabilities]]</f>
        <v>168920</v>
      </c>
      <c r="CI106" s="84" vm="623">
        <v>168920</v>
      </c>
      <c r="CJ106" s="71" vm="9175">
        <f xml:space="preserve"> VfM_Metrics_2023_Consol[[#This Row],[Total social housing units owned (Period end)]]</f>
        <v>1255</v>
      </c>
      <c r="CK106" s="103">
        <v>0.94895397489539746</v>
      </c>
      <c r="CL106" s="6">
        <f xml:space="preserve"> -- ( VfM_Metrics_2023_Consol[[#This Row],[% Supported housing (excl. HOP)]] &gt; 0.3 )</f>
        <v>1</v>
      </c>
      <c r="CM106" s="103">
        <v>0</v>
      </c>
      <c r="CN106" s="6">
        <f xml:space="preserve"> -- ( VfM_Metrics_2023_Consol[[#This Row],[% Housing for older people]] &gt; 0.3 )</f>
        <v>0</v>
      </c>
      <c r="CO106" s="103">
        <f xml:space="preserve"> VfM_Metrics_2023_Consol[[#This Row],[% Supported housing (excl. HOP)]] + VfM_Metrics_2023_Consol[[#This Row],[% Housing for older people]]</f>
        <v>0.94895397489539746</v>
      </c>
      <c r="CP106" s="6">
        <f xml:space="preserve"> -- ( VfM_Metrics_2023_Consol[[#This Row],[SH specialist in RSH analysis]] + VfM_Metrics_2023_Consol[[#This Row],[OP specialist in RSH analysis]] &gt; 0 )</f>
        <v>1</v>
      </c>
      <c r="CQ106" s="10">
        <f xml:space="preserve"> -- ( VfM_Metrics_2023_Consol[[#This Row],[% SH and OP]] &gt; 0.3 )</f>
        <v>1</v>
      </c>
      <c r="CR106" s="104" t="s">
        <v>143</v>
      </c>
      <c r="CS106" s="124" t="s">
        <v>144</v>
      </c>
      <c r="CT106" s="105"/>
      <c r="CU10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06" s="85">
        <v>0.82931034482758625</v>
      </c>
      <c r="CW106" s="85">
        <v>0.16982758620689656</v>
      </c>
      <c r="CX106" s="85">
        <v>0</v>
      </c>
      <c r="CY106" s="85">
        <v>0</v>
      </c>
      <c r="CZ106" s="85">
        <v>0</v>
      </c>
      <c r="DA106" s="85">
        <v>8.6206896551724137E-4</v>
      </c>
      <c r="DB106" s="85">
        <v>0</v>
      </c>
      <c r="DC106" s="85">
        <v>0</v>
      </c>
      <c r="DD106" s="85">
        <v>0</v>
      </c>
      <c r="DE106" s="13">
        <v>1.1387316615063199</v>
      </c>
    </row>
    <row r="107" spans="1:109" x14ac:dyDescent="0.25">
      <c r="A107" s="4" t="s" vm="276">
        <v>338</v>
      </c>
      <c r="B107" s="2" t="s" vm="97">
        <v>339</v>
      </c>
      <c r="C107" s="72" vm="553">
        <v>45016</v>
      </c>
      <c r="D107" s="7">
        <f>IFERROR( VfM_Metrics_2023_Consol[[#This Row],[Reinvestment Spend]] / VfM_Metrics_2023_Consol[[#This Row],[Net Book Value of Housing Properties]], "n/a" )</f>
        <v>6.4939281771543608E-2</v>
      </c>
      <c r="E10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15000</v>
      </c>
      <c r="F107" s="83" vm="2537">
        <v>12433</v>
      </c>
      <c r="G107" s="83" vm="7740">
        <v>90</v>
      </c>
      <c r="H107" s="83" vm="2538">
        <v>2477</v>
      </c>
      <c r="I107" s="83" vm="7871">
        <v>0</v>
      </c>
      <c r="J107" s="83" vm="7859">
        <v>0</v>
      </c>
      <c r="K107" s="5">
        <f xml:space="preserve"> SUM( VfM_Metrics_2023_Consol[[#This Row],[Tangible fixed assets: Housing properties at cost (Current period)]],VfM_Metrics_2023_Consol[[#This Row],[Tangible fixed assets Housing properties at valuation (Current period)]] )</f>
        <v>230985</v>
      </c>
      <c r="L107" s="84" vm="2539">
        <v>230985</v>
      </c>
      <c r="M107" s="83">
        <v>0</v>
      </c>
      <c r="N107" s="7">
        <f xml:space="preserve"> IFERROR( VfM_Metrics_2023_Consol[[#This Row],[Total social units developed or newly built units acquired in-year]] / VfM_Metrics_2023_Consol[[#This Row],[Social housing units owned (period end)]], "n/a" )</f>
        <v>2.7420214791682536E-3</v>
      </c>
      <c r="O107" s="5">
        <f xml:space="preserve"> SUM( VfM_Metrics_2023_Consol[[#This Row],[Total social units developed or newly built units acquired in-year (owned)]], VfM_Metrics_2023_Consol[[#This Row],[Total social leasehold units developed or newly built units acquired in-year (owned)]] )</f>
        <v>36</v>
      </c>
      <c r="P107" s="84" vm="2540">
        <v>36</v>
      </c>
      <c r="Q107" s="83">
        <v>0</v>
      </c>
      <c r="R107" s="5">
        <f xml:space="preserve"> SUM( VfM_Metrics_2023_Consol[[#This Row],[Total social housing units owned (Period end)]], VfM_Metrics_2023_Consol[[#This Row],[Total social leasehold units owned (Period end)]] )</f>
        <v>13129</v>
      </c>
      <c r="S107" s="84" vm="2535">
        <v>12634</v>
      </c>
      <c r="T107" s="83" vm="2541">
        <v>495</v>
      </c>
      <c r="U107" s="86">
        <f xml:space="preserve"> IFERROR( VfM_Metrics_2023_Consol[[#This Row],[Total non-social housing units developed or newly built units acquired (owned)]] / VfM_Metrics_2023_Consol[[#This Row],[Total social and non-social housing units owned (Period end)]], "n/a" )</f>
        <v>0</v>
      </c>
      <c r="V10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07" s="83">
        <v>0</v>
      </c>
      <c r="X107" s="83">
        <v>0</v>
      </c>
      <c r="Y107" s="83">
        <v>0</v>
      </c>
      <c r="Z10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13133</v>
      </c>
      <c r="AA107" s="84" vm="2535">
        <v>12634</v>
      </c>
      <c r="AB107" s="83" vm="2608">
        <v>495</v>
      </c>
      <c r="AC107" s="83" vm="2542">
        <v>4</v>
      </c>
      <c r="AD107" s="83" vm="2543">
        <v>0</v>
      </c>
      <c r="AE107" s="7">
        <f xml:space="preserve"> IFERROR( VfM_Metrics_2023_Consol[[#This Row],[Total Net Debt]] / VfM_Metrics_2023_Consol[[#This Row],[Net Book Value of Housing Properties2]], "n/a" )</f>
        <v>0.31718076931402472</v>
      </c>
      <c r="AF10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73264</v>
      </c>
      <c r="AG107" s="84">
        <v>0</v>
      </c>
      <c r="AH107" s="83" vm="7739">
        <v>87391</v>
      </c>
      <c r="AI107" s="83" vm="7789">
        <v>14127</v>
      </c>
      <c r="AJ107" s="83" vm="1675">
        <v>0</v>
      </c>
      <c r="AK107" s="83">
        <v>0</v>
      </c>
      <c r="AL107" s="5">
        <f xml:space="preserve"> SUM( VfM_Metrics_2023_Consol[[#This Row],[Tangible fixed assets: Housing properties at cost (Current period)2]], VfM_Metrics_2023_Consol[[#This Row],[Tangible fixed assets Housing properties at valuation (Current period)2]] )</f>
        <v>230985</v>
      </c>
      <c r="AM107" s="84" vm="2539">
        <v>230985</v>
      </c>
      <c r="AN107" s="83">
        <v>0</v>
      </c>
      <c r="AO107" s="87">
        <f xml:space="preserve"> IFERROR( VfM_Metrics_2023_Consol[[#This Row],[EBITDA MRI]] / VfM_Metrics_2023_Consol[[#This Row],[Total interest]], "n/a" )</f>
        <v>1.2447280799112097</v>
      </c>
      <c r="AP10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4486</v>
      </c>
      <c r="AQ107" s="84" vm="2544">
        <v>924</v>
      </c>
      <c r="AR107" s="84" vm="2545">
        <v>3388</v>
      </c>
      <c r="AS107" s="84" vm="7502">
        <v>0</v>
      </c>
      <c r="AT107" s="84" vm="2547">
        <v>346</v>
      </c>
      <c r="AU107" s="84" vm="2548">
        <v>0</v>
      </c>
      <c r="AV107" s="84" vm="2549">
        <v>38</v>
      </c>
      <c r="AW107" s="84" vm="2550">
        <v>2477</v>
      </c>
      <c r="AX107" s="84" vm="2551">
        <v>9735</v>
      </c>
      <c r="AY107" s="3">
        <f xml:space="preserve"> - SUM( VfM_Metrics_2023_Consol[[#This Row],[Interest capitalised]], VfM_Metrics_2023_Consol[[#This Row],[Interest payable and financing costs]] )</f>
        <v>3604</v>
      </c>
      <c r="AZ107" s="84">
        <v>0</v>
      </c>
      <c r="BA107" s="83" vm="4616">
        <v>-3604</v>
      </c>
      <c r="BB107" s="8">
        <f xml:space="preserve"> IFERROR( ( VfM_Metrics_2023_Consol[[#This Row],[Total Costs]] / VfM_Metrics_2023_Consol[[#This Row],[Total units for costs]] ) * 1000, "n/a" )</f>
        <v>4956.1749842072022</v>
      </c>
      <c r="BC10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62765</v>
      </c>
      <c r="BD107" s="84" vm="2552">
        <v>25224</v>
      </c>
      <c r="BE107" s="83" vm="2553">
        <v>3762</v>
      </c>
      <c r="BF107" s="83" vm="2554">
        <v>10984</v>
      </c>
      <c r="BG107" s="83" vm="2555">
        <v>7959</v>
      </c>
      <c r="BH107" s="83" vm="2556">
        <v>11678</v>
      </c>
      <c r="BI107" s="83" vm="2557">
        <v>539</v>
      </c>
      <c r="BJ107" s="83" vm="2550">
        <v>2477</v>
      </c>
      <c r="BK107" s="83" vm="2558">
        <v>74</v>
      </c>
      <c r="BL107" s="83" vm="2559">
        <v>68</v>
      </c>
      <c r="BM107" s="83">
        <v>0</v>
      </c>
      <c r="BN107" s="83">
        <v>0</v>
      </c>
      <c r="BO107" s="83">
        <v>0</v>
      </c>
      <c r="BP107" s="5" vm="2536">
        <f xml:space="preserve"> VfM_Metrics_2023_Consol[[#This Row],[Total social housing units owned and/or managed at period end]]</f>
        <v>12664</v>
      </c>
      <c r="BQ107" s="84" vm="2536">
        <v>12664</v>
      </c>
      <c r="BR107" s="7">
        <f xml:space="preserve"> IFERROR( VfM_Metrics_2023_Consol[[#This Row],[SHL operating surplus / (deficit)]] / VfM_Metrics_2023_Consol[[#This Row],[Turnover from social housing lettings]], "n/a" )</f>
        <v>-5.945618420056048E-2</v>
      </c>
      <c r="BS107" s="5" vm="2560">
        <f xml:space="preserve"> VfM_Metrics_2023_Consol[[#This Row],[Operating surplus/(deficit) (social housing lettings)]]</f>
        <v>-3925</v>
      </c>
      <c r="BT107" s="84" vm="2560">
        <v>-3925</v>
      </c>
      <c r="BU107" s="5" vm="7835">
        <f xml:space="preserve"> VfM_Metrics_2023_Consol[[#This Row],[Turnover from social housing lettings]]</f>
        <v>66015</v>
      </c>
      <c r="BV107" s="84" vm="7835">
        <v>66015</v>
      </c>
      <c r="BW107" s="7">
        <f xml:space="preserve"> IFERROR( VfM_Metrics_2023_Consol[[#This Row],[Net operating surplus]] / VfM_Metrics_2023_Consol[[#This Row],[Overall turnover]], "n/a" )</f>
        <v>-3.540026435262341E-2</v>
      </c>
      <c r="BX107" s="5">
        <f xml:space="preserve"> SUM( VfM_Metrics_2023_Consol[[#This Row],[Operating surplus/(deficit) (overall)2]], - VfM_Metrics_2023_Consol[[#This Row],[Gain/(loss) on disposal of fixed assets (housing properties)2]], - VfM_Metrics_2023_Consol[[#This Row],[Gain/(loss) on disposal of fixed assets (other)2]] )</f>
        <v>-2464</v>
      </c>
      <c r="BY107" s="84" vm="2544">
        <v>924</v>
      </c>
      <c r="BZ107" s="83" vm="2545">
        <v>3388</v>
      </c>
      <c r="CA107" s="83" vm="2546">
        <v>0</v>
      </c>
      <c r="CB107" s="5" vm="7869">
        <f xml:space="preserve"> VfM_Metrics_2023_Consol[[#This Row],[Turnover (overall)]]</f>
        <v>69604</v>
      </c>
      <c r="CC107" s="84" vm="7869">
        <v>69604</v>
      </c>
      <c r="CD107" s="7">
        <f xml:space="preserve"> IFERROR( VfM_Metrics_2023_Consol[[#This Row],[Operating surplus including from JVs]] / VfM_Metrics_2023_Consol[[#This Row],[Net assets]], "n/a" )</f>
        <v>5.3010513879778905E-3</v>
      </c>
      <c r="CE107" s="5">
        <f xml:space="preserve"> SUM( VfM_Metrics_2023_Consol[[#This Row],[Operating surplus/(deficit) (overall)3]], VfM_Metrics_2023_Consol[[#This Row],[Share of operating surplus/(deficit) in joint ventures or associates]] )</f>
        <v>1382</v>
      </c>
      <c r="CF107" s="84" vm="7702">
        <v>924</v>
      </c>
      <c r="CG107" s="83" vm="2562">
        <v>458</v>
      </c>
      <c r="CH107" s="5" vm="2505">
        <f xml:space="preserve"> VfM_Metrics_2023_Consol[[#This Row],[Total assets less current liabilities]]</f>
        <v>260703</v>
      </c>
      <c r="CI107" s="84" vm="2505">
        <v>260703</v>
      </c>
      <c r="CJ107" s="71" vm="2535">
        <f xml:space="preserve"> VfM_Metrics_2023_Consol[[#This Row],[Total social housing units owned (Period end)]]</f>
        <v>12634</v>
      </c>
      <c r="CK107" s="103">
        <v>1.9891788669637173E-3</v>
      </c>
      <c r="CL107" s="6">
        <f xml:space="preserve"> -- ( VfM_Metrics_2023_Consol[[#This Row],[% Supported housing (excl. HOP)]] &gt; 0.3 )</f>
        <v>0</v>
      </c>
      <c r="CM107" s="103">
        <v>0.12866008911521323</v>
      </c>
      <c r="CN107" s="6">
        <f xml:space="preserve"> -- ( VfM_Metrics_2023_Consol[[#This Row],[% Housing for older people]] &gt; 0.3 )</f>
        <v>0</v>
      </c>
      <c r="CO107" s="103">
        <f xml:space="preserve"> VfM_Metrics_2023_Consol[[#This Row],[% Supported housing (excl. HOP)]] + VfM_Metrics_2023_Consol[[#This Row],[% Housing for older people]]</f>
        <v>0.13064926798217696</v>
      </c>
      <c r="CP107" s="6">
        <f xml:space="preserve"> -- ( VfM_Metrics_2023_Consol[[#This Row],[SH specialist in RSH analysis]] + VfM_Metrics_2023_Consol[[#This Row],[OP specialist in RSH analysis]] &gt; 0 )</f>
        <v>0</v>
      </c>
      <c r="CQ107" s="10">
        <f xml:space="preserve"> -- ( VfM_Metrics_2023_Consol[[#This Row],[% SH and OP]] &gt; 0.3 )</f>
        <v>0</v>
      </c>
      <c r="CR107" s="104" t="s">
        <v>143</v>
      </c>
      <c r="CS107" s="124"/>
      <c r="CT107" s="105" t="s">
        <v>151</v>
      </c>
      <c r="CU10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07" s="85">
        <v>0</v>
      </c>
      <c r="CW107" s="85">
        <v>0</v>
      </c>
      <c r="CX107" s="85">
        <v>0</v>
      </c>
      <c r="CY107" s="85">
        <v>0</v>
      </c>
      <c r="CZ107" s="85">
        <v>0</v>
      </c>
      <c r="DA107" s="85">
        <v>0</v>
      </c>
      <c r="DB107" s="85">
        <v>0</v>
      </c>
      <c r="DC107" s="85">
        <v>1</v>
      </c>
      <c r="DD107" s="85">
        <v>0</v>
      </c>
      <c r="DE107" s="13">
        <v>0.96105917141044694</v>
      </c>
    </row>
    <row r="108" spans="1:109" x14ac:dyDescent="0.25">
      <c r="A108" s="4" t="s" vm="368">
        <v>340</v>
      </c>
      <c r="B108" s="2" t="s" vm="98">
        <v>341</v>
      </c>
      <c r="C108" s="72" vm="523">
        <v>45016</v>
      </c>
      <c r="D108" s="7">
        <f>IFERROR( VfM_Metrics_2023_Consol[[#This Row],[Reinvestment Spend]] / VfM_Metrics_2023_Consol[[#This Row],[Net Book Value of Housing Properties]], "n/a" )</f>
        <v>5.4986608255128314E-2</v>
      </c>
      <c r="E10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21187</v>
      </c>
      <c r="F108" s="83" vm="5723">
        <v>13473</v>
      </c>
      <c r="G108" s="83" vm="5724">
        <v>111</v>
      </c>
      <c r="H108" s="83" vm="5725">
        <v>7343</v>
      </c>
      <c r="I108" s="83" vm="5726">
        <v>260</v>
      </c>
      <c r="J108" s="83" vm="5727">
        <v>0</v>
      </c>
      <c r="K108" s="5">
        <f xml:space="preserve"> SUM( VfM_Metrics_2023_Consol[[#This Row],[Tangible fixed assets: Housing properties at cost (Current period)]],VfM_Metrics_2023_Consol[[#This Row],[Tangible fixed assets Housing properties at valuation (Current period)]] )</f>
        <v>385312</v>
      </c>
      <c r="L108" s="84" vm="5577">
        <v>385312</v>
      </c>
      <c r="M108" s="83" vm="5729">
        <v>0</v>
      </c>
      <c r="N108" s="7">
        <f xml:space="preserve"> IFERROR( VfM_Metrics_2023_Consol[[#This Row],[Total social units developed or newly built units acquired in-year]] / VfM_Metrics_2023_Consol[[#This Row],[Social housing units owned (period end)]], "n/a" )</f>
        <v>9.6339113680154135E-3</v>
      </c>
      <c r="O108" s="5">
        <f xml:space="preserve"> SUM( VfM_Metrics_2023_Consol[[#This Row],[Total social units developed or newly built units acquired in-year (owned)]], VfM_Metrics_2023_Consol[[#This Row],[Total social leasehold units developed or newly built units acquired in-year (owned)]] )</f>
        <v>85</v>
      </c>
      <c r="P108" s="84" vm="4518">
        <v>85</v>
      </c>
      <c r="Q108" s="83">
        <v>0</v>
      </c>
      <c r="R108" s="5">
        <f xml:space="preserve"> SUM( VfM_Metrics_2023_Consol[[#This Row],[Total social housing units owned (Period end)]], VfM_Metrics_2023_Consol[[#This Row],[Total social leasehold units owned (Period end)]] )</f>
        <v>8823</v>
      </c>
      <c r="S108" s="84" vm="6908">
        <v>8450</v>
      </c>
      <c r="T108" s="83" vm="5730">
        <v>373</v>
      </c>
      <c r="U108" s="86">
        <f xml:space="preserve"> IFERROR( VfM_Metrics_2023_Consol[[#This Row],[Total non-social housing units developed or newly built units acquired (owned)]] / VfM_Metrics_2023_Consol[[#This Row],[Total social and non-social housing units owned (Period end)]], "n/a" )</f>
        <v>0</v>
      </c>
      <c r="V10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08" s="83">
        <v>0</v>
      </c>
      <c r="X108" s="83">
        <v>0</v>
      </c>
      <c r="Y108" s="83" vm="5732">
        <v>0</v>
      </c>
      <c r="Z10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8997</v>
      </c>
      <c r="AA108" s="84" vm="5721">
        <v>8450</v>
      </c>
      <c r="AB108" s="83" vm="6890">
        <v>373</v>
      </c>
      <c r="AC108" s="83" vm="5733">
        <v>62</v>
      </c>
      <c r="AD108" s="83" vm="5734">
        <v>112</v>
      </c>
      <c r="AE108" s="7">
        <f xml:space="preserve"> IFERROR( VfM_Metrics_2023_Consol[[#This Row],[Total Net Debt]] / VfM_Metrics_2023_Consol[[#This Row],[Net Book Value of Housing Properties2]], "n/a" )</f>
        <v>0.262335458018437</v>
      </c>
      <c r="AF10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101081</v>
      </c>
      <c r="AG108" s="84" vm="5735">
        <v>0</v>
      </c>
      <c r="AH108" s="83" vm="5736">
        <v>118612</v>
      </c>
      <c r="AI108" s="83" vm="7279">
        <v>17531</v>
      </c>
      <c r="AJ108" s="83" vm="5851">
        <v>0</v>
      </c>
      <c r="AK108" s="83" vm="5738">
        <v>0</v>
      </c>
      <c r="AL108" s="5">
        <f xml:space="preserve"> SUM( VfM_Metrics_2023_Consol[[#This Row],[Tangible fixed assets: Housing properties at cost (Current period)2]], VfM_Metrics_2023_Consol[[#This Row],[Tangible fixed assets Housing properties at valuation (Current period)2]] )</f>
        <v>385312</v>
      </c>
      <c r="AM108" s="84" vm="5728">
        <v>385312</v>
      </c>
      <c r="AN108" s="83" vm="7220">
        <v>0</v>
      </c>
      <c r="AO108" s="87">
        <f xml:space="preserve"> IFERROR( VfM_Metrics_2023_Consol[[#This Row],[EBITDA MRI]] / VfM_Metrics_2023_Consol[[#This Row],[Total interest]], "n/a" )</f>
        <v>2.5849735957753239</v>
      </c>
      <c r="AP10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10769</v>
      </c>
      <c r="AQ108" s="84" vm="5739">
        <v>9329</v>
      </c>
      <c r="AR108" s="84" vm="7184">
        <v>641</v>
      </c>
      <c r="AS108" s="84" vm="5741">
        <v>114</v>
      </c>
      <c r="AT108" s="84" vm="5742">
        <v>90</v>
      </c>
      <c r="AU108" s="84" vm="5743">
        <v>0</v>
      </c>
      <c r="AV108" s="84" vm="5744">
        <v>213</v>
      </c>
      <c r="AW108" s="84" vm="5745">
        <v>7343</v>
      </c>
      <c r="AX108" s="84" vm="5746">
        <v>9415</v>
      </c>
      <c r="AY108" s="3">
        <f xml:space="preserve"> - SUM( VfM_Metrics_2023_Consol[[#This Row],[Interest capitalised]], VfM_Metrics_2023_Consol[[#This Row],[Interest payable and financing costs]] )</f>
        <v>4166</v>
      </c>
      <c r="AZ108" s="84" vm="5747">
        <v>-260</v>
      </c>
      <c r="BA108" s="83" vm="5902">
        <v>-3906</v>
      </c>
      <c r="BB108" s="8">
        <f xml:space="preserve"> IFERROR( ( VfM_Metrics_2023_Consol[[#This Row],[Total Costs]] / VfM_Metrics_2023_Consol[[#This Row],[Total units for costs]] ) * 1000, "n/a" )</f>
        <v>4582.1513002364072</v>
      </c>
      <c r="BC10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38765</v>
      </c>
      <c r="BD108" s="84" vm="5748">
        <v>12953</v>
      </c>
      <c r="BE108" s="83" vm="5749">
        <v>4311</v>
      </c>
      <c r="BF108" s="83" vm="5750">
        <v>7542</v>
      </c>
      <c r="BG108" s="83" vm="7329">
        <v>3296</v>
      </c>
      <c r="BH108" s="83" vm="5751">
        <v>2001</v>
      </c>
      <c r="BI108" s="83" vm="5752">
        <v>271</v>
      </c>
      <c r="BJ108" s="83" vm="5745">
        <v>7343</v>
      </c>
      <c r="BK108" s="83" vm="5753">
        <v>560</v>
      </c>
      <c r="BL108" s="83" vm="5754">
        <v>180</v>
      </c>
      <c r="BM108" s="83">
        <v>0</v>
      </c>
      <c r="BN108" s="83" vm="5755">
        <v>302</v>
      </c>
      <c r="BO108" s="83" vm="5756">
        <v>6</v>
      </c>
      <c r="BP108" s="5" vm="5722">
        <f xml:space="preserve"> VfM_Metrics_2023_Consol[[#This Row],[Total social housing units owned and/or managed at period end]]</f>
        <v>8460</v>
      </c>
      <c r="BQ108" s="84" vm="5722">
        <v>8460</v>
      </c>
      <c r="BR108" s="7">
        <f xml:space="preserve"> IFERROR( VfM_Metrics_2023_Consol[[#This Row],[SHL operating surplus / (deficit)]] / VfM_Metrics_2023_Consol[[#This Row],[Turnover from social housing lettings]], "n/a" )</f>
        <v>0.16492482388812954</v>
      </c>
      <c r="BS108" s="5" vm="5757">
        <f xml:space="preserve"> VfM_Metrics_2023_Consol[[#This Row],[Operating surplus/(deficit) (social housing lettings)]]</f>
        <v>7843</v>
      </c>
      <c r="BT108" s="84" vm="5757">
        <v>7843</v>
      </c>
      <c r="BU108" s="5" vm="5758">
        <f xml:space="preserve"> VfM_Metrics_2023_Consol[[#This Row],[Turnover from social housing lettings]]</f>
        <v>47555</v>
      </c>
      <c r="BV108" s="84" vm="5758">
        <v>47555</v>
      </c>
      <c r="BW108" s="7">
        <f xml:space="preserve"> IFERROR( VfM_Metrics_2023_Consol[[#This Row],[Net operating surplus]] / VfM_Metrics_2023_Consol[[#This Row],[Overall turnover]], "n/a" )</f>
        <v>0.16125331477685204</v>
      </c>
      <c r="BX108" s="5">
        <f xml:space="preserve"> SUM( VfM_Metrics_2023_Consol[[#This Row],[Operating surplus/(deficit) (overall)2]], - VfM_Metrics_2023_Consol[[#This Row],[Gain/(loss) on disposal of fixed assets (housing properties)2]], - VfM_Metrics_2023_Consol[[#This Row],[Gain/(loss) on disposal of fixed assets (other)2]] )</f>
        <v>8574</v>
      </c>
      <c r="BY108" s="84" vm="5739">
        <v>9329</v>
      </c>
      <c r="BZ108" s="83" vm="5740">
        <v>641</v>
      </c>
      <c r="CA108" s="83" vm="7247">
        <v>114</v>
      </c>
      <c r="CB108" s="5" vm="7219">
        <f xml:space="preserve"> VfM_Metrics_2023_Consol[[#This Row],[Turnover (overall)]]</f>
        <v>53171</v>
      </c>
      <c r="CC108" s="84" vm="7219">
        <v>53171</v>
      </c>
      <c r="CD108" s="7">
        <f xml:space="preserve"> IFERROR( VfM_Metrics_2023_Consol[[#This Row],[Operating surplus including from JVs]] / VfM_Metrics_2023_Consol[[#This Row],[Net assets]], "n/a" )</f>
        <v>2.3557188490334963E-2</v>
      </c>
      <c r="CE108" s="5">
        <f xml:space="preserve"> SUM( VfM_Metrics_2023_Consol[[#This Row],[Operating surplus/(deficit) (overall)3]], VfM_Metrics_2023_Consol[[#This Row],[Share of operating surplus/(deficit) in joint ventures or associates]] )</f>
        <v>9329</v>
      </c>
      <c r="CF108" s="84" vm="5739">
        <v>9329</v>
      </c>
      <c r="CG108" s="83" vm="5760">
        <v>0</v>
      </c>
      <c r="CH108" s="5" vm="5759">
        <f xml:space="preserve"> VfM_Metrics_2023_Consol[[#This Row],[Total assets less current liabilities]]</f>
        <v>396015</v>
      </c>
      <c r="CI108" s="84" vm="5759">
        <v>396015</v>
      </c>
      <c r="CJ108" s="71" vm="6908">
        <f xml:space="preserve"> VfM_Metrics_2023_Consol[[#This Row],[Total social housing units owned (Period end)]]</f>
        <v>8450</v>
      </c>
      <c r="CK108" s="103">
        <v>2.5439847836424157E-2</v>
      </c>
      <c r="CL108" s="6">
        <f xml:space="preserve"> -- ( VfM_Metrics_2023_Consol[[#This Row],[% Supported housing (excl. HOP)]] &gt; 0.3 )</f>
        <v>0</v>
      </c>
      <c r="CM108" s="103">
        <v>0.21944840703756538</v>
      </c>
      <c r="CN108" s="6">
        <f xml:space="preserve"> -- ( VfM_Metrics_2023_Consol[[#This Row],[% Housing for older people]] &gt; 0.3 )</f>
        <v>0</v>
      </c>
      <c r="CO108" s="103">
        <f xml:space="preserve"> VfM_Metrics_2023_Consol[[#This Row],[% Supported housing (excl. HOP)]] + VfM_Metrics_2023_Consol[[#This Row],[% Housing for older people]]</f>
        <v>0.24488825487398955</v>
      </c>
      <c r="CP108" s="6">
        <f xml:space="preserve"> -- ( VfM_Metrics_2023_Consol[[#This Row],[SH specialist in RSH analysis]] + VfM_Metrics_2023_Consol[[#This Row],[OP specialist in RSH analysis]] &gt; 0 )</f>
        <v>0</v>
      </c>
      <c r="CQ108" s="10">
        <f xml:space="preserve"> -- ( VfM_Metrics_2023_Consol[[#This Row],[% SH and OP]] &gt; 0.3 )</f>
        <v>0</v>
      </c>
      <c r="CR108" s="104" t="s">
        <v>143</v>
      </c>
      <c r="CS108" s="124"/>
      <c r="CT108" s="105" t="s">
        <v>151</v>
      </c>
      <c r="CU10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108" s="85">
        <v>0</v>
      </c>
      <c r="CW108" s="85">
        <v>0</v>
      </c>
      <c r="CX108" s="85">
        <v>1</v>
      </c>
      <c r="CY108" s="85">
        <v>0</v>
      </c>
      <c r="CZ108" s="85">
        <v>0</v>
      </c>
      <c r="DA108" s="85">
        <v>0</v>
      </c>
      <c r="DB108" s="85">
        <v>0</v>
      </c>
      <c r="DC108" s="85">
        <v>0</v>
      </c>
      <c r="DD108" s="85">
        <v>0</v>
      </c>
      <c r="DE108" s="13">
        <v>0.97511902715076015</v>
      </c>
    </row>
    <row r="109" spans="1:109" x14ac:dyDescent="0.25">
      <c r="A109" s="4" t="s" vm="232">
        <v>342</v>
      </c>
      <c r="B109" s="2" t="s" vm="99">
        <v>343</v>
      </c>
      <c r="C109" s="72" vm="573">
        <v>45016</v>
      </c>
      <c r="D109" s="7">
        <f>IFERROR( VfM_Metrics_2023_Consol[[#This Row],[Reinvestment Spend]] / VfM_Metrics_2023_Consol[[#This Row],[Net Book Value of Housing Properties]], "n/a" )</f>
        <v>1.4867966290809801E-2</v>
      </c>
      <c r="E10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1639</v>
      </c>
      <c r="F109" s="83" vm="1285">
        <v>0</v>
      </c>
      <c r="G109" s="83" vm="1286">
        <v>1086</v>
      </c>
      <c r="H109" s="83" vm="8434">
        <v>553</v>
      </c>
      <c r="I109" s="83" vm="1184">
        <v>0</v>
      </c>
      <c r="J109" s="83" vm="1287">
        <v>0</v>
      </c>
      <c r="K109" s="5">
        <f xml:space="preserve"> SUM( VfM_Metrics_2023_Consol[[#This Row],[Tangible fixed assets: Housing properties at cost (Current period)]],VfM_Metrics_2023_Consol[[#This Row],[Tangible fixed assets Housing properties at valuation (Current period)]] )</f>
        <v>110237</v>
      </c>
      <c r="L109" s="84" vm="8425">
        <v>110237</v>
      </c>
      <c r="M109" s="83">
        <v>0</v>
      </c>
      <c r="N109" s="7">
        <f xml:space="preserve"> IFERROR( VfM_Metrics_2023_Consol[[#This Row],[Total social units developed or newly built units acquired in-year]] / VfM_Metrics_2023_Consol[[#This Row],[Social housing units owned (period end)]], "n/a" )</f>
        <v>3.5893754486719309E-3</v>
      </c>
      <c r="O109" s="5">
        <f xml:space="preserve"> SUM( VfM_Metrics_2023_Consol[[#This Row],[Total social units developed or newly built units acquired in-year (owned)]], VfM_Metrics_2023_Consol[[#This Row],[Total social leasehold units developed or newly built units acquired in-year (owned)]] )</f>
        <v>5</v>
      </c>
      <c r="P109" s="84" vm="8529">
        <v>5</v>
      </c>
      <c r="Q109" s="83">
        <v>0</v>
      </c>
      <c r="R109" s="5">
        <f xml:space="preserve"> SUM( VfM_Metrics_2023_Consol[[#This Row],[Total social housing units owned (Period end)]], VfM_Metrics_2023_Consol[[#This Row],[Total social leasehold units owned (Period end)]] )</f>
        <v>1393</v>
      </c>
      <c r="S109" s="84" vm="8394">
        <v>1393</v>
      </c>
      <c r="T109" s="83" vm="1289">
        <v>0</v>
      </c>
      <c r="U109" s="86">
        <f xml:space="preserve"> IFERROR( VfM_Metrics_2023_Consol[[#This Row],[Total non-social housing units developed or newly built units acquired (owned)]] / VfM_Metrics_2023_Consol[[#This Row],[Total social and non-social housing units owned (Period end)]], "n/a" )</f>
        <v>0</v>
      </c>
      <c r="V10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09" s="83">
        <v>0</v>
      </c>
      <c r="X109" s="83">
        <v>0</v>
      </c>
      <c r="Y109" s="83">
        <v>0</v>
      </c>
      <c r="Z10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1394</v>
      </c>
      <c r="AA109" s="84" vm="8423">
        <v>1393</v>
      </c>
      <c r="AB109" s="83" vm="8550">
        <v>0</v>
      </c>
      <c r="AC109" s="83" vm="1270">
        <v>1</v>
      </c>
      <c r="AD109" s="83" vm="1290">
        <v>0</v>
      </c>
      <c r="AE109" s="7">
        <f xml:space="preserve"> IFERROR( VfM_Metrics_2023_Consol[[#This Row],[Total Net Debt]] / VfM_Metrics_2023_Consol[[#This Row],[Net Book Value of Housing Properties2]], "n/a" )</f>
        <v>0.44095902464689712</v>
      </c>
      <c r="AF10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48610</v>
      </c>
      <c r="AG109" s="84" vm="8383">
        <v>1290</v>
      </c>
      <c r="AH109" s="83" vm="8421">
        <v>48949</v>
      </c>
      <c r="AI109" s="83" vm="8472">
        <v>1629</v>
      </c>
      <c r="AJ109" s="83" vm="1675">
        <v>0</v>
      </c>
      <c r="AK109" s="83">
        <v>0</v>
      </c>
      <c r="AL109" s="5">
        <f xml:space="preserve"> SUM( VfM_Metrics_2023_Consol[[#This Row],[Tangible fixed assets: Housing properties at cost (Current period)2]], VfM_Metrics_2023_Consol[[#This Row],[Tangible fixed assets Housing properties at valuation (Current period)2]] )</f>
        <v>110237</v>
      </c>
      <c r="AM109" s="84" vm="8331">
        <v>110237</v>
      </c>
      <c r="AN109" s="83">
        <v>0</v>
      </c>
      <c r="AO109" s="87">
        <f xml:space="preserve"> IFERROR( VfM_Metrics_2023_Consol[[#This Row],[EBITDA MRI]] / VfM_Metrics_2023_Consol[[#This Row],[Total interest]], "n/a" )</f>
        <v>1.7828134196586227</v>
      </c>
      <c r="AP10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3029</v>
      </c>
      <c r="AQ109" s="84" vm="1291">
        <v>2515</v>
      </c>
      <c r="AR109" s="84" vm="8581">
        <v>150</v>
      </c>
      <c r="AS109" s="84">
        <v>0</v>
      </c>
      <c r="AT109" s="84" vm="8420">
        <v>500</v>
      </c>
      <c r="AU109" s="84" vm="8660">
        <v>0</v>
      </c>
      <c r="AV109" s="84" vm="1408">
        <v>22</v>
      </c>
      <c r="AW109" s="84" vm="1294">
        <v>553</v>
      </c>
      <c r="AX109" s="84" vm="8521">
        <v>1695</v>
      </c>
      <c r="AY109" s="3">
        <f xml:space="preserve"> - SUM( VfM_Metrics_2023_Consol[[#This Row],[Interest capitalised]], VfM_Metrics_2023_Consol[[#This Row],[Interest payable and financing costs]] )</f>
        <v>1699</v>
      </c>
      <c r="AZ109" s="84">
        <v>0</v>
      </c>
      <c r="BA109" s="83" vm="8327">
        <v>-1699</v>
      </c>
      <c r="BB109" s="8">
        <f xml:space="preserve"> IFERROR( ( VfM_Metrics_2023_Consol[[#This Row],[Total Costs]] / VfM_Metrics_2023_Consol[[#This Row],[Total units for costs]] ) * 1000, "n/a" )</f>
        <v>3779.6123474515434</v>
      </c>
      <c r="BC10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5265</v>
      </c>
      <c r="BD109" s="84" vm="1295">
        <v>2420</v>
      </c>
      <c r="BE109" s="83" vm="1365">
        <v>301</v>
      </c>
      <c r="BF109" s="83" vm="1100">
        <v>1062</v>
      </c>
      <c r="BG109" s="83" vm="1296">
        <v>707</v>
      </c>
      <c r="BH109" s="83" vm="8177">
        <v>54</v>
      </c>
      <c r="BI109" s="83" vm="7125">
        <v>0</v>
      </c>
      <c r="BJ109" s="83" vm="1294">
        <v>553</v>
      </c>
      <c r="BK109" s="83" vm="1442">
        <v>0</v>
      </c>
      <c r="BL109" s="83" vm="1297">
        <v>11</v>
      </c>
      <c r="BM109" s="83" vm="1860">
        <v>157</v>
      </c>
      <c r="BN109" s="83" vm="2004">
        <v>0</v>
      </c>
      <c r="BO109" s="83">
        <v>0</v>
      </c>
      <c r="BP109" s="5" vm="1284">
        <f xml:space="preserve"> VfM_Metrics_2023_Consol[[#This Row],[Total social housing units owned and/or managed at period end]]</f>
        <v>1393</v>
      </c>
      <c r="BQ109" s="84" vm="1284">
        <v>1393</v>
      </c>
      <c r="BR109" s="7">
        <f xml:space="preserve"> IFERROR( VfM_Metrics_2023_Consol[[#This Row],[SHL operating surplus / (deficit)]] / VfM_Metrics_2023_Consol[[#This Row],[Turnover from social housing lettings]], "n/a" )</f>
        <v>0.27885847408270237</v>
      </c>
      <c r="BS109" s="5" vm="8415">
        <f xml:space="preserve"> VfM_Metrics_2023_Consol[[#This Row],[Operating surplus/(deficit) (social housing lettings)]]</f>
        <v>2394</v>
      </c>
      <c r="BT109" s="84" vm="8415">
        <v>2394</v>
      </c>
      <c r="BU109" s="5" vm="8625">
        <f xml:space="preserve"> VfM_Metrics_2023_Consol[[#This Row],[Turnover from social housing lettings]]</f>
        <v>8585</v>
      </c>
      <c r="BV109" s="84" vm="8625">
        <v>8585</v>
      </c>
      <c r="BW109" s="7">
        <f xml:space="preserve"> IFERROR( VfM_Metrics_2023_Consol[[#This Row],[Net operating surplus]] / VfM_Metrics_2023_Consol[[#This Row],[Overall turnover]], "n/a" )</f>
        <v>0.27096700274977087</v>
      </c>
      <c r="BX109" s="5">
        <f xml:space="preserve"> SUM( VfM_Metrics_2023_Consol[[#This Row],[Operating surplus/(deficit) (overall)2]], - VfM_Metrics_2023_Consol[[#This Row],[Gain/(loss) on disposal of fixed assets (housing properties)2]], - VfM_Metrics_2023_Consol[[#This Row],[Gain/(loss) on disposal of fixed assets (other)2]] )</f>
        <v>2365</v>
      </c>
      <c r="BY109" s="84" vm="1291">
        <v>2515</v>
      </c>
      <c r="BZ109" s="83" vm="1292">
        <v>150</v>
      </c>
      <c r="CA109" s="83">
        <v>0</v>
      </c>
      <c r="CB109" s="5" vm="1299">
        <f xml:space="preserve"> VfM_Metrics_2023_Consol[[#This Row],[Turnover (overall)]]</f>
        <v>8728</v>
      </c>
      <c r="CC109" s="84" vm="1299">
        <v>8728</v>
      </c>
      <c r="CD109" s="7">
        <f xml:space="preserve"> IFERROR( VfM_Metrics_2023_Consol[[#This Row],[Operating surplus including from JVs]] / VfM_Metrics_2023_Consol[[#This Row],[Net assets]], "n/a" )</f>
        <v>2.2511636233440744E-2</v>
      </c>
      <c r="CE109" s="5">
        <f xml:space="preserve"> SUM( VfM_Metrics_2023_Consol[[#This Row],[Operating surplus/(deficit) (overall)3]], VfM_Metrics_2023_Consol[[#This Row],[Share of operating surplus/(deficit) in joint ventures or associates]] )</f>
        <v>2515</v>
      </c>
      <c r="CF109" s="84" vm="1291">
        <v>2515</v>
      </c>
      <c r="CG109" s="83">
        <v>0</v>
      </c>
      <c r="CH109" s="5" vm="1300">
        <f xml:space="preserve"> VfM_Metrics_2023_Consol[[#This Row],[Total assets less current liabilities]]</f>
        <v>111720</v>
      </c>
      <c r="CI109" s="84" vm="1300">
        <v>111720</v>
      </c>
      <c r="CJ109" s="71" vm="8394">
        <f xml:space="preserve"> VfM_Metrics_2023_Consol[[#This Row],[Total social housing units owned (Period end)]]</f>
        <v>1393</v>
      </c>
      <c r="CK109" s="103">
        <v>0</v>
      </c>
      <c r="CL109" s="6">
        <f xml:space="preserve"> -- ( VfM_Metrics_2023_Consol[[#This Row],[% Supported housing (excl. HOP)]] &gt; 0.3 )</f>
        <v>0</v>
      </c>
      <c r="CM109" s="103">
        <v>0</v>
      </c>
      <c r="CN109" s="6">
        <f xml:space="preserve"> -- ( VfM_Metrics_2023_Consol[[#This Row],[% Housing for older people]] &gt; 0.3 )</f>
        <v>0</v>
      </c>
      <c r="CO109" s="103">
        <f xml:space="preserve"> VfM_Metrics_2023_Consol[[#This Row],[% Supported housing (excl. HOP)]] + VfM_Metrics_2023_Consol[[#This Row],[% Housing for older people]]</f>
        <v>0</v>
      </c>
      <c r="CP109" s="6">
        <f xml:space="preserve"> -- ( VfM_Metrics_2023_Consol[[#This Row],[SH specialist in RSH analysis]] + VfM_Metrics_2023_Consol[[#This Row],[OP specialist in RSH analysis]] &gt; 0 )</f>
        <v>0</v>
      </c>
      <c r="CQ109" s="10">
        <f xml:space="preserve"> -- ( VfM_Metrics_2023_Consol[[#This Row],[% SH and OP]] &gt; 0.3 )</f>
        <v>0</v>
      </c>
      <c r="CR109" s="104" t="s">
        <v>143</v>
      </c>
      <c r="CS109" s="124" t="s">
        <v>144</v>
      </c>
      <c r="CT109" s="105"/>
      <c r="CU10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109" s="85">
        <v>0</v>
      </c>
      <c r="CW109" s="85">
        <v>0</v>
      </c>
      <c r="CX109" s="85">
        <v>0</v>
      </c>
      <c r="CY109" s="85">
        <v>0</v>
      </c>
      <c r="CZ109" s="85">
        <v>0</v>
      </c>
      <c r="DA109" s="85">
        <v>0</v>
      </c>
      <c r="DB109" s="85">
        <v>0</v>
      </c>
      <c r="DC109" s="85">
        <v>0</v>
      </c>
      <c r="DD109" s="85">
        <v>1</v>
      </c>
      <c r="DE109" s="13">
        <v>0.94459121441814442</v>
      </c>
    </row>
    <row r="110" spans="1:109" x14ac:dyDescent="0.25">
      <c r="A110" s="4" t="s" vm="258">
        <v>344</v>
      </c>
      <c r="B110" s="2" t="s" vm="100">
        <v>345</v>
      </c>
      <c r="C110" s="72" vm="429">
        <v>45016</v>
      </c>
      <c r="D110" s="7">
        <f>IFERROR( VfM_Metrics_2023_Consol[[#This Row],[Reinvestment Spend]] / VfM_Metrics_2023_Consol[[#This Row],[Net Book Value of Housing Properties]], "n/a" )</f>
        <v>6.8243380423946315E-2</v>
      </c>
      <c r="E11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119998</v>
      </c>
      <c r="F110" s="83" vm="8071">
        <v>83752</v>
      </c>
      <c r="G110" s="83" vm="8119">
        <v>13710</v>
      </c>
      <c r="H110" s="83" vm="8114">
        <v>20722</v>
      </c>
      <c r="I110" s="83" vm="1984">
        <v>1814</v>
      </c>
      <c r="J110" s="83" vm="1985">
        <v>0</v>
      </c>
      <c r="K110" s="5">
        <f xml:space="preserve"> SUM( VfM_Metrics_2023_Consol[[#This Row],[Tangible fixed assets: Housing properties at cost (Current period)]],VfM_Metrics_2023_Consol[[#This Row],[Tangible fixed assets Housing properties at valuation (Current period)]] )</f>
        <v>1758383</v>
      </c>
      <c r="L110" s="84" vm="1606">
        <v>1758383</v>
      </c>
      <c r="M110" s="83">
        <v>0</v>
      </c>
      <c r="N110" s="7">
        <f xml:space="preserve"> IFERROR( VfM_Metrics_2023_Consol[[#This Row],[Total social units developed or newly built units acquired in-year]] / VfM_Metrics_2023_Consol[[#This Row],[Social housing units owned (period end)]], "n/a" )</f>
        <v>2.0884126780443987E-2</v>
      </c>
      <c r="O110" s="5">
        <f xml:space="preserve"> SUM( VfM_Metrics_2023_Consol[[#This Row],[Total social units developed or newly built units acquired in-year (owned)]], VfM_Metrics_2023_Consol[[#This Row],[Total social leasehold units developed or newly built units acquired in-year (owned)]] )</f>
        <v>651</v>
      </c>
      <c r="P110" s="84" vm="7654">
        <v>651</v>
      </c>
      <c r="Q110" s="83">
        <v>0</v>
      </c>
      <c r="R110" s="5">
        <f xml:space="preserve"> SUM( VfM_Metrics_2023_Consol[[#This Row],[Total social housing units owned (Period end)]], VfM_Metrics_2023_Consol[[#This Row],[Total social leasehold units owned (Period end)]] )</f>
        <v>31172</v>
      </c>
      <c r="S110" s="84" vm="1982">
        <v>31172</v>
      </c>
      <c r="T110" s="83" vm="1987">
        <v>0</v>
      </c>
      <c r="U110" s="86">
        <f xml:space="preserve"> IFERROR( VfM_Metrics_2023_Consol[[#This Row],[Total non-social housing units developed or newly built units acquired (owned)]] / VfM_Metrics_2023_Consol[[#This Row],[Total social and non-social housing units owned (Period end)]], "n/a" )</f>
        <v>6.6615911686334218E-4</v>
      </c>
      <c r="V11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21</v>
      </c>
      <c r="W110" s="83">
        <v>0</v>
      </c>
      <c r="X110" s="83">
        <v>0</v>
      </c>
      <c r="Y110" s="83" vm="1988">
        <v>21</v>
      </c>
      <c r="Z11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31524</v>
      </c>
      <c r="AA110" s="84" vm="1982">
        <v>31172</v>
      </c>
      <c r="AB110" s="83" vm="1987">
        <v>0</v>
      </c>
      <c r="AC110" s="83" vm="1989">
        <v>352</v>
      </c>
      <c r="AD110" s="83" vm="1624">
        <v>0</v>
      </c>
      <c r="AE110" s="7">
        <f xml:space="preserve"> IFERROR( VfM_Metrics_2023_Consol[[#This Row],[Total Net Debt]] / VfM_Metrics_2023_Consol[[#This Row],[Net Book Value of Housing Properties2]], "n/a" )</f>
        <v>0.30165726124513259</v>
      </c>
      <c r="AF11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530429</v>
      </c>
      <c r="AG110" s="84" vm="1990">
        <v>12636</v>
      </c>
      <c r="AH110" s="83" vm="8082">
        <v>615453</v>
      </c>
      <c r="AI110" s="83" vm="1991">
        <v>101053</v>
      </c>
      <c r="AJ110" s="83" vm="1675">
        <v>0</v>
      </c>
      <c r="AK110" s="83" vm="1992">
        <v>3393</v>
      </c>
      <c r="AL110" s="5">
        <f xml:space="preserve"> SUM( VfM_Metrics_2023_Consol[[#This Row],[Tangible fixed assets: Housing properties at cost (Current period)2]], VfM_Metrics_2023_Consol[[#This Row],[Tangible fixed assets Housing properties at valuation (Current period)2]] )</f>
        <v>1758383</v>
      </c>
      <c r="AM110" s="84" vm="1986">
        <v>1758383</v>
      </c>
      <c r="AN110" s="83">
        <v>0</v>
      </c>
      <c r="AO110" s="87">
        <f xml:space="preserve"> IFERROR( VfM_Metrics_2023_Consol[[#This Row],[EBITDA MRI]] / VfM_Metrics_2023_Consol[[#This Row],[Total interest]], "n/a" )</f>
        <v>2.375151004868763</v>
      </c>
      <c r="AP11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64882</v>
      </c>
      <c r="AQ110" s="84" vm="1993">
        <v>63307</v>
      </c>
      <c r="AR110" s="84" vm="1994">
        <v>4014</v>
      </c>
      <c r="AS110" s="84">
        <v>0</v>
      </c>
      <c r="AT110" s="84" vm="8177">
        <v>8036</v>
      </c>
      <c r="AU110" s="84" vm="1995">
        <v>0</v>
      </c>
      <c r="AV110" s="84" vm="2150">
        <v>2606</v>
      </c>
      <c r="AW110" s="84" vm="1996">
        <v>20722</v>
      </c>
      <c r="AX110" s="84" vm="1997">
        <v>31741</v>
      </c>
      <c r="AY110" s="3">
        <f xml:space="preserve"> - SUM( VfM_Metrics_2023_Consol[[#This Row],[Interest capitalised]], VfM_Metrics_2023_Consol[[#This Row],[Interest payable and financing costs]] )</f>
        <v>27317</v>
      </c>
      <c r="AZ110" s="84" vm="1998">
        <v>-1815</v>
      </c>
      <c r="BA110" s="83" vm="1999">
        <v>-25502</v>
      </c>
      <c r="BB110" s="8">
        <f xml:space="preserve"> IFERROR( ( VfM_Metrics_2023_Consol[[#This Row],[Total Costs]] / VfM_Metrics_2023_Consol[[#This Row],[Total units for costs]] ) * 1000, "n/a" )</f>
        <v>4069.6675098284222</v>
      </c>
      <c r="BC11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133538</v>
      </c>
      <c r="BD110" s="84" vm="2000">
        <v>31717</v>
      </c>
      <c r="BE110" s="83" vm="8111">
        <v>28956</v>
      </c>
      <c r="BF110" s="83" vm="8173">
        <v>31381</v>
      </c>
      <c r="BG110" s="83" vm="2001">
        <v>8606</v>
      </c>
      <c r="BH110" s="83" vm="8128">
        <v>8819</v>
      </c>
      <c r="BI110" s="83" vm="2002">
        <v>794</v>
      </c>
      <c r="BJ110" s="83" vm="1996">
        <v>20722</v>
      </c>
      <c r="BK110" s="83" vm="7652">
        <v>0</v>
      </c>
      <c r="BL110" s="83" vm="2003">
        <v>60</v>
      </c>
      <c r="BM110" s="83">
        <v>0</v>
      </c>
      <c r="BN110" s="83" vm="2004">
        <v>2483</v>
      </c>
      <c r="BO110" s="83">
        <v>0</v>
      </c>
      <c r="BP110" s="5" vm="1983">
        <f xml:space="preserve"> VfM_Metrics_2023_Consol[[#This Row],[Total social housing units owned and/or managed at period end]]</f>
        <v>32813</v>
      </c>
      <c r="BQ110" s="84" vm="1983">
        <v>32813</v>
      </c>
      <c r="BR110" s="7">
        <f xml:space="preserve"> IFERROR( VfM_Metrics_2023_Consol[[#This Row],[SHL operating surplus / (deficit)]] / VfM_Metrics_2023_Consol[[#This Row],[Turnover from social housing lettings]], "n/a" )</f>
        <v>0.28180155083882502</v>
      </c>
      <c r="BS110" s="5" vm="8095">
        <f xml:space="preserve"> VfM_Metrics_2023_Consol[[#This Row],[Operating surplus/(deficit) (social housing lettings)]]</f>
        <v>54222</v>
      </c>
      <c r="BT110" s="84" vm="8095">
        <v>54222</v>
      </c>
      <c r="BU110" s="5" vm="2005">
        <f xml:space="preserve"> VfM_Metrics_2023_Consol[[#This Row],[Turnover from social housing lettings]]</f>
        <v>192412</v>
      </c>
      <c r="BV110" s="84" vm="2005">
        <v>192412</v>
      </c>
      <c r="BW110" s="7">
        <f xml:space="preserve"> IFERROR( VfM_Metrics_2023_Consol[[#This Row],[Net operating surplus]] / VfM_Metrics_2023_Consol[[#This Row],[Overall turnover]], "n/a" )</f>
        <v>0.26814002812863197</v>
      </c>
      <c r="BX110" s="5">
        <f xml:space="preserve"> SUM( VfM_Metrics_2023_Consol[[#This Row],[Operating surplus/(deficit) (overall)2]], - VfM_Metrics_2023_Consol[[#This Row],[Gain/(loss) on disposal of fixed assets (housing properties)2]], - VfM_Metrics_2023_Consol[[#This Row],[Gain/(loss) on disposal of fixed assets (other)2]] )</f>
        <v>59293</v>
      </c>
      <c r="BY110" s="84" vm="2023">
        <v>63307</v>
      </c>
      <c r="BZ110" s="83" vm="8127">
        <v>4014</v>
      </c>
      <c r="CA110" s="83">
        <v>0</v>
      </c>
      <c r="CB110" s="5" vm="8026">
        <f xml:space="preserve"> VfM_Metrics_2023_Consol[[#This Row],[Turnover (overall)]]</f>
        <v>221127</v>
      </c>
      <c r="CC110" s="84" vm="8026">
        <v>221127</v>
      </c>
      <c r="CD110" s="7">
        <f xml:space="preserve"> IFERROR( VfM_Metrics_2023_Consol[[#This Row],[Operating surplus including from JVs]] / VfM_Metrics_2023_Consol[[#This Row],[Net assets]], "n/a" )</f>
        <v>3.3220947348259242E-2</v>
      </c>
      <c r="CE110" s="5">
        <f xml:space="preserve"> SUM( VfM_Metrics_2023_Consol[[#This Row],[Operating surplus/(deficit) (overall)3]], VfM_Metrics_2023_Consol[[#This Row],[Share of operating surplus/(deficit) in joint ventures or associates]] )</f>
        <v>63307</v>
      </c>
      <c r="CF110" s="84" vm="1993">
        <v>63307</v>
      </c>
      <c r="CG110" s="83">
        <v>0</v>
      </c>
      <c r="CH110" s="5" vm="2006">
        <f xml:space="preserve"> VfM_Metrics_2023_Consol[[#This Row],[Total assets less current liabilities]]</f>
        <v>1905635</v>
      </c>
      <c r="CI110" s="84" vm="2006">
        <v>1905635</v>
      </c>
      <c r="CJ110" s="71" vm="1982">
        <f xml:space="preserve"> VfM_Metrics_2023_Consol[[#This Row],[Total social housing units owned (Period end)]]</f>
        <v>31172</v>
      </c>
      <c r="CK110" s="103">
        <v>3.2362564384981696E-2</v>
      </c>
      <c r="CL110" s="6">
        <f xml:space="preserve"> -- ( VfM_Metrics_2023_Consol[[#This Row],[% Supported housing (excl. HOP)]] &gt; 0.3 )</f>
        <v>0</v>
      </c>
      <c r="CM110" s="103">
        <v>8.8924163400174935E-2</v>
      </c>
      <c r="CN110" s="6">
        <f xml:space="preserve"> -- ( VfM_Metrics_2023_Consol[[#This Row],[% Housing for older people]] &gt; 0.3 )</f>
        <v>0</v>
      </c>
      <c r="CO110" s="103">
        <f xml:space="preserve"> VfM_Metrics_2023_Consol[[#This Row],[% Supported housing (excl. HOP)]] + VfM_Metrics_2023_Consol[[#This Row],[% Housing for older people]]</f>
        <v>0.12128672778515663</v>
      </c>
      <c r="CP110" s="6">
        <f xml:space="preserve"> -- ( VfM_Metrics_2023_Consol[[#This Row],[SH specialist in RSH analysis]] + VfM_Metrics_2023_Consol[[#This Row],[OP specialist in RSH analysis]] &gt; 0 )</f>
        <v>0</v>
      </c>
      <c r="CQ110" s="10">
        <f xml:space="preserve"> -- ( VfM_Metrics_2023_Consol[[#This Row],[% SH and OP]] &gt; 0.3 )</f>
        <v>0</v>
      </c>
      <c r="CR110" s="104" t="s">
        <v>143</v>
      </c>
      <c r="CS110" s="124" t="s">
        <v>144</v>
      </c>
      <c r="CT110" s="105"/>
      <c r="CU11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10" s="85">
        <v>0</v>
      </c>
      <c r="CW110" s="85">
        <v>3.2345710958726873E-3</v>
      </c>
      <c r="CX110" s="85">
        <v>6.4691421917453741E-4</v>
      </c>
      <c r="CY110" s="85">
        <v>0.10007762970630095</v>
      </c>
      <c r="CZ110" s="85">
        <v>0.89604088497865186</v>
      </c>
      <c r="DA110" s="85">
        <v>0</v>
      </c>
      <c r="DB110" s="85">
        <v>0</v>
      </c>
      <c r="DC110" s="85">
        <v>0</v>
      </c>
      <c r="DD110" s="85">
        <v>0</v>
      </c>
      <c r="DE110" s="13">
        <v>0.96259339362563145</v>
      </c>
    </row>
    <row r="111" spans="1:109" x14ac:dyDescent="0.25">
      <c r="A111" s="4" t="s" vm="300">
        <v>346</v>
      </c>
      <c r="B111" s="2" t="s" vm="101">
        <v>347</v>
      </c>
      <c r="C111" s="72" vm="511">
        <v>45016</v>
      </c>
      <c r="D111" s="7">
        <f>IFERROR( VfM_Metrics_2023_Consol[[#This Row],[Reinvestment Spend]] / VfM_Metrics_2023_Consol[[#This Row],[Net Book Value of Housing Properties]], "n/a" )</f>
        <v>5.4514056998885972E-2</v>
      </c>
      <c r="E11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92779</v>
      </c>
      <c r="F111" s="83" vm="3353">
        <v>79603</v>
      </c>
      <c r="G111" s="83" vm="3354">
        <v>0</v>
      </c>
      <c r="H111" s="83" vm="3355">
        <v>9788</v>
      </c>
      <c r="I111" s="83" vm="3356">
        <v>3388</v>
      </c>
      <c r="J111" s="83" vm="3346">
        <v>0</v>
      </c>
      <c r="K111" s="5">
        <f xml:space="preserve"> SUM( VfM_Metrics_2023_Consol[[#This Row],[Tangible fixed assets: Housing properties at cost (Current period)]],VfM_Metrics_2023_Consol[[#This Row],[Tangible fixed assets Housing properties at valuation (Current period)]] )</f>
        <v>1701928</v>
      </c>
      <c r="L111" s="84" vm="3424">
        <v>1701928</v>
      </c>
      <c r="M111" s="83" vm="3358">
        <v>0</v>
      </c>
      <c r="N111" s="7">
        <f xml:space="preserve"> IFERROR( VfM_Metrics_2023_Consol[[#This Row],[Total social units developed or newly built units acquired in-year]] / VfM_Metrics_2023_Consol[[#This Row],[Social housing units owned (period end)]], "n/a" )</f>
        <v>2.2297749626654307E-2</v>
      </c>
      <c r="O111" s="5">
        <f xml:space="preserve"> SUM( VfM_Metrics_2023_Consol[[#This Row],[Total social units developed or newly built units acquired in-year (owned)]], VfM_Metrics_2023_Consol[[#This Row],[Total social leasehold units developed or newly built units acquired in-year (owned)]] )</f>
        <v>433</v>
      </c>
      <c r="P111" s="84" vm="7695">
        <v>433</v>
      </c>
      <c r="Q111" s="83" vm="3359">
        <v>0</v>
      </c>
      <c r="R111" s="5">
        <f xml:space="preserve"> SUM( VfM_Metrics_2023_Consol[[#This Row],[Total social housing units owned (Period end)]], VfM_Metrics_2023_Consol[[#This Row],[Total social leasehold units owned (Period end)]] )</f>
        <v>19419</v>
      </c>
      <c r="S111" s="84" vm="3351">
        <v>18326</v>
      </c>
      <c r="T111" s="83" vm="7554">
        <v>1093</v>
      </c>
      <c r="U111" s="86">
        <f xml:space="preserve"> IFERROR( VfM_Metrics_2023_Consol[[#This Row],[Total non-social housing units developed or newly built units acquired (owned)]] / VfM_Metrics_2023_Consol[[#This Row],[Total social and non-social housing units owned (Period end)]], "n/a" )</f>
        <v>1.3355249640435586E-3</v>
      </c>
      <c r="V11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26</v>
      </c>
      <c r="W111" s="83" vm="3361">
        <v>0</v>
      </c>
      <c r="X111" s="83" vm="7700">
        <v>0</v>
      </c>
      <c r="Y111" s="83" vm="3362">
        <v>26</v>
      </c>
      <c r="Z11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19468</v>
      </c>
      <c r="AA111" s="84" vm="3351">
        <v>18326</v>
      </c>
      <c r="AB111" s="83" vm="3360">
        <v>1093</v>
      </c>
      <c r="AC111" s="83" vm="3363">
        <v>49</v>
      </c>
      <c r="AD111" s="83" vm="3364">
        <v>0</v>
      </c>
      <c r="AE111" s="7">
        <f xml:space="preserve"> IFERROR( VfM_Metrics_2023_Consol[[#This Row],[Total Net Debt]] / VfM_Metrics_2023_Consol[[#This Row],[Net Book Value of Housing Properties2]], "n/a" )</f>
        <v>0.30766283885099721</v>
      </c>
      <c r="AF11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523620</v>
      </c>
      <c r="AG111" s="84" vm="3365">
        <v>8684</v>
      </c>
      <c r="AH111" s="83" vm="3366">
        <v>546958</v>
      </c>
      <c r="AI111" s="83" vm="3367">
        <v>32061</v>
      </c>
      <c r="AJ111" s="83" vm="7592">
        <v>0</v>
      </c>
      <c r="AK111" s="83" vm="4946">
        <v>39</v>
      </c>
      <c r="AL111" s="5">
        <f xml:space="preserve"> SUM( VfM_Metrics_2023_Consol[[#This Row],[Tangible fixed assets: Housing properties at cost (Current period)2]], VfM_Metrics_2023_Consol[[#This Row],[Tangible fixed assets Housing properties at valuation (Current period)2]] )</f>
        <v>1701928</v>
      </c>
      <c r="AM111" s="84" vm="3357">
        <v>1701928</v>
      </c>
      <c r="AN111" s="83" vm="3358">
        <v>0</v>
      </c>
      <c r="AO111" s="87">
        <f xml:space="preserve"> IFERROR( VfM_Metrics_2023_Consol[[#This Row],[EBITDA MRI]] / VfM_Metrics_2023_Consol[[#This Row],[Total interest]], "n/a" )</f>
        <v>2.0294516931895314</v>
      </c>
      <c r="AP11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53817</v>
      </c>
      <c r="AQ111" s="84" vm="7552">
        <v>61655</v>
      </c>
      <c r="AR111" s="84" vm="3369">
        <v>15813</v>
      </c>
      <c r="AS111" s="84" vm="3370">
        <v>3</v>
      </c>
      <c r="AT111" s="84" vm="7454">
        <v>5292</v>
      </c>
      <c r="AU111" s="84" vm="3371">
        <v>0</v>
      </c>
      <c r="AV111" s="84" vm="3372">
        <v>984</v>
      </c>
      <c r="AW111" s="84" vm="3373">
        <v>9788</v>
      </c>
      <c r="AX111" s="84" vm="3374">
        <v>22074</v>
      </c>
      <c r="AY111" s="3">
        <f xml:space="preserve"> - SUM( VfM_Metrics_2023_Consol[[#This Row],[Interest capitalised]], VfM_Metrics_2023_Consol[[#This Row],[Interest payable and financing costs]] )</f>
        <v>26518</v>
      </c>
      <c r="AZ111" s="84" vm="3375">
        <v>-3388</v>
      </c>
      <c r="BA111" s="83" vm="3376">
        <v>-23130</v>
      </c>
      <c r="BB111" s="8">
        <f xml:space="preserve"> IFERROR( ( VfM_Metrics_2023_Consol[[#This Row],[Total Costs]] / VfM_Metrics_2023_Consol[[#This Row],[Total units for costs]] ) * 1000, "n/a" )</f>
        <v>3835.0327358591821</v>
      </c>
      <c r="BC11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71462</v>
      </c>
      <c r="BD111" s="84" vm="3377">
        <v>23437</v>
      </c>
      <c r="BE111" s="83" vm="2921">
        <v>13692</v>
      </c>
      <c r="BF111" s="83" vm="7738">
        <v>13138</v>
      </c>
      <c r="BG111" s="83" vm="3378">
        <v>5065</v>
      </c>
      <c r="BH111" s="83" vm="3379">
        <v>3563</v>
      </c>
      <c r="BI111" s="83" vm="3380">
        <v>0</v>
      </c>
      <c r="BJ111" s="83" vm="3912">
        <v>9788</v>
      </c>
      <c r="BK111" s="83" vm="3381">
        <v>0</v>
      </c>
      <c r="BL111" s="83" vm="3382">
        <v>2384</v>
      </c>
      <c r="BM111" s="83" vm="7694">
        <v>1036</v>
      </c>
      <c r="BN111" s="83" vm="3383">
        <v>-641</v>
      </c>
      <c r="BO111" s="83" vm="3384">
        <v>0</v>
      </c>
      <c r="BP111" s="5" vm="3352">
        <f xml:space="preserve"> VfM_Metrics_2023_Consol[[#This Row],[Total social housing units owned and/or managed at period end]]</f>
        <v>18634</v>
      </c>
      <c r="BQ111" s="84" vm="3352">
        <v>18634</v>
      </c>
      <c r="BR111" s="7">
        <f xml:space="preserve"> IFERROR( VfM_Metrics_2023_Consol[[#This Row],[SHL operating surplus / (deficit)]] / VfM_Metrics_2023_Consol[[#This Row],[Turnover from social housing lettings]], "n/a" )</f>
        <v>0.34568782938481996</v>
      </c>
      <c r="BS111" s="5" vm="3385">
        <f xml:space="preserve"> VfM_Metrics_2023_Consol[[#This Row],[Operating surplus/(deficit) (social housing lettings)]]</f>
        <v>42111</v>
      </c>
      <c r="BT111" s="84" vm="3385">
        <v>42111</v>
      </c>
      <c r="BU111" s="5" vm="3386">
        <f xml:space="preserve"> VfM_Metrics_2023_Consol[[#This Row],[Turnover from social housing lettings]]</f>
        <v>121818</v>
      </c>
      <c r="BV111" s="84" vm="3386">
        <v>121818</v>
      </c>
      <c r="BW111" s="7">
        <f xml:space="preserve"> IFERROR( VfM_Metrics_2023_Consol[[#This Row],[Net operating surplus]] / VfM_Metrics_2023_Consol[[#This Row],[Overall turnover]], "n/a" )</f>
        <v>0.28692772818888568</v>
      </c>
      <c r="BX111" s="5">
        <f xml:space="preserve"> SUM( VfM_Metrics_2023_Consol[[#This Row],[Operating surplus/(deficit) (overall)2]], - VfM_Metrics_2023_Consol[[#This Row],[Gain/(loss) on disposal of fixed assets (housing properties)2]], - VfM_Metrics_2023_Consol[[#This Row],[Gain/(loss) on disposal of fixed assets (other)2]] )</f>
        <v>45839</v>
      </c>
      <c r="BY111" s="84" vm="3368">
        <v>61655</v>
      </c>
      <c r="BZ111" s="83" vm="3369">
        <v>15813</v>
      </c>
      <c r="CA111" s="83" vm="3370">
        <v>3</v>
      </c>
      <c r="CB111" s="5" vm="3387">
        <f xml:space="preserve"> VfM_Metrics_2023_Consol[[#This Row],[Turnover (overall)]]</f>
        <v>159758</v>
      </c>
      <c r="CC111" s="84" vm="3387">
        <v>159758</v>
      </c>
      <c r="CD111" s="7">
        <f xml:space="preserve"> IFERROR( VfM_Metrics_2023_Consol[[#This Row],[Operating surplus including from JVs]] / VfM_Metrics_2023_Consol[[#This Row],[Net assets]], "n/a" )</f>
        <v>3.509895508665864E-2</v>
      </c>
      <c r="CE111" s="5">
        <f xml:space="preserve"> SUM( VfM_Metrics_2023_Consol[[#This Row],[Operating surplus/(deficit) (overall)3]], VfM_Metrics_2023_Consol[[#This Row],[Share of operating surplus/(deficit) in joint ventures or associates]] )</f>
        <v>61655</v>
      </c>
      <c r="CF111" s="84" vm="3368">
        <v>61655</v>
      </c>
      <c r="CG111" s="83" vm="3389">
        <v>0</v>
      </c>
      <c r="CH111" s="5" vm="3388">
        <f xml:space="preserve"> VfM_Metrics_2023_Consol[[#This Row],[Total assets less current liabilities]]</f>
        <v>1756605</v>
      </c>
      <c r="CI111" s="84" vm="3388">
        <v>1756605</v>
      </c>
      <c r="CJ111" s="71" vm="3351">
        <f xml:space="preserve"> VfM_Metrics_2023_Consol[[#This Row],[Total social housing units owned (Period end)]]</f>
        <v>18326</v>
      </c>
      <c r="CK111" s="103">
        <v>1.1748633879781421E-2</v>
      </c>
      <c r="CL111" s="6">
        <f xml:space="preserve"> -- ( VfM_Metrics_2023_Consol[[#This Row],[% Supported housing (excl. HOP)]] &gt; 0.3 )</f>
        <v>0</v>
      </c>
      <c r="CM111" s="103">
        <v>8.0327868852459017E-2</v>
      </c>
      <c r="CN111" s="6">
        <f xml:space="preserve"> -- ( VfM_Metrics_2023_Consol[[#This Row],[% Housing for older people]] &gt; 0.3 )</f>
        <v>0</v>
      </c>
      <c r="CO111" s="103">
        <f xml:space="preserve"> VfM_Metrics_2023_Consol[[#This Row],[% Supported housing (excl. HOP)]] + VfM_Metrics_2023_Consol[[#This Row],[% Housing for older people]]</f>
        <v>9.2076502732240439E-2</v>
      </c>
      <c r="CP111" s="6">
        <f xml:space="preserve"> -- ( VfM_Metrics_2023_Consol[[#This Row],[SH specialist in RSH analysis]] + VfM_Metrics_2023_Consol[[#This Row],[OP specialist in RSH analysis]] &gt; 0 )</f>
        <v>0</v>
      </c>
      <c r="CQ111" s="10">
        <f xml:space="preserve"> -- ( VfM_Metrics_2023_Consol[[#This Row],[% SH and OP]] &gt; 0.3 )</f>
        <v>0</v>
      </c>
      <c r="CR111" s="104" t="s">
        <v>143</v>
      </c>
      <c r="CS111" s="124" t="s">
        <v>144</v>
      </c>
      <c r="CT111" s="105"/>
      <c r="CU11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11" s="85">
        <v>0.20618444055944055</v>
      </c>
      <c r="CW111" s="85">
        <v>0.56293706293706292</v>
      </c>
      <c r="CX111" s="85">
        <v>3.8243006993006995E-3</v>
      </c>
      <c r="CY111" s="85">
        <v>0</v>
      </c>
      <c r="CZ111" s="85">
        <v>0</v>
      </c>
      <c r="DA111" s="85">
        <v>0.22705419580419581</v>
      </c>
      <c r="DB111" s="85">
        <v>0</v>
      </c>
      <c r="DC111" s="85">
        <v>0</v>
      </c>
      <c r="DD111" s="85">
        <v>0</v>
      </c>
      <c r="DE111" s="13">
        <v>1.054530339796665</v>
      </c>
    </row>
    <row r="112" spans="1:109" x14ac:dyDescent="0.25">
      <c r="A112" s="4" t="s" vm="369">
        <v>348</v>
      </c>
      <c r="B112" s="2" t="s" vm="102">
        <v>349</v>
      </c>
      <c r="C112" s="72" vm="480">
        <v>45016</v>
      </c>
      <c r="D112" s="7">
        <f>IFERROR( VfM_Metrics_2023_Consol[[#This Row],[Reinvestment Spend]] / VfM_Metrics_2023_Consol[[#This Row],[Net Book Value of Housing Properties]], "n/a" )</f>
        <v>5.2812356428712071E-2</v>
      </c>
      <c r="E11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21726</v>
      </c>
      <c r="F112" s="83" vm="7008">
        <v>14798</v>
      </c>
      <c r="G112" s="83" vm="5763">
        <v>0</v>
      </c>
      <c r="H112" s="83" vm="5764">
        <v>6810</v>
      </c>
      <c r="I112" s="83" vm="5765">
        <v>118</v>
      </c>
      <c r="J112" s="83" vm="5766">
        <v>0</v>
      </c>
      <c r="K112" s="5">
        <f xml:space="preserve"> SUM( VfM_Metrics_2023_Consol[[#This Row],[Tangible fixed assets: Housing properties at cost (Current period)]],VfM_Metrics_2023_Consol[[#This Row],[Tangible fixed assets Housing properties at valuation (Current period)]] )</f>
        <v>411381</v>
      </c>
      <c r="L112" s="84" vm="5767">
        <v>411381</v>
      </c>
      <c r="M112" s="83" vm="5768">
        <v>0</v>
      </c>
      <c r="N112" s="7">
        <f xml:space="preserve"> IFERROR( VfM_Metrics_2023_Consol[[#This Row],[Total social units developed or newly built units acquired in-year]] / VfM_Metrics_2023_Consol[[#This Row],[Social housing units owned (period end)]], "n/a" )</f>
        <v>2.000919963201472E-2</v>
      </c>
      <c r="O112" s="5">
        <f xml:space="preserve"> SUM( VfM_Metrics_2023_Consol[[#This Row],[Total social units developed or newly built units acquired in-year (owned)]], VfM_Metrics_2023_Consol[[#This Row],[Total social leasehold units developed or newly built units acquired in-year (owned)]] )</f>
        <v>174</v>
      </c>
      <c r="P112" s="84" vm="5769">
        <v>170</v>
      </c>
      <c r="Q112" s="83" vm="5770">
        <v>4</v>
      </c>
      <c r="R112" s="5">
        <f xml:space="preserve"> SUM( VfM_Metrics_2023_Consol[[#This Row],[Total social housing units owned (Period end)]], VfM_Metrics_2023_Consol[[#This Row],[Total social leasehold units owned (Period end)]] )</f>
        <v>8696</v>
      </c>
      <c r="S112" s="84" vm="5761">
        <v>8558</v>
      </c>
      <c r="T112" s="83" vm="5771">
        <v>138</v>
      </c>
      <c r="U112" s="86">
        <f xml:space="preserve"> IFERROR( VfM_Metrics_2023_Consol[[#This Row],[Total non-social housing units developed or newly built units acquired (owned)]] / VfM_Metrics_2023_Consol[[#This Row],[Total social and non-social housing units owned (Period end)]], "n/a" )</f>
        <v>7.9051383399209485E-4</v>
      </c>
      <c r="V11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7</v>
      </c>
      <c r="W112" s="83" vm="5772">
        <v>7</v>
      </c>
      <c r="X112" s="83" vm="5773">
        <v>0</v>
      </c>
      <c r="Y112" s="83" vm="6907">
        <v>0</v>
      </c>
      <c r="Z11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8855</v>
      </c>
      <c r="AA112" s="84" vm="5761">
        <v>8558</v>
      </c>
      <c r="AB112" s="83" vm="5771">
        <v>138</v>
      </c>
      <c r="AC112" s="83" vm="5774">
        <v>159</v>
      </c>
      <c r="AD112" s="83" vm="5775">
        <v>0</v>
      </c>
      <c r="AE112" s="7">
        <f xml:space="preserve"> IFERROR( VfM_Metrics_2023_Consol[[#This Row],[Total Net Debt]] / VfM_Metrics_2023_Consol[[#This Row],[Net Book Value of Housing Properties2]], "n/a" )</f>
        <v>0.44179240169088996</v>
      </c>
      <c r="AF11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181745</v>
      </c>
      <c r="AG112" s="84" vm="5776">
        <v>1956</v>
      </c>
      <c r="AH112" s="83" vm="5777">
        <v>183520</v>
      </c>
      <c r="AI112" s="83" vm="5778">
        <v>3731</v>
      </c>
      <c r="AJ112" s="83" vm="5779">
        <v>0</v>
      </c>
      <c r="AK112" s="83" vm="5780">
        <v>0</v>
      </c>
      <c r="AL112" s="5">
        <f xml:space="preserve"> SUM( VfM_Metrics_2023_Consol[[#This Row],[Tangible fixed assets: Housing properties at cost (Current period)2]], VfM_Metrics_2023_Consol[[#This Row],[Tangible fixed assets Housing properties at valuation (Current period)2]] )</f>
        <v>411381</v>
      </c>
      <c r="AM112" s="84" vm="5767">
        <v>411381</v>
      </c>
      <c r="AN112" s="83" vm="5768">
        <v>0</v>
      </c>
      <c r="AO112" s="87">
        <f xml:space="preserve"> IFERROR( VfM_Metrics_2023_Consol[[#This Row],[EBITDA MRI]] / VfM_Metrics_2023_Consol[[#This Row],[Total interest]], "n/a" )</f>
        <v>1.1724803707040803</v>
      </c>
      <c r="AP11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9109</v>
      </c>
      <c r="AQ112" s="84" vm="7246">
        <v>9603</v>
      </c>
      <c r="AR112" s="84" vm="5782">
        <v>1379</v>
      </c>
      <c r="AS112" s="84" vm="5783">
        <v>0</v>
      </c>
      <c r="AT112" s="84" vm="5784">
        <v>2223</v>
      </c>
      <c r="AU112" s="84" vm="5785">
        <v>0</v>
      </c>
      <c r="AV112" s="84" vm="5786">
        <v>699</v>
      </c>
      <c r="AW112" s="84" vm="5787">
        <v>6810</v>
      </c>
      <c r="AX112" s="84" vm="5788">
        <v>9219</v>
      </c>
      <c r="AY112" s="3">
        <f xml:space="preserve"> - SUM( VfM_Metrics_2023_Consol[[#This Row],[Interest capitalised]], VfM_Metrics_2023_Consol[[#This Row],[Interest payable and financing costs]] )</f>
        <v>7769</v>
      </c>
      <c r="AZ112" s="84" vm="5789">
        <v>-118</v>
      </c>
      <c r="BA112" s="83" vm="5790">
        <v>-7651</v>
      </c>
      <c r="BB112" s="8">
        <f xml:space="preserve"> IFERROR( ( VfM_Metrics_2023_Consol[[#This Row],[Total Costs]] / VfM_Metrics_2023_Consol[[#This Row],[Total units for costs]] ) * 1000, "n/a" )</f>
        <v>4570.7117852975498</v>
      </c>
      <c r="BC11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39171</v>
      </c>
      <c r="BD112" s="84" vm="5791">
        <v>7175</v>
      </c>
      <c r="BE112" s="83" vm="5792">
        <v>7068</v>
      </c>
      <c r="BF112" s="83" vm="5793">
        <v>14539</v>
      </c>
      <c r="BG112" s="83" vm="5794">
        <v>3019</v>
      </c>
      <c r="BH112" s="83" vm="7030">
        <v>0</v>
      </c>
      <c r="BI112" s="83" vm="7026">
        <v>314</v>
      </c>
      <c r="BJ112" s="83" vm="5787">
        <v>6810</v>
      </c>
      <c r="BK112" s="83" vm="5795">
        <v>0</v>
      </c>
      <c r="BL112" s="83" vm="7144">
        <v>150</v>
      </c>
      <c r="BM112" s="83" vm="7211">
        <v>0</v>
      </c>
      <c r="BN112" s="83" vm="5796">
        <v>30</v>
      </c>
      <c r="BO112" s="83" vm="5797">
        <v>66</v>
      </c>
      <c r="BP112" s="5" vm="5762">
        <f xml:space="preserve"> VfM_Metrics_2023_Consol[[#This Row],[Total social housing units owned and/or managed at period end]]</f>
        <v>8570</v>
      </c>
      <c r="BQ112" s="84" vm="5762">
        <v>8570</v>
      </c>
      <c r="BR112" s="7">
        <f xml:space="preserve"> IFERROR( VfM_Metrics_2023_Consol[[#This Row],[SHL operating surplus / (deficit)]] / VfM_Metrics_2023_Consol[[#This Row],[Turnover from social housing lettings]], "n/a" )</f>
        <v>0.1338320153879034</v>
      </c>
      <c r="BS112" s="5" vm="5798">
        <f xml:space="preserve"> VfM_Metrics_2023_Consol[[#This Row],[Operating surplus/(deficit) (social housing lettings)]]</f>
        <v>6262</v>
      </c>
      <c r="BT112" s="84" vm="5798">
        <v>6262</v>
      </c>
      <c r="BU112" s="5" vm="5799">
        <f xml:space="preserve"> VfM_Metrics_2023_Consol[[#This Row],[Turnover from social housing lettings]]</f>
        <v>46790</v>
      </c>
      <c r="BV112" s="84" vm="5799">
        <v>46790</v>
      </c>
      <c r="BW112" s="7">
        <f xml:space="preserve"> IFERROR( VfM_Metrics_2023_Consol[[#This Row],[Net operating surplus]] / VfM_Metrics_2023_Consol[[#This Row],[Overall turnover]], "n/a" )</f>
        <v>0.15377423757970121</v>
      </c>
      <c r="BX112" s="5">
        <f xml:space="preserve"> SUM( VfM_Metrics_2023_Consol[[#This Row],[Operating surplus/(deficit) (overall)2]], - VfM_Metrics_2023_Consol[[#This Row],[Gain/(loss) on disposal of fixed assets (housing properties)2]], - VfM_Metrics_2023_Consol[[#This Row],[Gain/(loss) on disposal of fixed assets (other)2]] )</f>
        <v>8224</v>
      </c>
      <c r="BY112" s="84" vm="5781">
        <v>9603</v>
      </c>
      <c r="BZ112" s="83" vm="5782">
        <v>1379</v>
      </c>
      <c r="CA112" s="83" vm="5783">
        <v>0</v>
      </c>
      <c r="CB112" s="5" vm="5800">
        <f xml:space="preserve"> VfM_Metrics_2023_Consol[[#This Row],[Turnover (overall)]]</f>
        <v>53481</v>
      </c>
      <c r="CC112" s="84" vm="5800">
        <v>53481</v>
      </c>
      <c r="CD112" s="7">
        <f xml:space="preserve"> IFERROR( VfM_Metrics_2023_Consol[[#This Row],[Operating surplus including from JVs]] / VfM_Metrics_2023_Consol[[#This Row],[Net assets]], "n/a" )</f>
        <v>2.2357307158622101E-2</v>
      </c>
      <c r="CE112" s="5">
        <f xml:space="preserve"> SUM( VfM_Metrics_2023_Consol[[#This Row],[Operating surplus/(deficit) (overall)3]], VfM_Metrics_2023_Consol[[#This Row],[Share of operating surplus/(deficit) in joint ventures or associates]] )</f>
        <v>9603</v>
      </c>
      <c r="CF112" s="84" vm="6944">
        <v>9603</v>
      </c>
      <c r="CG112" s="83" vm="5802">
        <v>0</v>
      </c>
      <c r="CH112" s="5" vm="5801">
        <f xml:space="preserve"> VfM_Metrics_2023_Consol[[#This Row],[Total assets less current liabilities]]</f>
        <v>429524</v>
      </c>
      <c r="CI112" s="84" vm="5801">
        <v>429524</v>
      </c>
      <c r="CJ112" s="71" vm="5761">
        <f xml:space="preserve"> VfM_Metrics_2023_Consol[[#This Row],[Total social housing units owned (Period end)]]</f>
        <v>8558</v>
      </c>
      <c r="CK112" s="103">
        <v>7.6070291307937257E-2</v>
      </c>
      <c r="CL112" s="6">
        <f xml:space="preserve"> -- ( VfM_Metrics_2023_Consol[[#This Row],[% Supported housing (excl. HOP)]] &gt; 0.3 )</f>
        <v>0</v>
      </c>
      <c r="CM112" s="103">
        <v>7.2060384479301798E-2</v>
      </c>
      <c r="CN112" s="6">
        <f xml:space="preserve"> -- ( VfM_Metrics_2023_Consol[[#This Row],[% Housing for older people]] &gt; 0.3 )</f>
        <v>0</v>
      </c>
      <c r="CO112" s="103">
        <f xml:space="preserve"> VfM_Metrics_2023_Consol[[#This Row],[% Supported housing (excl. HOP)]] + VfM_Metrics_2023_Consol[[#This Row],[% Housing for older people]]</f>
        <v>0.14813067578723904</v>
      </c>
      <c r="CP112" s="6">
        <f xml:space="preserve"> -- ( VfM_Metrics_2023_Consol[[#This Row],[SH specialist in RSH analysis]] + VfM_Metrics_2023_Consol[[#This Row],[OP specialist in RSH analysis]] &gt; 0 )</f>
        <v>0</v>
      </c>
      <c r="CQ112" s="10">
        <f xml:space="preserve"> -- ( VfM_Metrics_2023_Consol[[#This Row],[% SH and OP]] &gt; 0.3 )</f>
        <v>0</v>
      </c>
      <c r="CR112" s="104" t="s">
        <v>143</v>
      </c>
      <c r="CS112" s="124" t="s">
        <v>144</v>
      </c>
      <c r="CT112" s="105"/>
      <c r="CU11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12" s="85">
        <v>0</v>
      </c>
      <c r="CW112" s="85">
        <v>0</v>
      </c>
      <c r="CX112" s="85">
        <v>0</v>
      </c>
      <c r="CY112" s="85">
        <v>0</v>
      </c>
      <c r="CZ112" s="85">
        <v>2.3369946249123628E-4</v>
      </c>
      <c r="DA112" s="85">
        <v>0</v>
      </c>
      <c r="DB112" s="85">
        <v>0</v>
      </c>
      <c r="DC112" s="85">
        <v>0.98130404300070107</v>
      </c>
      <c r="DD112" s="85">
        <v>1.8462257536807667E-2</v>
      </c>
      <c r="DE112" s="13">
        <v>0.96075596097799398</v>
      </c>
    </row>
    <row r="113" spans="1:109" x14ac:dyDescent="0.25">
      <c r="A113" s="4" t="s" vm="218">
        <v>350</v>
      </c>
      <c r="B113" s="2" t="s" vm="103">
        <v>351</v>
      </c>
      <c r="C113" s="72" vm="469">
        <v>45016</v>
      </c>
      <c r="D113" s="7">
        <f>IFERROR( VfM_Metrics_2023_Consol[[#This Row],[Reinvestment Spend]] / VfM_Metrics_2023_Consol[[#This Row],[Net Book Value of Housing Properties]], "n/a" )</f>
        <v>6.7473304902641404E-2</v>
      </c>
      <c r="E11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8164</v>
      </c>
      <c r="F113" s="83" vm="8624">
        <v>5807</v>
      </c>
      <c r="G113" s="83" vm="9012">
        <v>0</v>
      </c>
      <c r="H113" s="83" vm="8643">
        <v>2186</v>
      </c>
      <c r="I113" s="83" vm="965">
        <v>171</v>
      </c>
      <c r="J113" s="83" vm="966">
        <v>0</v>
      </c>
      <c r="K113" s="5">
        <f xml:space="preserve"> SUM( VfM_Metrics_2023_Consol[[#This Row],[Tangible fixed assets: Housing properties at cost (Current period)]],VfM_Metrics_2023_Consol[[#This Row],[Tangible fixed assets Housing properties at valuation (Current period)]] )</f>
        <v>120996</v>
      </c>
      <c r="L113" s="84" vm="8792">
        <v>120996</v>
      </c>
      <c r="M113" s="83" vm="967">
        <v>0</v>
      </c>
      <c r="N113" s="7">
        <f xml:space="preserve"> IFERROR( VfM_Metrics_2023_Consol[[#This Row],[Total social units developed or newly built units acquired in-year]] / VfM_Metrics_2023_Consol[[#This Row],[Social housing units owned (period end)]], "n/a" )</f>
        <v>2.6378896882494004E-2</v>
      </c>
      <c r="O113" s="5">
        <f xml:space="preserve"> SUM( VfM_Metrics_2023_Consol[[#This Row],[Total social units developed or newly built units acquired in-year (owned)]], VfM_Metrics_2023_Consol[[#This Row],[Total social leasehold units developed or newly built units acquired in-year (owned)]] )</f>
        <v>44</v>
      </c>
      <c r="P113" s="84" vm="6638">
        <v>44</v>
      </c>
      <c r="Q113" s="83" vm="968">
        <v>0</v>
      </c>
      <c r="R113" s="5">
        <f xml:space="preserve"> SUM( VfM_Metrics_2023_Consol[[#This Row],[Total social housing units owned (Period end)]], VfM_Metrics_2023_Consol[[#This Row],[Total social leasehold units owned (Period end)]] )</f>
        <v>1668</v>
      </c>
      <c r="S113" s="84" vm="1035">
        <v>1579</v>
      </c>
      <c r="T113" s="83" vm="8621">
        <v>89</v>
      </c>
      <c r="U113" s="86">
        <f xml:space="preserve"> IFERROR( VfM_Metrics_2023_Consol[[#This Row],[Total non-social housing units developed or newly built units acquired (owned)]] / VfM_Metrics_2023_Consol[[#This Row],[Total social and non-social housing units owned (Period end)]], "n/a" )</f>
        <v>0</v>
      </c>
      <c r="V11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13" s="83" vm="969">
        <v>0</v>
      </c>
      <c r="X113" s="83" vm="8587">
        <v>0</v>
      </c>
      <c r="Y113" s="83" vm="970">
        <v>0</v>
      </c>
      <c r="Z11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1668</v>
      </c>
      <c r="AA113" s="84" vm="7919">
        <v>1579</v>
      </c>
      <c r="AB113" s="83" vm="8913">
        <v>89</v>
      </c>
      <c r="AC113" s="83" vm="6625">
        <v>0</v>
      </c>
      <c r="AD113" s="83" vm="971">
        <v>0</v>
      </c>
      <c r="AE113" s="7">
        <f xml:space="preserve"> IFERROR( VfM_Metrics_2023_Consol[[#This Row],[Total Net Debt]] / VfM_Metrics_2023_Consol[[#This Row],[Net Book Value of Housing Properties2]], "n/a" )</f>
        <v>0.61582201064497999</v>
      </c>
      <c r="AF11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74512</v>
      </c>
      <c r="AG113" s="84" vm="8582">
        <v>487</v>
      </c>
      <c r="AH113" s="83" vm="972">
        <v>75461</v>
      </c>
      <c r="AI113" s="83" vm="1094">
        <v>1436</v>
      </c>
      <c r="AJ113" s="83" vm="8729">
        <v>0</v>
      </c>
      <c r="AK113" s="83" vm="973">
        <v>0</v>
      </c>
      <c r="AL113" s="5">
        <f xml:space="preserve"> SUM( VfM_Metrics_2023_Consol[[#This Row],[Tangible fixed assets: Housing properties at cost (Current period)2]], VfM_Metrics_2023_Consol[[#This Row],[Tangible fixed assets Housing properties at valuation (Current period)2]] )</f>
        <v>120996</v>
      </c>
      <c r="AM113" s="84" vm="7918">
        <v>120996</v>
      </c>
      <c r="AN113" s="83" vm="1060">
        <v>0</v>
      </c>
      <c r="AO113" s="87">
        <f xml:space="preserve"> IFERROR( VfM_Metrics_2023_Consol[[#This Row],[EBITDA MRI]] / VfM_Metrics_2023_Consol[[#This Row],[Total interest]], "n/a" )</f>
        <v>0.89723926380368102</v>
      </c>
      <c r="AP11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3510</v>
      </c>
      <c r="AQ113" s="84" vm="974">
        <v>4582</v>
      </c>
      <c r="AR113" s="84" vm="8896">
        <v>510</v>
      </c>
      <c r="AS113" s="84" vm="975">
        <v>0</v>
      </c>
      <c r="AT113" s="84" vm="976">
        <v>203</v>
      </c>
      <c r="AU113" s="84" vm="8638">
        <v>0</v>
      </c>
      <c r="AV113" s="84" vm="8704">
        <v>7</v>
      </c>
      <c r="AW113" s="84" vm="977">
        <v>2186</v>
      </c>
      <c r="AX113" s="84" vm="978">
        <v>1820</v>
      </c>
      <c r="AY113" s="3">
        <f xml:space="preserve"> - SUM( VfM_Metrics_2023_Consol[[#This Row],[Interest capitalised]], VfM_Metrics_2023_Consol[[#This Row],[Interest payable and financing costs]] )</f>
        <v>3912</v>
      </c>
      <c r="AZ113" s="84" vm="979">
        <v>-171</v>
      </c>
      <c r="BA113" s="83" vm="980">
        <v>-3741</v>
      </c>
      <c r="BB113" s="8">
        <f xml:space="preserve"> IFERROR( ( VfM_Metrics_2023_Consol[[#This Row],[Total Costs]] / VfM_Metrics_2023_Consol[[#This Row],[Total units for costs]] ) * 1000, "n/a" )</f>
        <v>5720.709309689677</v>
      </c>
      <c r="BC11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9033</v>
      </c>
      <c r="BD113" s="84" vm="981">
        <v>1467</v>
      </c>
      <c r="BE113" s="83" vm="982">
        <v>1939</v>
      </c>
      <c r="BF113" s="83" vm="983">
        <v>1516</v>
      </c>
      <c r="BG113" s="83" vm="1026">
        <v>1272</v>
      </c>
      <c r="BH113" s="83" vm="8634">
        <v>222</v>
      </c>
      <c r="BI113" s="83" vm="8701">
        <v>0</v>
      </c>
      <c r="BJ113" s="83" vm="977">
        <v>2186</v>
      </c>
      <c r="BK113" s="83" vm="8584">
        <v>110</v>
      </c>
      <c r="BL113" s="83" vm="7139">
        <v>243</v>
      </c>
      <c r="BM113" s="83" vm="985">
        <v>0</v>
      </c>
      <c r="BN113" s="83" vm="8847">
        <v>11</v>
      </c>
      <c r="BO113" s="83" vm="8834">
        <v>67</v>
      </c>
      <c r="BP113" s="5" vm="8849">
        <f xml:space="preserve"> VfM_Metrics_2023_Consol[[#This Row],[Total social housing units owned and/or managed at period end]]</f>
        <v>1579</v>
      </c>
      <c r="BQ113" s="84" vm="8849">
        <v>1579</v>
      </c>
      <c r="BR113" s="7">
        <f xml:space="preserve"> IFERROR( VfM_Metrics_2023_Consol[[#This Row],[SHL operating surplus / (deficit)]] / VfM_Metrics_2023_Consol[[#This Row],[Turnover from social housing lettings]], "n/a" )</f>
        <v>0.30221959659042957</v>
      </c>
      <c r="BS113" s="5" vm="986">
        <f xml:space="preserve"> VfM_Metrics_2023_Consol[[#This Row],[Operating surplus/(deficit) (social housing lettings)]]</f>
        <v>3581</v>
      </c>
      <c r="BT113" s="84" vm="986">
        <v>3581</v>
      </c>
      <c r="BU113" s="5" vm="7916">
        <f xml:space="preserve"> VfM_Metrics_2023_Consol[[#This Row],[Turnover from social housing lettings]]</f>
        <v>11849</v>
      </c>
      <c r="BV113" s="84" vm="7916">
        <v>11849</v>
      </c>
      <c r="BW113" s="7">
        <f xml:space="preserve"> IFERROR( VfM_Metrics_2023_Consol[[#This Row],[Net operating surplus]] / VfM_Metrics_2023_Consol[[#This Row],[Overall turnover]], "n/a" )</f>
        <v>0.29601628380343126</v>
      </c>
      <c r="BX113" s="5">
        <f xml:space="preserve"> SUM( VfM_Metrics_2023_Consol[[#This Row],[Operating surplus/(deficit) (overall)2]], - VfM_Metrics_2023_Consol[[#This Row],[Gain/(loss) on disposal of fixed assets (housing properties)2]], - VfM_Metrics_2023_Consol[[#This Row],[Gain/(loss) on disposal of fixed assets (other)2]] )</f>
        <v>4072</v>
      </c>
      <c r="BY113" s="84" vm="8570">
        <v>4582</v>
      </c>
      <c r="BZ113" s="83" vm="979">
        <v>510</v>
      </c>
      <c r="CA113" s="83" vm="975">
        <v>0</v>
      </c>
      <c r="CB113" s="5" vm="987">
        <f xml:space="preserve"> VfM_Metrics_2023_Consol[[#This Row],[Turnover (overall)]]</f>
        <v>13756</v>
      </c>
      <c r="CC113" s="84" vm="987">
        <v>13756</v>
      </c>
      <c r="CD113" s="7">
        <f xml:space="preserve"> IFERROR( VfM_Metrics_2023_Consol[[#This Row],[Operating surplus including from JVs]] / VfM_Metrics_2023_Consol[[#This Row],[Net assets]], "n/a" )</f>
        <v>3.7905047112449436E-2</v>
      </c>
      <c r="CE113" s="5">
        <f xml:space="preserve"> SUM( VfM_Metrics_2023_Consol[[#This Row],[Operating surplus/(deficit) (overall)3]], VfM_Metrics_2023_Consol[[#This Row],[Share of operating surplus/(deficit) in joint ventures or associates]] )</f>
        <v>4582</v>
      </c>
      <c r="CF113" s="84" vm="796">
        <v>4582</v>
      </c>
      <c r="CG113" s="83" vm="988">
        <v>0</v>
      </c>
      <c r="CH113" s="5" vm="8786">
        <f xml:space="preserve"> VfM_Metrics_2023_Consol[[#This Row],[Total assets less current liabilities]]</f>
        <v>120881</v>
      </c>
      <c r="CI113" s="84" vm="8786">
        <v>120881</v>
      </c>
      <c r="CJ113" s="71" vm="1035">
        <f xml:space="preserve"> VfM_Metrics_2023_Consol[[#This Row],[Total social housing units owned (Period end)]]</f>
        <v>1579</v>
      </c>
      <c r="CK113" s="103">
        <v>3.2092426187419767E-2</v>
      </c>
      <c r="CL113" s="6">
        <f xml:space="preserve"> -- ( VfM_Metrics_2023_Consol[[#This Row],[% Supported housing (excl. HOP)]] &gt; 0.3 )</f>
        <v>0</v>
      </c>
      <c r="CM113" s="103">
        <v>0.18421052631578946</v>
      </c>
      <c r="CN113" s="6">
        <f xml:space="preserve"> -- ( VfM_Metrics_2023_Consol[[#This Row],[% Housing for older people]] &gt; 0.3 )</f>
        <v>0</v>
      </c>
      <c r="CO113" s="103">
        <f xml:space="preserve"> VfM_Metrics_2023_Consol[[#This Row],[% Supported housing (excl. HOP)]] + VfM_Metrics_2023_Consol[[#This Row],[% Housing for older people]]</f>
        <v>0.21630295250320924</v>
      </c>
      <c r="CP113" s="6">
        <f xml:space="preserve"> -- ( VfM_Metrics_2023_Consol[[#This Row],[SH specialist in RSH analysis]] + VfM_Metrics_2023_Consol[[#This Row],[OP specialist in RSH analysis]] &gt; 0 )</f>
        <v>0</v>
      </c>
      <c r="CQ113" s="10">
        <f xml:space="preserve"> -- ( VfM_Metrics_2023_Consol[[#This Row],[% SH and OP]] &gt; 0.3 )</f>
        <v>0</v>
      </c>
      <c r="CR113" s="104" t="s">
        <v>143</v>
      </c>
      <c r="CS113" s="124" t="s">
        <v>144</v>
      </c>
      <c r="CT113" s="105"/>
      <c r="CU11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13" s="85">
        <v>1.8577834721332478E-2</v>
      </c>
      <c r="CW113" s="85">
        <v>0.98142216527866755</v>
      </c>
      <c r="CX113" s="85">
        <v>0</v>
      </c>
      <c r="CY113" s="85">
        <v>0</v>
      </c>
      <c r="CZ113" s="85">
        <v>0</v>
      </c>
      <c r="DA113" s="85">
        <v>0</v>
      </c>
      <c r="DB113" s="85">
        <v>0</v>
      </c>
      <c r="DC113" s="85">
        <v>0</v>
      </c>
      <c r="DD113" s="85">
        <v>0</v>
      </c>
      <c r="DE113" s="13">
        <v>1.0360655799207257</v>
      </c>
    </row>
    <row r="114" spans="1:109" x14ac:dyDescent="0.25">
      <c r="A114" s="4" t="s" vm="367">
        <v>352</v>
      </c>
      <c r="B114" s="2" t="s" vm="104">
        <v>353</v>
      </c>
      <c r="C114" s="72" vm="529">
        <v>45016</v>
      </c>
      <c r="D114" s="7">
        <f>IFERROR( VfM_Metrics_2023_Consol[[#This Row],[Reinvestment Spend]] / VfM_Metrics_2023_Consol[[#This Row],[Net Book Value of Housing Properties]], "n/a" )</f>
        <v>4.9794520249451982E-2</v>
      </c>
      <c r="E11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11426</v>
      </c>
      <c r="F114" s="83" vm="5679">
        <v>2936</v>
      </c>
      <c r="G114" s="83" vm="4511">
        <v>3367</v>
      </c>
      <c r="H114" s="83" vm="6909">
        <v>5043</v>
      </c>
      <c r="I114" s="83" vm="6913">
        <v>80</v>
      </c>
      <c r="J114" s="83" vm="5682">
        <v>0</v>
      </c>
      <c r="K114" s="5">
        <f xml:space="preserve"> SUM( VfM_Metrics_2023_Consol[[#This Row],[Tangible fixed assets: Housing properties at cost (Current period)]],VfM_Metrics_2023_Consol[[#This Row],[Tangible fixed assets Housing properties at valuation (Current period)]] )</f>
        <v>229463</v>
      </c>
      <c r="L114" s="84" vm="5683">
        <v>229463</v>
      </c>
      <c r="M114" s="83" vm="5684">
        <v>0</v>
      </c>
      <c r="N114" s="7">
        <f xml:space="preserve"> IFERROR( VfM_Metrics_2023_Consol[[#This Row],[Total social units developed or newly built units acquired in-year]] / VfM_Metrics_2023_Consol[[#This Row],[Social housing units owned (period end)]], "n/a" )</f>
        <v>6.7579583852036282E-3</v>
      </c>
      <c r="O114" s="5">
        <f xml:space="preserve"> SUM( VfM_Metrics_2023_Consol[[#This Row],[Total social units developed or newly built units acquired in-year (owned)]], VfM_Metrics_2023_Consol[[#This Row],[Total social leasehold units developed or newly built units acquired in-year (owned)]] )</f>
        <v>38</v>
      </c>
      <c r="P114" s="84" vm="5685">
        <v>38</v>
      </c>
      <c r="Q114" s="83" vm="5686">
        <v>0</v>
      </c>
      <c r="R114" s="5">
        <f xml:space="preserve"> SUM( VfM_Metrics_2023_Consol[[#This Row],[Total social housing units owned (Period end)]], VfM_Metrics_2023_Consol[[#This Row],[Total social leasehold units owned (Period end)]] )</f>
        <v>5623</v>
      </c>
      <c r="S114" s="84" vm="5677">
        <v>5600</v>
      </c>
      <c r="T114" s="83" vm="5687">
        <v>23</v>
      </c>
      <c r="U114" s="86">
        <f xml:space="preserve"> IFERROR( VfM_Metrics_2023_Consol[[#This Row],[Total non-social housing units developed or newly built units acquired (owned)]] / VfM_Metrics_2023_Consol[[#This Row],[Total social and non-social housing units owned (Period end)]], "n/a" )</f>
        <v>0</v>
      </c>
      <c r="V11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14" s="83" vm="5688">
        <v>0</v>
      </c>
      <c r="X114" s="83" vm="5689">
        <v>0</v>
      </c>
      <c r="Y114" s="83" vm="6045">
        <v>0</v>
      </c>
      <c r="Z11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5782</v>
      </c>
      <c r="AA114" s="84" vm="7029">
        <v>5600</v>
      </c>
      <c r="AB114" s="83" vm="5687">
        <v>23</v>
      </c>
      <c r="AC114" s="83" vm="5556">
        <v>0</v>
      </c>
      <c r="AD114" s="83" vm="5690">
        <v>159</v>
      </c>
      <c r="AE114" s="7">
        <f xml:space="preserve"> IFERROR( VfM_Metrics_2023_Consol[[#This Row],[Total Net Debt]] / VfM_Metrics_2023_Consol[[#This Row],[Net Book Value of Housing Properties2]], "n/a" )</f>
        <v>0.2507724556900241</v>
      </c>
      <c r="AF11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57543</v>
      </c>
      <c r="AG114" s="84" vm="5691">
        <v>441</v>
      </c>
      <c r="AH114" s="83" vm="5692">
        <v>70498</v>
      </c>
      <c r="AI114" s="83" vm="7185">
        <v>13396</v>
      </c>
      <c r="AJ114" s="83" vm="5693">
        <v>0</v>
      </c>
      <c r="AK114" s="83" vm="5694">
        <v>0</v>
      </c>
      <c r="AL114" s="5">
        <f xml:space="preserve"> SUM( VfM_Metrics_2023_Consol[[#This Row],[Tangible fixed assets: Housing properties at cost (Current period)2]], VfM_Metrics_2023_Consol[[#This Row],[Tangible fixed assets Housing properties at valuation (Current period)2]] )</f>
        <v>229463</v>
      </c>
      <c r="AM114" s="84" vm="5683">
        <v>229463</v>
      </c>
      <c r="AN114" s="83" vm="5684">
        <v>0</v>
      </c>
      <c r="AO114" s="87">
        <f xml:space="preserve"> IFERROR( VfM_Metrics_2023_Consol[[#This Row],[EBITDA MRI]] / VfM_Metrics_2023_Consol[[#This Row],[Total interest]], "n/a" )</f>
        <v>1.6569051580698835</v>
      </c>
      <c r="AP11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4979</v>
      </c>
      <c r="AQ114" s="84" vm="5853">
        <v>6236</v>
      </c>
      <c r="AR114" s="84" vm="5696">
        <v>838</v>
      </c>
      <c r="AS114" s="84" vm="5697">
        <v>8</v>
      </c>
      <c r="AT114" s="84" vm="5698">
        <v>1133</v>
      </c>
      <c r="AU114" s="84" vm="5699">
        <v>0</v>
      </c>
      <c r="AV114" s="84" vm="5700">
        <v>168</v>
      </c>
      <c r="AW114" s="84" vm="5701">
        <v>5043</v>
      </c>
      <c r="AX114" s="84" vm="5702">
        <v>5597</v>
      </c>
      <c r="AY114" s="3">
        <f xml:space="preserve"> - SUM( VfM_Metrics_2023_Consol[[#This Row],[Interest capitalised]], VfM_Metrics_2023_Consol[[#This Row],[Interest payable and financing costs]] )</f>
        <v>3005</v>
      </c>
      <c r="AZ114" s="84" vm="5703">
        <v>-80</v>
      </c>
      <c r="BA114" s="83" vm="5704">
        <v>-2925</v>
      </c>
      <c r="BB114" s="8">
        <f xml:space="preserve"> IFERROR( ( VfM_Metrics_2023_Consol[[#This Row],[Total Costs]] / VfM_Metrics_2023_Consol[[#This Row],[Total units for costs]] ) * 1000, "n/a" )</f>
        <v>4621.7857142857138</v>
      </c>
      <c r="BC11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25882</v>
      </c>
      <c r="BD114" s="84" vm="5705">
        <v>6578</v>
      </c>
      <c r="BE114" s="83" vm="5706">
        <v>2533</v>
      </c>
      <c r="BF114" s="83" vm="5707">
        <v>6824</v>
      </c>
      <c r="BG114" s="83" vm="5708">
        <v>2931</v>
      </c>
      <c r="BH114" s="83" vm="5709">
        <v>167</v>
      </c>
      <c r="BI114" s="83" vm="5710">
        <v>4</v>
      </c>
      <c r="BJ114" s="83" vm="5701">
        <v>5043</v>
      </c>
      <c r="BK114" s="83" vm="5711">
        <v>0</v>
      </c>
      <c r="BL114" s="83" vm="5712">
        <v>703</v>
      </c>
      <c r="BM114" s="83" vm="5713">
        <v>0</v>
      </c>
      <c r="BN114" s="83" vm="5714">
        <v>911</v>
      </c>
      <c r="BO114" s="83" vm="5715">
        <v>188</v>
      </c>
      <c r="BP114" s="5" vm="5678">
        <f xml:space="preserve"> VfM_Metrics_2023_Consol[[#This Row],[Total social housing units owned and/or managed at period end]]</f>
        <v>5600</v>
      </c>
      <c r="BQ114" s="84" vm="5678">
        <v>5600</v>
      </c>
      <c r="BR114" s="7">
        <f xml:space="preserve"> IFERROR( VfM_Metrics_2023_Consol[[#This Row],[SHL operating surplus / (deficit)]] / VfM_Metrics_2023_Consol[[#This Row],[Turnover from social housing lettings]], "n/a" )</f>
        <v>0.2026167248523606</v>
      </c>
      <c r="BS114" s="5" vm="5716">
        <f xml:space="preserve"> VfM_Metrics_2023_Consol[[#This Row],[Operating surplus/(deficit) (social housing lettings)]]</f>
        <v>6210</v>
      </c>
      <c r="BT114" s="84" vm="5716">
        <v>6210</v>
      </c>
      <c r="BU114" s="5" vm="5717">
        <f xml:space="preserve"> VfM_Metrics_2023_Consol[[#This Row],[Turnover from social housing lettings]]</f>
        <v>30649</v>
      </c>
      <c r="BV114" s="84" vm="5717">
        <v>30649</v>
      </c>
      <c r="BW114" s="7">
        <f xml:space="preserve"> IFERROR( VfM_Metrics_2023_Consol[[#This Row],[Net operating surplus]] / VfM_Metrics_2023_Consol[[#This Row],[Overall turnover]], "n/a" )</f>
        <v>0.16142557651991615</v>
      </c>
      <c r="BX114" s="5">
        <f xml:space="preserve"> SUM( VfM_Metrics_2023_Consol[[#This Row],[Operating surplus/(deficit) (overall)2]], - VfM_Metrics_2023_Consol[[#This Row],[Gain/(loss) on disposal of fixed assets (housing properties)2]], - VfM_Metrics_2023_Consol[[#This Row],[Gain/(loss) on disposal of fixed assets (other)2]] )</f>
        <v>5390</v>
      </c>
      <c r="BY114" s="84" vm="5695">
        <v>6236</v>
      </c>
      <c r="BZ114" s="83" vm="5696">
        <v>838</v>
      </c>
      <c r="CA114" s="83" vm="5697">
        <v>8</v>
      </c>
      <c r="CB114" s="5" vm="5718">
        <f xml:space="preserve"> VfM_Metrics_2023_Consol[[#This Row],[Turnover (overall)]]</f>
        <v>33390</v>
      </c>
      <c r="CC114" s="84" vm="5718">
        <v>33390</v>
      </c>
      <c r="CD114" s="7">
        <f xml:space="preserve"> IFERROR( VfM_Metrics_2023_Consol[[#This Row],[Operating surplus including from JVs]] / VfM_Metrics_2023_Consol[[#This Row],[Net assets]], "n/a" )</f>
        <v>2.5964833389543283E-2</v>
      </c>
      <c r="CE114" s="5">
        <f xml:space="preserve"> SUM( VfM_Metrics_2023_Consol[[#This Row],[Operating surplus/(deficit) (overall)3]], VfM_Metrics_2023_Consol[[#This Row],[Share of operating surplus/(deficit) in joint ventures or associates]] )</f>
        <v>6236</v>
      </c>
      <c r="CF114" s="84" vm="5695">
        <v>6236</v>
      </c>
      <c r="CG114" s="83" vm="5720">
        <v>0</v>
      </c>
      <c r="CH114" s="5" vm="5719">
        <f xml:space="preserve"> VfM_Metrics_2023_Consol[[#This Row],[Total assets less current liabilities]]</f>
        <v>240171</v>
      </c>
      <c r="CI114" s="84" vm="5719">
        <v>240171</v>
      </c>
      <c r="CJ114" s="71" vm="5677">
        <f xml:space="preserve"> VfM_Metrics_2023_Consol[[#This Row],[Total social housing units owned (Period end)]]</f>
        <v>5600</v>
      </c>
      <c r="CK114" s="103">
        <v>6.5667380442541043E-2</v>
      </c>
      <c r="CL114" s="6">
        <f xml:space="preserve"> -- ( VfM_Metrics_2023_Consol[[#This Row],[% Supported housing (excl. HOP)]] &gt; 0.3 )</f>
        <v>0</v>
      </c>
      <c r="CM114" s="103">
        <v>3.6045681655960025E-2</v>
      </c>
      <c r="CN114" s="6">
        <f xml:space="preserve"> -- ( VfM_Metrics_2023_Consol[[#This Row],[% Housing for older people]] &gt; 0.3 )</f>
        <v>0</v>
      </c>
      <c r="CO114" s="103">
        <f xml:space="preserve"> VfM_Metrics_2023_Consol[[#This Row],[% Supported housing (excl. HOP)]] + VfM_Metrics_2023_Consol[[#This Row],[% Housing for older people]]</f>
        <v>0.10171306209850106</v>
      </c>
      <c r="CP114" s="6">
        <f xml:space="preserve"> -- ( VfM_Metrics_2023_Consol[[#This Row],[SH specialist in RSH analysis]] + VfM_Metrics_2023_Consol[[#This Row],[OP specialist in RSH analysis]] &gt; 0 )</f>
        <v>0</v>
      </c>
      <c r="CQ114" s="10">
        <f xml:space="preserve"> -- ( VfM_Metrics_2023_Consol[[#This Row],[% SH and OP]] &gt; 0.3 )</f>
        <v>0</v>
      </c>
      <c r="CR114" s="104" t="s">
        <v>143</v>
      </c>
      <c r="CS114" s="124" t="s">
        <v>144</v>
      </c>
      <c r="CT114" s="105"/>
      <c r="CU11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14" s="85">
        <v>0</v>
      </c>
      <c r="CW114" s="85">
        <v>1.1380057803468208E-2</v>
      </c>
      <c r="CX114" s="85">
        <v>0</v>
      </c>
      <c r="CY114" s="85">
        <v>6.7015895953757232E-2</v>
      </c>
      <c r="CZ114" s="85">
        <v>1.1199421965317919E-2</v>
      </c>
      <c r="DA114" s="85">
        <v>0.13890895953757226</v>
      </c>
      <c r="DB114" s="85">
        <v>0</v>
      </c>
      <c r="DC114" s="85">
        <v>0.7322976878612717</v>
      </c>
      <c r="DD114" s="85">
        <v>3.919797687861272E-2</v>
      </c>
      <c r="DE114" s="13">
        <v>0.96701378600720767</v>
      </c>
    </row>
    <row r="115" spans="1:109" x14ac:dyDescent="0.25">
      <c r="A115" s="4" t="s" vm="223">
        <v>354</v>
      </c>
      <c r="B115" s="2" t="s" vm="105">
        <v>355</v>
      </c>
      <c r="C115" s="72" vm="473">
        <v>45016</v>
      </c>
      <c r="D115" s="7">
        <f>IFERROR( VfM_Metrics_2023_Consol[[#This Row],[Reinvestment Spend]] / VfM_Metrics_2023_Consol[[#This Row],[Net Book Value of Housing Properties]], "n/a" )</f>
        <v>5.9375823333572851E-2</v>
      </c>
      <c r="E11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4958</v>
      </c>
      <c r="F115" s="83" vm="1083">
        <v>0</v>
      </c>
      <c r="G115" s="83" vm="8572">
        <v>3980</v>
      </c>
      <c r="H115" s="83" vm="1084">
        <v>860</v>
      </c>
      <c r="I115" s="83" vm="1085">
        <v>118</v>
      </c>
      <c r="J115" s="83" vm="1136">
        <v>0</v>
      </c>
      <c r="K115" s="5">
        <f xml:space="preserve"> SUM( VfM_Metrics_2023_Consol[[#This Row],[Tangible fixed assets: Housing properties at cost (Current period)]],VfM_Metrics_2023_Consol[[#This Row],[Tangible fixed assets Housing properties at valuation (Current period)]] )</f>
        <v>83502</v>
      </c>
      <c r="L115" s="84" vm="8672">
        <v>83502</v>
      </c>
      <c r="M115" s="83" vm="1087">
        <v>0</v>
      </c>
      <c r="N115" s="7">
        <f xml:space="preserve"> IFERROR( VfM_Metrics_2023_Consol[[#This Row],[Total social units developed or newly built units acquired in-year]] / VfM_Metrics_2023_Consol[[#This Row],[Social housing units owned (period end)]], "n/a" )</f>
        <v>1.7170891251022075E-2</v>
      </c>
      <c r="O115" s="5">
        <f xml:space="preserve"> SUM( VfM_Metrics_2023_Consol[[#This Row],[Total social units developed or newly built units acquired in-year (owned)]], VfM_Metrics_2023_Consol[[#This Row],[Total social leasehold units developed or newly built units acquired in-year (owned)]] )</f>
        <v>21</v>
      </c>
      <c r="P115" s="84" vm="1088">
        <v>21</v>
      </c>
      <c r="Q115" s="83" vm="1089">
        <v>0</v>
      </c>
      <c r="R115" s="5">
        <f xml:space="preserve"> SUM( VfM_Metrics_2023_Consol[[#This Row],[Total social housing units owned (Period end)]], VfM_Metrics_2023_Consol[[#This Row],[Total social leasehold units owned (Period end)]] )</f>
        <v>1223</v>
      </c>
      <c r="S115" s="84" vm="8666">
        <v>1223</v>
      </c>
      <c r="T115" s="83" vm="8825">
        <v>0</v>
      </c>
      <c r="U115" s="86">
        <f xml:space="preserve"> IFERROR( VfM_Metrics_2023_Consol[[#This Row],[Total non-social housing units developed or newly built units acquired (owned)]] / VfM_Metrics_2023_Consol[[#This Row],[Total social and non-social housing units owned (Period end)]], "n/a" )</f>
        <v>0</v>
      </c>
      <c r="V11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15" s="83">
        <v>0</v>
      </c>
      <c r="X115" s="83" vm="1091">
        <v>0</v>
      </c>
      <c r="Y115" s="83" vm="8662">
        <v>0</v>
      </c>
      <c r="Z11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1225</v>
      </c>
      <c r="AA115" s="84" vm="906">
        <v>1223</v>
      </c>
      <c r="AB115" s="83" vm="1090">
        <v>0</v>
      </c>
      <c r="AC115" s="83" vm="8551">
        <v>2</v>
      </c>
      <c r="AD115" s="83" vm="1092">
        <v>0</v>
      </c>
      <c r="AE115" s="7">
        <f xml:space="preserve"> IFERROR( VfM_Metrics_2023_Consol[[#This Row],[Total Net Debt]] / VfM_Metrics_2023_Consol[[#This Row],[Net Book Value of Housing Properties2]], "n/a" )</f>
        <v>0.37894900720940816</v>
      </c>
      <c r="AF11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31643</v>
      </c>
      <c r="AG115" s="84" vm="1093">
        <v>657</v>
      </c>
      <c r="AH115" s="83" vm="8558">
        <v>32329</v>
      </c>
      <c r="AI115" s="83" vm="1094">
        <v>1343</v>
      </c>
      <c r="AJ115" s="83" vm="1095">
        <v>0</v>
      </c>
      <c r="AK115" s="83" vm="1145">
        <v>0</v>
      </c>
      <c r="AL115" s="5">
        <f xml:space="preserve"> SUM( VfM_Metrics_2023_Consol[[#This Row],[Tangible fixed assets: Housing properties at cost (Current period)2]], VfM_Metrics_2023_Consol[[#This Row],[Tangible fixed assets Housing properties at valuation (Current period)2]] )</f>
        <v>83502</v>
      </c>
      <c r="AM115" s="84" vm="8656">
        <v>83502</v>
      </c>
      <c r="AN115" s="83" vm="8800">
        <v>0</v>
      </c>
      <c r="AO115" s="87">
        <f xml:space="preserve"> IFERROR( VfM_Metrics_2023_Consol[[#This Row],[EBITDA MRI]] / VfM_Metrics_2023_Consol[[#This Row],[Total interest]], "n/a" )</f>
        <v>1.2010008340283569</v>
      </c>
      <c r="AP11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1440</v>
      </c>
      <c r="AQ115" s="84" vm="8806">
        <v>1754</v>
      </c>
      <c r="AR115" s="84" vm="1097">
        <v>67</v>
      </c>
      <c r="AS115" s="84" vm="1098">
        <v>0</v>
      </c>
      <c r="AT115" s="84" vm="1099">
        <v>380</v>
      </c>
      <c r="AU115" s="84" vm="1094">
        <v>0</v>
      </c>
      <c r="AV115" s="84" vm="1151">
        <v>15</v>
      </c>
      <c r="AW115" s="84" vm="1100">
        <v>860</v>
      </c>
      <c r="AX115" s="84" vm="8798">
        <v>978</v>
      </c>
      <c r="AY115" s="3">
        <f xml:space="preserve"> - SUM( VfM_Metrics_2023_Consol[[#This Row],[Interest capitalised]], VfM_Metrics_2023_Consol[[#This Row],[Interest payable and financing costs]] )</f>
        <v>1199</v>
      </c>
      <c r="AZ115" s="84" vm="8387">
        <v>-118</v>
      </c>
      <c r="BA115" s="83" vm="1101">
        <v>-1081</v>
      </c>
      <c r="BB115" s="8">
        <f xml:space="preserve"> IFERROR( ( VfM_Metrics_2023_Consol[[#This Row],[Total Costs]] / VfM_Metrics_2023_Consol[[#This Row],[Total units for costs]] ) * 1000, "n/a" )</f>
        <v>4655.4487179487178</v>
      </c>
      <c r="BC11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5810</v>
      </c>
      <c r="BD115" s="84" vm="8812">
        <v>1095</v>
      </c>
      <c r="BE115" s="83" vm="8785">
        <v>1655</v>
      </c>
      <c r="BF115" s="83" vm="8382">
        <v>1290</v>
      </c>
      <c r="BG115" s="83" vm="1244">
        <v>663</v>
      </c>
      <c r="BH115" s="83" vm="1103">
        <v>0</v>
      </c>
      <c r="BI115" s="83" vm="8705">
        <v>100</v>
      </c>
      <c r="BJ115" s="83" vm="1100">
        <v>860</v>
      </c>
      <c r="BK115" s="83" vm="1105">
        <v>0</v>
      </c>
      <c r="BL115" s="83" vm="8518">
        <v>82</v>
      </c>
      <c r="BM115" s="83">
        <v>0</v>
      </c>
      <c r="BN115" s="83">
        <v>0</v>
      </c>
      <c r="BO115" s="83" vm="8653">
        <v>65</v>
      </c>
      <c r="BP115" s="5" vm="1086">
        <f xml:space="preserve"> VfM_Metrics_2023_Consol[[#This Row],[Total social housing units owned and/or managed at period end]]</f>
        <v>1248</v>
      </c>
      <c r="BQ115" s="84" vm="1086">
        <v>1248</v>
      </c>
      <c r="BR115" s="7">
        <f xml:space="preserve"> IFERROR( VfM_Metrics_2023_Consol[[#This Row],[SHL operating surplus / (deficit)]] / VfM_Metrics_2023_Consol[[#This Row],[Turnover from social housing lettings]], "n/a" )</f>
        <v>0.21699134199134198</v>
      </c>
      <c r="BS115" s="5" vm="1107">
        <f xml:space="preserve"> VfM_Metrics_2023_Consol[[#This Row],[Operating surplus/(deficit) (social housing lettings)]]</f>
        <v>1604</v>
      </c>
      <c r="BT115" s="84" vm="1107">
        <v>1604</v>
      </c>
      <c r="BU115" s="5" vm="1108">
        <f xml:space="preserve"> VfM_Metrics_2023_Consol[[#This Row],[Turnover from social housing lettings]]</f>
        <v>7392</v>
      </c>
      <c r="BV115" s="84" vm="1108">
        <v>7392</v>
      </c>
      <c r="BW115" s="7">
        <f xml:space="preserve"> IFERROR( VfM_Metrics_2023_Consol[[#This Row],[Net operating surplus]] / VfM_Metrics_2023_Consol[[#This Row],[Overall turnover]], "n/a" )</f>
        <v>0.22130394857667585</v>
      </c>
      <c r="BX115" s="5">
        <f xml:space="preserve"> SUM( VfM_Metrics_2023_Consol[[#This Row],[Operating surplus/(deficit) (overall)2]], - VfM_Metrics_2023_Consol[[#This Row],[Gain/(loss) on disposal of fixed assets (housing properties)2]], - VfM_Metrics_2023_Consol[[#This Row],[Gain/(loss) on disposal of fixed assets (other)2]] )</f>
        <v>1687</v>
      </c>
      <c r="BY115" s="84" vm="1096">
        <v>1754</v>
      </c>
      <c r="BZ115" s="83" vm="8549">
        <v>67</v>
      </c>
      <c r="CA115" s="83" vm="8909">
        <v>0</v>
      </c>
      <c r="CB115" s="5" vm="8650">
        <f xml:space="preserve"> VfM_Metrics_2023_Consol[[#This Row],[Turnover (overall)]]</f>
        <v>7623</v>
      </c>
      <c r="CC115" s="84" vm="8650">
        <v>7623</v>
      </c>
      <c r="CD115" s="7">
        <f xml:space="preserve"> IFERROR( VfM_Metrics_2023_Consol[[#This Row],[Operating surplus including from JVs]] / VfM_Metrics_2023_Consol[[#This Row],[Net assets]], "n/a" )</f>
        <v>2.0817261473824133E-2</v>
      </c>
      <c r="CE115" s="5">
        <f xml:space="preserve"> SUM( VfM_Metrics_2023_Consol[[#This Row],[Operating surplus/(deficit) (overall)3]], VfM_Metrics_2023_Consol[[#This Row],[Share of operating surplus/(deficit) in joint ventures or associates]] )</f>
        <v>1754</v>
      </c>
      <c r="CF115" s="84" vm="1096">
        <v>1754</v>
      </c>
      <c r="CG115" s="83" vm="1109">
        <v>0</v>
      </c>
      <c r="CH115" s="5" vm="1180">
        <f xml:space="preserve"> VfM_Metrics_2023_Consol[[#This Row],[Total assets less current liabilities]]</f>
        <v>84257</v>
      </c>
      <c r="CI115" s="84" vm="1180">
        <v>84257</v>
      </c>
      <c r="CJ115" s="71" vm="8666">
        <f xml:space="preserve"> VfM_Metrics_2023_Consol[[#This Row],[Total social housing units owned (Period end)]]</f>
        <v>1223</v>
      </c>
      <c r="CK115" s="103">
        <v>2.8594771241830064E-2</v>
      </c>
      <c r="CL115" s="6">
        <f xml:space="preserve"> -- ( VfM_Metrics_2023_Consol[[#This Row],[% Supported housing (excl. HOP)]] &gt; 0.3 )</f>
        <v>0</v>
      </c>
      <c r="CM115" s="103">
        <v>0.22058823529411764</v>
      </c>
      <c r="CN115" s="6">
        <f xml:space="preserve"> -- ( VfM_Metrics_2023_Consol[[#This Row],[% Housing for older people]] &gt; 0.3 )</f>
        <v>0</v>
      </c>
      <c r="CO115" s="103">
        <f xml:space="preserve"> VfM_Metrics_2023_Consol[[#This Row],[% Supported housing (excl. HOP)]] + VfM_Metrics_2023_Consol[[#This Row],[% Housing for older people]]</f>
        <v>0.24918300653594772</v>
      </c>
      <c r="CP115" s="6">
        <f xml:space="preserve"> -- ( VfM_Metrics_2023_Consol[[#This Row],[SH specialist in RSH analysis]] + VfM_Metrics_2023_Consol[[#This Row],[OP specialist in RSH analysis]] &gt; 0 )</f>
        <v>0</v>
      </c>
      <c r="CQ115" s="10">
        <f xml:space="preserve"> -- ( VfM_Metrics_2023_Consol[[#This Row],[% SH and OP]] &gt; 0.3 )</f>
        <v>0</v>
      </c>
      <c r="CR115" s="104" t="s">
        <v>143</v>
      </c>
      <c r="CS115" s="124" t="s">
        <v>144</v>
      </c>
      <c r="CT115" s="105"/>
      <c r="CU11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15" s="85">
        <v>0</v>
      </c>
      <c r="CW115" s="85">
        <v>0</v>
      </c>
      <c r="CX115" s="85">
        <v>0</v>
      </c>
      <c r="CY115" s="85">
        <v>0</v>
      </c>
      <c r="CZ115" s="85">
        <v>1</v>
      </c>
      <c r="DA115" s="85">
        <v>0</v>
      </c>
      <c r="DB115" s="85">
        <v>0</v>
      </c>
      <c r="DC115" s="85">
        <v>0</v>
      </c>
      <c r="DD115" s="85">
        <v>0</v>
      </c>
      <c r="DE115" s="13">
        <v>0.96459033333600952</v>
      </c>
    </row>
    <row r="116" spans="1:109" x14ac:dyDescent="0.25">
      <c r="A116" s="4" t="s" vm="346">
        <v>356</v>
      </c>
      <c r="B116" s="2" t="s" vm="106">
        <v>357</v>
      </c>
      <c r="C116" s="72" vm="536">
        <v>45016</v>
      </c>
      <c r="D116" s="7">
        <f>IFERROR( VfM_Metrics_2023_Consol[[#This Row],[Reinvestment Spend]] / VfM_Metrics_2023_Consol[[#This Row],[Net Book Value of Housing Properties]], "n/a" )</f>
        <v>5.8292519753063168E-2</v>
      </c>
      <c r="E11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71187</v>
      </c>
      <c r="F116" s="83" vm="4952">
        <v>42801</v>
      </c>
      <c r="G116" s="83" vm="4953">
        <v>0</v>
      </c>
      <c r="H116" s="83" vm="7045">
        <v>25895</v>
      </c>
      <c r="I116" s="83" vm="4954">
        <v>2491</v>
      </c>
      <c r="J116" s="83" vm="7180">
        <v>0</v>
      </c>
      <c r="K116" s="5">
        <f xml:space="preserve"> SUM( VfM_Metrics_2023_Consol[[#This Row],[Tangible fixed assets: Housing properties at cost (Current period)]],VfM_Metrics_2023_Consol[[#This Row],[Tangible fixed assets Housing properties at valuation (Current period)]] )</f>
        <v>1221203</v>
      </c>
      <c r="L116" s="84" vm="7384">
        <v>1221203</v>
      </c>
      <c r="M116" s="83" vm="4949">
        <v>0</v>
      </c>
      <c r="N116" s="7">
        <f xml:space="preserve"> IFERROR( VfM_Metrics_2023_Consol[[#This Row],[Total social units developed or newly built units acquired in-year]] / VfM_Metrics_2023_Consol[[#This Row],[Social housing units owned (period end)]], "n/a" )</f>
        <v>5.7838293770333775E-3</v>
      </c>
      <c r="O116" s="5">
        <f xml:space="preserve"> SUM( VfM_Metrics_2023_Consol[[#This Row],[Total social units developed or newly built units acquired in-year (owned)]], VfM_Metrics_2023_Consol[[#This Row],[Total social leasehold units developed or newly built units acquired in-year (owned)]] )</f>
        <v>48</v>
      </c>
      <c r="P116" s="84" vm="4975">
        <v>48</v>
      </c>
      <c r="Q116" s="83" vm="4957">
        <v>0</v>
      </c>
      <c r="R116" s="5">
        <f xml:space="preserve"> SUM( VfM_Metrics_2023_Consol[[#This Row],[Total social housing units owned (Period end)]], VfM_Metrics_2023_Consol[[#This Row],[Total social leasehold units owned (Period end)]] )</f>
        <v>8299</v>
      </c>
      <c r="S116" s="84" vm="4950">
        <v>7436</v>
      </c>
      <c r="T116" s="83" vm="4958">
        <v>863</v>
      </c>
      <c r="U116" s="86">
        <f xml:space="preserve"> IFERROR( VfM_Metrics_2023_Consol[[#This Row],[Total non-social housing units developed or newly built units acquired (owned)]] / VfM_Metrics_2023_Consol[[#This Row],[Total social and non-social housing units owned (Period end)]], "n/a" )</f>
        <v>0</v>
      </c>
      <c r="V11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16" s="83" vm="5170">
        <v>0</v>
      </c>
      <c r="X116" s="83" vm="7381">
        <v>0</v>
      </c>
      <c r="Y116" s="83" vm="7464">
        <v>0</v>
      </c>
      <c r="Z11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8381</v>
      </c>
      <c r="AA116" s="84" vm="7044">
        <v>7436</v>
      </c>
      <c r="AB116" s="83" vm="4958">
        <v>863</v>
      </c>
      <c r="AC116" s="83" vm="4959">
        <v>82</v>
      </c>
      <c r="AD116" s="83" vm="4960">
        <v>0</v>
      </c>
      <c r="AE116" s="7">
        <f xml:space="preserve"> IFERROR( VfM_Metrics_2023_Consol[[#This Row],[Total Net Debt]] / VfM_Metrics_2023_Consol[[#This Row],[Net Book Value of Housing Properties2]], "n/a" )</f>
        <v>0.48134912868704055</v>
      </c>
      <c r="AF11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587825</v>
      </c>
      <c r="AG116" s="84" vm="4961">
        <v>6132</v>
      </c>
      <c r="AH116" s="83" vm="4962">
        <v>623148</v>
      </c>
      <c r="AI116" s="83" vm="4963">
        <v>41455</v>
      </c>
      <c r="AJ116" s="83" vm="4964">
        <v>0</v>
      </c>
      <c r="AK116" s="83" vm="4965">
        <v>0</v>
      </c>
      <c r="AL116" s="5">
        <f xml:space="preserve"> SUM( VfM_Metrics_2023_Consol[[#This Row],[Tangible fixed assets: Housing properties at cost (Current period)2]], VfM_Metrics_2023_Consol[[#This Row],[Tangible fixed assets Housing properties at valuation (Current period)2]] )</f>
        <v>1221203</v>
      </c>
      <c r="AM116" s="84" vm="4955">
        <v>1221203</v>
      </c>
      <c r="AN116" s="83" vm="4956">
        <v>0</v>
      </c>
      <c r="AO116" s="87">
        <f xml:space="preserve"> IFERROR( VfM_Metrics_2023_Consol[[#This Row],[EBITDA MRI]] / VfM_Metrics_2023_Consol[[#This Row],[Total interest]], "n/a" )</f>
        <v>0.30577098993755719</v>
      </c>
      <c r="AP11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7688</v>
      </c>
      <c r="AQ116" s="84" vm="4966">
        <v>30990</v>
      </c>
      <c r="AR116" s="84" vm="4967">
        <v>5218</v>
      </c>
      <c r="AS116" s="84" vm="4968">
        <v>0</v>
      </c>
      <c r="AT116" s="84" vm="4969">
        <v>3804</v>
      </c>
      <c r="AU116" s="84" vm="4970">
        <v>0</v>
      </c>
      <c r="AV116" s="84" vm="6934">
        <v>1466</v>
      </c>
      <c r="AW116" s="84" vm="4971">
        <v>25895</v>
      </c>
      <c r="AX116" s="84" vm="4972">
        <v>10149</v>
      </c>
      <c r="AY116" s="3">
        <f xml:space="preserve"> - SUM( VfM_Metrics_2023_Consol[[#This Row],[Interest capitalised]], VfM_Metrics_2023_Consol[[#This Row],[Interest payable and financing costs]] )</f>
        <v>25143</v>
      </c>
      <c r="AZ116" s="84" vm="4930">
        <v>-2491</v>
      </c>
      <c r="BA116" s="83" vm="4973">
        <v>-22652</v>
      </c>
      <c r="BB116" s="8">
        <f xml:space="preserve"> IFERROR( ( VfM_Metrics_2023_Consol[[#This Row],[Total Costs]] / VfM_Metrics_2023_Consol[[#This Row],[Total units for costs]] ) * 1000, "n/a" )</f>
        <v>11816.971490048412</v>
      </c>
      <c r="BC11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87871</v>
      </c>
      <c r="BD116" s="84" vm="4974">
        <v>8940</v>
      </c>
      <c r="BE116" s="83" vm="7254">
        <v>15690</v>
      </c>
      <c r="BF116" s="83" vm="4976">
        <v>11966</v>
      </c>
      <c r="BG116" s="83" vm="4977">
        <v>9673</v>
      </c>
      <c r="BH116" s="83" vm="5228">
        <v>1620</v>
      </c>
      <c r="BI116" s="83" vm="7299">
        <v>0</v>
      </c>
      <c r="BJ116" s="83" vm="4464">
        <v>25895</v>
      </c>
      <c r="BK116" s="83" vm="4978">
        <v>0</v>
      </c>
      <c r="BL116" s="83" vm="4979">
        <v>1825</v>
      </c>
      <c r="BM116" s="83" vm="7312">
        <v>74</v>
      </c>
      <c r="BN116" s="83" vm="4980">
        <v>215</v>
      </c>
      <c r="BO116" s="83" vm="4981">
        <v>11973</v>
      </c>
      <c r="BP116" s="5" vm="4951">
        <f xml:space="preserve"> VfM_Metrics_2023_Consol[[#This Row],[Total social housing units owned and/or managed at period end]]</f>
        <v>7436</v>
      </c>
      <c r="BQ116" s="84" vm="4951">
        <v>7436</v>
      </c>
      <c r="BR116" s="7">
        <f xml:space="preserve"> IFERROR( VfM_Metrics_2023_Consol[[#This Row],[SHL operating surplus / (deficit)]] / VfM_Metrics_2023_Consol[[#This Row],[Turnover from social housing lettings]], "n/a" )</f>
        <v>0.19053726462960874</v>
      </c>
      <c r="BS116" s="5" vm="4982">
        <f xml:space="preserve"> VfM_Metrics_2023_Consol[[#This Row],[Operating surplus/(deficit) (social housing lettings)]]</f>
        <v>13519</v>
      </c>
      <c r="BT116" s="84" vm="4982">
        <v>13519</v>
      </c>
      <c r="BU116" s="5" vm="6933">
        <f xml:space="preserve"> VfM_Metrics_2023_Consol[[#This Row],[Turnover from social housing lettings]]</f>
        <v>70952</v>
      </c>
      <c r="BV116" s="84" vm="6933">
        <v>70952</v>
      </c>
      <c r="BW116" s="7">
        <f xml:space="preserve"> IFERROR( VfM_Metrics_2023_Consol[[#This Row],[Net operating surplus]] / VfM_Metrics_2023_Consol[[#This Row],[Overall turnover]], "n/a" )</f>
        <v>0.22125686813186812</v>
      </c>
      <c r="BX116" s="5">
        <f xml:space="preserve"> SUM( VfM_Metrics_2023_Consol[[#This Row],[Operating surplus/(deficit) (overall)2]], - VfM_Metrics_2023_Consol[[#This Row],[Gain/(loss) on disposal of fixed assets (housing properties)2]], - VfM_Metrics_2023_Consol[[#This Row],[Gain/(loss) on disposal of fixed assets (other)2]] )</f>
        <v>25772</v>
      </c>
      <c r="BY116" s="84" vm="4966">
        <v>30990</v>
      </c>
      <c r="BZ116" s="83" vm="3526">
        <v>5218</v>
      </c>
      <c r="CA116" s="83" vm="4968">
        <v>0</v>
      </c>
      <c r="CB116" s="5" vm="4983">
        <f xml:space="preserve"> VfM_Metrics_2023_Consol[[#This Row],[Turnover (overall)]]</f>
        <v>116480</v>
      </c>
      <c r="CC116" s="84" vm="4983">
        <v>116480</v>
      </c>
      <c r="CD116" s="7">
        <f xml:space="preserve"> IFERROR( VfM_Metrics_2023_Consol[[#This Row],[Operating surplus including from JVs]] / VfM_Metrics_2023_Consol[[#This Row],[Net assets]], "n/a" )</f>
        <v>2.3409249657207174E-2</v>
      </c>
      <c r="CE116" s="5">
        <f xml:space="preserve"> SUM( VfM_Metrics_2023_Consol[[#This Row],[Operating surplus/(deficit) (overall)3]], VfM_Metrics_2023_Consol[[#This Row],[Share of operating surplus/(deficit) in joint ventures or associates]] )</f>
        <v>29928</v>
      </c>
      <c r="CF116" s="84" vm="4966">
        <v>30990</v>
      </c>
      <c r="CG116" s="83" vm="4985">
        <v>-1062</v>
      </c>
      <c r="CH116" s="5" vm="4984">
        <f xml:space="preserve"> VfM_Metrics_2023_Consol[[#This Row],[Total assets less current liabilities]]</f>
        <v>1278469</v>
      </c>
      <c r="CI116" s="84" vm="4984">
        <v>1278469</v>
      </c>
      <c r="CJ116" s="71" vm="4950">
        <f xml:space="preserve"> VfM_Metrics_2023_Consol[[#This Row],[Total social housing units owned (Period end)]]</f>
        <v>7436</v>
      </c>
      <c r="CK116" s="103">
        <v>5.2747252747252747E-2</v>
      </c>
      <c r="CL116" s="6">
        <f xml:space="preserve"> -- ( VfM_Metrics_2023_Consol[[#This Row],[% Supported housing (excl. HOP)]] &gt; 0.3 )</f>
        <v>0</v>
      </c>
      <c r="CM116" s="103">
        <v>2.651098901098901E-2</v>
      </c>
      <c r="CN116" s="6">
        <f xml:space="preserve"> -- ( VfM_Metrics_2023_Consol[[#This Row],[% Housing for older people]] &gt; 0.3 )</f>
        <v>0</v>
      </c>
      <c r="CO116" s="103">
        <f xml:space="preserve"> VfM_Metrics_2023_Consol[[#This Row],[% Supported housing (excl. HOP)]] + VfM_Metrics_2023_Consol[[#This Row],[% Housing for older people]]</f>
        <v>7.9258241758241754E-2</v>
      </c>
      <c r="CP116" s="6">
        <f xml:space="preserve"> -- ( VfM_Metrics_2023_Consol[[#This Row],[SH specialist in RSH analysis]] + VfM_Metrics_2023_Consol[[#This Row],[OP specialist in RSH analysis]] &gt; 0 )</f>
        <v>0</v>
      </c>
      <c r="CQ116" s="10">
        <f xml:space="preserve"> -- ( VfM_Metrics_2023_Consol[[#This Row],[% SH and OP]] &gt; 0.3 )</f>
        <v>0</v>
      </c>
      <c r="CR116" s="104" t="s">
        <v>143</v>
      </c>
      <c r="CS116" s="124" t="s">
        <v>144</v>
      </c>
      <c r="CT116" s="105"/>
      <c r="CU11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16" s="85">
        <v>1</v>
      </c>
      <c r="CW116" s="85">
        <v>0</v>
      </c>
      <c r="CX116" s="85">
        <v>0</v>
      </c>
      <c r="CY116" s="85">
        <v>0</v>
      </c>
      <c r="CZ116" s="85">
        <v>0</v>
      </c>
      <c r="DA116" s="85">
        <v>0</v>
      </c>
      <c r="DB116" s="85">
        <v>0</v>
      </c>
      <c r="DC116" s="85">
        <v>0</v>
      </c>
      <c r="DD116" s="85">
        <v>0</v>
      </c>
      <c r="DE116" s="13">
        <v>1.1603700449887588</v>
      </c>
    </row>
    <row r="117" spans="1:109" x14ac:dyDescent="0.25">
      <c r="A117" s="4" t="s" vm="329">
        <v>358</v>
      </c>
      <c r="B117" s="2" t="s" vm="107">
        <v>359</v>
      </c>
      <c r="C117" s="72" vm="433">
        <v>45016</v>
      </c>
      <c r="D117" s="7">
        <f>IFERROR( VfM_Metrics_2023_Consol[[#This Row],[Reinvestment Spend]] / VfM_Metrics_2023_Consol[[#This Row],[Net Book Value of Housing Properties]], "n/a" )</f>
        <v>3.2480917460991666E-2</v>
      </c>
      <c r="E11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5200</v>
      </c>
      <c r="F117" s="83" vm="4351">
        <v>660</v>
      </c>
      <c r="G117" s="83" vm="4352">
        <v>942</v>
      </c>
      <c r="H117" s="83" vm="7060">
        <v>3538</v>
      </c>
      <c r="I117" s="83" vm="4353">
        <v>60</v>
      </c>
      <c r="J117" s="83" vm="4354">
        <v>0</v>
      </c>
      <c r="K117" s="5">
        <f xml:space="preserve"> SUM( VfM_Metrics_2023_Consol[[#This Row],[Tangible fixed assets: Housing properties at cost (Current period)]],VfM_Metrics_2023_Consol[[#This Row],[Tangible fixed assets Housing properties at valuation (Current period)]] )</f>
        <v>160094</v>
      </c>
      <c r="L117" s="84" vm="4355">
        <v>160094</v>
      </c>
      <c r="M117" s="83" vm="7163">
        <v>0</v>
      </c>
      <c r="N117" s="7">
        <f xml:space="preserve"> IFERROR( VfM_Metrics_2023_Consol[[#This Row],[Total social units developed or newly built units acquired in-year]] / VfM_Metrics_2023_Consol[[#This Row],[Social housing units owned (period end)]], "n/a" )</f>
        <v>3.3013205282112846E-3</v>
      </c>
      <c r="O117" s="5">
        <f xml:space="preserve"> SUM( VfM_Metrics_2023_Consol[[#This Row],[Total social units developed or newly built units acquired in-year (owned)]], VfM_Metrics_2023_Consol[[#This Row],[Total social leasehold units developed or newly built units acquired in-year (owned)]] )</f>
        <v>11</v>
      </c>
      <c r="P117" s="84" vm="4357">
        <v>11</v>
      </c>
      <c r="Q117" s="83">
        <v>0</v>
      </c>
      <c r="R117" s="5">
        <f xml:space="preserve"> SUM( VfM_Metrics_2023_Consol[[#This Row],[Total social housing units owned (Period end)]], VfM_Metrics_2023_Consol[[#This Row],[Total social leasehold units owned (Period end)]] )</f>
        <v>3332</v>
      </c>
      <c r="S117" s="84" vm="4349">
        <v>3332</v>
      </c>
      <c r="T117" s="83" vm="4358">
        <v>0</v>
      </c>
      <c r="U117" s="86">
        <f xml:space="preserve"> IFERROR( VfM_Metrics_2023_Consol[[#This Row],[Total non-social housing units developed or newly built units acquired (owned)]] / VfM_Metrics_2023_Consol[[#This Row],[Total social and non-social housing units owned (Period end)]], "n/a" )</f>
        <v>7.5823855351414404E-3</v>
      </c>
      <c r="V11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26</v>
      </c>
      <c r="W117" s="83">
        <v>0</v>
      </c>
      <c r="X117" s="83">
        <v>0</v>
      </c>
      <c r="Y117" s="83" vm="4359">
        <v>26</v>
      </c>
      <c r="Z11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3429</v>
      </c>
      <c r="AA117" s="84" vm="4349">
        <v>3332</v>
      </c>
      <c r="AB117" s="83" vm="4358">
        <v>0</v>
      </c>
      <c r="AC117" s="83" vm="4360">
        <v>8</v>
      </c>
      <c r="AD117" s="83" vm="4361">
        <v>89</v>
      </c>
      <c r="AE117" s="7">
        <f xml:space="preserve"> IFERROR( VfM_Metrics_2023_Consol[[#This Row],[Total Net Debt]] / VfM_Metrics_2023_Consol[[#This Row],[Net Book Value of Housing Properties2]], "n/a" )</f>
        <v>0.56763526428223421</v>
      </c>
      <c r="AF11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90875</v>
      </c>
      <c r="AG117" s="84" vm="4362">
        <v>15000</v>
      </c>
      <c r="AH117" s="83" vm="4363">
        <v>88979</v>
      </c>
      <c r="AI117" s="83" vm="4364">
        <v>13120</v>
      </c>
      <c r="AJ117" s="83" vm="4365">
        <v>0</v>
      </c>
      <c r="AK117" s="83" vm="4366">
        <v>16</v>
      </c>
      <c r="AL117" s="5">
        <f xml:space="preserve"> SUM( VfM_Metrics_2023_Consol[[#This Row],[Tangible fixed assets: Housing properties at cost (Current period)2]], VfM_Metrics_2023_Consol[[#This Row],[Tangible fixed assets Housing properties at valuation (Current period)2]] )</f>
        <v>160094</v>
      </c>
      <c r="AM117" s="84" vm="4355">
        <v>160094</v>
      </c>
      <c r="AN117" s="83" vm="4356">
        <v>0</v>
      </c>
      <c r="AO117" s="87">
        <f xml:space="preserve"> IFERROR( VfM_Metrics_2023_Consol[[#This Row],[EBITDA MRI]] / VfM_Metrics_2023_Consol[[#This Row],[Total interest]], "n/a" )</f>
        <v>0.87774167343623066</v>
      </c>
      <c r="AP11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4322</v>
      </c>
      <c r="AQ117" s="84" vm="4367">
        <v>5012</v>
      </c>
      <c r="AR117" s="84" vm="4368">
        <v>546</v>
      </c>
      <c r="AS117" s="84" vm="4369">
        <v>0</v>
      </c>
      <c r="AT117" s="84" vm="4370">
        <v>156</v>
      </c>
      <c r="AU117" s="84" vm="4371">
        <v>0</v>
      </c>
      <c r="AV117" s="84" vm="4365">
        <v>99</v>
      </c>
      <c r="AW117" s="84" vm="4373">
        <v>3538</v>
      </c>
      <c r="AX117" s="84" vm="4374">
        <v>3451</v>
      </c>
      <c r="AY117" s="3">
        <f xml:space="preserve"> - SUM( VfM_Metrics_2023_Consol[[#This Row],[Interest capitalised]], VfM_Metrics_2023_Consol[[#This Row],[Interest payable and financing costs]] )</f>
        <v>4924</v>
      </c>
      <c r="AZ117" s="84" vm="4375">
        <v>-117</v>
      </c>
      <c r="BA117" s="83" vm="4376">
        <v>-4807</v>
      </c>
      <c r="BB117" s="8">
        <f xml:space="preserve"> IFERROR( ( VfM_Metrics_2023_Consol[[#This Row],[Total Costs]] / VfM_Metrics_2023_Consol[[#This Row],[Total units for costs]] ) * 1000, "n/a" )</f>
        <v>4299.5818399044201</v>
      </c>
      <c r="BC11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14395</v>
      </c>
      <c r="BD117" s="84" vm="6976">
        <v>2094</v>
      </c>
      <c r="BE117" s="83" vm="4377">
        <v>1009</v>
      </c>
      <c r="BF117" s="83" vm="4378">
        <v>3350</v>
      </c>
      <c r="BG117" s="83" vm="7398">
        <v>1051</v>
      </c>
      <c r="BH117" s="83" vm="4379">
        <v>2845</v>
      </c>
      <c r="BI117" s="83" vm="7387">
        <v>0</v>
      </c>
      <c r="BJ117" s="83" vm="4373">
        <v>3538</v>
      </c>
      <c r="BK117" s="83" vm="4380">
        <v>0</v>
      </c>
      <c r="BL117" s="83" vm="4381">
        <v>0</v>
      </c>
      <c r="BM117" s="83" vm="7574">
        <v>0</v>
      </c>
      <c r="BN117" s="83" vm="4382">
        <v>0</v>
      </c>
      <c r="BO117" s="83" vm="4383">
        <v>508</v>
      </c>
      <c r="BP117" s="5" vm="4350">
        <f xml:space="preserve"> VfM_Metrics_2023_Consol[[#This Row],[Total social housing units owned and/or managed at period end]]</f>
        <v>3348</v>
      </c>
      <c r="BQ117" s="84" vm="4350">
        <v>3348</v>
      </c>
      <c r="BR117" s="7">
        <f xml:space="preserve"> IFERROR( VfM_Metrics_2023_Consol[[#This Row],[SHL operating surplus / (deficit)]] / VfM_Metrics_2023_Consol[[#This Row],[Turnover from social housing lettings]], "n/a" )</f>
        <v>0.18834433876537227</v>
      </c>
      <c r="BS117" s="5" vm="6979">
        <f xml:space="preserve"> VfM_Metrics_2023_Consol[[#This Row],[Operating surplus/(deficit) (social housing lettings)]]</f>
        <v>3109</v>
      </c>
      <c r="BT117" s="84" vm="6979">
        <v>3109</v>
      </c>
      <c r="BU117" s="5" vm="4384">
        <f xml:space="preserve"> VfM_Metrics_2023_Consol[[#This Row],[Turnover from social housing lettings]]</f>
        <v>16507</v>
      </c>
      <c r="BV117" s="84" vm="4384">
        <v>16507</v>
      </c>
      <c r="BW117" s="7">
        <f xml:space="preserve"> IFERROR( VfM_Metrics_2023_Consol[[#This Row],[Net operating surplus]] / VfM_Metrics_2023_Consol[[#This Row],[Overall turnover]], "n/a" )</f>
        <v>0.19436828132480308</v>
      </c>
      <c r="BX117" s="5">
        <f xml:space="preserve"> SUM( VfM_Metrics_2023_Consol[[#This Row],[Operating surplus/(deficit) (overall)2]], - VfM_Metrics_2023_Consol[[#This Row],[Gain/(loss) on disposal of fixed assets (housing properties)2]], - VfM_Metrics_2023_Consol[[#This Row],[Gain/(loss) on disposal of fixed assets (other)2]] )</f>
        <v>4466</v>
      </c>
      <c r="BY117" s="84" vm="4367">
        <v>5012</v>
      </c>
      <c r="BZ117" s="83" vm="5487">
        <v>546</v>
      </c>
      <c r="CA117" s="83" vm="4369">
        <v>0</v>
      </c>
      <c r="CB117" s="5" vm="4216">
        <f xml:space="preserve"> VfM_Metrics_2023_Consol[[#This Row],[Turnover (overall)]]</f>
        <v>22977</v>
      </c>
      <c r="CC117" s="84" vm="4216">
        <v>22977</v>
      </c>
      <c r="CD117" s="7">
        <f xml:space="preserve"> IFERROR( VfM_Metrics_2023_Consol[[#This Row],[Operating surplus including from JVs]] / VfM_Metrics_2023_Consol[[#This Row],[Net assets]], "n/a" )</f>
        <v>2.9823403103680042E-2</v>
      </c>
      <c r="CE117" s="5">
        <f xml:space="preserve"> SUM( VfM_Metrics_2023_Consol[[#This Row],[Operating surplus/(deficit) (overall)3]], VfM_Metrics_2023_Consol[[#This Row],[Share of operating surplus/(deficit) in joint ventures or associates]] )</f>
        <v>5014</v>
      </c>
      <c r="CF117" s="84" vm="4367">
        <v>5012</v>
      </c>
      <c r="CG117" s="83" vm="4386">
        <v>2</v>
      </c>
      <c r="CH117" s="5" vm="4385">
        <f xml:space="preserve"> VfM_Metrics_2023_Consol[[#This Row],[Total assets less current liabilities]]</f>
        <v>168123</v>
      </c>
      <c r="CI117" s="84" vm="4385">
        <v>168123</v>
      </c>
      <c r="CJ117" s="71" vm="4349">
        <f xml:space="preserve"> VfM_Metrics_2023_Consol[[#This Row],[Total social housing units owned (Period end)]]</f>
        <v>3332</v>
      </c>
      <c r="CK117" s="103">
        <v>0</v>
      </c>
      <c r="CL117" s="6">
        <f xml:space="preserve"> -- ( VfM_Metrics_2023_Consol[[#This Row],[% Supported housing (excl. HOP)]] &gt; 0.3 )</f>
        <v>0</v>
      </c>
      <c r="CM117" s="103">
        <v>0.15324519230769232</v>
      </c>
      <c r="CN117" s="6">
        <f xml:space="preserve"> -- ( VfM_Metrics_2023_Consol[[#This Row],[% Housing for older people]] &gt; 0.3 )</f>
        <v>0</v>
      </c>
      <c r="CO117" s="103">
        <f xml:space="preserve"> VfM_Metrics_2023_Consol[[#This Row],[% Supported housing (excl. HOP)]] + VfM_Metrics_2023_Consol[[#This Row],[% Housing for older people]]</f>
        <v>0.15324519230769232</v>
      </c>
      <c r="CP117" s="6">
        <f xml:space="preserve"> -- ( VfM_Metrics_2023_Consol[[#This Row],[SH specialist in RSH analysis]] + VfM_Metrics_2023_Consol[[#This Row],[OP specialist in RSH analysis]] &gt; 0 )</f>
        <v>0</v>
      </c>
      <c r="CQ117" s="10">
        <f xml:space="preserve"> -- ( VfM_Metrics_2023_Consol[[#This Row],[% SH and OP]] &gt; 0.3 )</f>
        <v>0</v>
      </c>
      <c r="CR117" s="104" t="s">
        <v>143</v>
      </c>
      <c r="CS117" s="124"/>
      <c r="CT117" s="105" t="s">
        <v>151</v>
      </c>
      <c r="CU11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117" s="85">
        <v>0</v>
      </c>
      <c r="CW117" s="85">
        <v>0</v>
      </c>
      <c r="CX117" s="85">
        <v>1</v>
      </c>
      <c r="CY117" s="85">
        <v>0</v>
      </c>
      <c r="CZ117" s="85">
        <v>0</v>
      </c>
      <c r="DA117" s="85">
        <v>0</v>
      </c>
      <c r="DB117" s="85">
        <v>0</v>
      </c>
      <c r="DC117" s="85">
        <v>0</v>
      </c>
      <c r="DD117" s="85">
        <v>0</v>
      </c>
      <c r="DE117" s="13">
        <v>0.97511902715076015</v>
      </c>
    </row>
    <row r="118" spans="1:109" x14ac:dyDescent="0.25">
      <c r="A118" s="4" t="s" vm="219">
        <v>360</v>
      </c>
      <c r="B118" s="2" t="s" vm="108">
        <v>361</v>
      </c>
      <c r="C118" s="72" vm="490">
        <v>45016</v>
      </c>
      <c r="D118" s="7">
        <f>IFERROR( VfM_Metrics_2023_Consol[[#This Row],[Reinvestment Spend]] / VfM_Metrics_2023_Consol[[#This Row],[Net Book Value of Housing Properties]], "n/a" )</f>
        <v>4.1580930493573129E-2</v>
      </c>
      <c r="E11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6224</v>
      </c>
      <c r="F118" s="83" vm="991">
        <v>5280</v>
      </c>
      <c r="G118" s="83" vm="992">
        <v>0</v>
      </c>
      <c r="H118" s="83" vm="993">
        <v>944</v>
      </c>
      <c r="I118" s="83" vm="994">
        <v>0</v>
      </c>
      <c r="J118" s="83" vm="8818">
        <v>0</v>
      </c>
      <c r="K118" s="5">
        <f xml:space="preserve"> SUM( VfM_Metrics_2023_Consol[[#This Row],[Tangible fixed assets: Housing properties at cost (Current period)]],VfM_Metrics_2023_Consol[[#This Row],[Tangible fixed assets Housing properties at valuation (Current period)]] )</f>
        <v>149684</v>
      </c>
      <c r="L118" s="84" vm="8617">
        <v>149684</v>
      </c>
      <c r="M118" s="83">
        <v>0</v>
      </c>
      <c r="N118" s="7">
        <f xml:space="preserve"> IFERROR( VfM_Metrics_2023_Consol[[#This Row],[Total social units developed or newly built units acquired in-year]] / VfM_Metrics_2023_Consol[[#This Row],[Social housing units owned (period end)]], "n/a" )</f>
        <v>3.7488284910965321E-2</v>
      </c>
      <c r="O118" s="5">
        <f xml:space="preserve"> SUM( VfM_Metrics_2023_Consol[[#This Row],[Total social units developed or newly built units acquired in-year (owned)]], VfM_Metrics_2023_Consol[[#This Row],[Total social leasehold units developed or newly built units acquired in-year (owned)]] )</f>
        <v>40</v>
      </c>
      <c r="P118" s="84" vm="8580">
        <v>40</v>
      </c>
      <c r="Q118" s="83">
        <v>0</v>
      </c>
      <c r="R118" s="5">
        <f xml:space="preserve"> SUM( VfM_Metrics_2023_Consol[[#This Row],[Total social housing units owned (Period end)]], VfM_Metrics_2023_Consol[[#This Row],[Total social leasehold units owned (Period end)]] )</f>
        <v>1067</v>
      </c>
      <c r="S118" s="84" vm="989">
        <v>1067</v>
      </c>
      <c r="T118" s="83" vm="8546">
        <v>0</v>
      </c>
      <c r="U118" s="86">
        <f xml:space="preserve"> IFERROR( VfM_Metrics_2023_Consol[[#This Row],[Total non-social housing units developed or newly built units acquired (owned)]] / VfM_Metrics_2023_Consol[[#This Row],[Total social and non-social housing units owned (Period end)]], "n/a" )</f>
        <v>0</v>
      </c>
      <c r="V11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18" s="83">
        <v>0</v>
      </c>
      <c r="X118" s="83">
        <v>0</v>
      </c>
      <c r="Y118" s="83" vm="996">
        <v>0</v>
      </c>
      <c r="Z11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1067</v>
      </c>
      <c r="AA118" s="84" vm="989">
        <v>1067</v>
      </c>
      <c r="AB118" s="83" vm="8628">
        <v>0</v>
      </c>
      <c r="AC118" s="83" vm="8695">
        <v>0</v>
      </c>
      <c r="AD118" s="83" vm="8725">
        <v>0</v>
      </c>
      <c r="AE118" s="7">
        <f xml:space="preserve"> IFERROR( VfM_Metrics_2023_Consol[[#This Row],[Total Net Debt]] / VfM_Metrics_2023_Consol[[#This Row],[Net Book Value of Housing Properties2]], "n/a" )</f>
        <v>0.4398599716736592</v>
      </c>
      <c r="AF11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65840</v>
      </c>
      <c r="AG118" s="84" vm="8544">
        <v>1715</v>
      </c>
      <c r="AH118" s="83" vm="8625">
        <v>65091</v>
      </c>
      <c r="AI118" s="83" vm="8692">
        <v>966</v>
      </c>
      <c r="AJ118" s="83" vm="1675">
        <v>0</v>
      </c>
      <c r="AK118" s="83">
        <v>0</v>
      </c>
      <c r="AL118" s="5">
        <f xml:space="preserve"> SUM( VfM_Metrics_2023_Consol[[#This Row],[Tangible fixed assets: Housing properties at cost (Current period)2]], VfM_Metrics_2023_Consol[[#This Row],[Tangible fixed assets Housing properties at valuation (Current period)2]] )</f>
        <v>149684</v>
      </c>
      <c r="AM118" s="84" vm="808">
        <v>149684</v>
      </c>
      <c r="AN118" s="83">
        <v>0</v>
      </c>
      <c r="AO118" s="87">
        <f xml:space="preserve"> IFERROR( VfM_Metrics_2023_Consol[[#This Row],[EBITDA MRI]] / VfM_Metrics_2023_Consol[[#This Row],[Total interest]], "n/a" )</f>
        <v>1.6456665506439263</v>
      </c>
      <c r="AP11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4728</v>
      </c>
      <c r="AQ118" s="84" vm="8721">
        <v>4164</v>
      </c>
      <c r="AR118" s="84" vm="8777">
        <v>71</v>
      </c>
      <c r="AS118" s="84">
        <v>0</v>
      </c>
      <c r="AT118" s="84" vm="8616">
        <v>639</v>
      </c>
      <c r="AU118" s="84" vm="8978">
        <v>0</v>
      </c>
      <c r="AV118" s="84">
        <v>0</v>
      </c>
      <c r="AW118" s="84" vm="8686">
        <v>944</v>
      </c>
      <c r="AX118" s="84" vm="1001">
        <v>2218</v>
      </c>
      <c r="AY118" s="3">
        <f xml:space="preserve"> - SUM( VfM_Metrics_2023_Consol[[#This Row],[Interest capitalised]], VfM_Metrics_2023_Consol[[#This Row],[Interest payable and financing costs]] )</f>
        <v>2873</v>
      </c>
      <c r="AZ118" s="84" vm="8793">
        <v>-88</v>
      </c>
      <c r="BA118" s="83" vm="7915">
        <v>-2785</v>
      </c>
      <c r="BB118" s="8">
        <f xml:space="preserve"> IFERROR( ( VfM_Metrics_2023_Consol[[#This Row],[Total Costs]] / VfM_Metrics_2023_Consol[[#This Row],[Total units for costs]] ) * 1000, "n/a" )</f>
        <v>5455.4826616682285</v>
      </c>
      <c r="BC11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5821</v>
      </c>
      <c r="BD118" s="84" vm="8968">
        <v>1271</v>
      </c>
      <c r="BE118" s="83" vm="8577">
        <v>932</v>
      </c>
      <c r="BF118" s="83" vm="8760">
        <v>1259</v>
      </c>
      <c r="BG118" s="83" vm="1002">
        <v>103</v>
      </c>
      <c r="BH118" s="83" vm="8613">
        <v>557</v>
      </c>
      <c r="BI118" s="83" vm="1003">
        <v>8</v>
      </c>
      <c r="BJ118" s="83" vm="8790">
        <v>944</v>
      </c>
      <c r="BK118" s="83" vm="8776">
        <v>492</v>
      </c>
      <c r="BL118" s="83">
        <v>0</v>
      </c>
      <c r="BM118" s="83">
        <v>0</v>
      </c>
      <c r="BN118" s="83" vm="799">
        <v>255</v>
      </c>
      <c r="BO118" s="83">
        <v>0</v>
      </c>
      <c r="BP118" s="5" vm="8612">
        <f xml:space="preserve"> VfM_Metrics_2023_Consol[[#This Row],[Total social housing units owned and/or managed at period end]]</f>
        <v>1067</v>
      </c>
      <c r="BQ118" s="84" vm="8612">
        <v>1067</v>
      </c>
      <c r="BR118" s="7">
        <f xml:space="preserve"> IFERROR( VfM_Metrics_2023_Consol[[#This Row],[SHL operating surplus / (deficit)]] / VfM_Metrics_2023_Consol[[#This Row],[Turnover from social housing lettings]], "n/a" )</f>
        <v>0.28240208877284595</v>
      </c>
      <c r="BS118" s="5" vm="8542">
        <f xml:space="preserve"> VfM_Metrics_2023_Consol[[#This Row],[Operating surplus/(deficit) (social housing lettings)]]</f>
        <v>2704</v>
      </c>
      <c r="BT118" s="84" vm="8542">
        <v>2704</v>
      </c>
      <c r="BU118" s="5" vm="8608">
        <f xml:space="preserve"> VfM_Metrics_2023_Consol[[#This Row],[Turnover from social housing lettings]]</f>
        <v>9575</v>
      </c>
      <c r="BV118" s="84" vm="8608">
        <v>9575</v>
      </c>
      <c r="BW118" s="7">
        <f xml:space="preserve"> IFERROR( VfM_Metrics_2023_Consol[[#This Row],[Net operating surplus]] / VfM_Metrics_2023_Consol[[#This Row],[Overall turnover]], "n/a" )</f>
        <v>0.30506074383245135</v>
      </c>
      <c r="BX118" s="5">
        <f xml:space="preserve"> SUM( VfM_Metrics_2023_Consol[[#This Row],[Operating surplus/(deficit) (overall)2]], - VfM_Metrics_2023_Consol[[#This Row],[Gain/(loss) on disposal of fixed assets (housing properties)2]], - VfM_Metrics_2023_Consol[[#This Row],[Gain/(loss) on disposal of fixed assets (other)2]] )</f>
        <v>4093</v>
      </c>
      <c r="BY118" s="84" vm="997">
        <v>4164</v>
      </c>
      <c r="BZ118" s="83" vm="998">
        <v>71</v>
      </c>
      <c r="CA118" s="83">
        <v>0</v>
      </c>
      <c r="CB118" s="5" vm="8590">
        <f xml:space="preserve"> VfM_Metrics_2023_Consol[[#This Row],[Turnover (overall)]]</f>
        <v>13417</v>
      </c>
      <c r="CC118" s="84" vm="8590">
        <v>13417</v>
      </c>
      <c r="CD118" s="7">
        <f xml:space="preserve"> IFERROR( VfM_Metrics_2023_Consol[[#This Row],[Operating surplus including from JVs]] / VfM_Metrics_2023_Consol[[#This Row],[Net assets]], "n/a" )</f>
        <v>2.7763331599791975E-2</v>
      </c>
      <c r="CE118" s="5">
        <f xml:space="preserve"> SUM( VfM_Metrics_2023_Consol[[#This Row],[Operating surplus/(deficit) (overall)3]], VfM_Metrics_2023_Consol[[#This Row],[Share of operating surplus/(deficit) in joint ventures or associates]] )</f>
        <v>4164</v>
      </c>
      <c r="CF118" s="84" vm="997">
        <v>4164</v>
      </c>
      <c r="CG118" s="83">
        <v>0</v>
      </c>
      <c r="CH118" s="5" vm="2237">
        <f xml:space="preserve"> VfM_Metrics_2023_Consol[[#This Row],[Total assets less current liabilities]]</f>
        <v>149982</v>
      </c>
      <c r="CI118" s="84" vm="2237">
        <v>149982</v>
      </c>
      <c r="CJ118" s="71" vm="989">
        <f xml:space="preserve"> VfM_Metrics_2023_Consol[[#This Row],[Total social housing units owned (Period end)]]</f>
        <v>1067</v>
      </c>
      <c r="CK118" s="103">
        <v>0</v>
      </c>
      <c r="CL118" s="6">
        <f xml:space="preserve"> -- ( VfM_Metrics_2023_Consol[[#This Row],[% Supported housing (excl. HOP)]] &gt; 0.3 )</f>
        <v>0</v>
      </c>
      <c r="CM118" s="103">
        <v>0</v>
      </c>
      <c r="CN118" s="6">
        <f xml:space="preserve"> -- ( VfM_Metrics_2023_Consol[[#This Row],[% Housing for older people]] &gt; 0.3 )</f>
        <v>0</v>
      </c>
      <c r="CO118" s="103">
        <f xml:space="preserve"> VfM_Metrics_2023_Consol[[#This Row],[% Supported housing (excl. HOP)]] + VfM_Metrics_2023_Consol[[#This Row],[% Housing for older people]]</f>
        <v>0</v>
      </c>
      <c r="CP118" s="6">
        <f xml:space="preserve"> -- ( VfM_Metrics_2023_Consol[[#This Row],[SH specialist in RSH analysis]] + VfM_Metrics_2023_Consol[[#This Row],[OP specialist in RSH analysis]] &gt; 0 )</f>
        <v>0</v>
      </c>
      <c r="CQ118" s="10">
        <f xml:space="preserve"> -- ( VfM_Metrics_2023_Consol[[#This Row],[% SH and OP]] &gt; 0.3 )</f>
        <v>0</v>
      </c>
      <c r="CR118" s="104" t="s">
        <v>143</v>
      </c>
      <c r="CS118" s="124" t="s">
        <v>144</v>
      </c>
      <c r="CT118" s="105"/>
      <c r="CU11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18" s="85">
        <v>1</v>
      </c>
      <c r="CW118" s="85">
        <v>0</v>
      </c>
      <c r="CX118" s="85">
        <v>0</v>
      </c>
      <c r="CY118" s="85">
        <v>0</v>
      </c>
      <c r="CZ118" s="85">
        <v>0</v>
      </c>
      <c r="DA118" s="85">
        <v>0</v>
      </c>
      <c r="DB118" s="85">
        <v>0</v>
      </c>
      <c r="DC118" s="85">
        <v>0</v>
      </c>
      <c r="DD118" s="85">
        <v>0</v>
      </c>
      <c r="DE118" s="13">
        <v>1.1603700449887588</v>
      </c>
    </row>
    <row r="119" spans="1:109" x14ac:dyDescent="0.25">
      <c r="A119" s="4" t="s" vm="328">
        <v>362</v>
      </c>
      <c r="B119" s="2" t="s" vm="109">
        <v>363</v>
      </c>
      <c r="C119" s="72" vm="558">
        <v>45016</v>
      </c>
      <c r="D119" s="7">
        <f>IFERROR( VfM_Metrics_2023_Consol[[#This Row],[Reinvestment Spend]] / VfM_Metrics_2023_Consol[[#This Row],[Net Book Value of Housing Properties]], "n/a" )</f>
        <v>6.6287638740516755E-2</v>
      </c>
      <c r="E11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14644</v>
      </c>
      <c r="F119" s="83" vm="4311">
        <v>568</v>
      </c>
      <c r="G119" s="83" vm="4312">
        <v>11135</v>
      </c>
      <c r="H119" s="83" vm="7062">
        <v>2834</v>
      </c>
      <c r="I119" s="83" vm="4314">
        <v>107</v>
      </c>
      <c r="J119" s="83" vm="4315">
        <v>0</v>
      </c>
      <c r="K119" s="5">
        <f xml:space="preserve"> SUM( VfM_Metrics_2023_Consol[[#This Row],[Tangible fixed assets: Housing properties at cost (Current period)]],VfM_Metrics_2023_Consol[[#This Row],[Tangible fixed assets Housing properties at valuation (Current period)]] )</f>
        <v>220916</v>
      </c>
      <c r="L119" s="84" vm="4316">
        <v>220916</v>
      </c>
      <c r="M119" s="83" vm="4317">
        <v>0</v>
      </c>
      <c r="N119" s="7">
        <f xml:space="preserve"> IFERROR( VfM_Metrics_2023_Consol[[#This Row],[Total social units developed or newly built units acquired in-year]] / VfM_Metrics_2023_Consol[[#This Row],[Social housing units owned (period end)]], "n/a" )</f>
        <v>1.7703722988804998E-2</v>
      </c>
      <c r="O119" s="5">
        <f xml:space="preserve"> SUM( VfM_Metrics_2023_Consol[[#This Row],[Total social units developed or newly built units acquired in-year (owned)]], VfM_Metrics_2023_Consol[[#This Row],[Total social leasehold units developed or newly built units acquired in-year (owned)]] )</f>
        <v>68</v>
      </c>
      <c r="P119" s="84" vm="4318">
        <v>68</v>
      </c>
      <c r="Q119" s="83" vm="4319">
        <v>0</v>
      </c>
      <c r="R119" s="5">
        <f xml:space="preserve"> SUM( VfM_Metrics_2023_Consol[[#This Row],[Total social housing units owned (Period end)]], VfM_Metrics_2023_Consol[[#This Row],[Total social leasehold units owned (Period end)]] )</f>
        <v>3841</v>
      </c>
      <c r="S119" s="84" vm="4309">
        <v>3827</v>
      </c>
      <c r="T119" s="83" vm="4320">
        <v>14</v>
      </c>
      <c r="U119" s="86">
        <f xml:space="preserve"> IFERROR( VfM_Metrics_2023_Consol[[#This Row],[Total non-social housing units developed or newly built units acquired (owned)]] / VfM_Metrics_2023_Consol[[#This Row],[Total social and non-social housing units owned (Period end)]], "n/a" )</f>
        <v>0</v>
      </c>
      <c r="V11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19" s="83" vm="4321">
        <v>0</v>
      </c>
      <c r="X119" s="83" vm="4322">
        <v>0</v>
      </c>
      <c r="Y119" s="83" vm="4323">
        <v>0</v>
      </c>
      <c r="Z11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3841</v>
      </c>
      <c r="AA119" s="84" vm="7429">
        <v>3827</v>
      </c>
      <c r="AB119" s="83" vm="4320">
        <v>14</v>
      </c>
      <c r="AC119" s="83" vm="7527">
        <v>0</v>
      </c>
      <c r="AD119" s="83" vm="4324">
        <v>0</v>
      </c>
      <c r="AE119" s="7">
        <f xml:space="preserve"> IFERROR( VfM_Metrics_2023_Consol[[#This Row],[Total Net Debt]] / VfM_Metrics_2023_Consol[[#This Row],[Net Book Value of Housing Properties2]], "n/a" )</f>
        <v>0.47177660287167972</v>
      </c>
      <c r="AF11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104223</v>
      </c>
      <c r="AG119" s="84" vm="4325">
        <v>37</v>
      </c>
      <c r="AH119" s="83" vm="4326">
        <v>111241</v>
      </c>
      <c r="AI119" s="83" vm="4327">
        <v>7055</v>
      </c>
      <c r="AJ119" s="83" vm="4328">
        <v>0</v>
      </c>
      <c r="AK119" s="83" vm="4329">
        <v>0</v>
      </c>
      <c r="AL119" s="5">
        <f xml:space="preserve"> SUM( VfM_Metrics_2023_Consol[[#This Row],[Tangible fixed assets: Housing properties at cost (Current period)2]], VfM_Metrics_2023_Consol[[#This Row],[Tangible fixed assets Housing properties at valuation (Current period)2]] )</f>
        <v>220916</v>
      </c>
      <c r="AM119" s="84" vm="7054">
        <v>220916</v>
      </c>
      <c r="AN119" s="83" vm="4317">
        <v>0</v>
      </c>
      <c r="AO119" s="87">
        <f xml:space="preserve"> IFERROR( VfM_Metrics_2023_Consol[[#This Row],[EBITDA MRI]] / VfM_Metrics_2023_Consol[[#This Row],[Total interest]], "n/a" )</f>
        <v>1.6940459110473458</v>
      </c>
      <c r="AP11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4723</v>
      </c>
      <c r="AQ119" s="84" vm="4330">
        <v>5242</v>
      </c>
      <c r="AR119" s="84" vm="4331">
        <v>115</v>
      </c>
      <c r="AS119" s="84" vm="4332">
        <v>0</v>
      </c>
      <c r="AT119" s="84" vm="4370">
        <v>945</v>
      </c>
      <c r="AU119" s="84" vm="7724">
        <v>0</v>
      </c>
      <c r="AV119" s="84" vm="4333">
        <v>25</v>
      </c>
      <c r="AW119" s="84" vm="4334">
        <v>2834</v>
      </c>
      <c r="AX119" s="84" vm="4335">
        <v>3350</v>
      </c>
      <c r="AY119" s="3">
        <f xml:space="preserve"> - SUM( VfM_Metrics_2023_Consol[[#This Row],[Interest capitalised]], VfM_Metrics_2023_Consol[[#This Row],[Interest payable and financing costs]] )</f>
        <v>2788</v>
      </c>
      <c r="AZ119" s="84" vm="4336">
        <v>-107</v>
      </c>
      <c r="BA119" s="83" vm="4337">
        <v>-2681</v>
      </c>
      <c r="BB119" s="8">
        <f xml:space="preserve"> IFERROR( ( VfM_Metrics_2023_Consol[[#This Row],[Total Costs]] / VfM_Metrics_2023_Consol[[#This Row],[Total units for costs]] ) * 1000, "n/a" )</f>
        <v>4330.8251167618055</v>
      </c>
      <c r="BC11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16691</v>
      </c>
      <c r="BD119" s="84" vm="4338">
        <v>4811</v>
      </c>
      <c r="BE119" s="83" vm="6977">
        <v>2006</v>
      </c>
      <c r="BF119" s="83" vm="4339">
        <v>3744</v>
      </c>
      <c r="BG119" s="83" vm="4340">
        <v>1739</v>
      </c>
      <c r="BH119" s="83" vm="4341">
        <v>1294</v>
      </c>
      <c r="BI119" s="83" vm="7541">
        <v>263</v>
      </c>
      <c r="BJ119" s="83" vm="7526">
        <v>2834</v>
      </c>
      <c r="BK119" s="83" vm="6982">
        <v>0</v>
      </c>
      <c r="BL119" s="83" vm="3252">
        <v>0</v>
      </c>
      <c r="BM119" s="83" vm="2999">
        <v>0</v>
      </c>
      <c r="BN119" s="83" vm="4342">
        <v>0</v>
      </c>
      <c r="BO119" s="83" vm="4343">
        <v>0</v>
      </c>
      <c r="BP119" s="5" vm="4310">
        <f xml:space="preserve"> VfM_Metrics_2023_Consol[[#This Row],[Total social housing units owned and/or managed at period end]]</f>
        <v>3854</v>
      </c>
      <c r="BQ119" s="84" vm="4310">
        <v>3854</v>
      </c>
      <c r="BR119" s="7">
        <f xml:space="preserve"> IFERROR( VfM_Metrics_2023_Consol[[#This Row],[SHL operating surplus / (deficit)]] / VfM_Metrics_2023_Consol[[#This Row],[Turnover from social housing lettings]], "n/a" )</f>
        <v>0.21737941096015317</v>
      </c>
      <c r="BS119" s="5" vm="4344">
        <f xml:space="preserve"> VfM_Metrics_2023_Consol[[#This Row],[Operating surplus/(deficit) (social housing lettings)]]</f>
        <v>4768</v>
      </c>
      <c r="BT119" s="84" vm="4344">
        <v>4768</v>
      </c>
      <c r="BU119" s="5" vm="4345">
        <f xml:space="preserve"> VfM_Metrics_2023_Consol[[#This Row],[Turnover from social housing lettings]]</f>
        <v>21934</v>
      </c>
      <c r="BV119" s="84" vm="4345">
        <v>21934</v>
      </c>
      <c r="BW119" s="7">
        <f xml:space="preserve"> IFERROR( VfM_Metrics_2023_Consol[[#This Row],[Net operating surplus]] / VfM_Metrics_2023_Consol[[#This Row],[Overall turnover]], "n/a" )</f>
        <v>0.22907823600375318</v>
      </c>
      <c r="BX119" s="5">
        <f xml:space="preserve"> SUM( VfM_Metrics_2023_Consol[[#This Row],[Operating surplus/(deficit) (overall)2]], - VfM_Metrics_2023_Consol[[#This Row],[Gain/(loss) on disposal of fixed assets (housing properties)2]], - VfM_Metrics_2023_Consol[[#This Row],[Gain/(loss) on disposal of fixed assets (other)2]] )</f>
        <v>5127</v>
      </c>
      <c r="BY119" s="84" vm="7351">
        <v>5242</v>
      </c>
      <c r="BZ119" s="83" vm="7606">
        <v>115</v>
      </c>
      <c r="CA119" s="83" vm="7336">
        <v>0</v>
      </c>
      <c r="CB119" s="5" vm="4346">
        <f xml:space="preserve"> VfM_Metrics_2023_Consol[[#This Row],[Turnover (overall)]]</f>
        <v>22381</v>
      </c>
      <c r="CC119" s="84" vm="4346">
        <v>22381</v>
      </c>
      <c r="CD119" s="7">
        <f xml:space="preserve"> IFERROR( VfM_Metrics_2023_Consol[[#This Row],[Operating surplus including from JVs]] / VfM_Metrics_2023_Consol[[#This Row],[Net assets]], "n/a" )</f>
        <v>2.3087934109978198E-2</v>
      </c>
      <c r="CE119" s="5">
        <f xml:space="preserve"> SUM( VfM_Metrics_2023_Consol[[#This Row],[Operating surplus/(deficit) (overall)3]], VfM_Metrics_2023_Consol[[#This Row],[Share of operating surplus/(deficit) in joint ventures or associates]] )</f>
        <v>5242</v>
      </c>
      <c r="CF119" s="84" vm="4330">
        <v>5242</v>
      </c>
      <c r="CG119" s="83" vm="4348">
        <v>0</v>
      </c>
      <c r="CH119" s="5" vm="4347">
        <f xml:space="preserve"> VfM_Metrics_2023_Consol[[#This Row],[Total assets less current liabilities]]</f>
        <v>227045</v>
      </c>
      <c r="CI119" s="84" vm="4347">
        <v>227045</v>
      </c>
      <c r="CJ119" s="71" vm="4309">
        <f xml:space="preserve"> VfM_Metrics_2023_Consol[[#This Row],[Total social housing units owned (Period end)]]</f>
        <v>3827</v>
      </c>
      <c r="CK119" s="103">
        <v>0.10559330893883952</v>
      </c>
      <c r="CL119" s="6">
        <f xml:space="preserve"> -- ( VfM_Metrics_2023_Consol[[#This Row],[% Supported housing (excl. HOP)]] &gt; 0.3 )</f>
        <v>0</v>
      </c>
      <c r="CM119" s="103">
        <v>5.0444328280188189E-2</v>
      </c>
      <c r="CN119" s="6">
        <f xml:space="preserve"> -- ( VfM_Metrics_2023_Consol[[#This Row],[% Housing for older people]] &gt; 0.3 )</f>
        <v>0</v>
      </c>
      <c r="CO119" s="103">
        <f xml:space="preserve"> VfM_Metrics_2023_Consol[[#This Row],[% Supported housing (excl. HOP)]] + VfM_Metrics_2023_Consol[[#This Row],[% Housing for older people]]</f>
        <v>0.15603763721902769</v>
      </c>
      <c r="CP119" s="6">
        <f xml:space="preserve"> -- ( VfM_Metrics_2023_Consol[[#This Row],[SH specialist in RSH analysis]] + VfM_Metrics_2023_Consol[[#This Row],[OP specialist in RSH analysis]] &gt; 0 )</f>
        <v>0</v>
      </c>
      <c r="CQ119" s="10">
        <f xml:space="preserve"> -- ( VfM_Metrics_2023_Consol[[#This Row],[% SH and OP]] &gt; 0.3 )</f>
        <v>0</v>
      </c>
      <c r="CR119" s="104" t="s">
        <v>143</v>
      </c>
      <c r="CS119" s="124" t="s">
        <v>144</v>
      </c>
      <c r="CT119" s="105"/>
      <c r="CU11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119" s="85">
        <v>0</v>
      </c>
      <c r="CW119" s="85">
        <v>0</v>
      </c>
      <c r="CX119" s="85">
        <v>0</v>
      </c>
      <c r="CY119" s="85">
        <v>0</v>
      </c>
      <c r="CZ119" s="85">
        <v>0</v>
      </c>
      <c r="DA119" s="85">
        <v>0</v>
      </c>
      <c r="DB119" s="85">
        <v>0.97358786610878656</v>
      </c>
      <c r="DC119" s="85">
        <v>0</v>
      </c>
      <c r="DD119" s="85">
        <v>2.6412133891213389E-2</v>
      </c>
      <c r="DE119" s="13">
        <v>0.90755234887910019</v>
      </c>
    </row>
    <row r="120" spans="1:109" x14ac:dyDescent="0.25">
      <c r="A120" s="4" t="s" vm="239">
        <v>364</v>
      </c>
      <c r="B120" s="2" t="s" vm="110">
        <v>365</v>
      </c>
      <c r="C120" s="72" vm="594">
        <v>45016</v>
      </c>
      <c r="D120" s="7">
        <f>IFERROR( VfM_Metrics_2023_Consol[[#This Row],[Reinvestment Spend]] / VfM_Metrics_2023_Consol[[#This Row],[Net Book Value of Housing Properties]], "n/a" )</f>
        <v>3.5111658890160519E-2</v>
      </c>
      <c r="E12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239300</v>
      </c>
      <c r="F120" s="83" vm="1450">
        <v>194200</v>
      </c>
      <c r="G120" s="83" vm="8357">
        <v>0</v>
      </c>
      <c r="H120" s="83" vm="8354">
        <v>39700</v>
      </c>
      <c r="I120" s="83" vm="8317">
        <v>5400</v>
      </c>
      <c r="J120" s="83" vm="8445">
        <v>0</v>
      </c>
      <c r="K120" s="5">
        <f xml:space="preserve"> SUM( VfM_Metrics_2023_Consol[[#This Row],[Tangible fixed assets: Housing properties at cost (Current period)]],VfM_Metrics_2023_Consol[[#This Row],[Tangible fixed assets Housing properties at valuation (Current period)]] )</f>
        <v>6815400</v>
      </c>
      <c r="L120" s="84" vm="8438">
        <v>6815400</v>
      </c>
      <c r="M120" s="83">
        <v>0</v>
      </c>
      <c r="N120" s="7">
        <f xml:space="preserve"> IFERROR( VfM_Metrics_2023_Consol[[#This Row],[Total social units developed or newly built units acquired in-year]] / VfM_Metrics_2023_Consol[[#This Row],[Social housing units owned (period end)]], "n/a" )</f>
        <v>7.3610415623435151E-3</v>
      </c>
      <c r="O120" s="5">
        <f xml:space="preserve"> SUM( VfM_Metrics_2023_Consol[[#This Row],[Total social units developed or newly built units acquired in-year (owned)]], VfM_Metrics_2023_Consol[[#This Row],[Total social leasehold units developed or newly built units acquired in-year (owned)]] )</f>
        <v>441</v>
      </c>
      <c r="P120" s="84" vm="1451">
        <v>277</v>
      </c>
      <c r="Q120" s="83" vm="8352">
        <v>164</v>
      </c>
      <c r="R120" s="5">
        <f xml:space="preserve"> SUM( VfM_Metrics_2023_Consol[[#This Row],[Total social housing units owned (Period end)]], VfM_Metrics_2023_Consol[[#This Row],[Total social leasehold units owned (Period end)]] )</f>
        <v>59910</v>
      </c>
      <c r="S120" s="84" vm="1448">
        <v>50459</v>
      </c>
      <c r="T120" s="83" vm="8254">
        <v>9451</v>
      </c>
      <c r="U120" s="86">
        <f xml:space="preserve"> IFERROR( VfM_Metrics_2023_Consol[[#This Row],[Total non-social housing units developed or newly built units acquired (owned)]] / VfM_Metrics_2023_Consol[[#This Row],[Total social and non-social housing units owned (Period end)]], "n/a" )</f>
        <v>2.8455729451679983E-3</v>
      </c>
      <c r="V12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182</v>
      </c>
      <c r="W120" s="83" vm="1449">
        <v>18</v>
      </c>
      <c r="X120" s="83">
        <v>0</v>
      </c>
      <c r="Y120" s="83" vm="8362">
        <v>164</v>
      </c>
      <c r="Z12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63959</v>
      </c>
      <c r="AA120" s="84" vm="8442">
        <v>50459</v>
      </c>
      <c r="AB120" s="83" vm="8251">
        <v>9451</v>
      </c>
      <c r="AC120" s="83" vm="8384">
        <v>4049</v>
      </c>
      <c r="AD120" s="83" vm="1452">
        <v>0</v>
      </c>
      <c r="AE120" s="7">
        <f xml:space="preserve"> IFERROR( VfM_Metrics_2023_Consol[[#This Row],[Total Net Debt]] / VfM_Metrics_2023_Consol[[#This Row],[Net Book Value of Housing Properties2]], "n/a" )</f>
        <v>0.47612759339143707</v>
      </c>
      <c r="AF12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3245000</v>
      </c>
      <c r="AG120" s="84" vm="8343">
        <v>30100</v>
      </c>
      <c r="AH120" s="83" vm="8060">
        <v>3275100</v>
      </c>
      <c r="AI120" s="83" vm="7837">
        <v>60200</v>
      </c>
      <c r="AJ120" s="83" vm="1675">
        <v>0</v>
      </c>
      <c r="AK120" s="83">
        <v>0</v>
      </c>
      <c r="AL120" s="5">
        <f xml:space="preserve"> SUM( VfM_Metrics_2023_Consol[[#This Row],[Tangible fixed assets: Housing properties at cost (Current period)2]], VfM_Metrics_2023_Consol[[#This Row],[Tangible fixed assets Housing properties at valuation (Current period)2]] )</f>
        <v>6815400</v>
      </c>
      <c r="AM120" s="84" vm="8589">
        <v>6815400</v>
      </c>
      <c r="AN120" s="83">
        <v>0</v>
      </c>
      <c r="AO120" s="87">
        <f xml:space="preserve"> IFERROR( VfM_Metrics_2023_Consol[[#This Row],[EBITDA MRI]] / VfM_Metrics_2023_Consol[[#This Row],[Total interest]], "n/a" )</f>
        <v>0.96851975887474884</v>
      </c>
      <c r="AP12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144600</v>
      </c>
      <c r="AQ120" s="84" vm="7889">
        <v>173400</v>
      </c>
      <c r="AR120" s="84" vm="1479">
        <v>50800</v>
      </c>
      <c r="AS120" s="84">
        <v>0</v>
      </c>
      <c r="AT120" s="84" vm="995">
        <v>12900</v>
      </c>
      <c r="AU120" s="84" vm="1455">
        <v>0</v>
      </c>
      <c r="AV120" s="84" vm="1456">
        <v>7000</v>
      </c>
      <c r="AW120" s="84" vm="1457">
        <v>39700</v>
      </c>
      <c r="AX120" s="84" vm="8250">
        <v>67600</v>
      </c>
      <c r="AY120" s="3">
        <f xml:space="preserve"> - SUM( VfM_Metrics_2023_Consol[[#This Row],[Interest capitalised]], VfM_Metrics_2023_Consol[[#This Row],[Interest payable and financing costs]] )</f>
        <v>149300</v>
      </c>
      <c r="AZ120" s="84" vm="1458">
        <v>-9900</v>
      </c>
      <c r="BA120" s="83" vm="8298">
        <v>-139400</v>
      </c>
      <c r="BB120" s="8">
        <f xml:space="preserve"> IFERROR( ( VfM_Metrics_2023_Consol[[#This Row],[Total Costs]] / VfM_Metrics_2023_Consol[[#This Row],[Total units for costs]] ) * 1000, "n/a" )</f>
        <v>8167.0168067226887</v>
      </c>
      <c r="BC12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435400</v>
      </c>
      <c r="BD120" s="84" vm="1881">
        <v>88900</v>
      </c>
      <c r="BE120" s="83" vm="1511">
        <v>60100</v>
      </c>
      <c r="BF120" s="83" vm="8249">
        <v>111200</v>
      </c>
      <c r="BG120" s="83" vm="1459">
        <v>13000</v>
      </c>
      <c r="BH120" s="83" vm="1460">
        <v>44700</v>
      </c>
      <c r="BI120" s="83" vm="8568">
        <v>39500</v>
      </c>
      <c r="BJ120" s="83" vm="1457">
        <v>39700</v>
      </c>
      <c r="BK120" s="83" vm="2033">
        <v>0</v>
      </c>
      <c r="BL120" s="83" vm="8315">
        <v>21200</v>
      </c>
      <c r="BM120" s="83" vm="1778">
        <v>1300</v>
      </c>
      <c r="BN120" s="83" vm="1461">
        <v>4700</v>
      </c>
      <c r="BO120" s="83" vm="8287">
        <v>11100</v>
      </c>
      <c r="BP120" s="5" vm="8058">
        <f xml:space="preserve"> VfM_Metrics_2023_Consol[[#This Row],[Total social housing units owned and/or managed at period end]]</f>
        <v>53312</v>
      </c>
      <c r="BQ120" s="84" vm="8058">
        <v>53312</v>
      </c>
      <c r="BR120" s="7">
        <f xml:space="preserve"> IFERROR( VfM_Metrics_2023_Consol[[#This Row],[SHL operating surplus / (deficit)]] / VfM_Metrics_2023_Consol[[#This Row],[Turnover from social housing lettings]], "n/a" )</f>
        <v>0.18844513377278016</v>
      </c>
      <c r="BS120" s="5" vm="1307">
        <f xml:space="preserve"> VfM_Metrics_2023_Consol[[#This Row],[Operating surplus/(deficit) (social housing lettings)]]</f>
        <v>97200</v>
      </c>
      <c r="BT120" s="84" vm="1307">
        <v>97200</v>
      </c>
      <c r="BU120" s="5" vm="8284">
        <f xml:space="preserve"> VfM_Metrics_2023_Consol[[#This Row],[Turnover from social housing lettings]]</f>
        <v>515800</v>
      </c>
      <c r="BV120" s="84" vm="8284">
        <v>515800</v>
      </c>
      <c r="BW120" s="7">
        <f xml:space="preserve"> IFERROR( VfM_Metrics_2023_Consol[[#This Row],[Net operating surplus]] / VfM_Metrics_2023_Consol[[#This Row],[Overall turnover]], "n/a" )</f>
        <v>0.16838346380991623</v>
      </c>
      <c r="BX120" s="5">
        <f xml:space="preserve"> SUM( VfM_Metrics_2023_Consol[[#This Row],[Operating surplus/(deficit) (overall)2]], - VfM_Metrics_2023_Consol[[#This Row],[Gain/(loss) on disposal of fixed assets (housing properties)2]], - VfM_Metrics_2023_Consol[[#This Row],[Gain/(loss) on disposal of fixed assets (other)2]] )</f>
        <v>122600</v>
      </c>
      <c r="BY120" s="84" vm="1453">
        <v>173400</v>
      </c>
      <c r="BZ120" s="83" vm="1454">
        <v>50800</v>
      </c>
      <c r="CA120" s="83">
        <v>0</v>
      </c>
      <c r="CB120" s="5" vm="1462">
        <f xml:space="preserve"> VfM_Metrics_2023_Consol[[#This Row],[Turnover (overall)]]</f>
        <v>728100</v>
      </c>
      <c r="CC120" s="84" vm="1462">
        <v>728100</v>
      </c>
      <c r="CD120" s="7">
        <f xml:space="preserve"> IFERROR( VfM_Metrics_2023_Consol[[#This Row],[Operating surplus including from JVs]] / VfM_Metrics_2023_Consol[[#This Row],[Net assets]], "n/a" )</f>
        <v>2.1902476089394909E-2</v>
      </c>
      <c r="CE120" s="5">
        <f xml:space="preserve"> SUM( VfM_Metrics_2023_Consol[[#This Row],[Operating surplus/(deficit) (overall)3]], VfM_Metrics_2023_Consol[[#This Row],[Share of operating surplus/(deficit) in joint ventures or associates]] )</f>
        <v>181600</v>
      </c>
      <c r="CF120" s="84" vm="1453">
        <v>173400</v>
      </c>
      <c r="CG120" s="83" vm="8314">
        <v>8200</v>
      </c>
      <c r="CH120" s="5" vm="1463">
        <f xml:space="preserve"> VfM_Metrics_2023_Consol[[#This Row],[Total assets less current liabilities]]</f>
        <v>8291300</v>
      </c>
      <c r="CI120" s="84" vm="1463">
        <v>8291300</v>
      </c>
      <c r="CJ120" s="71" vm="1448">
        <f xml:space="preserve"> VfM_Metrics_2023_Consol[[#This Row],[Total social housing units owned (Period end)]]</f>
        <v>50459</v>
      </c>
      <c r="CK120" s="103">
        <v>4.8052228125551398E-2</v>
      </c>
      <c r="CL120" s="6">
        <f xml:space="preserve"> -- ( VfM_Metrics_2023_Consol[[#This Row],[% Supported housing (excl. HOP)]] &gt; 0.3 )</f>
        <v>0</v>
      </c>
      <c r="CM120" s="103">
        <v>3.3524810320152136E-2</v>
      </c>
      <c r="CN120" s="6">
        <f xml:space="preserve"> -- ( VfM_Metrics_2023_Consol[[#This Row],[% Housing for older people]] &gt; 0.3 )</f>
        <v>0</v>
      </c>
      <c r="CO120" s="103">
        <f xml:space="preserve"> VfM_Metrics_2023_Consol[[#This Row],[% Supported housing (excl. HOP)]] + VfM_Metrics_2023_Consol[[#This Row],[% Housing for older people]]</f>
        <v>8.1577038445703534E-2</v>
      </c>
      <c r="CP120" s="6">
        <f xml:space="preserve"> -- ( VfM_Metrics_2023_Consol[[#This Row],[SH specialist in RSH analysis]] + VfM_Metrics_2023_Consol[[#This Row],[OP specialist in RSH analysis]] &gt; 0 )</f>
        <v>0</v>
      </c>
      <c r="CQ120" s="10">
        <f xml:space="preserve"> -- ( VfM_Metrics_2023_Consol[[#This Row],[% SH and OP]] &gt; 0.3 )</f>
        <v>0</v>
      </c>
      <c r="CR120" s="104" t="s">
        <v>143</v>
      </c>
      <c r="CS120" s="124" t="s">
        <v>144</v>
      </c>
      <c r="CT120" s="105"/>
      <c r="CU12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20" s="85">
        <v>0.89620458456122309</v>
      </c>
      <c r="CW120" s="85">
        <v>4.5687387512114083E-3</v>
      </c>
      <c r="CX120" s="85">
        <v>1.5822471865667214E-4</v>
      </c>
      <c r="CY120" s="85">
        <v>0</v>
      </c>
      <c r="CZ120" s="85">
        <v>0</v>
      </c>
      <c r="DA120" s="85">
        <v>9.9028895789244675E-2</v>
      </c>
      <c r="DB120" s="85">
        <v>0</v>
      </c>
      <c r="DC120" s="85">
        <v>1.9778089832084018E-5</v>
      </c>
      <c r="DD120" s="85">
        <v>1.9778089832084018E-5</v>
      </c>
      <c r="DE120" s="13">
        <v>1.1449985619800322</v>
      </c>
    </row>
    <row r="121" spans="1:109" x14ac:dyDescent="0.25">
      <c r="A121" s="4" t="s" vm="270">
        <v>366</v>
      </c>
      <c r="B121" s="2" t="s" vm="111">
        <v>367</v>
      </c>
      <c r="C121" s="72" vm="582">
        <v>45016</v>
      </c>
      <c r="D121" s="7">
        <f>IFERROR( VfM_Metrics_2023_Consol[[#This Row],[Reinvestment Spend]] / VfM_Metrics_2023_Consol[[#This Row],[Net Book Value of Housing Properties]], "n/a" )</f>
        <v>8.2367804488067908E-2</v>
      </c>
      <c r="E12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56460</v>
      </c>
      <c r="F121" s="83" vm="2336">
        <v>47258</v>
      </c>
      <c r="G121" s="83" vm="2337">
        <v>0</v>
      </c>
      <c r="H121" s="83" vm="2338">
        <v>7572</v>
      </c>
      <c r="I121" s="83" vm="7750">
        <v>1630</v>
      </c>
      <c r="J121" s="83" vm="8006">
        <v>0</v>
      </c>
      <c r="K121" s="5">
        <f xml:space="preserve"> SUM( VfM_Metrics_2023_Consol[[#This Row],[Tangible fixed assets: Housing properties at cost (Current period)]],VfM_Metrics_2023_Consol[[#This Row],[Tangible fixed assets Housing properties at valuation (Current period)]] )</f>
        <v>685462</v>
      </c>
      <c r="L121" s="84" vm="2339">
        <v>685462</v>
      </c>
      <c r="M121" s="83" vm="8010">
        <v>0</v>
      </c>
      <c r="N121" s="7">
        <f xml:space="preserve"> IFERROR( VfM_Metrics_2023_Consol[[#This Row],[Total social units developed or newly built units acquired in-year]] / VfM_Metrics_2023_Consol[[#This Row],[Social housing units owned (period end)]], "n/a" )</f>
        <v>1.4768140198877622E-2</v>
      </c>
      <c r="O121" s="5">
        <f xml:space="preserve"> SUM( VfM_Metrics_2023_Consol[[#This Row],[Total social units developed or newly built units acquired in-year (owned)]], VfM_Metrics_2023_Consol[[#This Row],[Total social leasehold units developed or newly built units acquired in-year (owned)]] )</f>
        <v>150</v>
      </c>
      <c r="P121" s="84" vm="7961">
        <v>140</v>
      </c>
      <c r="Q121" s="83" vm="2340">
        <v>10</v>
      </c>
      <c r="R121" s="5">
        <f xml:space="preserve"> SUM( VfM_Metrics_2023_Consol[[#This Row],[Total social housing units owned (Period end)]], VfM_Metrics_2023_Consol[[#This Row],[Total social leasehold units owned (Period end)]] )</f>
        <v>10157</v>
      </c>
      <c r="S121" s="84" vm="2335">
        <v>10024</v>
      </c>
      <c r="T121" s="83" vm="2341">
        <v>133</v>
      </c>
      <c r="U121" s="86">
        <f xml:space="preserve"> IFERROR( VfM_Metrics_2023_Consol[[#This Row],[Total non-social housing units developed or newly built units acquired (owned)]] / VfM_Metrics_2023_Consol[[#This Row],[Total social and non-social housing units owned (Period end)]], "n/a" )</f>
        <v>0</v>
      </c>
      <c r="V12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21" s="83">
        <v>0</v>
      </c>
      <c r="X121" s="83">
        <v>0</v>
      </c>
      <c r="Y121" s="83" vm="2342">
        <v>0</v>
      </c>
      <c r="Z12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10157</v>
      </c>
      <c r="AA121" s="84" vm="1660">
        <v>10024</v>
      </c>
      <c r="AB121" s="83" vm="2341">
        <v>133</v>
      </c>
      <c r="AC121" s="83" vm="8002">
        <v>0</v>
      </c>
      <c r="AD121" s="83" vm="2343">
        <v>0</v>
      </c>
      <c r="AE121" s="7">
        <f xml:space="preserve"> IFERROR( VfM_Metrics_2023_Consol[[#This Row],[Total Net Debt]] / VfM_Metrics_2023_Consol[[#This Row],[Net Book Value of Housing Properties2]], "n/a" )</f>
        <v>0.4500424531192101</v>
      </c>
      <c r="AF12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308487</v>
      </c>
      <c r="AG121" s="84" vm="1672">
        <v>16367</v>
      </c>
      <c r="AH121" s="83" vm="2344">
        <v>321996</v>
      </c>
      <c r="AI121" s="83" vm="2345">
        <v>29876</v>
      </c>
      <c r="AJ121" s="83" vm="7571">
        <v>0</v>
      </c>
      <c r="AK121" s="83" vm="2346">
        <v>0</v>
      </c>
      <c r="AL121" s="5">
        <f xml:space="preserve"> SUM( VfM_Metrics_2023_Consol[[#This Row],[Tangible fixed assets: Housing properties at cost (Current period)2]], VfM_Metrics_2023_Consol[[#This Row],[Tangible fixed assets Housing properties at valuation (Current period)2]] )</f>
        <v>685462</v>
      </c>
      <c r="AM121" s="84" vm="2339">
        <v>685462</v>
      </c>
      <c r="AN121" s="83" vm="2097">
        <v>0</v>
      </c>
      <c r="AO121" s="87">
        <f xml:space="preserve"> IFERROR( VfM_Metrics_2023_Consol[[#This Row],[EBITDA MRI]] / VfM_Metrics_2023_Consol[[#This Row],[Total interest]], "n/a" )</f>
        <v>1.2244480187161866</v>
      </c>
      <c r="AP12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16748</v>
      </c>
      <c r="AQ121" s="84" vm="2347">
        <v>20003</v>
      </c>
      <c r="AR121" s="84" vm="2348">
        <v>4622</v>
      </c>
      <c r="AS121" s="84">
        <v>0</v>
      </c>
      <c r="AT121" s="84" vm="2349">
        <v>3276</v>
      </c>
      <c r="AU121" s="84" vm="2350">
        <v>0</v>
      </c>
      <c r="AV121" s="84" vm="2351">
        <v>555</v>
      </c>
      <c r="AW121" s="84" vm="2352">
        <v>7833</v>
      </c>
      <c r="AX121" s="84" vm="3311">
        <v>11921</v>
      </c>
      <c r="AY121" s="3">
        <f xml:space="preserve"> - SUM( VfM_Metrics_2023_Consol[[#This Row],[Interest capitalised]], VfM_Metrics_2023_Consol[[#This Row],[Interest payable and financing costs]] )</f>
        <v>13678</v>
      </c>
      <c r="AZ121" s="84" vm="7886">
        <v>-1630</v>
      </c>
      <c r="BA121" s="83" vm="2353">
        <v>-12048</v>
      </c>
      <c r="BB121" s="8">
        <f xml:space="preserve"> IFERROR( ( VfM_Metrics_2023_Consol[[#This Row],[Total Costs]] / VfM_Metrics_2023_Consol[[#This Row],[Total units for costs]] ) * 1000, "n/a" )</f>
        <v>6402.0351157222658</v>
      </c>
      <c r="BC12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64174</v>
      </c>
      <c r="BD121" s="84" vm="8001">
        <v>10565</v>
      </c>
      <c r="BE121" s="83" vm="2354">
        <v>5367</v>
      </c>
      <c r="BF121" s="83" vm="7816">
        <v>10548</v>
      </c>
      <c r="BG121" s="83" vm="2133">
        <v>2758</v>
      </c>
      <c r="BH121" s="83" vm="2355">
        <v>5515</v>
      </c>
      <c r="BI121" s="83" vm="2356">
        <v>39</v>
      </c>
      <c r="BJ121" s="83" vm="2352">
        <v>7833</v>
      </c>
      <c r="BK121" s="83" vm="7787">
        <v>10527</v>
      </c>
      <c r="BL121" s="83" vm="3345">
        <v>792</v>
      </c>
      <c r="BM121" s="83" vm="7099">
        <v>0</v>
      </c>
      <c r="BN121" s="83" vm="7798">
        <v>2197</v>
      </c>
      <c r="BO121" s="83" vm="2357">
        <v>8033</v>
      </c>
      <c r="BP121" s="5" vm="7882">
        <f xml:space="preserve"> VfM_Metrics_2023_Consol[[#This Row],[Total social housing units owned and/or managed at period end]]</f>
        <v>10024</v>
      </c>
      <c r="BQ121" s="84" vm="7882">
        <v>10024</v>
      </c>
      <c r="BR121" s="7">
        <f xml:space="preserve"> IFERROR( VfM_Metrics_2023_Consol[[#This Row],[SHL operating surplus / (deficit)]] / VfM_Metrics_2023_Consol[[#This Row],[Turnover from social housing lettings]], "n/a" )</f>
        <v>0.2313557465914691</v>
      </c>
      <c r="BS121" s="5" vm="7231">
        <f xml:space="preserve"> VfM_Metrics_2023_Consol[[#This Row],[Operating surplus/(deficit) (social housing lettings)]]</f>
        <v>16901</v>
      </c>
      <c r="BT121" s="84" vm="7231">
        <v>16901</v>
      </c>
      <c r="BU121" s="5" vm="2358">
        <f xml:space="preserve"> VfM_Metrics_2023_Consol[[#This Row],[Turnover from social housing lettings]]</f>
        <v>73052</v>
      </c>
      <c r="BV121" s="84" vm="2358">
        <v>73052</v>
      </c>
      <c r="BW121" s="7">
        <f xml:space="preserve"> IFERROR( VfM_Metrics_2023_Consol[[#This Row],[Net operating surplus]] / VfM_Metrics_2023_Consol[[#This Row],[Overall turnover]], "n/a" )</f>
        <v>0.17023984770169012</v>
      </c>
      <c r="BX121" s="5">
        <f xml:space="preserve"> SUM( VfM_Metrics_2023_Consol[[#This Row],[Operating surplus/(deficit) (overall)2]], - VfM_Metrics_2023_Consol[[#This Row],[Gain/(loss) on disposal of fixed assets (housing properties)2]], - VfM_Metrics_2023_Consol[[#This Row],[Gain/(loss) on disposal of fixed assets (other)2]] )</f>
        <v>15381</v>
      </c>
      <c r="BY121" s="84" vm="2347">
        <v>20003</v>
      </c>
      <c r="BZ121" s="83" vm="2348">
        <v>4622</v>
      </c>
      <c r="CA121" s="83">
        <v>0</v>
      </c>
      <c r="CB121" s="5" vm="7749">
        <f xml:space="preserve"> VfM_Metrics_2023_Consol[[#This Row],[Turnover (overall)]]</f>
        <v>90349</v>
      </c>
      <c r="CC121" s="84" vm="7749">
        <v>90349</v>
      </c>
      <c r="CD121" s="7">
        <f xml:space="preserve"> IFERROR( VfM_Metrics_2023_Consol[[#This Row],[Operating surplus including from JVs]] / VfM_Metrics_2023_Consol[[#This Row],[Net assets]], "n/a" )</f>
        <v>2.8191006326608602E-2</v>
      </c>
      <c r="CE121" s="5">
        <f xml:space="preserve"> SUM( VfM_Metrics_2023_Consol[[#This Row],[Operating surplus/(deficit) (overall)3]], VfM_Metrics_2023_Consol[[#This Row],[Share of operating surplus/(deficit) in joint ventures or associates]] )</f>
        <v>20582</v>
      </c>
      <c r="CF121" s="84" vm="7814">
        <v>20003</v>
      </c>
      <c r="CG121" s="83" vm="7797">
        <v>579</v>
      </c>
      <c r="CH121" s="5" vm="2359">
        <f xml:space="preserve"> VfM_Metrics_2023_Consol[[#This Row],[Total assets less current liabilities]]</f>
        <v>730091</v>
      </c>
      <c r="CI121" s="84" vm="2359">
        <v>730091</v>
      </c>
      <c r="CJ121" s="71" vm="2335">
        <f xml:space="preserve"> VfM_Metrics_2023_Consol[[#This Row],[Total social housing units owned (Period end)]]</f>
        <v>10024</v>
      </c>
      <c r="CK121" s="103">
        <v>5.8032128514056223E-2</v>
      </c>
      <c r="CL121" s="6">
        <f xml:space="preserve"> -- ( VfM_Metrics_2023_Consol[[#This Row],[% Supported housing (excl. HOP)]] &gt; 0.3 )</f>
        <v>0</v>
      </c>
      <c r="CM121" s="103">
        <v>3.3333333333333333E-2</v>
      </c>
      <c r="CN121" s="6">
        <f xml:space="preserve"> -- ( VfM_Metrics_2023_Consol[[#This Row],[% Housing for older people]] &gt; 0.3 )</f>
        <v>0</v>
      </c>
      <c r="CO121" s="103">
        <f xml:space="preserve"> VfM_Metrics_2023_Consol[[#This Row],[% Supported housing (excl. HOP)]] + VfM_Metrics_2023_Consol[[#This Row],[% Housing for older people]]</f>
        <v>9.1365461847389556E-2</v>
      </c>
      <c r="CP121" s="6">
        <f xml:space="preserve"> -- ( VfM_Metrics_2023_Consol[[#This Row],[SH specialist in RSH analysis]] + VfM_Metrics_2023_Consol[[#This Row],[OP specialist in RSH analysis]] &gt; 0 )</f>
        <v>0</v>
      </c>
      <c r="CQ121" s="10">
        <f xml:space="preserve"> -- ( VfM_Metrics_2023_Consol[[#This Row],[% SH and OP]] &gt; 0.3 )</f>
        <v>0</v>
      </c>
      <c r="CR121" s="104" t="s">
        <v>143</v>
      </c>
      <c r="CS121" s="124" t="s">
        <v>144</v>
      </c>
      <c r="CT121" s="105"/>
      <c r="CU12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Midlands</v>
      </c>
      <c r="CV121" s="85">
        <v>0</v>
      </c>
      <c r="CW121" s="85">
        <v>0</v>
      </c>
      <c r="CX121" s="85">
        <v>0</v>
      </c>
      <c r="CY121" s="85">
        <v>1</v>
      </c>
      <c r="CZ121" s="85">
        <v>0</v>
      </c>
      <c r="DA121" s="85">
        <v>0</v>
      </c>
      <c r="DB121" s="85">
        <v>0</v>
      </c>
      <c r="DC121" s="85">
        <v>0</v>
      </c>
      <c r="DD121" s="85">
        <v>0</v>
      </c>
      <c r="DE121" s="13">
        <v>0.94233429441067484</v>
      </c>
    </row>
    <row r="122" spans="1:109" x14ac:dyDescent="0.25">
      <c r="A122" s="4" t="s" vm="362">
        <v>368</v>
      </c>
      <c r="B122" s="2" t="s" vm="112">
        <v>369</v>
      </c>
      <c r="C122" s="72" vm="434">
        <v>45016</v>
      </c>
      <c r="D122" s="7">
        <f>IFERROR( VfM_Metrics_2023_Consol[[#This Row],[Reinvestment Spend]] / VfM_Metrics_2023_Consol[[#This Row],[Net Book Value of Housing Properties]], "n/a" )</f>
        <v>0.18089843937784886</v>
      </c>
      <c r="E12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41393</v>
      </c>
      <c r="F122" s="83" vm="5304">
        <v>34856</v>
      </c>
      <c r="G122" s="83" vm="5507">
        <v>0</v>
      </c>
      <c r="H122" s="83" vm="5508">
        <v>6051</v>
      </c>
      <c r="I122" s="83" vm="5509">
        <v>486</v>
      </c>
      <c r="J122" s="83" vm="7187">
        <v>0</v>
      </c>
      <c r="K122" s="5">
        <f xml:space="preserve"> SUM( VfM_Metrics_2023_Consol[[#This Row],[Tangible fixed assets: Housing properties at cost (Current period)]],VfM_Metrics_2023_Consol[[#This Row],[Tangible fixed assets Housing properties at valuation (Current period)]] )</f>
        <v>228819</v>
      </c>
      <c r="L122" s="84" vm="5510">
        <v>228819</v>
      </c>
      <c r="M122" s="83">
        <v>0</v>
      </c>
      <c r="N122" s="7">
        <f xml:space="preserve"> IFERROR( VfM_Metrics_2023_Consol[[#This Row],[Total social units developed or newly built units acquired in-year]] / VfM_Metrics_2023_Consol[[#This Row],[Social housing units owned (period end)]], "n/a" )</f>
        <v>3.875338753387534E-2</v>
      </c>
      <c r="O122" s="5">
        <f xml:space="preserve"> SUM( VfM_Metrics_2023_Consol[[#This Row],[Total social units developed or newly built units acquired in-year (owned)]], VfM_Metrics_2023_Consol[[#This Row],[Total social leasehold units developed or newly built units acquired in-year (owned)]] )</f>
        <v>286</v>
      </c>
      <c r="P122" s="84" vm="5511">
        <v>285</v>
      </c>
      <c r="Q122" s="83" vm="5494">
        <v>1</v>
      </c>
      <c r="R122" s="5">
        <f xml:space="preserve"> SUM( VfM_Metrics_2023_Consol[[#This Row],[Total social housing units owned (Period end)]], VfM_Metrics_2023_Consol[[#This Row],[Total social leasehold units owned (Period end)]] )</f>
        <v>7380</v>
      </c>
      <c r="S122" s="84" vm="5505">
        <v>6868</v>
      </c>
      <c r="T122" s="83" vm="5512">
        <v>512</v>
      </c>
      <c r="U122" s="86">
        <f xml:space="preserve"> IFERROR( VfM_Metrics_2023_Consol[[#This Row],[Total non-social housing units developed or newly built units acquired (owned)]] / VfM_Metrics_2023_Consol[[#This Row],[Total social and non-social housing units owned (Period end)]], "n/a" )</f>
        <v>4.0360554284945513E-4</v>
      </c>
      <c r="V12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v>
      </c>
      <c r="W122" s="83">
        <v>0</v>
      </c>
      <c r="X122" s="83" vm="5513">
        <v>3</v>
      </c>
      <c r="Y122" s="83">
        <v>0</v>
      </c>
      <c r="Z12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7433</v>
      </c>
      <c r="AA122" s="84" vm="5505">
        <v>6868</v>
      </c>
      <c r="AB122" s="83" vm="6945">
        <v>512</v>
      </c>
      <c r="AC122" s="83" vm="5514">
        <v>3</v>
      </c>
      <c r="AD122" s="83" vm="5515">
        <v>50</v>
      </c>
      <c r="AE122" s="7">
        <f xml:space="preserve"> IFERROR( VfM_Metrics_2023_Consol[[#This Row],[Total Net Debt]] / VfM_Metrics_2023_Consol[[#This Row],[Net Book Value of Housing Properties2]], "n/a" )</f>
        <v>0.49408484435296018</v>
      </c>
      <c r="AF12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113056</v>
      </c>
      <c r="AG122" s="84">
        <v>0</v>
      </c>
      <c r="AH122" s="83" vm="5516">
        <v>123822</v>
      </c>
      <c r="AI122" s="83" vm="5517">
        <v>10766</v>
      </c>
      <c r="AJ122" s="83" vm="1675">
        <v>0</v>
      </c>
      <c r="AK122" s="83">
        <v>0</v>
      </c>
      <c r="AL122" s="5">
        <f xml:space="preserve"> SUM( VfM_Metrics_2023_Consol[[#This Row],[Tangible fixed assets: Housing properties at cost (Current period)2]], VfM_Metrics_2023_Consol[[#This Row],[Tangible fixed assets Housing properties at valuation (Current period)2]] )</f>
        <v>228819</v>
      </c>
      <c r="AM122" s="84" vm="5510">
        <v>228819</v>
      </c>
      <c r="AN122" s="83">
        <v>0</v>
      </c>
      <c r="AO122" s="87">
        <f xml:space="preserve"> IFERROR( VfM_Metrics_2023_Consol[[#This Row],[EBITDA MRI]] / VfM_Metrics_2023_Consol[[#This Row],[Total interest]], "n/a" )</f>
        <v>2.0848886213124622</v>
      </c>
      <c r="AP12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10389</v>
      </c>
      <c r="AQ122" s="84" vm="5519">
        <v>10073</v>
      </c>
      <c r="AR122" s="84" vm="5520">
        <v>941</v>
      </c>
      <c r="AS122" s="84">
        <v>0</v>
      </c>
      <c r="AT122" s="84" vm="5521">
        <v>206</v>
      </c>
      <c r="AU122" s="84" vm="5522">
        <v>0</v>
      </c>
      <c r="AV122" s="84" vm="5744">
        <v>255</v>
      </c>
      <c r="AW122" s="84" vm="7223">
        <v>6051</v>
      </c>
      <c r="AX122" s="84" vm="5524">
        <v>7259</v>
      </c>
      <c r="AY122" s="3">
        <f xml:space="preserve"> - SUM( VfM_Metrics_2023_Consol[[#This Row],[Interest capitalised]], VfM_Metrics_2023_Consol[[#This Row],[Interest payable and financing costs]] )</f>
        <v>4983</v>
      </c>
      <c r="AZ122" s="84" vm="7276">
        <v>-486</v>
      </c>
      <c r="BA122" s="83" vm="5525">
        <v>-4497</v>
      </c>
      <c r="BB122" s="8">
        <f xml:space="preserve"> IFERROR( ( VfM_Metrics_2023_Consol[[#This Row],[Total Costs]] / VfM_Metrics_2023_Consol[[#This Row],[Total units for costs]] ) * 1000, "n/a" )</f>
        <v>4932.7386009629008</v>
      </c>
      <c r="BC12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34835</v>
      </c>
      <c r="BD122" s="84" vm="5526">
        <v>8796</v>
      </c>
      <c r="BE122" s="83" vm="5527">
        <v>3911</v>
      </c>
      <c r="BF122" s="83" vm="5528">
        <v>8621</v>
      </c>
      <c r="BG122" s="83" vm="5529">
        <v>2406</v>
      </c>
      <c r="BH122" s="83" vm="6916">
        <v>2512</v>
      </c>
      <c r="BI122" s="83" vm="7011">
        <v>0</v>
      </c>
      <c r="BJ122" s="83" vm="5523">
        <v>6051</v>
      </c>
      <c r="BK122" s="83" vm="5530">
        <v>0</v>
      </c>
      <c r="BL122" s="83" vm="5531">
        <v>507</v>
      </c>
      <c r="BM122" s="83" vm="5532">
        <v>492</v>
      </c>
      <c r="BN122" s="83" vm="6942">
        <v>69</v>
      </c>
      <c r="BO122" s="83" vm="5533">
        <v>1470</v>
      </c>
      <c r="BP122" s="5" vm="5506">
        <f xml:space="preserve"> VfM_Metrics_2023_Consol[[#This Row],[Total social housing units owned and/or managed at period end]]</f>
        <v>7062</v>
      </c>
      <c r="BQ122" s="84" vm="5506">
        <v>7062</v>
      </c>
      <c r="BR122" s="7">
        <f xml:space="preserve"> IFERROR( VfM_Metrics_2023_Consol[[#This Row],[SHL operating surplus / (deficit)]] / VfM_Metrics_2023_Consol[[#This Row],[Turnover from social housing lettings]], "n/a" )</f>
        <v>0.15846174460672652</v>
      </c>
      <c r="BS122" s="5" vm="5534">
        <f xml:space="preserve"> VfM_Metrics_2023_Consol[[#This Row],[Operating surplus/(deficit) (social housing lettings)]]</f>
        <v>5913</v>
      </c>
      <c r="BT122" s="84" vm="5534">
        <v>5913</v>
      </c>
      <c r="BU122" s="5" vm="5535">
        <f xml:space="preserve"> VfM_Metrics_2023_Consol[[#This Row],[Turnover from social housing lettings]]</f>
        <v>37315</v>
      </c>
      <c r="BV122" s="84" vm="5535">
        <v>37315</v>
      </c>
      <c r="BW122" s="7">
        <f xml:space="preserve"> IFERROR( VfM_Metrics_2023_Consol[[#This Row],[Net operating surplus]] / VfM_Metrics_2023_Consol[[#This Row],[Overall turnover]], "n/a" )</f>
        <v>0.17630024325263524</v>
      </c>
      <c r="BX122" s="5">
        <f xml:space="preserve"> SUM( VfM_Metrics_2023_Consol[[#This Row],[Operating surplus/(deficit) (overall)2]], - VfM_Metrics_2023_Consol[[#This Row],[Gain/(loss) on disposal of fixed assets (housing properties)2]], - VfM_Metrics_2023_Consol[[#This Row],[Gain/(loss) on disposal of fixed assets (other)2]] )</f>
        <v>9132</v>
      </c>
      <c r="BY122" s="84" vm="5519">
        <v>10073</v>
      </c>
      <c r="BZ122" s="83" vm="5520">
        <v>941</v>
      </c>
      <c r="CA122" s="83">
        <v>0</v>
      </c>
      <c r="CB122" s="5" vm="5536">
        <f xml:space="preserve"> VfM_Metrics_2023_Consol[[#This Row],[Turnover (overall)]]</f>
        <v>51798</v>
      </c>
      <c r="CC122" s="84" vm="5536">
        <v>51798</v>
      </c>
      <c r="CD122" s="7">
        <f xml:space="preserve"> IFERROR( VfM_Metrics_2023_Consol[[#This Row],[Operating surplus including from JVs]] / VfM_Metrics_2023_Consol[[#This Row],[Net assets]], "n/a" )</f>
        <v>3.8842102015948669E-2</v>
      </c>
      <c r="CE122" s="5">
        <f xml:space="preserve"> SUM( VfM_Metrics_2023_Consol[[#This Row],[Operating surplus/(deficit) (overall)3]], VfM_Metrics_2023_Consol[[#This Row],[Share of operating surplus/(deficit) in joint ventures or associates]] )</f>
        <v>10073</v>
      </c>
      <c r="CF122" s="84" vm="5695">
        <v>10073</v>
      </c>
      <c r="CG122" s="83">
        <v>0</v>
      </c>
      <c r="CH122" s="5" vm="5537">
        <f xml:space="preserve"> VfM_Metrics_2023_Consol[[#This Row],[Total assets less current liabilities]]</f>
        <v>259332</v>
      </c>
      <c r="CI122" s="84" vm="5537">
        <v>259332</v>
      </c>
      <c r="CJ122" s="71" vm="5505">
        <f xml:space="preserve"> VfM_Metrics_2023_Consol[[#This Row],[Total social housing units owned (Period end)]]</f>
        <v>6868</v>
      </c>
      <c r="CK122" s="103">
        <v>6.9229636176167328E-3</v>
      </c>
      <c r="CL122" s="6">
        <f xml:space="preserve"> -- ( VfM_Metrics_2023_Consol[[#This Row],[% Supported housing (excl. HOP)]] &gt; 0.3 )</f>
        <v>0</v>
      </c>
      <c r="CM122" s="103">
        <v>0</v>
      </c>
      <c r="CN122" s="6">
        <f xml:space="preserve"> -- ( VfM_Metrics_2023_Consol[[#This Row],[% Housing for older people]] &gt; 0.3 )</f>
        <v>0</v>
      </c>
      <c r="CO122" s="103">
        <f xml:space="preserve"> VfM_Metrics_2023_Consol[[#This Row],[% Supported housing (excl. HOP)]] + VfM_Metrics_2023_Consol[[#This Row],[% Housing for older people]]</f>
        <v>6.9229636176167328E-3</v>
      </c>
      <c r="CP122" s="6">
        <f xml:space="preserve"> -- ( VfM_Metrics_2023_Consol[[#This Row],[SH specialist in RSH analysis]] + VfM_Metrics_2023_Consol[[#This Row],[OP specialist in RSH analysis]] &gt; 0 )</f>
        <v>0</v>
      </c>
      <c r="CQ122" s="10">
        <f xml:space="preserve"> -- ( VfM_Metrics_2023_Consol[[#This Row],[% SH and OP]] &gt; 0.3 )</f>
        <v>0</v>
      </c>
      <c r="CR122" s="104" t="s">
        <v>143</v>
      </c>
      <c r="CS122" s="124"/>
      <c r="CT122" s="105" t="s">
        <v>151</v>
      </c>
      <c r="CU12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122" s="85">
        <v>0</v>
      </c>
      <c r="CW122" s="85">
        <v>0</v>
      </c>
      <c r="CX122" s="85">
        <v>1</v>
      </c>
      <c r="CY122" s="85">
        <v>0</v>
      </c>
      <c r="CZ122" s="85">
        <v>0</v>
      </c>
      <c r="DA122" s="85">
        <v>0</v>
      </c>
      <c r="DB122" s="85">
        <v>0</v>
      </c>
      <c r="DC122" s="85">
        <v>0</v>
      </c>
      <c r="DD122" s="85">
        <v>0</v>
      </c>
      <c r="DE122" s="13">
        <v>0.97511902715076015</v>
      </c>
    </row>
    <row r="123" spans="1:109" x14ac:dyDescent="0.25">
      <c r="A123" s="4" t="s" vm="334">
        <v>370</v>
      </c>
      <c r="B123" s="2" t="s" vm="113">
        <v>371</v>
      </c>
      <c r="C123" s="72" vm="514">
        <v>45016</v>
      </c>
      <c r="D123" s="7">
        <f>IFERROR( VfM_Metrics_2023_Consol[[#This Row],[Reinvestment Spend]] / VfM_Metrics_2023_Consol[[#This Row],[Net Book Value of Housing Properties]], "n/a" )</f>
        <v>8.3032725780870856E-2</v>
      </c>
      <c r="E12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16596</v>
      </c>
      <c r="F123" s="83" vm="4514">
        <v>0</v>
      </c>
      <c r="G123" s="83" vm="7420">
        <v>12785</v>
      </c>
      <c r="H123" s="83" vm="4515">
        <v>3545</v>
      </c>
      <c r="I123" s="83" vm="4516">
        <v>266</v>
      </c>
      <c r="J123" s="83" vm="4517">
        <v>0</v>
      </c>
      <c r="K123" s="5">
        <f xml:space="preserve"> SUM( VfM_Metrics_2023_Consol[[#This Row],[Tangible fixed assets: Housing properties at cost (Current period)]],VfM_Metrics_2023_Consol[[#This Row],[Tangible fixed assets Housing properties at valuation (Current period)]] )</f>
        <v>199873</v>
      </c>
      <c r="L123" s="84" vm="4518">
        <v>199873</v>
      </c>
      <c r="M123" s="83" vm="4519">
        <v>0</v>
      </c>
      <c r="N123" s="7">
        <f xml:space="preserve"> IFERROR( VfM_Metrics_2023_Consol[[#This Row],[Total social units developed or newly built units acquired in-year]] / VfM_Metrics_2023_Consol[[#This Row],[Social housing units owned (period end)]], "n/a" )</f>
        <v>1.7893544733861833E-2</v>
      </c>
      <c r="O123" s="5">
        <f xml:space="preserve"> SUM( VfM_Metrics_2023_Consol[[#This Row],[Total social units developed or newly built units acquired in-year (owned)]], VfM_Metrics_2023_Consol[[#This Row],[Total social leasehold units developed or newly built units acquired in-year (owned)]] )</f>
        <v>79</v>
      </c>
      <c r="P123" s="84" vm="4520">
        <v>75</v>
      </c>
      <c r="Q123" s="83" vm="4521">
        <v>4</v>
      </c>
      <c r="R123" s="5">
        <f xml:space="preserve"> SUM( VfM_Metrics_2023_Consol[[#This Row],[Total social housing units owned (Period end)]], VfM_Metrics_2023_Consol[[#This Row],[Total social leasehold units owned (Period end)]] )</f>
        <v>4415</v>
      </c>
      <c r="S123" s="84" vm="4513">
        <v>4271</v>
      </c>
      <c r="T123" s="83" vm="4522">
        <v>144</v>
      </c>
      <c r="U123" s="86">
        <f xml:space="preserve"> IFERROR( VfM_Metrics_2023_Consol[[#This Row],[Total non-social housing units developed or newly built units acquired (owned)]] / VfM_Metrics_2023_Consol[[#This Row],[Total social and non-social housing units owned (Period end)]], "n/a" )</f>
        <v>8.154020385050963E-3</v>
      </c>
      <c r="V12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36</v>
      </c>
      <c r="W123" s="83" vm="4523">
        <v>0</v>
      </c>
      <c r="X123" s="83" vm="4524">
        <v>0</v>
      </c>
      <c r="Y123" s="83" vm="7048">
        <v>36</v>
      </c>
      <c r="Z12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4415</v>
      </c>
      <c r="AA123" s="84" vm="7347">
        <v>4271</v>
      </c>
      <c r="AB123" s="83" vm="4522">
        <v>144</v>
      </c>
      <c r="AC123" s="83" vm="4525">
        <v>0</v>
      </c>
      <c r="AD123" s="83" vm="4526">
        <v>0</v>
      </c>
      <c r="AE123" s="7">
        <f xml:space="preserve"> IFERROR( VfM_Metrics_2023_Consol[[#This Row],[Total Net Debt]] / VfM_Metrics_2023_Consol[[#This Row],[Net Book Value of Housing Properties2]], "n/a" )</f>
        <v>0.56582930160652012</v>
      </c>
      <c r="AF12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113094</v>
      </c>
      <c r="AG123" s="84" vm="4527">
        <v>0</v>
      </c>
      <c r="AH123" s="83" vm="4528">
        <v>119334</v>
      </c>
      <c r="AI123" s="83" vm="4529">
        <v>6240</v>
      </c>
      <c r="AJ123" s="83" vm="7355">
        <v>0</v>
      </c>
      <c r="AK123" s="83" vm="4530">
        <v>0</v>
      </c>
      <c r="AL123" s="5">
        <f xml:space="preserve"> SUM( VfM_Metrics_2023_Consol[[#This Row],[Tangible fixed assets: Housing properties at cost (Current period)2]], VfM_Metrics_2023_Consol[[#This Row],[Tangible fixed assets Housing properties at valuation (Current period)2]] )</f>
        <v>199873</v>
      </c>
      <c r="AM123" s="84" vm="4518">
        <v>199873</v>
      </c>
      <c r="AN123" s="83" vm="4519">
        <v>0</v>
      </c>
      <c r="AO123" s="87">
        <f xml:space="preserve"> IFERROR( VfM_Metrics_2023_Consol[[#This Row],[EBITDA MRI]] / VfM_Metrics_2023_Consol[[#This Row],[Total interest]], "n/a" )</f>
        <v>0.61797185587177383</v>
      </c>
      <c r="AP12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9793</v>
      </c>
      <c r="AQ123" s="84" vm="4531">
        <v>25597</v>
      </c>
      <c r="AR123" s="84" vm="7536">
        <v>16252</v>
      </c>
      <c r="AS123" s="84" vm="4532">
        <v>0</v>
      </c>
      <c r="AT123" s="84" vm="4533">
        <v>650</v>
      </c>
      <c r="AU123" s="84" vm="4534">
        <v>0</v>
      </c>
      <c r="AV123" s="84" vm="4535">
        <v>21</v>
      </c>
      <c r="AW123" s="84" vm="4536">
        <v>3545</v>
      </c>
      <c r="AX123" s="84" vm="4537">
        <v>4622</v>
      </c>
      <c r="AY123" s="3">
        <f xml:space="preserve"> - SUM( VfM_Metrics_2023_Consol[[#This Row],[Interest capitalised]], VfM_Metrics_2023_Consol[[#This Row],[Interest payable and financing costs]] )</f>
        <v>15847</v>
      </c>
      <c r="AZ123" s="84" vm="7382">
        <v>-267</v>
      </c>
      <c r="BA123" s="83" vm="7425">
        <v>-15580</v>
      </c>
      <c r="BB123" s="8">
        <f xml:space="preserve"> IFERROR( ( VfM_Metrics_2023_Consol[[#This Row],[Total Costs]] / VfM_Metrics_2023_Consol[[#This Row],[Total units for costs]] ) * 1000, "n/a" )</f>
        <v>3014.1409877585479</v>
      </c>
      <c r="BC12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14281</v>
      </c>
      <c r="BD123" s="84" vm="4204">
        <v>3699</v>
      </c>
      <c r="BE123" s="83" vm="4975">
        <v>956</v>
      </c>
      <c r="BF123" s="83" vm="4539">
        <v>3221</v>
      </c>
      <c r="BG123" s="83" vm="4540">
        <v>2374</v>
      </c>
      <c r="BH123" s="83" vm="2268">
        <v>486</v>
      </c>
      <c r="BI123" s="83" vm="4541">
        <v>0</v>
      </c>
      <c r="BJ123" s="83" vm="4536">
        <v>3545</v>
      </c>
      <c r="BK123" s="83" vm="7535">
        <v>0</v>
      </c>
      <c r="BL123" s="83" vm="5563">
        <v>0</v>
      </c>
      <c r="BM123" s="83" vm="4542">
        <v>0</v>
      </c>
      <c r="BN123" s="83" vm="4543">
        <v>0</v>
      </c>
      <c r="BO123" s="83" vm="4544">
        <v>0</v>
      </c>
      <c r="BP123" s="5" vm="6971">
        <f xml:space="preserve"> VfM_Metrics_2023_Consol[[#This Row],[Total social housing units owned and/or managed at period end]]</f>
        <v>4738</v>
      </c>
      <c r="BQ123" s="84" vm="6971">
        <v>4738</v>
      </c>
      <c r="BR123" s="7">
        <f xml:space="preserve"> IFERROR( VfM_Metrics_2023_Consol[[#This Row],[SHL operating surplus / (deficit)]] / VfM_Metrics_2023_Consol[[#This Row],[Turnover from social housing lettings]], "n/a" )</f>
        <v>0.3516878449493005</v>
      </c>
      <c r="BS123" s="5" vm="4545">
        <f xml:space="preserve"> VfM_Metrics_2023_Consol[[#This Row],[Operating surplus/(deficit) (social housing lettings)]]</f>
        <v>8220</v>
      </c>
      <c r="BT123" s="84" vm="4545">
        <v>8220</v>
      </c>
      <c r="BU123" s="5" vm="4546">
        <f xml:space="preserve"> VfM_Metrics_2023_Consol[[#This Row],[Turnover from social housing lettings]]</f>
        <v>23373</v>
      </c>
      <c r="BV123" s="84" vm="4546">
        <v>23373</v>
      </c>
      <c r="BW123" s="7">
        <f xml:space="preserve"> IFERROR( VfM_Metrics_2023_Consol[[#This Row],[Net operating surplus]] / VfM_Metrics_2023_Consol[[#This Row],[Overall turnover]], "n/a" )</f>
        <v>0.25042205965109737</v>
      </c>
      <c r="BX123" s="5">
        <f xml:space="preserve"> SUM( VfM_Metrics_2023_Consol[[#This Row],[Operating surplus/(deficit) (overall)2]], - VfM_Metrics_2023_Consol[[#This Row],[Gain/(loss) on disposal of fixed assets (housing properties)2]], - VfM_Metrics_2023_Consol[[#This Row],[Gain/(loss) on disposal of fixed assets (other)2]] )</f>
        <v>9345</v>
      </c>
      <c r="BY123" s="84" vm="4531">
        <v>25597</v>
      </c>
      <c r="BZ123" s="83" vm="7424">
        <v>16252</v>
      </c>
      <c r="CA123" s="83" vm="4532">
        <v>0</v>
      </c>
      <c r="CB123" s="5" vm="4547">
        <f xml:space="preserve"> VfM_Metrics_2023_Consol[[#This Row],[Turnover (overall)]]</f>
        <v>37317</v>
      </c>
      <c r="CC123" s="84" vm="4547">
        <v>37317</v>
      </c>
      <c r="CD123" s="7">
        <f xml:space="preserve"> IFERROR( VfM_Metrics_2023_Consol[[#This Row],[Operating surplus including from JVs]] / VfM_Metrics_2023_Consol[[#This Row],[Net assets]], "n/a" )</f>
        <v>0.1179117538688283</v>
      </c>
      <c r="CE123" s="5">
        <f xml:space="preserve"> SUM( VfM_Metrics_2023_Consol[[#This Row],[Operating surplus/(deficit) (overall)3]], VfM_Metrics_2023_Consol[[#This Row],[Share of operating surplus/(deficit) in joint ventures or associates]] )</f>
        <v>25601</v>
      </c>
      <c r="CF123" s="84" vm="4531">
        <v>25597</v>
      </c>
      <c r="CG123" s="83" vm="4549">
        <v>4</v>
      </c>
      <c r="CH123" s="5" vm="4548">
        <f xml:space="preserve"> VfM_Metrics_2023_Consol[[#This Row],[Total assets less current liabilities]]</f>
        <v>217120</v>
      </c>
      <c r="CI123" s="84" vm="4548">
        <v>217120</v>
      </c>
      <c r="CJ123" s="71" vm="4513">
        <f xml:space="preserve"> VfM_Metrics_2023_Consol[[#This Row],[Total social housing units owned (Period end)]]</f>
        <v>4271</v>
      </c>
      <c r="CK123" s="103">
        <v>2.9635901778154107E-3</v>
      </c>
      <c r="CL123" s="6">
        <f xml:space="preserve"> -- ( VfM_Metrics_2023_Consol[[#This Row],[% Supported housing (excl. HOP)]] &gt; 0.3 )</f>
        <v>0</v>
      </c>
      <c r="CM123" s="103">
        <v>0.13230313293818799</v>
      </c>
      <c r="CN123" s="6">
        <f xml:space="preserve"> -- ( VfM_Metrics_2023_Consol[[#This Row],[% Housing for older people]] &gt; 0.3 )</f>
        <v>0</v>
      </c>
      <c r="CO123" s="103">
        <f xml:space="preserve"> VfM_Metrics_2023_Consol[[#This Row],[% Supported housing (excl. HOP)]] + VfM_Metrics_2023_Consol[[#This Row],[% Housing for older people]]</f>
        <v>0.13526672311600341</v>
      </c>
      <c r="CP123" s="6">
        <f xml:space="preserve"> -- ( VfM_Metrics_2023_Consol[[#This Row],[SH specialist in RSH analysis]] + VfM_Metrics_2023_Consol[[#This Row],[OP specialist in RSH analysis]] &gt; 0 )</f>
        <v>0</v>
      </c>
      <c r="CQ123" s="10">
        <f xml:space="preserve"> -- ( VfM_Metrics_2023_Consol[[#This Row],[% SH and OP]] &gt; 0.3 )</f>
        <v>0</v>
      </c>
      <c r="CR123" s="104" t="s">
        <v>143</v>
      </c>
      <c r="CS123" s="124"/>
      <c r="CT123" s="105" t="s">
        <v>151</v>
      </c>
      <c r="CU12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123" s="85">
        <v>0</v>
      </c>
      <c r="CW123" s="85">
        <v>0</v>
      </c>
      <c r="CX123" s="85">
        <v>1</v>
      </c>
      <c r="CY123" s="85">
        <v>0</v>
      </c>
      <c r="CZ123" s="85">
        <v>0</v>
      </c>
      <c r="DA123" s="85">
        <v>0</v>
      </c>
      <c r="DB123" s="85">
        <v>0</v>
      </c>
      <c r="DC123" s="85">
        <v>0</v>
      </c>
      <c r="DD123" s="85">
        <v>0</v>
      </c>
      <c r="DE123" s="13">
        <v>0.97511902715076015</v>
      </c>
    </row>
    <row r="124" spans="1:109" x14ac:dyDescent="0.25">
      <c r="A124" s="4" t="s" vm="347">
        <v>372</v>
      </c>
      <c r="B124" s="2" t="s" vm="114">
        <v>373</v>
      </c>
      <c r="C124" s="72" vm="485">
        <v>45016</v>
      </c>
      <c r="D124" s="7">
        <f>IFERROR( VfM_Metrics_2023_Consol[[#This Row],[Reinvestment Spend]] / VfM_Metrics_2023_Consol[[#This Row],[Net Book Value of Housing Properties]], "n/a" )</f>
        <v>3.7235413742731933E-2</v>
      </c>
      <c r="E12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22100</v>
      </c>
      <c r="F124" s="83" vm="4988">
        <v>14713</v>
      </c>
      <c r="G124" s="83" vm="7376">
        <v>0</v>
      </c>
      <c r="H124" s="83" vm="6935">
        <v>7387</v>
      </c>
      <c r="I124" s="83" vm="7337">
        <v>0</v>
      </c>
      <c r="J124" s="83" vm="6958">
        <v>0</v>
      </c>
      <c r="K124" s="5">
        <f xml:space="preserve"> SUM( VfM_Metrics_2023_Consol[[#This Row],[Tangible fixed assets: Housing properties at cost (Current period)]],VfM_Metrics_2023_Consol[[#This Row],[Tangible fixed assets Housing properties at valuation (Current period)]] )</f>
        <v>593521</v>
      </c>
      <c r="L124" s="84" vm="4989">
        <v>593521</v>
      </c>
      <c r="M124" s="83">
        <v>0</v>
      </c>
      <c r="N124" s="7">
        <f xml:space="preserve"> IFERROR( VfM_Metrics_2023_Consol[[#This Row],[Total social units developed or newly built units acquired in-year]] / VfM_Metrics_2023_Consol[[#This Row],[Social housing units owned (period end)]], "n/a" )</f>
        <v>1.4538676607642124E-2</v>
      </c>
      <c r="O124" s="5">
        <f xml:space="preserve"> SUM( VfM_Metrics_2023_Consol[[#This Row],[Total social units developed or newly built units acquired in-year (owned)]], VfM_Metrics_2023_Consol[[#This Row],[Total social leasehold units developed or newly built units acquired in-year (owned)]] )</f>
        <v>78</v>
      </c>
      <c r="P124" s="84" vm="4990">
        <v>75</v>
      </c>
      <c r="Q124" s="83" vm="4991">
        <v>3</v>
      </c>
      <c r="R124" s="5">
        <f xml:space="preserve"> SUM( VfM_Metrics_2023_Consol[[#This Row],[Total social housing units owned (Period end)]], VfM_Metrics_2023_Consol[[#This Row],[Total social leasehold units owned (Period end)]] )</f>
        <v>5365</v>
      </c>
      <c r="S124" s="84" vm="4986">
        <v>5050</v>
      </c>
      <c r="T124" s="83" vm="4992">
        <v>315</v>
      </c>
      <c r="U124" s="86">
        <f xml:space="preserve"> IFERROR( VfM_Metrics_2023_Consol[[#This Row],[Total non-social housing units developed or newly built units acquired (owned)]] / VfM_Metrics_2023_Consol[[#This Row],[Total social and non-social housing units owned (Period end)]], "n/a" )</f>
        <v>0</v>
      </c>
      <c r="V12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24" s="83">
        <v>0</v>
      </c>
      <c r="X124" s="83">
        <v>0</v>
      </c>
      <c r="Y124" s="83">
        <v>0</v>
      </c>
      <c r="Z12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5365</v>
      </c>
      <c r="AA124" s="84" vm="4986">
        <v>5050</v>
      </c>
      <c r="AB124" s="83" vm="4992">
        <v>315</v>
      </c>
      <c r="AC124" s="83" vm="4993">
        <v>0</v>
      </c>
      <c r="AD124" s="83" vm="4994">
        <v>0</v>
      </c>
      <c r="AE124" s="7">
        <f xml:space="preserve"> IFERROR( VfM_Metrics_2023_Consol[[#This Row],[Total Net Debt]] / VfM_Metrics_2023_Consol[[#This Row],[Net Book Value of Housing Properties2]], "n/a" )</f>
        <v>0.45153920417306209</v>
      </c>
      <c r="AF12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267998</v>
      </c>
      <c r="AG124" s="84" vm="7322">
        <v>20993</v>
      </c>
      <c r="AH124" s="83" vm="4995">
        <v>261085</v>
      </c>
      <c r="AI124" s="83" vm="4948">
        <v>14080</v>
      </c>
      <c r="AJ124" s="83" vm="1675">
        <v>0</v>
      </c>
      <c r="AK124" s="83">
        <v>0</v>
      </c>
      <c r="AL124" s="5">
        <f xml:space="preserve"> SUM( VfM_Metrics_2023_Consol[[#This Row],[Tangible fixed assets: Housing properties at cost (Current period)2]], VfM_Metrics_2023_Consol[[#This Row],[Tangible fixed assets Housing properties at valuation (Current period)2]] )</f>
        <v>593521</v>
      </c>
      <c r="AM124" s="84" vm="4989">
        <v>593521</v>
      </c>
      <c r="AN124" s="83">
        <v>0</v>
      </c>
      <c r="AO124" s="87">
        <f xml:space="preserve"> IFERROR( VfM_Metrics_2023_Consol[[#This Row],[EBITDA MRI]] / VfM_Metrics_2023_Consol[[#This Row],[Total interest]], "n/a" )</f>
        <v>0.19265481190242159</v>
      </c>
      <c r="AP12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2156</v>
      </c>
      <c r="AQ124" s="84" vm="4996">
        <v>10848</v>
      </c>
      <c r="AR124" s="84" vm="4997">
        <v>8332</v>
      </c>
      <c r="AS124" s="84">
        <v>0</v>
      </c>
      <c r="AT124" s="84" vm="4998">
        <v>1980</v>
      </c>
      <c r="AU124" s="84" vm="4999">
        <v>97</v>
      </c>
      <c r="AV124" s="84" vm="5000">
        <v>170</v>
      </c>
      <c r="AW124" s="84" vm="5001">
        <v>7387</v>
      </c>
      <c r="AX124" s="84" vm="5002">
        <v>8934</v>
      </c>
      <c r="AY124" s="3">
        <f xml:space="preserve"> - SUM( VfM_Metrics_2023_Consol[[#This Row],[Interest capitalised]], VfM_Metrics_2023_Consol[[#This Row],[Interest payable and financing costs]] )</f>
        <v>11191</v>
      </c>
      <c r="AZ124" s="84" vm="5003">
        <v>-2273</v>
      </c>
      <c r="BA124" s="83" vm="5004">
        <v>-8918</v>
      </c>
      <c r="BB124" s="8">
        <f xml:space="preserve"> IFERROR( ( VfM_Metrics_2023_Consol[[#This Row],[Total Costs]] / VfM_Metrics_2023_Consol[[#This Row],[Total units for costs]] ) * 1000, "n/a" )</f>
        <v>9321.3861386138615</v>
      </c>
      <c r="BC12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47073</v>
      </c>
      <c r="BD124" s="84" vm="5005">
        <v>9537</v>
      </c>
      <c r="BE124" s="83" vm="5006">
        <v>12558</v>
      </c>
      <c r="BF124" s="83" vm="3660">
        <v>9746</v>
      </c>
      <c r="BG124" s="83" vm="5007">
        <v>2526</v>
      </c>
      <c r="BH124" s="83" vm="5008">
        <v>448</v>
      </c>
      <c r="BI124" s="83" vm="5009">
        <v>0</v>
      </c>
      <c r="BJ124" s="83" vm="5001">
        <v>7387</v>
      </c>
      <c r="BK124" s="83" vm="5010">
        <v>0</v>
      </c>
      <c r="BL124" s="83">
        <v>0</v>
      </c>
      <c r="BM124" s="83">
        <v>0</v>
      </c>
      <c r="BN124" s="83" vm="5011">
        <v>4516</v>
      </c>
      <c r="BO124" s="83" vm="5012">
        <v>355</v>
      </c>
      <c r="BP124" s="5" vm="4987">
        <f xml:space="preserve"> VfM_Metrics_2023_Consol[[#This Row],[Total social housing units owned and/or managed at period end]]</f>
        <v>5050</v>
      </c>
      <c r="BQ124" s="84" vm="4987">
        <v>5050</v>
      </c>
      <c r="BR124" s="7">
        <f xml:space="preserve"> IFERROR( VfM_Metrics_2023_Consol[[#This Row],[SHL operating surplus / (deficit)]] / VfM_Metrics_2023_Consol[[#This Row],[Turnover from social housing lettings]], "n/a" )</f>
        <v>8.1869987336428876E-2</v>
      </c>
      <c r="BS124" s="5" vm="5013">
        <f xml:space="preserve"> VfM_Metrics_2023_Consol[[#This Row],[Operating surplus/(deficit) (social housing lettings)]]</f>
        <v>3879</v>
      </c>
      <c r="BT124" s="84" vm="5013">
        <v>3879</v>
      </c>
      <c r="BU124" s="5" vm="5014">
        <f xml:space="preserve"> VfM_Metrics_2023_Consol[[#This Row],[Turnover from social housing lettings]]</f>
        <v>47380</v>
      </c>
      <c r="BV124" s="84" vm="5014">
        <v>47380</v>
      </c>
      <c r="BW124" s="7">
        <f xml:space="preserve"> IFERROR( VfM_Metrics_2023_Consol[[#This Row],[Net operating surplus]] / VfM_Metrics_2023_Consol[[#This Row],[Overall turnover]], "n/a" )</f>
        <v>4.3956043956043959E-2</v>
      </c>
      <c r="BX124" s="5">
        <f xml:space="preserve"> SUM( VfM_Metrics_2023_Consol[[#This Row],[Operating surplus/(deficit) (overall)2]], - VfM_Metrics_2023_Consol[[#This Row],[Gain/(loss) on disposal of fixed assets (housing properties)2]], - VfM_Metrics_2023_Consol[[#This Row],[Gain/(loss) on disposal of fixed assets (other)2]] )</f>
        <v>2516</v>
      </c>
      <c r="BY124" s="84" vm="4996">
        <v>10848</v>
      </c>
      <c r="BZ124" s="83" vm="4997">
        <v>8332</v>
      </c>
      <c r="CA124" s="83">
        <v>0</v>
      </c>
      <c r="CB124" s="5" vm="5015">
        <f xml:space="preserve"> VfM_Metrics_2023_Consol[[#This Row],[Turnover (overall)]]</f>
        <v>57239</v>
      </c>
      <c r="CC124" s="84" vm="5015">
        <v>57239</v>
      </c>
      <c r="CD124" s="7">
        <f xml:space="preserve"> IFERROR( VfM_Metrics_2023_Consol[[#This Row],[Operating surplus including from JVs]] / VfM_Metrics_2023_Consol[[#This Row],[Net assets]], "n/a" )</f>
        <v>1.7701858793081785E-2</v>
      </c>
      <c r="CE124" s="5">
        <f xml:space="preserve"> SUM( VfM_Metrics_2023_Consol[[#This Row],[Operating surplus/(deficit) (overall)3]], VfM_Metrics_2023_Consol[[#This Row],[Share of operating surplus/(deficit) in joint ventures or associates]] )</f>
        <v>10848</v>
      </c>
      <c r="CF124" s="84" vm="4996">
        <v>10848</v>
      </c>
      <c r="CG124" s="83">
        <v>0</v>
      </c>
      <c r="CH124" s="5" vm="7507">
        <f xml:space="preserve"> VfM_Metrics_2023_Consol[[#This Row],[Total assets less current liabilities]]</f>
        <v>612817</v>
      </c>
      <c r="CI124" s="84" vm="7507">
        <v>612817</v>
      </c>
      <c r="CJ124" s="71" vm="4986">
        <f xml:space="preserve"> VfM_Metrics_2023_Consol[[#This Row],[Total social housing units owned (Period end)]]</f>
        <v>5050</v>
      </c>
      <c r="CK124" s="103">
        <v>5.120359037127703E-2</v>
      </c>
      <c r="CL124" s="6">
        <f xml:space="preserve"> -- ( VfM_Metrics_2023_Consol[[#This Row],[% Supported housing (excl. HOP)]] &gt; 0.3 )</f>
        <v>0</v>
      </c>
      <c r="CM124" s="103">
        <v>2.7947776417788658E-2</v>
      </c>
      <c r="CN124" s="6">
        <f xml:space="preserve"> -- ( VfM_Metrics_2023_Consol[[#This Row],[% Housing for older people]] &gt; 0.3 )</f>
        <v>0</v>
      </c>
      <c r="CO124" s="103">
        <f xml:space="preserve"> VfM_Metrics_2023_Consol[[#This Row],[% Supported housing (excl. HOP)]] + VfM_Metrics_2023_Consol[[#This Row],[% Housing for older people]]</f>
        <v>7.9151366789065689E-2</v>
      </c>
      <c r="CP124" s="6">
        <f xml:space="preserve"> -- ( VfM_Metrics_2023_Consol[[#This Row],[SH specialist in RSH analysis]] + VfM_Metrics_2023_Consol[[#This Row],[OP specialist in RSH analysis]] &gt; 0 )</f>
        <v>0</v>
      </c>
      <c r="CQ124" s="10">
        <f xml:space="preserve"> -- ( VfM_Metrics_2023_Consol[[#This Row],[% SH and OP]] &gt; 0.3 )</f>
        <v>0</v>
      </c>
      <c r="CR124" s="104" t="s">
        <v>143</v>
      </c>
      <c r="CS124" s="124" t="s">
        <v>144</v>
      </c>
      <c r="CT124" s="105"/>
      <c r="CU12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24" s="85">
        <v>1</v>
      </c>
      <c r="CW124" s="85">
        <v>0</v>
      </c>
      <c r="CX124" s="85">
        <v>0</v>
      </c>
      <c r="CY124" s="85">
        <v>0</v>
      </c>
      <c r="CZ124" s="85">
        <v>0</v>
      </c>
      <c r="DA124" s="85">
        <v>0</v>
      </c>
      <c r="DB124" s="85">
        <v>0</v>
      </c>
      <c r="DC124" s="85">
        <v>0</v>
      </c>
      <c r="DD124" s="85">
        <v>0</v>
      </c>
      <c r="DE124" s="13">
        <v>1.1603700449887588</v>
      </c>
    </row>
    <row r="125" spans="1:109" x14ac:dyDescent="0.25">
      <c r="A125" s="4" t="s" vm="275">
        <v>374</v>
      </c>
      <c r="B125" s="2" t="s" vm="115">
        <v>375</v>
      </c>
      <c r="C125" s="72" vm="474">
        <v>45016</v>
      </c>
      <c r="D125" s="7">
        <f>IFERROR( VfM_Metrics_2023_Consol[[#This Row],[Reinvestment Spend]] / VfM_Metrics_2023_Consol[[#This Row],[Net Book Value of Housing Properties]], "n/a" )</f>
        <v>0.1273011628608007</v>
      </c>
      <c r="E12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35896</v>
      </c>
      <c r="F125" s="83" vm="2497">
        <v>19531</v>
      </c>
      <c r="G125" s="83" vm="7836">
        <v>0</v>
      </c>
      <c r="H125" s="83" vm="2498">
        <v>15315</v>
      </c>
      <c r="I125" s="83" vm="8015">
        <v>1050</v>
      </c>
      <c r="J125" s="83" vm="2499">
        <v>0</v>
      </c>
      <c r="K125" s="5">
        <f xml:space="preserve"> SUM( VfM_Metrics_2023_Consol[[#This Row],[Tangible fixed assets: Housing properties at cost (Current period)]],VfM_Metrics_2023_Consol[[#This Row],[Tangible fixed assets Housing properties at valuation (Current period)]] )</f>
        <v>281977</v>
      </c>
      <c r="L125" s="84" vm="2500">
        <v>281977</v>
      </c>
      <c r="M125" s="83" vm="2501">
        <v>0</v>
      </c>
      <c r="N125" s="7">
        <f xml:space="preserve"> IFERROR( VfM_Metrics_2023_Consol[[#This Row],[Total social units developed or newly built units acquired in-year]] / VfM_Metrics_2023_Consol[[#This Row],[Social housing units owned (period end)]], "n/a" )</f>
        <v>1.0430686406460296E-2</v>
      </c>
      <c r="O125" s="5">
        <f xml:space="preserve"> SUM( VfM_Metrics_2023_Consol[[#This Row],[Total social units developed or newly built units acquired in-year (owned)]], VfM_Metrics_2023_Consol[[#This Row],[Total social leasehold units developed or newly built units acquired in-year (owned)]] )</f>
        <v>124</v>
      </c>
      <c r="P125" s="84" vm="2502">
        <v>124</v>
      </c>
      <c r="Q125" s="83" vm="2503">
        <v>0</v>
      </c>
      <c r="R125" s="5">
        <f xml:space="preserve"> SUM( VfM_Metrics_2023_Consol[[#This Row],[Total social housing units owned (Period end)]], VfM_Metrics_2023_Consol[[#This Row],[Total social leasehold units owned (Period end)]] )</f>
        <v>11888</v>
      </c>
      <c r="S125" s="84" vm="2495">
        <v>11888</v>
      </c>
      <c r="T125" s="83" vm="2916">
        <v>0</v>
      </c>
      <c r="U125" s="86">
        <f xml:space="preserve"> IFERROR( VfM_Metrics_2023_Consol[[#This Row],[Total non-social housing units developed or newly built units acquired (owned)]] / VfM_Metrics_2023_Consol[[#This Row],[Total social and non-social housing units owned (Period end)]], "n/a" )</f>
        <v>4.8603610553926866E-3</v>
      </c>
      <c r="V12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63</v>
      </c>
      <c r="W125" s="83" vm="2505">
        <v>63</v>
      </c>
      <c r="X125" s="83" vm="2506">
        <v>0</v>
      </c>
      <c r="Y125" s="83" vm="2507">
        <v>0</v>
      </c>
      <c r="Z12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12962</v>
      </c>
      <c r="AA125" s="84" vm="7704">
        <v>11888</v>
      </c>
      <c r="AB125" s="83" vm="2504">
        <v>0</v>
      </c>
      <c r="AC125" s="83" vm="2508">
        <v>310</v>
      </c>
      <c r="AD125" s="83" vm="2509">
        <v>764</v>
      </c>
      <c r="AE125" s="7">
        <f xml:space="preserve"> IFERROR( VfM_Metrics_2023_Consol[[#This Row],[Total Net Debt]] / VfM_Metrics_2023_Consol[[#This Row],[Net Book Value of Housing Properties2]], "n/a" )</f>
        <v>0.55319405483425954</v>
      </c>
      <c r="AF12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155988</v>
      </c>
      <c r="AG125" s="84" vm="2155">
        <v>8567</v>
      </c>
      <c r="AH125" s="83" vm="7995">
        <v>170644</v>
      </c>
      <c r="AI125" s="83" vm="2510">
        <v>23223</v>
      </c>
      <c r="AJ125" s="83" vm="2511">
        <v>0</v>
      </c>
      <c r="AK125" s="83" vm="2512">
        <v>0</v>
      </c>
      <c r="AL125" s="5">
        <f xml:space="preserve"> SUM( VfM_Metrics_2023_Consol[[#This Row],[Tangible fixed assets: Housing properties at cost (Current period)2]], VfM_Metrics_2023_Consol[[#This Row],[Tangible fixed assets Housing properties at valuation (Current period)2]] )</f>
        <v>281977</v>
      </c>
      <c r="AM125" s="84" vm="2500">
        <v>281977</v>
      </c>
      <c r="AN125" s="83" vm="2501">
        <v>0</v>
      </c>
      <c r="AO125" s="87">
        <f xml:space="preserve"> IFERROR( VfM_Metrics_2023_Consol[[#This Row],[EBITDA MRI]] / VfM_Metrics_2023_Consol[[#This Row],[Total interest]], "n/a" )</f>
        <v>-0.27488464073829927</v>
      </c>
      <c r="AP12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-2502</v>
      </c>
      <c r="AQ125" s="84" vm="2513">
        <v>21472</v>
      </c>
      <c r="AR125" s="84" vm="2514">
        <v>15636</v>
      </c>
      <c r="AS125" s="84" vm="2515">
        <v>0</v>
      </c>
      <c r="AT125" s="84" vm="2516">
        <v>3829</v>
      </c>
      <c r="AU125" s="84" vm="2517">
        <v>0</v>
      </c>
      <c r="AV125" s="84" vm="2518">
        <v>958</v>
      </c>
      <c r="AW125" s="84" vm="2519">
        <v>15315</v>
      </c>
      <c r="AX125" s="84" vm="7703">
        <v>9848</v>
      </c>
      <c r="AY125" s="3">
        <f xml:space="preserve"> - SUM( VfM_Metrics_2023_Consol[[#This Row],[Interest capitalised]], VfM_Metrics_2023_Consol[[#This Row],[Interest payable and financing costs]] )</f>
        <v>9102</v>
      </c>
      <c r="AZ125" s="84" vm="2520">
        <v>-1223</v>
      </c>
      <c r="BA125" s="83" vm="7966">
        <v>-7879</v>
      </c>
      <c r="BB125" s="8">
        <f xml:space="preserve"> IFERROR( ( VfM_Metrics_2023_Consol[[#This Row],[Total Costs]] / VfM_Metrics_2023_Consol[[#This Row],[Total units for costs]] ) * 1000, "n/a" )</f>
        <v>5000</v>
      </c>
      <c r="BC12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59440</v>
      </c>
      <c r="BD125" s="84" vm="7873">
        <v>20306</v>
      </c>
      <c r="BE125" s="83" vm="2621">
        <v>4709</v>
      </c>
      <c r="BF125" s="83" vm="2522">
        <v>10615</v>
      </c>
      <c r="BG125" s="83" vm="2523">
        <v>0</v>
      </c>
      <c r="BH125" s="83" vm="2524">
        <v>6640</v>
      </c>
      <c r="BI125" s="83" vm="2525">
        <v>0</v>
      </c>
      <c r="BJ125" s="83" vm="1482">
        <v>15315</v>
      </c>
      <c r="BK125" s="83" vm="2526">
        <v>1357</v>
      </c>
      <c r="BL125" s="83" vm="2527">
        <v>498</v>
      </c>
      <c r="BM125" s="83" vm="2528">
        <v>0</v>
      </c>
      <c r="BN125" s="83" vm="2529">
        <v>0</v>
      </c>
      <c r="BO125" s="83" vm="2530">
        <v>0</v>
      </c>
      <c r="BP125" s="5" vm="2496">
        <f xml:space="preserve"> VfM_Metrics_2023_Consol[[#This Row],[Total social housing units owned and/or managed at period end]]</f>
        <v>11888</v>
      </c>
      <c r="BQ125" s="84" vm="2496">
        <v>11888</v>
      </c>
      <c r="BR125" s="7">
        <f xml:space="preserve"> IFERROR( VfM_Metrics_2023_Consol[[#This Row],[SHL operating surplus / (deficit)]] / VfM_Metrics_2023_Consol[[#This Row],[Turnover from social housing lettings]], "n/a" )</f>
        <v>8.5301768536461875E-2</v>
      </c>
      <c r="BS125" s="5" vm="2531">
        <f xml:space="preserve"> VfM_Metrics_2023_Consol[[#This Row],[Operating surplus/(deficit) (social housing lettings)]]</f>
        <v>4886</v>
      </c>
      <c r="BT125" s="84" vm="2531">
        <v>4886</v>
      </c>
      <c r="BU125" s="5" vm="2532">
        <f xml:space="preserve"> VfM_Metrics_2023_Consol[[#This Row],[Turnover from social housing lettings]]</f>
        <v>57279</v>
      </c>
      <c r="BV125" s="84" vm="2532">
        <v>57279</v>
      </c>
      <c r="BW125" s="7">
        <f xml:space="preserve"> IFERROR( VfM_Metrics_2023_Consol[[#This Row],[Net operating surplus]] / VfM_Metrics_2023_Consol[[#This Row],[Overall turnover]], "n/a" )</f>
        <v>8.759869112305245E-2</v>
      </c>
      <c r="BX125" s="5">
        <f xml:space="preserve"> SUM( VfM_Metrics_2023_Consol[[#This Row],[Operating surplus/(deficit) (overall)2]], - VfM_Metrics_2023_Consol[[#This Row],[Gain/(loss) on disposal of fixed assets (housing properties)2]], - VfM_Metrics_2023_Consol[[#This Row],[Gain/(loss) on disposal of fixed assets (other)2]] )</f>
        <v>5836</v>
      </c>
      <c r="BY125" s="84" vm="2521">
        <v>21472</v>
      </c>
      <c r="BZ125" s="83" vm="2514">
        <v>15636</v>
      </c>
      <c r="CA125" s="83" vm="2515">
        <v>0</v>
      </c>
      <c r="CB125" s="5" vm="2533">
        <f xml:space="preserve"> VfM_Metrics_2023_Consol[[#This Row],[Turnover (overall)]]</f>
        <v>66622</v>
      </c>
      <c r="CC125" s="84" vm="2533">
        <v>66622</v>
      </c>
      <c r="CD125" s="7">
        <f xml:space="preserve"> IFERROR( VfM_Metrics_2023_Consol[[#This Row],[Operating surplus including from JVs]] / VfM_Metrics_2023_Consol[[#This Row],[Net assets]], "n/a" )</f>
        <v>6.122367513130357E-2</v>
      </c>
      <c r="CE125" s="5">
        <f xml:space="preserve"> SUM( VfM_Metrics_2023_Consol[[#This Row],[Operating surplus/(deficit) (overall)3]], VfM_Metrics_2023_Consol[[#This Row],[Share of operating surplus/(deficit) in joint ventures or associates]] )</f>
        <v>21472</v>
      </c>
      <c r="CF125" s="84" vm="2513">
        <v>21472</v>
      </c>
      <c r="CG125" s="83">
        <v>0</v>
      </c>
      <c r="CH125" s="5" vm="2534">
        <f xml:space="preserve"> VfM_Metrics_2023_Consol[[#This Row],[Total assets less current liabilities]]</f>
        <v>350714</v>
      </c>
      <c r="CI125" s="84" vm="2534">
        <v>350714</v>
      </c>
      <c r="CJ125" s="71" vm="2495">
        <f xml:space="preserve"> VfM_Metrics_2023_Consol[[#This Row],[Total social housing units owned (Period end)]]</f>
        <v>11888</v>
      </c>
      <c r="CK125" s="103">
        <v>5.0603019313485704E-4</v>
      </c>
      <c r="CL125" s="6">
        <f xml:space="preserve"> -- ( VfM_Metrics_2023_Consol[[#This Row],[% Supported housing (excl. HOP)]] &gt; 0.3 )</f>
        <v>0</v>
      </c>
      <c r="CM125" s="103">
        <v>2.0241207725394283E-2</v>
      </c>
      <c r="CN125" s="6">
        <f xml:space="preserve"> -- ( VfM_Metrics_2023_Consol[[#This Row],[% Housing for older people]] &gt; 0.3 )</f>
        <v>0</v>
      </c>
      <c r="CO125" s="103">
        <f xml:space="preserve"> VfM_Metrics_2023_Consol[[#This Row],[% Supported housing (excl. HOP)]] + VfM_Metrics_2023_Consol[[#This Row],[% Housing for older people]]</f>
        <v>2.074723791852914E-2</v>
      </c>
      <c r="CP125" s="6">
        <f xml:space="preserve"> -- ( VfM_Metrics_2023_Consol[[#This Row],[SH specialist in RSH analysis]] + VfM_Metrics_2023_Consol[[#This Row],[OP specialist in RSH analysis]] &gt; 0 )</f>
        <v>0</v>
      </c>
      <c r="CQ125" s="10">
        <f xml:space="preserve"> -- ( VfM_Metrics_2023_Consol[[#This Row],[% SH and OP]] &gt; 0.3 )</f>
        <v>0</v>
      </c>
      <c r="CR125" s="104" t="s">
        <v>143</v>
      </c>
      <c r="CS125" s="124"/>
      <c r="CT125" s="105" t="s">
        <v>151</v>
      </c>
      <c r="CU12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25" s="85">
        <v>0</v>
      </c>
      <c r="CW125" s="85">
        <v>0</v>
      </c>
      <c r="CX125" s="85">
        <v>0</v>
      </c>
      <c r="CY125" s="85">
        <v>0</v>
      </c>
      <c r="CZ125" s="85">
        <v>0</v>
      </c>
      <c r="DA125" s="85">
        <v>0</v>
      </c>
      <c r="DB125" s="85">
        <v>0</v>
      </c>
      <c r="DC125" s="85">
        <v>1</v>
      </c>
      <c r="DD125" s="85">
        <v>0</v>
      </c>
      <c r="DE125" s="13">
        <v>0.96105917141044694</v>
      </c>
    </row>
    <row r="126" spans="1:109" x14ac:dyDescent="0.25">
      <c r="A126" s="4" t="s" vm="297">
        <v>376</v>
      </c>
      <c r="B126" s="2" t="s" vm="116">
        <v>377</v>
      </c>
      <c r="C126" s="72" vm="542">
        <v>45016</v>
      </c>
      <c r="D126" s="7">
        <f>IFERROR( VfM_Metrics_2023_Consol[[#This Row],[Reinvestment Spend]] / VfM_Metrics_2023_Consol[[#This Row],[Net Book Value of Housing Properties]], "n/a" )</f>
        <v>0.11830470637434977</v>
      </c>
      <c r="E12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39322</v>
      </c>
      <c r="F126" s="83" vm="3244">
        <v>28487</v>
      </c>
      <c r="G126" s="83" vm="3245">
        <v>0</v>
      </c>
      <c r="H126" s="83" vm="3246">
        <v>10180</v>
      </c>
      <c r="I126" s="83" vm="3247">
        <v>655</v>
      </c>
      <c r="J126" s="83" vm="3248">
        <v>0</v>
      </c>
      <c r="K126" s="5">
        <f xml:space="preserve"> SUM( VfM_Metrics_2023_Consol[[#This Row],[Tangible fixed assets: Housing properties at cost (Current period)]],VfM_Metrics_2023_Consol[[#This Row],[Tangible fixed assets Housing properties at valuation (Current period)]] )</f>
        <v>332379</v>
      </c>
      <c r="L126" s="84" vm="3249">
        <v>332379</v>
      </c>
      <c r="M126" s="83">
        <v>0</v>
      </c>
      <c r="N126" s="7">
        <f xml:space="preserve"> IFERROR( VfM_Metrics_2023_Consol[[#This Row],[Total social units developed or newly built units acquired in-year]] / VfM_Metrics_2023_Consol[[#This Row],[Social housing units owned (period end)]], "n/a" )</f>
        <v>1.1963302752293578E-2</v>
      </c>
      <c r="O126" s="5">
        <f xml:space="preserve"> SUM( VfM_Metrics_2023_Consol[[#This Row],[Total social units developed or newly built units acquired in-year (owned)]], VfM_Metrics_2023_Consol[[#This Row],[Total social leasehold units developed or newly built units acquired in-year (owned)]] )</f>
        <v>163</v>
      </c>
      <c r="P126" s="84" vm="3250">
        <v>159</v>
      </c>
      <c r="Q126" s="83" vm="3251">
        <v>4</v>
      </c>
      <c r="R126" s="5">
        <f xml:space="preserve"> SUM( VfM_Metrics_2023_Consol[[#This Row],[Total social housing units owned (Period end)]], VfM_Metrics_2023_Consol[[#This Row],[Total social leasehold units owned (Period end)]] )</f>
        <v>13625</v>
      </c>
      <c r="S126" s="84" vm="3243">
        <v>13007</v>
      </c>
      <c r="T126" s="83" vm="3252">
        <v>618</v>
      </c>
      <c r="U126" s="86">
        <f xml:space="preserve"> IFERROR( VfM_Metrics_2023_Consol[[#This Row],[Total non-social housing units developed or newly built units acquired (owned)]] / VfM_Metrics_2023_Consol[[#This Row],[Total social and non-social housing units owned (Period end)]], "n/a" )</f>
        <v>0</v>
      </c>
      <c r="V12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26" s="83" vm="3253">
        <v>0</v>
      </c>
      <c r="X126" s="83" vm="4850">
        <v>0</v>
      </c>
      <c r="Y126" s="83" vm="7621">
        <v>0</v>
      </c>
      <c r="Z12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13711</v>
      </c>
      <c r="AA126" s="84" vm="7597">
        <v>13007</v>
      </c>
      <c r="AB126" s="83" vm="3252">
        <v>618</v>
      </c>
      <c r="AC126" s="83" vm="7653">
        <v>86</v>
      </c>
      <c r="AD126" s="83" vm="2701">
        <v>0</v>
      </c>
      <c r="AE126" s="7">
        <f xml:space="preserve"> IFERROR( VfM_Metrics_2023_Consol[[#This Row],[Total Net Debt]] / VfM_Metrics_2023_Consol[[#This Row],[Net Book Value of Housing Properties2]], "n/a" )</f>
        <v>0.72343318922073896</v>
      </c>
      <c r="AF12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240454</v>
      </c>
      <c r="AG126" s="84" vm="3254">
        <v>-150</v>
      </c>
      <c r="AH126" s="83" vm="3255">
        <v>246079</v>
      </c>
      <c r="AI126" s="83" vm="3256">
        <v>5475</v>
      </c>
      <c r="AJ126" s="83" vm="1675">
        <v>0</v>
      </c>
      <c r="AK126" s="83">
        <v>0</v>
      </c>
      <c r="AL126" s="5">
        <f xml:space="preserve"> SUM( VfM_Metrics_2023_Consol[[#This Row],[Tangible fixed assets: Housing properties at cost (Current period)2]], VfM_Metrics_2023_Consol[[#This Row],[Tangible fixed assets Housing properties at valuation (Current period)2]] )</f>
        <v>332379</v>
      </c>
      <c r="AM126" s="84" vm="7682">
        <v>332379</v>
      </c>
      <c r="AN126" s="83">
        <v>0</v>
      </c>
      <c r="AO126" s="87">
        <f xml:space="preserve"> IFERROR( VfM_Metrics_2023_Consol[[#This Row],[EBITDA MRI]] / VfM_Metrics_2023_Consol[[#This Row],[Total interest]], "n/a" )</f>
        <v>1.4024241367282875</v>
      </c>
      <c r="AP12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16083</v>
      </c>
      <c r="AQ126" s="84" vm="3257">
        <v>18150</v>
      </c>
      <c r="AR126" s="84" vm="3258">
        <v>1627</v>
      </c>
      <c r="AS126" s="84" vm="3259">
        <v>785</v>
      </c>
      <c r="AT126" s="84" vm="3260">
        <v>434</v>
      </c>
      <c r="AU126" s="84" vm="3261">
        <v>0</v>
      </c>
      <c r="AV126" s="84" vm="3262">
        <v>532</v>
      </c>
      <c r="AW126" s="84" vm="3263">
        <v>10180</v>
      </c>
      <c r="AX126" s="84" vm="7729">
        <v>10427</v>
      </c>
      <c r="AY126" s="3">
        <f xml:space="preserve"> - SUM( VfM_Metrics_2023_Consol[[#This Row],[Interest capitalised]], VfM_Metrics_2023_Consol[[#This Row],[Interest payable and financing costs]] )</f>
        <v>11468</v>
      </c>
      <c r="AZ126" s="84" vm="3264">
        <v>-1890</v>
      </c>
      <c r="BA126" s="83" vm="3265">
        <v>-9578</v>
      </c>
      <c r="BB126" s="8">
        <f xml:space="preserve"> IFERROR( ( VfM_Metrics_2023_Consol[[#This Row],[Total Costs]] / VfM_Metrics_2023_Consol[[#This Row],[Total units for costs]] ) * 1000, "n/a" )</f>
        <v>3995.2333358960559</v>
      </c>
      <c r="BC12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51966</v>
      </c>
      <c r="BD126" s="84" vm="3266">
        <v>11551</v>
      </c>
      <c r="BE126" s="83" vm="3267">
        <v>4598</v>
      </c>
      <c r="BF126" s="83" vm="7595">
        <v>7530</v>
      </c>
      <c r="BG126" s="83" vm="2591">
        <v>10277</v>
      </c>
      <c r="BH126" s="83" vm="2332">
        <v>8144</v>
      </c>
      <c r="BI126" s="83" vm="3268">
        <v>0</v>
      </c>
      <c r="BJ126" s="83" vm="3373">
        <v>10180</v>
      </c>
      <c r="BK126" s="83" vm="3269">
        <v>-314</v>
      </c>
      <c r="BL126" s="83">
        <v>0</v>
      </c>
      <c r="BM126" s="83">
        <v>0</v>
      </c>
      <c r="BN126" s="83">
        <v>0</v>
      </c>
      <c r="BO126" s="83">
        <v>0</v>
      </c>
      <c r="BP126" s="5" vm="7556">
        <f xml:space="preserve"> VfM_Metrics_2023_Consol[[#This Row],[Total social housing units owned and/or managed at period end]]</f>
        <v>13007</v>
      </c>
      <c r="BQ126" s="84" vm="7556">
        <v>13007</v>
      </c>
      <c r="BR126" s="7">
        <f xml:space="preserve"> IFERROR( VfM_Metrics_2023_Consol[[#This Row],[SHL operating surplus / (deficit)]] / VfM_Metrics_2023_Consol[[#This Row],[Turnover from social housing lettings]], "n/a" )</f>
        <v>0.22045451163067581</v>
      </c>
      <c r="BS126" s="5" vm="3271">
        <f xml:space="preserve"> VfM_Metrics_2023_Consol[[#This Row],[Operating surplus/(deficit) (social housing lettings)]]</f>
        <v>14813</v>
      </c>
      <c r="BT126" s="84" vm="3271">
        <v>14813</v>
      </c>
      <c r="BU126" s="5" vm="3272">
        <f xml:space="preserve"> VfM_Metrics_2023_Consol[[#This Row],[Turnover from social housing lettings]]</f>
        <v>67193</v>
      </c>
      <c r="BV126" s="84" vm="3272">
        <v>67193</v>
      </c>
      <c r="BW126" s="7">
        <f xml:space="preserve"> IFERROR( VfM_Metrics_2023_Consol[[#This Row],[Net operating surplus]] / VfM_Metrics_2023_Consol[[#This Row],[Overall turnover]], "n/a" )</f>
        <v>0.22681482122011329</v>
      </c>
      <c r="BX126" s="5">
        <f xml:space="preserve"> SUM( VfM_Metrics_2023_Consol[[#This Row],[Operating surplus/(deficit) (overall)2]], - VfM_Metrics_2023_Consol[[#This Row],[Gain/(loss) on disposal of fixed assets (housing properties)2]], - VfM_Metrics_2023_Consol[[#This Row],[Gain/(loss) on disposal of fixed assets (other)2]] )</f>
        <v>15738</v>
      </c>
      <c r="BY126" s="84" vm="7582">
        <v>18150</v>
      </c>
      <c r="BZ126" s="83" vm="7459">
        <v>1627</v>
      </c>
      <c r="CA126" s="83" vm="7719">
        <v>785</v>
      </c>
      <c r="CB126" s="5" vm="3273">
        <f xml:space="preserve"> VfM_Metrics_2023_Consol[[#This Row],[Turnover (overall)]]</f>
        <v>69387</v>
      </c>
      <c r="CC126" s="84" vm="3273">
        <v>69387</v>
      </c>
      <c r="CD126" s="7">
        <f xml:space="preserve"> IFERROR( VfM_Metrics_2023_Consol[[#This Row],[Operating surplus including from JVs]] / VfM_Metrics_2023_Consol[[#This Row],[Net assets]], "n/a" )</f>
        <v>5.0165421513917792E-2</v>
      </c>
      <c r="CE126" s="5">
        <f xml:space="preserve"> SUM( VfM_Metrics_2023_Consol[[#This Row],[Operating surplus/(deficit) (overall)3]], VfM_Metrics_2023_Consol[[#This Row],[Share of operating surplus/(deficit) in joint ventures or associates]] )</f>
        <v>18150</v>
      </c>
      <c r="CF126" s="84" vm="7456">
        <v>18150</v>
      </c>
      <c r="CG126" s="83">
        <v>0</v>
      </c>
      <c r="CH126" s="5" vm="3274">
        <f xml:space="preserve"> VfM_Metrics_2023_Consol[[#This Row],[Total assets less current liabilities]]</f>
        <v>361803</v>
      </c>
      <c r="CI126" s="84" vm="3274">
        <v>361803</v>
      </c>
      <c r="CJ126" s="71" vm="3243">
        <f xml:space="preserve"> VfM_Metrics_2023_Consol[[#This Row],[Total social housing units owned (Period end)]]</f>
        <v>13007</v>
      </c>
      <c r="CK126" s="103">
        <v>7.5940601677310149E-2</v>
      </c>
      <c r="CL126" s="6">
        <f xml:space="preserve"> -- ( VfM_Metrics_2023_Consol[[#This Row],[% Supported housing (excl. HOP)]] &gt; 0.3 )</f>
        <v>0</v>
      </c>
      <c r="CM126" s="103">
        <v>0</v>
      </c>
      <c r="CN126" s="6">
        <f xml:space="preserve"> -- ( VfM_Metrics_2023_Consol[[#This Row],[% Housing for older people]] &gt; 0.3 )</f>
        <v>0</v>
      </c>
      <c r="CO126" s="103">
        <f xml:space="preserve"> VfM_Metrics_2023_Consol[[#This Row],[% Supported housing (excl. HOP)]] + VfM_Metrics_2023_Consol[[#This Row],[% Housing for older people]]</f>
        <v>7.5940601677310149E-2</v>
      </c>
      <c r="CP126" s="6">
        <f xml:space="preserve"> -- ( VfM_Metrics_2023_Consol[[#This Row],[SH specialist in RSH analysis]] + VfM_Metrics_2023_Consol[[#This Row],[OP specialist in RSH analysis]] &gt; 0 )</f>
        <v>0</v>
      </c>
      <c r="CQ126" s="10">
        <f xml:space="preserve"> -- ( VfM_Metrics_2023_Consol[[#This Row],[% SH and OP]] &gt; 0.3 )</f>
        <v>0</v>
      </c>
      <c r="CR126" s="104" t="s">
        <v>143</v>
      </c>
      <c r="CS126" s="124"/>
      <c r="CT126" s="105" t="s">
        <v>151</v>
      </c>
      <c r="CU12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26" s="85">
        <v>0</v>
      </c>
      <c r="CW126" s="85">
        <v>0</v>
      </c>
      <c r="CX126" s="85">
        <v>0</v>
      </c>
      <c r="CY126" s="85">
        <v>0</v>
      </c>
      <c r="CZ126" s="85">
        <v>0</v>
      </c>
      <c r="DA126" s="85">
        <v>0</v>
      </c>
      <c r="DB126" s="85">
        <v>0</v>
      </c>
      <c r="DC126" s="85">
        <v>1</v>
      </c>
      <c r="DD126" s="85">
        <v>0</v>
      </c>
      <c r="DE126" s="13">
        <v>0.96105917141044694</v>
      </c>
    </row>
    <row r="127" spans="1:109" x14ac:dyDescent="0.25">
      <c r="A127" s="4" t="s" vm="301">
        <v>378</v>
      </c>
      <c r="B127" s="2" t="s" vm="117">
        <v>379</v>
      </c>
      <c r="C127" s="72" vm="478">
        <v>45016</v>
      </c>
      <c r="D127" s="7">
        <f>IFERROR( VfM_Metrics_2023_Consol[[#This Row],[Reinvestment Spend]] / VfM_Metrics_2023_Consol[[#This Row],[Net Book Value of Housing Properties]], "n/a" )</f>
        <v>9.4996911132628523E-2</v>
      </c>
      <c r="E12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21682</v>
      </c>
      <c r="F127" s="83" vm="3391">
        <v>15452</v>
      </c>
      <c r="G127" s="83" vm="3392">
        <v>0</v>
      </c>
      <c r="H127" s="83" vm="2401">
        <v>6230</v>
      </c>
      <c r="I127" s="83" vm="3393">
        <v>0</v>
      </c>
      <c r="J127" s="83" vm="3394">
        <v>0</v>
      </c>
      <c r="K127" s="5">
        <f xml:space="preserve"> SUM( VfM_Metrics_2023_Consol[[#This Row],[Tangible fixed assets: Housing properties at cost (Current period)]],VfM_Metrics_2023_Consol[[#This Row],[Tangible fixed assets Housing properties at valuation (Current period)]] )</f>
        <v>228239</v>
      </c>
      <c r="L127" s="84" vm="3395">
        <v>228239</v>
      </c>
      <c r="M127" s="83">
        <v>0</v>
      </c>
      <c r="N127" s="7">
        <f xml:space="preserve"> IFERROR( VfM_Metrics_2023_Consol[[#This Row],[Total social units developed or newly built units acquired in-year]] / VfM_Metrics_2023_Consol[[#This Row],[Social housing units owned (period end)]], "n/a" )</f>
        <v>9.35285781766651E-3</v>
      </c>
      <c r="O127" s="5">
        <f xml:space="preserve"> SUM( VfM_Metrics_2023_Consol[[#This Row],[Total social units developed or newly built units acquired in-year (owned)]], VfM_Metrics_2023_Consol[[#This Row],[Total social leasehold units developed or newly built units acquired in-year (owned)]] )</f>
        <v>99</v>
      </c>
      <c r="P127" s="84" vm="3396">
        <v>94</v>
      </c>
      <c r="Q127" s="83" vm="3397">
        <v>5</v>
      </c>
      <c r="R127" s="5">
        <f xml:space="preserve"> SUM( VfM_Metrics_2023_Consol[[#This Row],[Total social housing units owned (Period end)]], VfM_Metrics_2023_Consol[[#This Row],[Total social leasehold units owned (Period end)]] )</f>
        <v>10585</v>
      </c>
      <c r="S127" s="84" vm="3390">
        <v>10289</v>
      </c>
      <c r="T127" s="83" vm="3390">
        <v>296</v>
      </c>
      <c r="U127" s="86">
        <f xml:space="preserve"> IFERROR( VfM_Metrics_2023_Consol[[#This Row],[Total non-social housing units developed or newly built units acquired (owned)]] / VfM_Metrics_2023_Consol[[#This Row],[Total social and non-social housing units owned (Period end)]], "n/a" )</f>
        <v>1.889466225791214E-4</v>
      </c>
      <c r="V12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v>
      </c>
      <c r="W127" s="83">
        <v>0</v>
      </c>
      <c r="X127" s="83">
        <v>0</v>
      </c>
      <c r="Y127" s="83" vm="7711">
        <v>2</v>
      </c>
      <c r="Z12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10585</v>
      </c>
      <c r="AA127" s="84" vm="3390">
        <v>10289</v>
      </c>
      <c r="AB127" s="83" vm="3398">
        <v>296</v>
      </c>
      <c r="AC127" s="83" vm="7601">
        <v>0</v>
      </c>
      <c r="AD127" s="83" vm="3399">
        <v>0</v>
      </c>
      <c r="AE127" s="7">
        <f xml:space="preserve"> IFERROR( VfM_Metrics_2023_Consol[[#This Row],[Total Net Debt]] / VfM_Metrics_2023_Consol[[#This Row],[Net Book Value of Housing Properties2]], "n/a" )</f>
        <v>0.1745319599192075</v>
      </c>
      <c r="AF12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39835</v>
      </c>
      <c r="AG127" s="84">
        <v>0</v>
      </c>
      <c r="AH127" s="83" vm="3400">
        <v>98813</v>
      </c>
      <c r="AI127" s="83" vm="3401">
        <v>58978</v>
      </c>
      <c r="AJ127" s="83" vm="1675">
        <v>0</v>
      </c>
      <c r="AK127" s="83">
        <v>0</v>
      </c>
      <c r="AL127" s="5">
        <f xml:space="preserve"> SUM( VfM_Metrics_2023_Consol[[#This Row],[Tangible fixed assets: Housing properties at cost (Current period)2]], VfM_Metrics_2023_Consol[[#This Row],[Tangible fixed assets Housing properties at valuation (Current period)2]] )</f>
        <v>228239</v>
      </c>
      <c r="AM127" s="84" vm="3415">
        <v>228239</v>
      </c>
      <c r="AN127" s="83">
        <v>0</v>
      </c>
      <c r="AO127" s="87">
        <f xml:space="preserve"> IFERROR( VfM_Metrics_2023_Consol[[#This Row],[EBITDA MRI]] / VfM_Metrics_2023_Consol[[#This Row],[Total interest]], "n/a" )</f>
        <v>2.1754677754677756</v>
      </c>
      <c r="AP12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10464</v>
      </c>
      <c r="AQ127" s="84" vm="7646">
        <v>9875</v>
      </c>
      <c r="AR127" s="84" vm="3403">
        <v>3075</v>
      </c>
      <c r="AS127" s="84">
        <v>0</v>
      </c>
      <c r="AT127" s="84" vm="7751">
        <v>3165</v>
      </c>
      <c r="AU127" s="84" vm="3404">
        <v>0</v>
      </c>
      <c r="AV127" s="84" vm="7078">
        <v>1236</v>
      </c>
      <c r="AW127" s="84" vm="3405">
        <v>6230</v>
      </c>
      <c r="AX127" s="84" vm="3406">
        <v>11823</v>
      </c>
      <c r="AY127" s="3">
        <f xml:space="preserve"> - SUM( VfM_Metrics_2023_Consol[[#This Row],[Interest capitalised]], VfM_Metrics_2023_Consol[[#This Row],[Interest payable and financing costs]] )</f>
        <v>4810</v>
      </c>
      <c r="AZ127" s="84">
        <v>0</v>
      </c>
      <c r="BA127" s="83" vm="3407">
        <v>-4810</v>
      </c>
      <c r="BB127" s="8">
        <f xml:space="preserve"> IFERROR( ( VfM_Metrics_2023_Consol[[#This Row],[Total Costs]] / VfM_Metrics_2023_Consol[[#This Row],[Total units for costs]] ) * 1000, "n/a" )</f>
        <v>3812.8518734226363</v>
      </c>
      <c r="BC12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39280</v>
      </c>
      <c r="BD127" s="84" vm="3408">
        <v>16374</v>
      </c>
      <c r="BE127" s="83" vm="3409">
        <v>1770</v>
      </c>
      <c r="BF127" s="83" vm="7710">
        <v>9216</v>
      </c>
      <c r="BG127" s="83" vm="3410">
        <v>3544</v>
      </c>
      <c r="BH127" s="83" vm="3411">
        <v>1360</v>
      </c>
      <c r="BI127" s="83" vm="3412">
        <v>33</v>
      </c>
      <c r="BJ127" s="83" vm="3405">
        <v>6230</v>
      </c>
      <c r="BK127" s="83" vm="3413">
        <v>455</v>
      </c>
      <c r="BL127" s="83">
        <v>0</v>
      </c>
      <c r="BM127" s="83">
        <v>0</v>
      </c>
      <c r="BN127" s="83" vm="3414">
        <v>175</v>
      </c>
      <c r="BO127" s="83" vm="4410">
        <v>123</v>
      </c>
      <c r="BP127" s="5" vm="7697">
        <f xml:space="preserve"> VfM_Metrics_2023_Consol[[#This Row],[Total social housing units owned and/or managed at period end]]</f>
        <v>10302</v>
      </c>
      <c r="BQ127" s="84" vm="7697">
        <v>10302</v>
      </c>
      <c r="BR127" s="7">
        <f xml:space="preserve"> IFERROR( VfM_Metrics_2023_Consol[[#This Row],[SHL operating surplus / (deficit)]] / VfM_Metrics_2023_Consol[[#This Row],[Turnover from social housing lettings]], "n/a" )</f>
        <v>0.11843798887106675</v>
      </c>
      <c r="BS127" s="5" vm="3416">
        <f xml:space="preserve"> VfM_Metrics_2023_Consol[[#This Row],[Operating surplus/(deficit) (social housing lettings)]]</f>
        <v>5981</v>
      </c>
      <c r="BT127" s="84" vm="3416">
        <v>5981</v>
      </c>
      <c r="BU127" s="5" vm="3417">
        <f xml:space="preserve"> VfM_Metrics_2023_Consol[[#This Row],[Turnover from social housing lettings]]</f>
        <v>50499</v>
      </c>
      <c r="BV127" s="84" vm="3417">
        <v>50499</v>
      </c>
      <c r="BW127" s="7">
        <f xml:space="preserve"> IFERROR( VfM_Metrics_2023_Consol[[#This Row],[Net operating surplus]] / VfM_Metrics_2023_Consol[[#This Row],[Overall turnover]], "n/a" )</f>
        <v>0.13008627781072446</v>
      </c>
      <c r="BX127" s="5">
        <f xml:space="preserve"> SUM( VfM_Metrics_2023_Consol[[#This Row],[Operating surplus/(deficit) (overall)2]], - VfM_Metrics_2023_Consol[[#This Row],[Gain/(loss) on disposal of fixed assets (housing properties)2]], - VfM_Metrics_2023_Consol[[#This Row],[Gain/(loss) on disposal of fixed assets (other)2]] )</f>
        <v>6800</v>
      </c>
      <c r="BY127" s="84" vm="3402">
        <v>9875</v>
      </c>
      <c r="BZ127" s="83" vm="3403">
        <v>3075</v>
      </c>
      <c r="CA127" s="83">
        <v>0</v>
      </c>
      <c r="CB127" s="5" vm="3418">
        <f xml:space="preserve"> VfM_Metrics_2023_Consol[[#This Row],[Turnover (overall)]]</f>
        <v>52273</v>
      </c>
      <c r="CC127" s="84" vm="3418">
        <v>52273</v>
      </c>
      <c r="CD127" s="7">
        <f xml:space="preserve"> IFERROR( VfM_Metrics_2023_Consol[[#This Row],[Operating surplus including from JVs]] / VfM_Metrics_2023_Consol[[#This Row],[Net assets]], "n/a" )</f>
        <v>3.4503120130255832E-2</v>
      </c>
      <c r="CE127" s="5">
        <f xml:space="preserve"> SUM( VfM_Metrics_2023_Consol[[#This Row],[Operating surplus/(deficit) (overall)3]], VfM_Metrics_2023_Consol[[#This Row],[Share of operating surplus/(deficit) in joint ventures or associates]] )</f>
        <v>9875</v>
      </c>
      <c r="CF127" s="84" vm="3402">
        <v>9875</v>
      </c>
      <c r="CG127" s="83">
        <v>0</v>
      </c>
      <c r="CH127" s="5" vm="7076">
        <f xml:space="preserve"> VfM_Metrics_2023_Consol[[#This Row],[Total assets less current liabilities]]</f>
        <v>286206</v>
      </c>
      <c r="CI127" s="84" vm="7076">
        <v>286206</v>
      </c>
      <c r="CJ127" s="71" vm="3390">
        <f xml:space="preserve"> VfM_Metrics_2023_Consol[[#This Row],[Total social housing units owned (Period end)]]</f>
        <v>10289</v>
      </c>
      <c r="CK127" s="103">
        <v>3.5005834305717621E-3</v>
      </c>
      <c r="CL127" s="6">
        <f xml:space="preserve"> -- ( VfM_Metrics_2023_Consol[[#This Row],[% Supported housing (excl. HOP)]] &gt; 0.3 )</f>
        <v>0</v>
      </c>
      <c r="CM127" s="103">
        <v>0</v>
      </c>
      <c r="CN127" s="6">
        <f xml:space="preserve"> -- ( VfM_Metrics_2023_Consol[[#This Row],[% Housing for older people]] &gt; 0.3 )</f>
        <v>0</v>
      </c>
      <c r="CO127" s="103">
        <f xml:space="preserve"> VfM_Metrics_2023_Consol[[#This Row],[% Supported housing (excl. HOP)]] + VfM_Metrics_2023_Consol[[#This Row],[% Housing for older people]]</f>
        <v>3.5005834305717621E-3</v>
      </c>
      <c r="CP127" s="6">
        <f xml:space="preserve"> -- ( VfM_Metrics_2023_Consol[[#This Row],[SH specialist in RSH analysis]] + VfM_Metrics_2023_Consol[[#This Row],[OP specialist in RSH analysis]] &gt; 0 )</f>
        <v>0</v>
      </c>
      <c r="CQ127" s="10">
        <f xml:space="preserve"> -- ( VfM_Metrics_2023_Consol[[#This Row],[% SH and OP]] &gt; 0.3 )</f>
        <v>0</v>
      </c>
      <c r="CR127" s="104" t="s">
        <v>143</v>
      </c>
      <c r="CS127" s="124"/>
      <c r="CT127" s="105" t="s">
        <v>151</v>
      </c>
      <c r="CU12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127" s="85">
        <v>0</v>
      </c>
      <c r="CW127" s="85">
        <v>0</v>
      </c>
      <c r="CX127" s="85">
        <v>0</v>
      </c>
      <c r="CY127" s="85">
        <v>2.5269705510739624E-2</v>
      </c>
      <c r="CZ127" s="85">
        <v>0</v>
      </c>
      <c r="DA127" s="85">
        <v>0</v>
      </c>
      <c r="DB127" s="85">
        <v>0</v>
      </c>
      <c r="DC127" s="85">
        <v>0</v>
      </c>
      <c r="DD127" s="85">
        <v>0.97473029448926041</v>
      </c>
      <c r="DE127" s="13">
        <v>0.94453418271419443</v>
      </c>
    </row>
    <row r="128" spans="1:109" x14ac:dyDescent="0.25">
      <c r="A128" s="4" t="s" vm="338">
        <v>380</v>
      </c>
      <c r="B128" s="2" t="s" vm="118">
        <v>381</v>
      </c>
      <c r="C128" s="72" vm="540">
        <v>45016</v>
      </c>
      <c r="D128" s="7">
        <f>IFERROR( VfM_Metrics_2023_Consol[[#This Row],[Reinvestment Spend]] / VfM_Metrics_2023_Consol[[#This Row],[Net Book Value of Housing Properties]], "n/a" )</f>
        <v>7.5821478222284744E-2</v>
      </c>
      <c r="E12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87317</v>
      </c>
      <c r="F128" s="83" vm="4665">
        <v>50838</v>
      </c>
      <c r="G128" s="83" vm="4666">
        <v>5017</v>
      </c>
      <c r="H128" s="83" vm="4667">
        <v>29471</v>
      </c>
      <c r="I128" s="83" vm="7389">
        <v>1991</v>
      </c>
      <c r="J128" s="83" vm="6974">
        <v>0</v>
      </c>
      <c r="K128" s="5">
        <f xml:space="preserve"> SUM( VfM_Metrics_2023_Consol[[#This Row],[Tangible fixed assets: Housing properties at cost (Current period)]],VfM_Metrics_2023_Consol[[#This Row],[Tangible fixed assets Housing properties at valuation (Current period)]] )</f>
        <v>1151613</v>
      </c>
      <c r="L128" s="84" vm="4668">
        <v>1151613</v>
      </c>
      <c r="M128" s="83" vm="4669">
        <v>0</v>
      </c>
      <c r="N128" s="7">
        <f xml:space="preserve"> IFERROR( VfM_Metrics_2023_Consol[[#This Row],[Total social units developed or newly built units acquired in-year]] / VfM_Metrics_2023_Consol[[#This Row],[Social housing units owned (period end)]], "n/a" )</f>
        <v>8.8266176663604149E-3</v>
      </c>
      <c r="O128" s="5">
        <f xml:space="preserve"> SUM( VfM_Metrics_2023_Consol[[#This Row],[Total social units developed or newly built units acquired in-year (owned)]], VfM_Metrics_2023_Consol[[#This Row],[Total social leasehold units developed or newly built units acquired in-year (owned)]] )</f>
        <v>269</v>
      </c>
      <c r="P128" s="84" vm="4670">
        <v>269</v>
      </c>
      <c r="Q128" s="83" vm="4671">
        <v>0</v>
      </c>
      <c r="R128" s="5">
        <f xml:space="preserve"> SUM( VfM_Metrics_2023_Consol[[#This Row],[Total social housing units owned (Period end)]], VfM_Metrics_2023_Consol[[#This Row],[Total social leasehold units owned (Period end)]] )</f>
        <v>30476</v>
      </c>
      <c r="S128" s="84" vm="7345">
        <v>29686</v>
      </c>
      <c r="T128" s="83" vm="4672">
        <v>790</v>
      </c>
      <c r="U128" s="86">
        <f xml:space="preserve"> IFERROR( VfM_Metrics_2023_Consol[[#This Row],[Total non-social housing units developed or newly built units acquired (owned)]] / VfM_Metrics_2023_Consol[[#This Row],[Total social and non-social housing units owned (Period end)]], "n/a" )</f>
        <v>0</v>
      </c>
      <c r="V12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28" s="83" vm="4673">
        <v>0</v>
      </c>
      <c r="X128" s="83" vm="4674">
        <v>0</v>
      </c>
      <c r="Y128" s="83" vm="4675">
        <v>0</v>
      </c>
      <c r="Z12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34647</v>
      </c>
      <c r="AA128" s="84" vm="4664">
        <v>29686</v>
      </c>
      <c r="AB128" s="83" vm="4672">
        <v>790</v>
      </c>
      <c r="AC128" s="83" vm="7344">
        <v>156</v>
      </c>
      <c r="AD128" s="83" vm="4676">
        <v>4015</v>
      </c>
      <c r="AE128" s="7">
        <f xml:space="preserve"> IFERROR( VfM_Metrics_2023_Consol[[#This Row],[Total Net Debt]] / VfM_Metrics_2023_Consol[[#This Row],[Net Book Value of Housing Properties2]], "n/a" )</f>
        <v>0.27071941702637953</v>
      </c>
      <c r="AF12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311764</v>
      </c>
      <c r="AG128" s="84" vm="4677">
        <v>5995</v>
      </c>
      <c r="AH128" s="83" vm="7380">
        <v>371805</v>
      </c>
      <c r="AI128" s="83" vm="4678">
        <v>66036</v>
      </c>
      <c r="AJ128" s="83" vm="4679">
        <v>0</v>
      </c>
      <c r="AK128" s="83" vm="4680">
        <v>0</v>
      </c>
      <c r="AL128" s="5">
        <f xml:space="preserve"> SUM( VfM_Metrics_2023_Consol[[#This Row],[Tangible fixed assets: Housing properties at cost (Current period)2]], VfM_Metrics_2023_Consol[[#This Row],[Tangible fixed assets Housing properties at valuation (Current period)2]] )</f>
        <v>1151613</v>
      </c>
      <c r="AM128" s="84" vm="4668">
        <v>1151613</v>
      </c>
      <c r="AN128" s="83" vm="4669">
        <v>0</v>
      </c>
      <c r="AO128" s="87">
        <f xml:space="preserve"> IFERROR( VfM_Metrics_2023_Consol[[#This Row],[EBITDA MRI]] / VfM_Metrics_2023_Consol[[#This Row],[Total interest]], "n/a" )</f>
        <v>0.52116935483870963</v>
      </c>
      <c r="AP12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8272</v>
      </c>
      <c r="AQ128" s="84" vm="4681">
        <v>17108</v>
      </c>
      <c r="AR128" s="84" vm="4682">
        <v>551</v>
      </c>
      <c r="AS128" s="84" vm="4683">
        <v>-46</v>
      </c>
      <c r="AT128" s="84" vm="7551">
        <v>6226</v>
      </c>
      <c r="AU128" s="84" vm="4684">
        <v>0</v>
      </c>
      <c r="AV128" s="84" vm="4372">
        <v>3916</v>
      </c>
      <c r="AW128" s="84" vm="4685">
        <v>29471</v>
      </c>
      <c r="AX128" s="84" vm="7317">
        <v>23450</v>
      </c>
      <c r="AY128" s="3">
        <f xml:space="preserve"> - SUM( VfM_Metrics_2023_Consol[[#This Row],[Interest capitalised]], VfM_Metrics_2023_Consol[[#This Row],[Interest payable and financing costs]] )</f>
        <v>15872</v>
      </c>
      <c r="AZ128" s="84" vm="7408">
        <v>-3016</v>
      </c>
      <c r="BA128" s="83" vm="4931">
        <v>-12856</v>
      </c>
      <c r="BB128" s="8">
        <f xml:space="preserve"> IFERROR( ( VfM_Metrics_2023_Consol[[#This Row],[Total Costs]] / VfM_Metrics_2023_Consol[[#This Row],[Total units for costs]] ) * 1000, "n/a" )</f>
        <v>4627.0953828056072</v>
      </c>
      <c r="BC12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141603</v>
      </c>
      <c r="BD128" s="84" vm="4686">
        <v>30301</v>
      </c>
      <c r="BE128" s="83" vm="4687">
        <v>14338</v>
      </c>
      <c r="BF128" s="83" vm="4688">
        <v>36753</v>
      </c>
      <c r="BG128" s="83" vm="6964">
        <v>20601</v>
      </c>
      <c r="BH128" s="83" vm="4689">
        <v>1252</v>
      </c>
      <c r="BI128" s="83" vm="7284">
        <v>0</v>
      </c>
      <c r="BJ128" s="83" vm="4685">
        <v>29471</v>
      </c>
      <c r="BK128" s="83" vm="4690">
        <v>156</v>
      </c>
      <c r="BL128" s="83" vm="4691">
        <v>1242</v>
      </c>
      <c r="BM128" s="83" vm="4692">
        <v>3028</v>
      </c>
      <c r="BN128" s="83" vm="4693">
        <v>302</v>
      </c>
      <c r="BO128" s="83" vm="4694">
        <v>4159</v>
      </c>
      <c r="BP128" s="5" vm="7407">
        <f xml:space="preserve"> VfM_Metrics_2023_Consol[[#This Row],[Total social housing units owned and/or managed at period end]]</f>
        <v>30603</v>
      </c>
      <c r="BQ128" s="84" vm="7407">
        <v>30603</v>
      </c>
      <c r="BR128" s="7">
        <f xml:space="preserve"> IFERROR( VfM_Metrics_2023_Consol[[#This Row],[SHL operating surplus / (deficit)]] / VfM_Metrics_2023_Consol[[#This Row],[Turnover from social housing lettings]], "n/a" )</f>
        <v>0.1444947291401317</v>
      </c>
      <c r="BS128" s="5" vm="2629">
        <f xml:space="preserve"> VfM_Metrics_2023_Consol[[#This Row],[Operating surplus/(deficit) (social housing lettings)]]</f>
        <v>21328</v>
      </c>
      <c r="BT128" s="84" vm="2629">
        <v>21328</v>
      </c>
      <c r="BU128" s="5" vm="4695">
        <f xml:space="preserve"> VfM_Metrics_2023_Consol[[#This Row],[Turnover from social housing lettings]]</f>
        <v>147604</v>
      </c>
      <c r="BV128" s="84" vm="4695">
        <v>147604</v>
      </c>
      <c r="BW128" s="7">
        <f xml:space="preserve"> IFERROR( VfM_Metrics_2023_Consol[[#This Row],[Net operating surplus]] / VfM_Metrics_2023_Consol[[#This Row],[Overall turnover]], "n/a" )</f>
        <v>9.8063304372478718E-2</v>
      </c>
      <c r="BX128" s="5">
        <f xml:space="preserve"> SUM( VfM_Metrics_2023_Consol[[#This Row],[Operating surplus/(deficit) (overall)2]], - VfM_Metrics_2023_Consol[[#This Row],[Gain/(loss) on disposal of fixed assets (housing properties)2]], - VfM_Metrics_2023_Consol[[#This Row],[Gain/(loss) on disposal of fixed assets (other)2]] )</f>
        <v>16603</v>
      </c>
      <c r="BY128" s="84" vm="6963">
        <v>17108</v>
      </c>
      <c r="BZ128" s="83" vm="4682">
        <v>551</v>
      </c>
      <c r="CA128" s="83" vm="4683">
        <v>-46</v>
      </c>
      <c r="CB128" s="5" vm="7406">
        <f xml:space="preserve"> VfM_Metrics_2023_Consol[[#This Row],[Turnover (overall)]]</f>
        <v>169309</v>
      </c>
      <c r="CC128" s="84" vm="7406">
        <v>169309</v>
      </c>
      <c r="CD128" s="7">
        <f xml:space="preserve"> IFERROR( VfM_Metrics_2023_Consol[[#This Row],[Operating surplus including from JVs]] / VfM_Metrics_2023_Consol[[#This Row],[Net assets]], "n/a" )</f>
        <v>1.3667300475986601E-2</v>
      </c>
      <c r="CE128" s="5">
        <f xml:space="preserve"> SUM( VfM_Metrics_2023_Consol[[#This Row],[Operating surplus/(deficit) (overall)3]], VfM_Metrics_2023_Consol[[#This Row],[Share of operating surplus/(deficit) in joint ventures or associates]] )</f>
        <v>17366</v>
      </c>
      <c r="CF128" s="84" vm="4681">
        <v>17108</v>
      </c>
      <c r="CG128" s="83" vm="7566">
        <v>258</v>
      </c>
      <c r="CH128" s="5" vm="4696">
        <f xml:space="preserve"> VfM_Metrics_2023_Consol[[#This Row],[Total assets less current liabilities]]</f>
        <v>1270624</v>
      </c>
      <c r="CI128" s="84" vm="4696">
        <v>1270624</v>
      </c>
      <c r="CJ128" s="71" vm="7345">
        <f xml:space="preserve"> VfM_Metrics_2023_Consol[[#This Row],[Total social housing units owned (Period end)]]</f>
        <v>29686</v>
      </c>
      <c r="CK128" s="103">
        <v>6.5031875063244177E-2</v>
      </c>
      <c r="CL128" s="6">
        <f xml:space="preserve"> -- ( VfM_Metrics_2023_Consol[[#This Row],[% Supported housing (excl. HOP)]] &gt; 0.3 )</f>
        <v>0</v>
      </c>
      <c r="CM128" s="103">
        <v>0.13067089418828212</v>
      </c>
      <c r="CN128" s="6">
        <f xml:space="preserve"> -- ( VfM_Metrics_2023_Consol[[#This Row],[% Housing for older people]] &gt; 0.3 )</f>
        <v>0</v>
      </c>
      <c r="CO128" s="103">
        <f xml:space="preserve"> VfM_Metrics_2023_Consol[[#This Row],[% Supported housing (excl. HOP)]] + VfM_Metrics_2023_Consol[[#This Row],[% Housing for older people]]</f>
        <v>0.1957027692515263</v>
      </c>
      <c r="CP128" s="6">
        <f xml:space="preserve"> -- ( VfM_Metrics_2023_Consol[[#This Row],[SH specialist in RSH analysis]] + VfM_Metrics_2023_Consol[[#This Row],[OP specialist in RSH analysis]] &gt; 0 )</f>
        <v>0</v>
      </c>
      <c r="CQ128" s="10">
        <f xml:space="preserve"> -- ( VfM_Metrics_2023_Consol[[#This Row],[% SH and OP]] &gt; 0.3 )</f>
        <v>0</v>
      </c>
      <c r="CR128" s="104" t="s">
        <v>143</v>
      </c>
      <c r="CS128" s="124"/>
      <c r="CT128" s="105" t="s">
        <v>151</v>
      </c>
      <c r="CU12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28" s="85">
        <v>0</v>
      </c>
      <c r="CW128" s="85">
        <v>0</v>
      </c>
      <c r="CX128" s="85">
        <v>0</v>
      </c>
      <c r="CY128" s="85">
        <v>1.3507125008441954E-4</v>
      </c>
      <c r="CZ128" s="85">
        <v>0</v>
      </c>
      <c r="DA128" s="85">
        <v>0</v>
      </c>
      <c r="DB128" s="85">
        <v>0</v>
      </c>
      <c r="DC128" s="85">
        <v>0.99986492874991562</v>
      </c>
      <c r="DD128" s="85">
        <v>0</v>
      </c>
      <c r="DE128" s="13">
        <v>0.96105664221790288</v>
      </c>
    </row>
    <row r="129" spans="1:109" x14ac:dyDescent="0.25">
      <c r="A129" s="4" t="s" vm="253">
        <v>382</v>
      </c>
      <c r="B129" s="2" t="s" vm="119">
        <v>383</v>
      </c>
      <c r="C129" s="72" vm="438">
        <v>45016</v>
      </c>
      <c r="D129" s="7">
        <f>IFERROR( VfM_Metrics_2023_Consol[[#This Row],[Reinvestment Spend]] / VfM_Metrics_2023_Consol[[#This Row],[Net Book Value of Housing Properties]], "n/a" )</f>
        <v>6.7644551525743946E-2</v>
      </c>
      <c r="E12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205517</v>
      </c>
      <c r="F129" s="83" vm="1947">
        <v>154464</v>
      </c>
      <c r="G129" s="83" vm="1850">
        <v>0</v>
      </c>
      <c r="H129" s="83" vm="1836">
        <v>42336</v>
      </c>
      <c r="I129" s="83" vm="7110">
        <v>8717</v>
      </c>
      <c r="J129" s="83" vm="7894">
        <v>0</v>
      </c>
      <c r="K129" s="5">
        <f xml:space="preserve"> SUM( VfM_Metrics_2023_Consol[[#This Row],[Tangible fixed assets: Housing properties at cost (Current period)]],VfM_Metrics_2023_Consol[[#This Row],[Tangible fixed assets Housing properties at valuation (Current period)]] )</f>
        <v>3038190</v>
      </c>
      <c r="L129" s="84" vm="1837">
        <v>3038190</v>
      </c>
      <c r="M129" s="83" vm="1838">
        <v>0</v>
      </c>
      <c r="N129" s="7">
        <f xml:space="preserve"> IFERROR( VfM_Metrics_2023_Consol[[#This Row],[Total social units developed or newly built units acquired in-year]] / VfM_Metrics_2023_Consol[[#This Row],[Social housing units owned (period end)]], "n/a" )</f>
        <v>2.1081233017895624E-2</v>
      </c>
      <c r="O129" s="5">
        <f xml:space="preserve"> SUM( VfM_Metrics_2023_Consol[[#This Row],[Total social units developed or newly built units acquired in-year (owned)]], VfM_Metrics_2023_Consol[[#This Row],[Total social leasehold units developed or newly built units acquired in-year (owned)]] )</f>
        <v>900</v>
      </c>
      <c r="P129" s="84" vm="1581">
        <v>900</v>
      </c>
      <c r="Q129" s="83" vm="8153">
        <v>0</v>
      </c>
      <c r="R129" s="5">
        <f xml:space="preserve"> SUM( VfM_Metrics_2023_Consol[[#This Row],[Total social housing units owned (Period end)]], VfM_Metrics_2023_Consol[[#This Row],[Total social leasehold units owned (Period end)]] )</f>
        <v>42692</v>
      </c>
      <c r="S129" s="84" vm="1834">
        <v>40339</v>
      </c>
      <c r="T129" s="83" vm="8081">
        <v>2353</v>
      </c>
      <c r="U129" s="86">
        <f xml:space="preserve"> IFERROR( VfM_Metrics_2023_Consol[[#This Row],[Total non-social housing units developed or newly built units acquired (owned)]] / VfM_Metrics_2023_Consol[[#This Row],[Total social and non-social housing units owned (Period end)]], "n/a" )</f>
        <v>7.5379145853021919E-3</v>
      </c>
      <c r="V12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335</v>
      </c>
      <c r="W129" s="83" vm="1840">
        <v>0</v>
      </c>
      <c r="X129" s="83" vm="1841">
        <v>0</v>
      </c>
      <c r="Y129" s="83" vm="1653">
        <v>335</v>
      </c>
      <c r="Z12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44442</v>
      </c>
      <c r="AA129" s="84" vm="1834">
        <v>40339</v>
      </c>
      <c r="AB129" s="83" vm="1839">
        <v>2353</v>
      </c>
      <c r="AC129" s="83" vm="1842">
        <v>194</v>
      </c>
      <c r="AD129" s="83" vm="1843">
        <v>1556</v>
      </c>
      <c r="AE129" s="7">
        <f xml:space="preserve"> IFERROR( VfM_Metrics_2023_Consol[[#This Row],[Total Net Debt]] / VfM_Metrics_2023_Consol[[#This Row],[Net Book Value of Housing Properties2]], "n/a" )</f>
        <v>0.49102952744890871</v>
      </c>
      <c r="AF12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1491841</v>
      </c>
      <c r="AG129" s="84" vm="1844">
        <v>12914</v>
      </c>
      <c r="AH129" s="83" vm="1754">
        <v>1545703</v>
      </c>
      <c r="AI129" s="83" vm="8080">
        <v>66776</v>
      </c>
      <c r="AJ129" s="83" vm="1355">
        <v>0</v>
      </c>
      <c r="AK129" s="83" vm="1845">
        <v>0</v>
      </c>
      <c r="AL129" s="5">
        <f xml:space="preserve"> SUM( VfM_Metrics_2023_Consol[[#This Row],[Tangible fixed assets: Housing properties at cost (Current period)2]], VfM_Metrics_2023_Consol[[#This Row],[Tangible fixed assets Housing properties at valuation (Current period)2]] )</f>
        <v>3038190</v>
      </c>
      <c r="AM129" s="84" vm="7985">
        <v>3038190</v>
      </c>
      <c r="AN129" s="83" vm="1838">
        <v>0</v>
      </c>
      <c r="AO129" s="87">
        <f xml:space="preserve"> IFERROR( VfM_Metrics_2023_Consol[[#This Row],[EBITDA MRI]] / VfM_Metrics_2023_Consol[[#This Row],[Total interest]], "n/a" )</f>
        <v>1.6917325357829525</v>
      </c>
      <c r="AP12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102947</v>
      </c>
      <c r="AQ129" s="84" vm="8078">
        <v>135224</v>
      </c>
      <c r="AR129" s="84" vm="1839">
        <v>30142</v>
      </c>
      <c r="AS129" s="84" vm="1848">
        <v>-17</v>
      </c>
      <c r="AT129" s="84" vm="1849">
        <v>12355</v>
      </c>
      <c r="AU129" s="84" vm="1787">
        <v>0</v>
      </c>
      <c r="AV129" s="84" vm="8202">
        <v>3092</v>
      </c>
      <c r="AW129" s="84" vm="1851">
        <v>42336</v>
      </c>
      <c r="AX129" s="84" vm="1852">
        <v>49447</v>
      </c>
      <c r="AY129" s="3">
        <f xml:space="preserve"> - SUM( VfM_Metrics_2023_Consol[[#This Row],[Interest capitalised]], VfM_Metrics_2023_Consol[[#This Row],[Interest payable and financing costs]] )</f>
        <v>60853</v>
      </c>
      <c r="AZ129" s="84" vm="1853">
        <v>-8717</v>
      </c>
      <c r="BA129" s="83" vm="1854">
        <v>-52136</v>
      </c>
      <c r="BB129" s="8">
        <f xml:space="preserve"> IFERROR( ( VfM_Metrics_2023_Consol[[#This Row],[Total Costs]] / VfM_Metrics_2023_Consol[[#This Row],[Total units for costs]] ) * 1000, "n/a" )</f>
        <v>4436.227967971442</v>
      </c>
      <c r="BC12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178953</v>
      </c>
      <c r="BD129" s="84" vm="1855">
        <v>32657</v>
      </c>
      <c r="BE129" s="83" vm="1856">
        <v>31526</v>
      </c>
      <c r="BF129" s="83" vm="1438">
        <v>37327</v>
      </c>
      <c r="BG129" s="83" vm="1857">
        <v>21095</v>
      </c>
      <c r="BH129" s="83" vm="1858">
        <v>0</v>
      </c>
      <c r="BI129" s="83" vm="8046">
        <v>0</v>
      </c>
      <c r="BJ129" s="83" vm="8102">
        <v>42336</v>
      </c>
      <c r="BK129" s="83" vm="1859">
        <v>109</v>
      </c>
      <c r="BL129" s="83" vm="1608">
        <v>0</v>
      </c>
      <c r="BM129" s="83" vm="1860">
        <v>3627</v>
      </c>
      <c r="BN129" s="83" vm="1861">
        <v>10236</v>
      </c>
      <c r="BO129" s="83" vm="1862">
        <v>40</v>
      </c>
      <c r="BP129" s="5" vm="1835">
        <f xml:space="preserve"> VfM_Metrics_2023_Consol[[#This Row],[Total social housing units owned and/or managed at period end]]</f>
        <v>40339</v>
      </c>
      <c r="BQ129" s="84" vm="1835">
        <v>40339</v>
      </c>
      <c r="BR129" s="7">
        <f xml:space="preserve"> IFERROR( VfM_Metrics_2023_Consol[[#This Row],[SHL operating surplus / (deficit)]] / VfM_Metrics_2023_Consol[[#This Row],[Turnover from social housing lettings]], "n/a" )</f>
        <v>0.34954262084521159</v>
      </c>
      <c r="BS129" s="5" vm="1863">
        <f xml:space="preserve"> VfM_Metrics_2023_Consol[[#This Row],[Operating surplus/(deficit) (social housing lettings)]]</f>
        <v>89262</v>
      </c>
      <c r="BT129" s="84" vm="1863">
        <v>89262</v>
      </c>
      <c r="BU129" s="5" vm="1864">
        <f xml:space="preserve"> VfM_Metrics_2023_Consol[[#This Row],[Turnover from social housing lettings]]</f>
        <v>255368</v>
      </c>
      <c r="BV129" s="84" vm="1864">
        <v>255368</v>
      </c>
      <c r="BW129" s="7">
        <f xml:space="preserve"> IFERROR( VfM_Metrics_2023_Consol[[#This Row],[Net operating surplus]] / VfM_Metrics_2023_Consol[[#This Row],[Overall turnover]], "n/a" )</f>
        <v>0.25124788433403139</v>
      </c>
      <c r="BX129" s="5">
        <f xml:space="preserve"> SUM( VfM_Metrics_2023_Consol[[#This Row],[Operating surplus/(deficit) (overall)2]], - VfM_Metrics_2023_Consol[[#This Row],[Gain/(loss) on disposal of fixed assets (housing properties)2]], - VfM_Metrics_2023_Consol[[#This Row],[Gain/(loss) on disposal of fixed assets (other)2]] )</f>
        <v>105099</v>
      </c>
      <c r="BY129" s="84" vm="1846">
        <v>135224</v>
      </c>
      <c r="BZ129" s="83" vm="1847">
        <v>30142</v>
      </c>
      <c r="CA129" s="83" vm="8137">
        <v>-17</v>
      </c>
      <c r="CB129" s="5" vm="8166">
        <f xml:space="preserve"> VfM_Metrics_2023_Consol[[#This Row],[Turnover (overall)]]</f>
        <v>418308</v>
      </c>
      <c r="CC129" s="84" vm="8166">
        <v>418308</v>
      </c>
      <c r="CD129" s="7">
        <f xml:space="preserve"> IFERROR( VfM_Metrics_2023_Consol[[#This Row],[Operating surplus including from JVs]] / VfM_Metrics_2023_Consol[[#This Row],[Net assets]], "n/a" )</f>
        <v>4.1848237316617638E-2</v>
      </c>
      <c r="CE129" s="5">
        <f xml:space="preserve"> SUM( VfM_Metrics_2023_Consol[[#This Row],[Operating surplus/(deficit) (overall)3]], VfM_Metrics_2023_Consol[[#This Row],[Share of operating surplus/(deficit) in joint ventures or associates]] )</f>
        <v>135224</v>
      </c>
      <c r="CF129" s="84" vm="1846">
        <v>135224</v>
      </c>
      <c r="CG129" s="83" vm="1800">
        <v>0</v>
      </c>
      <c r="CH129" s="5" vm="8212">
        <f xml:space="preserve"> VfM_Metrics_2023_Consol[[#This Row],[Total assets less current liabilities]]</f>
        <v>3231295</v>
      </c>
      <c r="CI129" s="84" vm="8212">
        <v>3231295</v>
      </c>
      <c r="CJ129" s="71" vm="1834">
        <f xml:space="preserve"> VfM_Metrics_2023_Consol[[#This Row],[Total social housing units owned (Period end)]]</f>
        <v>40339</v>
      </c>
      <c r="CK129" s="103">
        <v>1.5823257202567546E-2</v>
      </c>
      <c r="CL129" s="6">
        <f xml:space="preserve"> -- ( VfM_Metrics_2023_Consol[[#This Row],[% Supported housing (excl. HOP)]] &gt; 0.3 )</f>
        <v>0</v>
      </c>
      <c r="CM129" s="103">
        <v>6.7845947156291983E-2</v>
      </c>
      <c r="CN129" s="6">
        <f xml:space="preserve"> -- ( VfM_Metrics_2023_Consol[[#This Row],[% Housing for older people]] &gt; 0.3 )</f>
        <v>0</v>
      </c>
      <c r="CO129" s="103">
        <f xml:space="preserve"> VfM_Metrics_2023_Consol[[#This Row],[% Supported housing (excl. HOP)]] + VfM_Metrics_2023_Consol[[#This Row],[% Housing for older people]]</f>
        <v>8.3669204358859522E-2</v>
      </c>
      <c r="CP129" s="6">
        <f xml:space="preserve"> -- ( VfM_Metrics_2023_Consol[[#This Row],[SH specialist in RSH analysis]] + VfM_Metrics_2023_Consol[[#This Row],[OP specialist in RSH analysis]] &gt; 0 )</f>
        <v>0</v>
      </c>
      <c r="CQ129" s="10">
        <f xml:space="preserve"> -- ( VfM_Metrics_2023_Consol[[#This Row],[% SH and OP]] &gt; 0.3 )</f>
        <v>0</v>
      </c>
      <c r="CR129" s="104" t="s">
        <v>143</v>
      </c>
      <c r="CS129" s="124" t="s">
        <v>144</v>
      </c>
      <c r="CT129" s="105"/>
      <c r="CU12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29" s="85">
        <v>0.12815871047737135</v>
      </c>
      <c r="CW129" s="85">
        <v>0.27320520768753875</v>
      </c>
      <c r="CX129" s="85">
        <v>0</v>
      </c>
      <c r="CY129" s="85">
        <v>0.10492250464972101</v>
      </c>
      <c r="CZ129" s="85">
        <v>0.34060756354618721</v>
      </c>
      <c r="DA129" s="85">
        <v>0.15310601363918164</v>
      </c>
      <c r="DB129" s="85">
        <v>0</v>
      </c>
      <c r="DC129" s="85">
        <v>0</v>
      </c>
      <c r="DD129" s="85">
        <v>0</v>
      </c>
      <c r="DE129" s="13">
        <v>1.0133928692974183</v>
      </c>
    </row>
    <row r="130" spans="1:109" x14ac:dyDescent="0.25">
      <c r="A130" s="4" t="s" vm="348">
        <v>384</v>
      </c>
      <c r="B130" s="2" t="s" vm="120">
        <v>385</v>
      </c>
      <c r="C130" s="72" vm="494">
        <v>45016</v>
      </c>
      <c r="D130" s="7">
        <f>IFERROR( VfM_Metrics_2023_Consol[[#This Row],[Reinvestment Spend]] / VfM_Metrics_2023_Consol[[#This Row],[Net Book Value of Housing Properties]], "n/a" )</f>
        <v>8.4231461452665024E-2</v>
      </c>
      <c r="E13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79749</v>
      </c>
      <c r="F130" s="83" vm="5017">
        <v>70767</v>
      </c>
      <c r="G130" s="83" vm="5018">
        <v>0</v>
      </c>
      <c r="H130" s="83" vm="5019">
        <v>6912</v>
      </c>
      <c r="I130" s="83" vm="5020">
        <v>2070</v>
      </c>
      <c r="J130" s="83" vm="5021">
        <v>0</v>
      </c>
      <c r="K130" s="5">
        <f xml:space="preserve"> SUM( VfM_Metrics_2023_Consol[[#This Row],[Tangible fixed assets: Housing properties at cost (Current period)]],VfM_Metrics_2023_Consol[[#This Row],[Tangible fixed assets Housing properties at valuation (Current period)]] )</f>
        <v>946784</v>
      </c>
      <c r="L130" s="84" vm="5022">
        <v>946784</v>
      </c>
      <c r="M130" s="83">
        <v>0</v>
      </c>
      <c r="N130" s="7">
        <f xml:space="preserve"> IFERROR( VfM_Metrics_2023_Consol[[#This Row],[Total social units developed or newly built units acquired in-year]] / VfM_Metrics_2023_Consol[[#This Row],[Social housing units owned (period end)]], "n/a" )</f>
        <v>1.6461494417406242E-2</v>
      </c>
      <c r="O130" s="5">
        <f xml:space="preserve"> SUM( VfM_Metrics_2023_Consol[[#This Row],[Total social units developed or newly built units acquired in-year (owned)]], VfM_Metrics_2023_Consol[[#This Row],[Total social leasehold units developed or newly built units acquired in-year (owned)]] )</f>
        <v>115</v>
      </c>
      <c r="P130" s="84" vm="6956">
        <v>115</v>
      </c>
      <c r="Q130" s="83">
        <v>0</v>
      </c>
      <c r="R130" s="5">
        <f xml:space="preserve"> SUM( VfM_Metrics_2023_Consol[[#This Row],[Total social housing units owned (Period end)]], VfM_Metrics_2023_Consol[[#This Row],[Total social leasehold units owned (Period end)]] )</f>
        <v>6986</v>
      </c>
      <c r="S130" s="84" vm="5016">
        <v>6729</v>
      </c>
      <c r="T130" s="83" vm="5023">
        <v>257</v>
      </c>
      <c r="U130" s="86">
        <f xml:space="preserve"> IFERROR( VfM_Metrics_2023_Consol[[#This Row],[Total non-social housing units developed or newly built units acquired (owned)]] / VfM_Metrics_2023_Consol[[#This Row],[Total social and non-social housing units owned (Period end)]], "n/a" )</f>
        <v>5.1733057423693739E-4</v>
      </c>
      <c r="V13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4</v>
      </c>
      <c r="W130" s="83">
        <v>0</v>
      </c>
      <c r="X130" s="83" vm="5024">
        <v>4</v>
      </c>
      <c r="Y130" s="83">
        <v>0</v>
      </c>
      <c r="Z13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7732</v>
      </c>
      <c r="AA130" s="84" vm="5016">
        <v>6729</v>
      </c>
      <c r="AB130" s="83" vm="5023">
        <v>257</v>
      </c>
      <c r="AC130" s="83" vm="5025">
        <v>191</v>
      </c>
      <c r="AD130" s="83" vm="5026">
        <v>555</v>
      </c>
      <c r="AE130" s="7">
        <f xml:space="preserve"> IFERROR( VfM_Metrics_2023_Consol[[#This Row],[Total Net Debt]] / VfM_Metrics_2023_Consol[[#This Row],[Net Book Value of Housing Properties2]], "n/a" )</f>
        <v>0.52664704937979523</v>
      </c>
      <c r="AF13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498621</v>
      </c>
      <c r="AG130" s="84" vm="5027">
        <v>90544</v>
      </c>
      <c r="AH130" s="83" vm="5028">
        <v>413950</v>
      </c>
      <c r="AI130" s="83" vm="5029">
        <v>5873</v>
      </c>
      <c r="AJ130" s="83" vm="1675">
        <v>0</v>
      </c>
      <c r="AK130" s="83">
        <v>0</v>
      </c>
      <c r="AL130" s="5">
        <f xml:space="preserve"> SUM( VfM_Metrics_2023_Consol[[#This Row],[Tangible fixed assets: Housing properties at cost (Current period)2]], VfM_Metrics_2023_Consol[[#This Row],[Tangible fixed assets Housing properties at valuation (Current period)2]] )</f>
        <v>946784</v>
      </c>
      <c r="AM130" s="84" vm="5022">
        <v>946784</v>
      </c>
      <c r="AN130" s="83">
        <v>0</v>
      </c>
      <c r="AO130" s="87">
        <f xml:space="preserve"> IFERROR( VfM_Metrics_2023_Consol[[#This Row],[EBITDA MRI]] / VfM_Metrics_2023_Consol[[#This Row],[Total interest]], "n/a" )</f>
        <v>0.61129300936297315</v>
      </c>
      <c r="AP13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10642</v>
      </c>
      <c r="AQ130" s="84" vm="5030">
        <v>12470</v>
      </c>
      <c r="AR130" s="84" vm="5031">
        <v>1312</v>
      </c>
      <c r="AS130" s="84">
        <v>0</v>
      </c>
      <c r="AT130" s="84" vm="5032">
        <v>1876</v>
      </c>
      <c r="AU130" s="84" vm="5033">
        <v>0</v>
      </c>
      <c r="AV130" s="84" vm="5034">
        <v>97</v>
      </c>
      <c r="AW130" s="84" vm="5035">
        <v>6912</v>
      </c>
      <c r="AX130" s="84" vm="5036">
        <v>8175</v>
      </c>
      <c r="AY130" s="3">
        <f xml:space="preserve"> - SUM( VfM_Metrics_2023_Consol[[#This Row],[Interest capitalised]], VfM_Metrics_2023_Consol[[#This Row],[Interest payable and financing costs]] )</f>
        <v>17409</v>
      </c>
      <c r="AZ130" s="84" vm="4096">
        <v>-2070</v>
      </c>
      <c r="BA130" s="83" vm="6955">
        <v>-15339</v>
      </c>
      <c r="BB130" s="8">
        <f xml:space="preserve"> IFERROR( ( VfM_Metrics_2023_Consol[[#This Row],[Total Costs]] / VfM_Metrics_2023_Consol[[#This Row],[Total units for costs]] ) * 1000, "n/a" )</f>
        <v>7181.4941333729394</v>
      </c>
      <c r="BC13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48353</v>
      </c>
      <c r="BD130" s="84" vm="5037">
        <v>10240</v>
      </c>
      <c r="BE130" s="83" vm="5038">
        <v>8452</v>
      </c>
      <c r="BF130" s="83" vm="5039">
        <v>7099</v>
      </c>
      <c r="BG130" s="83" vm="5040">
        <v>3954</v>
      </c>
      <c r="BH130" s="83" vm="5041">
        <v>0</v>
      </c>
      <c r="BI130" s="83" vm="5042">
        <v>0</v>
      </c>
      <c r="BJ130" s="83" vm="5035">
        <v>6912</v>
      </c>
      <c r="BK130" s="83" vm="5043">
        <v>8764</v>
      </c>
      <c r="BL130" s="83">
        <v>0</v>
      </c>
      <c r="BM130" s="83" vm="5044">
        <v>292</v>
      </c>
      <c r="BN130" s="83">
        <v>0</v>
      </c>
      <c r="BO130" s="83" vm="5045">
        <v>2640</v>
      </c>
      <c r="BP130" s="5" vm="7343">
        <f xml:space="preserve"> VfM_Metrics_2023_Consol[[#This Row],[Total social housing units owned and/or managed at period end]]</f>
        <v>6733</v>
      </c>
      <c r="BQ130" s="84" vm="7343">
        <v>6733</v>
      </c>
      <c r="BR130" s="7">
        <f xml:space="preserve"> IFERROR( VfM_Metrics_2023_Consol[[#This Row],[SHL operating surplus / (deficit)]] / VfM_Metrics_2023_Consol[[#This Row],[Turnover from social housing lettings]], "n/a" )</f>
        <v>0.10597012077617295</v>
      </c>
      <c r="BS130" s="5" vm="5046">
        <f xml:space="preserve"> VfM_Metrics_2023_Consol[[#This Row],[Operating surplus/(deficit) (social housing lettings)]]</f>
        <v>5554</v>
      </c>
      <c r="BT130" s="84" vm="5046">
        <v>5554</v>
      </c>
      <c r="BU130" s="5" vm="5047">
        <f xml:space="preserve"> VfM_Metrics_2023_Consol[[#This Row],[Turnover from social housing lettings]]</f>
        <v>52411</v>
      </c>
      <c r="BV130" s="84" vm="5047">
        <v>52411</v>
      </c>
      <c r="BW130" s="7">
        <f xml:space="preserve"> IFERROR( VfM_Metrics_2023_Consol[[#This Row],[Net operating surplus]] / VfM_Metrics_2023_Consol[[#This Row],[Overall turnover]], "n/a" )</f>
        <v>0.16310480923841544</v>
      </c>
      <c r="BX130" s="5">
        <f xml:space="preserve"> SUM( VfM_Metrics_2023_Consol[[#This Row],[Operating surplus/(deficit) (overall)2]], - VfM_Metrics_2023_Consol[[#This Row],[Gain/(loss) on disposal of fixed assets (housing properties)2]], - VfM_Metrics_2023_Consol[[#This Row],[Gain/(loss) on disposal of fixed assets (other)2]] )</f>
        <v>11158</v>
      </c>
      <c r="BY130" s="84" vm="5030">
        <v>12470</v>
      </c>
      <c r="BZ130" s="83" vm="5031">
        <v>1312</v>
      </c>
      <c r="CA130" s="83">
        <v>0</v>
      </c>
      <c r="CB130" s="5" vm="6932">
        <f xml:space="preserve"> VfM_Metrics_2023_Consol[[#This Row],[Turnover (overall)]]</f>
        <v>68410</v>
      </c>
      <c r="CC130" s="84" vm="6932">
        <v>68410</v>
      </c>
      <c r="CD130" s="7">
        <f xml:space="preserve"> IFERROR( VfM_Metrics_2023_Consol[[#This Row],[Operating surplus including from JVs]] / VfM_Metrics_2023_Consol[[#This Row],[Net assets]], "n/a" )</f>
        <v>1.4659148486942823E-2</v>
      </c>
      <c r="CE130" s="5">
        <f xml:space="preserve"> SUM( VfM_Metrics_2023_Consol[[#This Row],[Operating surplus/(deficit) (overall)3]], VfM_Metrics_2023_Consol[[#This Row],[Share of operating surplus/(deficit) in joint ventures or associates]] )</f>
        <v>13511</v>
      </c>
      <c r="CF130" s="84" vm="7252">
        <v>12470</v>
      </c>
      <c r="CG130" s="83" vm="5049">
        <v>1041</v>
      </c>
      <c r="CH130" s="5" vm="5048">
        <f xml:space="preserve"> VfM_Metrics_2023_Consol[[#This Row],[Total assets less current liabilities]]</f>
        <v>921677</v>
      </c>
      <c r="CI130" s="84" vm="5048">
        <v>921677</v>
      </c>
      <c r="CJ130" s="71" vm="5016">
        <f xml:space="preserve"> VfM_Metrics_2023_Consol[[#This Row],[Total social housing units owned (Period end)]]</f>
        <v>6729</v>
      </c>
      <c r="CK130" s="103">
        <v>4.4390243902439022E-2</v>
      </c>
      <c r="CL130" s="6">
        <f xml:space="preserve"> -- ( VfM_Metrics_2023_Consol[[#This Row],[% Supported housing (excl. HOP)]] &gt; 0.3 )</f>
        <v>0</v>
      </c>
      <c r="CM130" s="103">
        <v>6.5365853658536588E-2</v>
      </c>
      <c r="CN130" s="6">
        <f xml:space="preserve"> -- ( VfM_Metrics_2023_Consol[[#This Row],[% Housing for older people]] &gt; 0.3 )</f>
        <v>0</v>
      </c>
      <c r="CO130" s="103">
        <f xml:space="preserve"> VfM_Metrics_2023_Consol[[#This Row],[% Supported housing (excl. HOP)]] + VfM_Metrics_2023_Consol[[#This Row],[% Housing for older people]]</f>
        <v>0.10975609756097561</v>
      </c>
      <c r="CP130" s="6">
        <f xml:space="preserve"> -- ( VfM_Metrics_2023_Consol[[#This Row],[SH specialist in RSH analysis]] + VfM_Metrics_2023_Consol[[#This Row],[OP specialist in RSH analysis]] &gt; 0 )</f>
        <v>0</v>
      </c>
      <c r="CQ130" s="10">
        <f xml:space="preserve"> -- ( VfM_Metrics_2023_Consol[[#This Row],[% SH and OP]] &gt; 0.3 )</f>
        <v>0</v>
      </c>
      <c r="CR130" s="104" t="s">
        <v>143</v>
      </c>
      <c r="CS130" s="124" t="s">
        <v>144</v>
      </c>
      <c r="CT130" s="105"/>
      <c r="CU13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30" s="85">
        <v>0.78719948018193631</v>
      </c>
      <c r="CW130" s="85">
        <v>4.8732943469785572E-4</v>
      </c>
      <c r="CX130" s="85">
        <v>0</v>
      </c>
      <c r="CY130" s="85">
        <v>0</v>
      </c>
      <c r="CZ130" s="85">
        <v>0</v>
      </c>
      <c r="DA130" s="85">
        <v>0.21231319038336582</v>
      </c>
      <c r="DB130" s="85">
        <v>0</v>
      </c>
      <c r="DC130" s="85">
        <v>0</v>
      </c>
      <c r="DD130" s="85">
        <v>0</v>
      </c>
      <c r="DE130" s="13">
        <v>1.1286736737182432</v>
      </c>
    </row>
    <row r="131" spans="1:109" x14ac:dyDescent="0.25">
      <c r="A131" s="4" t="s" vm="308">
        <v>386</v>
      </c>
      <c r="B131" s="2" t="s" vm="121">
        <v>387</v>
      </c>
      <c r="C131" s="72" vm="560">
        <v>44926</v>
      </c>
      <c r="D131" s="7">
        <f>IFERROR( VfM_Metrics_2023_Consol[[#This Row],[Reinvestment Spend]] / VfM_Metrics_2023_Consol[[#This Row],[Net Book Value of Housing Properties]], "n/a" )</f>
        <v>3.7495938921377515E-2</v>
      </c>
      <c r="E13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9233</v>
      </c>
      <c r="F131" s="83" vm="7561">
        <v>6946</v>
      </c>
      <c r="G131" s="83" vm="3609">
        <v>0</v>
      </c>
      <c r="H131" s="83" vm="3610">
        <v>2287</v>
      </c>
      <c r="I131" s="83" vm="3611">
        <v>0</v>
      </c>
      <c r="J131" s="83" vm="3612">
        <v>0</v>
      </c>
      <c r="K131" s="5">
        <f xml:space="preserve"> SUM( VfM_Metrics_2023_Consol[[#This Row],[Tangible fixed assets: Housing properties at cost (Current period)]],VfM_Metrics_2023_Consol[[#This Row],[Tangible fixed assets Housing properties at valuation (Current period)]] )</f>
        <v>246240</v>
      </c>
      <c r="L131" s="84" vm="7820">
        <v>246240</v>
      </c>
      <c r="M131" s="83">
        <v>0</v>
      </c>
      <c r="N131" s="7">
        <f xml:space="preserve"> IFERROR( VfM_Metrics_2023_Consol[[#This Row],[Total social units developed or newly built units acquired in-year]] / VfM_Metrics_2023_Consol[[#This Row],[Social housing units owned (period end)]], "n/a" )</f>
        <v>9.3579412529243566E-3</v>
      </c>
      <c r="O131" s="5">
        <v>36</v>
      </c>
      <c r="P131" s="84" vm="3607">
        <v>3847</v>
      </c>
      <c r="Q131" s="83">
        <v>0</v>
      </c>
      <c r="R131" s="5">
        <f xml:space="preserve"> SUM( VfM_Metrics_2023_Consol[[#This Row],[Total social housing units owned (Period end)]], VfM_Metrics_2023_Consol[[#This Row],[Total social leasehold units owned (Period end)]] )</f>
        <v>3847</v>
      </c>
      <c r="S131" s="84" vm="3607">
        <v>3847</v>
      </c>
      <c r="T131" s="83" vm="3621">
        <v>0</v>
      </c>
      <c r="U131" s="86">
        <f xml:space="preserve"> IFERROR( VfM_Metrics_2023_Consol[[#This Row],[Total non-social housing units developed or newly built units acquired (owned)]] / VfM_Metrics_2023_Consol[[#This Row],[Total social and non-social housing units owned (Period end)]], "n/a" )</f>
        <v>3.6165469407976221E-2</v>
      </c>
      <c r="V13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146</v>
      </c>
      <c r="W131" s="83" vm="3615">
        <v>130</v>
      </c>
      <c r="X131" s="83">
        <v>0</v>
      </c>
      <c r="Y131" s="83" vm="3616">
        <v>16</v>
      </c>
      <c r="Z13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4037</v>
      </c>
      <c r="AA131" s="84" vm="5048">
        <v>3847</v>
      </c>
      <c r="AB131" s="83" vm="3614">
        <v>0</v>
      </c>
      <c r="AC131" s="83" vm="3617">
        <v>190</v>
      </c>
      <c r="AD131" s="83" vm="3618">
        <v>0</v>
      </c>
      <c r="AE131" s="7">
        <f xml:space="preserve"> IFERROR( VfM_Metrics_2023_Consol[[#This Row],[Total Net Debt]] / VfM_Metrics_2023_Consol[[#This Row],[Net Book Value of Housing Properties2]], "n/a" )</f>
        <v>0.43252923976608187</v>
      </c>
      <c r="AF13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106506</v>
      </c>
      <c r="AG131" s="84" vm="7590">
        <v>2878</v>
      </c>
      <c r="AH131" s="83" vm="3619">
        <v>107887</v>
      </c>
      <c r="AI131" s="83" vm="7670">
        <v>4259</v>
      </c>
      <c r="AJ131" s="83" vm="1675">
        <v>0</v>
      </c>
      <c r="AK131" s="83">
        <v>0</v>
      </c>
      <c r="AL131" s="5">
        <f xml:space="preserve"> SUM( VfM_Metrics_2023_Consol[[#This Row],[Tangible fixed assets: Housing properties at cost (Current period)2]], VfM_Metrics_2023_Consol[[#This Row],[Tangible fixed assets Housing properties at valuation (Current period)2]] )</f>
        <v>246240</v>
      </c>
      <c r="AM131" s="84" vm="3613">
        <v>246240</v>
      </c>
      <c r="AN131" s="83">
        <v>0</v>
      </c>
      <c r="AO131" s="87">
        <f xml:space="preserve"> IFERROR( VfM_Metrics_2023_Consol[[#This Row],[EBITDA MRI]] / VfM_Metrics_2023_Consol[[#This Row],[Total interest]], "n/a" )</f>
        <v>1.6671368124118477</v>
      </c>
      <c r="AP13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5910</v>
      </c>
      <c r="AQ131" s="84" vm="3620">
        <v>5926</v>
      </c>
      <c r="AR131" s="84" vm="7370">
        <v>426</v>
      </c>
      <c r="AS131" s="84">
        <v>0</v>
      </c>
      <c r="AT131" s="84" vm="3594">
        <v>911</v>
      </c>
      <c r="AU131" s="84" vm="3687">
        <v>176</v>
      </c>
      <c r="AV131" s="84" vm="3622">
        <v>60</v>
      </c>
      <c r="AW131" s="84" vm="7636">
        <v>2287</v>
      </c>
      <c r="AX131" s="84" vm="3624">
        <v>3724</v>
      </c>
      <c r="AY131" s="3">
        <f xml:space="preserve"> - SUM( VfM_Metrics_2023_Consol[[#This Row],[Interest capitalised]], VfM_Metrics_2023_Consol[[#This Row],[Interest payable and financing costs]] )</f>
        <v>3545</v>
      </c>
      <c r="AZ131" s="84">
        <v>0</v>
      </c>
      <c r="BA131" s="83" vm="7073">
        <v>-3545</v>
      </c>
      <c r="BB131" s="8">
        <f xml:space="preserve"> IFERROR( ( VfM_Metrics_2023_Consol[[#This Row],[Total Costs]] / VfM_Metrics_2023_Consol[[#This Row],[Total units for costs]] ) * 1000, "n/a" )</f>
        <v>10012.856775520699</v>
      </c>
      <c r="BC13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38940</v>
      </c>
      <c r="BD131" s="84" vm="3598">
        <v>6548</v>
      </c>
      <c r="BE131" s="83" vm="3625">
        <v>2570</v>
      </c>
      <c r="BF131" s="83" vm="3626">
        <v>3390</v>
      </c>
      <c r="BG131" s="83" vm="7669">
        <v>1447</v>
      </c>
      <c r="BH131" s="83" vm="6993">
        <v>0</v>
      </c>
      <c r="BI131" s="83" vm="3627">
        <v>361</v>
      </c>
      <c r="BJ131" s="83" vm="3623">
        <v>2287</v>
      </c>
      <c r="BK131" s="83" vm="3628">
        <v>0</v>
      </c>
      <c r="BL131" s="83" vm="3629">
        <v>8865</v>
      </c>
      <c r="BM131" s="83" vm="3238">
        <v>49</v>
      </c>
      <c r="BN131" s="83" vm="3630">
        <v>9386</v>
      </c>
      <c r="BO131" s="83" vm="3631">
        <v>4037</v>
      </c>
      <c r="BP131" s="5" vm="3608">
        <f xml:space="preserve"> VfM_Metrics_2023_Consol[[#This Row],[Total social housing units owned and/or managed at period end]]</f>
        <v>3889</v>
      </c>
      <c r="BQ131" s="84" vm="3608">
        <v>3889</v>
      </c>
      <c r="BR131" s="7">
        <f xml:space="preserve"> IFERROR( VfM_Metrics_2023_Consol[[#This Row],[SHL operating surplus / (deficit)]] / VfM_Metrics_2023_Consol[[#This Row],[Turnover from social housing lettings]], "n/a" )</f>
        <v>0.19595750427658234</v>
      </c>
      <c r="BS131" s="5" vm="3632">
        <f xml:space="preserve"> VfM_Metrics_2023_Consol[[#This Row],[Operating surplus/(deficit) (social housing lettings)]]</f>
        <v>4353</v>
      </c>
      <c r="BT131" s="84" vm="3632">
        <v>4353</v>
      </c>
      <c r="BU131" s="5" vm="3633">
        <f xml:space="preserve"> VfM_Metrics_2023_Consol[[#This Row],[Turnover from social housing lettings]]</f>
        <v>22214</v>
      </c>
      <c r="BV131" s="84" vm="3633">
        <v>22214</v>
      </c>
      <c r="BW131" s="7">
        <f xml:space="preserve"> IFERROR( VfM_Metrics_2023_Consol[[#This Row],[Net operating surplus]] / VfM_Metrics_2023_Consol[[#This Row],[Overall turnover]], "n/a" )</f>
        <v>0.10587306781651235</v>
      </c>
      <c r="BX131" s="5">
        <f xml:space="preserve"> SUM( VfM_Metrics_2023_Consol[[#This Row],[Operating surplus/(deficit) (overall)2]], - VfM_Metrics_2023_Consol[[#This Row],[Gain/(loss) on disposal of fixed assets (housing properties)2]], - VfM_Metrics_2023_Consol[[#This Row],[Gain/(loss) on disposal of fixed assets (other)2]] )</f>
        <v>5500</v>
      </c>
      <c r="BY131" s="84" vm="3620">
        <v>5926</v>
      </c>
      <c r="BZ131" s="83" vm="3621">
        <v>426</v>
      </c>
      <c r="CA131" s="83">
        <v>0</v>
      </c>
      <c r="CB131" s="5" vm="3634">
        <f xml:space="preserve"> VfM_Metrics_2023_Consol[[#This Row],[Turnover (overall)]]</f>
        <v>51949</v>
      </c>
      <c r="CC131" s="84" vm="3634">
        <v>51949</v>
      </c>
      <c r="CD131" s="7">
        <f xml:space="preserve"> IFERROR( VfM_Metrics_2023_Consol[[#This Row],[Operating surplus including from JVs]] / VfM_Metrics_2023_Consol[[#This Row],[Net assets]], "n/a" )</f>
        <v>2.2521187245848059E-2</v>
      </c>
      <c r="CE131" s="5">
        <f xml:space="preserve"> SUM( VfM_Metrics_2023_Consol[[#This Row],[Operating surplus/(deficit) (overall)3]], VfM_Metrics_2023_Consol[[#This Row],[Share of operating surplus/(deficit) in joint ventures or associates]] )</f>
        <v>5926</v>
      </c>
      <c r="CF131" s="84" vm="7202">
        <v>5926</v>
      </c>
      <c r="CG131" s="83">
        <v>0</v>
      </c>
      <c r="CH131" s="5" vm="3635">
        <f xml:space="preserve"> VfM_Metrics_2023_Consol[[#This Row],[Total assets less current liabilities]]</f>
        <v>263130</v>
      </c>
      <c r="CI131" s="84" vm="3635">
        <v>263130</v>
      </c>
      <c r="CJ131" s="71" vm="3607">
        <f xml:space="preserve"> VfM_Metrics_2023_Consol[[#This Row],[Total social housing units owned (Period end)]]</f>
        <v>3847</v>
      </c>
      <c r="CK131" s="103">
        <v>0.10132501948558068</v>
      </c>
      <c r="CL131" s="6">
        <f xml:space="preserve"> -- ( VfM_Metrics_2023_Consol[[#This Row],[% Supported housing (excl. HOP)]] &gt; 0.3 )</f>
        <v>0</v>
      </c>
      <c r="CM131" s="103">
        <v>0.11119771369186801</v>
      </c>
      <c r="CN131" s="6">
        <f xml:space="preserve"> -- ( VfM_Metrics_2023_Consol[[#This Row],[% Housing for older people]] &gt; 0.3 )</f>
        <v>0</v>
      </c>
      <c r="CO131" s="103">
        <f xml:space="preserve"> VfM_Metrics_2023_Consol[[#This Row],[% Supported housing (excl. HOP)]] + VfM_Metrics_2023_Consol[[#This Row],[% Housing for older people]]</f>
        <v>0.21252273317744869</v>
      </c>
      <c r="CP131" s="6">
        <f xml:space="preserve"> -- ( VfM_Metrics_2023_Consol[[#This Row],[SH specialist in RSH analysis]] + VfM_Metrics_2023_Consol[[#This Row],[OP specialist in RSH analysis]] &gt; 0 )</f>
        <v>0</v>
      </c>
      <c r="CQ131" s="10">
        <f xml:space="preserve"> -- ( VfM_Metrics_2023_Consol[[#This Row],[% SH and OP]] &gt; 0.3 )</f>
        <v>0</v>
      </c>
      <c r="CR131" s="104" t="s">
        <v>143</v>
      </c>
      <c r="CS131" s="124" t="s">
        <v>144</v>
      </c>
      <c r="CT131" s="105"/>
      <c r="CU13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131" s="85">
        <v>0</v>
      </c>
      <c r="CW131" s="85">
        <v>0</v>
      </c>
      <c r="CX131" s="85">
        <v>0</v>
      </c>
      <c r="CY131" s="85">
        <v>0</v>
      </c>
      <c r="CZ131" s="85">
        <v>0</v>
      </c>
      <c r="DA131" s="85">
        <v>1</v>
      </c>
      <c r="DB131" s="85">
        <v>0</v>
      </c>
      <c r="DC131" s="85">
        <v>0</v>
      </c>
      <c r="DD131" s="85">
        <v>0</v>
      </c>
      <c r="DE131" s="13">
        <v>1.0113701298544711</v>
      </c>
    </row>
    <row r="132" spans="1:109" x14ac:dyDescent="0.25">
      <c r="A132" s="4" t="s" vm="287">
        <v>388</v>
      </c>
      <c r="B132" s="2" t="s" vm="122">
        <v>389</v>
      </c>
      <c r="C132" s="72" vm="562">
        <v>45016</v>
      </c>
      <c r="D132" s="7">
        <f>IFERROR( VfM_Metrics_2023_Consol[[#This Row],[Reinvestment Spend]] / VfM_Metrics_2023_Consol[[#This Row],[Net Book Value of Housing Properties]], "n/a" )</f>
        <v>6.7325251006994574E-2</v>
      </c>
      <c r="E13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102125</v>
      </c>
      <c r="F132" s="83" vm="2899">
        <v>91893</v>
      </c>
      <c r="G132" s="83" vm="2900">
        <v>0</v>
      </c>
      <c r="H132" s="83" vm="2901">
        <v>8100</v>
      </c>
      <c r="I132" s="83" vm="2902">
        <v>2132</v>
      </c>
      <c r="J132" s="83" vm="2903">
        <v>0</v>
      </c>
      <c r="K132" s="5">
        <f xml:space="preserve"> SUM( VfM_Metrics_2023_Consol[[#This Row],[Tangible fixed assets: Housing properties at cost (Current period)]],VfM_Metrics_2023_Consol[[#This Row],[Tangible fixed assets Housing properties at valuation (Current period)]] )</f>
        <v>1516890</v>
      </c>
      <c r="L132" s="84" vm="2904">
        <v>1516890</v>
      </c>
      <c r="M132" s="83">
        <v>0</v>
      </c>
      <c r="N132" s="7">
        <f xml:space="preserve"> IFERROR( VfM_Metrics_2023_Consol[[#This Row],[Total social units developed or newly built units acquired in-year]] / VfM_Metrics_2023_Consol[[#This Row],[Social housing units owned (period end)]], "n/a" )</f>
        <v>2.9693741677762984E-2</v>
      </c>
      <c r="O132" s="5">
        <f xml:space="preserve"> SUM( VfM_Metrics_2023_Consol[[#This Row],[Total social units developed or newly built units acquired in-year (owned)]], VfM_Metrics_2023_Consol[[#This Row],[Total social leasehold units developed or newly built units acquired in-year (owned)]] )</f>
        <v>446</v>
      </c>
      <c r="P132" s="84" vm="2905">
        <v>446</v>
      </c>
      <c r="Q132" s="83">
        <v>0</v>
      </c>
      <c r="R132" s="5">
        <f xml:space="preserve"> SUM( VfM_Metrics_2023_Consol[[#This Row],[Total social housing units owned (Period end)]], VfM_Metrics_2023_Consol[[#This Row],[Total social leasehold units owned (Period end)]] )</f>
        <v>15020</v>
      </c>
      <c r="S132" s="84" vm="2897">
        <v>15020</v>
      </c>
      <c r="T132" s="83" vm="2907">
        <v>0</v>
      </c>
      <c r="U132" s="86">
        <f xml:space="preserve"> IFERROR( VfM_Metrics_2023_Consol[[#This Row],[Total non-social housing units developed or newly built units acquired (owned)]] / VfM_Metrics_2023_Consol[[#This Row],[Total social and non-social housing units owned (Period end)]], "n/a" )</f>
        <v>0</v>
      </c>
      <c r="V13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32" s="83">
        <v>0</v>
      </c>
      <c r="X132" s="83">
        <v>0</v>
      </c>
      <c r="Y132" s="83">
        <v>0</v>
      </c>
      <c r="Z13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16142</v>
      </c>
      <c r="AA132" s="84" vm="2897">
        <v>15020</v>
      </c>
      <c r="AB132" s="83" vm="2907">
        <v>0</v>
      </c>
      <c r="AC132" s="83" vm="2908">
        <v>313</v>
      </c>
      <c r="AD132" s="83" vm="2909">
        <v>809</v>
      </c>
      <c r="AE132" s="7">
        <f xml:space="preserve"> IFERROR( VfM_Metrics_2023_Consol[[#This Row],[Total Net Debt]] / VfM_Metrics_2023_Consol[[#This Row],[Net Book Value of Housing Properties2]], "n/a" )</f>
        <v>0.55483456282261734</v>
      </c>
      <c r="AF13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841623</v>
      </c>
      <c r="AG132" s="84" vm="2910">
        <v>3838</v>
      </c>
      <c r="AH132" s="83" vm="7475">
        <v>855478</v>
      </c>
      <c r="AI132" s="83" vm="2911">
        <v>17693</v>
      </c>
      <c r="AJ132" s="83" vm="1675">
        <v>0</v>
      </c>
      <c r="AK132" s="83">
        <v>0</v>
      </c>
      <c r="AL132" s="5">
        <f xml:space="preserve"> SUM( VfM_Metrics_2023_Consol[[#This Row],[Tangible fixed assets: Housing properties at cost (Current period)2]], VfM_Metrics_2023_Consol[[#This Row],[Tangible fixed assets Housing properties at valuation (Current period)2]] )</f>
        <v>1516890</v>
      </c>
      <c r="AM132" s="84" vm="2904">
        <v>1516890</v>
      </c>
      <c r="AN132" s="83">
        <v>0</v>
      </c>
      <c r="AO132" s="87">
        <f xml:space="preserve"> IFERROR( VfM_Metrics_2023_Consol[[#This Row],[EBITDA MRI]] / VfM_Metrics_2023_Consol[[#This Row],[Total interest]], "n/a" )</f>
        <v>1.4250862179077788</v>
      </c>
      <c r="AP13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44628</v>
      </c>
      <c r="AQ132" s="84" vm="2912">
        <v>47614</v>
      </c>
      <c r="AR132" s="84" vm="2847">
        <v>6840</v>
      </c>
      <c r="AS132" s="84">
        <v>0</v>
      </c>
      <c r="AT132" s="84" vm="2914">
        <v>400</v>
      </c>
      <c r="AU132" s="84" vm="2915">
        <v>0</v>
      </c>
      <c r="AV132" s="84" vm="2916">
        <v>395</v>
      </c>
      <c r="AW132" s="84" vm="2917">
        <v>8100</v>
      </c>
      <c r="AX132" s="84" vm="2918">
        <v>11959</v>
      </c>
      <c r="AY132" s="3">
        <f xml:space="preserve"> - SUM( VfM_Metrics_2023_Consol[[#This Row],[Interest capitalised]], VfM_Metrics_2023_Consol[[#This Row],[Interest payable and financing costs]] )</f>
        <v>31316</v>
      </c>
      <c r="AZ132" s="84" vm="7479">
        <v>-2179</v>
      </c>
      <c r="BA132" s="83" vm="2919">
        <v>-29137</v>
      </c>
      <c r="BB132" s="8">
        <f xml:space="preserve"> IFERROR( ( VfM_Metrics_2023_Consol[[#This Row],[Total Costs]] / VfM_Metrics_2023_Consol[[#This Row],[Total units for costs]] ) * 1000, "n/a" )</f>
        <v>4289.4475686404239</v>
      </c>
      <c r="BC13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64835</v>
      </c>
      <c r="BD132" s="84" vm="2920">
        <v>11121</v>
      </c>
      <c r="BE132" s="83" vm="2921">
        <v>8014</v>
      </c>
      <c r="BF132" s="83" vm="2922">
        <v>20578</v>
      </c>
      <c r="BG132" s="83" vm="2923">
        <v>9869</v>
      </c>
      <c r="BH132" s="83" vm="2924">
        <v>0</v>
      </c>
      <c r="BI132" s="83" vm="2925">
        <v>2651</v>
      </c>
      <c r="BJ132" s="83" vm="2917">
        <v>8100</v>
      </c>
      <c r="BK132" s="83" vm="2926">
        <v>3012</v>
      </c>
      <c r="BL132" s="83" vm="2927">
        <v>87</v>
      </c>
      <c r="BM132" s="83">
        <v>0</v>
      </c>
      <c r="BN132" s="83" vm="2928">
        <v>1381</v>
      </c>
      <c r="BO132" s="83" vm="2929">
        <v>22</v>
      </c>
      <c r="BP132" s="5" vm="2898">
        <f xml:space="preserve"> VfM_Metrics_2023_Consol[[#This Row],[Total social housing units owned and/or managed at period end]]</f>
        <v>15115</v>
      </c>
      <c r="BQ132" s="84" vm="2898">
        <v>15115</v>
      </c>
      <c r="BR132" s="7">
        <f xml:space="preserve"> IFERROR( VfM_Metrics_2023_Consol[[#This Row],[SHL operating surplus / (deficit)]] / VfM_Metrics_2023_Consol[[#This Row],[Turnover from social housing lettings]], "n/a" )</f>
        <v>0.35481310219593759</v>
      </c>
      <c r="BS132" s="5" vm="2930">
        <f xml:space="preserve"> VfM_Metrics_2023_Consol[[#This Row],[Operating surplus/(deficit) (social housing lettings)]]</f>
        <v>35757</v>
      </c>
      <c r="BT132" s="84" vm="2930">
        <v>35757</v>
      </c>
      <c r="BU132" s="5" vm="7680">
        <f xml:space="preserve"> VfM_Metrics_2023_Consol[[#This Row],[Turnover from social housing lettings]]</f>
        <v>100777</v>
      </c>
      <c r="BV132" s="84" vm="7680">
        <v>100777</v>
      </c>
      <c r="BW132" s="7">
        <f xml:space="preserve"> IFERROR( VfM_Metrics_2023_Consol[[#This Row],[Net operating surplus]] / VfM_Metrics_2023_Consol[[#This Row],[Overall turnover]], "n/a" )</f>
        <v>0.33340692587595566</v>
      </c>
      <c r="BX132" s="5">
        <f xml:space="preserve"> SUM( VfM_Metrics_2023_Consol[[#This Row],[Operating surplus/(deficit) (overall)2]], - VfM_Metrics_2023_Consol[[#This Row],[Gain/(loss) on disposal of fixed assets (housing properties)2]], - VfM_Metrics_2023_Consol[[#This Row],[Gain/(loss) on disposal of fixed assets (other)2]] )</f>
        <v>40774</v>
      </c>
      <c r="BY132" s="84" vm="2912">
        <v>47614</v>
      </c>
      <c r="BZ132" s="83" vm="2913">
        <v>6840</v>
      </c>
      <c r="CA132" s="83">
        <v>0</v>
      </c>
      <c r="CB132" s="5" vm="2931">
        <f xml:space="preserve"> VfM_Metrics_2023_Consol[[#This Row],[Turnover (overall)]]</f>
        <v>122295</v>
      </c>
      <c r="CC132" s="84" vm="2931">
        <v>122295</v>
      </c>
      <c r="CD132" s="7">
        <f xml:space="preserve"> IFERROR( VfM_Metrics_2023_Consol[[#This Row],[Operating surplus including from JVs]] / VfM_Metrics_2023_Consol[[#This Row],[Net assets]], "n/a" )</f>
        <v>3.0039089805610864E-2</v>
      </c>
      <c r="CE132" s="5">
        <f xml:space="preserve"> SUM( VfM_Metrics_2023_Consol[[#This Row],[Operating surplus/(deficit) (overall)3]], VfM_Metrics_2023_Consol[[#This Row],[Share of operating surplus/(deficit) in joint ventures or associates]] )</f>
        <v>47614</v>
      </c>
      <c r="CF132" s="84" vm="2912">
        <v>47614</v>
      </c>
      <c r="CG132" s="83">
        <v>0</v>
      </c>
      <c r="CH132" s="5" vm="2932">
        <f xml:space="preserve"> VfM_Metrics_2023_Consol[[#This Row],[Total assets less current liabilities]]</f>
        <v>1585068</v>
      </c>
      <c r="CI132" s="84" vm="2932">
        <v>1585068</v>
      </c>
      <c r="CJ132" s="71" vm="2897">
        <f xml:space="preserve"> VfM_Metrics_2023_Consol[[#This Row],[Total social housing units owned (Period end)]]</f>
        <v>15020</v>
      </c>
      <c r="CK132" s="103">
        <v>9.1662735054256258E-3</v>
      </c>
      <c r="CL132" s="6">
        <f xml:space="preserve"> -- ( VfM_Metrics_2023_Consol[[#This Row],[% Supported housing (excl. HOP)]] &gt; 0.3 )</f>
        <v>0</v>
      </c>
      <c r="CM132" s="103">
        <v>1.684976747320887E-3</v>
      </c>
      <c r="CN132" s="6">
        <f xml:space="preserve"> -- ( VfM_Metrics_2023_Consol[[#This Row],[% Housing for older people]] &gt; 0.3 )</f>
        <v>0</v>
      </c>
      <c r="CO132" s="103">
        <f xml:space="preserve"> VfM_Metrics_2023_Consol[[#This Row],[% Supported housing (excl. HOP)]] + VfM_Metrics_2023_Consol[[#This Row],[% Housing for older people]]</f>
        <v>1.0851250252746513E-2</v>
      </c>
      <c r="CP132" s="6">
        <f xml:space="preserve"> -- ( VfM_Metrics_2023_Consol[[#This Row],[SH specialist in RSH analysis]] + VfM_Metrics_2023_Consol[[#This Row],[OP specialist in RSH analysis]] &gt; 0 )</f>
        <v>0</v>
      </c>
      <c r="CQ132" s="10">
        <f xml:space="preserve"> -- ( VfM_Metrics_2023_Consol[[#This Row],[% SH and OP]] &gt; 0.3 )</f>
        <v>0</v>
      </c>
      <c r="CR132" s="104" t="s">
        <v>143</v>
      </c>
      <c r="CS132" s="124" t="s">
        <v>144</v>
      </c>
      <c r="CT132" s="105"/>
      <c r="CU13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32" s="85">
        <v>5.5157641073699713E-2</v>
      </c>
      <c r="CW132" s="85">
        <v>0.68458397483097932</v>
      </c>
      <c r="CX132" s="85">
        <v>0</v>
      </c>
      <c r="CY132" s="85">
        <v>0</v>
      </c>
      <c r="CZ132" s="85">
        <v>0</v>
      </c>
      <c r="DA132" s="85">
        <v>0.26025838409532098</v>
      </c>
      <c r="DB132" s="85">
        <v>0</v>
      </c>
      <c r="DC132" s="85">
        <v>0</v>
      </c>
      <c r="DD132" s="85">
        <v>0</v>
      </c>
      <c r="DE132" s="13">
        <v>1.0348838820034116</v>
      </c>
    </row>
    <row r="133" spans="1:109" x14ac:dyDescent="0.25">
      <c r="A133" s="4" t="s" vm="337">
        <v>390</v>
      </c>
      <c r="B133" s="2" t="s" vm="123">
        <v>391</v>
      </c>
      <c r="C133" s="72" vm="581">
        <v>45016</v>
      </c>
      <c r="D133" s="7">
        <f>IFERROR( VfM_Metrics_2023_Consol[[#This Row],[Reinvestment Spend]] / VfM_Metrics_2023_Consol[[#This Row],[Net Book Value of Housing Properties]], "n/a" )</f>
        <v>7.0499652574388214E-2</v>
      </c>
      <c r="E13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148639</v>
      </c>
      <c r="F133" s="83" vm="4631">
        <v>126607</v>
      </c>
      <c r="G133" s="83" vm="4632">
        <v>0</v>
      </c>
      <c r="H133" s="83" vm="4313">
        <v>16695</v>
      </c>
      <c r="I133" s="83" vm="4633">
        <v>5337</v>
      </c>
      <c r="J133" s="83" vm="4634">
        <v>0</v>
      </c>
      <c r="K133" s="5">
        <f xml:space="preserve"> SUM( VfM_Metrics_2023_Consol[[#This Row],[Tangible fixed assets: Housing properties at cost (Current period)]],VfM_Metrics_2023_Consol[[#This Row],[Tangible fixed assets Housing properties at valuation (Current period)]] )</f>
        <v>2108365</v>
      </c>
      <c r="L133" s="84" vm="4419">
        <v>2108365</v>
      </c>
      <c r="M133" s="83">
        <v>0</v>
      </c>
      <c r="N133" s="7">
        <f xml:space="preserve"> IFERROR( VfM_Metrics_2023_Consol[[#This Row],[Total social units developed or newly built units acquired in-year]] / VfM_Metrics_2023_Consol[[#This Row],[Social housing units owned (period end)]], "n/a" )</f>
        <v>1.2201409176834507E-2</v>
      </c>
      <c r="O133" s="5">
        <f xml:space="preserve"> SUM( VfM_Metrics_2023_Consol[[#This Row],[Total social units developed or newly built units acquired in-year (owned)]], VfM_Metrics_2023_Consol[[#This Row],[Total social leasehold units developed or newly built units acquired in-year (owned)]] )</f>
        <v>284</v>
      </c>
      <c r="P133" s="84" vm="4636">
        <v>284</v>
      </c>
      <c r="Q133" s="83" vm="4637">
        <v>0</v>
      </c>
      <c r="R133" s="5">
        <f xml:space="preserve"> SUM( VfM_Metrics_2023_Consol[[#This Row],[Total social housing units owned (Period end)]], VfM_Metrics_2023_Consol[[#This Row],[Total social leasehold units owned (Period end)]] )</f>
        <v>23276</v>
      </c>
      <c r="S133" s="84" vm="4629">
        <v>21692</v>
      </c>
      <c r="T133" s="83" vm="4878">
        <v>1584</v>
      </c>
      <c r="U133" s="86">
        <f xml:space="preserve"> IFERROR( VfM_Metrics_2023_Consol[[#This Row],[Total non-social housing units developed or newly built units acquired (owned)]] / VfM_Metrics_2023_Consol[[#This Row],[Total social and non-social housing units owned (Period end)]], "n/a" )</f>
        <v>0</v>
      </c>
      <c r="V13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33" s="83">
        <v>0</v>
      </c>
      <c r="X133" s="83">
        <v>0</v>
      </c>
      <c r="Y133" s="83">
        <v>0</v>
      </c>
      <c r="Z13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23642</v>
      </c>
      <c r="AA133" s="84" vm="4629">
        <v>21692</v>
      </c>
      <c r="AB133" s="83" vm="5843">
        <v>1584</v>
      </c>
      <c r="AC133" s="83" vm="4638">
        <v>366</v>
      </c>
      <c r="AD133" s="83" vm="4639">
        <v>0</v>
      </c>
      <c r="AE133" s="7">
        <f xml:space="preserve"> IFERROR( VfM_Metrics_2023_Consol[[#This Row],[Total Net Debt]] / VfM_Metrics_2023_Consol[[#This Row],[Net Book Value of Housing Properties2]], "n/a" )</f>
        <v>0.4990819900728764</v>
      </c>
      <c r="AF13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1052247</v>
      </c>
      <c r="AG133" s="84" vm="7051">
        <v>32270</v>
      </c>
      <c r="AH133" s="83" vm="4640">
        <v>1048514</v>
      </c>
      <c r="AI133" s="83" vm="4641">
        <v>28537</v>
      </c>
      <c r="AJ133" s="83" vm="4642">
        <v>0</v>
      </c>
      <c r="AK133" s="83" vm="4643">
        <v>0</v>
      </c>
      <c r="AL133" s="5">
        <f xml:space="preserve"> SUM( VfM_Metrics_2023_Consol[[#This Row],[Tangible fixed assets: Housing properties at cost (Current period)2]], VfM_Metrics_2023_Consol[[#This Row],[Tangible fixed assets Housing properties at valuation (Current period)2]] )</f>
        <v>2108365</v>
      </c>
      <c r="AM133" s="84" vm="4635">
        <v>2108365</v>
      </c>
      <c r="AN133" s="83">
        <v>0</v>
      </c>
      <c r="AO133" s="87">
        <f xml:space="preserve"> IFERROR( VfM_Metrics_2023_Consol[[#This Row],[EBITDA MRI]] / VfM_Metrics_2023_Consol[[#This Row],[Total interest]], "n/a" )</f>
        <v>0.8772255464647698</v>
      </c>
      <c r="AP13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35918</v>
      </c>
      <c r="AQ133" s="84" vm="4644">
        <v>39323</v>
      </c>
      <c r="AR133" s="84" vm="4645">
        <v>5445</v>
      </c>
      <c r="AS133" s="84" vm="4646">
        <v>-21</v>
      </c>
      <c r="AT133" s="84" vm="4647">
        <v>5502</v>
      </c>
      <c r="AU133" s="84" vm="4648">
        <v>0</v>
      </c>
      <c r="AV133" s="84" vm="4649">
        <v>410</v>
      </c>
      <c r="AW133" s="84" vm="4650">
        <v>16695</v>
      </c>
      <c r="AX133" s="84" vm="4651">
        <v>23806</v>
      </c>
      <c r="AY133" s="3">
        <f xml:space="preserve"> - SUM( VfM_Metrics_2023_Consol[[#This Row],[Interest capitalised]], VfM_Metrics_2023_Consol[[#This Row],[Interest payable and financing costs]] )</f>
        <v>40945</v>
      </c>
      <c r="AZ133" s="84" vm="4652">
        <v>-6743</v>
      </c>
      <c r="BA133" s="83" vm="7583">
        <v>-34202</v>
      </c>
      <c r="BB133" s="8">
        <f xml:space="preserve"> IFERROR( ( VfM_Metrics_2023_Consol[[#This Row],[Total Costs]] / VfM_Metrics_2023_Consol[[#This Row],[Total units for costs]] ) * 1000, "n/a" )</f>
        <v>5539.8555661534265</v>
      </c>
      <c r="BC13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121971</v>
      </c>
      <c r="BD133" s="84" vm="4653">
        <v>37577</v>
      </c>
      <c r="BE133" s="83" vm="4654">
        <v>22553</v>
      </c>
      <c r="BF133" s="83" vm="4655">
        <v>21287</v>
      </c>
      <c r="BG133" s="83" vm="4656">
        <v>19627</v>
      </c>
      <c r="BH133" s="83" vm="4657">
        <v>852</v>
      </c>
      <c r="BI133" s="83" vm="2742">
        <v>394</v>
      </c>
      <c r="BJ133" s="83" vm="4650">
        <v>16695</v>
      </c>
      <c r="BK133" s="83" vm="4658">
        <v>0</v>
      </c>
      <c r="BL133" s="83" vm="4659">
        <v>2006</v>
      </c>
      <c r="BM133" s="83" vm="6496">
        <v>288</v>
      </c>
      <c r="BN133" s="83" vm="4660">
        <v>692</v>
      </c>
      <c r="BO133" s="83">
        <v>0</v>
      </c>
      <c r="BP133" s="5" vm="4630">
        <f xml:space="preserve"> VfM_Metrics_2023_Consol[[#This Row],[Total social housing units owned and/or managed at period end]]</f>
        <v>22017</v>
      </c>
      <c r="BQ133" s="84" vm="4630">
        <v>22017</v>
      </c>
      <c r="BR133" s="7">
        <f xml:space="preserve"> IFERROR( VfM_Metrics_2023_Consol[[#This Row],[SHL operating surplus / (deficit)]] / VfM_Metrics_2023_Consol[[#This Row],[Turnover from social housing lettings]], "n/a" )</f>
        <v>0.18716332007630873</v>
      </c>
      <c r="BS133" s="5" vm="4661">
        <f xml:space="preserve"> VfM_Metrics_2023_Consol[[#This Row],[Operating surplus/(deficit) (social housing lettings)]]</f>
        <v>28942</v>
      </c>
      <c r="BT133" s="84" vm="4661">
        <v>28942</v>
      </c>
      <c r="BU133" s="5" vm="4662">
        <f xml:space="preserve"> VfM_Metrics_2023_Consol[[#This Row],[Turnover from social housing lettings]]</f>
        <v>154635</v>
      </c>
      <c r="BV133" s="84" vm="4662">
        <v>154635</v>
      </c>
      <c r="BW133" s="7">
        <f xml:space="preserve"> IFERROR( VfM_Metrics_2023_Consol[[#This Row],[Net operating surplus]] / VfM_Metrics_2023_Consol[[#This Row],[Overall turnover]], "n/a" )</f>
        <v>0.18739393135320098</v>
      </c>
      <c r="BX133" s="5">
        <f xml:space="preserve"> SUM( VfM_Metrics_2023_Consol[[#This Row],[Operating surplus/(deficit) (overall)2]], - VfM_Metrics_2023_Consol[[#This Row],[Gain/(loss) on disposal of fixed assets (housing properties)2]], - VfM_Metrics_2023_Consol[[#This Row],[Gain/(loss) on disposal of fixed assets (other)2]] )</f>
        <v>33899</v>
      </c>
      <c r="BY133" s="84" vm="7046">
        <v>39323</v>
      </c>
      <c r="BZ133" s="83" vm="7409">
        <v>5445</v>
      </c>
      <c r="CA133" s="83" vm="7390">
        <v>-21</v>
      </c>
      <c r="CB133" s="5" vm="2463">
        <f xml:space="preserve"> VfM_Metrics_2023_Consol[[#This Row],[Turnover (overall)]]</f>
        <v>180897</v>
      </c>
      <c r="CC133" s="84" vm="2463">
        <v>180897</v>
      </c>
      <c r="CD133" s="7">
        <f xml:space="preserve"> IFERROR( VfM_Metrics_2023_Consol[[#This Row],[Operating surplus including from JVs]] / VfM_Metrics_2023_Consol[[#This Row],[Net assets]], "n/a" )</f>
        <v>1.8296277512696378E-2</v>
      </c>
      <c r="CE133" s="5">
        <f xml:space="preserve"> SUM( VfM_Metrics_2023_Consol[[#This Row],[Operating surplus/(deficit) (overall)3]], VfM_Metrics_2023_Consol[[#This Row],[Share of operating surplus/(deficit) in joint ventures or associates]] )</f>
        <v>39323</v>
      </c>
      <c r="CF133" s="84" vm="4644">
        <v>39323</v>
      </c>
      <c r="CG133" s="83" vm="4663">
        <v>0</v>
      </c>
      <c r="CH133" s="5" vm="4448">
        <f xml:space="preserve"> VfM_Metrics_2023_Consol[[#This Row],[Total assets less current liabilities]]</f>
        <v>2149235</v>
      </c>
      <c r="CI133" s="84" vm="4448">
        <v>2149235</v>
      </c>
      <c r="CJ133" s="71" vm="4629">
        <f xml:space="preserve"> VfM_Metrics_2023_Consol[[#This Row],[Total social housing units owned (Period end)]]</f>
        <v>21692</v>
      </c>
      <c r="CK133" s="103">
        <v>2.8043870609468276E-2</v>
      </c>
      <c r="CL133" s="6">
        <f xml:space="preserve"> -- ( VfM_Metrics_2023_Consol[[#This Row],[% Supported housing (excl. HOP)]] &gt; 0.3 )</f>
        <v>0</v>
      </c>
      <c r="CM133" s="103">
        <v>0.10532648433523069</v>
      </c>
      <c r="CN133" s="6">
        <f xml:space="preserve"> -- ( VfM_Metrics_2023_Consol[[#This Row],[% Housing for older people]] &gt; 0.3 )</f>
        <v>0</v>
      </c>
      <c r="CO133" s="103">
        <f xml:space="preserve"> VfM_Metrics_2023_Consol[[#This Row],[% Supported housing (excl. HOP)]] + VfM_Metrics_2023_Consol[[#This Row],[% Housing for older people]]</f>
        <v>0.13337035494469895</v>
      </c>
      <c r="CP133" s="6">
        <f xml:space="preserve"> -- ( VfM_Metrics_2023_Consol[[#This Row],[SH specialist in RSH analysis]] + VfM_Metrics_2023_Consol[[#This Row],[OP specialist in RSH analysis]] &gt; 0 )</f>
        <v>0</v>
      </c>
      <c r="CQ133" s="10">
        <f xml:space="preserve"> -- ( VfM_Metrics_2023_Consol[[#This Row],[% SH and OP]] &gt; 0.3 )</f>
        <v>0</v>
      </c>
      <c r="CR133" s="104" t="s">
        <v>143</v>
      </c>
      <c r="CS133" s="124" t="s">
        <v>144</v>
      </c>
      <c r="CT133" s="105"/>
      <c r="CU13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33" s="85">
        <v>0.35583815028901733</v>
      </c>
      <c r="CW133" s="85">
        <v>0.26053179190751447</v>
      </c>
      <c r="CX133" s="85">
        <v>0</v>
      </c>
      <c r="CY133" s="85">
        <v>0.36763005780346819</v>
      </c>
      <c r="CZ133" s="85">
        <v>1.3364161849710983E-2</v>
      </c>
      <c r="DA133" s="85">
        <v>2.5895953757225434E-3</v>
      </c>
      <c r="DB133" s="85">
        <v>4.6242774566473991E-5</v>
      </c>
      <c r="DC133" s="85">
        <v>0</v>
      </c>
      <c r="DD133" s="85">
        <v>0</v>
      </c>
      <c r="DE133" s="13">
        <v>1.0442012286713025</v>
      </c>
    </row>
    <row r="134" spans="1:109" x14ac:dyDescent="0.25">
      <c r="A134" s="4" t="s" vm="242">
        <v>392</v>
      </c>
      <c r="B134" s="2" t="s" vm="124">
        <v>393</v>
      </c>
      <c r="C134" s="72" vm="439">
        <v>45016</v>
      </c>
      <c r="D134" s="7">
        <f>IFERROR( VfM_Metrics_2023_Consol[[#This Row],[Reinvestment Spend]] / VfM_Metrics_2023_Consol[[#This Row],[Net Book Value of Housing Properties]], "n/a" )</f>
        <v>5.5630991456985697E-2</v>
      </c>
      <c r="E13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616394</v>
      </c>
      <c r="F134" s="83" vm="8424">
        <v>393537</v>
      </c>
      <c r="G134" s="83" vm="1523">
        <v>0</v>
      </c>
      <c r="H134" s="83" vm="1524">
        <v>179154</v>
      </c>
      <c r="I134" s="83" vm="1525">
        <v>43703</v>
      </c>
      <c r="J134" s="83" vm="8236">
        <v>0</v>
      </c>
      <c r="K134" s="5">
        <f xml:space="preserve"> SUM( VfM_Metrics_2023_Consol[[#This Row],[Tangible fixed assets: Housing properties at cost (Current period)]],VfM_Metrics_2023_Consol[[#This Row],[Tangible fixed assets Housing properties at valuation (Current period)]] )</f>
        <v>11080047</v>
      </c>
      <c r="L134" s="84" vm="1059">
        <v>11080047</v>
      </c>
      <c r="M134" s="83">
        <v>0</v>
      </c>
      <c r="N134" s="7">
        <f xml:space="preserve"> IFERROR( VfM_Metrics_2023_Consol[[#This Row],[Total social units developed or newly built units acquired in-year]] / VfM_Metrics_2023_Consol[[#This Row],[Social housing units owned (period end)]], "n/a" )</f>
        <v>2.4222801810714394E-2</v>
      </c>
      <c r="O134" s="5">
        <f xml:space="preserve"> SUM( VfM_Metrics_2023_Consol[[#This Row],[Total social units developed or newly built units acquired in-year (owned)]], VfM_Metrics_2023_Consol[[#This Row],[Total social leasehold units developed or newly built units acquired in-year (owned)]] )</f>
        <v>2424</v>
      </c>
      <c r="P134" s="84" vm="1526">
        <v>2175</v>
      </c>
      <c r="Q134" s="83" vm="1527">
        <v>249</v>
      </c>
      <c r="R134" s="5">
        <f xml:space="preserve"> SUM( VfM_Metrics_2023_Consol[[#This Row],[Total social housing units owned (Period end)]], VfM_Metrics_2023_Consol[[#This Row],[Total social leasehold units owned (Period end)]] )</f>
        <v>100071</v>
      </c>
      <c r="S134" s="84" vm="1522">
        <v>92799</v>
      </c>
      <c r="T134" s="83" vm="1528">
        <v>7272</v>
      </c>
      <c r="U134" s="86">
        <f xml:space="preserve"> IFERROR( VfM_Metrics_2023_Consol[[#This Row],[Total non-social housing units developed or newly built units acquired (owned)]] / VfM_Metrics_2023_Consol[[#This Row],[Total social and non-social housing units owned (Period end)]], "n/a" )</f>
        <v>7.3905898222648642E-3</v>
      </c>
      <c r="V13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778</v>
      </c>
      <c r="W134" s="83" vm="1529">
        <v>0</v>
      </c>
      <c r="X134" s="83" vm="1530">
        <v>253</v>
      </c>
      <c r="Y134" s="83" vm="1531">
        <v>525</v>
      </c>
      <c r="Z13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105269</v>
      </c>
      <c r="AA134" s="84" vm="1522">
        <v>92799</v>
      </c>
      <c r="AB134" s="83" vm="1528">
        <v>7272</v>
      </c>
      <c r="AC134" s="83" vm="8294">
        <v>867</v>
      </c>
      <c r="AD134" s="83" vm="1532">
        <v>4331</v>
      </c>
      <c r="AE134" s="7">
        <f xml:space="preserve"> IFERROR( VfM_Metrics_2023_Consol[[#This Row],[Total Net Debt]] / VfM_Metrics_2023_Consol[[#This Row],[Net Book Value of Housing Properties2]], "n/a" )</f>
        <v>0.41413082453531108</v>
      </c>
      <c r="AF13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4588589</v>
      </c>
      <c r="AG134" s="84" vm="1533">
        <v>108000</v>
      </c>
      <c r="AH134" s="83" vm="1534">
        <v>4622600</v>
      </c>
      <c r="AI134" s="83" vm="1535">
        <v>142011</v>
      </c>
      <c r="AJ134" s="83" vm="1675">
        <v>0</v>
      </c>
      <c r="AK134" s="83">
        <v>0</v>
      </c>
      <c r="AL134" s="5">
        <f xml:space="preserve"> SUM( VfM_Metrics_2023_Consol[[#This Row],[Tangible fixed assets: Housing properties at cost (Current period)2]], VfM_Metrics_2023_Consol[[#This Row],[Tangible fixed assets Housing properties at valuation (Current period)2]] )</f>
        <v>11080047</v>
      </c>
      <c r="AM134" s="84" vm="8231">
        <v>11080047</v>
      </c>
      <c r="AN134" s="83">
        <v>0</v>
      </c>
      <c r="AO134" s="87">
        <f xml:space="preserve"> IFERROR( VfM_Metrics_2023_Consol[[#This Row],[EBITDA MRI]] / VfM_Metrics_2023_Consol[[#This Row],[Total interest]], "n/a" )</f>
        <v>0.69228373815845545</v>
      </c>
      <c r="AP13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126717</v>
      </c>
      <c r="AQ134" s="84" vm="1536">
        <v>257382</v>
      </c>
      <c r="AR134" s="84" vm="8283">
        <v>72268</v>
      </c>
      <c r="AS134" s="84">
        <v>0</v>
      </c>
      <c r="AT134" s="84" vm="1538">
        <v>14183</v>
      </c>
      <c r="AU134" s="84" vm="7135">
        <v>9023</v>
      </c>
      <c r="AV134" s="84" vm="1539">
        <v>1014</v>
      </c>
      <c r="AW134" s="84" vm="7834">
        <v>179154</v>
      </c>
      <c r="AX134" s="84" vm="1541">
        <v>142949</v>
      </c>
      <c r="AY134" s="3">
        <f xml:space="preserve"> - SUM( VfM_Metrics_2023_Consol[[#This Row],[Interest capitalised]], VfM_Metrics_2023_Consol[[#This Row],[Interest payable and financing costs]] )</f>
        <v>183042</v>
      </c>
      <c r="AZ134" s="84" vm="1682">
        <v>-43703</v>
      </c>
      <c r="BA134" s="83" vm="8461">
        <v>-139339</v>
      </c>
      <c r="BB134" s="8">
        <f xml:space="preserve"> IFERROR( ( VfM_Metrics_2023_Consol[[#This Row],[Total Costs]] / VfM_Metrics_2023_Consol[[#This Row],[Total units for costs]] ) * 1000, "n/a" )</f>
        <v>6707.2418776427767</v>
      </c>
      <c r="BC13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626557</v>
      </c>
      <c r="BD134" s="84" vm="1542">
        <v>148416</v>
      </c>
      <c r="BE134" s="83" vm="1543">
        <v>87642</v>
      </c>
      <c r="BF134" s="83" vm="1544">
        <v>92705</v>
      </c>
      <c r="BG134" s="83" vm="1545">
        <v>84362</v>
      </c>
      <c r="BH134" s="83" vm="8292">
        <v>0</v>
      </c>
      <c r="BI134" s="83" vm="1546">
        <v>0</v>
      </c>
      <c r="BJ134" s="83" vm="1540">
        <v>179154</v>
      </c>
      <c r="BK134" s="83" vm="8347">
        <v>0</v>
      </c>
      <c r="BL134" s="83">
        <v>0</v>
      </c>
      <c r="BM134" s="83">
        <v>0</v>
      </c>
      <c r="BN134" s="83" vm="8408">
        <v>8816</v>
      </c>
      <c r="BO134" s="83" vm="8290">
        <v>25462</v>
      </c>
      <c r="BP134" s="5" vm="1773">
        <f xml:space="preserve"> VfM_Metrics_2023_Consol[[#This Row],[Total social housing units owned and/or managed at period end]]</f>
        <v>93415</v>
      </c>
      <c r="BQ134" s="84" vm="1773">
        <v>93415</v>
      </c>
      <c r="BR134" s="7">
        <f xml:space="preserve"> IFERROR( VfM_Metrics_2023_Consol[[#This Row],[SHL operating surplus / (deficit)]] / VfM_Metrics_2023_Consol[[#This Row],[Turnover from social housing lettings]], "n/a" )</f>
        <v>0.24144698247544072</v>
      </c>
      <c r="BS134" s="5" vm="8409">
        <f xml:space="preserve"> VfM_Metrics_2023_Consol[[#This Row],[Operating surplus/(deficit) (social housing lettings)]]</f>
        <v>171628</v>
      </c>
      <c r="BT134" s="84" vm="8409">
        <v>171628</v>
      </c>
      <c r="BU134" s="5" vm="8285">
        <f xml:space="preserve"> VfM_Metrics_2023_Consol[[#This Row],[Turnover from social housing lettings]]</f>
        <v>710831</v>
      </c>
      <c r="BV134" s="84" vm="8285">
        <v>710831</v>
      </c>
      <c r="BW134" s="7">
        <f xml:space="preserve"> IFERROR( VfM_Metrics_2023_Consol[[#This Row],[Net operating surplus]] / VfM_Metrics_2023_Consol[[#This Row],[Overall turnover]], "n/a" )</f>
        <v>0.16655464891657693</v>
      </c>
      <c r="BX134" s="5">
        <f xml:space="preserve"> SUM( VfM_Metrics_2023_Consol[[#This Row],[Operating surplus/(deficit) (overall)2]], - VfM_Metrics_2023_Consol[[#This Row],[Gain/(loss) on disposal of fixed assets (housing properties)2]], - VfM_Metrics_2023_Consol[[#This Row],[Gain/(loss) on disposal of fixed assets (other)2]] )</f>
        <v>185114</v>
      </c>
      <c r="BY134" s="84" vm="2102">
        <v>257382</v>
      </c>
      <c r="BZ134" s="83" vm="1537">
        <v>72268</v>
      </c>
      <c r="CA134" s="83">
        <v>0</v>
      </c>
      <c r="CB134" s="5" vm="8459">
        <f xml:space="preserve"> VfM_Metrics_2023_Consol[[#This Row],[Turnover (overall)]]</f>
        <v>1111431</v>
      </c>
      <c r="CC134" s="84" vm="8459">
        <v>1111431</v>
      </c>
      <c r="CD134" s="7">
        <f xml:space="preserve"> IFERROR( VfM_Metrics_2023_Consol[[#This Row],[Operating surplus including from JVs]] / VfM_Metrics_2023_Consol[[#This Row],[Net assets]], "n/a" )</f>
        <v>2.1832480898300862E-2</v>
      </c>
      <c r="CE134" s="5">
        <f xml:space="preserve"> SUM( VfM_Metrics_2023_Consol[[#This Row],[Operating surplus/(deficit) (overall)3]], VfM_Metrics_2023_Consol[[#This Row],[Share of operating surplus/(deficit) in joint ventures or associates]] )</f>
        <v>266304</v>
      </c>
      <c r="CF134" s="84" vm="1709">
        <v>257382</v>
      </c>
      <c r="CG134" s="83" vm="1548">
        <v>8922</v>
      </c>
      <c r="CH134" s="5" vm="8281">
        <f xml:space="preserve"> VfM_Metrics_2023_Consol[[#This Row],[Total assets less current liabilities]]</f>
        <v>12197606</v>
      </c>
      <c r="CI134" s="84" vm="8281">
        <v>12197606</v>
      </c>
      <c r="CJ134" s="71" vm="1522">
        <f xml:space="preserve"> VfM_Metrics_2023_Consol[[#This Row],[Total social housing units owned (Period end)]]</f>
        <v>92799</v>
      </c>
      <c r="CK134" s="103">
        <v>3.8766375545851529E-2</v>
      </c>
      <c r="CL134" s="6">
        <f xml:space="preserve"> -- ( VfM_Metrics_2023_Consol[[#This Row],[% Supported housing (excl. HOP)]] &gt; 0.3 )</f>
        <v>0</v>
      </c>
      <c r="CM134" s="103">
        <v>2.836244541484716E-2</v>
      </c>
      <c r="CN134" s="6">
        <f xml:space="preserve"> -- ( VfM_Metrics_2023_Consol[[#This Row],[% Housing for older people]] &gt; 0.3 )</f>
        <v>0</v>
      </c>
      <c r="CO134" s="103">
        <f xml:space="preserve"> VfM_Metrics_2023_Consol[[#This Row],[% Supported housing (excl. HOP)]] + VfM_Metrics_2023_Consol[[#This Row],[% Housing for older people]]</f>
        <v>6.7128820960698693E-2</v>
      </c>
      <c r="CP134" s="6">
        <f xml:space="preserve"> -- ( VfM_Metrics_2023_Consol[[#This Row],[SH specialist in RSH analysis]] + VfM_Metrics_2023_Consol[[#This Row],[OP specialist in RSH analysis]] &gt; 0 )</f>
        <v>0</v>
      </c>
      <c r="CQ134" s="10">
        <f xml:space="preserve"> -- ( VfM_Metrics_2023_Consol[[#This Row],[% SH and OP]] &gt; 0.3 )</f>
        <v>0</v>
      </c>
      <c r="CR134" s="104" t="s">
        <v>143</v>
      </c>
      <c r="CS134" s="124" t="s">
        <v>144</v>
      </c>
      <c r="CT134" s="105"/>
      <c r="CU13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34" s="85">
        <v>0.68377649157926801</v>
      </c>
      <c r="CW134" s="85">
        <v>0.19320901692849993</v>
      </c>
      <c r="CX134" s="85">
        <v>6.5276992036206969E-5</v>
      </c>
      <c r="CY134" s="85">
        <v>1.0444318725793115E-3</v>
      </c>
      <c r="CZ134" s="85">
        <v>0</v>
      </c>
      <c r="DA134" s="85">
        <v>0.12189390312894381</v>
      </c>
      <c r="DB134" s="85">
        <v>0</v>
      </c>
      <c r="DC134" s="85">
        <v>0</v>
      </c>
      <c r="DD134" s="85">
        <v>1.0879498672701162E-5</v>
      </c>
      <c r="DE134" s="13">
        <v>1.1174943315494983</v>
      </c>
    </row>
    <row r="135" spans="1:109" x14ac:dyDescent="0.25">
      <c r="A135" s="4" t="s" vm="357">
        <v>394</v>
      </c>
      <c r="B135" s="2" t="s" vm="125">
        <v>395</v>
      </c>
      <c r="C135" s="72" vm="592">
        <v>45016</v>
      </c>
      <c r="D135" s="7">
        <f>IFERROR( VfM_Metrics_2023_Consol[[#This Row],[Reinvestment Spend]] / VfM_Metrics_2023_Consol[[#This Row],[Net Book Value of Housing Properties]], "n/a" )</f>
        <v>3.3053470462078377E-2</v>
      </c>
      <c r="E13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10850</v>
      </c>
      <c r="F135" s="83" vm="6924">
        <v>4875</v>
      </c>
      <c r="G135" s="83" vm="5337">
        <v>0</v>
      </c>
      <c r="H135" s="83" vm="7300">
        <v>5335</v>
      </c>
      <c r="I135" s="83" vm="5338">
        <v>640</v>
      </c>
      <c r="J135" s="83" vm="5339">
        <v>0</v>
      </c>
      <c r="K135" s="5">
        <f xml:space="preserve"> SUM( VfM_Metrics_2023_Consol[[#This Row],[Tangible fixed assets: Housing properties at cost (Current period)]],VfM_Metrics_2023_Consol[[#This Row],[Tangible fixed assets Housing properties at valuation (Current period)]] )</f>
        <v>328256</v>
      </c>
      <c r="L135" s="84" vm="5340">
        <v>328256</v>
      </c>
      <c r="M135" s="83">
        <v>0</v>
      </c>
      <c r="N135" s="7">
        <f xml:space="preserve"> IFERROR( VfM_Metrics_2023_Consol[[#This Row],[Total social units developed or newly built units acquired in-year]] / VfM_Metrics_2023_Consol[[#This Row],[Social housing units owned (period end)]], "n/a" )</f>
        <v>1.17096018735363E-3</v>
      </c>
      <c r="O135" s="5">
        <f xml:space="preserve"> SUM( VfM_Metrics_2023_Consol[[#This Row],[Total social units developed or newly built units acquired in-year (owned)]], VfM_Metrics_2023_Consol[[#This Row],[Total social leasehold units developed or newly built units acquired in-year (owned)]] )</f>
        <v>9</v>
      </c>
      <c r="P135" s="84" vm="5341">
        <v>3</v>
      </c>
      <c r="Q135" s="83" vm="5342">
        <v>6</v>
      </c>
      <c r="R135" s="5">
        <f xml:space="preserve"> SUM( VfM_Metrics_2023_Consol[[#This Row],[Total social housing units owned (Period end)]], VfM_Metrics_2023_Consol[[#This Row],[Total social leasehold units owned (Period end)]] )</f>
        <v>7686</v>
      </c>
      <c r="S135" s="84" vm="5335">
        <v>6498</v>
      </c>
      <c r="T135" s="83" vm="5343">
        <v>1188</v>
      </c>
      <c r="U135" s="86">
        <f xml:space="preserve"> IFERROR( VfM_Metrics_2023_Consol[[#This Row],[Total non-social housing units developed or newly built units acquired (owned)]] / VfM_Metrics_2023_Consol[[#This Row],[Total social and non-social housing units owned (Period end)]], "n/a" )</f>
        <v>0</v>
      </c>
      <c r="V13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35" s="83">
        <v>0</v>
      </c>
      <c r="X135" s="83">
        <v>0</v>
      </c>
      <c r="Y135" s="83">
        <v>0</v>
      </c>
      <c r="Z13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7690</v>
      </c>
      <c r="AA135" s="84" vm="5335">
        <v>6498</v>
      </c>
      <c r="AB135" s="83" vm="5343">
        <v>1188</v>
      </c>
      <c r="AC135" s="83" vm="5344">
        <v>4</v>
      </c>
      <c r="AD135" s="83" vm="5345">
        <v>0</v>
      </c>
      <c r="AE135" s="7">
        <f xml:space="preserve"> IFERROR( VfM_Metrics_2023_Consol[[#This Row],[Total Net Debt]] / VfM_Metrics_2023_Consol[[#This Row],[Net Book Value of Housing Properties2]], "n/a" )</f>
        <v>0.46586810294404368</v>
      </c>
      <c r="AF13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152924</v>
      </c>
      <c r="AG135" s="84">
        <v>0</v>
      </c>
      <c r="AH135" s="83" vm="5346">
        <v>169132</v>
      </c>
      <c r="AI135" s="83" vm="7013">
        <v>16208</v>
      </c>
      <c r="AJ135" s="83" vm="1675">
        <v>0</v>
      </c>
      <c r="AK135" s="83">
        <v>0</v>
      </c>
      <c r="AL135" s="5">
        <f xml:space="preserve"> SUM( VfM_Metrics_2023_Consol[[#This Row],[Tangible fixed assets: Housing properties at cost (Current period)2]], VfM_Metrics_2023_Consol[[#This Row],[Tangible fixed assets Housing properties at valuation (Current period)2]] )</f>
        <v>328256</v>
      </c>
      <c r="AM135" s="84" vm="5340">
        <v>328256</v>
      </c>
      <c r="AN135" s="83">
        <v>0</v>
      </c>
      <c r="AO135" s="87">
        <f xml:space="preserve"> IFERROR( VfM_Metrics_2023_Consol[[#This Row],[EBITDA MRI]] / VfM_Metrics_2023_Consol[[#This Row],[Total interest]], "n/a" )</f>
        <v>1.2419470293486041</v>
      </c>
      <c r="AP13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6940</v>
      </c>
      <c r="AQ135" s="84" vm="7225">
        <v>8822</v>
      </c>
      <c r="AR135" s="84" vm="5347">
        <v>3606</v>
      </c>
      <c r="AS135" s="84">
        <v>0</v>
      </c>
      <c r="AT135" s="84" vm="6920">
        <v>137</v>
      </c>
      <c r="AU135" s="84" vm="5348">
        <v>0</v>
      </c>
      <c r="AV135" s="84" vm="5349">
        <v>322</v>
      </c>
      <c r="AW135" s="84" vm="4898">
        <v>5335</v>
      </c>
      <c r="AX135" s="84" vm="5350">
        <v>6874</v>
      </c>
      <c r="AY135" s="3">
        <f xml:space="preserve"> - SUM( VfM_Metrics_2023_Consol[[#This Row],[Interest capitalised]], VfM_Metrics_2023_Consol[[#This Row],[Interest payable and financing costs]] )</f>
        <v>5588</v>
      </c>
      <c r="AZ135" s="84" vm="5351">
        <v>-640</v>
      </c>
      <c r="BA135" s="83" vm="7505">
        <v>-4948</v>
      </c>
      <c r="BB135" s="8">
        <f xml:space="preserve"> IFERROR( ( VfM_Metrics_2023_Consol[[#This Row],[Total Costs]] / VfM_Metrics_2023_Consol[[#This Row],[Total units for costs]] ) * 1000, "n/a" )</f>
        <v>5439.2120652508456</v>
      </c>
      <c r="BC13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35344</v>
      </c>
      <c r="BD135" s="84" vm="5352">
        <v>7037</v>
      </c>
      <c r="BE135" s="83" vm="5353">
        <v>3368</v>
      </c>
      <c r="BF135" s="83" vm="5354">
        <v>10712</v>
      </c>
      <c r="BG135" s="83" vm="6919">
        <v>4465</v>
      </c>
      <c r="BH135" s="83" vm="4901">
        <v>2173</v>
      </c>
      <c r="BI135" s="83" vm="5356">
        <v>0</v>
      </c>
      <c r="BJ135" s="83" vm="7382">
        <v>5335</v>
      </c>
      <c r="BK135" s="83" vm="5357">
        <v>1284</v>
      </c>
      <c r="BL135" s="83" vm="5358">
        <v>665</v>
      </c>
      <c r="BM135" s="83">
        <v>0</v>
      </c>
      <c r="BN135" s="83" vm="5359">
        <v>305</v>
      </c>
      <c r="BO135" s="83">
        <v>0</v>
      </c>
      <c r="BP135" s="5" vm="5336">
        <f xml:space="preserve"> VfM_Metrics_2023_Consol[[#This Row],[Total social housing units owned and/or managed at period end]]</f>
        <v>6498</v>
      </c>
      <c r="BQ135" s="84" vm="5336">
        <v>6498</v>
      </c>
      <c r="BR135" s="7">
        <f xml:space="preserve"> IFERROR( VfM_Metrics_2023_Consol[[#This Row],[SHL operating surplus / (deficit)]] / VfM_Metrics_2023_Consol[[#This Row],[Turnover from social housing lettings]], "n/a" )</f>
        <v>0.12914918443854118</v>
      </c>
      <c r="BS135" s="5" vm="5360">
        <f xml:space="preserve"> VfM_Metrics_2023_Consol[[#This Row],[Operating surplus/(deficit) (social housing lettings)]]</f>
        <v>5202</v>
      </c>
      <c r="BT135" s="84" vm="5360">
        <v>5202</v>
      </c>
      <c r="BU135" s="5" vm="5361">
        <f xml:space="preserve"> VfM_Metrics_2023_Consol[[#This Row],[Turnover from social housing lettings]]</f>
        <v>40279</v>
      </c>
      <c r="BV135" s="84" vm="5361">
        <v>40279</v>
      </c>
      <c r="BW135" s="7">
        <f xml:space="preserve"> IFERROR( VfM_Metrics_2023_Consol[[#This Row],[Net operating surplus]] / VfM_Metrics_2023_Consol[[#This Row],[Overall turnover]], "n/a" )</f>
        <v>0.12139548956175669</v>
      </c>
      <c r="BX135" s="5">
        <f xml:space="preserve"> SUM( VfM_Metrics_2023_Consol[[#This Row],[Operating surplus/(deficit) (overall)2]], - VfM_Metrics_2023_Consol[[#This Row],[Gain/(loss) on disposal of fixed assets (housing properties)2]], - VfM_Metrics_2023_Consol[[#This Row],[Gain/(loss) on disposal of fixed assets (other)2]] )</f>
        <v>5216</v>
      </c>
      <c r="BY135" s="84" vm="5253">
        <v>8822</v>
      </c>
      <c r="BZ135" s="83" vm="5347">
        <v>3606</v>
      </c>
      <c r="CA135" s="83">
        <v>0</v>
      </c>
      <c r="CB135" s="5" vm="5362">
        <f xml:space="preserve"> VfM_Metrics_2023_Consol[[#This Row],[Turnover (overall)]]</f>
        <v>42967</v>
      </c>
      <c r="CC135" s="84" vm="5362">
        <v>42967</v>
      </c>
      <c r="CD135" s="7">
        <f xml:space="preserve"> IFERROR( VfM_Metrics_2023_Consol[[#This Row],[Operating surplus including from JVs]] / VfM_Metrics_2023_Consol[[#This Row],[Net assets]], "n/a" )</f>
        <v>2.5682080184449854E-2</v>
      </c>
      <c r="CE135" s="5">
        <f xml:space="preserve"> SUM( VfM_Metrics_2023_Consol[[#This Row],[Operating surplus/(deficit) (overall)3]], VfM_Metrics_2023_Consol[[#This Row],[Share of operating surplus/(deficit) in joint ventures or associates]] )</f>
        <v>8822</v>
      </c>
      <c r="CF135" s="84" vm="5141">
        <v>8822</v>
      </c>
      <c r="CG135" s="83">
        <v>0</v>
      </c>
      <c r="CH135" s="5" vm="7192">
        <f xml:space="preserve"> VfM_Metrics_2023_Consol[[#This Row],[Total assets less current liabilities]]</f>
        <v>343508</v>
      </c>
      <c r="CI135" s="84" vm="7192">
        <v>343508</v>
      </c>
      <c r="CJ135" s="71" vm="5335">
        <f xml:space="preserve"> VfM_Metrics_2023_Consol[[#This Row],[Total social housing units owned (Period end)]]</f>
        <v>6498</v>
      </c>
      <c r="CK135" s="103">
        <v>0</v>
      </c>
      <c r="CL135" s="6">
        <f xml:space="preserve"> -- ( VfM_Metrics_2023_Consol[[#This Row],[% Supported housing (excl. HOP)]] &gt; 0.3 )</f>
        <v>0</v>
      </c>
      <c r="CM135" s="103">
        <v>0</v>
      </c>
      <c r="CN135" s="6">
        <f xml:space="preserve"> -- ( VfM_Metrics_2023_Consol[[#This Row],[% Housing for older people]] &gt; 0.3 )</f>
        <v>0</v>
      </c>
      <c r="CO135" s="103">
        <f xml:space="preserve"> VfM_Metrics_2023_Consol[[#This Row],[% Supported housing (excl. HOP)]] + VfM_Metrics_2023_Consol[[#This Row],[% Housing for older people]]</f>
        <v>0</v>
      </c>
      <c r="CP135" s="6">
        <f xml:space="preserve"> -- ( VfM_Metrics_2023_Consol[[#This Row],[SH specialist in RSH analysis]] + VfM_Metrics_2023_Consol[[#This Row],[OP specialist in RSH analysis]] &gt; 0 )</f>
        <v>0</v>
      </c>
      <c r="CQ135" s="10">
        <f xml:space="preserve"> -- ( VfM_Metrics_2023_Consol[[#This Row],[% SH and OP]] &gt; 0.3 )</f>
        <v>0</v>
      </c>
      <c r="CR135" s="104" t="s">
        <v>143</v>
      </c>
      <c r="CS135" s="124"/>
      <c r="CT135" s="105" t="s">
        <v>151</v>
      </c>
      <c r="CU13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35" s="85">
        <v>1</v>
      </c>
      <c r="CW135" s="85">
        <v>0</v>
      </c>
      <c r="CX135" s="85">
        <v>0</v>
      </c>
      <c r="CY135" s="85">
        <v>0</v>
      </c>
      <c r="CZ135" s="85">
        <v>0</v>
      </c>
      <c r="DA135" s="85">
        <v>0</v>
      </c>
      <c r="DB135" s="85">
        <v>0</v>
      </c>
      <c r="DC135" s="85">
        <v>0</v>
      </c>
      <c r="DD135" s="85">
        <v>0</v>
      </c>
      <c r="DE135" s="13">
        <v>1.1603700449887588</v>
      </c>
    </row>
    <row r="136" spans="1:109" x14ac:dyDescent="0.25">
      <c r="A136" s="4" t="s" vm="220">
        <v>396</v>
      </c>
      <c r="B136" s="2" t="s" vm="126">
        <v>397</v>
      </c>
      <c r="C136" s="72" vm="489">
        <v>45016</v>
      </c>
      <c r="D136" s="7">
        <f>IFERROR( VfM_Metrics_2023_Consol[[#This Row],[Reinvestment Spend]] / VfM_Metrics_2023_Consol[[#This Row],[Net Book Value of Housing Properties]], "n/a" )</f>
        <v>3.5333643719092499E-2</v>
      </c>
      <c r="E13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2808</v>
      </c>
      <c r="F136" s="83" vm="1004">
        <v>1754</v>
      </c>
      <c r="G136" s="83" vm="1005">
        <v>0</v>
      </c>
      <c r="H136" s="83" vm="1324">
        <v>1054</v>
      </c>
      <c r="I136" s="83" vm="1006">
        <v>0</v>
      </c>
      <c r="J136" s="83" vm="8759">
        <v>0</v>
      </c>
      <c r="K136" s="5">
        <f xml:space="preserve"> SUM( VfM_Metrics_2023_Consol[[#This Row],[Tangible fixed assets: Housing properties at cost (Current period)]],VfM_Metrics_2023_Consol[[#This Row],[Tangible fixed assets Housing properties at valuation (Current period)]] )</f>
        <v>79471</v>
      </c>
      <c r="L136" s="84" vm="1007">
        <v>79471</v>
      </c>
      <c r="M136" s="83">
        <v>0</v>
      </c>
      <c r="N136" s="7">
        <f xml:space="preserve"> IFERROR( VfM_Metrics_2023_Consol[[#This Row],[Total social units developed or newly built units acquired in-year]] / VfM_Metrics_2023_Consol[[#This Row],[Social housing units owned (period end)]], "n/a" )</f>
        <v>2.5892232330300909E-2</v>
      </c>
      <c r="O136" s="5">
        <f xml:space="preserve"> SUM( VfM_Metrics_2023_Consol[[#This Row],[Total social units developed or newly built units acquired in-year (owned)]], VfM_Metrics_2023_Consol[[#This Row],[Total social leasehold units developed or newly built units acquired in-year (owned)]] )</f>
        <v>37</v>
      </c>
      <c r="P136" s="84" vm="1008">
        <v>37</v>
      </c>
      <c r="Q136" s="83" vm="857">
        <v>0</v>
      </c>
      <c r="R136" s="5">
        <f xml:space="preserve"> SUM( VfM_Metrics_2023_Consol[[#This Row],[Total social housing units owned (Period end)]], VfM_Metrics_2023_Consol[[#This Row],[Total social leasehold units owned (Period end)]] )</f>
        <v>1429</v>
      </c>
      <c r="S136" s="84" vm="1022">
        <v>1429</v>
      </c>
      <c r="T136" s="83" vm="1009">
        <v>0</v>
      </c>
      <c r="U136" s="86">
        <f xml:space="preserve"> IFERROR( VfM_Metrics_2023_Consol[[#This Row],[Total non-social housing units developed or newly built units acquired (owned)]] / VfM_Metrics_2023_Consol[[#This Row],[Total social and non-social housing units owned (Period end)]], "n/a" )</f>
        <v>0</v>
      </c>
      <c r="V13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36" s="83" vm="8817">
        <v>0</v>
      </c>
      <c r="X136" s="83" vm="1010">
        <v>0</v>
      </c>
      <c r="Y136" s="83" vm="1011">
        <v>0</v>
      </c>
      <c r="Z13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1429</v>
      </c>
      <c r="AA136" s="84" vm="8588">
        <v>1429</v>
      </c>
      <c r="AB136" s="83" vm="1009">
        <v>0</v>
      </c>
      <c r="AC136" s="83" vm="1012">
        <v>0</v>
      </c>
      <c r="AD136" s="83" vm="814">
        <v>0</v>
      </c>
      <c r="AE136" s="7">
        <f xml:space="preserve"> IFERROR( VfM_Metrics_2023_Consol[[#This Row],[Total Net Debt]] / VfM_Metrics_2023_Consol[[#This Row],[Net Book Value of Housing Properties2]], "n/a" )</f>
        <v>0.15102364384492456</v>
      </c>
      <c r="AF13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12002</v>
      </c>
      <c r="AG136" s="84" vm="8530">
        <v>457</v>
      </c>
      <c r="AH136" s="83" vm="1191">
        <v>17014</v>
      </c>
      <c r="AI136" s="83" vm="1013">
        <v>5469</v>
      </c>
      <c r="AJ136" s="83" vm="8791">
        <v>0</v>
      </c>
      <c r="AK136" s="83" vm="1014">
        <v>0</v>
      </c>
      <c r="AL136" s="5">
        <f xml:space="preserve"> SUM( VfM_Metrics_2023_Consol[[#This Row],[Tangible fixed assets: Housing properties at cost (Current period)2]], VfM_Metrics_2023_Consol[[#This Row],[Tangible fixed assets Housing properties at valuation (Current period)2]] )</f>
        <v>79471</v>
      </c>
      <c r="AM136" s="84" vm="1007">
        <v>79471</v>
      </c>
      <c r="AN136" s="83">
        <v>0</v>
      </c>
      <c r="AO136" s="87">
        <f xml:space="preserve"> IFERROR( VfM_Metrics_2023_Consol[[#This Row],[EBITDA MRI]] / VfM_Metrics_2023_Consol[[#This Row],[Total interest]], "n/a" )</f>
        <v>3.1987041036717061</v>
      </c>
      <c r="AP13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1481</v>
      </c>
      <c r="AQ136" s="84" vm="1015">
        <v>1354</v>
      </c>
      <c r="AR136" s="84">
        <v>0</v>
      </c>
      <c r="AS136" s="84" vm="1016">
        <v>318</v>
      </c>
      <c r="AT136" s="84" vm="8519">
        <v>373</v>
      </c>
      <c r="AU136" s="84" vm="1017">
        <v>0</v>
      </c>
      <c r="AV136" s="84" vm="1018">
        <v>128</v>
      </c>
      <c r="AW136" s="84" vm="1019">
        <v>1054</v>
      </c>
      <c r="AX136" s="84" vm="1020">
        <v>1744</v>
      </c>
      <c r="AY136" s="3">
        <f xml:space="preserve"> - SUM( VfM_Metrics_2023_Consol[[#This Row],[Interest capitalised]], VfM_Metrics_2023_Consol[[#This Row],[Interest payable and financing costs]] )</f>
        <v>463</v>
      </c>
      <c r="AZ136" s="84" vm="1021">
        <v>0</v>
      </c>
      <c r="BA136" s="83" vm="8573">
        <v>-463</v>
      </c>
      <c r="BB136" s="8">
        <f xml:space="preserve"> IFERROR( ( VfM_Metrics_2023_Consol[[#This Row],[Total Costs]] / VfM_Metrics_2023_Consol[[#This Row],[Total units for costs]] ) * 1000, "n/a" )</f>
        <v>5125.2624212736182</v>
      </c>
      <c r="BC13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7324</v>
      </c>
      <c r="BD136" s="84" vm="1023">
        <v>2530</v>
      </c>
      <c r="BE136" s="83" vm="1024">
        <v>1388</v>
      </c>
      <c r="BF136" s="83" vm="1025">
        <v>1121</v>
      </c>
      <c r="BG136" s="83" vm="1026">
        <v>363</v>
      </c>
      <c r="BH136" s="83" vm="1027">
        <v>586</v>
      </c>
      <c r="BI136" s="83" vm="1028">
        <v>11</v>
      </c>
      <c r="BJ136" s="83" vm="1019">
        <v>1054</v>
      </c>
      <c r="BK136" s="83" vm="1073">
        <v>271</v>
      </c>
      <c r="BL136" s="83" vm="1029">
        <v>0</v>
      </c>
      <c r="BM136" s="83" vm="1030">
        <v>0</v>
      </c>
      <c r="BN136" s="83" vm="8815">
        <v>0</v>
      </c>
      <c r="BO136" s="83" vm="1031">
        <v>0</v>
      </c>
      <c r="BP136" s="5" vm="8751">
        <f xml:space="preserve"> VfM_Metrics_2023_Consol[[#This Row],[Total social housing units owned and/or managed at period end]]</f>
        <v>1429</v>
      </c>
      <c r="BQ136" s="84" vm="8751">
        <v>1429</v>
      </c>
      <c r="BR136" s="7">
        <f xml:space="preserve"> IFERROR( VfM_Metrics_2023_Consol[[#This Row],[SHL operating surplus / (deficit)]] / VfM_Metrics_2023_Consol[[#This Row],[Turnover from social housing lettings]], "n/a" )</f>
        <v>0.11012816150618124</v>
      </c>
      <c r="BS136" s="5" vm="1078">
        <f xml:space="preserve"> VfM_Metrics_2023_Consol[[#This Row],[Operating surplus/(deficit) (social housing lettings)]]</f>
        <v>971</v>
      </c>
      <c r="BT136" s="84" vm="1078">
        <v>971</v>
      </c>
      <c r="BU136" s="5" vm="1158">
        <f xml:space="preserve"> VfM_Metrics_2023_Consol[[#This Row],[Turnover from social housing lettings]]</f>
        <v>8817</v>
      </c>
      <c r="BV136" s="84" vm="1158">
        <v>8817</v>
      </c>
      <c r="BW136" s="7">
        <f xml:space="preserve"> IFERROR( VfM_Metrics_2023_Consol[[#This Row],[Net operating surplus]] / VfM_Metrics_2023_Consol[[#This Row],[Overall turnover]], "n/a" )</f>
        <v>0.11662726556343578</v>
      </c>
      <c r="BX136" s="5">
        <f xml:space="preserve"> SUM( VfM_Metrics_2023_Consol[[#This Row],[Operating surplus/(deficit) (overall)2]], - VfM_Metrics_2023_Consol[[#This Row],[Gain/(loss) on disposal of fixed assets (housing properties)2]], - VfM_Metrics_2023_Consol[[#This Row],[Gain/(loss) on disposal of fixed assets (other)2]] )</f>
        <v>1036</v>
      </c>
      <c r="BY136" s="84" vm="1015">
        <v>1354</v>
      </c>
      <c r="BZ136" s="83">
        <v>0</v>
      </c>
      <c r="CA136" s="83" vm="1212">
        <v>318</v>
      </c>
      <c r="CB136" s="5" vm="1032">
        <f xml:space="preserve"> VfM_Metrics_2023_Consol[[#This Row],[Turnover (overall)]]</f>
        <v>8883</v>
      </c>
      <c r="CC136" s="84" vm="1032">
        <v>8883</v>
      </c>
      <c r="CD136" s="7">
        <f xml:space="preserve"> IFERROR( VfM_Metrics_2023_Consol[[#This Row],[Operating surplus including from JVs]] / VfM_Metrics_2023_Consol[[#This Row],[Net assets]], "n/a" )</f>
        <v>1.5729553903345725E-2</v>
      </c>
      <c r="CE136" s="5">
        <f xml:space="preserve"> SUM( VfM_Metrics_2023_Consol[[#This Row],[Operating surplus/(deficit) (overall)3]], VfM_Metrics_2023_Consol[[#This Row],[Share of operating surplus/(deficit) in joint ventures or associates]] )</f>
        <v>1354</v>
      </c>
      <c r="CF136" s="84" vm="1015">
        <v>1354</v>
      </c>
      <c r="CG136" s="83">
        <v>0</v>
      </c>
      <c r="CH136" s="5" vm="1033">
        <f xml:space="preserve"> VfM_Metrics_2023_Consol[[#This Row],[Total assets less current liabilities]]</f>
        <v>86080</v>
      </c>
      <c r="CI136" s="84" vm="1033">
        <v>86080</v>
      </c>
      <c r="CJ136" s="71" vm="1022">
        <f xml:space="preserve"> VfM_Metrics_2023_Consol[[#This Row],[Total social housing units owned (Period end)]]</f>
        <v>1429</v>
      </c>
      <c r="CK136" s="103">
        <v>0</v>
      </c>
      <c r="CL136" s="6">
        <f xml:space="preserve"> -- ( VfM_Metrics_2023_Consol[[#This Row],[% Supported housing (excl. HOP)]] &gt; 0.3 )</f>
        <v>0</v>
      </c>
      <c r="CM136" s="103">
        <v>0.13365990202939118</v>
      </c>
      <c r="CN136" s="6">
        <f xml:space="preserve"> -- ( VfM_Metrics_2023_Consol[[#This Row],[% Housing for older people]] &gt; 0.3 )</f>
        <v>0</v>
      </c>
      <c r="CO136" s="103">
        <f xml:space="preserve"> VfM_Metrics_2023_Consol[[#This Row],[% Supported housing (excl. HOP)]] + VfM_Metrics_2023_Consol[[#This Row],[% Housing for older people]]</f>
        <v>0.13365990202939118</v>
      </c>
      <c r="CP136" s="6">
        <f xml:space="preserve"> -- ( VfM_Metrics_2023_Consol[[#This Row],[SH specialist in RSH analysis]] + VfM_Metrics_2023_Consol[[#This Row],[OP specialist in RSH analysis]] &gt; 0 )</f>
        <v>0</v>
      </c>
      <c r="CQ136" s="10">
        <f xml:space="preserve"> -- ( VfM_Metrics_2023_Consol[[#This Row],[% SH and OP]] &gt; 0.3 )</f>
        <v>0</v>
      </c>
      <c r="CR136" s="104" t="s">
        <v>143</v>
      </c>
      <c r="CS136" s="124" t="s">
        <v>144</v>
      </c>
      <c r="CT136" s="105"/>
      <c r="CU13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136" s="85">
        <v>0</v>
      </c>
      <c r="CW136" s="85">
        <v>0</v>
      </c>
      <c r="CX136" s="85">
        <v>0</v>
      </c>
      <c r="CY136" s="85">
        <v>0</v>
      </c>
      <c r="CZ136" s="85">
        <v>0</v>
      </c>
      <c r="DA136" s="85">
        <v>0</v>
      </c>
      <c r="DB136" s="85">
        <v>0</v>
      </c>
      <c r="DC136" s="85">
        <v>0</v>
      </c>
      <c r="DD136" s="85">
        <v>1</v>
      </c>
      <c r="DE136" s="13">
        <v>0.94459121441814442</v>
      </c>
    </row>
    <row r="137" spans="1:109" x14ac:dyDescent="0.25">
      <c r="A137" s="4" t="s" vm="267">
        <v>398</v>
      </c>
      <c r="B137" s="2" t="s" vm="127">
        <v>399</v>
      </c>
      <c r="C137" s="72" vm="477">
        <v>45016</v>
      </c>
      <c r="D137" s="7">
        <f>IFERROR( VfM_Metrics_2023_Consol[[#This Row],[Reinvestment Spend]] / VfM_Metrics_2023_Consol[[#This Row],[Net Book Value of Housing Properties]], "n/a" )</f>
        <v>9.1512191959518124E-2</v>
      </c>
      <c r="E13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417826</v>
      </c>
      <c r="F137" s="83" vm="2241">
        <v>345997</v>
      </c>
      <c r="G137" s="83" vm="7893">
        <v>0</v>
      </c>
      <c r="H137" s="83" vm="2242">
        <v>66400</v>
      </c>
      <c r="I137" s="83" vm="2243">
        <v>5429</v>
      </c>
      <c r="J137" s="83" vm="7965">
        <v>0</v>
      </c>
      <c r="K137" s="5">
        <f xml:space="preserve"> SUM( VfM_Metrics_2023_Consol[[#This Row],[Tangible fixed assets: Housing properties at cost (Current period)]],VfM_Metrics_2023_Consol[[#This Row],[Tangible fixed assets Housing properties at valuation (Current period)]] )</f>
        <v>4565796</v>
      </c>
      <c r="L137" s="84" vm="2245">
        <v>4565796</v>
      </c>
      <c r="M137" s="83" vm="2246">
        <v>0</v>
      </c>
      <c r="N137" s="7">
        <f xml:space="preserve"> IFERROR( VfM_Metrics_2023_Consol[[#This Row],[Total social units developed or newly built units acquired in-year]] / VfM_Metrics_2023_Consol[[#This Row],[Social housing units owned (period end)]], "n/a" )</f>
        <v>2.1459749456073731E-2</v>
      </c>
      <c r="O137" s="5">
        <f xml:space="preserve"> SUM( VfM_Metrics_2023_Consol[[#This Row],[Total social units developed or newly built units acquired in-year (owned)]], VfM_Metrics_2023_Consol[[#This Row],[Total social leasehold units developed or newly built units acquired in-year (owned)]] )</f>
        <v>1588</v>
      </c>
      <c r="P137" s="84" vm="8066">
        <v>1588</v>
      </c>
      <c r="Q137" s="83" vm="2247">
        <v>0</v>
      </c>
      <c r="R137" s="5">
        <f xml:space="preserve"> SUM( VfM_Metrics_2023_Consol[[#This Row],[Total social housing units owned (Period end)]], VfM_Metrics_2023_Consol[[#This Row],[Total social leasehold units owned (Period end)]] )</f>
        <v>73999</v>
      </c>
      <c r="S137" s="84" vm="2239">
        <v>70663</v>
      </c>
      <c r="T137" s="83" vm="2248">
        <v>3336</v>
      </c>
      <c r="U137" s="86">
        <f xml:space="preserve"> IFERROR( VfM_Metrics_2023_Consol[[#This Row],[Total non-social housing units developed or newly built units acquired (owned)]] / VfM_Metrics_2023_Consol[[#This Row],[Total social and non-social housing units owned (Period end)]], "n/a" )</f>
        <v>5.4692205758342365E-3</v>
      </c>
      <c r="V13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454</v>
      </c>
      <c r="W137" s="83" vm="2249">
        <v>166</v>
      </c>
      <c r="X137" s="83" vm="2250">
        <v>0</v>
      </c>
      <c r="Y137" s="83" vm="2407">
        <v>288</v>
      </c>
      <c r="Z13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83010</v>
      </c>
      <c r="AA137" s="84" vm="2239">
        <v>70663</v>
      </c>
      <c r="AB137" s="83" vm="2248">
        <v>3336</v>
      </c>
      <c r="AC137" s="83" vm="2251">
        <v>8484</v>
      </c>
      <c r="AD137" s="83" vm="4752">
        <v>527</v>
      </c>
      <c r="AE137" s="7">
        <f xml:space="preserve"> IFERROR( VfM_Metrics_2023_Consol[[#This Row],[Total Net Debt]] / VfM_Metrics_2023_Consol[[#This Row],[Net Book Value of Housing Properties2]], "n/a" )</f>
        <v>0.71431575129506442</v>
      </c>
      <c r="AF13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3261420</v>
      </c>
      <c r="AG137" s="84" vm="2252">
        <v>90368</v>
      </c>
      <c r="AH137" s="83" vm="2253">
        <v>3027352</v>
      </c>
      <c r="AI137" s="83" vm="2254">
        <v>66598</v>
      </c>
      <c r="AJ137" s="83" vm="2255">
        <v>0</v>
      </c>
      <c r="AK137" s="83" vm="7892">
        <v>210298</v>
      </c>
      <c r="AL137" s="5">
        <f xml:space="preserve"> SUM( VfM_Metrics_2023_Consol[[#This Row],[Tangible fixed assets: Housing properties at cost (Current period)2]], VfM_Metrics_2023_Consol[[#This Row],[Tangible fixed assets Housing properties at valuation (Current period)2]] )</f>
        <v>4565796</v>
      </c>
      <c r="AM137" s="84" vm="7805">
        <v>4565796</v>
      </c>
      <c r="AN137" s="83" vm="2246">
        <v>0</v>
      </c>
      <c r="AO137" s="87">
        <f xml:space="preserve"> IFERROR( VfM_Metrics_2023_Consol[[#This Row],[EBITDA MRI]] / VfM_Metrics_2023_Consol[[#This Row],[Total interest]], "n/a" )</f>
        <v>1.3488639694308449</v>
      </c>
      <c r="AP13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124256</v>
      </c>
      <c r="AQ137" s="84" vm="2256">
        <v>170313</v>
      </c>
      <c r="AR137" s="84" vm="2257">
        <v>14761</v>
      </c>
      <c r="AS137" s="84" vm="2258">
        <v>895</v>
      </c>
      <c r="AT137" s="84" vm="2259">
        <v>22360</v>
      </c>
      <c r="AU137" s="84" vm="2260">
        <v>828</v>
      </c>
      <c r="AV137" s="84" vm="2482">
        <v>6512</v>
      </c>
      <c r="AW137" s="84" vm="2261">
        <v>66400</v>
      </c>
      <c r="AX137" s="84" vm="2262">
        <v>52675</v>
      </c>
      <c r="AY137" s="3">
        <f xml:space="preserve"> - SUM( VfM_Metrics_2023_Consol[[#This Row],[Interest capitalised]], VfM_Metrics_2023_Consol[[#This Row],[Interest payable and financing costs]] )</f>
        <v>92119</v>
      </c>
      <c r="AZ137" s="84" vm="8083">
        <v>-5429</v>
      </c>
      <c r="BA137" s="83" vm="2263">
        <v>-86690</v>
      </c>
      <c r="BB137" s="8">
        <f xml:space="preserve"> IFERROR( ( VfM_Metrics_2023_Consol[[#This Row],[Total Costs]] / VfM_Metrics_2023_Consol[[#This Row],[Total units for costs]] ) * 1000, "n/a" )</f>
        <v>3361.500317863954</v>
      </c>
      <c r="BC13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264382</v>
      </c>
      <c r="BD137" s="84" vm="2264">
        <v>66970</v>
      </c>
      <c r="BE137" s="83" vm="2265">
        <v>43653</v>
      </c>
      <c r="BF137" s="83" vm="2266">
        <v>58454</v>
      </c>
      <c r="BG137" s="83" vm="2267">
        <v>20527</v>
      </c>
      <c r="BH137" s="83" vm="2268">
        <v>5153</v>
      </c>
      <c r="BI137" s="83" vm="2269">
        <v>0</v>
      </c>
      <c r="BJ137" s="83" vm="2261">
        <v>66400</v>
      </c>
      <c r="BK137" s="83" vm="2270">
        <v>710</v>
      </c>
      <c r="BL137" s="83" vm="2271">
        <v>0</v>
      </c>
      <c r="BM137" s="83" vm="2272">
        <v>0</v>
      </c>
      <c r="BN137" s="83" vm="2273">
        <v>82</v>
      </c>
      <c r="BO137" s="83" vm="2274">
        <v>2433</v>
      </c>
      <c r="BP137" s="5" vm="2240">
        <f xml:space="preserve"> VfM_Metrics_2023_Consol[[#This Row],[Total social housing units owned and/or managed at period end]]</f>
        <v>78650</v>
      </c>
      <c r="BQ137" s="84" vm="2240">
        <v>78650</v>
      </c>
      <c r="BR137" s="7">
        <f xml:space="preserve"> IFERROR( VfM_Metrics_2023_Consol[[#This Row],[SHL operating surplus / (deficit)]] / VfM_Metrics_2023_Consol[[#This Row],[Turnover from social housing lettings]], "n/a" )</f>
        <v>0.40655239114831082</v>
      </c>
      <c r="BS137" s="5" vm="2275">
        <f xml:space="preserve"> VfM_Metrics_2023_Consol[[#This Row],[Operating surplus/(deficit) (social housing lettings)]]</f>
        <v>167091</v>
      </c>
      <c r="BT137" s="84" vm="2275">
        <v>167091</v>
      </c>
      <c r="BU137" s="5" vm="7511">
        <f xml:space="preserve"> VfM_Metrics_2023_Consol[[#This Row],[Turnover from social housing lettings]]</f>
        <v>410995</v>
      </c>
      <c r="BV137" s="84" vm="7511">
        <v>410995</v>
      </c>
      <c r="BW137" s="7">
        <f xml:space="preserve"> IFERROR( VfM_Metrics_2023_Consol[[#This Row],[Net operating surplus]] / VfM_Metrics_2023_Consol[[#This Row],[Overall turnover]], "n/a" )</f>
        <v>0.18202886200918283</v>
      </c>
      <c r="BX137" s="5">
        <f xml:space="preserve"> SUM( VfM_Metrics_2023_Consol[[#This Row],[Operating surplus/(deficit) (overall)2]], - VfM_Metrics_2023_Consol[[#This Row],[Gain/(loss) on disposal of fixed assets (housing properties)2]], - VfM_Metrics_2023_Consol[[#This Row],[Gain/(loss) on disposal of fixed assets (other)2]] )</f>
        <v>154657</v>
      </c>
      <c r="BY137" s="84" vm="2256">
        <v>170313</v>
      </c>
      <c r="BZ137" s="83" vm="7955">
        <v>14761</v>
      </c>
      <c r="CA137" s="83" vm="2258">
        <v>895</v>
      </c>
      <c r="CB137" s="5" vm="2276">
        <f xml:space="preserve"> VfM_Metrics_2023_Consol[[#This Row],[Turnover (overall)]]</f>
        <v>849629</v>
      </c>
      <c r="CC137" s="84" vm="2276">
        <v>849629</v>
      </c>
      <c r="CD137" s="7">
        <f xml:space="preserve"> IFERROR( VfM_Metrics_2023_Consol[[#This Row],[Operating surplus including from JVs]] / VfM_Metrics_2023_Consol[[#This Row],[Net assets]], "n/a" )</f>
        <v>3.0304413673196272E-2</v>
      </c>
      <c r="CE137" s="5">
        <f xml:space="preserve"> SUM( VfM_Metrics_2023_Consol[[#This Row],[Operating surplus/(deficit) (overall)3]], VfM_Metrics_2023_Consol[[#This Row],[Share of operating surplus/(deficit) in joint ventures or associates]] )</f>
        <v>170603</v>
      </c>
      <c r="CF137" s="84" vm="2256">
        <v>170313</v>
      </c>
      <c r="CG137" s="83" vm="2278">
        <v>290</v>
      </c>
      <c r="CH137" s="5" vm="2277">
        <f xml:space="preserve"> VfM_Metrics_2023_Consol[[#This Row],[Total assets less current liabilities]]</f>
        <v>5629642</v>
      </c>
      <c r="CI137" s="84" vm="2277">
        <v>5629642</v>
      </c>
      <c r="CJ137" s="71" vm="2239">
        <f xml:space="preserve"> VfM_Metrics_2023_Consol[[#This Row],[Total social housing units owned (Period end)]]</f>
        <v>70663</v>
      </c>
      <c r="CK137" s="103">
        <v>4.9455902508297692E-2</v>
      </c>
      <c r="CL137" s="6">
        <f xml:space="preserve"> -- ( VfM_Metrics_2023_Consol[[#This Row],[% Supported housing (excl. HOP)]] &gt; 0.3 )</f>
        <v>0</v>
      </c>
      <c r="CM137" s="103">
        <v>6.6051288825773213E-2</v>
      </c>
      <c r="CN137" s="6">
        <f xml:space="preserve"> -- ( VfM_Metrics_2023_Consol[[#This Row],[% Housing for older people]] &gt; 0.3 )</f>
        <v>0</v>
      </c>
      <c r="CO137" s="103">
        <f xml:space="preserve"> VfM_Metrics_2023_Consol[[#This Row],[% Supported housing (excl. HOP)]] + VfM_Metrics_2023_Consol[[#This Row],[% Housing for older people]]</f>
        <v>0.1155071913340709</v>
      </c>
      <c r="CP137" s="6">
        <f xml:space="preserve"> -- ( VfM_Metrics_2023_Consol[[#This Row],[SH specialist in RSH analysis]] + VfM_Metrics_2023_Consol[[#This Row],[OP specialist in RSH analysis]] &gt; 0 )</f>
        <v>0</v>
      </c>
      <c r="CQ137" s="10">
        <f xml:space="preserve"> -- ( VfM_Metrics_2023_Consol[[#This Row],[% SH and OP]] &gt; 0.3 )</f>
        <v>0</v>
      </c>
      <c r="CR137" s="104" t="s">
        <v>143</v>
      </c>
      <c r="CS137" s="124" t="s">
        <v>144</v>
      </c>
      <c r="CT137" s="105"/>
      <c r="CU13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37" s="85">
        <v>4.087922783680753E-2</v>
      </c>
      <c r="CW137" s="85">
        <v>9.5936410090031635E-2</v>
      </c>
      <c r="CX137" s="85">
        <v>5.0871927974693809E-2</v>
      </c>
      <c r="CY137" s="85">
        <v>0.17346094573769161</v>
      </c>
      <c r="CZ137" s="85">
        <v>5.1585692270257116E-3</v>
      </c>
      <c r="DA137" s="85">
        <v>0.1873793495011761</v>
      </c>
      <c r="DB137" s="85">
        <v>8.1060913293860004E-2</v>
      </c>
      <c r="DC137" s="85">
        <v>0.20262795036093761</v>
      </c>
      <c r="DD137" s="85">
        <v>0.16262470597777598</v>
      </c>
      <c r="DE137" s="13">
        <v>0.97599275885331038</v>
      </c>
    </row>
    <row r="138" spans="1:109" x14ac:dyDescent="0.25">
      <c r="A138" s="4" t="s" vm="266">
        <v>400</v>
      </c>
      <c r="B138" s="2" t="s" vm="128">
        <v>401</v>
      </c>
      <c r="C138" s="72" vm="533">
        <v>45016</v>
      </c>
      <c r="D138" s="7">
        <f>IFERROR( VfM_Metrics_2023_Consol[[#This Row],[Reinvestment Spend]] / VfM_Metrics_2023_Consol[[#This Row],[Net Book Value of Housing Properties]], "n/a" )</f>
        <v>9.363038520878883E-2</v>
      </c>
      <c r="E13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274971</v>
      </c>
      <c r="F138" s="83" vm="2210">
        <v>246483</v>
      </c>
      <c r="G138" s="83" vm="2211">
        <v>0</v>
      </c>
      <c r="H138" s="83" vm="7764">
        <v>24377</v>
      </c>
      <c r="I138" s="83" vm="2212">
        <v>4111</v>
      </c>
      <c r="J138" s="83" vm="2213">
        <v>0</v>
      </c>
      <c r="K138" s="5">
        <f xml:space="preserve"> SUM( VfM_Metrics_2023_Consol[[#This Row],[Tangible fixed assets: Housing properties at cost (Current period)]],VfM_Metrics_2023_Consol[[#This Row],[Tangible fixed assets Housing properties at valuation (Current period)]] )</f>
        <v>2936771</v>
      </c>
      <c r="L138" s="84" vm="2214">
        <v>2936771</v>
      </c>
      <c r="M138" s="83" vm="2215">
        <v>0</v>
      </c>
      <c r="N138" s="7">
        <f xml:space="preserve"> IFERROR( VfM_Metrics_2023_Consol[[#This Row],[Total social units developed or newly built units acquired in-year]] / VfM_Metrics_2023_Consol[[#This Row],[Social housing units owned (period end)]], "n/a" )</f>
        <v>2.244142514617423E-2</v>
      </c>
      <c r="O138" s="5">
        <f xml:space="preserve"> SUM( VfM_Metrics_2023_Consol[[#This Row],[Total social units developed or newly built units acquired in-year (owned)]], VfM_Metrics_2023_Consol[[#This Row],[Total social leasehold units developed or newly built units acquired in-year (owned)]] )</f>
        <v>1067</v>
      </c>
      <c r="P138" s="84" vm="7839">
        <v>1067</v>
      </c>
      <c r="Q138" s="83">
        <v>0</v>
      </c>
      <c r="R138" s="5">
        <f xml:space="preserve"> SUM( VfM_Metrics_2023_Consol[[#This Row],[Total social housing units owned (Period end)]], VfM_Metrics_2023_Consol[[#This Row],[Total social leasehold units owned (Period end)]] )</f>
        <v>47546</v>
      </c>
      <c r="S138" s="84" vm="7895">
        <v>46401</v>
      </c>
      <c r="T138" s="83" vm="7632">
        <v>1145</v>
      </c>
      <c r="U138" s="86">
        <f xml:space="preserve"> IFERROR( VfM_Metrics_2023_Consol[[#This Row],[Total non-social housing units developed or newly built units acquired (owned)]] / VfM_Metrics_2023_Consol[[#This Row],[Total social and non-social housing units owned (Period end)]], "n/a" )</f>
        <v>0</v>
      </c>
      <c r="V13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38" s="83" vm="2217">
        <v>0</v>
      </c>
      <c r="X138" s="83">
        <v>0</v>
      </c>
      <c r="Y138" s="83" vm="2218">
        <v>0</v>
      </c>
      <c r="Z13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48082</v>
      </c>
      <c r="AA138" s="84" vm="1342">
        <v>46401</v>
      </c>
      <c r="AB138" s="83" vm="2216">
        <v>1145</v>
      </c>
      <c r="AC138" s="83" vm="7763">
        <v>111</v>
      </c>
      <c r="AD138" s="83" vm="2219">
        <v>425</v>
      </c>
      <c r="AE138" s="7">
        <f xml:space="preserve"> IFERROR( VfM_Metrics_2023_Consol[[#This Row],[Total Net Debt]] / VfM_Metrics_2023_Consol[[#This Row],[Net Book Value of Housing Properties2]], "n/a" )</f>
        <v>0.43413361137112838</v>
      </c>
      <c r="AF13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1274951</v>
      </c>
      <c r="AG138" s="84" vm="8017">
        <v>14073</v>
      </c>
      <c r="AH138" s="83" vm="2220">
        <v>1378934</v>
      </c>
      <c r="AI138" s="83" vm="7104">
        <v>118056</v>
      </c>
      <c r="AJ138" s="83" vm="7761">
        <v>0</v>
      </c>
      <c r="AK138" s="83" vm="8025">
        <v>0</v>
      </c>
      <c r="AL138" s="5">
        <f xml:space="preserve"> SUM( VfM_Metrics_2023_Consol[[#This Row],[Tangible fixed assets: Housing properties at cost (Current period)2]], VfM_Metrics_2023_Consol[[#This Row],[Tangible fixed assets Housing properties at valuation (Current period)2]] )</f>
        <v>2936771</v>
      </c>
      <c r="AM138" s="84" vm="7516">
        <v>2936771</v>
      </c>
      <c r="AN138" s="83" vm="2215">
        <v>0</v>
      </c>
      <c r="AO138" s="87">
        <f xml:space="preserve"> IFERROR( VfM_Metrics_2023_Consol[[#This Row],[EBITDA MRI]] / VfM_Metrics_2023_Consol[[#This Row],[Total interest]], "n/a" )</f>
        <v>1.8686332199763096</v>
      </c>
      <c r="AP13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97808</v>
      </c>
      <c r="AQ138" s="84" vm="7760">
        <v>92256</v>
      </c>
      <c r="AR138" s="84" vm="2410">
        <v>10749</v>
      </c>
      <c r="AS138" s="84" vm="7515">
        <v>0</v>
      </c>
      <c r="AT138" s="84" vm="7630">
        <v>5081</v>
      </c>
      <c r="AU138" s="84" vm="2222">
        <v>0</v>
      </c>
      <c r="AV138" s="84" vm="2223">
        <v>3974</v>
      </c>
      <c r="AW138" s="84" vm="2224">
        <v>24377</v>
      </c>
      <c r="AX138" s="84" vm="7792">
        <v>41785</v>
      </c>
      <c r="AY138" s="3">
        <f xml:space="preserve"> - SUM( VfM_Metrics_2023_Consol[[#This Row],[Interest capitalised]], VfM_Metrics_2023_Consol[[#This Row],[Interest payable and financing costs]] )</f>
        <v>52342</v>
      </c>
      <c r="AZ138" s="84" vm="8123">
        <v>-4111</v>
      </c>
      <c r="BA138" s="83" vm="2225">
        <v>-48231</v>
      </c>
      <c r="BB138" s="8">
        <f xml:space="preserve"> IFERROR( ( VfM_Metrics_2023_Consol[[#This Row],[Total Costs]] / VfM_Metrics_2023_Consol[[#This Row],[Total units for costs]] ) * 1000, "n/a" )</f>
        <v>3435.5422465422894</v>
      </c>
      <c r="BC13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159471</v>
      </c>
      <c r="BD138" s="84" vm="2226">
        <v>30196</v>
      </c>
      <c r="BE138" s="83" vm="2227">
        <v>27473</v>
      </c>
      <c r="BF138" s="83" vm="2228">
        <v>52178</v>
      </c>
      <c r="BG138" s="83" vm="2229">
        <v>7493</v>
      </c>
      <c r="BH138" s="83" vm="2230">
        <v>12009</v>
      </c>
      <c r="BI138" s="83" vm="2525">
        <v>0</v>
      </c>
      <c r="BJ138" s="83" vm="2224">
        <v>24377</v>
      </c>
      <c r="BK138" s="83" vm="8057">
        <v>0</v>
      </c>
      <c r="BL138" s="83" vm="2231">
        <v>4339</v>
      </c>
      <c r="BM138" s="83" vm="2232">
        <v>0</v>
      </c>
      <c r="BN138" s="83" vm="7791">
        <v>856</v>
      </c>
      <c r="BO138" s="83" vm="7629">
        <v>550</v>
      </c>
      <c r="BP138" s="5" vm="2209">
        <f xml:space="preserve"> VfM_Metrics_2023_Consol[[#This Row],[Total social housing units owned and/or managed at period end]]</f>
        <v>46418</v>
      </c>
      <c r="BQ138" s="84" vm="2209">
        <v>46418</v>
      </c>
      <c r="BR138" s="7">
        <f xml:space="preserve"> IFERROR( VfM_Metrics_2023_Consol[[#This Row],[SHL operating surplus / (deficit)]] / VfM_Metrics_2023_Consol[[#This Row],[Turnover from social housing lettings]], "n/a" )</f>
        <v>0.32062486652886402</v>
      </c>
      <c r="BS138" s="5" vm="2234">
        <f xml:space="preserve"> VfM_Metrics_2023_Consol[[#This Row],[Operating surplus/(deficit) (social housing lettings)]]</f>
        <v>79573</v>
      </c>
      <c r="BT138" s="84" vm="2234">
        <v>79573</v>
      </c>
      <c r="BU138" s="5" vm="2235">
        <f xml:space="preserve"> VfM_Metrics_2023_Consol[[#This Row],[Turnover from social housing lettings]]</f>
        <v>248181</v>
      </c>
      <c r="BV138" s="84" vm="2235">
        <v>248181</v>
      </c>
      <c r="BW138" s="7">
        <f xml:space="preserve"> IFERROR( VfM_Metrics_2023_Consol[[#This Row],[Net operating surplus]] / VfM_Metrics_2023_Consol[[#This Row],[Overall turnover]], "n/a" )</f>
        <v>0.27170177374352888</v>
      </c>
      <c r="BX138" s="5">
        <f xml:space="preserve"> SUM( VfM_Metrics_2023_Consol[[#This Row],[Operating surplus/(deficit) (overall)2]], - VfM_Metrics_2023_Consol[[#This Row],[Gain/(loss) on disposal of fixed assets (housing properties)2]], - VfM_Metrics_2023_Consol[[#This Row],[Gain/(loss) on disposal of fixed assets (other)2]] )</f>
        <v>81507</v>
      </c>
      <c r="BY138" s="84" vm="7514">
        <v>92256</v>
      </c>
      <c r="BZ138" s="83" vm="7947">
        <v>10749</v>
      </c>
      <c r="CA138" s="83" vm="1936">
        <v>0</v>
      </c>
      <c r="CB138" s="5" vm="2236">
        <f xml:space="preserve"> VfM_Metrics_2023_Consol[[#This Row],[Turnover (overall)]]</f>
        <v>299987</v>
      </c>
      <c r="CC138" s="84" vm="2236">
        <v>299987</v>
      </c>
      <c r="CD138" s="7">
        <f xml:space="preserve"> IFERROR( VfM_Metrics_2023_Consol[[#This Row],[Operating surplus including from JVs]] / VfM_Metrics_2023_Consol[[#This Row],[Net assets]], "n/a" )</f>
        <v>3.0423085877549189E-2</v>
      </c>
      <c r="CE138" s="5">
        <f xml:space="preserve"> SUM( VfM_Metrics_2023_Consol[[#This Row],[Operating surplus/(deficit) (overall)3]], VfM_Metrics_2023_Consol[[#This Row],[Share of operating surplus/(deficit) in joint ventures or associates]] )</f>
        <v>92256</v>
      </c>
      <c r="CF138" s="84" vm="2221">
        <v>92256</v>
      </c>
      <c r="CG138" s="83" vm="2238">
        <v>0</v>
      </c>
      <c r="CH138" s="5" vm="2237">
        <f xml:space="preserve"> VfM_Metrics_2023_Consol[[#This Row],[Total assets less current liabilities]]</f>
        <v>3032434</v>
      </c>
      <c r="CI138" s="84" vm="2237">
        <v>3032434</v>
      </c>
      <c r="CJ138" s="71" vm="7895">
        <f xml:space="preserve"> VfM_Metrics_2023_Consol[[#This Row],[Total social housing units owned (Period end)]]</f>
        <v>46401</v>
      </c>
      <c r="CK138" s="103">
        <v>7.2223306656256101E-3</v>
      </c>
      <c r="CL138" s="6">
        <f xml:space="preserve"> -- ( VfM_Metrics_2023_Consol[[#This Row],[% Supported housing (excl. HOP)]] &gt; 0.3 )</f>
        <v>0</v>
      </c>
      <c r="CM138" s="103">
        <v>6.4545513696401852E-2</v>
      </c>
      <c r="CN138" s="6">
        <f xml:space="preserve"> -- ( VfM_Metrics_2023_Consol[[#This Row],[% Housing for older people]] &gt; 0.3 )</f>
        <v>0</v>
      </c>
      <c r="CO138" s="103">
        <f xml:space="preserve"> VfM_Metrics_2023_Consol[[#This Row],[% Supported housing (excl. HOP)]] + VfM_Metrics_2023_Consol[[#This Row],[% Housing for older people]]</f>
        <v>7.1767844362027461E-2</v>
      </c>
      <c r="CP138" s="6">
        <f xml:space="preserve"> -- ( VfM_Metrics_2023_Consol[[#This Row],[SH specialist in RSH analysis]] + VfM_Metrics_2023_Consol[[#This Row],[OP specialist in RSH analysis]] &gt; 0 )</f>
        <v>0</v>
      </c>
      <c r="CQ138" s="10">
        <f xml:space="preserve"> -- ( VfM_Metrics_2023_Consol[[#This Row],[% SH and OP]] &gt; 0.3 )</f>
        <v>0</v>
      </c>
      <c r="CR138" s="104" t="s">
        <v>143</v>
      </c>
      <c r="CS138" s="124" t="s">
        <v>144</v>
      </c>
      <c r="CT138" s="105"/>
      <c r="CU13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38" s="85">
        <v>0</v>
      </c>
      <c r="CW138" s="85">
        <v>7.3705308075257001E-3</v>
      </c>
      <c r="CX138" s="85">
        <v>7.8015560009482557E-3</v>
      </c>
      <c r="CY138" s="85">
        <v>0.44445162819766815</v>
      </c>
      <c r="CZ138" s="85">
        <v>0.53927717075063042</v>
      </c>
      <c r="DA138" s="85">
        <v>8.6205038684511112E-4</v>
      </c>
      <c r="DB138" s="85">
        <v>0</v>
      </c>
      <c r="DC138" s="85">
        <v>2.3706385638240556E-4</v>
      </c>
      <c r="DD138" s="85">
        <v>0</v>
      </c>
      <c r="DE138" s="13">
        <v>0.95532969771047882</v>
      </c>
    </row>
    <row r="139" spans="1:109" x14ac:dyDescent="0.25">
      <c r="A139" s="4" t="s" vm="274">
        <v>402</v>
      </c>
      <c r="B139" s="2" t="s" vm="129">
        <v>403</v>
      </c>
      <c r="C139" s="72" vm="483">
        <v>45016</v>
      </c>
      <c r="D139" s="7">
        <f>IFERROR( VfM_Metrics_2023_Consol[[#This Row],[Reinvestment Spend]] / VfM_Metrics_2023_Consol[[#This Row],[Net Book Value of Housing Properties]], "n/a" )</f>
        <v>6.4566446574194983E-2</v>
      </c>
      <c r="E13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41931</v>
      </c>
      <c r="F139" s="83" vm="2468">
        <v>11517</v>
      </c>
      <c r="G139" s="83" vm="2469">
        <v>19297</v>
      </c>
      <c r="H139" s="83" vm="2538">
        <v>10865</v>
      </c>
      <c r="I139" s="83" vm="2470">
        <v>252</v>
      </c>
      <c r="J139" s="83" vm="2471">
        <v>0</v>
      </c>
      <c r="K139" s="5">
        <f xml:space="preserve"> SUM( VfM_Metrics_2023_Consol[[#This Row],[Tangible fixed assets: Housing properties at cost (Current period)]],VfM_Metrics_2023_Consol[[#This Row],[Tangible fixed assets Housing properties at valuation (Current period)]] )</f>
        <v>649424</v>
      </c>
      <c r="L139" s="84" vm="2472">
        <v>649424</v>
      </c>
      <c r="M139" s="83">
        <v>0</v>
      </c>
      <c r="N139" s="7">
        <f xml:space="preserve"> IFERROR( VfM_Metrics_2023_Consol[[#This Row],[Total social units developed or newly built units acquired in-year]] / VfM_Metrics_2023_Consol[[#This Row],[Social housing units owned (period end)]], "n/a" )</f>
        <v>1.0665685913938948E-2</v>
      </c>
      <c r="O139" s="5">
        <f xml:space="preserve"> SUM( VfM_Metrics_2023_Consol[[#This Row],[Total social units developed or newly built units acquired in-year (owned)]], VfM_Metrics_2023_Consol[[#This Row],[Total social leasehold units developed or newly built units acquired in-year (owned)]] )</f>
        <v>145</v>
      </c>
      <c r="P139" s="84" vm="8021">
        <v>145</v>
      </c>
      <c r="Q139" s="83">
        <v>0</v>
      </c>
      <c r="R139" s="5">
        <f xml:space="preserve"> SUM( VfM_Metrics_2023_Consol[[#This Row],[Total social housing units owned (Period end)]], VfM_Metrics_2023_Consol[[#This Row],[Total social leasehold units owned (Period end)]] )</f>
        <v>13595</v>
      </c>
      <c r="S139" s="84" vm="8103">
        <v>13355</v>
      </c>
      <c r="T139" s="83" vm="2473">
        <v>240</v>
      </c>
      <c r="U139" s="86">
        <f xml:space="preserve"> IFERROR( VfM_Metrics_2023_Consol[[#This Row],[Total non-social housing units developed or newly built units acquired (owned)]] / VfM_Metrics_2023_Consol[[#This Row],[Total social and non-social housing units owned (Period end)]], "n/a" )</f>
        <v>0</v>
      </c>
      <c r="V13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39" s="83">
        <v>0</v>
      </c>
      <c r="X139" s="83">
        <v>0</v>
      </c>
      <c r="Y139" s="83">
        <v>0</v>
      </c>
      <c r="Z13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13616</v>
      </c>
      <c r="AA139" s="84" vm="2466">
        <v>13355</v>
      </c>
      <c r="AB139" s="83" vm="1808">
        <v>240</v>
      </c>
      <c r="AC139" s="83" vm="2474">
        <v>21</v>
      </c>
      <c r="AD139" s="83" vm="2475">
        <v>0</v>
      </c>
      <c r="AE139" s="7">
        <f xml:space="preserve"> IFERROR( VfM_Metrics_2023_Consol[[#This Row],[Total Net Debt]] / VfM_Metrics_2023_Consol[[#This Row],[Net Book Value of Housing Properties2]], "n/a" )</f>
        <v>0.50340147576929706</v>
      </c>
      <c r="AF13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326921</v>
      </c>
      <c r="AG139" s="84" vm="2476">
        <v>1655</v>
      </c>
      <c r="AH139" s="83" vm="2477">
        <v>372620</v>
      </c>
      <c r="AI139" s="83" vm="2478">
        <v>47354</v>
      </c>
      <c r="AJ139" s="83" vm="1675">
        <v>0</v>
      </c>
      <c r="AK139" s="83">
        <v>0</v>
      </c>
      <c r="AL139" s="5">
        <f xml:space="preserve"> SUM( VfM_Metrics_2023_Consol[[#This Row],[Tangible fixed assets: Housing properties at cost (Current period)2]], VfM_Metrics_2023_Consol[[#This Row],[Tangible fixed assets Housing properties at valuation (Current period)2]] )</f>
        <v>649424</v>
      </c>
      <c r="AM139" s="84" vm="7958">
        <v>649424</v>
      </c>
      <c r="AN139" s="83">
        <v>0</v>
      </c>
      <c r="AO139" s="87">
        <f xml:space="preserve"> IFERROR( VfM_Metrics_2023_Consol[[#This Row],[EBITDA MRI]] / VfM_Metrics_2023_Consol[[#This Row],[Total interest]], "n/a" )</f>
        <v>0.42851935554421522</v>
      </c>
      <c r="AP13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5878</v>
      </c>
      <c r="AQ139" s="84" vm="3223">
        <v>8668</v>
      </c>
      <c r="AR139" s="84" vm="2479">
        <v>1742</v>
      </c>
      <c r="AS139" s="84">
        <v>0</v>
      </c>
      <c r="AT139" s="84" vm="2480">
        <v>3875</v>
      </c>
      <c r="AU139" s="84" vm="2481">
        <v>0</v>
      </c>
      <c r="AV139" s="84" vm="7875">
        <v>373</v>
      </c>
      <c r="AW139" s="84" vm="2483">
        <v>10865</v>
      </c>
      <c r="AX139" s="84" vm="2484">
        <v>13319</v>
      </c>
      <c r="AY139" s="3">
        <f xml:space="preserve"> - SUM( VfM_Metrics_2023_Consol[[#This Row],[Interest capitalised]], VfM_Metrics_2023_Consol[[#This Row],[Interest payable and financing costs]] )</f>
        <v>13717</v>
      </c>
      <c r="AZ139" s="84" vm="2485">
        <v>-252</v>
      </c>
      <c r="BA139" s="83" vm="2486">
        <v>-13465</v>
      </c>
      <c r="BB139" s="8">
        <f xml:space="preserve"> IFERROR( ( VfM_Metrics_2023_Consol[[#This Row],[Total Costs]] / VfM_Metrics_2023_Consol[[#This Row],[Total units for costs]] ) * 1000, "n/a" )</f>
        <v>5049.2699363534257</v>
      </c>
      <c r="BC13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67433</v>
      </c>
      <c r="BD139" s="84" vm="7500">
        <v>16096</v>
      </c>
      <c r="BE139" s="83" vm="7874">
        <v>5779</v>
      </c>
      <c r="BF139" s="83" vm="2487">
        <v>19921</v>
      </c>
      <c r="BG139" s="83" vm="2488">
        <v>0</v>
      </c>
      <c r="BH139" s="83" vm="2489">
        <v>4675</v>
      </c>
      <c r="BI139" s="83" vm="8000">
        <v>0</v>
      </c>
      <c r="BJ139" s="83" vm="2483">
        <v>10865</v>
      </c>
      <c r="BK139" s="83" vm="7499">
        <v>44</v>
      </c>
      <c r="BL139" s="83" vm="2490">
        <v>7</v>
      </c>
      <c r="BM139" s="83" vm="7096">
        <v>1583</v>
      </c>
      <c r="BN139" s="83" vm="2491">
        <v>2171</v>
      </c>
      <c r="BO139" s="83" vm="7504">
        <v>6292</v>
      </c>
      <c r="BP139" s="5" vm="2467">
        <f xml:space="preserve"> VfM_Metrics_2023_Consol[[#This Row],[Total social housing units owned and/or managed at period end]]</f>
        <v>13355</v>
      </c>
      <c r="BQ139" s="84" vm="2467">
        <v>13355</v>
      </c>
      <c r="BR139" s="7">
        <f xml:space="preserve"> IFERROR( VfM_Metrics_2023_Consol[[#This Row],[SHL operating surplus / (deficit)]] / VfM_Metrics_2023_Consol[[#This Row],[Turnover from social housing lettings]], "n/a" )</f>
        <v>0.18190194856229167</v>
      </c>
      <c r="BS139" s="5" vm="2492">
        <f xml:space="preserve"> VfM_Metrics_2023_Consol[[#This Row],[Operating surplus/(deficit) (social housing lettings)]]</f>
        <v>13424</v>
      </c>
      <c r="BT139" s="84" vm="2492">
        <v>13424</v>
      </c>
      <c r="BU139" s="5" vm="2493">
        <f xml:space="preserve"> VfM_Metrics_2023_Consol[[#This Row],[Turnover from social housing lettings]]</f>
        <v>73798</v>
      </c>
      <c r="BV139" s="84" vm="2493">
        <v>73798</v>
      </c>
      <c r="BW139" s="7">
        <f xml:space="preserve"> IFERROR( VfM_Metrics_2023_Consol[[#This Row],[Net operating surplus]] / VfM_Metrics_2023_Consol[[#This Row],[Overall turnover]], "n/a" )</f>
        <v>8.178737172750139E-2</v>
      </c>
      <c r="BX139" s="5">
        <f xml:space="preserve"> SUM( VfM_Metrics_2023_Consol[[#This Row],[Operating surplus/(deficit) (overall)2]], - VfM_Metrics_2023_Consol[[#This Row],[Gain/(loss) on disposal of fixed assets (housing properties)2]], - VfM_Metrics_2023_Consol[[#This Row],[Gain/(loss) on disposal of fixed assets (other)2]] )</f>
        <v>6926</v>
      </c>
      <c r="BY139" s="84" vm="7953">
        <v>8668</v>
      </c>
      <c r="BZ139" s="83" vm="2479">
        <v>1742</v>
      </c>
      <c r="CA139" s="83">
        <v>0</v>
      </c>
      <c r="CB139" s="5" vm="1692">
        <f xml:space="preserve"> VfM_Metrics_2023_Consol[[#This Row],[Turnover (overall)]]</f>
        <v>84683</v>
      </c>
      <c r="CC139" s="84" vm="1692">
        <v>84683</v>
      </c>
      <c r="CD139" s="7">
        <f xml:space="preserve"> IFERROR( VfM_Metrics_2023_Consol[[#This Row],[Operating surplus including from JVs]] / VfM_Metrics_2023_Consol[[#This Row],[Net assets]], "n/a" )</f>
        <v>1.2522917024839238E-2</v>
      </c>
      <c r="CE139" s="5">
        <f xml:space="preserve"> SUM( VfM_Metrics_2023_Consol[[#This Row],[Operating surplus/(deficit) (overall)3]], VfM_Metrics_2023_Consol[[#This Row],[Share of operating surplus/(deficit) in joint ventures or associates]] )</f>
        <v>8668</v>
      </c>
      <c r="CF139" s="84" vm="7847">
        <v>8668</v>
      </c>
      <c r="CG139" s="83">
        <v>0</v>
      </c>
      <c r="CH139" s="5" vm="2494">
        <f xml:space="preserve"> VfM_Metrics_2023_Consol[[#This Row],[Total assets less current liabilities]]</f>
        <v>692171</v>
      </c>
      <c r="CI139" s="84" vm="2494">
        <v>692171</v>
      </c>
      <c r="CJ139" s="71" vm="8103">
        <f xml:space="preserve"> VfM_Metrics_2023_Consol[[#This Row],[Total social housing units owned (Period end)]]</f>
        <v>13355</v>
      </c>
      <c r="CK139" s="103">
        <v>1.9192537085181219E-2</v>
      </c>
      <c r="CL139" s="6">
        <f xml:space="preserve"> -- ( VfM_Metrics_2023_Consol[[#This Row],[% Supported housing (excl. HOP)]] &gt; 0.3 )</f>
        <v>0</v>
      </c>
      <c r="CM139" s="103">
        <v>2.8750573482183819E-2</v>
      </c>
      <c r="CN139" s="6">
        <f xml:space="preserve"> -- ( VfM_Metrics_2023_Consol[[#This Row],[% Housing for older people]] &gt; 0.3 )</f>
        <v>0</v>
      </c>
      <c r="CO139" s="103">
        <f xml:space="preserve"> VfM_Metrics_2023_Consol[[#This Row],[% Supported housing (excl. HOP)]] + VfM_Metrics_2023_Consol[[#This Row],[% Housing for older people]]</f>
        <v>4.7943110567365041E-2</v>
      </c>
      <c r="CP139" s="6">
        <f xml:space="preserve"> -- ( VfM_Metrics_2023_Consol[[#This Row],[SH specialist in RSH analysis]] + VfM_Metrics_2023_Consol[[#This Row],[OP specialist in RSH analysis]] &gt; 0 )</f>
        <v>0</v>
      </c>
      <c r="CQ139" s="10">
        <f xml:space="preserve"> -- ( VfM_Metrics_2023_Consol[[#This Row],[% SH and OP]] &gt; 0.3 )</f>
        <v>0</v>
      </c>
      <c r="CR139" s="104" t="s">
        <v>143</v>
      </c>
      <c r="CS139" s="124" t="s">
        <v>144</v>
      </c>
      <c r="CT139" s="105"/>
      <c r="CU13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39" s="85">
        <v>0</v>
      </c>
      <c r="CW139" s="85">
        <v>0</v>
      </c>
      <c r="CX139" s="85">
        <v>0</v>
      </c>
      <c r="CY139" s="85">
        <v>0</v>
      </c>
      <c r="CZ139" s="85">
        <v>1.4487228364468167E-3</v>
      </c>
      <c r="DA139" s="85">
        <v>0</v>
      </c>
      <c r="DB139" s="85">
        <v>0</v>
      </c>
      <c r="DC139" s="85">
        <v>0.99855127716355319</v>
      </c>
      <c r="DD139" s="85">
        <v>0</v>
      </c>
      <c r="DE139" s="13">
        <v>0.96106428708536762</v>
      </c>
    </row>
    <row r="140" spans="1:109" x14ac:dyDescent="0.25">
      <c r="A140" s="4" t="s" vm="286">
        <v>404</v>
      </c>
      <c r="B140" s="2" t="s" vm="130">
        <v>405</v>
      </c>
      <c r="C140" s="72" vm="544">
        <v>45016</v>
      </c>
      <c r="D140" s="7">
        <f>IFERROR( VfM_Metrics_2023_Consol[[#This Row],[Reinvestment Spend]] / VfM_Metrics_2023_Consol[[#This Row],[Net Book Value of Housing Properties]], "n/a" )</f>
        <v>3.3182202998072952E-2</v>
      </c>
      <c r="E14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18304</v>
      </c>
      <c r="F140" s="83" vm="2866">
        <v>10341</v>
      </c>
      <c r="G140" s="83" vm="2867">
        <v>0</v>
      </c>
      <c r="H140" s="83" vm="7962">
        <v>7775</v>
      </c>
      <c r="I140" s="83" vm="7689">
        <v>188</v>
      </c>
      <c r="J140" s="83" vm="2868">
        <v>0</v>
      </c>
      <c r="K140" s="5">
        <f xml:space="preserve"> SUM( VfM_Metrics_2023_Consol[[#This Row],[Tangible fixed assets: Housing properties at cost (Current period)]],VfM_Metrics_2023_Consol[[#This Row],[Tangible fixed assets Housing properties at valuation (Current period)]] )</f>
        <v>551621</v>
      </c>
      <c r="L140" s="84" vm="2869">
        <v>551621</v>
      </c>
      <c r="M140" s="83">
        <v>0</v>
      </c>
      <c r="N140" s="7">
        <f xml:space="preserve"> IFERROR( VfM_Metrics_2023_Consol[[#This Row],[Total social units developed or newly built units acquired in-year]] / VfM_Metrics_2023_Consol[[#This Row],[Social housing units owned (period end)]], "n/a" )</f>
        <v>7.5302245250431776E-3</v>
      </c>
      <c r="O140" s="5">
        <f xml:space="preserve"> SUM( VfM_Metrics_2023_Consol[[#This Row],[Total social units developed or newly built units acquired in-year (owned)]], VfM_Metrics_2023_Consol[[#This Row],[Total social leasehold units developed or newly built units acquired in-year (owned)]] )</f>
        <v>109</v>
      </c>
      <c r="P140" s="84" vm="2870">
        <v>109</v>
      </c>
      <c r="Q140" s="83">
        <v>0</v>
      </c>
      <c r="R140" s="5">
        <f xml:space="preserve"> SUM( VfM_Metrics_2023_Consol[[#This Row],[Total social housing units owned (Period end)]], VfM_Metrics_2023_Consol[[#This Row],[Total social leasehold units owned (Period end)]] )</f>
        <v>14475</v>
      </c>
      <c r="S140" s="84" vm="2864">
        <v>14475</v>
      </c>
      <c r="T140" s="83" vm="7979">
        <v>0</v>
      </c>
      <c r="U140" s="86">
        <f xml:space="preserve"> IFERROR( VfM_Metrics_2023_Consol[[#This Row],[Total non-social housing units developed or newly built units acquired (owned)]] / VfM_Metrics_2023_Consol[[#This Row],[Total social and non-social housing units owned (Period end)]], "n/a" )</f>
        <v>7.4165636588380713E-4</v>
      </c>
      <c r="V14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12</v>
      </c>
      <c r="W140" s="83">
        <v>0</v>
      </c>
      <c r="X140" s="83">
        <v>0</v>
      </c>
      <c r="Y140" s="83" vm="7483">
        <v>12</v>
      </c>
      <c r="Z14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16180</v>
      </c>
      <c r="AA140" s="84" vm="2864">
        <v>14475</v>
      </c>
      <c r="AB140" s="83" vm="2871">
        <v>0</v>
      </c>
      <c r="AC140" s="83" vm="2872">
        <v>9</v>
      </c>
      <c r="AD140" s="83" vm="2873">
        <v>1696</v>
      </c>
      <c r="AE140" s="7">
        <f xml:space="preserve"> IFERROR( VfM_Metrics_2023_Consol[[#This Row],[Total Net Debt]] / VfM_Metrics_2023_Consol[[#This Row],[Net Book Value of Housing Properties2]], "n/a" )</f>
        <v>0.16927020544903112</v>
      </c>
      <c r="AF14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93373</v>
      </c>
      <c r="AG140" s="84">
        <v>0</v>
      </c>
      <c r="AH140" s="83" vm="2874">
        <v>121784</v>
      </c>
      <c r="AI140" s="83" vm="2875">
        <v>28411</v>
      </c>
      <c r="AJ140" s="83" vm="1675">
        <v>0</v>
      </c>
      <c r="AK140" s="83">
        <v>0</v>
      </c>
      <c r="AL140" s="5">
        <f xml:space="preserve"> SUM( VfM_Metrics_2023_Consol[[#This Row],[Tangible fixed assets: Housing properties at cost (Current period)2]], VfM_Metrics_2023_Consol[[#This Row],[Tangible fixed assets Housing properties at valuation (Current period)2]] )</f>
        <v>551621</v>
      </c>
      <c r="AM140" s="84" vm="2869">
        <v>551621</v>
      </c>
      <c r="AN140" s="83">
        <v>0</v>
      </c>
      <c r="AO140" s="87">
        <f xml:space="preserve"> IFERROR( VfM_Metrics_2023_Consol[[#This Row],[EBITDA MRI]] / VfM_Metrics_2023_Consol[[#This Row],[Total interest]], "n/a" )</f>
        <v>2.243314424635332</v>
      </c>
      <c r="AP14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11073</v>
      </c>
      <c r="AQ140" s="84" vm="2876">
        <v>5861</v>
      </c>
      <c r="AR140" s="84" vm="2877">
        <v>757</v>
      </c>
      <c r="AS140" s="84" vm="2878">
        <v>18</v>
      </c>
      <c r="AT140" s="84" vm="2879">
        <v>457</v>
      </c>
      <c r="AU140" s="84" vm="2880">
        <v>0</v>
      </c>
      <c r="AV140" s="84" vm="2881">
        <v>129</v>
      </c>
      <c r="AW140" s="84" vm="2882">
        <v>7775</v>
      </c>
      <c r="AX140" s="84" vm="2883">
        <v>14090</v>
      </c>
      <c r="AY140" s="3">
        <f xml:space="preserve"> - SUM( VfM_Metrics_2023_Consol[[#This Row],[Interest capitalised]], VfM_Metrics_2023_Consol[[#This Row],[Interest payable and financing costs]] )</f>
        <v>4936</v>
      </c>
      <c r="AZ140" s="84" vm="2884">
        <v>-188</v>
      </c>
      <c r="BA140" s="83" vm="2885">
        <v>-4748</v>
      </c>
      <c r="BB140" s="8">
        <f xml:space="preserve"> IFERROR( ( VfM_Metrics_2023_Consol[[#This Row],[Total Costs]] / VfM_Metrics_2023_Consol[[#This Row],[Total units for costs]] ) * 1000, "n/a" )</f>
        <v>4309.6373056994817</v>
      </c>
      <c r="BC14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62382</v>
      </c>
      <c r="BD140" s="84" vm="2886">
        <v>11591</v>
      </c>
      <c r="BE140" s="83" vm="2887">
        <v>6988</v>
      </c>
      <c r="BF140" s="83" vm="2888">
        <v>16654</v>
      </c>
      <c r="BG140" s="83" vm="2889">
        <v>4400</v>
      </c>
      <c r="BH140" s="83" vm="2890">
        <v>9937</v>
      </c>
      <c r="BI140" s="83" vm="2891">
        <v>0</v>
      </c>
      <c r="BJ140" s="83" vm="2882">
        <v>7775</v>
      </c>
      <c r="BK140" s="83" vm="7852">
        <v>2415</v>
      </c>
      <c r="BL140" s="83" vm="7478">
        <v>1078</v>
      </c>
      <c r="BM140" s="83" vm="2892">
        <v>812</v>
      </c>
      <c r="BN140" s="83" vm="2893">
        <v>732</v>
      </c>
      <c r="BO140" s="83">
        <v>0</v>
      </c>
      <c r="BP140" s="5" vm="2865">
        <f xml:space="preserve"> VfM_Metrics_2023_Consol[[#This Row],[Total social housing units owned and/or managed at period end]]</f>
        <v>14475</v>
      </c>
      <c r="BQ140" s="84" vm="2865">
        <v>14475</v>
      </c>
      <c r="BR140" s="7">
        <f xml:space="preserve"> IFERROR( VfM_Metrics_2023_Consol[[#This Row],[SHL operating surplus / (deficit)]] / VfM_Metrics_2023_Consol[[#This Row],[Turnover from social housing lettings]], "n/a" )</f>
        <v>4.2896555815954196E-2</v>
      </c>
      <c r="BS140" s="5" vm="2894">
        <f xml:space="preserve"> VfM_Metrics_2023_Consol[[#This Row],[Operating surplus/(deficit) (social housing lettings)]]</f>
        <v>2892</v>
      </c>
      <c r="BT140" s="84" vm="2894">
        <v>2892</v>
      </c>
      <c r="BU140" s="5" vm="7085">
        <f xml:space="preserve"> VfM_Metrics_2023_Consol[[#This Row],[Turnover from social housing lettings]]</f>
        <v>67418</v>
      </c>
      <c r="BV140" s="84" vm="7085">
        <v>67418</v>
      </c>
      <c r="BW140" s="7">
        <f xml:space="preserve"> IFERROR( VfM_Metrics_2023_Consol[[#This Row],[Net operating surplus]] / VfM_Metrics_2023_Consol[[#This Row],[Overall turnover]], "n/a" )</f>
        <v>6.5337478482053388E-2</v>
      </c>
      <c r="BX140" s="5">
        <f xml:space="preserve"> SUM( VfM_Metrics_2023_Consol[[#This Row],[Operating surplus/(deficit) (overall)2]], - VfM_Metrics_2023_Consol[[#This Row],[Gain/(loss) on disposal of fixed assets (housing properties)2]], - VfM_Metrics_2023_Consol[[#This Row],[Gain/(loss) on disposal of fixed assets (other)2]] )</f>
        <v>5086</v>
      </c>
      <c r="BY140" s="84" vm="7927">
        <v>5861</v>
      </c>
      <c r="BZ140" s="83" vm="2877">
        <v>757</v>
      </c>
      <c r="CA140" s="83" vm="2878">
        <v>18</v>
      </c>
      <c r="CB140" s="5" vm="2895">
        <f xml:space="preserve"> VfM_Metrics_2023_Consol[[#This Row],[Turnover (overall)]]</f>
        <v>77842</v>
      </c>
      <c r="CC140" s="84" vm="2895">
        <v>77842</v>
      </c>
      <c r="CD140" s="7">
        <f xml:space="preserve"> IFERROR( VfM_Metrics_2023_Consol[[#This Row],[Operating surplus including from JVs]] / VfM_Metrics_2023_Consol[[#This Row],[Net assets]], "n/a" )</f>
        <v>9.5035486292740431E-3</v>
      </c>
      <c r="CE140" s="5">
        <f xml:space="preserve"> SUM( VfM_Metrics_2023_Consol[[#This Row],[Operating surplus/(deficit) (overall)3]], VfM_Metrics_2023_Consol[[#This Row],[Share of operating surplus/(deficit) in joint ventures or associates]] )</f>
        <v>5861</v>
      </c>
      <c r="CF140" s="84" vm="2876">
        <v>5861</v>
      </c>
      <c r="CG140" s="83">
        <v>0</v>
      </c>
      <c r="CH140" s="5" vm="2896">
        <f xml:space="preserve"> VfM_Metrics_2023_Consol[[#This Row],[Total assets less current liabilities]]</f>
        <v>616717</v>
      </c>
      <c r="CI140" s="84" vm="2896">
        <v>616717</v>
      </c>
      <c r="CJ140" s="71" vm="2864">
        <f xml:space="preserve"> VfM_Metrics_2023_Consol[[#This Row],[Total social housing units owned (Period end)]]</f>
        <v>14475</v>
      </c>
      <c r="CK140" s="103">
        <v>9.2487548422800228E-2</v>
      </c>
      <c r="CL140" s="6">
        <f xml:space="preserve"> -- ( VfM_Metrics_2023_Consol[[#This Row],[% Supported housing (excl. HOP)]] &gt; 0.3 )</f>
        <v>0</v>
      </c>
      <c r="CM140" s="103">
        <v>0</v>
      </c>
      <c r="CN140" s="6">
        <f xml:space="preserve"> -- ( VfM_Metrics_2023_Consol[[#This Row],[% Housing for older people]] &gt; 0.3 )</f>
        <v>0</v>
      </c>
      <c r="CO140" s="103">
        <f xml:space="preserve"> VfM_Metrics_2023_Consol[[#This Row],[% Supported housing (excl. HOP)]] + VfM_Metrics_2023_Consol[[#This Row],[% Housing for older people]]</f>
        <v>9.2487548422800228E-2</v>
      </c>
      <c r="CP140" s="6">
        <f xml:space="preserve"> -- ( VfM_Metrics_2023_Consol[[#This Row],[SH specialist in RSH analysis]] + VfM_Metrics_2023_Consol[[#This Row],[OP specialist in RSH analysis]] &gt; 0 )</f>
        <v>0</v>
      </c>
      <c r="CQ140" s="10">
        <f xml:space="preserve"> -- ( VfM_Metrics_2023_Consol[[#This Row],[% SH and OP]] &gt; 0.3 )</f>
        <v>0</v>
      </c>
      <c r="CR140" s="104" t="s">
        <v>143</v>
      </c>
      <c r="CS140" s="124"/>
      <c r="CT140" s="105" t="s">
        <v>151</v>
      </c>
      <c r="CU14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140" s="85">
        <v>0</v>
      </c>
      <c r="CW140" s="85">
        <v>0</v>
      </c>
      <c r="CX140" s="85">
        <v>1</v>
      </c>
      <c r="CY140" s="85">
        <v>0</v>
      </c>
      <c r="CZ140" s="85">
        <v>0</v>
      </c>
      <c r="DA140" s="85">
        <v>0</v>
      </c>
      <c r="DB140" s="85">
        <v>0</v>
      </c>
      <c r="DC140" s="85">
        <v>0</v>
      </c>
      <c r="DD140" s="85">
        <v>0</v>
      </c>
      <c r="DE140" s="13">
        <v>0.97511902715076015</v>
      </c>
    </row>
    <row r="141" spans="1:109" x14ac:dyDescent="0.25">
      <c r="A141" s="4" t="s" vm="350">
        <v>406</v>
      </c>
      <c r="B141" s="2" t="s" vm="131">
        <v>407</v>
      </c>
      <c r="C141" s="72" vm="521">
        <v>45016</v>
      </c>
      <c r="D141" s="7">
        <f>IFERROR( VfM_Metrics_2023_Consol[[#This Row],[Reinvestment Spend]] / VfM_Metrics_2023_Consol[[#This Row],[Net Book Value of Housing Properties]], "n/a" )</f>
        <v>5.4476524103917352E-2</v>
      </c>
      <c r="E14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28365</v>
      </c>
      <c r="F141" s="83" vm="5094">
        <v>24192</v>
      </c>
      <c r="G141" s="83" vm="5095">
        <v>0</v>
      </c>
      <c r="H141" s="83" vm="4880">
        <v>4173</v>
      </c>
      <c r="I141" s="83" vm="5096">
        <v>0</v>
      </c>
      <c r="J141" s="83" vm="5097">
        <v>0</v>
      </c>
      <c r="K141" s="5">
        <f xml:space="preserve"> SUM( VfM_Metrics_2023_Consol[[#This Row],[Tangible fixed assets: Housing properties at cost (Current period)]],VfM_Metrics_2023_Consol[[#This Row],[Tangible fixed assets Housing properties at valuation (Current period)]] )</f>
        <v>520683</v>
      </c>
      <c r="L141" s="84" vm="5098">
        <v>520683</v>
      </c>
      <c r="M141" s="83">
        <v>0</v>
      </c>
      <c r="N141" s="7">
        <f xml:space="preserve"> IFERROR( VfM_Metrics_2023_Consol[[#This Row],[Total social units developed or newly built units acquired in-year]] / VfM_Metrics_2023_Consol[[#This Row],[Social housing units owned (period end)]], "n/a" )</f>
        <v>5.6412185031966908E-3</v>
      </c>
      <c r="O141" s="5">
        <f xml:space="preserve"> SUM( VfM_Metrics_2023_Consol[[#This Row],[Total social units developed or newly built units acquired in-year (owned)]], VfM_Metrics_2023_Consol[[#This Row],[Total social leasehold units developed or newly built units acquired in-year (owned)]] )</f>
        <v>30</v>
      </c>
      <c r="P141" s="84" vm="5099">
        <v>30</v>
      </c>
      <c r="Q141" s="83">
        <v>0</v>
      </c>
      <c r="R141" s="5">
        <f xml:space="preserve"> SUM( VfM_Metrics_2023_Consol[[#This Row],[Total social housing units owned (Period end)]], VfM_Metrics_2023_Consol[[#This Row],[Total social leasehold units owned (Period end)]] )</f>
        <v>5318</v>
      </c>
      <c r="S141" s="84" vm="7349">
        <v>5318</v>
      </c>
      <c r="T141" s="83" vm="5100">
        <v>0</v>
      </c>
      <c r="U141" s="86">
        <f xml:space="preserve"> IFERROR( VfM_Metrics_2023_Consol[[#This Row],[Total non-social housing units developed or newly built units acquired (owned)]] / VfM_Metrics_2023_Consol[[#This Row],[Total social and non-social housing units owned (Period end)]], "n/a" )</f>
        <v>1.0828531690840453E-2</v>
      </c>
      <c r="V14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109</v>
      </c>
      <c r="W141" s="83">
        <v>0</v>
      </c>
      <c r="X141" s="83" vm="5101">
        <v>109</v>
      </c>
      <c r="Y141" s="83">
        <v>0</v>
      </c>
      <c r="Z14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10066</v>
      </c>
      <c r="AA141" s="84" vm="6931">
        <v>5318</v>
      </c>
      <c r="AB141" s="83" vm="5100">
        <v>0</v>
      </c>
      <c r="AC141" s="83" vm="5102">
        <v>573</v>
      </c>
      <c r="AD141" s="83" vm="5103">
        <v>4175</v>
      </c>
      <c r="AE141" s="7">
        <f xml:space="preserve"> IFERROR( VfM_Metrics_2023_Consol[[#This Row],[Total Net Debt]] / VfM_Metrics_2023_Consol[[#This Row],[Net Book Value of Housing Properties2]], "n/a" )</f>
        <v>0.58241578849319064</v>
      </c>
      <c r="AF14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303254</v>
      </c>
      <c r="AG141" s="84" vm="5104">
        <v>0</v>
      </c>
      <c r="AH141" s="83" vm="5105">
        <v>274768</v>
      </c>
      <c r="AI141" s="83" vm="5106">
        <v>25155</v>
      </c>
      <c r="AJ141" s="83" vm="1675">
        <v>0</v>
      </c>
      <c r="AK141" s="83" vm="5107">
        <v>53641</v>
      </c>
      <c r="AL141" s="5">
        <f xml:space="preserve"> SUM( VfM_Metrics_2023_Consol[[#This Row],[Tangible fixed assets: Housing properties at cost (Current period)2]], VfM_Metrics_2023_Consol[[#This Row],[Tangible fixed assets Housing properties at valuation (Current period)2]] )</f>
        <v>520683</v>
      </c>
      <c r="AM141" s="84" vm="5098">
        <v>520683</v>
      </c>
      <c r="AN141" s="83">
        <v>0</v>
      </c>
      <c r="AO141" s="87">
        <f xml:space="preserve"> IFERROR( VfM_Metrics_2023_Consol[[#This Row],[EBITDA MRI]] / VfM_Metrics_2023_Consol[[#This Row],[Total interest]], "n/a" )</f>
        <v>1.4961629881154499</v>
      </c>
      <c r="AP14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22031</v>
      </c>
      <c r="AQ141" s="84" vm="5108">
        <v>19908</v>
      </c>
      <c r="AR141" s="84" vm="5109">
        <v>3719</v>
      </c>
      <c r="AS141" s="84">
        <v>0</v>
      </c>
      <c r="AT141" s="84" vm="5110">
        <v>3189</v>
      </c>
      <c r="AU141" s="84" vm="5111">
        <v>0</v>
      </c>
      <c r="AV141" s="84" vm="7330">
        <v>1709</v>
      </c>
      <c r="AW141" s="84" vm="5112">
        <v>4173</v>
      </c>
      <c r="AX141" s="84" vm="4374">
        <v>11495</v>
      </c>
      <c r="AY141" s="3">
        <f xml:space="preserve"> - SUM( VfM_Metrics_2023_Consol[[#This Row],[Interest capitalised]], VfM_Metrics_2023_Consol[[#This Row],[Interest payable and financing costs]] )</f>
        <v>14725</v>
      </c>
      <c r="AZ141" s="84" vm="4926">
        <v>-2483</v>
      </c>
      <c r="BA141" s="83" vm="5113">
        <v>-12242</v>
      </c>
      <c r="BB141" s="8">
        <f xml:space="preserve"> IFERROR( ( VfM_Metrics_2023_Consol[[#This Row],[Total Costs]] / VfM_Metrics_2023_Consol[[#This Row],[Total units for costs]] ) * 1000, "n/a" )</f>
        <v>6499.7285067873308</v>
      </c>
      <c r="BC14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35911</v>
      </c>
      <c r="BD141" s="84" vm="5114">
        <v>10422</v>
      </c>
      <c r="BE141" s="83" vm="5115">
        <v>8364</v>
      </c>
      <c r="BF141" s="83" vm="5116">
        <v>7852</v>
      </c>
      <c r="BG141" s="83" vm="5651">
        <v>621</v>
      </c>
      <c r="BH141" s="83" vm="5117">
        <v>0</v>
      </c>
      <c r="BI141" s="83" vm="5118">
        <v>1665</v>
      </c>
      <c r="BJ141" s="83" vm="5112">
        <v>4173</v>
      </c>
      <c r="BK141" s="83" vm="5119">
        <v>2814</v>
      </c>
      <c r="BL141" s="83">
        <v>0</v>
      </c>
      <c r="BM141" s="83">
        <v>0</v>
      </c>
      <c r="BN141" s="83">
        <v>0</v>
      </c>
      <c r="BO141" s="83">
        <v>0</v>
      </c>
      <c r="BP141" s="5" vm="7328">
        <f xml:space="preserve"> VfM_Metrics_2023_Consol[[#This Row],[Total social housing units owned and/or managed at period end]]</f>
        <v>5525</v>
      </c>
      <c r="BQ141" s="84" vm="7328">
        <v>5525</v>
      </c>
      <c r="BR141" s="7">
        <f xml:space="preserve"> IFERROR( VfM_Metrics_2023_Consol[[#This Row],[SHL operating surplus / (deficit)]] / VfM_Metrics_2023_Consol[[#This Row],[Turnover from social housing lettings]], "n/a" )</f>
        <v>0.10764600409836066</v>
      </c>
      <c r="BS141" s="5" vm="5120">
        <f xml:space="preserve"> VfM_Metrics_2023_Consol[[#This Row],[Operating surplus/(deficit) (social housing lettings)]]</f>
        <v>5043</v>
      </c>
      <c r="BT141" s="84" vm="5120">
        <v>5043</v>
      </c>
      <c r="BU141" s="5" vm="5638">
        <f xml:space="preserve"> VfM_Metrics_2023_Consol[[#This Row],[Turnover from social housing lettings]]</f>
        <v>46848</v>
      </c>
      <c r="BV141" s="84" vm="5638">
        <v>46848</v>
      </c>
      <c r="BW141" s="7">
        <f xml:space="preserve"> IFERROR( VfM_Metrics_2023_Consol[[#This Row],[Net operating surplus]] / VfM_Metrics_2023_Consol[[#This Row],[Overall turnover]], "n/a" )</f>
        <v>0.18289348818292739</v>
      </c>
      <c r="BX141" s="5">
        <f xml:space="preserve"> SUM( VfM_Metrics_2023_Consol[[#This Row],[Operating surplus/(deficit) (overall)2]], - VfM_Metrics_2023_Consol[[#This Row],[Gain/(loss) on disposal of fixed assets (housing properties)2]], - VfM_Metrics_2023_Consol[[#This Row],[Gain/(loss) on disposal of fixed assets (other)2]] )</f>
        <v>16189</v>
      </c>
      <c r="BY141" s="84" vm="5108">
        <v>19908</v>
      </c>
      <c r="BZ141" s="83" vm="5109">
        <v>3719</v>
      </c>
      <c r="CA141" s="83">
        <v>0</v>
      </c>
      <c r="CB141" s="5" vm="5121">
        <f xml:space="preserve"> VfM_Metrics_2023_Consol[[#This Row],[Turnover (overall)]]</f>
        <v>88516</v>
      </c>
      <c r="CC141" s="84" vm="5121">
        <v>88516</v>
      </c>
      <c r="CD141" s="7">
        <f xml:space="preserve"> IFERROR( VfM_Metrics_2023_Consol[[#This Row],[Operating surplus including from JVs]] / VfM_Metrics_2023_Consol[[#This Row],[Net assets]], "n/a" )</f>
        <v>3.1403187915611301E-2</v>
      </c>
      <c r="CE141" s="5">
        <f xml:space="preserve"> SUM( VfM_Metrics_2023_Consol[[#This Row],[Operating surplus/(deficit) (overall)3]], VfM_Metrics_2023_Consol[[#This Row],[Share of operating surplus/(deficit) in joint ventures or associates]] )</f>
        <v>20519</v>
      </c>
      <c r="CF141" s="84" vm="5108">
        <v>19908</v>
      </c>
      <c r="CG141" s="83" vm="7379">
        <v>611</v>
      </c>
      <c r="CH141" s="5" vm="5122">
        <f xml:space="preserve"> VfM_Metrics_2023_Consol[[#This Row],[Total assets less current liabilities]]</f>
        <v>653405</v>
      </c>
      <c r="CI141" s="84" vm="5122">
        <v>653405</v>
      </c>
      <c r="CJ141" s="71" vm="7349">
        <f xml:space="preserve"> VfM_Metrics_2023_Consol[[#This Row],[Total social housing units owned (Period end)]]</f>
        <v>5318</v>
      </c>
      <c r="CK141" s="103">
        <v>0</v>
      </c>
      <c r="CL141" s="6">
        <f xml:space="preserve"> -- ( VfM_Metrics_2023_Consol[[#This Row],[% Supported housing (excl. HOP)]] &gt; 0.3 )</f>
        <v>0</v>
      </c>
      <c r="CM141" s="103">
        <v>0</v>
      </c>
      <c r="CN141" s="6">
        <f xml:space="preserve"> -- ( VfM_Metrics_2023_Consol[[#This Row],[% Housing for older people]] &gt; 0.3 )</f>
        <v>0</v>
      </c>
      <c r="CO141" s="103">
        <f xml:space="preserve"> VfM_Metrics_2023_Consol[[#This Row],[% Supported housing (excl. HOP)]] + VfM_Metrics_2023_Consol[[#This Row],[% Housing for older people]]</f>
        <v>0</v>
      </c>
      <c r="CP141" s="6">
        <f xml:space="preserve"> -- ( VfM_Metrics_2023_Consol[[#This Row],[SH specialist in RSH analysis]] + VfM_Metrics_2023_Consol[[#This Row],[OP specialist in RSH analysis]] &gt; 0 )</f>
        <v>0</v>
      </c>
      <c r="CQ141" s="10">
        <f xml:space="preserve"> -- ( VfM_Metrics_2023_Consol[[#This Row],[% SH and OP]] &gt; 0.3 )</f>
        <v>0</v>
      </c>
      <c r="CR141" s="104" t="s">
        <v>143</v>
      </c>
      <c r="CS141" s="124"/>
      <c r="CT141" s="105" t="s">
        <v>151</v>
      </c>
      <c r="CU14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41" s="85">
        <v>1</v>
      </c>
      <c r="CW141" s="85">
        <v>0</v>
      </c>
      <c r="CX141" s="85">
        <v>0</v>
      </c>
      <c r="CY141" s="85">
        <v>0</v>
      </c>
      <c r="CZ141" s="85">
        <v>0</v>
      </c>
      <c r="DA141" s="85">
        <v>0</v>
      </c>
      <c r="DB141" s="85">
        <v>0</v>
      </c>
      <c r="DC141" s="85">
        <v>0</v>
      </c>
      <c r="DD141" s="85">
        <v>0</v>
      </c>
      <c r="DE141" s="13">
        <v>1.1603700449887588</v>
      </c>
    </row>
    <row r="142" spans="1:109" x14ac:dyDescent="0.25">
      <c r="A142" s="4" t="s" vm="317">
        <v>408</v>
      </c>
      <c r="B142" s="2" t="s" vm="132">
        <v>409</v>
      </c>
      <c r="C142" s="72" vm="499">
        <v>45016</v>
      </c>
      <c r="D142" s="7">
        <f>IFERROR( VfM_Metrics_2023_Consol[[#This Row],[Reinvestment Spend]] / VfM_Metrics_2023_Consol[[#This Row],[Net Book Value of Housing Properties]], "n/a" )</f>
        <v>8.8646318570534663E-2</v>
      </c>
      <c r="E14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8925</v>
      </c>
      <c r="F142" s="83" vm="3935">
        <v>3959</v>
      </c>
      <c r="G142" s="83" vm="7691">
        <v>0</v>
      </c>
      <c r="H142" s="83" vm="3937">
        <v>4966</v>
      </c>
      <c r="I142" s="83" vm="5681">
        <v>0</v>
      </c>
      <c r="J142" s="83" vm="3938">
        <v>0</v>
      </c>
      <c r="K142" s="5">
        <f xml:space="preserve"> SUM( VfM_Metrics_2023_Consol[[#This Row],[Tangible fixed assets: Housing properties at cost (Current period)]],VfM_Metrics_2023_Consol[[#This Row],[Tangible fixed assets Housing properties at valuation (Current period)]] )</f>
        <v>100681</v>
      </c>
      <c r="L142" s="84" vm="3939">
        <v>100681</v>
      </c>
      <c r="M142" s="83">
        <v>0</v>
      </c>
      <c r="N142" s="7">
        <f xml:space="preserve"> IFERROR( VfM_Metrics_2023_Consol[[#This Row],[Total social units developed or newly built units acquired in-year]] / VfM_Metrics_2023_Consol[[#This Row],[Social housing units owned (period end)]], "n/a" )</f>
        <v>7.1267816954238561E-3</v>
      </c>
      <c r="O142" s="5">
        <f xml:space="preserve"> SUM( VfM_Metrics_2023_Consol[[#This Row],[Total social units developed or newly built units acquired in-year (owned)]], VfM_Metrics_2023_Consol[[#This Row],[Total social leasehold units developed or newly built units acquired in-year (owned)]] )</f>
        <v>19</v>
      </c>
      <c r="P142" s="84" vm="3940">
        <v>19</v>
      </c>
      <c r="Q142" s="83">
        <v>0</v>
      </c>
      <c r="R142" s="5">
        <f xml:space="preserve"> SUM( VfM_Metrics_2023_Consol[[#This Row],[Total social housing units owned (Period end)]], VfM_Metrics_2023_Consol[[#This Row],[Total social leasehold units owned (Period end)]] )</f>
        <v>2666</v>
      </c>
      <c r="S142" s="84" vm="3933">
        <v>2666</v>
      </c>
      <c r="T142" s="83" vm="3941">
        <v>0</v>
      </c>
      <c r="U142" s="86">
        <f xml:space="preserve"> IFERROR( VfM_Metrics_2023_Consol[[#This Row],[Total non-social housing units developed or newly built units acquired (owned)]] / VfM_Metrics_2023_Consol[[#This Row],[Total social and non-social housing units owned (Period end)]], "n/a" )</f>
        <v>1.4540167211922936E-3</v>
      </c>
      <c r="V14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4</v>
      </c>
      <c r="W142" s="83" vm="7664">
        <v>4</v>
      </c>
      <c r="X142" s="83">
        <v>0</v>
      </c>
      <c r="Y142" s="83" vm="4157">
        <v>0</v>
      </c>
      <c r="Z14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2751</v>
      </c>
      <c r="AA142" s="84" vm="7581">
        <v>2666</v>
      </c>
      <c r="AB142" s="83" vm="3941">
        <v>0</v>
      </c>
      <c r="AC142" s="83" vm="3942">
        <v>85</v>
      </c>
      <c r="AD142" s="83" vm="3943">
        <v>0</v>
      </c>
      <c r="AE142" s="7">
        <f xml:space="preserve"> IFERROR( VfM_Metrics_2023_Consol[[#This Row],[Total Net Debt]] / VfM_Metrics_2023_Consol[[#This Row],[Net Book Value of Housing Properties2]], "n/a" )</f>
        <v>-1.5891776998639266E-4</v>
      </c>
      <c r="AF14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-16</v>
      </c>
      <c r="AG142" s="84" vm="3944">
        <v>1086</v>
      </c>
      <c r="AH142" s="83" vm="3945">
        <v>9332</v>
      </c>
      <c r="AI142" s="83" vm="3946">
        <v>10434</v>
      </c>
      <c r="AJ142" s="83" vm="1675">
        <v>0</v>
      </c>
      <c r="AK142" s="83">
        <v>0</v>
      </c>
      <c r="AL142" s="5">
        <f xml:space="preserve"> SUM( VfM_Metrics_2023_Consol[[#This Row],[Tangible fixed assets: Housing properties at cost (Current period)2]], VfM_Metrics_2023_Consol[[#This Row],[Tangible fixed assets Housing properties at valuation (Current period)2]] )</f>
        <v>100681</v>
      </c>
      <c r="AM142" s="84" vm="3939">
        <v>100681</v>
      </c>
      <c r="AN142" s="83">
        <v>0</v>
      </c>
      <c r="AO142" s="87">
        <f xml:space="preserve"> IFERROR( VfM_Metrics_2023_Consol[[#This Row],[EBITDA MRI]] / VfM_Metrics_2023_Consol[[#This Row],[Total interest]], "n/a" )</f>
        <v>0.25092707045735474</v>
      </c>
      <c r="AP14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203</v>
      </c>
      <c r="AQ142" s="84" vm="7193">
        <v>4432</v>
      </c>
      <c r="AR142" s="84" vm="3948">
        <v>545</v>
      </c>
      <c r="AS142" s="84">
        <v>0</v>
      </c>
      <c r="AT142" s="84" vm="3950">
        <v>0</v>
      </c>
      <c r="AU142" s="84" vm="3951">
        <v>631</v>
      </c>
      <c r="AV142" s="84" vm="7612">
        <v>54</v>
      </c>
      <c r="AW142" s="84" vm="3952">
        <v>4966</v>
      </c>
      <c r="AX142" s="84" vm="3953">
        <v>1859</v>
      </c>
      <c r="AY142" s="3">
        <f xml:space="preserve"> - SUM( VfM_Metrics_2023_Consol[[#This Row],[Interest capitalised]], VfM_Metrics_2023_Consol[[#This Row],[Interest payable and financing costs]] )</f>
        <v>809</v>
      </c>
      <c r="AZ142" s="84">
        <v>0</v>
      </c>
      <c r="BA142" s="83" vm="3954">
        <v>-809</v>
      </c>
      <c r="BB142" s="8">
        <f xml:space="preserve"> IFERROR( ( VfM_Metrics_2023_Consol[[#This Row],[Total Costs]] / VfM_Metrics_2023_Consol[[#This Row],[Total units for costs]] ) * 1000, "n/a" )</f>
        <v>5280.9452363090768</v>
      </c>
      <c r="BC14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14079</v>
      </c>
      <c r="BD142" s="84" vm="7436">
        <v>2881</v>
      </c>
      <c r="BE142" s="83" vm="3955">
        <v>1084</v>
      </c>
      <c r="BF142" s="83" vm="3956">
        <v>2450</v>
      </c>
      <c r="BG142" s="83" vm="3957">
        <v>1263</v>
      </c>
      <c r="BH142" s="83" vm="3958">
        <v>735</v>
      </c>
      <c r="BI142" s="83" vm="7534">
        <v>0</v>
      </c>
      <c r="BJ142" s="83" vm="3952">
        <v>4966</v>
      </c>
      <c r="BK142" s="83" vm="3959">
        <v>197</v>
      </c>
      <c r="BL142" s="83">
        <v>0</v>
      </c>
      <c r="BM142" s="83">
        <v>0</v>
      </c>
      <c r="BN142" s="83" vm="3960">
        <v>503</v>
      </c>
      <c r="BO142" s="83">
        <v>0</v>
      </c>
      <c r="BP142" s="5" vm="3934">
        <f xml:space="preserve"> VfM_Metrics_2023_Consol[[#This Row],[Total social housing units owned and/or managed at period end]]</f>
        <v>2666</v>
      </c>
      <c r="BQ142" s="84" vm="3934">
        <v>2666</v>
      </c>
      <c r="BR142" s="7">
        <f xml:space="preserve"> IFERROR( VfM_Metrics_2023_Consol[[#This Row],[SHL operating surplus / (deficit)]] / VfM_Metrics_2023_Consol[[#This Row],[Turnover from social housing lettings]], "n/a" )</f>
        <v>0.23861633372502938</v>
      </c>
      <c r="BS142" s="5" vm="7365">
        <f xml:space="preserve"> VfM_Metrics_2023_Consol[[#This Row],[Operating surplus/(deficit) (social housing lettings)]]</f>
        <v>3249</v>
      </c>
      <c r="BT142" s="84" vm="7365">
        <v>3249</v>
      </c>
      <c r="BU142" s="5" vm="7627">
        <f xml:space="preserve"> VfM_Metrics_2023_Consol[[#This Row],[Turnover from social housing lettings]]</f>
        <v>13616</v>
      </c>
      <c r="BV142" s="84" vm="7627">
        <v>13616</v>
      </c>
      <c r="BW142" s="7">
        <f xml:space="preserve"> IFERROR( VfM_Metrics_2023_Consol[[#This Row],[Net operating surplus]] / VfM_Metrics_2023_Consol[[#This Row],[Overall turnover]], "n/a" )</f>
        <v>0.25757073752567755</v>
      </c>
      <c r="BX142" s="5">
        <f xml:space="preserve"> SUM( VfM_Metrics_2023_Consol[[#This Row],[Operating surplus/(deficit) (overall)2]], - VfM_Metrics_2023_Consol[[#This Row],[Gain/(loss) on disposal of fixed assets (housing properties)2]], - VfM_Metrics_2023_Consol[[#This Row],[Gain/(loss) on disposal of fixed assets (other)2]] )</f>
        <v>3887</v>
      </c>
      <c r="BY142" s="84" vm="3947">
        <v>4432</v>
      </c>
      <c r="BZ142" s="83" vm="3948">
        <v>545</v>
      </c>
      <c r="CA142" s="83">
        <v>0</v>
      </c>
      <c r="CB142" s="5" vm="3961">
        <f xml:space="preserve"> VfM_Metrics_2023_Consol[[#This Row],[Turnover (overall)]]</f>
        <v>15091</v>
      </c>
      <c r="CC142" s="84" vm="3961">
        <v>15091</v>
      </c>
      <c r="CD142" s="7">
        <f xml:space="preserve"> IFERROR( VfM_Metrics_2023_Consol[[#This Row],[Operating surplus including from JVs]] / VfM_Metrics_2023_Consol[[#This Row],[Net assets]], "n/a" )</f>
        <v>3.880570878206812E-2</v>
      </c>
      <c r="CE142" s="5">
        <f xml:space="preserve"> SUM( VfM_Metrics_2023_Consol[[#This Row],[Operating surplus/(deficit) (overall)3]], VfM_Metrics_2023_Consol[[#This Row],[Share of operating surplus/(deficit) in joint ventures or associates]] )</f>
        <v>4432</v>
      </c>
      <c r="CF142" s="84" vm="3947">
        <v>4432</v>
      </c>
      <c r="CG142" s="83">
        <v>0</v>
      </c>
      <c r="CH142" s="5" vm="7435">
        <f xml:space="preserve"> VfM_Metrics_2023_Consol[[#This Row],[Total assets less current liabilities]]</f>
        <v>114210</v>
      </c>
      <c r="CI142" s="84" vm="7435">
        <v>114210</v>
      </c>
      <c r="CJ142" s="71" vm="3933">
        <f xml:space="preserve"> VfM_Metrics_2023_Consol[[#This Row],[Total social housing units owned (Period end)]]</f>
        <v>2666</v>
      </c>
      <c r="CK142" s="103">
        <v>1.9140625000000001E-2</v>
      </c>
      <c r="CL142" s="6">
        <f xml:space="preserve"> -- ( VfM_Metrics_2023_Consol[[#This Row],[% Supported housing (excl. HOP)]] &gt; 0.3 )</f>
        <v>0</v>
      </c>
      <c r="CM142" s="103">
        <v>7.7734374999999994E-2</v>
      </c>
      <c r="CN142" s="6">
        <f xml:space="preserve"> -- ( VfM_Metrics_2023_Consol[[#This Row],[% Housing for older people]] &gt; 0.3 )</f>
        <v>0</v>
      </c>
      <c r="CO142" s="103">
        <f xml:space="preserve"> VfM_Metrics_2023_Consol[[#This Row],[% Supported housing (excl. HOP)]] + VfM_Metrics_2023_Consol[[#This Row],[% Housing for older people]]</f>
        <v>9.6874999999999989E-2</v>
      </c>
      <c r="CP142" s="6">
        <f xml:space="preserve"> -- ( VfM_Metrics_2023_Consol[[#This Row],[SH specialist in RSH analysis]] + VfM_Metrics_2023_Consol[[#This Row],[OP specialist in RSH analysis]] &gt; 0 )</f>
        <v>0</v>
      </c>
      <c r="CQ142" s="10">
        <f xml:space="preserve"> -- ( VfM_Metrics_2023_Consol[[#This Row],[% SH and OP]] &gt; 0.3 )</f>
        <v>0</v>
      </c>
      <c r="CR142" s="104" t="s">
        <v>143</v>
      </c>
      <c r="CS142" s="124" t="s">
        <v>144</v>
      </c>
      <c r="CT142" s="105"/>
      <c r="CU14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42" s="85">
        <v>0</v>
      </c>
      <c r="CW142" s="85">
        <v>0</v>
      </c>
      <c r="CX142" s="85">
        <v>0</v>
      </c>
      <c r="CY142" s="85">
        <v>0</v>
      </c>
      <c r="CZ142" s="85">
        <v>0</v>
      </c>
      <c r="DA142" s="85">
        <v>0</v>
      </c>
      <c r="DB142" s="85">
        <v>0</v>
      </c>
      <c r="DC142" s="85">
        <v>1</v>
      </c>
      <c r="DD142" s="85">
        <v>0</v>
      </c>
      <c r="DE142" s="13">
        <v>0.96105917141044694</v>
      </c>
    </row>
    <row r="143" spans="1:109" x14ac:dyDescent="0.25">
      <c r="A143" s="4" t="s" vm="269">
        <v>410</v>
      </c>
      <c r="B143" s="2" t="s" vm="133">
        <v>411</v>
      </c>
      <c r="C143" s="72" vm="554">
        <v>45016</v>
      </c>
      <c r="D143" s="7">
        <f>IFERROR( VfM_Metrics_2023_Consol[[#This Row],[Reinvestment Spend]] / VfM_Metrics_2023_Consol[[#This Row],[Net Book Value of Housing Properties]], "n/a" )</f>
        <v>6.6482276138374249E-2</v>
      </c>
      <c r="E14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39228</v>
      </c>
      <c r="F143" s="83" vm="2310">
        <v>5297</v>
      </c>
      <c r="G143" s="83" vm="7510">
        <v>23957</v>
      </c>
      <c r="H143" s="83" vm="8020">
        <v>9375</v>
      </c>
      <c r="I143" s="83" vm="2311">
        <v>599</v>
      </c>
      <c r="J143" s="83" vm="8022">
        <v>0</v>
      </c>
      <c r="K143" s="5">
        <f xml:space="preserve"> SUM( VfM_Metrics_2023_Consol[[#This Row],[Tangible fixed assets: Housing properties at cost (Current period)]],VfM_Metrics_2023_Consol[[#This Row],[Tangible fixed assets Housing properties at valuation (Current period)]] )</f>
        <v>590052</v>
      </c>
      <c r="L143" s="84" vm="2312">
        <v>590052</v>
      </c>
      <c r="M143" s="83">
        <v>0</v>
      </c>
      <c r="N143" s="7">
        <f xml:space="preserve"> IFERROR( VfM_Metrics_2023_Consol[[#This Row],[Total social units developed or newly built units acquired in-year]] / VfM_Metrics_2023_Consol[[#This Row],[Social housing units owned (period end)]], "n/a" )</f>
        <v>1.2858290918832038E-2</v>
      </c>
      <c r="O143" s="5">
        <f xml:space="preserve"> SUM( VfM_Metrics_2023_Consol[[#This Row],[Total social units developed or newly built units acquired in-year (owned)]], VfM_Metrics_2023_Consol[[#This Row],[Total social leasehold units developed or newly built units acquired in-year (owned)]] )</f>
        <v>144</v>
      </c>
      <c r="P143" s="84" vm="2313">
        <v>144</v>
      </c>
      <c r="Q143" s="83" vm="7755">
        <v>0</v>
      </c>
      <c r="R143" s="5">
        <f xml:space="preserve"> SUM( VfM_Metrics_2023_Consol[[#This Row],[Total social housing units owned (Period end)]], VfM_Metrics_2023_Consol[[#This Row],[Total social leasehold units owned (Period end)]] )</f>
        <v>11199</v>
      </c>
      <c r="S143" s="84" vm="2309">
        <v>11000</v>
      </c>
      <c r="T143" s="83" vm="2314">
        <v>199</v>
      </c>
      <c r="U143" s="86">
        <f xml:space="preserve"> IFERROR( VfM_Metrics_2023_Consol[[#This Row],[Total non-social housing units developed or newly built units acquired (owned)]] / VfM_Metrics_2023_Consol[[#This Row],[Total social and non-social housing units owned (Period end)]], "n/a" )</f>
        <v>3.2105441027374111E-3</v>
      </c>
      <c r="V14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38</v>
      </c>
      <c r="W143" s="83" vm="7799">
        <v>0</v>
      </c>
      <c r="X143" s="83" vm="2315">
        <v>0</v>
      </c>
      <c r="Y143" s="83" vm="1829">
        <v>38</v>
      </c>
      <c r="Z14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11836</v>
      </c>
      <c r="AA143" s="84" vm="2309">
        <v>11000</v>
      </c>
      <c r="AB143" s="83" vm="2314">
        <v>199</v>
      </c>
      <c r="AC143" s="83" vm="2316">
        <v>637</v>
      </c>
      <c r="AD143" s="83" vm="2317">
        <v>0</v>
      </c>
      <c r="AE143" s="7">
        <f xml:space="preserve"> IFERROR( VfM_Metrics_2023_Consol[[#This Row],[Total Net Debt]] / VfM_Metrics_2023_Consol[[#This Row],[Net Book Value of Housing Properties2]], "n/a" )</f>
        <v>0.43361940981472819</v>
      </c>
      <c r="AF14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255858</v>
      </c>
      <c r="AG143" s="84" vm="2318">
        <v>7999</v>
      </c>
      <c r="AH143" s="83" vm="2319">
        <v>256838</v>
      </c>
      <c r="AI143" s="83" vm="7790">
        <v>9059</v>
      </c>
      <c r="AJ143" s="83" vm="1675">
        <v>0</v>
      </c>
      <c r="AK143" s="83" vm="7578">
        <v>80</v>
      </c>
      <c r="AL143" s="5">
        <f xml:space="preserve"> SUM( VfM_Metrics_2023_Consol[[#This Row],[Tangible fixed assets: Housing properties at cost (Current period)2]], VfM_Metrics_2023_Consol[[#This Row],[Tangible fixed assets Housing properties at valuation (Current period)2]] )</f>
        <v>590052</v>
      </c>
      <c r="AM143" s="84" vm="2312">
        <v>590052</v>
      </c>
      <c r="AN143" s="83">
        <v>0</v>
      </c>
      <c r="AO143" s="87">
        <f xml:space="preserve"> IFERROR( VfM_Metrics_2023_Consol[[#This Row],[EBITDA MRI]] / VfM_Metrics_2023_Consol[[#This Row],[Total interest]], "n/a" )</f>
        <v>2.1907192575406031</v>
      </c>
      <c r="AP14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18884</v>
      </c>
      <c r="AQ143" s="84" vm="4264">
        <v>16741</v>
      </c>
      <c r="AR143" s="84" vm="2321">
        <v>677</v>
      </c>
      <c r="AS143" s="84" vm="2322">
        <v>0</v>
      </c>
      <c r="AT143" s="84" vm="2323">
        <v>308</v>
      </c>
      <c r="AU143" s="84" vm="2616">
        <v>0</v>
      </c>
      <c r="AV143" s="84" vm="7945">
        <v>393</v>
      </c>
      <c r="AW143" s="84" vm="7577">
        <v>9375</v>
      </c>
      <c r="AX143" s="84" vm="2325">
        <v>12110</v>
      </c>
      <c r="AY143" s="3">
        <f xml:space="preserve"> - SUM( VfM_Metrics_2023_Consol[[#This Row],[Interest capitalised]], VfM_Metrics_2023_Consol[[#This Row],[Interest payable and financing costs]] )</f>
        <v>8620</v>
      </c>
      <c r="AZ143" s="84" vm="7095">
        <v>-599</v>
      </c>
      <c r="BA143" s="83" vm="2326">
        <v>-8021</v>
      </c>
      <c r="BB143" s="8">
        <f xml:space="preserve"> IFERROR( ( VfM_Metrics_2023_Consol[[#This Row],[Total Costs]] / VfM_Metrics_2023_Consol[[#This Row],[Total units for costs]] ) * 1000, "n/a" )</f>
        <v>6834.0750158931969</v>
      </c>
      <c r="BC14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75250</v>
      </c>
      <c r="BD143" s="84" vm="6736">
        <v>13062</v>
      </c>
      <c r="BE143" s="83" vm="2327">
        <v>13213</v>
      </c>
      <c r="BF143" s="83" vm="8016">
        <v>11806</v>
      </c>
      <c r="BG143" s="83" vm="2328">
        <v>3240</v>
      </c>
      <c r="BH143" s="83" vm="2329">
        <v>6433</v>
      </c>
      <c r="BI143" s="83" vm="2330">
        <v>13121</v>
      </c>
      <c r="BJ143" s="83" vm="2324">
        <v>9375</v>
      </c>
      <c r="BK143" s="83" vm="2331">
        <v>4367</v>
      </c>
      <c r="BL143" s="83">
        <v>0</v>
      </c>
      <c r="BM143" s="83">
        <v>0</v>
      </c>
      <c r="BN143" s="83">
        <v>0</v>
      </c>
      <c r="BO143" s="83" vm="7575">
        <v>633</v>
      </c>
      <c r="BP143" s="5" vm="7233">
        <f xml:space="preserve"> VfM_Metrics_2023_Consol[[#This Row],[Total social housing units owned and/or managed at period end]]</f>
        <v>11011</v>
      </c>
      <c r="BQ143" s="84" vm="7233">
        <v>11011</v>
      </c>
      <c r="BR143" s="7">
        <f xml:space="preserve"> IFERROR( VfM_Metrics_2023_Consol[[#This Row],[SHL operating surplus / (deficit)]] / VfM_Metrics_2023_Consol[[#This Row],[Turnover from social housing lettings]], "n/a" )</f>
        <v>0.15098172725953543</v>
      </c>
      <c r="BS143" s="5" vm="2332">
        <f xml:space="preserve"> VfM_Metrics_2023_Consol[[#This Row],[Operating surplus/(deficit) (social housing lettings)]]</f>
        <v>13526</v>
      </c>
      <c r="BT143" s="84" vm="2332">
        <v>13526</v>
      </c>
      <c r="BU143" s="5" vm="2561">
        <f xml:space="preserve"> VfM_Metrics_2023_Consol[[#This Row],[Turnover from social housing lettings]]</f>
        <v>89587</v>
      </c>
      <c r="BV143" s="84" vm="2561">
        <v>89587</v>
      </c>
      <c r="BW143" s="7">
        <f xml:space="preserve"> IFERROR( VfM_Metrics_2023_Consol[[#This Row],[Net operating surplus]] / VfM_Metrics_2023_Consol[[#This Row],[Overall turnover]], "n/a" )</f>
        <v>0.1385615953904808</v>
      </c>
      <c r="BX143" s="5">
        <f xml:space="preserve"> SUM( VfM_Metrics_2023_Consol[[#This Row],[Operating surplus/(deficit) (overall)2]], - VfM_Metrics_2023_Consol[[#This Row],[Gain/(loss) on disposal of fixed assets (housing properties)2]], - VfM_Metrics_2023_Consol[[#This Row],[Gain/(loss) on disposal of fixed assets (other)2]] )</f>
        <v>16064</v>
      </c>
      <c r="BY143" s="84" vm="2320">
        <v>16741</v>
      </c>
      <c r="BZ143" s="83" vm="2321">
        <v>677</v>
      </c>
      <c r="CA143" s="83" vm="7573">
        <v>0</v>
      </c>
      <c r="CB143" s="5" vm="2333">
        <f xml:space="preserve"> VfM_Metrics_2023_Consol[[#This Row],[Turnover (overall)]]</f>
        <v>115934</v>
      </c>
      <c r="CC143" s="84" vm="2333">
        <v>115934</v>
      </c>
      <c r="CD143" s="7">
        <f xml:space="preserve"> IFERROR( VfM_Metrics_2023_Consol[[#This Row],[Operating surplus including from JVs]] / VfM_Metrics_2023_Consol[[#This Row],[Net assets]], "n/a" )</f>
        <v>2.7395813702618222E-2</v>
      </c>
      <c r="CE143" s="5">
        <f xml:space="preserve"> SUM( VfM_Metrics_2023_Consol[[#This Row],[Operating surplus/(deficit) (overall)3]], VfM_Metrics_2023_Consol[[#This Row],[Share of operating surplus/(deficit) in joint ventures or associates]] )</f>
        <v>16863</v>
      </c>
      <c r="CF143" s="84" vm="2320">
        <v>16741</v>
      </c>
      <c r="CG143" s="83" vm="7868">
        <v>122</v>
      </c>
      <c r="CH143" s="5" vm="2334">
        <f xml:space="preserve"> VfM_Metrics_2023_Consol[[#This Row],[Total assets less current liabilities]]</f>
        <v>615532</v>
      </c>
      <c r="CI143" s="84" vm="2334">
        <v>615532</v>
      </c>
      <c r="CJ143" s="71" vm="2309">
        <f xml:space="preserve"> VfM_Metrics_2023_Consol[[#This Row],[Total social housing units owned (Period end)]]</f>
        <v>11000</v>
      </c>
      <c r="CK143" s="103">
        <v>0.39135194307608101</v>
      </c>
      <c r="CL143" s="6">
        <f xml:space="preserve"> -- ( VfM_Metrics_2023_Consol[[#This Row],[% Supported housing (excl. HOP)]] &gt; 0.3 )</f>
        <v>1</v>
      </c>
      <c r="CM143" s="103">
        <v>0.11065498996533479</v>
      </c>
      <c r="CN143" s="6">
        <f xml:space="preserve"> -- ( VfM_Metrics_2023_Consol[[#This Row],[% Housing for older people]] &gt; 0.3 )</f>
        <v>0</v>
      </c>
      <c r="CO143" s="103">
        <f xml:space="preserve"> VfM_Metrics_2023_Consol[[#This Row],[% Supported housing (excl. HOP)]] + VfM_Metrics_2023_Consol[[#This Row],[% Housing for older people]]</f>
        <v>0.50200693304141586</v>
      </c>
      <c r="CP143" s="6">
        <f xml:space="preserve"> -- ( VfM_Metrics_2023_Consol[[#This Row],[SH specialist in RSH analysis]] + VfM_Metrics_2023_Consol[[#This Row],[OP specialist in RSH analysis]] &gt; 0 )</f>
        <v>1</v>
      </c>
      <c r="CQ143" s="10">
        <f xml:space="preserve"> -- ( VfM_Metrics_2023_Consol[[#This Row],[% SH and OP]] &gt; 0.3 )</f>
        <v>1</v>
      </c>
      <c r="CR143" s="104" t="s">
        <v>143</v>
      </c>
      <c r="CS143" s="124" t="s">
        <v>144</v>
      </c>
      <c r="CT143" s="105"/>
      <c r="CU14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43" s="85">
        <v>1.8509991711944011E-2</v>
      </c>
      <c r="CW143" s="85">
        <v>3.1770881296620312E-2</v>
      </c>
      <c r="CX143" s="85">
        <v>1.1787457408601161E-2</v>
      </c>
      <c r="CY143" s="85">
        <v>6.6212358412376826E-2</v>
      </c>
      <c r="CZ143" s="85">
        <v>4.8807440832489175E-3</v>
      </c>
      <c r="DA143" s="85">
        <v>3.3336402983700157E-2</v>
      </c>
      <c r="DB143" s="85">
        <v>2.3206556773183534E-2</v>
      </c>
      <c r="DC143" s="85">
        <v>0.72888847960217329</v>
      </c>
      <c r="DD143" s="85">
        <v>8.1407127728151757E-2</v>
      </c>
      <c r="DE143" s="13">
        <v>0.96507137243371444</v>
      </c>
    </row>
    <row r="144" spans="1:109" x14ac:dyDescent="0.25">
      <c r="A144" s="4" t="s" vm="230">
        <v>412</v>
      </c>
      <c r="B144" s="2" t="s" vm="134">
        <v>413</v>
      </c>
      <c r="C144" s="72" vm="563">
        <v>45016</v>
      </c>
      <c r="D144" s="7">
        <f>IFERROR( VfM_Metrics_2023_Consol[[#This Row],[Reinvestment Spend]] / VfM_Metrics_2023_Consol[[#This Row],[Net Book Value of Housing Properties]], "n/a" )</f>
        <v>7.9024356466494708E-2</v>
      </c>
      <c r="E14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4565</v>
      </c>
      <c r="F144" s="83" vm="8486">
        <v>3283</v>
      </c>
      <c r="G144" s="83" vm="8439">
        <v>0</v>
      </c>
      <c r="H144" s="83" vm="1036">
        <v>1282</v>
      </c>
      <c r="I144" s="83" vm="8688">
        <v>0</v>
      </c>
      <c r="J144" s="83" vm="7130">
        <v>0</v>
      </c>
      <c r="K144" s="5">
        <f xml:space="preserve"> SUM( VfM_Metrics_2023_Consol[[#This Row],[Tangible fixed assets: Housing properties at cost (Current period)]],VfM_Metrics_2023_Consol[[#This Row],[Tangible fixed assets Housing properties at valuation (Current period)]] )</f>
        <v>57767</v>
      </c>
      <c r="L144" s="84" vm="1243">
        <v>57767</v>
      </c>
      <c r="M144" s="83" vm="8484">
        <v>0</v>
      </c>
      <c r="N144" s="7">
        <f xml:space="preserve"> IFERROR( VfM_Metrics_2023_Consol[[#This Row],[Total social units developed or newly built units acquired in-year]] / VfM_Metrics_2023_Consol[[#This Row],[Social housing units owned (period end)]], "n/a" )</f>
        <v>1.7283950617283949E-2</v>
      </c>
      <c r="O144" s="5">
        <f xml:space="preserve"> SUM( VfM_Metrics_2023_Consol[[#This Row],[Total social units developed or newly built units acquired in-year (owned)]], VfM_Metrics_2023_Consol[[#This Row],[Total social leasehold units developed or newly built units acquired in-year (owned)]] )</f>
        <v>28</v>
      </c>
      <c r="P144" s="84" vm="1245">
        <v>28</v>
      </c>
      <c r="Q144" s="83" vm="1246">
        <v>0</v>
      </c>
      <c r="R144" s="5">
        <f xml:space="preserve"> SUM( VfM_Metrics_2023_Consol[[#This Row],[Total social housing units owned (Period end)]], VfM_Metrics_2023_Consol[[#This Row],[Total social leasehold units owned (Period end)]] )</f>
        <v>1620</v>
      </c>
      <c r="S144" s="84" vm="1365">
        <v>1547</v>
      </c>
      <c r="T144" s="83" vm="1247">
        <v>73</v>
      </c>
      <c r="U144" s="86">
        <f xml:space="preserve"> IFERROR( VfM_Metrics_2023_Consol[[#This Row],[Total non-social housing units developed or newly built units acquired (owned)]] / VfM_Metrics_2023_Consol[[#This Row],[Total social and non-social housing units owned (Period end)]], "n/a" )</f>
        <v>0</v>
      </c>
      <c r="V14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44" s="83" vm="1248">
        <v>0</v>
      </c>
      <c r="X144" s="83" vm="8482">
        <v>0</v>
      </c>
      <c r="Y144" s="83" vm="8464">
        <v>0</v>
      </c>
      <c r="Z14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1620</v>
      </c>
      <c r="AA144" s="84" vm="8437">
        <v>1547</v>
      </c>
      <c r="AB144" s="83" vm="8562">
        <v>73</v>
      </c>
      <c r="AC144" s="83" vm="1250">
        <v>0</v>
      </c>
      <c r="AD144" s="83" vm="1251">
        <v>0</v>
      </c>
      <c r="AE144" s="7">
        <f xml:space="preserve"> IFERROR( VfM_Metrics_2023_Consol[[#This Row],[Total Net Debt]] / VfM_Metrics_2023_Consol[[#This Row],[Net Book Value of Housing Properties2]], "n/a" )</f>
        <v>0.17120501324285492</v>
      </c>
      <c r="AF14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9890</v>
      </c>
      <c r="AG144" s="84" vm="8560">
        <v>397</v>
      </c>
      <c r="AH144" s="83" vm="1253">
        <v>17079</v>
      </c>
      <c r="AI144" s="83" vm="7907">
        <v>7586</v>
      </c>
      <c r="AJ144" s="83" vm="1275">
        <v>0</v>
      </c>
      <c r="AK144" s="83" vm="8453">
        <v>0</v>
      </c>
      <c r="AL144" s="5">
        <f xml:space="preserve"> SUM( VfM_Metrics_2023_Consol[[#This Row],[Tangible fixed assets: Housing properties at cost (Current period)2]], VfM_Metrics_2023_Consol[[#This Row],[Tangible fixed assets Housing properties at valuation (Current period)2]] )</f>
        <v>57767</v>
      </c>
      <c r="AM144" s="84" vm="1243">
        <v>57767</v>
      </c>
      <c r="AN144" s="83" vm="1244">
        <v>0</v>
      </c>
      <c r="AO144" s="87">
        <f xml:space="preserve"> IFERROR( VfM_Metrics_2023_Consol[[#This Row],[EBITDA MRI]] / VfM_Metrics_2023_Consol[[#This Row],[Total interest]], "n/a" )</f>
        <v>2.3929961089494163</v>
      </c>
      <c r="AP14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1845</v>
      </c>
      <c r="AQ144" s="84" vm="8344">
        <v>1340</v>
      </c>
      <c r="AR144" s="84" vm="1434">
        <v>0</v>
      </c>
      <c r="AS144" s="84" vm="1288">
        <v>0</v>
      </c>
      <c r="AT144" s="84" vm="1256">
        <v>336</v>
      </c>
      <c r="AU144" s="84" vm="1047">
        <v>0</v>
      </c>
      <c r="AV144" s="84" vm="1608">
        <v>88</v>
      </c>
      <c r="AW144" s="84" vm="8200">
        <v>1282</v>
      </c>
      <c r="AX144" s="84" vm="8575">
        <v>2035</v>
      </c>
      <c r="AY144" s="3">
        <f xml:space="preserve"> - SUM( VfM_Metrics_2023_Consol[[#This Row],[Interest capitalised]], VfM_Metrics_2023_Consol[[#This Row],[Interest payable and financing costs]] )</f>
        <v>771</v>
      </c>
      <c r="AZ144" s="84" vm="8690">
        <v>0</v>
      </c>
      <c r="BA144" s="83" vm="1258">
        <v>-771</v>
      </c>
      <c r="BB144" s="8">
        <f xml:space="preserve"> IFERROR( ( VfM_Metrics_2023_Consol[[#This Row],[Total Costs]] / VfM_Metrics_2023_Consol[[#This Row],[Total units for costs]] ) * 1000, "n/a" )</f>
        <v>3837.7504848093085</v>
      </c>
      <c r="BC14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5937</v>
      </c>
      <c r="BD144" s="84" vm="1050">
        <v>1039</v>
      </c>
      <c r="BE144" s="83" vm="8342">
        <v>1141</v>
      </c>
      <c r="BF144" s="83" vm="1260">
        <v>2267</v>
      </c>
      <c r="BG144" s="83" vm="1261">
        <v>42</v>
      </c>
      <c r="BH144" s="83" vm="8548">
        <v>0</v>
      </c>
      <c r="BI144" s="83" vm="8167">
        <v>33</v>
      </c>
      <c r="BJ144" s="83" vm="8193">
        <v>1282</v>
      </c>
      <c r="BK144" s="83" vm="1195">
        <v>27</v>
      </c>
      <c r="BL144" s="83" vm="1263">
        <v>0</v>
      </c>
      <c r="BM144" s="83" vm="8683">
        <v>0</v>
      </c>
      <c r="BN144" s="83" vm="8412">
        <v>106</v>
      </c>
      <c r="BO144" s="83" vm="1364">
        <v>0</v>
      </c>
      <c r="BP144" s="5" vm="8481">
        <f xml:space="preserve"> VfM_Metrics_2023_Consol[[#This Row],[Total social housing units owned and/or managed at period end]]</f>
        <v>1547</v>
      </c>
      <c r="BQ144" s="84" vm="8481">
        <v>1547</v>
      </c>
      <c r="BR144" s="7">
        <f xml:space="preserve"> IFERROR( VfM_Metrics_2023_Consol[[#This Row],[SHL operating surplus / (deficit)]] / VfM_Metrics_2023_Consol[[#This Row],[Turnover from social housing lettings]], "n/a" )</f>
        <v>0.16506471869793668</v>
      </c>
      <c r="BS144" s="5" vm="8411">
        <f xml:space="preserve"> VfM_Metrics_2023_Consol[[#This Row],[Operating surplus/(deficit) (social housing lettings)]]</f>
        <v>1288</v>
      </c>
      <c r="BT144" s="84" vm="8411">
        <v>1288</v>
      </c>
      <c r="BU144" s="5" vm="8538">
        <f xml:space="preserve"> VfM_Metrics_2023_Consol[[#This Row],[Turnover from social housing lettings]]</f>
        <v>7803</v>
      </c>
      <c r="BV144" s="84" vm="8538">
        <v>7803</v>
      </c>
      <c r="BW144" s="7">
        <f xml:space="preserve"> IFERROR( VfM_Metrics_2023_Consol[[#This Row],[Net operating surplus]] / VfM_Metrics_2023_Consol[[#This Row],[Overall turnover]], "n/a" )</f>
        <v>0.16829942225571465</v>
      </c>
      <c r="BX144" s="5">
        <f xml:space="preserve"> SUM( VfM_Metrics_2023_Consol[[#This Row],[Operating surplus/(deficit) (overall)2]], - VfM_Metrics_2023_Consol[[#This Row],[Gain/(loss) on disposal of fixed assets (housing properties)2]], - VfM_Metrics_2023_Consol[[#This Row],[Gain/(loss) on disposal of fixed assets (other)2]] )</f>
        <v>1340</v>
      </c>
      <c r="BY144" s="84" vm="1254">
        <v>1340</v>
      </c>
      <c r="BZ144" s="83" vm="1255">
        <v>0</v>
      </c>
      <c r="CA144" s="83" vm="8340">
        <v>0</v>
      </c>
      <c r="CB144" s="5" vm="1037">
        <f xml:space="preserve"> VfM_Metrics_2023_Consol[[#This Row],[Turnover (overall)]]</f>
        <v>7962</v>
      </c>
      <c r="CC144" s="84" vm="1037">
        <v>7962</v>
      </c>
      <c r="CD144" s="7">
        <f xml:space="preserve"> IFERROR( VfM_Metrics_2023_Consol[[#This Row],[Operating surplus including from JVs]] / VfM_Metrics_2023_Consol[[#This Row],[Net assets]], "n/a" )</f>
        <v>2.0918216019606924E-2</v>
      </c>
      <c r="CE144" s="5">
        <f xml:space="preserve"> SUM( VfM_Metrics_2023_Consol[[#This Row],[Operating surplus/(deficit) (overall)3]], VfM_Metrics_2023_Consol[[#This Row],[Share of operating surplus/(deficit) in joint ventures or associates]] )</f>
        <v>1340</v>
      </c>
      <c r="CF144" s="84" vm="1136">
        <v>1340</v>
      </c>
      <c r="CG144" s="83" vm="1265">
        <v>0</v>
      </c>
      <c r="CH144" s="5" vm="1264">
        <f xml:space="preserve"> VfM_Metrics_2023_Consol[[#This Row],[Total assets less current liabilities]]</f>
        <v>64059</v>
      </c>
      <c r="CI144" s="84" vm="1264">
        <v>64059</v>
      </c>
      <c r="CJ144" s="71" vm="1365">
        <f xml:space="preserve"> VfM_Metrics_2023_Consol[[#This Row],[Total social housing units owned (Period end)]]</f>
        <v>1547</v>
      </c>
      <c r="CK144" s="103">
        <v>0.30389129092032119</v>
      </c>
      <c r="CL144" s="6">
        <f xml:space="preserve"> -- ( VfM_Metrics_2023_Consol[[#This Row],[% Supported housing (excl. HOP)]] &gt; 0.3 )</f>
        <v>1</v>
      </c>
      <c r="CM144" s="103">
        <v>0.26436071649166154</v>
      </c>
      <c r="CN144" s="6">
        <f xml:space="preserve"> -- ( VfM_Metrics_2023_Consol[[#This Row],[% Housing for older people]] &gt; 0.3 )</f>
        <v>0</v>
      </c>
      <c r="CO144" s="103">
        <f xml:space="preserve"> VfM_Metrics_2023_Consol[[#This Row],[% Supported housing (excl. HOP)]] + VfM_Metrics_2023_Consol[[#This Row],[% Housing for older people]]</f>
        <v>0.56825200741198278</v>
      </c>
      <c r="CP144" s="6">
        <f xml:space="preserve"> -- ( VfM_Metrics_2023_Consol[[#This Row],[SH specialist in RSH analysis]] + VfM_Metrics_2023_Consol[[#This Row],[OP specialist in RSH analysis]] &gt; 0 )</f>
        <v>1</v>
      </c>
      <c r="CQ144" s="10">
        <f xml:space="preserve"> -- ( VfM_Metrics_2023_Consol[[#This Row],[% SH and OP]] &gt; 0.3 )</f>
        <v>1</v>
      </c>
      <c r="CR144" s="104" t="s">
        <v>143</v>
      </c>
      <c r="CS144" s="124" t="s">
        <v>144</v>
      </c>
      <c r="CT144" s="105"/>
      <c r="CU14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144" s="85">
        <v>1.3588634959851761E-2</v>
      </c>
      <c r="CW144" s="85">
        <v>0</v>
      </c>
      <c r="CX144" s="85">
        <v>0</v>
      </c>
      <c r="CY144" s="85">
        <v>0</v>
      </c>
      <c r="CZ144" s="85">
        <v>1.8529956763434219E-2</v>
      </c>
      <c r="DA144" s="85">
        <v>0</v>
      </c>
      <c r="DB144" s="85">
        <v>0.58307597282273005</v>
      </c>
      <c r="DC144" s="85">
        <v>1.2353304508956147E-3</v>
      </c>
      <c r="DD144" s="85">
        <v>0.3835701050030883</v>
      </c>
      <c r="DE144" s="13">
        <v>0.92573192444565744</v>
      </c>
    </row>
    <row r="145" spans="1:109" x14ac:dyDescent="0.25">
      <c r="A145" s="4" t="s" vm="359">
        <v>414</v>
      </c>
      <c r="B145" s="2" t="s" vm="135">
        <v>415</v>
      </c>
      <c r="C145" s="72" vm="574">
        <v>45016</v>
      </c>
      <c r="D145" s="7">
        <f>IFERROR( VfM_Metrics_2023_Consol[[#This Row],[Reinvestment Spend]] / VfM_Metrics_2023_Consol[[#This Row],[Net Book Value of Housing Properties]], "n/a" )</f>
        <v>2.2922042934520603E-2</v>
      </c>
      <c r="E14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8083</v>
      </c>
      <c r="F145" s="83" vm="5403">
        <v>5356</v>
      </c>
      <c r="G145" s="83" vm="5404">
        <v>0</v>
      </c>
      <c r="H145" s="83" vm="4188">
        <v>2670</v>
      </c>
      <c r="I145" s="83" vm="5405">
        <v>57</v>
      </c>
      <c r="J145" s="83" vm="5406">
        <v>0</v>
      </c>
      <c r="K145" s="5">
        <f xml:space="preserve"> SUM( VfM_Metrics_2023_Consol[[#This Row],[Tangible fixed assets: Housing properties at cost (Current period)]],VfM_Metrics_2023_Consol[[#This Row],[Tangible fixed assets Housing properties at valuation (Current period)]] )</f>
        <v>352630</v>
      </c>
      <c r="L145" s="84" vm="5407">
        <v>352630</v>
      </c>
      <c r="M145" s="83" vm="5408">
        <v>0</v>
      </c>
      <c r="N145" s="7">
        <f xml:space="preserve"> IFERROR( VfM_Metrics_2023_Consol[[#This Row],[Total social units developed or newly built units acquired in-year]] / VfM_Metrics_2023_Consol[[#This Row],[Social housing units owned (period end)]], "n/a" )</f>
        <v>2.6407227241139679E-3</v>
      </c>
      <c r="O145" s="5">
        <f xml:space="preserve"> SUM( VfM_Metrics_2023_Consol[[#This Row],[Total social units developed or newly built units acquired in-year (owned)]], VfM_Metrics_2023_Consol[[#This Row],[Total social leasehold units developed or newly built units acquired in-year (owned)]] )</f>
        <v>19</v>
      </c>
      <c r="P145" s="84" vm="7190">
        <v>19</v>
      </c>
      <c r="Q145" s="83">
        <v>0</v>
      </c>
      <c r="R145" s="5">
        <f xml:space="preserve"> SUM( VfM_Metrics_2023_Consol[[#This Row],[Total social housing units owned (Period end)]], VfM_Metrics_2023_Consol[[#This Row],[Total social leasehold units owned (Period end)]] )</f>
        <v>7195</v>
      </c>
      <c r="S145" s="84" vm="5401">
        <v>6337</v>
      </c>
      <c r="T145" s="83" vm="5409">
        <v>858</v>
      </c>
      <c r="U145" s="86">
        <f xml:space="preserve"> IFERROR( VfM_Metrics_2023_Consol[[#This Row],[Total non-social housing units developed or newly built units acquired (owned)]] / VfM_Metrics_2023_Consol[[#This Row],[Total social and non-social housing units owned (Period end)]], "n/a" )</f>
        <v>0</v>
      </c>
      <c r="V14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45" s="83">
        <v>0</v>
      </c>
      <c r="X145" s="83">
        <v>0</v>
      </c>
      <c r="Y145" s="83" vm="5410">
        <v>0</v>
      </c>
      <c r="Z14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7195</v>
      </c>
      <c r="AA145" s="84" vm="5401">
        <v>6337</v>
      </c>
      <c r="AB145" s="83" vm="5409">
        <v>858</v>
      </c>
      <c r="AC145" s="83" vm="5411">
        <v>0</v>
      </c>
      <c r="AD145" s="83" vm="7339">
        <v>0</v>
      </c>
      <c r="AE145" s="7">
        <f xml:space="preserve"> IFERROR( VfM_Metrics_2023_Consol[[#This Row],[Total Net Debt]] / VfM_Metrics_2023_Consol[[#This Row],[Net Book Value of Housing Properties2]], "n/a" )</f>
        <v>0.57546436775090037</v>
      </c>
      <c r="AF14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202926</v>
      </c>
      <c r="AG145" s="84" vm="5412">
        <v>350</v>
      </c>
      <c r="AH145" s="83" vm="5413">
        <v>211360</v>
      </c>
      <c r="AI145" s="83" vm="5414">
        <v>8784</v>
      </c>
      <c r="AJ145" s="83" vm="1675">
        <v>0</v>
      </c>
      <c r="AK145" s="83">
        <v>0</v>
      </c>
      <c r="AL145" s="5">
        <f xml:space="preserve"> SUM( VfM_Metrics_2023_Consol[[#This Row],[Tangible fixed assets: Housing properties at cost (Current period)2]], VfM_Metrics_2023_Consol[[#This Row],[Tangible fixed assets Housing properties at valuation (Current period)2]] )</f>
        <v>352630</v>
      </c>
      <c r="AM145" s="84" vm="5407">
        <v>352630</v>
      </c>
      <c r="AN145" s="83" vm="5408">
        <v>0</v>
      </c>
      <c r="AO145" s="87">
        <f xml:space="preserve"> IFERROR( VfM_Metrics_2023_Consol[[#This Row],[EBITDA MRI]] / VfM_Metrics_2023_Consol[[#This Row],[Total interest]], "n/a" )</f>
        <v>1.607968881412952</v>
      </c>
      <c r="AP14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15295</v>
      </c>
      <c r="AQ145" s="84" vm="5415">
        <v>17186</v>
      </c>
      <c r="AR145" s="84" vm="2525">
        <v>4028</v>
      </c>
      <c r="AS145" s="84" vm="5417">
        <v>0</v>
      </c>
      <c r="AT145" s="84" vm="5418">
        <v>477</v>
      </c>
      <c r="AU145" s="84" vm="5419">
        <v>0</v>
      </c>
      <c r="AV145" s="84" vm="5420">
        <v>157</v>
      </c>
      <c r="AW145" s="84" vm="5421">
        <v>2713</v>
      </c>
      <c r="AX145" s="84" vm="7278">
        <v>5170</v>
      </c>
      <c r="AY145" s="3">
        <f xml:space="preserve"> - SUM( VfM_Metrics_2023_Consol[[#This Row],[Interest capitalised]], VfM_Metrics_2023_Consol[[#This Row],[Interest payable and financing costs]] )</f>
        <v>9512</v>
      </c>
      <c r="AZ145" s="84" vm="5422">
        <v>-57</v>
      </c>
      <c r="BA145" s="83" vm="5423">
        <v>-9455</v>
      </c>
      <c r="BB145" s="8">
        <f xml:space="preserve"> IFERROR( ( VfM_Metrics_2023_Consol[[#This Row],[Total Costs]] / VfM_Metrics_2023_Consol[[#This Row],[Total units for costs]] ) * 1000, "n/a" )</f>
        <v>5253.2467532467526</v>
      </c>
      <c r="BC14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33978</v>
      </c>
      <c r="BD145" s="84" vm="5424">
        <v>6727</v>
      </c>
      <c r="BE145" s="83" vm="5425">
        <v>3293</v>
      </c>
      <c r="BF145" s="83" vm="5426">
        <v>7475</v>
      </c>
      <c r="BG145" s="83" vm="5427">
        <v>1524</v>
      </c>
      <c r="BH145" s="83" vm="5428">
        <v>6576</v>
      </c>
      <c r="BI145" s="83" vm="5429">
        <v>0</v>
      </c>
      <c r="BJ145" s="83" vm="5421">
        <v>2713</v>
      </c>
      <c r="BK145" s="83" vm="7189">
        <v>2064</v>
      </c>
      <c r="BL145" s="83" vm="5430">
        <v>1673</v>
      </c>
      <c r="BM145" s="83" vm="5431">
        <v>1423</v>
      </c>
      <c r="BN145" s="83" vm="5432">
        <v>0</v>
      </c>
      <c r="BO145" s="83" vm="5433">
        <v>510</v>
      </c>
      <c r="BP145" s="5" vm="5402">
        <f xml:space="preserve"> VfM_Metrics_2023_Consol[[#This Row],[Total social housing units owned and/or managed at period end]]</f>
        <v>6468</v>
      </c>
      <c r="BQ145" s="84" vm="5402">
        <v>6468</v>
      </c>
      <c r="BR145" s="7">
        <f xml:space="preserve"> IFERROR( VfM_Metrics_2023_Consol[[#This Row],[SHL operating surplus / (deficit)]] / VfM_Metrics_2023_Consol[[#This Row],[Turnover from social housing lettings]], "n/a" )</f>
        <v>0.30026583673734031</v>
      </c>
      <c r="BS145" s="5" vm="5434">
        <f xml:space="preserve"> VfM_Metrics_2023_Consol[[#This Row],[Operating surplus/(deficit) (social housing lettings)]]</f>
        <v>13893</v>
      </c>
      <c r="BT145" s="84" vm="5434">
        <v>13893</v>
      </c>
      <c r="BU145" s="5" vm="5435">
        <f xml:space="preserve"> VfM_Metrics_2023_Consol[[#This Row],[Turnover from social housing lettings]]</f>
        <v>46269</v>
      </c>
      <c r="BV145" s="84" vm="5435">
        <v>46269</v>
      </c>
      <c r="BW145" s="7">
        <f xml:space="preserve"> IFERROR( VfM_Metrics_2023_Consol[[#This Row],[Net operating surplus]] / VfM_Metrics_2023_Consol[[#This Row],[Overall turnover]], "n/a" )</f>
        <v>0.23340547060701741</v>
      </c>
      <c r="BX145" s="5">
        <f xml:space="preserve"> SUM( VfM_Metrics_2023_Consol[[#This Row],[Operating surplus/(deficit) (overall)2]], - VfM_Metrics_2023_Consol[[#This Row],[Gain/(loss) on disposal of fixed assets (housing properties)2]], - VfM_Metrics_2023_Consol[[#This Row],[Gain/(loss) on disposal of fixed assets (other)2]] )</f>
        <v>13158</v>
      </c>
      <c r="BY145" s="84" vm="5415">
        <v>17186</v>
      </c>
      <c r="BZ145" s="83" vm="5416">
        <v>4028</v>
      </c>
      <c r="CA145" s="83" vm="5417">
        <v>0</v>
      </c>
      <c r="CB145" s="5" vm="7012">
        <f xml:space="preserve"> VfM_Metrics_2023_Consol[[#This Row],[Turnover (overall)]]</f>
        <v>56374</v>
      </c>
      <c r="CC145" s="84" vm="7012">
        <v>56374</v>
      </c>
      <c r="CD145" s="7">
        <f xml:space="preserve"> IFERROR( VfM_Metrics_2023_Consol[[#This Row],[Operating surplus including from JVs]] / VfM_Metrics_2023_Consol[[#This Row],[Net assets]], "n/a" )</f>
        <v>4.5967112090639681E-2</v>
      </c>
      <c r="CE145" s="5">
        <f xml:space="preserve"> SUM( VfM_Metrics_2023_Consol[[#This Row],[Operating surplus/(deficit) (overall)3]], VfM_Metrics_2023_Consol[[#This Row],[Share of operating surplus/(deficit) in joint ventures or associates]] )</f>
        <v>17186</v>
      </c>
      <c r="CF145" s="84" vm="5415">
        <v>17186</v>
      </c>
      <c r="CG145" s="83">
        <v>0</v>
      </c>
      <c r="CH145" s="5" vm="5436">
        <f xml:space="preserve"> VfM_Metrics_2023_Consol[[#This Row],[Total assets less current liabilities]]</f>
        <v>373876</v>
      </c>
      <c r="CI145" s="84" vm="5436">
        <v>373876</v>
      </c>
      <c r="CJ145" s="71" vm="5401">
        <f xml:space="preserve"> VfM_Metrics_2023_Consol[[#This Row],[Total social housing units owned (Period end)]]</f>
        <v>6337</v>
      </c>
      <c r="CK145" s="103">
        <v>0</v>
      </c>
      <c r="CL145" s="6">
        <f xml:space="preserve"> -- ( VfM_Metrics_2023_Consol[[#This Row],[% Supported housing (excl. HOP)]] &gt; 0.3 )</f>
        <v>0</v>
      </c>
      <c r="CM145" s="103">
        <v>5.4199683042789222E-2</v>
      </c>
      <c r="CN145" s="6">
        <f xml:space="preserve"> -- ( VfM_Metrics_2023_Consol[[#This Row],[% Housing for older people]] &gt; 0.3 )</f>
        <v>0</v>
      </c>
      <c r="CO145" s="103">
        <f xml:space="preserve"> VfM_Metrics_2023_Consol[[#This Row],[% Supported housing (excl. HOP)]] + VfM_Metrics_2023_Consol[[#This Row],[% Housing for older people]]</f>
        <v>5.4199683042789222E-2</v>
      </c>
      <c r="CP145" s="6">
        <f xml:space="preserve"> -- ( VfM_Metrics_2023_Consol[[#This Row],[SH specialist in RSH analysis]] + VfM_Metrics_2023_Consol[[#This Row],[OP specialist in RSH analysis]] &gt; 0 )</f>
        <v>0</v>
      </c>
      <c r="CQ145" s="10">
        <f xml:space="preserve"> -- ( VfM_Metrics_2023_Consol[[#This Row],[% SH and OP]] &gt; 0.3 )</f>
        <v>0</v>
      </c>
      <c r="CR145" s="104" t="s">
        <v>143</v>
      </c>
      <c r="CS145" s="124"/>
      <c r="CT145" s="105" t="s">
        <v>151</v>
      </c>
      <c r="CU14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45" s="85">
        <v>1.266624445851805E-3</v>
      </c>
      <c r="CW145" s="85">
        <v>0.99873337555414821</v>
      </c>
      <c r="CX145" s="85">
        <v>0</v>
      </c>
      <c r="CY145" s="85">
        <v>0</v>
      </c>
      <c r="CZ145" s="85">
        <v>0</v>
      </c>
      <c r="DA145" s="85">
        <v>0</v>
      </c>
      <c r="DB145" s="85">
        <v>0</v>
      </c>
      <c r="DC145" s="85">
        <v>0</v>
      </c>
      <c r="DD145" s="85">
        <v>0</v>
      </c>
      <c r="DE145" s="13">
        <v>1.0338729855315794</v>
      </c>
    </row>
    <row r="146" spans="1:109" x14ac:dyDescent="0.25">
      <c r="A146" s="4" t="s" vm="356">
        <v>416</v>
      </c>
      <c r="B146" s="2" t="s" vm="136">
        <v>417</v>
      </c>
      <c r="C146" s="72" vm="442">
        <v>45016</v>
      </c>
      <c r="D146" s="7">
        <f>IFERROR( VfM_Metrics_2023_Consol[[#This Row],[Reinvestment Spend]] / VfM_Metrics_2023_Consol[[#This Row],[Net Book Value of Housing Properties]], "n/a" )</f>
        <v>9.7255166154378778E-2</v>
      </c>
      <c r="E14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20788</v>
      </c>
      <c r="F146" s="83" vm="5301">
        <v>15088</v>
      </c>
      <c r="G146" s="83" vm="5302">
        <v>0</v>
      </c>
      <c r="H146" s="83" vm="5303">
        <v>5359</v>
      </c>
      <c r="I146" s="83" vm="7368">
        <v>341</v>
      </c>
      <c r="J146" s="83" vm="5304">
        <v>0</v>
      </c>
      <c r="K146" s="5">
        <f xml:space="preserve"> SUM( VfM_Metrics_2023_Consol[[#This Row],[Tangible fixed assets: Housing properties at cost (Current period)]],VfM_Metrics_2023_Consol[[#This Row],[Tangible fixed assets Housing properties at valuation (Current period)]] )</f>
        <v>213747</v>
      </c>
      <c r="L146" s="84" vm="5305">
        <v>213747</v>
      </c>
      <c r="M146" s="83" vm="5306">
        <v>0</v>
      </c>
      <c r="N146" s="7">
        <f xml:space="preserve"> IFERROR( VfM_Metrics_2023_Consol[[#This Row],[Total social units developed or newly built units acquired in-year]] / VfM_Metrics_2023_Consol[[#This Row],[Social housing units owned (period end)]], "n/a" )</f>
        <v>1.4479638009049773E-3</v>
      </c>
      <c r="O146" s="5">
        <f xml:space="preserve"> SUM( VfM_Metrics_2023_Consol[[#This Row],[Total social units developed or newly built units acquired in-year (owned)]], VfM_Metrics_2023_Consol[[#This Row],[Total social leasehold units developed or newly built units acquired in-year (owned)]] )</f>
        <v>8</v>
      </c>
      <c r="P146" s="84" vm="7257">
        <v>8</v>
      </c>
      <c r="Q146" s="83" vm="5307">
        <v>0</v>
      </c>
      <c r="R146" s="5">
        <f xml:space="preserve"> SUM( VfM_Metrics_2023_Consol[[#This Row],[Total social housing units owned (Period end)]], VfM_Metrics_2023_Consol[[#This Row],[Total social leasehold units owned (Period end)]] )</f>
        <v>5525</v>
      </c>
      <c r="S146" s="84" vm="5300">
        <v>5525</v>
      </c>
      <c r="T146" s="83" vm="5308">
        <v>0</v>
      </c>
      <c r="U146" s="86">
        <f xml:space="preserve"> IFERROR( VfM_Metrics_2023_Consol[[#This Row],[Total non-social housing units developed or newly built units acquired (owned)]] / VfM_Metrics_2023_Consol[[#This Row],[Total social and non-social housing units owned (Period end)]], "n/a" )</f>
        <v>2.1621621621621622E-3</v>
      </c>
      <c r="V14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14</v>
      </c>
      <c r="W146" s="83" vm="7341">
        <v>14</v>
      </c>
      <c r="X146" s="83" vm="5309">
        <v>0</v>
      </c>
      <c r="Y146" s="83" vm="5310">
        <v>0</v>
      </c>
      <c r="Z14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6475</v>
      </c>
      <c r="AA146" s="84" vm="5300">
        <v>5525</v>
      </c>
      <c r="AB146" s="83" vm="5308">
        <v>0</v>
      </c>
      <c r="AC146" s="83" vm="5311">
        <v>286</v>
      </c>
      <c r="AD146" s="83" vm="5312">
        <v>664</v>
      </c>
      <c r="AE146" s="7">
        <f xml:space="preserve"> IFERROR( VfM_Metrics_2023_Consol[[#This Row],[Total Net Debt]] / VfM_Metrics_2023_Consol[[#This Row],[Net Book Value of Housing Properties2]], "n/a" )</f>
        <v>0.34590894842968556</v>
      </c>
      <c r="AF14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73937</v>
      </c>
      <c r="AG146" s="84" vm="5313">
        <v>0</v>
      </c>
      <c r="AH146" s="83" vm="4048">
        <v>79504</v>
      </c>
      <c r="AI146" s="83" vm="5314">
        <v>5567</v>
      </c>
      <c r="AJ146" s="83" vm="6274">
        <v>0</v>
      </c>
      <c r="AK146" s="83" vm="5315">
        <v>0</v>
      </c>
      <c r="AL146" s="5">
        <f xml:space="preserve"> SUM( VfM_Metrics_2023_Consol[[#This Row],[Tangible fixed assets: Housing properties at cost (Current period)2]], VfM_Metrics_2023_Consol[[#This Row],[Tangible fixed assets Housing properties at valuation (Current period)2]] )</f>
        <v>213747</v>
      </c>
      <c r="AM146" s="84" vm="5305">
        <v>213747</v>
      </c>
      <c r="AN146" s="83" vm="6950">
        <v>0</v>
      </c>
      <c r="AO146" s="87">
        <f xml:space="preserve"> IFERROR( VfM_Metrics_2023_Consol[[#This Row],[EBITDA MRI]] / VfM_Metrics_2023_Consol[[#This Row],[Total interest]], "n/a" )</f>
        <v>1.5226420536486875</v>
      </c>
      <c r="AP14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5279</v>
      </c>
      <c r="AQ146" s="84" vm="4047">
        <v>8834</v>
      </c>
      <c r="AR146" s="84" vm="5317">
        <v>2068</v>
      </c>
      <c r="AS146" s="84" vm="5318">
        <v>0</v>
      </c>
      <c r="AT146" s="84" vm="7148">
        <v>0</v>
      </c>
      <c r="AU146" s="84" vm="7277">
        <v>0</v>
      </c>
      <c r="AV146" s="84" vm="7305">
        <v>49</v>
      </c>
      <c r="AW146" s="84" vm="5319">
        <v>5359</v>
      </c>
      <c r="AX146" s="84" vm="5320">
        <v>3823</v>
      </c>
      <c r="AY146" s="3">
        <f xml:space="preserve"> - SUM( VfM_Metrics_2023_Consol[[#This Row],[Interest capitalised]], VfM_Metrics_2023_Consol[[#This Row],[Interest payable and financing costs]] )</f>
        <v>3467</v>
      </c>
      <c r="AZ146" s="84" vm="5351">
        <v>-341</v>
      </c>
      <c r="BA146" s="83" vm="5321">
        <v>-3126</v>
      </c>
      <c r="BB146" s="8">
        <f xml:space="preserve"> IFERROR( ( VfM_Metrics_2023_Consol[[#This Row],[Total Costs]] / VfM_Metrics_2023_Consol[[#This Row],[Total units for costs]] ) * 1000, "n/a" )</f>
        <v>5455.2036199095028</v>
      </c>
      <c r="BC14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30140</v>
      </c>
      <c r="BD146" s="84" vm="5322">
        <v>8090</v>
      </c>
      <c r="BE146" s="83" vm="5323">
        <v>2296</v>
      </c>
      <c r="BF146" s="83" vm="5324">
        <v>4515</v>
      </c>
      <c r="BG146" s="83" vm="5325">
        <v>2555</v>
      </c>
      <c r="BH146" s="83" vm="5084">
        <v>8436</v>
      </c>
      <c r="BI146" s="83" vm="5326">
        <v>0</v>
      </c>
      <c r="BJ146" s="83" vm="5319">
        <v>5359</v>
      </c>
      <c r="BK146" s="83" vm="5327">
        <v>-4687</v>
      </c>
      <c r="BL146" s="83" vm="5328">
        <v>1904</v>
      </c>
      <c r="BM146" s="83" vm="5329">
        <v>0</v>
      </c>
      <c r="BN146" s="83" vm="5330">
        <v>1672</v>
      </c>
      <c r="BO146" s="83" vm="5331">
        <v>0</v>
      </c>
      <c r="BP146" s="5" vm="5051">
        <f xml:space="preserve"> VfM_Metrics_2023_Consol[[#This Row],[Total social housing units owned and/or managed at period end]]</f>
        <v>5525</v>
      </c>
      <c r="BQ146" s="84" vm="5051">
        <v>5525</v>
      </c>
      <c r="BR146" s="7">
        <f xml:space="preserve"> IFERROR( VfM_Metrics_2023_Consol[[#This Row],[SHL operating surplus / (deficit)]] / VfM_Metrics_2023_Consol[[#This Row],[Turnover from social housing lettings]], "n/a" )</f>
        <v>0.2345011186949503</v>
      </c>
      <c r="BS146" s="5" vm="5332">
        <f xml:space="preserve"> VfM_Metrics_2023_Consol[[#This Row],[Operating surplus/(deficit) (social housing lettings)]]</f>
        <v>8280</v>
      </c>
      <c r="BT146" s="84" vm="5332">
        <v>8280</v>
      </c>
      <c r="BU146" s="5" vm="5535">
        <f xml:space="preserve"> VfM_Metrics_2023_Consol[[#This Row],[Turnover from social housing lettings]]</f>
        <v>35309</v>
      </c>
      <c r="BV146" s="84" vm="5535">
        <v>35309</v>
      </c>
      <c r="BW146" s="7">
        <f xml:space="preserve"> IFERROR( VfM_Metrics_2023_Consol[[#This Row],[Net operating surplus]] / VfM_Metrics_2023_Consol[[#This Row],[Overall turnover]], "n/a" )</f>
        <v>0.16764953664700927</v>
      </c>
      <c r="BX146" s="5">
        <f xml:space="preserve"> SUM( VfM_Metrics_2023_Consol[[#This Row],[Operating surplus/(deficit) (overall)2]], - VfM_Metrics_2023_Consol[[#This Row],[Gain/(loss) on disposal of fixed assets (housing properties)2]], - VfM_Metrics_2023_Consol[[#This Row],[Gain/(loss) on disposal of fixed assets (other)2]] )</f>
        <v>6766</v>
      </c>
      <c r="BY146" s="84" vm="5316">
        <v>8834</v>
      </c>
      <c r="BZ146" s="83" vm="5317">
        <v>2068</v>
      </c>
      <c r="CA146" s="83" vm="7335">
        <v>0</v>
      </c>
      <c r="CB146" s="5" vm="5333">
        <f xml:space="preserve"> VfM_Metrics_2023_Consol[[#This Row],[Turnover (overall)]]</f>
        <v>40358</v>
      </c>
      <c r="CC146" s="84" vm="5333">
        <v>40358</v>
      </c>
      <c r="CD146" s="7">
        <f xml:space="preserve"> IFERROR( VfM_Metrics_2023_Consol[[#This Row],[Operating surplus including from JVs]] / VfM_Metrics_2023_Consol[[#This Row],[Net assets]], "n/a" )</f>
        <v>2.8432663124116912E-2</v>
      </c>
      <c r="CE146" s="5">
        <f xml:space="preserve"> SUM( VfM_Metrics_2023_Consol[[#This Row],[Operating surplus/(deficit) (overall)3]], VfM_Metrics_2023_Consol[[#This Row],[Share of operating surplus/(deficit) in joint ventures or associates]] )</f>
        <v>8834</v>
      </c>
      <c r="CF146" s="84" vm="5316">
        <v>8834</v>
      </c>
      <c r="CG146" s="83" vm="5334">
        <v>0</v>
      </c>
      <c r="CH146" s="5" vm="7340">
        <f xml:space="preserve"> VfM_Metrics_2023_Consol[[#This Row],[Total assets less current liabilities]]</f>
        <v>310699</v>
      </c>
      <c r="CI146" s="84" vm="7340">
        <v>310699</v>
      </c>
      <c r="CJ146" s="71" vm="5300">
        <f xml:space="preserve"> VfM_Metrics_2023_Consol[[#This Row],[Total social housing units owned (Period end)]]</f>
        <v>5525</v>
      </c>
      <c r="CK146" s="103">
        <v>0</v>
      </c>
      <c r="CL146" s="6">
        <f xml:space="preserve"> -- ( VfM_Metrics_2023_Consol[[#This Row],[% Supported housing (excl. HOP)]] &gt; 0.3 )</f>
        <v>0</v>
      </c>
      <c r="CM146" s="103">
        <v>0.31312217194570136</v>
      </c>
      <c r="CN146" s="6">
        <f xml:space="preserve"> -- ( VfM_Metrics_2023_Consol[[#This Row],[% Housing for older people]] &gt; 0.3 )</f>
        <v>1</v>
      </c>
      <c r="CO146" s="103">
        <f xml:space="preserve"> VfM_Metrics_2023_Consol[[#This Row],[% Supported housing (excl. HOP)]] + VfM_Metrics_2023_Consol[[#This Row],[% Housing for older people]]</f>
        <v>0.31312217194570136</v>
      </c>
      <c r="CP146" s="6">
        <f xml:space="preserve"> -- ( VfM_Metrics_2023_Consol[[#This Row],[SH specialist in RSH analysis]] + VfM_Metrics_2023_Consol[[#This Row],[OP specialist in RSH analysis]] &gt; 0 )</f>
        <v>1</v>
      </c>
      <c r="CQ146" s="10">
        <f xml:space="preserve"> -- ( VfM_Metrics_2023_Consol[[#This Row],[% SH and OP]] &gt; 0.3 )</f>
        <v>1</v>
      </c>
      <c r="CR146" s="104" t="s">
        <v>143</v>
      </c>
      <c r="CS146" s="124"/>
      <c r="CT146" s="105" t="s">
        <v>151</v>
      </c>
      <c r="CU14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46" s="85">
        <v>0</v>
      </c>
      <c r="CW146" s="85">
        <v>1</v>
      </c>
      <c r="CX146" s="85">
        <v>0</v>
      </c>
      <c r="CY146" s="85">
        <v>0</v>
      </c>
      <c r="CZ146" s="85">
        <v>0</v>
      </c>
      <c r="DA146" s="85">
        <v>0</v>
      </c>
      <c r="DB146" s="85">
        <v>0</v>
      </c>
      <c r="DC146" s="85">
        <v>0</v>
      </c>
      <c r="DD146" s="85">
        <v>0</v>
      </c>
      <c r="DE146" s="13">
        <v>1.0337125580623883</v>
      </c>
    </row>
    <row r="147" spans="1:109" x14ac:dyDescent="0.25">
      <c r="A147" s="4" t="s" vm="283">
        <v>418</v>
      </c>
      <c r="B147" s="2" t="s" vm="137">
        <v>419</v>
      </c>
      <c r="C147" s="72" vm="583">
        <v>45016</v>
      </c>
      <c r="D147" s="7">
        <f>IFERROR( VfM_Metrics_2023_Consol[[#This Row],[Reinvestment Spend]] / VfM_Metrics_2023_Consol[[#This Row],[Net Book Value of Housing Properties]], "n/a" )</f>
        <v>3.0270149450862059E-2</v>
      </c>
      <c r="E14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14897</v>
      </c>
      <c r="F147" s="83" vm="2754">
        <v>3809</v>
      </c>
      <c r="G147" s="83" vm="2755">
        <v>814</v>
      </c>
      <c r="H147" s="83" vm="2756">
        <v>10071</v>
      </c>
      <c r="I147" s="83" vm="2757">
        <v>203</v>
      </c>
      <c r="J147" s="83" vm="2758">
        <v>0</v>
      </c>
      <c r="K147" s="5">
        <f xml:space="preserve"> SUM( VfM_Metrics_2023_Consol[[#This Row],[Tangible fixed assets: Housing properties at cost (Current period)]],VfM_Metrics_2023_Consol[[#This Row],[Tangible fixed assets Housing properties at valuation (Current period)]] )</f>
        <v>492135</v>
      </c>
      <c r="L147" s="84" vm="2759">
        <v>492135</v>
      </c>
      <c r="M147" s="83">
        <v>0</v>
      </c>
      <c r="N147" s="7">
        <f xml:space="preserve"> IFERROR( VfM_Metrics_2023_Consol[[#This Row],[Total social units developed or newly built units acquired in-year]] / VfM_Metrics_2023_Consol[[#This Row],[Social housing units owned (period end)]], "n/a" )</f>
        <v>1.5772870662460569E-4</v>
      </c>
      <c r="O147" s="5">
        <f xml:space="preserve"> SUM( VfM_Metrics_2023_Consol[[#This Row],[Total social units developed or newly built units acquired in-year (owned)]], VfM_Metrics_2023_Consol[[#This Row],[Total social leasehold units developed or newly built units acquired in-year (owned)]] )</f>
        <v>2</v>
      </c>
      <c r="P147" s="84" vm="2760">
        <v>2</v>
      </c>
      <c r="Q147" s="83">
        <v>0</v>
      </c>
      <c r="R147" s="5">
        <f xml:space="preserve"> SUM( VfM_Metrics_2023_Consol[[#This Row],[Total social housing units owned (Period end)]], VfM_Metrics_2023_Consol[[#This Row],[Total social leasehold units owned (Period end)]] )</f>
        <v>12680</v>
      </c>
      <c r="S147" s="84" vm="2752">
        <v>12133</v>
      </c>
      <c r="T147" s="83" vm="2341">
        <v>547</v>
      </c>
      <c r="U147" s="86">
        <f xml:space="preserve"> IFERROR( VfM_Metrics_2023_Consol[[#This Row],[Total non-social housing units developed or newly built units acquired (owned)]] / VfM_Metrics_2023_Consol[[#This Row],[Total social and non-social housing units owned (Period end)]], "n/a" )</f>
        <v>2.3230602446956791E-4</v>
      </c>
      <c r="V14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v>
      </c>
      <c r="W147" s="83" vm="2762">
        <v>3</v>
      </c>
      <c r="X147" s="83">
        <v>0</v>
      </c>
      <c r="Y147" s="83" vm="2729">
        <v>0</v>
      </c>
      <c r="Z14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12914</v>
      </c>
      <c r="AA147" s="84" vm="2752">
        <v>12133</v>
      </c>
      <c r="AB147" s="83" vm="2761">
        <v>547</v>
      </c>
      <c r="AC147" s="83" vm="2763">
        <v>193</v>
      </c>
      <c r="AD147" s="83" vm="2764">
        <v>41</v>
      </c>
      <c r="AE147" s="7">
        <f xml:space="preserve"> IFERROR( VfM_Metrics_2023_Consol[[#This Row],[Total Net Debt]] / VfM_Metrics_2023_Consol[[#This Row],[Net Book Value of Housing Properties2]], "n/a" )</f>
        <v>0.41307974437908296</v>
      </c>
      <c r="AF14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203291</v>
      </c>
      <c r="AG147" s="84" vm="2765">
        <v>8239</v>
      </c>
      <c r="AH147" s="83" vm="2766">
        <v>206988</v>
      </c>
      <c r="AI147" s="83" vm="7485">
        <v>11936</v>
      </c>
      <c r="AJ147" s="83" vm="1675">
        <v>0</v>
      </c>
      <c r="AK147" s="83">
        <v>0</v>
      </c>
      <c r="AL147" s="5">
        <f xml:space="preserve"> SUM( VfM_Metrics_2023_Consol[[#This Row],[Tangible fixed assets: Housing properties at cost (Current period)2]], VfM_Metrics_2023_Consol[[#This Row],[Tangible fixed assets Housing properties at valuation (Current period)2]] )</f>
        <v>492135</v>
      </c>
      <c r="AM147" s="84" vm="2759">
        <v>492135</v>
      </c>
      <c r="AN147" s="83">
        <v>0</v>
      </c>
      <c r="AO147" s="87">
        <f xml:space="preserve"> IFERROR( VfM_Metrics_2023_Consol[[#This Row],[EBITDA MRI]] / VfM_Metrics_2023_Consol[[#This Row],[Total interest]], "n/a" )</f>
        <v>0.42051905920519062</v>
      </c>
      <c r="AP14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4148</v>
      </c>
      <c r="AQ147" s="84" vm="2767">
        <v>9545</v>
      </c>
      <c r="AR147" s="84" vm="2768">
        <v>2436</v>
      </c>
      <c r="AS147" s="84">
        <v>0</v>
      </c>
      <c r="AT147" s="84" vm="2769">
        <v>2820</v>
      </c>
      <c r="AU147" s="84" vm="2770">
        <v>0</v>
      </c>
      <c r="AV147" s="84" vm="2771">
        <v>81</v>
      </c>
      <c r="AW147" s="84" vm="2772">
        <v>10071</v>
      </c>
      <c r="AX147" s="84" vm="7833">
        <v>9849</v>
      </c>
      <c r="AY147" s="3">
        <f xml:space="preserve"> - SUM( VfM_Metrics_2023_Consol[[#This Row],[Interest capitalised]], VfM_Metrics_2023_Consol[[#This Row],[Interest payable and financing costs]] )</f>
        <v>9864</v>
      </c>
      <c r="AZ147" s="84" vm="2773">
        <v>-203</v>
      </c>
      <c r="BA147" s="83" vm="2774">
        <v>-9661</v>
      </c>
      <c r="BB147" s="8">
        <f xml:space="preserve"> IFERROR( ( VfM_Metrics_2023_Consol[[#This Row],[Total Costs]] / VfM_Metrics_2023_Consol[[#This Row],[Total units for costs]] ) * 1000, "n/a" )</f>
        <v>4450.757575757576</v>
      </c>
      <c r="BC14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54050</v>
      </c>
      <c r="BD147" s="84" vm="2775">
        <v>11836</v>
      </c>
      <c r="BE147" s="83" vm="7963">
        <v>6469</v>
      </c>
      <c r="BF147" s="83" vm="2776">
        <v>8774</v>
      </c>
      <c r="BG147" s="83" vm="2777">
        <v>8608</v>
      </c>
      <c r="BH147" s="83" vm="2778">
        <v>1618</v>
      </c>
      <c r="BI147" s="83" vm="2779">
        <v>0</v>
      </c>
      <c r="BJ147" s="83" vm="2550">
        <v>10071</v>
      </c>
      <c r="BK147" s="83" vm="2780">
        <v>727</v>
      </c>
      <c r="BL147" s="83" vm="2781">
        <v>3</v>
      </c>
      <c r="BM147" s="83" vm="2782">
        <v>113</v>
      </c>
      <c r="BN147" s="83" vm="2783">
        <v>5302</v>
      </c>
      <c r="BO147" s="83" vm="2656">
        <v>529</v>
      </c>
      <c r="BP147" s="5" vm="2753">
        <f xml:space="preserve"> VfM_Metrics_2023_Consol[[#This Row],[Total social housing units owned and/or managed at period end]]</f>
        <v>12144</v>
      </c>
      <c r="BQ147" s="84" vm="2753">
        <v>12144</v>
      </c>
      <c r="BR147" s="7">
        <f xml:space="preserve"> IFERROR( VfM_Metrics_2023_Consol[[#This Row],[SHL operating surplus / (deficit)]] / VfM_Metrics_2023_Consol[[#This Row],[Turnover from social housing lettings]], "n/a" )</f>
        <v>0.19666284966464911</v>
      </c>
      <c r="BS147" s="5" vm="2784">
        <f xml:space="preserve"> VfM_Metrics_2023_Consol[[#This Row],[Operating surplus/(deficit) (social housing lettings)]]</f>
        <v>12022</v>
      </c>
      <c r="BT147" s="84" vm="2784">
        <v>12022</v>
      </c>
      <c r="BU147" s="5" vm="2785">
        <f xml:space="preserve"> VfM_Metrics_2023_Consol[[#This Row],[Turnover from social housing lettings]]</f>
        <v>61130</v>
      </c>
      <c r="BV147" s="84" vm="2785">
        <v>61130</v>
      </c>
      <c r="BW147" s="7">
        <f xml:space="preserve"> IFERROR( VfM_Metrics_2023_Consol[[#This Row],[Net operating surplus]] / VfM_Metrics_2023_Consol[[#This Row],[Overall turnover]], "n/a" )</f>
        <v>9.2787407330061605E-2</v>
      </c>
      <c r="BX147" s="5">
        <f xml:space="preserve"> SUM( VfM_Metrics_2023_Consol[[#This Row],[Operating surplus/(deficit) (overall)2]], - VfM_Metrics_2023_Consol[[#This Row],[Gain/(loss) on disposal of fixed assets (housing properties)2]], - VfM_Metrics_2023_Consol[[#This Row],[Gain/(loss) on disposal of fixed assets (other)2]] )</f>
        <v>7109</v>
      </c>
      <c r="BY147" s="84" vm="3190">
        <v>9545</v>
      </c>
      <c r="BZ147" s="83" vm="2768">
        <v>2436</v>
      </c>
      <c r="CA147" s="83">
        <v>0</v>
      </c>
      <c r="CB147" s="5" vm="2786">
        <f xml:space="preserve"> VfM_Metrics_2023_Consol[[#This Row],[Turnover (overall)]]</f>
        <v>76616</v>
      </c>
      <c r="CC147" s="84" vm="2786">
        <v>76616</v>
      </c>
      <c r="CD147" s="7">
        <f xml:space="preserve"> IFERROR( VfM_Metrics_2023_Consol[[#This Row],[Operating surplus including from JVs]] / VfM_Metrics_2023_Consol[[#This Row],[Net assets]], "n/a" )</f>
        <v>1.7902156136060138E-2</v>
      </c>
      <c r="CE147" s="5">
        <f xml:space="preserve"> SUM( VfM_Metrics_2023_Consol[[#This Row],[Operating surplus/(deficit) (overall)3]], VfM_Metrics_2023_Consol[[#This Row],[Share of operating surplus/(deficit) in joint ventures or associates]] )</f>
        <v>9545</v>
      </c>
      <c r="CF147" s="84" vm="2767">
        <v>9545</v>
      </c>
      <c r="CG147" s="83">
        <v>0</v>
      </c>
      <c r="CH147" s="5" vm="2787">
        <f xml:space="preserve"> VfM_Metrics_2023_Consol[[#This Row],[Total assets less current liabilities]]</f>
        <v>533176</v>
      </c>
      <c r="CI147" s="84" vm="2787">
        <v>533176</v>
      </c>
      <c r="CJ147" s="71" vm="2752">
        <f xml:space="preserve"> VfM_Metrics_2023_Consol[[#This Row],[Total social housing units owned (Period end)]]</f>
        <v>12133</v>
      </c>
      <c r="CK147" s="103">
        <v>7.0981754995655955E-2</v>
      </c>
      <c r="CL147" s="6">
        <f xml:space="preserve"> -- ( VfM_Metrics_2023_Consol[[#This Row],[% Supported housing (excl. HOP)]] &gt; 0.3 )</f>
        <v>0</v>
      </c>
      <c r="CM147" s="103">
        <v>8.2363162467419634E-2</v>
      </c>
      <c r="CN147" s="6">
        <f xml:space="preserve"> -- ( VfM_Metrics_2023_Consol[[#This Row],[% Housing for older people]] &gt; 0.3 )</f>
        <v>0</v>
      </c>
      <c r="CO147" s="103">
        <f xml:space="preserve"> VfM_Metrics_2023_Consol[[#This Row],[% Supported housing (excl. HOP)]] + VfM_Metrics_2023_Consol[[#This Row],[% Housing for older people]]</f>
        <v>0.1533449174630756</v>
      </c>
      <c r="CP147" s="6">
        <f xml:space="preserve"> -- ( VfM_Metrics_2023_Consol[[#This Row],[SH specialist in RSH analysis]] + VfM_Metrics_2023_Consol[[#This Row],[OP specialist in RSH analysis]] &gt; 0 )</f>
        <v>0</v>
      </c>
      <c r="CQ147" s="10">
        <f xml:space="preserve"> -- ( VfM_Metrics_2023_Consol[[#This Row],[% SH and OP]] &gt; 0.3 )</f>
        <v>0</v>
      </c>
      <c r="CR147" s="104" t="s">
        <v>143</v>
      </c>
      <c r="CS147" s="124" t="s">
        <v>144</v>
      </c>
      <c r="CT147" s="105"/>
      <c r="CU14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47" s="85">
        <v>0</v>
      </c>
      <c r="CW147" s="85">
        <v>0</v>
      </c>
      <c r="CX147" s="85">
        <v>0</v>
      </c>
      <c r="CY147" s="85">
        <v>0</v>
      </c>
      <c r="CZ147" s="85">
        <v>0</v>
      </c>
      <c r="DA147" s="85">
        <v>0</v>
      </c>
      <c r="DB147" s="85">
        <v>0</v>
      </c>
      <c r="DC147" s="85">
        <v>1</v>
      </c>
      <c r="DD147" s="85">
        <v>0</v>
      </c>
      <c r="DE147" s="13">
        <v>0.96105917141044694</v>
      </c>
    </row>
    <row r="148" spans="1:109" x14ac:dyDescent="0.25">
      <c r="A148" s="4" t="s" vm="360">
        <v>420</v>
      </c>
      <c r="B148" s="2" t="s" vm="138">
        <v>421</v>
      </c>
      <c r="C148" s="72" vm="493">
        <v>45016</v>
      </c>
      <c r="D148" s="7">
        <f>IFERROR( VfM_Metrics_2023_Consol[[#This Row],[Reinvestment Spend]] / VfM_Metrics_2023_Consol[[#This Row],[Net Book Value of Housing Properties]], "n/a" )</f>
        <v>5.9862334063379964E-2</v>
      </c>
      <c r="E14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26786</v>
      </c>
      <c r="F148" s="83" vm="7256">
        <v>14417</v>
      </c>
      <c r="G148" s="83" vm="3952">
        <v>0</v>
      </c>
      <c r="H148" s="83" vm="5439">
        <v>12369</v>
      </c>
      <c r="I148" s="83" vm="5440">
        <v>0</v>
      </c>
      <c r="J148" s="83" vm="5441">
        <v>0</v>
      </c>
      <c r="K148" s="5">
        <f xml:space="preserve"> SUM( VfM_Metrics_2023_Consol[[#This Row],[Tangible fixed assets: Housing properties at cost (Current period)]],VfM_Metrics_2023_Consol[[#This Row],[Tangible fixed assets Housing properties at valuation (Current period)]] )</f>
        <v>447460</v>
      </c>
      <c r="L148" s="84" vm="5442">
        <v>447460</v>
      </c>
      <c r="M148" s="83">
        <v>0</v>
      </c>
      <c r="N148" s="7">
        <f xml:space="preserve"> IFERROR( VfM_Metrics_2023_Consol[[#This Row],[Total social units developed or newly built units acquired in-year]] / VfM_Metrics_2023_Consol[[#This Row],[Social housing units owned (period end)]], "n/a" )</f>
        <v>3.7696335078534031E-3</v>
      </c>
      <c r="O148" s="5">
        <f xml:space="preserve"> SUM( VfM_Metrics_2023_Consol[[#This Row],[Total social units developed or newly built units acquired in-year (owned)]], VfM_Metrics_2023_Consol[[#This Row],[Total social leasehold units developed or newly built units acquired in-year (owned)]] )</f>
        <v>36</v>
      </c>
      <c r="P148" s="84" vm="5443">
        <v>36</v>
      </c>
      <c r="Q148" s="83">
        <v>0</v>
      </c>
      <c r="R148" s="5">
        <f xml:space="preserve"> SUM( VfM_Metrics_2023_Consol[[#This Row],[Total social housing units owned (Period end)]], VfM_Metrics_2023_Consol[[#This Row],[Total social leasehold units owned (Period end)]] )</f>
        <v>9550</v>
      </c>
      <c r="S148" s="84" vm="5437">
        <v>7588</v>
      </c>
      <c r="T148" s="83" vm="6952">
        <v>1962</v>
      </c>
      <c r="U148" s="86">
        <f xml:space="preserve"> IFERROR( VfM_Metrics_2023_Consol[[#This Row],[Total non-social housing units developed or newly built units acquired (owned)]] / VfM_Metrics_2023_Consol[[#This Row],[Total social and non-social housing units owned (Period end)]], "n/a" )</f>
        <v>0</v>
      </c>
      <c r="V14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48" s="83">
        <v>0</v>
      </c>
      <c r="X148" s="83">
        <v>0</v>
      </c>
      <c r="Y148" s="83">
        <v>0</v>
      </c>
      <c r="Z14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9559</v>
      </c>
      <c r="AA148" s="84" vm="7036">
        <v>7588</v>
      </c>
      <c r="AB148" s="83" vm="5444">
        <v>1962</v>
      </c>
      <c r="AC148" s="83" vm="5445">
        <v>9</v>
      </c>
      <c r="AD148" s="83" vm="5446">
        <v>0</v>
      </c>
      <c r="AE148" s="7">
        <f xml:space="preserve"> IFERROR( VfM_Metrics_2023_Consol[[#This Row],[Total Net Debt]] / VfM_Metrics_2023_Consol[[#This Row],[Net Book Value of Housing Properties2]], "n/a" )</f>
        <v>0.56483931524605546</v>
      </c>
      <c r="AF14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252743</v>
      </c>
      <c r="AG148" s="84" vm="5447">
        <v>35</v>
      </c>
      <c r="AH148" s="83" vm="5448">
        <v>293388</v>
      </c>
      <c r="AI148" s="83" vm="5449">
        <v>40680</v>
      </c>
      <c r="AJ148" s="83" vm="1675">
        <v>0</v>
      </c>
      <c r="AK148" s="83">
        <v>0</v>
      </c>
      <c r="AL148" s="5">
        <f xml:space="preserve"> SUM( VfM_Metrics_2023_Consol[[#This Row],[Tangible fixed assets: Housing properties at cost (Current period)2]], VfM_Metrics_2023_Consol[[#This Row],[Tangible fixed assets Housing properties at valuation (Current period)2]] )</f>
        <v>447460</v>
      </c>
      <c r="AM148" s="84" vm="5442">
        <v>447460</v>
      </c>
      <c r="AN148" s="83">
        <v>0</v>
      </c>
      <c r="AO148" s="87">
        <f xml:space="preserve"> IFERROR( VfM_Metrics_2023_Consol[[#This Row],[EBITDA MRI]] / VfM_Metrics_2023_Consol[[#This Row],[Total interest]], "n/a" )</f>
        <v>1.3510687198345208</v>
      </c>
      <c r="AP14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11757</v>
      </c>
      <c r="AQ148" s="84" vm="5450">
        <v>18647</v>
      </c>
      <c r="AR148" s="84" vm="5451">
        <v>1854</v>
      </c>
      <c r="AS148" s="84">
        <v>0</v>
      </c>
      <c r="AT148" s="84" vm="5452">
        <v>445</v>
      </c>
      <c r="AU148" s="84" vm="5453">
        <v>0</v>
      </c>
      <c r="AV148" s="84" vm="5454">
        <v>598</v>
      </c>
      <c r="AW148" s="84" vm="4898">
        <v>12369</v>
      </c>
      <c r="AX148" s="84" vm="5456">
        <v>7180</v>
      </c>
      <c r="AY148" s="3">
        <f xml:space="preserve"> - SUM( VfM_Metrics_2023_Consol[[#This Row],[Interest capitalised]], VfM_Metrics_2023_Consol[[#This Row],[Interest payable and financing costs]] )</f>
        <v>8702</v>
      </c>
      <c r="AZ148" s="84" vm="5457">
        <v>-1544</v>
      </c>
      <c r="BA148" s="83" vm="5458">
        <v>-7158</v>
      </c>
      <c r="BB148" s="8">
        <f xml:space="preserve"> IFERROR( ( VfM_Metrics_2023_Consol[[#This Row],[Total Costs]] / VfM_Metrics_2023_Consol[[#This Row],[Total units for costs]] ) * 1000, "n/a" )</f>
        <v>5197.9064442263652</v>
      </c>
      <c r="BC14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47670</v>
      </c>
      <c r="BD148" s="84" vm="5459">
        <v>10317</v>
      </c>
      <c r="BE148" s="83" vm="5460">
        <v>8933</v>
      </c>
      <c r="BF148" s="83" vm="5461">
        <v>5084</v>
      </c>
      <c r="BG148" s="83" vm="5462">
        <v>6203</v>
      </c>
      <c r="BH148" s="83" vm="5463">
        <v>2971</v>
      </c>
      <c r="BI148" s="83" vm="5464">
        <v>0</v>
      </c>
      <c r="BJ148" s="83" vm="5455">
        <v>12369</v>
      </c>
      <c r="BK148" s="83" vm="5465">
        <v>32</v>
      </c>
      <c r="BL148" s="83" vm="5754">
        <v>385</v>
      </c>
      <c r="BM148" s="83">
        <v>0</v>
      </c>
      <c r="BN148" s="83" vm="5466">
        <v>1376</v>
      </c>
      <c r="BO148" s="83">
        <v>0</v>
      </c>
      <c r="BP148" s="5" vm="5438">
        <f xml:space="preserve"> VfM_Metrics_2023_Consol[[#This Row],[Total social housing units owned and/or managed at period end]]</f>
        <v>9171</v>
      </c>
      <c r="BQ148" s="84" vm="5438">
        <v>9171</v>
      </c>
      <c r="BR148" s="7">
        <f xml:space="preserve"> IFERROR( VfM_Metrics_2023_Consol[[#This Row],[SHL operating surplus / (deficit)]] / VfM_Metrics_2023_Consol[[#This Row],[Turnover from social housing lettings]], "n/a" )</f>
        <v>0.28326323168594464</v>
      </c>
      <c r="BS148" s="5" vm="5467">
        <f xml:space="preserve"> VfM_Metrics_2023_Consol[[#This Row],[Operating surplus/(deficit) (social housing lettings)]]</f>
        <v>16163</v>
      </c>
      <c r="BT148" s="84" vm="5467">
        <v>16163</v>
      </c>
      <c r="BU148" s="5" vm="5468">
        <f xml:space="preserve"> VfM_Metrics_2023_Consol[[#This Row],[Turnover from social housing lettings]]</f>
        <v>57060</v>
      </c>
      <c r="BV148" s="84" vm="5468">
        <v>57060</v>
      </c>
      <c r="BW148" s="7">
        <f xml:space="preserve"> IFERROR( VfM_Metrics_2023_Consol[[#This Row],[Net operating surplus]] / VfM_Metrics_2023_Consol[[#This Row],[Overall turnover]], "n/a" )</f>
        <v>0.25107649064051191</v>
      </c>
      <c r="BX148" s="5">
        <f xml:space="preserve"> SUM( VfM_Metrics_2023_Consol[[#This Row],[Operating surplus/(deficit) (overall)2]], - VfM_Metrics_2023_Consol[[#This Row],[Gain/(loss) on disposal of fixed assets (housing properties)2]], - VfM_Metrics_2023_Consol[[#This Row],[Gain/(loss) on disposal of fixed assets (other)2]] )</f>
        <v>16793</v>
      </c>
      <c r="BY148" s="84" vm="5450">
        <v>18647</v>
      </c>
      <c r="BZ148" s="83" vm="5451">
        <v>1854</v>
      </c>
      <c r="CA148" s="83">
        <v>0</v>
      </c>
      <c r="CB148" s="5" vm="5469">
        <f xml:space="preserve"> VfM_Metrics_2023_Consol[[#This Row],[Turnover (overall)]]</f>
        <v>66884</v>
      </c>
      <c r="CC148" s="84" vm="5469">
        <v>66884</v>
      </c>
      <c r="CD148" s="7">
        <f xml:space="preserve"> IFERROR( VfM_Metrics_2023_Consol[[#This Row],[Operating surplus including from JVs]] / VfM_Metrics_2023_Consol[[#This Row],[Net assets]], "n/a" )</f>
        <v>3.7330808176862386E-2</v>
      </c>
      <c r="CE148" s="5">
        <f xml:space="preserve"> SUM( VfM_Metrics_2023_Consol[[#This Row],[Operating surplus/(deficit) (overall)3]], VfM_Metrics_2023_Consol[[#This Row],[Share of operating surplus/(deficit) in joint ventures or associates]] )</f>
        <v>18647</v>
      </c>
      <c r="CF148" s="84" vm="5450">
        <v>18647</v>
      </c>
      <c r="CG148" s="83">
        <v>0</v>
      </c>
      <c r="CH148" s="5" vm="5470">
        <f xml:space="preserve"> VfM_Metrics_2023_Consol[[#This Row],[Total assets less current liabilities]]</f>
        <v>499507</v>
      </c>
      <c r="CI148" s="84" vm="5470">
        <v>499507</v>
      </c>
      <c r="CJ148" s="71" vm="5437">
        <f xml:space="preserve"> VfM_Metrics_2023_Consol[[#This Row],[Total social housing units owned (Period end)]]</f>
        <v>7588</v>
      </c>
      <c r="CK148" s="103">
        <v>0</v>
      </c>
      <c r="CL148" s="6">
        <f xml:space="preserve"> -- ( VfM_Metrics_2023_Consol[[#This Row],[% Supported housing (excl. HOP)]] &gt; 0.3 )</f>
        <v>0</v>
      </c>
      <c r="CM148" s="103">
        <v>5.1758460517584606E-2</v>
      </c>
      <c r="CN148" s="6">
        <f xml:space="preserve"> -- ( VfM_Metrics_2023_Consol[[#This Row],[% Housing for older people]] &gt; 0.3 )</f>
        <v>0</v>
      </c>
      <c r="CO148" s="103">
        <f xml:space="preserve"> VfM_Metrics_2023_Consol[[#This Row],[% Supported housing (excl. HOP)]] + VfM_Metrics_2023_Consol[[#This Row],[% Housing for older people]]</f>
        <v>5.1758460517584606E-2</v>
      </c>
      <c r="CP148" s="6">
        <f xml:space="preserve"> -- ( VfM_Metrics_2023_Consol[[#This Row],[SH specialist in RSH analysis]] + VfM_Metrics_2023_Consol[[#This Row],[OP specialist in RSH analysis]] &gt; 0 )</f>
        <v>0</v>
      </c>
      <c r="CQ148" s="10">
        <f xml:space="preserve"> -- ( VfM_Metrics_2023_Consol[[#This Row],[% SH and OP]] &gt; 0.3 )</f>
        <v>0</v>
      </c>
      <c r="CR148" s="104" t="s">
        <v>143</v>
      </c>
      <c r="CS148" s="124"/>
      <c r="CT148" s="105" t="s">
        <v>151</v>
      </c>
      <c r="CU14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48" s="85">
        <v>0.98648648648648651</v>
      </c>
      <c r="CW148" s="85">
        <v>1.2983571807101218E-2</v>
      </c>
      <c r="CX148" s="85">
        <v>0</v>
      </c>
      <c r="CY148" s="85">
        <v>0</v>
      </c>
      <c r="CZ148" s="85">
        <v>0</v>
      </c>
      <c r="DA148" s="85">
        <v>5.2994170641229468E-4</v>
      </c>
      <c r="DB148" s="85">
        <v>0</v>
      </c>
      <c r="DC148" s="85">
        <v>0</v>
      </c>
      <c r="DD148" s="85">
        <v>0</v>
      </c>
      <c r="DE148" s="13">
        <v>1.1586466171430616</v>
      </c>
    </row>
    <row r="149" spans="1:109" x14ac:dyDescent="0.25">
      <c r="A149" s="4" t="s" vm="273">
        <v>422</v>
      </c>
      <c r="B149" s="2" t="s" vm="139">
        <v>423</v>
      </c>
      <c r="C149" s="72" vm="481">
        <v>45016</v>
      </c>
      <c r="D149" s="7">
        <f>IFERROR( VfM_Metrics_2023_Consol[[#This Row],[Reinvestment Spend]] / VfM_Metrics_2023_Consol[[#This Row],[Net Book Value of Housing Properties]], "n/a" )</f>
        <v>9.2385864541571175E-2</v>
      </c>
      <c r="E14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16891</v>
      </c>
      <c r="F149" s="83" vm="1455">
        <v>4551</v>
      </c>
      <c r="G149" s="83" vm="7567">
        <v>0</v>
      </c>
      <c r="H149" s="83" vm="2431">
        <v>12340</v>
      </c>
      <c r="I149" s="83" vm="2432">
        <v>0</v>
      </c>
      <c r="J149" s="83" vm="2433">
        <v>0</v>
      </c>
      <c r="K149" s="5">
        <f xml:space="preserve"> SUM( VfM_Metrics_2023_Consol[[#This Row],[Tangible fixed assets: Housing properties at cost (Current period)]],VfM_Metrics_2023_Consol[[#This Row],[Tangible fixed assets Housing properties at valuation (Current period)]] )</f>
        <v>182831</v>
      </c>
      <c r="L149" s="84" vm="2434">
        <v>182831</v>
      </c>
      <c r="M149" s="83" vm="2435">
        <v>0</v>
      </c>
      <c r="N149" s="7">
        <f xml:space="preserve"> IFERROR( VfM_Metrics_2023_Consol[[#This Row],[Total social units developed or newly built units acquired in-year]] / VfM_Metrics_2023_Consol[[#This Row],[Social housing units owned (period end)]], "n/a" )</f>
        <v>5.0734107156583906E-3</v>
      </c>
      <c r="O149" s="5">
        <f xml:space="preserve"> SUM( VfM_Metrics_2023_Consol[[#This Row],[Total social units developed or newly built units acquired in-year (owned)]], VfM_Metrics_2023_Consol[[#This Row],[Total social leasehold units developed or newly built units acquired in-year (owned)]] )</f>
        <v>66</v>
      </c>
      <c r="P149" s="84" vm="7226">
        <v>66</v>
      </c>
      <c r="Q149" s="83" vm="2436">
        <v>0</v>
      </c>
      <c r="R149" s="5">
        <f xml:space="preserve"> SUM( VfM_Metrics_2023_Consol[[#This Row],[Total social housing units owned (Period end)]], VfM_Metrics_2023_Consol[[#This Row],[Total social leasehold units owned (Period end)]] )</f>
        <v>13009</v>
      </c>
      <c r="S149" s="84" vm="2429">
        <v>12381</v>
      </c>
      <c r="T149" s="83" vm="2098">
        <v>628</v>
      </c>
      <c r="U149" s="86">
        <f xml:space="preserve"> IFERROR( VfM_Metrics_2023_Consol[[#This Row],[Total non-social housing units developed or newly built units acquired (owned)]] / VfM_Metrics_2023_Consol[[#This Row],[Total social and non-social housing units owned (Period end)]], "n/a" )</f>
        <v>0</v>
      </c>
      <c r="V14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49" s="83" vm="6754">
        <v>0</v>
      </c>
      <c r="X149" s="83" vm="2438">
        <v>0</v>
      </c>
      <c r="Y149" s="83" vm="2184">
        <v>0</v>
      </c>
      <c r="Z14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13010</v>
      </c>
      <c r="AA149" s="84" vm="7791">
        <v>12381</v>
      </c>
      <c r="AB149" s="83" vm="2437">
        <v>628</v>
      </c>
      <c r="AC149" s="83" vm="2439">
        <v>1</v>
      </c>
      <c r="AD149" s="83" vm="2440">
        <v>0</v>
      </c>
      <c r="AE149" s="7">
        <f xml:space="preserve"> IFERROR( VfM_Metrics_2023_Consol[[#This Row],[Total Net Debt]] / VfM_Metrics_2023_Consol[[#This Row],[Net Book Value of Housing Properties2]], "n/a" )</f>
        <v>5.2102761566692739E-2</v>
      </c>
      <c r="AF14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9526</v>
      </c>
      <c r="AG149" s="84" vm="2441">
        <v>732</v>
      </c>
      <c r="AH149" s="83" vm="2442">
        <v>44641</v>
      </c>
      <c r="AI149" s="83" vm="2443">
        <v>35847</v>
      </c>
      <c r="AJ149" s="83" vm="7876">
        <v>0</v>
      </c>
      <c r="AK149" s="83" vm="2444">
        <v>0</v>
      </c>
      <c r="AL149" s="5">
        <f xml:space="preserve"> SUM( VfM_Metrics_2023_Consol[[#This Row],[Tangible fixed assets: Housing properties at cost (Current period)2]], VfM_Metrics_2023_Consol[[#This Row],[Tangible fixed assets Housing properties at valuation (Current period)2]] )</f>
        <v>182831</v>
      </c>
      <c r="AM149" s="84" vm="2434">
        <v>182831</v>
      </c>
      <c r="AN149" s="83" vm="2435">
        <v>0</v>
      </c>
      <c r="AO149" s="87">
        <f xml:space="preserve"> IFERROR( VfM_Metrics_2023_Consol[[#This Row],[EBITDA MRI]] / VfM_Metrics_2023_Consol[[#This Row],[Total interest]], "n/a" )</f>
        <v>-3.5489781536293163</v>
      </c>
      <c r="AP14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-5036</v>
      </c>
      <c r="AQ149" s="84" vm="7848">
        <v>5127</v>
      </c>
      <c r="AR149" s="84" vm="8024">
        <v>4532</v>
      </c>
      <c r="AS149" s="84" vm="2615">
        <v>0</v>
      </c>
      <c r="AT149" s="84" vm="2447">
        <v>159</v>
      </c>
      <c r="AU149" s="84" vm="2448">
        <v>0</v>
      </c>
      <c r="AV149" s="84" vm="2449">
        <v>775</v>
      </c>
      <c r="AW149" s="84" vm="2450">
        <v>12340</v>
      </c>
      <c r="AX149" s="84" vm="2451">
        <v>6093</v>
      </c>
      <c r="AY149" s="3">
        <f xml:space="preserve"> - SUM( VfM_Metrics_2023_Consol[[#This Row],[Interest capitalised]], VfM_Metrics_2023_Consol[[#This Row],[Interest payable and financing costs]] )</f>
        <v>1419</v>
      </c>
      <c r="AZ149" s="84" vm="7093">
        <v>0</v>
      </c>
      <c r="BA149" s="83" vm="2452">
        <v>-1419</v>
      </c>
      <c r="BB149" s="8">
        <f xml:space="preserve"> IFERROR( ( VfM_Metrics_2023_Consol[[#This Row],[Total Costs]] / VfM_Metrics_2023_Consol[[#This Row],[Total units for costs]] ) * 1000, "n/a" )</f>
        <v>5093.6087798579729</v>
      </c>
      <c r="BC14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63120</v>
      </c>
      <c r="BD149" s="84" vm="2453">
        <v>14780</v>
      </c>
      <c r="BE149" s="83" vm="2454">
        <v>6497</v>
      </c>
      <c r="BF149" s="83" vm="2455">
        <v>12957</v>
      </c>
      <c r="BG149" s="83" vm="2456">
        <v>2833</v>
      </c>
      <c r="BH149" s="83" vm="2457">
        <v>3273</v>
      </c>
      <c r="BI149" s="83" vm="3235">
        <v>780</v>
      </c>
      <c r="BJ149" s="83" vm="2450">
        <v>12340</v>
      </c>
      <c r="BK149" s="83" vm="2458">
        <v>1172</v>
      </c>
      <c r="BL149" s="83" vm="7565">
        <v>0</v>
      </c>
      <c r="BM149" s="83" vm="7224">
        <v>0</v>
      </c>
      <c r="BN149" s="83" vm="2459">
        <v>8487</v>
      </c>
      <c r="BO149" s="83" vm="2460">
        <v>1</v>
      </c>
      <c r="BP149" s="5" vm="2430">
        <f xml:space="preserve"> VfM_Metrics_2023_Consol[[#This Row],[Total social housing units owned and/or managed at period end]]</f>
        <v>12392</v>
      </c>
      <c r="BQ149" s="84" vm="2430">
        <v>12392</v>
      </c>
      <c r="BR149" s="7">
        <f xml:space="preserve"> IFERROR( VfM_Metrics_2023_Consol[[#This Row],[SHL operating surplus / (deficit)]] / VfM_Metrics_2023_Consol[[#This Row],[Turnover from social housing lettings]], "n/a" )</f>
        <v>0.10088023873425798</v>
      </c>
      <c r="BS149" s="5" vm="2461">
        <f xml:space="preserve"> VfM_Metrics_2023_Consol[[#This Row],[Operating surplus/(deficit) (social housing lettings)]]</f>
        <v>5375</v>
      </c>
      <c r="BT149" s="84" vm="2461">
        <v>5375</v>
      </c>
      <c r="BU149" s="5" vm="2462">
        <f xml:space="preserve"> VfM_Metrics_2023_Consol[[#This Row],[Turnover from social housing lettings]]</f>
        <v>53281</v>
      </c>
      <c r="BV149" s="84" vm="2462">
        <v>53281</v>
      </c>
      <c r="BW149" s="7">
        <f xml:space="preserve"> IFERROR( VfM_Metrics_2023_Consol[[#This Row],[Net operating surplus]] / VfM_Metrics_2023_Consol[[#This Row],[Overall turnover]], "n/a" )</f>
        <v>1.0386119257086998E-2</v>
      </c>
      <c r="BX149" s="5">
        <f xml:space="preserve"> SUM( VfM_Metrics_2023_Consol[[#This Row],[Operating surplus/(deficit) (overall)2]], - VfM_Metrics_2023_Consol[[#This Row],[Gain/(loss) on disposal of fixed assets (housing properties)2]], - VfM_Metrics_2023_Consol[[#This Row],[Gain/(loss) on disposal of fixed assets (other)2]] )</f>
        <v>595</v>
      </c>
      <c r="BY149" s="84" vm="2445">
        <v>5127</v>
      </c>
      <c r="BZ149" s="83" vm="8018">
        <v>4532</v>
      </c>
      <c r="CA149" s="83" vm="2446">
        <v>0</v>
      </c>
      <c r="CB149" s="5" vm="2463">
        <f xml:space="preserve"> VfM_Metrics_2023_Consol[[#This Row],[Turnover (overall)]]</f>
        <v>57288</v>
      </c>
      <c r="CC149" s="84" vm="2463">
        <v>57288</v>
      </c>
      <c r="CD149" s="7">
        <f xml:space="preserve"> IFERROR( VfM_Metrics_2023_Consol[[#This Row],[Operating surplus including from JVs]] / VfM_Metrics_2023_Consol[[#This Row],[Net assets]], "n/a" )</f>
        <v>2.1187088562608734E-2</v>
      </c>
      <c r="CE149" s="5">
        <f xml:space="preserve"> SUM( VfM_Metrics_2023_Consol[[#This Row],[Operating surplus/(deficit) (overall)3]], VfM_Metrics_2023_Consol[[#This Row],[Share of operating surplus/(deficit) in joint ventures or associates]] )</f>
        <v>5127</v>
      </c>
      <c r="CF149" s="84" vm="2445">
        <v>5127</v>
      </c>
      <c r="CG149" s="83" vm="2465">
        <v>0</v>
      </c>
      <c r="CH149" s="5" vm="2464">
        <f xml:space="preserve"> VfM_Metrics_2023_Consol[[#This Row],[Total assets less current liabilities]]</f>
        <v>241987</v>
      </c>
      <c r="CI149" s="84" vm="2464">
        <v>241987</v>
      </c>
      <c r="CJ149" s="71" vm="2429">
        <f xml:space="preserve"> VfM_Metrics_2023_Consol[[#This Row],[Total social housing units owned (Period end)]]</f>
        <v>12381</v>
      </c>
      <c r="CK149" s="103">
        <v>0</v>
      </c>
      <c r="CL149" s="6">
        <f xml:space="preserve"> -- ( VfM_Metrics_2023_Consol[[#This Row],[% Supported housing (excl. HOP)]] &gt; 0.3 )</f>
        <v>0</v>
      </c>
      <c r="CM149" s="103">
        <v>7.5512841221127447E-2</v>
      </c>
      <c r="CN149" s="6">
        <f xml:space="preserve"> -- ( VfM_Metrics_2023_Consol[[#This Row],[% Housing for older people]] &gt; 0.3 )</f>
        <v>0</v>
      </c>
      <c r="CO149" s="103">
        <f xml:space="preserve"> VfM_Metrics_2023_Consol[[#This Row],[% Supported housing (excl. HOP)]] + VfM_Metrics_2023_Consol[[#This Row],[% Housing for older people]]</f>
        <v>7.5512841221127447E-2</v>
      </c>
      <c r="CP149" s="6">
        <f xml:space="preserve"> -- ( VfM_Metrics_2023_Consol[[#This Row],[SH specialist in RSH analysis]] + VfM_Metrics_2023_Consol[[#This Row],[OP specialist in RSH analysis]] &gt; 0 )</f>
        <v>0</v>
      </c>
      <c r="CQ149" s="10">
        <f xml:space="preserve"> -- ( VfM_Metrics_2023_Consol[[#This Row],[% SH and OP]] &gt; 0.3 )</f>
        <v>0</v>
      </c>
      <c r="CR149" s="104" t="s">
        <v>168</v>
      </c>
      <c r="CS149" s="124">
        <v>40994</v>
      </c>
      <c r="CT149" s="105" t="s">
        <v>169</v>
      </c>
      <c r="CU14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49" s="85">
        <v>0</v>
      </c>
      <c r="CW149" s="85">
        <v>0</v>
      </c>
      <c r="CX149" s="85">
        <v>0</v>
      </c>
      <c r="CY149" s="85">
        <v>0</v>
      </c>
      <c r="CZ149" s="85">
        <v>0</v>
      </c>
      <c r="DA149" s="85">
        <v>0</v>
      </c>
      <c r="DB149" s="85">
        <v>0</v>
      </c>
      <c r="DC149" s="85">
        <v>1</v>
      </c>
      <c r="DD149" s="85">
        <v>0</v>
      </c>
      <c r="DE149" s="13">
        <v>0.96105917141044694</v>
      </c>
    </row>
    <row r="150" spans="1:109" x14ac:dyDescent="0.25">
      <c r="A150" s="4" t="s" vm="364">
        <v>424</v>
      </c>
      <c r="B150" s="2" t="s" vm="140">
        <v>425</v>
      </c>
      <c r="C150" s="72" vm="532">
        <v>45016</v>
      </c>
      <c r="D150" s="7">
        <f>IFERROR( VfM_Metrics_2023_Consol[[#This Row],[Reinvestment Spend]] / VfM_Metrics_2023_Consol[[#This Row],[Net Book Value of Housing Properties]], "n/a" )</f>
        <v>6.4042536513991583E-2</v>
      </c>
      <c r="E15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24511</v>
      </c>
      <c r="F150" s="83" vm="5573">
        <v>14626</v>
      </c>
      <c r="G150" s="83" vm="5574">
        <v>3481</v>
      </c>
      <c r="H150" s="83" vm="5575">
        <v>5803</v>
      </c>
      <c r="I150" s="83" vm="5576">
        <v>601</v>
      </c>
      <c r="J150" s="83" vm="6917">
        <v>0</v>
      </c>
      <c r="K150" s="5">
        <f xml:space="preserve"> SUM( VfM_Metrics_2023_Consol[[#This Row],[Tangible fixed assets: Housing properties at cost (Current period)]],VfM_Metrics_2023_Consol[[#This Row],[Tangible fixed assets Housing properties at valuation (Current period)]] )</f>
        <v>382730</v>
      </c>
      <c r="L150" s="84" vm="5577">
        <v>382730</v>
      </c>
      <c r="M150" s="83">
        <v>0</v>
      </c>
      <c r="N150" s="7">
        <f xml:space="preserve"> IFERROR( VfM_Metrics_2023_Consol[[#This Row],[Total social units developed or newly built units acquired in-year]] / VfM_Metrics_2023_Consol[[#This Row],[Social housing units owned (period end)]], "n/a" )</f>
        <v>2.4933214603739984E-2</v>
      </c>
      <c r="O150" s="5">
        <f xml:space="preserve"> SUM( VfM_Metrics_2023_Consol[[#This Row],[Total social units developed or newly built units acquired in-year (owned)]], VfM_Metrics_2023_Consol[[#This Row],[Total social leasehold units developed or newly built units acquired in-year (owned)]] )</f>
        <v>168</v>
      </c>
      <c r="P150" s="84" vm="5578">
        <v>168</v>
      </c>
      <c r="Q150" s="83">
        <v>0</v>
      </c>
      <c r="R150" s="5">
        <f xml:space="preserve"> SUM( VfM_Metrics_2023_Consol[[#This Row],[Total social housing units owned (Period end)]], VfM_Metrics_2023_Consol[[#This Row],[Total social leasehold units owned (Period end)]] )</f>
        <v>6738</v>
      </c>
      <c r="S150" s="84" vm="4408">
        <v>6609</v>
      </c>
      <c r="T150" s="83" vm="5579">
        <v>129</v>
      </c>
      <c r="U150" s="86">
        <f xml:space="preserve"> IFERROR( VfM_Metrics_2023_Consol[[#This Row],[Total non-social housing units developed or newly built units acquired (owned)]] / VfM_Metrics_2023_Consol[[#This Row],[Total social and non-social housing units owned (Period end)]], "n/a" )</f>
        <v>0</v>
      </c>
      <c r="V15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50" s="83">
        <v>0</v>
      </c>
      <c r="X150" s="83">
        <v>0</v>
      </c>
      <c r="Y150" s="83">
        <v>0</v>
      </c>
      <c r="Z15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6775</v>
      </c>
      <c r="AA150" s="84" vm="5571">
        <v>6609</v>
      </c>
      <c r="AB150" s="83" vm="5579">
        <v>129</v>
      </c>
      <c r="AC150" s="83" vm="5580">
        <v>36</v>
      </c>
      <c r="AD150" s="83" vm="5581">
        <v>1</v>
      </c>
      <c r="AE150" s="7">
        <f xml:space="preserve"> IFERROR( VfM_Metrics_2023_Consol[[#This Row],[Total Net Debt]] / VfM_Metrics_2023_Consol[[#This Row],[Net Book Value of Housing Properties2]], "n/a" )</f>
        <v>0.56795391006714913</v>
      </c>
      <c r="AF15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217373</v>
      </c>
      <c r="AG150" s="84" vm="5582">
        <v>6032</v>
      </c>
      <c r="AH150" s="83" vm="5583">
        <v>227601</v>
      </c>
      <c r="AI150" s="83" vm="5584">
        <v>16297</v>
      </c>
      <c r="AJ150" s="83" vm="1675">
        <v>0</v>
      </c>
      <c r="AK150" s="83" vm="5585">
        <v>37</v>
      </c>
      <c r="AL150" s="5">
        <f xml:space="preserve"> SUM( VfM_Metrics_2023_Consol[[#This Row],[Tangible fixed assets: Housing properties at cost (Current period)2]], VfM_Metrics_2023_Consol[[#This Row],[Tangible fixed assets Housing properties at valuation (Current period)2]] )</f>
        <v>382730</v>
      </c>
      <c r="AM150" s="84" vm="5577">
        <v>382730</v>
      </c>
      <c r="AN150" s="83">
        <v>0</v>
      </c>
      <c r="AO150" s="87">
        <f xml:space="preserve"> IFERROR( VfM_Metrics_2023_Consol[[#This Row],[EBITDA MRI]] / VfM_Metrics_2023_Consol[[#This Row],[Total interest]], "n/a" )</f>
        <v>1.0193461710703089</v>
      </c>
      <c r="AP15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11381</v>
      </c>
      <c r="AQ150" s="84" vm="5586">
        <v>13470</v>
      </c>
      <c r="AR150" s="84" vm="5587">
        <v>644</v>
      </c>
      <c r="AS150" s="84">
        <v>0</v>
      </c>
      <c r="AT150" s="84" vm="7035">
        <v>795</v>
      </c>
      <c r="AU150" s="84" vm="5588">
        <v>0</v>
      </c>
      <c r="AV150" s="84" vm="5589">
        <v>471</v>
      </c>
      <c r="AW150" s="84" vm="5590">
        <v>6014</v>
      </c>
      <c r="AX150" s="84" vm="6912">
        <v>4893</v>
      </c>
      <c r="AY150" s="3">
        <f xml:space="preserve"> - SUM( VfM_Metrics_2023_Consol[[#This Row],[Interest capitalised]], VfM_Metrics_2023_Consol[[#This Row],[Interest payable and financing costs]] )</f>
        <v>11165</v>
      </c>
      <c r="AZ150" s="84" vm="5591">
        <v>-601</v>
      </c>
      <c r="BA150" s="83" vm="5592">
        <v>-10564</v>
      </c>
      <c r="BB150" s="8">
        <f xml:space="preserve"> IFERROR( ( VfM_Metrics_2023_Consol[[#This Row],[Total Costs]] / VfM_Metrics_2023_Consol[[#This Row],[Total units for costs]] ) * 1000, "n/a" )</f>
        <v>4664.8061547744755</v>
      </c>
      <c r="BC15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30923</v>
      </c>
      <c r="BD150" s="84" vm="7272">
        <v>5758</v>
      </c>
      <c r="BE150" s="83" vm="5593">
        <v>5172</v>
      </c>
      <c r="BF150" s="83" vm="5594">
        <v>10065</v>
      </c>
      <c r="BG150" s="83" vm="5595">
        <v>929</v>
      </c>
      <c r="BH150" s="83" vm="5596">
        <v>0</v>
      </c>
      <c r="BI150" s="83" vm="5597">
        <v>0</v>
      </c>
      <c r="BJ150" s="83" vm="7034">
        <v>6014</v>
      </c>
      <c r="BK150" s="83" vm="5598">
        <v>0</v>
      </c>
      <c r="BL150" s="83">
        <v>0</v>
      </c>
      <c r="BM150" s="83">
        <v>0</v>
      </c>
      <c r="BN150" s="83" vm="5599">
        <v>1798</v>
      </c>
      <c r="BO150" s="83" vm="5600">
        <v>1187</v>
      </c>
      <c r="BP150" s="5" vm="5572">
        <f xml:space="preserve"> VfM_Metrics_2023_Consol[[#This Row],[Total social housing units owned and/or managed at period end]]</f>
        <v>6629</v>
      </c>
      <c r="BQ150" s="84" vm="5572">
        <v>6629</v>
      </c>
      <c r="BR150" s="7">
        <f xml:space="preserve"> IFERROR( VfM_Metrics_2023_Consol[[#This Row],[SHL operating surplus / (deficit)]] / VfM_Metrics_2023_Consol[[#This Row],[Turnover from social housing lettings]], "n/a" )</f>
        <v>0.31756364645623597</v>
      </c>
      <c r="BS150" s="5" vm="6949">
        <f xml:space="preserve"> VfM_Metrics_2023_Consol[[#This Row],[Operating surplus/(deficit) (social housing lettings)]]</f>
        <v>12586</v>
      </c>
      <c r="BT150" s="84" vm="6949">
        <v>12586</v>
      </c>
      <c r="BU150" s="5" vm="7271">
        <f xml:space="preserve"> VfM_Metrics_2023_Consol[[#This Row],[Turnover from social housing lettings]]</f>
        <v>39633</v>
      </c>
      <c r="BV150" s="84" vm="7271">
        <v>39633</v>
      </c>
      <c r="BW150" s="7">
        <f xml:space="preserve"> IFERROR( VfM_Metrics_2023_Consol[[#This Row],[Net operating surplus]] / VfM_Metrics_2023_Consol[[#This Row],[Overall turnover]], "n/a" )</f>
        <v>0.26918233713901946</v>
      </c>
      <c r="BX150" s="5">
        <f xml:space="preserve"> SUM( VfM_Metrics_2023_Consol[[#This Row],[Operating surplus/(deficit) (overall)2]], - VfM_Metrics_2023_Consol[[#This Row],[Gain/(loss) on disposal of fixed assets (housing properties)2]], - VfM_Metrics_2023_Consol[[#This Row],[Gain/(loss) on disposal of fixed assets (other)2]] )</f>
        <v>12826</v>
      </c>
      <c r="BY150" s="84" vm="5586">
        <v>13470</v>
      </c>
      <c r="BZ150" s="83" vm="5587">
        <v>644</v>
      </c>
      <c r="CA150" s="83">
        <v>0</v>
      </c>
      <c r="CB150" s="5" vm="7033">
        <f xml:space="preserve"> VfM_Metrics_2023_Consol[[#This Row],[Turnover (overall)]]</f>
        <v>47648</v>
      </c>
      <c r="CC150" s="84" vm="7033">
        <v>47648</v>
      </c>
      <c r="CD150" s="7">
        <f xml:space="preserve"> IFERROR( VfM_Metrics_2023_Consol[[#This Row],[Operating surplus including from JVs]] / VfM_Metrics_2023_Consol[[#This Row],[Net assets]], "n/a" )</f>
        <v>3.5098690639046318E-2</v>
      </c>
      <c r="CE150" s="5">
        <f xml:space="preserve"> SUM( VfM_Metrics_2023_Consol[[#This Row],[Operating surplus/(deficit) (overall)3]], VfM_Metrics_2023_Consol[[#This Row],[Share of operating surplus/(deficit) in joint ventures or associates]] )</f>
        <v>13470</v>
      </c>
      <c r="CF150" s="84" vm="3683">
        <v>13470</v>
      </c>
      <c r="CG150" s="83">
        <v>0</v>
      </c>
      <c r="CH150" s="5" vm="5601">
        <f xml:space="preserve"> VfM_Metrics_2023_Consol[[#This Row],[Total assets less current liabilities]]</f>
        <v>383775</v>
      </c>
      <c r="CI150" s="84" vm="5601">
        <v>383775</v>
      </c>
      <c r="CJ150" s="71" vm="4408">
        <f xml:space="preserve"> VfM_Metrics_2023_Consol[[#This Row],[Total social housing units owned (Period end)]]</f>
        <v>6609</v>
      </c>
      <c r="CK150" s="103">
        <v>1.8569254185692542E-2</v>
      </c>
      <c r="CL150" s="6">
        <f xml:space="preserve"> -- ( VfM_Metrics_2023_Consol[[#This Row],[% Supported housing (excl. HOP)]] &gt; 0.3 )</f>
        <v>0</v>
      </c>
      <c r="CM150" s="103">
        <v>6.5296803652968041E-2</v>
      </c>
      <c r="CN150" s="6">
        <f xml:space="preserve"> -- ( VfM_Metrics_2023_Consol[[#This Row],[% Housing for older people]] &gt; 0.3 )</f>
        <v>0</v>
      </c>
      <c r="CO150" s="103">
        <f xml:space="preserve"> VfM_Metrics_2023_Consol[[#This Row],[% Supported housing (excl. HOP)]] + VfM_Metrics_2023_Consol[[#This Row],[% Housing for older people]]</f>
        <v>8.3866057838660579E-2</v>
      </c>
      <c r="CP150" s="6">
        <f xml:space="preserve"> -- ( VfM_Metrics_2023_Consol[[#This Row],[SH specialist in RSH analysis]] + VfM_Metrics_2023_Consol[[#This Row],[OP specialist in RSH analysis]] &gt; 0 )</f>
        <v>0</v>
      </c>
      <c r="CQ150" s="10">
        <f xml:space="preserve"> -- ( VfM_Metrics_2023_Consol[[#This Row],[% SH and OP]] &gt; 0.3 )</f>
        <v>0</v>
      </c>
      <c r="CR150" s="104" t="s">
        <v>143</v>
      </c>
      <c r="CS150" s="124"/>
      <c r="CT150" s="105" t="s">
        <v>151</v>
      </c>
      <c r="CU15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50" s="85">
        <v>0</v>
      </c>
      <c r="CW150" s="85">
        <v>0</v>
      </c>
      <c r="CX150" s="85">
        <v>0.19815179518254811</v>
      </c>
      <c r="CY150" s="85">
        <v>0</v>
      </c>
      <c r="CZ150" s="85">
        <v>0.80184820481745189</v>
      </c>
      <c r="DA150" s="85">
        <v>0</v>
      </c>
      <c r="DB150" s="85">
        <v>0</v>
      </c>
      <c r="DC150" s="85">
        <v>0</v>
      </c>
      <c r="DD150" s="85">
        <v>0</v>
      </c>
      <c r="DE150" s="13">
        <v>0.96667661291632978</v>
      </c>
    </row>
    <row r="151" spans="1:109" x14ac:dyDescent="0.25">
      <c r="A151" s="4" t="s" vm="384">
        <v>426</v>
      </c>
      <c r="B151" s="2" t="s" vm="141">
        <v>427</v>
      </c>
      <c r="C151" s="72" vm="488">
        <v>45016</v>
      </c>
      <c r="D151" s="7">
        <f>IFERROR( VfM_Metrics_2023_Consol[[#This Row],[Reinvestment Spend]] / VfM_Metrics_2023_Consol[[#This Row],[Net Book Value of Housing Properties]], "n/a" )</f>
        <v>0.11918287015705428</v>
      </c>
      <c r="E15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36213</v>
      </c>
      <c r="F151" s="83" vm="6338">
        <v>29245</v>
      </c>
      <c r="G151" s="83" vm="6339">
        <v>0</v>
      </c>
      <c r="H151" s="83" vm="6340">
        <v>6968</v>
      </c>
      <c r="I151" s="83" vm="6341">
        <v>0</v>
      </c>
      <c r="J151" s="83" vm="6342">
        <v>0</v>
      </c>
      <c r="K151" s="5">
        <f xml:space="preserve"> SUM( VfM_Metrics_2023_Consol[[#This Row],[Tangible fixed assets: Housing properties at cost (Current period)]],VfM_Metrics_2023_Consol[[#This Row],[Tangible fixed assets Housing properties at valuation (Current period)]] )</f>
        <v>303844</v>
      </c>
      <c r="L151" s="84" vm="6300">
        <v>303844</v>
      </c>
      <c r="M151" s="83" vm="6877">
        <v>0</v>
      </c>
      <c r="N151" s="7">
        <f xml:space="preserve"> IFERROR( VfM_Metrics_2023_Consol[[#This Row],[Total social units developed or newly built units acquired in-year]] / VfM_Metrics_2023_Consol[[#This Row],[Social housing units owned (period end)]], "n/a" )</f>
        <v>1.5544823422879566E-2</v>
      </c>
      <c r="O151" s="5">
        <f xml:space="preserve"> SUM( VfM_Metrics_2023_Consol[[#This Row],[Total social units developed or newly built units acquired in-year (owned)]], VfM_Metrics_2023_Consol[[#This Row],[Total social leasehold units developed or newly built units acquired in-year (owned)]] )</f>
        <v>103</v>
      </c>
      <c r="P151" s="84" vm="6345">
        <v>103</v>
      </c>
      <c r="Q151" s="83" vm="6346">
        <v>0</v>
      </c>
      <c r="R151" s="5">
        <f xml:space="preserve"> SUM( VfM_Metrics_2023_Consol[[#This Row],[Total social housing units owned (Period end)]], VfM_Metrics_2023_Consol[[#This Row],[Total social leasehold units owned (Period end)]] )</f>
        <v>6626</v>
      </c>
      <c r="S151" s="84" vm="6336">
        <v>6626</v>
      </c>
      <c r="T151" s="83" vm="7204">
        <v>0</v>
      </c>
      <c r="U151" s="86">
        <f xml:space="preserve"> IFERROR( VfM_Metrics_2023_Consol[[#This Row],[Total non-social housing units developed or newly built units acquired (owned)]] / VfM_Metrics_2023_Consol[[#This Row],[Total social and non-social housing units owned (Period end)]], "n/a" )</f>
        <v>3.8650215549279024E-3</v>
      </c>
      <c r="V15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26</v>
      </c>
      <c r="W151" s="83" vm="6347">
        <v>0</v>
      </c>
      <c r="X151" s="83" vm="6348">
        <v>4</v>
      </c>
      <c r="Y151" s="83" vm="6349">
        <v>22</v>
      </c>
      <c r="Z15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6727</v>
      </c>
      <c r="AA151" s="84" vm="6336">
        <v>6626</v>
      </c>
      <c r="AB151" s="83" vm="7235">
        <v>0</v>
      </c>
      <c r="AC151" s="83" vm="6350">
        <v>0</v>
      </c>
      <c r="AD151" s="83" vm="6351">
        <v>101</v>
      </c>
      <c r="AE151" s="7">
        <f xml:space="preserve"> IFERROR( VfM_Metrics_2023_Consol[[#This Row],[Total Net Debt]] / VfM_Metrics_2023_Consol[[#This Row],[Net Book Value of Housing Properties2]], "n/a" )</f>
        <v>0.6181988125485447</v>
      </c>
      <c r="AF15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187836</v>
      </c>
      <c r="AG151" s="84" vm="6352">
        <v>0</v>
      </c>
      <c r="AH151" s="83" vm="6353">
        <v>201342</v>
      </c>
      <c r="AI151" s="83" vm="6354">
        <v>13506</v>
      </c>
      <c r="AJ151" s="83" vm="6355">
        <v>0</v>
      </c>
      <c r="AK151" s="83" vm="7286">
        <v>0</v>
      </c>
      <c r="AL151" s="5">
        <f xml:space="preserve"> SUM( VfM_Metrics_2023_Consol[[#This Row],[Tangible fixed assets: Housing properties at cost (Current period)2]], VfM_Metrics_2023_Consol[[#This Row],[Tangible fixed assets Housing properties at valuation (Current period)2]] )</f>
        <v>303844</v>
      </c>
      <c r="AM151" s="84" vm="6343">
        <v>303844</v>
      </c>
      <c r="AN151" s="83" vm="6344">
        <v>0</v>
      </c>
      <c r="AO151" s="87">
        <f xml:space="preserve"> IFERROR( VfM_Metrics_2023_Consol[[#This Row],[EBITDA MRI]] / VfM_Metrics_2023_Consol[[#This Row],[Total interest]], "n/a" )</f>
        <v>0.53448596393381664</v>
      </c>
      <c r="AP15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11500</v>
      </c>
      <c r="AQ151" s="84" vm="6356">
        <v>14223</v>
      </c>
      <c r="AR151" s="84" vm="6357">
        <v>1666</v>
      </c>
      <c r="AS151" s="84" vm="6358">
        <v>31</v>
      </c>
      <c r="AT151" s="84" vm="6359">
        <v>461</v>
      </c>
      <c r="AU151" s="84" vm="4537">
        <v>0</v>
      </c>
      <c r="AV151" s="84" vm="6279">
        <v>73</v>
      </c>
      <c r="AW151" s="84" vm="6360">
        <v>6968</v>
      </c>
      <c r="AX151" s="84" vm="6361">
        <v>6330</v>
      </c>
      <c r="AY151" s="3">
        <f xml:space="preserve"> - SUM( VfM_Metrics_2023_Consol[[#This Row],[Interest capitalised]], VfM_Metrics_2023_Consol[[#This Row],[Interest payable and financing costs]] )</f>
        <v>21516</v>
      </c>
      <c r="AZ151" s="84">
        <v>0</v>
      </c>
      <c r="BA151" s="83" vm="6362">
        <v>-21516</v>
      </c>
      <c r="BB151" s="8">
        <f xml:space="preserve"> IFERROR( ( VfM_Metrics_2023_Consol[[#This Row],[Total Costs]] / VfM_Metrics_2023_Consol[[#This Row],[Total units for costs]] ) * 1000, "n/a" )</f>
        <v>4068.970721400543</v>
      </c>
      <c r="BC15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26961</v>
      </c>
      <c r="BD151" s="84" vm="6363">
        <v>5458</v>
      </c>
      <c r="BE151" s="83" vm="6364">
        <v>1596</v>
      </c>
      <c r="BF151" s="83" vm="6365">
        <v>7483</v>
      </c>
      <c r="BG151" s="83" vm="6366">
        <v>243</v>
      </c>
      <c r="BH151" s="83" vm="6367">
        <v>263</v>
      </c>
      <c r="BI151" s="83" vm="6368">
        <v>25</v>
      </c>
      <c r="BJ151" s="83" vm="6360">
        <v>6968</v>
      </c>
      <c r="BK151" s="83" vm="6369">
        <v>4925</v>
      </c>
      <c r="BL151" s="83">
        <v>0</v>
      </c>
      <c r="BM151" s="83">
        <v>0</v>
      </c>
      <c r="BN151" s="83">
        <v>0</v>
      </c>
      <c r="BO151" s="83">
        <v>0</v>
      </c>
      <c r="BP151" s="5" vm="6337">
        <f xml:space="preserve"> VfM_Metrics_2023_Consol[[#This Row],[Total social housing units owned and/or managed at period end]]</f>
        <v>6626</v>
      </c>
      <c r="BQ151" s="84" vm="6337">
        <v>6626</v>
      </c>
      <c r="BR151" s="7">
        <f xml:space="preserve"> IFERROR( VfM_Metrics_2023_Consol[[#This Row],[SHL operating surplus / (deficit)]] / VfM_Metrics_2023_Consol[[#This Row],[Turnover from social housing lettings]], "n/a" )</f>
        <v>0.26149595421353861</v>
      </c>
      <c r="BS151" s="5" vm="6370">
        <f xml:space="preserve"> VfM_Metrics_2023_Consol[[#This Row],[Operating surplus/(deficit) (social housing lettings)]]</f>
        <v>9275</v>
      </c>
      <c r="BT151" s="84" vm="6370">
        <v>9275</v>
      </c>
      <c r="BU151" s="5" vm="6371">
        <f xml:space="preserve"> VfM_Metrics_2023_Consol[[#This Row],[Turnover from social housing lettings]]</f>
        <v>35469</v>
      </c>
      <c r="BV151" s="84" vm="6371">
        <v>35469</v>
      </c>
      <c r="BW151" s="7">
        <f xml:space="preserve"> IFERROR( VfM_Metrics_2023_Consol[[#This Row],[Net operating surplus]] / VfM_Metrics_2023_Consol[[#This Row],[Overall turnover]], "n/a" )</f>
        <v>0.26367750763077569</v>
      </c>
      <c r="BX151" s="5">
        <f xml:space="preserve"> SUM( VfM_Metrics_2023_Consol[[#This Row],[Operating surplus/(deficit) (overall)2]], - VfM_Metrics_2023_Consol[[#This Row],[Gain/(loss) on disposal of fixed assets (housing properties)2]], - VfM_Metrics_2023_Consol[[#This Row],[Gain/(loss) on disposal of fixed assets (other)2]] )</f>
        <v>12526</v>
      </c>
      <c r="BY151" s="84" vm="6899">
        <v>14223</v>
      </c>
      <c r="BZ151" s="83" vm="6357">
        <v>1666</v>
      </c>
      <c r="CA151" s="83" vm="6358">
        <v>31</v>
      </c>
      <c r="CB151" s="5" vm="6372">
        <f xml:space="preserve"> VfM_Metrics_2023_Consol[[#This Row],[Turnover (overall)]]</f>
        <v>47505</v>
      </c>
      <c r="CC151" s="84" vm="6372">
        <v>47505</v>
      </c>
      <c r="CD151" s="7">
        <f xml:space="preserve"> IFERROR( VfM_Metrics_2023_Consol[[#This Row],[Operating surplus including from JVs]] / VfM_Metrics_2023_Consol[[#This Row],[Net assets]], "n/a" )</f>
        <v>4.3181259278824699E-2</v>
      </c>
      <c r="CE151" s="5">
        <f xml:space="preserve"> SUM( VfM_Metrics_2023_Consol[[#This Row],[Operating surplus/(deficit) (overall)3]], VfM_Metrics_2023_Consol[[#This Row],[Share of operating surplus/(deficit) in joint ventures or associates]] )</f>
        <v>14223</v>
      </c>
      <c r="CF151" s="84" vm="7309">
        <v>14223</v>
      </c>
      <c r="CG151" s="83" vm="6374">
        <v>0</v>
      </c>
      <c r="CH151" s="5" vm="6373">
        <f xml:space="preserve"> VfM_Metrics_2023_Consol[[#This Row],[Total assets less current liabilities]]</f>
        <v>329379</v>
      </c>
      <c r="CI151" s="84" vm="6373">
        <v>329379</v>
      </c>
      <c r="CJ151" s="71" vm="6336">
        <f xml:space="preserve"> VfM_Metrics_2023_Consol[[#This Row],[Total social housing units owned (Period end)]]</f>
        <v>6626</v>
      </c>
      <c r="CK151" s="103">
        <v>1.9461310913903161E-2</v>
      </c>
      <c r="CL151" s="6">
        <f xml:space="preserve"> -- ( VfM_Metrics_2023_Consol[[#This Row],[% Supported housing (excl. HOP)]] &gt; 0.3 )</f>
        <v>0</v>
      </c>
      <c r="CM151" s="103">
        <v>9.5905340183714771E-2</v>
      </c>
      <c r="CN151" s="6">
        <f xml:space="preserve"> -- ( VfM_Metrics_2023_Consol[[#This Row],[% Housing for older people]] &gt; 0.3 )</f>
        <v>0</v>
      </c>
      <c r="CO151" s="103">
        <f xml:space="preserve"> VfM_Metrics_2023_Consol[[#This Row],[% Supported housing (excl. HOP)]] + VfM_Metrics_2023_Consol[[#This Row],[% Housing for older people]]</f>
        <v>0.11536665109761793</v>
      </c>
      <c r="CP151" s="6">
        <f xml:space="preserve"> -- ( VfM_Metrics_2023_Consol[[#This Row],[SH specialist in RSH analysis]] + VfM_Metrics_2023_Consol[[#This Row],[OP specialist in RSH analysis]] &gt; 0 )</f>
        <v>0</v>
      </c>
      <c r="CQ151" s="10">
        <f xml:space="preserve"> -- ( VfM_Metrics_2023_Consol[[#This Row],[% SH and OP]] &gt; 0.3 )</f>
        <v>0</v>
      </c>
      <c r="CR151" s="104" t="s">
        <v>143</v>
      </c>
      <c r="CS151" s="124"/>
      <c r="CT151" s="105" t="s">
        <v>151</v>
      </c>
      <c r="CU15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151" s="85">
        <v>0</v>
      </c>
      <c r="CW151" s="85">
        <v>0</v>
      </c>
      <c r="CX151" s="85">
        <v>0</v>
      </c>
      <c r="CY151" s="85">
        <v>0</v>
      </c>
      <c r="CZ151" s="85">
        <v>0</v>
      </c>
      <c r="DA151" s="85">
        <v>1</v>
      </c>
      <c r="DB151" s="85">
        <v>0</v>
      </c>
      <c r="DC151" s="85">
        <v>0</v>
      </c>
      <c r="DD151" s="85">
        <v>0</v>
      </c>
      <c r="DE151" s="13">
        <v>1.0113701298544711</v>
      </c>
    </row>
    <row r="152" spans="1:109" x14ac:dyDescent="0.25">
      <c r="A152" s="4" t="s" vm="383">
        <v>428</v>
      </c>
      <c r="B152" s="2" t="s" vm="142">
        <v>429</v>
      </c>
      <c r="C152" s="72" vm="502">
        <v>45016</v>
      </c>
      <c r="D152" s="7">
        <f>IFERROR( VfM_Metrics_2023_Consol[[#This Row],[Reinvestment Spend]] / VfM_Metrics_2023_Consol[[#This Row],[Net Book Value of Housing Properties]], "n/a" )</f>
        <v>0.12381945800404905</v>
      </c>
      <c r="E15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24097</v>
      </c>
      <c r="F152" s="83" vm="2309">
        <v>18312</v>
      </c>
      <c r="G152" s="83" vm="6296">
        <v>0</v>
      </c>
      <c r="H152" s="83" vm="6297">
        <v>5500</v>
      </c>
      <c r="I152" s="83" vm="6298">
        <v>285</v>
      </c>
      <c r="J152" s="83" vm="6299">
        <v>0</v>
      </c>
      <c r="K152" s="5">
        <f xml:space="preserve"> SUM( VfM_Metrics_2023_Consol[[#This Row],[Tangible fixed assets: Housing properties at cost (Current period)]],VfM_Metrics_2023_Consol[[#This Row],[Tangible fixed assets Housing properties at valuation (Current period)]] )</f>
        <v>194614</v>
      </c>
      <c r="L152" s="84" vm="6300">
        <v>194614</v>
      </c>
      <c r="M152" s="83" vm="6301">
        <v>0</v>
      </c>
      <c r="N152" s="7">
        <f xml:space="preserve"> IFERROR( VfM_Metrics_2023_Consol[[#This Row],[Total social units developed or newly built units acquired in-year]] / VfM_Metrics_2023_Consol[[#This Row],[Social housing units owned (period end)]], "n/a" )</f>
        <v>0</v>
      </c>
      <c r="O152" s="5">
        <f xml:space="preserve"> SUM( VfM_Metrics_2023_Consol[[#This Row],[Total social units developed or newly built units acquired in-year (owned)]], VfM_Metrics_2023_Consol[[#This Row],[Total social leasehold units developed or newly built units acquired in-year (owned)]] )</f>
        <v>0</v>
      </c>
      <c r="P152" s="84" vm="6302">
        <v>0</v>
      </c>
      <c r="Q152" s="83" vm="6303">
        <v>0</v>
      </c>
      <c r="R152" s="5">
        <f xml:space="preserve"> SUM( VfM_Metrics_2023_Consol[[#This Row],[Total social housing units owned (Period end)]], VfM_Metrics_2023_Consol[[#This Row],[Total social leasehold units owned (Period end)]] )</f>
        <v>7876</v>
      </c>
      <c r="S152" s="84" vm="6294">
        <v>7876</v>
      </c>
      <c r="T152" s="83" vm="6304">
        <v>0</v>
      </c>
      <c r="U152" s="86">
        <f xml:space="preserve"> IFERROR( VfM_Metrics_2023_Consol[[#This Row],[Total non-social housing units developed or newly built units acquired (owned)]] / VfM_Metrics_2023_Consol[[#This Row],[Total social and non-social housing units owned (Period end)]], "n/a" )</f>
        <v>1.2661433274246644E-4</v>
      </c>
      <c r="V15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v>
      </c>
      <c r="W152" s="83" vm="6305">
        <v>1</v>
      </c>
      <c r="X152" s="83" vm="6306">
        <v>0</v>
      </c>
      <c r="Y152" s="83" vm="6307">
        <v>0</v>
      </c>
      <c r="Z15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7898</v>
      </c>
      <c r="AA152" s="84" vm="6294">
        <v>7876</v>
      </c>
      <c r="AB152" s="83" vm="6304">
        <v>0</v>
      </c>
      <c r="AC152" s="83" vm="6308">
        <v>22</v>
      </c>
      <c r="AD152" s="83" vm="6309">
        <v>0</v>
      </c>
      <c r="AE152" s="7">
        <f xml:space="preserve"> IFERROR( VfM_Metrics_2023_Consol[[#This Row],[Total Net Debt]] / VfM_Metrics_2023_Consol[[#This Row],[Net Book Value of Housing Properties2]], "n/a" )</f>
        <v>0.39671863278078656</v>
      </c>
      <c r="AF15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77207</v>
      </c>
      <c r="AG152" s="84" vm="6310">
        <v>0</v>
      </c>
      <c r="AH152" s="83" vm="2319">
        <v>79438</v>
      </c>
      <c r="AI152" s="83" vm="6311">
        <v>2231</v>
      </c>
      <c r="AJ152" s="83" vm="6881">
        <v>0</v>
      </c>
      <c r="AK152" s="83" vm="6312">
        <v>0</v>
      </c>
      <c r="AL152" s="5">
        <f xml:space="preserve"> SUM( VfM_Metrics_2023_Consol[[#This Row],[Tangible fixed assets: Housing properties at cost (Current period)2]], VfM_Metrics_2023_Consol[[#This Row],[Tangible fixed assets Housing properties at valuation (Current period)2]] )</f>
        <v>194614</v>
      </c>
      <c r="AM152" s="84" vm="6300">
        <v>194614</v>
      </c>
      <c r="AN152" s="83" vm="6301">
        <v>0</v>
      </c>
      <c r="AO152" s="87">
        <f xml:space="preserve"> IFERROR( VfM_Metrics_2023_Consol[[#This Row],[EBITDA MRI]] / VfM_Metrics_2023_Consol[[#This Row],[Total interest]], "n/a" )</f>
        <v>1.1349310571240971</v>
      </c>
      <c r="AP15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3457</v>
      </c>
      <c r="AQ152" s="84" vm="6313">
        <v>7151</v>
      </c>
      <c r="AR152" s="84" vm="6314">
        <v>3152</v>
      </c>
      <c r="AS152" s="84" vm="6315">
        <v>0</v>
      </c>
      <c r="AT152" s="84" vm="6316">
        <v>314</v>
      </c>
      <c r="AU152" s="84" vm="6317">
        <v>320</v>
      </c>
      <c r="AV152" s="84" vm="6318">
        <v>3</v>
      </c>
      <c r="AW152" s="84" vm="6319">
        <v>5500</v>
      </c>
      <c r="AX152" s="84" vm="6320">
        <v>5589</v>
      </c>
      <c r="AY152" s="3">
        <f xml:space="preserve"> - SUM( VfM_Metrics_2023_Consol[[#This Row],[Interest capitalised]], VfM_Metrics_2023_Consol[[#This Row],[Interest payable and financing costs]] )</f>
        <v>3046</v>
      </c>
      <c r="AZ152" s="84" vm="6321">
        <v>-285</v>
      </c>
      <c r="BA152" s="83" vm="6322">
        <v>-2761</v>
      </c>
      <c r="BB152" s="8">
        <f xml:space="preserve"> IFERROR( ( VfM_Metrics_2023_Consol[[#This Row],[Total Costs]] / VfM_Metrics_2023_Consol[[#This Row],[Total units for costs]] ) * 1000, "n/a" )</f>
        <v>4100.6856272219393</v>
      </c>
      <c r="BC15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32297</v>
      </c>
      <c r="BD152" s="84" vm="6323">
        <v>10690</v>
      </c>
      <c r="BE152" s="83" vm="6324">
        <v>4375</v>
      </c>
      <c r="BF152" s="83" vm="6880">
        <v>9511</v>
      </c>
      <c r="BG152" s="83" vm="6325">
        <v>1874</v>
      </c>
      <c r="BH152" s="83" vm="6326">
        <v>262</v>
      </c>
      <c r="BI152" s="83" vm="6327">
        <v>0</v>
      </c>
      <c r="BJ152" s="83" vm="6319">
        <v>5500</v>
      </c>
      <c r="BK152" s="83" vm="6328">
        <v>7</v>
      </c>
      <c r="BL152" s="83" vm="6329">
        <v>70</v>
      </c>
      <c r="BM152" s="83" vm="6330">
        <v>0</v>
      </c>
      <c r="BN152" s="83" vm="6331">
        <v>8</v>
      </c>
      <c r="BO152" s="83" vm="6332">
        <v>0</v>
      </c>
      <c r="BP152" s="5" vm="6295">
        <f xml:space="preserve"> VfM_Metrics_2023_Consol[[#This Row],[Total social housing units owned and/or managed at period end]]</f>
        <v>7876</v>
      </c>
      <c r="BQ152" s="84" vm="6295">
        <v>7876</v>
      </c>
      <c r="BR152" s="7">
        <f xml:space="preserve"> IFERROR( VfM_Metrics_2023_Consol[[#This Row],[SHL operating surplus / (deficit)]] / VfM_Metrics_2023_Consol[[#This Row],[Turnover from social housing lettings]], "n/a" )</f>
        <v>0.12386282185587473</v>
      </c>
      <c r="BS152" s="5" vm="5731">
        <f xml:space="preserve"> VfM_Metrics_2023_Consol[[#This Row],[Operating surplus/(deficit) (social housing lettings)]]</f>
        <v>4493</v>
      </c>
      <c r="BT152" s="84" vm="5731">
        <v>4493</v>
      </c>
      <c r="BU152" s="5" vm="6333">
        <f xml:space="preserve"> VfM_Metrics_2023_Consol[[#This Row],[Turnover from social housing lettings]]</f>
        <v>36274</v>
      </c>
      <c r="BV152" s="84" vm="6333">
        <v>36274</v>
      </c>
      <c r="BW152" s="7">
        <f xml:space="preserve"> IFERROR( VfM_Metrics_2023_Consol[[#This Row],[Net operating surplus]] / VfM_Metrics_2023_Consol[[#This Row],[Overall turnover]], "n/a" )</f>
        <v>0.1027571498316931</v>
      </c>
      <c r="BX152" s="5">
        <f xml:space="preserve"> SUM( VfM_Metrics_2023_Consol[[#This Row],[Operating surplus/(deficit) (overall)2]], - VfM_Metrics_2023_Consol[[#This Row],[Gain/(loss) on disposal of fixed assets (housing properties)2]], - VfM_Metrics_2023_Consol[[#This Row],[Gain/(loss) on disposal of fixed assets (other)2]] )</f>
        <v>3999</v>
      </c>
      <c r="BY152" s="84" vm="6313">
        <v>7151</v>
      </c>
      <c r="BZ152" s="83" vm="6314">
        <v>3152</v>
      </c>
      <c r="CA152" s="83" vm="6315">
        <v>0</v>
      </c>
      <c r="CB152" s="5" vm="6334">
        <f xml:space="preserve"> VfM_Metrics_2023_Consol[[#This Row],[Turnover (overall)]]</f>
        <v>38917</v>
      </c>
      <c r="CC152" s="84" vm="6334">
        <v>38917</v>
      </c>
      <c r="CD152" s="7">
        <f xml:space="preserve"> IFERROR( VfM_Metrics_2023_Consol[[#This Row],[Operating surplus including from JVs]] / VfM_Metrics_2023_Consol[[#This Row],[Net assets]], "n/a" )</f>
        <v>2.9522869799644125E-2</v>
      </c>
      <c r="CE152" s="5">
        <f xml:space="preserve"> SUM( VfM_Metrics_2023_Consol[[#This Row],[Operating surplus/(deficit) (overall)3]], VfM_Metrics_2023_Consol[[#This Row],[Share of operating surplus/(deficit) in joint ventures or associates]] )</f>
        <v>7151</v>
      </c>
      <c r="CF152" s="84" vm="6313">
        <v>7151</v>
      </c>
      <c r="CG152" s="83" vm="6335">
        <v>0</v>
      </c>
      <c r="CH152" s="5" vm="6879">
        <f xml:space="preserve"> VfM_Metrics_2023_Consol[[#This Row],[Total assets less current liabilities]]</f>
        <v>242219</v>
      </c>
      <c r="CI152" s="84" vm="6879">
        <v>242219</v>
      </c>
      <c r="CJ152" s="71" vm="6294">
        <f xml:space="preserve"> VfM_Metrics_2023_Consol[[#This Row],[Total social housing units owned (Period end)]]</f>
        <v>7876</v>
      </c>
      <c r="CK152" s="103">
        <v>0</v>
      </c>
      <c r="CL152" s="6">
        <f xml:space="preserve"> -- ( VfM_Metrics_2023_Consol[[#This Row],[% Supported housing (excl. HOP)]] &gt; 0.3 )</f>
        <v>0</v>
      </c>
      <c r="CM152" s="103">
        <v>3.7709497206703912E-2</v>
      </c>
      <c r="CN152" s="6">
        <f xml:space="preserve"> -- ( VfM_Metrics_2023_Consol[[#This Row],[% Housing for older people]] &gt; 0.3 )</f>
        <v>0</v>
      </c>
      <c r="CO152" s="103">
        <f xml:space="preserve"> VfM_Metrics_2023_Consol[[#This Row],[% Supported housing (excl. HOP)]] + VfM_Metrics_2023_Consol[[#This Row],[% Housing for older people]]</f>
        <v>3.7709497206703912E-2</v>
      </c>
      <c r="CP152" s="6">
        <f xml:space="preserve"> -- ( VfM_Metrics_2023_Consol[[#This Row],[SH specialist in RSH analysis]] + VfM_Metrics_2023_Consol[[#This Row],[OP specialist in RSH analysis]] &gt; 0 )</f>
        <v>0</v>
      </c>
      <c r="CQ152" s="10">
        <f xml:space="preserve"> -- ( VfM_Metrics_2023_Consol[[#This Row],[% SH and OP]] &gt; 0.3 )</f>
        <v>0</v>
      </c>
      <c r="CR152" s="104" t="s">
        <v>168</v>
      </c>
      <c r="CS152" s="124">
        <v>42086</v>
      </c>
      <c r="CT152" s="105" t="s">
        <v>169</v>
      </c>
      <c r="CU15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52" s="85">
        <v>0</v>
      </c>
      <c r="CW152" s="85">
        <v>0</v>
      </c>
      <c r="CX152" s="85">
        <v>0</v>
      </c>
      <c r="CY152" s="85">
        <v>0</v>
      </c>
      <c r="CZ152" s="85">
        <v>0</v>
      </c>
      <c r="DA152" s="85">
        <v>0</v>
      </c>
      <c r="DB152" s="85">
        <v>0</v>
      </c>
      <c r="DC152" s="85">
        <v>1</v>
      </c>
      <c r="DD152" s="85">
        <v>0</v>
      </c>
      <c r="DE152" s="13">
        <v>0.96105917141044694</v>
      </c>
    </row>
    <row r="153" spans="1:109" x14ac:dyDescent="0.25">
      <c r="A153" s="4" t="s" vm="310">
        <v>430</v>
      </c>
      <c r="B153" s="2" t="s" vm="143">
        <v>431</v>
      </c>
      <c r="C153" s="72" vm="555">
        <v>45016</v>
      </c>
      <c r="D153" s="7">
        <f>IFERROR( VfM_Metrics_2023_Consol[[#This Row],[Reinvestment Spend]] / VfM_Metrics_2023_Consol[[#This Row],[Net Book Value of Housing Properties]], "n/a" )</f>
        <v>2.2490946005267777E-2</v>
      </c>
      <c r="E15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3279</v>
      </c>
      <c r="F153" s="83" vm="3670">
        <v>0</v>
      </c>
      <c r="G153" s="83" vm="4453">
        <v>348</v>
      </c>
      <c r="H153" s="83" vm="3671">
        <v>2931</v>
      </c>
      <c r="I153" s="83" vm="6992">
        <v>0</v>
      </c>
      <c r="J153" s="83" vm="3672">
        <v>0</v>
      </c>
      <c r="K153" s="5">
        <f xml:space="preserve"> SUM( VfM_Metrics_2023_Consol[[#This Row],[Tangible fixed assets: Housing properties at cost (Current period)]],VfM_Metrics_2023_Consol[[#This Row],[Tangible fixed assets Housing properties at valuation (Current period)]] )</f>
        <v>145792</v>
      </c>
      <c r="L153" s="84" vm="3673">
        <v>145792</v>
      </c>
      <c r="M153" s="83" vm="3674">
        <v>0</v>
      </c>
      <c r="N153" s="7">
        <f xml:space="preserve"> IFERROR( VfM_Metrics_2023_Consol[[#This Row],[Total social units developed or newly built units acquired in-year]] / VfM_Metrics_2023_Consol[[#This Row],[Social housing units owned (period end)]], "n/a" )</f>
        <v>2.768549280177187E-4</v>
      </c>
      <c r="O153" s="5">
        <f xml:space="preserve"> SUM( VfM_Metrics_2023_Consol[[#This Row],[Total social units developed or newly built units acquired in-year (owned)]], VfM_Metrics_2023_Consol[[#This Row],[Total social leasehold units developed or newly built units acquired in-year (owned)]] )</f>
        <v>1</v>
      </c>
      <c r="P153" s="84" vm="7332">
        <v>1</v>
      </c>
      <c r="Q153" s="83" vm="3675">
        <v>0</v>
      </c>
      <c r="R153" s="5">
        <f xml:space="preserve"> SUM( VfM_Metrics_2023_Consol[[#This Row],[Total social housing units owned (Period end)]], VfM_Metrics_2023_Consol[[#This Row],[Total social leasehold units owned (Period end)]] )</f>
        <v>3612</v>
      </c>
      <c r="S153" s="84" vm="3668">
        <v>3612</v>
      </c>
      <c r="T153" s="83" vm="3676">
        <v>0</v>
      </c>
      <c r="U153" s="86">
        <f xml:space="preserve"> IFERROR( VfM_Metrics_2023_Consol[[#This Row],[Total non-social housing units developed or newly built units acquired (owned)]] / VfM_Metrics_2023_Consol[[#This Row],[Total social and non-social housing units owned (Period end)]], "n/a" )</f>
        <v>0</v>
      </c>
      <c r="V15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53" s="83" vm="3677">
        <v>0</v>
      </c>
      <c r="X153" s="83" vm="3678">
        <v>0</v>
      </c>
      <c r="Y153" s="83" vm="3844">
        <v>0</v>
      </c>
      <c r="Z15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3771</v>
      </c>
      <c r="AA153" s="84" vm="3668">
        <v>3612</v>
      </c>
      <c r="AB153" s="83" vm="3676">
        <v>0</v>
      </c>
      <c r="AC153" s="83" vm="3679">
        <v>159</v>
      </c>
      <c r="AD153" s="83" vm="7641">
        <v>0</v>
      </c>
      <c r="AE153" s="7">
        <f xml:space="preserve"> IFERROR( VfM_Metrics_2023_Consol[[#This Row],[Total Net Debt]] / VfM_Metrics_2023_Consol[[#This Row],[Net Book Value of Housing Properties2]], "n/a" )</f>
        <v>9.9648814749780504E-2</v>
      </c>
      <c r="AF15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14528</v>
      </c>
      <c r="AG153" s="84" vm="3680">
        <v>2516</v>
      </c>
      <c r="AH153" s="83" vm="7199">
        <v>17221</v>
      </c>
      <c r="AI153" s="83" vm="3681">
        <v>5209</v>
      </c>
      <c r="AJ153" s="83" vm="2804">
        <v>0</v>
      </c>
      <c r="AK153" s="83" vm="3682">
        <v>0</v>
      </c>
      <c r="AL153" s="5">
        <f xml:space="preserve"> SUM( VfM_Metrics_2023_Consol[[#This Row],[Tangible fixed assets: Housing properties at cost (Current period)2]], VfM_Metrics_2023_Consol[[#This Row],[Tangible fixed assets Housing properties at valuation (Current period)2]] )</f>
        <v>145792</v>
      </c>
      <c r="AM153" s="84" vm="3673">
        <v>145792</v>
      </c>
      <c r="AN153" s="83" vm="3674">
        <v>0</v>
      </c>
      <c r="AO153" s="87">
        <f xml:space="preserve"> IFERROR( VfM_Metrics_2023_Consol[[#This Row],[EBITDA MRI]] / VfM_Metrics_2023_Consol[[#This Row],[Total interest]], "n/a" )</f>
        <v>2.0579119086460032</v>
      </c>
      <c r="AP15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2523</v>
      </c>
      <c r="AQ153" s="84" vm="3683">
        <v>3524</v>
      </c>
      <c r="AR153" s="84" vm="3684">
        <v>0</v>
      </c>
      <c r="AS153" s="84" vm="3685">
        <v>0</v>
      </c>
      <c r="AT153" s="84" vm="3686">
        <v>2465</v>
      </c>
      <c r="AU153" s="84" vm="3687">
        <v>0</v>
      </c>
      <c r="AV153" s="84" vm="3688">
        <v>64</v>
      </c>
      <c r="AW153" s="84" vm="3689">
        <v>2931</v>
      </c>
      <c r="AX153" s="84" vm="7558">
        <v>4331</v>
      </c>
      <c r="AY153" s="3">
        <f xml:space="preserve"> - SUM( VfM_Metrics_2023_Consol[[#This Row],[Interest capitalised]], VfM_Metrics_2023_Consol[[#This Row],[Interest payable and financing costs]] )</f>
        <v>1226</v>
      </c>
      <c r="AZ153" s="84" vm="3690">
        <v>0</v>
      </c>
      <c r="BA153" s="83" vm="3691">
        <v>-1226</v>
      </c>
      <c r="BB153" s="8">
        <f xml:space="preserve"> IFERROR( ( VfM_Metrics_2023_Consol[[#This Row],[Total Costs]] / VfM_Metrics_2023_Consol[[#This Row],[Total units for costs]] ) * 1000, "n/a" )</f>
        <v>7795.4168967421319</v>
      </c>
      <c r="BC15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28235</v>
      </c>
      <c r="BD153" s="84" vm="3692">
        <v>7049</v>
      </c>
      <c r="BE153" s="83" vm="3693">
        <v>10310</v>
      </c>
      <c r="BF153" s="83" vm="3694">
        <v>4482</v>
      </c>
      <c r="BG153" s="83" vm="3695">
        <v>0</v>
      </c>
      <c r="BH153" s="83" vm="3696">
        <v>257</v>
      </c>
      <c r="BI153" s="83" vm="3697">
        <v>0</v>
      </c>
      <c r="BJ153" s="83" vm="7072">
        <v>2931</v>
      </c>
      <c r="BK153" s="83" vm="7537">
        <v>249</v>
      </c>
      <c r="BL153" s="83" vm="3698">
        <v>0</v>
      </c>
      <c r="BM153" s="83" vm="3699">
        <v>0</v>
      </c>
      <c r="BN153" s="83" vm="7304">
        <v>426</v>
      </c>
      <c r="BO153" s="83" vm="3700">
        <v>2531</v>
      </c>
      <c r="BP153" s="5" vm="3669">
        <f xml:space="preserve"> VfM_Metrics_2023_Consol[[#This Row],[Total social housing units owned and/or managed at period end]]</f>
        <v>3622</v>
      </c>
      <c r="BQ153" s="84" vm="3669">
        <v>3622</v>
      </c>
      <c r="BR153" s="7">
        <f xml:space="preserve"> IFERROR( VfM_Metrics_2023_Consol[[#This Row],[SHL operating surplus / (deficit)]] / VfM_Metrics_2023_Consol[[#This Row],[Turnover from social housing lettings]], "n/a" )</f>
        <v>5.2166224580017684E-2</v>
      </c>
      <c r="BS153" s="5" vm="3701">
        <f xml:space="preserve"> VfM_Metrics_2023_Consol[[#This Row],[Operating surplus/(deficit) (social housing lettings)]]</f>
        <v>1475</v>
      </c>
      <c r="BT153" s="84" vm="3701">
        <v>1475</v>
      </c>
      <c r="BU153" s="5" vm="7707">
        <f xml:space="preserve"> VfM_Metrics_2023_Consol[[#This Row],[Turnover from social housing lettings]]</f>
        <v>28275</v>
      </c>
      <c r="BV153" s="84" vm="7707">
        <v>28275</v>
      </c>
      <c r="BW153" s="7">
        <f xml:space="preserve"> IFERROR( VfM_Metrics_2023_Consol[[#This Row],[Net operating surplus]] / VfM_Metrics_2023_Consol[[#This Row],[Overall turnover]], "n/a" )</f>
        <v>0.10489656198839113</v>
      </c>
      <c r="BX153" s="5">
        <f xml:space="preserve"> SUM( VfM_Metrics_2023_Consol[[#This Row],[Operating surplus/(deficit) (overall)2]], - VfM_Metrics_2023_Consol[[#This Row],[Gain/(loss) on disposal of fixed assets (housing properties)2]], - VfM_Metrics_2023_Consol[[#This Row],[Gain/(loss) on disposal of fixed assets (other)2]] )</f>
        <v>3524</v>
      </c>
      <c r="BY153" s="84" vm="3683">
        <v>3524</v>
      </c>
      <c r="BZ153" s="83" vm="7557">
        <v>0</v>
      </c>
      <c r="CA153" s="83" vm="3685">
        <v>0</v>
      </c>
      <c r="CB153" s="5" vm="3702">
        <f xml:space="preserve"> VfM_Metrics_2023_Consol[[#This Row],[Turnover (overall)]]</f>
        <v>33595</v>
      </c>
      <c r="CC153" s="84" vm="3702">
        <v>33595</v>
      </c>
      <c r="CD153" s="7">
        <f xml:space="preserve"> IFERROR( VfM_Metrics_2023_Consol[[#This Row],[Operating surplus including from JVs]] / VfM_Metrics_2023_Consol[[#This Row],[Net assets]], "n/a" )</f>
        <v>1.9991944222248696E-2</v>
      </c>
      <c r="CE153" s="5">
        <f xml:space="preserve"> SUM( VfM_Metrics_2023_Consol[[#This Row],[Operating surplus/(deficit) (overall)3]], VfM_Metrics_2023_Consol[[#This Row],[Share of operating surplus/(deficit) in joint ventures or associates]] )</f>
        <v>3524</v>
      </c>
      <c r="CF153" s="84" vm="7198">
        <v>3524</v>
      </c>
      <c r="CG153" s="83" vm="3704">
        <v>0</v>
      </c>
      <c r="CH153" s="5" vm="3703">
        <f xml:space="preserve"> VfM_Metrics_2023_Consol[[#This Row],[Total assets less current liabilities]]</f>
        <v>176271</v>
      </c>
      <c r="CI153" s="84" vm="3703">
        <v>176271</v>
      </c>
      <c r="CJ153" s="71" vm="3668">
        <f xml:space="preserve"> VfM_Metrics_2023_Consol[[#This Row],[Total social housing units owned (Period end)]]</f>
        <v>3612</v>
      </c>
      <c r="CK153" s="103">
        <v>0.54872226902555465</v>
      </c>
      <c r="CL153" s="6">
        <f xml:space="preserve"> -- ( VfM_Metrics_2023_Consol[[#This Row],[% Supported housing (excl. HOP)]] &gt; 0.3 )</f>
        <v>1</v>
      </c>
      <c r="CM153" s="103">
        <v>8.1156978376860436E-2</v>
      </c>
      <c r="CN153" s="6">
        <f xml:space="preserve"> -- ( VfM_Metrics_2023_Consol[[#This Row],[% Housing for older people]] &gt; 0.3 )</f>
        <v>0</v>
      </c>
      <c r="CO153" s="103">
        <f xml:space="preserve"> VfM_Metrics_2023_Consol[[#This Row],[% Supported housing (excl. HOP)]] + VfM_Metrics_2023_Consol[[#This Row],[% Housing for older people]]</f>
        <v>0.62987924740241508</v>
      </c>
      <c r="CP153" s="6">
        <f xml:space="preserve"> -- ( VfM_Metrics_2023_Consol[[#This Row],[SH specialist in RSH analysis]] + VfM_Metrics_2023_Consol[[#This Row],[OP specialist in RSH analysis]] &gt; 0 )</f>
        <v>1</v>
      </c>
      <c r="CQ153" s="10">
        <f xml:space="preserve"> -- ( VfM_Metrics_2023_Consol[[#This Row],[% SH and OP]] &gt; 0.3 )</f>
        <v>1</v>
      </c>
      <c r="CR153" s="104" t="s">
        <v>143</v>
      </c>
      <c r="CS153" s="124" t="s">
        <v>144</v>
      </c>
      <c r="CT153" s="105"/>
      <c r="CU15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53" s="85">
        <v>0.19681002563372257</v>
      </c>
      <c r="CW153" s="85">
        <v>9.6268869268014812E-2</v>
      </c>
      <c r="CX153" s="85">
        <v>0.13101680432925092</v>
      </c>
      <c r="CY153" s="85">
        <v>4.8704072913699797E-2</v>
      </c>
      <c r="CZ153" s="85">
        <v>5.8103104528624321E-2</v>
      </c>
      <c r="DA153" s="85">
        <v>0.11478211335801766</v>
      </c>
      <c r="DB153" s="85">
        <v>3.7880945599544288E-2</v>
      </c>
      <c r="DC153" s="85">
        <v>0.23241241811449728</v>
      </c>
      <c r="DD153" s="85">
        <v>8.402164625462831E-2</v>
      </c>
      <c r="DE153" s="13">
        <v>1.0107412609050077</v>
      </c>
    </row>
    <row r="154" spans="1:109" x14ac:dyDescent="0.25">
      <c r="A154" s="4" t="s" vm="251">
        <v>432</v>
      </c>
      <c r="B154" s="2" t="s" vm="144">
        <v>433</v>
      </c>
      <c r="C154" s="72" vm="567">
        <v>45016</v>
      </c>
      <c r="D154" s="7">
        <f>IFERROR( VfM_Metrics_2023_Consol[[#This Row],[Reinvestment Spend]] / VfM_Metrics_2023_Consol[[#This Row],[Net Book Value of Housing Properties]], "n/a" )</f>
        <v>3.1208639152929853E-2</v>
      </c>
      <c r="E15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207500</v>
      </c>
      <c r="F154" s="83" vm="1774">
        <v>93300</v>
      </c>
      <c r="G154" s="83" vm="8272">
        <v>0</v>
      </c>
      <c r="H154" s="83" vm="1775">
        <v>101100</v>
      </c>
      <c r="I154" s="83" vm="1776">
        <v>13100</v>
      </c>
      <c r="J154" s="83" vm="1777">
        <v>0</v>
      </c>
      <c r="K154" s="5">
        <f xml:space="preserve"> SUM( VfM_Metrics_2023_Consol[[#This Row],[Tangible fixed assets: Housing properties at cost (Current period)]],VfM_Metrics_2023_Consol[[#This Row],[Tangible fixed assets Housing properties at valuation (Current period)]] )</f>
        <v>6648800</v>
      </c>
      <c r="L154" s="84" vm="8261">
        <v>6648800</v>
      </c>
      <c r="M154" s="83" vm="1779">
        <v>0</v>
      </c>
      <c r="N154" s="7">
        <f xml:space="preserve"> IFERROR( VfM_Metrics_2023_Consol[[#This Row],[Total social units developed or newly built units acquired in-year]] / VfM_Metrics_2023_Consol[[#This Row],[Social housing units owned (period end)]], "n/a" )</f>
        <v>8.4471199597959852E-3</v>
      </c>
      <c r="O154" s="5">
        <f xml:space="preserve"> SUM( VfM_Metrics_2023_Consol[[#This Row],[Total social units developed or newly built units acquired in-year (owned)]], VfM_Metrics_2023_Consol[[#This Row],[Total social leasehold units developed or newly built units acquired in-year (owned)]] )</f>
        <v>790</v>
      </c>
      <c r="P154" s="84" vm="1780">
        <v>789</v>
      </c>
      <c r="Q154" s="83" vm="8119">
        <v>1</v>
      </c>
      <c r="R154" s="5">
        <f xml:space="preserve"> SUM( VfM_Metrics_2023_Consol[[#This Row],[Total social housing units owned (Period end)]], VfM_Metrics_2023_Consol[[#This Row],[Total social leasehold units owned (Period end)]] )</f>
        <v>93523</v>
      </c>
      <c r="S154" s="84" vm="1772">
        <v>88889</v>
      </c>
      <c r="T154" s="83" vm="1781">
        <v>4634</v>
      </c>
      <c r="U154" s="86">
        <f xml:space="preserve"> IFERROR( VfM_Metrics_2023_Consol[[#This Row],[Total non-social housing units developed or newly built units acquired (owned)]] / VfM_Metrics_2023_Consol[[#This Row],[Total social and non-social housing units owned (Period end)]], "n/a" )</f>
        <v>9.5875661251814057E-3</v>
      </c>
      <c r="V15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1024</v>
      </c>
      <c r="W154" s="83" vm="1782">
        <v>574</v>
      </c>
      <c r="X154" s="83" vm="1783">
        <v>80</v>
      </c>
      <c r="Y154" s="83" vm="8117">
        <v>370</v>
      </c>
      <c r="Z15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106805</v>
      </c>
      <c r="AA154" s="84" vm="8256">
        <v>88889</v>
      </c>
      <c r="AB154" s="83" vm="1653">
        <v>4634</v>
      </c>
      <c r="AC154" s="83" vm="1784">
        <v>11485</v>
      </c>
      <c r="AD154" s="83" vm="7854">
        <v>1797</v>
      </c>
      <c r="AE154" s="7">
        <f xml:space="preserve"> IFERROR( VfM_Metrics_2023_Consol[[#This Row],[Total Net Debt]] / VfM_Metrics_2023_Consol[[#This Row],[Net Book Value of Housing Properties2]], "n/a" )</f>
        <v>0.53742028636746486</v>
      </c>
      <c r="AF15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3573200</v>
      </c>
      <c r="AG154" s="84" vm="8054">
        <v>236700</v>
      </c>
      <c r="AH154" s="83" vm="8115">
        <v>3333000</v>
      </c>
      <c r="AI154" s="83" vm="7999">
        <v>180100</v>
      </c>
      <c r="AJ154" s="83" vm="2101">
        <v>0</v>
      </c>
      <c r="AK154" s="83" vm="8262">
        <v>183600</v>
      </c>
      <c r="AL154" s="5">
        <f xml:space="preserve"> SUM( VfM_Metrics_2023_Consol[[#This Row],[Tangible fixed assets: Housing properties at cost (Current period)2]], VfM_Metrics_2023_Consol[[#This Row],[Tangible fixed assets Housing properties at valuation (Current period)2]] )</f>
        <v>6648800</v>
      </c>
      <c r="AM154" s="84" vm="8184">
        <v>6648800</v>
      </c>
      <c r="AN154" s="83" vm="1894">
        <v>0</v>
      </c>
      <c r="AO154" s="87">
        <f xml:space="preserve"> IFERROR( VfM_Metrics_2023_Consol[[#This Row],[EBITDA MRI]] / VfM_Metrics_2023_Consol[[#This Row],[Total interest]], "n/a" )</f>
        <v>1.1620712844653664</v>
      </c>
      <c r="AP15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172800</v>
      </c>
      <c r="AQ154" s="84" vm="8239">
        <v>195400</v>
      </c>
      <c r="AR154" s="84" vm="1786">
        <v>9300</v>
      </c>
      <c r="AS154" s="84" vm="8012">
        <v>1600</v>
      </c>
      <c r="AT154" s="84" vm="1787">
        <v>0</v>
      </c>
      <c r="AU154" s="84" vm="1788">
        <v>0</v>
      </c>
      <c r="AV154" s="84" vm="1789">
        <v>3900</v>
      </c>
      <c r="AW154" s="84" vm="7998">
        <v>96300</v>
      </c>
      <c r="AX154" s="84" vm="1791">
        <v>80700</v>
      </c>
      <c r="AY154" s="3">
        <f xml:space="preserve"> - SUM( VfM_Metrics_2023_Consol[[#This Row],[Interest capitalised]], VfM_Metrics_2023_Consol[[#This Row],[Interest payable and financing costs]] )</f>
        <v>148700</v>
      </c>
      <c r="AZ154" s="84" vm="8204">
        <v>-13100</v>
      </c>
      <c r="BA154" s="83" vm="1792">
        <v>-135600</v>
      </c>
      <c r="BB154" s="8">
        <f xml:space="preserve"> IFERROR( ( VfM_Metrics_2023_Consol[[#This Row],[Total Costs]] / VfM_Metrics_2023_Consol[[#This Row],[Total units for costs]] ) * 1000, "n/a" )</f>
        <v>4750.2119647202608</v>
      </c>
      <c r="BC15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431400</v>
      </c>
      <c r="BD154" s="84" vm="1793">
        <v>66400</v>
      </c>
      <c r="BE154" s="83" vm="7996">
        <v>75800</v>
      </c>
      <c r="BF154" s="83" vm="7853">
        <v>98600</v>
      </c>
      <c r="BG154" s="83" vm="8210">
        <v>34200</v>
      </c>
      <c r="BH154" s="83" vm="1794">
        <v>0</v>
      </c>
      <c r="BI154" s="83" vm="8149">
        <v>0</v>
      </c>
      <c r="BJ154" s="83" vm="1790">
        <v>96300</v>
      </c>
      <c r="BK154" s="83" vm="1795">
        <v>0</v>
      </c>
      <c r="BL154" s="83" vm="8112">
        <v>5000</v>
      </c>
      <c r="BM154" s="83" vm="8245">
        <v>1400</v>
      </c>
      <c r="BN154" s="83" vm="1796">
        <v>11500</v>
      </c>
      <c r="BO154" s="83" vm="8009">
        <v>42200</v>
      </c>
      <c r="BP154" s="5" vm="1773">
        <f xml:space="preserve"> VfM_Metrics_2023_Consol[[#This Row],[Total social housing units owned and/or managed at period end]]</f>
        <v>90817</v>
      </c>
      <c r="BQ154" s="84" vm="1773">
        <v>90817</v>
      </c>
      <c r="BR154" s="7">
        <f xml:space="preserve"> IFERROR( VfM_Metrics_2023_Consol[[#This Row],[SHL operating surplus / (deficit)]] / VfM_Metrics_2023_Consol[[#This Row],[Turnover from social housing lettings]], "n/a" )</f>
        <v>0.33072365636902246</v>
      </c>
      <c r="BS154" s="5" vm="1797">
        <f xml:space="preserve"> VfM_Metrics_2023_Consol[[#This Row],[Operating surplus/(deficit) (social housing lettings)]]</f>
        <v>156300</v>
      </c>
      <c r="BT154" s="84" vm="1797">
        <v>156300</v>
      </c>
      <c r="BU154" s="5" vm="1798">
        <f xml:space="preserve"> VfM_Metrics_2023_Consol[[#This Row],[Turnover from social housing lettings]]</f>
        <v>472600</v>
      </c>
      <c r="BV154" s="84" vm="1798">
        <v>472600</v>
      </c>
      <c r="BW154" s="7">
        <f xml:space="preserve"> IFERROR( VfM_Metrics_2023_Consol[[#This Row],[Net operating surplus]] / VfM_Metrics_2023_Consol[[#This Row],[Overall turnover]], "n/a" )</f>
        <v>0.19548633184996822</v>
      </c>
      <c r="BX154" s="5">
        <f xml:space="preserve"> SUM( VfM_Metrics_2023_Consol[[#This Row],[Operating surplus/(deficit) (overall)2]], - VfM_Metrics_2023_Consol[[#This Row],[Gain/(loss) on disposal of fixed assets (housing properties)2]], - VfM_Metrics_2023_Consol[[#This Row],[Gain/(loss) on disposal of fixed assets (other)2]] )</f>
        <v>184500</v>
      </c>
      <c r="BY154" s="84" vm="8031">
        <v>195400</v>
      </c>
      <c r="BZ154" s="83" vm="7823">
        <v>9300</v>
      </c>
      <c r="CA154" s="83" vm="2024">
        <v>1600</v>
      </c>
      <c r="CB154" s="5" vm="1799">
        <f xml:space="preserve"> VfM_Metrics_2023_Consol[[#This Row],[Turnover (overall)]]</f>
        <v>943800</v>
      </c>
      <c r="CC154" s="84" vm="1799">
        <v>943800</v>
      </c>
      <c r="CD154" s="7">
        <f xml:space="preserve"> IFERROR( VfM_Metrics_2023_Consol[[#This Row],[Operating surplus including from JVs]] / VfM_Metrics_2023_Consol[[#This Row],[Net assets]], "n/a" )</f>
        <v>2.8162257495590828E-2</v>
      </c>
      <c r="CE154" s="5">
        <f xml:space="preserve"> SUM( VfM_Metrics_2023_Consol[[#This Row],[Operating surplus/(deficit) (overall)3]], VfM_Metrics_2023_Consol[[#This Row],[Share of operating surplus/(deficit) in joint ventures or associates]] )</f>
        <v>199600</v>
      </c>
      <c r="CF154" s="84" vm="1785">
        <v>195400</v>
      </c>
      <c r="CG154" s="83" vm="1381">
        <v>4200</v>
      </c>
      <c r="CH154" s="5" vm="8034">
        <f xml:space="preserve"> VfM_Metrics_2023_Consol[[#This Row],[Total assets less current liabilities]]</f>
        <v>7087500</v>
      </c>
      <c r="CI154" s="84" vm="8034">
        <v>7087500</v>
      </c>
      <c r="CJ154" s="71" vm="1772">
        <f xml:space="preserve"> VfM_Metrics_2023_Consol[[#This Row],[Total social housing units owned (Period end)]]</f>
        <v>88889</v>
      </c>
      <c r="CK154" s="103">
        <v>5.5806881768671879E-2</v>
      </c>
      <c r="CL154" s="6">
        <f xml:space="preserve"> -- ( VfM_Metrics_2023_Consol[[#This Row],[% Supported housing (excl. HOP)]] &gt; 0.3 )</f>
        <v>0</v>
      </c>
      <c r="CM154" s="103">
        <v>0.12948492665844144</v>
      </c>
      <c r="CN154" s="6">
        <f xml:space="preserve"> -- ( VfM_Metrics_2023_Consol[[#This Row],[% Housing for older people]] &gt; 0.3 )</f>
        <v>0</v>
      </c>
      <c r="CO154" s="103">
        <f xml:space="preserve"> VfM_Metrics_2023_Consol[[#This Row],[% Supported housing (excl. HOP)]] + VfM_Metrics_2023_Consol[[#This Row],[% Housing for older people]]</f>
        <v>0.18529180842711332</v>
      </c>
      <c r="CP154" s="6">
        <f xml:space="preserve"> -- ( VfM_Metrics_2023_Consol[[#This Row],[SH specialist in RSH analysis]] + VfM_Metrics_2023_Consol[[#This Row],[OP specialist in RSH analysis]] &gt; 0 )</f>
        <v>0</v>
      </c>
      <c r="CQ154" s="10">
        <f xml:space="preserve"> -- ( VfM_Metrics_2023_Consol[[#This Row],[% SH and OP]] &gt; 0.3 )</f>
        <v>0</v>
      </c>
      <c r="CR154" s="104" t="s">
        <v>143</v>
      </c>
      <c r="CS154" s="124" t="s">
        <v>144</v>
      </c>
      <c r="CT154" s="105"/>
      <c r="CU15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54" s="85">
        <v>0.13272325497197218</v>
      </c>
      <c r="CW154" s="85">
        <v>0.13311027603340866</v>
      </c>
      <c r="CX154" s="85">
        <v>0.13147479993508035</v>
      </c>
      <c r="CY154" s="85">
        <v>1.4244871970935966E-2</v>
      </c>
      <c r="CZ154" s="85">
        <v>0.12418382251963196</v>
      </c>
      <c r="DA154" s="85">
        <v>0.22580806252262825</v>
      </c>
      <c r="DB154" s="85">
        <v>1.0986404324648247E-3</v>
      </c>
      <c r="DC154" s="85">
        <v>0.1248829573402914</v>
      </c>
      <c r="DD154" s="85">
        <v>0.11247331427358644</v>
      </c>
      <c r="DE154" s="13">
        <v>1.0086520937448367</v>
      </c>
    </row>
    <row r="155" spans="1:109" x14ac:dyDescent="0.25">
      <c r="A155" s="4" t="s" vm="358">
        <v>434</v>
      </c>
      <c r="B155" s="2" t="s" vm="145">
        <v>435</v>
      </c>
      <c r="C155" s="72" vm="575">
        <v>45016</v>
      </c>
      <c r="D155" s="7">
        <f>IFERROR( VfM_Metrics_2023_Consol[[#This Row],[Reinvestment Spend]] / VfM_Metrics_2023_Consol[[#This Row],[Net Book Value of Housing Properties]], "n/a" )</f>
        <v>7.4152056594804686E-2</v>
      </c>
      <c r="E15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26519</v>
      </c>
      <c r="F155" s="83" vm="5365">
        <v>20616</v>
      </c>
      <c r="G155" s="83" vm="5366">
        <v>0</v>
      </c>
      <c r="H155" s="83" vm="5367">
        <v>4895</v>
      </c>
      <c r="I155" s="83" vm="7191">
        <v>1008</v>
      </c>
      <c r="J155" s="83" vm="7174">
        <v>0</v>
      </c>
      <c r="K155" s="5">
        <f xml:space="preserve"> SUM( VfM_Metrics_2023_Consol[[#This Row],[Tangible fixed assets: Housing properties at cost (Current period)]],VfM_Metrics_2023_Consol[[#This Row],[Tangible fixed assets Housing properties at valuation (Current period)]] )</f>
        <v>357630</v>
      </c>
      <c r="L155" s="84" vm="5368">
        <v>357630</v>
      </c>
      <c r="M155" s="83" vm="5369">
        <v>0</v>
      </c>
      <c r="N155" s="7">
        <f xml:space="preserve"> IFERROR( VfM_Metrics_2023_Consol[[#This Row],[Total social units developed or newly built units acquired in-year]] / VfM_Metrics_2023_Consol[[#This Row],[Social housing units owned (period end)]], "n/a" )</f>
        <v>1.5074626865671641E-2</v>
      </c>
      <c r="O155" s="5">
        <f xml:space="preserve"> SUM( VfM_Metrics_2023_Consol[[#This Row],[Total social units developed or newly built units acquired in-year (owned)]], VfM_Metrics_2023_Consol[[#This Row],[Total social leasehold units developed or newly built units acquired in-year (owned)]] )</f>
        <v>101</v>
      </c>
      <c r="P155" s="84" vm="5370">
        <v>101</v>
      </c>
      <c r="Q155" s="83" vm="5371">
        <v>0</v>
      </c>
      <c r="R155" s="5">
        <f xml:space="preserve"> SUM( VfM_Metrics_2023_Consol[[#This Row],[Total social housing units owned (Period end)]], VfM_Metrics_2023_Consol[[#This Row],[Total social leasehold units owned (Period end)]] )</f>
        <v>6700</v>
      </c>
      <c r="S155" s="84" vm="5363">
        <v>6164</v>
      </c>
      <c r="T155" s="83" vm="5372">
        <v>536</v>
      </c>
      <c r="U155" s="86">
        <f xml:space="preserve"> IFERROR( VfM_Metrics_2023_Consol[[#This Row],[Total non-social housing units developed or newly built units acquired (owned)]] / VfM_Metrics_2023_Consol[[#This Row],[Total social and non-social housing units owned (Period end)]], "n/a" )</f>
        <v>0</v>
      </c>
      <c r="V15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55" s="83" vm="5373">
        <v>0</v>
      </c>
      <c r="X155" s="83" vm="5374">
        <v>0</v>
      </c>
      <c r="Y155" s="83" vm="6922">
        <v>0</v>
      </c>
      <c r="Z15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6808</v>
      </c>
      <c r="AA155" s="84" vm="5363">
        <v>6164</v>
      </c>
      <c r="AB155" s="83" vm="5372">
        <v>536</v>
      </c>
      <c r="AC155" s="83" vm="5375">
        <v>108</v>
      </c>
      <c r="AD155" s="83" vm="6948">
        <v>0</v>
      </c>
      <c r="AE155" s="7">
        <f xml:space="preserve"> IFERROR( VfM_Metrics_2023_Consol[[#This Row],[Total Net Debt]] / VfM_Metrics_2023_Consol[[#This Row],[Net Book Value of Housing Properties2]], "n/a" )</f>
        <v>0.67083298381008305</v>
      </c>
      <c r="AF15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239910</v>
      </c>
      <c r="AG155" s="84" vm="5376">
        <v>0</v>
      </c>
      <c r="AH155" s="83" vm="7316">
        <v>260527</v>
      </c>
      <c r="AI155" s="83" vm="5377">
        <v>20617</v>
      </c>
      <c r="AJ155" s="83" vm="5378">
        <v>0</v>
      </c>
      <c r="AK155" s="83" vm="5379">
        <v>0</v>
      </c>
      <c r="AL155" s="5">
        <f xml:space="preserve"> SUM( VfM_Metrics_2023_Consol[[#This Row],[Tangible fixed assets: Housing properties at cost (Current period)2]], VfM_Metrics_2023_Consol[[#This Row],[Tangible fixed assets Housing properties at valuation (Current period)2]] )</f>
        <v>357630</v>
      </c>
      <c r="AM155" s="84" vm="5368">
        <v>357630</v>
      </c>
      <c r="AN155" s="83" vm="5369">
        <v>0</v>
      </c>
      <c r="AO155" s="87">
        <f xml:space="preserve"> IFERROR( VfM_Metrics_2023_Consol[[#This Row],[EBITDA MRI]] / VfM_Metrics_2023_Consol[[#This Row],[Total interest]], "n/a" )</f>
        <v>1.4890007661157929</v>
      </c>
      <c r="AP15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13605</v>
      </c>
      <c r="AQ155" s="84" vm="5380">
        <v>14689</v>
      </c>
      <c r="AR155" s="84" vm="5381">
        <v>3471</v>
      </c>
      <c r="AS155" s="84" vm="5382">
        <v>0</v>
      </c>
      <c r="AT155" s="84" vm="5383">
        <v>678</v>
      </c>
      <c r="AU155" s="84" vm="5384">
        <v>0</v>
      </c>
      <c r="AV155" s="84" vm="5385">
        <v>114</v>
      </c>
      <c r="AW155" s="84" vm="5386">
        <v>4895</v>
      </c>
      <c r="AX155" s="84" vm="5387">
        <v>7846</v>
      </c>
      <c r="AY155" s="3">
        <f xml:space="preserve"> - SUM( VfM_Metrics_2023_Consol[[#This Row],[Interest capitalised]], VfM_Metrics_2023_Consol[[#This Row],[Interest payable and financing costs]] )</f>
        <v>9137</v>
      </c>
      <c r="AZ155" s="84" vm="5388">
        <v>-1008</v>
      </c>
      <c r="BA155" s="83" vm="5389">
        <v>-8129</v>
      </c>
      <c r="BB155" s="8">
        <f xml:space="preserve"> IFERROR( ( VfM_Metrics_2023_Consol[[#This Row],[Total Costs]] / VfM_Metrics_2023_Consol[[#This Row],[Total units for costs]] ) * 1000, "n/a" )</f>
        <v>5392.6390228222435</v>
      </c>
      <c r="BC15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33553</v>
      </c>
      <c r="BD155" s="84" vm="4139">
        <v>4433</v>
      </c>
      <c r="BE155" s="83" vm="5390">
        <v>9224</v>
      </c>
      <c r="BF155" s="83" vm="5391">
        <v>6121</v>
      </c>
      <c r="BG155" s="83" vm="5392">
        <v>5260</v>
      </c>
      <c r="BH155" s="83" vm="5393">
        <v>1930</v>
      </c>
      <c r="BI155" s="83" vm="5394">
        <v>0</v>
      </c>
      <c r="BJ155" s="83" vm="7314">
        <v>4895</v>
      </c>
      <c r="BK155" s="83" vm="5395">
        <v>1690</v>
      </c>
      <c r="BL155" s="83" vm="5396">
        <v>0</v>
      </c>
      <c r="BM155" s="83" vm="5397">
        <v>0</v>
      </c>
      <c r="BN155" s="83" vm="6918">
        <v>0</v>
      </c>
      <c r="BO155" s="83" vm="7147">
        <v>0</v>
      </c>
      <c r="BP155" s="5" vm="5364">
        <f xml:space="preserve"> VfM_Metrics_2023_Consol[[#This Row],[Total social housing units owned and/or managed at period end]]</f>
        <v>6222</v>
      </c>
      <c r="BQ155" s="84" vm="5364">
        <v>6222</v>
      </c>
      <c r="BR155" s="7">
        <f xml:space="preserve"> IFERROR( VfM_Metrics_2023_Consol[[#This Row],[SHL operating surplus / (deficit)]] / VfM_Metrics_2023_Consol[[#This Row],[Turnover from social housing lettings]], "n/a" )</f>
        <v>0.20007025401216272</v>
      </c>
      <c r="BS155" s="5" vm="7149">
        <f xml:space="preserve"> VfM_Metrics_2023_Consol[[#This Row],[Operating surplus/(deficit) (social housing lettings)]]</f>
        <v>9113</v>
      </c>
      <c r="BT155" s="84" vm="7149">
        <v>9113</v>
      </c>
      <c r="BU155" s="5" vm="5398">
        <f xml:space="preserve"> VfM_Metrics_2023_Consol[[#This Row],[Turnover from social housing lettings]]</f>
        <v>45549</v>
      </c>
      <c r="BV155" s="84" vm="5398">
        <v>45549</v>
      </c>
      <c r="BW155" s="7">
        <f xml:space="preserve"> IFERROR( VfM_Metrics_2023_Consol[[#This Row],[Net operating surplus]] / VfM_Metrics_2023_Consol[[#This Row],[Overall turnover]], "n/a" )</f>
        <v>0.22320824545346016</v>
      </c>
      <c r="BX155" s="5">
        <f xml:space="preserve"> SUM( VfM_Metrics_2023_Consol[[#This Row],[Operating surplus/(deficit) (overall)2]], - VfM_Metrics_2023_Consol[[#This Row],[Gain/(loss) on disposal of fixed assets (housing properties)2]], - VfM_Metrics_2023_Consol[[#This Row],[Gain/(loss) on disposal of fixed assets (other)2]] )</f>
        <v>11218</v>
      </c>
      <c r="BY155" s="84" vm="5380">
        <v>14689</v>
      </c>
      <c r="BZ155" s="83" vm="5381">
        <v>3471</v>
      </c>
      <c r="CA155" s="83" vm="5382">
        <v>0</v>
      </c>
      <c r="CB155" s="5" vm="5399">
        <f xml:space="preserve"> VfM_Metrics_2023_Consol[[#This Row],[Turnover (overall)]]</f>
        <v>50258</v>
      </c>
      <c r="CC155" s="84" vm="5399">
        <v>50258</v>
      </c>
      <c r="CD155" s="7">
        <f xml:space="preserve"> IFERROR( VfM_Metrics_2023_Consol[[#This Row],[Operating surplus including from JVs]] / VfM_Metrics_2023_Consol[[#This Row],[Net assets]], "n/a" )</f>
        <v>3.5869697931674438E-2</v>
      </c>
      <c r="CE155" s="5">
        <f xml:space="preserve"> SUM( VfM_Metrics_2023_Consol[[#This Row],[Operating surplus/(deficit) (overall)3]], VfM_Metrics_2023_Consol[[#This Row],[Share of operating surplus/(deficit) in joint ventures or associates]] )</f>
        <v>14689</v>
      </c>
      <c r="CF155" s="84" vm="5380">
        <v>14689</v>
      </c>
      <c r="CG155" s="83" vm="3667">
        <v>0</v>
      </c>
      <c r="CH155" s="5" vm="5400">
        <f xml:space="preserve"> VfM_Metrics_2023_Consol[[#This Row],[Total assets less current liabilities]]</f>
        <v>409510</v>
      </c>
      <c r="CI155" s="84" vm="5400">
        <v>409510</v>
      </c>
      <c r="CJ155" s="71" vm="5363">
        <f xml:space="preserve"> VfM_Metrics_2023_Consol[[#This Row],[Total social housing units owned (Period end)]]</f>
        <v>6164</v>
      </c>
      <c r="CK155" s="103">
        <v>3.114754098360656E-3</v>
      </c>
      <c r="CL155" s="6">
        <f xml:space="preserve"> -- ( VfM_Metrics_2023_Consol[[#This Row],[% Supported housing (excl. HOP)]] &gt; 0.3 )</f>
        <v>0</v>
      </c>
      <c r="CM155" s="103">
        <v>0.20885245901639343</v>
      </c>
      <c r="CN155" s="6">
        <f xml:space="preserve"> -- ( VfM_Metrics_2023_Consol[[#This Row],[% Housing for older people]] &gt; 0.3 )</f>
        <v>0</v>
      </c>
      <c r="CO155" s="103">
        <f xml:space="preserve"> VfM_Metrics_2023_Consol[[#This Row],[% Supported housing (excl. HOP)]] + VfM_Metrics_2023_Consol[[#This Row],[% Housing for older people]]</f>
        <v>0.21196721311475408</v>
      </c>
      <c r="CP155" s="6">
        <f xml:space="preserve"> -- ( VfM_Metrics_2023_Consol[[#This Row],[SH specialist in RSH analysis]] + VfM_Metrics_2023_Consol[[#This Row],[OP specialist in RSH analysis]] &gt; 0 )</f>
        <v>0</v>
      </c>
      <c r="CQ155" s="10">
        <f xml:space="preserve"> -- ( VfM_Metrics_2023_Consol[[#This Row],[% SH and OP]] &gt; 0.3 )</f>
        <v>0</v>
      </c>
      <c r="CR155" s="104" t="s">
        <v>143</v>
      </c>
      <c r="CS155" s="124"/>
      <c r="CT155" s="105" t="s">
        <v>151</v>
      </c>
      <c r="CU15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55" s="85">
        <v>0</v>
      </c>
      <c r="CW155" s="85">
        <v>1</v>
      </c>
      <c r="CX155" s="85">
        <v>0</v>
      </c>
      <c r="CY155" s="85">
        <v>0</v>
      </c>
      <c r="CZ155" s="85">
        <v>0</v>
      </c>
      <c r="DA155" s="85">
        <v>0</v>
      </c>
      <c r="DB155" s="85">
        <v>0</v>
      </c>
      <c r="DC155" s="85">
        <v>0</v>
      </c>
      <c r="DD155" s="85">
        <v>0</v>
      </c>
      <c r="DE155" s="13">
        <v>1.0337125580623883</v>
      </c>
    </row>
    <row r="156" spans="1:109" x14ac:dyDescent="0.25">
      <c r="A156" s="4" t="s" vm="375">
        <v>436</v>
      </c>
      <c r="B156" s="2" t="s" vm="146">
        <v>437</v>
      </c>
      <c r="C156" s="72" vm="448">
        <v>45016</v>
      </c>
      <c r="D156" s="7">
        <f>IFERROR( VfM_Metrics_2023_Consol[[#This Row],[Reinvestment Spend]] / VfM_Metrics_2023_Consol[[#This Row],[Net Book Value of Housing Properties]], "n/a" )</f>
        <v>7.0072373928431408E-2</v>
      </c>
      <c r="E15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33064</v>
      </c>
      <c r="F156" s="83" vm="7181">
        <v>3473</v>
      </c>
      <c r="G156" s="83" vm="5993">
        <v>24041</v>
      </c>
      <c r="H156" s="83" vm="5994">
        <v>4906</v>
      </c>
      <c r="I156" s="83" vm="5995">
        <v>644</v>
      </c>
      <c r="J156" s="83" vm="5996">
        <v>0</v>
      </c>
      <c r="K156" s="5">
        <f xml:space="preserve"> SUM( VfM_Metrics_2023_Consol[[#This Row],[Tangible fixed assets: Housing properties at cost (Current period)]],VfM_Metrics_2023_Consol[[#This Row],[Tangible fixed assets Housing properties at valuation (Current period)]] )</f>
        <v>471855</v>
      </c>
      <c r="L156" s="84" vm="6232">
        <v>471855</v>
      </c>
      <c r="M156" s="83" vm="5998">
        <v>0</v>
      </c>
      <c r="N156" s="7">
        <f xml:space="preserve"> IFERROR( VfM_Metrics_2023_Consol[[#This Row],[Total social units developed or newly built units acquired in-year]] / VfM_Metrics_2023_Consol[[#This Row],[Social housing units owned (period end)]], "n/a" )</f>
        <v>2.2266915673035483E-2</v>
      </c>
      <c r="O156" s="5">
        <f xml:space="preserve"> SUM( VfM_Metrics_2023_Consol[[#This Row],[Total social units developed or newly built units acquired in-year (owned)]], VfM_Metrics_2023_Consol[[#This Row],[Total social leasehold units developed or newly built units acquired in-year (owned)]] )</f>
        <v>155</v>
      </c>
      <c r="P156" s="84" vm="5999">
        <v>155</v>
      </c>
      <c r="Q156" s="83" vm="6000">
        <v>0</v>
      </c>
      <c r="R156" s="5">
        <f xml:space="preserve"> SUM( VfM_Metrics_2023_Consol[[#This Row],[Total social housing units owned (Period end)]], VfM_Metrics_2023_Consol[[#This Row],[Total social leasehold units owned (Period end)]] )</f>
        <v>6961</v>
      </c>
      <c r="S156" s="84" vm="5991">
        <v>6961</v>
      </c>
      <c r="T156" s="83" vm="6001">
        <v>0</v>
      </c>
      <c r="U156" s="86">
        <f xml:space="preserve"> IFERROR( VfM_Metrics_2023_Consol[[#This Row],[Total non-social housing units developed or newly built units acquired (owned)]] / VfM_Metrics_2023_Consol[[#This Row],[Total social and non-social housing units owned (Period end)]], "n/a" )</f>
        <v>0</v>
      </c>
      <c r="V15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56" s="83" vm="6002">
        <v>0</v>
      </c>
      <c r="X156" s="83" vm="6003">
        <v>0</v>
      </c>
      <c r="Y156" s="83" vm="6004">
        <v>0</v>
      </c>
      <c r="Z15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7053</v>
      </c>
      <c r="AA156" s="84" vm="5991">
        <v>6961</v>
      </c>
      <c r="AB156" s="83" vm="6001">
        <v>0</v>
      </c>
      <c r="AC156" s="83" vm="6005">
        <v>2</v>
      </c>
      <c r="AD156" s="83" vm="6006">
        <v>90</v>
      </c>
      <c r="AE156" s="7">
        <f xml:space="preserve"> IFERROR( VfM_Metrics_2023_Consol[[#This Row],[Total Net Debt]] / VfM_Metrics_2023_Consol[[#This Row],[Net Book Value of Housing Properties2]], "n/a" )</f>
        <v>0.33533394792891885</v>
      </c>
      <c r="AF15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158229</v>
      </c>
      <c r="AG156" s="84" vm="6007">
        <v>6849</v>
      </c>
      <c r="AH156" s="83" vm="7242">
        <v>160100</v>
      </c>
      <c r="AI156" s="83" vm="6008">
        <v>8720</v>
      </c>
      <c r="AJ156" s="83" vm="6009">
        <v>0</v>
      </c>
      <c r="AK156" s="83" vm="6168">
        <v>0</v>
      </c>
      <c r="AL156" s="5">
        <f xml:space="preserve"> SUM( VfM_Metrics_2023_Consol[[#This Row],[Tangible fixed assets: Housing properties at cost (Current period)2]], VfM_Metrics_2023_Consol[[#This Row],[Tangible fixed assets Housing properties at valuation (Current period)2]] )</f>
        <v>471855</v>
      </c>
      <c r="AM156" s="84" vm="5997">
        <v>471855</v>
      </c>
      <c r="AN156" s="83" vm="5998">
        <v>0</v>
      </c>
      <c r="AO156" s="87">
        <f xml:space="preserve"> IFERROR( VfM_Metrics_2023_Consol[[#This Row],[EBITDA MRI]] / VfM_Metrics_2023_Consol[[#This Row],[Total interest]], "n/a" )</f>
        <v>2.5457111834961998</v>
      </c>
      <c r="AP15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11723</v>
      </c>
      <c r="AQ156" s="84" vm="6010">
        <v>10017</v>
      </c>
      <c r="AR156" s="84" vm="6011">
        <v>1662</v>
      </c>
      <c r="AS156" s="84" vm="6012">
        <v>-10</v>
      </c>
      <c r="AT156" s="84" vm="6013">
        <v>385</v>
      </c>
      <c r="AU156" s="84" vm="6014">
        <v>0</v>
      </c>
      <c r="AV156" s="84" vm="6015">
        <v>53</v>
      </c>
      <c r="AW156" s="84" vm="6016">
        <v>4906</v>
      </c>
      <c r="AX156" s="84" vm="6901">
        <v>8596</v>
      </c>
      <c r="AY156" s="3">
        <f xml:space="preserve"> - SUM( VfM_Metrics_2023_Consol[[#This Row],[Interest capitalised]], VfM_Metrics_2023_Consol[[#This Row],[Interest payable and financing costs]] )</f>
        <v>4605</v>
      </c>
      <c r="AZ156" s="84" vm="6017">
        <v>-644</v>
      </c>
      <c r="BA156" s="83" vm="6018">
        <v>-3961</v>
      </c>
      <c r="BB156" s="8">
        <f xml:space="preserve"> IFERROR( ( VfM_Metrics_2023_Consol[[#This Row],[Total Costs]] / VfM_Metrics_2023_Consol[[#This Row],[Total units for costs]] ) * 1000, "n/a" )</f>
        <v>4325.9589139491454</v>
      </c>
      <c r="BC15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30113</v>
      </c>
      <c r="BD156" s="84" vm="6019">
        <v>6523</v>
      </c>
      <c r="BE156" s="83" vm="6020">
        <v>2241</v>
      </c>
      <c r="BF156" s="83" vm="6021">
        <v>6448</v>
      </c>
      <c r="BG156" s="83" vm="7207">
        <v>5536</v>
      </c>
      <c r="BH156" s="83" vm="6022">
        <v>3721</v>
      </c>
      <c r="BI156" s="83" vm="6023">
        <v>0</v>
      </c>
      <c r="BJ156" s="83" vm="6016">
        <v>4906</v>
      </c>
      <c r="BK156" s="83" vm="6024">
        <v>0</v>
      </c>
      <c r="BL156" s="83" vm="6025">
        <v>734</v>
      </c>
      <c r="BM156" s="83" vm="6888">
        <v>0</v>
      </c>
      <c r="BN156" s="83" vm="6026">
        <v>0</v>
      </c>
      <c r="BO156" s="83" vm="6027">
        <v>4</v>
      </c>
      <c r="BP156" s="5" vm="5992">
        <f xml:space="preserve"> VfM_Metrics_2023_Consol[[#This Row],[Total social housing units owned and/or managed at period end]]</f>
        <v>6961</v>
      </c>
      <c r="BQ156" s="84" vm="5992">
        <v>6961</v>
      </c>
      <c r="BR156" s="7">
        <f xml:space="preserve"> IFERROR( VfM_Metrics_2023_Consol[[#This Row],[SHL operating surplus / (deficit)]] / VfM_Metrics_2023_Consol[[#This Row],[Turnover from social housing lettings]], "n/a" )</f>
        <v>0.19002845478164049</v>
      </c>
      <c r="BS156" s="5" vm="6903">
        <f xml:space="preserve"> VfM_Metrics_2023_Consol[[#This Row],[Operating surplus/(deficit) (social housing lettings)]]</f>
        <v>7680</v>
      </c>
      <c r="BT156" s="84" vm="6903">
        <v>7680</v>
      </c>
      <c r="BU156" s="5" vm="6028">
        <f xml:space="preserve"> VfM_Metrics_2023_Consol[[#This Row],[Turnover from social housing lettings]]</f>
        <v>40415</v>
      </c>
      <c r="BV156" s="84" vm="6028">
        <v>40415</v>
      </c>
      <c r="BW156" s="7">
        <f xml:space="preserve"> IFERROR( VfM_Metrics_2023_Consol[[#This Row],[Net operating surplus]] / VfM_Metrics_2023_Consol[[#This Row],[Overall turnover]], "n/a" )</f>
        <v>0.18197837579132856</v>
      </c>
      <c r="BX156" s="5">
        <f xml:space="preserve"> SUM( VfM_Metrics_2023_Consol[[#This Row],[Operating surplus/(deficit) (overall)2]], - VfM_Metrics_2023_Consol[[#This Row],[Gain/(loss) on disposal of fixed assets (housing properties)2]], - VfM_Metrics_2023_Consol[[#This Row],[Gain/(loss) on disposal of fixed assets (other)2]] )</f>
        <v>8365</v>
      </c>
      <c r="BY156" s="84" vm="6010">
        <v>10017</v>
      </c>
      <c r="BZ156" s="83" vm="6011">
        <v>1662</v>
      </c>
      <c r="CA156" s="83" vm="6012">
        <v>-10</v>
      </c>
      <c r="CB156" s="5" vm="6029">
        <f xml:space="preserve"> VfM_Metrics_2023_Consol[[#This Row],[Turnover (overall)]]</f>
        <v>45967</v>
      </c>
      <c r="CC156" s="84" vm="6029">
        <v>45967</v>
      </c>
      <c r="CD156" s="7">
        <f xml:space="preserve"> IFERROR( VfM_Metrics_2023_Consol[[#This Row],[Operating surplus including from JVs]] / VfM_Metrics_2023_Consol[[#This Row],[Net assets]], "n/a" )</f>
        <v>2.1105305296869076E-2</v>
      </c>
      <c r="CE156" s="5">
        <f xml:space="preserve"> SUM( VfM_Metrics_2023_Consol[[#This Row],[Operating surplus/(deficit) (overall)3]], VfM_Metrics_2023_Consol[[#This Row],[Share of operating surplus/(deficit) in joint ventures or associates]] )</f>
        <v>10017</v>
      </c>
      <c r="CF156" s="84" vm="6010">
        <v>10017</v>
      </c>
      <c r="CG156" s="83" vm="6031">
        <v>0</v>
      </c>
      <c r="CH156" s="5" vm="6030">
        <f xml:space="preserve"> VfM_Metrics_2023_Consol[[#This Row],[Total assets less current liabilities]]</f>
        <v>474620</v>
      </c>
      <c r="CI156" s="84" vm="6030">
        <v>474620</v>
      </c>
      <c r="CJ156" s="71" vm="5991">
        <f xml:space="preserve"> VfM_Metrics_2023_Consol[[#This Row],[Total social housing units owned (Period end)]]</f>
        <v>6961</v>
      </c>
      <c r="CK156" s="103">
        <v>1.1590843233845263E-2</v>
      </c>
      <c r="CL156" s="6">
        <f xml:space="preserve"> -- ( VfM_Metrics_2023_Consol[[#This Row],[% Supported housing (excl. HOP)]] &gt; 0.3 )</f>
        <v>0</v>
      </c>
      <c r="CM156" s="103">
        <v>0.20501303969863807</v>
      </c>
      <c r="CN156" s="6">
        <f xml:space="preserve"> -- ( VfM_Metrics_2023_Consol[[#This Row],[% Housing for older people]] &gt; 0.3 )</f>
        <v>0</v>
      </c>
      <c r="CO156" s="103">
        <f xml:space="preserve"> VfM_Metrics_2023_Consol[[#This Row],[% Supported housing (excl. HOP)]] + VfM_Metrics_2023_Consol[[#This Row],[% Housing for older people]]</f>
        <v>0.21660388293248334</v>
      </c>
      <c r="CP156" s="6">
        <f xml:space="preserve"> -- ( VfM_Metrics_2023_Consol[[#This Row],[SH specialist in RSH analysis]] + VfM_Metrics_2023_Consol[[#This Row],[OP specialist in RSH analysis]] &gt; 0 )</f>
        <v>0</v>
      </c>
      <c r="CQ156" s="10">
        <f xml:space="preserve"> -- ( VfM_Metrics_2023_Consol[[#This Row],[% SH and OP]] &gt; 0.3 )</f>
        <v>0</v>
      </c>
      <c r="CR156" s="104" t="s">
        <v>143</v>
      </c>
      <c r="CS156" s="124"/>
      <c r="CT156" s="105" t="s">
        <v>151</v>
      </c>
      <c r="CU15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156" s="85">
        <v>0</v>
      </c>
      <c r="CW156" s="85">
        <v>0</v>
      </c>
      <c r="CX156" s="85">
        <v>1</v>
      </c>
      <c r="CY156" s="85">
        <v>0</v>
      </c>
      <c r="CZ156" s="85">
        <v>0</v>
      </c>
      <c r="DA156" s="85">
        <v>0</v>
      </c>
      <c r="DB156" s="85">
        <v>0</v>
      </c>
      <c r="DC156" s="85">
        <v>0</v>
      </c>
      <c r="DD156" s="85">
        <v>0</v>
      </c>
      <c r="DE156" s="13">
        <v>0.97511902715076015</v>
      </c>
    </row>
    <row r="157" spans="1:109" x14ac:dyDescent="0.25">
      <c r="A157" s="4" t="s" vm="353">
        <v>438</v>
      </c>
      <c r="B157" s="2" t="s" vm="147">
        <v>439</v>
      </c>
      <c r="C157" s="72" vm="584">
        <v>45016</v>
      </c>
      <c r="D157" s="7">
        <f>IFERROR( VfM_Metrics_2023_Consol[[#This Row],[Reinvestment Spend]] / VfM_Metrics_2023_Consol[[#This Row],[Net Book Value of Housing Properties]], "n/a" )</f>
        <v>0.14159842713720178</v>
      </c>
      <c r="E15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79871</v>
      </c>
      <c r="F157" s="83" vm="5198">
        <v>62607</v>
      </c>
      <c r="G157" s="83" vm="5199">
        <v>0</v>
      </c>
      <c r="H157" s="83" vm="5200">
        <v>14161</v>
      </c>
      <c r="I157" s="83" vm="5201">
        <v>3103</v>
      </c>
      <c r="J157" s="83" vm="5202">
        <v>0</v>
      </c>
      <c r="K157" s="5">
        <f xml:space="preserve"> SUM( VfM_Metrics_2023_Consol[[#This Row],[Tangible fixed assets: Housing properties at cost (Current period)]],VfM_Metrics_2023_Consol[[#This Row],[Tangible fixed assets Housing properties at valuation (Current period)]] )</f>
        <v>564067</v>
      </c>
      <c r="L157" s="84" vm="5203">
        <v>564067</v>
      </c>
      <c r="M157" s="83" vm="5204">
        <v>0</v>
      </c>
      <c r="N157" s="7">
        <f xml:space="preserve"> IFERROR( VfM_Metrics_2023_Consol[[#This Row],[Total social units developed or newly built units acquired in-year]] / VfM_Metrics_2023_Consol[[#This Row],[Social housing units owned (period end)]], "n/a" )</f>
        <v>3.0002158428663932E-2</v>
      </c>
      <c r="O157" s="5">
        <f xml:space="preserve"> SUM( VfM_Metrics_2023_Consol[[#This Row],[Total social units developed or newly built units acquired in-year (owned)]], VfM_Metrics_2023_Consol[[#This Row],[Total social leasehold units developed or newly built units acquired in-year (owned)]] )</f>
        <v>278</v>
      </c>
      <c r="P157" s="84" vm="5205">
        <v>278</v>
      </c>
      <c r="Q157" s="83" vm="5206">
        <v>0</v>
      </c>
      <c r="R157" s="5">
        <f xml:space="preserve"> SUM( VfM_Metrics_2023_Consol[[#This Row],[Total social housing units owned (Period end)]], VfM_Metrics_2023_Consol[[#This Row],[Total social leasehold units owned (Period end)]] )</f>
        <v>9266</v>
      </c>
      <c r="S157" s="84" vm="5196">
        <v>9266</v>
      </c>
      <c r="T157" s="83" vm="5207">
        <v>0</v>
      </c>
      <c r="U157" s="86">
        <f xml:space="preserve"> IFERROR( VfM_Metrics_2023_Consol[[#This Row],[Total non-social housing units developed or newly built units acquired (owned)]] / VfM_Metrics_2023_Consol[[#This Row],[Total social and non-social housing units owned (Period end)]], "n/a" )</f>
        <v>0</v>
      </c>
      <c r="V15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57" s="83" vm="5208">
        <v>0</v>
      </c>
      <c r="X157" s="83" vm="5209">
        <v>0</v>
      </c>
      <c r="Y157" s="83" vm="5210">
        <v>0</v>
      </c>
      <c r="Z15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10102</v>
      </c>
      <c r="AA157" s="84" vm="5196">
        <v>9266</v>
      </c>
      <c r="AB157" s="83" vm="5207">
        <v>0</v>
      </c>
      <c r="AC157" s="83" vm="5211">
        <v>2</v>
      </c>
      <c r="AD157" s="83" vm="7228">
        <v>834</v>
      </c>
      <c r="AE157" s="7">
        <f xml:space="preserve"> IFERROR( VfM_Metrics_2023_Consol[[#This Row],[Total Net Debt]] / VfM_Metrics_2023_Consol[[#This Row],[Net Book Value of Housing Properties2]], "n/a" )</f>
        <v>0.60564613778150467</v>
      </c>
      <c r="AF15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341625</v>
      </c>
      <c r="AG157" s="84" vm="5212">
        <v>3600</v>
      </c>
      <c r="AH157" s="83" vm="5213">
        <v>350417</v>
      </c>
      <c r="AI157" s="83" vm="5214">
        <v>12392</v>
      </c>
      <c r="AJ157" s="83" vm="7320">
        <v>0</v>
      </c>
      <c r="AK157" s="83" vm="5215">
        <v>0</v>
      </c>
      <c r="AL157" s="5">
        <f xml:space="preserve"> SUM( VfM_Metrics_2023_Consol[[#This Row],[Tangible fixed assets: Housing properties at cost (Current period)2]], VfM_Metrics_2023_Consol[[#This Row],[Tangible fixed assets Housing properties at valuation (Current period)2]] )</f>
        <v>564067</v>
      </c>
      <c r="AM157" s="84" vm="5203">
        <v>564067</v>
      </c>
      <c r="AN157" s="83" vm="5204">
        <v>0</v>
      </c>
      <c r="AO157" s="87">
        <f xml:space="preserve"> IFERROR( VfM_Metrics_2023_Consol[[#This Row],[EBITDA MRI]] / VfM_Metrics_2023_Consol[[#This Row],[Total interest]], "n/a" )</f>
        <v>0.69376057645067957</v>
      </c>
      <c r="AP15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12709</v>
      </c>
      <c r="AQ157" s="84" vm="5216">
        <v>21806</v>
      </c>
      <c r="AR157" s="84" vm="5217">
        <v>4794</v>
      </c>
      <c r="AS157" s="84" vm="5218">
        <v>0</v>
      </c>
      <c r="AT157" s="84" vm="5219">
        <v>1008</v>
      </c>
      <c r="AU157" s="84" vm="5220">
        <v>76</v>
      </c>
      <c r="AV157" s="84" vm="5221">
        <v>772</v>
      </c>
      <c r="AW157" s="84" vm="5222">
        <v>14161</v>
      </c>
      <c r="AX157" s="84" vm="5223">
        <v>10170</v>
      </c>
      <c r="AY157" s="3">
        <f xml:space="preserve"> - SUM( VfM_Metrics_2023_Consol[[#This Row],[Interest capitalised]], VfM_Metrics_2023_Consol[[#This Row],[Interest payable and financing costs]] )</f>
        <v>18319</v>
      </c>
      <c r="AZ157" s="84" vm="5224">
        <v>-4030</v>
      </c>
      <c r="BA157" s="83" vm="5225">
        <v>-14289</v>
      </c>
      <c r="BB157" s="8">
        <f xml:space="preserve"> IFERROR( ( VfM_Metrics_2023_Consol[[#This Row],[Total Costs]] / VfM_Metrics_2023_Consol[[#This Row],[Total units for costs]] ) * 1000, "n/a" )</f>
        <v>5570.041010144615</v>
      </c>
      <c r="BC15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51612</v>
      </c>
      <c r="BD157" s="84" vm="3983">
        <v>11835</v>
      </c>
      <c r="BE157" s="83" vm="5226">
        <v>2438</v>
      </c>
      <c r="BF157" s="83" vm="6957">
        <v>11708</v>
      </c>
      <c r="BG157" s="83" vm="5227">
        <v>5063</v>
      </c>
      <c r="BH157" s="83" vm="6930">
        <v>0</v>
      </c>
      <c r="BI157" s="83" vm="5229">
        <v>0</v>
      </c>
      <c r="BJ157" s="83" vm="5222">
        <v>14161</v>
      </c>
      <c r="BK157" s="83" vm="5230">
        <v>5673</v>
      </c>
      <c r="BL157" s="83" vm="5231">
        <v>0</v>
      </c>
      <c r="BM157" s="83" vm="6953">
        <v>644</v>
      </c>
      <c r="BN157" s="83" vm="6925">
        <v>0</v>
      </c>
      <c r="BO157" s="83" vm="5233">
        <v>90</v>
      </c>
      <c r="BP157" s="5" vm="5197">
        <f xml:space="preserve"> VfM_Metrics_2023_Consol[[#This Row],[Total social housing units owned and/or managed at period end]]</f>
        <v>9266</v>
      </c>
      <c r="BQ157" s="84" vm="5197">
        <v>9266</v>
      </c>
      <c r="BR157" s="7">
        <f xml:space="preserve"> IFERROR( VfM_Metrics_2023_Consol[[#This Row],[SHL operating surplus / (deficit)]] / VfM_Metrics_2023_Consol[[#This Row],[Turnover from social housing lettings]], "n/a" )</f>
        <v>0.23868629894405458</v>
      </c>
      <c r="BS157" s="5" vm="5234">
        <f xml:space="preserve"> VfM_Metrics_2023_Consol[[#This Row],[Operating surplus/(deficit) (social housing lettings)]]</f>
        <v>14557</v>
      </c>
      <c r="BT157" s="84" vm="5234">
        <v>14557</v>
      </c>
      <c r="BU157" s="5" vm="5235">
        <f xml:space="preserve"> VfM_Metrics_2023_Consol[[#This Row],[Turnover from social housing lettings]]</f>
        <v>60988</v>
      </c>
      <c r="BV157" s="84" vm="5235">
        <v>60988</v>
      </c>
      <c r="BW157" s="7">
        <f xml:space="preserve"> IFERROR( VfM_Metrics_2023_Consol[[#This Row],[Net operating surplus]] / VfM_Metrics_2023_Consol[[#This Row],[Overall turnover]], "n/a" )</f>
        <v>0.21662507003514492</v>
      </c>
      <c r="BX157" s="5">
        <f xml:space="preserve"> SUM( VfM_Metrics_2023_Consol[[#This Row],[Operating surplus/(deficit) (overall)2]], - VfM_Metrics_2023_Consol[[#This Row],[Gain/(loss) on disposal of fixed assets (housing properties)2]], - VfM_Metrics_2023_Consol[[#This Row],[Gain/(loss) on disposal of fixed assets (other)2]] )</f>
        <v>17012</v>
      </c>
      <c r="BY157" s="84" vm="7303">
        <v>21806</v>
      </c>
      <c r="BZ157" s="83" vm="6923">
        <v>4794</v>
      </c>
      <c r="CA157" s="83" vm="5143">
        <v>0</v>
      </c>
      <c r="CB157" s="5" vm="7319">
        <f xml:space="preserve"> VfM_Metrics_2023_Consol[[#This Row],[Turnover (overall)]]</f>
        <v>78532</v>
      </c>
      <c r="CC157" s="84" vm="7319">
        <v>78532</v>
      </c>
      <c r="CD157" s="7">
        <f xml:space="preserve"> IFERROR( VfM_Metrics_2023_Consol[[#This Row],[Operating surplus including from JVs]] / VfM_Metrics_2023_Consol[[#This Row],[Net assets]], "n/a" )</f>
        <v>3.6880622535978312E-2</v>
      </c>
      <c r="CE157" s="5">
        <f xml:space="preserve"> SUM( VfM_Metrics_2023_Consol[[#This Row],[Operating surplus/(deficit) (overall)3]], VfM_Metrics_2023_Consol[[#This Row],[Share of operating surplus/(deficit) in joint ventures or associates]] )</f>
        <v>21806</v>
      </c>
      <c r="CF157" s="84" vm="5216">
        <v>21806</v>
      </c>
      <c r="CG157" s="83" vm="5237">
        <v>0</v>
      </c>
      <c r="CH157" s="5" vm="5236">
        <f xml:space="preserve"> VfM_Metrics_2023_Consol[[#This Row],[Total assets less current liabilities]]</f>
        <v>591259</v>
      </c>
      <c r="CI157" s="84" vm="5236">
        <v>591259</v>
      </c>
      <c r="CJ157" s="71" vm="5196">
        <f xml:space="preserve"> VfM_Metrics_2023_Consol[[#This Row],[Total social housing units owned (Period end)]]</f>
        <v>9266</v>
      </c>
      <c r="CK157" s="103">
        <v>1.1504327818560315E-2</v>
      </c>
      <c r="CL157" s="6">
        <f xml:space="preserve"> -- ( VfM_Metrics_2023_Consol[[#This Row],[% Supported housing (excl. HOP)]] &gt; 0.3 )</f>
        <v>0</v>
      </c>
      <c r="CM157" s="103">
        <v>8.4803330776816038E-2</v>
      </c>
      <c r="CN157" s="6">
        <f xml:space="preserve"> -- ( VfM_Metrics_2023_Consol[[#This Row],[% Housing for older people]] &gt; 0.3 )</f>
        <v>0</v>
      </c>
      <c r="CO157" s="103">
        <f xml:space="preserve"> VfM_Metrics_2023_Consol[[#This Row],[% Supported housing (excl. HOP)]] + VfM_Metrics_2023_Consol[[#This Row],[% Housing for older people]]</f>
        <v>9.630765859537635E-2</v>
      </c>
      <c r="CP157" s="6">
        <f xml:space="preserve"> -- ( VfM_Metrics_2023_Consol[[#This Row],[SH specialist in RSH analysis]] + VfM_Metrics_2023_Consol[[#This Row],[OP specialist in RSH analysis]] &gt; 0 )</f>
        <v>0</v>
      </c>
      <c r="CQ157" s="10">
        <f xml:space="preserve"> -- ( VfM_Metrics_2023_Consol[[#This Row],[% SH and OP]] &gt; 0.3 )</f>
        <v>0</v>
      </c>
      <c r="CR157" s="104" t="s">
        <v>143</v>
      </c>
      <c r="CS157" s="124"/>
      <c r="CT157" s="105" t="s">
        <v>151</v>
      </c>
      <c r="CU15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157" s="85">
        <v>0</v>
      </c>
      <c r="CW157" s="85">
        <v>6.5111231687466087E-4</v>
      </c>
      <c r="CX157" s="85">
        <v>0</v>
      </c>
      <c r="CY157" s="85">
        <v>0</v>
      </c>
      <c r="CZ157" s="85">
        <v>0</v>
      </c>
      <c r="DA157" s="85">
        <v>0.99934888768312535</v>
      </c>
      <c r="DB157" s="85">
        <v>0</v>
      </c>
      <c r="DC157" s="85">
        <v>0</v>
      </c>
      <c r="DD157" s="85">
        <v>0</v>
      </c>
      <c r="DE157" s="13">
        <v>1.0113846772846662</v>
      </c>
    </row>
    <row r="158" spans="1:109" x14ac:dyDescent="0.25">
      <c r="A158" s="4" t="s" vm="306">
        <v>440</v>
      </c>
      <c r="B158" s="2" t="s" vm="148">
        <v>441</v>
      </c>
      <c r="C158" s="72" vm="497">
        <v>45016</v>
      </c>
      <c r="D158" s="7">
        <f>IFERROR( VfM_Metrics_2023_Consol[[#This Row],[Reinvestment Spend]] / VfM_Metrics_2023_Consol[[#This Row],[Net Book Value of Housing Properties]], "n/a" )</f>
        <v>6.028720241233157E-2</v>
      </c>
      <c r="E15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34308</v>
      </c>
      <c r="F158" s="83" vm="3544">
        <v>13625</v>
      </c>
      <c r="G158" s="83" vm="3545">
        <v>0</v>
      </c>
      <c r="H158" s="83" vm="3546">
        <v>17509</v>
      </c>
      <c r="I158" s="83" vm="3547">
        <v>3174</v>
      </c>
      <c r="J158" s="83" vm="3548">
        <v>0</v>
      </c>
      <c r="K158" s="5">
        <f xml:space="preserve"> SUM( VfM_Metrics_2023_Consol[[#This Row],[Tangible fixed assets: Housing properties at cost (Current period)]],VfM_Metrics_2023_Consol[[#This Row],[Tangible fixed assets Housing properties at valuation (Current period)]] )</f>
        <v>569076</v>
      </c>
      <c r="L158" s="84" vm="3549">
        <v>569076</v>
      </c>
      <c r="M158" s="83" vm="3550">
        <v>0</v>
      </c>
      <c r="N158" s="7">
        <f xml:space="preserve"> IFERROR( VfM_Metrics_2023_Consol[[#This Row],[Total social units developed or newly built units acquired in-year]] / VfM_Metrics_2023_Consol[[#This Row],[Social housing units owned (period end)]], "n/a" )</f>
        <v>1.3558614935335837E-2</v>
      </c>
      <c r="O158" s="5">
        <f xml:space="preserve"> SUM( VfM_Metrics_2023_Consol[[#This Row],[Total social units developed or newly built units acquired in-year (owned)]], VfM_Metrics_2023_Consol[[#This Row],[Total social leasehold units developed or newly built units acquired in-year (owned)]] )</f>
        <v>65</v>
      </c>
      <c r="P158" s="84" vm="7822">
        <v>65</v>
      </c>
      <c r="Q158" s="83" vm="3551">
        <v>0</v>
      </c>
      <c r="R158" s="5">
        <f xml:space="preserve"> SUM( VfM_Metrics_2023_Consol[[#This Row],[Total social housing units owned (Period end)]], VfM_Metrics_2023_Consol[[#This Row],[Total social leasehold units owned (Period end)]] )</f>
        <v>4794</v>
      </c>
      <c r="S158" s="84" vm="3579">
        <v>4616</v>
      </c>
      <c r="T158" s="83" vm="3552">
        <v>178</v>
      </c>
      <c r="U158" s="86">
        <f xml:space="preserve"> IFERROR( VfM_Metrics_2023_Consol[[#This Row],[Total non-social housing units developed or newly built units acquired (owned)]] / VfM_Metrics_2023_Consol[[#This Row],[Total social and non-social housing units owned (Period end)]], "n/a" )</f>
        <v>0</v>
      </c>
      <c r="V15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58" s="83" vm="3553">
        <v>0</v>
      </c>
      <c r="X158" s="83" vm="3554">
        <v>0</v>
      </c>
      <c r="Y158" s="83" vm="3555">
        <v>0</v>
      </c>
      <c r="Z15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5140</v>
      </c>
      <c r="AA158" s="84" vm="3542">
        <v>4616</v>
      </c>
      <c r="AB158" s="83" vm="3552">
        <v>178</v>
      </c>
      <c r="AC158" s="83" vm="3556">
        <v>202</v>
      </c>
      <c r="AD158" s="83" vm="3557">
        <v>144</v>
      </c>
      <c r="AE158" s="7">
        <f xml:space="preserve"> IFERROR( VfM_Metrics_2023_Consol[[#This Row],[Total Net Debt]] / VfM_Metrics_2023_Consol[[#This Row],[Net Book Value of Housing Properties2]], "n/a" )</f>
        <v>0.51670251425117208</v>
      </c>
      <c r="AF15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294043</v>
      </c>
      <c r="AG158" s="84" vm="3558">
        <v>8118</v>
      </c>
      <c r="AH158" s="83" vm="7709">
        <v>298517</v>
      </c>
      <c r="AI158" s="83" vm="3559">
        <v>12592</v>
      </c>
      <c r="AJ158" s="83" vm="3560">
        <v>0</v>
      </c>
      <c r="AK158" s="83" vm="3561">
        <v>0</v>
      </c>
      <c r="AL158" s="5">
        <f xml:space="preserve"> SUM( VfM_Metrics_2023_Consol[[#This Row],[Tangible fixed assets: Housing properties at cost (Current period)2]], VfM_Metrics_2023_Consol[[#This Row],[Tangible fixed assets Housing properties at valuation (Current period)2]] )</f>
        <v>569076</v>
      </c>
      <c r="AM158" s="84" vm="3549">
        <v>569076</v>
      </c>
      <c r="AN158" s="83" vm="3550">
        <v>0</v>
      </c>
      <c r="AO158" s="87">
        <f xml:space="preserve"> IFERROR( VfM_Metrics_2023_Consol[[#This Row],[EBITDA MRI]] / VfM_Metrics_2023_Consol[[#This Row],[Total interest]], "n/a" )</f>
        <v>-0.91302648294732724</v>
      </c>
      <c r="AP15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-9343</v>
      </c>
      <c r="AQ158" s="84" vm="3562">
        <v>16877</v>
      </c>
      <c r="AR158" s="84" vm="7671">
        <v>12143</v>
      </c>
      <c r="AS158" s="84" vm="3563">
        <v>0</v>
      </c>
      <c r="AT158" s="84" vm="3564">
        <v>1856</v>
      </c>
      <c r="AU158" s="84" vm="3565">
        <v>0</v>
      </c>
      <c r="AV158" s="84" vm="3566">
        <v>48</v>
      </c>
      <c r="AW158" s="84" vm="3297">
        <v>18080</v>
      </c>
      <c r="AX158" s="84" vm="3772">
        <v>5811</v>
      </c>
      <c r="AY158" s="3">
        <f xml:space="preserve"> - SUM( VfM_Metrics_2023_Consol[[#This Row],[Interest capitalised]], VfM_Metrics_2023_Consol[[#This Row],[Interest payable and financing costs]] )</f>
        <v>10233</v>
      </c>
      <c r="AZ158" s="84" vm="3568">
        <v>-3174</v>
      </c>
      <c r="BA158" s="83" vm="7678">
        <v>-7059</v>
      </c>
      <c r="BB158" s="8">
        <f xml:space="preserve"> IFERROR( ( VfM_Metrics_2023_Consol[[#This Row],[Total Costs]] / VfM_Metrics_2023_Consol[[#This Row],[Total units for costs]] ) * 1000, "n/a" )</f>
        <v>11124.133448873483</v>
      </c>
      <c r="BC15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51349</v>
      </c>
      <c r="BD158" s="84" vm="3569">
        <v>13976</v>
      </c>
      <c r="BE158" s="83" vm="3570">
        <v>3898</v>
      </c>
      <c r="BF158" s="83" vm="3571">
        <v>6750</v>
      </c>
      <c r="BG158" s="83" vm="3572">
        <v>4716</v>
      </c>
      <c r="BH158" s="83" vm="3573">
        <v>0</v>
      </c>
      <c r="BI158" s="83" vm="3574">
        <v>2749</v>
      </c>
      <c r="BJ158" s="83" vm="3567">
        <v>18080</v>
      </c>
      <c r="BK158" s="83" vm="7731">
        <v>0</v>
      </c>
      <c r="BL158" s="83" vm="3575">
        <v>990</v>
      </c>
      <c r="BM158" s="83" vm="3576">
        <v>190</v>
      </c>
      <c r="BN158" s="83" vm="3577">
        <v>0</v>
      </c>
      <c r="BO158" s="83" vm="7706">
        <v>0</v>
      </c>
      <c r="BP158" s="5" vm="3543">
        <f xml:space="preserve"> VfM_Metrics_2023_Consol[[#This Row],[Total social housing units owned and/or managed at period end]]</f>
        <v>4616</v>
      </c>
      <c r="BQ158" s="84" vm="3543">
        <v>4616</v>
      </c>
      <c r="BR158" s="7">
        <f xml:space="preserve"> IFERROR( VfM_Metrics_2023_Consol[[#This Row],[SHL operating surplus / (deficit)]] / VfM_Metrics_2023_Consol[[#This Row],[Turnover from social housing lettings]], "n/a" )</f>
        <v>9.33120030562785E-2</v>
      </c>
      <c r="BS158" s="5" vm="3578">
        <f xml:space="preserve"> VfM_Metrics_2023_Consol[[#This Row],[Operating surplus/(deficit) (social housing lettings)]]</f>
        <v>3908</v>
      </c>
      <c r="BT158" s="84" vm="3578">
        <v>3908</v>
      </c>
      <c r="BU158" s="5" vm="3579">
        <f xml:space="preserve"> VfM_Metrics_2023_Consol[[#This Row],[Turnover from social housing lettings]]</f>
        <v>41881</v>
      </c>
      <c r="BV158" s="84" vm="3579">
        <v>41881</v>
      </c>
      <c r="BW158" s="7">
        <f xml:space="preserve"> IFERROR( VfM_Metrics_2023_Consol[[#This Row],[Net operating surplus]] / VfM_Metrics_2023_Consol[[#This Row],[Overall turnover]], "n/a" )</f>
        <v>9.6910888656881411E-2</v>
      </c>
      <c r="BX158" s="5">
        <f xml:space="preserve"> SUM( VfM_Metrics_2023_Consol[[#This Row],[Operating surplus/(deficit) (overall)2]], - VfM_Metrics_2023_Consol[[#This Row],[Gain/(loss) on disposal of fixed assets (housing properties)2]], - VfM_Metrics_2023_Consol[[#This Row],[Gain/(loss) on disposal of fixed assets (other)2]] )</f>
        <v>4734</v>
      </c>
      <c r="BY158" s="84" vm="3562">
        <v>16877</v>
      </c>
      <c r="BZ158" s="83" vm="7449">
        <v>12143</v>
      </c>
      <c r="CA158" s="83" vm="3563">
        <v>0</v>
      </c>
      <c r="CB158" s="5" vm="7412">
        <f xml:space="preserve"> VfM_Metrics_2023_Consol[[#This Row],[Turnover (overall)]]</f>
        <v>48849</v>
      </c>
      <c r="CC158" s="84" vm="7412">
        <v>48849</v>
      </c>
      <c r="CD158" s="7">
        <f xml:space="preserve"> IFERROR( VfM_Metrics_2023_Consol[[#This Row],[Operating surplus including from JVs]] / VfM_Metrics_2023_Consol[[#This Row],[Net assets]], "n/a" )</f>
        <v>2.7658507486168288E-2</v>
      </c>
      <c r="CE158" s="5">
        <f xml:space="preserve"> SUM( VfM_Metrics_2023_Consol[[#This Row],[Operating surplus/(deficit) (overall)3]], VfM_Metrics_2023_Consol[[#This Row],[Share of operating surplus/(deficit) in joint ventures or associates]] )</f>
        <v>16877</v>
      </c>
      <c r="CF158" s="84" vm="3562">
        <v>16877</v>
      </c>
      <c r="CG158" s="83" vm="3581">
        <v>0</v>
      </c>
      <c r="CH158" s="5" vm="3580">
        <f xml:space="preserve"> VfM_Metrics_2023_Consol[[#This Row],[Total assets less current liabilities]]</f>
        <v>610192</v>
      </c>
      <c r="CI158" s="84" vm="3580">
        <v>610192</v>
      </c>
      <c r="CJ158" s="71" vm="3579">
        <f xml:space="preserve"> VfM_Metrics_2023_Consol[[#This Row],[Total social housing units owned (Period end)]]</f>
        <v>4616</v>
      </c>
      <c r="CK158" s="103">
        <v>4.5840787119856889E-2</v>
      </c>
      <c r="CL158" s="6">
        <f xml:space="preserve"> -- ( VfM_Metrics_2023_Consol[[#This Row],[% Supported housing (excl. HOP)]] &gt; 0.3 )</f>
        <v>0</v>
      </c>
      <c r="CM158" s="103">
        <v>1.6323792486583184E-2</v>
      </c>
      <c r="CN158" s="6">
        <f xml:space="preserve"> -- ( VfM_Metrics_2023_Consol[[#This Row],[% Housing for older people]] &gt; 0.3 )</f>
        <v>0</v>
      </c>
      <c r="CO158" s="103">
        <f xml:space="preserve"> VfM_Metrics_2023_Consol[[#This Row],[% Supported housing (excl. HOP)]] + VfM_Metrics_2023_Consol[[#This Row],[% Housing for older people]]</f>
        <v>6.2164579606440076E-2</v>
      </c>
      <c r="CP158" s="6">
        <f xml:space="preserve"> -- ( VfM_Metrics_2023_Consol[[#This Row],[SH specialist in RSH analysis]] + VfM_Metrics_2023_Consol[[#This Row],[OP specialist in RSH analysis]] &gt; 0 )</f>
        <v>0</v>
      </c>
      <c r="CQ158" s="10">
        <f xml:space="preserve"> -- ( VfM_Metrics_2023_Consol[[#This Row],[% SH and OP]] &gt; 0.3 )</f>
        <v>0</v>
      </c>
      <c r="CR158" s="104" t="s">
        <v>143</v>
      </c>
      <c r="CS158" s="124" t="s">
        <v>144</v>
      </c>
      <c r="CT158" s="105"/>
      <c r="CU15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58" s="85">
        <v>0.99549954995499546</v>
      </c>
      <c r="CW158" s="85">
        <v>2.7002700270027003E-3</v>
      </c>
      <c r="CX158" s="85">
        <v>4.5004500450045003E-4</v>
      </c>
      <c r="CY158" s="85">
        <v>0</v>
      </c>
      <c r="CZ158" s="85">
        <v>0</v>
      </c>
      <c r="DA158" s="85">
        <v>1.3501350135013501E-3</v>
      </c>
      <c r="DB158" s="85">
        <v>0</v>
      </c>
      <c r="DC158" s="85">
        <v>0</v>
      </c>
      <c r="DD158" s="85">
        <v>0</v>
      </c>
      <c r="DE158" s="13">
        <v>1.1597434942755278</v>
      </c>
    </row>
    <row r="159" spans="1:109" x14ac:dyDescent="0.25">
      <c r="A159" s="4" t="s" vm="365">
        <v>442</v>
      </c>
      <c r="B159" s="2" t="s" vm="149">
        <v>443</v>
      </c>
      <c r="C159" s="72" vm="484">
        <v>45016</v>
      </c>
      <c r="D159" s="7">
        <f>IFERROR( VfM_Metrics_2023_Consol[[#This Row],[Reinvestment Spend]] / VfM_Metrics_2023_Consol[[#This Row],[Net Book Value of Housing Properties]], "n/a" )</f>
        <v>9.9962356936335164E-2</v>
      </c>
      <c r="E15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49924</v>
      </c>
      <c r="F159" s="83" vm="7146">
        <v>42000</v>
      </c>
      <c r="G159" s="83" vm="7032">
        <v>0</v>
      </c>
      <c r="H159" s="83" vm="5604">
        <v>7229</v>
      </c>
      <c r="I159" s="83" vm="5605">
        <v>695</v>
      </c>
      <c r="J159" s="83" vm="5606">
        <v>0</v>
      </c>
      <c r="K159" s="5">
        <f xml:space="preserve"> SUM( VfM_Metrics_2023_Consol[[#This Row],[Tangible fixed assets: Housing properties at cost (Current period)]],VfM_Metrics_2023_Consol[[#This Row],[Tangible fixed assets Housing properties at valuation (Current period)]] )</f>
        <v>499428</v>
      </c>
      <c r="L159" s="84" vm="5607">
        <v>499428</v>
      </c>
      <c r="M159" s="83" vm="5608">
        <v>0</v>
      </c>
      <c r="N159" s="7">
        <f xml:space="preserve"> IFERROR( VfM_Metrics_2023_Consol[[#This Row],[Total social units developed or newly built units acquired in-year]] / VfM_Metrics_2023_Consol[[#This Row],[Social housing units owned (period end)]], "n/a" )</f>
        <v>2.6160701451775192E-2</v>
      </c>
      <c r="O159" s="5">
        <f xml:space="preserve"> SUM( VfM_Metrics_2023_Consol[[#This Row],[Total social units developed or newly built units acquired in-year (owned)]], VfM_Metrics_2023_Consol[[#This Row],[Total social leasehold units developed or newly built units acquired in-year (owned)]] )</f>
        <v>182</v>
      </c>
      <c r="P159" s="84" vm="5609">
        <v>182</v>
      </c>
      <c r="Q159" s="83" vm="5610">
        <v>0</v>
      </c>
      <c r="R159" s="5">
        <f xml:space="preserve"> SUM( VfM_Metrics_2023_Consol[[#This Row],[Total social housing units owned (Period end)]], VfM_Metrics_2023_Consol[[#This Row],[Total social leasehold units owned (Period end)]] )</f>
        <v>6957</v>
      </c>
      <c r="S159" s="84" vm="5602">
        <v>6957</v>
      </c>
      <c r="T159" s="83" vm="5611">
        <v>0</v>
      </c>
      <c r="U159" s="86">
        <f xml:space="preserve"> IFERROR( VfM_Metrics_2023_Consol[[#This Row],[Total non-social housing units developed or newly built units acquired (owned)]] / VfM_Metrics_2023_Consol[[#This Row],[Total social and non-social housing units owned (Period end)]], "n/a" )</f>
        <v>1.244090569793481E-4</v>
      </c>
      <c r="V15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v>
      </c>
      <c r="W159" s="83" vm="5612">
        <v>0</v>
      </c>
      <c r="X159" s="83" vm="5613">
        <v>1</v>
      </c>
      <c r="Y159" s="83" vm="5614">
        <v>0</v>
      </c>
      <c r="Z15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8038</v>
      </c>
      <c r="AA159" s="84" vm="5602">
        <v>6957</v>
      </c>
      <c r="AB159" s="83" vm="5611">
        <v>0</v>
      </c>
      <c r="AC159" s="83" vm="5651">
        <v>0</v>
      </c>
      <c r="AD159" s="83" vm="5615">
        <v>1081</v>
      </c>
      <c r="AE159" s="7">
        <f xml:space="preserve"> IFERROR( VfM_Metrics_2023_Consol[[#This Row],[Total Net Debt]] / VfM_Metrics_2023_Consol[[#This Row],[Net Book Value of Housing Properties2]], "n/a" )</f>
        <v>0.41864292750907039</v>
      </c>
      <c r="AF15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209082</v>
      </c>
      <c r="AG159" s="84" vm="5616">
        <v>0</v>
      </c>
      <c r="AH159" s="83" vm="7281">
        <v>219994</v>
      </c>
      <c r="AI159" s="83" vm="5617">
        <v>10912</v>
      </c>
      <c r="AJ159" s="83" vm="5618">
        <v>0</v>
      </c>
      <c r="AK159" s="83" vm="5619">
        <v>0</v>
      </c>
      <c r="AL159" s="5">
        <f xml:space="preserve"> SUM( VfM_Metrics_2023_Consol[[#This Row],[Tangible fixed assets: Housing properties at cost (Current period)2]], VfM_Metrics_2023_Consol[[#This Row],[Tangible fixed assets Housing properties at valuation (Current period)2]] )</f>
        <v>499428</v>
      </c>
      <c r="AM159" s="84" vm="5607">
        <v>499428</v>
      </c>
      <c r="AN159" s="83" vm="5608">
        <v>0</v>
      </c>
      <c r="AO159" s="87">
        <f xml:space="preserve"> IFERROR( VfM_Metrics_2023_Consol[[#This Row],[EBITDA MRI]] / VfM_Metrics_2023_Consol[[#This Row],[Total interest]], "n/a" )</f>
        <v>2.6099618943930323</v>
      </c>
      <c r="AP15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19178</v>
      </c>
      <c r="AQ159" s="84" vm="5620">
        <v>18944</v>
      </c>
      <c r="AR159" s="84" vm="5621">
        <v>763</v>
      </c>
      <c r="AS159" s="84" vm="5622">
        <v>0</v>
      </c>
      <c r="AT159" s="84" vm="5623">
        <v>82</v>
      </c>
      <c r="AU159" s="84" vm="5624">
        <v>0</v>
      </c>
      <c r="AV159" s="84" vm="7313">
        <v>335</v>
      </c>
      <c r="AW159" s="84" vm="5625">
        <v>7229</v>
      </c>
      <c r="AX159" s="84" vm="5626">
        <v>7973</v>
      </c>
      <c r="AY159" s="3">
        <f xml:space="preserve"> - SUM( VfM_Metrics_2023_Consol[[#This Row],[Interest capitalised]], VfM_Metrics_2023_Consol[[#This Row],[Interest payable and financing costs]] )</f>
        <v>7348</v>
      </c>
      <c r="AZ159" s="84" vm="5627">
        <v>-695</v>
      </c>
      <c r="BA159" s="83" vm="5628">
        <v>-6653</v>
      </c>
      <c r="BB159" s="8">
        <f xml:space="preserve"> IFERROR( ( VfM_Metrics_2023_Consol[[#This Row],[Total Costs]] / VfM_Metrics_2023_Consol[[#This Row],[Total units for costs]] ) * 1000, "n/a" )</f>
        <v>4636.3375017967519</v>
      </c>
      <c r="BC15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32255</v>
      </c>
      <c r="BD159" s="84" vm="7267">
        <v>9579</v>
      </c>
      <c r="BE159" s="83" vm="5629">
        <v>3655</v>
      </c>
      <c r="BF159" s="83" vm="5630">
        <v>5383</v>
      </c>
      <c r="BG159" s="83" vm="5631">
        <v>490</v>
      </c>
      <c r="BH159" s="83" vm="5632">
        <v>3670</v>
      </c>
      <c r="BI159" s="83" vm="7031">
        <v>985</v>
      </c>
      <c r="BJ159" s="83" vm="5625">
        <v>7229</v>
      </c>
      <c r="BK159" s="83" vm="5633">
        <v>0</v>
      </c>
      <c r="BL159" s="83" vm="4505">
        <v>0</v>
      </c>
      <c r="BM159" s="83" vm="5634">
        <v>109</v>
      </c>
      <c r="BN159" s="83" vm="5635">
        <v>1145</v>
      </c>
      <c r="BO159" s="83" vm="5636">
        <v>10</v>
      </c>
      <c r="BP159" s="5" vm="5603">
        <f xml:space="preserve"> VfM_Metrics_2023_Consol[[#This Row],[Total social housing units owned and/or managed at period end]]</f>
        <v>6957</v>
      </c>
      <c r="BQ159" s="84" vm="5603">
        <v>6957</v>
      </c>
      <c r="BR159" s="7">
        <f xml:space="preserve"> IFERROR( VfM_Metrics_2023_Consol[[#This Row],[SHL operating surplus / (deficit)]] / VfM_Metrics_2023_Consol[[#This Row],[Turnover from social housing lettings]], "n/a" )</f>
        <v>0.30818974870882337</v>
      </c>
      <c r="BS159" s="5" vm="5637">
        <f xml:space="preserve"> VfM_Metrics_2023_Consol[[#This Row],[Operating surplus/(deficit) (social housing lettings)]]</f>
        <v>14202</v>
      </c>
      <c r="BT159" s="84" vm="5637">
        <v>14202</v>
      </c>
      <c r="BU159" s="5" vm="5638">
        <f xml:space="preserve"> VfM_Metrics_2023_Consol[[#This Row],[Turnover from social housing lettings]]</f>
        <v>46082</v>
      </c>
      <c r="BV159" s="84" vm="5638">
        <v>46082</v>
      </c>
      <c r="BW159" s="7">
        <f xml:space="preserve"> IFERROR( VfM_Metrics_2023_Consol[[#This Row],[Net operating surplus]] / VfM_Metrics_2023_Consol[[#This Row],[Overall turnover]], "n/a" )</f>
        <v>0.30231630057034536</v>
      </c>
      <c r="BX159" s="5">
        <f xml:space="preserve"> SUM( VfM_Metrics_2023_Consol[[#This Row],[Operating surplus/(deficit) (overall)2]], - VfM_Metrics_2023_Consol[[#This Row],[Gain/(loss) on disposal of fixed assets (housing properties)2]], - VfM_Metrics_2023_Consol[[#This Row],[Gain/(loss) on disposal of fixed assets (other)2]] )</f>
        <v>18181</v>
      </c>
      <c r="BY159" s="84" vm="5620">
        <v>18944</v>
      </c>
      <c r="BZ159" s="83" vm="7249">
        <v>763</v>
      </c>
      <c r="CA159" s="83" vm="5622">
        <v>0</v>
      </c>
      <c r="CB159" s="5" vm="5639">
        <f xml:space="preserve"> VfM_Metrics_2023_Consol[[#This Row],[Turnover (overall)]]</f>
        <v>60139</v>
      </c>
      <c r="CC159" s="84" vm="5639">
        <v>60139</v>
      </c>
      <c r="CD159" s="7">
        <f xml:space="preserve"> IFERROR( VfM_Metrics_2023_Consol[[#This Row],[Operating surplus including from JVs]] / VfM_Metrics_2023_Consol[[#This Row],[Net assets]], "n/a" )</f>
        <v>3.5466157938978886E-2</v>
      </c>
      <c r="CE159" s="5">
        <f xml:space="preserve"> SUM( VfM_Metrics_2023_Consol[[#This Row],[Operating surplus/(deficit) (overall)3]], VfM_Metrics_2023_Consol[[#This Row],[Share of operating surplus/(deficit) in joint ventures or associates]] )</f>
        <v>18944</v>
      </c>
      <c r="CF159" s="84" vm="5620">
        <v>18944</v>
      </c>
      <c r="CG159" s="83" vm="5641">
        <v>0</v>
      </c>
      <c r="CH159" s="5" vm="5640">
        <f xml:space="preserve"> VfM_Metrics_2023_Consol[[#This Row],[Total assets less current liabilities]]</f>
        <v>534143</v>
      </c>
      <c r="CI159" s="84" vm="5640">
        <v>534143</v>
      </c>
      <c r="CJ159" s="71" vm="5602">
        <f xml:space="preserve"> VfM_Metrics_2023_Consol[[#This Row],[Total social housing units owned (Period end)]]</f>
        <v>6957</v>
      </c>
      <c r="CK159" s="103">
        <v>6.7171644990710305E-3</v>
      </c>
      <c r="CL159" s="6">
        <f xml:space="preserve"> -- ( VfM_Metrics_2023_Consol[[#This Row],[% Supported housing (excl. HOP)]] &gt; 0.3 )</f>
        <v>0</v>
      </c>
      <c r="CM159" s="103">
        <v>5.002143775903959E-2</v>
      </c>
      <c r="CN159" s="6">
        <f xml:space="preserve"> -- ( VfM_Metrics_2023_Consol[[#This Row],[% Housing for older people]] &gt; 0.3 )</f>
        <v>0</v>
      </c>
      <c r="CO159" s="103">
        <f xml:space="preserve"> VfM_Metrics_2023_Consol[[#This Row],[% Supported housing (excl. HOP)]] + VfM_Metrics_2023_Consol[[#This Row],[% Housing for older people]]</f>
        <v>5.6738602258110622E-2</v>
      </c>
      <c r="CP159" s="6">
        <f xml:space="preserve"> -- ( VfM_Metrics_2023_Consol[[#This Row],[SH specialist in RSH analysis]] + VfM_Metrics_2023_Consol[[#This Row],[OP specialist in RSH analysis]] &gt; 0 )</f>
        <v>0</v>
      </c>
      <c r="CQ159" s="10">
        <f xml:space="preserve"> -- ( VfM_Metrics_2023_Consol[[#This Row],[% SH and OP]] &gt; 0.3 )</f>
        <v>0</v>
      </c>
      <c r="CR159" s="104" t="s">
        <v>143</v>
      </c>
      <c r="CS159" s="124"/>
      <c r="CT159" s="105" t="s">
        <v>151</v>
      </c>
      <c r="CU15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59" s="85">
        <v>0</v>
      </c>
      <c r="CW159" s="85">
        <v>1</v>
      </c>
      <c r="CX159" s="85">
        <v>0</v>
      </c>
      <c r="CY159" s="85">
        <v>0</v>
      </c>
      <c r="CZ159" s="85">
        <v>0</v>
      </c>
      <c r="DA159" s="85">
        <v>0</v>
      </c>
      <c r="DB159" s="85">
        <v>0</v>
      </c>
      <c r="DC159" s="85">
        <v>0</v>
      </c>
      <c r="DD159" s="85">
        <v>0</v>
      </c>
      <c r="DE159" s="13">
        <v>1.0337125580623883</v>
      </c>
    </row>
    <row r="160" spans="1:109" x14ac:dyDescent="0.25">
      <c r="A160" s="4" t="s" vm="380">
        <v>444</v>
      </c>
      <c r="B160" s="2" t="s" vm="150">
        <v>445</v>
      </c>
      <c r="C160" s="72" vm="535">
        <v>45016</v>
      </c>
      <c r="D160" s="7">
        <f>IFERROR( VfM_Metrics_2023_Consol[[#This Row],[Reinvestment Spend]] / VfM_Metrics_2023_Consol[[#This Row],[Net Book Value of Housing Properties]], "n/a" )</f>
        <v>7.5318958880602721E-2</v>
      </c>
      <c r="E16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51266</v>
      </c>
      <c r="F160" s="83" vm="6191">
        <v>0</v>
      </c>
      <c r="G160" s="83" vm="6192">
        <v>44220</v>
      </c>
      <c r="H160" s="83" vm="6193">
        <v>4747</v>
      </c>
      <c r="I160" s="83" vm="6194">
        <v>2299</v>
      </c>
      <c r="J160" s="83" vm="6195">
        <v>0</v>
      </c>
      <c r="K160" s="5">
        <f xml:space="preserve"> SUM( VfM_Metrics_2023_Consol[[#This Row],[Tangible fixed assets: Housing properties at cost (Current period)]],VfM_Metrics_2023_Consol[[#This Row],[Tangible fixed assets Housing properties at valuation (Current period)]] )</f>
        <v>680652</v>
      </c>
      <c r="L160" s="84" vm="6196">
        <v>680652</v>
      </c>
      <c r="M160" s="83" vm="7215">
        <v>0</v>
      </c>
      <c r="N160" s="7">
        <f xml:space="preserve"> IFERROR( VfM_Metrics_2023_Consol[[#This Row],[Total social units developed or newly built units acquired in-year]] / VfM_Metrics_2023_Consol[[#This Row],[Social housing units owned (period end)]], "n/a" )</f>
        <v>4.1423332880619314E-2</v>
      </c>
      <c r="O160" s="5">
        <f xml:space="preserve"> SUM( VfM_Metrics_2023_Consol[[#This Row],[Total social units developed or newly built units acquired in-year (owned)]], VfM_Metrics_2023_Consol[[#This Row],[Total social leasehold units developed or newly built units acquired in-year (owned)]] )</f>
        <v>305</v>
      </c>
      <c r="P160" s="84" vm="6198">
        <v>305</v>
      </c>
      <c r="Q160" s="83">
        <v>0</v>
      </c>
      <c r="R160" s="5">
        <f xml:space="preserve"> SUM( VfM_Metrics_2023_Consol[[#This Row],[Total social housing units owned (Period end)]], VfM_Metrics_2023_Consol[[#This Row],[Total social leasehold units owned (Period end)]] )</f>
        <v>7363</v>
      </c>
      <c r="S160" s="84" vm="6189">
        <v>7363</v>
      </c>
      <c r="T160" s="83" vm="6199">
        <v>0</v>
      </c>
      <c r="U160" s="86">
        <f xml:space="preserve"> IFERROR( VfM_Metrics_2023_Consol[[#This Row],[Total non-social housing units developed or newly built units acquired (owned)]] / VfM_Metrics_2023_Consol[[#This Row],[Total social and non-social housing units owned (Period end)]], "n/a" )</f>
        <v>0</v>
      </c>
      <c r="V16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60" s="83">
        <v>0</v>
      </c>
      <c r="X160" s="83">
        <v>0</v>
      </c>
      <c r="Y160" s="83">
        <v>0</v>
      </c>
      <c r="Z16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7365</v>
      </c>
      <c r="AA160" s="84" vm="3390">
        <v>7363</v>
      </c>
      <c r="AB160" s="83" vm="6199">
        <v>0</v>
      </c>
      <c r="AC160" s="83" vm="6200">
        <v>2</v>
      </c>
      <c r="AD160" s="83" vm="6201">
        <v>0</v>
      </c>
      <c r="AE160" s="7">
        <f xml:space="preserve"> IFERROR( VfM_Metrics_2023_Consol[[#This Row],[Total Net Debt]] / VfM_Metrics_2023_Consol[[#This Row],[Net Book Value of Housing Properties2]], "n/a" )</f>
        <v>0.45181825661277714</v>
      </c>
      <c r="AF16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307531</v>
      </c>
      <c r="AG160" s="84" vm="7238">
        <v>5174</v>
      </c>
      <c r="AH160" s="83" vm="6202">
        <v>309297</v>
      </c>
      <c r="AI160" s="83" vm="6203">
        <v>6940</v>
      </c>
      <c r="AJ160" s="83" vm="6204">
        <v>0</v>
      </c>
      <c r="AK160" s="83" vm="7205">
        <v>0</v>
      </c>
      <c r="AL160" s="5">
        <f xml:space="preserve"> SUM( VfM_Metrics_2023_Consol[[#This Row],[Tangible fixed assets: Housing properties at cost (Current period)2]], VfM_Metrics_2023_Consol[[#This Row],[Tangible fixed assets Housing properties at valuation (Current period)2]] )</f>
        <v>680652</v>
      </c>
      <c r="AM160" s="84" vm="6196">
        <v>680652</v>
      </c>
      <c r="AN160" s="83" vm="6197">
        <v>0</v>
      </c>
      <c r="AO160" s="87">
        <f xml:space="preserve"> IFERROR( VfM_Metrics_2023_Consol[[#This Row],[EBITDA MRI]] / VfM_Metrics_2023_Consol[[#This Row],[Total interest]], "n/a" )</f>
        <v>1.4998063066553033</v>
      </c>
      <c r="AP16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19358</v>
      </c>
      <c r="AQ160" s="84" vm="6205">
        <v>19282</v>
      </c>
      <c r="AR160" s="84" vm="6206">
        <v>1775</v>
      </c>
      <c r="AS160" s="84">
        <v>0</v>
      </c>
      <c r="AT160" s="84" vm="6208">
        <v>645</v>
      </c>
      <c r="AU160" s="84" vm="6209">
        <v>0</v>
      </c>
      <c r="AV160" s="84" vm="6210">
        <v>8</v>
      </c>
      <c r="AW160" s="84" vm="4939">
        <v>4747</v>
      </c>
      <c r="AX160" s="84" vm="6212">
        <v>7235</v>
      </c>
      <c r="AY160" s="3">
        <f xml:space="preserve"> - SUM( VfM_Metrics_2023_Consol[[#This Row],[Interest capitalised]], VfM_Metrics_2023_Consol[[#This Row],[Interest payable and financing costs]] )</f>
        <v>12907</v>
      </c>
      <c r="AZ160" s="84" vm="6213">
        <v>-2299</v>
      </c>
      <c r="BA160" s="83" vm="6214">
        <v>-10608</v>
      </c>
      <c r="BB160" s="8">
        <f xml:space="preserve"> IFERROR( ( VfM_Metrics_2023_Consol[[#This Row],[Total Costs]] / VfM_Metrics_2023_Consol[[#This Row],[Total units for costs]] ) * 1000, "n/a" )</f>
        <v>4158.7668070080135</v>
      </c>
      <c r="BC16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30621</v>
      </c>
      <c r="BD160" s="84" vm="7155">
        <v>3684</v>
      </c>
      <c r="BE160" s="83" vm="6215">
        <v>1690</v>
      </c>
      <c r="BF160" s="83" vm="6216">
        <v>12210</v>
      </c>
      <c r="BG160" s="83" vm="5983">
        <v>7861</v>
      </c>
      <c r="BH160" s="83" vm="6217">
        <v>0</v>
      </c>
      <c r="BI160" s="83" vm="6218">
        <v>0</v>
      </c>
      <c r="BJ160" s="83" vm="6211">
        <v>4747</v>
      </c>
      <c r="BK160" s="83" vm="6654">
        <v>0</v>
      </c>
      <c r="BL160" s="83" vm="6219">
        <v>124</v>
      </c>
      <c r="BM160" s="83">
        <v>0</v>
      </c>
      <c r="BN160" s="83" vm="6220">
        <v>305</v>
      </c>
      <c r="BO160" s="83">
        <v>0</v>
      </c>
      <c r="BP160" s="5" vm="6190">
        <f xml:space="preserve"> VfM_Metrics_2023_Consol[[#This Row],[Total social housing units owned and/or managed at period end]]</f>
        <v>7363</v>
      </c>
      <c r="BQ160" s="84" vm="6190">
        <v>7363</v>
      </c>
      <c r="BR160" s="7">
        <f xml:space="preserve"> IFERROR( VfM_Metrics_2023_Consol[[#This Row],[SHL operating surplus / (deficit)]] / VfM_Metrics_2023_Consol[[#This Row],[Turnover from social housing lettings]], "n/a" )</f>
        <v>0.3086016686938523</v>
      </c>
      <c r="BS160" s="5" vm="6221">
        <f xml:space="preserve"> VfM_Metrics_2023_Consol[[#This Row],[Operating surplus/(deficit) (social housing lettings)]]</f>
        <v>14462</v>
      </c>
      <c r="BT160" s="84" vm="6221">
        <v>14462</v>
      </c>
      <c r="BU160" s="5" vm="6222">
        <f xml:space="preserve"> VfM_Metrics_2023_Consol[[#This Row],[Turnover from social housing lettings]]</f>
        <v>46863</v>
      </c>
      <c r="BV160" s="84" vm="6222">
        <v>46863</v>
      </c>
      <c r="BW160" s="7">
        <f xml:space="preserve"> IFERROR( VfM_Metrics_2023_Consol[[#This Row],[Net operating surplus]] / VfM_Metrics_2023_Consol[[#This Row],[Overall turnover]], "n/a" )</f>
        <v>0.3111138754620415</v>
      </c>
      <c r="BX160" s="5">
        <f xml:space="preserve"> SUM( VfM_Metrics_2023_Consol[[#This Row],[Operating surplus/(deficit) (overall)2]], - VfM_Metrics_2023_Consol[[#This Row],[Gain/(loss) on disposal of fixed assets (housing properties)2]], - VfM_Metrics_2023_Consol[[#This Row],[Gain/(loss) on disposal of fixed assets (other)2]] )</f>
        <v>17507</v>
      </c>
      <c r="BY160" s="84" vm="6205">
        <v>19282</v>
      </c>
      <c r="BZ160" s="83" vm="6206">
        <v>1775</v>
      </c>
      <c r="CA160" s="83">
        <v>0</v>
      </c>
      <c r="CB160" s="5" vm="6223">
        <f xml:space="preserve"> VfM_Metrics_2023_Consol[[#This Row],[Turnover (overall)]]</f>
        <v>56272</v>
      </c>
      <c r="CC160" s="84" vm="6223">
        <v>56272</v>
      </c>
      <c r="CD160" s="7">
        <f xml:space="preserve"> IFERROR( VfM_Metrics_2023_Consol[[#This Row],[Operating surplus including from JVs]] / VfM_Metrics_2023_Consol[[#This Row],[Net assets]], "n/a" )</f>
        <v>2.7971196137822188E-2</v>
      </c>
      <c r="CE160" s="5">
        <f xml:space="preserve"> SUM( VfM_Metrics_2023_Consol[[#This Row],[Operating surplus/(deficit) (overall)3]], VfM_Metrics_2023_Consol[[#This Row],[Share of operating surplus/(deficit) in joint ventures or associates]] )</f>
        <v>19282</v>
      </c>
      <c r="CF160" s="84" vm="6205">
        <v>19282</v>
      </c>
      <c r="CG160" s="83">
        <v>0</v>
      </c>
      <c r="CH160" s="5" vm="6224">
        <f xml:space="preserve"> VfM_Metrics_2023_Consol[[#This Row],[Total assets less current liabilities]]</f>
        <v>689352</v>
      </c>
      <c r="CI160" s="84" vm="6224">
        <v>689352</v>
      </c>
      <c r="CJ160" s="71" vm="6189">
        <f xml:space="preserve"> VfM_Metrics_2023_Consol[[#This Row],[Total social housing units owned (Period end)]]</f>
        <v>7363</v>
      </c>
      <c r="CK160" s="103">
        <v>1.3331500824628917E-2</v>
      </c>
      <c r="CL160" s="6">
        <f xml:space="preserve"> -- ( VfM_Metrics_2023_Consol[[#This Row],[% Supported housing (excl. HOP)]] &gt; 0.3 )</f>
        <v>0</v>
      </c>
      <c r="CM160" s="103">
        <v>7.6140736668499173E-2</v>
      </c>
      <c r="CN160" s="6">
        <f xml:space="preserve"> -- ( VfM_Metrics_2023_Consol[[#This Row],[% Housing for older people]] &gt; 0.3 )</f>
        <v>0</v>
      </c>
      <c r="CO160" s="103">
        <f xml:space="preserve"> VfM_Metrics_2023_Consol[[#This Row],[% Supported housing (excl. HOP)]] + VfM_Metrics_2023_Consol[[#This Row],[% Housing for older people]]</f>
        <v>8.947223749312809E-2</v>
      </c>
      <c r="CP160" s="6">
        <f xml:space="preserve"> -- ( VfM_Metrics_2023_Consol[[#This Row],[SH specialist in RSH analysis]] + VfM_Metrics_2023_Consol[[#This Row],[OP specialist in RSH analysis]] &gt; 0 )</f>
        <v>0</v>
      </c>
      <c r="CQ160" s="10">
        <f xml:space="preserve"> -- ( VfM_Metrics_2023_Consol[[#This Row],[% SH and OP]] &gt; 0.3 )</f>
        <v>0</v>
      </c>
      <c r="CR160" s="104" t="s">
        <v>143</v>
      </c>
      <c r="CS160" s="124"/>
      <c r="CT160" s="105" t="s">
        <v>151</v>
      </c>
      <c r="CU16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60" s="85">
        <v>0</v>
      </c>
      <c r="CW160" s="85">
        <v>0.9683552899633302</v>
      </c>
      <c r="CX160" s="85">
        <v>3.1644710036669833E-2</v>
      </c>
      <c r="CY160" s="85">
        <v>0</v>
      </c>
      <c r="CZ160" s="85">
        <v>0</v>
      </c>
      <c r="DA160" s="85">
        <v>0</v>
      </c>
      <c r="DB160" s="85">
        <v>0</v>
      </c>
      <c r="DC160" s="85">
        <v>0</v>
      </c>
      <c r="DD160" s="85">
        <v>0</v>
      </c>
      <c r="DE160" s="13">
        <v>1.0318583827666652</v>
      </c>
    </row>
    <row r="161" spans="1:109" x14ac:dyDescent="0.25">
      <c r="A161" s="4" t="s" vm="320">
        <v>446</v>
      </c>
      <c r="B161" s="2" t="s" vm="151">
        <v>447</v>
      </c>
      <c r="C161" s="72" vm="492">
        <v>45016</v>
      </c>
      <c r="D161" s="7">
        <f>IFERROR( VfM_Metrics_2023_Consol[[#This Row],[Reinvestment Spend]] / VfM_Metrics_2023_Consol[[#This Row],[Net Book Value of Housing Properties]], "n/a" )</f>
        <v>0.10198426885949231</v>
      </c>
      <c r="E16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12551</v>
      </c>
      <c r="F161" s="83" vm="4032">
        <v>8924</v>
      </c>
      <c r="G161" s="83" vm="4033">
        <v>0</v>
      </c>
      <c r="H161" s="83" vm="4034">
        <v>3496</v>
      </c>
      <c r="I161" s="83" vm="4035">
        <v>131</v>
      </c>
      <c r="J161" s="83" vm="4036">
        <v>0</v>
      </c>
      <c r="K161" s="5">
        <f xml:space="preserve"> SUM( VfM_Metrics_2023_Consol[[#This Row],[Tangible fixed assets: Housing properties at cost (Current period)]],VfM_Metrics_2023_Consol[[#This Row],[Tangible fixed assets Housing properties at valuation (Current period)]] )</f>
        <v>123068</v>
      </c>
      <c r="L161" s="84" vm="4037">
        <v>123068</v>
      </c>
      <c r="M161" s="83" vm="4038">
        <v>0</v>
      </c>
      <c r="N161" s="7">
        <f xml:space="preserve"> IFERROR( VfM_Metrics_2023_Consol[[#This Row],[Total social units developed or newly built units acquired in-year]] / VfM_Metrics_2023_Consol[[#This Row],[Social housing units owned (period end)]], "n/a" )</f>
        <v>2.3939393939393941E-2</v>
      </c>
      <c r="O161" s="5">
        <f xml:space="preserve"> SUM( VfM_Metrics_2023_Consol[[#This Row],[Total social units developed or newly built units acquired in-year (owned)]], VfM_Metrics_2023_Consol[[#This Row],[Total social leasehold units developed or newly built units acquired in-year (owned)]] )</f>
        <v>79</v>
      </c>
      <c r="P161" s="84" vm="4039">
        <v>79</v>
      </c>
      <c r="Q161" s="83" vm="3914">
        <v>0</v>
      </c>
      <c r="R161" s="5">
        <f xml:space="preserve"> SUM( VfM_Metrics_2023_Consol[[#This Row],[Total social housing units owned (Period end)]], VfM_Metrics_2023_Consol[[#This Row],[Total social leasehold units owned (Period end)]] )</f>
        <v>3300</v>
      </c>
      <c r="S161" s="84" vm="4030">
        <v>3300</v>
      </c>
      <c r="T161" s="83" vm="7437">
        <v>0</v>
      </c>
      <c r="U161" s="86">
        <f xml:space="preserve"> IFERROR( VfM_Metrics_2023_Consol[[#This Row],[Total non-social housing units developed or newly built units acquired (owned)]] / VfM_Metrics_2023_Consol[[#This Row],[Total social and non-social housing units owned (Period end)]], "n/a" )</f>
        <v>0</v>
      </c>
      <c r="V16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61" s="83" vm="4040">
        <v>0</v>
      </c>
      <c r="X161" s="83" vm="4041">
        <v>0</v>
      </c>
      <c r="Y161" s="83" vm="4042">
        <v>0</v>
      </c>
      <c r="Z16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3575</v>
      </c>
      <c r="AA161" s="84" vm="4030">
        <v>3300</v>
      </c>
      <c r="AB161" s="83" vm="7681">
        <v>0</v>
      </c>
      <c r="AC161" s="83" vm="4043">
        <v>0</v>
      </c>
      <c r="AD161" s="83" vm="7633">
        <v>275</v>
      </c>
      <c r="AE161" s="7">
        <f xml:space="preserve"> IFERROR( VfM_Metrics_2023_Consol[[#This Row],[Total Net Debt]] / VfM_Metrics_2023_Consol[[#This Row],[Net Book Value of Housing Properties2]], "n/a" )</f>
        <v>0.33383170279845287</v>
      </c>
      <c r="AF16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41084</v>
      </c>
      <c r="AG161" s="84" vm="7546">
        <v>0</v>
      </c>
      <c r="AH161" s="83" vm="4044">
        <v>54115</v>
      </c>
      <c r="AI161" s="83" vm="4045">
        <v>13031</v>
      </c>
      <c r="AJ161" s="83" vm="4192">
        <v>0</v>
      </c>
      <c r="AK161" s="83" vm="4046">
        <v>0</v>
      </c>
      <c r="AL161" s="5">
        <f xml:space="preserve"> SUM( VfM_Metrics_2023_Consol[[#This Row],[Tangible fixed assets: Housing properties at cost (Current period)2]], VfM_Metrics_2023_Consol[[#This Row],[Tangible fixed assets Housing properties at valuation (Current period)2]] )</f>
        <v>123068</v>
      </c>
      <c r="AM161" s="84" vm="3281">
        <v>123068</v>
      </c>
      <c r="AN161" s="83" vm="4038">
        <v>0</v>
      </c>
      <c r="AO161" s="87">
        <f xml:space="preserve"> IFERROR( VfM_Metrics_2023_Consol[[#This Row],[EBITDA MRI]] / VfM_Metrics_2023_Consol[[#This Row],[Total interest]], "n/a" )</f>
        <v>1.5220550077841204</v>
      </c>
      <c r="AP16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2933</v>
      </c>
      <c r="AQ161" s="84" vm="4047">
        <v>5173</v>
      </c>
      <c r="AR161" s="84" vm="4048">
        <v>421</v>
      </c>
      <c r="AS161" s="84" vm="4049">
        <v>0</v>
      </c>
      <c r="AT161" s="84" vm="4050">
        <v>274</v>
      </c>
      <c r="AU161" s="84" vm="4051">
        <v>0</v>
      </c>
      <c r="AV161" s="84" vm="4052">
        <v>166</v>
      </c>
      <c r="AW161" s="84" vm="4053">
        <v>3496</v>
      </c>
      <c r="AX161" s="84" vm="6987">
        <v>1785</v>
      </c>
      <c r="AY161" s="3">
        <f xml:space="preserve"> - SUM( VfM_Metrics_2023_Consol[[#This Row],[Interest capitalised]], VfM_Metrics_2023_Consol[[#This Row],[Interest payable and financing costs]] )</f>
        <v>1927</v>
      </c>
      <c r="AZ161" s="84" vm="4054">
        <v>-131</v>
      </c>
      <c r="BA161" s="83" vm="4055">
        <v>-1796</v>
      </c>
      <c r="BB161" s="8">
        <f xml:space="preserve"> IFERROR( ( VfM_Metrics_2023_Consol[[#This Row],[Total Costs]] / VfM_Metrics_2023_Consol[[#This Row],[Total units for costs]] ) * 1000, "n/a" )</f>
        <v>4803.5190615835782</v>
      </c>
      <c r="BC16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16380</v>
      </c>
      <c r="BD161" s="84" vm="4056">
        <v>4590</v>
      </c>
      <c r="BE161" s="83" vm="4057">
        <v>966</v>
      </c>
      <c r="BF161" s="83" vm="4058">
        <v>2718</v>
      </c>
      <c r="BG161" s="83" vm="7598">
        <v>1101</v>
      </c>
      <c r="BH161" s="83" vm="4059">
        <v>2085</v>
      </c>
      <c r="BI161" s="83" vm="4060">
        <v>0</v>
      </c>
      <c r="BJ161" s="83" vm="7357">
        <v>3496</v>
      </c>
      <c r="BK161" s="83" vm="4061">
        <v>0</v>
      </c>
      <c r="BL161" s="83" vm="4062">
        <v>481</v>
      </c>
      <c r="BM161" s="83" vm="3892">
        <v>0</v>
      </c>
      <c r="BN161" s="83" vm="4063">
        <v>943</v>
      </c>
      <c r="BO161" s="83" vm="4064">
        <v>0</v>
      </c>
      <c r="BP161" s="5" vm="4031">
        <f xml:space="preserve"> VfM_Metrics_2023_Consol[[#This Row],[Total social housing units owned and/or managed at period end]]</f>
        <v>3410</v>
      </c>
      <c r="BQ161" s="84" vm="4031">
        <v>3410</v>
      </c>
      <c r="BR161" s="7">
        <f xml:space="preserve"> IFERROR( VfM_Metrics_2023_Consol[[#This Row],[SHL operating surplus / (deficit)]] / VfM_Metrics_2023_Consol[[#This Row],[Turnover from social housing lettings]], "n/a" )</f>
        <v>0.19124437781109446</v>
      </c>
      <c r="BS161" s="5" vm="4065">
        <f xml:space="preserve"> VfM_Metrics_2023_Consol[[#This Row],[Operating surplus/(deficit) (social housing lettings)]]</f>
        <v>3189</v>
      </c>
      <c r="BT161" s="84" vm="4065">
        <v>3189</v>
      </c>
      <c r="BU161" s="5" vm="4066">
        <f xml:space="preserve"> VfM_Metrics_2023_Consol[[#This Row],[Turnover from social housing lettings]]</f>
        <v>16675</v>
      </c>
      <c r="BV161" s="84" vm="4066">
        <v>16675</v>
      </c>
      <c r="BW161" s="7">
        <f xml:space="preserve"> IFERROR( VfM_Metrics_2023_Consol[[#This Row],[Net operating surplus]] / VfM_Metrics_2023_Consol[[#This Row],[Overall turnover]], "n/a" )</f>
        <v>0.21537345902828137</v>
      </c>
      <c r="BX161" s="5">
        <f xml:space="preserve"> SUM( VfM_Metrics_2023_Consol[[#This Row],[Operating surplus/(deficit) (overall)2]], - VfM_Metrics_2023_Consol[[#This Row],[Gain/(loss) on disposal of fixed assets (housing properties)2]], - VfM_Metrics_2023_Consol[[#This Row],[Gain/(loss) on disposal of fixed assets (other)2]] )</f>
        <v>4752</v>
      </c>
      <c r="BY161" s="84" vm="7063">
        <v>5173</v>
      </c>
      <c r="BZ161" s="83" vm="4048">
        <v>421</v>
      </c>
      <c r="CA161" s="83" vm="4049">
        <v>0</v>
      </c>
      <c r="CB161" s="5" vm="4067">
        <f xml:space="preserve"> VfM_Metrics_2023_Consol[[#This Row],[Turnover (overall)]]</f>
        <v>22064</v>
      </c>
      <c r="CC161" s="84" vm="4067">
        <v>22064</v>
      </c>
      <c r="CD161" s="7">
        <f xml:space="preserve"> IFERROR( VfM_Metrics_2023_Consol[[#This Row],[Operating surplus including from JVs]] / VfM_Metrics_2023_Consol[[#This Row],[Net assets]], "n/a" )</f>
        <v>3.1747687813380304E-2</v>
      </c>
      <c r="CE161" s="5">
        <f xml:space="preserve"> SUM( VfM_Metrics_2023_Consol[[#This Row],[Operating surplus/(deficit) (overall)3]], VfM_Metrics_2023_Consol[[#This Row],[Share of operating surplus/(deficit) in joint ventures or associates]] )</f>
        <v>5173</v>
      </c>
      <c r="CF161" s="84" vm="4047">
        <v>5173</v>
      </c>
      <c r="CG161" s="83" vm="7545">
        <v>0</v>
      </c>
      <c r="CH161" s="5" vm="4068">
        <f xml:space="preserve"> VfM_Metrics_2023_Consol[[#This Row],[Total assets less current liabilities]]</f>
        <v>162941</v>
      </c>
      <c r="CI161" s="84" vm="4068">
        <v>162941</v>
      </c>
      <c r="CJ161" s="71" vm="4030">
        <f xml:space="preserve"> VfM_Metrics_2023_Consol[[#This Row],[Total social housing units owned (Period end)]]</f>
        <v>3300</v>
      </c>
      <c r="CK161" s="103">
        <v>0</v>
      </c>
      <c r="CL161" s="6">
        <f xml:space="preserve"> -- ( VfM_Metrics_2023_Consol[[#This Row],[% Supported housing (excl. HOP)]] &gt; 0.3 )</f>
        <v>0</v>
      </c>
      <c r="CM161" s="103">
        <v>0.12855831037649221</v>
      </c>
      <c r="CN161" s="6">
        <f xml:space="preserve"> -- ( VfM_Metrics_2023_Consol[[#This Row],[% Housing for older people]] &gt; 0.3 )</f>
        <v>0</v>
      </c>
      <c r="CO161" s="103">
        <f xml:space="preserve"> VfM_Metrics_2023_Consol[[#This Row],[% Supported housing (excl. HOP)]] + VfM_Metrics_2023_Consol[[#This Row],[% Housing for older people]]</f>
        <v>0.12855831037649221</v>
      </c>
      <c r="CP161" s="6">
        <f xml:space="preserve"> -- ( VfM_Metrics_2023_Consol[[#This Row],[SH specialist in RSH analysis]] + VfM_Metrics_2023_Consol[[#This Row],[OP specialist in RSH analysis]] &gt; 0 )</f>
        <v>0</v>
      </c>
      <c r="CQ161" s="10">
        <f xml:space="preserve"> -- ( VfM_Metrics_2023_Consol[[#This Row],[% SH and OP]] &gt; 0.3 )</f>
        <v>0</v>
      </c>
      <c r="CR161" s="104" t="s">
        <v>168</v>
      </c>
      <c r="CS161" s="124">
        <v>40973</v>
      </c>
      <c r="CT161" s="105" t="s">
        <v>169</v>
      </c>
      <c r="CU16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61" s="85">
        <v>0</v>
      </c>
      <c r="CW161" s="85">
        <v>0</v>
      </c>
      <c r="CX161" s="85">
        <v>0</v>
      </c>
      <c r="CY161" s="85">
        <v>0</v>
      </c>
      <c r="CZ161" s="85">
        <v>0</v>
      </c>
      <c r="DA161" s="85">
        <v>0</v>
      </c>
      <c r="DB161" s="85">
        <v>0</v>
      </c>
      <c r="DC161" s="85">
        <v>1</v>
      </c>
      <c r="DD161" s="85">
        <v>0</v>
      </c>
      <c r="DE161" s="13">
        <v>0.96105917141044694</v>
      </c>
    </row>
    <row r="162" spans="1:109" x14ac:dyDescent="0.25">
      <c r="A162" s="4" t="s" vm="331">
        <v>448</v>
      </c>
      <c r="B162" s="2" t="s" vm="152">
        <v>449</v>
      </c>
      <c r="C162" s="72" vm="546">
        <v>45016</v>
      </c>
      <c r="D162" s="7">
        <f>IFERROR( VfM_Metrics_2023_Consol[[#This Row],[Reinvestment Spend]] / VfM_Metrics_2023_Consol[[#This Row],[Net Book Value of Housing Properties]], "n/a" )</f>
        <v>4.8892764058427553E-2</v>
      </c>
      <c r="E16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5215</v>
      </c>
      <c r="F162" s="83" vm="4415">
        <v>0</v>
      </c>
      <c r="G162" s="83" vm="4416">
        <v>963</v>
      </c>
      <c r="H162" s="83" vm="4417">
        <v>4227</v>
      </c>
      <c r="I162" s="83" vm="4418">
        <v>25</v>
      </c>
      <c r="J162" s="83" vm="7056">
        <v>0</v>
      </c>
      <c r="K162" s="5">
        <f xml:space="preserve"> SUM( VfM_Metrics_2023_Consol[[#This Row],[Tangible fixed assets: Housing properties at cost (Current period)]],VfM_Metrics_2023_Consol[[#This Row],[Tangible fixed assets Housing properties at valuation (Current period)]] )</f>
        <v>106662</v>
      </c>
      <c r="L162" s="84" vm="4419">
        <v>106662</v>
      </c>
      <c r="M162" s="83" vm="4420">
        <v>0</v>
      </c>
      <c r="N162" s="7">
        <f xml:space="preserve"> IFERROR( VfM_Metrics_2023_Consol[[#This Row],[Total social units developed or newly built units acquired in-year]] / VfM_Metrics_2023_Consol[[#This Row],[Social housing units owned (period end)]], "n/a" )</f>
        <v>5.2002080083203327E-3</v>
      </c>
      <c r="O162" s="5">
        <f xml:space="preserve"> SUM( VfM_Metrics_2023_Consol[[#This Row],[Total social units developed or newly built units acquired in-year (owned)]], VfM_Metrics_2023_Consol[[#This Row],[Total social leasehold units developed or newly built units acquired in-year (owned)]] )</f>
        <v>20</v>
      </c>
      <c r="P162" s="84" vm="7539">
        <v>20</v>
      </c>
      <c r="Q162" s="83">
        <v>0</v>
      </c>
      <c r="R162" s="5">
        <f xml:space="preserve"> SUM( VfM_Metrics_2023_Consol[[#This Row],[Total social housing units owned (Period end)]], VfM_Metrics_2023_Consol[[#This Row],[Total social leasehold units owned (Period end)]] )</f>
        <v>3846</v>
      </c>
      <c r="S162" s="84" vm="4413">
        <v>3830</v>
      </c>
      <c r="T162" s="83" vm="4422">
        <v>16</v>
      </c>
      <c r="U162" s="86">
        <f xml:space="preserve"> IFERROR( VfM_Metrics_2023_Consol[[#This Row],[Total non-social housing units developed or newly built units acquired (owned)]] / VfM_Metrics_2023_Consol[[#This Row],[Total social and non-social housing units owned (Period end)]], "n/a" )</f>
        <v>0</v>
      </c>
      <c r="V16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62" s="83">
        <v>0</v>
      </c>
      <c r="X162" s="83">
        <v>0</v>
      </c>
      <c r="Y162" s="83">
        <v>0</v>
      </c>
      <c r="Z16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3846</v>
      </c>
      <c r="AA162" s="84" vm="4413">
        <v>3830</v>
      </c>
      <c r="AB162" s="83" vm="4422">
        <v>16</v>
      </c>
      <c r="AC162" s="83" vm="4423">
        <v>0</v>
      </c>
      <c r="AD162" s="83" vm="4424">
        <v>0</v>
      </c>
      <c r="AE162" s="7">
        <f xml:space="preserve"> IFERROR( VfM_Metrics_2023_Consol[[#This Row],[Total Net Debt]] / VfM_Metrics_2023_Consol[[#This Row],[Net Book Value of Housing Properties2]], "n/a" )</f>
        <v>0.23296019200840037</v>
      </c>
      <c r="AF16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24848</v>
      </c>
      <c r="AG162" s="84" vm="7364">
        <v>0</v>
      </c>
      <c r="AH162" s="83" vm="4425">
        <v>28261</v>
      </c>
      <c r="AI162" s="83" vm="4426">
        <v>3413</v>
      </c>
      <c r="AJ162" s="83" vm="7522">
        <v>0</v>
      </c>
      <c r="AK162" s="83" vm="4427">
        <v>0</v>
      </c>
      <c r="AL162" s="5">
        <f xml:space="preserve"> SUM( VfM_Metrics_2023_Consol[[#This Row],[Tangible fixed assets: Housing properties at cost (Current period)2]], VfM_Metrics_2023_Consol[[#This Row],[Tangible fixed assets Housing properties at valuation (Current period)2]] )</f>
        <v>106662</v>
      </c>
      <c r="AM162" s="84" vm="4419">
        <v>106662</v>
      </c>
      <c r="AN162" s="83" vm="4420">
        <v>0</v>
      </c>
      <c r="AO162" s="87">
        <f xml:space="preserve"> IFERROR( VfM_Metrics_2023_Consol[[#This Row],[EBITDA MRI]] / VfM_Metrics_2023_Consol[[#This Row],[Total interest]], "n/a" )</f>
        <v>3.0377503852080121</v>
      </c>
      <c r="AP16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3943</v>
      </c>
      <c r="AQ162" s="84" vm="4428">
        <v>5133</v>
      </c>
      <c r="AR162" s="84" vm="5594">
        <v>905</v>
      </c>
      <c r="AS162" s="84">
        <v>0</v>
      </c>
      <c r="AT162" s="84" vm="4430">
        <v>690</v>
      </c>
      <c r="AU162" s="84" vm="7385">
        <v>0</v>
      </c>
      <c r="AV162" s="84" vm="5786">
        <v>19</v>
      </c>
      <c r="AW162" s="84" vm="4431">
        <v>4227</v>
      </c>
      <c r="AX162" s="84" vm="4432">
        <v>4613</v>
      </c>
      <c r="AY162" s="3">
        <f xml:space="preserve"> - SUM( VfM_Metrics_2023_Consol[[#This Row],[Interest capitalised]], VfM_Metrics_2023_Consol[[#This Row],[Interest payable and financing costs]] )</f>
        <v>1298</v>
      </c>
      <c r="AZ162" s="84" vm="4433">
        <v>-25</v>
      </c>
      <c r="BA162" s="83" vm="4434">
        <v>-1273</v>
      </c>
      <c r="BB162" s="8">
        <f xml:space="preserve"> IFERROR( ( VfM_Metrics_2023_Consol[[#This Row],[Total Costs]] / VfM_Metrics_2023_Consol[[#This Row],[Total units for costs]] ) * 1000, "n/a" )</f>
        <v>4210.1827676240209</v>
      </c>
      <c r="BC16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16125</v>
      </c>
      <c r="BD162" s="84" vm="4435">
        <v>4504</v>
      </c>
      <c r="BE162" s="83" vm="4436">
        <v>654</v>
      </c>
      <c r="BF162" s="83" vm="4437">
        <v>2938</v>
      </c>
      <c r="BG162" s="83" vm="4438">
        <v>2104</v>
      </c>
      <c r="BH162" s="83" vm="4439">
        <v>681</v>
      </c>
      <c r="BI162" s="83" vm="4440">
        <v>289</v>
      </c>
      <c r="BJ162" s="83" vm="4431">
        <v>4227</v>
      </c>
      <c r="BK162" s="83" vm="4441">
        <v>0</v>
      </c>
      <c r="BL162" s="83" vm="4442">
        <v>176</v>
      </c>
      <c r="BM162" s="83" vm="4443">
        <v>454</v>
      </c>
      <c r="BN162" s="83" vm="4444">
        <v>98</v>
      </c>
      <c r="BO162" s="83">
        <v>0</v>
      </c>
      <c r="BP162" s="5" vm="4414">
        <f xml:space="preserve"> VfM_Metrics_2023_Consol[[#This Row],[Total social housing units owned and/or managed at period end]]</f>
        <v>3830</v>
      </c>
      <c r="BQ162" s="84" vm="4414">
        <v>3830</v>
      </c>
      <c r="BR162" s="7">
        <f xml:space="preserve"> IFERROR( VfM_Metrics_2023_Consol[[#This Row],[SHL operating surplus / (deficit)]] / VfM_Metrics_2023_Consol[[#This Row],[Turnover from social housing lettings]], "n/a" )</f>
        <v>0.23110890597866535</v>
      </c>
      <c r="BS162" s="5" vm="4445">
        <f xml:space="preserve"> VfM_Metrics_2023_Consol[[#This Row],[Operating surplus/(deficit) (social housing lettings)]]</f>
        <v>4658</v>
      </c>
      <c r="BT162" s="84" vm="4445">
        <v>4658</v>
      </c>
      <c r="BU162" s="5" vm="4446">
        <f xml:space="preserve"> VfM_Metrics_2023_Consol[[#This Row],[Turnover from social housing lettings]]</f>
        <v>20155</v>
      </c>
      <c r="BV162" s="84" vm="4446">
        <v>20155</v>
      </c>
      <c r="BW162" s="7">
        <f xml:space="preserve"> IFERROR( VfM_Metrics_2023_Consol[[#This Row],[Net operating surplus]] / VfM_Metrics_2023_Consol[[#This Row],[Overall turnover]], "n/a" )</f>
        <v>0.20038864401156453</v>
      </c>
      <c r="BX162" s="5">
        <f xml:space="preserve"> SUM( VfM_Metrics_2023_Consol[[#This Row],[Operating surplus/(deficit) (overall)2]], - VfM_Metrics_2023_Consol[[#This Row],[Gain/(loss) on disposal of fixed assets (housing properties)2]], - VfM_Metrics_2023_Consol[[#This Row],[Gain/(loss) on disposal of fixed assets (other)2]] )</f>
        <v>4228</v>
      </c>
      <c r="BY162" s="84" vm="4428">
        <v>5133</v>
      </c>
      <c r="BZ162" s="83" vm="4429">
        <v>905</v>
      </c>
      <c r="CA162" s="83">
        <v>0</v>
      </c>
      <c r="CB162" s="5" vm="4447">
        <f xml:space="preserve"> VfM_Metrics_2023_Consol[[#This Row],[Turnover (overall)]]</f>
        <v>21099</v>
      </c>
      <c r="CC162" s="84" vm="4447">
        <v>21099</v>
      </c>
      <c r="CD162" s="7">
        <f xml:space="preserve"> IFERROR( VfM_Metrics_2023_Consol[[#This Row],[Operating surplus including from JVs]] / VfM_Metrics_2023_Consol[[#This Row],[Net assets]], "n/a" )</f>
        <v>4.6379875850478439E-2</v>
      </c>
      <c r="CE162" s="5">
        <f xml:space="preserve"> SUM( VfM_Metrics_2023_Consol[[#This Row],[Operating surplus/(deficit) (overall)3]], VfM_Metrics_2023_Consol[[#This Row],[Share of operating surplus/(deficit) in joint ventures or associates]] )</f>
        <v>5133</v>
      </c>
      <c r="CF162" s="84" vm="2338">
        <v>5133</v>
      </c>
      <c r="CG162" s="83" vm="4449">
        <v>0</v>
      </c>
      <c r="CH162" s="5" vm="4448">
        <f xml:space="preserve"> VfM_Metrics_2023_Consol[[#This Row],[Total assets less current liabilities]]</f>
        <v>110673</v>
      </c>
      <c r="CI162" s="84" vm="4448">
        <v>110673</v>
      </c>
      <c r="CJ162" s="71" vm="4413">
        <f xml:space="preserve"> VfM_Metrics_2023_Consol[[#This Row],[Total social housing units owned (Period end)]]</f>
        <v>3830</v>
      </c>
      <c r="CK162" s="103">
        <v>7.8308535630383712E-4</v>
      </c>
      <c r="CL162" s="6">
        <f xml:space="preserve"> -- ( VfM_Metrics_2023_Consol[[#This Row],[% Supported housing (excl. HOP)]] &gt; 0.3 )</f>
        <v>0</v>
      </c>
      <c r="CM162" s="103">
        <v>3.0801357347950926E-2</v>
      </c>
      <c r="CN162" s="6">
        <f xml:space="preserve"> -- ( VfM_Metrics_2023_Consol[[#This Row],[% Housing for older people]] &gt; 0.3 )</f>
        <v>0</v>
      </c>
      <c r="CO162" s="103">
        <f xml:space="preserve"> VfM_Metrics_2023_Consol[[#This Row],[% Supported housing (excl. HOP)]] + VfM_Metrics_2023_Consol[[#This Row],[% Housing for older people]]</f>
        <v>3.1584442704254763E-2</v>
      </c>
      <c r="CP162" s="6">
        <f xml:space="preserve"> -- ( VfM_Metrics_2023_Consol[[#This Row],[SH specialist in RSH analysis]] + VfM_Metrics_2023_Consol[[#This Row],[OP specialist in RSH analysis]] &gt; 0 )</f>
        <v>0</v>
      </c>
      <c r="CQ162" s="10">
        <f xml:space="preserve"> -- ( VfM_Metrics_2023_Consol[[#This Row],[% SH and OP]] &gt; 0.3 )</f>
        <v>0</v>
      </c>
      <c r="CR162" s="104" t="s">
        <v>143</v>
      </c>
      <c r="CS162" s="124"/>
      <c r="CT162" s="105" t="s">
        <v>151</v>
      </c>
      <c r="CU16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62" s="85">
        <v>0</v>
      </c>
      <c r="CW162" s="85">
        <v>0</v>
      </c>
      <c r="CX162" s="85">
        <v>0</v>
      </c>
      <c r="CY162" s="85">
        <v>0</v>
      </c>
      <c r="CZ162" s="85">
        <v>0</v>
      </c>
      <c r="DA162" s="85">
        <v>0</v>
      </c>
      <c r="DB162" s="85">
        <v>0</v>
      </c>
      <c r="DC162" s="85">
        <v>1</v>
      </c>
      <c r="DD162" s="85">
        <v>0</v>
      </c>
      <c r="DE162" s="13">
        <v>0.96105917141044694</v>
      </c>
    </row>
    <row r="163" spans="1:109" x14ac:dyDescent="0.25">
      <c r="A163" s="4" t="s" vm="354">
        <v>450</v>
      </c>
      <c r="B163" s="2" t="s" vm="153">
        <v>451</v>
      </c>
      <c r="C163" s="72" vm="526">
        <v>45016</v>
      </c>
      <c r="D163" s="7">
        <f>IFERROR( VfM_Metrics_2023_Consol[[#This Row],[Reinvestment Spend]] / VfM_Metrics_2023_Consol[[#This Row],[Net Book Value of Housing Properties]], "n/a" )</f>
        <v>2.6797275599523489E-2</v>
      </c>
      <c r="E16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8278</v>
      </c>
      <c r="F163" s="83" vm="5240">
        <v>2744</v>
      </c>
      <c r="G163" s="83" vm="5241">
        <v>804</v>
      </c>
      <c r="H163" s="83" vm="5242">
        <v>4683</v>
      </c>
      <c r="I163" s="83" vm="5243">
        <v>47</v>
      </c>
      <c r="J163" s="83" vm="5244">
        <v>0</v>
      </c>
      <c r="K163" s="5">
        <f xml:space="preserve"> SUM( VfM_Metrics_2023_Consol[[#This Row],[Tangible fixed assets: Housing properties at cost (Current period)]],VfM_Metrics_2023_Consol[[#This Row],[Tangible fixed assets Housing properties at valuation (Current period)]] )</f>
        <v>308912</v>
      </c>
      <c r="L163" s="84" vm="5245">
        <v>308912</v>
      </c>
      <c r="M163" s="83">
        <v>0</v>
      </c>
      <c r="N163" s="7">
        <f xml:space="preserve"> IFERROR( VfM_Metrics_2023_Consol[[#This Row],[Total social units developed or newly built units acquired in-year]] / VfM_Metrics_2023_Consol[[#This Row],[Social housing units owned (period end)]], "n/a" )</f>
        <v>2.9417172274315132E-3</v>
      </c>
      <c r="O163" s="5">
        <f xml:space="preserve"> SUM( VfM_Metrics_2023_Consol[[#This Row],[Total social units developed or newly built units acquired in-year (owned)]], VfM_Metrics_2023_Consol[[#This Row],[Total social leasehold units developed or newly built units acquired in-year (owned)]] )</f>
        <v>16</v>
      </c>
      <c r="P163" s="84" vm="6710">
        <v>16</v>
      </c>
      <c r="Q163" s="83">
        <v>0</v>
      </c>
      <c r="R163" s="5">
        <f xml:space="preserve"> SUM( VfM_Metrics_2023_Consol[[#This Row],[Total social housing units owned (Period end)]], VfM_Metrics_2023_Consol[[#This Row],[Total social leasehold units owned (Period end)]] )</f>
        <v>5439</v>
      </c>
      <c r="S163" s="84" vm="5238">
        <v>5386</v>
      </c>
      <c r="T163" s="83" vm="5246">
        <v>53</v>
      </c>
      <c r="U163" s="86">
        <f xml:space="preserve"> IFERROR( VfM_Metrics_2023_Consol[[#This Row],[Total non-social housing units developed or newly built units acquired (owned)]] / VfM_Metrics_2023_Consol[[#This Row],[Total social and non-social housing units owned (Period end)]], "n/a" )</f>
        <v>0</v>
      </c>
      <c r="V16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63" s="83">
        <v>0</v>
      </c>
      <c r="X163" s="83">
        <v>0</v>
      </c>
      <c r="Y163" s="83">
        <v>0</v>
      </c>
      <c r="Z16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5479</v>
      </c>
      <c r="AA163" s="84" vm="5238">
        <v>5386</v>
      </c>
      <c r="AB163" s="83" vm="5246">
        <v>53</v>
      </c>
      <c r="AC163" s="83" vm="5247">
        <v>40</v>
      </c>
      <c r="AD163" s="83" vm="5248">
        <v>0</v>
      </c>
      <c r="AE163" s="7">
        <f xml:space="preserve"> IFERROR( VfM_Metrics_2023_Consol[[#This Row],[Total Net Debt]] / VfM_Metrics_2023_Consol[[#This Row],[Net Book Value of Housing Properties2]], "n/a" )</f>
        <v>0.44662881338374683</v>
      </c>
      <c r="AF16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137969</v>
      </c>
      <c r="AG163" s="84" vm="5249">
        <v>98433</v>
      </c>
      <c r="AH163" s="83" vm="5250">
        <v>34484</v>
      </c>
      <c r="AI163" s="83" vm="5251">
        <v>6013</v>
      </c>
      <c r="AJ163" s="83" vm="1675">
        <v>0</v>
      </c>
      <c r="AK163" s="83" vm="5252">
        <v>11065</v>
      </c>
      <c r="AL163" s="5">
        <f xml:space="preserve"> SUM( VfM_Metrics_2023_Consol[[#This Row],[Tangible fixed assets: Housing properties at cost (Current period)2]], VfM_Metrics_2023_Consol[[#This Row],[Tangible fixed assets Housing properties at valuation (Current period)2]] )</f>
        <v>308912</v>
      </c>
      <c r="AM163" s="84" vm="5245">
        <v>308912</v>
      </c>
      <c r="AN163" s="83">
        <v>0</v>
      </c>
      <c r="AO163" s="87">
        <f xml:space="preserve"> IFERROR( VfM_Metrics_2023_Consol[[#This Row],[EBITDA MRI]] / VfM_Metrics_2023_Consol[[#This Row],[Total interest]], "n/a" )</f>
        <v>0.95112781954887216</v>
      </c>
      <c r="AP16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6325</v>
      </c>
      <c r="AQ163" s="84" vm="5253">
        <v>7260</v>
      </c>
      <c r="AR163" s="84" vm="6952">
        <v>1957</v>
      </c>
      <c r="AS163" s="84">
        <v>0</v>
      </c>
      <c r="AT163" s="84" vm="5254">
        <v>1605</v>
      </c>
      <c r="AU163" s="84" vm="5255">
        <v>0</v>
      </c>
      <c r="AV163" s="84" vm="5256">
        <v>160</v>
      </c>
      <c r="AW163" s="84" vm="5257">
        <v>4683</v>
      </c>
      <c r="AX163" s="84" vm="3637">
        <v>7150</v>
      </c>
      <c r="AY163" s="3">
        <f xml:space="preserve"> - SUM( VfM_Metrics_2023_Consol[[#This Row],[Interest capitalised]], VfM_Metrics_2023_Consol[[#This Row],[Interest payable and financing costs]] )</f>
        <v>6650</v>
      </c>
      <c r="AZ163" s="84" vm="6951">
        <v>-47</v>
      </c>
      <c r="BA163" s="83" vm="5258">
        <v>-6603</v>
      </c>
      <c r="BB163" s="8">
        <f xml:space="preserve"> IFERROR( ( VfM_Metrics_2023_Consol[[#This Row],[Total Costs]] / VfM_Metrics_2023_Consol[[#This Row],[Total units for costs]] ) * 1000, "n/a" )</f>
        <v>5477.691740412979</v>
      </c>
      <c r="BC16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29711</v>
      </c>
      <c r="BD163" s="84" vm="7014">
        <v>8310</v>
      </c>
      <c r="BE163" s="83" vm="5260">
        <v>2993</v>
      </c>
      <c r="BF163" s="83" vm="5261">
        <v>7275</v>
      </c>
      <c r="BG163" s="83" vm="5262">
        <v>1147</v>
      </c>
      <c r="BH163" s="83" vm="5263">
        <v>0</v>
      </c>
      <c r="BI163" s="83" vm="5264">
        <v>20</v>
      </c>
      <c r="BJ163" s="83" vm="5257">
        <v>4683</v>
      </c>
      <c r="BK163" s="83" vm="5518">
        <v>2044</v>
      </c>
      <c r="BL163" s="83" vm="5265">
        <v>422</v>
      </c>
      <c r="BM163" s="83">
        <v>0</v>
      </c>
      <c r="BN163" s="83" vm="5266">
        <v>691</v>
      </c>
      <c r="BO163" s="83" vm="7293">
        <v>2126</v>
      </c>
      <c r="BP163" s="5" vm="5239">
        <f xml:space="preserve"> VfM_Metrics_2023_Consol[[#This Row],[Total social housing units owned and/or managed at period end]]</f>
        <v>5424</v>
      </c>
      <c r="BQ163" s="84" vm="5239">
        <v>5424</v>
      </c>
      <c r="BR163" s="7">
        <f xml:space="preserve"> IFERROR( VfM_Metrics_2023_Consol[[#This Row],[SHL operating surplus / (deficit)]] / VfM_Metrics_2023_Consol[[#This Row],[Turnover from social housing lettings]], "n/a" )</f>
        <v>0.134988387420752</v>
      </c>
      <c r="BS163" s="5" vm="5267">
        <f xml:space="preserve"> VfM_Metrics_2023_Consol[[#This Row],[Operating surplus/(deficit) (social housing lettings)]]</f>
        <v>4301</v>
      </c>
      <c r="BT163" s="84" vm="5267">
        <v>4301</v>
      </c>
      <c r="BU163" s="5" vm="5268">
        <f xml:space="preserve"> VfM_Metrics_2023_Consol[[#This Row],[Turnover from social housing lettings]]</f>
        <v>31862</v>
      </c>
      <c r="BV163" s="84" vm="5268">
        <v>31862</v>
      </c>
      <c r="BW163" s="7">
        <f xml:space="preserve"> IFERROR( VfM_Metrics_2023_Consol[[#This Row],[Net operating surplus]] / VfM_Metrics_2023_Consol[[#This Row],[Overall turnover]], "n/a" )</f>
        <v>0.10450290669031431</v>
      </c>
      <c r="BX163" s="5">
        <f xml:space="preserve"> SUM( VfM_Metrics_2023_Consol[[#This Row],[Operating surplus/(deficit) (overall)2]], - VfM_Metrics_2023_Consol[[#This Row],[Gain/(loss) on disposal of fixed assets (housing properties)2]], - VfM_Metrics_2023_Consol[[#This Row],[Gain/(loss) on disposal of fixed assets (other)2]] )</f>
        <v>5303</v>
      </c>
      <c r="BY163" s="84" vm="5253">
        <v>7260</v>
      </c>
      <c r="BZ163" s="83" vm="7165">
        <v>1957</v>
      </c>
      <c r="CA163" s="83">
        <v>0</v>
      </c>
      <c r="CB163" s="5" vm="5269">
        <f xml:space="preserve"> VfM_Metrics_2023_Consol[[#This Row],[Turnover (overall)]]</f>
        <v>50745</v>
      </c>
      <c r="CC163" s="84" vm="5269">
        <v>50745</v>
      </c>
      <c r="CD163" s="7">
        <f xml:space="preserve"> IFERROR( VfM_Metrics_2023_Consol[[#This Row],[Operating surplus including from JVs]] / VfM_Metrics_2023_Consol[[#This Row],[Net assets]], "n/a" )</f>
        <v>3.2310234971442753E-2</v>
      </c>
      <c r="CE163" s="5">
        <f xml:space="preserve"> SUM( VfM_Metrics_2023_Consol[[#This Row],[Operating surplus/(deficit) (overall)3]], VfM_Metrics_2023_Consol[[#This Row],[Share of operating surplus/(deficit) in joint ventures or associates]] )</f>
        <v>7292</v>
      </c>
      <c r="CF163" s="84" vm="5253">
        <v>7260</v>
      </c>
      <c r="CG163" s="83" vm="3181">
        <v>32</v>
      </c>
      <c r="CH163" s="5" vm="7374">
        <f xml:space="preserve"> VfM_Metrics_2023_Consol[[#This Row],[Total assets less current liabilities]]</f>
        <v>225687</v>
      </c>
      <c r="CI163" s="84" vm="7374">
        <v>225687</v>
      </c>
      <c r="CJ163" s="71" vm="5238">
        <f xml:space="preserve"> VfM_Metrics_2023_Consol[[#This Row],[Total social housing units owned (Period end)]]</f>
        <v>5386</v>
      </c>
      <c r="CK163" s="103">
        <v>0.18340449229626879</v>
      </c>
      <c r="CL163" s="6">
        <f xml:space="preserve"> -- ( VfM_Metrics_2023_Consol[[#This Row],[% Supported housing (excl. HOP)]] &gt; 0.3 )</f>
        <v>0</v>
      </c>
      <c r="CM163" s="103">
        <v>5.810284017078151E-2</v>
      </c>
      <c r="CN163" s="6">
        <f xml:space="preserve"> -- ( VfM_Metrics_2023_Consol[[#This Row],[% Housing for older people]] &gt; 0.3 )</f>
        <v>0</v>
      </c>
      <c r="CO163" s="103">
        <f xml:space="preserve"> VfM_Metrics_2023_Consol[[#This Row],[% Supported housing (excl. HOP)]] + VfM_Metrics_2023_Consol[[#This Row],[% Housing for older people]]</f>
        <v>0.24150733246705031</v>
      </c>
      <c r="CP163" s="6">
        <f xml:space="preserve"> -- ( VfM_Metrics_2023_Consol[[#This Row],[SH specialist in RSH analysis]] + VfM_Metrics_2023_Consol[[#This Row],[OP specialist in RSH analysis]] &gt; 0 )</f>
        <v>0</v>
      </c>
      <c r="CQ163" s="10">
        <f xml:space="preserve"> -- ( VfM_Metrics_2023_Consol[[#This Row],[% SH and OP]] &gt; 0.3 )</f>
        <v>0</v>
      </c>
      <c r="CR163" s="104" t="s">
        <v>143</v>
      </c>
      <c r="CS163" s="124" t="s">
        <v>144</v>
      </c>
      <c r="CT163" s="105"/>
      <c r="CU16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163" s="85">
        <v>0</v>
      </c>
      <c r="CW163" s="85">
        <v>0</v>
      </c>
      <c r="CX163" s="85">
        <v>0</v>
      </c>
      <c r="CY163" s="85">
        <v>0.11991034740381024</v>
      </c>
      <c r="CZ163" s="85">
        <v>0</v>
      </c>
      <c r="DA163" s="85">
        <v>0</v>
      </c>
      <c r="DB163" s="85">
        <v>0</v>
      </c>
      <c r="DC163" s="85">
        <v>0</v>
      </c>
      <c r="DD163" s="85">
        <v>0.88008965259618976</v>
      </c>
      <c r="DE163" s="13">
        <v>0.94432058635598604</v>
      </c>
    </row>
    <row r="164" spans="1:109" x14ac:dyDescent="0.25">
      <c r="A164" s="4" t="s" vm="244">
        <v>452</v>
      </c>
      <c r="B164" s="2" t="s" vm="154">
        <v>453</v>
      </c>
      <c r="C164" s="72" vm="593">
        <v>45016</v>
      </c>
      <c r="D164" s="7">
        <f>IFERROR( VfM_Metrics_2023_Consol[[#This Row],[Reinvestment Spend]] / VfM_Metrics_2023_Consol[[#This Row],[Net Book Value of Housing Properties]], "n/a" )</f>
        <v>5.663055142095607E-2</v>
      </c>
      <c r="E16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327200</v>
      </c>
      <c r="F164" s="83" vm="1577">
        <v>251268</v>
      </c>
      <c r="G164" s="83" vm="1268">
        <v>0</v>
      </c>
      <c r="H164" s="83" vm="1578">
        <v>58100</v>
      </c>
      <c r="I164" s="83" vm="8266">
        <v>17832</v>
      </c>
      <c r="J164" s="83" vm="1579">
        <v>0</v>
      </c>
      <c r="K164" s="5">
        <f xml:space="preserve"> SUM( VfM_Metrics_2023_Consol[[#This Row],[Tangible fixed assets: Housing properties at cost (Current period)]],VfM_Metrics_2023_Consol[[#This Row],[Tangible fixed assets Housing properties at valuation (Current period)]] )</f>
        <v>5777800</v>
      </c>
      <c r="L164" s="84" vm="8346">
        <v>5777800</v>
      </c>
      <c r="M164" s="83">
        <v>0</v>
      </c>
      <c r="N164" s="7">
        <f xml:space="preserve"> IFERROR( VfM_Metrics_2023_Consol[[#This Row],[Total social units developed or newly built units acquired in-year]] / VfM_Metrics_2023_Consol[[#This Row],[Social housing units owned (period end)]], "n/a" )</f>
        <v>2.2352168199737187E-2</v>
      </c>
      <c r="O164" s="5">
        <f xml:space="preserve"> SUM( VfM_Metrics_2023_Consol[[#This Row],[Total social units developed or newly built units acquired in-year (owned)]], VfM_Metrics_2023_Consol[[#This Row],[Total social leasehold units developed or newly built units acquired in-year (owned)]] )</f>
        <v>1701</v>
      </c>
      <c r="P164" s="84" vm="8416">
        <v>1594</v>
      </c>
      <c r="Q164" s="83" vm="8324">
        <v>107</v>
      </c>
      <c r="R164" s="5">
        <f xml:space="preserve"> SUM( VfM_Metrics_2023_Consol[[#This Row],[Total social housing units owned (Period end)]], VfM_Metrics_2023_Consol[[#This Row],[Total social leasehold units owned (Period end)]] )</f>
        <v>76100</v>
      </c>
      <c r="S164" s="84" vm="1660">
        <v>70031</v>
      </c>
      <c r="T164" s="83" vm="1582">
        <v>6069</v>
      </c>
      <c r="U164" s="86">
        <f xml:space="preserve"> IFERROR( VfM_Metrics_2023_Consol[[#This Row],[Total non-social housing units developed or newly built units acquired (owned)]] / VfM_Metrics_2023_Consol[[#This Row],[Total social and non-social housing units owned (Period end)]], "n/a" )</f>
        <v>7.2998309512832332E-4</v>
      </c>
      <c r="V16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57</v>
      </c>
      <c r="W164" s="83" vm="8176">
        <v>2</v>
      </c>
      <c r="X164" s="83">
        <v>0</v>
      </c>
      <c r="Y164" s="83" vm="1583">
        <v>55</v>
      </c>
      <c r="Z16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78084</v>
      </c>
      <c r="AA164" s="84" vm="1576">
        <v>70031</v>
      </c>
      <c r="AB164" s="83" vm="8226">
        <v>6069</v>
      </c>
      <c r="AC164" s="83" vm="8305">
        <v>1964</v>
      </c>
      <c r="AD164" s="83" vm="1584">
        <v>20</v>
      </c>
      <c r="AE164" s="7">
        <f xml:space="preserve"> IFERROR( VfM_Metrics_2023_Consol[[#This Row],[Total Net Debt]] / VfM_Metrics_2023_Consol[[#This Row],[Net Book Value of Housing Properties2]], "n/a" )</f>
        <v>0.47827892969642427</v>
      </c>
      <c r="AF16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2763400</v>
      </c>
      <c r="AG164" s="84" vm="1585">
        <v>67400</v>
      </c>
      <c r="AH164" s="83" vm="8321">
        <v>2842100</v>
      </c>
      <c r="AI164" s="83" vm="8348">
        <v>146100</v>
      </c>
      <c r="AJ164" s="83" vm="1675">
        <v>0</v>
      </c>
      <c r="AK164" s="83">
        <v>0</v>
      </c>
      <c r="AL164" s="5">
        <f xml:space="preserve"> SUM( VfM_Metrics_2023_Consol[[#This Row],[Tangible fixed assets: Housing properties at cost (Current period)2]], VfM_Metrics_2023_Consol[[#This Row],[Tangible fixed assets Housing properties at valuation (Current period)2]] )</f>
        <v>5777800</v>
      </c>
      <c r="AM164" s="84" vm="1580">
        <v>5777800</v>
      </c>
      <c r="AN164" s="83">
        <v>0</v>
      </c>
      <c r="AO164" s="87">
        <f xml:space="preserve"> IFERROR( VfM_Metrics_2023_Consol[[#This Row],[EBITDA MRI]] / VfM_Metrics_2023_Consol[[#This Row],[Total interest]], "n/a" )</f>
        <v>0.74243663123466885</v>
      </c>
      <c r="AP16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90800</v>
      </c>
      <c r="AQ164" s="84" vm="1586">
        <v>136000</v>
      </c>
      <c r="AR164" s="84" vm="1587">
        <v>46700</v>
      </c>
      <c r="AS164" s="84">
        <v>0</v>
      </c>
      <c r="AT164" s="84" vm="1589">
        <v>19400</v>
      </c>
      <c r="AU164" s="84" vm="8221">
        <v>0</v>
      </c>
      <c r="AV164" s="84" vm="1590">
        <v>3900</v>
      </c>
      <c r="AW164" s="84" vm="1714">
        <v>58100</v>
      </c>
      <c r="AX164" s="84" vm="7134">
        <v>75100</v>
      </c>
      <c r="AY164" s="3">
        <f xml:space="preserve"> - SUM( VfM_Metrics_2023_Consol[[#This Row],[Interest capitalised]], VfM_Metrics_2023_Consol[[#This Row],[Interest payable and financing costs]] )</f>
        <v>122300</v>
      </c>
      <c r="AZ164" s="84" vm="8132">
        <v>-22300</v>
      </c>
      <c r="BA164" s="83" vm="8206">
        <v>-100000</v>
      </c>
      <c r="BB164" s="8">
        <f xml:space="preserve"> IFERROR( ( VfM_Metrics_2023_Consol[[#This Row],[Total Costs]] / VfM_Metrics_2023_Consol[[#This Row],[Total units for costs]] ) * 1000, "n/a" )</f>
        <v>5867.8772964487252</v>
      </c>
      <c r="BC16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414900</v>
      </c>
      <c r="BD164" s="84" vm="7133">
        <v>112800</v>
      </c>
      <c r="BE164" s="83" vm="8313">
        <v>62300</v>
      </c>
      <c r="BF164" s="83" vm="1592">
        <v>71100</v>
      </c>
      <c r="BG164" s="83" vm="1593">
        <v>67400</v>
      </c>
      <c r="BH164" s="83" vm="8232">
        <v>7700</v>
      </c>
      <c r="BI164" s="83" vm="8322">
        <v>0</v>
      </c>
      <c r="BJ164" s="83" vm="1591">
        <v>58100</v>
      </c>
      <c r="BK164" s="83" vm="1547">
        <v>400</v>
      </c>
      <c r="BL164" s="83">
        <v>0</v>
      </c>
      <c r="BM164" s="83">
        <v>0</v>
      </c>
      <c r="BN164" s="83" vm="1594">
        <v>26000</v>
      </c>
      <c r="BO164" s="83" vm="1595">
        <v>9100</v>
      </c>
      <c r="BP164" s="5" vm="1175">
        <f xml:space="preserve"> VfM_Metrics_2023_Consol[[#This Row],[Total social housing units owned and/or managed at period end]]</f>
        <v>70707</v>
      </c>
      <c r="BQ164" s="84" vm="1175">
        <v>70707</v>
      </c>
      <c r="BR164" s="7">
        <f xml:space="preserve"> IFERROR( VfM_Metrics_2023_Consol[[#This Row],[SHL operating surplus / (deficit)]] / VfM_Metrics_2023_Consol[[#This Row],[Turnover from social housing lettings]], "n/a" )</f>
        <v>0.18644772396591144</v>
      </c>
      <c r="BS164" s="5" vm="1596">
        <f xml:space="preserve"> VfM_Metrics_2023_Consol[[#This Row],[Operating surplus/(deficit) (social housing lettings)]]</f>
        <v>89700</v>
      </c>
      <c r="BT164" s="84" vm="1596">
        <v>89700</v>
      </c>
      <c r="BU164" s="5" vm="1599">
        <f xml:space="preserve"> VfM_Metrics_2023_Consol[[#This Row],[Turnover from social housing lettings]]</f>
        <v>481100</v>
      </c>
      <c r="BV164" s="84" vm="1599">
        <v>481100</v>
      </c>
      <c r="BW164" s="7">
        <f xml:space="preserve"> IFERROR( VfM_Metrics_2023_Consol[[#This Row],[Net operating surplus]] / VfM_Metrics_2023_Consol[[#This Row],[Overall turnover]], "n/a" )</f>
        <v>0.13903160516892418</v>
      </c>
      <c r="BX164" s="5">
        <f xml:space="preserve"> SUM( VfM_Metrics_2023_Consol[[#This Row],[Operating surplus/(deficit) (overall)2]], - VfM_Metrics_2023_Consol[[#This Row],[Gain/(loss) on disposal of fixed assets (housing properties)2]], - VfM_Metrics_2023_Consol[[#This Row],[Gain/(loss) on disposal of fixed assets (other)2]] )</f>
        <v>89300</v>
      </c>
      <c r="BY164" s="84" vm="8275">
        <v>136000</v>
      </c>
      <c r="BZ164" s="83" vm="1587">
        <v>46700</v>
      </c>
      <c r="CA164" s="83">
        <v>0</v>
      </c>
      <c r="CB164" s="5" vm="1598">
        <f xml:space="preserve"> VfM_Metrics_2023_Consol[[#This Row],[Turnover (overall)]]</f>
        <v>642300</v>
      </c>
      <c r="CC164" s="84" vm="1598">
        <v>642300</v>
      </c>
      <c r="CD164" s="7">
        <f xml:space="preserve"> IFERROR( VfM_Metrics_2023_Consol[[#This Row],[Operating surplus including from JVs]] / VfM_Metrics_2023_Consol[[#This Row],[Net assets]], "n/a" )</f>
        <v>2.2235225277940317E-2</v>
      </c>
      <c r="CE164" s="5">
        <f xml:space="preserve"> SUM( VfM_Metrics_2023_Consol[[#This Row],[Operating surplus/(deficit) (overall)3]], VfM_Metrics_2023_Consol[[#This Row],[Share of operating surplus/(deficit) in joint ventures or associates]] )</f>
        <v>140600</v>
      </c>
      <c r="CF164" s="84" vm="8312">
        <v>136000</v>
      </c>
      <c r="CG164" s="83" vm="1600">
        <v>4600</v>
      </c>
      <c r="CH164" s="5" vm="1599">
        <f xml:space="preserve"> VfM_Metrics_2023_Consol[[#This Row],[Total assets less current liabilities]]</f>
        <v>6323300</v>
      </c>
      <c r="CI164" s="84" vm="1599">
        <v>6323300</v>
      </c>
      <c r="CJ164" s="71" vm="1660">
        <f xml:space="preserve"> VfM_Metrics_2023_Consol[[#This Row],[Total social housing units owned (Period end)]]</f>
        <v>70031</v>
      </c>
      <c r="CK164" s="103">
        <v>2.4066157172804251E-2</v>
      </c>
      <c r="CL164" s="6">
        <f xml:space="preserve"> -- ( VfM_Metrics_2023_Consol[[#This Row],[% Supported housing (excl. HOP)]] &gt; 0.3 )</f>
        <v>0</v>
      </c>
      <c r="CM164" s="103">
        <v>9.4614000627238667E-2</v>
      </c>
      <c r="CN164" s="6">
        <f xml:space="preserve"> -- ( VfM_Metrics_2023_Consol[[#This Row],[% Housing for older people]] &gt; 0.3 )</f>
        <v>0</v>
      </c>
      <c r="CO164" s="103">
        <f xml:space="preserve"> VfM_Metrics_2023_Consol[[#This Row],[% Supported housing (excl. HOP)]] + VfM_Metrics_2023_Consol[[#This Row],[% Housing for older people]]</f>
        <v>0.11868015780004292</v>
      </c>
      <c r="CP164" s="6">
        <f xml:space="preserve"> -- ( VfM_Metrics_2023_Consol[[#This Row],[SH specialist in RSH analysis]] + VfM_Metrics_2023_Consol[[#This Row],[OP specialist in RSH analysis]] &gt; 0 )</f>
        <v>0</v>
      </c>
      <c r="CQ164" s="10">
        <f xml:space="preserve"> -- ( VfM_Metrics_2023_Consol[[#This Row],[% SH and OP]] &gt; 0.3 )</f>
        <v>0</v>
      </c>
      <c r="CR164" s="104" t="s">
        <v>143</v>
      </c>
      <c r="CS164" s="124" t="s">
        <v>144</v>
      </c>
      <c r="CT164" s="105"/>
      <c r="CU16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64" s="85">
        <v>0.42292798562951839</v>
      </c>
      <c r="CW164" s="85">
        <v>0.53125138036132336</v>
      </c>
      <c r="CX164" s="85">
        <v>4.4171562348160254E-5</v>
      </c>
      <c r="CY164" s="85">
        <v>1.1087062149388224E-2</v>
      </c>
      <c r="CZ164" s="85">
        <v>2.5207238246683451E-2</v>
      </c>
      <c r="DA164" s="85">
        <v>9.4674381966223485E-3</v>
      </c>
      <c r="DB164" s="85">
        <v>0</v>
      </c>
      <c r="DC164" s="85">
        <v>0</v>
      </c>
      <c r="DD164" s="85">
        <v>1.4723854116053418E-5</v>
      </c>
      <c r="DE164" s="13">
        <v>1.0843086310623395</v>
      </c>
    </row>
    <row r="165" spans="1:109" x14ac:dyDescent="0.25">
      <c r="A165" s="4" t="s" vm="382">
        <v>454</v>
      </c>
      <c r="B165" s="2" t="s" vm="155">
        <v>455</v>
      </c>
      <c r="C165" s="72" vm="561">
        <v>45016</v>
      </c>
      <c r="D165" s="7">
        <f>IFERROR( VfM_Metrics_2023_Consol[[#This Row],[Reinvestment Spend]] / VfM_Metrics_2023_Consol[[#This Row],[Net Book Value of Housing Properties]], "n/a" )</f>
        <v>0.11719153626249985</v>
      </c>
      <c r="E16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20415</v>
      </c>
      <c r="F165" s="83" vm="6260">
        <v>16685</v>
      </c>
      <c r="G165" s="83" vm="6261">
        <v>0</v>
      </c>
      <c r="H165" s="83" vm="6262">
        <v>2831</v>
      </c>
      <c r="I165" s="83" vm="6263">
        <v>899</v>
      </c>
      <c r="J165" s="83" vm="6264">
        <v>0</v>
      </c>
      <c r="K165" s="5">
        <f xml:space="preserve"> SUM( VfM_Metrics_2023_Consol[[#This Row],[Tangible fixed assets: Housing properties at cost (Current period)]],VfM_Metrics_2023_Consol[[#This Row],[Tangible fixed assets Housing properties at valuation (Current period)]] )</f>
        <v>174202</v>
      </c>
      <c r="L165" s="84" vm="6265">
        <v>174202</v>
      </c>
      <c r="M165" s="83">
        <v>0</v>
      </c>
      <c r="N165" s="7">
        <f xml:space="preserve"> IFERROR( VfM_Metrics_2023_Consol[[#This Row],[Total social units developed or newly built units acquired in-year]] / VfM_Metrics_2023_Consol[[#This Row],[Social housing units owned (period end)]], "n/a" )</f>
        <v>1.780185758513932E-2</v>
      </c>
      <c r="O165" s="5">
        <f xml:space="preserve"> SUM( VfM_Metrics_2023_Consol[[#This Row],[Total social units developed or newly built units acquired in-year (owned)]], VfM_Metrics_2023_Consol[[#This Row],[Total social leasehold units developed or newly built units acquired in-year (owned)]] )</f>
        <v>115</v>
      </c>
      <c r="P165" s="84" vm="6266">
        <v>115</v>
      </c>
      <c r="Q165" s="83">
        <v>0</v>
      </c>
      <c r="R165" s="5">
        <f xml:space="preserve"> SUM( VfM_Metrics_2023_Consol[[#This Row],[Total social housing units owned (Period end)]], VfM_Metrics_2023_Consol[[#This Row],[Total social leasehold units owned (Period end)]] )</f>
        <v>6460</v>
      </c>
      <c r="S165" s="84" vm="6258">
        <v>6164</v>
      </c>
      <c r="T165" s="83" vm="6267">
        <v>296</v>
      </c>
      <c r="U165" s="86">
        <f xml:space="preserve"> IFERROR( VfM_Metrics_2023_Consol[[#This Row],[Total non-social housing units developed or newly built units acquired (owned)]] / VfM_Metrics_2023_Consol[[#This Row],[Total social and non-social housing units owned (Period end)]], "n/a" )</f>
        <v>7.628928898382667E-4</v>
      </c>
      <c r="V16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5</v>
      </c>
      <c r="W165" s="83">
        <v>0</v>
      </c>
      <c r="X165" s="83">
        <v>0</v>
      </c>
      <c r="Y165" s="83" vm="6268">
        <v>5</v>
      </c>
      <c r="Z16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6554</v>
      </c>
      <c r="AA165" s="84" vm="6258">
        <v>6164</v>
      </c>
      <c r="AB165" s="83" vm="6267">
        <v>296</v>
      </c>
      <c r="AC165" s="83" vm="6269">
        <v>94</v>
      </c>
      <c r="AD165" s="83" vm="6270">
        <v>0</v>
      </c>
      <c r="AE165" s="7">
        <f xml:space="preserve"> IFERROR( VfM_Metrics_2023_Consol[[#This Row],[Total Net Debt]] / VfM_Metrics_2023_Consol[[#This Row],[Net Book Value of Housing Properties2]], "n/a" )</f>
        <v>0.37889346850208377</v>
      </c>
      <c r="AF16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66004</v>
      </c>
      <c r="AG165" s="84" vm="6271">
        <v>0</v>
      </c>
      <c r="AH165" s="83" vm="6272">
        <v>84527</v>
      </c>
      <c r="AI165" s="83" vm="6273">
        <v>18523</v>
      </c>
      <c r="AJ165" s="83" vm="1675">
        <v>0</v>
      </c>
      <c r="AK165" s="83">
        <v>0</v>
      </c>
      <c r="AL165" s="5">
        <f xml:space="preserve"> SUM( VfM_Metrics_2023_Consol[[#This Row],[Tangible fixed assets: Housing properties at cost (Current period)2]], VfM_Metrics_2023_Consol[[#This Row],[Tangible fixed assets Housing properties at valuation (Current period)2]] )</f>
        <v>174202</v>
      </c>
      <c r="AM165" s="84" vm="6265">
        <v>174202</v>
      </c>
      <c r="AN165" s="83">
        <v>0</v>
      </c>
      <c r="AO165" s="87">
        <f xml:space="preserve"> IFERROR( VfM_Metrics_2023_Consol[[#This Row],[EBITDA MRI]] / VfM_Metrics_2023_Consol[[#This Row],[Total interest]], "n/a" )</f>
        <v>4.2154576856649397</v>
      </c>
      <c r="AP16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9763</v>
      </c>
      <c r="AQ165" s="84" vm="6275">
        <v>13064</v>
      </c>
      <c r="AR165" s="84" vm="7214">
        <v>5308</v>
      </c>
      <c r="AS165" s="84">
        <v>0</v>
      </c>
      <c r="AT165" s="84" vm="6277">
        <v>1448</v>
      </c>
      <c r="AU165" s="84" vm="6278">
        <v>604</v>
      </c>
      <c r="AV165" s="84" vm="6279">
        <v>589</v>
      </c>
      <c r="AW165" s="84" vm="6280">
        <v>2831</v>
      </c>
      <c r="AX165" s="84" vm="7021">
        <v>6301</v>
      </c>
      <c r="AY165" s="3">
        <f xml:space="preserve"> - SUM( VfM_Metrics_2023_Consol[[#This Row],[Interest capitalised]], VfM_Metrics_2023_Consol[[#This Row],[Interest payable and financing costs]] )</f>
        <v>2316</v>
      </c>
      <c r="AZ165" s="84" vm="6281">
        <v>-933</v>
      </c>
      <c r="BA165" s="83" vm="6282">
        <v>-1383</v>
      </c>
      <c r="BB165" s="8">
        <f xml:space="preserve"> IFERROR( ( VfM_Metrics_2023_Consol[[#This Row],[Total Costs]] / VfM_Metrics_2023_Consol[[#This Row],[Total units for costs]] ) * 1000, "n/a" )</f>
        <v>4122.9720960415307</v>
      </c>
      <c r="BC16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25414</v>
      </c>
      <c r="BD165" s="84" vm="6283">
        <v>7717</v>
      </c>
      <c r="BE165" s="83" vm="6284">
        <v>1289</v>
      </c>
      <c r="BF165" s="83" vm="6285">
        <v>5066</v>
      </c>
      <c r="BG165" s="83" vm="6286">
        <v>1799</v>
      </c>
      <c r="BH165" s="83" vm="6287">
        <v>3543</v>
      </c>
      <c r="BI165" s="83" vm="6288">
        <v>0</v>
      </c>
      <c r="BJ165" s="83" vm="6280">
        <v>2831</v>
      </c>
      <c r="BK165" s="83" vm="6410">
        <v>1212</v>
      </c>
      <c r="BL165" s="83" vm="6289">
        <v>224</v>
      </c>
      <c r="BM165" s="83" vm="6290">
        <v>1733</v>
      </c>
      <c r="BN165" s="83">
        <v>0</v>
      </c>
      <c r="BO165" s="83">
        <v>0</v>
      </c>
      <c r="BP165" s="5" vm="6259">
        <f xml:space="preserve"> VfM_Metrics_2023_Consol[[#This Row],[Total social housing units owned and/or managed at period end]]</f>
        <v>6164</v>
      </c>
      <c r="BQ165" s="84" vm="6259">
        <v>6164</v>
      </c>
      <c r="BR165" s="7">
        <f xml:space="preserve"> IFERROR( VfM_Metrics_2023_Consol[[#This Row],[SHL operating surplus / (deficit)]] / VfM_Metrics_2023_Consol[[#This Row],[Turnover from social housing lettings]], "n/a" )</f>
        <v>0.18083850931677017</v>
      </c>
      <c r="BS165" s="5" vm="7292">
        <f xml:space="preserve"> VfM_Metrics_2023_Consol[[#This Row],[Operating surplus/(deficit) (social housing lettings)]]</f>
        <v>5823</v>
      </c>
      <c r="BT165" s="84" vm="7292">
        <v>5823</v>
      </c>
      <c r="BU165" s="5" vm="7020">
        <f xml:space="preserve"> VfM_Metrics_2023_Consol[[#This Row],[Turnover from social housing lettings]]</f>
        <v>32200</v>
      </c>
      <c r="BV165" s="84" vm="7020">
        <v>32200</v>
      </c>
      <c r="BW165" s="7">
        <f xml:space="preserve"> IFERROR( VfM_Metrics_2023_Consol[[#This Row],[Net operating surplus]] / VfM_Metrics_2023_Consol[[#This Row],[Overall turnover]], "n/a" )</f>
        <v>0.16162037133509763</v>
      </c>
      <c r="BX165" s="5">
        <f xml:space="preserve"> SUM( VfM_Metrics_2023_Consol[[#This Row],[Operating surplus/(deficit) (overall)2]], - VfM_Metrics_2023_Consol[[#This Row],[Gain/(loss) on disposal of fixed assets (housing properties)2]], - VfM_Metrics_2023_Consol[[#This Row],[Gain/(loss) on disposal of fixed assets (other)2]] )</f>
        <v>7756</v>
      </c>
      <c r="BY165" s="84" vm="6275">
        <v>13064</v>
      </c>
      <c r="BZ165" s="83" vm="6276">
        <v>5308</v>
      </c>
      <c r="CA165" s="83">
        <v>0</v>
      </c>
      <c r="CB165" s="5" vm="6292">
        <f xml:space="preserve"> VfM_Metrics_2023_Consol[[#This Row],[Turnover (overall)]]</f>
        <v>47989</v>
      </c>
      <c r="CC165" s="84" vm="6292">
        <v>47989</v>
      </c>
      <c r="CD165" s="7">
        <f xml:space="preserve"> IFERROR( VfM_Metrics_2023_Consol[[#This Row],[Operating surplus including from JVs]] / VfM_Metrics_2023_Consol[[#This Row],[Net assets]], "n/a" )</f>
        <v>5.6317870060223561E-2</v>
      </c>
      <c r="CE165" s="5">
        <f xml:space="preserve"> SUM( VfM_Metrics_2023_Consol[[#This Row],[Operating surplus/(deficit) (overall)3]], VfM_Metrics_2023_Consol[[#This Row],[Share of operating surplus/(deficit) in joint ventures or associates]] )</f>
        <v>13064</v>
      </c>
      <c r="CF165" s="84" vm="6275">
        <v>13064</v>
      </c>
      <c r="CG165" s="83">
        <v>0</v>
      </c>
      <c r="CH165" s="5" vm="6293">
        <f xml:space="preserve"> VfM_Metrics_2023_Consol[[#This Row],[Total assets less current liabilities]]</f>
        <v>231969</v>
      </c>
      <c r="CI165" s="84" vm="6293">
        <v>231969</v>
      </c>
      <c r="CJ165" s="71" vm="6258">
        <f xml:space="preserve"> VfM_Metrics_2023_Consol[[#This Row],[Total social housing units owned (Period end)]]</f>
        <v>6164</v>
      </c>
      <c r="CK165" s="103">
        <v>0</v>
      </c>
      <c r="CL165" s="6">
        <f xml:space="preserve"> -- ( VfM_Metrics_2023_Consol[[#This Row],[% Supported housing (excl. HOP)]] &gt; 0.3 )</f>
        <v>0</v>
      </c>
      <c r="CM165" s="103">
        <v>3.6073134574205239E-2</v>
      </c>
      <c r="CN165" s="6">
        <f xml:space="preserve"> -- ( VfM_Metrics_2023_Consol[[#This Row],[% Housing for older people]] &gt; 0.3 )</f>
        <v>0</v>
      </c>
      <c r="CO165" s="103">
        <f xml:space="preserve"> VfM_Metrics_2023_Consol[[#This Row],[% Supported housing (excl. HOP)]] + VfM_Metrics_2023_Consol[[#This Row],[% Housing for older people]]</f>
        <v>3.6073134574205239E-2</v>
      </c>
      <c r="CP165" s="6">
        <f xml:space="preserve"> -- ( VfM_Metrics_2023_Consol[[#This Row],[SH specialist in RSH analysis]] + VfM_Metrics_2023_Consol[[#This Row],[OP specialist in RSH analysis]] &gt; 0 )</f>
        <v>0</v>
      </c>
      <c r="CQ165" s="10">
        <f xml:space="preserve"> -- ( VfM_Metrics_2023_Consol[[#This Row],[% SH and OP]] &gt; 0.3 )</f>
        <v>0</v>
      </c>
      <c r="CR165" s="104" t="s">
        <v>143</v>
      </c>
      <c r="CS165" s="124"/>
      <c r="CT165" s="105" t="s">
        <v>151</v>
      </c>
      <c r="CU16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65" s="85">
        <v>0</v>
      </c>
      <c r="CW165" s="85">
        <v>0</v>
      </c>
      <c r="CX165" s="85">
        <v>0</v>
      </c>
      <c r="CY165" s="85">
        <v>0</v>
      </c>
      <c r="CZ165" s="85">
        <v>0</v>
      </c>
      <c r="DA165" s="85">
        <v>0</v>
      </c>
      <c r="DB165" s="85">
        <v>0</v>
      </c>
      <c r="DC165" s="85">
        <v>1</v>
      </c>
      <c r="DD165" s="85">
        <v>0</v>
      </c>
      <c r="DE165" s="13">
        <v>0.96105917141044694</v>
      </c>
    </row>
    <row r="166" spans="1:109" x14ac:dyDescent="0.25">
      <c r="A166" s="4" t="s" vm="252">
        <v>456</v>
      </c>
      <c r="B166" s="2" t="s" vm="156">
        <v>457</v>
      </c>
      <c r="C166" s="72" vm="568">
        <v>45016</v>
      </c>
      <c r="D166" s="7">
        <f>IFERROR( VfM_Metrics_2023_Consol[[#This Row],[Reinvestment Spend]] / VfM_Metrics_2023_Consol[[#This Row],[Net Book Value of Housing Properties]], "n/a" )</f>
        <v>7.9350104774555535E-2</v>
      </c>
      <c r="E16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352088</v>
      </c>
      <c r="F166" s="83" vm="8211">
        <v>301644</v>
      </c>
      <c r="G166" s="83" vm="1802">
        <v>0</v>
      </c>
      <c r="H166" s="83" vm="1803">
        <v>40858</v>
      </c>
      <c r="I166" s="83" vm="1804">
        <v>9586</v>
      </c>
      <c r="J166" s="83" vm="8106">
        <v>0</v>
      </c>
      <c r="K166" s="5">
        <f xml:space="preserve"> SUM( VfM_Metrics_2023_Consol[[#This Row],[Tangible fixed assets: Housing properties at cost (Current period)]],VfM_Metrics_2023_Consol[[#This Row],[Tangible fixed assets Housing properties at valuation (Current period)]] )</f>
        <v>4437146</v>
      </c>
      <c r="L166" s="84" vm="8225">
        <v>4437146</v>
      </c>
      <c r="M166" s="83" vm="8271">
        <v>0</v>
      </c>
      <c r="N166" s="7">
        <f xml:space="preserve"> IFERROR( VfM_Metrics_2023_Consol[[#This Row],[Total social units developed or newly built units acquired in-year]] / VfM_Metrics_2023_Consol[[#This Row],[Social housing units owned (period end)]], "n/a" )</f>
        <v>2.6847006049072249E-2</v>
      </c>
      <c r="O166" s="5">
        <f xml:space="preserve"> SUM( VfM_Metrics_2023_Consol[[#This Row],[Total social units developed or newly built units acquired in-year (owned)]], VfM_Metrics_2023_Consol[[#This Row],[Total social leasehold units developed or newly built units acquired in-year (owned)]] )</f>
        <v>1580</v>
      </c>
      <c r="P166" s="84" vm="1806">
        <v>1580</v>
      </c>
      <c r="Q166" s="83" vm="1807">
        <v>0</v>
      </c>
      <c r="R166" s="5">
        <f xml:space="preserve"> SUM( VfM_Metrics_2023_Consol[[#This Row],[Total social housing units owned (Period end)]], VfM_Metrics_2023_Consol[[#This Row],[Total social leasehold units owned (Period end)]] )</f>
        <v>58852</v>
      </c>
      <c r="S166" s="84" vm="1801">
        <v>57576</v>
      </c>
      <c r="T166" s="83" vm="8007">
        <v>1276</v>
      </c>
      <c r="U166" s="86">
        <f xml:space="preserve"> IFERROR( VfM_Metrics_2023_Consol[[#This Row],[Total non-social housing units developed or newly built units acquired (owned)]] / VfM_Metrics_2023_Consol[[#This Row],[Total social and non-social housing units owned (Period end)]], "n/a" )</f>
        <v>5.8616647127784287E-4</v>
      </c>
      <c r="V16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36</v>
      </c>
      <c r="W166" s="83" vm="1809">
        <v>18</v>
      </c>
      <c r="X166" s="83" vm="1810">
        <v>0</v>
      </c>
      <c r="Y166" s="83" vm="1929">
        <v>18</v>
      </c>
      <c r="Z16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61416</v>
      </c>
      <c r="AA166" s="84" vm="1801">
        <v>57576</v>
      </c>
      <c r="AB166" s="83" vm="1808">
        <v>1276</v>
      </c>
      <c r="AC166" s="83" vm="8222">
        <v>610</v>
      </c>
      <c r="AD166" s="83" vm="1811">
        <v>1954</v>
      </c>
      <c r="AE166" s="7">
        <f xml:space="preserve"> IFERROR( VfM_Metrics_2023_Consol[[#This Row],[Total Net Debt]] / VfM_Metrics_2023_Consol[[#This Row],[Net Book Value of Housing Properties2]], "n/a" )</f>
        <v>0.4850104098445262</v>
      </c>
      <c r="AF16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2152062</v>
      </c>
      <c r="AG166" s="84" vm="1812">
        <v>38833</v>
      </c>
      <c r="AH166" s="83" vm="1813">
        <v>2185752</v>
      </c>
      <c r="AI166" s="83" vm="7940">
        <v>75144</v>
      </c>
      <c r="AJ166" s="83" vm="1814">
        <v>0</v>
      </c>
      <c r="AK166" s="83" vm="1815">
        <v>2621</v>
      </c>
      <c r="AL166" s="5">
        <f xml:space="preserve"> SUM( VfM_Metrics_2023_Consol[[#This Row],[Tangible fixed assets: Housing properties at cost (Current period)2]], VfM_Metrics_2023_Consol[[#This Row],[Tangible fixed assets Housing properties at valuation (Current period)2]] )</f>
        <v>4437146</v>
      </c>
      <c r="AM166" s="84" vm="1805">
        <v>4437146</v>
      </c>
      <c r="AN166" s="83" vm="7991">
        <v>0</v>
      </c>
      <c r="AO166" s="87">
        <f xml:space="preserve"> IFERROR( VfM_Metrics_2023_Consol[[#This Row],[EBITDA MRI]] / VfM_Metrics_2023_Consol[[#This Row],[Total interest]], "n/a" )</f>
        <v>1.4727341820254607</v>
      </c>
      <c r="AP16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116265</v>
      </c>
      <c r="AQ166" s="84" vm="8003">
        <v>125584</v>
      </c>
      <c r="AR166" s="84" vm="1817">
        <v>20558</v>
      </c>
      <c r="AS166" s="84" vm="8253">
        <v>802</v>
      </c>
      <c r="AT166" s="84" vm="1818">
        <v>2901</v>
      </c>
      <c r="AU166" s="84" vm="1819">
        <v>260</v>
      </c>
      <c r="AV166" s="84" vm="8144">
        <v>5248</v>
      </c>
      <c r="AW166" s="84" vm="1820">
        <v>40858</v>
      </c>
      <c r="AX166" s="84" vm="1821">
        <v>50812</v>
      </c>
      <c r="AY166" s="3">
        <f xml:space="preserve"> - SUM( VfM_Metrics_2023_Consol[[#This Row],[Interest capitalised]], VfM_Metrics_2023_Consol[[#This Row],[Interest payable and financing costs]] )</f>
        <v>78945</v>
      </c>
      <c r="AZ166" s="84" vm="1822">
        <v>-10500</v>
      </c>
      <c r="BA166" s="83" vm="1597">
        <v>-68445</v>
      </c>
      <c r="BB166" s="8">
        <f xml:space="preserve"> IFERROR( ( VfM_Metrics_2023_Consol[[#This Row],[Total Costs]] / VfM_Metrics_2023_Consol[[#This Row],[Total units for costs]] ) * 1000, "n/a" )</f>
        <v>4694.5182406973308</v>
      </c>
      <c r="BC16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270362</v>
      </c>
      <c r="BD166" s="84" vm="1823">
        <v>91680</v>
      </c>
      <c r="BE166" s="83" vm="8233">
        <v>24057</v>
      </c>
      <c r="BF166" s="83" vm="1824">
        <v>45904</v>
      </c>
      <c r="BG166" s="83" vm="1825">
        <v>41202</v>
      </c>
      <c r="BH166" s="83" vm="1826">
        <v>7564</v>
      </c>
      <c r="BI166" s="83" vm="1827">
        <v>6766</v>
      </c>
      <c r="BJ166" s="83" vm="1820">
        <v>40858</v>
      </c>
      <c r="BK166" s="83" vm="1828">
        <v>7807</v>
      </c>
      <c r="BL166" s="83" vm="1829">
        <v>41</v>
      </c>
      <c r="BM166" s="83" vm="1830">
        <v>3453</v>
      </c>
      <c r="BN166" s="83" vm="8050">
        <v>1030</v>
      </c>
      <c r="BO166" s="83" vm="1239">
        <v>0</v>
      </c>
      <c r="BP166" s="5" vm="7121">
        <f xml:space="preserve"> VfM_Metrics_2023_Consol[[#This Row],[Total social housing units owned and/or managed at period end]]</f>
        <v>57591</v>
      </c>
      <c r="BQ166" s="84" vm="7121">
        <v>57591</v>
      </c>
      <c r="BR166" s="7">
        <f xml:space="preserve"> IFERROR( VfM_Metrics_2023_Consol[[#This Row],[SHL operating surplus / (deficit)]] / VfM_Metrics_2023_Consol[[#This Row],[Turnover from social housing lettings]], "n/a" )</f>
        <v>0.24198524218067302</v>
      </c>
      <c r="BS166" s="5" vm="7120">
        <f xml:space="preserve"> VfM_Metrics_2023_Consol[[#This Row],[Operating surplus/(deficit) (social housing lettings)]]</f>
        <v>86675</v>
      </c>
      <c r="BT166" s="84" vm="7120">
        <v>86675</v>
      </c>
      <c r="BU166" s="5" vm="1831">
        <f xml:space="preserve"> VfM_Metrics_2023_Consol[[#This Row],[Turnover from social housing lettings]]</f>
        <v>358183</v>
      </c>
      <c r="BV166" s="84" vm="1831">
        <v>358183</v>
      </c>
      <c r="BW166" s="7">
        <f xml:space="preserve"> IFERROR( VfM_Metrics_2023_Consol[[#This Row],[Net operating surplus]] / VfM_Metrics_2023_Consol[[#This Row],[Overall turnover]], "n/a" )</f>
        <v>0.23253956389907163</v>
      </c>
      <c r="BX166" s="5">
        <f xml:space="preserve"> SUM( VfM_Metrics_2023_Consol[[#This Row],[Operating surplus/(deficit) (overall)2]], - VfM_Metrics_2023_Consol[[#This Row],[Gain/(loss) on disposal of fixed assets (housing properties)2]], - VfM_Metrics_2023_Consol[[#This Row],[Gain/(loss) on disposal of fixed assets (other)2]] )</f>
        <v>104224</v>
      </c>
      <c r="BY166" s="84" vm="8171">
        <v>125584</v>
      </c>
      <c r="BZ166" s="83" vm="1817">
        <v>20558</v>
      </c>
      <c r="CA166" s="83" vm="1461">
        <v>802</v>
      </c>
      <c r="CB166" s="5" vm="1832">
        <f xml:space="preserve"> VfM_Metrics_2023_Consol[[#This Row],[Turnover (overall)]]</f>
        <v>448199</v>
      </c>
      <c r="CC166" s="84" vm="1832">
        <v>448199</v>
      </c>
      <c r="CD166" s="7">
        <f xml:space="preserve"> IFERROR( VfM_Metrics_2023_Consol[[#This Row],[Operating surplus including from JVs]] / VfM_Metrics_2023_Consol[[#This Row],[Net assets]], "n/a" )</f>
        <v>2.7339075979187499E-2</v>
      </c>
      <c r="CE166" s="5">
        <f xml:space="preserve"> SUM( VfM_Metrics_2023_Consol[[#This Row],[Operating surplus/(deficit) (overall)3]], VfM_Metrics_2023_Consol[[#This Row],[Share of operating surplus/(deficit) in joint ventures or associates]] )</f>
        <v>129047</v>
      </c>
      <c r="CF166" s="84" vm="1816">
        <v>125584</v>
      </c>
      <c r="CG166" s="83" vm="1833">
        <v>3463</v>
      </c>
      <c r="CH166" s="5" vm="7987">
        <f xml:space="preserve"> VfM_Metrics_2023_Consol[[#This Row],[Total assets less current liabilities]]</f>
        <v>4720240</v>
      </c>
      <c r="CI166" s="84" vm="7987">
        <v>4720240</v>
      </c>
      <c r="CJ166" s="71" vm="1801">
        <f xml:space="preserve"> VfM_Metrics_2023_Consol[[#This Row],[Total social housing units owned (Period end)]]</f>
        <v>57576</v>
      </c>
      <c r="CK166" s="103">
        <v>1.9687795316929754E-2</v>
      </c>
      <c r="CL166" s="6">
        <f xml:space="preserve"> -- ( VfM_Metrics_2023_Consol[[#This Row],[% Supported housing (excl. HOP)]] &gt; 0.3 )</f>
        <v>0</v>
      </c>
      <c r="CM166" s="103">
        <v>3.900808512127682E-2</v>
      </c>
      <c r="CN166" s="6">
        <f xml:space="preserve"> -- ( VfM_Metrics_2023_Consol[[#This Row],[% Housing for older people]] &gt; 0.3 )</f>
        <v>0</v>
      </c>
      <c r="CO166" s="103">
        <f xml:space="preserve"> VfM_Metrics_2023_Consol[[#This Row],[% Supported housing (excl. HOP)]] + VfM_Metrics_2023_Consol[[#This Row],[% Housing for older people]]</f>
        <v>5.8695880438206574E-2</v>
      </c>
      <c r="CP166" s="6">
        <f xml:space="preserve"> -- ( VfM_Metrics_2023_Consol[[#This Row],[SH specialist in RSH analysis]] + VfM_Metrics_2023_Consol[[#This Row],[OP specialist in RSH analysis]] &gt; 0 )</f>
        <v>0</v>
      </c>
      <c r="CQ166" s="10">
        <f xml:space="preserve"> -- ( VfM_Metrics_2023_Consol[[#This Row],[% SH and OP]] &gt; 0.3 )</f>
        <v>0</v>
      </c>
      <c r="CR166" s="104" t="s">
        <v>143</v>
      </c>
      <c r="CS166" s="124" t="s">
        <v>144</v>
      </c>
      <c r="CT166" s="105"/>
      <c r="CU16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66" s="85">
        <v>0</v>
      </c>
      <c r="CW166" s="85">
        <v>0.57337486080178168</v>
      </c>
      <c r="CX166" s="85">
        <v>0.42659033964365256</v>
      </c>
      <c r="CY166" s="85">
        <v>1.7399777282850779E-5</v>
      </c>
      <c r="CZ166" s="85">
        <v>0</v>
      </c>
      <c r="DA166" s="85">
        <v>1.7399777282850779E-5</v>
      </c>
      <c r="DB166" s="85">
        <v>0</v>
      </c>
      <c r="DC166" s="85">
        <v>0</v>
      </c>
      <c r="DD166" s="85">
        <v>0</v>
      </c>
      <c r="DE166" s="13">
        <v>1.0087151450951652</v>
      </c>
    </row>
    <row r="167" spans="1:109" x14ac:dyDescent="0.25">
      <c r="A167" s="4" t="s" vm="271">
        <v>458</v>
      </c>
      <c r="B167" s="2" t="s" vm="157">
        <v>459</v>
      </c>
      <c r="C167" s="72" vm="576">
        <v>45016</v>
      </c>
      <c r="D167" s="7">
        <f>IFERROR( VfM_Metrics_2023_Consol[[#This Row],[Reinvestment Spend]] / VfM_Metrics_2023_Consol[[#This Row],[Net Book Value of Housing Properties]], "n/a" )</f>
        <v>7.4504568826116363E-2</v>
      </c>
      <c r="E16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166651</v>
      </c>
      <c r="F167" s="83" vm="2362">
        <v>135655</v>
      </c>
      <c r="G167" s="83" vm="6627">
        <v>0</v>
      </c>
      <c r="H167" s="83" vm="2363">
        <v>19136</v>
      </c>
      <c r="I167" s="83" vm="2364">
        <v>11860</v>
      </c>
      <c r="J167" s="83" vm="2365">
        <v>0</v>
      </c>
      <c r="K167" s="5">
        <f xml:space="preserve"> SUM( VfM_Metrics_2023_Consol[[#This Row],[Tangible fixed assets: Housing properties at cost (Current period)]],VfM_Metrics_2023_Consol[[#This Row],[Tangible fixed assets Housing properties at valuation (Current period)]] )</f>
        <v>2236789</v>
      </c>
      <c r="L167" s="84" vm="2041">
        <v>2236789</v>
      </c>
      <c r="M167" s="83" vm="2367">
        <v>0</v>
      </c>
      <c r="N167" s="7">
        <f xml:space="preserve"> IFERROR( VfM_Metrics_2023_Consol[[#This Row],[Total social units developed or newly built units acquired in-year]] / VfM_Metrics_2023_Consol[[#This Row],[Social housing units owned (period end)]], "n/a" )</f>
        <v>9.7030855812148264E-3</v>
      </c>
      <c r="O167" s="5">
        <f xml:space="preserve"> SUM( VfM_Metrics_2023_Consol[[#This Row],[Total social units developed or newly built units acquired in-year (owned)]], VfM_Metrics_2023_Consol[[#This Row],[Total social leasehold units developed or newly built units acquired in-year (owned)]] )</f>
        <v>200</v>
      </c>
      <c r="P167" s="84" vm="2368">
        <v>200</v>
      </c>
      <c r="Q167" s="83" vm="2369">
        <v>0</v>
      </c>
      <c r="R167" s="5">
        <f xml:space="preserve"> SUM( VfM_Metrics_2023_Consol[[#This Row],[Total social housing units owned (Period end)]], VfM_Metrics_2023_Consol[[#This Row],[Total social leasehold units owned (Period end)]] )</f>
        <v>20612</v>
      </c>
      <c r="S167" s="84" vm="2360">
        <v>18043</v>
      </c>
      <c r="T167" s="83" vm="2370">
        <v>2569</v>
      </c>
      <c r="U167" s="86">
        <f xml:space="preserve"> IFERROR( VfM_Metrics_2023_Consol[[#This Row],[Total non-social housing units developed or newly built units acquired (owned)]] / VfM_Metrics_2023_Consol[[#This Row],[Total social and non-social housing units owned (Period end)]], "n/a" )</f>
        <v>0</v>
      </c>
      <c r="V16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67" s="83" vm="2371">
        <v>0</v>
      </c>
      <c r="X167" s="83" vm="2372">
        <v>0</v>
      </c>
      <c r="Y167" s="83" vm="6654">
        <v>0</v>
      </c>
      <c r="Z16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21169</v>
      </c>
      <c r="AA167" s="84" vm="7623">
        <v>18043</v>
      </c>
      <c r="AB167" s="83" vm="2370">
        <v>2569</v>
      </c>
      <c r="AC167" s="83" vm="2373">
        <v>53</v>
      </c>
      <c r="AD167" s="83" vm="2374">
        <v>504</v>
      </c>
      <c r="AE167" s="7">
        <f xml:space="preserve"> IFERROR( VfM_Metrics_2023_Consol[[#This Row],[Total Net Debt]] / VfM_Metrics_2023_Consol[[#This Row],[Net Book Value of Housing Properties2]], "n/a" )</f>
        <v>0.51259864028301283</v>
      </c>
      <c r="AF16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1146575</v>
      </c>
      <c r="AG167" s="84" vm="2375">
        <v>21310</v>
      </c>
      <c r="AH167" s="83" vm="7506">
        <v>1196867</v>
      </c>
      <c r="AI167" s="83" vm="7880">
        <v>71602</v>
      </c>
      <c r="AJ167" s="83" vm="7094">
        <v>0</v>
      </c>
      <c r="AK167" s="83" vm="7986">
        <v>0</v>
      </c>
      <c r="AL167" s="5">
        <f xml:space="preserve"> SUM( VfM_Metrics_2023_Consol[[#This Row],[Tangible fixed assets: Housing properties at cost (Current period)2]], VfM_Metrics_2023_Consol[[#This Row],[Tangible fixed assets Housing properties at valuation (Current period)2]] )</f>
        <v>2236789</v>
      </c>
      <c r="AM167" s="84" vm="2366">
        <v>2236789</v>
      </c>
      <c r="AN167" s="83" vm="2367">
        <v>0</v>
      </c>
      <c r="AO167" s="87">
        <f xml:space="preserve"> IFERROR( VfM_Metrics_2023_Consol[[#This Row],[EBITDA MRI]] / VfM_Metrics_2023_Consol[[#This Row],[Total interest]], "n/a" )</f>
        <v>0.81691151637960147</v>
      </c>
      <c r="AP16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38702</v>
      </c>
      <c r="AQ167" s="84" vm="2376">
        <v>38918</v>
      </c>
      <c r="AR167" s="84" vm="2377">
        <v>8675</v>
      </c>
      <c r="AS167" s="84" vm="2378">
        <v>0</v>
      </c>
      <c r="AT167" s="84" vm="2379">
        <v>8227</v>
      </c>
      <c r="AU167" s="84" vm="2481">
        <v>0</v>
      </c>
      <c r="AV167" s="84" vm="2380">
        <v>1442</v>
      </c>
      <c r="AW167" s="84" vm="3127">
        <v>19122</v>
      </c>
      <c r="AX167" s="84" vm="2382">
        <v>34366</v>
      </c>
      <c r="AY167" s="3">
        <f xml:space="preserve"> - SUM( VfM_Metrics_2023_Consol[[#This Row],[Interest capitalised]], VfM_Metrics_2023_Consol[[#This Row],[Interest payable and financing costs]] )</f>
        <v>47376</v>
      </c>
      <c r="AZ167" s="84" vm="2383">
        <v>-11860</v>
      </c>
      <c r="BA167" s="83" vm="2384">
        <v>-35516</v>
      </c>
      <c r="BB167" s="8">
        <f xml:space="preserve"> IFERROR( ( VfM_Metrics_2023_Consol[[#This Row],[Total Costs]] / VfM_Metrics_2023_Consol[[#This Row],[Total units for costs]] ) * 1000, "n/a" )</f>
        <v>6238.8365650969536</v>
      </c>
      <c r="BC16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112611</v>
      </c>
      <c r="BD167" s="84" vm="2385">
        <v>28797</v>
      </c>
      <c r="BE167" s="83" vm="2386">
        <v>27834</v>
      </c>
      <c r="BF167" s="83" vm="2387">
        <v>23583</v>
      </c>
      <c r="BG167" s="83" vm="2388">
        <v>7458</v>
      </c>
      <c r="BH167" s="83" vm="2389">
        <v>768</v>
      </c>
      <c r="BI167" s="83" vm="2716">
        <v>2585</v>
      </c>
      <c r="BJ167" s="83" vm="2381">
        <v>19122</v>
      </c>
      <c r="BK167" s="83" vm="7984">
        <v>0</v>
      </c>
      <c r="BL167" s="83" vm="2390">
        <v>0</v>
      </c>
      <c r="BM167" s="83" vm="2391">
        <v>471</v>
      </c>
      <c r="BN167" s="83" vm="2392">
        <v>1993</v>
      </c>
      <c r="BO167" s="83" vm="2393">
        <v>0</v>
      </c>
      <c r="BP167" s="5" vm="2361">
        <f xml:space="preserve"> VfM_Metrics_2023_Consol[[#This Row],[Total social housing units owned and/or managed at period end]]</f>
        <v>18050</v>
      </c>
      <c r="BQ167" s="84" vm="2361">
        <v>18050</v>
      </c>
      <c r="BR167" s="7">
        <f xml:space="preserve"> IFERROR( VfM_Metrics_2023_Consol[[#This Row],[SHL operating surplus / (deficit)]] / VfM_Metrics_2023_Consol[[#This Row],[Turnover from social housing lettings]], "n/a" )</f>
        <v>0.15784057424464201</v>
      </c>
      <c r="BS167" s="5" vm="2394">
        <f xml:space="preserve"> VfM_Metrics_2023_Consol[[#This Row],[Operating surplus/(deficit) (social housing lettings)]]</f>
        <v>24694</v>
      </c>
      <c r="BT167" s="84" vm="2394">
        <v>24694</v>
      </c>
      <c r="BU167" s="5" vm="2395">
        <f xml:space="preserve"> VfM_Metrics_2023_Consol[[#This Row],[Turnover from social housing lettings]]</f>
        <v>156449</v>
      </c>
      <c r="BV167" s="84" vm="2395">
        <v>156449</v>
      </c>
      <c r="BW167" s="7">
        <f xml:space="preserve"> IFERROR( VfM_Metrics_2023_Consol[[#This Row],[Net operating surplus]] / VfM_Metrics_2023_Consol[[#This Row],[Overall turnover]], "n/a" )</f>
        <v>0.1243943369995311</v>
      </c>
      <c r="BX167" s="5">
        <f xml:space="preserve"> SUM( VfM_Metrics_2023_Consol[[#This Row],[Operating surplus/(deficit) (overall)2]], - VfM_Metrics_2023_Consol[[#This Row],[Gain/(loss) on disposal of fixed assets (housing properties)2]], - VfM_Metrics_2023_Consol[[#This Row],[Gain/(loss) on disposal of fixed assets (other)2]] )</f>
        <v>30243</v>
      </c>
      <c r="BY167" s="84" vm="3651">
        <v>38918</v>
      </c>
      <c r="BZ167" s="83" vm="2377">
        <v>8675</v>
      </c>
      <c r="CA167" s="83" vm="7878">
        <v>0</v>
      </c>
      <c r="CB167" s="5" vm="2396">
        <f xml:space="preserve"> VfM_Metrics_2023_Consol[[#This Row],[Turnover (overall)]]</f>
        <v>243122</v>
      </c>
      <c r="CC167" s="84" vm="2396">
        <v>243122</v>
      </c>
      <c r="CD167" s="7">
        <f xml:space="preserve"> IFERROR( VfM_Metrics_2023_Consol[[#This Row],[Operating surplus including from JVs]] / VfM_Metrics_2023_Consol[[#This Row],[Net assets]], "n/a" )</f>
        <v>1.6364167695086081E-2</v>
      </c>
      <c r="CE167" s="5">
        <f xml:space="preserve"> SUM( VfM_Metrics_2023_Consol[[#This Row],[Operating surplus/(deficit) (overall)3]], VfM_Metrics_2023_Consol[[#This Row],[Share of operating surplus/(deficit) in joint ventures or associates]] )</f>
        <v>38918</v>
      </c>
      <c r="CF167" s="84" vm="2376">
        <v>38918</v>
      </c>
      <c r="CG167" s="83" vm="7098">
        <v>0</v>
      </c>
      <c r="CH167" s="5" vm="2397">
        <f xml:space="preserve"> VfM_Metrics_2023_Consol[[#This Row],[Total assets less current liabilities]]</f>
        <v>2378245</v>
      </c>
      <c r="CI167" s="84" vm="2397">
        <v>2378245</v>
      </c>
      <c r="CJ167" s="71" vm="2360">
        <f xml:space="preserve"> VfM_Metrics_2023_Consol[[#This Row],[Total social housing units owned (Period end)]]</f>
        <v>18043</v>
      </c>
      <c r="CK167" s="103">
        <v>1.883969634842356E-2</v>
      </c>
      <c r="CL167" s="6">
        <f xml:space="preserve"> -- ( VfM_Metrics_2023_Consol[[#This Row],[% Supported housing (excl. HOP)]] &gt; 0.3 )</f>
        <v>0</v>
      </c>
      <c r="CM167" s="103">
        <v>7.9348368149830997E-2</v>
      </c>
      <c r="CN167" s="6">
        <f xml:space="preserve"> -- ( VfM_Metrics_2023_Consol[[#This Row],[% Housing for older people]] &gt; 0.3 )</f>
        <v>0</v>
      </c>
      <c r="CO167" s="103">
        <f xml:space="preserve"> VfM_Metrics_2023_Consol[[#This Row],[% Supported housing (excl. HOP)]] + VfM_Metrics_2023_Consol[[#This Row],[% Housing for older people]]</f>
        <v>9.8188064498254554E-2</v>
      </c>
      <c r="CP167" s="6">
        <f xml:space="preserve"> -- ( VfM_Metrics_2023_Consol[[#This Row],[SH specialist in RSH analysis]] + VfM_Metrics_2023_Consol[[#This Row],[OP specialist in RSH analysis]] &gt; 0 )</f>
        <v>0</v>
      </c>
      <c r="CQ167" s="10">
        <f xml:space="preserve"> -- ( VfM_Metrics_2023_Consol[[#This Row],[% SH and OP]] &gt; 0.3 )</f>
        <v>0</v>
      </c>
      <c r="CR167" s="104" t="s">
        <v>143</v>
      </c>
      <c r="CS167" s="124" t="s">
        <v>144</v>
      </c>
      <c r="CT167" s="105"/>
      <c r="CU16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67" s="85">
        <v>0.73707254891093499</v>
      </c>
      <c r="CW167" s="85">
        <v>1.7679986698442611E-2</v>
      </c>
      <c r="CX167" s="85">
        <v>0</v>
      </c>
      <c r="CY167" s="85">
        <v>0</v>
      </c>
      <c r="CZ167" s="85">
        <v>0</v>
      </c>
      <c r="DA167" s="85">
        <v>0.24524746439062239</v>
      </c>
      <c r="DB167" s="85">
        <v>0</v>
      </c>
      <c r="DC167" s="85">
        <v>0</v>
      </c>
      <c r="DD167" s="85">
        <v>0</v>
      </c>
      <c r="DE167" s="13">
        <v>1.1215888909235403</v>
      </c>
    </row>
    <row r="168" spans="1:109" x14ac:dyDescent="0.25">
      <c r="A168" s="4" t="s" vm="202">
        <v>460</v>
      </c>
      <c r="B168" s="2" t="s" vm="158">
        <v>461</v>
      </c>
      <c r="C168" s="72" vm="454">
        <v>45016</v>
      </c>
      <c r="D168" s="7">
        <f>IFERROR( VfM_Metrics_2023_Consol[[#This Row],[Reinvestment Spend]] / VfM_Metrics_2023_Consol[[#This Row],[Net Book Value of Housing Properties]], "n/a" )</f>
        <v>6.469442798224502E-2</v>
      </c>
      <c r="E16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5349</v>
      </c>
      <c r="F168" s="83" vm="9042">
        <v>0</v>
      </c>
      <c r="G168" s="83" vm="658">
        <v>1949</v>
      </c>
      <c r="H168" s="83" vm="9177">
        <v>3400</v>
      </c>
      <c r="I168" s="83" vm="599">
        <v>0</v>
      </c>
      <c r="J168" s="83" vm="659">
        <v>0</v>
      </c>
      <c r="K168" s="5">
        <f xml:space="preserve"> SUM( VfM_Metrics_2023_Consol[[#This Row],[Tangible fixed assets: Housing properties at cost (Current period)]],VfM_Metrics_2023_Consol[[#This Row],[Tangible fixed assets Housing properties at valuation (Current period)]] )</f>
        <v>82681</v>
      </c>
      <c r="L168" s="84" vm="601">
        <v>82681</v>
      </c>
      <c r="M168" s="83" vm="9036">
        <v>0</v>
      </c>
      <c r="N168" s="7">
        <f xml:space="preserve"> IFERROR( VfM_Metrics_2023_Consol[[#This Row],[Total social units developed or newly built units acquired in-year]] / VfM_Metrics_2023_Consol[[#This Row],[Social housing units owned (period end)]], "n/a" )</f>
        <v>2.858776443682104E-3</v>
      </c>
      <c r="O168" s="5">
        <f xml:space="preserve"> SUM( VfM_Metrics_2023_Consol[[#This Row],[Total social units developed or newly built units acquired in-year (owned)]], VfM_Metrics_2023_Consol[[#This Row],[Total social leasehold units developed or newly built units acquired in-year (owned)]] )</f>
        <v>5</v>
      </c>
      <c r="P168" s="84" vm="661">
        <v>5</v>
      </c>
      <c r="Q168" s="83" vm="9116">
        <v>0</v>
      </c>
      <c r="R168" s="5">
        <f xml:space="preserve"> SUM( VfM_Metrics_2023_Consol[[#This Row],[Total social housing units owned (Period end)]], VfM_Metrics_2023_Consol[[#This Row],[Total social leasehold units owned (Period end)]] )</f>
        <v>1749</v>
      </c>
      <c r="S168" s="84" vm="656">
        <v>1749</v>
      </c>
      <c r="T168" s="83" vm="662">
        <v>0</v>
      </c>
      <c r="U168" s="86">
        <f xml:space="preserve"> IFERROR( VfM_Metrics_2023_Consol[[#This Row],[Total non-social housing units developed or newly built units acquired (owned)]] / VfM_Metrics_2023_Consol[[#This Row],[Total social and non-social housing units owned (Period end)]], "n/a" )</f>
        <v>0</v>
      </c>
      <c r="V16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68" s="83" vm="9210">
        <v>0</v>
      </c>
      <c r="X168" s="83" vm="663">
        <v>0</v>
      </c>
      <c r="Y168" s="83" vm="9200">
        <v>0</v>
      </c>
      <c r="Z16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2399</v>
      </c>
      <c r="AA168" s="84" vm="656">
        <v>1749</v>
      </c>
      <c r="AB168" s="83" vm="662">
        <v>0</v>
      </c>
      <c r="AC168" s="83" vm="9124">
        <v>0</v>
      </c>
      <c r="AD168" s="83" vm="669">
        <v>650</v>
      </c>
      <c r="AE168" s="7">
        <f xml:space="preserve"> IFERROR( VfM_Metrics_2023_Consol[[#This Row],[Total Net Debt]] / VfM_Metrics_2023_Consol[[#This Row],[Net Book Value of Housing Properties2]], "n/a" )</f>
        <v>-0.1945670710320388</v>
      </c>
      <c r="AF16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-16087</v>
      </c>
      <c r="AG168" s="84" vm="664">
        <v>0</v>
      </c>
      <c r="AH168" s="83" vm="665">
        <v>0</v>
      </c>
      <c r="AI168" s="83" vm="666">
        <v>16087</v>
      </c>
      <c r="AJ168" s="83" vm="667">
        <v>0</v>
      </c>
      <c r="AK168" s="83" vm="668">
        <v>0</v>
      </c>
      <c r="AL168" s="5">
        <f xml:space="preserve"> SUM( VfM_Metrics_2023_Consol[[#This Row],[Tangible fixed assets: Housing properties at cost (Current period)2]], VfM_Metrics_2023_Consol[[#This Row],[Tangible fixed assets Housing properties at valuation (Current period)2]] )</f>
        <v>82681</v>
      </c>
      <c r="AM168" s="84" vm="9213">
        <v>82681</v>
      </c>
      <c r="AN168" s="83" vm="660">
        <v>0</v>
      </c>
      <c r="AO168" s="87">
        <f xml:space="preserve"> IFERROR( VfM_Metrics_2023_Consol[[#This Row],[EBITDA MRI]] / VfM_Metrics_2023_Consol[[#This Row],[Total interest]], "n/a" )</f>
        <v>-37.990521327014221</v>
      </c>
      <c r="AP16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-8016</v>
      </c>
      <c r="AQ168" s="84" vm="9173">
        <v>-2799</v>
      </c>
      <c r="AR168" s="84" vm="731">
        <v>389</v>
      </c>
      <c r="AS168" s="84" vm="612">
        <v>0</v>
      </c>
      <c r="AT168" s="84" vm="9209">
        <v>1644</v>
      </c>
      <c r="AU168" s="84" vm="9115">
        <v>4445</v>
      </c>
      <c r="AV168" s="84" vm="671">
        <v>145</v>
      </c>
      <c r="AW168" s="84" vm="672">
        <v>3400</v>
      </c>
      <c r="AX168" s="84" vm="9172">
        <v>4516</v>
      </c>
      <c r="AY168" s="3">
        <f xml:space="preserve"> - SUM( VfM_Metrics_2023_Consol[[#This Row],[Interest capitalised]], VfM_Metrics_2023_Consol[[#This Row],[Interest payable and financing costs]] )</f>
        <v>211</v>
      </c>
      <c r="AZ168" s="84" vm="9121">
        <v>0</v>
      </c>
      <c r="BA168" s="83" vm="9155">
        <v>-211</v>
      </c>
      <c r="BB168" s="8">
        <f xml:space="preserve"> IFERROR( ( VfM_Metrics_2023_Consol[[#This Row],[Total Costs]] / VfM_Metrics_2023_Consol[[#This Row],[Total units for costs]] ) * 1000, "n/a" )</f>
        <v>25629.585798816566</v>
      </c>
      <c r="BC16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64971</v>
      </c>
      <c r="BD168" s="84" vm="9176">
        <v>9766</v>
      </c>
      <c r="BE168" s="83" vm="673">
        <v>16051</v>
      </c>
      <c r="BF168" s="83" vm="9169">
        <v>3365</v>
      </c>
      <c r="BG168" s="83" vm="674">
        <v>1010</v>
      </c>
      <c r="BH168" s="83" vm="642">
        <v>0</v>
      </c>
      <c r="BI168" s="83" vm="9203">
        <v>6142</v>
      </c>
      <c r="BJ168" s="83" vm="672">
        <v>3400</v>
      </c>
      <c r="BK168" s="83" vm="9189">
        <v>810</v>
      </c>
      <c r="BL168" s="83" vm="9091">
        <v>0</v>
      </c>
      <c r="BM168" s="83" vm="9166">
        <v>0</v>
      </c>
      <c r="BN168" s="83" vm="676">
        <v>0</v>
      </c>
      <c r="BO168" s="83" vm="9168">
        <v>24427</v>
      </c>
      <c r="BP168" s="5" vm="657">
        <f xml:space="preserve"> VfM_Metrics_2023_Consol[[#This Row],[Total social housing units owned and/or managed at period end]]</f>
        <v>2535</v>
      </c>
      <c r="BQ168" s="84" vm="657">
        <v>2535</v>
      </c>
      <c r="BR168" s="7">
        <f xml:space="preserve"> IFERROR( VfM_Metrics_2023_Consol[[#This Row],[SHL operating surplus / (deficit)]] / VfM_Metrics_2023_Consol[[#This Row],[Turnover from social housing lettings]], "n/a" )</f>
        <v>-4.6824134132909069E-2</v>
      </c>
      <c r="BS168" s="5" vm="677">
        <f xml:space="preserve"> VfM_Metrics_2023_Consol[[#This Row],[Operating surplus/(deficit) (social housing lettings)]]</f>
        <v>-1913</v>
      </c>
      <c r="BT168" s="84" vm="677">
        <v>-1913</v>
      </c>
      <c r="BU168" s="5" vm="9149">
        <f xml:space="preserve"> VfM_Metrics_2023_Consol[[#This Row],[Turnover from social housing lettings]]</f>
        <v>40855</v>
      </c>
      <c r="BV168" s="84" vm="9149">
        <v>40855</v>
      </c>
      <c r="BW168" s="7">
        <f xml:space="preserve"> IFERROR( VfM_Metrics_2023_Consol[[#This Row],[Net operating surplus]] / VfM_Metrics_2023_Consol[[#This Row],[Overall turnover]], "n/a" )</f>
        <v>-2.5952458482578964E-2</v>
      </c>
      <c r="BX168" s="5">
        <f xml:space="preserve"> SUM( VfM_Metrics_2023_Consol[[#This Row],[Operating surplus/(deficit) (overall)2]], - VfM_Metrics_2023_Consol[[#This Row],[Gain/(loss) on disposal of fixed assets (housing properties)2]], - VfM_Metrics_2023_Consol[[#This Row],[Gain/(loss) on disposal of fixed assets (other)2]] )</f>
        <v>-3188</v>
      </c>
      <c r="BY168" s="84" vm="9173">
        <v>-2799</v>
      </c>
      <c r="BZ168" s="83" vm="689">
        <v>389</v>
      </c>
      <c r="CA168" s="83" vm="670">
        <v>0</v>
      </c>
      <c r="CB168" s="5" vm="9004">
        <f xml:space="preserve"> VfM_Metrics_2023_Consol[[#This Row],[Turnover (overall)]]</f>
        <v>122840</v>
      </c>
      <c r="CC168" s="84" vm="9004">
        <v>122840</v>
      </c>
      <c r="CD168" s="7">
        <f xml:space="preserve"> IFERROR( VfM_Metrics_2023_Consol[[#This Row],[Operating surplus including from JVs]] / VfM_Metrics_2023_Consol[[#This Row],[Net assets]], "n/a" )</f>
        <v>-2.9389236887112175E-2</v>
      </c>
      <c r="CE168" s="5">
        <f xml:space="preserve"> SUM( VfM_Metrics_2023_Consol[[#This Row],[Operating surplus/(deficit) (overall)3]], VfM_Metrics_2023_Consol[[#This Row],[Share of operating surplus/(deficit) in joint ventures or associates]] )</f>
        <v>-2801</v>
      </c>
      <c r="CF168" s="84" vm="9011">
        <v>-2799</v>
      </c>
      <c r="CG168" s="83" vm="9018">
        <v>-2</v>
      </c>
      <c r="CH168" s="5" vm="678">
        <f xml:space="preserve"> VfM_Metrics_2023_Consol[[#This Row],[Total assets less current liabilities]]</f>
        <v>95307</v>
      </c>
      <c r="CI168" s="84" vm="678">
        <v>95307</v>
      </c>
      <c r="CJ168" s="71" vm="656">
        <f xml:space="preserve"> VfM_Metrics_2023_Consol[[#This Row],[Total social housing units owned (Period end)]]</f>
        <v>1749</v>
      </c>
      <c r="CK168" s="103">
        <v>0.82561463693539161</v>
      </c>
      <c r="CL168" s="6">
        <f xml:space="preserve"> -- ( VfM_Metrics_2023_Consol[[#This Row],[% Supported housing (excl. HOP)]] &gt; 0.3 )</f>
        <v>1</v>
      </c>
      <c r="CM168" s="103">
        <v>0</v>
      </c>
      <c r="CN168" s="6">
        <f xml:space="preserve"> -- ( VfM_Metrics_2023_Consol[[#This Row],[% Housing for older people]] &gt; 0.3 )</f>
        <v>0</v>
      </c>
      <c r="CO168" s="103">
        <f xml:space="preserve"> VfM_Metrics_2023_Consol[[#This Row],[% Supported housing (excl. HOP)]] + VfM_Metrics_2023_Consol[[#This Row],[% Housing for older people]]</f>
        <v>0.82561463693539161</v>
      </c>
      <c r="CP168" s="6">
        <f xml:space="preserve"> -- ( VfM_Metrics_2023_Consol[[#This Row],[SH specialist in RSH analysis]] + VfM_Metrics_2023_Consol[[#This Row],[OP specialist in RSH analysis]] &gt; 0 )</f>
        <v>1</v>
      </c>
      <c r="CQ168" s="10">
        <f xml:space="preserve"> -- ( VfM_Metrics_2023_Consol[[#This Row],[% SH and OP]] &gt; 0.3 )</f>
        <v>1</v>
      </c>
      <c r="CR168" s="104" t="s">
        <v>143</v>
      </c>
      <c r="CS168" s="124" t="s">
        <v>144</v>
      </c>
      <c r="CT168" s="105"/>
      <c r="CU16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68" s="85">
        <v>0.88193624557260919</v>
      </c>
      <c r="CW168" s="85">
        <v>5.5489964580873671E-2</v>
      </c>
      <c r="CX168" s="85">
        <v>5.9622195985832349E-2</v>
      </c>
      <c r="CY168" s="85">
        <v>0</v>
      </c>
      <c r="CZ168" s="85">
        <v>0</v>
      </c>
      <c r="DA168" s="85">
        <v>2.9515938606847697E-3</v>
      </c>
      <c r="DB168" s="85">
        <v>0</v>
      </c>
      <c r="DC168" s="85">
        <v>0</v>
      </c>
      <c r="DD168" s="85">
        <v>0</v>
      </c>
      <c r="DE168" s="13">
        <v>1.141856965798447</v>
      </c>
    </row>
    <row r="169" spans="1:109" x14ac:dyDescent="0.25">
      <c r="A169" s="4" t="s" vm="261">
        <v>462</v>
      </c>
      <c r="B169" s="2" t="s" vm="159">
        <v>463</v>
      </c>
      <c r="C169" s="72" vm="586">
        <v>45016</v>
      </c>
      <c r="D169" s="7">
        <f>IFERROR( VfM_Metrics_2023_Consol[[#This Row],[Reinvestment Spend]] / VfM_Metrics_2023_Consol[[#This Row],[Net Book Value of Housing Properties]], "n/a" )</f>
        <v>9.3822464240118808E-2</v>
      </c>
      <c r="E16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226863</v>
      </c>
      <c r="F169" s="83" vm="8016">
        <v>194741</v>
      </c>
      <c r="G169" s="83" vm="7804">
        <v>0</v>
      </c>
      <c r="H169" s="83" vm="1314">
        <v>26615</v>
      </c>
      <c r="I169" s="83" vm="2069">
        <v>5507</v>
      </c>
      <c r="J169" s="83" vm="7877">
        <v>0</v>
      </c>
      <c r="K169" s="5">
        <f xml:space="preserve"> SUM( VfM_Metrics_2023_Consol[[#This Row],[Tangible fixed assets: Housing properties at cost (Current period)]],VfM_Metrics_2023_Consol[[#This Row],[Tangible fixed assets Housing properties at valuation (Current period)]] )</f>
        <v>2418003</v>
      </c>
      <c r="L169" s="84" vm="2070">
        <v>2418003</v>
      </c>
      <c r="M169" s="83" vm="2071">
        <v>0</v>
      </c>
      <c r="N169" s="7">
        <f xml:space="preserve"> IFERROR( VfM_Metrics_2023_Consol[[#This Row],[Total social units developed or newly built units acquired in-year]] / VfM_Metrics_2023_Consol[[#This Row],[Social housing units owned (period end)]], "n/a" )</f>
        <v>3.1399567112764079E-2</v>
      </c>
      <c r="O169" s="5">
        <f xml:space="preserve"> SUM( VfM_Metrics_2023_Consol[[#This Row],[Total social units developed or newly built units acquired in-year (owned)]], VfM_Metrics_2023_Consol[[#This Row],[Total social leasehold units developed or newly built units acquired in-year (owned)]] )</f>
        <v>1030</v>
      </c>
      <c r="P169" s="84" vm="2072">
        <v>1030</v>
      </c>
      <c r="Q169" s="83" vm="2796">
        <v>0</v>
      </c>
      <c r="R169" s="5">
        <f xml:space="preserve"> SUM( VfM_Metrics_2023_Consol[[#This Row],[Total social housing units owned (Period end)]], VfM_Metrics_2023_Consol[[#This Row],[Total social leasehold units owned (Period end)]] )</f>
        <v>32803</v>
      </c>
      <c r="S169" s="84" vm="7644">
        <v>32803</v>
      </c>
      <c r="T169" s="83" vm="8069">
        <v>0</v>
      </c>
      <c r="U169" s="86">
        <f xml:space="preserve"> IFERROR( VfM_Metrics_2023_Consol[[#This Row],[Total non-social housing units developed or newly built units acquired (owned)]] / VfM_Metrics_2023_Consol[[#This Row],[Total social and non-social housing units owned (Period end)]], "n/a" )</f>
        <v>0</v>
      </c>
      <c r="V16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69" s="83" vm="1567">
        <v>0</v>
      </c>
      <c r="X169" s="83" vm="2074">
        <v>0</v>
      </c>
      <c r="Y169" s="83" vm="7642">
        <v>0</v>
      </c>
      <c r="Z16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32803</v>
      </c>
      <c r="AA169" s="84" vm="2067">
        <v>32803</v>
      </c>
      <c r="AB169" s="83" vm="2073">
        <v>0</v>
      </c>
      <c r="AC169" s="83" vm="7971">
        <v>0</v>
      </c>
      <c r="AD169" s="83" vm="7939">
        <v>0</v>
      </c>
      <c r="AE169" s="7">
        <f xml:space="preserve"> IFERROR( VfM_Metrics_2023_Consol[[#This Row],[Total Net Debt]] / VfM_Metrics_2023_Consol[[#This Row],[Net Book Value of Housing Properties2]], "n/a" )</f>
        <v>0.54062670724560724</v>
      </c>
      <c r="AF16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1307237</v>
      </c>
      <c r="AG169" s="84" vm="2076">
        <v>15207</v>
      </c>
      <c r="AH169" s="83" vm="2077">
        <v>1358569</v>
      </c>
      <c r="AI169" s="83" vm="2186">
        <v>66539</v>
      </c>
      <c r="AJ169" s="83" vm="1675">
        <v>0</v>
      </c>
      <c r="AK169" s="83">
        <v>0</v>
      </c>
      <c r="AL169" s="5">
        <f xml:space="preserve"> SUM( VfM_Metrics_2023_Consol[[#This Row],[Tangible fixed assets: Housing properties at cost (Current period)2]], VfM_Metrics_2023_Consol[[#This Row],[Tangible fixed assets Housing properties at valuation (Current period)2]] )</f>
        <v>2418003</v>
      </c>
      <c r="AM169" s="84" vm="2070">
        <v>2418003</v>
      </c>
      <c r="AN169" s="83" vm="2071">
        <v>0</v>
      </c>
      <c r="AO169" s="87">
        <f xml:space="preserve"> IFERROR( VfM_Metrics_2023_Consol[[#This Row],[EBITDA MRI]] / VfM_Metrics_2023_Consol[[#This Row],[Total interest]], "n/a" )</f>
        <v>1.0625449760470425</v>
      </c>
      <c r="AP16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51679</v>
      </c>
      <c r="AQ169" s="84" vm="2078">
        <v>65767</v>
      </c>
      <c r="AR169" s="84" vm="2079">
        <v>14204</v>
      </c>
      <c r="AS169" s="84" vm="2080">
        <v>0</v>
      </c>
      <c r="AT169" s="84" vm="8158">
        <v>7308</v>
      </c>
      <c r="AU169" s="84" vm="2081">
        <v>0</v>
      </c>
      <c r="AV169" s="84" vm="2082">
        <v>1046</v>
      </c>
      <c r="AW169" s="84" vm="2083">
        <v>32122</v>
      </c>
      <c r="AX169" s="84" vm="2084">
        <v>38500</v>
      </c>
      <c r="AY169" s="3">
        <f xml:space="preserve"> - SUM( VfM_Metrics_2023_Consol[[#This Row],[Interest capitalised]], VfM_Metrics_2023_Consol[[#This Row],[Interest payable and financing costs]] )</f>
        <v>48637</v>
      </c>
      <c r="AZ169" s="84" vm="2085">
        <v>-5507</v>
      </c>
      <c r="BA169" s="83" vm="7998">
        <v>-43130</v>
      </c>
      <c r="BB169" s="8">
        <f xml:space="preserve"> IFERROR( ( VfM_Metrics_2023_Consol[[#This Row],[Total Costs]] / VfM_Metrics_2023_Consol[[#This Row],[Total units for costs]] ) * 1000, "n/a" )</f>
        <v>3996.9173359292613</v>
      </c>
      <c r="BC16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147810</v>
      </c>
      <c r="BD169" s="84" vm="7903">
        <v>40591</v>
      </c>
      <c r="BE169" s="83" vm="2086">
        <v>24905</v>
      </c>
      <c r="BF169" s="83" vm="8207">
        <v>32471</v>
      </c>
      <c r="BG169" s="83" vm="2087">
        <v>6887</v>
      </c>
      <c r="BH169" s="83" vm="2088">
        <v>9820</v>
      </c>
      <c r="BI169" s="83" vm="2089">
        <v>0</v>
      </c>
      <c r="BJ169" s="83" vm="2083">
        <v>32122</v>
      </c>
      <c r="BK169" s="83" vm="7102">
        <v>0</v>
      </c>
      <c r="BL169" s="83" vm="2090">
        <v>761</v>
      </c>
      <c r="BM169" s="83">
        <v>0</v>
      </c>
      <c r="BN169" s="83" vm="1592">
        <v>253</v>
      </c>
      <c r="BO169" s="83">
        <v>0</v>
      </c>
      <c r="BP169" s="5" vm="2068">
        <f xml:space="preserve"> VfM_Metrics_2023_Consol[[#This Row],[Total social housing units owned and/or managed at period end]]</f>
        <v>36981</v>
      </c>
      <c r="BQ169" s="84" vm="2068">
        <v>36981</v>
      </c>
      <c r="BR169" s="7">
        <f xml:space="preserve"> IFERROR( VfM_Metrics_2023_Consol[[#This Row],[SHL operating surplus / (deficit)]] / VfM_Metrics_2023_Consol[[#This Row],[Turnover from social housing lettings]], "n/a" )</f>
        <v>0.2317784758168778</v>
      </c>
      <c r="BS169" s="5" vm="2091">
        <f xml:space="preserve"> VfM_Metrics_2023_Consol[[#This Row],[Operating surplus/(deficit) (social housing lettings)]]</f>
        <v>47150</v>
      </c>
      <c r="BT169" s="84" vm="2091">
        <v>47150</v>
      </c>
      <c r="BU169" s="5" vm="7101">
        <f xml:space="preserve"> VfM_Metrics_2023_Consol[[#This Row],[Turnover from social housing lettings]]</f>
        <v>203427</v>
      </c>
      <c r="BV169" s="84" vm="7101">
        <v>203427</v>
      </c>
      <c r="BW169" s="7">
        <f xml:space="preserve"> IFERROR( VfM_Metrics_2023_Consol[[#This Row],[Net operating surplus]] / VfM_Metrics_2023_Consol[[#This Row],[Overall turnover]], "n/a" )</f>
        <v>0.21576553392167447</v>
      </c>
      <c r="BX169" s="5">
        <f xml:space="preserve"> SUM( VfM_Metrics_2023_Consol[[#This Row],[Operating surplus/(deficit) (overall)2]], - VfM_Metrics_2023_Consol[[#This Row],[Gain/(loss) on disposal of fixed assets (housing properties)2]], - VfM_Metrics_2023_Consol[[#This Row],[Gain/(loss) on disposal of fixed assets (other)2]] )</f>
        <v>51563</v>
      </c>
      <c r="BY169" s="84" vm="8195">
        <v>65767</v>
      </c>
      <c r="BZ169" s="83" vm="2877">
        <v>14204</v>
      </c>
      <c r="CA169" s="83" vm="3685">
        <v>0</v>
      </c>
      <c r="CB169" s="5" vm="2092">
        <f xml:space="preserve"> VfM_Metrics_2023_Consol[[#This Row],[Turnover (overall)]]</f>
        <v>238977</v>
      </c>
      <c r="CC169" s="84" vm="2092">
        <v>238977</v>
      </c>
      <c r="CD169" s="7">
        <f xml:space="preserve"> IFERROR( VfM_Metrics_2023_Consol[[#This Row],[Operating surplus including from JVs]] / VfM_Metrics_2023_Consol[[#This Row],[Net assets]], "n/a" )</f>
        <v>2.5689876471817873E-2</v>
      </c>
      <c r="CE169" s="5">
        <f xml:space="preserve"> SUM( VfM_Metrics_2023_Consol[[#This Row],[Operating surplus/(deficit) (overall)3]], VfM_Metrics_2023_Consol[[#This Row],[Share of operating surplus/(deficit) in joint ventures or associates]] )</f>
        <v>65749</v>
      </c>
      <c r="CF169" s="84" vm="2078">
        <v>65767</v>
      </c>
      <c r="CG169" s="83" vm="7803">
        <v>-18</v>
      </c>
      <c r="CH169" s="5" vm="2093">
        <f xml:space="preserve"> VfM_Metrics_2023_Consol[[#This Row],[Total assets less current liabilities]]</f>
        <v>2559335</v>
      </c>
      <c r="CI169" s="84" vm="2093">
        <v>2559335</v>
      </c>
      <c r="CJ169" s="71" vm="7644">
        <f xml:space="preserve"> VfM_Metrics_2023_Consol[[#This Row],[Total social housing units owned (Period end)]]</f>
        <v>32803</v>
      </c>
      <c r="CK169" s="103">
        <v>1.9426546391752578E-2</v>
      </c>
      <c r="CL169" s="6">
        <f xml:space="preserve"> -- ( VfM_Metrics_2023_Consol[[#This Row],[% Supported housing (excl. HOP)]] &gt; 0.3 )</f>
        <v>0</v>
      </c>
      <c r="CM169" s="103">
        <v>7.6997422680412375E-2</v>
      </c>
      <c r="CN169" s="6">
        <f xml:space="preserve"> -- ( VfM_Metrics_2023_Consol[[#This Row],[% Housing for older people]] &gt; 0.3 )</f>
        <v>0</v>
      </c>
      <c r="CO169" s="103">
        <f xml:space="preserve"> VfM_Metrics_2023_Consol[[#This Row],[% Supported housing (excl. HOP)]] + VfM_Metrics_2023_Consol[[#This Row],[% Housing for older people]]</f>
        <v>9.6423969072164953E-2</v>
      </c>
      <c r="CP169" s="6">
        <f xml:space="preserve"> -- ( VfM_Metrics_2023_Consol[[#This Row],[SH specialist in RSH analysis]] + VfM_Metrics_2023_Consol[[#This Row],[OP specialist in RSH analysis]] &gt; 0 )</f>
        <v>0</v>
      </c>
      <c r="CQ169" s="10">
        <f xml:space="preserve"> -- ( VfM_Metrics_2023_Consol[[#This Row],[% SH and OP]] &gt; 0.3 )</f>
        <v>0</v>
      </c>
      <c r="CR169" s="104" t="s">
        <v>143</v>
      </c>
      <c r="CS169" s="124" t="s">
        <v>144</v>
      </c>
      <c r="CT169" s="105"/>
      <c r="CU16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69" s="85">
        <v>3.0813792253412625E-5</v>
      </c>
      <c r="CW169" s="85">
        <v>0.22682032477737035</v>
      </c>
      <c r="CX169" s="85">
        <v>0.28733861276307276</v>
      </c>
      <c r="CY169" s="85">
        <v>5.5772963978676857E-2</v>
      </c>
      <c r="CZ169" s="85">
        <v>0.25264228268573014</v>
      </c>
      <c r="DA169" s="85">
        <v>0.12217668628478107</v>
      </c>
      <c r="DB169" s="85">
        <v>0</v>
      </c>
      <c r="DC169" s="85">
        <v>0</v>
      </c>
      <c r="DD169" s="85">
        <v>5.5218315718115425E-2</v>
      </c>
      <c r="DE169" s="13">
        <v>0.98666978939200145</v>
      </c>
    </row>
    <row r="170" spans="1:109" x14ac:dyDescent="0.25">
      <c r="A170" s="4" t="s" vm="209">
        <v>464</v>
      </c>
      <c r="B170" s="2" t="s" vm="160">
        <v>465</v>
      </c>
      <c r="C170" s="72" vm="501">
        <v>45016</v>
      </c>
      <c r="D170" s="7" t="str">
        <f>IFERROR( VfM_Metrics_2023_Consol[[#This Row],[Reinvestment Spend]] / VfM_Metrics_2023_Consol[[#This Row],[Net Book Value of Housing Properties]], "n/a" )</f>
        <v>n/a</v>
      </c>
      <c r="E17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0</v>
      </c>
      <c r="F170" s="83" vm="877">
        <v>0</v>
      </c>
      <c r="G170" s="83" vm="9077">
        <v>0</v>
      </c>
      <c r="H170" s="83" vm="964">
        <v>0</v>
      </c>
      <c r="I170" s="83" vm="8996">
        <v>0</v>
      </c>
      <c r="J170" s="83" vm="8832">
        <v>0</v>
      </c>
      <c r="K170" s="5">
        <f xml:space="preserve"> SUM( VfM_Metrics_2023_Consol[[#This Row],[Tangible fixed assets: Housing properties at cost (Current period)]],VfM_Metrics_2023_Consol[[#This Row],[Tangible fixed assets Housing properties at valuation (Current period)]] )</f>
        <v>0</v>
      </c>
      <c r="L170" s="84">
        <v>0</v>
      </c>
      <c r="M170" s="83">
        <v>0</v>
      </c>
      <c r="N170" s="7">
        <f xml:space="preserve"> IFERROR( VfM_Metrics_2023_Consol[[#This Row],[Total social units developed or newly built units acquired in-year]] / VfM_Metrics_2023_Consol[[#This Row],[Social housing units owned (period end)]], "n/a" )</f>
        <v>0</v>
      </c>
      <c r="O170" s="5">
        <f xml:space="preserve"> SUM( VfM_Metrics_2023_Consol[[#This Row],[Total social units developed or newly built units acquired in-year (owned)]], VfM_Metrics_2023_Consol[[#This Row],[Total social leasehold units developed or newly built units acquired in-year (owned)]] )</f>
        <v>0</v>
      </c>
      <c r="P170" s="84" vm="8989">
        <v>0</v>
      </c>
      <c r="Q170" s="83">
        <v>0</v>
      </c>
      <c r="R170" s="5">
        <f xml:space="preserve"> SUM( VfM_Metrics_2023_Consol[[#This Row],[Total social housing units owned (Period end)]], VfM_Metrics_2023_Consol[[#This Row],[Total social leasehold units owned (Period end)]] )</f>
        <v>2038</v>
      </c>
      <c r="S170" s="84" vm="9106">
        <v>2038</v>
      </c>
      <c r="T170" s="83" vm="8923">
        <v>0</v>
      </c>
      <c r="U170" s="86">
        <f xml:space="preserve"> IFERROR( VfM_Metrics_2023_Consol[[#This Row],[Total non-social housing units developed or newly built units acquired (owned)]] / VfM_Metrics_2023_Consol[[#This Row],[Total social and non-social housing units owned (Period end)]], "n/a" )</f>
        <v>0</v>
      </c>
      <c r="V17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70" s="83">
        <v>0</v>
      </c>
      <c r="X170" s="83">
        <v>0</v>
      </c>
      <c r="Y170" s="83">
        <v>0</v>
      </c>
      <c r="Z17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2038</v>
      </c>
      <c r="AA170" s="84" vm="793">
        <v>2038</v>
      </c>
      <c r="AB170" s="83" vm="794">
        <v>0</v>
      </c>
      <c r="AC170" s="83" vm="8855">
        <v>0</v>
      </c>
      <c r="AD170" s="83" vm="8986">
        <v>0</v>
      </c>
      <c r="AE170" s="7" t="str">
        <f xml:space="preserve"> IFERROR( VfM_Metrics_2023_Consol[[#This Row],[Total Net Debt]] / VfM_Metrics_2023_Consol[[#This Row],[Net Book Value of Housing Properties2]], "n/a" )</f>
        <v>n/a</v>
      </c>
      <c r="AF17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-3851</v>
      </c>
      <c r="AG170" s="84">
        <v>0</v>
      </c>
      <c r="AH170" s="83">
        <v>0</v>
      </c>
      <c r="AI170" s="83" vm="9046">
        <v>3851</v>
      </c>
      <c r="AJ170" s="83" vm="1675">
        <v>0</v>
      </c>
      <c r="AK170" s="83">
        <v>0</v>
      </c>
      <c r="AL170" s="5">
        <f xml:space="preserve"> SUM( VfM_Metrics_2023_Consol[[#This Row],[Tangible fixed assets: Housing properties at cost (Current period)2]], VfM_Metrics_2023_Consol[[#This Row],[Tangible fixed assets Housing properties at valuation (Current period)2]] )</f>
        <v>0</v>
      </c>
      <c r="AM170" s="84">
        <v>0</v>
      </c>
      <c r="AN170" s="83">
        <v>0</v>
      </c>
      <c r="AO170" s="87" t="str">
        <f xml:space="preserve"> IFERROR( VfM_Metrics_2023_Consol[[#This Row],[EBITDA MRI]] / VfM_Metrics_2023_Consol[[#This Row],[Total interest]], "n/a" )</f>
        <v>n/a</v>
      </c>
      <c r="AP17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836</v>
      </c>
      <c r="AQ170" s="84" vm="8977">
        <v>799</v>
      </c>
      <c r="AR170" s="84">
        <v>0</v>
      </c>
      <c r="AS170" s="84">
        <v>0</v>
      </c>
      <c r="AT170" s="84" vm="798">
        <v>0</v>
      </c>
      <c r="AU170" s="84" vm="9069">
        <v>0</v>
      </c>
      <c r="AV170" s="84" vm="764">
        <v>32</v>
      </c>
      <c r="AW170" s="84" vm="800">
        <v>0</v>
      </c>
      <c r="AX170" s="84" vm="801">
        <v>5</v>
      </c>
      <c r="AY170" s="3">
        <f xml:space="preserve"> - SUM( VfM_Metrics_2023_Consol[[#This Row],[Interest capitalised]], VfM_Metrics_2023_Consol[[#This Row],[Interest payable and financing costs]] )</f>
        <v>0</v>
      </c>
      <c r="AZ170" s="84">
        <v>0</v>
      </c>
      <c r="BA170" s="83" vm="802">
        <v>0</v>
      </c>
      <c r="BB170" s="8">
        <f xml:space="preserve"> IFERROR( ( VfM_Metrics_2023_Consol[[#This Row],[Total Costs]] / VfM_Metrics_2023_Consol[[#This Row],[Total units for costs]] ) * 1000, "n/a" )</f>
        <v>8375.85868498528</v>
      </c>
      <c r="BC17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17070</v>
      </c>
      <c r="BD170" s="84" vm="864">
        <v>1608</v>
      </c>
      <c r="BE170" s="83" vm="9010">
        <v>15462</v>
      </c>
      <c r="BF170" s="83" vm="9108">
        <v>0</v>
      </c>
      <c r="BG170" s="83" vm="803">
        <v>0</v>
      </c>
      <c r="BH170" s="83" vm="9048">
        <v>0</v>
      </c>
      <c r="BI170" s="83" vm="8842">
        <v>0</v>
      </c>
      <c r="BJ170" s="83" vm="8985">
        <v>0</v>
      </c>
      <c r="BK170" s="83" vm="8739">
        <v>0</v>
      </c>
      <c r="BL170" s="83">
        <v>0</v>
      </c>
      <c r="BM170" s="83">
        <v>0</v>
      </c>
      <c r="BN170" s="83">
        <v>0</v>
      </c>
      <c r="BO170" s="83">
        <v>0</v>
      </c>
      <c r="BP170" s="5" vm="9016">
        <f xml:space="preserve"> VfM_Metrics_2023_Consol[[#This Row],[Total social housing units owned and/or managed at period end]]</f>
        <v>2038</v>
      </c>
      <c r="BQ170" s="84" vm="9016">
        <v>2038</v>
      </c>
      <c r="BR170" s="7">
        <f xml:space="preserve"> IFERROR( VfM_Metrics_2023_Consol[[#This Row],[SHL operating surplus / (deficit)]] / VfM_Metrics_2023_Consol[[#This Row],[Turnover from social housing lettings]], "n/a" )</f>
        <v>4.4714309698360287E-2</v>
      </c>
      <c r="BS170" s="5" vm="9013">
        <f xml:space="preserve"> VfM_Metrics_2023_Consol[[#This Row],[Operating surplus/(deficit) (social housing lettings)]]</f>
        <v>799</v>
      </c>
      <c r="BT170" s="84" vm="9013">
        <v>799</v>
      </c>
      <c r="BU170" s="5" vm="9003">
        <f xml:space="preserve"> VfM_Metrics_2023_Consol[[#This Row],[Turnover from social housing lettings]]</f>
        <v>17869</v>
      </c>
      <c r="BV170" s="84" vm="9003">
        <v>17869</v>
      </c>
      <c r="BW170" s="7">
        <f xml:space="preserve"> IFERROR( VfM_Metrics_2023_Consol[[#This Row],[Net operating surplus]] / VfM_Metrics_2023_Consol[[#This Row],[Overall turnover]], "n/a" )</f>
        <v>4.4714309698360287E-2</v>
      </c>
      <c r="BX170" s="5">
        <f xml:space="preserve"> SUM( VfM_Metrics_2023_Consol[[#This Row],[Operating surplus/(deficit) (overall)2]], - VfM_Metrics_2023_Consol[[#This Row],[Gain/(loss) on disposal of fixed assets (housing properties)2]], - VfM_Metrics_2023_Consol[[#This Row],[Gain/(loss) on disposal of fixed assets (other)2]] )</f>
        <v>799</v>
      </c>
      <c r="BY170" s="84" vm="796">
        <v>799</v>
      </c>
      <c r="BZ170" s="83">
        <v>0</v>
      </c>
      <c r="CA170" s="83">
        <v>0</v>
      </c>
      <c r="CB170" s="5">
        <f xml:space="preserve"> VfM_Metrics_2023_Consol[[#This Row],[Turnover (overall)]]</f>
        <v>17869</v>
      </c>
      <c r="CC170" s="84">
        <v>17869</v>
      </c>
      <c r="CD170" s="7">
        <f xml:space="preserve"> IFERROR( VfM_Metrics_2023_Consol[[#This Row],[Operating surplus including from JVs]] / VfM_Metrics_2023_Consol[[#This Row],[Net assets]], "n/a" )</f>
        <v>0.22406057206954572</v>
      </c>
      <c r="CE170" s="5">
        <f xml:space="preserve"> SUM( VfM_Metrics_2023_Consol[[#This Row],[Operating surplus/(deficit) (overall)3]], VfM_Metrics_2023_Consol[[#This Row],[Share of operating surplus/(deficit) in joint ventures or associates]] )</f>
        <v>799</v>
      </c>
      <c r="CF170" s="84" vm="8929">
        <v>799</v>
      </c>
      <c r="CG170" s="83">
        <v>0</v>
      </c>
      <c r="CH170" s="5">
        <f xml:space="preserve"> VfM_Metrics_2023_Consol[[#This Row],[Total assets less current liabilities]]</f>
        <v>3566</v>
      </c>
      <c r="CI170" s="84">
        <v>3566</v>
      </c>
      <c r="CJ170" s="71" vm="9106">
        <f xml:space="preserve"> VfM_Metrics_2023_Consol[[#This Row],[Total social housing units owned (Period end)]]</f>
        <v>2038</v>
      </c>
      <c r="CK170" s="103">
        <v>1</v>
      </c>
      <c r="CL170" s="6">
        <f xml:space="preserve"> -- ( VfM_Metrics_2023_Consol[[#This Row],[% Supported housing (excl. HOP)]] &gt; 0.3 )</f>
        <v>1</v>
      </c>
      <c r="CM170" s="103">
        <v>0</v>
      </c>
      <c r="CN170" s="6">
        <f xml:space="preserve"> -- ( VfM_Metrics_2023_Consol[[#This Row],[% Housing for older people]] &gt; 0.3 )</f>
        <v>0</v>
      </c>
      <c r="CO170" s="103">
        <f xml:space="preserve"> VfM_Metrics_2023_Consol[[#This Row],[% Supported housing (excl. HOP)]] + VfM_Metrics_2023_Consol[[#This Row],[% Housing for older people]]</f>
        <v>1</v>
      </c>
      <c r="CP170" s="6">
        <f xml:space="preserve"> -- ( VfM_Metrics_2023_Consol[[#This Row],[SH specialist in RSH analysis]] + VfM_Metrics_2023_Consol[[#This Row],[OP specialist in RSH analysis]] &gt; 0 )</f>
        <v>1</v>
      </c>
      <c r="CQ170" s="10">
        <f xml:space="preserve"> -- ( VfM_Metrics_2023_Consol[[#This Row],[% SH and OP]] &gt; 0.3 )</f>
        <v>1</v>
      </c>
      <c r="CR170" s="104" t="s">
        <v>143</v>
      </c>
      <c r="CS170" s="124" t="s">
        <v>144</v>
      </c>
      <c r="CT170" s="105"/>
      <c r="CU17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70" s="85">
        <v>0</v>
      </c>
      <c r="CW170" s="85">
        <v>0</v>
      </c>
      <c r="CX170" s="85">
        <v>0</v>
      </c>
      <c r="CY170" s="85">
        <v>0</v>
      </c>
      <c r="CZ170" s="85">
        <v>1</v>
      </c>
      <c r="DA170" s="85">
        <v>0</v>
      </c>
      <c r="DB170" s="85">
        <v>0</v>
      </c>
      <c r="DC170" s="85">
        <v>0</v>
      </c>
      <c r="DD170" s="85">
        <v>0</v>
      </c>
      <c r="DE170" s="13">
        <v>0.96459033333600952</v>
      </c>
    </row>
    <row r="171" spans="1:109" x14ac:dyDescent="0.25">
      <c r="A171" s="4" t="s" vm="327">
        <v>466</v>
      </c>
      <c r="B171" s="2" t="s" vm="161">
        <v>467</v>
      </c>
      <c r="C171" s="72" vm="487">
        <v>45016</v>
      </c>
      <c r="D171" s="7">
        <f>IFERROR( VfM_Metrics_2023_Consol[[#This Row],[Reinvestment Spend]] / VfM_Metrics_2023_Consol[[#This Row],[Net Book Value of Housing Properties]], "n/a" )</f>
        <v>9.6912834453421928E-2</v>
      </c>
      <c r="E17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15401</v>
      </c>
      <c r="F171" s="83" vm="4284">
        <v>12198</v>
      </c>
      <c r="G171" s="83" vm="4285">
        <v>0</v>
      </c>
      <c r="H171" s="83" vm="4286">
        <v>3203</v>
      </c>
      <c r="I171" s="83" vm="4314">
        <v>391</v>
      </c>
      <c r="J171" s="83" vm="4287">
        <v>-391</v>
      </c>
      <c r="K171" s="5">
        <f xml:space="preserve"> SUM( VfM_Metrics_2023_Consol[[#This Row],[Tangible fixed assets: Housing properties at cost (Current period)]],VfM_Metrics_2023_Consol[[#This Row],[Tangible fixed assets Housing properties at valuation (Current period)]] )</f>
        <v>158916</v>
      </c>
      <c r="L171" s="84" vm="7481">
        <v>158916</v>
      </c>
      <c r="M171" s="83">
        <v>0</v>
      </c>
      <c r="N171" s="7">
        <f xml:space="preserve"> IFERROR( VfM_Metrics_2023_Consol[[#This Row],[Total social units developed or newly built units acquired in-year]] / VfM_Metrics_2023_Consol[[#This Row],[Social housing units owned (period end)]], "n/a" )</f>
        <v>1.2204424103737605E-2</v>
      </c>
      <c r="O171" s="5">
        <f xml:space="preserve"> SUM( VfM_Metrics_2023_Consol[[#This Row],[Total social units developed or newly built units acquired in-year (owned)]], VfM_Metrics_2023_Consol[[#This Row],[Total social leasehold units developed or newly built units acquired in-year (owned)]] )</f>
        <v>48</v>
      </c>
      <c r="P171" s="84" vm="4288">
        <v>48</v>
      </c>
      <c r="Q171" s="83">
        <v>0</v>
      </c>
      <c r="R171" s="5">
        <f xml:space="preserve"> SUM( VfM_Metrics_2023_Consol[[#This Row],[Total social housing units owned (Period end)]], VfM_Metrics_2023_Consol[[#This Row],[Total social leasehold units owned (Period end)]] )</f>
        <v>3933</v>
      </c>
      <c r="S171" s="84" vm="4282">
        <v>3782</v>
      </c>
      <c r="T171" s="83" vm="4289">
        <v>151</v>
      </c>
      <c r="U171" s="86">
        <f xml:space="preserve"> IFERROR( VfM_Metrics_2023_Consol[[#This Row],[Total non-social housing units developed or newly built units acquired (owned)]] / VfM_Metrics_2023_Consol[[#This Row],[Total social and non-social housing units owned (Period end)]], "n/a" )</f>
        <v>0</v>
      </c>
      <c r="V17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71" s="83">
        <v>0</v>
      </c>
      <c r="X171" s="83">
        <v>0</v>
      </c>
      <c r="Y171" s="83">
        <v>0</v>
      </c>
      <c r="Z17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3933</v>
      </c>
      <c r="AA171" s="84" vm="4282">
        <v>3782</v>
      </c>
      <c r="AB171" s="83" vm="4289">
        <v>151</v>
      </c>
      <c r="AC171" s="83" vm="4290">
        <v>0</v>
      </c>
      <c r="AD171" s="83" vm="3720">
        <v>0</v>
      </c>
      <c r="AE171" s="7">
        <f xml:space="preserve"> IFERROR( VfM_Metrics_2023_Consol[[#This Row],[Total Net Debt]] / VfM_Metrics_2023_Consol[[#This Row],[Net Book Value of Housing Properties2]], "n/a" )</f>
        <v>0.32829922726471844</v>
      </c>
      <c r="AF17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52172</v>
      </c>
      <c r="AG171" s="84">
        <v>0</v>
      </c>
      <c r="AH171" s="83" vm="7591">
        <v>57491</v>
      </c>
      <c r="AI171" s="83" vm="4291">
        <v>5319</v>
      </c>
      <c r="AJ171" s="83" vm="1675">
        <v>0</v>
      </c>
      <c r="AK171" s="83">
        <v>0</v>
      </c>
      <c r="AL171" s="5">
        <f xml:space="preserve"> SUM( VfM_Metrics_2023_Consol[[#This Row],[Tangible fixed assets: Housing properties at cost (Current period)2]], VfM_Metrics_2023_Consol[[#This Row],[Tangible fixed assets Housing properties at valuation (Current period)2]] )</f>
        <v>158916</v>
      </c>
      <c r="AM171" s="84" vm="7542">
        <v>158916</v>
      </c>
      <c r="AN171" s="83">
        <v>0</v>
      </c>
      <c r="AO171" s="87">
        <f xml:space="preserve"> IFERROR( VfM_Metrics_2023_Consol[[#This Row],[EBITDA MRI]] / VfM_Metrics_2023_Consol[[#This Row],[Total interest]], "n/a" )</f>
        <v>1.4733952702702702</v>
      </c>
      <c r="AP17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3489</v>
      </c>
      <c r="AQ171" s="84" vm="4292">
        <v>4453</v>
      </c>
      <c r="AR171" s="84" vm="4293">
        <v>139</v>
      </c>
      <c r="AS171" s="84" vm="4294">
        <v>3</v>
      </c>
      <c r="AT171" s="84" vm="7164">
        <v>83</v>
      </c>
      <c r="AU171" s="84" vm="7701">
        <v>0</v>
      </c>
      <c r="AV171" s="84" vm="4295">
        <v>73</v>
      </c>
      <c r="AW171" s="84" vm="4296">
        <v>3203</v>
      </c>
      <c r="AX171" s="84" vm="7576">
        <v>2391</v>
      </c>
      <c r="AY171" s="3">
        <f xml:space="preserve"> - SUM( VfM_Metrics_2023_Consol[[#This Row],[Interest capitalised]], VfM_Metrics_2023_Consol[[#This Row],[Interest payable and financing costs]] )</f>
        <v>2368</v>
      </c>
      <c r="AZ171" s="84" vm="4297">
        <v>-391</v>
      </c>
      <c r="BA171" s="83" vm="7602">
        <v>-1977</v>
      </c>
      <c r="BB171" s="8">
        <f xml:space="preserve"> IFERROR( ( VfM_Metrics_2023_Consol[[#This Row],[Total Costs]] / VfM_Metrics_2023_Consol[[#This Row],[Total units for costs]] ) * 1000, "n/a" )</f>
        <v>4341.3802151666232</v>
      </c>
      <c r="BC17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16545</v>
      </c>
      <c r="BD171" s="84" vm="7064">
        <v>5662</v>
      </c>
      <c r="BE171" s="83" vm="4298">
        <v>630</v>
      </c>
      <c r="BF171" s="83" vm="4299">
        <v>3120</v>
      </c>
      <c r="BG171" s="83" vm="4300">
        <v>651</v>
      </c>
      <c r="BH171" s="83" vm="4301">
        <v>2838</v>
      </c>
      <c r="BI171" s="83" vm="4302">
        <v>0</v>
      </c>
      <c r="BJ171" s="83" vm="4296">
        <v>3203</v>
      </c>
      <c r="BK171" s="83" vm="4303">
        <v>174</v>
      </c>
      <c r="BL171" s="83">
        <v>0</v>
      </c>
      <c r="BM171" s="83">
        <v>0</v>
      </c>
      <c r="BN171" s="83" vm="7366">
        <v>122</v>
      </c>
      <c r="BO171" s="83" vm="4304">
        <v>145</v>
      </c>
      <c r="BP171" s="5" vm="4283">
        <f xml:space="preserve"> VfM_Metrics_2023_Consol[[#This Row],[Total social housing units owned and/or managed at period end]]</f>
        <v>3811</v>
      </c>
      <c r="BQ171" s="84" vm="4283">
        <v>3811</v>
      </c>
      <c r="BR171" s="7">
        <f xml:space="preserve"> IFERROR( VfM_Metrics_2023_Consol[[#This Row],[SHL operating surplus / (deficit)]] / VfM_Metrics_2023_Consol[[#This Row],[Turnover from social housing lettings]], "n/a" )</f>
        <v>0.20203743923880443</v>
      </c>
      <c r="BS171" s="5" vm="4305">
        <f xml:space="preserve"> VfM_Metrics_2023_Consol[[#This Row],[Operating surplus/(deficit) (social housing lettings)]]</f>
        <v>3907</v>
      </c>
      <c r="BT171" s="84" vm="4305">
        <v>3907</v>
      </c>
      <c r="BU171" s="5" vm="4306">
        <f xml:space="preserve"> VfM_Metrics_2023_Consol[[#This Row],[Turnover from social housing lettings]]</f>
        <v>19338</v>
      </c>
      <c r="BV171" s="84" vm="4306">
        <v>19338</v>
      </c>
      <c r="BW171" s="7">
        <f xml:space="preserve"> IFERROR( VfM_Metrics_2023_Consol[[#This Row],[Net operating surplus]] / VfM_Metrics_2023_Consol[[#This Row],[Overall turnover]], "n/a" )</f>
        <v>0.20154277699859749</v>
      </c>
      <c r="BX171" s="5">
        <f xml:space="preserve"> SUM( VfM_Metrics_2023_Consol[[#This Row],[Operating surplus/(deficit) (overall)2]], - VfM_Metrics_2023_Consol[[#This Row],[Gain/(loss) on disposal of fixed assets (housing properties)2]], - VfM_Metrics_2023_Consol[[#This Row],[Gain/(loss) on disposal of fixed assets (other)2]] )</f>
        <v>4311</v>
      </c>
      <c r="BY171" s="84" vm="4292">
        <v>4453</v>
      </c>
      <c r="BZ171" s="83" vm="4293">
        <v>139</v>
      </c>
      <c r="CA171" s="83" vm="4294">
        <v>3</v>
      </c>
      <c r="CB171" s="5" vm="7586">
        <f xml:space="preserve"> VfM_Metrics_2023_Consol[[#This Row],[Turnover (overall)]]</f>
        <v>21390</v>
      </c>
      <c r="CC171" s="84" vm="7586">
        <v>21390</v>
      </c>
      <c r="CD171" s="7">
        <f xml:space="preserve"> IFERROR( VfM_Metrics_2023_Consol[[#This Row],[Operating surplus including from JVs]] / VfM_Metrics_2023_Consol[[#This Row],[Net assets]], "n/a" )</f>
        <v>2.6553369111508646E-2</v>
      </c>
      <c r="CE171" s="5">
        <f xml:space="preserve"> SUM( VfM_Metrics_2023_Consol[[#This Row],[Operating surplus/(deficit) (overall)3]], VfM_Metrics_2023_Consol[[#This Row],[Share of operating surplus/(deficit) in joint ventures or associates]] )</f>
        <v>4453</v>
      </c>
      <c r="CF171" s="84" vm="4292">
        <v>4453</v>
      </c>
      <c r="CG171" s="83">
        <v>0</v>
      </c>
      <c r="CH171" s="5" vm="4308">
        <f xml:space="preserve"> VfM_Metrics_2023_Consol[[#This Row],[Total assets less current liabilities]]</f>
        <v>167700</v>
      </c>
      <c r="CI171" s="84" vm="4308">
        <v>167700</v>
      </c>
      <c r="CJ171" s="71" vm="4282">
        <f xml:space="preserve"> VfM_Metrics_2023_Consol[[#This Row],[Total social housing units owned (Period end)]]</f>
        <v>3782</v>
      </c>
      <c r="CK171" s="103">
        <v>0</v>
      </c>
      <c r="CL171" s="6">
        <f xml:space="preserve"> -- ( VfM_Metrics_2023_Consol[[#This Row],[% Supported housing (excl. HOP)]] &gt; 0.3 )</f>
        <v>0</v>
      </c>
      <c r="CM171" s="103">
        <v>0.26466684364215554</v>
      </c>
      <c r="CN171" s="6">
        <f xml:space="preserve"> -- ( VfM_Metrics_2023_Consol[[#This Row],[% Housing for older people]] &gt; 0.3 )</f>
        <v>0</v>
      </c>
      <c r="CO171" s="103">
        <f xml:space="preserve"> VfM_Metrics_2023_Consol[[#This Row],[% Supported housing (excl. HOP)]] + VfM_Metrics_2023_Consol[[#This Row],[% Housing for older people]]</f>
        <v>0.26466684364215554</v>
      </c>
      <c r="CP171" s="6">
        <f xml:space="preserve"> -- ( VfM_Metrics_2023_Consol[[#This Row],[SH specialist in RSH analysis]] + VfM_Metrics_2023_Consol[[#This Row],[OP specialist in RSH analysis]] &gt; 0 )</f>
        <v>0</v>
      </c>
      <c r="CQ171" s="10">
        <f xml:space="preserve"> -- ( VfM_Metrics_2023_Consol[[#This Row],[% SH and OP]] &gt; 0.3 )</f>
        <v>0</v>
      </c>
      <c r="CR171" s="104" t="s">
        <v>143</v>
      </c>
      <c r="CS171" s="124"/>
      <c r="CT171" s="105" t="s">
        <v>151</v>
      </c>
      <c r="CU17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171" s="85">
        <v>0</v>
      </c>
      <c r="CW171" s="85">
        <v>0</v>
      </c>
      <c r="CX171" s="85">
        <v>1</v>
      </c>
      <c r="CY171" s="85">
        <v>0</v>
      </c>
      <c r="CZ171" s="85">
        <v>0</v>
      </c>
      <c r="DA171" s="85">
        <v>0</v>
      </c>
      <c r="DB171" s="85">
        <v>0</v>
      </c>
      <c r="DC171" s="85">
        <v>0</v>
      </c>
      <c r="DD171" s="85">
        <v>0</v>
      </c>
      <c r="DE171" s="13">
        <v>0.97511902715076015</v>
      </c>
    </row>
    <row r="172" spans="1:109" x14ac:dyDescent="0.25">
      <c r="A172" s="4" t="s" vm="247">
        <v>468</v>
      </c>
      <c r="B172" s="2" t="s" vm="162">
        <v>469</v>
      </c>
      <c r="C172" s="72" vm="538">
        <v>45016</v>
      </c>
      <c r="D172" s="7">
        <f>IFERROR( VfM_Metrics_2023_Consol[[#This Row],[Reinvestment Spend]] / VfM_Metrics_2023_Consol[[#This Row],[Net Book Value of Housing Properties]], "n/a" )</f>
        <v>4.3633739675001393E-2</v>
      </c>
      <c r="E17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206320</v>
      </c>
      <c r="F172" s="83" vm="1661">
        <v>164834</v>
      </c>
      <c r="G172" s="83" vm="1662">
        <v>0</v>
      </c>
      <c r="H172" s="83" vm="1663">
        <v>30835</v>
      </c>
      <c r="I172" s="83" vm="1664">
        <v>10651</v>
      </c>
      <c r="J172" s="83" vm="1665">
        <v>0</v>
      </c>
      <c r="K172" s="5">
        <f xml:space="preserve"> SUM( VfM_Metrics_2023_Consol[[#This Row],[Tangible fixed assets: Housing properties at cost (Current period)]],VfM_Metrics_2023_Consol[[#This Row],[Tangible fixed assets Housing properties at valuation (Current period)]] )</f>
        <v>4728451</v>
      </c>
      <c r="L172" s="84" vm="1666">
        <v>4728451</v>
      </c>
      <c r="M172" s="83" vm="1667">
        <v>0</v>
      </c>
      <c r="N172" s="7">
        <f xml:space="preserve"> IFERROR( VfM_Metrics_2023_Consol[[#This Row],[Total social units developed or newly built units acquired in-year]] / VfM_Metrics_2023_Consol[[#This Row],[Social housing units owned (period end)]], "n/a" )</f>
        <v>1.085759591243448E-2</v>
      </c>
      <c r="O172" s="5">
        <f xml:space="preserve"> SUM( VfM_Metrics_2023_Consol[[#This Row],[Total social units developed or newly built units acquired in-year (owned)]], VfM_Metrics_2023_Consol[[#This Row],[Total social leasehold units developed or newly built units acquired in-year (owned)]] )</f>
        <v>493</v>
      </c>
      <c r="P172" s="84" vm="8065">
        <v>493</v>
      </c>
      <c r="Q172" s="83" vm="1668">
        <v>0</v>
      </c>
      <c r="R172" s="5">
        <f xml:space="preserve"> SUM( VfM_Metrics_2023_Consol[[#This Row],[Total social housing units owned (Period end)]], VfM_Metrics_2023_Consol[[#This Row],[Total social leasehold units owned (Period end)]] )</f>
        <v>45406</v>
      </c>
      <c r="S172" s="84" vm="1660">
        <v>45406</v>
      </c>
      <c r="T172" s="83" vm="1669">
        <v>0</v>
      </c>
      <c r="U172" s="86">
        <f xml:space="preserve"> IFERROR( VfM_Metrics_2023_Consol[[#This Row],[Total non-social housing units developed or newly built units acquired (owned)]] / VfM_Metrics_2023_Consol[[#This Row],[Total social and non-social housing units owned (Period end)]], "n/a" )</f>
        <v>6.1975322553383294E-4</v>
      </c>
      <c r="V17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33</v>
      </c>
      <c r="W172" s="83" vm="8064">
        <v>0</v>
      </c>
      <c r="X172" s="83" vm="1670">
        <v>0</v>
      </c>
      <c r="Y172" s="83" vm="1671">
        <v>33</v>
      </c>
      <c r="Z17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53247</v>
      </c>
      <c r="AA172" s="84" vm="1660">
        <v>45406</v>
      </c>
      <c r="AB172" s="83" vm="8295">
        <v>0</v>
      </c>
      <c r="AC172" s="83" vm="8227">
        <v>656</v>
      </c>
      <c r="AD172" s="83" vm="1843">
        <v>7185</v>
      </c>
      <c r="AE172" s="7">
        <f xml:space="preserve"> IFERROR( VfM_Metrics_2023_Consol[[#This Row],[Total Net Debt]] / VfM_Metrics_2023_Consol[[#This Row],[Net Book Value of Housing Properties2]], "n/a" )</f>
        <v>0.36875501089045865</v>
      </c>
      <c r="AF17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1743640</v>
      </c>
      <c r="AG172" s="84" vm="8255">
        <v>75457</v>
      </c>
      <c r="AH172" s="83" vm="8280">
        <v>1861218</v>
      </c>
      <c r="AI172" s="83" vm="1674">
        <v>193458</v>
      </c>
      <c r="AJ172" s="83" vm="1675">
        <v>0</v>
      </c>
      <c r="AK172" s="83" vm="1676">
        <v>423</v>
      </c>
      <c r="AL172" s="5">
        <f xml:space="preserve"> SUM( VfM_Metrics_2023_Consol[[#This Row],[Tangible fixed assets: Housing properties at cost (Current period)2]], VfM_Metrics_2023_Consol[[#This Row],[Tangible fixed assets Housing properties at valuation (Current period)2]] )</f>
        <v>4728451</v>
      </c>
      <c r="AM172" s="84" vm="8187">
        <v>4728451</v>
      </c>
      <c r="AN172" s="83" vm="1667">
        <v>0</v>
      </c>
      <c r="AO172" s="87">
        <f xml:space="preserve"> IFERROR( VfM_Metrics_2023_Consol[[#This Row],[EBITDA MRI]] / VfM_Metrics_2023_Consol[[#This Row],[Total interest]], "n/a" )</f>
        <v>0.8207930620134789</v>
      </c>
      <c r="AP17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78554</v>
      </c>
      <c r="AQ172" s="84" vm="1677">
        <v>100727</v>
      </c>
      <c r="AR172" s="84" vm="1678">
        <v>38211</v>
      </c>
      <c r="AS172" s="84" vm="1679">
        <v>0</v>
      </c>
      <c r="AT172" s="84" vm="1937">
        <v>5874</v>
      </c>
      <c r="AU172" s="84" vm="7867">
        <v>1303</v>
      </c>
      <c r="AV172" s="84" vm="1680">
        <v>5539</v>
      </c>
      <c r="AW172" s="84" vm="8252">
        <v>30835</v>
      </c>
      <c r="AX172" s="84" vm="1791">
        <v>48511</v>
      </c>
      <c r="AY172" s="3">
        <f xml:space="preserve"> - SUM( VfM_Metrics_2023_Consol[[#This Row],[Interest capitalised]], VfM_Metrics_2023_Consol[[#This Row],[Interest payable and financing costs]] )</f>
        <v>95705</v>
      </c>
      <c r="AZ172" s="84" vm="8047">
        <v>-11133</v>
      </c>
      <c r="BA172" s="83" vm="1683">
        <v>-84572</v>
      </c>
      <c r="BB172" s="8">
        <f xml:space="preserve"> IFERROR( ( VfM_Metrics_2023_Consol[[#This Row],[Total Costs]] / VfM_Metrics_2023_Consol[[#This Row],[Total units for costs]] ) * 1000, "n/a" )</f>
        <v>5397.0746628753604</v>
      </c>
      <c r="BC17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250543</v>
      </c>
      <c r="BD172" s="84" vm="8279">
        <v>62544</v>
      </c>
      <c r="BE172" s="83" vm="8205">
        <v>54551</v>
      </c>
      <c r="BF172" s="83" vm="8013">
        <v>37668</v>
      </c>
      <c r="BG172" s="83" vm="1684">
        <v>23432</v>
      </c>
      <c r="BH172" s="83" vm="1685">
        <v>1379</v>
      </c>
      <c r="BI172" s="83" vm="7866">
        <v>4989</v>
      </c>
      <c r="BJ172" s="83" vm="1681">
        <v>30835</v>
      </c>
      <c r="BK172" s="83" vm="1686">
        <v>1880</v>
      </c>
      <c r="BL172" s="83" vm="8278">
        <v>9168</v>
      </c>
      <c r="BM172" s="83" vm="1687">
        <v>4314</v>
      </c>
      <c r="BN172" s="83" vm="1688">
        <v>5182</v>
      </c>
      <c r="BO172" s="83" vm="1689">
        <v>14601</v>
      </c>
      <c r="BP172" s="5" vm="8183">
        <f xml:space="preserve"> VfM_Metrics_2023_Consol[[#This Row],[Total social housing units owned and/or managed at period end]]</f>
        <v>46422</v>
      </c>
      <c r="BQ172" s="84" vm="8183">
        <v>46422</v>
      </c>
      <c r="BR172" s="7">
        <f xml:space="preserve"> IFERROR( VfM_Metrics_2023_Consol[[#This Row],[SHL operating surplus / (deficit)]] / VfM_Metrics_2023_Consol[[#This Row],[Turnover from social housing lettings]], "n/a" )</f>
        <v>0.26684309219425884</v>
      </c>
      <c r="BS172" s="5" vm="1690">
        <f xml:space="preserve"> VfM_Metrics_2023_Consol[[#This Row],[Operating surplus/(deficit) (social housing lettings)]]</f>
        <v>85809</v>
      </c>
      <c r="BT172" s="84" vm="1690">
        <v>85809</v>
      </c>
      <c r="BU172" s="5" vm="1691">
        <f xml:space="preserve"> VfM_Metrics_2023_Consol[[#This Row],[Turnover from social housing lettings]]</f>
        <v>321571</v>
      </c>
      <c r="BV172" s="84" vm="1691">
        <v>321571</v>
      </c>
      <c r="BW172" s="7">
        <f xml:space="preserve"> IFERROR( VfM_Metrics_2023_Consol[[#This Row],[Net operating surplus]] / VfM_Metrics_2023_Consol[[#This Row],[Overall turnover]], "n/a" )</f>
        <v>0.16077936172784577</v>
      </c>
      <c r="BX172" s="5">
        <f xml:space="preserve"> SUM( VfM_Metrics_2023_Consol[[#This Row],[Operating surplus/(deficit) (overall)2]], - VfM_Metrics_2023_Consol[[#This Row],[Gain/(loss) on disposal of fixed assets (housing properties)2]], - VfM_Metrics_2023_Consol[[#This Row],[Gain/(loss) on disposal of fixed assets (other)2]] )</f>
        <v>62516</v>
      </c>
      <c r="BY172" s="84" vm="8302">
        <v>100727</v>
      </c>
      <c r="BZ172" s="83" vm="1632">
        <v>38211</v>
      </c>
      <c r="CA172" s="83" vm="8011">
        <v>0</v>
      </c>
      <c r="CB172" s="5" vm="8216">
        <f xml:space="preserve"> VfM_Metrics_2023_Consol[[#This Row],[Turnover (overall)]]</f>
        <v>388831</v>
      </c>
      <c r="CC172" s="84" vm="8216">
        <v>388831</v>
      </c>
      <c r="CD172" s="7">
        <f xml:space="preserve"> IFERROR( VfM_Metrics_2023_Consol[[#This Row],[Operating surplus including from JVs]] / VfM_Metrics_2023_Consol[[#This Row],[Net assets]], "n/a" )</f>
        <v>2.1920971860483661E-2</v>
      </c>
      <c r="CE172" s="5">
        <f xml:space="preserve"> SUM( VfM_Metrics_2023_Consol[[#This Row],[Operating surplus/(deficit) (overall)3]], VfM_Metrics_2023_Consol[[#This Row],[Share of operating surplus/(deficit) in joint ventures or associates]] )</f>
        <v>109137</v>
      </c>
      <c r="CF172" s="84" vm="1677">
        <v>100727</v>
      </c>
      <c r="CG172" s="83" vm="7128">
        <v>8410</v>
      </c>
      <c r="CH172" s="5" vm="1693">
        <f xml:space="preserve"> VfM_Metrics_2023_Consol[[#This Row],[Total assets less current liabilities]]</f>
        <v>4978657</v>
      </c>
      <c r="CI172" s="84" vm="1693">
        <v>4978657</v>
      </c>
      <c r="CJ172" s="71" vm="1660">
        <f xml:space="preserve"> VfM_Metrics_2023_Consol[[#This Row],[Total social housing units owned (Period end)]]</f>
        <v>45406</v>
      </c>
      <c r="CK172" s="103">
        <v>4.2970985779069257E-2</v>
      </c>
      <c r="CL172" s="6">
        <f xml:space="preserve"> -- ( VfM_Metrics_2023_Consol[[#This Row],[% Supported housing (excl. HOP)]] &gt; 0.3 )</f>
        <v>0</v>
      </c>
      <c r="CM172" s="103">
        <v>7.1478888742130056E-2</v>
      </c>
      <c r="CN172" s="6">
        <f xml:space="preserve"> -- ( VfM_Metrics_2023_Consol[[#This Row],[% Housing for older people]] &gt; 0.3 )</f>
        <v>0</v>
      </c>
      <c r="CO172" s="103">
        <f xml:space="preserve"> VfM_Metrics_2023_Consol[[#This Row],[% Supported housing (excl. HOP)]] + VfM_Metrics_2023_Consol[[#This Row],[% Housing for older people]]</f>
        <v>0.11444987452119931</v>
      </c>
      <c r="CP172" s="6">
        <f xml:space="preserve"> -- ( VfM_Metrics_2023_Consol[[#This Row],[SH specialist in RSH analysis]] + VfM_Metrics_2023_Consol[[#This Row],[OP specialist in RSH analysis]] &gt; 0 )</f>
        <v>0</v>
      </c>
      <c r="CQ172" s="10">
        <f xml:space="preserve"> -- ( VfM_Metrics_2023_Consol[[#This Row],[% SH and OP]] &gt; 0.3 )</f>
        <v>0</v>
      </c>
      <c r="CR172" s="104" t="s">
        <v>143</v>
      </c>
      <c r="CS172" s="124" t="s">
        <v>144</v>
      </c>
      <c r="CT172" s="105"/>
      <c r="CU17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72" s="85">
        <v>0.47502487562189055</v>
      </c>
      <c r="CW172" s="85">
        <v>0.19610834715312328</v>
      </c>
      <c r="CX172" s="85">
        <v>2.211166390270868E-5</v>
      </c>
      <c r="CY172" s="85">
        <v>0.22606965174129354</v>
      </c>
      <c r="CZ172" s="85">
        <v>1.2824765063571034E-3</v>
      </c>
      <c r="DA172" s="85">
        <v>0.10122719734660034</v>
      </c>
      <c r="DB172" s="85">
        <v>2.211166390270868E-5</v>
      </c>
      <c r="DC172" s="85">
        <v>0</v>
      </c>
      <c r="DD172" s="85">
        <v>2.4322830292979546E-4</v>
      </c>
      <c r="DE172" s="13">
        <v>1.0708440695131161</v>
      </c>
    </row>
    <row r="173" spans="1:109" x14ac:dyDescent="0.25">
      <c r="A173" s="4" t="s" vm="201">
        <v>470</v>
      </c>
      <c r="B173" s="2" t="s" vm="163">
        <v>471</v>
      </c>
      <c r="C173" s="72" vm="496">
        <v>45016</v>
      </c>
      <c r="D173" s="7">
        <f>IFERROR( VfM_Metrics_2023_Consol[[#This Row],[Reinvestment Spend]] / VfM_Metrics_2023_Consol[[#This Row],[Net Book Value of Housing Properties]], "n/a" )</f>
        <v>2.7409958753242335E-2</v>
      </c>
      <c r="E17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3223</v>
      </c>
      <c r="F173" s="83" vm="637">
        <v>403</v>
      </c>
      <c r="G173" s="83" vm="737">
        <v>0</v>
      </c>
      <c r="H173" s="83" vm="9140">
        <v>2820</v>
      </c>
      <c r="I173" s="83" vm="9130">
        <v>0</v>
      </c>
      <c r="J173" s="83" vm="9183">
        <v>0</v>
      </c>
      <c r="K173" s="5">
        <f xml:space="preserve"> SUM( VfM_Metrics_2023_Consol[[#This Row],[Tangible fixed assets: Housing properties at cost (Current period)]],VfM_Metrics_2023_Consol[[#This Row],[Tangible fixed assets Housing properties at valuation (Current period)]] )</f>
        <v>117585</v>
      </c>
      <c r="L173" s="84" vm="9027">
        <v>117585</v>
      </c>
      <c r="M173" s="83">
        <v>0</v>
      </c>
      <c r="N173" s="7">
        <f xml:space="preserve"> IFERROR( VfM_Metrics_2023_Consol[[#This Row],[Total social units developed or newly built units acquired in-year]] / VfM_Metrics_2023_Consol[[#This Row],[Social housing units owned (period end)]], "n/a" )</f>
        <v>0</v>
      </c>
      <c r="O173" s="5">
        <f xml:space="preserve"> SUM( VfM_Metrics_2023_Consol[[#This Row],[Total social units developed or newly built units acquired in-year (owned)]], VfM_Metrics_2023_Consol[[#This Row],[Total social leasehold units developed or newly built units acquired in-year (owned)]] )</f>
        <v>0</v>
      </c>
      <c r="P173" s="84" vm="9128">
        <v>0</v>
      </c>
      <c r="Q173" s="83">
        <v>0</v>
      </c>
      <c r="R173" s="5">
        <f xml:space="preserve"> SUM( VfM_Metrics_2023_Consol[[#This Row],[Total social housing units owned (Period end)]], VfM_Metrics_2023_Consol[[#This Row],[Total social leasehold units owned (Period end)]] )</f>
        <v>1977</v>
      </c>
      <c r="S173" s="84" vm="9192">
        <v>1873</v>
      </c>
      <c r="T173" s="83" vm="9084">
        <v>104</v>
      </c>
      <c r="U173" s="86">
        <f xml:space="preserve"> IFERROR( VfM_Metrics_2023_Consol[[#This Row],[Total non-social housing units developed or newly built units acquired (owned)]] / VfM_Metrics_2023_Consol[[#This Row],[Total social and non-social housing units owned (Period end)]], "n/a" )</f>
        <v>1.2042147516307075E-2</v>
      </c>
      <c r="V17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24</v>
      </c>
      <c r="W173" s="83" vm="778">
        <v>16</v>
      </c>
      <c r="X173" s="83">
        <v>0</v>
      </c>
      <c r="Y173" s="83" vm="9083">
        <v>8</v>
      </c>
      <c r="Z17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1993</v>
      </c>
      <c r="AA173" s="84" vm="9118">
        <v>1873</v>
      </c>
      <c r="AB173" s="83" vm="9196">
        <v>104</v>
      </c>
      <c r="AC173" s="83" vm="638">
        <v>16</v>
      </c>
      <c r="AD173" s="83" vm="9024">
        <v>0</v>
      </c>
      <c r="AE173" s="7">
        <f xml:space="preserve"> IFERROR( VfM_Metrics_2023_Consol[[#This Row],[Total Net Debt]] / VfM_Metrics_2023_Consol[[#This Row],[Net Book Value of Housing Properties2]], "n/a" )</f>
        <v>-0.13409023259769529</v>
      </c>
      <c r="AF17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-15767</v>
      </c>
      <c r="AG173" s="84">
        <v>0</v>
      </c>
      <c r="AH173" s="83">
        <v>0</v>
      </c>
      <c r="AI173" s="83" vm="9023">
        <v>15767</v>
      </c>
      <c r="AJ173" s="83" vm="1675">
        <v>0</v>
      </c>
      <c r="AK173" s="83">
        <v>0</v>
      </c>
      <c r="AL173" s="5">
        <f xml:space="preserve"> SUM( VfM_Metrics_2023_Consol[[#This Row],[Tangible fixed assets: Housing properties at cost (Current period)2]], VfM_Metrics_2023_Consol[[#This Row],[Tangible fixed assets Housing properties at valuation (Current period)2]] )</f>
        <v>117585</v>
      </c>
      <c r="AM173" s="84" vm="9188">
        <v>117585</v>
      </c>
      <c r="AN173" s="83">
        <v>0</v>
      </c>
      <c r="AO173" s="87">
        <f xml:space="preserve"> IFERROR( VfM_Metrics_2023_Consol[[#This Row],[EBITDA MRI]] / VfM_Metrics_2023_Consol[[#This Row],[Total interest]], "n/a" )</f>
        <v>-28.438931297709924</v>
      </c>
      <c r="AP17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-7451</v>
      </c>
      <c r="AQ173" s="84" vm="9064">
        <v>-7484</v>
      </c>
      <c r="AR173" s="84" vm="730">
        <v>-185</v>
      </c>
      <c r="AS173" s="84">
        <v>0</v>
      </c>
      <c r="AT173" s="84" vm="641">
        <v>125</v>
      </c>
      <c r="AU173" s="84" vm="642">
        <v>0</v>
      </c>
      <c r="AV173" s="84" vm="603">
        <v>264</v>
      </c>
      <c r="AW173" s="84" vm="9054">
        <v>2820</v>
      </c>
      <c r="AX173" s="84" vm="643">
        <v>2529</v>
      </c>
      <c r="AY173" s="3">
        <f xml:space="preserve"> - SUM( VfM_Metrics_2023_Consol[[#This Row],[Interest capitalised]], VfM_Metrics_2023_Consol[[#This Row],[Interest payable and financing costs]] )</f>
        <v>262</v>
      </c>
      <c r="AZ173" s="84">
        <v>0</v>
      </c>
      <c r="BA173" s="83" vm="644">
        <v>-262</v>
      </c>
      <c r="BB173" s="8">
        <f xml:space="preserve"> IFERROR( ( VfM_Metrics_2023_Consol[[#This Row],[Total Costs]] / VfM_Metrics_2023_Consol[[#This Row],[Total units for costs]] ) * 1000, "n/a" )</f>
        <v>27800.320341697814</v>
      </c>
      <c r="BC17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52070</v>
      </c>
      <c r="BD173" s="84" vm="645">
        <v>9418</v>
      </c>
      <c r="BE173" s="83" vm="646">
        <v>8930</v>
      </c>
      <c r="BF173" s="83" vm="647">
        <v>3379</v>
      </c>
      <c r="BG173" s="83" vm="648">
        <v>0</v>
      </c>
      <c r="BH173" s="83" vm="649">
        <v>589</v>
      </c>
      <c r="BI173" s="83" vm="650">
        <v>0</v>
      </c>
      <c r="BJ173" s="83" vm="9184">
        <v>2820</v>
      </c>
      <c r="BK173" s="83" vm="651">
        <v>613</v>
      </c>
      <c r="BL173" s="83">
        <v>0</v>
      </c>
      <c r="BM173" s="83">
        <v>0</v>
      </c>
      <c r="BN173" s="83">
        <v>0</v>
      </c>
      <c r="BO173" s="83" vm="9044">
        <v>26321</v>
      </c>
      <c r="BP173" s="5" vm="9204">
        <f xml:space="preserve"> VfM_Metrics_2023_Consol[[#This Row],[Total social housing units owned and/or managed at period end]]</f>
        <v>1873</v>
      </c>
      <c r="BQ173" s="84" vm="9204">
        <v>1873</v>
      </c>
      <c r="BR173" s="7">
        <f xml:space="preserve"> IFERROR( VfM_Metrics_2023_Consol[[#This Row],[SHL operating surplus / (deficit)]] / VfM_Metrics_2023_Consol[[#This Row],[Turnover from social housing lettings]], "n/a" )</f>
        <v>0.35897679500273139</v>
      </c>
      <c r="BS173" s="5" vm="654">
        <f xml:space="preserve"> VfM_Metrics_2023_Consol[[#This Row],[Operating surplus/(deficit) (social housing lettings)]]</f>
        <v>15114</v>
      </c>
      <c r="BT173" s="84" vm="654">
        <v>15114</v>
      </c>
      <c r="BU173" s="5" vm="605">
        <f xml:space="preserve"> VfM_Metrics_2023_Consol[[#This Row],[Turnover from social housing lettings]]</f>
        <v>42103</v>
      </c>
      <c r="BV173" s="84" vm="605">
        <v>42103</v>
      </c>
      <c r="BW173" s="7">
        <f xml:space="preserve"> IFERROR( VfM_Metrics_2023_Consol[[#This Row],[Net operating surplus]] / VfM_Metrics_2023_Consol[[#This Row],[Overall turnover]], "n/a" )</f>
        <v>-0.14421481071682604</v>
      </c>
      <c r="BX173" s="5">
        <f xml:space="preserve"> SUM( VfM_Metrics_2023_Consol[[#This Row],[Operating surplus/(deficit) (overall)2]], - VfM_Metrics_2023_Consol[[#This Row],[Gain/(loss) on disposal of fixed assets (housing properties)2]], - VfM_Metrics_2023_Consol[[#This Row],[Gain/(loss) on disposal of fixed assets (other)2]] )</f>
        <v>-7299</v>
      </c>
      <c r="BY173" s="84" vm="9040">
        <v>-7484</v>
      </c>
      <c r="BZ173" s="83" vm="640">
        <v>-185</v>
      </c>
      <c r="CA173" s="83">
        <v>0</v>
      </c>
      <c r="CB173" s="5" vm="655">
        <f xml:space="preserve"> VfM_Metrics_2023_Consol[[#This Row],[Turnover (overall)]]</f>
        <v>50612</v>
      </c>
      <c r="CC173" s="84" vm="655">
        <v>50612</v>
      </c>
      <c r="CD173" s="7">
        <f xml:space="preserve"> IFERROR( VfM_Metrics_2023_Consol[[#This Row],[Operating surplus including from JVs]] / VfM_Metrics_2023_Consol[[#This Row],[Net assets]], "n/a" )</f>
        <v>-5.6700406085217286E-2</v>
      </c>
      <c r="CE173" s="5">
        <f xml:space="preserve"> SUM( VfM_Metrics_2023_Consol[[#This Row],[Operating surplus/(deficit) (overall)3]], VfM_Metrics_2023_Consol[[#This Row],[Share of operating surplus/(deficit) in joint ventures or associates]] )</f>
        <v>-7484</v>
      </c>
      <c r="CF173" s="84" vm="639">
        <v>-7484</v>
      </c>
      <c r="CG173" s="83">
        <v>0</v>
      </c>
      <c r="CH173" s="5" vm="963">
        <f xml:space="preserve"> VfM_Metrics_2023_Consol[[#This Row],[Total assets less current liabilities]]</f>
        <v>131992</v>
      </c>
      <c r="CI173" s="84" vm="963">
        <v>131992</v>
      </c>
      <c r="CJ173" s="71" vm="9192">
        <f xml:space="preserve"> VfM_Metrics_2023_Consol[[#This Row],[Total social housing units owned (Period end)]]</f>
        <v>1873</v>
      </c>
      <c r="CK173" s="103">
        <v>0</v>
      </c>
      <c r="CL173" s="6">
        <f xml:space="preserve"> -- ( VfM_Metrics_2023_Consol[[#This Row],[% Supported housing (excl. HOP)]] &gt; 0.3 )</f>
        <v>0</v>
      </c>
      <c r="CM173" s="103">
        <v>0.60794780545670224</v>
      </c>
      <c r="CN173" s="6">
        <f xml:space="preserve"> -- ( VfM_Metrics_2023_Consol[[#This Row],[% Housing for older people]] &gt; 0.3 )</f>
        <v>1</v>
      </c>
      <c r="CO173" s="103">
        <f xml:space="preserve"> VfM_Metrics_2023_Consol[[#This Row],[% Supported housing (excl. HOP)]] + VfM_Metrics_2023_Consol[[#This Row],[% Housing for older people]]</f>
        <v>0.60794780545670224</v>
      </c>
      <c r="CP173" s="6">
        <f xml:space="preserve"> -- ( VfM_Metrics_2023_Consol[[#This Row],[SH specialist in RSH analysis]] + VfM_Metrics_2023_Consol[[#This Row],[OP specialist in RSH analysis]] &gt; 0 )</f>
        <v>1</v>
      </c>
      <c r="CQ173" s="10">
        <f xml:space="preserve"> -- ( VfM_Metrics_2023_Consol[[#This Row],[% SH and OP]] &gt; 0.3 )</f>
        <v>1</v>
      </c>
      <c r="CR173" s="104" t="s">
        <v>143</v>
      </c>
      <c r="CS173" s="124" t="s">
        <v>144</v>
      </c>
      <c r="CT173" s="105"/>
      <c r="CU17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73" s="85">
        <v>3.7100949094046591E-2</v>
      </c>
      <c r="CW173" s="85">
        <v>0.16134598792062121</v>
      </c>
      <c r="CX173" s="85">
        <v>0.22433132010353754</v>
      </c>
      <c r="CY173" s="85">
        <v>8.8869715271786026E-2</v>
      </c>
      <c r="CZ173" s="85">
        <v>6.9887834339948232E-2</v>
      </c>
      <c r="DA173" s="85">
        <v>7.2476272648835202E-2</v>
      </c>
      <c r="DB173" s="85">
        <v>8.1104400345125102E-2</v>
      </c>
      <c r="DC173" s="85">
        <v>0.16307161345987919</v>
      </c>
      <c r="DD173" s="85">
        <v>0.10181190681622088</v>
      </c>
      <c r="DE173" s="13">
        <v>0.97946148618383755</v>
      </c>
    </row>
    <row r="174" spans="1:109" x14ac:dyDescent="0.25">
      <c r="A174" s="4" t="s" vm="314">
        <v>472</v>
      </c>
      <c r="B174" s="2" t="s" vm="164">
        <v>473</v>
      </c>
      <c r="C174" s="72" vm="548">
        <v>45016</v>
      </c>
      <c r="D174" s="7">
        <f>IFERROR( VfM_Metrics_2023_Consol[[#This Row],[Reinvestment Spend]] / VfM_Metrics_2023_Consol[[#This Row],[Net Book Value of Housing Properties]], "n/a" )</f>
        <v>4.0164625990328225E-2</v>
      </c>
      <c r="E17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9759</v>
      </c>
      <c r="F174" s="83" vm="3828">
        <v>7373</v>
      </c>
      <c r="G174" s="83" vm="3829">
        <v>0</v>
      </c>
      <c r="H174" s="83" vm="3830">
        <v>2268</v>
      </c>
      <c r="I174" s="83" vm="3831">
        <v>118</v>
      </c>
      <c r="J174" s="83" vm="7443">
        <v>0</v>
      </c>
      <c r="K174" s="5">
        <f xml:space="preserve"> SUM( VfM_Metrics_2023_Consol[[#This Row],[Tangible fixed assets: Housing properties at cost (Current period)]],VfM_Metrics_2023_Consol[[#This Row],[Tangible fixed assets Housing properties at valuation (Current period)]] )</f>
        <v>242975</v>
      </c>
      <c r="L174" s="84" vm="3832">
        <v>242975</v>
      </c>
      <c r="M174" s="83">
        <v>0</v>
      </c>
      <c r="N174" s="7">
        <f xml:space="preserve"> IFERROR( VfM_Metrics_2023_Consol[[#This Row],[Total social units developed or newly built units acquired in-year]] / VfM_Metrics_2023_Consol[[#This Row],[Social housing units owned (period end)]], "n/a" )</f>
        <v>1.2779552715654952E-2</v>
      </c>
      <c r="O174" s="5">
        <f xml:space="preserve"> SUM( VfM_Metrics_2023_Consol[[#This Row],[Total social units developed or newly built units acquired in-year (owned)]], VfM_Metrics_2023_Consol[[#This Row],[Total social leasehold units developed or newly built units acquired in-year (owned)]] )</f>
        <v>40</v>
      </c>
      <c r="P174" s="84" vm="3833">
        <v>40</v>
      </c>
      <c r="Q174" s="83">
        <v>0</v>
      </c>
      <c r="R174" s="5">
        <f xml:space="preserve"> SUM( VfM_Metrics_2023_Consol[[#This Row],[Total social housing units owned (Period end)]], VfM_Metrics_2023_Consol[[#This Row],[Total social leasehold units owned (Period end)]] )</f>
        <v>3130</v>
      </c>
      <c r="S174" s="84" vm="3826">
        <v>3072</v>
      </c>
      <c r="T174" s="83" vm="3834">
        <v>58</v>
      </c>
      <c r="U174" s="86">
        <f xml:space="preserve"> IFERROR( VfM_Metrics_2023_Consol[[#This Row],[Total non-social housing units developed or newly built units acquired (owned)]] / VfM_Metrics_2023_Consol[[#This Row],[Total social and non-social housing units owned (Period end)]], "n/a" )</f>
        <v>0</v>
      </c>
      <c r="V17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74" s="83">
        <v>0</v>
      </c>
      <c r="X174" s="83">
        <v>0</v>
      </c>
      <c r="Y174" s="83">
        <v>0</v>
      </c>
      <c r="Z17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3131</v>
      </c>
      <c r="AA174" s="84" vm="3826">
        <v>3072</v>
      </c>
      <c r="AB174" s="83" vm="3834">
        <v>58</v>
      </c>
      <c r="AC174" s="83" vm="4564">
        <v>1</v>
      </c>
      <c r="AD174" s="83" vm="7441">
        <v>0</v>
      </c>
      <c r="AE174" s="7">
        <f xml:space="preserve"> IFERROR( VfM_Metrics_2023_Consol[[#This Row],[Total Net Debt]] / VfM_Metrics_2023_Consol[[#This Row],[Net Book Value of Housing Properties2]], "n/a" )</f>
        <v>0.49161024796789793</v>
      </c>
      <c r="AF17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119449</v>
      </c>
      <c r="AG174" s="84" vm="3835">
        <v>1807</v>
      </c>
      <c r="AH174" s="83" vm="7631">
        <v>133020</v>
      </c>
      <c r="AI174" s="83" vm="3836">
        <v>15378</v>
      </c>
      <c r="AJ174" s="83" vm="3837">
        <v>0</v>
      </c>
      <c r="AK174" s="83" vm="3838">
        <v>0</v>
      </c>
      <c r="AL174" s="5">
        <f xml:space="preserve"> SUM( VfM_Metrics_2023_Consol[[#This Row],[Tangible fixed assets: Housing properties at cost (Current period)2]], VfM_Metrics_2023_Consol[[#This Row],[Tangible fixed assets Housing properties at valuation (Current period)2]] )</f>
        <v>242975</v>
      </c>
      <c r="AM174" s="84" vm="3832">
        <v>242975</v>
      </c>
      <c r="AN174" s="83">
        <v>0</v>
      </c>
      <c r="AO174" s="87">
        <f xml:space="preserve"> IFERROR( VfM_Metrics_2023_Consol[[#This Row],[EBITDA MRI]] / VfM_Metrics_2023_Consol[[#This Row],[Total interest]], "n/a" )</f>
        <v>1.3446814521825117</v>
      </c>
      <c r="AP17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9519</v>
      </c>
      <c r="AQ174" s="84" vm="3153">
        <v>11877</v>
      </c>
      <c r="AR174" s="84" vm="3840">
        <v>2037</v>
      </c>
      <c r="AS174" s="84">
        <v>0</v>
      </c>
      <c r="AT174" s="84" vm="3841">
        <v>850</v>
      </c>
      <c r="AU174" s="84" vm="3842">
        <v>0</v>
      </c>
      <c r="AV174" s="84" vm="3843">
        <v>200</v>
      </c>
      <c r="AW174" s="84" vm="3844">
        <v>2268</v>
      </c>
      <c r="AX174" s="84" vm="3845">
        <v>2597</v>
      </c>
      <c r="AY174" s="3">
        <f xml:space="preserve"> - SUM( VfM_Metrics_2023_Consol[[#This Row],[Interest capitalised]], VfM_Metrics_2023_Consol[[#This Row],[Interest payable and financing costs]] )</f>
        <v>7079</v>
      </c>
      <c r="AZ174" s="84" vm="3846">
        <v>-118</v>
      </c>
      <c r="BA174" s="83" vm="3847">
        <v>-6961</v>
      </c>
      <c r="BB174" s="8">
        <f xml:space="preserve"> IFERROR( ( VfM_Metrics_2023_Consol[[#This Row],[Total Costs]] / VfM_Metrics_2023_Consol[[#This Row],[Total units for costs]] ) * 1000, "n/a" )</f>
        <v>6288.736979166667</v>
      </c>
      <c r="BC17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19319</v>
      </c>
      <c r="BD174" s="84" vm="3848">
        <v>4483</v>
      </c>
      <c r="BE174" s="83" vm="3849">
        <v>1993</v>
      </c>
      <c r="BF174" s="83" vm="3850">
        <v>1713</v>
      </c>
      <c r="BG174" s="83" vm="3851">
        <v>768</v>
      </c>
      <c r="BH174" s="83" vm="3852">
        <v>0</v>
      </c>
      <c r="BI174" s="83" vm="7725">
        <v>0</v>
      </c>
      <c r="BJ174" s="83" vm="3844">
        <v>2268</v>
      </c>
      <c r="BK174" s="83" vm="3853">
        <v>1496</v>
      </c>
      <c r="BL174" s="83">
        <v>0</v>
      </c>
      <c r="BM174" s="83" vm="3854">
        <v>1151</v>
      </c>
      <c r="BN174" s="83" vm="7195">
        <v>5447</v>
      </c>
      <c r="BO174" s="83">
        <v>0</v>
      </c>
      <c r="BP174" s="5" vm="3827">
        <f xml:space="preserve"> VfM_Metrics_2023_Consol[[#This Row],[Total social housing units owned and/or managed at period end]]</f>
        <v>3072</v>
      </c>
      <c r="BQ174" s="84" vm="3827">
        <v>3072</v>
      </c>
      <c r="BR174" s="7">
        <f xml:space="preserve"> IFERROR( VfM_Metrics_2023_Consol[[#This Row],[SHL operating surplus / (deficit)]] / VfM_Metrics_2023_Consol[[#This Row],[Turnover from social housing lettings]], "n/a" )</f>
        <v>0.38936965054144795</v>
      </c>
      <c r="BS174" s="5" vm="3855">
        <f xml:space="preserve"> VfM_Metrics_2023_Consol[[#This Row],[Operating surplus/(deficit) (social housing lettings)]]</f>
        <v>8234</v>
      </c>
      <c r="BT174" s="84" vm="3855">
        <v>8234</v>
      </c>
      <c r="BU174" s="5" vm="2689">
        <f xml:space="preserve"> VfM_Metrics_2023_Consol[[#This Row],[Turnover from social housing lettings]]</f>
        <v>21147</v>
      </c>
      <c r="BV174" s="84" vm="2689">
        <v>21147</v>
      </c>
      <c r="BW174" s="7">
        <f xml:space="preserve"> IFERROR( VfM_Metrics_2023_Consol[[#This Row],[Net operating surplus]] / VfM_Metrics_2023_Consol[[#This Row],[Overall turnover]], "n/a" )</f>
        <v>0.31102822644372097</v>
      </c>
      <c r="BX174" s="5">
        <f xml:space="preserve"> SUM( VfM_Metrics_2023_Consol[[#This Row],[Operating surplus/(deficit) (overall)2]], - VfM_Metrics_2023_Consol[[#This Row],[Gain/(loss) on disposal of fixed assets (housing properties)2]], - VfM_Metrics_2023_Consol[[#This Row],[Gain/(loss) on disposal of fixed assets (other)2]] )</f>
        <v>9840</v>
      </c>
      <c r="BY174" s="84" vm="7067">
        <v>11877</v>
      </c>
      <c r="BZ174" s="83" vm="3840">
        <v>2037</v>
      </c>
      <c r="CA174" s="83">
        <v>0</v>
      </c>
      <c r="CB174" s="5" vm="7656">
        <f xml:space="preserve"> VfM_Metrics_2023_Consol[[#This Row],[Turnover (overall)]]</f>
        <v>31637</v>
      </c>
      <c r="CC174" s="84" vm="7656">
        <v>31637</v>
      </c>
      <c r="CD174" s="7">
        <f xml:space="preserve"> IFERROR( VfM_Metrics_2023_Consol[[#This Row],[Operating surplus including from JVs]] / VfM_Metrics_2023_Consol[[#This Row],[Net assets]], "n/a" )</f>
        <v>4.5385241485251804E-2</v>
      </c>
      <c r="CE174" s="5">
        <f xml:space="preserve"> SUM( VfM_Metrics_2023_Consol[[#This Row],[Operating surplus/(deficit) (overall)3]], VfM_Metrics_2023_Consol[[#This Row],[Share of operating surplus/(deficit) in joint ventures or associates]] )</f>
        <v>11877</v>
      </c>
      <c r="CF174" s="84" vm="3839">
        <v>11877</v>
      </c>
      <c r="CG174" s="83">
        <v>0</v>
      </c>
      <c r="CH174" s="5" vm="3856">
        <f xml:space="preserve"> VfM_Metrics_2023_Consol[[#This Row],[Total assets less current liabilities]]</f>
        <v>261693</v>
      </c>
      <c r="CI174" s="84" vm="3856">
        <v>261693</v>
      </c>
      <c r="CJ174" s="71" vm="3826">
        <f xml:space="preserve"> VfM_Metrics_2023_Consol[[#This Row],[Total social housing units owned (Period end)]]</f>
        <v>3072</v>
      </c>
      <c r="CK174" s="103">
        <v>6.2073448163795904E-2</v>
      </c>
      <c r="CL174" s="6">
        <f xml:space="preserve"> -- ( VfM_Metrics_2023_Consol[[#This Row],[% Supported housing (excl. HOP)]] &gt; 0.3 )</f>
        <v>0</v>
      </c>
      <c r="CM174" s="103">
        <v>6.9873253168670782E-2</v>
      </c>
      <c r="CN174" s="6">
        <f xml:space="preserve"> -- ( VfM_Metrics_2023_Consol[[#This Row],[% Housing for older people]] &gt; 0.3 )</f>
        <v>0</v>
      </c>
      <c r="CO174" s="103">
        <f xml:space="preserve"> VfM_Metrics_2023_Consol[[#This Row],[% Supported housing (excl. HOP)]] + VfM_Metrics_2023_Consol[[#This Row],[% Housing for older people]]</f>
        <v>0.13194670133246669</v>
      </c>
      <c r="CP174" s="6">
        <f xml:space="preserve"> -- ( VfM_Metrics_2023_Consol[[#This Row],[SH specialist in RSH analysis]] + VfM_Metrics_2023_Consol[[#This Row],[OP specialist in RSH analysis]] &gt; 0 )</f>
        <v>0</v>
      </c>
      <c r="CQ174" s="10">
        <f xml:space="preserve"> -- ( VfM_Metrics_2023_Consol[[#This Row],[% SH and OP]] &gt; 0.3 )</f>
        <v>0</v>
      </c>
      <c r="CR174" s="104" t="s">
        <v>143</v>
      </c>
      <c r="CS174" s="124" t="s">
        <v>144</v>
      </c>
      <c r="CT174" s="105"/>
      <c r="CU17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174" s="85">
        <v>0</v>
      </c>
      <c r="CW174" s="85">
        <v>0</v>
      </c>
      <c r="CX174" s="85">
        <v>0</v>
      </c>
      <c r="CY174" s="85">
        <v>0</v>
      </c>
      <c r="CZ174" s="85">
        <v>0</v>
      </c>
      <c r="DA174" s="85">
        <v>1</v>
      </c>
      <c r="DB174" s="85">
        <v>0</v>
      </c>
      <c r="DC174" s="85">
        <v>0</v>
      </c>
      <c r="DD174" s="85">
        <v>0</v>
      </c>
      <c r="DE174" s="13">
        <v>1.0113701298544711</v>
      </c>
    </row>
    <row r="175" spans="1:109" x14ac:dyDescent="0.25">
      <c r="A175" s="4" t="s" vm="378">
        <v>474</v>
      </c>
      <c r="B175" s="2" t="s" vm="165">
        <v>475</v>
      </c>
      <c r="C175" s="72" vm="530">
        <v>45016</v>
      </c>
      <c r="D175" s="7">
        <f>IFERROR( VfM_Metrics_2023_Consol[[#This Row],[Reinvestment Spend]] / VfM_Metrics_2023_Consol[[#This Row],[Net Book Value of Housing Properties]], "n/a" )</f>
        <v>6.085748748126759E-2</v>
      </c>
      <c r="E17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14985</v>
      </c>
      <c r="F175" s="83" vm="7004">
        <v>7814</v>
      </c>
      <c r="G175" s="83" vm="6115">
        <v>0</v>
      </c>
      <c r="H175" s="83" vm="6116">
        <v>7007</v>
      </c>
      <c r="I175" s="83" vm="6117">
        <v>164</v>
      </c>
      <c r="J175" s="83" vm="6118">
        <v>0</v>
      </c>
      <c r="K175" s="5">
        <f xml:space="preserve"> SUM( VfM_Metrics_2023_Consol[[#This Row],[Tangible fixed assets: Housing properties at cost (Current period)]],VfM_Metrics_2023_Consol[[#This Row],[Tangible fixed assets Housing properties at valuation (Current period)]] )</f>
        <v>246231</v>
      </c>
      <c r="L175" s="84" vm="6119">
        <v>246231</v>
      </c>
      <c r="M175" s="83" vm="6120">
        <v>0</v>
      </c>
      <c r="N175" s="7">
        <f xml:space="preserve"> IFERROR( VfM_Metrics_2023_Consol[[#This Row],[Total social units developed or newly built units acquired in-year]] / VfM_Metrics_2023_Consol[[#This Row],[Social housing units owned (period end)]], "n/a" )</f>
        <v>1.4523498694516971E-2</v>
      </c>
      <c r="O175" s="5">
        <f xml:space="preserve"> SUM( VfM_Metrics_2023_Consol[[#This Row],[Total social units developed or newly built units acquired in-year (owned)]], VfM_Metrics_2023_Consol[[#This Row],[Total social leasehold units developed or newly built units acquired in-year (owned)]] )</f>
        <v>89</v>
      </c>
      <c r="P175" s="84" vm="6121">
        <v>89</v>
      </c>
      <c r="Q175" s="83" vm="6122">
        <v>0</v>
      </c>
      <c r="R175" s="5">
        <f xml:space="preserve"> SUM( VfM_Metrics_2023_Consol[[#This Row],[Total social housing units owned (Period end)]], VfM_Metrics_2023_Consol[[#This Row],[Total social leasehold units owned (Period end)]] )</f>
        <v>6128</v>
      </c>
      <c r="S175" s="84" vm="6113">
        <v>6040</v>
      </c>
      <c r="T175" s="83" vm="6123">
        <v>88</v>
      </c>
      <c r="U175" s="86">
        <f xml:space="preserve"> IFERROR( VfM_Metrics_2023_Consol[[#This Row],[Total non-social housing units developed or newly built units acquired (owned)]] / VfM_Metrics_2023_Consol[[#This Row],[Total social and non-social housing units owned (Period end)]], "n/a" )</f>
        <v>0</v>
      </c>
      <c r="V17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75" s="83" vm="6124">
        <v>0</v>
      </c>
      <c r="X175" s="83" vm="6125">
        <v>0</v>
      </c>
      <c r="Y175" s="83" vm="6126">
        <v>0</v>
      </c>
      <c r="Z17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6132</v>
      </c>
      <c r="AA175" s="84" vm="6113">
        <v>6040</v>
      </c>
      <c r="AB175" s="83" vm="6290">
        <v>88</v>
      </c>
      <c r="AC175" s="83" vm="6127">
        <v>4</v>
      </c>
      <c r="AD175" s="83" vm="6128">
        <v>0</v>
      </c>
      <c r="AE175" s="7">
        <f xml:space="preserve"> IFERROR( VfM_Metrics_2023_Consol[[#This Row],[Total Net Debt]] / VfM_Metrics_2023_Consol[[#This Row],[Net Book Value of Housing Properties2]], "n/a" )</f>
        <v>0.61538555259085981</v>
      </c>
      <c r="AF17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151527</v>
      </c>
      <c r="AG175" s="84" vm="6129">
        <v>0</v>
      </c>
      <c r="AH175" s="83" vm="6130">
        <v>172537</v>
      </c>
      <c r="AI175" s="83" vm="7024">
        <v>21010</v>
      </c>
      <c r="AJ175" s="83" vm="6131">
        <v>0</v>
      </c>
      <c r="AK175" s="83" vm="6132">
        <v>0</v>
      </c>
      <c r="AL175" s="5">
        <f xml:space="preserve"> SUM( VfM_Metrics_2023_Consol[[#This Row],[Tangible fixed assets: Housing properties at cost (Current period)2]], VfM_Metrics_2023_Consol[[#This Row],[Tangible fixed assets Housing properties at valuation (Current period)2]] )</f>
        <v>246231</v>
      </c>
      <c r="AM175" s="84" vm="6119">
        <v>246231</v>
      </c>
      <c r="AN175" s="83" vm="6120">
        <v>0</v>
      </c>
      <c r="AO175" s="87">
        <f xml:space="preserve"> IFERROR( VfM_Metrics_2023_Consol[[#This Row],[EBITDA MRI]] / VfM_Metrics_2023_Consol[[#This Row],[Total interest]], "n/a" )</f>
        <v>0.94033283723447436</v>
      </c>
      <c r="AP17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6950</v>
      </c>
      <c r="AQ175" s="84" vm="6133">
        <v>8906</v>
      </c>
      <c r="AR175" s="84" vm="6134">
        <v>606</v>
      </c>
      <c r="AS175" s="84" vm="6135">
        <v>-566</v>
      </c>
      <c r="AT175" s="84" vm="6136">
        <v>308</v>
      </c>
      <c r="AU175" s="84" vm="6137">
        <v>0</v>
      </c>
      <c r="AV175" s="84" vm="7006">
        <v>328</v>
      </c>
      <c r="AW175" s="84" vm="6138">
        <v>7007</v>
      </c>
      <c r="AX175" s="84" vm="6139">
        <v>5071</v>
      </c>
      <c r="AY175" s="3">
        <f xml:space="preserve"> - SUM( VfM_Metrics_2023_Consol[[#This Row],[Interest capitalised]], VfM_Metrics_2023_Consol[[#This Row],[Interest payable and financing costs]] )</f>
        <v>7391</v>
      </c>
      <c r="AZ175" s="84" vm="6140">
        <v>-164</v>
      </c>
      <c r="BA175" s="83" vm="6141">
        <v>-7227</v>
      </c>
      <c r="BB175" s="8">
        <f xml:space="preserve"> IFERROR( ( VfM_Metrics_2023_Consol[[#This Row],[Total Costs]] / VfM_Metrics_2023_Consol[[#This Row],[Total units for costs]] ) * 1000, "n/a" )</f>
        <v>4251.1589403973512</v>
      </c>
      <c r="BC17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25677</v>
      </c>
      <c r="BD175" s="84" vm="6142">
        <v>8003</v>
      </c>
      <c r="BE175" s="83" vm="6885">
        <v>2678</v>
      </c>
      <c r="BF175" s="83" vm="6143">
        <v>4232</v>
      </c>
      <c r="BG175" s="83" vm="6144">
        <v>1349</v>
      </c>
      <c r="BH175" s="83" vm="6145">
        <v>659</v>
      </c>
      <c r="BI175" s="83" vm="6146">
        <v>0</v>
      </c>
      <c r="BJ175" s="83" vm="6138">
        <v>7007</v>
      </c>
      <c r="BK175" s="83" vm="6883">
        <v>0</v>
      </c>
      <c r="BL175" s="83" vm="6147">
        <v>0</v>
      </c>
      <c r="BM175" s="83" vm="6148">
        <v>0</v>
      </c>
      <c r="BN175" s="83" vm="6149">
        <v>10</v>
      </c>
      <c r="BO175" s="83" vm="6150">
        <v>1739</v>
      </c>
      <c r="BP175" s="5" vm="6114">
        <f xml:space="preserve"> VfM_Metrics_2023_Consol[[#This Row],[Total social housing units owned and/or managed at period end]]</f>
        <v>6040</v>
      </c>
      <c r="BQ175" s="84" vm="6114">
        <v>6040</v>
      </c>
      <c r="BR175" s="7">
        <f xml:space="preserve"> IFERROR( VfM_Metrics_2023_Consol[[#This Row],[SHL operating surplus / (deficit)]] / VfM_Metrics_2023_Consol[[#This Row],[Turnover from social housing lettings]], "n/a" )</f>
        <v>0.31006040137689161</v>
      </c>
      <c r="BS175" s="5" vm="6900">
        <f xml:space="preserve"> VfM_Metrics_2023_Consol[[#This Row],[Operating surplus/(deficit) (social housing lettings)]]</f>
        <v>9548</v>
      </c>
      <c r="BT175" s="84" vm="6900">
        <v>9548</v>
      </c>
      <c r="BU175" s="5" vm="6151">
        <f xml:space="preserve"> VfM_Metrics_2023_Consol[[#This Row],[Turnover from social housing lettings]]</f>
        <v>30794</v>
      </c>
      <c r="BV175" s="84" vm="6151">
        <v>30794</v>
      </c>
      <c r="BW175" s="7">
        <f xml:space="preserve"> IFERROR( VfM_Metrics_2023_Consol[[#This Row],[Net operating surplus]] / VfM_Metrics_2023_Consol[[#This Row],[Overall turnover]], "n/a" )</f>
        <v>0.24028402623448425</v>
      </c>
      <c r="BX175" s="5">
        <f xml:space="preserve"> SUM( VfM_Metrics_2023_Consol[[#This Row],[Operating surplus/(deficit) (overall)2]], - VfM_Metrics_2023_Consol[[#This Row],[Gain/(loss) on disposal of fixed assets (housing properties)2]], - VfM_Metrics_2023_Consol[[#This Row],[Gain/(loss) on disposal of fixed assets (other)2]] )</f>
        <v>8866</v>
      </c>
      <c r="BY175" s="84" vm="6133">
        <v>8906</v>
      </c>
      <c r="BZ175" s="83" vm="6134">
        <v>606</v>
      </c>
      <c r="CA175" s="83" vm="6135">
        <v>-566</v>
      </c>
      <c r="CB175" s="5" vm="6152">
        <f xml:space="preserve"> VfM_Metrics_2023_Consol[[#This Row],[Turnover (overall)]]</f>
        <v>36898</v>
      </c>
      <c r="CC175" s="84" vm="6152">
        <v>36898</v>
      </c>
      <c r="CD175" s="7">
        <f xml:space="preserve"> IFERROR( VfM_Metrics_2023_Consol[[#This Row],[Operating surplus including from JVs]] / VfM_Metrics_2023_Consol[[#This Row],[Net assets]], "n/a" )</f>
        <v>3.2006612639485364E-2</v>
      </c>
      <c r="CE175" s="5">
        <f xml:space="preserve"> SUM( VfM_Metrics_2023_Consol[[#This Row],[Operating surplus/(deficit) (overall)3]], VfM_Metrics_2023_Consol[[#This Row],[Share of operating surplus/(deficit) in joint ventures or associates]] )</f>
        <v>8906</v>
      </c>
      <c r="CF175" s="84" vm="6133">
        <v>8906</v>
      </c>
      <c r="CG175" s="83" vm="6154">
        <v>0</v>
      </c>
      <c r="CH175" s="5" vm="6153">
        <f xml:space="preserve"> VfM_Metrics_2023_Consol[[#This Row],[Total assets less current liabilities]]</f>
        <v>278255</v>
      </c>
      <c r="CI175" s="84" vm="6153">
        <v>278255</v>
      </c>
      <c r="CJ175" s="71" vm="6113">
        <f xml:space="preserve"> VfM_Metrics_2023_Consol[[#This Row],[Total social housing units owned (Period end)]]</f>
        <v>6040</v>
      </c>
      <c r="CK175" s="103">
        <v>0.31937779248717524</v>
      </c>
      <c r="CL175" s="6">
        <f xml:space="preserve"> -- ( VfM_Metrics_2023_Consol[[#This Row],[% Supported housing (excl. HOP)]] &gt; 0.3 )</f>
        <v>1</v>
      </c>
      <c r="CM175" s="103">
        <v>0</v>
      </c>
      <c r="CN175" s="6">
        <f xml:space="preserve"> -- ( VfM_Metrics_2023_Consol[[#This Row],[% Housing for older people]] &gt; 0.3 )</f>
        <v>0</v>
      </c>
      <c r="CO175" s="103">
        <f xml:space="preserve"> VfM_Metrics_2023_Consol[[#This Row],[% Supported housing (excl. HOP)]] + VfM_Metrics_2023_Consol[[#This Row],[% Housing for older people]]</f>
        <v>0.31937779248717524</v>
      </c>
      <c r="CP175" s="6">
        <f xml:space="preserve"> -- ( VfM_Metrics_2023_Consol[[#This Row],[SH specialist in RSH analysis]] + VfM_Metrics_2023_Consol[[#This Row],[OP specialist in RSH analysis]] &gt; 0 )</f>
        <v>1</v>
      </c>
      <c r="CQ175" s="10">
        <f xml:space="preserve"> -- ( VfM_Metrics_2023_Consol[[#This Row],[% SH and OP]] &gt; 0.3 )</f>
        <v>1</v>
      </c>
      <c r="CR175" s="104" t="s">
        <v>143</v>
      </c>
      <c r="CS175" s="124"/>
      <c r="CT175" s="105" t="s">
        <v>151</v>
      </c>
      <c r="CU17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75" s="85">
        <v>0</v>
      </c>
      <c r="CW175" s="85">
        <v>0</v>
      </c>
      <c r="CX175" s="85">
        <v>0</v>
      </c>
      <c r="CY175" s="85">
        <v>0</v>
      </c>
      <c r="CZ175" s="85">
        <v>1</v>
      </c>
      <c r="DA175" s="85">
        <v>0</v>
      </c>
      <c r="DB175" s="85">
        <v>0</v>
      </c>
      <c r="DC175" s="85">
        <v>0</v>
      </c>
      <c r="DD175" s="85">
        <v>0</v>
      </c>
      <c r="DE175" s="13">
        <v>0.96459033333600952</v>
      </c>
    </row>
    <row r="176" spans="1:109" x14ac:dyDescent="0.25">
      <c r="A176" s="4" t="s" vm="248">
        <v>476</v>
      </c>
      <c r="B176" s="2" t="s" vm="166">
        <v>477</v>
      </c>
      <c r="C176" s="72" vm="545">
        <v>45016</v>
      </c>
      <c r="D176" s="7">
        <f>IFERROR( VfM_Metrics_2023_Consol[[#This Row],[Reinvestment Spend]] / VfM_Metrics_2023_Consol[[#This Row],[Net Book Value of Housing Properties]], "n/a" )</f>
        <v>8.3942378985276983E-2</v>
      </c>
      <c r="E17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317000</v>
      </c>
      <c r="F176" s="83" vm="1696">
        <v>234600</v>
      </c>
      <c r="G176" s="83" vm="1697">
        <v>0</v>
      </c>
      <c r="H176" s="83" vm="7127">
        <v>73800</v>
      </c>
      <c r="I176" s="83" vm="8008">
        <v>8600</v>
      </c>
      <c r="J176" s="83" vm="1699">
        <v>0</v>
      </c>
      <c r="K176" s="5">
        <f xml:space="preserve"> SUM( VfM_Metrics_2023_Consol[[#This Row],[Tangible fixed assets: Housing properties at cost (Current period)]],VfM_Metrics_2023_Consol[[#This Row],[Tangible fixed assets Housing properties at valuation (Current period)]] )</f>
        <v>3776400</v>
      </c>
      <c r="L176" s="84" vm="1700">
        <v>3776400</v>
      </c>
      <c r="M176" s="83" vm="1701">
        <v>0</v>
      </c>
      <c r="N176" s="7">
        <f xml:space="preserve"> IFERROR( VfM_Metrics_2023_Consol[[#This Row],[Total social units developed or newly built units acquired in-year]] / VfM_Metrics_2023_Consol[[#This Row],[Social housing units owned (period end)]], "n/a" )</f>
        <v>8.0557030005932503E-3</v>
      </c>
      <c r="O176" s="5">
        <f xml:space="preserve"> SUM( VfM_Metrics_2023_Consol[[#This Row],[Total social units developed or newly built units acquired in-year (owned)]], VfM_Metrics_2023_Consol[[#This Row],[Total social leasehold units developed or newly built units acquired in-year (owned)]] )</f>
        <v>516</v>
      </c>
      <c r="P176" s="84" vm="1702">
        <v>516</v>
      </c>
      <c r="Q176" s="83" vm="1703">
        <v>0</v>
      </c>
      <c r="R176" s="5">
        <f xml:space="preserve"> SUM( VfM_Metrics_2023_Consol[[#This Row],[Total social housing units owned (Period end)]], VfM_Metrics_2023_Consol[[#This Row],[Total social leasehold units owned (Period end)]] )</f>
        <v>64054</v>
      </c>
      <c r="S176" s="84" vm="1694">
        <v>60576</v>
      </c>
      <c r="T176" s="83" vm="8345">
        <v>3478</v>
      </c>
      <c r="U176" s="86">
        <f xml:space="preserve"> IFERROR( VfM_Metrics_2023_Consol[[#This Row],[Total non-social housing units developed or newly built units acquired (owned)]] / VfM_Metrics_2023_Consol[[#This Row],[Total social and non-social housing units owned (Period end)]], "n/a" )</f>
        <v>4.7818569804208661E-3</v>
      </c>
      <c r="V17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307</v>
      </c>
      <c r="W176" s="83" vm="8180">
        <v>0</v>
      </c>
      <c r="X176" s="83" vm="1704">
        <v>10</v>
      </c>
      <c r="Y176" s="83" vm="1705">
        <v>297</v>
      </c>
      <c r="Z17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64201</v>
      </c>
      <c r="AA176" s="84" vm="1694">
        <v>60576</v>
      </c>
      <c r="AB176" s="83" vm="8330">
        <v>3478</v>
      </c>
      <c r="AC176" s="83" vm="1706">
        <v>9</v>
      </c>
      <c r="AD176" s="83" vm="1707">
        <v>138</v>
      </c>
      <c r="AE176" s="7">
        <f xml:space="preserve"> IFERROR( VfM_Metrics_2023_Consol[[#This Row],[Total Net Debt]] / VfM_Metrics_2023_Consol[[#This Row],[Net Book Value of Housing Properties2]], "n/a" )</f>
        <v>0.38181866327719521</v>
      </c>
      <c r="AF17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1441900</v>
      </c>
      <c r="AG176" s="84" vm="1733">
        <v>78400</v>
      </c>
      <c r="AH176" s="83" vm="8218">
        <v>1417100</v>
      </c>
      <c r="AI176" s="83" vm="1708">
        <v>53600</v>
      </c>
      <c r="AJ176" s="83" vm="7828">
        <v>0</v>
      </c>
      <c r="AK176" s="83" vm="8042">
        <v>0</v>
      </c>
      <c r="AL176" s="5">
        <f xml:space="preserve"> SUM( VfM_Metrics_2023_Consol[[#This Row],[Tangible fixed assets: Housing properties at cost (Current period)2]], VfM_Metrics_2023_Consol[[#This Row],[Tangible fixed assets Housing properties at valuation (Current period)2]] )</f>
        <v>3776400</v>
      </c>
      <c r="AM176" s="84" vm="1700">
        <v>3776400</v>
      </c>
      <c r="AN176" s="83" vm="1701">
        <v>0</v>
      </c>
      <c r="AO176" s="87">
        <f xml:space="preserve"> IFERROR( VfM_Metrics_2023_Consol[[#This Row],[EBITDA MRI]] / VfM_Metrics_2023_Consol[[#This Row],[Total interest]], "n/a" )</f>
        <v>1.0687830687830688</v>
      </c>
      <c r="AP17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60600</v>
      </c>
      <c r="AQ176" s="84" vm="8277">
        <v>98500</v>
      </c>
      <c r="AR176" s="84" vm="1710">
        <v>10800</v>
      </c>
      <c r="AS176" s="84" vm="1435">
        <v>0</v>
      </c>
      <c r="AT176" s="84" vm="1712">
        <v>16600</v>
      </c>
      <c r="AU176" s="84" vm="1713">
        <v>0</v>
      </c>
      <c r="AV176" s="84" vm="8150">
        <v>800</v>
      </c>
      <c r="AW176" s="84" vm="2949">
        <v>73800</v>
      </c>
      <c r="AX176" s="84" vm="1715">
        <v>62500</v>
      </c>
      <c r="AY176" s="3">
        <f xml:space="preserve"> - SUM( VfM_Metrics_2023_Consol[[#This Row],[Interest capitalised]], VfM_Metrics_2023_Consol[[#This Row],[Interest payable and financing costs]] )</f>
        <v>56700</v>
      </c>
      <c r="AZ176" s="84" vm="1716">
        <v>-14000</v>
      </c>
      <c r="BA176" s="83" vm="8178">
        <v>-42700</v>
      </c>
      <c r="BB176" s="8">
        <f xml:space="preserve"> IFERROR( ( VfM_Metrics_2023_Consol[[#This Row],[Total Costs]] / VfM_Metrics_2023_Consol[[#This Row],[Total units for costs]] ) * 1000, "n/a" )</f>
        <v>5140.9099888062165</v>
      </c>
      <c r="BC17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312300</v>
      </c>
      <c r="BD176" s="84" vm="7126">
        <v>86100</v>
      </c>
      <c r="BE176" s="83" vm="8246">
        <v>28800</v>
      </c>
      <c r="BF176" s="83" vm="8045">
        <v>60100</v>
      </c>
      <c r="BG176" s="83" vm="2741">
        <v>40500</v>
      </c>
      <c r="BH176" s="83" vm="8213">
        <v>3100</v>
      </c>
      <c r="BI176" s="83" vm="1717">
        <v>0</v>
      </c>
      <c r="BJ176" s="83" vm="1714">
        <v>73800</v>
      </c>
      <c r="BK176" s="83" vm="1718">
        <v>0</v>
      </c>
      <c r="BL176" s="83" vm="8240">
        <v>1200</v>
      </c>
      <c r="BM176" s="83" vm="8037">
        <v>0</v>
      </c>
      <c r="BN176" s="83" vm="1720">
        <v>5500</v>
      </c>
      <c r="BO176" s="83" vm="8175">
        <v>13200</v>
      </c>
      <c r="BP176" s="5" vm="1695">
        <f xml:space="preserve"> VfM_Metrics_2023_Consol[[#This Row],[Total social housing units owned and/or managed at period end]]</f>
        <v>60748</v>
      </c>
      <c r="BQ176" s="84" vm="1695">
        <v>60748</v>
      </c>
      <c r="BR176" s="7">
        <f xml:space="preserve"> IFERROR( VfM_Metrics_2023_Consol[[#This Row],[SHL operating surplus / (deficit)]] / VfM_Metrics_2023_Consol[[#This Row],[Turnover from social housing lettings]], "n/a" )</f>
        <v>0.2213206491326245</v>
      </c>
      <c r="BS176" s="5" vm="1721">
        <f xml:space="preserve"> VfM_Metrics_2023_Consol[[#This Row],[Operating surplus/(deficit) (social housing lettings)]]</f>
        <v>79100</v>
      </c>
      <c r="BT176" s="84" vm="1721">
        <v>79100</v>
      </c>
      <c r="BU176" s="5" vm="8172">
        <f xml:space="preserve"> VfM_Metrics_2023_Consol[[#This Row],[Turnover from social housing lettings]]</f>
        <v>357400</v>
      </c>
      <c r="BV176" s="84" vm="8172">
        <v>357400</v>
      </c>
      <c r="BW176" s="7">
        <f xml:space="preserve"> IFERROR( VfM_Metrics_2023_Consol[[#This Row],[Net operating surplus]] / VfM_Metrics_2023_Consol[[#This Row],[Overall turnover]], "n/a" )</f>
        <v>0.1623172311678697</v>
      </c>
      <c r="BX176" s="5">
        <f xml:space="preserve"> SUM( VfM_Metrics_2023_Consol[[#This Row],[Operating surplus/(deficit) (overall)2]], - VfM_Metrics_2023_Consol[[#This Row],[Gain/(loss) on disposal of fixed assets (housing properties)2]], - VfM_Metrics_2023_Consol[[#This Row],[Gain/(loss) on disposal of fixed assets (other)2]] )</f>
        <v>87700</v>
      </c>
      <c r="BY176" s="84" vm="1709">
        <v>98500</v>
      </c>
      <c r="BZ176" s="83" vm="1710">
        <v>10800</v>
      </c>
      <c r="CA176" s="83" vm="1711">
        <v>0</v>
      </c>
      <c r="CB176" s="5" vm="8035">
        <f xml:space="preserve"> VfM_Metrics_2023_Consol[[#This Row],[Turnover (overall)]]</f>
        <v>540300</v>
      </c>
      <c r="CC176" s="84" vm="8035">
        <v>540300</v>
      </c>
      <c r="CD176" s="7">
        <f xml:space="preserve"> IFERROR( VfM_Metrics_2023_Consol[[#This Row],[Operating surplus including from JVs]] / VfM_Metrics_2023_Consol[[#This Row],[Net assets]], "n/a" )</f>
        <v>2.5563831719913836E-2</v>
      </c>
      <c r="CE176" s="5">
        <f xml:space="preserve"> SUM( VfM_Metrics_2023_Consol[[#This Row],[Operating surplus/(deficit) (overall)3]], VfM_Metrics_2023_Consol[[#This Row],[Share of operating surplus/(deficit) in joint ventures or associates]] )</f>
        <v>98500</v>
      </c>
      <c r="CF176" s="84" vm="8303">
        <v>98500</v>
      </c>
      <c r="CG176" s="83" vm="1719">
        <v>0</v>
      </c>
      <c r="CH176" s="5" vm="1905">
        <f xml:space="preserve"> VfM_Metrics_2023_Consol[[#This Row],[Total assets less current liabilities]]</f>
        <v>3853100</v>
      </c>
      <c r="CI176" s="84" vm="1905">
        <v>3853100</v>
      </c>
      <c r="CJ176" s="71" vm="1694">
        <f xml:space="preserve"> VfM_Metrics_2023_Consol[[#This Row],[Total social housing units owned (Period end)]]</f>
        <v>60576</v>
      </c>
      <c r="CK176" s="103">
        <v>1.290912111646453E-2</v>
      </c>
      <c r="CL176" s="6">
        <f xml:space="preserve"> -- ( VfM_Metrics_2023_Consol[[#This Row],[% Supported housing (excl. HOP)]] &gt; 0.3 )</f>
        <v>0</v>
      </c>
      <c r="CM176" s="103">
        <v>0.12593454062136566</v>
      </c>
      <c r="CN176" s="6">
        <f xml:space="preserve"> -- ( VfM_Metrics_2023_Consol[[#This Row],[% Housing for older people]] &gt; 0.3 )</f>
        <v>0</v>
      </c>
      <c r="CO176" s="103">
        <f xml:space="preserve"> VfM_Metrics_2023_Consol[[#This Row],[% Supported housing (excl. HOP)]] + VfM_Metrics_2023_Consol[[#This Row],[% Housing for older people]]</f>
        <v>0.13884366173783019</v>
      </c>
      <c r="CP176" s="6">
        <f xml:space="preserve"> -- ( VfM_Metrics_2023_Consol[[#This Row],[SH specialist in RSH analysis]] + VfM_Metrics_2023_Consol[[#This Row],[OP specialist in RSH analysis]] &gt; 0 )</f>
        <v>0</v>
      </c>
      <c r="CQ176" s="10">
        <f xml:space="preserve"> -- ( VfM_Metrics_2023_Consol[[#This Row],[% SH and OP]] &gt; 0.3 )</f>
        <v>0</v>
      </c>
      <c r="CR176" s="104" t="s">
        <v>143</v>
      </c>
      <c r="CS176" s="124" t="s">
        <v>144</v>
      </c>
      <c r="CT176" s="105"/>
      <c r="CU17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Mixed</v>
      </c>
      <c r="CV176" s="85">
        <v>0.10820728985866601</v>
      </c>
      <c r="CW176" s="85">
        <v>0.21223241590214068</v>
      </c>
      <c r="CX176" s="85">
        <v>0.16713777998181667</v>
      </c>
      <c r="CY176" s="85">
        <v>7.719646251756343E-2</v>
      </c>
      <c r="CZ176" s="85">
        <v>1.5703777171667079E-3</v>
      </c>
      <c r="DA176" s="85">
        <v>4.9409042069592526E-2</v>
      </c>
      <c r="DB176" s="85">
        <v>1.6530291759649558E-5</v>
      </c>
      <c r="DC176" s="85">
        <v>0.28119679312339863</v>
      </c>
      <c r="DD176" s="85">
        <v>0.10303330853789569</v>
      </c>
      <c r="DE176" s="13">
        <v>0.9997436157954549</v>
      </c>
    </row>
    <row r="177" spans="1:109" x14ac:dyDescent="0.25">
      <c r="A177" s="4" t="s" vm="374">
        <v>478</v>
      </c>
      <c r="B177" s="2" t="s" vm="167">
        <v>479</v>
      </c>
      <c r="C177" s="72" vm="556">
        <v>45016</v>
      </c>
      <c r="D177" s="7">
        <f>IFERROR( VfM_Metrics_2023_Consol[[#This Row],[Reinvestment Spend]] / VfM_Metrics_2023_Consol[[#This Row],[Net Book Value of Housing Properties]], "n/a" )</f>
        <v>6.754730154983872E-2</v>
      </c>
      <c r="E17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27475</v>
      </c>
      <c r="F177" s="83" vm="7217">
        <v>4016</v>
      </c>
      <c r="G177" s="83" vm="5957">
        <v>19125</v>
      </c>
      <c r="H177" s="83" vm="6891">
        <v>3544</v>
      </c>
      <c r="I177" s="83" vm="5958">
        <v>790</v>
      </c>
      <c r="J177" s="83" vm="5959">
        <v>0</v>
      </c>
      <c r="K177" s="5">
        <f xml:space="preserve"> SUM( VfM_Metrics_2023_Consol[[#This Row],[Tangible fixed assets: Housing properties at cost (Current period)]],VfM_Metrics_2023_Consol[[#This Row],[Tangible fixed assets Housing properties at valuation (Current period)]] )</f>
        <v>406752</v>
      </c>
      <c r="L177" s="84" vm="5960">
        <v>406752</v>
      </c>
      <c r="M177" s="83" vm="5961">
        <v>0</v>
      </c>
      <c r="N177" s="7">
        <f xml:space="preserve"> IFERROR( VfM_Metrics_2023_Consol[[#This Row],[Total social units developed or newly built units acquired in-year]] / VfM_Metrics_2023_Consol[[#This Row],[Social housing units owned (period end)]], "n/a" )</f>
        <v>2.628755364806867E-2</v>
      </c>
      <c r="O177" s="5">
        <f xml:space="preserve"> SUM( VfM_Metrics_2023_Consol[[#This Row],[Total social units developed or newly built units acquired in-year (owned)]], VfM_Metrics_2023_Consol[[#This Row],[Total social leasehold units developed or newly built units acquired in-year (owned)]] )</f>
        <v>196</v>
      </c>
      <c r="P177" s="84" vm="6886">
        <v>196</v>
      </c>
      <c r="Q177" s="83" vm="5962">
        <v>0</v>
      </c>
      <c r="R177" s="5">
        <f xml:space="preserve"> SUM( VfM_Metrics_2023_Consol[[#This Row],[Total social housing units owned (Period end)]], VfM_Metrics_2023_Consol[[#This Row],[Total social leasehold units owned (Period end)]] )</f>
        <v>7456</v>
      </c>
      <c r="S177" s="84" vm="5955">
        <v>7251</v>
      </c>
      <c r="T177" s="83" vm="5963">
        <v>205</v>
      </c>
      <c r="U177" s="86">
        <f xml:space="preserve"> IFERROR( VfM_Metrics_2023_Consol[[#This Row],[Total non-social housing units developed or newly built units acquired (owned)]] / VfM_Metrics_2023_Consol[[#This Row],[Total social and non-social housing units owned (Period end)]], "n/a" )</f>
        <v>0</v>
      </c>
      <c r="V17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77" s="83" vm="5964">
        <v>0</v>
      </c>
      <c r="X177" s="83" vm="7172">
        <v>0</v>
      </c>
      <c r="Y177" s="83" vm="5965">
        <v>0</v>
      </c>
      <c r="Z17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7456</v>
      </c>
      <c r="AA177" s="84" vm="5955">
        <v>7251</v>
      </c>
      <c r="AB177" s="83" vm="5963">
        <v>205</v>
      </c>
      <c r="AC177" s="83" vm="5966">
        <v>0</v>
      </c>
      <c r="AD177" s="83" vm="5967">
        <v>0</v>
      </c>
      <c r="AE177" s="7">
        <f xml:space="preserve"> IFERROR( VfM_Metrics_2023_Consol[[#This Row],[Total Net Debt]] / VfM_Metrics_2023_Consol[[#This Row],[Net Book Value of Housing Properties2]], "n/a" )</f>
        <v>0.52474972464794267</v>
      </c>
      <c r="AF17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213443</v>
      </c>
      <c r="AG177" s="84" vm="5968">
        <v>0</v>
      </c>
      <c r="AH177" s="83" vm="5969">
        <v>228510</v>
      </c>
      <c r="AI177" s="83" vm="5970">
        <v>15067</v>
      </c>
      <c r="AJ177" s="83" vm="7275">
        <v>0</v>
      </c>
      <c r="AK177" s="83" vm="5971">
        <v>0</v>
      </c>
      <c r="AL177" s="5">
        <f xml:space="preserve"> SUM( VfM_Metrics_2023_Consol[[#This Row],[Tangible fixed assets: Housing properties at cost (Current period)2]], VfM_Metrics_2023_Consol[[#This Row],[Tangible fixed assets Housing properties at valuation (Current period)2]] )</f>
        <v>406752</v>
      </c>
      <c r="AM177" s="84" vm="5960">
        <v>406752</v>
      </c>
      <c r="AN177" s="83" vm="5961">
        <v>0</v>
      </c>
      <c r="AO177" s="87">
        <f xml:space="preserve"> IFERROR( VfM_Metrics_2023_Consol[[#This Row],[EBITDA MRI]] / VfM_Metrics_2023_Consol[[#This Row],[Total interest]], "n/a" )</f>
        <v>1.2901348336405083</v>
      </c>
      <c r="AP17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13300</v>
      </c>
      <c r="AQ177" s="84" vm="5972">
        <v>11568</v>
      </c>
      <c r="AR177" s="84" vm="5973">
        <v>1935</v>
      </c>
      <c r="AS177" s="84" vm="5974">
        <v>0</v>
      </c>
      <c r="AT177" s="84" vm="6905">
        <v>321</v>
      </c>
      <c r="AU177" s="84" vm="5743">
        <v>0</v>
      </c>
      <c r="AV177" s="84" vm="5975">
        <v>156</v>
      </c>
      <c r="AW177" s="84" vm="5976">
        <v>3544</v>
      </c>
      <c r="AX177" s="84" vm="5977">
        <v>7376</v>
      </c>
      <c r="AY177" s="3">
        <f xml:space="preserve"> - SUM( VfM_Metrics_2023_Consol[[#This Row],[Interest capitalised]], VfM_Metrics_2023_Consol[[#This Row],[Interest payable and financing costs]] )</f>
        <v>10309</v>
      </c>
      <c r="AZ177" s="84" vm="5978">
        <v>-780</v>
      </c>
      <c r="BA177" s="83" vm="5979">
        <v>-9529</v>
      </c>
      <c r="BB177" s="8">
        <f xml:space="preserve"> IFERROR( ( VfM_Metrics_2023_Consol[[#This Row],[Total Costs]] / VfM_Metrics_2023_Consol[[#This Row],[Total units for costs]] ) * 1000, "n/a" )</f>
        <v>4382.0162736174316</v>
      </c>
      <c r="BC17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31774</v>
      </c>
      <c r="BD177" s="84" vm="5980">
        <v>7449</v>
      </c>
      <c r="BE177" s="83" vm="5981">
        <v>4672</v>
      </c>
      <c r="BF177" s="83" vm="5982">
        <v>7988</v>
      </c>
      <c r="BG177" s="83" vm="5983">
        <v>3347</v>
      </c>
      <c r="BH177" s="83" vm="6889">
        <v>3800</v>
      </c>
      <c r="BI177" s="83" vm="5984">
        <v>10</v>
      </c>
      <c r="BJ177" s="83" vm="5976">
        <v>3544</v>
      </c>
      <c r="BK177" s="83" vm="7023">
        <v>0</v>
      </c>
      <c r="BL177" s="83" vm="7331">
        <v>766</v>
      </c>
      <c r="BM177" s="83" vm="5985">
        <v>0</v>
      </c>
      <c r="BN177" s="83" vm="6939">
        <v>0</v>
      </c>
      <c r="BO177" s="83" vm="5986">
        <v>198</v>
      </c>
      <c r="BP177" s="5" vm="5956">
        <f xml:space="preserve"> VfM_Metrics_2023_Consol[[#This Row],[Total social housing units owned and/or managed at period end]]</f>
        <v>7251</v>
      </c>
      <c r="BQ177" s="84" vm="5956">
        <v>7251</v>
      </c>
      <c r="BR177" s="7">
        <f xml:space="preserve"> IFERROR( VfM_Metrics_2023_Consol[[#This Row],[SHL operating surplus / (deficit)]] / VfM_Metrics_2023_Consol[[#This Row],[Turnover from social housing lettings]], "n/a" )</f>
        <v>0.18601635982178638</v>
      </c>
      <c r="BS177" s="5" vm="6884">
        <f xml:space="preserve"> VfM_Metrics_2023_Consol[[#This Row],[Operating surplus/(deficit) (social housing lettings)]]</f>
        <v>7891</v>
      </c>
      <c r="BT177" s="84" vm="6884">
        <v>7891</v>
      </c>
      <c r="BU177" s="5" vm="5987">
        <f xml:space="preserve"> VfM_Metrics_2023_Consol[[#This Row],[Turnover from social housing lettings]]</f>
        <v>42421</v>
      </c>
      <c r="BV177" s="84" vm="5987">
        <v>42421</v>
      </c>
      <c r="BW177" s="7">
        <f xml:space="preserve"> IFERROR( VfM_Metrics_2023_Consol[[#This Row],[Net operating surplus]] / VfM_Metrics_2023_Consol[[#This Row],[Overall turnover]], "n/a" )</f>
        <v>0.19151854944530597</v>
      </c>
      <c r="BX177" s="5">
        <f xml:space="preserve"> SUM( VfM_Metrics_2023_Consol[[#This Row],[Operating surplus/(deficit) (overall)2]], - VfM_Metrics_2023_Consol[[#This Row],[Gain/(loss) on disposal of fixed assets (housing properties)2]], - VfM_Metrics_2023_Consol[[#This Row],[Gain/(loss) on disposal of fixed assets (other)2]] )</f>
        <v>9633</v>
      </c>
      <c r="BY177" s="84" vm="5972">
        <v>11568</v>
      </c>
      <c r="BZ177" s="83" vm="5973">
        <v>1935</v>
      </c>
      <c r="CA177" s="83" vm="5974">
        <v>0</v>
      </c>
      <c r="CB177" s="5" vm="5988">
        <f xml:space="preserve"> VfM_Metrics_2023_Consol[[#This Row],[Turnover (overall)]]</f>
        <v>50298</v>
      </c>
      <c r="CC177" s="84" vm="5988">
        <v>50298</v>
      </c>
      <c r="CD177" s="7">
        <f xml:space="preserve"> IFERROR( VfM_Metrics_2023_Consol[[#This Row],[Operating surplus including from JVs]] / VfM_Metrics_2023_Consol[[#This Row],[Net assets]], "n/a" )</f>
        <v>2.7679475123645995E-2</v>
      </c>
      <c r="CE177" s="5">
        <f xml:space="preserve"> SUM( VfM_Metrics_2023_Consol[[#This Row],[Operating surplus/(deficit) (overall)3]], VfM_Metrics_2023_Consol[[#This Row],[Share of operating surplus/(deficit) in joint ventures or associates]] )</f>
        <v>11568</v>
      </c>
      <c r="CF177" s="84" vm="5972">
        <v>11568</v>
      </c>
      <c r="CG177" s="83" vm="5990">
        <v>0</v>
      </c>
      <c r="CH177" s="5" vm="5989">
        <f xml:space="preserve"> VfM_Metrics_2023_Consol[[#This Row],[Total assets less current liabilities]]</f>
        <v>417927</v>
      </c>
      <c r="CI177" s="84" vm="5989">
        <v>417927</v>
      </c>
      <c r="CJ177" s="71" vm="5955">
        <f xml:space="preserve"> VfM_Metrics_2023_Consol[[#This Row],[Total social housing units owned (Period end)]]</f>
        <v>7251</v>
      </c>
      <c r="CK177" s="103">
        <v>1.364522417153996E-2</v>
      </c>
      <c r="CL177" s="6">
        <f xml:space="preserve"> -- ( VfM_Metrics_2023_Consol[[#This Row],[% Supported housing (excl. HOP)]] &gt; 0.3 )</f>
        <v>0</v>
      </c>
      <c r="CM177" s="103">
        <v>3.6758563074352546E-2</v>
      </c>
      <c r="CN177" s="6">
        <f xml:space="preserve"> -- ( VfM_Metrics_2023_Consol[[#This Row],[% Housing for older people]] &gt; 0.3 )</f>
        <v>0</v>
      </c>
      <c r="CO177" s="103">
        <f xml:space="preserve"> VfM_Metrics_2023_Consol[[#This Row],[% Supported housing (excl. HOP)]] + VfM_Metrics_2023_Consol[[#This Row],[% Housing for older people]]</f>
        <v>5.0403787245892506E-2</v>
      </c>
      <c r="CP177" s="6">
        <f xml:space="preserve"> -- ( VfM_Metrics_2023_Consol[[#This Row],[SH specialist in RSH analysis]] + VfM_Metrics_2023_Consol[[#This Row],[OP specialist in RSH analysis]] &gt; 0 )</f>
        <v>0</v>
      </c>
      <c r="CQ177" s="10">
        <f xml:space="preserve"> -- ( VfM_Metrics_2023_Consol[[#This Row],[% SH and OP]] &gt; 0.3 )</f>
        <v>0</v>
      </c>
      <c r="CR177" s="104" t="s">
        <v>143</v>
      </c>
      <c r="CS177" s="124"/>
      <c r="CT177" s="105" t="s">
        <v>151</v>
      </c>
      <c r="CU17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177" s="85">
        <v>0</v>
      </c>
      <c r="CW177" s="85">
        <v>0</v>
      </c>
      <c r="CX177" s="85">
        <v>0</v>
      </c>
      <c r="CY177" s="85">
        <v>0</v>
      </c>
      <c r="CZ177" s="85">
        <v>0</v>
      </c>
      <c r="DA177" s="85">
        <v>1</v>
      </c>
      <c r="DB177" s="85">
        <v>0</v>
      </c>
      <c r="DC177" s="85">
        <v>0</v>
      </c>
      <c r="DD177" s="85">
        <v>0</v>
      </c>
      <c r="DE177" s="13">
        <v>1.0113701298544711</v>
      </c>
    </row>
    <row r="178" spans="1:109" x14ac:dyDescent="0.25">
      <c r="A178" s="4" t="s" vm="293">
        <v>480</v>
      </c>
      <c r="B178" s="2" t="s" vm="168">
        <v>481</v>
      </c>
      <c r="C178" s="72" vm="564">
        <v>45016</v>
      </c>
      <c r="D178" s="7">
        <f>IFERROR( VfM_Metrics_2023_Consol[[#This Row],[Reinvestment Spend]] / VfM_Metrics_2023_Consol[[#This Row],[Net Book Value of Housing Properties]], "n/a" )</f>
        <v>4.9861533144521693E-2</v>
      </c>
      <c r="E17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33327</v>
      </c>
      <c r="F178" s="83" vm="2497">
        <v>2378</v>
      </c>
      <c r="G178" s="83" vm="3104">
        <v>16291</v>
      </c>
      <c r="H178" s="83" vm="3105">
        <v>13825</v>
      </c>
      <c r="I178" s="83" vm="3106">
        <v>833</v>
      </c>
      <c r="J178" s="83" vm="3107">
        <v>0</v>
      </c>
      <c r="K178" s="5">
        <f xml:space="preserve"> SUM( VfM_Metrics_2023_Consol[[#This Row],[Tangible fixed assets: Housing properties at cost (Current period)]],VfM_Metrics_2023_Consol[[#This Row],[Tangible fixed assets Housing properties at valuation (Current period)]] )</f>
        <v>668391</v>
      </c>
      <c r="L178" s="84" vm="3108">
        <v>668391</v>
      </c>
      <c r="M178" s="83" vm="3109">
        <v>0</v>
      </c>
      <c r="N178" s="7">
        <f xml:space="preserve"> IFERROR( VfM_Metrics_2023_Consol[[#This Row],[Total social units developed or newly built units acquired in-year]] / VfM_Metrics_2023_Consol[[#This Row],[Social housing units owned (period end)]], "n/a" )</f>
        <v>8.1699346405228763E-3</v>
      </c>
      <c r="O178" s="5">
        <f xml:space="preserve"> SUM( VfM_Metrics_2023_Consol[[#This Row],[Total social units developed or newly built units acquired in-year (owned)]], VfM_Metrics_2023_Consol[[#This Row],[Total social leasehold units developed or newly built units acquired in-year (owned)]] )</f>
        <v>160</v>
      </c>
      <c r="P178" s="84" vm="7600">
        <v>160</v>
      </c>
      <c r="Q178" s="83" vm="3110">
        <v>0</v>
      </c>
      <c r="R178" s="5">
        <f xml:space="preserve"> SUM( VfM_Metrics_2023_Consol[[#This Row],[Total social housing units owned (Period end)]], VfM_Metrics_2023_Consol[[#This Row],[Total social leasehold units owned (Period end)]] )</f>
        <v>19584</v>
      </c>
      <c r="S178" s="84" vm="7081">
        <v>18908</v>
      </c>
      <c r="T178" s="83" vm="1948">
        <v>676</v>
      </c>
      <c r="U178" s="86">
        <f xml:space="preserve"> IFERROR( VfM_Metrics_2023_Consol[[#This Row],[Total non-social housing units developed or newly built units acquired (owned)]] / VfM_Metrics_2023_Consol[[#This Row],[Total social and non-social housing units owned (Period end)]], "n/a" )</f>
        <v>1.0639375823285034E-3</v>
      </c>
      <c r="V17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21</v>
      </c>
      <c r="W178" s="83" vm="3112">
        <v>0</v>
      </c>
      <c r="X178" s="83" vm="3113">
        <v>0</v>
      </c>
      <c r="Y178" s="83" vm="3114">
        <v>21</v>
      </c>
      <c r="Z17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19738</v>
      </c>
      <c r="AA178" s="84" vm="3826">
        <v>18908</v>
      </c>
      <c r="AB178" s="83" vm="3111">
        <v>676</v>
      </c>
      <c r="AC178" s="83" vm="7734">
        <v>114</v>
      </c>
      <c r="AD178" s="83" vm="3115">
        <v>40</v>
      </c>
      <c r="AE178" s="7">
        <f xml:space="preserve"> IFERROR( VfM_Metrics_2023_Consol[[#This Row],[Total Net Debt]] / VfM_Metrics_2023_Consol[[#This Row],[Net Book Value of Housing Properties2]], "n/a" )</f>
        <v>0.62349133964999526</v>
      </c>
      <c r="AF17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416736</v>
      </c>
      <c r="AG178" s="84" vm="3116">
        <v>9843</v>
      </c>
      <c r="AH178" s="83" vm="3117">
        <v>418238</v>
      </c>
      <c r="AI178" s="83" vm="3118">
        <v>11345</v>
      </c>
      <c r="AJ178" s="83" vm="3119">
        <v>0</v>
      </c>
      <c r="AK178" s="83" vm="3120">
        <v>0</v>
      </c>
      <c r="AL178" s="5">
        <f xml:space="preserve"> SUM( VfM_Metrics_2023_Consol[[#This Row],[Tangible fixed assets: Housing properties at cost (Current period)2]], VfM_Metrics_2023_Consol[[#This Row],[Tangible fixed assets Housing properties at valuation (Current period)2]] )</f>
        <v>668391</v>
      </c>
      <c r="AM178" s="84" vm="7723">
        <v>668391</v>
      </c>
      <c r="AN178" s="83" vm="3109">
        <v>0</v>
      </c>
      <c r="AO178" s="87">
        <f xml:space="preserve"> IFERROR( VfM_Metrics_2023_Consol[[#This Row],[EBITDA MRI]] / VfM_Metrics_2023_Consol[[#This Row],[Total interest]], "n/a" )</f>
        <v>1.1993868218665558</v>
      </c>
      <c r="AP17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23081</v>
      </c>
      <c r="AQ178" s="84" vm="1963">
        <v>25995</v>
      </c>
      <c r="AR178" s="84" vm="3122">
        <v>4129</v>
      </c>
      <c r="AS178" s="84" vm="3123">
        <v>0</v>
      </c>
      <c r="AT178" s="84" vm="3124">
        <v>810</v>
      </c>
      <c r="AU178" s="84" vm="3125">
        <v>1118</v>
      </c>
      <c r="AV178" s="84" vm="3126">
        <v>94</v>
      </c>
      <c r="AW178" s="84" vm="3127">
        <v>13825</v>
      </c>
      <c r="AX178" s="84" vm="3128">
        <v>16874</v>
      </c>
      <c r="AY178" s="3">
        <f xml:space="preserve"> - SUM( VfM_Metrics_2023_Consol[[#This Row],[Interest capitalised]], VfM_Metrics_2023_Consol[[#This Row],[Interest payable and financing costs]] )</f>
        <v>19244</v>
      </c>
      <c r="AZ178" s="84" vm="3129">
        <v>-833</v>
      </c>
      <c r="BA178" s="83" vm="3130">
        <v>-18411</v>
      </c>
      <c r="BB178" s="8">
        <f xml:space="preserve"> IFERROR( ( VfM_Metrics_2023_Consol[[#This Row],[Total Costs]] / VfM_Metrics_2023_Consol[[#This Row],[Total units for costs]] ) * 1000, "n/a" )</f>
        <v>4059.6541329525621</v>
      </c>
      <c r="BC17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76764</v>
      </c>
      <c r="BD178" s="84" vm="3131">
        <v>22684</v>
      </c>
      <c r="BE178" s="83" vm="3132">
        <v>8087</v>
      </c>
      <c r="BF178" s="83" vm="3133">
        <v>10838</v>
      </c>
      <c r="BG178" s="83" vm="3134">
        <v>18194</v>
      </c>
      <c r="BH178" s="83" vm="3135">
        <v>0</v>
      </c>
      <c r="BI178" s="83" vm="7746">
        <v>0</v>
      </c>
      <c r="BJ178" s="83" vm="3127">
        <v>13825</v>
      </c>
      <c r="BK178" s="83" vm="3136">
        <v>0</v>
      </c>
      <c r="BL178" s="83" vm="3137">
        <v>0</v>
      </c>
      <c r="BM178" s="83" vm="3138">
        <v>0</v>
      </c>
      <c r="BN178" s="83" vm="3139">
        <v>3136</v>
      </c>
      <c r="BO178" s="83" vm="3140">
        <v>0</v>
      </c>
      <c r="BP178" s="5" vm="3103">
        <f xml:space="preserve"> VfM_Metrics_2023_Consol[[#This Row],[Total social housing units owned and/or managed at period end]]</f>
        <v>18909</v>
      </c>
      <c r="BQ178" s="84" vm="3103">
        <v>18909</v>
      </c>
      <c r="BR178" s="7">
        <f xml:space="preserve"> IFERROR( VfM_Metrics_2023_Consol[[#This Row],[SHL operating surplus / (deficit)]] / VfM_Metrics_2023_Consol[[#This Row],[Turnover from social housing lettings]], "n/a" )</f>
        <v>0.19603840154108693</v>
      </c>
      <c r="BS178" s="5" vm="3141">
        <f xml:space="preserve"> VfM_Metrics_2023_Consol[[#This Row],[Operating surplus/(deficit) (social housing lettings)]]</f>
        <v>18725</v>
      </c>
      <c r="BT178" s="84" vm="3141">
        <v>18725</v>
      </c>
      <c r="BU178" s="5" vm="3142">
        <f xml:space="preserve"> VfM_Metrics_2023_Consol[[#This Row],[Turnover from social housing lettings]]</f>
        <v>95517</v>
      </c>
      <c r="BV178" s="84" vm="3142">
        <v>95517</v>
      </c>
      <c r="BW178" s="7">
        <f xml:space="preserve"> IFERROR( VfM_Metrics_2023_Consol[[#This Row],[Net operating surplus]] / VfM_Metrics_2023_Consol[[#This Row],[Overall turnover]], "n/a" )</f>
        <v>0.1964317797980524</v>
      </c>
      <c r="BX178" s="5">
        <f xml:space="preserve"> SUM( VfM_Metrics_2023_Consol[[#This Row],[Operating surplus/(deficit) (overall)2]], - VfM_Metrics_2023_Consol[[#This Row],[Gain/(loss) on disposal of fixed assets (housing properties)2]], - VfM_Metrics_2023_Consol[[#This Row],[Gain/(loss) on disposal of fixed assets (other)2]] )</f>
        <v>21866</v>
      </c>
      <c r="BY178" s="84" vm="3121">
        <v>25995</v>
      </c>
      <c r="BZ178" s="83" vm="3122">
        <v>4129</v>
      </c>
      <c r="CA178" s="83" vm="7622">
        <v>0</v>
      </c>
      <c r="CB178" s="5" vm="7732">
        <f xml:space="preserve"> VfM_Metrics_2023_Consol[[#This Row],[Turnover (overall)]]</f>
        <v>111316</v>
      </c>
      <c r="CC178" s="84" vm="7732">
        <v>111316</v>
      </c>
      <c r="CD178" s="7">
        <f xml:space="preserve"> IFERROR( VfM_Metrics_2023_Consol[[#This Row],[Operating surplus including from JVs]] / VfM_Metrics_2023_Consol[[#This Row],[Net assets]], "n/a" )</f>
        <v>3.6128352591596039E-2</v>
      </c>
      <c r="CE178" s="5">
        <f xml:space="preserve"> SUM( VfM_Metrics_2023_Consol[[#This Row],[Operating surplus/(deficit) (overall)3]], VfM_Metrics_2023_Consol[[#This Row],[Share of operating surplus/(deficit) in joint ventures or associates]] )</f>
        <v>25995</v>
      </c>
      <c r="CF178" s="84" vm="2805">
        <v>25995</v>
      </c>
      <c r="CG178" s="83" vm="3144">
        <v>0</v>
      </c>
      <c r="CH178" s="5" vm="3143">
        <f xml:space="preserve"> VfM_Metrics_2023_Consol[[#This Row],[Total assets less current liabilities]]</f>
        <v>719518</v>
      </c>
      <c r="CI178" s="84" vm="3143">
        <v>719518</v>
      </c>
      <c r="CJ178" s="71" vm="7081">
        <f xml:space="preserve"> VfM_Metrics_2023_Consol[[#This Row],[Total social housing units owned (Period end)]]</f>
        <v>18908</v>
      </c>
      <c r="CK178" s="103">
        <v>1.3177392040643523E-2</v>
      </c>
      <c r="CL178" s="6">
        <f xml:space="preserve"> -- ( VfM_Metrics_2023_Consol[[#This Row],[% Supported housing (excl. HOP)]] &gt; 0.3 )</f>
        <v>0</v>
      </c>
      <c r="CM178" s="103">
        <v>9.785139712108383E-2</v>
      </c>
      <c r="CN178" s="6">
        <f xml:space="preserve"> -- ( VfM_Metrics_2023_Consol[[#This Row],[% Housing for older people]] &gt; 0.3 )</f>
        <v>0</v>
      </c>
      <c r="CO178" s="103">
        <f xml:space="preserve"> VfM_Metrics_2023_Consol[[#This Row],[% Supported housing (excl. HOP)]] + VfM_Metrics_2023_Consol[[#This Row],[% Housing for older people]]</f>
        <v>0.11102878916172736</v>
      </c>
      <c r="CP178" s="6">
        <f xml:space="preserve"> -- ( VfM_Metrics_2023_Consol[[#This Row],[SH specialist in RSH analysis]] + VfM_Metrics_2023_Consol[[#This Row],[OP specialist in RSH analysis]] &gt; 0 )</f>
        <v>0</v>
      </c>
      <c r="CQ178" s="10">
        <f xml:space="preserve"> -- ( VfM_Metrics_2023_Consol[[#This Row],[% SH and OP]] &gt; 0.3 )</f>
        <v>0</v>
      </c>
      <c r="CR178" s="104" t="s">
        <v>143</v>
      </c>
      <c r="CS178" s="124"/>
      <c r="CT178" s="105" t="s">
        <v>151</v>
      </c>
      <c r="CU17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78" s="85">
        <v>0</v>
      </c>
      <c r="CW178" s="85">
        <v>0</v>
      </c>
      <c r="CX178" s="85">
        <v>0</v>
      </c>
      <c r="CY178" s="85">
        <v>0</v>
      </c>
      <c r="CZ178" s="85">
        <v>1</v>
      </c>
      <c r="DA178" s="85">
        <v>0</v>
      </c>
      <c r="DB178" s="85">
        <v>0</v>
      </c>
      <c r="DC178" s="85">
        <v>0</v>
      </c>
      <c r="DD178" s="85">
        <v>0</v>
      </c>
      <c r="DE178" s="13">
        <v>0.96459033333600952</v>
      </c>
    </row>
    <row r="179" spans="1:109" x14ac:dyDescent="0.25">
      <c r="A179" s="4" t="s" vm="208">
        <v>482</v>
      </c>
      <c r="B179" s="2" t="s" vm="169">
        <v>483</v>
      </c>
      <c r="C179" s="72" vm="577">
        <v>45016</v>
      </c>
      <c r="D179" s="7">
        <f>IFERROR( VfM_Metrics_2023_Consol[[#This Row],[Reinvestment Spend]] / VfM_Metrics_2023_Consol[[#This Row],[Net Book Value of Housing Properties]], "n/a" )</f>
        <v>0.20296282954724543</v>
      </c>
      <c r="E17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18030</v>
      </c>
      <c r="F179" s="83" vm="774">
        <v>13342</v>
      </c>
      <c r="G179" s="83" vm="8853">
        <v>0</v>
      </c>
      <c r="H179" s="83" vm="9137">
        <v>4132</v>
      </c>
      <c r="I179" s="83" vm="775">
        <v>556</v>
      </c>
      <c r="J179" s="83" vm="9034">
        <v>0</v>
      </c>
      <c r="K179" s="5">
        <f xml:space="preserve"> SUM( VfM_Metrics_2023_Consol[[#This Row],[Tangible fixed assets: Housing properties at cost (Current period)]],VfM_Metrics_2023_Consol[[#This Row],[Tangible fixed assets Housing properties at valuation (Current period)]] )</f>
        <v>88834</v>
      </c>
      <c r="L179" s="84" vm="9086">
        <v>88834</v>
      </c>
      <c r="M179" s="83">
        <v>0</v>
      </c>
      <c r="N179" s="7">
        <f xml:space="preserve"> IFERROR( VfM_Metrics_2023_Consol[[#This Row],[Total social units developed or newly built units acquired in-year]] / VfM_Metrics_2023_Consol[[#This Row],[Social housing units owned (period end)]], "n/a" )</f>
        <v>8.4151472650771386E-3</v>
      </c>
      <c r="O179" s="5">
        <f xml:space="preserve"> SUM( VfM_Metrics_2023_Consol[[#This Row],[Total social units developed or newly built units acquired in-year (owned)]], VfM_Metrics_2023_Consol[[#This Row],[Total social leasehold units developed or newly built units acquired in-year (owned)]] )</f>
        <v>12</v>
      </c>
      <c r="P179" s="84" vm="9033">
        <v>12</v>
      </c>
      <c r="Q179" s="83">
        <v>0</v>
      </c>
      <c r="R179" s="5">
        <f xml:space="preserve"> SUM( VfM_Metrics_2023_Consol[[#This Row],[Total social housing units owned (Period end)]], VfM_Metrics_2023_Consol[[#This Row],[Total social leasehold units owned (Period end)]] )</f>
        <v>1426</v>
      </c>
      <c r="S179" s="84" vm="773">
        <v>1426</v>
      </c>
      <c r="T179" s="83" vm="777">
        <v>0</v>
      </c>
      <c r="U179" s="86">
        <f xml:space="preserve"> IFERROR( VfM_Metrics_2023_Consol[[#This Row],[Total non-social housing units developed or newly built units acquired (owned)]] / VfM_Metrics_2023_Consol[[#This Row],[Total social and non-social housing units owned (Period end)]], "n/a" )</f>
        <v>0</v>
      </c>
      <c r="V17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79" s="83">
        <v>0</v>
      </c>
      <c r="X179" s="83">
        <v>0</v>
      </c>
      <c r="Y179" s="83">
        <v>0</v>
      </c>
      <c r="Z17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1426</v>
      </c>
      <c r="AA179" s="84" vm="9090">
        <v>1426</v>
      </c>
      <c r="AB179" s="83" vm="811">
        <v>0</v>
      </c>
      <c r="AC179" s="83" vm="9030">
        <v>0</v>
      </c>
      <c r="AD179" s="83" vm="9079">
        <v>0</v>
      </c>
      <c r="AE179" s="7">
        <f xml:space="preserve"> IFERROR( VfM_Metrics_2023_Consol[[#This Row],[Total Net Debt]] / VfM_Metrics_2023_Consol[[#This Row],[Net Book Value of Housing Properties2]], "n/a" )</f>
        <v>0.34698426278226807</v>
      </c>
      <c r="AF17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30824</v>
      </c>
      <c r="AG179" s="84" vm="883">
        <v>250</v>
      </c>
      <c r="AH179" s="83" vm="9028">
        <v>31569</v>
      </c>
      <c r="AI179" s="83" vm="9076">
        <v>995</v>
      </c>
      <c r="AJ179" s="83" vm="1675">
        <v>0</v>
      </c>
      <c r="AK179" s="83">
        <v>0</v>
      </c>
      <c r="AL179" s="5">
        <f xml:space="preserve"> SUM( VfM_Metrics_2023_Consol[[#This Row],[Tangible fixed assets: Housing properties at cost (Current period)2]], VfM_Metrics_2023_Consol[[#This Row],[Tangible fixed assets Housing properties at valuation (Current period)2]] )</f>
        <v>88834</v>
      </c>
      <c r="AM179" s="84" vm="9085">
        <v>88834</v>
      </c>
      <c r="AN179" s="83">
        <v>0</v>
      </c>
      <c r="AO179" s="87">
        <f xml:space="preserve"> IFERROR( VfM_Metrics_2023_Consol[[#This Row],[EBITDA MRI]] / VfM_Metrics_2023_Consol[[#This Row],[Total interest]], "n/a" )</f>
        <v>-2.0852211434735706</v>
      </c>
      <c r="AP17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-1933</v>
      </c>
      <c r="AQ179" s="84" vm="780">
        <v>965</v>
      </c>
      <c r="AR179" s="84">
        <v>0</v>
      </c>
      <c r="AS179" s="84">
        <v>0</v>
      </c>
      <c r="AT179" s="84" vm="9026">
        <v>575</v>
      </c>
      <c r="AU179" s="84" vm="782">
        <v>0</v>
      </c>
      <c r="AV179" s="84" vm="9051">
        <v>127</v>
      </c>
      <c r="AW179" s="84" vm="8848">
        <v>4132</v>
      </c>
      <c r="AX179" s="84" vm="765">
        <v>1682</v>
      </c>
      <c r="AY179" s="3">
        <f xml:space="preserve"> - SUM( VfM_Metrics_2023_Consol[[#This Row],[Interest capitalised]], VfM_Metrics_2023_Consol[[#This Row],[Interest payable and financing costs]] )</f>
        <v>927</v>
      </c>
      <c r="AZ179" s="84" vm="783">
        <v>-556</v>
      </c>
      <c r="BA179" s="83" vm="784">
        <v>-371</v>
      </c>
      <c r="BB179" s="8">
        <f xml:space="preserve"> IFERROR( ( VfM_Metrics_2023_Consol[[#This Row],[Total Costs]] / VfM_Metrics_2023_Consol[[#This Row],[Total units for costs]] ) * 1000, "n/a" )</f>
        <v>8680.6429070580016</v>
      </c>
      <c r="BC17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12422</v>
      </c>
      <c r="BD179" s="84" vm="9055">
        <v>2405</v>
      </c>
      <c r="BE179" s="83" vm="785">
        <v>2080</v>
      </c>
      <c r="BF179" s="83" vm="786">
        <v>2988</v>
      </c>
      <c r="BG179" s="83" vm="787">
        <v>268</v>
      </c>
      <c r="BH179" s="83" vm="788">
        <v>233</v>
      </c>
      <c r="BI179" s="83" vm="8846">
        <v>53</v>
      </c>
      <c r="BJ179" s="83" vm="9053">
        <v>4132</v>
      </c>
      <c r="BK179" s="83" vm="8959">
        <v>0</v>
      </c>
      <c r="BL179" s="83" vm="675">
        <v>133</v>
      </c>
      <c r="BM179" s="83" vm="790">
        <v>130</v>
      </c>
      <c r="BN179" s="83">
        <v>0</v>
      </c>
      <c r="BO179" s="83">
        <v>0</v>
      </c>
      <c r="BP179" s="5" vm="9049">
        <f xml:space="preserve"> VfM_Metrics_2023_Consol[[#This Row],[Total social housing units owned and/or managed at period end]]</f>
        <v>1431</v>
      </c>
      <c r="BQ179" s="84" vm="9049">
        <v>1431</v>
      </c>
      <c r="BR179" s="7">
        <f xml:space="preserve"> IFERROR( VfM_Metrics_2023_Consol[[#This Row],[SHL operating surplus / (deficit)]] / VfM_Metrics_2023_Consol[[#This Row],[Turnover from social housing lettings]], "n/a" )</f>
        <v>0.10220230717894938</v>
      </c>
      <c r="BS179" s="5" vm="9047">
        <f xml:space="preserve"> VfM_Metrics_2023_Consol[[#This Row],[Operating surplus/(deficit) (social housing lettings)]]</f>
        <v>1072</v>
      </c>
      <c r="BT179" s="84" vm="9047">
        <v>1072</v>
      </c>
      <c r="BU179" s="5" vm="848">
        <f xml:space="preserve"> VfM_Metrics_2023_Consol[[#This Row],[Turnover from social housing lettings]]</f>
        <v>10489</v>
      </c>
      <c r="BV179" s="84" vm="848">
        <v>10489</v>
      </c>
      <c r="BW179" s="7">
        <f xml:space="preserve"> IFERROR( VfM_Metrics_2023_Consol[[#This Row],[Net operating surplus]] / VfM_Metrics_2023_Consol[[#This Row],[Overall turnover]], "n/a" )</f>
        <v>8.9625708182409211E-2</v>
      </c>
      <c r="BX179" s="5">
        <f xml:space="preserve"> SUM( VfM_Metrics_2023_Consol[[#This Row],[Operating surplus/(deficit) (overall)2]], - VfM_Metrics_2023_Consol[[#This Row],[Gain/(loss) on disposal of fixed assets (housing properties)2]], - VfM_Metrics_2023_Consol[[#This Row],[Gain/(loss) on disposal of fixed assets (other)2]] )</f>
        <v>965</v>
      </c>
      <c r="BY179" s="84" vm="780">
        <v>965</v>
      </c>
      <c r="BZ179" s="83">
        <v>0</v>
      </c>
      <c r="CA179" s="83">
        <v>0</v>
      </c>
      <c r="CB179" s="5" vm="9160">
        <f xml:space="preserve"> VfM_Metrics_2023_Consol[[#This Row],[Turnover (overall)]]</f>
        <v>10767</v>
      </c>
      <c r="CC179" s="84" vm="9160">
        <v>10767</v>
      </c>
      <c r="CD179" s="7">
        <f xml:space="preserve"> IFERROR( VfM_Metrics_2023_Consol[[#This Row],[Operating surplus including from JVs]] / VfM_Metrics_2023_Consol[[#This Row],[Net assets]], "n/a" )</f>
        <v>9.7349864315474082E-3</v>
      </c>
      <c r="CE179" s="5">
        <f xml:space="preserve"> SUM( VfM_Metrics_2023_Consol[[#This Row],[Operating surplus/(deficit) (overall)3]], VfM_Metrics_2023_Consol[[#This Row],[Share of operating surplus/(deficit) in joint ventures or associates]] )</f>
        <v>965</v>
      </c>
      <c r="CF179" s="84" vm="780">
        <v>965</v>
      </c>
      <c r="CG179" s="83">
        <v>0</v>
      </c>
      <c r="CH179" s="5" vm="792">
        <f xml:space="preserve"> VfM_Metrics_2023_Consol[[#This Row],[Total assets less current liabilities]]</f>
        <v>99127</v>
      </c>
      <c r="CI179" s="84" vm="792">
        <v>99127</v>
      </c>
      <c r="CJ179" s="71" vm="773">
        <f xml:space="preserve"> VfM_Metrics_2023_Consol[[#This Row],[Total social housing units owned (Period end)]]</f>
        <v>1426</v>
      </c>
      <c r="CK179" s="103">
        <v>2.0847810979847115E-3</v>
      </c>
      <c r="CL179" s="6">
        <f xml:space="preserve"> -- ( VfM_Metrics_2023_Consol[[#This Row],[% Supported housing (excl. HOP)]] &gt; 0.3 )</f>
        <v>0</v>
      </c>
      <c r="CM179" s="103">
        <v>0.14176511466296038</v>
      </c>
      <c r="CN179" s="6">
        <f xml:space="preserve"> -- ( VfM_Metrics_2023_Consol[[#This Row],[% Housing for older people]] &gt; 0.3 )</f>
        <v>0</v>
      </c>
      <c r="CO179" s="103">
        <f xml:space="preserve"> VfM_Metrics_2023_Consol[[#This Row],[% Supported housing (excl. HOP)]] + VfM_Metrics_2023_Consol[[#This Row],[% Housing for older people]]</f>
        <v>0.14384989576094509</v>
      </c>
      <c r="CP179" s="6">
        <f xml:space="preserve"> -- ( VfM_Metrics_2023_Consol[[#This Row],[SH specialist in RSH analysis]] + VfM_Metrics_2023_Consol[[#This Row],[OP specialist in RSH analysis]] &gt; 0 )</f>
        <v>0</v>
      </c>
      <c r="CQ179" s="10">
        <f xml:space="preserve"> -- ( VfM_Metrics_2023_Consol[[#This Row],[% SH and OP]] &gt; 0.3 )</f>
        <v>0</v>
      </c>
      <c r="CR179" s="104" t="s">
        <v>143</v>
      </c>
      <c r="CS179" s="124" t="s">
        <v>144</v>
      </c>
      <c r="CT179" s="105"/>
      <c r="CU17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79" s="85">
        <v>0.9916666666666667</v>
      </c>
      <c r="CW179" s="85">
        <v>0</v>
      </c>
      <c r="CX179" s="85">
        <v>0</v>
      </c>
      <c r="CY179" s="85">
        <v>0</v>
      </c>
      <c r="CZ179" s="85">
        <v>0</v>
      </c>
      <c r="DA179" s="85">
        <v>8.3333333333333332E-3</v>
      </c>
      <c r="DB179" s="85">
        <v>0</v>
      </c>
      <c r="DC179" s="85">
        <v>0</v>
      </c>
      <c r="DD179" s="85">
        <v>0</v>
      </c>
      <c r="DE179" s="13">
        <v>1.1591283790293063</v>
      </c>
    </row>
    <row r="180" spans="1:109" x14ac:dyDescent="0.25">
      <c r="A180" s="4" t="s" vm="235">
        <v>484</v>
      </c>
      <c r="B180" s="2" t="s" vm="170">
        <v>485</v>
      </c>
      <c r="C180" s="72" vm="460">
        <v>45016</v>
      </c>
      <c r="D180" s="7">
        <f>IFERROR( VfM_Metrics_2023_Consol[[#This Row],[Reinvestment Spend]] / VfM_Metrics_2023_Consol[[#This Row],[Net Book Value of Housing Properties]], "n/a" )</f>
        <v>7.2797289327304476E-2</v>
      </c>
      <c r="E18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6295</v>
      </c>
      <c r="F180" s="83" vm="1343">
        <v>5072</v>
      </c>
      <c r="G180" s="83" vm="8405">
        <v>0</v>
      </c>
      <c r="H180" s="83" vm="1552">
        <v>1223</v>
      </c>
      <c r="I180" s="83" vm="1345">
        <v>0</v>
      </c>
      <c r="J180" s="83" vm="1346">
        <v>0</v>
      </c>
      <c r="K180" s="5">
        <f xml:space="preserve"> SUM( VfM_Metrics_2023_Consol[[#This Row],[Tangible fixed assets: Housing properties at cost (Current period)]],VfM_Metrics_2023_Consol[[#This Row],[Tangible fixed assets Housing properties at valuation (Current period)]] )</f>
        <v>86473</v>
      </c>
      <c r="L180" s="84" vm="1347">
        <v>86473</v>
      </c>
      <c r="M180" s="83" vm="8595">
        <v>0</v>
      </c>
      <c r="N180" s="7">
        <f xml:space="preserve"> IFERROR( VfM_Metrics_2023_Consol[[#This Row],[Total social units developed or newly built units acquired in-year]] / VfM_Metrics_2023_Consol[[#This Row],[Social housing units owned (period end)]], "n/a" )</f>
        <v>1.4437689969604863E-2</v>
      </c>
      <c r="O180" s="5">
        <f xml:space="preserve"> SUM( VfM_Metrics_2023_Consol[[#This Row],[Total social units developed or newly built units acquired in-year (owned)]], VfM_Metrics_2023_Consol[[#This Row],[Total social leasehold units developed or newly built units acquired in-year (owned)]] )</f>
        <v>38</v>
      </c>
      <c r="P180" s="84" vm="8371">
        <v>38</v>
      </c>
      <c r="Q180" s="83" vm="1349">
        <v>0</v>
      </c>
      <c r="R180" s="5">
        <f xml:space="preserve"> SUM( VfM_Metrics_2023_Consol[[#This Row],[Total social housing units owned (Period end)]], VfM_Metrics_2023_Consol[[#This Row],[Total social leasehold units owned (Period end)]] )</f>
        <v>2632</v>
      </c>
      <c r="S180" s="84" vm="8141">
        <v>2417</v>
      </c>
      <c r="T180" s="83" vm="8282">
        <v>215</v>
      </c>
      <c r="U180" s="86">
        <f xml:space="preserve"> IFERROR( VfM_Metrics_2023_Consol[[#This Row],[Total non-social housing units developed or newly built units acquired (owned)]] / VfM_Metrics_2023_Consol[[#This Row],[Total social and non-social housing units owned (Period end)]], "n/a" )</f>
        <v>0</v>
      </c>
      <c r="V18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80" s="83" vm="1189">
        <v>0</v>
      </c>
      <c r="X180" s="83" vm="8110">
        <v>0</v>
      </c>
      <c r="Y180" s="83" vm="1351">
        <v>0</v>
      </c>
      <c r="Z18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2736</v>
      </c>
      <c r="AA180" s="84" vm="1342">
        <v>2417</v>
      </c>
      <c r="AB180" s="83" vm="1350">
        <v>215</v>
      </c>
      <c r="AC180" s="83" vm="1352">
        <v>100</v>
      </c>
      <c r="AD180" s="83" vm="8401">
        <v>4</v>
      </c>
      <c r="AE180" s="7">
        <f xml:space="preserve"> IFERROR( VfM_Metrics_2023_Consol[[#This Row],[Total Net Debt]] / VfM_Metrics_2023_Consol[[#This Row],[Net Book Value of Housing Properties2]], "n/a" )</f>
        <v>0.32920102228441245</v>
      </c>
      <c r="AF18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28467</v>
      </c>
      <c r="AG180" s="84" vm="1354">
        <v>1488</v>
      </c>
      <c r="AH180" s="83" vm="1673">
        <v>60762</v>
      </c>
      <c r="AI180" s="83" vm="8474">
        <v>33798</v>
      </c>
      <c r="AJ180" s="83" vm="8473">
        <v>0</v>
      </c>
      <c r="AK180" s="83" vm="8422">
        <v>15</v>
      </c>
      <c r="AL180" s="5">
        <f xml:space="preserve"> SUM( VfM_Metrics_2023_Consol[[#This Row],[Tangible fixed assets: Housing properties at cost (Current period)2]], VfM_Metrics_2023_Consol[[#This Row],[Tangible fixed assets Housing properties at valuation (Current period)2]] )</f>
        <v>86473</v>
      </c>
      <c r="AM180" s="84" vm="1347">
        <v>86473</v>
      </c>
      <c r="AN180" s="83" vm="1348">
        <v>0</v>
      </c>
      <c r="AO180" s="87">
        <f xml:space="preserve"> IFERROR( VfM_Metrics_2023_Consol[[#This Row],[EBITDA MRI]] / VfM_Metrics_2023_Consol[[#This Row],[Total interest]], "n/a" )</f>
        <v>2.6511500547645124</v>
      </c>
      <c r="AP18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4841</v>
      </c>
      <c r="AQ180" s="84" vm="997">
        <v>4133</v>
      </c>
      <c r="AR180" s="84" vm="8108">
        <v>451</v>
      </c>
      <c r="AS180" s="84" vm="1357">
        <v>0</v>
      </c>
      <c r="AT180" s="84" vm="8396">
        <v>256</v>
      </c>
      <c r="AU180" s="84" vm="8370">
        <v>0</v>
      </c>
      <c r="AV180" s="84" vm="1359">
        <v>543</v>
      </c>
      <c r="AW180" s="84" vm="1360">
        <v>1223</v>
      </c>
      <c r="AX180" s="84" vm="978">
        <v>2095</v>
      </c>
      <c r="AY180" s="3">
        <f xml:space="preserve"> - SUM( VfM_Metrics_2023_Consol[[#This Row],[Interest capitalised]], VfM_Metrics_2023_Consol[[#This Row],[Interest payable and financing costs]] )</f>
        <v>1826</v>
      </c>
      <c r="AZ180" s="84" vm="8100">
        <v>0</v>
      </c>
      <c r="BA180" s="83" vm="1361">
        <v>-1826</v>
      </c>
      <c r="BB180" s="8">
        <f xml:space="preserve"> IFERROR( ( VfM_Metrics_2023_Consol[[#This Row],[Total Costs]] / VfM_Metrics_2023_Consol[[#This Row],[Total units for costs]] ) * 1000, "n/a" )</f>
        <v>3521.7211419114606</v>
      </c>
      <c r="BC18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8512</v>
      </c>
      <c r="BD180" s="84" vm="1265">
        <v>2066</v>
      </c>
      <c r="BE180" s="83" vm="8565">
        <v>1301</v>
      </c>
      <c r="BF180" s="83" vm="1362">
        <v>2287</v>
      </c>
      <c r="BG180" s="83" vm="8138">
        <v>1295</v>
      </c>
      <c r="BH180" s="83" vm="1363">
        <v>340</v>
      </c>
      <c r="BI180" s="83" vm="8390">
        <v>0</v>
      </c>
      <c r="BJ180" s="83" vm="8369">
        <v>1223</v>
      </c>
      <c r="BK180" s="83" vm="8274">
        <v>0</v>
      </c>
      <c r="BL180" s="83" vm="8475">
        <v>0</v>
      </c>
      <c r="BM180" s="83" vm="2205">
        <v>0</v>
      </c>
      <c r="BN180" s="83" vm="8133">
        <v>0</v>
      </c>
      <c r="BO180" s="83" vm="1364">
        <v>0</v>
      </c>
      <c r="BP180" s="5" vm="8388">
        <f xml:space="preserve"> VfM_Metrics_2023_Consol[[#This Row],[Total social housing units owned and/or managed at period end]]</f>
        <v>2417</v>
      </c>
      <c r="BQ180" s="84" vm="8388">
        <v>2417</v>
      </c>
      <c r="BR180" s="7">
        <f xml:space="preserve"> IFERROR( VfM_Metrics_2023_Consol[[#This Row],[SHL operating surplus / (deficit)]] / VfM_Metrics_2023_Consol[[#This Row],[Turnover from social housing lettings]], "n/a" )</f>
        <v>0.32603497235091916</v>
      </c>
      <c r="BS180" s="5" vm="8564">
        <f xml:space="preserve"> VfM_Metrics_2023_Consol[[#This Row],[Operating surplus/(deficit) (social housing lettings)]]</f>
        <v>4363</v>
      </c>
      <c r="BT180" s="84" vm="8564">
        <v>4363</v>
      </c>
      <c r="BU180" s="5" vm="1365">
        <f xml:space="preserve"> VfM_Metrics_2023_Consol[[#This Row],[Turnover from social housing lettings]]</f>
        <v>13382</v>
      </c>
      <c r="BV180" s="84" vm="1365">
        <v>13382</v>
      </c>
      <c r="BW180" s="7">
        <f xml:space="preserve"> IFERROR( VfM_Metrics_2023_Consol[[#This Row],[Net operating surplus]] / VfM_Metrics_2023_Consol[[#This Row],[Overall turnover]], "n/a" )</f>
        <v>0.22647312092508304</v>
      </c>
      <c r="BX180" s="5">
        <f xml:space="preserve"> SUM( VfM_Metrics_2023_Consol[[#This Row],[Operating surplus/(deficit) (overall)2]], - VfM_Metrics_2023_Consol[[#This Row],[Gain/(loss) on disposal of fixed assets (housing properties)2]], - VfM_Metrics_2023_Consol[[#This Row],[Gain/(loss) on disposal of fixed assets (other)2]] )</f>
        <v>3682</v>
      </c>
      <c r="BY180" s="84" vm="8090">
        <v>4133</v>
      </c>
      <c r="BZ180" s="83" vm="8395">
        <v>451</v>
      </c>
      <c r="CA180" s="83" vm="1357">
        <v>0</v>
      </c>
      <c r="CB180" s="5" vm="8460">
        <f xml:space="preserve"> VfM_Metrics_2023_Consol[[#This Row],[Turnover (overall)]]</f>
        <v>16258</v>
      </c>
      <c r="CC180" s="84" vm="8460">
        <v>16258</v>
      </c>
      <c r="CD180" s="7">
        <f xml:space="preserve"> IFERROR( VfM_Metrics_2023_Consol[[#This Row],[Operating surplus including from JVs]] / VfM_Metrics_2023_Consol[[#This Row],[Net assets]], "n/a" )</f>
        <v>3.0676850223043638E-2</v>
      </c>
      <c r="CE180" s="5">
        <f xml:space="preserve"> SUM( VfM_Metrics_2023_Consol[[#This Row],[Operating surplus/(deficit) (overall)3]], VfM_Metrics_2023_Consol[[#This Row],[Share of operating surplus/(deficit) in joint ventures or associates]] )</f>
        <v>4133</v>
      </c>
      <c r="CF180" s="84" vm="1453">
        <v>4133</v>
      </c>
      <c r="CG180" s="83" vm="1034">
        <v>0</v>
      </c>
      <c r="CH180" s="5" vm="1366">
        <f xml:space="preserve"> VfM_Metrics_2023_Consol[[#This Row],[Total assets less current liabilities]]</f>
        <v>134727</v>
      </c>
      <c r="CI180" s="84" vm="1366">
        <v>134727</v>
      </c>
      <c r="CJ180" s="71" vm="8141">
        <f xml:space="preserve"> VfM_Metrics_2023_Consol[[#This Row],[Total social housing units owned (Period end)]]</f>
        <v>2417</v>
      </c>
      <c r="CK180" s="103">
        <v>0</v>
      </c>
      <c r="CL180" s="6">
        <f xml:space="preserve"> -- ( VfM_Metrics_2023_Consol[[#This Row],[% Supported housing (excl. HOP)]] &gt; 0.3 )</f>
        <v>0</v>
      </c>
      <c r="CM180" s="103">
        <v>5.293631100082713E-2</v>
      </c>
      <c r="CN180" s="6">
        <f xml:space="preserve"> -- ( VfM_Metrics_2023_Consol[[#This Row],[% Housing for older people]] &gt; 0.3 )</f>
        <v>0</v>
      </c>
      <c r="CO180" s="103">
        <f xml:space="preserve"> VfM_Metrics_2023_Consol[[#This Row],[% Supported housing (excl. HOP)]] + VfM_Metrics_2023_Consol[[#This Row],[% Housing for older people]]</f>
        <v>5.293631100082713E-2</v>
      </c>
      <c r="CP180" s="6">
        <f xml:space="preserve"> -- ( VfM_Metrics_2023_Consol[[#This Row],[SH specialist in RSH analysis]] + VfM_Metrics_2023_Consol[[#This Row],[OP specialist in RSH analysis]] &gt; 0 )</f>
        <v>0</v>
      </c>
      <c r="CQ180" s="10">
        <f xml:space="preserve"> -- ( VfM_Metrics_2023_Consol[[#This Row],[% SH and OP]] &gt; 0.3 )</f>
        <v>0</v>
      </c>
      <c r="CR180" s="104" t="s">
        <v>143</v>
      </c>
      <c r="CS180" s="124" t="s">
        <v>144</v>
      </c>
      <c r="CT180" s="105"/>
      <c r="CU18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80" s="85">
        <v>0</v>
      </c>
      <c r="CW180" s="85">
        <v>0</v>
      </c>
      <c r="CX180" s="85">
        <v>0</v>
      </c>
      <c r="CY180" s="85">
        <v>0</v>
      </c>
      <c r="CZ180" s="85">
        <v>1</v>
      </c>
      <c r="DA180" s="85">
        <v>0</v>
      </c>
      <c r="DB180" s="85">
        <v>0</v>
      </c>
      <c r="DC180" s="85">
        <v>0</v>
      </c>
      <c r="DD180" s="85">
        <v>0</v>
      </c>
      <c r="DE180" s="13">
        <v>0.96459033333600952</v>
      </c>
    </row>
    <row r="181" spans="1:109" x14ac:dyDescent="0.25">
      <c r="A181" s="4" t="s" vm="241">
        <v>486</v>
      </c>
      <c r="B181" s="2" t="s" vm="171">
        <v>487</v>
      </c>
      <c r="C181" s="72" vm="589">
        <v>45016</v>
      </c>
      <c r="D181" s="7">
        <f>IFERROR( VfM_Metrics_2023_Consol[[#This Row],[Reinvestment Spend]] / VfM_Metrics_2023_Consol[[#This Row],[Net Book Value of Housing Properties]], "n/a" )</f>
        <v>8.0248061816082406E-2</v>
      </c>
      <c r="E18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324419</v>
      </c>
      <c r="F181" s="83" vm="8374">
        <v>240109</v>
      </c>
      <c r="G181" s="83" vm="1495">
        <v>0</v>
      </c>
      <c r="H181" s="83" vm="1496">
        <v>84310</v>
      </c>
      <c r="I181" s="83" vm="1497">
        <v>0</v>
      </c>
      <c r="J181" s="83" vm="1498">
        <v>0</v>
      </c>
      <c r="K181" s="5">
        <f xml:space="preserve"> SUM( VfM_Metrics_2023_Consol[[#This Row],[Tangible fixed assets: Housing properties at cost (Current period)]],VfM_Metrics_2023_Consol[[#This Row],[Tangible fixed assets Housing properties at valuation (Current period)]] )</f>
        <v>4042702</v>
      </c>
      <c r="L181" s="84" vm="8079">
        <v>4042702</v>
      </c>
      <c r="M181" s="83" vm="8430">
        <v>0</v>
      </c>
      <c r="N181" s="7">
        <f xml:space="preserve"> IFERROR( VfM_Metrics_2023_Consol[[#This Row],[Total social units developed or newly built units acquired in-year]] / VfM_Metrics_2023_Consol[[#This Row],[Social housing units owned (period end)]], "n/a" )</f>
        <v>1.2296729652170296E-2</v>
      </c>
      <c r="O181" s="5">
        <f xml:space="preserve"> SUM( VfM_Metrics_2023_Consol[[#This Row],[Total social units developed or newly built units acquired in-year (owned)]], VfM_Metrics_2023_Consol[[#This Row],[Total social leasehold units developed or newly built units acquired in-year (owned)]] )</f>
        <v>887</v>
      </c>
      <c r="P181" s="84" vm="8309">
        <v>863</v>
      </c>
      <c r="Q181" s="83" vm="8237">
        <v>24</v>
      </c>
      <c r="R181" s="5">
        <f xml:space="preserve"> SUM( VfM_Metrics_2023_Consol[[#This Row],[Total social housing units owned (Period end)]], VfM_Metrics_2023_Consol[[#This Row],[Total social leasehold units owned (Period end)]] )</f>
        <v>72133</v>
      </c>
      <c r="S181" s="84" vm="1494">
        <v>66944</v>
      </c>
      <c r="T181" s="83" vm="2045">
        <v>5189</v>
      </c>
      <c r="U181" s="86">
        <f xml:space="preserve"> IFERROR( VfM_Metrics_2023_Consol[[#This Row],[Total non-social housing units developed or newly built units acquired (owned)]] / VfM_Metrics_2023_Consol[[#This Row],[Total social and non-social housing units owned (Period end)]], "n/a" )</f>
        <v>6.5381279605043697E-4</v>
      </c>
      <c r="V18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49</v>
      </c>
      <c r="W181" s="83">
        <v>0</v>
      </c>
      <c r="X181" s="83">
        <v>0</v>
      </c>
      <c r="Y181" s="83" vm="7887">
        <v>49</v>
      </c>
      <c r="Z18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74945</v>
      </c>
      <c r="AA181" s="84" vm="1494">
        <v>66944</v>
      </c>
      <c r="AB181" s="83" vm="1501">
        <v>5189</v>
      </c>
      <c r="AC181" s="83" vm="1502">
        <v>1226</v>
      </c>
      <c r="AD181" s="83" vm="1402">
        <v>1586</v>
      </c>
      <c r="AE181" s="7">
        <f xml:space="preserve"> IFERROR( VfM_Metrics_2023_Consol[[#This Row],[Total Net Debt]] / VfM_Metrics_2023_Consol[[#This Row],[Net Book Value of Housing Properties2]], "n/a" )</f>
        <v>0.57264967835868186</v>
      </c>
      <c r="AF18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2315052</v>
      </c>
      <c r="AG181" s="84" vm="1503">
        <v>168661</v>
      </c>
      <c r="AH181" s="83" vm="8534">
        <v>2177105</v>
      </c>
      <c r="AI181" s="83" vm="8332">
        <v>32037</v>
      </c>
      <c r="AJ181" s="83" vm="8311">
        <v>0</v>
      </c>
      <c r="AK181" s="83" vm="7884">
        <v>1323</v>
      </c>
      <c r="AL181" s="5">
        <f xml:space="preserve"> SUM( VfM_Metrics_2023_Consol[[#This Row],[Tangible fixed assets: Housing properties at cost (Current period)2]], VfM_Metrics_2023_Consol[[#This Row],[Tangible fixed assets Housing properties at valuation (Current period)2]] )</f>
        <v>4042702</v>
      </c>
      <c r="AM181" s="84" vm="1499">
        <v>4042702</v>
      </c>
      <c r="AN181" s="83" vm="1500">
        <v>0</v>
      </c>
      <c r="AO181" s="87">
        <f xml:space="preserve"> IFERROR( VfM_Metrics_2023_Consol[[#This Row],[EBITDA MRI]] / VfM_Metrics_2023_Consol[[#This Row],[Total interest]], "n/a" )</f>
        <v>0.42451879883477173</v>
      </c>
      <c r="AP18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31186</v>
      </c>
      <c r="AQ181" s="84" vm="1504">
        <v>49244</v>
      </c>
      <c r="AR181" s="84" vm="1758">
        <v>17447</v>
      </c>
      <c r="AS181" s="84" vm="1505">
        <v>0</v>
      </c>
      <c r="AT181" s="84" vm="1506">
        <v>11748</v>
      </c>
      <c r="AU181" s="84" vm="1150">
        <v>0</v>
      </c>
      <c r="AV181" s="84" vm="1507">
        <v>6307</v>
      </c>
      <c r="AW181" s="84" vm="7881">
        <v>84310</v>
      </c>
      <c r="AX181" s="84" vm="1508">
        <v>89140</v>
      </c>
      <c r="AY181" s="3">
        <f xml:space="preserve"> - SUM( VfM_Metrics_2023_Consol[[#This Row],[Interest capitalised]], VfM_Metrics_2023_Consol[[#This Row],[Interest payable and financing costs]] )</f>
        <v>73462</v>
      </c>
      <c r="AZ181" s="84" vm="1509">
        <v>0</v>
      </c>
      <c r="BA181" s="83" vm="8306">
        <v>-73462</v>
      </c>
      <c r="BB181" s="8">
        <f xml:space="preserve"> IFERROR( ( VfM_Metrics_2023_Consol[[#This Row],[Total Costs]] / VfM_Metrics_2023_Consol[[#This Row],[Total units for costs]] ) * 1000, "n/a" )</f>
        <v>7330.474732006126</v>
      </c>
      <c r="BC18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502614</v>
      </c>
      <c r="BD181" s="84" vm="1510">
        <v>70458</v>
      </c>
      <c r="BE181" s="83" vm="1511">
        <v>153773</v>
      </c>
      <c r="BF181" s="83" vm="8368">
        <v>65141</v>
      </c>
      <c r="BG181" s="83" vm="1512">
        <v>37281</v>
      </c>
      <c r="BH181" s="83" vm="1513">
        <v>64529</v>
      </c>
      <c r="BI181" s="83" vm="1514">
        <v>231</v>
      </c>
      <c r="BJ181" s="83" vm="8328">
        <v>84310</v>
      </c>
      <c r="BK181" s="83" vm="1515">
        <v>0</v>
      </c>
      <c r="BL181" s="83" vm="1516">
        <v>0</v>
      </c>
      <c r="BM181" s="83" vm="1517">
        <v>0</v>
      </c>
      <c r="BN181" s="83" vm="1518">
        <v>26891</v>
      </c>
      <c r="BO181" s="83" vm="1519">
        <v>0</v>
      </c>
      <c r="BP181" s="5" vm="8235">
        <f xml:space="preserve"> VfM_Metrics_2023_Consol[[#This Row],[Total social housing units owned and/or managed at period end]]</f>
        <v>68565</v>
      </c>
      <c r="BQ181" s="84" vm="8235">
        <v>68565</v>
      </c>
      <c r="BR181" s="7">
        <f xml:space="preserve"> IFERROR( VfM_Metrics_2023_Consol[[#This Row],[SHL operating surplus / (deficit)]] / VfM_Metrics_2023_Consol[[#This Row],[Turnover from social housing lettings]], "n/a" )</f>
        <v>5.2795440648093009E-2</v>
      </c>
      <c r="BS181" s="5" vm="1520">
        <f xml:space="preserve"> VfM_Metrics_2023_Consol[[#This Row],[Operating surplus/(deficit) (social housing lettings)]]</f>
        <v>26420</v>
      </c>
      <c r="BT181" s="84" vm="1520">
        <v>26420</v>
      </c>
      <c r="BU181" s="5" vm="7115">
        <f xml:space="preserve"> VfM_Metrics_2023_Consol[[#This Row],[Turnover from social housing lettings]]</f>
        <v>500422</v>
      </c>
      <c r="BV181" s="84" vm="7115">
        <v>500422</v>
      </c>
      <c r="BW181" s="7">
        <f xml:space="preserve"> IFERROR( VfM_Metrics_2023_Consol[[#This Row],[Net operating surplus]] / VfM_Metrics_2023_Consol[[#This Row],[Overall turnover]], "n/a" )</f>
        <v>5.0842254219265914E-2</v>
      </c>
      <c r="BX181" s="5">
        <f xml:space="preserve"> SUM( VfM_Metrics_2023_Consol[[#This Row],[Operating surplus/(deficit) (overall)2]], - VfM_Metrics_2023_Consol[[#This Row],[Gain/(loss) on disposal of fixed assets (housing properties)2]], - VfM_Metrics_2023_Consol[[#This Row],[Gain/(loss) on disposal of fixed assets (other)2]] )</f>
        <v>31797</v>
      </c>
      <c r="BY181" s="84" vm="1616">
        <v>49244</v>
      </c>
      <c r="BZ181" s="83" vm="8426">
        <v>17447</v>
      </c>
      <c r="CA181" s="83" vm="8297">
        <v>0</v>
      </c>
      <c r="CB181" s="5" vm="1521">
        <f xml:space="preserve"> VfM_Metrics_2023_Consol[[#This Row],[Turnover (overall)]]</f>
        <v>625405</v>
      </c>
      <c r="CC181" s="84" vm="1521">
        <v>625405</v>
      </c>
      <c r="CD181" s="7">
        <f xml:space="preserve"> IFERROR( VfM_Metrics_2023_Consol[[#This Row],[Operating surplus including from JVs]] / VfM_Metrics_2023_Consol[[#This Row],[Net assets]], "n/a" )</f>
        <v>1.167005229263722E-2</v>
      </c>
      <c r="CE181" s="5">
        <f xml:space="preserve"> SUM( VfM_Metrics_2023_Consol[[#This Row],[Operating surplus/(deficit) (overall)3]], VfM_Metrics_2023_Consol[[#This Row],[Share of operating surplus/(deficit) in joint ventures or associates]] )</f>
        <v>52112</v>
      </c>
      <c r="CF181" s="84" vm="1504">
        <v>49244</v>
      </c>
      <c r="CG181" s="83" vm="8074">
        <v>2868</v>
      </c>
      <c r="CH181" s="5" vm="8514">
        <f xml:space="preserve"> VfM_Metrics_2023_Consol[[#This Row],[Total assets less current liabilities]]</f>
        <v>4465447</v>
      </c>
      <c r="CI181" s="84" vm="8514">
        <v>4465447</v>
      </c>
      <c r="CJ181" s="71" vm="1494">
        <f xml:space="preserve"> VfM_Metrics_2023_Consol[[#This Row],[Total social housing units owned (Period end)]]</f>
        <v>66944</v>
      </c>
      <c r="CK181" s="103">
        <v>8.265145493368245E-2</v>
      </c>
      <c r="CL181" s="6">
        <f xml:space="preserve"> -- ( VfM_Metrics_2023_Consol[[#This Row],[% Supported housing (excl. HOP)]] &gt; 0.3 )</f>
        <v>0</v>
      </c>
      <c r="CM181" s="103">
        <v>7.7991303128068457E-2</v>
      </c>
      <c r="CN181" s="6">
        <f xml:space="preserve"> -- ( VfM_Metrics_2023_Consol[[#This Row],[% Housing for older people]] &gt; 0.3 )</f>
        <v>0</v>
      </c>
      <c r="CO181" s="103">
        <f xml:space="preserve"> VfM_Metrics_2023_Consol[[#This Row],[% Supported housing (excl. HOP)]] + VfM_Metrics_2023_Consol[[#This Row],[% Housing for older people]]</f>
        <v>0.16064275806175091</v>
      </c>
      <c r="CP181" s="6">
        <f xml:space="preserve"> -- ( VfM_Metrics_2023_Consol[[#This Row],[SH specialist in RSH analysis]] + VfM_Metrics_2023_Consol[[#This Row],[OP specialist in RSH analysis]] &gt; 0 )</f>
        <v>0</v>
      </c>
      <c r="CQ181" s="10">
        <f xml:space="preserve"> -- ( VfM_Metrics_2023_Consol[[#This Row],[% SH and OP]] &gt; 0.3 )</f>
        <v>0</v>
      </c>
      <c r="CR181" s="104" t="s">
        <v>143</v>
      </c>
      <c r="CS181" s="124" t="s">
        <v>144</v>
      </c>
      <c r="CT181" s="105"/>
      <c r="CU18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81" s="85">
        <v>0.21369905956112853</v>
      </c>
      <c r="CW181" s="85">
        <v>4.0658307210031351E-2</v>
      </c>
      <c r="CX181" s="85">
        <v>5.2037617554858938E-3</v>
      </c>
      <c r="CY181" s="85">
        <v>7.0799373040752345E-2</v>
      </c>
      <c r="CZ181" s="85">
        <v>1.3166144200626959E-2</v>
      </c>
      <c r="DA181" s="85">
        <v>8.1818181818181825E-3</v>
      </c>
      <c r="DB181" s="85">
        <v>6.4623824451410655E-2</v>
      </c>
      <c r="DC181" s="85">
        <v>0.54451410658307209</v>
      </c>
      <c r="DD181" s="85">
        <v>3.9153605015673984E-2</v>
      </c>
      <c r="DE181" s="13">
        <v>1.0016437324946263</v>
      </c>
    </row>
    <row r="182" spans="1:109" x14ac:dyDescent="0.25">
      <c r="A182" s="4" t="s" vm="282">
        <v>488</v>
      </c>
      <c r="B182" s="2" t="s" vm="172">
        <v>489</v>
      </c>
      <c r="C182" s="72" vm="507">
        <v>45016</v>
      </c>
      <c r="D182" s="7">
        <f>IFERROR( VfM_Metrics_2023_Consol[[#This Row],[Reinvestment Spend]] / VfM_Metrics_2023_Consol[[#This Row],[Net Book Value of Housing Properties]], "n/a" )</f>
        <v>0.10578079070029081</v>
      </c>
      <c r="E18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80860</v>
      </c>
      <c r="F182" s="83" vm="7783">
        <v>54086</v>
      </c>
      <c r="G182" s="83" vm="2725">
        <v>18890</v>
      </c>
      <c r="H182" s="83" vm="2726">
        <v>7884</v>
      </c>
      <c r="I182" s="83" vm="2727">
        <v>0</v>
      </c>
      <c r="J182" s="83" vm="2728">
        <v>0</v>
      </c>
      <c r="K182" s="5">
        <f xml:space="preserve"> SUM( VfM_Metrics_2023_Consol[[#This Row],[Tangible fixed assets: Housing properties at cost (Current period)]],VfM_Metrics_2023_Consol[[#This Row],[Tangible fixed assets Housing properties at valuation (Current period)]] )</f>
        <v>764411</v>
      </c>
      <c r="L182" s="84" vm="2729">
        <v>764411</v>
      </c>
      <c r="M182" s="83" vm="7934">
        <v>0</v>
      </c>
      <c r="N182" s="7">
        <f xml:space="preserve"> IFERROR( VfM_Metrics_2023_Consol[[#This Row],[Total social units developed or newly built units acquired in-year]] / VfM_Metrics_2023_Consol[[#This Row],[Social housing units owned (period end)]], "n/a" )</f>
        <v>3.4818637784400669E-2</v>
      </c>
      <c r="O182" s="5">
        <f xml:space="preserve"> SUM( VfM_Metrics_2023_Consol[[#This Row],[Total social units developed or newly built units acquired in-year (owned)]], VfM_Metrics_2023_Consol[[#This Row],[Total social leasehold units developed or newly built units acquired in-year (owned)]] )</f>
        <v>479</v>
      </c>
      <c r="P182" s="84" vm="2709">
        <v>479</v>
      </c>
      <c r="Q182" s="83" vm="2730">
        <v>0</v>
      </c>
      <c r="R182" s="5">
        <f xml:space="preserve"> SUM( VfM_Metrics_2023_Consol[[#This Row],[Total social housing units owned (Period end)]], VfM_Metrics_2023_Consol[[#This Row],[Total social leasehold units owned (Period end)]] )</f>
        <v>13757</v>
      </c>
      <c r="S182" s="84" vm="2169">
        <v>13167</v>
      </c>
      <c r="T182" s="83" vm="2731">
        <v>590</v>
      </c>
      <c r="U182" s="86">
        <f xml:space="preserve"> IFERROR( VfM_Metrics_2023_Consol[[#This Row],[Total non-social housing units developed or newly built units acquired (owned)]] / VfM_Metrics_2023_Consol[[#This Row],[Total social and non-social housing units owned (Period end)]], "n/a" )</f>
        <v>0</v>
      </c>
      <c r="V18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82" s="83" vm="7981">
        <v>0</v>
      </c>
      <c r="X182" s="83" vm="7975">
        <v>0</v>
      </c>
      <c r="Y182" s="83" vm="7931">
        <v>0</v>
      </c>
      <c r="Z18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13889</v>
      </c>
      <c r="AA182" s="84" vm="2724">
        <v>13167</v>
      </c>
      <c r="AB182" s="83" vm="2731">
        <v>590</v>
      </c>
      <c r="AC182" s="83" vm="7840">
        <v>132</v>
      </c>
      <c r="AD182" s="83" vm="7795">
        <v>0</v>
      </c>
      <c r="AE182" s="7">
        <f xml:space="preserve"> IFERROR( VfM_Metrics_2023_Consol[[#This Row],[Total Net Debt]] / VfM_Metrics_2023_Consol[[#This Row],[Net Book Value of Housing Properties2]], "n/a" )</f>
        <v>0.66619789615795688</v>
      </c>
      <c r="AF18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509249</v>
      </c>
      <c r="AG182" s="84" vm="7090">
        <v>0</v>
      </c>
      <c r="AH182" s="83" vm="7730">
        <v>540415</v>
      </c>
      <c r="AI182" s="83" vm="2732">
        <v>31166</v>
      </c>
      <c r="AJ182" s="83" vm="2733">
        <v>0</v>
      </c>
      <c r="AK182" s="83" vm="7216">
        <v>0</v>
      </c>
      <c r="AL182" s="5">
        <f xml:space="preserve"> SUM( VfM_Metrics_2023_Consol[[#This Row],[Tangible fixed assets: Housing properties at cost (Current period)2]], VfM_Metrics_2023_Consol[[#This Row],[Tangible fixed assets Housing properties at valuation (Current period)2]] )</f>
        <v>764411</v>
      </c>
      <c r="AM182" s="84" vm="2729">
        <v>764411</v>
      </c>
      <c r="AN182" s="83" vm="7086">
        <v>0</v>
      </c>
      <c r="AO182" s="87">
        <f xml:space="preserve"> IFERROR( VfM_Metrics_2023_Consol[[#This Row],[EBITDA MRI]] / VfM_Metrics_2023_Consol[[#This Row],[Total interest]], "n/a" )</f>
        <v>1.3644934911876574</v>
      </c>
      <c r="AP18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25471</v>
      </c>
      <c r="AQ182" s="84" vm="2734">
        <v>21224</v>
      </c>
      <c r="AR182" s="84" vm="2735">
        <v>1958</v>
      </c>
      <c r="AS182" s="84" vm="7974">
        <v>0</v>
      </c>
      <c r="AT182" s="84" vm="7089">
        <v>1212</v>
      </c>
      <c r="AU182" s="84" vm="2736">
        <v>0</v>
      </c>
      <c r="AV182" s="84" vm="2617">
        <v>432</v>
      </c>
      <c r="AW182" s="84" vm="2737">
        <v>7884</v>
      </c>
      <c r="AX182" s="84" vm="2812">
        <v>14869</v>
      </c>
      <c r="AY182" s="3">
        <f xml:space="preserve"> - SUM( VfM_Metrics_2023_Consol[[#This Row],[Interest capitalised]], VfM_Metrics_2023_Consol[[#This Row],[Interest payable and financing costs]] )</f>
        <v>18667</v>
      </c>
      <c r="AZ182" s="84" vm="2951">
        <v>0</v>
      </c>
      <c r="BA182" s="83" vm="2738">
        <v>-18667</v>
      </c>
      <c r="BB182" s="8">
        <f xml:space="preserve"> IFERROR( ( VfM_Metrics_2023_Consol[[#This Row],[Total Costs]] / VfM_Metrics_2023_Consol[[#This Row],[Total units for costs]] ) * 1000, "n/a" )</f>
        <v>4469.7783493456382</v>
      </c>
      <c r="BC18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59086</v>
      </c>
      <c r="BD182" s="84" vm="2739">
        <v>10421</v>
      </c>
      <c r="BE182" s="83" vm="2740">
        <v>13091</v>
      </c>
      <c r="BF182" s="83" vm="7794">
        <v>16678</v>
      </c>
      <c r="BG182" s="83" vm="2741">
        <v>0</v>
      </c>
      <c r="BH182" s="83" vm="2421">
        <v>9339</v>
      </c>
      <c r="BI182" s="83" vm="2742">
        <v>0</v>
      </c>
      <c r="BJ182" s="83" vm="7610">
        <v>7884</v>
      </c>
      <c r="BK182" s="83" vm="2743">
        <v>0</v>
      </c>
      <c r="BL182" s="83" vm="2744">
        <v>0</v>
      </c>
      <c r="BM182" s="83" vm="2595">
        <v>0</v>
      </c>
      <c r="BN182" s="83" vm="2745">
        <v>1673</v>
      </c>
      <c r="BO182" s="83" vm="2746">
        <v>0</v>
      </c>
      <c r="BP182" s="5" vm="7488">
        <f xml:space="preserve"> VfM_Metrics_2023_Consol[[#This Row],[Total social housing units owned and/or managed at period end]]</f>
        <v>13219</v>
      </c>
      <c r="BQ182" s="84" vm="7488">
        <v>13219</v>
      </c>
      <c r="BR182" s="7">
        <f xml:space="preserve"> IFERROR( VfM_Metrics_2023_Consol[[#This Row],[SHL operating surplus / (deficit)]] / VfM_Metrics_2023_Consol[[#This Row],[Turnover from social housing lettings]], "n/a" )</f>
        <v>0.21200868513903626</v>
      </c>
      <c r="BS182" s="5" vm="2747">
        <f xml:space="preserve"> VfM_Metrics_2023_Consol[[#This Row],[Operating surplus/(deficit) (social housing lettings)]]</f>
        <v>17185</v>
      </c>
      <c r="BT182" s="84" vm="2747">
        <v>17185</v>
      </c>
      <c r="BU182" s="5" vm="2748">
        <f xml:space="preserve"> VfM_Metrics_2023_Consol[[#This Row],[Turnover from social housing lettings]]</f>
        <v>81058</v>
      </c>
      <c r="BV182" s="84" vm="2748">
        <v>81058</v>
      </c>
      <c r="BW182" s="7">
        <f xml:space="preserve"> IFERROR( VfM_Metrics_2023_Consol[[#This Row],[Net operating surplus]] / VfM_Metrics_2023_Consol[[#This Row],[Overall turnover]], "n/a" )</f>
        <v>0.18696685913921102</v>
      </c>
      <c r="BX182" s="5">
        <f xml:space="preserve"> SUM( VfM_Metrics_2023_Consol[[#This Row],[Operating surplus/(deficit) (overall)2]], - VfM_Metrics_2023_Consol[[#This Row],[Gain/(loss) on disposal of fixed assets (housing properties)2]], - VfM_Metrics_2023_Consol[[#This Row],[Gain/(loss) on disposal of fixed assets (other)2]] )</f>
        <v>19266</v>
      </c>
      <c r="BY182" s="84" vm="7609">
        <v>21224</v>
      </c>
      <c r="BZ182" s="83" vm="2735">
        <v>1958</v>
      </c>
      <c r="CA182" s="83" vm="7862">
        <v>0</v>
      </c>
      <c r="CB182" s="5" vm="2749">
        <f xml:space="preserve"> VfM_Metrics_2023_Consol[[#This Row],[Turnover (overall)]]</f>
        <v>103045</v>
      </c>
      <c r="CC182" s="84" vm="2749">
        <v>103045</v>
      </c>
      <c r="CD182" s="7">
        <f xml:space="preserve"> IFERROR( VfM_Metrics_2023_Consol[[#This Row],[Operating surplus including from JVs]] / VfM_Metrics_2023_Consol[[#This Row],[Net assets]], "n/a" )</f>
        <v>2.6659063189666977E-2</v>
      </c>
      <c r="CE182" s="5">
        <f xml:space="preserve"> SUM( VfM_Metrics_2023_Consol[[#This Row],[Operating surplus/(deficit) (overall)3]], VfM_Metrics_2023_Consol[[#This Row],[Share of operating surplus/(deficit) in joint ventures or associates]] )</f>
        <v>21224</v>
      </c>
      <c r="CF182" s="84" vm="2734">
        <v>21224</v>
      </c>
      <c r="CG182" s="83" vm="2751">
        <v>0</v>
      </c>
      <c r="CH182" s="5" vm="2750">
        <f xml:space="preserve"> VfM_Metrics_2023_Consol[[#This Row],[Total assets less current liabilities]]</f>
        <v>796127</v>
      </c>
      <c r="CI182" s="84" vm="2750">
        <v>796127</v>
      </c>
      <c r="CJ182" s="71" vm="2169">
        <f xml:space="preserve"> VfM_Metrics_2023_Consol[[#This Row],[Total social housing units owned (Period end)]]</f>
        <v>13167</v>
      </c>
      <c r="CK182" s="103">
        <v>6.8053219146658513E-3</v>
      </c>
      <c r="CL182" s="6">
        <f xml:space="preserve"> -- ( VfM_Metrics_2023_Consol[[#This Row],[% Supported housing (excl. HOP)]] &gt; 0.3 )</f>
        <v>0</v>
      </c>
      <c r="CM182" s="103">
        <v>9.9938828567059185E-2</v>
      </c>
      <c r="CN182" s="6">
        <f xml:space="preserve"> -- ( VfM_Metrics_2023_Consol[[#This Row],[% Housing for older people]] &gt; 0.3 )</f>
        <v>0</v>
      </c>
      <c r="CO182" s="103">
        <f xml:space="preserve"> VfM_Metrics_2023_Consol[[#This Row],[% Supported housing (excl. HOP)]] + VfM_Metrics_2023_Consol[[#This Row],[% Housing for older people]]</f>
        <v>0.10674415048172503</v>
      </c>
      <c r="CP182" s="6">
        <f xml:space="preserve"> -- ( VfM_Metrics_2023_Consol[[#This Row],[SH specialist in RSH analysis]] + VfM_Metrics_2023_Consol[[#This Row],[OP specialist in RSH analysis]] &gt; 0 )</f>
        <v>0</v>
      </c>
      <c r="CQ182" s="10">
        <f xml:space="preserve"> -- ( VfM_Metrics_2023_Consol[[#This Row],[% SH and OP]] &gt; 0.3 )</f>
        <v>0</v>
      </c>
      <c r="CR182" s="104" t="s">
        <v>143</v>
      </c>
      <c r="CS182" s="124"/>
      <c r="CT182" s="105" t="s">
        <v>151</v>
      </c>
      <c r="CU18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82" s="85">
        <v>0</v>
      </c>
      <c r="CW182" s="85">
        <v>0</v>
      </c>
      <c r="CX182" s="85">
        <v>0</v>
      </c>
      <c r="CY182" s="85">
        <v>0</v>
      </c>
      <c r="CZ182" s="85">
        <v>1</v>
      </c>
      <c r="DA182" s="85">
        <v>0</v>
      </c>
      <c r="DB182" s="85">
        <v>0</v>
      </c>
      <c r="DC182" s="85">
        <v>0</v>
      </c>
      <c r="DD182" s="85">
        <v>0</v>
      </c>
      <c r="DE182" s="13">
        <v>0.96459033333600952</v>
      </c>
    </row>
    <row r="183" spans="1:109" x14ac:dyDescent="0.25">
      <c r="A183" s="4" t="s" vm="260">
        <v>490</v>
      </c>
      <c r="B183" s="2" t="s" vm="173">
        <v>491</v>
      </c>
      <c r="C183" s="72" vm="491">
        <v>45016</v>
      </c>
      <c r="D183" s="7">
        <f>IFERROR( VfM_Metrics_2023_Consol[[#This Row],[Reinvestment Spend]] / VfM_Metrics_2023_Consol[[#This Row],[Net Book Value of Housing Properties]], "n/a" )</f>
        <v>8.0893243048552083E-2</v>
      </c>
      <c r="E18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98259</v>
      </c>
      <c r="F183" s="83" vm="8099">
        <v>64302</v>
      </c>
      <c r="G183" s="83" vm="2038">
        <v>10915</v>
      </c>
      <c r="H183" s="83" vm="2039">
        <v>22045</v>
      </c>
      <c r="I183" s="83" vm="8123">
        <v>997</v>
      </c>
      <c r="J183" s="83" vm="7807">
        <v>0</v>
      </c>
      <c r="K183" s="5">
        <f xml:space="preserve"> SUM( VfM_Metrics_2023_Consol[[#This Row],[Tangible fixed assets: Housing properties at cost (Current period)]],VfM_Metrics_2023_Consol[[#This Row],[Tangible fixed assets Housing properties at valuation (Current period)]] )</f>
        <v>1214675</v>
      </c>
      <c r="L183" s="84" vm="2041">
        <v>1214675</v>
      </c>
      <c r="M183" s="83" vm="2042">
        <v>0</v>
      </c>
      <c r="N183" s="7">
        <f xml:space="preserve"> IFERROR( VfM_Metrics_2023_Consol[[#This Row],[Total social units developed or newly built units acquired in-year]] / VfM_Metrics_2023_Consol[[#This Row],[Social housing units owned (period end)]], "n/a" )</f>
        <v>1.2349875368230229E-2</v>
      </c>
      <c r="O183" s="5">
        <f xml:space="preserve"> SUM( VfM_Metrics_2023_Consol[[#This Row],[Total social units developed or newly built units acquired in-year (owned)]], VfM_Metrics_2023_Consol[[#This Row],[Total social leasehold units developed or newly built units acquired in-year (owned)]] )</f>
        <v>436</v>
      </c>
      <c r="P183" s="84" vm="2043">
        <v>436</v>
      </c>
      <c r="Q183" s="83" vm="2044">
        <v>0</v>
      </c>
      <c r="R183" s="5">
        <f xml:space="preserve"> SUM( VfM_Metrics_2023_Consol[[#This Row],[Total social housing units owned (Period end)]], VfM_Metrics_2023_Consol[[#This Row],[Total social leasehold units owned (Period end)]] )</f>
        <v>35304</v>
      </c>
      <c r="S183" s="84" vm="2037">
        <v>34579</v>
      </c>
      <c r="T183" s="83" vm="3398">
        <v>725</v>
      </c>
      <c r="U183" s="86">
        <f xml:space="preserve"> IFERROR( VfM_Metrics_2023_Consol[[#This Row],[Total non-social housing units developed or newly built units acquired (owned)]] / VfM_Metrics_2023_Consol[[#This Row],[Total social and non-social housing units owned (Period end)]], "n/a" )</f>
        <v>5.3412796581581016E-4</v>
      </c>
      <c r="V18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19</v>
      </c>
      <c r="W183" s="83" vm="2046">
        <v>0</v>
      </c>
      <c r="X183" s="83" vm="7806">
        <v>0</v>
      </c>
      <c r="Y183" s="83" vm="7906">
        <v>19</v>
      </c>
      <c r="Z18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35572</v>
      </c>
      <c r="AA183" s="84" vm="2037">
        <v>34579</v>
      </c>
      <c r="AB183" s="83" vm="2045">
        <v>725</v>
      </c>
      <c r="AC183" s="83" vm="2047">
        <v>178</v>
      </c>
      <c r="AD183" s="83" vm="2075">
        <v>90</v>
      </c>
      <c r="AE183" s="7">
        <f xml:space="preserve"> IFERROR( VfM_Metrics_2023_Consol[[#This Row],[Total Net Debt]] / VfM_Metrics_2023_Consol[[#This Row],[Net Book Value of Housing Properties2]], "n/a" )</f>
        <v>0.2295988638936341</v>
      </c>
      <c r="AF18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278888</v>
      </c>
      <c r="AG183" s="84" vm="2048">
        <v>19509</v>
      </c>
      <c r="AH183" s="83" vm="7879">
        <v>310718</v>
      </c>
      <c r="AI183" s="83" vm="2049">
        <v>51339</v>
      </c>
      <c r="AJ183" s="83" vm="2050">
        <v>0</v>
      </c>
      <c r="AK183" s="83" vm="8142">
        <v>0</v>
      </c>
      <c r="AL183" s="5">
        <f xml:space="preserve"> SUM( VfM_Metrics_2023_Consol[[#This Row],[Tangible fixed assets: Housing properties at cost (Current period)2]], VfM_Metrics_2023_Consol[[#This Row],[Tangible fixed assets Housing properties at valuation (Current period)2]] )</f>
        <v>1214675</v>
      </c>
      <c r="AM183" s="84" vm="2041">
        <v>1214675</v>
      </c>
      <c r="AN183" s="83" vm="2042">
        <v>0</v>
      </c>
      <c r="AO183" s="87">
        <f xml:space="preserve"> IFERROR( VfM_Metrics_2023_Consol[[#This Row],[EBITDA MRI]] / VfM_Metrics_2023_Consol[[#This Row],[Total interest]], "n/a" )</f>
        <v>2.2645633935956515</v>
      </c>
      <c r="AP18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38330</v>
      </c>
      <c r="AQ183" s="84" vm="2051">
        <v>39769</v>
      </c>
      <c r="AR183" s="84" vm="2052">
        <v>3187</v>
      </c>
      <c r="AS183" s="84" vm="8162">
        <v>9</v>
      </c>
      <c r="AT183" s="84" vm="7973">
        <v>1317</v>
      </c>
      <c r="AU183" s="84" vm="2054">
        <v>274</v>
      </c>
      <c r="AV183" s="84" vm="1278">
        <v>695</v>
      </c>
      <c r="AW183" s="84" vm="2055">
        <v>31145</v>
      </c>
      <c r="AX183" s="84" vm="2056">
        <v>33798</v>
      </c>
      <c r="AY183" s="3">
        <f xml:space="preserve"> - SUM( VfM_Metrics_2023_Consol[[#This Row],[Interest capitalised]], VfM_Metrics_2023_Consol[[#This Row],[Interest payable and financing costs]] )</f>
        <v>16926</v>
      </c>
      <c r="AZ183" s="84" vm="2045">
        <v>-1040</v>
      </c>
      <c r="BA183" s="83" vm="2057">
        <v>-15886</v>
      </c>
      <c r="BB183" s="8">
        <f xml:space="preserve"> IFERROR( ( VfM_Metrics_2023_Consol[[#This Row],[Total Costs]] / VfM_Metrics_2023_Consol[[#This Row],[Total units for costs]] ) * 1000, "n/a" )</f>
        <v>4009.8044869946366</v>
      </c>
      <c r="BC18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139052</v>
      </c>
      <c r="BD183" s="84" vm="2058">
        <v>27131</v>
      </c>
      <c r="BE183" s="83" vm="2059">
        <v>14014</v>
      </c>
      <c r="BF183" s="83" vm="2060">
        <v>37962</v>
      </c>
      <c r="BG183" s="83" vm="2061">
        <v>6404</v>
      </c>
      <c r="BH183" s="83" vm="2515">
        <v>12777</v>
      </c>
      <c r="BI183" s="83" vm="8068">
        <v>0</v>
      </c>
      <c r="BJ183" s="83" vm="2055">
        <v>31145</v>
      </c>
      <c r="BK183" s="83" vm="2062">
        <v>0</v>
      </c>
      <c r="BL183" s="83" vm="2063">
        <v>750</v>
      </c>
      <c r="BM183" s="83" vm="8053">
        <v>2086</v>
      </c>
      <c r="BN183" s="83" vm="2064">
        <v>4730</v>
      </c>
      <c r="BO183" s="83" vm="2274">
        <v>2053</v>
      </c>
      <c r="BP183" s="5" vm="7113">
        <f xml:space="preserve"> VfM_Metrics_2023_Consol[[#This Row],[Total social housing units owned and/or managed at period end]]</f>
        <v>34678</v>
      </c>
      <c r="BQ183" s="84" vm="7113">
        <v>34678</v>
      </c>
      <c r="BR183" s="7">
        <f xml:space="preserve"> IFERROR( VfM_Metrics_2023_Consol[[#This Row],[SHL operating surplus / (deficit)]] / VfM_Metrics_2023_Consol[[#This Row],[Turnover from social housing lettings]], "n/a" )</f>
        <v>0.24834574518546629</v>
      </c>
      <c r="BS183" s="5" vm="7112">
        <f xml:space="preserve"> VfM_Metrics_2023_Consol[[#This Row],[Operating surplus/(deficit) (social housing lettings)]]</f>
        <v>41885</v>
      </c>
      <c r="BT183" s="84" vm="7112">
        <v>41885</v>
      </c>
      <c r="BU183" s="5" vm="8244">
        <f xml:space="preserve"> VfM_Metrics_2023_Consol[[#This Row],[Turnover from social housing lettings]]</f>
        <v>168656</v>
      </c>
      <c r="BV183" s="84" vm="8244">
        <v>168656</v>
      </c>
      <c r="BW183" s="7">
        <f xml:space="preserve"> IFERROR( VfM_Metrics_2023_Consol[[#This Row],[Net operating surplus]] / VfM_Metrics_2023_Consol[[#This Row],[Overall turnover]], "n/a" )</f>
        <v>0.18475037760344315</v>
      </c>
      <c r="BX183" s="5">
        <f xml:space="preserve"> SUM( VfM_Metrics_2023_Consol[[#This Row],[Operating surplus/(deficit) (overall)2]], - VfM_Metrics_2023_Consol[[#This Row],[Gain/(loss) on disposal of fixed assets (housing properties)2]], - VfM_Metrics_2023_Consol[[#This Row],[Gain/(loss) on disposal of fixed assets (other)2]] )</f>
        <v>36573</v>
      </c>
      <c r="BY183" s="84" vm="4397">
        <v>39769</v>
      </c>
      <c r="BZ183" s="83" vm="2052">
        <v>3187</v>
      </c>
      <c r="CA183" s="83" vm="2053">
        <v>9</v>
      </c>
      <c r="CB183" s="5" vm="2065">
        <f xml:space="preserve"> VfM_Metrics_2023_Consol[[#This Row],[Turnover (overall)]]</f>
        <v>197959</v>
      </c>
      <c r="CC183" s="84" vm="2065">
        <v>197959</v>
      </c>
      <c r="CD183" s="7">
        <f xml:space="preserve"> IFERROR( VfM_Metrics_2023_Consol[[#This Row],[Operating surplus including from JVs]] / VfM_Metrics_2023_Consol[[#This Row],[Net assets]], "n/a" )</f>
        <v>3.1602452291175802E-2</v>
      </c>
      <c r="CE183" s="5">
        <f xml:space="preserve"> SUM( VfM_Metrics_2023_Consol[[#This Row],[Operating surplus/(deficit) (overall)3]], VfM_Metrics_2023_Consol[[#This Row],[Share of operating surplus/(deficit) in joint ventures or associates]] )</f>
        <v>39769</v>
      </c>
      <c r="CF183" s="84" vm="2051">
        <v>39769</v>
      </c>
      <c r="CG183" s="83" vm="8140">
        <v>0</v>
      </c>
      <c r="CH183" s="5" vm="2066">
        <f xml:space="preserve"> VfM_Metrics_2023_Consol[[#This Row],[Total assets less current liabilities]]</f>
        <v>1258415</v>
      </c>
      <c r="CI183" s="84" vm="2066">
        <v>1258415</v>
      </c>
      <c r="CJ183" s="71" vm="2037">
        <f xml:space="preserve"> VfM_Metrics_2023_Consol[[#This Row],[Total social housing units owned (Period end)]]</f>
        <v>34579</v>
      </c>
      <c r="CK183" s="103">
        <v>7.311341282966316E-3</v>
      </c>
      <c r="CL183" s="6">
        <f xml:space="preserve"> -- ( VfM_Metrics_2023_Consol[[#This Row],[% Supported housing (excl. HOP)]] &gt; 0.3 )</f>
        <v>0</v>
      </c>
      <c r="CM183" s="103">
        <v>6.8964516784170371E-2</v>
      </c>
      <c r="CN183" s="6">
        <f xml:space="preserve"> -- ( VfM_Metrics_2023_Consol[[#This Row],[% Housing for older people]] &gt; 0.3 )</f>
        <v>0</v>
      </c>
      <c r="CO183" s="103">
        <f xml:space="preserve"> VfM_Metrics_2023_Consol[[#This Row],[% Supported housing (excl. HOP)]] + VfM_Metrics_2023_Consol[[#This Row],[% Housing for older people]]</f>
        <v>7.6275858067136687E-2</v>
      </c>
      <c r="CP183" s="6">
        <f xml:space="preserve"> -- ( VfM_Metrics_2023_Consol[[#This Row],[SH specialist in RSH analysis]] + VfM_Metrics_2023_Consol[[#This Row],[OP specialist in RSH analysis]] &gt; 0 )</f>
        <v>0</v>
      </c>
      <c r="CQ183" s="10">
        <f xml:space="preserve"> -- ( VfM_Metrics_2023_Consol[[#This Row],[% SH and OP]] &gt; 0.3 )</f>
        <v>0</v>
      </c>
      <c r="CR183" s="104" t="s">
        <v>143</v>
      </c>
      <c r="CS183" s="124"/>
      <c r="CT183" s="105" t="s">
        <v>151</v>
      </c>
      <c r="CU18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East</v>
      </c>
      <c r="CV183" s="85">
        <v>0</v>
      </c>
      <c r="CW183" s="85">
        <v>0</v>
      </c>
      <c r="CX183" s="85">
        <v>0</v>
      </c>
      <c r="CY183" s="85">
        <v>0</v>
      </c>
      <c r="CZ183" s="85">
        <v>0</v>
      </c>
      <c r="DA183" s="85">
        <v>2.8920122621319915E-5</v>
      </c>
      <c r="DB183" s="85">
        <v>0.95390132454161602</v>
      </c>
      <c r="DC183" s="85">
        <v>0</v>
      </c>
      <c r="DD183" s="85">
        <v>4.6069755335762623E-2</v>
      </c>
      <c r="DE183" s="13">
        <v>0.90830322862745783</v>
      </c>
    </row>
    <row r="184" spans="1:109" x14ac:dyDescent="0.25">
      <c r="A184" s="4" t="s" vm="319">
        <v>492</v>
      </c>
      <c r="B184" s="2" t="s" vm="174">
        <v>493</v>
      </c>
      <c r="C184" s="72" vm="539">
        <v>45016</v>
      </c>
      <c r="D184" s="7">
        <f>IFERROR( VfM_Metrics_2023_Consol[[#This Row],[Reinvestment Spend]] / VfM_Metrics_2023_Consol[[#This Row],[Net Book Value of Housing Properties]], "n/a" )</f>
        <v>0.18419459149021175</v>
      </c>
      <c r="E18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59013</v>
      </c>
      <c r="F184" s="83" vm="4112">
        <v>52699</v>
      </c>
      <c r="G184" s="83" vm="3995">
        <v>0</v>
      </c>
      <c r="H184" s="83" vm="3996">
        <v>5098</v>
      </c>
      <c r="I184" s="83" vm="3997">
        <v>1216</v>
      </c>
      <c r="J184" s="83" vm="3998">
        <v>0</v>
      </c>
      <c r="K184" s="5">
        <f xml:space="preserve"> SUM( VfM_Metrics_2023_Consol[[#This Row],[Tangible fixed assets: Housing properties at cost (Current period)]],VfM_Metrics_2023_Consol[[#This Row],[Tangible fixed assets Housing properties at valuation (Current period)]] )</f>
        <v>320384</v>
      </c>
      <c r="L184" s="84" vm="3999">
        <v>320384</v>
      </c>
      <c r="M184" s="83" vm="4000">
        <v>0</v>
      </c>
      <c r="N184" s="7">
        <f xml:space="preserve"> IFERROR( VfM_Metrics_2023_Consol[[#This Row],[Total social units developed or newly built units acquired in-year]] / VfM_Metrics_2023_Consol[[#This Row],[Social housing units owned (period end)]], "n/a" )</f>
        <v>1.1534236543390699E-2</v>
      </c>
      <c r="O184" s="5">
        <f xml:space="preserve"> SUM( VfM_Metrics_2023_Consol[[#This Row],[Total social units developed or newly built units acquired in-year (owned)]], VfM_Metrics_2023_Consol[[#This Row],[Total social leasehold units developed or newly built units acquired in-year (owned)]] )</f>
        <v>63</v>
      </c>
      <c r="P184" s="84" vm="4421">
        <v>63</v>
      </c>
      <c r="Q184" s="83" vm="4001">
        <v>0</v>
      </c>
      <c r="R184" s="5">
        <f xml:space="preserve"> SUM( VfM_Metrics_2023_Consol[[#This Row],[Total social housing units owned (Period end)]], VfM_Metrics_2023_Consol[[#This Row],[Total social leasehold units owned (Period end)]] )</f>
        <v>5462</v>
      </c>
      <c r="S184" s="84" vm="3993">
        <v>4831</v>
      </c>
      <c r="T184" s="83" vm="4002">
        <v>631</v>
      </c>
      <c r="U184" s="86">
        <f xml:space="preserve"> IFERROR( VfM_Metrics_2023_Consol[[#This Row],[Total non-social housing units developed or newly built units acquired (owned)]] / VfM_Metrics_2023_Consol[[#This Row],[Total social and non-social housing units owned (Period end)]], "n/a" )</f>
        <v>0</v>
      </c>
      <c r="V18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84" s="83" vm="4003">
        <v>0</v>
      </c>
      <c r="X184" s="83" vm="4004">
        <v>0</v>
      </c>
      <c r="Y184" s="83" vm="4005">
        <v>0</v>
      </c>
      <c r="Z18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5529</v>
      </c>
      <c r="AA184" s="84" vm="3993">
        <v>4831</v>
      </c>
      <c r="AB184" s="83" vm="2731">
        <v>631</v>
      </c>
      <c r="AC184" s="83" vm="7297">
        <v>67</v>
      </c>
      <c r="AD184" s="83" vm="4006">
        <v>0</v>
      </c>
      <c r="AE184" s="7">
        <f xml:space="preserve"> IFERROR( VfM_Metrics_2023_Consol[[#This Row],[Total Net Debt]] / VfM_Metrics_2023_Consol[[#This Row],[Net Book Value of Housing Properties2]], "n/a" )</f>
        <v>0.68757491010787053</v>
      </c>
      <c r="AF18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220288</v>
      </c>
      <c r="AG184" s="84" vm="4007">
        <v>0</v>
      </c>
      <c r="AH184" s="83" vm="4008">
        <v>248037</v>
      </c>
      <c r="AI184" s="83" vm="7361">
        <v>27749</v>
      </c>
      <c r="AJ184" s="83" vm="4009">
        <v>0</v>
      </c>
      <c r="AK184" s="83" vm="4010">
        <v>0</v>
      </c>
      <c r="AL184" s="5">
        <f xml:space="preserve"> SUM( VfM_Metrics_2023_Consol[[#This Row],[Tangible fixed assets: Housing properties at cost (Current period)2]], VfM_Metrics_2023_Consol[[#This Row],[Tangible fixed assets Housing properties at valuation (Current period)2]] )</f>
        <v>320384</v>
      </c>
      <c r="AM184" s="84" vm="3999">
        <v>320384</v>
      </c>
      <c r="AN184" s="83" vm="7438">
        <v>0</v>
      </c>
      <c r="AO184" s="87">
        <f xml:space="preserve"> IFERROR( VfM_Metrics_2023_Consol[[#This Row],[EBITDA MRI]] / VfM_Metrics_2023_Consol[[#This Row],[Total interest]], "n/a" )</f>
        <v>1.4530750605326876</v>
      </c>
      <c r="AP18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15003</v>
      </c>
      <c r="AQ184" s="84" vm="4011">
        <v>17195</v>
      </c>
      <c r="AR184" s="84" vm="7360">
        <v>3215</v>
      </c>
      <c r="AS184" s="84" vm="4047">
        <v>0</v>
      </c>
      <c r="AT184" s="84" vm="4013">
        <v>172</v>
      </c>
      <c r="AU184" s="84" vm="4014">
        <v>0</v>
      </c>
      <c r="AV184" s="84" vm="7168">
        <v>1244</v>
      </c>
      <c r="AW184" s="84" vm="4015">
        <v>5822</v>
      </c>
      <c r="AX184" s="84" vm="4016">
        <v>5773</v>
      </c>
      <c r="AY184" s="3">
        <f xml:space="preserve"> - SUM( VfM_Metrics_2023_Consol[[#This Row],[Interest capitalised]], VfM_Metrics_2023_Consol[[#This Row],[Interest payable and financing costs]] )</f>
        <v>10325</v>
      </c>
      <c r="AZ184" s="84" vm="7528">
        <v>-1216</v>
      </c>
      <c r="BA184" s="83" vm="4017">
        <v>-9109</v>
      </c>
      <c r="BB184" s="8">
        <f xml:space="preserve"> IFERROR( ( VfM_Metrics_2023_Consol[[#This Row],[Total Costs]] / VfM_Metrics_2023_Consol[[#This Row],[Total units for costs]] ) * 1000, "n/a" )</f>
        <v>4882.4457593688358</v>
      </c>
      <c r="BC18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24754</v>
      </c>
      <c r="BD184" s="84" vm="7434">
        <v>9676</v>
      </c>
      <c r="BE184" s="83" vm="4018">
        <v>1668</v>
      </c>
      <c r="BF184" s="83" vm="4019">
        <v>5491</v>
      </c>
      <c r="BG184" s="83" vm="4020">
        <v>1623</v>
      </c>
      <c r="BH184" s="83" vm="4021">
        <v>0</v>
      </c>
      <c r="BI184" s="83" vm="4022">
        <v>0</v>
      </c>
      <c r="BJ184" s="83" vm="4015">
        <v>5822</v>
      </c>
      <c r="BK184" s="83" vm="4023">
        <v>0</v>
      </c>
      <c r="BL184" s="83" vm="3731">
        <v>474</v>
      </c>
      <c r="BM184" s="83" vm="7433">
        <v>0</v>
      </c>
      <c r="BN184" s="83" vm="4024">
        <v>0</v>
      </c>
      <c r="BO184" s="83" vm="4025">
        <v>0</v>
      </c>
      <c r="BP184" s="5" vm="3994">
        <f xml:space="preserve"> VfM_Metrics_2023_Consol[[#This Row],[Total social housing units owned and/or managed at period end]]</f>
        <v>5070</v>
      </c>
      <c r="BQ184" s="84" vm="3994">
        <v>5070</v>
      </c>
      <c r="BR184" s="7">
        <f xml:space="preserve"> IFERROR( VfM_Metrics_2023_Consol[[#This Row],[SHL operating surplus / (deficit)]] / VfM_Metrics_2023_Consol[[#This Row],[Turnover from social housing lettings]], "n/a" )</f>
        <v>0.22117624223602483</v>
      </c>
      <c r="BS184" s="5" vm="4026">
        <f xml:space="preserve"> VfM_Metrics_2023_Consol[[#This Row],[Operating surplus/(deficit) (social housing lettings)]]</f>
        <v>6837</v>
      </c>
      <c r="BT184" s="84" vm="4026">
        <v>6837</v>
      </c>
      <c r="BU184" s="5" vm="4151">
        <f xml:space="preserve"> VfM_Metrics_2023_Consol[[#This Row],[Turnover from social housing lettings]]</f>
        <v>30912</v>
      </c>
      <c r="BV184" s="84" vm="4151">
        <v>30912</v>
      </c>
      <c r="BW184" s="7">
        <f xml:space="preserve"> IFERROR( VfM_Metrics_2023_Consol[[#This Row],[Net operating surplus]] / VfM_Metrics_2023_Consol[[#This Row],[Overall turnover]], "n/a" )</f>
        <v>0.28950692704342607</v>
      </c>
      <c r="BX184" s="5">
        <f xml:space="preserve"> SUM( VfM_Metrics_2023_Consol[[#This Row],[Operating surplus/(deficit) (overall)2]], - VfM_Metrics_2023_Consol[[#This Row],[Gain/(loss) on disposal of fixed assets (housing properties)2]], - VfM_Metrics_2023_Consol[[#This Row],[Gain/(loss) on disposal of fixed assets (other)2]] )</f>
        <v>13980</v>
      </c>
      <c r="BY184" s="84" vm="4011">
        <v>17195</v>
      </c>
      <c r="BZ184" s="83" vm="4012">
        <v>3215</v>
      </c>
      <c r="CA184" s="83" vm="4128">
        <v>0</v>
      </c>
      <c r="CB184" s="5" vm="4027">
        <f xml:space="preserve"> VfM_Metrics_2023_Consol[[#This Row],[Turnover (overall)]]</f>
        <v>48289</v>
      </c>
      <c r="CC184" s="84" vm="4027">
        <v>48289</v>
      </c>
      <c r="CD184" s="7">
        <f xml:space="preserve"> IFERROR( VfM_Metrics_2023_Consol[[#This Row],[Operating surplus including from JVs]] / VfM_Metrics_2023_Consol[[#This Row],[Net assets]], "n/a" )</f>
        <v>4.4726348618412327E-2</v>
      </c>
      <c r="CE184" s="5">
        <f xml:space="preserve"> SUM( VfM_Metrics_2023_Consol[[#This Row],[Operating surplus/(deficit) (overall)3]], VfM_Metrics_2023_Consol[[#This Row],[Share of operating surplus/(deficit) in joint ventures or associates]] )</f>
        <v>17195</v>
      </c>
      <c r="CF184" s="84" vm="4011">
        <v>17195</v>
      </c>
      <c r="CG184" s="83" vm="4029">
        <v>0</v>
      </c>
      <c r="CH184" s="5" vm="4028">
        <f xml:space="preserve"> VfM_Metrics_2023_Consol[[#This Row],[Total assets less current liabilities]]</f>
        <v>384449</v>
      </c>
      <c r="CI184" s="84" vm="4028">
        <v>384449</v>
      </c>
      <c r="CJ184" s="71" vm="3993">
        <f xml:space="preserve"> VfM_Metrics_2023_Consol[[#This Row],[Total social housing units owned (Period end)]]</f>
        <v>4831</v>
      </c>
      <c r="CK184" s="103">
        <v>0</v>
      </c>
      <c r="CL184" s="6">
        <f xml:space="preserve"> -- ( VfM_Metrics_2023_Consol[[#This Row],[% Supported housing (excl. HOP)]] &gt; 0.3 )</f>
        <v>0</v>
      </c>
      <c r="CM184" s="103">
        <v>0.12084656084656084</v>
      </c>
      <c r="CN184" s="6">
        <f xml:space="preserve"> -- ( VfM_Metrics_2023_Consol[[#This Row],[% Housing for older people]] &gt; 0.3 )</f>
        <v>0</v>
      </c>
      <c r="CO184" s="103">
        <f xml:space="preserve"> VfM_Metrics_2023_Consol[[#This Row],[% Supported housing (excl. HOP)]] + VfM_Metrics_2023_Consol[[#This Row],[% Housing for older people]]</f>
        <v>0.12084656084656084</v>
      </c>
      <c r="CP184" s="6">
        <f xml:space="preserve"> -- ( VfM_Metrics_2023_Consol[[#This Row],[SH specialist in RSH analysis]] + VfM_Metrics_2023_Consol[[#This Row],[OP specialist in RSH analysis]] &gt; 0 )</f>
        <v>0</v>
      </c>
      <c r="CQ184" s="10">
        <f xml:space="preserve"> -- ( VfM_Metrics_2023_Consol[[#This Row],[% SH and OP]] &gt; 0.3 )</f>
        <v>0</v>
      </c>
      <c r="CR184" s="104" t="s">
        <v>143</v>
      </c>
      <c r="CS184" s="124"/>
      <c r="CT184" s="105" t="s">
        <v>151</v>
      </c>
      <c r="CU18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184" s="85">
        <v>0</v>
      </c>
      <c r="CW184" s="85">
        <v>0.14179258952597806</v>
      </c>
      <c r="CX184" s="85">
        <v>0</v>
      </c>
      <c r="CY184" s="85">
        <v>2.0699648105982198E-4</v>
      </c>
      <c r="CZ184" s="85">
        <v>0</v>
      </c>
      <c r="DA184" s="85">
        <v>0.85800041399296212</v>
      </c>
      <c r="DB184" s="85">
        <v>0</v>
      </c>
      <c r="DC184" s="85">
        <v>0</v>
      </c>
      <c r="DD184" s="85">
        <v>0</v>
      </c>
      <c r="DE184" s="13">
        <v>1.014523830431366</v>
      </c>
    </row>
    <row r="185" spans="1:109" x14ac:dyDescent="0.25">
      <c r="A185" s="4" t="s" vm="249">
        <v>494</v>
      </c>
      <c r="B185" s="2" t="s" vm="175">
        <v>495</v>
      </c>
      <c r="C185" s="72" vm="500">
        <v>45016</v>
      </c>
      <c r="D185" s="7">
        <f>IFERROR( VfM_Metrics_2023_Consol[[#This Row],[Reinvestment Spend]] / VfM_Metrics_2023_Consol[[#This Row],[Net Book Value of Housing Properties]], "n/a" )</f>
        <v>9.6325366597328571E-2</v>
      </c>
      <c r="E18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112341</v>
      </c>
      <c r="F185" s="83" vm="1891">
        <v>58382</v>
      </c>
      <c r="G185" s="83" vm="1371">
        <v>0</v>
      </c>
      <c r="H185" s="83" vm="8300">
        <v>50453</v>
      </c>
      <c r="I185" s="83" vm="1723">
        <v>3506</v>
      </c>
      <c r="J185" s="83" vm="8059">
        <v>0</v>
      </c>
      <c r="K185" s="5">
        <f xml:space="preserve"> SUM( VfM_Metrics_2023_Consol[[#This Row],[Tangible fixed assets: Housing properties at cost (Current period)]],VfM_Metrics_2023_Consol[[#This Row],[Tangible fixed assets Housing properties at valuation (Current period)]] )</f>
        <v>1166266</v>
      </c>
      <c r="L185" s="84" vm="1778">
        <v>1166266</v>
      </c>
      <c r="M185" s="83">
        <v>0</v>
      </c>
      <c r="N185" s="7">
        <f xml:space="preserve"> IFERROR( VfM_Metrics_2023_Consol[[#This Row],[Total social units developed or newly built units acquired in-year]] / VfM_Metrics_2023_Consol[[#This Row],[Social housing units owned (period end)]], "n/a" )</f>
        <v>9.2021276595744689E-3</v>
      </c>
      <c r="O185" s="5">
        <f xml:space="preserve"> SUM( VfM_Metrics_2023_Consol[[#This Row],[Total social units developed or newly built units acquired in-year (owned)]], VfM_Metrics_2023_Consol[[#This Row],[Total social leasehold units developed or newly built units acquired in-year (owned)]] )</f>
        <v>346</v>
      </c>
      <c r="P185" s="84" vm="1245">
        <v>346</v>
      </c>
      <c r="Q185" s="83">
        <v>0</v>
      </c>
      <c r="R185" s="5">
        <f xml:space="preserve"> SUM( VfM_Metrics_2023_Consol[[#This Row],[Total social housing units owned (Period end)]], VfM_Metrics_2023_Consol[[#This Row],[Total social leasehold units owned (Period end)]] )</f>
        <v>37600</v>
      </c>
      <c r="S185" s="84" vm="1894">
        <v>35968</v>
      </c>
      <c r="T185" s="83" vm="1725">
        <v>1632</v>
      </c>
      <c r="U185" s="86">
        <f xml:space="preserve"> IFERROR( VfM_Metrics_2023_Consol[[#This Row],[Total non-social housing units developed or newly built units acquired (owned)]] / VfM_Metrics_2023_Consol[[#This Row],[Total social and non-social housing units owned (Period end)]], "n/a" )</f>
        <v>7.2916120232911922E-3</v>
      </c>
      <c r="V18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278</v>
      </c>
      <c r="W185" s="83">
        <v>0</v>
      </c>
      <c r="X185" s="83">
        <v>0</v>
      </c>
      <c r="Y185" s="83" vm="8301">
        <v>278</v>
      </c>
      <c r="Z18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38126</v>
      </c>
      <c r="AA185" s="84" vm="8040">
        <v>35968</v>
      </c>
      <c r="AB185" s="83" vm="1725">
        <v>1632</v>
      </c>
      <c r="AC185" s="83" vm="7861">
        <v>273</v>
      </c>
      <c r="AD185" s="83" vm="1726">
        <v>253</v>
      </c>
      <c r="AE185" s="7">
        <f xml:space="preserve"> IFERROR( VfM_Metrics_2023_Consol[[#This Row],[Total Net Debt]] / VfM_Metrics_2023_Consol[[#This Row],[Net Book Value of Housing Properties2]], "n/a" )</f>
        <v>0.52188523029909129</v>
      </c>
      <c r="AF18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608657</v>
      </c>
      <c r="AG185" s="84" vm="1727">
        <v>2645</v>
      </c>
      <c r="AH185" s="83" vm="7860">
        <v>645721</v>
      </c>
      <c r="AI185" s="83" vm="1728">
        <v>39709</v>
      </c>
      <c r="AJ185" s="83" vm="1675">
        <v>0</v>
      </c>
      <c r="AK185" s="83">
        <v>0</v>
      </c>
      <c r="AL185" s="5">
        <f xml:space="preserve"> SUM( VfM_Metrics_2023_Consol[[#This Row],[Tangible fixed assets: Housing properties at cost (Current period)2]], VfM_Metrics_2023_Consol[[#This Row],[Tangible fixed assets Housing properties at valuation (Current period)2]] )</f>
        <v>1166266</v>
      </c>
      <c r="AM185" s="84" vm="1724">
        <v>1166266</v>
      </c>
      <c r="AN185" s="83">
        <v>0</v>
      </c>
      <c r="AO185" s="87">
        <f xml:space="preserve"> IFERROR( VfM_Metrics_2023_Consol[[#This Row],[EBITDA MRI]] / VfM_Metrics_2023_Consol[[#This Row],[Total interest]], "n/a" )</f>
        <v>8.3289577316881067E-2</v>
      </c>
      <c r="AP18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2538</v>
      </c>
      <c r="AQ185" s="84" vm="8224">
        <v>24574</v>
      </c>
      <c r="AR185" s="84" vm="8005">
        <v>7937</v>
      </c>
      <c r="AS185" s="84">
        <v>0</v>
      </c>
      <c r="AT185" s="84" vm="1731">
        <v>6290</v>
      </c>
      <c r="AU185" s="84" vm="1732">
        <v>0</v>
      </c>
      <c r="AV185" s="84" vm="1733">
        <v>6627</v>
      </c>
      <c r="AW185" s="84" vm="1481">
        <v>50453</v>
      </c>
      <c r="AX185" s="84" vm="1735">
        <v>36017</v>
      </c>
      <c r="AY185" s="3">
        <f xml:space="preserve"> - SUM( VfM_Metrics_2023_Consol[[#This Row],[Interest capitalised]], VfM_Metrics_2023_Consol[[#This Row],[Interest payable and financing costs]] )</f>
        <v>30472</v>
      </c>
      <c r="AZ185" s="84" vm="1736">
        <v>-3506</v>
      </c>
      <c r="BA185" s="83" vm="1737">
        <v>-26966</v>
      </c>
      <c r="BB185" s="8">
        <f xml:space="preserve"> IFERROR( ( VfM_Metrics_2023_Consol[[#This Row],[Total Costs]] / VfM_Metrics_2023_Consol[[#This Row],[Total units for costs]] ) * 1000, "n/a" )</f>
        <v>5063.9894561299698</v>
      </c>
      <c r="BC18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188269</v>
      </c>
      <c r="BD185" s="84" vm="1738">
        <v>40077</v>
      </c>
      <c r="BE185" s="83" vm="1739">
        <v>16184</v>
      </c>
      <c r="BF185" s="83" vm="1740">
        <v>39868</v>
      </c>
      <c r="BG185" s="83" vm="8161">
        <v>0</v>
      </c>
      <c r="BH185" s="83" vm="8215">
        <v>9321</v>
      </c>
      <c r="BI185" s="83" vm="1667">
        <v>408</v>
      </c>
      <c r="BJ185" s="83" vm="1734">
        <v>50453</v>
      </c>
      <c r="BK185" s="83" vm="1741">
        <v>8962</v>
      </c>
      <c r="BL185" s="83" vm="7858">
        <v>-629</v>
      </c>
      <c r="BM185" s="83" vm="1842">
        <v>3677</v>
      </c>
      <c r="BN185" s="83" vm="1469">
        <v>18924</v>
      </c>
      <c r="BO185" s="83" vm="1742">
        <v>1024</v>
      </c>
      <c r="BP185" s="5" vm="1722">
        <f xml:space="preserve"> VfM_Metrics_2023_Consol[[#This Row],[Total social housing units owned and/or managed at period end]]</f>
        <v>37178</v>
      </c>
      <c r="BQ185" s="84" vm="1722">
        <v>37178</v>
      </c>
      <c r="BR185" s="7">
        <f xml:space="preserve"> IFERROR( VfM_Metrics_2023_Consol[[#This Row],[SHL operating surplus / (deficit)]] / VfM_Metrics_2023_Consol[[#This Row],[Turnover from social housing lettings]], "n/a" )</f>
        <v>0.1425811855743534</v>
      </c>
      <c r="BS185" s="5" vm="8286">
        <f xml:space="preserve"> VfM_Metrics_2023_Consol[[#This Row],[Operating surplus/(deficit) (social housing lettings)]]</f>
        <v>25022</v>
      </c>
      <c r="BT185" s="84" vm="8286">
        <v>25022</v>
      </c>
      <c r="BU185" s="5" vm="1743">
        <f xml:space="preserve"> VfM_Metrics_2023_Consol[[#This Row],[Turnover from social housing lettings]]</f>
        <v>175493</v>
      </c>
      <c r="BV185" s="84" vm="1743">
        <v>175493</v>
      </c>
      <c r="BW185" s="7">
        <f xml:space="preserve"> IFERROR( VfM_Metrics_2023_Consol[[#This Row],[Net operating surplus]] / VfM_Metrics_2023_Consol[[#This Row],[Overall turnover]], "n/a" )</f>
        <v>7.9430707605047432E-2</v>
      </c>
      <c r="BX185" s="5">
        <f xml:space="preserve"> SUM( VfM_Metrics_2023_Consol[[#This Row],[Operating surplus/(deficit) (overall)2]], - VfM_Metrics_2023_Consol[[#This Row],[Gain/(loss) on disposal of fixed assets (housing properties)2]], - VfM_Metrics_2023_Consol[[#This Row],[Gain/(loss) on disposal of fixed assets (other)2]] )</f>
        <v>16637</v>
      </c>
      <c r="BY185" s="84" vm="1729">
        <v>24574</v>
      </c>
      <c r="BZ185" s="83" vm="1730">
        <v>7937</v>
      </c>
      <c r="CA185" s="83">
        <v>0</v>
      </c>
      <c r="CB185" s="5" vm="8296">
        <f xml:space="preserve"> VfM_Metrics_2023_Consol[[#This Row],[Turnover (overall)]]</f>
        <v>209453</v>
      </c>
      <c r="CC185" s="84" vm="8296">
        <v>209453</v>
      </c>
      <c r="CD185" s="7">
        <f xml:space="preserve"> IFERROR( VfM_Metrics_2023_Consol[[#This Row],[Operating surplus including from JVs]] / VfM_Metrics_2023_Consol[[#This Row],[Net assets]], "n/a" )</f>
        <v>2.2575447037976301E-2</v>
      </c>
      <c r="CE185" s="5">
        <f xml:space="preserve"> SUM( VfM_Metrics_2023_Consol[[#This Row],[Operating surplus/(deficit) (overall)3]], VfM_Metrics_2023_Consol[[#This Row],[Share of operating surplus/(deficit) in joint ventures or associates]] )</f>
        <v>28958</v>
      </c>
      <c r="CF185" s="84" vm="1729">
        <v>24574</v>
      </c>
      <c r="CG185" s="83" vm="1548">
        <v>4384</v>
      </c>
      <c r="CH185" s="5" vm="7857">
        <f xml:space="preserve"> VfM_Metrics_2023_Consol[[#This Row],[Total assets less current liabilities]]</f>
        <v>1282721</v>
      </c>
      <c r="CI185" s="84" vm="7857">
        <v>1282721</v>
      </c>
      <c r="CJ185" s="71" vm="1894">
        <f xml:space="preserve"> VfM_Metrics_2023_Consol[[#This Row],[Total social housing units owned (Period end)]]</f>
        <v>35968</v>
      </c>
      <c r="CK185" s="103">
        <v>1.2511843058574374E-2</v>
      </c>
      <c r="CL185" s="6">
        <f xml:space="preserve"> -- ( VfM_Metrics_2023_Consol[[#This Row],[% Supported housing (excl. HOP)]] &gt; 0.3 )</f>
        <v>0</v>
      </c>
      <c r="CM185" s="103">
        <v>1.3710081926099314E-2</v>
      </c>
      <c r="CN185" s="6">
        <f xml:space="preserve"> -- ( VfM_Metrics_2023_Consol[[#This Row],[% Housing for older people]] &gt; 0.3 )</f>
        <v>0</v>
      </c>
      <c r="CO185" s="103">
        <f xml:space="preserve"> VfM_Metrics_2023_Consol[[#This Row],[% Supported housing (excl. HOP)]] + VfM_Metrics_2023_Consol[[#This Row],[% Housing for older people]]</f>
        <v>2.622192498467369E-2</v>
      </c>
      <c r="CP185" s="6">
        <f xml:space="preserve"> -- ( VfM_Metrics_2023_Consol[[#This Row],[SH specialist in RSH analysis]] + VfM_Metrics_2023_Consol[[#This Row],[OP specialist in RSH analysis]] &gt; 0 )</f>
        <v>0</v>
      </c>
      <c r="CQ185" s="10">
        <f xml:space="preserve"> -- ( VfM_Metrics_2023_Consol[[#This Row],[% SH and OP]] &gt; 0.3 )</f>
        <v>0</v>
      </c>
      <c r="CR185" s="104" t="s">
        <v>143</v>
      </c>
      <c r="CS185" s="124"/>
      <c r="CT185" s="105" t="s">
        <v>151</v>
      </c>
      <c r="CU18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185" s="85">
        <v>0</v>
      </c>
      <c r="CW185" s="85">
        <v>0</v>
      </c>
      <c r="CX185" s="85">
        <v>0</v>
      </c>
      <c r="CY185" s="85">
        <v>9.0120160213618163E-3</v>
      </c>
      <c r="CZ185" s="85">
        <v>0</v>
      </c>
      <c r="DA185" s="85">
        <v>0</v>
      </c>
      <c r="DB185" s="85">
        <v>0</v>
      </c>
      <c r="DC185" s="85">
        <v>0.41722296395193592</v>
      </c>
      <c r="DD185" s="85">
        <v>0.57376502002670227</v>
      </c>
      <c r="DE185" s="13">
        <v>0.95144168484543967</v>
      </c>
    </row>
    <row r="186" spans="1:109" x14ac:dyDescent="0.25">
      <c r="A186" s="4" t="s" vm="259">
        <v>496</v>
      </c>
      <c r="B186" s="2" t="s" vm="176">
        <v>497</v>
      </c>
      <c r="C186" s="72" vm="551">
        <v>45016</v>
      </c>
      <c r="D186" s="7">
        <f>IFERROR( VfM_Metrics_2023_Consol[[#This Row],[Reinvestment Spend]] / VfM_Metrics_2023_Consol[[#This Row],[Net Book Value of Housing Properties]], "n/a" )</f>
        <v>0.13346463819333707</v>
      </c>
      <c r="E18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154839</v>
      </c>
      <c r="F186" s="83" vm="2009">
        <v>111762</v>
      </c>
      <c r="G186" s="83" vm="2565">
        <v>5905</v>
      </c>
      <c r="H186" s="83" vm="2010">
        <v>31137</v>
      </c>
      <c r="I186" s="83" vm="2011">
        <v>6035</v>
      </c>
      <c r="J186" s="83" vm="8169">
        <v>0</v>
      </c>
      <c r="K186" s="5">
        <f xml:space="preserve"> SUM( VfM_Metrics_2023_Consol[[#This Row],[Tangible fixed assets: Housing properties at cost (Current period)]],VfM_Metrics_2023_Consol[[#This Row],[Tangible fixed assets Housing properties at valuation (Current period)]] )</f>
        <v>1160150</v>
      </c>
      <c r="L186" s="84" vm="2013">
        <v>1160150</v>
      </c>
      <c r="M186" s="83" vm="2014">
        <v>0</v>
      </c>
      <c r="N186" s="7">
        <f xml:space="preserve"> IFERROR( VfM_Metrics_2023_Consol[[#This Row],[Total social units developed or newly built units acquired in-year]] / VfM_Metrics_2023_Consol[[#This Row],[Social housing units owned (period end)]], "n/a" )</f>
        <v>1.7145165770269928E-2</v>
      </c>
      <c r="O186" s="5">
        <f xml:space="preserve"> SUM( VfM_Metrics_2023_Consol[[#This Row],[Total social units developed or newly built units acquired in-year (owned)]], VfM_Metrics_2023_Consol[[#This Row],[Total social leasehold units developed or newly built units acquired in-year (owned)]] )</f>
        <v>679</v>
      </c>
      <c r="P186" s="84" vm="2015">
        <v>679</v>
      </c>
      <c r="Q186" s="83">
        <v>0</v>
      </c>
      <c r="R186" s="5">
        <f xml:space="preserve"> SUM( VfM_Metrics_2023_Consol[[#This Row],[Total social housing units owned (Period end)]], VfM_Metrics_2023_Consol[[#This Row],[Total social leasehold units owned (Period end)]] )</f>
        <v>39603</v>
      </c>
      <c r="S186" s="84" vm="2007">
        <v>38674</v>
      </c>
      <c r="T186" s="83" vm="2016">
        <v>929</v>
      </c>
      <c r="U186" s="86">
        <f xml:space="preserve"> IFERROR( VfM_Metrics_2023_Consol[[#This Row],[Total non-social housing units developed or newly built units acquired (owned)]] / VfM_Metrics_2023_Consol[[#This Row],[Total social and non-social housing units owned (Period end)]], "n/a" )</f>
        <v>0</v>
      </c>
      <c r="V18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86" s="83" vm="2017">
        <v>0</v>
      </c>
      <c r="X186" s="83">
        <v>0</v>
      </c>
      <c r="Y186" s="83" vm="7910">
        <v>0</v>
      </c>
      <c r="Z18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39951</v>
      </c>
      <c r="AA186" s="84" vm="2007">
        <v>38674</v>
      </c>
      <c r="AB186" s="83" vm="2016">
        <v>929</v>
      </c>
      <c r="AC186" s="83" vm="2018">
        <v>77</v>
      </c>
      <c r="AD186" s="83" vm="2019">
        <v>271</v>
      </c>
      <c r="AE186" s="7">
        <f xml:space="preserve"> IFERROR( VfM_Metrics_2023_Consol[[#This Row],[Total Net Debt]] / VfM_Metrics_2023_Consol[[#This Row],[Net Book Value of Housing Properties2]], "n/a" )</f>
        <v>0.39006852562168687</v>
      </c>
      <c r="AF18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452538</v>
      </c>
      <c r="AG186" s="84" vm="2020">
        <v>394</v>
      </c>
      <c r="AH186" s="83" vm="2021">
        <v>489751</v>
      </c>
      <c r="AI186" s="83" vm="8109">
        <v>37607</v>
      </c>
      <c r="AJ186" s="83" vm="2022">
        <v>0</v>
      </c>
      <c r="AK186" s="83" vm="8157">
        <v>0</v>
      </c>
      <c r="AL186" s="5">
        <f xml:space="preserve"> SUM( VfM_Metrics_2023_Consol[[#This Row],[Tangible fixed assets: Housing properties at cost (Current period)2]], VfM_Metrics_2023_Consol[[#This Row],[Tangible fixed assets Housing properties at valuation (Current period)2]] )</f>
        <v>1160150</v>
      </c>
      <c r="AM186" s="84" vm="7924">
        <v>1160150</v>
      </c>
      <c r="AN186" s="83" vm="2014">
        <v>0</v>
      </c>
      <c r="AO186" s="87">
        <f xml:space="preserve"> IFERROR( VfM_Metrics_2023_Consol[[#This Row],[EBITDA MRI]] / VfM_Metrics_2023_Consol[[#This Row],[Total interest]], "n/a" )</f>
        <v>2.1211325812576791</v>
      </c>
      <c r="AP18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37981</v>
      </c>
      <c r="AQ186" s="84" vm="2023">
        <v>47322</v>
      </c>
      <c r="AR186" s="84" vm="8092">
        <v>8945</v>
      </c>
      <c r="AS186" s="84" vm="8107">
        <v>0</v>
      </c>
      <c r="AT186" s="84" vm="8168">
        <v>1352</v>
      </c>
      <c r="AU186" s="84" vm="2026">
        <v>0</v>
      </c>
      <c r="AV186" s="84" vm="7103">
        <v>2266</v>
      </c>
      <c r="AW186" s="84" vm="7808">
        <v>31137</v>
      </c>
      <c r="AX186" s="84" vm="2028">
        <v>29827</v>
      </c>
      <c r="AY186" s="3">
        <f xml:space="preserve"> - SUM( VfM_Metrics_2023_Consol[[#This Row],[Interest capitalised]], VfM_Metrics_2023_Consol[[#This Row],[Interest payable and financing costs]] )</f>
        <v>17906</v>
      </c>
      <c r="AZ186" s="84" vm="8077">
        <v>-6035</v>
      </c>
      <c r="BA186" s="83" vm="8004">
        <v>-11871</v>
      </c>
      <c r="BB186" s="8">
        <f xml:space="preserve"> IFERROR( ( VfM_Metrics_2023_Consol[[#This Row],[Total Costs]] / VfM_Metrics_2023_Consol[[#This Row],[Total units for costs]] ) * 1000, "n/a" )</f>
        <v>4042.1655656482249</v>
      </c>
      <c r="BC18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156642</v>
      </c>
      <c r="BD186" s="84" vm="1823">
        <v>36634</v>
      </c>
      <c r="BE186" s="83" vm="2029">
        <v>20666</v>
      </c>
      <c r="BF186" s="83" vm="8147">
        <v>29755</v>
      </c>
      <c r="BG186" s="83" vm="8125">
        <v>13434</v>
      </c>
      <c r="BH186" s="83" vm="2030">
        <v>13455</v>
      </c>
      <c r="BI186" s="83" vm="2031">
        <v>0</v>
      </c>
      <c r="BJ186" s="83" vm="2027">
        <v>31137</v>
      </c>
      <c r="BK186" s="83" vm="2032">
        <v>2280</v>
      </c>
      <c r="BL186" s="83" vm="2033">
        <v>0</v>
      </c>
      <c r="BM186" s="83" vm="8104">
        <v>8301</v>
      </c>
      <c r="BN186" s="83" vm="2034">
        <v>980</v>
      </c>
      <c r="BO186" s="83" vm="2035">
        <v>0</v>
      </c>
      <c r="BP186" s="5" vm="2008">
        <f xml:space="preserve"> VfM_Metrics_2023_Consol[[#This Row],[Total social housing units owned and/or managed at period end]]</f>
        <v>38752</v>
      </c>
      <c r="BQ186" s="84" vm="2008">
        <v>38752</v>
      </c>
      <c r="BR186" s="7">
        <f xml:space="preserve"> IFERROR( VfM_Metrics_2023_Consol[[#This Row],[SHL operating surplus / (deficit)]] / VfM_Metrics_2023_Consol[[#This Row],[Turnover from social housing lettings]], "n/a" )</f>
        <v>0.20481769878116518</v>
      </c>
      <c r="BS186" s="5" vm="7923">
        <f xml:space="preserve"> VfM_Metrics_2023_Consol[[#This Row],[Operating surplus/(deficit) (social housing lettings)]]</f>
        <v>39087</v>
      </c>
      <c r="BT186" s="84" vm="7923">
        <v>39087</v>
      </c>
      <c r="BU186" s="5" vm="7908">
        <f xml:space="preserve"> VfM_Metrics_2023_Consol[[#This Row],[Turnover from social housing lettings]]</f>
        <v>190838</v>
      </c>
      <c r="BV186" s="84" vm="7908">
        <v>190838</v>
      </c>
      <c r="BW186" s="7">
        <f xml:space="preserve"> IFERROR( VfM_Metrics_2023_Consol[[#This Row],[Net operating surplus]] / VfM_Metrics_2023_Consol[[#This Row],[Overall turnover]], "n/a" )</f>
        <v>0.1693533796098125</v>
      </c>
      <c r="BX186" s="5">
        <f xml:space="preserve"> SUM( VfM_Metrics_2023_Consol[[#This Row],[Operating surplus/(deficit) (overall)2]], - VfM_Metrics_2023_Consol[[#This Row],[Gain/(loss) on disposal of fixed assets (housing properties)2]], - VfM_Metrics_2023_Consol[[#This Row],[Gain/(loss) on disposal of fixed assets (other)2]] )</f>
        <v>38377</v>
      </c>
      <c r="BY186" s="84" vm="2023">
        <v>47322</v>
      </c>
      <c r="BZ186" s="83" vm="1911">
        <v>8945</v>
      </c>
      <c r="CA186" s="83" vm="2024">
        <v>0</v>
      </c>
      <c r="CB186" s="5" vm="2036">
        <f xml:space="preserve"> VfM_Metrics_2023_Consol[[#This Row],[Turnover (overall)]]</f>
        <v>226609</v>
      </c>
      <c r="CC186" s="84" vm="2036">
        <v>226609</v>
      </c>
      <c r="CD186" s="7">
        <f xml:space="preserve"> IFERROR( VfM_Metrics_2023_Consol[[#This Row],[Operating surplus including from JVs]] / VfM_Metrics_2023_Consol[[#This Row],[Net assets]], "n/a" )</f>
        <v>3.2282201159256008E-2</v>
      </c>
      <c r="CE186" s="5">
        <f xml:space="preserve"> SUM( VfM_Metrics_2023_Consol[[#This Row],[Operating surplus/(deficit) (overall)3]], VfM_Metrics_2023_Consol[[#This Row],[Share of operating surplus/(deficit) in joint ventures or associates]] )</f>
        <v>47502</v>
      </c>
      <c r="CF186" s="84" vm="2292">
        <v>47322</v>
      </c>
      <c r="CG186" s="83" vm="7114">
        <v>180</v>
      </c>
      <c r="CH186" s="5" vm="7946">
        <f xml:space="preserve"> VfM_Metrics_2023_Consol[[#This Row],[Total assets less current liabilities]]</f>
        <v>1471461</v>
      </c>
      <c r="CI186" s="84" vm="7946">
        <v>1471461</v>
      </c>
      <c r="CJ186" s="71" vm="2007">
        <f xml:space="preserve"> VfM_Metrics_2023_Consol[[#This Row],[Total social housing units owned (Period end)]]</f>
        <v>38674</v>
      </c>
      <c r="CK186" s="103">
        <v>4.1829046505585865E-3</v>
      </c>
      <c r="CL186" s="6">
        <f xml:space="preserve"> -- ( VfM_Metrics_2023_Consol[[#This Row],[% Supported housing (excl. HOP)]] &gt; 0.3 )</f>
        <v>0</v>
      </c>
      <c r="CM186" s="103">
        <v>8.791893998441154E-2</v>
      </c>
      <c r="CN186" s="6">
        <f xml:space="preserve"> -- ( VfM_Metrics_2023_Consol[[#This Row],[% Housing for older people]] &gt; 0.3 )</f>
        <v>0</v>
      </c>
      <c r="CO186" s="103">
        <f xml:space="preserve"> VfM_Metrics_2023_Consol[[#This Row],[% Supported housing (excl. HOP)]] + VfM_Metrics_2023_Consol[[#This Row],[% Housing for older people]]</f>
        <v>9.210184463497012E-2</v>
      </c>
      <c r="CP186" s="6">
        <f xml:space="preserve"> -- ( VfM_Metrics_2023_Consol[[#This Row],[SH specialist in RSH analysis]] + VfM_Metrics_2023_Consol[[#This Row],[OP specialist in RSH analysis]] &gt; 0 )</f>
        <v>0</v>
      </c>
      <c r="CQ186" s="10">
        <f xml:space="preserve"> -- ( VfM_Metrics_2023_Consol[[#This Row],[% SH and OP]] &gt; 0.3 )</f>
        <v>0</v>
      </c>
      <c r="CR186" s="104" t="s">
        <v>143</v>
      </c>
      <c r="CS186" s="124"/>
      <c r="CT186" s="105" t="s">
        <v>151</v>
      </c>
      <c r="CU18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86" s="85">
        <v>0</v>
      </c>
      <c r="CW186" s="85">
        <v>0</v>
      </c>
      <c r="CX186" s="85">
        <v>0</v>
      </c>
      <c r="CY186" s="85">
        <v>0</v>
      </c>
      <c r="CZ186" s="85">
        <v>0</v>
      </c>
      <c r="DA186" s="85">
        <v>0</v>
      </c>
      <c r="DB186" s="85">
        <v>0</v>
      </c>
      <c r="DC186" s="85">
        <v>1</v>
      </c>
      <c r="DD186" s="85">
        <v>0</v>
      </c>
      <c r="DE186" s="13">
        <v>0.96105917141044694</v>
      </c>
    </row>
    <row r="187" spans="1:109" x14ac:dyDescent="0.25">
      <c r="A187" s="4" t="s" vm="203">
        <v>498</v>
      </c>
      <c r="B187" s="2" t="s" vm="177">
        <v>499</v>
      </c>
      <c r="C187" s="72" vm="534">
        <v>45016</v>
      </c>
      <c r="D187" s="7">
        <f>IFERROR( VfM_Metrics_2023_Consol[[#This Row],[Reinvestment Spend]] / VfM_Metrics_2023_Consol[[#This Row],[Net Book Value of Housing Properties]], "n/a" )</f>
        <v>6.6575476059299227E-2</v>
      </c>
      <c r="E18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10513</v>
      </c>
      <c r="F187" s="83" vm="9206">
        <v>0</v>
      </c>
      <c r="G187" s="83" vm="9178">
        <v>0</v>
      </c>
      <c r="H187" s="83" vm="681">
        <v>10513</v>
      </c>
      <c r="I187" s="83" vm="682">
        <v>0</v>
      </c>
      <c r="J187" s="83" vm="9000">
        <v>0</v>
      </c>
      <c r="K187" s="5">
        <f xml:space="preserve"> SUM( VfM_Metrics_2023_Consol[[#This Row],[Tangible fixed assets: Housing properties at cost (Current period)]],VfM_Metrics_2023_Consol[[#This Row],[Tangible fixed assets Housing properties at valuation (Current period)]] )</f>
        <v>157911</v>
      </c>
      <c r="L187" s="84">
        <v>0</v>
      </c>
      <c r="M187" s="83" vm="9165">
        <v>157911</v>
      </c>
      <c r="N187" s="7">
        <f xml:space="preserve"> IFERROR( VfM_Metrics_2023_Consol[[#This Row],[Total social units developed or newly built units acquired in-year]] / VfM_Metrics_2023_Consol[[#This Row],[Social housing units owned (period end)]], "n/a" )</f>
        <v>0</v>
      </c>
      <c r="O187" s="5">
        <f xml:space="preserve"> SUM( VfM_Metrics_2023_Consol[[#This Row],[Total social units developed or newly built units acquired in-year (owned)]], VfM_Metrics_2023_Consol[[#This Row],[Total social leasehold units developed or newly built units acquired in-year (owned)]] )</f>
        <v>0</v>
      </c>
      <c r="P187" s="84" vm="8992">
        <v>0</v>
      </c>
      <c r="Q187" s="83">
        <v>0</v>
      </c>
      <c r="R187" s="5">
        <f xml:space="preserve"> SUM( VfM_Metrics_2023_Consol[[#This Row],[Total social housing units owned (Period end)]], VfM_Metrics_2023_Consol[[#This Row],[Total social leasehold units owned (Period end)]] )</f>
        <v>2057</v>
      </c>
      <c r="S187" s="84" vm="679">
        <v>2054</v>
      </c>
      <c r="T187" s="83" vm="629">
        <v>3</v>
      </c>
      <c r="U187" s="86">
        <f xml:space="preserve"> IFERROR( VfM_Metrics_2023_Consol[[#This Row],[Total non-social housing units developed or newly built units acquired (owned)]] / VfM_Metrics_2023_Consol[[#This Row],[Total social and non-social housing units owned (Period end)]], "n/a" )</f>
        <v>0</v>
      </c>
      <c r="V18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87" s="83">
        <v>0</v>
      </c>
      <c r="X187" s="83">
        <v>0</v>
      </c>
      <c r="Y187" s="83">
        <v>0</v>
      </c>
      <c r="Z18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3191</v>
      </c>
      <c r="AA187" s="84" vm="9014">
        <v>2054</v>
      </c>
      <c r="AB187" s="83" vm="683">
        <v>3</v>
      </c>
      <c r="AC187" s="83" vm="684">
        <v>0</v>
      </c>
      <c r="AD187" s="83" vm="685">
        <v>1134</v>
      </c>
      <c r="AE187" s="7">
        <f xml:space="preserve"> IFERROR( VfM_Metrics_2023_Consol[[#This Row],[Total Net Debt]] / VfM_Metrics_2023_Consol[[#This Row],[Net Book Value of Housing Properties2]], "n/a" )</f>
        <v>0.38236728283653448</v>
      </c>
      <c r="AF18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60380</v>
      </c>
      <c r="AG187" s="84">
        <v>0</v>
      </c>
      <c r="AH187" s="83" vm="8987">
        <v>63456</v>
      </c>
      <c r="AI187" s="83" vm="686">
        <v>3076</v>
      </c>
      <c r="AJ187" s="83" vm="1675">
        <v>0</v>
      </c>
      <c r="AK187" s="83">
        <v>0</v>
      </c>
      <c r="AL187" s="5">
        <f xml:space="preserve"> SUM( VfM_Metrics_2023_Consol[[#This Row],[Tangible fixed assets: Housing properties at cost (Current period)2]], VfM_Metrics_2023_Consol[[#This Row],[Tangible fixed assets Housing properties at valuation (Current period)2]] )</f>
        <v>157911</v>
      </c>
      <c r="AM187" s="84">
        <v>0</v>
      </c>
      <c r="AN187" s="83" vm="9158">
        <v>157911</v>
      </c>
      <c r="AO187" s="87">
        <f xml:space="preserve"> IFERROR( VfM_Metrics_2023_Consol[[#This Row],[EBITDA MRI]] / VfM_Metrics_2023_Consol[[#This Row],[Total interest]], "n/a" )</f>
        <v>-4.3568341437061049</v>
      </c>
      <c r="AP18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-16129</v>
      </c>
      <c r="AQ187" s="84" vm="9139">
        <v>-7020</v>
      </c>
      <c r="AR187" s="84" vm="9011">
        <v>732</v>
      </c>
      <c r="AS187" s="84">
        <v>0</v>
      </c>
      <c r="AT187" s="84" vm="8984">
        <v>52</v>
      </c>
      <c r="AU187" s="84" vm="763">
        <v>0</v>
      </c>
      <c r="AV187" s="84" vm="699">
        <v>76</v>
      </c>
      <c r="AW187" s="84" vm="9120">
        <v>10513</v>
      </c>
      <c r="AX187" s="84" vm="690">
        <v>2112</v>
      </c>
      <c r="AY187" s="3">
        <f xml:space="preserve"> - SUM( VfM_Metrics_2023_Consol[[#This Row],[Interest capitalised]], VfM_Metrics_2023_Consol[[#This Row],[Interest payable and financing costs]] )</f>
        <v>3702</v>
      </c>
      <c r="AZ187" s="84">
        <v>0</v>
      </c>
      <c r="BA187" s="83" vm="691">
        <v>-3702</v>
      </c>
      <c r="BB187" s="8">
        <f xml:space="preserve"> IFERROR( ( VfM_Metrics_2023_Consol[[#This Row],[Total Costs]] / VfM_Metrics_2023_Consol[[#This Row],[Total units for costs]] ) * 1000, "n/a" )</f>
        <v>16944.498539435248</v>
      </c>
      <c r="BC18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34804</v>
      </c>
      <c r="BD187" s="84" vm="692">
        <v>3526</v>
      </c>
      <c r="BE187" s="83" vm="693">
        <v>5092</v>
      </c>
      <c r="BF187" s="83" vm="8983">
        <v>5296</v>
      </c>
      <c r="BG187" s="83" vm="694">
        <v>1049</v>
      </c>
      <c r="BH187" s="83" vm="695">
        <v>8616</v>
      </c>
      <c r="BI187" s="83" vm="9156">
        <v>0</v>
      </c>
      <c r="BJ187" s="83" vm="9007">
        <v>10513</v>
      </c>
      <c r="BK187" s="83" vm="696">
        <v>0</v>
      </c>
      <c r="BL187" s="83" vm="8972">
        <v>207</v>
      </c>
      <c r="BM187" s="83" vm="697">
        <v>505</v>
      </c>
      <c r="BN187" s="83">
        <v>0</v>
      </c>
      <c r="BO187" s="83">
        <v>0</v>
      </c>
      <c r="BP187" s="5" vm="680">
        <f xml:space="preserve"> VfM_Metrics_2023_Consol[[#This Row],[Total social housing units owned and/or managed at period end]]</f>
        <v>2054</v>
      </c>
      <c r="BQ187" s="84" vm="680">
        <v>2054</v>
      </c>
      <c r="BR187" s="7">
        <f xml:space="preserve"> IFERROR( VfM_Metrics_2023_Consol[[#This Row],[SHL operating surplus / (deficit)]] / VfM_Metrics_2023_Consol[[#This Row],[Turnover from social housing lettings]], "n/a" )</f>
        <v>-0.29085527340707273</v>
      </c>
      <c r="BS187" s="5" vm="9005">
        <f xml:space="preserve"> VfM_Metrics_2023_Consol[[#This Row],[Operating surplus/(deficit) (social housing lettings)]]</f>
        <v>-7468</v>
      </c>
      <c r="BT187" s="84" vm="9005">
        <v>-7468</v>
      </c>
      <c r="BU187" s="5" vm="698">
        <f xml:space="preserve"> VfM_Metrics_2023_Consol[[#This Row],[Turnover from social housing lettings]]</f>
        <v>25676</v>
      </c>
      <c r="BV187" s="84" vm="698">
        <v>25676</v>
      </c>
      <c r="BW187" s="7">
        <f xml:space="preserve"> IFERROR( VfM_Metrics_2023_Consol[[#This Row],[Net operating surplus]] / VfM_Metrics_2023_Consol[[#This Row],[Overall turnover]], "n/a" )</f>
        <v>-0.29303696983442956</v>
      </c>
      <c r="BX187" s="5">
        <f xml:space="preserve"> SUM( VfM_Metrics_2023_Consol[[#This Row],[Operating surplus/(deficit) (overall)2]], - VfM_Metrics_2023_Consol[[#This Row],[Gain/(loss) on disposal of fixed assets (housing properties)2]], - VfM_Metrics_2023_Consol[[#This Row],[Gain/(loss) on disposal of fixed assets (other)2]] )</f>
        <v>-7752</v>
      </c>
      <c r="BY187" s="84" vm="688">
        <v>-7020</v>
      </c>
      <c r="BZ187" s="83" vm="797">
        <v>732</v>
      </c>
      <c r="CA187" s="83">
        <v>0</v>
      </c>
      <c r="CB187" s="5" vm="699">
        <f xml:space="preserve"> VfM_Metrics_2023_Consol[[#This Row],[Turnover (overall)]]</f>
        <v>26454</v>
      </c>
      <c r="CC187" s="84" vm="699">
        <v>26454</v>
      </c>
      <c r="CD187" s="7">
        <f xml:space="preserve"> IFERROR( VfM_Metrics_2023_Consol[[#This Row],[Operating surplus including from JVs]] / VfM_Metrics_2023_Consol[[#This Row],[Net assets]], "n/a" )</f>
        <v>-4.0478593051751478E-2</v>
      </c>
      <c r="CE187" s="5">
        <f xml:space="preserve"> SUM( VfM_Metrics_2023_Consol[[#This Row],[Operating surplus/(deficit) (overall)3]], VfM_Metrics_2023_Consol[[#This Row],[Share of operating surplus/(deficit) in joint ventures or associates]] )</f>
        <v>-7020</v>
      </c>
      <c r="CF187" s="84" vm="688">
        <v>-7020</v>
      </c>
      <c r="CG187" s="83">
        <v>0</v>
      </c>
      <c r="CH187" s="5" vm="9129">
        <f xml:space="preserve"> VfM_Metrics_2023_Consol[[#This Row],[Total assets less current liabilities]]</f>
        <v>173425</v>
      </c>
      <c r="CI187" s="84" vm="9129">
        <v>173425</v>
      </c>
      <c r="CJ187" s="71" vm="679">
        <f xml:space="preserve"> VfM_Metrics_2023_Consol[[#This Row],[Total social housing units owned (Period end)]]</f>
        <v>2054</v>
      </c>
      <c r="CK187" s="103">
        <v>0</v>
      </c>
      <c r="CL187" s="6">
        <f xml:space="preserve"> -- ( VfM_Metrics_2023_Consol[[#This Row],[% Supported housing (excl. HOP)]] &gt; 0.3 )</f>
        <v>0</v>
      </c>
      <c r="CM187" s="103">
        <v>0</v>
      </c>
      <c r="CN187" s="6">
        <f xml:space="preserve"> -- ( VfM_Metrics_2023_Consol[[#This Row],[% Housing for older people]] &gt; 0.3 )</f>
        <v>0</v>
      </c>
      <c r="CO187" s="103">
        <f xml:space="preserve"> VfM_Metrics_2023_Consol[[#This Row],[% Supported housing (excl. HOP)]] + VfM_Metrics_2023_Consol[[#This Row],[% Housing for older people]]</f>
        <v>0</v>
      </c>
      <c r="CP187" s="6">
        <f xml:space="preserve"> -- ( VfM_Metrics_2023_Consol[[#This Row],[SH specialist in RSH analysis]] + VfM_Metrics_2023_Consol[[#This Row],[OP specialist in RSH analysis]] &gt; 0 )</f>
        <v>0</v>
      </c>
      <c r="CQ187" s="10">
        <f xml:space="preserve"> -- ( VfM_Metrics_2023_Consol[[#This Row],[% SH and OP]] &gt; 0.3 )</f>
        <v>0</v>
      </c>
      <c r="CR187" s="104" t="s">
        <v>143</v>
      </c>
      <c r="CS187" s="124"/>
      <c r="CT187" s="105" t="s">
        <v>151</v>
      </c>
      <c r="CU18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87" s="85">
        <v>1</v>
      </c>
      <c r="CW187" s="85">
        <v>0</v>
      </c>
      <c r="CX187" s="85">
        <v>0</v>
      </c>
      <c r="CY187" s="85">
        <v>0</v>
      </c>
      <c r="CZ187" s="85">
        <v>0</v>
      </c>
      <c r="DA187" s="85">
        <v>0</v>
      </c>
      <c r="DB187" s="85">
        <v>0</v>
      </c>
      <c r="DC187" s="85">
        <v>0</v>
      </c>
      <c r="DD187" s="85">
        <v>0</v>
      </c>
      <c r="DE187" s="13">
        <v>1.1603700449887588</v>
      </c>
    </row>
    <row r="188" spans="1:109" x14ac:dyDescent="0.25">
      <c r="A188" s="4" t="s" vm="386">
        <v>500</v>
      </c>
      <c r="B188" s="2" t="s" vm="178">
        <v>501</v>
      </c>
      <c r="C188" s="72" vm="547">
        <v>45016</v>
      </c>
      <c r="D188" s="7">
        <f>IFERROR( VfM_Metrics_2023_Consol[[#This Row],[Reinvestment Spend]] / VfM_Metrics_2023_Consol[[#This Row],[Net Book Value of Housing Properties]], "n/a" )</f>
        <v>0.10075547471545887</v>
      </c>
      <c r="E18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22379</v>
      </c>
      <c r="F188" s="83" vm="6422">
        <v>6522</v>
      </c>
      <c r="G188" s="83" vm="6423">
        <v>9661</v>
      </c>
      <c r="H188" s="83" vm="6424">
        <v>5889</v>
      </c>
      <c r="I188" s="83" vm="6425">
        <v>307</v>
      </c>
      <c r="J188" s="83" vm="6426">
        <v>0</v>
      </c>
      <c r="K188" s="5">
        <f xml:space="preserve"> SUM( VfM_Metrics_2023_Consol[[#This Row],[Tangible fixed assets: Housing properties at cost (Current period)]],VfM_Metrics_2023_Consol[[#This Row],[Tangible fixed assets Housing properties at valuation (Current period)]] )</f>
        <v>222112</v>
      </c>
      <c r="L188" s="84" vm="6427">
        <v>222112</v>
      </c>
      <c r="M188" s="83" vm="6428">
        <v>0</v>
      </c>
      <c r="N188" s="7">
        <f xml:space="preserve"> IFERROR( VfM_Metrics_2023_Consol[[#This Row],[Total social units developed or newly built units acquired in-year]] / VfM_Metrics_2023_Consol[[#This Row],[Social housing units owned (period end)]], "n/a" )</f>
        <v>1.1423550087873463E-2</v>
      </c>
      <c r="O188" s="5">
        <f xml:space="preserve"> SUM( VfM_Metrics_2023_Consol[[#This Row],[Total social units developed or newly built units acquired in-year (owned)]], VfM_Metrics_2023_Consol[[#This Row],[Total social leasehold units developed or newly built units acquired in-year (owned)]] )</f>
        <v>78</v>
      </c>
      <c r="P188" s="84" vm="6429">
        <v>78</v>
      </c>
      <c r="Q188" s="83" vm="6430">
        <v>0</v>
      </c>
      <c r="R188" s="5">
        <f xml:space="preserve"> SUM( VfM_Metrics_2023_Consol[[#This Row],[Total social housing units owned (Period end)]], VfM_Metrics_2023_Consol[[#This Row],[Total social leasehold units owned (Period end)]] )</f>
        <v>6828</v>
      </c>
      <c r="S188" s="84" vm="6420">
        <v>6529</v>
      </c>
      <c r="T188" s="83" vm="6431">
        <v>299</v>
      </c>
      <c r="U188" s="86">
        <f xml:space="preserve"> IFERROR( VfM_Metrics_2023_Consol[[#This Row],[Total non-social housing units developed or newly built units acquired (owned)]] / VfM_Metrics_2023_Consol[[#This Row],[Total social and non-social housing units owned (Period end)]], "n/a" )</f>
        <v>0</v>
      </c>
      <c r="V18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88" s="83" vm="6432">
        <v>0</v>
      </c>
      <c r="X188" s="83" vm="6476">
        <v>0</v>
      </c>
      <c r="Y188" s="83" vm="6433">
        <v>0</v>
      </c>
      <c r="Z18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6828</v>
      </c>
      <c r="AA188" s="84" vm="6420">
        <v>6529</v>
      </c>
      <c r="AB188" s="83" vm="6431">
        <v>299</v>
      </c>
      <c r="AC188" s="83" vm="6434">
        <v>0</v>
      </c>
      <c r="AD188" s="83" vm="6435">
        <v>0</v>
      </c>
      <c r="AE188" s="7">
        <f xml:space="preserve"> IFERROR( VfM_Metrics_2023_Consol[[#This Row],[Total Net Debt]] / VfM_Metrics_2023_Consol[[#This Row],[Net Book Value of Housing Properties2]], "n/a" )</f>
        <v>0.70743588820054748</v>
      </c>
      <c r="AF18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157130</v>
      </c>
      <c r="AG188" s="84" vm="6436">
        <v>3289</v>
      </c>
      <c r="AH188" s="83" vm="6437">
        <v>166729</v>
      </c>
      <c r="AI188" s="83" vm="6438">
        <v>12888</v>
      </c>
      <c r="AJ188" s="83" vm="6439">
        <v>0</v>
      </c>
      <c r="AK188" s="83" vm="6440">
        <v>0</v>
      </c>
      <c r="AL188" s="5">
        <f xml:space="preserve"> SUM( VfM_Metrics_2023_Consol[[#This Row],[Tangible fixed assets: Housing properties at cost (Current period)2]], VfM_Metrics_2023_Consol[[#This Row],[Tangible fixed assets Housing properties at valuation (Current period)2]] )</f>
        <v>222112</v>
      </c>
      <c r="AM188" s="84" vm="6427">
        <v>222112</v>
      </c>
      <c r="AN188" s="83" vm="6428">
        <v>0</v>
      </c>
      <c r="AO188" s="87">
        <f xml:space="preserve"> IFERROR( VfM_Metrics_2023_Consol[[#This Row],[EBITDA MRI]] / VfM_Metrics_2023_Consol[[#This Row],[Total interest]], "n/a" )</f>
        <v>1.1509148646605172</v>
      </c>
      <c r="AP18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7611</v>
      </c>
      <c r="AQ188" s="84" vm="6441">
        <v>8430</v>
      </c>
      <c r="AR188" s="84" vm="6442">
        <v>1935</v>
      </c>
      <c r="AS188" s="84" vm="6443">
        <v>0</v>
      </c>
      <c r="AT188" s="84" vm="6208">
        <v>518</v>
      </c>
      <c r="AU188" s="84" vm="6444">
        <v>0</v>
      </c>
      <c r="AV188" s="84" vm="6445">
        <v>747</v>
      </c>
      <c r="AW188" s="84" vm="6446">
        <v>5889</v>
      </c>
      <c r="AX188" s="84" vm="6447">
        <v>6776</v>
      </c>
      <c r="AY188" s="3">
        <f xml:space="preserve"> - SUM( VfM_Metrics_2023_Consol[[#This Row],[Interest capitalised]], VfM_Metrics_2023_Consol[[#This Row],[Interest payable and financing costs]] )</f>
        <v>6613</v>
      </c>
      <c r="AZ188" s="84" vm="7003">
        <v>-322</v>
      </c>
      <c r="BA188" s="83" vm="6448">
        <v>-6291</v>
      </c>
      <c r="BB188" s="8">
        <f xml:space="preserve"> IFERROR( ( VfM_Metrics_2023_Consol[[#This Row],[Total Costs]] / VfM_Metrics_2023_Consol[[#This Row],[Total units for costs]] ) * 1000, "n/a" )</f>
        <v>4019.2985143207229</v>
      </c>
      <c r="BC18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26242</v>
      </c>
      <c r="BD188" s="84" vm="6449">
        <v>6744</v>
      </c>
      <c r="BE188" s="83" vm="6450">
        <v>1987</v>
      </c>
      <c r="BF188" s="83" vm="6291">
        <v>3583</v>
      </c>
      <c r="BG188" s="83" vm="6451">
        <v>4772</v>
      </c>
      <c r="BH188" s="83" vm="6452">
        <v>1487</v>
      </c>
      <c r="BI188" s="83" vm="6453">
        <v>0</v>
      </c>
      <c r="BJ188" s="83" vm="6446">
        <v>5889</v>
      </c>
      <c r="BK188" s="83" vm="6369">
        <v>952</v>
      </c>
      <c r="BL188" s="83" vm="6455">
        <v>297</v>
      </c>
      <c r="BM188" s="83" vm="6456">
        <v>0</v>
      </c>
      <c r="BN188" s="83" vm="6457">
        <v>171</v>
      </c>
      <c r="BO188" s="83" vm="6458">
        <v>360</v>
      </c>
      <c r="BP188" s="5" vm="6421">
        <f xml:space="preserve"> VfM_Metrics_2023_Consol[[#This Row],[Total social housing units owned and/or managed at period end]]</f>
        <v>6529</v>
      </c>
      <c r="BQ188" s="84" vm="6421">
        <v>6529</v>
      </c>
      <c r="BR188" s="7">
        <f xml:space="preserve"> IFERROR( VfM_Metrics_2023_Consol[[#This Row],[SHL operating surplus / (deficit)]] / VfM_Metrics_2023_Consol[[#This Row],[Turnover from social housing lettings]], "n/a" )</f>
        <v>0.19933408719688403</v>
      </c>
      <c r="BS188" s="5" vm="6459">
        <f xml:space="preserve"> VfM_Metrics_2023_Consol[[#This Row],[Operating surplus/(deficit) (social housing lettings)]]</f>
        <v>6346</v>
      </c>
      <c r="BT188" s="84" vm="6459">
        <v>6346</v>
      </c>
      <c r="BU188" s="5" vm="6460">
        <f xml:space="preserve"> VfM_Metrics_2023_Consol[[#This Row],[Turnover from social housing lettings]]</f>
        <v>31836</v>
      </c>
      <c r="BV188" s="84" vm="6460">
        <v>31836</v>
      </c>
      <c r="BW188" s="7">
        <f xml:space="preserve"> IFERROR( VfM_Metrics_2023_Consol[[#This Row],[Net operating surplus]] / VfM_Metrics_2023_Consol[[#This Row],[Overall turnover]], "n/a" )</f>
        <v>0.19281579337984267</v>
      </c>
      <c r="BX188" s="5">
        <f xml:space="preserve"> SUM( VfM_Metrics_2023_Consol[[#This Row],[Operating surplus/(deficit) (overall)2]], - VfM_Metrics_2023_Consol[[#This Row],[Gain/(loss) on disposal of fixed assets (housing properties)2]], - VfM_Metrics_2023_Consol[[#This Row],[Gain/(loss) on disposal of fixed assets (other)2]] )</f>
        <v>6495</v>
      </c>
      <c r="BY188" s="84" vm="6441">
        <v>8430</v>
      </c>
      <c r="BZ188" s="83" vm="6442">
        <v>1935</v>
      </c>
      <c r="CA188" s="83" vm="6443">
        <v>0</v>
      </c>
      <c r="CB188" s="5" vm="6461">
        <f xml:space="preserve"> VfM_Metrics_2023_Consol[[#This Row],[Turnover (overall)]]</f>
        <v>33685</v>
      </c>
      <c r="CC188" s="84" vm="6461">
        <v>33685</v>
      </c>
      <c r="CD188" s="7">
        <f xml:space="preserve"> IFERROR( VfM_Metrics_2023_Consol[[#This Row],[Operating surplus including from JVs]] / VfM_Metrics_2023_Consol[[#This Row],[Net assets]], "n/a" )</f>
        <v>3.2014643946270085E-2</v>
      </c>
      <c r="CE188" s="5">
        <f xml:space="preserve"> SUM( VfM_Metrics_2023_Consol[[#This Row],[Operating surplus/(deficit) (overall)3]], VfM_Metrics_2023_Consol[[#This Row],[Share of operating surplus/(deficit) in joint ventures or associates]] )</f>
        <v>8430</v>
      </c>
      <c r="CF188" s="84" vm="6441">
        <v>8430</v>
      </c>
      <c r="CG188" s="83" vm="6463">
        <v>0</v>
      </c>
      <c r="CH188" s="5" vm="6462">
        <f xml:space="preserve"> VfM_Metrics_2023_Consol[[#This Row],[Total assets less current liabilities]]</f>
        <v>263317</v>
      </c>
      <c r="CI188" s="84" vm="6462">
        <v>263317</v>
      </c>
      <c r="CJ188" s="71" vm="6420">
        <f xml:space="preserve"> VfM_Metrics_2023_Consol[[#This Row],[Total social housing units owned (Period end)]]</f>
        <v>6529</v>
      </c>
      <c r="CK188" s="103">
        <v>3.0707815138952864E-4</v>
      </c>
      <c r="CL188" s="6">
        <f xml:space="preserve"> -- ( VfM_Metrics_2023_Consol[[#This Row],[% Supported housing (excl. HOP)]] &gt; 0.3 )</f>
        <v>0</v>
      </c>
      <c r="CM188" s="103">
        <v>2.5333947489636112E-2</v>
      </c>
      <c r="CN188" s="6">
        <f xml:space="preserve"> -- ( VfM_Metrics_2023_Consol[[#This Row],[% Housing for older people]] &gt; 0.3 )</f>
        <v>0</v>
      </c>
      <c r="CO188" s="103">
        <f xml:space="preserve"> VfM_Metrics_2023_Consol[[#This Row],[% Supported housing (excl. HOP)]] + VfM_Metrics_2023_Consol[[#This Row],[% Housing for older people]]</f>
        <v>2.564102564102564E-2</v>
      </c>
      <c r="CP188" s="6">
        <f xml:space="preserve"> -- ( VfM_Metrics_2023_Consol[[#This Row],[SH specialist in RSH analysis]] + VfM_Metrics_2023_Consol[[#This Row],[OP specialist in RSH analysis]] &gt; 0 )</f>
        <v>0</v>
      </c>
      <c r="CQ188" s="10">
        <f xml:space="preserve"> -- ( VfM_Metrics_2023_Consol[[#This Row],[% SH and OP]] &gt; 0.3 )</f>
        <v>0</v>
      </c>
      <c r="CR188" s="104" t="s">
        <v>143</v>
      </c>
      <c r="CS188" s="124"/>
      <c r="CT188" s="105" t="s">
        <v>151</v>
      </c>
      <c r="CU18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88" s="85">
        <v>0</v>
      </c>
      <c r="CW188" s="85">
        <v>0</v>
      </c>
      <c r="CX188" s="85">
        <v>0</v>
      </c>
      <c r="CY188" s="85">
        <v>8.6536988819114716E-2</v>
      </c>
      <c r="CZ188" s="85">
        <v>0.91346301118088524</v>
      </c>
      <c r="DA188" s="85">
        <v>0</v>
      </c>
      <c r="DB188" s="85">
        <v>0</v>
      </c>
      <c r="DC188" s="85">
        <v>0</v>
      </c>
      <c r="DD188" s="85">
        <v>0</v>
      </c>
      <c r="DE188" s="13">
        <v>0.96266436274437006</v>
      </c>
    </row>
    <row r="189" spans="1:109" x14ac:dyDescent="0.25">
      <c r="A189" s="4" t="s" vm="305">
        <v>502</v>
      </c>
      <c r="B189" s="2" t="s" vm="179">
        <v>503</v>
      </c>
      <c r="C189" s="72" vm="557">
        <v>45016</v>
      </c>
      <c r="D189" s="7">
        <f>IFERROR( VfM_Metrics_2023_Consol[[#This Row],[Reinvestment Spend]] / VfM_Metrics_2023_Consol[[#This Row],[Net Book Value of Housing Properties]], "n/a" )</f>
        <v>3.2989997541439678E-2</v>
      </c>
      <c r="E18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5099</v>
      </c>
      <c r="F189" s="83" vm="3512">
        <v>2005</v>
      </c>
      <c r="G189" s="83" vm="3513">
        <v>0</v>
      </c>
      <c r="H189" s="83" vm="3514">
        <v>3061</v>
      </c>
      <c r="I189" s="83" vm="7672">
        <v>33</v>
      </c>
      <c r="J189" s="83" vm="3515">
        <v>0</v>
      </c>
      <c r="K189" s="5">
        <f xml:space="preserve"> SUM( VfM_Metrics_2023_Consol[[#This Row],[Tangible fixed assets: Housing properties at cost (Current period)]],VfM_Metrics_2023_Consol[[#This Row],[Tangible fixed assets Housing properties at valuation (Current period)]] )</f>
        <v>154562</v>
      </c>
      <c r="L189" s="84" vm="3516">
        <v>154562</v>
      </c>
      <c r="M189" s="83">
        <v>0</v>
      </c>
      <c r="N189" s="7">
        <f xml:space="preserve"> IFERROR( VfM_Metrics_2023_Consol[[#This Row],[Total social units developed or newly built units acquired in-year]] / VfM_Metrics_2023_Consol[[#This Row],[Social housing units owned (period end)]], "n/a" )</f>
        <v>1.8999366687777073E-3</v>
      </c>
      <c r="O189" s="5">
        <f xml:space="preserve"> SUM( VfM_Metrics_2023_Consol[[#This Row],[Total social units developed or newly built units acquired in-year (owned)]], VfM_Metrics_2023_Consol[[#This Row],[Total social leasehold units developed or newly built units acquired in-year (owned)]] )</f>
        <v>6</v>
      </c>
      <c r="P189" s="84" vm="3517">
        <v>6</v>
      </c>
      <c r="Q189" s="83">
        <v>0</v>
      </c>
      <c r="R189" s="5">
        <f xml:space="preserve"> SUM( VfM_Metrics_2023_Consol[[#This Row],[Total social housing units owned (Period end)]], VfM_Metrics_2023_Consol[[#This Row],[Total social leasehold units owned (Period end)]] )</f>
        <v>3158</v>
      </c>
      <c r="S189" s="84" vm="3510">
        <v>3158</v>
      </c>
      <c r="T189" s="83" vm="6995">
        <v>0</v>
      </c>
      <c r="U189" s="86">
        <f xml:space="preserve"> IFERROR( VfM_Metrics_2023_Consol[[#This Row],[Total non-social housing units developed or newly built units acquired (owned)]] / VfM_Metrics_2023_Consol[[#This Row],[Total social and non-social housing units owned (Period end)]], "n/a" )</f>
        <v>0</v>
      </c>
      <c r="V18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89" s="83">
        <v>0</v>
      </c>
      <c r="X189" s="83">
        <v>0</v>
      </c>
      <c r="Y189" s="83" vm="3519">
        <v>0</v>
      </c>
      <c r="Z18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3457</v>
      </c>
      <c r="AA189" s="84" vm="3510">
        <v>3158</v>
      </c>
      <c r="AB189" s="83" vm="3518">
        <v>0</v>
      </c>
      <c r="AC189" s="83" vm="3520">
        <v>10</v>
      </c>
      <c r="AD189" s="83" vm="3521">
        <v>289</v>
      </c>
      <c r="AE189" s="7">
        <f xml:space="preserve"> IFERROR( VfM_Metrics_2023_Consol[[#This Row],[Total Net Debt]] / VfM_Metrics_2023_Consol[[#This Row],[Net Book Value of Housing Properties2]], "n/a" )</f>
        <v>0.48814068140940203</v>
      </c>
      <c r="AF18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75448</v>
      </c>
      <c r="AG189" s="84" vm="3522">
        <v>93</v>
      </c>
      <c r="AH189" s="83" vm="3523">
        <v>81627</v>
      </c>
      <c r="AI189" s="83" vm="3524">
        <v>6272</v>
      </c>
      <c r="AJ189" s="83" vm="1675">
        <v>0</v>
      </c>
      <c r="AK189" s="83">
        <v>0</v>
      </c>
      <c r="AL189" s="5">
        <f xml:space="preserve"> SUM( VfM_Metrics_2023_Consol[[#This Row],[Tangible fixed assets: Housing properties at cost (Current period)2]], VfM_Metrics_2023_Consol[[#This Row],[Tangible fixed assets Housing properties at valuation (Current period)2]] )</f>
        <v>154562</v>
      </c>
      <c r="AM189" s="84" vm="3516">
        <v>154562</v>
      </c>
      <c r="AN189" s="83">
        <v>0</v>
      </c>
      <c r="AO189" s="87">
        <f xml:space="preserve"> IFERROR( VfM_Metrics_2023_Consol[[#This Row],[EBITDA MRI]] / VfM_Metrics_2023_Consol[[#This Row],[Total interest]], "n/a" )</f>
        <v>1.1678194393884238</v>
      </c>
      <c r="AP18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3208</v>
      </c>
      <c r="AQ189" s="84" vm="3525">
        <v>3277</v>
      </c>
      <c r="AR189" s="84" vm="3526">
        <v>174</v>
      </c>
      <c r="AS189" s="84">
        <v>0</v>
      </c>
      <c r="AT189" s="84" vm="3527">
        <v>909</v>
      </c>
      <c r="AU189" s="84" vm="3528">
        <v>0</v>
      </c>
      <c r="AV189" s="84" vm="3529">
        <v>65</v>
      </c>
      <c r="AW189" s="84" vm="3530">
        <v>3061</v>
      </c>
      <c r="AX189" s="84" vm="3531">
        <v>4010</v>
      </c>
      <c r="AY189" s="3">
        <f xml:space="preserve"> - SUM( VfM_Metrics_2023_Consol[[#This Row],[Interest capitalised]], VfM_Metrics_2023_Consol[[#This Row],[Interest payable and financing costs]] )</f>
        <v>2747</v>
      </c>
      <c r="AZ189" s="84" vm="3532">
        <v>-33</v>
      </c>
      <c r="BA189" s="83" vm="3533">
        <v>-2714</v>
      </c>
      <c r="BB189" s="8">
        <f xml:space="preserve"> IFERROR( ( VfM_Metrics_2023_Consol[[#This Row],[Total Costs]] / VfM_Metrics_2023_Consol[[#This Row],[Total units for costs]] ) * 1000, "n/a" )</f>
        <v>11219.47496947497</v>
      </c>
      <c r="BC18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36755</v>
      </c>
      <c r="BD189" s="84" vm="3534">
        <v>2128</v>
      </c>
      <c r="BE189" s="83" vm="7593">
        <v>7971</v>
      </c>
      <c r="BF189" s="83" vm="3535">
        <v>3186</v>
      </c>
      <c r="BG189" s="83" vm="3536">
        <v>2215</v>
      </c>
      <c r="BH189" s="83" vm="7897">
        <v>179</v>
      </c>
      <c r="BI189" s="83" vm="3537">
        <v>1062</v>
      </c>
      <c r="BJ189" s="83" vm="3530">
        <v>3061</v>
      </c>
      <c r="BK189" s="83" vm="7075">
        <v>0</v>
      </c>
      <c r="BL189" s="83">
        <v>0</v>
      </c>
      <c r="BM189" s="83">
        <v>0</v>
      </c>
      <c r="BN189" s="83">
        <v>0</v>
      </c>
      <c r="BO189" s="83" vm="3538">
        <v>16953</v>
      </c>
      <c r="BP189" s="5" vm="3511">
        <f xml:space="preserve"> VfM_Metrics_2023_Consol[[#This Row],[Total social housing units owned and/or managed at period end]]</f>
        <v>3276</v>
      </c>
      <c r="BQ189" s="84" vm="3511">
        <v>3276</v>
      </c>
      <c r="BR189" s="7">
        <f xml:space="preserve"> IFERROR( VfM_Metrics_2023_Consol[[#This Row],[SHL operating surplus / (deficit)]] / VfM_Metrics_2023_Consol[[#This Row],[Turnover from social housing lettings]], "n/a" )</f>
        <v>0.13408526760440709</v>
      </c>
      <c r="BS189" s="5" vm="3539">
        <f xml:space="preserve"> VfM_Metrics_2023_Consol[[#This Row],[Operating surplus/(deficit) (social housing lettings)]]</f>
        <v>3079</v>
      </c>
      <c r="BT189" s="84" vm="3539">
        <v>3079</v>
      </c>
      <c r="BU189" s="5" vm="3540">
        <f xml:space="preserve"> VfM_Metrics_2023_Consol[[#This Row],[Turnover from social housing lettings]]</f>
        <v>22963</v>
      </c>
      <c r="BV189" s="84" vm="3540">
        <v>22963</v>
      </c>
      <c r="BW189" s="7">
        <f xml:space="preserve"> IFERROR( VfM_Metrics_2023_Consol[[#This Row],[Net operating surplus]] / VfM_Metrics_2023_Consol[[#This Row],[Overall turnover]], "n/a" )</f>
        <v>7.4457108578284345E-2</v>
      </c>
      <c r="BX189" s="5">
        <f xml:space="preserve"> SUM( VfM_Metrics_2023_Consol[[#This Row],[Operating surplus/(deficit) (overall)2]], - VfM_Metrics_2023_Consol[[#This Row],[Gain/(loss) on disposal of fixed assets (housing properties)2]], - VfM_Metrics_2023_Consol[[#This Row],[Gain/(loss) on disposal of fixed assets (other)2]] )</f>
        <v>3103</v>
      </c>
      <c r="BY189" s="84" vm="7450">
        <v>3277</v>
      </c>
      <c r="BZ189" s="83" vm="3526">
        <v>174</v>
      </c>
      <c r="CA189" s="83">
        <v>0</v>
      </c>
      <c r="CB189" s="5" vm="3541">
        <f xml:space="preserve"> VfM_Metrics_2023_Consol[[#This Row],[Turnover (overall)]]</f>
        <v>41675</v>
      </c>
      <c r="CC189" s="84" vm="3541">
        <v>41675</v>
      </c>
      <c r="CD189" s="7">
        <f xml:space="preserve"> IFERROR( VfM_Metrics_2023_Consol[[#This Row],[Operating surplus including from JVs]] / VfM_Metrics_2023_Consol[[#This Row],[Net assets]], "n/a" )</f>
        <v>1.9636982484314981E-2</v>
      </c>
      <c r="CE189" s="5">
        <f xml:space="preserve"> SUM( VfM_Metrics_2023_Consol[[#This Row],[Operating surplus/(deficit) (overall)3]], VfM_Metrics_2023_Consol[[#This Row],[Share of operating surplus/(deficit) in joint ventures or associates]] )</f>
        <v>3277</v>
      </c>
      <c r="CF189" s="84" vm="7074">
        <v>3277</v>
      </c>
      <c r="CG189" s="83">
        <v>0</v>
      </c>
      <c r="CH189" s="5" vm="7562">
        <f xml:space="preserve"> VfM_Metrics_2023_Consol[[#This Row],[Total assets less current liabilities]]</f>
        <v>166879</v>
      </c>
      <c r="CI189" s="84" vm="7562">
        <v>166879</v>
      </c>
      <c r="CJ189" s="71" vm="3510">
        <f xml:space="preserve"> VfM_Metrics_2023_Consol[[#This Row],[Total social housing units owned (Period end)]]</f>
        <v>3158</v>
      </c>
      <c r="CK189" s="103">
        <v>0.18340196388976876</v>
      </c>
      <c r="CL189" s="6">
        <f xml:space="preserve"> -- ( VfM_Metrics_2023_Consol[[#This Row],[% Supported housing (excl. HOP)]] &gt; 0.3 )</f>
        <v>0</v>
      </c>
      <c r="CM189" s="103">
        <v>0.14127336078555591</v>
      </c>
      <c r="CN189" s="6">
        <f xml:space="preserve"> -- ( VfM_Metrics_2023_Consol[[#This Row],[% Housing for older people]] &gt; 0.3 )</f>
        <v>0</v>
      </c>
      <c r="CO189" s="103">
        <f xml:space="preserve"> VfM_Metrics_2023_Consol[[#This Row],[% Supported housing (excl. HOP)]] + VfM_Metrics_2023_Consol[[#This Row],[% Housing for older people]]</f>
        <v>0.32467532467532467</v>
      </c>
      <c r="CP189" s="6">
        <f xml:space="preserve"> -- ( VfM_Metrics_2023_Consol[[#This Row],[SH specialist in RSH analysis]] + VfM_Metrics_2023_Consol[[#This Row],[OP specialist in RSH analysis]] &gt; 0 )</f>
        <v>0</v>
      </c>
      <c r="CQ189" s="10">
        <f xml:space="preserve"> -- ( VfM_Metrics_2023_Consol[[#This Row],[% SH and OP]] &gt; 0.3 )</f>
        <v>1</v>
      </c>
      <c r="CR189" s="104" t="s">
        <v>143</v>
      </c>
      <c r="CS189" s="124" t="s">
        <v>144</v>
      </c>
      <c r="CT189" s="105"/>
      <c r="CU18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89" s="85">
        <v>0</v>
      </c>
      <c r="CW189" s="85">
        <v>0</v>
      </c>
      <c r="CX189" s="85">
        <v>0</v>
      </c>
      <c r="CY189" s="85">
        <v>0.11672025723472669</v>
      </c>
      <c r="CZ189" s="85">
        <v>0.88327974276527332</v>
      </c>
      <c r="DA189" s="85">
        <v>0</v>
      </c>
      <c r="DB189" s="85">
        <v>0</v>
      </c>
      <c r="DC189" s="85">
        <v>0</v>
      </c>
      <c r="DD189" s="85">
        <v>0</v>
      </c>
      <c r="DE189" s="13">
        <v>0.96199260274761833</v>
      </c>
    </row>
    <row r="190" spans="1:109" x14ac:dyDescent="0.25">
      <c r="A190" s="4" t="s" vm="227">
        <v>504</v>
      </c>
      <c r="B190" s="2" t="s" vm="180">
        <v>505</v>
      </c>
      <c r="C190" s="72" vm="565">
        <v>45016</v>
      </c>
      <c r="D190" s="7">
        <f>IFERROR( VfM_Metrics_2023_Consol[[#This Row],[Reinvestment Spend]] / VfM_Metrics_2023_Consol[[#This Row],[Net Book Value of Housing Properties]], "n/a" )</f>
        <v>3.9185832960633368E-2</v>
      </c>
      <c r="E19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4118</v>
      </c>
      <c r="F190" s="83" vm="1183">
        <v>2693</v>
      </c>
      <c r="G190" s="83" vm="8508">
        <v>0</v>
      </c>
      <c r="H190" s="83" vm="8606">
        <v>1286</v>
      </c>
      <c r="I190" s="83" vm="8514">
        <v>139</v>
      </c>
      <c r="J190" s="83" vm="1185">
        <v>0</v>
      </c>
      <c r="K190" s="5">
        <f xml:space="preserve"> SUM( VfM_Metrics_2023_Consol[[#This Row],[Tangible fixed assets: Housing properties at cost (Current period)]],VfM_Metrics_2023_Consol[[#This Row],[Tangible fixed assets Housing properties at valuation (Current period)]] )</f>
        <v>105089</v>
      </c>
      <c r="L190" s="84" vm="1114">
        <v>105089</v>
      </c>
      <c r="M190" s="83" vm="1186">
        <v>0</v>
      </c>
      <c r="N190" s="7">
        <f xml:space="preserve"> IFERROR( VfM_Metrics_2023_Consol[[#This Row],[Total social units developed or newly built units acquired in-year]] / VfM_Metrics_2023_Consol[[#This Row],[Social housing units owned (period end)]], "n/a" )</f>
        <v>2.2915340547422024E-2</v>
      </c>
      <c r="O190" s="5">
        <f xml:space="preserve"> SUM( VfM_Metrics_2023_Consol[[#This Row],[Total social units developed or newly built units acquired in-year (owned)]], VfM_Metrics_2023_Consol[[#This Row],[Total social leasehold units developed or newly built units acquired in-year (owned)]] )</f>
        <v>36</v>
      </c>
      <c r="P190" s="84" vm="8510">
        <v>36</v>
      </c>
      <c r="Q190" s="83" vm="8683">
        <v>0</v>
      </c>
      <c r="R190" s="5">
        <f xml:space="preserve"> SUM( VfM_Metrics_2023_Consol[[#This Row],[Total social housing units owned (Period end)]], VfM_Metrics_2023_Consol[[#This Row],[Total social leasehold units owned (Period end)]] )</f>
        <v>1571</v>
      </c>
      <c r="S190" s="84" vm="1181">
        <v>1571</v>
      </c>
      <c r="T190" s="83" vm="8497">
        <v>0</v>
      </c>
      <c r="U190" s="86">
        <f xml:space="preserve"> IFERROR( VfM_Metrics_2023_Consol[[#This Row],[Total non-social housing units developed or newly built units acquired (owned)]] / VfM_Metrics_2023_Consol[[#This Row],[Total social and non-social housing units owned (Period end)]], "n/a" )</f>
        <v>0</v>
      </c>
      <c r="V19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90" s="83" vm="1189">
        <v>0</v>
      </c>
      <c r="X190" s="83" vm="8501">
        <v>0</v>
      </c>
      <c r="Y190" s="83" vm="1142">
        <v>0</v>
      </c>
      <c r="Z19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1571</v>
      </c>
      <c r="AA190" s="84" vm="1181">
        <v>1571</v>
      </c>
      <c r="AB190" s="83" vm="1188">
        <v>0</v>
      </c>
      <c r="AC190" s="83" vm="8795">
        <v>0</v>
      </c>
      <c r="AD190" s="83" vm="8651">
        <v>0</v>
      </c>
      <c r="AE190" s="7">
        <f xml:space="preserve"> IFERROR( VfM_Metrics_2023_Consol[[#This Row],[Total Net Debt]] / VfM_Metrics_2023_Consol[[#This Row],[Net Book Value of Housing Properties2]], "n/a" )</f>
        <v>0.5721911903243917</v>
      </c>
      <c r="AF19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60131</v>
      </c>
      <c r="AG190" s="84" vm="1305">
        <v>58</v>
      </c>
      <c r="AH190" s="83" vm="1191">
        <v>64449</v>
      </c>
      <c r="AI190" s="83" vm="8750">
        <v>4376</v>
      </c>
      <c r="AJ190" s="83" vm="8601">
        <v>0</v>
      </c>
      <c r="AK190" s="83" vm="8479">
        <v>0</v>
      </c>
      <c r="AL190" s="5">
        <f xml:space="preserve"> SUM( VfM_Metrics_2023_Consol[[#This Row],[Tangible fixed assets: Housing properties at cost (Current period)2]], VfM_Metrics_2023_Consol[[#This Row],[Tangible fixed assets Housing properties at valuation (Current period)2]] )</f>
        <v>105089</v>
      </c>
      <c r="AM190" s="84" vm="8681">
        <v>105089</v>
      </c>
      <c r="AN190" s="83" vm="1186">
        <v>0</v>
      </c>
      <c r="AO190" s="87">
        <f xml:space="preserve"> IFERROR( VfM_Metrics_2023_Consol[[#This Row],[EBITDA MRI]] / VfM_Metrics_2023_Consol[[#This Row],[Total interest]], "n/a" )</f>
        <v>1.1783737760749255</v>
      </c>
      <c r="AP19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2768</v>
      </c>
      <c r="AQ190" s="84" vm="8647">
        <v>2794</v>
      </c>
      <c r="AR190" s="84" vm="8489">
        <v>89</v>
      </c>
      <c r="AS190" s="84" vm="1192">
        <v>0</v>
      </c>
      <c r="AT190" s="84" vm="1193">
        <v>504</v>
      </c>
      <c r="AU190" s="84" vm="8361">
        <v>0</v>
      </c>
      <c r="AV190" s="84" vm="8603">
        <v>9</v>
      </c>
      <c r="AW190" s="84" vm="1146">
        <v>1286</v>
      </c>
      <c r="AX190" s="84" vm="8639">
        <v>1844</v>
      </c>
      <c r="AY190" s="3">
        <f xml:space="preserve"> - SUM( VfM_Metrics_2023_Consol[[#This Row],[Interest capitalised]], VfM_Metrics_2023_Consol[[#This Row],[Interest payable and financing costs]] )</f>
        <v>2349</v>
      </c>
      <c r="AZ190" s="84" vm="8488">
        <v>-139</v>
      </c>
      <c r="BA190" s="83" vm="7912">
        <v>-2210</v>
      </c>
      <c r="BB190" s="8">
        <f xml:space="preserve"> IFERROR( ( VfM_Metrics_2023_Consol[[#This Row],[Total Costs]] / VfM_Metrics_2023_Consol[[#This Row],[Total units for costs]] ) * 1000, "n/a" )</f>
        <v>4173.5330836454432</v>
      </c>
      <c r="BC19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6686</v>
      </c>
      <c r="BD190" s="84" vm="8591">
        <v>1638</v>
      </c>
      <c r="BE190" s="83" vm="8462">
        <v>1389</v>
      </c>
      <c r="BF190" s="83" vm="1074">
        <v>1652</v>
      </c>
      <c r="BG190" s="83" vm="8748">
        <v>621</v>
      </c>
      <c r="BH190" s="83" vm="8833">
        <v>0</v>
      </c>
      <c r="BI190" s="83" vm="8359">
        <v>0</v>
      </c>
      <c r="BJ190" s="83" vm="8500">
        <v>1286</v>
      </c>
      <c r="BK190" s="83" vm="8585">
        <v>100</v>
      </c>
      <c r="BL190" s="83" vm="1196">
        <v>0</v>
      </c>
      <c r="BM190" s="83" vm="1197">
        <v>0</v>
      </c>
      <c r="BN190" s="83" vm="8747">
        <v>0</v>
      </c>
      <c r="BO190" s="83" vm="1221">
        <v>0</v>
      </c>
      <c r="BP190" s="5" vm="1182">
        <f xml:space="preserve"> VfM_Metrics_2023_Consol[[#This Row],[Total social housing units owned and/or managed at period end]]</f>
        <v>1602</v>
      </c>
      <c r="BQ190" s="84" vm="1182">
        <v>1602</v>
      </c>
      <c r="BR190" s="7">
        <f xml:space="preserve"> IFERROR( VfM_Metrics_2023_Consol[[#This Row],[SHL operating surplus / (deficit)]] / VfM_Metrics_2023_Consol[[#This Row],[Turnover from social housing lettings]], "n/a" )</f>
        <v>0.27018255578093309</v>
      </c>
      <c r="BS190" s="5" vm="1198">
        <f xml:space="preserve"> VfM_Metrics_2023_Consol[[#This Row],[Operating surplus/(deficit) (social housing lettings)]]</f>
        <v>2664</v>
      </c>
      <c r="BT190" s="84" vm="1198">
        <v>2664</v>
      </c>
      <c r="BU190" s="5" vm="8602">
        <f xml:space="preserve"> VfM_Metrics_2023_Consol[[#This Row],[Turnover from social housing lettings]]</f>
        <v>9860</v>
      </c>
      <c r="BV190" s="84" vm="8602">
        <v>9860</v>
      </c>
      <c r="BW190" s="7">
        <f xml:space="preserve"> IFERROR( VfM_Metrics_2023_Consol[[#This Row],[Net operating surplus]] / VfM_Metrics_2023_Consol[[#This Row],[Overall turnover]], "n/a" )</f>
        <v>0.26308111262400313</v>
      </c>
      <c r="BX190" s="5">
        <f xml:space="preserve"> SUM( VfM_Metrics_2023_Consol[[#This Row],[Operating surplus/(deficit) (overall)2]], - VfM_Metrics_2023_Consol[[#This Row],[Gain/(loss) on disposal of fixed assets (housing properties)2]], - VfM_Metrics_2023_Consol[[#This Row],[Gain/(loss) on disposal of fixed assets (other)2]] )</f>
        <v>2705</v>
      </c>
      <c r="BY190" s="84" vm="1405">
        <v>2794</v>
      </c>
      <c r="BZ190" s="83" vm="8665">
        <v>89</v>
      </c>
      <c r="CA190" s="83" vm="1148">
        <v>0</v>
      </c>
      <c r="CB190" s="5" vm="1199">
        <f xml:space="preserve"> VfM_Metrics_2023_Consol[[#This Row],[Turnover (overall)]]</f>
        <v>10282</v>
      </c>
      <c r="CC190" s="84" vm="1199">
        <v>10282</v>
      </c>
      <c r="CD190" s="7">
        <f xml:space="preserve"> IFERROR( VfM_Metrics_2023_Consol[[#This Row],[Operating surplus including from JVs]] / VfM_Metrics_2023_Consol[[#This Row],[Net assets]], "n/a" )</f>
        <v>2.6134620421296818E-2</v>
      </c>
      <c r="CE190" s="5">
        <f xml:space="preserve"> SUM( VfM_Metrics_2023_Consol[[#This Row],[Operating surplus/(deficit) (overall)3]], VfM_Metrics_2023_Consol[[#This Row],[Share of operating surplus/(deficit) in joint ventures or associates]] )</f>
        <v>2794</v>
      </c>
      <c r="CF190" s="84" vm="997">
        <v>2794</v>
      </c>
      <c r="CG190" s="83" vm="1188">
        <v>0</v>
      </c>
      <c r="CH190" s="5" vm="7911">
        <f xml:space="preserve"> VfM_Metrics_2023_Consol[[#This Row],[Total assets less current liabilities]]</f>
        <v>106908</v>
      </c>
      <c r="CI190" s="84" vm="7911">
        <v>106908</v>
      </c>
      <c r="CJ190" s="71" vm="1181">
        <f xml:space="preserve"> VfM_Metrics_2023_Consol[[#This Row],[Total social housing units owned (Period end)]]</f>
        <v>1571</v>
      </c>
      <c r="CK190" s="103">
        <v>6.4208518753973293E-2</v>
      </c>
      <c r="CL190" s="6">
        <f xml:space="preserve"> -- ( VfM_Metrics_2023_Consol[[#This Row],[% Supported housing (excl. HOP)]] &gt; 0.3 )</f>
        <v>0</v>
      </c>
      <c r="CM190" s="103">
        <v>5.8486967577876671E-2</v>
      </c>
      <c r="CN190" s="6">
        <f xml:space="preserve"> -- ( VfM_Metrics_2023_Consol[[#This Row],[% Housing for older people]] &gt; 0.3 )</f>
        <v>0</v>
      </c>
      <c r="CO190" s="103">
        <f xml:space="preserve"> VfM_Metrics_2023_Consol[[#This Row],[% Supported housing (excl. HOP)]] + VfM_Metrics_2023_Consol[[#This Row],[% Housing for older people]]</f>
        <v>0.12269548633184996</v>
      </c>
      <c r="CP190" s="6">
        <f xml:space="preserve"> -- ( VfM_Metrics_2023_Consol[[#This Row],[SH specialist in RSH analysis]] + VfM_Metrics_2023_Consol[[#This Row],[OP specialist in RSH analysis]] &gt; 0 )</f>
        <v>0</v>
      </c>
      <c r="CQ190" s="10">
        <f xml:space="preserve"> -- ( VfM_Metrics_2023_Consol[[#This Row],[% SH and OP]] &gt; 0.3 )</f>
        <v>0</v>
      </c>
      <c r="CR190" s="104" t="s">
        <v>143</v>
      </c>
      <c r="CS190" s="124" t="s">
        <v>144</v>
      </c>
      <c r="CT190" s="105"/>
      <c r="CU19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Midlands</v>
      </c>
      <c r="CV190" s="85">
        <v>0</v>
      </c>
      <c r="CW190" s="85">
        <v>0</v>
      </c>
      <c r="CX190" s="85">
        <v>0</v>
      </c>
      <c r="CY190" s="85">
        <v>0.97772119669000634</v>
      </c>
      <c r="CZ190" s="85">
        <v>2.2278803309993635E-2</v>
      </c>
      <c r="DA190" s="85">
        <v>0</v>
      </c>
      <c r="DB190" s="85">
        <v>0</v>
      </c>
      <c r="DC190" s="85">
        <v>0</v>
      </c>
      <c r="DD190" s="85">
        <v>0</v>
      </c>
      <c r="DE190" s="13">
        <v>0.94283013232435187</v>
      </c>
    </row>
    <row r="191" spans="1:109" x14ac:dyDescent="0.25">
      <c r="A191" s="4" t="s" vm="333">
        <v>506</v>
      </c>
      <c r="B191" s="2" t="s" vm="181">
        <v>507</v>
      </c>
      <c r="C191" s="72" vm="578">
        <v>45016</v>
      </c>
      <c r="D191" s="7">
        <f>IFERROR( VfM_Metrics_2023_Consol[[#This Row],[Reinvestment Spend]] / VfM_Metrics_2023_Consol[[#This Row],[Net Book Value of Housing Properties]], "n/a" )</f>
        <v>0.11024195213106917</v>
      </c>
      <c r="E19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20294</v>
      </c>
      <c r="F191" s="83" vm="7518">
        <v>16401</v>
      </c>
      <c r="G191" s="83" vm="4505">
        <v>0</v>
      </c>
      <c r="H191" s="83" vm="7053">
        <v>3371</v>
      </c>
      <c r="I191" s="83" vm="4478">
        <v>522</v>
      </c>
      <c r="J191" s="83" vm="4479">
        <v>0</v>
      </c>
      <c r="K191" s="5">
        <f xml:space="preserve"> SUM( VfM_Metrics_2023_Consol[[#This Row],[Tangible fixed assets: Housing properties at cost (Current period)]],VfM_Metrics_2023_Consol[[#This Row],[Tangible fixed assets Housing properties at valuation (Current period)]] )</f>
        <v>184086</v>
      </c>
      <c r="L191" s="84" vm="4480">
        <v>184086</v>
      </c>
      <c r="M191" s="83" vm="4481">
        <v>0</v>
      </c>
      <c r="N191" s="7">
        <f xml:space="preserve"> IFERROR( VfM_Metrics_2023_Consol[[#This Row],[Total social units developed or newly built units acquired in-year]] / VfM_Metrics_2023_Consol[[#This Row],[Social housing units owned (period end)]], "n/a" )</f>
        <v>2.2582116788321168E-2</v>
      </c>
      <c r="O191" s="5">
        <f xml:space="preserve"> SUM( VfM_Metrics_2023_Consol[[#This Row],[Total social units developed or newly built units acquired in-year (owned)]], VfM_Metrics_2023_Consol[[#This Row],[Total social leasehold units developed or newly built units acquired in-year (owned)]] )</f>
        <v>99</v>
      </c>
      <c r="P191" s="84" vm="4482">
        <v>99</v>
      </c>
      <c r="Q191" s="83" vm="4483">
        <v>0</v>
      </c>
      <c r="R191" s="5">
        <f xml:space="preserve"> SUM( VfM_Metrics_2023_Consol[[#This Row],[Total social housing units owned (Period end)]], VfM_Metrics_2023_Consol[[#This Row],[Total social leasehold units owned (Period end)]] )</f>
        <v>4384</v>
      </c>
      <c r="S191" s="84" vm="4476">
        <v>4384</v>
      </c>
      <c r="T191" s="83" vm="7426">
        <v>0</v>
      </c>
      <c r="U191" s="86">
        <f xml:space="preserve"> IFERROR( VfM_Metrics_2023_Consol[[#This Row],[Total non-social housing units developed or newly built units acquired (owned)]] / VfM_Metrics_2023_Consol[[#This Row],[Total social and non-social housing units owned (Period end)]], "n/a" )</f>
        <v>0</v>
      </c>
      <c r="V19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91" s="83" vm="4485">
        <v>0</v>
      </c>
      <c r="X191" s="83" vm="7584">
        <v>0</v>
      </c>
      <c r="Y191" s="83" vm="4486">
        <v>0</v>
      </c>
      <c r="Z19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4430</v>
      </c>
      <c r="AA191" s="84" vm="4476">
        <v>4384</v>
      </c>
      <c r="AB191" s="83" vm="4484">
        <v>0</v>
      </c>
      <c r="AC191" s="83" vm="4487">
        <v>2</v>
      </c>
      <c r="AD191" s="83" vm="4488">
        <v>44</v>
      </c>
      <c r="AE191" s="7">
        <f xml:space="preserve"> IFERROR( VfM_Metrics_2023_Consol[[#This Row],[Total Net Debt]] / VfM_Metrics_2023_Consol[[#This Row],[Net Book Value of Housing Properties2]], "n/a" )</f>
        <v>0.67146333778777312</v>
      </c>
      <c r="AF19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123607</v>
      </c>
      <c r="AG191" s="84" vm="4489">
        <v>10850</v>
      </c>
      <c r="AH191" s="83" vm="4490">
        <v>136741</v>
      </c>
      <c r="AI191" s="83" vm="7050">
        <v>23984</v>
      </c>
      <c r="AJ191" s="83" vm="4491">
        <v>0</v>
      </c>
      <c r="AK191" s="83" vm="4492">
        <v>0</v>
      </c>
      <c r="AL191" s="5">
        <f xml:space="preserve"> SUM( VfM_Metrics_2023_Consol[[#This Row],[Tangible fixed assets: Housing properties at cost (Current period)2]], VfM_Metrics_2023_Consol[[#This Row],[Tangible fixed assets Housing properties at valuation (Current period)2]] )</f>
        <v>184086</v>
      </c>
      <c r="AM191" s="84" vm="7186">
        <v>184086</v>
      </c>
      <c r="AN191" s="83" vm="7624">
        <v>0</v>
      </c>
      <c r="AO191" s="87">
        <f xml:space="preserve"> IFERROR( VfM_Metrics_2023_Consol[[#This Row],[EBITDA MRI]] / VfM_Metrics_2023_Consol[[#This Row],[Total interest]], "n/a" )</f>
        <v>1.5832565000921999</v>
      </c>
      <c r="AP19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8586</v>
      </c>
      <c r="AQ191" s="84" vm="4493">
        <v>6691</v>
      </c>
      <c r="AR191" s="84" vm="7517">
        <v>848</v>
      </c>
      <c r="AS191" s="84" vm="4494">
        <v>40</v>
      </c>
      <c r="AT191" s="84" vm="4495">
        <v>238</v>
      </c>
      <c r="AU191" s="84" vm="4721">
        <v>30</v>
      </c>
      <c r="AV191" s="84" vm="4496">
        <v>893</v>
      </c>
      <c r="AW191" s="84" vm="4497">
        <v>3371</v>
      </c>
      <c r="AX191" s="84" vm="2359">
        <v>5529</v>
      </c>
      <c r="AY191" s="3">
        <f xml:space="preserve"> - SUM( VfM_Metrics_2023_Consol[[#This Row],[Interest capitalised]], VfM_Metrics_2023_Consol[[#This Row],[Interest payable and financing costs]] )</f>
        <v>5423</v>
      </c>
      <c r="AZ191" s="84" vm="4498">
        <v>-522</v>
      </c>
      <c r="BA191" s="83" vm="4499">
        <v>-4901</v>
      </c>
      <c r="BB191" s="8">
        <f xml:space="preserve"> IFERROR( ( VfM_Metrics_2023_Consol[[#This Row],[Total Costs]] / VfM_Metrics_2023_Consol[[#This Row],[Total units for costs]] ) * 1000, "n/a" )</f>
        <v>3954.0282203004094</v>
      </c>
      <c r="BC19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17374</v>
      </c>
      <c r="BD191" s="84" vm="4500">
        <v>5094</v>
      </c>
      <c r="BE191" s="83" vm="4436">
        <v>1031</v>
      </c>
      <c r="BF191" s="83" vm="4501">
        <v>4563</v>
      </c>
      <c r="BG191" s="83" vm="4729">
        <v>2081</v>
      </c>
      <c r="BH191" s="83" vm="4502">
        <v>1173</v>
      </c>
      <c r="BI191" s="83" vm="4503">
        <v>0</v>
      </c>
      <c r="BJ191" s="83" vm="4497">
        <v>3371</v>
      </c>
      <c r="BK191" s="83" vm="4504">
        <v>11</v>
      </c>
      <c r="BL191" s="83" vm="4505">
        <v>0</v>
      </c>
      <c r="BM191" s="83" vm="4506">
        <v>0</v>
      </c>
      <c r="BN191" s="83" vm="4507">
        <v>50</v>
      </c>
      <c r="BO191" s="83" vm="4508">
        <v>0</v>
      </c>
      <c r="BP191" s="5" vm="4477">
        <f xml:space="preserve"> VfM_Metrics_2023_Consol[[#This Row],[Total social housing units owned and/or managed at period end]]</f>
        <v>4394</v>
      </c>
      <c r="BQ191" s="84" vm="4477">
        <v>4394</v>
      </c>
      <c r="BR191" s="7">
        <f xml:space="preserve"> IFERROR( VfM_Metrics_2023_Consol[[#This Row],[SHL operating surplus / (deficit)]] / VfM_Metrics_2023_Consol[[#This Row],[Turnover from social housing lettings]], "n/a" )</f>
        <v>0.18476804555350862</v>
      </c>
      <c r="BS191" s="5" vm="4509">
        <f xml:space="preserve"> VfM_Metrics_2023_Consol[[#This Row],[Operating surplus/(deficit) (social housing lettings)]]</f>
        <v>4413</v>
      </c>
      <c r="BT191" s="84" vm="4509">
        <v>4413</v>
      </c>
      <c r="BU191" s="5" vm="4510">
        <f xml:space="preserve"> VfM_Metrics_2023_Consol[[#This Row],[Turnover from social housing lettings]]</f>
        <v>23884</v>
      </c>
      <c r="BV191" s="84" vm="4510">
        <v>23884</v>
      </c>
      <c r="BW191" s="7">
        <f xml:space="preserve"> IFERROR( VfM_Metrics_2023_Consol[[#This Row],[Net operating surplus]] / VfM_Metrics_2023_Consol[[#This Row],[Overall turnover]], "n/a" )</f>
        <v>0.20481417428440335</v>
      </c>
      <c r="BX191" s="5">
        <f xml:space="preserve"> SUM( VfM_Metrics_2023_Consol[[#This Row],[Operating surplus/(deficit) (overall)2]], - VfM_Metrics_2023_Consol[[#This Row],[Gain/(loss) on disposal of fixed assets (housing properties)2]], - VfM_Metrics_2023_Consol[[#This Row],[Gain/(loss) on disposal of fixed assets (other)2]] )</f>
        <v>5803</v>
      </c>
      <c r="BY191" s="84" vm="4493">
        <v>6691</v>
      </c>
      <c r="BZ191" s="83" vm="4127">
        <v>848</v>
      </c>
      <c r="CA191" s="83" vm="4494">
        <v>40</v>
      </c>
      <c r="CB191" s="5" vm="4511">
        <f xml:space="preserve"> VfM_Metrics_2023_Consol[[#This Row],[Turnover (overall)]]</f>
        <v>28333</v>
      </c>
      <c r="CC191" s="84" vm="4511">
        <v>28333</v>
      </c>
      <c r="CD191" s="7">
        <f xml:space="preserve"> IFERROR( VfM_Metrics_2023_Consol[[#This Row],[Operating surplus including from JVs]] / VfM_Metrics_2023_Consol[[#This Row],[Net assets]], "n/a" )</f>
        <v>3.0768877034856985E-2</v>
      </c>
      <c r="CE191" s="5">
        <f xml:space="preserve"> SUM( VfM_Metrics_2023_Consol[[#This Row],[Operating surplus/(deficit) (overall)3]], VfM_Metrics_2023_Consol[[#This Row],[Share of operating surplus/(deficit) in joint ventures or associates]] )</f>
        <v>6691</v>
      </c>
      <c r="CF191" s="84" vm="4493">
        <v>6691</v>
      </c>
      <c r="CG191" s="83" vm="4512">
        <v>0</v>
      </c>
      <c r="CH191" s="5" vm="2962">
        <f xml:space="preserve"> VfM_Metrics_2023_Consol[[#This Row],[Total assets less current liabilities]]</f>
        <v>217460</v>
      </c>
      <c r="CI191" s="84" vm="2962">
        <v>217460</v>
      </c>
      <c r="CJ191" s="71" vm="4476">
        <f xml:space="preserve"> VfM_Metrics_2023_Consol[[#This Row],[Total social housing units owned (Period end)]]</f>
        <v>4384</v>
      </c>
      <c r="CK191" s="103">
        <v>0</v>
      </c>
      <c r="CL191" s="6">
        <f xml:space="preserve"> -- ( VfM_Metrics_2023_Consol[[#This Row],[% Supported housing (excl. HOP)]] &gt; 0.3 )</f>
        <v>0</v>
      </c>
      <c r="CM191" s="103">
        <v>0.13628034814475493</v>
      </c>
      <c r="CN191" s="6">
        <f xml:space="preserve"> -- ( VfM_Metrics_2023_Consol[[#This Row],[% Housing for older people]] &gt; 0.3 )</f>
        <v>0</v>
      </c>
      <c r="CO191" s="103">
        <f xml:space="preserve"> VfM_Metrics_2023_Consol[[#This Row],[% Supported housing (excl. HOP)]] + VfM_Metrics_2023_Consol[[#This Row],[% Housing for older people]]</f>
        <v>0.13628034814475493</v>
      </c>
      <c r="CP191" s="6">
        <f xml:space="preserve"> -- ( VfM_Metrics_2023_Consol[[#This Row],[SH specialist in RSH analysis]] + VfM_Metrics_2023_Consol[[#This Row],[OP specialist in RSH analysis]] &gt; 0 )</f>
        <v>0</v>
      </c>
      <c r="CQ191" s="10">
        <f xml:space="preserve"> -- ( VfM_Metrics_2023_Consol[[#This Row],[% SH and OP]] &gt; 0.3 )</f>
        <v>0</v>
      </c>
      <c r="CR191" s="104" t="s">
        <v>143</v>
      </c>
      <c r="CS191" s="124"/>
      <c r="CT191" s="105" t="s">
        <v>151</v>
      </c>
      <c r="CU19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191" s="85">
        <v>0</v>
      </c>
      <c r="CW191" s="85">
        <v>0</v>
      </c>
      <c r="CX191" s="85">
        <v>0.99248975876194812</v>
      </c>
      <c r="CY191" s="85">
        <v>0</v>
      </c>
      <c r="CZ191" s="85">
        <v>7.5102412380518889E-3</v>
      </c>
      <c r="DA191" s="85">
        <v>0</v>
      </c>
      <c r="DB191" s="85">
        <v>0</v>
      </c>
      <c r="DC191" s="85">
        <v>0</v>
      </c>
      <c r="DD191" s="85">
        <v>0</v>
      </c>
      <c r="DE191" s="13">
        <v>0.97503995412028976</v>
      </c>
    </row>
    <row r="192" spans="1:109" x14ac:dyDescent="0.25">
      <c r="A192" s="4" t="s" vm="229">
        <v>508</v>
      </c>
      <c r="B192" s="2" t="s" vm="182">
        <v>509</v>
      </c>
      <c r="C192" s="72" vm="465">
        <v>45016</v>
      </c>
      <c r="D192" s="7">
        <f>IFERROR( VfM_Metrics_2023_Consol[[#This Row],[Reinvestment Spend]] / VfM_Metrics_2023_Consol[[#This Row],[Net Book Value of Housing Properties]], "n/a" )</f>
        <v>1.8424576924637798E-2</v>
      </c>
      <c r="E19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1362</v>
      </c>
      <c r="F192" s="83" vm="8597">
        <v>522</v>
      </c>
      <c r="G192" s="83" vm="8713">
        <v>0</v>
      </c>
      <c r="H192" s="83" vm="1228">
        <v>840</v>
      </c>
      <c r="I192" s="83" vm="8450">
        <v>0</v>
      </c>
      <c r="J192" s="83" vm="8633">
        <v>0</v>
      </c>
      <c r="K192" s="5">
        <f xml:space="preserve"> SUM( VfM_Metrics_2023_Consol[[#This Row],[Tangible fixed assets: Housing properties at cost (Current period)]],VfM_Metrics_2023_Consol[[#This Row],[Tangible fixed assets Housing properties at valuation (Current period)]] )</f>
        <v>73923</v>
      </c>
      <c r="L192" s="84" vm="957">
        <v>73923</v>
      </c>
      <c r="M192" s="83">
        <v>0</v>
      </c>
      <c r="N192" s="7">
        <f xml:space="preserve"> IFERROR( VfM_Metrics_2023_Consol[[#This Row],[Total social units developed or newly built units acquired in-year]] / VfM_Metrics_2023_Consol[[#This Row],[Social housing units owned (period end)]], "n/a" )</f>
        <v>1.0783608914450037E-2</v>
      </c>
      <c r="O192" s="5">
        <f xml:space="preserve"> SUM( VfM_Metrics_2023_Consol[[#This Row],[Total social units developed or newly built units acquired in-year (owned)]], VfM_Metrics_2023_Consol[[#This Row],[Total social leasehold units developed or newly built units acquired in-year (owned)]] )</f>
        <v>15</v>
      </c>
      <c r="P192" s="84" vm="8448">
        <v>15</v>
      </c>
      <c r="Q192" s="83">
        <v>0</v>
      </c>
      <c r="R192" s="5">
        <f xml:space="preserve"> SUM( VfM_Metrics_2023_Consol[[#This Row],[Total social housing units owned (Period end)]], VfM_Metrics_2023_Consol[[#This Row],[Total social leasehold units owned (Period end)]] )</f>
        <v>1391</v>
      </c>
      <c r="S192" s="84" vm="8730">
        <v>1385</v>
      </c>
      <c r="T192" s="83" vm="1231">
        <v>6</v>
      </c>
      <c r="U192" s="86">
        <f xml:space="preserve"> IFERROR( VfM_Metrics_2023_Consol[[#This Row],[Total non-social housing units developed or newly built units acquired (owned)]] / VfM_Metrics_2023_Consol[[#This Row],[Total social and non-social housing units owned (Period end)]], "n/a" )</f>
        <v>0</v>
      </c>
      <c r="V19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92" s="83">
        <v>0</v>
      </c>
      <c r="X192" s="83">
        <v>0</v>
      </c>
      <c r="Y192" s="83">
        <v>0</v>
      </c>
      <c r="Z19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1391</v>
      </c>
      <c r="AA192" s="84" vm="1494">
        <v>1385</v>
      </c>
      <c r="AB192" s="83" vm="1231">
        <v>6</v>
      </c>
      <c r="AC192" s="83" vm="7909">
        <v>0</v>
      </c>
      <c r="AD192" s="83" vm="1353">
        <v>0</v>
      </c>
      <c r="AE192" s="7">
        <f xml:space="preserve"> IFERROR( VfM_Metrics_2023_Consol[[#This Row],[Total Net Debt]] / VfM_Metrics_2023_Consol[[#This Row],[Net Book Value of Housing Properties2]], "n/a" )</f>
        <v>0.21322186599569823</v>
      </c>
      <c r="AF19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15762</v>
      </c>
      <c r="AG192" s="84" vm="1232">
        <v>1020</v>
      </c>
      <c r="AH192" s="83" vm="8487">
        <v>15952</v>
      </c>
      <c r="AI192" s="83" vm="8696">
        <v>1210</v>
      </c>
      <c r="AJ192" s="83" vm="1675">
        <v>0</v>
      </c>
      <c r="AK192" s="83">
        <v>0</v>
      </c>
      <c r="AL192" s="5">
        <f xml:space="preserve"> SUM( VfM_Metrics_2023_Consol[[#This Row],[Tangible fixed assets: Housing properties at cost (Current period)2]], VfM_Metrics_2023_Consol[[#This Row],[Tangible fixed assets Housing properties at valuation (Current period)2]] )</f>
        <v>73923</v>
      </c>
      <c r="AM192" s="84" vm="1230">
        <v>73923</v>
      </c>
      <c r="AN192" s="83">
        <v>0</v>
      </c>
      <c r="AO192" s="87">
        <f xml:space="preserve"> IFERROR( VfM_Metrics_2023_Consol[[#This Row],[EBITDA MRI]] / VfM_Metrics_2023_Consol[[#This Row],[Total interest]], "n/a" )</f>
        <v>2.6608579088471851</v>
      </c>
      <c r="AP19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1985</v>
      </c>
      <c r="AQ192" s="84" vm="997">
        <v>1408</v>
      </c>
      <c r="AR192" s="84" vm="1341">
        <v>46</v>
      </c>
      <c r="AS192" s="84">
        <v>0</v>
      </c>
      <c r="AT192" s="84" vm="1233">
        <v>941</v>
      </c>
      <c r="AU192" s="84" vm="8350">
        <v>0</v>
      </c>
      <c r="AV192" s="84" vm="8594">
        <v>84</v>
      </c>
      <c r="AW192" s="84" vm="8694">
        <v>840</v>
      </c>
      <c r="AX192" s="84" vm="8566">
        <v>2320</v>
      </c>
      <c r="AY192" s="3">
        <f xml:space="preserve"> - SUM( VfM_Metrics_2023_Consol[[#This Row],[Interest capitalised]], VfM_Metrics_2023_Consol[[#This Row],[Interest payable and financing costs]] )</f>
        <v>746</v>
      </c>
      <c r="AZ192" s="84">
        <v>0</v>
      </c>
      <c r="BA192" s="83" vm="1234">
        <v>-746</v>
      </c>
      <c r="BB192" s="8">
        <f xml:space="preserve"> IFERROR( ( VfM_Metrics_2023_Consol[[#This Row],[Total Costs]] / VfM_Metrics_2023_Consol[[#This Row],[Total units for costs]] ) * 1000, "n/a" )</f>
        <v>3968.2310469314079</v>
      </c>
      <c r="BC19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5496</v>
      </c>
      <c r="BD192" s="84" vm="1235">
        <v>2424</v>
      </c>
      <c r="BE192" s="83" vm="1334">
        <v>418</v>
      </c>
      <c r="BF192" s="83" vm="8443">
        <v>905</v>
      </c>
      <c r="BG192" s="83" vm="984">
        <v>553</v>
      </c>
      <c r="BH192" s="83" vm="8691">
        <v>121</v>
      </c>
      <c r="BI192" s="83" vm="1236">
        <v>0</v>
      </c>
      <c r="BJ192" s="83" vm="8593">
        <v>840</v>
      </c>
      <c r="BK192" s="83" vm="1211">
        <v>42</v>
      </c>
      <c r="BL192" s="83" vm="1237">
        <v>74</v>
      </c>
      <c r="BM192" s="83" vm="1238">
        <v>112</v>
      </c>
      <c r="BN192" s="83" vm="8576">
        <v>7</v>
      </c>
      <c r="BO192" s="83">
        <v>0</v>
      </c>
      <c r="BP192" s="5" vm="8349">
        <f xml:space="preserve"> VfM_Metrics_2023_Consol[[#This Row],[Total social housing units owned and/or managed at period end]]</f>
        <v>1385</v>
      </c>
      <c r="BQ192" s="84" vm="8349">
        <v>1385</v>
      </c>
      <c r="BR192" s="7">
        <f xml:space="preserve"> IFERROR( VfM_Metrics_2023_Consol[[#This Row],[SHL operating surplus / (deficit)]] / VfM_Metrics_2023_Consol[[#This Row],[Turnover from social housing lettings]], "n/a" )</f>
        <v>0.16843551005119242</v>
      </c>
      <c r="BS192" s="5" vm="1240">
        <f xml:space="preserve"> VfM_Metrics_2023_Consol[[#This Row],[Operating surplus/(deficit) (social housing lettings)]]</f>
        <v>1349</v>
      </c>
      <c r="BT192" s="84" vm="1240">
        <v>1349</v>
      </c>
      <c r="BU192" s="5" vm="8689">
        <f xml:space="preserve"> VfM_Metrics_2023_Consol[[#This Row],[Turnover from social housing lettings]]</f>
        <v>8009</v>
      </c>
      <c r="BV192" s="84" vm="8689">
        <v>8009</v>
      </c>
      <c r="BW192" s="7">
        <f xml:space="preserve"> IFERROR( VfM_Metrics_2023_Consol[[#This Row],[Net operating surplus]] / VfM_Metrics_2023_Consol[[#This Row],[Overall turnover]], "n/a" )</f>
        <v>0.15480791088883838</v>
      </c>
      <c r="BX192" s="5">
        <f xml:space="preserve"> SUM( VfM_Metrics_2023_Consol[[#This Row],[Operating surplus/(deficit) (overall)2]], - VfM_Metrics_2023_Consol[[#This Row],[Gain/(loss) on disposal of fixed assets (housing properties)2]], - VfM_Metrics_2023_Consol[[#This Row],[Gain/(loss) on disposal of fixed assets (other)2]] )</f>
        <v>1362</v>
      </c>
      <c r="BY192" s="84" vm="1453">
        <v>1408</v>
      </c>
      <c r="BZ192" s="83" vm="1587">
        <v>46</v>
      </c>
      <c r="CA192" s="83">
        <v>0</v>
      </c>
      <c r="CB192" s="5" vm="7131">
        <f xml:space="preserve"> VfM_Metrics_2023_Consol[[#This Row],[Turnover (overall)]]</f>
        <v>8798</v>
      </c>
      <c r="CC192" s="84" vm="7131">
        <v>8798</v>
      </c>
      <c r="CD192" s="7">
        <f xml:space="preserve"> IFERROR( VfM_Metrics_2023_Consol[[#This Row],[Operating surplus including from JVs]] / VfM_Metrics_2023_Consol[[#This Row],[Net assets]], "n/a" )</f>
        <v>1.8591385639210922E-2</v>
      </c>
      <c r="CE192" s="5">
        <f xml:space="preserve"> SUM( VfM_Metrics_2023_Consol[[#This Row],[Operating surplus/(deficit) (overall)3]], VfM_Metrics_2023_Consol[[#This Row],[Share of operating surplus/(deficit) in joint ventures or associates]] )</f>
        <v>1408</v>
      </c>
      <c r="CF192" s="84" vm="8495">
        <v>1408</v>
      </c>
      <c r="CG192" s="83">
        <v>0</v>
      </c>
      <c r="CH192" s="5" vm="1241">
        <f xml:space="preserve"> VfM_Metrics_2023_Consol[[#This Row],[Total assets less current liabilities]]</f>
        <v>75734</v>
      </c>
      <c r="CI192" s="84" vm="1241">
        <v>75734</v>
      </c>
      <c r="CJ192" s="71" vm="8730">
        <f xml:space="preserve"> VfM_Metrics_2023_Consol[[#This Row],[Total social housing units owned (Period end)]]</f>
        <v>1385</v>
      </c>
      <c r="CK192" s="103">
        <v>1.3708513708513708E-2</v>
      </c>
      <c r="CL192" s="6">
        <f xml:space="preserve"> -- ( VfM_Metrics_2023_Consol[[#This Row],[% Supported housing (excl. HOP)]] &gt; 0.3 )</f>
        <v>0</v>
      </c>
      <c r="CM192" s="103">
        <v>0</v>
      </c>
      <c r="CN192" s="6">
        <f xml:space="preserve"> -- ( VfM_Metrics_2023_Consol[[#This Row],[% Housing for older people]] &gt; 0.3 )</f>
        <v>0</v>
      </c>
      <c r="CO192" s="103">
        <f xml:space="preserve"> VfM_Metrics_2023_Consol[[#This Row],[% Supported housing (excl. HOP)]] + VfM_Metrics_2023_Consol[[#This Row],[% Housing for older people]]</f>
        <v>1.3708513708513708E-2</v>
      </c>
      <c r="CP192" s="6">
        <f xml:space="preserve"> -- ( VfM_Metrics_2023_Consol[[#This Row],[SH specialist in RSH analysis]] + VfM_Metrics_2023_Consol[[#This Row],[OP specialist in RSH analysis]] &gt; 0 )</f>
        <v>0</v>
      </c>
      <c r="CQ192" s="10">
        <f xml:space="preserve"> -- ( VfM_Metrics_2023_Consol[[#This Row],[% SH and OP]] &gt; 0.3 )</f>
        <v>0</v>
      </c>
      <c r="CR192" s="104" t="s">
        <v>143</v>
      </c>
      <c r="CS192" s="124" t="s">
        <v>144</v>
      </c>
      <c r="CT192" s="105"/>
      <c r="CU19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192" s="85">
        <v>0</v>
      </c>
      <c r="CW192" s="85">
        <v>0</v>
      </c>
      <c r="CX192" s="85">
        <v>0</v>
      </c>
      <c r="CY192" s="85">
        <v>0</v>
      </c>
      <c r="CZ192" s="85">
        <v>0</v>
      </c>
      <c r="DA192" s="85">
        <v>0</v>
      </c>
      <c r="DB192" s="85">
        <v>0</v>
      </c>
      <c r="DC192" s="85">
        <v>0</v>
      </c>
      <c r="DD192" s="85">
        <v>1</v>
      </c>
      <c r="DE192" s="13">
        <v>0.94459121441814442</v>
      </c>
    </row>
    <row r="193" spans="1:109" x14ac:dyDescent="0.25">
      <c r="A193" s="4" t="s" vm="264">
        <v>510</v>
      </c>
      <c r="B193" s="2" t="s" vm="183">
        <v>511</v>
      </c>
      <c r="C193" s="72" vm="590">
        <v>45016</v>
      </c>
      <c r="D193" s="7">
        <f>IFERROR( VfM_Metrics_2023_Consol[[#This Row],[Reinvestment Spend]] / VfM_Metrics_2023_Consol[[#This Row],[Net Book Value of Housing Properties]], "n/a" )</f>
        <v>0.10096406791502741</v>
      </c>
      <c r="E19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284397</v>
      </c>
      <c r="F193" s="83" vm="1634">
        <v>234883</v>
      </c>
      <c r="G193" s="83" vm="2145">
        <v>0</v>
      </c>
      <c r="H193" s="83" vm="2146">
        <v>38843</v>
      </c>
      <c r="I193" s="83" vm="2147">
        <v>10671</v>
      </c>
      <c r="J193" s="83" vm="2148">
        <v>0</v>
      </c>
      <c r="K193" s="5">
        <f xml:space="preserve"> SUM( VfM_Metrics_2023_Consol[[#This Row],[Tangible fixed assets: Housing properties at cost (Current period)]],VfM_Metrics_2023_Consol[[#This Row],[Tangible fixed assets Housing properties at valuation (Current period)]] )</f>
        <v>2816814</v>
      </c>
      <c r="L193" s="84" vm="2149">
        <v>2816814</v>
      </c>
      <c r="M193" s="83">
        <v>0</v>
      </c>
      <c r="N193" s="7">
        <f xml:space="preserve"> IFERROR( VfM_Metrics_2023_Consol[[#This Row],[Total social units developed or newly built units acquired in-year]] / VfM_Metrics_2023_Consol[[#This Row],[Social housing units owned (period end)]], "n/a" )</f>
        <v>3.3091374893253631E-2</v>
      </c>
      <c r="O193" s="5">
        <f xml:space="preserve"> SUM( VfM_Metrics_2023_Consol[[#This Row],[Total social units developed or newly built units acquired in-year (owned)]], VfM_Metrics_2023_Consol[[#This Row],[Total social leasehold units developed or newly built units acquired in-year (owned)]] )</f>
        <v>1085</v>
      </c>
      <c r="P193" s="84" vm="2150">
        <v>1085</v>
      </c>
      <c r="Q193" s="83">
        <v>0</v>
      </c>
      <c r="R193" s="5">
        <f xml:space="preserve"> SUM( VfM_Metrics_2023_Consol[[#This Row],[Total social housing units owned (Period end)]], VfM_Metrics_2023_Consol[[#This Row],[Total social leasehold units owned (Period end)]] )</f>
        <v>32788</v>
      </c>
      <c r="S193" s="84" vm="2143">
        <v>31005</v>
      </c>
      <c r="T193" s="83" vm="2151">
        <v>1783</v>
      </c>
      <c r="U193" s="86">
        <f xml:space="preserve"> IFERROR( VfM_Metrics_2023_Consol[[#This Row],[Total non-social housing units developed or newly built units acquired (owned)]] / VfM_Metrics_2023_Consol[[#This Row],[Total social and non-social housing units owned (Period end)]], "n/a" )</f>
        <v>4.245591116917048E-3</v>
      </c>
      <c r="V19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143</v>
      </c>
      <c r="W193" s="83">
        <v>0</v>
      </c>
      <c r="X193" s="83">
        <v>0</v>
      </c>
      <c r="Y193" s="83" vm="2152">
        <v>143</v>
      </c>
      <c r="Z19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33682</v>
      </c>
      <c r="AA193" s="84" vm="7109">
        <v>31005</v>
      </c>
      <c r="AB193" s="83" vm="8076">
        <v>1783</v>
      </c>
      <c r="AC193" s="83" vm="2153">
        <v>401</v>
      </c>
      <c r="AD193" s="83" vm="2154">
        <v>493</v>
      </c>
      <c r="AE193" s="7">
        <f xml:space="preserve"> IFERROR( VfM_Metrics_2023_Consol[[#This Row],[Total Net Debt]] / VfM_Metrics_2023_Consol[[#This Row],[Net Book Value of Housing Properties2]], "n/a" )</f>
        <v>0.54420348663419027</v>
      </c>
      <c r="AF19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1532920</v>
      </c>
      <c r="AG193" s="84" vm="2155">
        <v>62597</v>
      </c>
      <c r="AH193" s="83" vm="2156">
        <v>1537374</v>
      </c>
      <c r="AI193" s="83" vm="7917">
        <v>67051</v>
      </c>
      <c r="AJ193" s="83" vm="1675">
        <v>0</v>
      </c>
      <c r="AK193" s="83">
        <v>0</v>
      </c>
      <c r="AL193" s="5">
        <f xml:space="preserve"> SUM( VfM_Metrics_2023_Consol[[#This Row],[Tangible fixed assets: Housing properties at cost (Current period)2]], VfM_Metrics_2023_Consol[[#This Row],[Tangible fixed assets Housing properties at valuation (Current period)2]] )</f>
        <v>2816814</v>
      </c>
      <c r="AM193" s="84" vm="2149">
        <v>2816814</v>
      </c>
      <c r="AN193" s="83">
        <v>0</v>
      </c>
      <c r="AO193" s="87">
        <f xml:space="preserve"> IFERROR( VfM_Metrics_2023_Consol[[#This Row],[EBITDA MRI]] / VfM_Metrics_2023_Consol[[#This Row],[Total interest]], "n/a" )</f>
        <v>1.8537383523147464</v>
      </c>
      <c r="AP19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100265</v>
      </c>
      <c r="AQ193" s="84" vm="1994">
        <v>114286</v>
      </c>
      <c r="AR193" s="84" vm="7108">
        <v>8119</v>
      </c>
      <c r="AS193" s="84">
        <v>0</v>
      </c>
      <c r="AT193" s="84" vm="2159">
        <v>5912</v>
      </c>
      <c r="AU193" s="84" vm="2081">
        <v>0</v>
      </c>
      <c r="AV193" s="84" vm="7968">
        <v>368</v>
      </c>
      <c r="AW193" s="84" vm="2160">
        <v>38843</v>
      </c>
      <c r="AX193" s="84" vm="2161">
        <v>38485</v>
      </c>
      <c r="AY193" s="3">
        <f xml:space="preserve"> - SUM( VfM_Metrics_2023_Consol[[#This Row],[Interest capitalised]], VfM_Metrics_2023_Consol[[#This Row],[Interest payable and financing costs]] )</f>
        <v>54088</v>
      </c>
      <c r="AZ193" s="84" vm="2162">
        <v>-10671</v>
      </c>
      <c r="BA193" s="83" vm="4134">
        <v>-43417</v>
      </c>
      <c r="BB193" s="8">
        <f xml:space="preserve"> IFERROR( ( VfM_Metrics_2023_Consol[[#This Row],[Total Costs]] / VfM_Metrics_2023_Consol[[#This Row],[Total units for costs]] ) * 1000, "n/a" )</f>
        <v>3919.1157597535935</v>
      </c>
      <c r="BC19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122151</v>
      </c>
      <c r="BD193" s="84" vm="2163">
        <v>24211</v>
      </c>
      <c r="BE193" s="83" vm="2164">
        <v>18051</v>
      </c>
      <c r="BF193" s="83" vm="2165">
        <v>25647</v>
      </c>
      <c r="BG193" s="83" vm="2955">
        <v>3247</v>
      </c>
      <c r="BH193" s="83" vm="2166">
        <v>10324</v>
      </c>
      <c r="BI193" s="83" vm="2167">
        <v>579</v>
      </c>
      <c r="BJ193" s="83" vm="7107">
        <v>38843</v>
      </c>
      <c r="BK193" s="83" vm="2168">
        <v>0</v>
      </c>
      <c r="BL193" s="83" vm="2169">
        <v>1249</v>
      </c>
      <c r="BM193" s="83">
        <v>0</v>
      </c>
      <c r="BN193" s="83">
        <v>0</v>
      </c>
      <c r="BO193" s="83">
        <v>0</v>
      </c>
      <c r="BP193" s="5" vm="2144">
        <f xml:space="preserve"> VfM_Metrics_2023_Consol[[#This Row],[Total social housing units owned and/or managed at period end]]</f>
        <v>31168</v>
      </c>
      <c r="BQ193" s="84" vm="2144">
        <v>31168</v>
      </c>
      <c r="BR193" s="7">
        <f xml:space="preserve"> IFERROR( VfM_Metrics_2023_Consol[[#This Row],[SHL operating surplus / (deficit)]] / VfM_Metrics_2023_Consol[[#This Row],[Turnover from social housing lettings]], "n/a" )</f>
        <v>0.42938720433366906</v>
      </c>
      <c r="BS193" s="5" vm="7106">
        <f xml:space="preserve"> VfM_Metrics_2023_Consol[[#This Row],[Operating surplus/(deficit) (social housing lettings)]]</f>
        <v>87826</v>
      </c>
      <c r="BT193" s="84" vm="7106">
        <v>87826</v>
      </c>
      <c r="BU193" s="5" vm="7898">
        <f xml:space="preserve"> VfM_Metrics_2023_Consol[[#This Row],[Turnover from social housing lettings]]</f>
        <v>204538</v>
      </c>
      <c r="BV193" s="84" vm="7898">
        <v>204538</v>
      </c>
      <c r="BW193" s="7">
        <f xml:space="preserve"> IFERROR( VfM_Metrics_2023_Consol[[#This Row],[Net operating surplus]] / VfM_Metrics_2023_Consol[[#This Row],[Overall turnover]], "n/a" )</f>
        <v>0.31896158052227419</v>
      </c>
      <c r="BX193" s="5">
        <f xml:space="preserve"> SUM( VfM_Metrics_2023_Consol[[#This Row],[Operating surplus/(deficit) (overall)2]], - VfM_Metrics_2023_Consol[[#This Row],[Gain/(loss) on disposal of fixed assets (housing properties)2]], - VfM_Metrics_2023_Consol[[#This Row],[Gain/(loss) on disposal of fixed assets (other)2]] )</f>
        <v>106167</v>
      </c>
      <c r="BY193" s="84" vm="2157">
        <v>114286</v>
      </c>
      <c r="BZ193" s="83" vm="2410">
        <v>8119</v>
      </c>
      <c r="CA193" s="83">
        <v>0</v>
      </c>
      <c r="CB193" s="5" vm="2170">
        <f xml:space="preserve"> VfM_Metrics_2023_Consol[[#This Row],[Turnover (overall)]]</f>
        <v>332852</v>
      </c>
      <c r="CC193" s="84" vm="2170">
        <v>332852</v>
      </c>
      <c r="CD193" s="7">
        <f xml:space="preserve"> IFERROR( VfM_Metrics_2023_Consol[[#This Row],[Operating surplus including from JVs]] / VfM_Metrics_2023_Consol[[#This Row],[Net assets]], "n/a" )</f>
        <v>3.8220435148093743E-2</v>
      </c>
      <c r="CE193" s="5">
        <f xml:space="preserve"> SUM( VfM_Metrics_2023_Consol[[#This Row],[Operating surplus/(deficit) (overall)3]], VfM_Metrics_2023_Consol[[#This Row],[Share of operating surplus/(deficit) in joint ventures or associates]] )</f>
        <v>114350</v>
      </c>
      <c r="CF193" s="84" vm="7523">
        <v>114286</v>
      </c>
      <c r="CG193" s="83" vm="2171">
        <v>64</v>
      </c>
      <c r="CH193" s="5" vm="7967">
        <f xml:space="preserve"> VfM_Metrics_2023_Consol[[#This Row],[Total assets less current liabilities]]</f>
        <v>2991855</v>
      </c>
      <c r="CI193" s="84" vm="7967">
        <v>2991855</v>
      </c>
      <c r="CJ193" s="71" vm="2143">
        <f xml:space="preserve"> VfM_Metrics_2023_Consol[[#This Row],[Total social housing units owned (Period end)]]</f>
        <v>31005</v>
      </c>
      <c r="CK193" s="103">
        <v>7.7926312357352459E-3</v>
      </c>
      <c r="CL193" s="6">
        <f xml:space="preserve"> -- ( VfM_Metrics_2023_Consol[[#This Row],[% Supported housing (excl. HOP)]] &gt; 0.3 )</f>
        <v>0</v>
      </c>
      <c r="CM193" s="103">
        <v>3.8245842843169224E-2</v>
      </c>
      <c r="CN193" s="6">
        <f xml:space="preserve"> -- ( VfM_Metrics_2023_Consol[[#This Row],[% Housing for older people]] &gt; 0.3 )</f>
        <v>0</v>
      </c>
      <c r="CO193" s="103">
        <f xml:space="preserve"> VfM_Metrics_2023_Consol[[#This Row],[% Supported housing (excl. HOP)]] + VfM_Metrics_2023_Consol[[#This Row],[% Housing for older people]]</f>
        <v>4.6038474078904469E-2</v>
      </c>
      <c r="CP193" s="6">
        <f xml:space="preserve"> -- ( VfM_Metrics_2023_Consol[[#This Row],[SH specialist in RSH analysis]] + VfM_Metrics_2023_Consol[[#This Row],[OP specialist in RSH analysis]] &gt; 0 )</f>
        <v>0</v>
      </c>
      <c r="CQ193" s="10">
        <f xml:space="preserve"> -- ( VfM_Metrics_2023_Consol[[#This Row],[% SH and OP]] &gt; 0.3 )</f>
        <v>0</v>
      </c>
      <c r="CR193" s="104" t="s">
        <v>143</v>
      </c>
      <c r="CS193" s="124"/>
      <c r="CT193" s="105" t="s">
        <v>151</v>
      </c>
      <c r="CU19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193" s="85">
        <v>0</v>
      </c>
      <c r="CW193" s="85">
        <v>0.99922593130140303</v>
      </c>
      <c r="CX193" s="85">
        <v>7.740686985970005E-4</v>
      </c>
      <c r="CY193" s="85">
        <v>0</v>
      </c>
      <c r="CZ193" s="85">
        <v>0</v>
      </c>
      <c r="DA193" s="85">
        <v>0</v>
      </c>
      <c r="DB193" s="85">
        <v>0</v>
      </c>
      <c r="DC193" s="85">
        <v>0</v>
      </c>
      <c r="DD193" s="85">
        <v>0</v>
      </c>
      <c r="DE193" s="13">
        <v>1.0336672026441693</v>
      </c>
    </row>
    <row r="194" spans="1:109" x14ac:dyDescent="0.25">
      <c r="A194" s="4" t="s" vm="257">
        <v>512</v>
      </c>
      <c r="B194" s="2" t="s" vm="184">
        <v>513</v>
      </c>
      <c r="C194" s="72" vm="512">
        <v>45016</v>
      </c>
      <c r="D194" s="7">
        <f>IFERROR( VfM_Metrics_2023_Consol[[#This Row],[Reinvestment Spend]] / VfM_Metrics_2023_Consol[[#This Row],[Net Book Value of Housing Properties]], "n/a" )</f>
        <v>6.1459606606553405E-2</v>
      </c>
      <c r="E19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62448</v>
      </c>
      <c r="F194" s="83" vm="8098">
        <v>45566</v>
      </c>
      <c r="G194" s="83" vm="8130">
        <v>0</v>
      </c>
      <c r="H194" s="83" vm="7659">
        <v>16882</v>
      </c>
      <c r="I194" s="83" vm="1949">
        <v>0</v>
      </c>
      <c r="J194" s="83" vm="1950">
        <v>0</v>
      </c>
      <c r="K194" s="5">
        <f xml:space="preserve"> SUM( VfM_Metrics_2023_Consol[[#This Row],[Tangible fixed assets: Housing properties at cost (Current period)]],VfM_Metrics_2023_Consol[[#This Row],[Tangible fixed assets Housing properties at valuation (Current period)]] )</f>
        <v>1016082</v>
      </c>
      <c r="L194" s="84" vm="1951">
        <v>34893</v>
      </c>
      <c r="M194" s="83" vm="1952">
        <v>981189</v>
      </c>
      <c r="N194" s="7">
        <f xml:space="preserve"> IFERROR( VfM_Metrics_2023_Consol[[#This Row],[Total social units developed or newly built units acquired in-year]] / VfM_Metrics_2023_Consol[[#This Row],[Social housing units owned (period end)]], "n/a" )</f>
        <v>1.0567576042646598E-2</v>
      </c>
      <c r="O194" s="5">
        <f xml:space="preserve"> SUM( VfM_Metrics_2023_Consol[[#This Row],[Total social units developed or newly built units acquired in-year (owned)]], VfM_Metrics_2023_Consol[[#This Row],[Total social leasehold units developed or newly built units acquired in-year (owned)]] )</f>
        <v>337</v>
      </c>
      <c r="P194" s="84" vm="2870">
        <v>337</v>
      </c>
      <c r="Q194" s="83" vm="1953">
        <v>0</v>
      </c>
      <c r="R194" s="5">
        <f xml:space="preserve"> SUM( VfM_Metrics_2023_Consol[[#This Row],[Total social housing units owned (Period end)]], VfM_Metrics_2023_Consol[[#This Row],[Total social leasehold units owned (Period end)]] )</f>
        <v>31890</v>
      </c>
      <c r="S194" s="84" vm="1946">
        <v>31890</v>
      </c>
      <c r="T194" s="83" vm="7988">
        <v>0</v>
      </c>
      <c r="U194" s="86">
        <f xml:space="preserve"> IFERROR( VfM_Metrics_2023_Consol[[#This Row],[Total non-social housing units developed or newly built units acquired (owned)]] / VfM_Metrics_2023_Consol[[#This Row],[Total social and non-social housing units owned (Period end)]], "n/a" )</f>
        <v>0</v>
      </c>
      <c r="V19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94" s="83" vm="1955">
        <v>0</v>
      </c>
      <c r="X194" s="83" vm="1956">
        <v>0</v>
      </c>
      <c r="Y194" s="83" vm="1957">
        <v>0</v>
      </c>
      <c r="Z19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31890</v>
      </c>
      <c r="AA194" s="84" vm="8118">
        <v>31890</v>
      </c>
      <c r="AB194" s="83" vm="1954">
        <v>0</v>
      </c>
      <c r="AC194" s="83" vm="1963">
        <v>0</v>
      </c>
      <c r="AD194" s="83" vm="2764">
        <v>0</v>
      </c>
      <c r="AE194" s="7">
        <f xml:space="preserve"> IFERROR( VfM_Metrics_2023_Consol[[#This Row],[Total Net Debt]] / VfM_Metrics_2023_Consol[[#This Row],[Net Book Value of Housing Properties2]], "n/a" )</f>
        <v>0.39498879027480066</v>
      </c>
      <c r="AF19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401341</v>
      </c>
      <c r="AG194" s="84" vm="1958">
        <v>7879</v>
      </c>
      <c r="AH194" s="83" vm="1959">
        <v>468533</v>
      </c>
      <c r="AI194" s="83" vm="1960">
        <v>75071</v>
      </c>
      <c r="AJ194" s="83" vm="1961">
        <v>0</v>
      </c>
      <c r="AK194" s="83" vm="1962">
        <v>0</v>
      </c>
      <c r="AL194" s="5">
        <f xml:space="preserve"> SUM( VfM_Metrics_2023_Consol[[#This Row],[Tangible fixed assets: Housing properties at cost (Current period)2]], VfM_Metrics_2023_Consol[[#This Row],[Tangible fixed assets Housing properties at valuation (Current period)2]] )</f>
        <v>1016082</v>
      </c>
      <c r="AM194" s="84" vm="8086">
        <v>34893</v>
      </c>
      <c r="AN194" s="83" vm="1952">
        <v>981189</v>
      </c>
      <c r="AO194" s="87">
        <f xml:space="preserve"> IFERROR( VfM_Metrics_2023_Consol[[#This Row],[EBITDA MRI]] / VfM_Metrics_2023_Consol[[#This Row],[Total interest]], "n/a" )</f>
        <v>1.2359677968023586</v>
      </c>
      <c r="AP19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21800</v>
      </c>
      <c r="AQ194" s="84" vm="1963">
        <v>24443</v>
      </c>
      <c r="AR194" s="84" vm="1964">
        <v>4585</v>
      </c>
      <c r="AS194" s="84" vm="1965">
        <v>6</v>
      </c>
      <c r="AT194" s="84" vm="1966">
        <v>0</v>
      </c>
      <c r="AU194" s="84" vm="1967">
        <v>12513</v>
      </c>
      <c r="AV194" s="84" vm="1968">
        <v>1161</v>
      </c>
      <c r="AW194" s="84" vm="8170">
        <v>16882</v>
      </c>
      <c r="AX194" s="84" vm="1969">
        <v>30182</v>
      </c>
      <c r="AY194" s="3">
        <f xml:space="preserve"> - SUM( VfM_Metrics_2023_Consol[[#This Row],[Interest capitalised]], VfM_Metrics_2023_Consol[[#This Row],[Interest payable and financing costs]] )</f>
        <v>17638</v>
      </c>
      <c r="AZ194" s="84" vm="1970">
        <v>0</v>
      </c>
      <c r="BA194" s="83" vm="1971">
        <v>-17638</v>
      </c>
      <c r="BB194" s="8">
        <f xml:space="preserve"> IFERROR( ( VfM_Metrics_2023_Consol[[#This Row],[Total Costs]] / VfM_Metrics_2023_Consol[[#This Row],[Total units for costs]] ) * 1000, "n/a" )</f>
        <v>4103.3326018120824</v>
      </c>
      <c r="BC19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130884</v>
      </c>
      <c r="BD194" s="84" vm="1972">
        <v>51007</v>
      </c>
      <c r="BE194" s="83" vm="1973">
        <v>7116</v>
      </c>
      <c r="BF194" s="83" vm="7658">
        <v>24340</v>
      </c>
      <c r="BG194" s="83" vm="1974">
        <v>2855</v>
      </c>
      <c r="BH194" s="83" vm="7977">
        <v>24486</v>
      </c>
      <c r="BI194" s="83" vm="1975">
        <v>0</v>
      </c>
      <c r="BJ194" s="83" vm="7885">
        <v>16882</v>
      </c>
      <c r="BK194" s="83" vm="1976">
        <v>2835</v>
      </c>
      <c r="BL194" s="83" vm="7657">
        <v>1060</v>
      </c>
      <c r="BM194" s="83" vm="1977">
        <v>0</v>
      </c>
      <c r="BN194" s="83" vm="1978">
        <v>303</v>
      </c>
      <c r="BO194" s="83" vm="8030">
        <v>0</v>
      </c>
      <c r="BP194" s="5" vm="7883">
        <f xml:space="preserve"> VfM_Metrics_2023_Consol[[#This Row],[Total social housing units owned and/or managed at period end]]</f>
        <v>31897</v>
      </c>
      <c r="BQ194" s="84" vm="7883">
        <v>31897</v>
      </c>
      <c r="BR194" s="7">
        <f xml:space="preserve"> IFERROR( VfM_Metrics_2023_Consol[[#This Row],[SHL operating surplus / (deficit)]] / VfM_Metrics_2023_Consol[[#This Row],[Turnover from social housing lettings]], "n/a" )</f>
        <v>0.12901906597185647</v>
      </c>
      <c r="BS194" s="5" vm="1979">
        <f xml:space="preserve"> VfM_Metrics_2023_Consol[[#This Row],[Operating surplus/(deficit) (social housing lettings)]]</f>
        <v>20822</v>
      </c>
      <c r="BT194" s="84" vm="1979">
        <v>20822</v>
      </c>
      <c r="BU194" s="5" vm="1980">
        <f xml:space="preserve"> VfM_Metrics_2023_Consol[[#This Row],[Turnover from social housing lettings]]</f>
        <v>161387</v>
      </c>
      <c r="BV194" s="84" vm="1980">
        <v>161387</v>
      </c>
      <c r="BW194" s="7">
        <f xml:space="preserve"> IFERROR( VfM_Metrics_2023_Consol[[#This Row],[Net operating surplus]] / VfM_Metrics_2023_Consol[[#This Row],[Overall turnover]], "n/a" )</f>
        <v>0.1145402408276069</v>
      </c>
      <c r="BX194" s="5">
        <f xml:space="preserve"> SUM( VfM_Metrics_2023_Consol[[#This Row],[Operating surplus/(deficit) (overall)2]], - VfM_Metrics_2023_Consol[[#This Row],[Gain/(loss) on disposal of fixed assets (housing properties)2]], - VfM_Metrics_2023_Consol[[#This Row],[Gain/(loss) on disposal of fixed assets (other)2]] )</f>
        <v>19852</v>
      </c>
      <c r="BY194" s="84" vm="7815">
        <v>24443</v>
      </c>
      <c r="BZ194" s="83" vm="8121">
        <v>4585</v>
      </c>
      <c r="CA194" s="83" vm="1965">
        <v>6</v>
      </c>
      <c r="CB194" s="5" vm="8181">
        <f xml:space="preserve"> VfM_Metrics_2023_Consol[[#This Row],[Turnover (overall)]]</f>
        <v>173319</v>
      </c>
      <c r="CC194" s="84" vm="8181">
        <v>173319</v>
      </c>
      <c r="CD194" s="7">
        <f xml:space="preserve"> IFERROR( VfM_Metrics_2023_Consol[[#This Row],[Operating surplus including from JVs]] / VfM_Metrics_2023_Consol[[#This Row],[Net assets]], "n/a" )</f>
        <v>2.1474242425616383E-2</v>
      </c>
      <c r="CE194" s="5">
        <f xml:space="preserve"> SUM( VfM_Metrics_2023_Consol[[#This Row],[Operating surplus/(deficit) (overall)3]], VfM_Metrics_2023_Consol[[#This Row],[Share of operating surplus/(deficit) in joint ventures or associates]] )</f>
        <v>23681</v>
      </c>
      <c r="CF194" s="84" vm="7655">
        <v>24443</v>
      </c>
      <c r="CG194" s="83" vm="8028">
        <v>-762</v>
      </c>
      <c r="CH194" s="5" vm="1981">
        <f xml:space="preserve"> VfM_Metrics_2023_Consol[[#This Row],[Total assets less current liabilities]]</f>
        <v>1102763</v>
      </c>
      <c r="CI194" s="84" vm="1981">
        <v>1102763</v>
      </c>
      <c r="CJ194" s="71" vm="1946">
        <f xml:space="preserve"> VfM_Metrics_2023_Consol[[#This Row],[Total social housing units owned (Period end)]]</f>
        <v>31890</v>
      </c>
      <c r="CK194" s="103">
        <v>4.8646095717884134E-2</v>
      </c>
      <c r="CL194" s="6">
        <f xml:space="preserve"> -- ( VfM_Metrics_2023_Consol[[#This Row],[% Supported housing (excl. HOP)]] &gt; 0.3 )</f>
        <v>0</v>
      </c>
      <c r="CM194" s="103">
        <v>0</v>
      </c>
      <c r="CN194" s="6">
        <f xml:space="preserve"> -- ( VfM_Metrics_2023_Consol[[#This Row],[% Housing for older people]] &gt; 0.3 )</f>
        <v>0</v>
      </c>
      <c r="CO194" s="103">
        <f xml:space="preserve"> VfM_Metrics_2023_Consol[[#This Row],[% Supported housing (excl. HOP)]] + VfM_Metrics_2023_Consol[[#This Row],[% Housing for older people]]</f>
        <v>4.8646095717884134E-2</v>
      </c>
      <c r="CP194" s="6">
        <f xml:space="preserve"> -- ( VfM_Metrics_2023_Consol[[#This Row],[SH specialist in RSH analysis]] + VfM_Metrics_2023_Consol[[#This Row],[OP specialist in RSH analysis]] &gt; 0 )</f>
        <v>0</v>
      </c>
      <c r="CQ194" s="10">
        <f xml:space="preserve"> -- ( VfM_Metrics_2023_Consol[[#This Row],[% SH and OP]] &gt; 0.3 )</f>
        <v>0</v>
      </c>
      <c r="CR194" s="104" t="s">
        <v>143</v>
      </c>
      <c r="CS194" s="124"/>
      <c r="CT194" s="105" t="s">
        <v>151</v>
      </c>
      <c r="CU19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194" s="85">
        <v>0</v>
      </c>
      <c r="CW194" s="85">
        <v>0</v>
      </c>
      <c r="CX194" s="85">
        <v>0</v>
      </c>
      <c r="CY194" s="85">
        <v>0</v>
      </c>
      <c r="CZ194" s="85">
        <v>0</v>
      </c>
      <c r="DA194" s="85">
        <v>0</v>
      </c>
      <c r="DB194" s="85">
        <v>0</v>
      </c>
      <c r="DC194" s="85">
        <v>0</v>
      </c>
      <c r="DD194" s="85">
        <v>1</v>
      </c>
      <c r="DE194" s="13">
        <v>0.94459121441814442</v>
      </c>
    </row>
    <row r="195" spans="1:109" x14ac:dyDescent="0.25">
      <c r="A195" s="4" t="s" vm="343">
        <v>514</v>
      </c>
      <c r="B195" s="2" t="s" vm="185">
        <v>515</v>
      </c>
      <c r="C195" s="72" vm="495">
        <v>45016</v>
      </c>
      <c r="D195" s="7">
        <f>IFERROR( VfM_Metrics_2023_Consol[[#This Row],[Reinvestment Spend]] / VfM_Metrics_2023_Consol[[#This Row],[Net Book Value of Housing Properties]], "n/a" )</f>
        <v>0.11633043022886105</v>
      </c>
      <c r="E19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74639</v>
      </c>
      <c r="F195" s="83" vm="4842">
        <v>58313</v>
      </c>
      <c r="G195" s="83" vm="4843">
        <v>0</v>
      </c>
      <c r="H195" s="83" vm="4844">
        <v>15401</v>
      </c>
      <c r="I195" s="83" vm="4845">
        <v>925</v>
      </c>
      <c r="J195" s="83" vm="7468">
        <v>0</v>
      </c>
      <c r="K195" s="5">
        <f xml:space="preserve"> SUM( VfM_Metrics_2023_Consol[[#This Row],[Tangible fixed assets: Housing properties at cost (Current period)]],VfM_Metrics_2023_Consol[[#This Row],[Tangible fixed assets Housing properties at valuation (Current period)]] )</f>
        <v>641612</v>
      </c>
      <c r="L195" s="84" vm="4846">
        <v>641612</v>
      </c>
      <c r="M195" s="83">
        <v>0</v>
      </c>
      <c r="N195" s="7">
        <f xml:space="preserve"> IFERROR( VfM_Metrics_2023_Consol[[#This Row],[Total social units developed or newly built units acquired in-year]] / VfM_Metrics_2023_Consol[[#This Row],[Social housing units owned (period end)]], "n/a" )</f>
        <v>1.2150170648464164E-2</v>
      </c>
      <c r="O195" s="5">
        <f xml:space="preserve"> SUM( VfM_Metrics_2023_Consol[[#This Row],[Total social units developed or newly built units acquired in-year (owned)]], VfM_Metrics_2023_Consol[[#This Row],[Total social leasehold units developed or newly built units acquired in-year (owned)]] )</f>
        <v>267</v>
      </c>
      <c r="P195" s="84" vm="4847">
        <v>255</v>
      </c>
      <c r="Q195" s="83" vm="4848">
        <v>12</v>
      </c>
      <c r="R195" s="5">
        <f xml:space="preserve"> SUM( VfM_Metrics_2023_Consol[[#This Row],[Total social housing units owned (Period end)]], VfM_Metrics_2023_Consol[[#This Row],[Total social leasehold units owned (Period end)]] )</f>
        <v>21975</v>
      </c>
      <c r="S195" s="84" vm="4840">
        <v>21316</v>
      </c>
      <c r="T195" s="83" vm="4849">
        <v>659</v>
      </c>
      <c r="U195" s="86">
        <f xml:space="preserve"> IFERROR( VfM_Metrics_2023_Consol[[#This Row],[Total non-social housing units developed or newly built units acquired (owned)]] / VfM_Metrics_2023_Consol[[#This Row],[Total social and non-social housing units owned (Period end)]], "n/a" )</f>
        <v>1.811922449719152E-4</v>
      </c>
      <c r="V19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4</v>
      </c>
      <c r="W195" s="83" vm="7486">
        <v>0</v>
      </c>
      <c r="X195" s="83">
        <v>0</v>
      </c>
      <c r="Y195" s="83" vm="4851">
        <v>4</v>
      </c>
      <c r="Z19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22076</v>
      </c>
      <c r="AA195" s="84" vm="4840">
        <v>21316</v>
      </c>
      <c r="AB195" s="83" vm="4849">
        <v>659</v>
      </c>
      <c r="AC195" s="83" vm="4852">
        <v>101</v>
      </c>
      <c r="AD195" s="83" vm="4853">
        <v>0</v>
      </c>
      <c r="AE195" s="7">
        <f xml:space="preserve"> IFERROR( VfM_Metrics_2023_Consol[[#This Row],[Total Net Debt]] / VfM_Metrics_2023_Consol[[#This Row],[Net Book Value of Housing Properties2]], "n/a" )</f>
        <v>0.56338721844354533</v>
      </c>
      <c r="AF19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361476</v>
      </c>
      <c r="AG195" s="84" vm="4854">
        <v>0</v>
      </c>
      <c r="AH195" s="83" vm="4855">
        <v>416854</v>
      </c>
      <c r="AI195" s="83" vm="4856">
        <v>55378</v>
      </c>
      <c r="AJ195" s="83" vm="1675">
        <v>0</v>
      </c>
      <c r="AK195" s="83">
        <v>0</v>
      </c>
      <c r="AL195" s="5">
        <f xml:space="preserve"> SUM( VfM_Metrics_2023_Consol[[#This Row],[Tangible fixed assets: Housing properties at cost (Current period)2]], VfM_Metrics_2023_Consol[[#This Row],[Tangible fixed assets Housing properties at valuation (Current period)2]] )</f>
        <v>641612</v>
      </c>
      <c r="AM195" s="84" vm="4645">
        <v>641612</v>
      </c>
      <c r="AN195" s="83">
        <v>0</v>
      </c>
      <c r="AO195" s="87">
        <f xml:space="preserve"> IFERROR( VfM_Metrics_2023_Consol[[#This Row],[EBITDA MRI]] / VfM_Metrics_2023_Consol[[#This Row],[Total interest]], "n/a" )</f>
        <v>1.4028851593437677</v>
      </c>
      <c r="AP19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29758</v>
      </c>
      <c r="AQ195" s="84" vm="4857">
        <v>38503</v>
      </c>
      <c r="AR195" s="84" vm="4858">
        <v>8783</v>
      </c>
      <c r="AS195" s="84" vm="4859">
        <v>507</v>
      </c>
      <c r="AT195" s="84" vm="4860">
        <v>1135</v>
      </c>
      <c r="AU195" s="84" vm="4861">
        <v>0</v>
      </c>
      <c r="AV195" s="84" vm="4862">
        <v>3608</v>
      </c>
      <c r="AW195" s="84" vm="4863">
        <v>15401</v>
      </c>
      <c r="AX195" s="84" vm="4864">
        <v>13473</v>
      </c>
      <c r="AY195" s="3">
        <f xml:space="preserve"> - SUM( VfM_Metrics_2023_Consol[[#This Row],[Interest capitalised]], VfM_Metrics_2023_Consol[[#This Row],[Interest payable and financing costs]] )</f>
        <v>21212</v>
      </c>
      <c r="AZ195" s="84" vm="4865">
        <v>-925</v>
      </c>
      <c r="BA195" s="83" vm="4866">
        <v>-20287</v>
      </c>
      <c r="BB195" s="8">
        <f xml:space="preserve"> IFERROR( ( VfM_Metrics_2023_Consol[[#This Row],[Total Costs]] / VfM_Metrics_2023_Consol[[#This Row],[Total units for costs]] ) * 1000, "n/a" )</f>
        <v>4055.1229123662979</v>
      </c>
      <c r="BC19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86439</v>
      </c>
      <c r="BD195" s="84" vm="4867">
        <v>26996</v>
      </c>
      <c r="BE195" s="83" vm="4868">
        <v>7624</v>
      </c>
      <c r="BF195" s="83" vm="4869">
        <v>12534</v>
      </c>
      <c r="BG195" s="83" vm="4870">
        <v>18323</v>
      </c>
      <c r="BH195" s="83" vm="4871">
        <v>4307</v>
      </c>
      <c r="BI195" s="83" vm="4872">
        <v>0</v>
      </c>
      <c r="BJ195" s="83" vm="4863">
        <v>15401</v>
      </c>
      <c r="BK195" s="83" vm="4873">
        <v>0</v>
      </c>
      <c r="BL195" s="83" vm="4874">
        <v>907</v>
      </c>
      <c r="BM195" s="83" vm="7354">
        <v>337</v>
      </c>
      <c r="BN195" s="83" vm="4875">
        <v>10</v>
      </c>
      <c r="BO195" s="83">
        <v>0</v>
      </c>
      <c r="BP195" s="5" vm="4841">
        <f xml:space="preserve"> VfM_Metrics_2023_Consol[[#This Row],[Total social housing units owned and/or managed at period end]]</f>
        <v>21316</v>
      </c>
      <c r="BQ195" s="84" vm="4841">
        <v>21316</v>
      </c>
      <c r="BR195" s="7">
        <f xml:space="preserve"> IFERROR( VfM_Metrics_2023_Consol[[#This Row],[SHL operating surplus / (deficit)]] / VfM_Metrics_2023_Consol[[#This Row],[Turnover from social housing lettings]], "n/a" )</f>
        <v>0.24691414339540019</v>
      </c>
      <c r="BS195" s="5" vm="7042">
        <f xml:space="preserve"> VfM_Metrics_2023_Consol[[#This Row],[Operating surplus/(deficit) (social housing lettings)]]</f>
        <v>27065</v>
      </c>
      <c r="BT195" s="84" vm="7042">
        <v>27065</v>
      </c>
      <c r="BU195" s="5" vm="4876">
        <f xml:space="preserve"> VfM_Metrics_2023_Consol[[#This Row],[Turnover from social housing lettings]]</f>
        <v>109613</v>
      </c>
      <c r="BV195" s="84" vm="4876">
        <v>109613</v>
      </c>
      <c r="BW195" s="7">
        <f xml:space="preserve"> IFERROR( VfM_Metrics_2023_Consol[[#This Row],[Net operating surplus]] / VfM_Metrics_2023_Consol[[#This Row],[Overall turnover]], "n/a" )</f>
        <v>0.24118856350261308</v>
      </c>
      <c r="BX195" s="5">
        <f xml:space="preserve"> SUM( VfM_Metrics_2023_Consol[[#This Row],[Operating surplus/(deficit) (overall)2]], - VfM_Metrics_2023_Consol[[#This Row],[Gain/(loss) on disposal of fixed assets (housing properties)2]], - VfM_Metrics_2023_Consol[[#This Row],[Gain/(loss) on disposal of fixed assets (other)2]] )</f>
        <v>29213</v>
      </c>
      <c r="BY195" s="84" vm="7151">
        <v>38503</v>
      </c>
      <c r="BZ195" s="83" vm="4858">
        <v>8783</v>
      </c>
      <c r="CA195" s="83" vm="7047">
        <v>507</v>
      </c>
      <c r="CB195" s="5" vm="7041">
        <f xml:space="preserve"> VfM_Metrics_2023_Consol[[#This Row],[Turnover (overall)]]</f>
        <v>121121</v>
      </c>
      <c r="CC195" s="84" vm="7041">
        <v>121121</v>
      </c>
      <c r="CD195" s="7">
        <f xml:space="preserve"> IFERROR( VfM_Metrics_2023_Consol[[#This Row],[Operating surplus including from JVs]] / VfM_Metrics_2023_Consol[[#This Row],[Net assets]], "n/a" )</f>
        <v>4.7993241951694757E-2</v>
      </c>
      <c r="CE195" s="5">
        <f xml:space="preserve"> SUM( VfM_Metrics_2023_Consol[[#This Row],[Operating surplus/(deficit) (overall)3]], VfM_Metrics_2023_Consol[[#This Row],[Share of operating surplus/(deficit) in joint ventures or associates]] )</f>
        <v>38917</v>
      </c>
      <c r="CF195" s="84" vm="4857">
        <v>38503</v>
      </c>
      <c r="CG195" s="83" vm="7282">
        <v>414</v>
      </c>
      <c r="CH195" s="5" vm="4877">
        <f xml:space="preserve"> VfM_Metrics_2023_Consol[[#This Row],[Total assets less current liabilities]]</f>
        <v>810885</v>
      </c>
      <c r="CI195" s="84" vm="4877">
        <v>810885</v>
      </c>
      <c r="CJ195" s="71" vm="4840">
        <f xml:space="preserve"> VfM_Metrics_2023_Consol[[#This Row],[Total social housing units owned (Period end)]]</f>
        <v>21316</v>
      </c>
      <c r="CK195" s="103">
        <v>4.1400075272864136E-3</v>
      </c>
      <c r="CL195" s="6">
        <f xml:space="preserve"> -- ( VfM_Metrics_2023_Consol[[#This Row],[% Supported housing (excl. HOP)]] &gt; 0.3 )</f>
        <v>0</v>
      </c>
      <c r="CM195" s="103">
        <v>0</v>
      </c>
      <c r="CN195" s="6">
        <f xml:space="preserve"> -- ( VfM_Metrics_2023_Consol[[#This Row],[% Housing for older people]] &gt; 0.3 )</f>
        <v>0</v>
      </c>
      <c r="CO195" s="103">
        <f xml:space="preserve"> VfM_Metrics_2023_Consol[[#This Row],[% Supported housing (excl. HOP)]] + VfM_Metrics_2023_Consol[[#This Row],[% Housing for older people]]</f>
        <v>4.1400075272864136E-3</v>
      </c>
      <c r="CP195" s="6">
        <f xml:space="preserve"> -- ( VfM_Metrics_2023_Consol[[#This Row],[SH specialist in RSH analysis]] + VfM_Metrics_2023_Consol[[#This Row],[OP specialist in RSH analysis]] &gt; 0 )</f>
        <v>0</v>
      </c>
      <c r="CQ195" s="10">
        <f xml:space="preserve"> -- ( VfM_Metrics_2023_Consol[[#This Row],[% SH and OP]] &gt; 0.3 )</f>
        <v>0</v>
      </c>
      <c r="CR195" s="104" t="s">
        <v>143</v>
      </c>
      <c r="CS195" s="124"/>
      <c r="CT195" s="105" t="s">
        <v>151</v>
      </c>
      <c r="CU19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95" s="85">
        <v>0</v>
      </c>
      <c r="CW195" s="85">
        <v>0</v>
      </c>
      <c r="CX195" s="85">
        <v>0</v>
      </c>
      <c r="CY195" s="85">
        <v>0</v>
      </c>
      <c r="CZ195" s="85">
        <v>1</v>
      </c>
      <c r="DA195" s="85">
        <v>0</v>
      </c>
      <c r="DB195" s="85">
        <v>0</v>
      </c>
      <c r="DC195" s="85">
        <v>0</v>
      </c>
      <c r="DD195" s="85">
        <v>0</v>
      </c>
      <c r="DE195" s="13">
        <v>0.96459033333600952</v>
      </c>
    </row>
    <row r="196" spans="1:109" x14ac:dyDescent="0.25">
      <c r="A196" s="4" t="s" vm="351">
        <v>516</v>
      </c>
      <c r="B196" s="2" t="s" vm="186">
        <v>517</v>
      </c>
      <c r="C196" s="72" vm="543">
        <v>45016</v>
      </c>
      <c r="D196" s="7">
        <f>IFERROR( VfM_Metrics_2023_Consol[[#This Row],[Reinvestment Spend]] / VfM_Metrics_2023_Consol[[#This Row],[Net Book Value of Housing Properties]], "n/a" )</f>
        <v>1.62716949042442E-2</v>
      </c>
      <c r="E19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13777</v>
      </c>
      <c r="F196" s="83" vm="5125">
        <v>8967</v>
      </c>
      <c r="G196" s="83" vm="5126">
        <v>0</v>
      </c>
      <c r="H196" s="83" vm="4941">
        <v>4810</v>
      </c>
      <c r="I196" s="83" vm="5127">
        <v>0</v>
      </c>
      <c r="J196" s="83" vm="7326">
        <v>0</v>
      </c>
      <c r="K196" s="5">
        <f xml:space="preserve"> SUM( VfM_Metrics_2023_Consol[[#This Row],[Tangible fixed assets: Housing properties at cost (Current period)]],VfM_Metrics_2023_Consol[[#This Row],[Tangible fixed assets Housing properties at valuation (Current period)]] )</f>
        <v>846685</v>
      </c>
      <c r="L196" s="84" vm="7391">
        <v>846685</v>
      </c>
      <c r="M196" s="83" vm="5129">
        <v>0</v>
      </c>
      <c r="N196" s="7">
        <f xml:space="preserve"> IFERROR( VfM_Metrics_2023_Consol[[#This Row],[Total social units developed or newly built units acquired in-year]] / VfM_Metrics_2023_Consol[[#This Row],[Social housing units owned (period end)]], "n/a" )</f>
        <v>4.4336960902861752E-3</v>
      </c>
      <c r="O196" s="5">
        <f xml:space="preserve"> SUM( VfM_Metrics_2023_Consol[[#This Row],[Total social units developed or newly built units acquired in-year (owned)]], VfM_Metrics_2023_Consol[[#This Row],[Total social leasehold units developed or newly built units acquired in-year (owned)]] )</f>
        <v>33</v>
      </c>
      <c r="P196" s="84" vm="6959">
        <v>33</v>
      </c>
      <c r="Q196" s="83" vm="7263">
        <v>0</v>
      </c>
      <c r="R196" s="5">
        <f xml:space="preserve"> SUM( VfM_Metrics_2023_Consol[[#This Row],[Total social housing units owned (Period end)]], VfM_Metrics_2023_Consol[[#This Row],[Total social leasehold units owned (Period end)]] )</f>
        <v>7443</v>
      </c>
      <c r="S196" s="84" vm="5123">
        <v>6895</v>
      </c>
      <c r="T196" s="83" vm="5130">
        <v>548</v>
      </c>
      <c r="U196" s="86">
        <f xml:space="preserve"> IFERROR( VfM_Metrics_2023_Consol[[#This Row],[Total non-social housing units developed or newly built units acquired (owned)]] / VfM_Metrics_2023_Consol[[#This Row],[Total social and non-social housing units owned (Period end)]], "n/a" )</f>
        <v>0</v>
      </c>
      <c r="V19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96" s="83" vm="5131">
        <v>0</v>
      </c>
      <c r="X196" s="83" vm="5132">
        <v>0</v>
      </c>
      <c r="Y196" s="83" vm="5133">
        <v>0</v>
      </c>
      <c r="Z19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7447</v>
      </c>
      <c r="AA196" s="84" vm="5123">
        <v>6895</v>
      </c>
      <c r="AB196" s="83" vm="5130">
        <v>548</v>
      </c>
      <c r="AC196" s="83" vm="5134">
        <v>4</v>
      </c>
      <c r="AD196" s="83" vm="5135">
        <v>0</v>
      </c>
      <c r="AE196" s="7">
        <f xml:space="preserve"> IFERROR( VfM_Metrics_2023_Consol[[#This Row],[Total Net Debt]] / VfM_Metrics_2023_Consol[[#This Row],[Net Book Value of Housing Properties2]], "n/a" )</f>
        <v>0.29661208123446148</v>
      </c>
      <c r="AF19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251137</v>
      </c>
      <c r="AG196" s="84" vm="5136">
        <v>4335</v>
      </c>
      <c r="AH196" s="83" vm="5137">
        <v>321900</v>
      </c>
      <c r="AI196" s="83" vm="5138">
        <v>75098</v>
      </c>
      <c r="AJ196" s="83" vm="5139">
        <v>0</v>
      </c>
      <c r="AK196" s="83" vm="5140">
        <v>0</v>
      </c>
      <c r="AL196" s="5">
        <f xml:space="preserve"> SUM( VfM_Metrics_2023_Consol[[#This Row],[Tangible fixed assets: Housing properties at cost (Current period)2]], VfM_Metrics_2023_Consol[[#This Row],[Tangible fixed assets Housing properties at valuation (Current period)2]] )</f>
        <v>846685</v>
      </c>
      <c r="AM196" s="84" vm="5128">
        <v>846685</v>
      </c>
      <c r="AN196" s="83" vm="5129">
        <v>0</v>
      </c>
      <c r="AO196" s="87">
        <f xml:space="preserve"> IFERROR( VfM_Metrics_2023_Consol[[#This Row],[EBITDA MRI]] / VfM_Metrics_2023_Consol[[#This Row],[Total interest]], "n/a" )</f>
        <v>0.78981065249965943</v>
      </c>
      <c r="AP19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11596</v>
      </c>
      <c r="AQ196" s="84" vm="5141">
        <v>32314</v>
      </c>
      <c r="AR196" s="84" vm="5142">
        <v>23289</v>
      </c>
      <c r="AS196" s="84" vm="5143">
        <v>0</v>
      </c>
      <c r="AT196" s="84" vm="6929">
        <v>3446</v>
      </c>
      <c r="AU196" s="84" vm="5144">
        <v>0</v>
      </c>
      <c r="AV196" s="84" vm="5145">
        <v>909</v>
      </c>
      <c r="AW196" s="84" vm="5146">
        <v>4810</v>
      </c>
      <c r="AX196" s="84" vm="5147">
        <v>9918</v>
      </c>
      <c r="AY196" s="3">
        <f xml:space="preserve"> - SUM( VfM_Metrics_2023_Consol[[#This Row],[Interest capitalised]], VfM_Metrics_2023_Consol[[#This Row],[Interest payable and financing costs]] )</f>
        <v>14682</v>
      </c>
      <c r="AZ196" s="84" vm="5148">
        <v>-406</v>
      </c>
      <c r="BA196" s="83" vm="5384">
        <v>-14276</v>
      </c>
      <c r="BB196" s="8">
        <f xml:space="preserve"> IFERROR( ( VfM_Metrics_2023_Consol[[#This Row],[Total Costs]] / VfM_Metrics_2023_Consol[[#This Row],[Total units for costs]] ) * 1000, "n/a" )</f>
        <v>6134.0101522842642</v>
      </c>
      <c r="BC19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42294</v>
      </c>
      <c r="BD196" s="84" vm="2385">
        <v>15687</v>
      </c>
      <c r="BE196" s="83" vm="7533">
        <v>5739</v>
      </c>
      <c r="BF196" s="83" vm="5150">
        <v>7410</v>
      </c>
      <c r="BG196" s="83" vm="5151">
        <v>1204</v>
      </c>
      <c r="BH196" s="83" vm="5152">
        <v>4966</v>
      </c>
      <c r="BI196" s="83" vm="5153">
        <v>0</v>
      </c>
      <c r="BJ196" s="83" vm="5146">
        <v>4810</v>
      </c>
      <c r="BK196" s="83" vm="7230">
        <v>0</v>
      </c>
      <c r="BL196" s="83" vm="5155">
        <v>348</v>
      </c>
      <c r="BM196" s="83" vm="6928">
        <v>0</v>
      </c>
      <c r="BN196" s="83" vm="5156">
        <v>2130</v>
      </c>
      <c r="BO196" s="83" vm="5157">
        <v>0</v>
      </c>
      <c r="BP196" s="5" vm="5124">
        <f xml:space="preserve"> VfM_Metrics_2023_Consol[[#This Row],[Total social housing units owned and/or managed at period end]]</f>
        <v>6895</v>
      </c>
      <c r="BQ196" s="84" vm="5124">
        <v>6895</v>
      </c>
      <c r="BR196" s="7">
        <f xml:space="preserve"> IFERROR( VfM_Metrics_2023_Consol[[#This Row],[SHL operating surplus / (deficit)]] / VfM_Metrics_2023_Consol[[#This Row],[Turnover from social housing lettings]], "n/a" )</f>
        <v>0.18890222509463578</v>
      </c>
      <c r="BS196" s="5" vm="5158">
        <f xml:space="preserve"> VfM_Metrics_2023_Consol[[#This Row],[Operating surplus/(deficit) (social housing lettings)]]</f>
        <v>10230</v>
      </c>
      <c r="BT196" s="84" vm="5158">
        <v>10230</v>
      </c>
      <c r="BU196" s="5" vm="5159">
        <f xml:space="preserve"> VfM_Metrics_2023_Consol[[#This Row],[Turnover from social housing lettings]]</f>
        <v>54155</v>
      </c>
      <c r="BV196" s="84" vm="5159">
        <v>54155</v>
      </c>
      <c r="BW196" s="7">
        <f xml:space="preserve"> IFERROR( VfM_Metrics_2023_Consol[[#This Row],[Net operating surplus]] / VfM_Metrics_2023_Consol[[#This Row],[Overall turnover]], "n/a" )</f>
        <v>0.16142880140232888</v>
      </c>
      <c r="BX196" s="5">
        <f xml:space="preserve"> SUM( VfM_Metrics_2023_Consol[[#This Row],[Operating surplus/(deficit) (overall)2]], - VfM_Metrics_2023_Consol[[#This Row],[Gain/(loss) on disposal of fixed assets (housing properties)2]], - VfM_Metrics_2023_Consol[[#This Row],[Gain/(loss) on disposal of fixed assets (other)2]] )</f>
        <v>9025</v>
      </c>
      <c r="BY196" s="84" vm="5253">
        <v>32314</v>
      </c>
      <c r="BZ196" s="83" vm="5142">
        <v>23289</v>
      </c>
      <c r="CA196" s="83" vm="6315">
        <v>0</v>
      </c>
      <c r="CB196" s="5" vm="7419">
        <f xml:space="preserve"> VfM_Metrics_2023_Consol[[#This Row],[Turnover (overall)]]</f>
        <v>55907</v>
      </c>
      <c r="CC196" s="84" vm="7419">
        <v>55907</v>
      </c>
      <c r="CD196" s="7">
        <f xml:space="preserve"> IFERROR( VfM_Metrics_2023_Consol[[#This Row],[Operating surplus including from JVs]] / VfM_Metrics_2023_Consol[[#This Row],[Net assets]], "n/a" )</f>
        <v>3.5069402993173654E-2</v>
      </c>
      <c r="CE196" s="5">
        <f xml:space="preserve"> SUM( VfM_Metrics_2023_Consol[[#This Row],[Operating surplus/(deficit) (overall)3]], VfM_Metrics_2023_Consol[[#This Row],[Share of operating surplus/(deficit) in joint ventures or associates]] )</f>
        <v>32314</v>
      </c>
      <c r="CF196" s="84" vm="5141">
        <v>32314</v>
      </c>
      <c r="CG196" s="83" vm="5161">
        <v>0</v>
      </c>
      <c r="CH196" s="5" vm="5160">
        <f xml:space="preserve"> VfM_Metrics_2023_Consol[[#This Row],[Total assets less current liabilities]]</f>
        <v>921430</v>
      </c>
      <c r="CI196" s="84" vm="5160">
        <v>921430</v>
      </c>
      <c r="CJ196" s="71" vm="5123">
        <f xml:space="preserve"> VfM_Metrics_2023_Consol[[#This Row],[Total social housing units owned (Period end)]]</f>
        <v>6895</v>
      </c>
      <c r="CK196" s="103">
        <v>2.1732788798133021E-2</v>
      </c>
      <c r="CL196" s="6">
        <f xml:space="preserve"> -- ( VfM_Metrics_2023_Consol[[#This Row],[% Supported housing (excl. HOP)]] &gt; 0.3 )</f>
        <v>0</v>
      </c>
      <c r="CM196" s="103">
        <v>6.7094515752625442E-3</v>
      </c>
      <c r="CN196" s="6">
        <f xml:space="preserve"> -- ( VfM_Metrics_2023_Consol[[#This Row],[% Housing for older people]] &gt; 0.3 )</f>
        <v>0</v>
      </c>
      <c r="CO196" s="103">
        <f xml:space="preserve"> VfM_Metrics_2023_Consol[[#This Row],[% Supported housing (excl. HOP)]] + VfM_Metrics_2023_Consol[[#This Row],[% Housing for older people]]</f>
        <v>2.8442240373395565E-2</v>
      </c>
      <c r="CP196" s="6">
        <f xml:space="preserve"> -- ( VfM_Metrics_2023_Consol[[#This Row],[SH specialist in RSH analysis]] + VfM_Metrics_2023_Consol[[#This Row],[OP specialist in RSH analysis]] &gt; 0 )</f>
        <v>0</v>
      </c>
      <c r="CQ196" s="10">
        <f xml:space="preserve"> -- ( VfM_Metrics_2023_Consol[[#This Row],[% SH and OP]] &gt; 0.3 )</f>
        <v>0</v>
      </c>
      <c r="CR196" s="104" t="s">
        <v>143</v>
      </c>
      <c r="CS196" s="124" t="s">
        <v>144</v>
      </c>
      <c r="CT196" s="105"/>
      <c r="CU19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196" s="85">
        <v>0.99970687380917489</v>
      </c>
      <c r="CW196" s="85">
        <v>2.9312619082515022E-4</v>
      </c>
      <c r="CX196" s="85">
        <v>0</v>
      </c>
      <c r="CY196" s="85">
        <v>0</v>
      </c>
      <c r="CZ196" s="85">
        <v>0</v>
      </c>
      <c r="DA196" s="85">
        <v>0</v>
      </c>
      <c r="DB196" s="85">
        <v>0</v>
      </c>
      <c r="DC196" s="85">
        <v>0</v>
      </c>
      <c r="DD196" s="85">
        <v>0</v>
      </c>
      <c r="DE196" s="13">
        <v>1.1603329183620767</v>
      </c>
    </row>
    <row r="197" spans="1:109" x14ac:dyDescent="0.25">
      <c r="A197" s="4" t="s" vm="221">
        <v>518</v>
      </c>
      <c r="B197" s="2" t="s" vm="187">
        <v>519</v>
      </c>
      <c r="C197" s="72" vm="505">
        <v>45016</v>
      </c>
      <c r="D197" s="7">
        <f>IFERROR( VfM_Metrics_2023_Consol[[#This Row],[Reinvestment Spend]] / VfM_Metrics_2023_Consol[[#This Row],[Net Book Value of Housing Properties]], "n/a" )</f>
        <v>7.7764184126013158E-2</v>
      </c>
      <c r="E19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4068</v>
      </c>
      <c r="F197" s="83" vm="1227">
        <v>2967</v>
      </c>
      <c r="G197" s="83" vm="8679">
        <v>0</v>
      </c>
      <c r="H197" s="83" vm="1036">
        <v>1101</v>
      </c>
      <c r="I197" s="83" vm="1037">
        <v>0</v>
      </c>
      <c r="J197" s="83" vm="8844">
        <v>0</v>
      </c>
      <c r="K197" s="5">
        <f xml:space="preserve"> SUM( VfM_Metrics_2023_Consol[[#This Row],[Tangible fixed assets: Housing properties at cost (Current period)]],VfM_Metrics_2023_Consol[[#This Row],[Tangible fixed assets Housing properties at valuation (Current period)]] )</f>
        <v>52312</v>
      </c>
      <c r="L197" s="84" vm="1038">
        <v>52312</v>
      </c>
      <c r="M197" s="83" vm="8746">
        <v>0</v>
      </c>
      <c r="N197" s="7">
        <f xml:space="preserve"> IFERROR( VfM_Metrics_2023_Consol[[#This Row],[Total social units developed or newly built units acquired in-year]] / VfM_Metrics_2023_Consol[[#This Row],[Social housing units owned (period end)]], "n/a" )</f>
        <v>2.2371364653243849E-2</v>
      </c>
      <c r="O197" s="5">
        <f xml:space="preserve"> SUM( VfM_Metrics_2023_Consol[[#This Row],[Total social units developed or newly built units acquired in-year (owned)]], VfM_Metrics_2023_Consol[[#This Row],[Total social leasehold units developed or newly built units acquired in-year (owned)]] )</f>
        <v>30</v>
      </c>
      <c r="P197" s="84" vm="1039">
        <v>30</v>
      </c>
      <c r="Q197" s="83" vm="1040">
        <v>0</v>
      </c>
      <c r="R197" s="5">
        <f xml:space="preserve"> SUM( VfM_Metrics_2023_Consol[[#This Row],[Total social housing units owned (Period end)]], VfM_Metrics_2023_Consol[[#This Row],[Total social leasehold units owned (Period end)]] )</f>
        <v>1341</v>
      </c>
      <c r="S197" s="84" vm="8569">
        <v>1298</v>
      </c>
      <c r="T197" s="83" vm="955">
        <v>43</v>
      </c>
      <c r="U197" s="86">
        <f xml:space="preserve"> IFERROR( VfM_Metrics_2023_Consol[[#This Row],[Total non-social housing units developed or newly built units acquired (owned)]] / VfM_Metrics_2023_Consol[[#This Row],[Total social and non-social housing units owned (Period end)]], "n/a" )</f>
        <v>0</v>
      </c>
      <c r="V19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97" s="83" vm="8563">
        <v>0</v>
      </c>
      <c r="X197" s="83" vm="1041">
        <v>0</v>
      </c>
      <c r="Y197" s="83" vm="8567">
        <v>0</v>
      </c>
      <c r="Z19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1345</v>
      </c>
      <c r="AA197" s="84" vm="8724">
        <v>1298</v>
      </c>
      <c r="AB197" s="83" vm="1425">
        <v>43</v>
      </c>
      <c r="AC197" s="83" vm="1042">
        <v>4</v>
      </c>
      <c r="AD197" s="83" vm="8714">
        <v>0</v>
      </c>
      <c r="AE197" s="7">
        <f xml:space="preserve"> IFERROR( VfM_Metrics_2023_Consol[[#This Row],[Total Net Debt]] / VfM_Metrics_2023_Consol[[#This Row],[Net Book Value of Housing Properties2]], "n/a" )</f>
        <v>0.12314574093898149</v>
      </c>
      <c r="AF19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6442</v>
      </c>
      <c r="AG197" s="84" vm="8715">
        <v>437</v>
      </c>
      <c r="AH197" s="83" vm="8784">
        <v>8142</v>
      </c>
      <c r="AI197" s="83" vm="8678">
        <v>2137</v>
      </c>
      <c r="AJ197" s="83" vm="8709">
        <v>0</v>
      </c>
      <c r="AK197" s="83" vm="8809">
        <v>0</v>
      </c>
      <c r="AL197" s="5">
        <f xml:space="preserve"> SUM( VfM_Metrics_2023_Consol[[#This Row],[Tangible fixed assets: Housing properties at cost (Current period)2]], VfM_Metrics_2023_Consol[[#This Row],[Tangible fixed assets Housing properties at valuation (Current period)2]] )</f>
        <v>52312</v>
      </c>
      <c r="AM197" s="84" vm="8814">
        <v>52312</v>
      </c>
      <c r="AN197" s="83" vm="1106">
        <v>0</v>
      </c>
      <c r="AO197" s="87">
        <f xml:space="preserve"> IFERROR( VfM_Metrics_2023_Consol[[#This Row],[EBITDA MRI]] / VfM_Metrics_2023_Consol[[#This Row],[Total interest]], "n/a" )</f>
        <v>3.0963541666666665</v>
      </c>
      <c r="AP19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1189</v>
      </c>
      <c r="AQ197" s="84" vm="1276">
        <v>2322</v>
      </c>
      <c r="AR197" s="84" vm="1044">
        <v>851</v>
      </c>
      <c r="AS197" s="84" vm="1045">
        <v>0</v>
      </c>
      <c r="AT197" s="84" vm="1046">
        <v>286</v>
      </c>
      <c r="AU197" s="84" vm="887">
        <v>0</v>
      </c>
      <c r="AV197" s="84" vm="956">
        <v>20</v>
      </c>
      <c r="AW197" s="84" vm="1048">
        <v>1101</v>
      </c>
      <c r="AX197" s="84" vm="8658">
        <v>1085</v>
      </c>
      <c r="AY197" s="3">
        <f xml:space="preserve"> - SUM( VfM_Metrics_2023_Consol[[#This Row],[Interest capitalised]], VfM_Metrics_2023_Consol[[#This Row],[Interest payable and financing costs]] )</f>
        <v>384</v>
      </c>
      <c r="AZ197" s="84" vm="8559">
        <v>0</v>
      </c>
      <c r="BA197" s="83" vm="1049">
        <v>-384</v>
      </c>
      <c r="BB197" s="8">
        <f xml:space="preserve"> IFERROR( ( VfM_Metrics_2023_Consol[[#This Row],[Total Costs]] / VfM_Metrics_2023_Consol[[#This Row],[Total units for costs]] ) * 1000, "n/a" )</f>
        <v>4901.4626635873747</v>
      </c>
      <c r="BC19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6367</v>
      </c>
      <c r="BD197" s="84" vm="1050">
        <v>945</v>
      </c>
      <c r="BE197" s="83" vm="8745">
        <v>1184</v>
      </c>
      <c r="BF197" s="83" vm="8557">
        <v>1217</v>
      </c>
      <c r="BG197" s="83" vm="8917">
        <v>0</v>
      </c>
      <c r="BH197" s="83" vm="1051">
        <v>693</v>
      </c>
      <c r="BI197" s="83" vm="8504">
        <v>0</v>
      </c>
      <c r="BJ197" s="83" vm="984">
        <v>1101</v>
      </c>
      <c r="BK197" s="83" vm="1052">
        <v>0</v>
      </c>
      <c r="BL197" s="83" vm="961">
        <v>206</v>
      </c>
      <c r="BM197" s="83" vm="8556">
        <v>678</v>
      </c>
      <c r="BN197" s="83" vm="1053">
        <v>268</v>
      </c>
      <c r="BO197" s="83" vm="1054">
        <v>75</v>
      </c>
      <c r="BP197" s="5" vm="8706">
        <f xml:space="preserve"> VfM_Metrics_2023_Consol[[#This Row],[Total social housing units owned and/or managed at period end]]</f>
        <v>1299</v>
      </c>
      <c r="BQ197" s="84" vm="8706">
        <v>1299</v>
      </c>
      <c r="BR197" s="7">
        <f xml:space="preserve"> IFERROR( VfM_Metrics_2023_Consol[[#This Row],[SHL operating surplus / (deficit)]] / VfM_Metrics_2023_Consol[[#This Row],[Turnover from social housing lettings]], "n/a" )</f>
        <v>0.25846335001471887</v>
      </c>
      <c r="BS197" s="5" vm="1055">
        <f xml:space="preserve"> VfM_Metrics_2023_Consol[[#This Row],[Operating surplus/(deficit) (social housing lettings)]]</f>
        <v>1756</v>
      </c>
      <c r="BT197" s="84" vm="1055">
        <v>1756</v>
      </c>
      <c r="BU197" s="5" vm="8480">
        <f xml:space="preserve"> VfM_Metrics_2023_Consol[[#This Row],[Turnover from social housing lettings]]</f>
        <v>6794</v>
      </c>
      <c r="BV197" s="84" vm="8480">
        <v>6794</v>
      </c>
      <c r="BW197" s="7">
        <f xml:space="preserve"> IFERROR( VfM_Metrics_2023_Consol[[#This Row],[Net operating surplus]] / VfM_Metrics_2023_Consol[[#This Row],[Overall turnover]], "n/a" )</f>
        <v>0.185591723441837</v>
      </c>
      <c r="BX197" s="5">
        <f xml:space="preserve"> SUM( VfM_Metrics_2023_Consol[[#This Row],[Operating surplus/(deficit) (overall)2]], - VfM_Metrics_2023_Consol[[#This Row],[Gain/(loss) on disposal of fixed assets (housing properties)2]], - VfM_Metrics_2023_Consol[[#This Row],[Gain/(loss) on disposal of fixed assets (other)2]] )</f>
        <v>1471</v>
      </c>
      <c r="BY197" s="84" vm="743">
        <v>2322</v>
      </c>
      <c r="BZ197" s="83" vm="8811">
        <v>851</v>
      </c>
      <c r="CA197" s="83" vm="1045">
        <v>0</v>
      </c>
      <c r="CB197" s="5" vm="7137">
        <f xml:space="preserve"> VfM_Metrics_2023_Consol[[#This Row],[Turnover (overall)]]</f>
        <v>7926</v>
      </c>
      <c r="CC197" s="84" vm="7137">
        <v>7926</v>
      </c>
      <c r="CD197" s="7">
        <f xml:space="preserve"> IFERROR( VfM_Metrics_2023_Consol[[#This Row],[Operating surplus including from JVs]] / VfM_Metrics_2023_Consol[[#This Row],[Net assets]], "n/a" )</f>
        <v>3.930197525431188E-2</v>
      </c>
      <c r="CE197" s="5">
        <f xml:space="preserve"> SUM( VfM_Metrics_2023_Consol[[#This Row],[Operating surplus/(deficit) (overall)3]], VfM_Metrics_2023_Consol[[#This Row],[Share of operating surplus/(deficit) in joint ventures or associates]] )</f>
        <v>2322</v>
      </c>
      <c r="CF197" s="84" vm="1093">
        <v>2322</v>
      </c>
      <c r="CG197" s="83" vm="1056">
        <v>0</v>
      </c>
      <c r="CH197" s="5" vm="8782">
        <f xml:space="preserve"> VfM_Metrics_2023_Consol[[#This Row],[Total assets less current liabilities]]</f>
        <v>59081</v>
      </c>
      <c r="CI197" s="84" vm="8782">
        <v>59081</v>
      </c>
      <c r="CJ197" s="71" vm="8569">
        <f xml:space="preserve"> VfM_Metrics_2023_Consol[[#This Row],[Total social housing units owned (Period end)]]</f>
        <v>1298</v>
      </c>
      <c r="CK197" s="103">
        <v>5.5427251732101619E-2</v>
      </c>
      <c r="CL197" s="6">
        <f xml:space="preserve"> -- ( VfM_Metrics_2023_Consol[[#This Row],[% Supported housing (excl. HOP)]] &gt; 0.3 )</f>
        <v>0</v>
      </c>
      <c r="CM197" s="103">
        <v>0.12086220169361046</v>
      </c>
      <c r="CN197" s="6">
        <f xml:space="preserve"> -- ( VfM_Metrics_2023_Consol[[#This Row],[% Housing for older people]] &gt; 0.3 )</f>
        <v>0</v>
      </c>
      <c r="CO197" s="103">
        <f xml:space="preserve"> VfM_Metrics_2023_Consol[[#This Row],[% Supported housing (excl. HOP)]] + VfM_Metrics_2023_Consol[[#This Row],[% Housing for older people]]</f>
        <v>0.17628945342571209</v>
      </c>
      <c r="CP197" s="6">
        <f xml:space="preserve"> -- ( VfM_Metrics_2023_Consol[[#This Row],[SH specialist in RSH analysis]] + VfM_Metrics_2023_Consol[[#This Row],[OP specialist in RSH analysis]] &gt; 0 )</f>
        <v>0</v>
      </c>
      <c r="CQ197" s="10">
        <f xml:space="preserve"> -- ( VfM_Metrics_2023_Consol[[#This Row],[% SH and OP]] &gt; 0.3 )</f>
        <v>0</v>
      </c>
      <c r="CR197" s="104" t="s">
        <v>143</v>
      </c>
      <c r="CS197" s="124" t="s">
        <v>144</v>
      </c>
      <c r="CT197" s="105"/>
      <c r="CU19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197" s="85">
        <v>0</v>
      </c>
      <c r="CW197" s="85">
        <v>0</v>
      </c>
      <c r="CX197" s="85">
        <v>0</v>
      </c>
      <c r="CY197" s="85">
        <v>0</v>
      </c>
      <c r="CZ197" s="85">
        <v>0</v>
      </c>
      <c r="DA197" s="85">
        <v>0</v>
      </c>
      <c r="DB197" s="85">
        <v>0</v>
      </c>
      <c r="DC197" s="85">
        <v>1</v>
      </c>
      <c r="DD197" s="85">
        <v>0</v>
      </c>
      <c r="DE197" s="13">
        <v>0.96105917141044694</v>
      </c>
    </row>
    <row r="198" spans="1:109" x14ac:dyDescent="0.25">
      <c r="A198" s="4" t="s" vm="376">
        <v>520</v>
      </c>
      <c r="B198" s="2" t="s" vm="188">
        <v>521</v>
      </c>
      <c r="C198" s="72" vm="549">
        <v>45016</v>
      </c>
      <c r="D198" s="7">
        <f>IFERROR( VfM_Metrics_2023_Consol[[#This Row],[Reinvestment Spend]] / VfM_Metrics_2023_Consol[[#This Row],[Net Book Value of Housing Properties]], "n/a" )</f>
        <v>7.2786486330573053E-2</v>
      </c>
      <c r="E19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27758</v>
      </c>
      <c r="F198" s="83" vm="6034">
        <v>22469</v>
      </c>
      <c r="G198" s="83" vm="6035">
        <v>0</v>
      </c>
      <c r="H198" s="83" vm="6036">
        <v>4744</v>
      </c>
      <c r="I198" s="83" vm="7025">
        <v>545</v>
      </c>
      <c r="J198" s="83" vm="6037">
        <v>0</v>
      </c>
      <c r="K198" s="5">
        <f xml:space="preserve"> SUM( VfM_Metrics_2023_Consol[[#This Row],[Tangible fixed assets: Housing properties at cost (Current period)]],VfM_Metrics_2023_Consol[[#This Row],[Tangible fixed assets Housing properties at valuation (Current period)]] )</f>
        <v>381362</v>
      </c>
      <c r="L198" s="84" vm="6038">
        <v>381362</v>
      </c>
      <c r="M198" s="83" vm="6039">
        <v>0</v>
      </c>
      <c r="N198" s="7">
        <f xml:space="preserve"> IFERROR( VfM_Metrics_2023_Consol[[#This Row],[Total social units developed or newly built units acquired in-year]] / VfM_Metrics_2023_Consol[[#This Row],[Social housing units owned (period end)]], "n/a" )</f>
        <v>1.4559386973180077E-2</v>
      </c>
      <c r="O198" s="5">
        <f xml:space="preserve"> SUM( VfM_Metrics_2023_Consol[[#This Row],[Total social units developed or newly built units acquired in-year (owned)]], VfM_Metrics_2023_Consol[[#This Row],[Total social leasehold units developed or newly built units acquired in-year (owned)]] )</f>
        <v>76</v>
      </c>
      <c r="P198" s="84" vm="6040">
        <v>76</v>
      </c>
      <c r="Q198" s="83" vm="6041">
        <v>0</v>
      </c>
      <c r="R198" s="5">
        <f xml:space="preserve"> SUM( VfM_Metrics_2023_Consol[[#This Row],[Total social housing units owned (Period end)]], VfM_Metrics_2023_Consol[[#This Row],[Total social leasehold units owned (Period end)]] )</f>
        <v>5220</v>
      </c>
      <c r="S198" s="84" vm="6113">
        <v>5220</v>
      </c>
      <c r="T198" s="83" vm="6042">
        <v>0</v>
      </c>
      <c r="U198" s="86">
        <f xml:space="preserve"> IFERROR( VfM_Metrics_2023_Consol[[#This Row],[Total non-social housing units developed or newly built units acquired (owned)]] / VfM_Metrics_2023_Consol[[#This Row],[Total social and non-social housing units owned (Period end)]], "n/a" )</f>
        <v>0</v>
      </c>
      <c r="V19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98" s="83" vm="6043">
        <v>0</v>
      </c>
      <c r="X198" s="83" vm="6044">
        <v>0</v>
      </c>
      <c r="Y198" s="83" vm="6045">
        <v>0</v>
      </c>
      <c r="Z19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5632</v>
      </c>
      <c r="AA198" s="84" vm="6032">
        <v>5220</v>
      </c>
      <c r="AB198" s="83" vm="6042">
        <v>0</v>
      </c>
      <c r="AC198" s="83" vm="6046">
        <v>21</v>
      </c>
      <c r="AD198" s="83" vm="6047">
        <v>391</v>
      </c>
      <c r="AE198" s="7">
        <f xml:space="preserve"> IFERROR( VfM_Metrics_2023_Consol[[#This Row],[Total Net Debt]] / VfM_Metrics_2023_Consol[[#This Row],[Net Book Value of Housing Properties2]], "n/a" )</f>
        <v>0.45726108002370452</v>
      </c>
      <c r="AF19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174382</v>
      </c>
      <c r="AG198" s="84" vm="6048">
        <v>0</v>
      </c>
      <c r="AH198" s="83" vm="6049">
        <v>203918</v>
      </c>
      <c r="AI198" s="83" vm="5737">
        <v>29547</v>
      </c>
      <c r="AJ198" s="83" vm="6167">
        <v>0</v>
      </c>
      <c r="AK198" s="83" vm="6050">
        <v>11</v>
      </c>
      <c r="AL198" s="5">
        <f xml:space="preserve"> SUM( VfM_Metrics_2023_Consol[[#This Row],[Tangible fixed assets: Housing properties at cost (Current period)2]], VfM_Metrics_2023_Consol[[#This Row],[Tangible fixed assets Housing properties at valuation (Current period)2]] )</f>
        <v>381362</v>
      </c>
      <c r="AM198" s="84" vm="6038">
        <v>381362</v>
      </c>
      <c r="AN198" s="83" vm="6039">
        <v>0</v>
      </c>
      <c r="AO198" s="87">
        <f xml:space="preserve"> IFERROR( VfM_Metrics_2023_Consol[[#This Row],[EBITDA MRI]] / VfM_Metrics_2023_Consol[[#This Row],[Total interest]], "n/a" )</f>
        <v>1.8248415716096325</v>
      </c>
      <c r="AP19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14398</v>
      </c>
      <c r="AQ198" s="84" vm="6051">
        <v>12897</v>
      </c>
      <c r="AR198" s="84" vm="6052">
        <v>1376</v>
      </c>
      <c r="AS198" s="84" vm="6053">
        <v>0</v>
      </c>
      <c r="AT198" s="84" vm="6054">
        <v>276</v>
      </c>
      <c r="AU198" s="84" vm="6055">
        <v>0</v>
      </c>
      <c r="AV198" s="84" vm="6056">
        <v>450</v>
      </c>
      <c r="AW198" s="84" vm="6057">
        <v>4744</v>
      </c>
      <c r="AX198" s="84" vm="6058">
        <v>7447</v>
      </c>
      <c r="AY198" s="3">
        <f xml:space="preserve"> - SUM( VfM_Metrics_2023_Consol[[#This Row],[Interest capitalised]], VfM_Metrics_2023_Consol[[#This Row],[Interest payable and financing costs]] )</f>
        <v>7890</v>
      </c>
      <c r="AZ198" s="84" vm="6059">
        <v>-545</v>
      </c>
      <c r="BA198" s="83" vm="6060">
        <v>-7345</v>
      </c>
      <c r="BB198" s="8">
        <f xml:space="preserve"> IFERROR( ( VfM_Metrics_2023_Consol[[#This Row],[Total Costs]] / VfM_Metrics_2023_Consol[[#This Row],[Total units for costs]] ) * 1000, "n/a" )</f>
        <v>4310.3703703703704</v>
      </c>
      <c r="BC19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23276</v>
      </c>
      <c r="BD198" s="84" vm="6061">
        <v>10850</v>
      </c>
      <c r="BE198" s="83" vm="6062">
        <v>1267</v>
      </c>
      <c r="BF198" s="83" vm="6063">
        <v>4690</v>
      </c>
      <c r="BG198" s="83" vm="6064">
        <v>600</v>
      </c>
      <c r="BH198" s="83" vm="6065">
        <v>144</v>
      </c>
      <c r="BI198" s="83" vm="6066">
        <v>0</v>
      </c>
      <c r="BJ198" s="83" vm="6057">
        <v>4744</v>
      </c>
      <c r="BK198" s="83" vm="6067">
        <v>0</v>
      </c>
      <c r="BL198" s="83" vm="6068">
        <v>0</v>
      </c>
      <c r="BM198" s="83" vm="6069">
        <v>0</v>
      </c>
      <c r="BN198" s="83" vm="6070">
        <v>585</v>
      </c>
      <c r="BO198" s="83" vm="6071">
        <v>396</v>
      </c>
      <c r="BP198" s="5" vm="6033">
        <f xml:space="preserve"> VfM_Metrics_2023_Consol[[#This Row],[Total social housing units owned and/or managed at period end]]</f>
        <v>5400</v>
      </c>
      <c r="BQ198" s="84" vm="6033">
        <v>5400</v>
      </c>
      <c r="BR198" s="7">
        <f xml:space="preserve"> IFERROR( VfM_Metrics_2023_Consol[[#This Row],[SHL operating surplus / (deficit)]] / VfM_Metrics_2023_Consol[[#This Row],[Turnover from social housing lettings]], "n/a" )</f>
        <v>0.29033745425203883</v>
      </c>
      <c r="BS198" s="5" vm="6072">
        <f xml:space="preserve"> VfM_Metrics_2023_Consol[[#This Row],[Operating surplus/(deficit) (social housing lettings)]]</f>
        <v>10075</v>
      </c>
      <c r="BT198" s="84" vm="6072">
        <v>10075</v>
      </c>
      <c r="BU198" s="5" vm="6073">
        <f xml:space="preserve"> VfM_Metrics_2023_Consol[[#This Row],[Turnover from social housing lettings]]</f>
        <v>34701</v>
      </c>
      <c r="BV198" s="84" vm="6073">
        <v>34701</v>
      </c>
      <c r="BW198" s="7">
        <f xml:space="preserve"> IFERROR( VfM_Metrics_2023_Consol[[#This Row],[Net operating surplus]] / VfM_Metrics_2023_Consol[[#This Row],[Overall turnover]], "n/a" )</f>
        <v>0.28091093068051592</v>
      </c>
      <c r="BX198" s="5">
        <f xml:space="preserve"> SUM( VfM_Metrics_2023_Consol[[#This Row],[Operating surplus/(deficit) (overall)2]], - VfM_Metrics_2023_Consol[[#This Row],[Gain/(loss) on disposal of fixed assets (housing properties)2]], - VfM_Metrics_2023_Consol[[#This Row],[Gain/(loss) on disposal of fixed assets (other)2]] )</f>
        <v>11521</v>
      </c>
      <c r="BY198" s="84" vm="6051">
        <v>12897</v>
      </c>
      <c r="BZ198" s="83" vm="6052">
        <v>1376</v>
      </c>
      <c r="CA198" s="83" vm="6053">
        <v>0</v>
      </c>
      <c r="CB198" s="5" vm="7158">
        <f xml:space="preserve"> VfM_Metrics_2023_Consol[[#This Row],[Turnover (overall)]]</f>
        <v>41013</v>
      </c>
      <c r="CC198" s="84" vm="7158">
        <v>41013</v>
      </c>
      <c r="CD198" s="7">
        <f xml:space="preserve"> IFERROR( VfM_Metrics_2023_Consol[[#This Row],[Operating surplus including from JVs]] / VfM_Metrics_2023_Consol[[#This Row],[Net assets]], "n/a" )</f>
        <v>3.3432482735827725E-2</v>
      </c>
      <c r="CE198" s="5">
        <f xml:space="preserve"> SUM( VfM_Metrics_2023_Consol[[#This Row],[Operating surplus/(deficit) (overall)3]], VfM_Metrics_2023_Consol[[#This Row],[Share of operating surplus/(deficit) in joint ventures or associates]] )</f>
        <v>13454</v>
      </c>
      <c r="CF198" s="84" vm="6051">
        <v>12897</v>
      </c>
      <c r="CG198" s="83" vm="6075">
        <v>557</v>
      </c>
      <c r="CH198" s="5" vm="6074">
        <f xml:space="preserve"> VfM_Metrics_2023_Consol[[#This Row],[Total assets less current liabilities]]</f>
        <v>402423</v>
      </c>
      <c r="CI198" s="84" vm="6074">
        <v>402423</v>
      </c>
      <c r="CJ198" s="71" vm="6113">
        <f xml:space="preserve"> VfM_Metrics_2023_Consol[[#This Row],[Total social housing units owned (Period end)]]</f>
        <v>5220</v>
      </c>
      <c r="CK198" s="103">
        <v>0</v>
      </c>
      <c r="CL198" s="6">
        <f xml:space="preserve"> -- ( VfM_Metrics_2023_Consol[[#This Row],[% Supported housing (excl. HOP)]] &gt; 0.3 )</f>
        <v>0</v>
      </c>
      <c r="CM198" s="103">
        <v>9.0088359585094119E-2</v>
      </c>
      <c r="CN198" s="6">
        <f xml:space="preserve"> -- ( VfM_Metrics_2023_Consol[[#This Row],[% Housing for older people]] &gt; 0.3 )</f>
        <v>0</v>
      </c>
      <c r="CO198" s="103">
        <f xml:space="preserve"> VfM_Metrics_2023_Consol[[#This Row],[% Supported housing (excl. HOP)]] + VfM_Metrics_2023_Consol[[#This Row],[% Housing for older people]]</f>
        <v>9.0088359585094119E-2</v>
      </c>
      <c r="CP198" s="6">
        <f xml:space="preserve"> -- ( VfM_Metrics_2023_Consol[[#This Row],[SH specialist in RSH analysis]] + VfM_Metrics_2023_Consol[[#This Row],[OP specialist in RSH analysis]] &gt; 0 )</f>
        <v>0</v>
      </c>
      <c r="CQ198" s="10">
        <f xml:space="preserve"> -- ( VfM_Metrics_2023_Consol[[#This Row],[% SH and OP]] &gt; 0.3 )</f>
        <v>0</v>
      </c>
      <c r="CR198" s="104" t="s">
        <v>143</v>
      </c>
      <c r="CS198" s="124"/>
      <c r="CT198" s="105" t="s">
        <v>151</v>
      </c>
      <c r="CU19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East of England</v>
      </c>
      <c r="CV198" s="85">
        <v>0</v>
      </c>
      <c r="CW198" s="85">
        <v>0</v>
      </c>
      <c r="CX198" s="85">
        <v>0</v>
      </c>
      <c r="CY198" s="85">
        <v>0</v>
      </c>
      <c r="CZ198" s="85">
        <v>0</v>
      </c>
      <c r="DA198" s="85">
        <v>1</v>
      </c>
      <c r="DB198" s="85">
        <v>0</v>
      </c>
      <c r="DC198" s="85">
        <v>0</v>
      </c>
      <c r="DD198" s="85">
        <v>0</v>
      </c>
      <c r="DE198" s="13">
        <v>1.0113701298544711</v>
      </c>
    </row>
    <row r="199" spans="1:109" x14ac:dyDescent="0.25">
      <c r="A199" s="4" t="s" vm="307">
        <v>522</v>
      </c>
      <c r="B199" s="2" t="s" vm="189">
        <v>523</v>
      </c>
      <c r="C199" s="72" vm="537">
        <v>45016</v>
      </c>
      <c r="D199" s="7">
        <f>IFERROR( VfM_Metrics_2023_Consol[[#This Row],[Reinvestment Spend]] / VfM_Metrics_2023_Consol[[#This Row],[Net Book Value of Housing Properties]], "n/a" )</f>
        <v>0.23221327771078448</v>
      </c>
      <c r="E199"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14250</v>
      </c>
      <c r="F199" s="83" vm="3583">
        <v>0</v>
      </c>
      <c r="G199" s="83" vm="3584">
        <v>0</v>
      </c>
      <c r="H199" s="83" vm="7371">
        <v>14250</v>
      </c>
      <c r="I199" s="83" vm="3585">
        <v>0</v>
      </c>
      <c r="J199" s="83" vm="3586">
        <v>0</v>
      </c>
      <c r="K199" s="5">
        <f xml:space="preserve"> SUM( VfM_Metrics_2023_Consol[[#This Row],[Tangible fixed assets: Housing properties at cost (Current period)]],VfM_Metrics_2023_Consol[[#This Row],[Tangible fixed assets Housing properties at valuation (Current period)]] )</f>
        <v>61366</v>
      </c>
      <c r="L199" s="84" vm="3587">
        <v>61366</v>
      </c>
      <c r="M199" s="83">
        <v>0</v>
      </c>
      <c r="N199" s="7">
        <f xml:space="preserve"> IFERROR( VfM_Metrics_2023_Consol[[#This Row],[Total social units developed or newly built units acquired in-year]] / VfM_Metrics_2023_Consol[[#This Row],[Social housing units owned (period end)]], "n/a" )</f>
        <v>0</v>
      </c>
      <c r="O199" s="5">
        <f xml:space="preserve"> SUM( VfM_Metrics_2023_Consol[[#This Row],[Total social units developed or newly built units acquired in-year (owned)]], VfM_Metrics_2023_Consol[[#This Row],[Total social leasehold units developed or newly built units acquired in-year (owned)]] )</f>
        <v>0</v>
      </c>
      <c r="P199" s="84" vm="7666">
        <v>0</v>
      </c>
      <c r="Q199" s="83">
        <v>0</v>
      </c>
      <c r="R199" s="5">
        <f xml:space="preserve"> SUM( VfM_Metrics_2023_Consol[[#This Row],[Total social housing units owned (Period end)]], VfM_Metrics_2023_Consol[[#This Row],[Total social leasehold units owned (Period end)]] )</f>
        <v>2615</v>
      </c>
      <c r="S199" s="84" vm="3582">
        <v>2615</v>
      </c>
      <c r="T199" s="83" vm="3588">
        <v>0</v>
      </c>
      <c r="U199" s="86">
        <f xml:space="preserve"> IFERROR( VfM_Metrics_2023_Consol[[#This Row],[Total non-social housing units developed or newly built units acquired (owned)]] / VfM_Metrics_2023_Consol[[#This Row],[Total social and non-social housing units owned (Period end)]], "n/a" )</f>
        <v>0</v>
      </c>
      <c r="V199"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199" s="83">
        <v>0</v>
      </c>
      <c r="X199" s="83">
        <v>0</v>
      </c>
      <c r="Y199" s="83">
        <v>0</v>
      </c>
      <c r="Z199"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3005</v>
      </c>
      <c r="AA199" s="84" vm="3582">
        <v>2615</v>
      </c>
      <c r="AB199" s="83" vm="3588">
        <v>0</v>
      </c>
      <c r="AC199" s="83" vm="7611">
        <v>0</v>
      </c>
      <c r="AD199" s="83" vm="3589">
        <v>390</v>
      </c>
      <c r="AE199" s="7">
        <f xml:space="preserve"> IFERROR( VfM_Metrics_2023_Consol[[#This Row],[Total Net Debt]] / VfM_Metrics_2023_Consol[[#This Row],[Net Book Value of Housing Properties2]], "n/a" )</f>
        <v>-0.10315158230942216</v>
      </c>
      <c r="AF199"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-6330</v>
      </c>
      <c r="AG199" s="84">
        <v>0</v>
      </c>
      <c r="AH199" s="83" vm="3590">
        <v>880</v>
      </c>
      <c r="AI199" s="83" vm="3591">
        <v>7210</v>
      </c>
      <c r="AJ199" s="83" vm="1675">
        <v>0</v>
      </c>
      <c r="AK199" s="83">
        <v>0</v>
      </c>
      <c r="AL199" s="5">
        <f xml:space="preserve"> SUM( VfM_Metrics_2023_Consol[[#This Row],[Tangible fixed assets: Housing properties at cost (Current period)2]], VfM_Metrics_2023_Consol[[#This Row],[Tangible fixed assets Housing properties at valuation (Current period)2]] )</f>
        <v>61366</v>
      </c>
      <c r="AM199" s="84" vm="3587">
        <v>61366</v>
      </c>
      <c r="AN199" s="83">
        <v>0</v>
      </c>
      <c r="AO199" s="87">
        <f xml:space="preserve"> IFERROR( VfM_Metrics_2023_Consol[[#This Row],[EBITDA MRI]] / VfM_Metrics_2023_Consol[[#This Row],[Total interest]], "n/a" )</f>
        <v>-37.138790035587192</v>
      </c>
      <c r="AP199"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-10436</v>
      </c>
      <c r="AQ199" s="84" vm="3592">
        <v>2564</v>
      </c>
      <c r="AR199" s="84" vm="2847">
        <v>618</v>
      </c>
      <c r="AS199" s="84">
        <v>0</v>
      </c>
      <c r="AT199" s="84" vm="3594">
        <v>534</v>
      </c>
      <c r="AU199" s="84" vm="4312">
        <v>0</v>
      </c>
      <c r="AV199" s="84" vm="3595">
        <v>23</v>
      </c>
      <c r="AW199" s="84" vm="3596">
        <v>14250</v>
      </c>
      <c r="AX199" s="84" vm="3597">
        <v>2379</v>
      </c>
      <c r="AY199" s="3">
        <f xml:space="preserve"> - SUM( VfM_Metrics_2023_Consol[[#This Row],[Interest capitalised]], VfM_Metrics_2023_Consol[[#This Row],[Interest payable and financing costs]] )</f>
        <v>281</v>
      </c>
      <c r="AZ199" s="84">
        <v>0</v>
      </c>
      <c r="BA199" s="83" vm="6994">
        <v>-281</v>
      </c>
      <c r="BB199" s="8">
        <f xml:space="preserve"> IFERROR( ( VfM_Metrics_2023_Consol[[#This Row],[Total Costs]] / VfM_Metrics_2023_Consol[[#This Row],[Total units for costs]] ) * 1000, "n/a" )</f>
        <v>10350.286806883367</v>
      </c>
      <c r="BC199"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27066</v>
      </c>
      <c r="BD199" s="84" vm="3598">
        <v>2649</v>
      </c>
      <c r="BE199" s="83" vm="3599">
        <v>3151</v>
      </c>
      <c r="BF199" s="83" vm="3600">
        <v>3976</v>
      </c>
      <c r="BG199" s="83" vm="3601">
        <v>1309</v>
      </c>
      <c r="BH199" s="83" vm="3602">
        <v>0</v>
      </c>
      <c r="BI199" s="83" vm="3603">
        <v>0</v>
      </c>
      <c r="BJ199" s="83" vm="3596">
        <v>14250</v>
      </c>
      <c r="BK199" s="83" vm="2926">
        <v>0</v>
      </c>
      <c r="BL199" s="83">
        <v>0</v>
      </c>
      <c r="BM199" s="83">
        <v>0</v>
      </c>
      <c r="BN199" s="83" vm="3604">
        <v>1731</v>
      </c>
      <c r="BO199" s="83">
        <v>0</v>
      </c>
      <c r="BP199" s="5" vm="7448">
        <f xml:space="preserve"> VfM_Metrics_2023_Consol[[#This Row],[Total social housing units owned and/or managed at period end]]</f>
        <v>2615</v>
      </c>
      <c r="BQ199" s="84" vm="7448">
        <v>2615</v>
      </c>
      <c r="BR199" s="7">
        <f xml:space="preserve"> IFERROR( VfM_Metrics_2023_Consol[[#This Row],[SHL operating surplus / (deficit)]] / VfM_Metrics_2023_Consol[[#This Row],[Turnover from social housing lettings]], "n/a" )</f>
        <v>0.15405046480743692</v>
      </c>
      <c r="BS199" s="5" vm="7411">
        <f xml:space="preserve"> VfM_Metrics_2023_Consol[[#This Row],[Operating surplus/(deficit) (social housing lettings)]]</f>
        <v>2436</v>
      </c>
      <c r="BT199" s="84" vm="7411">
        <v>2436</v>
      </c>
      <c r="BU199" s="5" vm="7203">
        <f xml:space="preserve"> VfM_Metrics_2023_Consol[[#This Row],[Turnover from social housing lettings]]</f>
        <v>15813</v>
      </c>
      <c r="BV199" s="84" vm="7203">
        <v>15813</v>
      </c>
      <c r="BW199" s="7">
        <f xml:space="preserve"> IFERROR( VfM_Metrics_2023_Consol[[#This Row],[Net operating surplus]] / VfM_Metrics_2023_Consol[[#This Row],[Overall turnover]], "n/a" )</f>
        <v>0.11400785048919093</v>
      </c>
      <c r="BX199" s="5">
        <f xml:space="preserve"> SUM( VfM_Metrics_2023_Consol[[#This Row],[Operating surplus/(deficit) (overall)2]], - VfM_Metrics_2023_Consol[[#This Row],[Gain/(loss) on disposal of fixed assets (housing properties)2]], - VfM_Metrics_2023_Consol[[#This Row],[Gain/(loss) on disposal of fixed assets (other)2]] )</f>
        <v>1946</v>
      </c>
      <c r="BY199" s="84" vm="3592">
        <v>2564</v>
      </c>
      <c r="BZ199" s="83" vm="3593">
        <v>618</v>
      </c>
      <c r="CA199" s="83">
        <v>0</v>
      </c>
      <c r="CB199" s="5" vm="3605">
        <f xml:space="preserve"> VfM_Metrics_2023_Consol[[#This Row],[Turnover (overall)]]</f>
        <v>17069</v>
      </c>
      <c r="CC199" s="84" vm="3605">
        <v>17069</v>
      </c>
      <c r="CD199" s="7">
        <f xml:space="preserve"> IFERROR( VfM_Metrics_2023_Consol[[#This Row],[Operating surplus including from JVs]] / VfM_Metrics_2023_Consol[[#This Row],[Net assets]], "n/a" )</f>
        <v>3.8410834132310639E-2</v>
      </c>
      <c r="CE199" s="5">
        <f xml:space="preserve"> SUM( VfM_Metrics_2023_Consol[[#This Row],[Operating surplus/(deficit) (overall)3]], VfM_Metrics_2023_Consol[[#This Row],[Share of operating surplus/(deficit) in joint ventures or associates]] )</f>
        <v>2564</v>
      </c>
      <c r="CF199" s="84" vm="7447">
        <v>2564</v>
      </c>
      <c r="CG199" s="83">
        <v>0</v>
      </c>
      <c r="CH199" s="5" vm="3606">
        <f xml:space="preserve"> VfM_Metrics_2023_Consol[[#This Row],[Total assets less current liabilities]]</f>
        <v>66752</v>
      </c>
      <c r="CI199" s="84" vm="3606">
        <v>66752</v>
      </c>
      <c r="CJ199" s="71" vm="3582">
        <f xml:space="preserve"> VfM_Metrics_2023_Consol[[#This Row],[Total social housing units owned (Period end)]]</f>
        <v>2615</v>
      </c>
      <c r="CK199" s="103">
        <v>0</v>
      </c>
      <c r="CL199" s="6">
        <f xml:space="preserve"> -- ( VfM_Metrics_2023_Consol[[#This Row],[% Supported housing (excl. HOP)]] &gt; 0.3 )</f>
        <v>0</v>
      </c>
      <c r="CM199" s="103">
        <v>3.2887189292543022E-2</v>
      </c>
      <c r="CN199" s="6">
        <f xml:space="preserve"> -- ( VfM_Metrics_2023_Consol[[#This Row],[% Housing for older people]] &gt; 0.3 )</f>
        <v>0</v>
      </c>
      <c r="CO199" s="103">
        <f xml:space="preserve"> VfM_Metrics_2023_Consol[[#This Row],[% Supported housing (excl. HOP)]] + VfM_Metrics_2023_Consol[[#This Row],[% Housing for older people]]</f>
        <v>3.2887189292543022E-2</v>
      </c>
      <c r="CP199" s="6">
        <f xml:space="preserve"> -- ( VfM_Metrics_2023_Consol[[#This Row],[SH specialist in RSH analysis]] + VfM_Metrics_2023_Consol[[#This Row],[OP specialist in RSH analysis]] &gt; 0 )</f>
        <v>0</v>
      </c>
      <c r="CQ199" s="10">
        <f xml:space="preserve"> -- ( VfM_Metrics_2023_Consol[[#This Row],[% SH and OP]] &gt; 0.3 )</f>
        <v>0</v>
      </c>
      <c r="CR199" s="104" t="s">
        <v>143</v>
      </c>
      <c r="CS199" s="124"/>
      <c r="CT199" s="105" t="s">
        <v>151</v>
      </c>
      <c r="CU199"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West Midlands</v>
      </c>
      <c r="CV199" s="85">
        <v>0.35296367112810706</v>
      </c>
      <c r="CW199" s="85">
        <v>0</v>
      </c>
      <c r="CX199" s="85">
        <v>0</v>
      </c>
      <c r="CY199" s="85">
        <v>0</v>
      </c>
      <c r="CZ199" s="85">
        <v>0.64703632887189289</v>
      </c>
      <c r="DA199" s="85">
        <v>0</v>
      </c>
      <c r="DB199" s="85">
        <v>0</v>
      </c>
      <c r="DC199" s="85">
        <v>0</v>
      </c>
      <c r="DD199" s="85">
        <v>0</v>
      </c>
      <c r="DE199" s="13">
        <v>1.0336934590933662</v>
      </c>
    </row>
    <row r="200" spans="1:109" x14ac:dyDescent="0.25">
      <c r="A200" s="4" t="s" vm="372">
        <v>524</v>
      </c>
      <c r="B200" s="2" t="s" vm="190">
        <v>525</v>
      </c>
      <c r="C200" s="72" vm="550">
        <v>45016</v>
      </c>
      <c r="D200" s="7">
        <f>IFERROR( VfM_Metrics_2023_Consol[[#This Row],[Reinvestment Spend]] / VfM_Metrics_2023_Consol[[#This Row],[Net Book Value of Housing Properties]], "n/a" )</f>
        <v>8.426766142045812E-2</v>
      </c>
      <c r="E200"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12063</v>
      </c>
      <c r="F200" s="83" vm="5878">
        <v>3525</v>
      </c>
      <c r="G200" s="83" vm="7007">
        <v>5081</v>
      </c>
      <c r="H200" s="83" vm="5879">
        <v>3160</v>
      </c>
      <c r="I200" s="83" vm="5880">
        <v>297</v>
      </c>
      <c r="J200" s="83" vm="5881">
        <v>0</v>
      </c>
      <c r="K200" s="5">
        <f xml:space="preserve"> SUM( VfM_Metrics_2023_Consol[[#This Row],[Tangible fixed assets: Housing properties at cost (Current period)]],VfM_Metrics_2023_Consol[[#This Row],[Tangible fixed assets Housing properties at valuation (Current period)]] )</f>
        <v>143151</v>
      </c>
      <c r="L200" s="84" vm="6940">
        <v>143151</v>
      </c>
      <c r="M200" s="83" vm="5883">
        <v>0</v>
      </c>
      <c r="N200" s="7">
        <f xml:space="preserve"> IFERROR( VfM_Metrics_2023_Consol[[#This Row],[Total social units developed or newly built units acquired in-year]] / VfM_Metrics_2023_Consol[[#This Row],[Social housing units owned (period end)]], "n/a" )</f>
        <v>2.5925925925925925E-2</v>
      </c>
      <c r="O200" s="5">
        <f xml:space="preserve"> SUM( VfM_Metrics_2023_Consol[[#This Row],[Total social units developed or newly built units acquired in-year (owned)]], VfM_Metrics_2023_Consol[[#This Row],[Total social leasehold units developed or newly built units acquired in-year (owned)]] )</f>
        <v>168</v>
      </c>
      <c r="P200" s="84" vm="5884">
        <v>168</v>
      </c>
      <c r="Q200" s="83" vm="7143">
        <v>0</v>
      </c>
      <c r="R200" s="5">
        <f xml:space="preserve"> SUM( VfM_Metrics_2023_Consol[[#This Row],[Total social housing units owned (Period end)]], VfM_Metrics_2023_Consol[[#This Row],[Total social leasehold units owned (Period end)]] )</f>
        <v>6480</v>
      </c>
      <c r="S200" s="84" vm="5876">
        <v>6345</v>
      </c>
      <c r="T200" s="83" vm="5885">
        <v>135</v>
      </c>
      <c r="U200" s="86">
        <f xml:space="preserve"> IFERROR( VfM_Metrics_2023_Consol[[#This Row],[Total non-social housing units developed or newly built units acquired (owned)]] / VfM_Metrics_2023_Consol[[#This Row],[Total social and non-social housing units owned (Period end)]], "n/a" )</f>
        <v>0</v>
      </c>
      <c r="V200"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00" s="83" vm="5886">
        <v>0</v>
      </c>
      <c r="X200" s="83" vm="5887">
        <v>0</v>
      </c>
      <c r="Y200" s="83" vm="6904">
        <v>0</v>
      </c>
      <c r="Z200"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6480</v>
      </c>
      <c r="AA200" s="84" vm="7028">
        <v>6345</v>
      </c>
      <c r="AB200" s="83" vm="5885">
        <v>135</v>
      </c>
      <c r="AC200" s="83" vm="5888">
        <v>0</v>
      </c>
      <c r="AD200" s="83" vm="5889">
        <v>0</v>
      </c>
      <c r="AE200" s="7">
        <f xml:space="preserve"> IFERROR( VfM_Metrics_2023_Consol[[#This Row],[Total Net Debt]] / VfM_Metrics_2023_Consol[[#This Row],[Net Book Value of Housing Properties2]], "n/a" )</f>
        <v>0.5200662237776893</v>
      </c>
      <c r="AF200"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74448</v>
      </c>
      <c r="AG200" s="84" vm="5890">
        <v>413</v>
      </c>
      <c r="AH200" s="83" vm="5891">
        <v>76705</v>
      </c>
      <c r="AI200" s="83" vm="5892">
        <v>2720</v>
      </c>
      <c r="AJ200" s="83" vm="5893">
        <v>0</v>
      </c>
      <c r="AK200" s="83" vm="6902">
        <v>50</v>
      </c>
      <c r="AL200" s="5">
        <f xml:space="preserve"> SUM( VfM_Metrics_2023_Consol[[#This Row],[Tangible fixed assets: Housing properties at cost (Current period)2]], VfM_Metrics_2023_Consol[[#This Row],[Tangible fixed assets Housing properties at valuation (Current period)2]] )</f>
        <v>143151</v>
      </c>
      <c r="AM200" s="84" vm="5882">
        <v>143151</v>
      </c>
      <c r="AN200" s="83" vm="5883">
        <v>0</v>
      </c>
      <c r="AO200" s="87">
        <f xml:space="preserve"> IFERROR( VfM_Metrics_2023_Consol[[#This Row],[EBITDA MRI]] / VfM_Metrics_2023_Consol[[#This Row],[Total interest]], "n/a" )</f>
        <v>1.8536656041727035</v>
      </c>
      <c r="AP200"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6397</v>
      </c>
      <c r="AQ200" s="84" vm="6133">
        <v>6931</v>
      </c>
      <c r="AR200" s="84" vm="5895">
        <v>1114</v>
      </c>
      <c r="AS200" s="84" vm="5896">
        <v>22</v>
      </c>
      <c r="AT200" s="84" vm="5897">
        <v>171</v>
      </c>
      <c r="AU200" s="84" vm="5898">
        <v>0</v>
      </c>
      <c r="AV200" s="84" vm="5899">
        <v>40</v>
      </c>
      <c r="AW200" s="84" vm="5900">
        <v>3457</v>
      </c>
      <c r="AX200" s="84" vm="5901">
        <v>4190</v>
      </c>
      <c r="AY200" s="3">
        <f xml:space="preserve"> - SUM( VfM_Metrics_2023_Consol[[#This Row],[Interest capitalised]], VfM_Metrics_2023_Consol[[#This Row],[Interest payable and financing costs]] )</f>
        <v>3451</v>
      </c>
      <c r="AZ200" s="84" vm="7209">
        <v>-297</v>
      </c>
      <c r="BA200" s="83" vm="5902">
        <v>-3154</v>
      </c>
      <c r="BB200" s="8">
        <f xml:space="preserve"> IFERROR( ( VfM_Metrics_2023_Consol[[#This Row],[Total Costs]] / VfM_Metrics_2023_Consol[[#This Row],[Total units for costs]] ) * 1000, "n/a" )</f>
        <v>4498.9755713159966</v>
      </c>
      <c r="BC200"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28546</v>
      </c>
      <c r="BD200" s="84" vm="5903">
        <v>5835</v>
      </c>
      <c r="BE200" s="83" vm="5904">
        <v>1140</v>
      </c>
      <c r="BF200" s="83" vm="5905">
        <v>7479</v>
      </c>
      <c r="BG200" s="83" vm="5906">
        <v>1749</v>
      </c>
      <c r="BH200" s="83" vm="5907">
        <v>6446</v>
      </c>
      <c r="BI200" s="83" vm="5908">
        <v>0</v>
      </c>
      <c r="BJ200" s="83" vm="6938">
        <v>3457</v>
      </c>
      <c r="BK200" s="83" vm="7302">
        <v>0</v>
      </c>
      <c r="BL200" s="83" vm="5909">
        <v>0</v>
      </c>
      <c r="BM200" s="83" vm="7240">
        <v>802</v>
      </c>
      <c r="BN200" s="83" vm="5910">
        <v>0</v>
      </c>
      <c r="BO200" s="83" vm="5911">
        <v>1638</v>
      </c>
      <c r="BP200" s="5" vm="5877">
        <f xml:space="preserve"> VfM_Metrics_2023_Consol[[#This Row],[Total social housing units owned and/or managed at period end]]</f>
        <v>6345</v>
      </c>
      <c r="BQ200" s="84" vm="5877">
        <v>6345</v>
      </c>
      <c r="BR200" s="7">
        <f xml:space="preserve"> IFERROR( VfM_Metrics_2023_Consol[[#This Row],[SHL operating surplus / (deficit)]] / VfM_Metrics_2023_Consol[[#This Row],[Turnover from social housing lettings]], "n/a" )</f>
        <v>0.18333129733691669</v>
      </c>
      <c r="BS200" s="5" vm="5912">
        <f xml:space="preserve"> VfM_Metrics_2023_Consol[[#This Row],[Operating surplus/(deficit) (social housing lettings)]]</f>
        <v>6003</v>
      </c>
      <c r="BT200" s="84" vm="5912">
        <v>6003</v>
      </c>
      <c r="BU200" s="5" vm="7287">
        <f xml:space="preserve"> VfM_Metrics_2023_Consol[[#This Row],[Turnover from social housing lettings]]</f>
        <v>32744</v>
      </c>
      <c r="BV200" s="84" vm="7287">
        <v>32744</v>
      </c>
      <c r="BW200" s="7">
        <f xml:space="preserve"> IFERROR( VfM_Metrics_2023_Consol[[#This Row],[Net operating surplus]] / VfM_Metrics_2023_Consol[[#This Row],[Overall turnover]], "n/a" )</f>
        <v>0.15606905281301339</v>
      </c>
      <c r="BX200" s="5">
        <f xml:space="preserve"> SUM( VfM_Metrics_2023_Consol[[#This Row],[Operating surplus/(deficit) (overall)2]], - VfM_Metrics_2023_Consol[[#This Row],[Gain/(loss) on disposal of fixed assets (housing properties)2]], - VfM_Metrics_2023_Consol[[#This Row],[Gain/(loss) on disposal of fixed assets (other)2]] )</f>
        <v>5795</v>
      </c>
      <c r="BY200" s="84" vm="5894">
        <v>6931</v>
      </c>
      <c r="BZ200" s="83" vm="5895">
        <v>1114</v>
      </c>
      <c r="CA200" s="83" vm="5896">
        <v>22</v>
      </c>
      <c r="CB200" s="5" vm="5913">
        <f xml:space="preserve"> VfM_Metrics_2023_Consol[[#This Row],[Turnover (overall)]]</f>
        <v>37131</v>
      </c>
      <c r="CC200" s="84" vm="5913">
        <v>37131</v>
      </c>
      <c r="CD200" s="7">
        <f xml:space="preserve"> IFERROR( VfM_Metrics_2023_Consol[[#This Row],[Operating surplus including from JVs]] / VfM_Metrics_2023_Consol[[#This Row],[Net assets]], "n/a" )</f>
        <v>4.6956403915856509E-2</v>
      </c>
      <c r="CE200" s="5">
        <f xml:space="preserve"> SUM( VfM_Metrics_2023_Consol[[#This Row],[Operating surplus/(deficit) (overall)3]], VfM_Metrics_2023_Consol[[#This Row],[Share of operating surplus/(deficit) in joint ventures or associates]] )</f>
        <v>6931</v>
      </c>
      <c r="CF200" s="84" vm="5894">
        <v>6931</v>
      </c>
      <c r="CG200" s="83" vm="5915">
        <v>0</v>
      </c>
      <c r="CH200" s="5" vm="5914">
        <f xml:space="preserve"> VfM_Metrics_2023_Consol[[#This Row],[Total assets less current liabilities]]</f>
        <v>147605</v>
      </c>
      <c r="CI200" s="84" vm="5914">
        <v>147605</v>
      </c>
      <c r="CJ200" s="71" vm="5876">
        <f xml:space="preserve"> VfM_Metrics_2023_Consol[[#This Row],[Total social housing units owned (Period end)]]</f>
        <v>6345</v>
      </c>
      <c r="CK200" s="103">
        <v>1.420678768745067E-3</v>
      </c>
      <c r="CL200" s="6">
        <f xml:space="preserve"> -- ( VfM_Metrics_2023_Consol[[#This Row],[% Supported housing (excl. HOP)]] &gt; 0.3 )</f>
        <v>0</v>
      </c>
      <c r="CM200" s="103">
        <v>1.7205998421468034E-2</v>
      </c>
      <c r="CN200" s="6">
        <f xml:space="preserve"> -- ( VfM_Metrics_2023_Consol[[#This Row],[% Housing for older people]] &gt; 0.3 )</f>
        <v>0</v>
      </c>
      <c r="CO200" s="103">
        <f xml:space="preserve"> VfM_Metrics_2023_Consol[[#This Row],[% Supported housing (excl. HOP)]] + VfM_Metrics_2023_Consol[[#This Row],[% Housing for older people]]</f>
        <v>1.86266771902131E-2</v>
      </c>
      <c r="CP200" s="6">
        <f xml:space="preserve"> -- ( VfM_Metrics_2023_Consol[[#This Row],[SH specialist in RSH analysis]] + VfM_Metrics_2023_Consol[[#This Row],[OP specialist in RSH analysis]] &gt; 0 )</f>
        <v>0</v>
      </c>
      <c r="CQ200" s="10">
        <f xml:space="preserve"> -- ( VfM_Metrics_2023_Consol[[#This Row],[% SH and OP]] &gt; 0.3 )</f>
        <v>0</v>
      </c>
      <c r="CR200" s="104" t="s">
        <v>143</v>
      </c>
      <c r="CS200" s="124"/>
      <c r="CT200" s="105" t="s">
        <v>151</v>
      </c>
      <c r="CU200"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200" s="85">
        <v>0</v>
      </c>
      <c r="CW200" s="85">
        <v>0</v>
      </c>
      <c r="CX200" s="85">
        <v>0</v>
      </c>
      <c r="CY200" s="85">
        <v>0</v>
      </c>
      <c r="CZ200" s="85">
        <v>0</v>
      </c>
      <c r="DA200" s="85">
        <v>0</v>
      </c>
      <c r="DB200" s="85">
        <v>0</v>
      </c>
      <c r="DC200" s="85">
        <v>1</v>
      </c>
      <c r="DD200" s="85">
        <v>0</v>
      </c>
      <c r="DE200" s="13">
        <v>0.96105917141044694</v>
      </c>
    </row>
    <row r="201" spans="1:109" x14ac:dyDescent="0.25">
      <c r="A201" s="4" t="s" vm="352">
        <v>526</v>
      </c>
      <c r="B201" s="2" t="s" vm="191">
        <v>527</v>
      </c>
      <c r="C201" s="72" vm="559">
        <v>44926</v>
      </c>
      <c r="D201" s="7">
        <f>IFERROR( VfM_Metrics_2023_Consol[[#This Row],[Reinvestment Spend]] / VfM_Metrics_2023_Consol[[#This Row],[Net Book Value of Housing Properties]], "n/a" )</f>
        <v>5.971372424505067E-2</v>
      </c>
      <c r="E201"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41751</v>
      </c>
      <c r="F201" s="83" vm="5164">
        <v>31607</v>
      </c>
      <c r="G201" s="83" vm="5165">
        <v>0</v>
      </c>
      <c r="H201" s="83" vm="5166">
        <v>9113</v>
      </c>
      <c r="I201" s="83" vm="5167">
        <v>1031</v>
      </c>
      <c r="J201" s="83" vm="7150">
        <v>0</v>
      </c>
      <c r="K201" s="5">
        <f xml:space="preserve"> SUM( VfM_Metrics_2023_Consol[[#This Row],[Tangible fixed assets: Housing properties at cost (Current period)]],VfM_Metrics_2023_Consol[[#This Row],[Tangible fixed assets Housing properties at valuation (Current period)]] )</f>
        <v>699186</v>
      </c>
      <c r="L201" s="84" vm="5168">
        <v>699186</v>
      </c>
      <c r="M201" s="83">
        <v>0</v>
      </c>
      <c r="N201" s="7">
        <f xml:space="preserve"> IFERROR( VfM_Metrics_2023_Consol[[#This Row],[Total social units developed or newly built units acquired in-year]] / VfM_Metrics_2023_Consol[[#This Row],[Social housing units owned (period end)]], "n/a" )</f>
        <v>1.8048780487804877E-2</v>
      </c>
      <c r="O201" s="5">
        <f xml:space="preserve"> SUM( VfM_Metrics_2023_Consol[[#This Row],[Total social units developed or newly built units acquired in-year (owned)]], VfM_Metrics_2023_Consol[[#This Row],[Total social leasehold units developed or newly built units acquired in-year (owned)]] )</f>
        <v>148</v>
      </c>
      <c r="P201" s="84" vm="7318">
        <v>148</v>
      </c>
      <c r="Q201" s="83">
        <v>0</v>
      </c>
      <c r="R201" s="5">
        <f xml:space="preserve"> SUM( VfM_Metrics_2023_Consol[[#This Row],[Total social housing units owned (Period end)]], VfM_Metrics_2023_Consol[[#This Row],[Total social leasehold units owned (Period end)]] )</f>
        <v>8200</v>
      </c>
      <c r="S201" s="84" vm="5162">
        <v>7954</v>
      </c>
      <c r="T201" s="83" vm="5169">
        <v>246</v>
      </c>
      <c r="U201" s="86">
        <f xml:space="preserve"> IFERROR( VfM_Metrics_2023_Consol[[#This Row],[Total non-social housing units developed or newly built units acquired (owned)]] / VfM_Metrics_2023_Consol[[#This Row],[Total social and non-social housing units owned (Period end)]], "n/a" )</f>
        <v>0</v>
      </c>
      <c r="V201"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01" s="83">
        <v>0</v>
      </c>
      <c r="X201" s="83">
        <v>0</v>
      </c>
      <c r="Y201" s="83" vm="5171">
        <v>0</v>
      </c>
      <c r="Z201"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8201</v>
      </c>
      <c r="AA201" s="84" vm="5162">
        <v>7954</v>
      </c>
      <c r="AB201" s="83" vm="5169">
        <v>246</v>
      </c>
      <c r="AC201" s="83" vm="5172">
        <v>0</v>
      </c>
      <c r="AD201" s="83" vm="5173">
        <v>1</v>
      </c>
      <c r="AE201" s="7">
        <f xml:space="preserve"> IFERROR( VfM_Metrics_2023_Consol[[#This Row],[Total Net Debt]] / VfM_Metrics_2023_Consol[[#This Row],[Net Book Value of Housing Properties2]], "n/a" )</f>
        <v>0.4094675808726147</v>
      </c>
      <c r="AF201"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286294</v>
      </c>
      <c r="AG201" s="84" vm="5174">
        <v>4179</v>
      </c>
      <c r="AH201" s="83" vm="5175">
        <v>267074</v>
      </c>
      <c r="AI201" s="83" vm="5176">
        <v>6321</v>
      </c>
      <c r="AJ201" s="83" vm="1675">
        <v>0</v>
      </c>
      <c r="AK201" s="83" vm="5177">
        <v>21362</v>
      </c>
      <c r="AL201" s="5">
        <f xml:space="preserve"> SUM( VfM_Metrics_2023_Consol[[#This Row],[Tangible fixed assets: Housing properties at cost (Current period)2]], VfM_Metrics_2023_Consol[[#This Row],[Tangible fixed assets Housing properties at valuation (Current period)2]] )</f>
        <v>699186</v>
      </c>
      <c r="AM201" s="84" vm="7037">
        <v>699186</v>
      </c>
      <c r="AN201" s="83">
        <v>0</v>
      </c>
      <c r="AO201" s="87">
        <f xml:space="preserve"> IFERROR( VfM_Metrics_2023_Consol[[#This Row],[EBITDA MRI]] / VfM_Metrics_2023_Consol[[#This Row],[Total interest]], "n/a" )</f>
        <v>1.2865446716899893</v>
      </c>
      <c r="AP201"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11952</v>
      </c>
      <c r="AQ201" s="84" vm="5178">
        <v>17352</v>
      </c>
      <c r="AR201" s="84" vm="5179">
        <v>2667</v>
      </c>
      <c r="AS201" s="84" vm="5382">
        <v>-9</v>
      </c>
      <c r="AT201" s="84" vm="7039">
        <v>1018</v>
      </c>
      <c r="AU201" s="84" vm="5181">
        <v>0</v>
      </c>
      <c r="AV201" s="84" vm="5182">
        <v>66</v>
      </c>
      <c r="AW201" s="84" vm="5183">
        <v>9113</v>
      </c>
      <c r="AX201" s="84" vm="7262">
        <v>7323</v>
      </c>
      <c r="AY201" s="3">
        <f xml:space="preserve"> - SUM( VfM_Metrics_2023_Consol[[#This Row],[Interest capitalised]], VfM_Metrics_2023_Consol[[#This Row],[Interest payable and financing costs]] )</f>
        <v>9290</v>
      </c>
      <c r="AZ201" s="84" vm="5184">
        <v>-1031</v>
      </c>
      <c r="BA201" s="83" vm="6954">
        <v>-8259</v>
      </c>
      <c r="BB201" s="8">
        <f xml:space="preserve"> IFERROR( ( VfM_Metrics_2023_Consol[[#This Row],[Total Costs]] / VfM_Metrics_2023_Consol[[#This Row],[Total units for costs]] ) * 1000, "n/a" )</f>
        <v>5698.3907467940653</v>
      </c>
      <c r="BC201"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45325</v>
      </c>
      <c r="BD201" s="84" vm="5185">
        <v>5572</v>
      </c>
      <c r="BE201" s="83" vm="5186">
        <v>8226</v>
      </c>
      <c r="BF201" s="83" vm="5187">
        <v>6065</v>
      </c>
      <c r="BG201" s="83" vm="7346">
        <v>13055</v>
      </c>
      <c r="BH201" s="83" vm="5188">
        <v>346</v>
      </c>
      <c r="BI201" s="83" vm="5189">
        <v>0</v>
      </c>
      <c r="BJ201" s="83" vm="7324">
        <v>9113</v>
      </c>
      <c r="BK201" s="83" vm="5190">
        <v>53</v>
      </c>
      <c r="BL201" s="83" vm="5191">
        <v>868</v>
      </c>
      <c r="BM201" s="83" vm="7194">
        <v>1276</v>
      </c>
      <c r="BN201" s="83" vm="5192">
        <v>133</v>
      </c>
      <c r="BO201" s="83" vm="6927">
        <v>618</v>
      </c>
      <c r="BP201" s="5" vm="5163">
        <f xml:space="preserve"> VfM_Metrics_2023_Consol[[#This Row],[Total social housing units owned and/or managed at period end]]</f>
        <v>7954</v>
      </c>
      <c r="BQ201" s="84" vm="5163">
        <v>7954</v>
      </c>
      <c r="BR201" s="7">
        <f xml:space="preserve"> IFERROR( VfM_Metrics_2023_Consol[[#This Row],[SHL operating surplus / (deficit)]] / VfM_Metrics_2023_Consol[[#This Row],[Turnover from social housing lettings]], "n/a" )</f>
        <v>0.25270624060010771</v>
      </c>
      <c r="BS201" s="5" vm="5193">
        <f xml:space="preserve"> VfM_Metrics_2023_Consol[[#This Row],[Operating surplus/(deficit) (social housing lettings)]]</f>
        <v>13610</v>
      </c>
      <c r="BT201" s="84" vm="5193">
        <v>13610</v>
      </c>
      <c r="BU201" s="5" vm="5194">
        <f xml:space="preserve"> VfM_Metrics_2023_Consol[[#This Row],[Turnover from social housing lettings]]</f>
        <v>53857</v>
      </c>
      <c r="BV201" s="84" vm="5194">
        <v>53857</v>
      </c>
      <c r="BW201" s="7">
        <f xml:space="preserve"> IFERROR( VfM_Metrics_2023_Consol[[#This Row],[Net operating surplus]] / VfM_Metrics_2023_Consol[[#This Row],[Overall turnover]], "n/a" )</f>
        <v>0.22772568771793877</v>
      </c>
      <c r="BX201" s="5">
        <f xml:space="preserve"> SUM( VfM_Metrics_2023_Consol[[#This Row],[Operating surplus/(deficit) (overall)2]], - VfM_Metrics_2023_Consol[[#This Row],[Gain/(loss) on disposal of fixed assets (housing properties)2]], - VfM_Metrics_2023_Consol[[#This Row],[Gain/(loss) on disposal of fixed assets (other)2]] )</f>
        <v>14694</v>
      </c>
      <c r="BY201" s="84" vm="5178">
        <v>17352</v>
      </c>
      <c r="BZ201" s="83" vm="5179">
        <v>2667</v>
      </c>
      <c r="CA201" s="83" vm="5180">
        <v>-9</v>
      </c>
      <c r="CB201" s="5" vm="5195">
        <f xml:space="preserve"> VfM_Metrics_2023_Consol[[#This Row],[Turnover (overall)]]</f>
        <v>64525</v>
      </c>
      <c r="CC201" s="84" vm="5195">
        <v>64525</v>
      </c>
      <c r="CD201" s="7">
        <f xml:space="preserve"> IFERROR( VfM_Metrics_2023_Consol[[#This Row],[Operating surplus including from JVs]] / VfM_Metrics_2023_Consol[[#This Row],[Net assets]], "n/a" )</f>
        <v>2.4173561490591508E-2</v>
      </c>
      <c r="CE201" s="5">
        <f xml:space="preserve"> SUM( VfM_Metrics_2023_Consol[[#This Row],[Operating surplus/(deficit) (overall)3]], VfM_Metrics_2023_Consol[[#This Row],[Share of operating surplus/(deficit) in joint ventures or associates]] )</f>
        <v>17352</v>
      </c>
      <c r="CF201" s="84" vm="5178">
        <v>17352</v>
      </c>
      <c r="CG201" s="83">
        <v>0</v>
      </c>
      <c r="CH201" s="5" vm="7321">
        <f xml:space="preserve"> VfM_Metrics_2023_Consol[[#This Row],[Total assets less current liabilities]]</f>
        <v>717809</v>
      </c>
      <c r="CI201" s="84" vm="7321">
        <v>717809</v>
      </c>
      <c r="CJ201" s="71" vm="5162">
        <f xml:space="preserve"> VfM_Metrics_2023_Consol[[#This Row],[Total social housing units owned (Period end)]]</f>
        <v>7954</v>
      </c>
      <c r="CK201" s="103">
        <v>8.916237598894889E-3</v>
      </c>
      <c r="CL201" s="6">
        <f xml:space="preserve"> -- ( VfM_Metrics_2023_Consol[[#This Row],[% Supported housing (excl. HOP)]] &gt; 0.3 )</f>
        <v>0</v>
      </c>
      <c r="CM201" s="103">
        <v>8.5143790028883587E-2</v>
      </c>
      <c r="CN201" s="6">
        <f xml:space="preserve"> -- ( VfM_Metrics_2023_Consol[[#This Row],[% Housing for older people]] &gt; 0.3 )</f>
        <v>0</v>
      </c>
      <c r="CO201" s="103">
        <f xml:space="preserve"> VfM_Metrics_2023_Consol[[#This Row],[% Supported housing (excl. HOP)]] + VfM_Metrics_2023_Consol[[#This Row],[% Housing for older people]]</f>
        <v>9.4060027627778472E-2</v>
      </c>
      <c r="CP201" s="6">
        <f xml:space="preserve"> -- ( VfM_Metrics_2023_Consol[[#This Row],[SH specialist in RSH analysis]] + VfM_Metrics_2023_Consol[[#This Row],[OP specialist in RSH analysis]] &gt; 0 )</f>
        <v>0</v>
      </c>
      <c r="CQ201" s="10">
        <f xml:space="preserve"> -- ( VfM_Metrics_2023_Consol[[#This Row],[% SH and OP]] &gt; 0.3 )</f>
        <v>0</v>
      </c>
      <c r="CR201" s="104" t="s">
        <v>143</v>
      </c>
      <c r="CS201" s="124"/>
      <c r="CT201" s="105" t="s">
        <v>151</v>
      </c>
      <c r="CU201"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201" s="85">
        <v>0</v>
      </c>
      <c r="CW201" s="85">
        <v>1</v>
      </c>
      <c r="CX201" s="85">
        <v>0</v>
      </c>
      <c r="CY201" s="85">
        <v>0</v>
      </c>
      <c r="CZ201" s="85">
        <v>0</v>
      </c>
      <c r="DA201" s="85">
        <v>0</v>
      </c>
      <c r="DB201" s="85">
        <v>0</v>
      </c>
      <c r="DC201" s="85">
        <v>0</v>
      </c>
      <c r="DD201" s="85">
        <v>0</v>
      </c>
      <c r="DE201" s="13">
        <v>1.0337125580623883</v>
      </c>
    </row>
    <row r="202" spans="1:109" x14ac:dyDescent="0.25">
      <c r="A202" s="4" t="s" vm="379">
        <v>528</v>
      </c>
      <c r="B202" s="2" t="s" vm="192">
        <v>529</v>
      </c>
      <c r="C202" s="72" vm="566">
        <v>45016</v>
      </c>
      <c r="D202" s="7">
        <f>IFERROR( VfM_Metrics_2023_Consol[[#This Row],[Reinvestment Spend]] / VfM_Metrics_2023_Consol[[#This Row],[Net Book Value of Housing Properties]], "n/a" )</f>
        <v>3.3719080445428741E-2</v>
      </c>
      <c r="E202"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12972</v>
      </c>
      <c r="F202" s="83" vm="6157">
        <v>4674</v>
      </c>
      <c r="G202" s="83" vm="6158">
        <v>0</v>
      </c>
      <c r="H202" s="83" vm="6159">
        <v>7590</v>
      </c>
      <c r="I202" s="83" vm="6160">
        <v>708</v>
      </c>
      <c r="J202" s="83" vm="6299">
        <v>0</v>
      </c>
      <c r="K202" s="5">
        <f xml:space="preserve"> SUM( VfM_Metrics_2023_Consol[[#This Row],[Tangible fixed assets: Housing properties at cost (Current period)]],VfM_Metrics_2023_Consol[[#This Row],[Tangible fixed assets Housing properties at valuation (Current period)]] )</f>
        <v>384708</v>
      </c>
      <c r="L202" s="84" vm="6161">
        <v>384708</v>
      </c>
      <c r="M202" s="83">
        <v>0</v>
      </c>
      <c r="N202" s="7">
        <f xml:space="preserve"> IFERROR( VfM_Metrics_2023_Consol[[#This Row],[Total social units developed or newly built units acquired in-year]] / VfM_Metrics_2023_Consol[[#This Row],[Social housing units owned (period end)]], "n/a" )</f>
        <v>8.9890568004168843E-3</v>
      </c>
      <c r="O202" s="5">
        <f xml:space="preserve"> SUM( VfM_Metrics_2023_Consol[[#This Row],[Total social units developed or newly built units acquired in-year (owned)]], VfM_Metrics_2023_Consol[[#This Row],[Total social leasehold units developed or newly built units acquired in-year (owned)]] )</f>
        <v>69</v>
      </c>
      <c r="P202" s="84" vm="7311">
        <v>69</v>
      </c>
      <c r="Q202" s="83">
        <v>0</v>
      </c>
      <c r="R202" s="5">
        <f xml:space="preserve"> SUM( VfM_Metrics_2023_Consol[[#This Row],[Total social housing units owned (Period end)]], VfM_Metrics_2023_Consol[[#This Row],[Total social leasehold units owned (Period end)]] )</f>
        <v>7676</v>
      </c>
      <c r="S202" s="84" vm="6155">
        <v>7276</v>
      </c>
      <c r="T202" s="83" vm="6162">
        <v>400</v>
      </c>
      <c r="U202" s="86">
        <f xml:space="preserve"> IFERROR( VfM_Metrics_2023_Consol[[#This Row],[Total non-social housing units developed or newly built units acquired (owned)]] / VfM_Metrics_2023_Consol[[#This Row],[Total social and non-social housing units owned (Period end)]], "n/a" )</f>
        <v>0</v>
      </c>
      <c r="V202"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02" s="83">
        <v>0</v>
      </c>
      <c r="X202" s="83">
        <v>0</v>
      </c>
      <c r="Y202" s="83" vm="6235">
        <v>0</v>
      </c>
      <c r="Z202"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7676</v>
      </c>
      <c r="AA202" s="84" vm="6155">
        <v>7276</v>
      </c>
      <c r="AB202" s="83" vm="6162">
        <v>400</v>
      </c>
      <c r="AC202" s="83" vm="6163">
        <v>0</v>
      </c>
      <c r="AD202" s="83" vm="6270">
        <v>0</v>
      </c>
      <c r="AE202" s="7">
        <f xml:space="preserve"> IFERROR( VfM_Metrics_2023_Consol[[#This Row],[Total Net Debt]] / VfM_Metrics_2023_Consol[[#This Row],[Net Book Value of Housing Properties2]], "n/a" )</f>
        <v>0.29619087723676141</v>
      </c>
      <c r="AF202"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113947</v>
      </c>
      <c r="AG202" s="84" vm="6164">
        <v>3343</v>
      </c>
      <c r="AH202" s="83" vm="6165">
        <v>117457</v>
      </c>
      <c r="AI202" s="83" vm="6166">
        <v>6853</v>
      </c>
      <c r="AJ202" s="83" vm="1675">
        <v>0</v>
      </c>
      <c r="AK202" s="83">
        <v>0</v>
      </c>
      <c r="AL202" s="5">
        <f xml:space="preserve"> SUM( VfM_Metrics_2023_Consol[[#This Row],[Tangible fixed assets: Housing properties at cost (Current period)2]], VfM_Metrics_2023_Consol[[#This Row],[Tangible fixed assets Housing properties at valuation (Current period)2]] )</f>
        <v>384708</v>
      </c>
      <c r="AM202" s="84" vm="6161">
        <v>384708</v>
      </c>
      <c r="AN202" s="83">
        <v>0</v>
      </c>
      <c r="AO202" s="87">
        <f xml:space="preserve"> IFERROR( VfM_Metrics_2023_Consol[[#This Row],[EBITDA MRI]] / VfM_Metrics_2023_Consol[[#This Row],[Total interest]], "n/a" )</f>
        <v>1.3862416107382551</v>
      </c>
      <c r="AP202"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8262</v>
      </c>
      <c r="AQ202" s="84" vm="6169">
        <v>11643</v>
      </c>
      <c r="AR202" s="84" vm="6170">
        <v>1550</v>
      </c>
      <c r="AS202" s="84">
        <v>0</v>
      </c>
      <c r="AT202" s="84" vm="6171">
        <v>2038</v>
      </c>
      <c r="AU202" s="84" vm="6172">
        <v>0</v>
      </c>
      <c r="AV202" s="84" vm="6173">
        <v>35</v>
      </c>
      <c r="AW202" s="84" vm="6488">
        <v>7590</v>
      </c>
      <c r="AX202" s="84" vm="6175">
        <v>7762</v>
      </c>
      <c r="AY202" s="3">
        <f xml:space="preserve"> - SUM( VfM_Metrics_2023_Consol[[#This Row],[Interest capitalised]], VfM_Metrics_2023_Consol[[#This Row],[Interest payable and financing costs]] )</f>
        <v>5960</v>
      </c>
      <c r="AZ202" s="84" vm="6176">
        <v>-708</v>
      </c>
      <c r="BA202" s="83" vm="6177">
        <v>-5252</v>
      </c>
      <c r="BB202" s="8">
        <f xml:space="preserve"> IFERROR( ( VfM_Metrics_2023_Consol[[#This Row],[Total Costs]] / VfM_Metrics_2023_Consol[[#This Row],[Total units for costs]] ) * 1000, "n/a" )</f>
        <v>4214.7849462365593</v>
      </c>
      <c r="BC202"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31358</v>
      </c>
      <c r="BD202" s="84" vm="6178">
        <v>6836</v>
      </c>
      <c r="BE202" s="83" vm="6179">
        <v>5009</v>
      </c>
      <c r="BF202" s="83" vm="7142">
        <v>7308</v>
      </c>
      <c r="BG202" s="83" vm="6180">
        <v>1229</v>
      </c>
      <c r="BH202" s="83" vm="6181">
        <v>2331</v>
      </c>
      <c r="BI202" s="83" vm="6182">
        <v>0</v>
      </c>
      <c r="BJ202" s="83" vm="6174">
        <v>7590</v>
      </c>
      <c r="BK202" s="83" vm="6183">
        <v>932</v>
      </c>
      <c r="BL202" s="83">
        <v>0</v>
      </c>
      <c r="BM202" s="83">
        <v>0</v>
      </c>
      <c r="BN202" s="83">
        <v>0</v>
      </c>
      <c r="BO202" s="83" vm="6184">
        <v>123</v>
      </c>
      <c r="BP202" s="5" vm="6156">
        <f xml:space="preserve"> VfM_Metrics_2023_Consol[[#This Row],[Total social housing units owned and/or managed at period end]]</f>
        <v>7440</v>
      </c>
      <c r="BQ202" s="84" vm="6156">
        <v>7440</v>
      </c>
      <c r="BR202" s="7">
        <f xml:space="preserve"> IFERROR( VfM_Metrics_2023_Consol[[#This Row],[SHL operating surplus / (deficit)]] / VfM_Metrics_2023_Consol[[#This Row],[Turnover from social housing lettings]], "n/a" )</f>
        <v>0.22340451980210327</v>
      </c>
      <c r="BS202" s="5" vm="6185">
        <f xml:space="preserve"> VfM_Metrics_2023_Consol[[#This Row],[Operating surplus/(deficit) (social housing lettings)]]</f>
        <v>8986</v>
      </c>
      <c r="BT202" s="84" vm="6185">
        <v>8986</v>
      </c>
      <c r="BU202" s="5" vm="6186">
        <f xml:space="preserve"> VfM_Metrics_2023_Consol[[#This Row],[Turnover from social housing lettings]]</f>
        <v>40223</v>
      </c>
      <c r="BV202" s="84" vm="6186">
        <v>40223</v>
      </c>
      <c r="BW202" s="7">
        <f xml:space="preserve"> IFERROR( VfM_Metrics_2023_Consol[[#This Row],[Net operating surplus]] / VfM_Metrics_2023_Consol[[#This Row],[Overall turnover]], "n/a" )</f>
        <v>0.22957419707033028</v>
      </c>
      <c r="BX202" s="5">
        <f xml:space="preserve"> SUM( VfM_Metrics_2023_Consol[[#This Row],[Operating surplus/(deficit) (overall)2]], - VfM_Metrics_2023_Consol[[#This Row],[Gain/(loss) on disposal of fixed assets (housing properties)2]], - VfM_Metrics_2023_Consol[[#This Row],[Gain/(loss) on disposal of fixed assets (other)2]] )</f>
        <v>10093</v>
      </c>
      <c r="BY202" s="84" vm="6169">
        <v>11643</v>
      </c>
      <c r="BZ202" s="83" vm="6170">
        <v>1550</v>
      </c>
      <c r="CA202" s="83">
        <v>0</v>
      </c>
      <c r="CB202" s="5" vm="6187">
        <f xml:space="preserve"> VfM_Metrics_2023_Consol[[#This Row],[Turnover (overall)]]</f>
        <v>43964</v>
      </c>
      <c r="CC202" s="84" vm="6187">
        <v>43964</v>
      </c>
      <c r="CD202" s="7">
        <f xml:space="preserve"> IFERROR( VfM_Metrics_2023_Consol[[#This Row],[Operating surplus including from JVs]] / VfM_Metrics_2023_Consol[[#This Row],[Net assets]], "n/a" )</f>
        <v>3.0200141105185617E-2</v>
      </c>
      <c r="CE202" s="5">
        <f xml:space="preserve"> SUM( VfM_Metrics_2023_Consol[[#This Row],[Operating surplus/(deficit) (overall)3]], VfM_Metrics_2023_Consol[[#This Row],[Share of operating surplus/(deficit) in joint ventures or associates]] )</f>
        <v>11643</v>
      </c>
      <c r="CF202" s="84" vm="6169">
        <v>11643</v>
      </c>
      <c r="CG202" s="83">
        <v>0</v>
      </c>
      <c r="CH202" s="5" vm="6188">
        <f xml:space="preserve"> VfM_Metrics_2023_Consol[[#This Row],[Total assets less current liabilities]]</f>
        <v>385528</v>
      </c>
      <c r="CI202" s="84" vm="6188">
        <v>385528</v>
      </c>
      <c r="CJ202" s="71" vm="6155">
        <f xml:space="preserve"> VfM_Metrics_2023_Consol[[#This Row],[Total social housing units owned (Period end)]]</f>
        <v>7276</v>
      </c>
      <c r="CK202" s="103">
        <v>4.5829892650701899E-2</v>
      </c>
      <c r="CL202" s="6">
        <f xml:space="preserve"> -- ( VfM_Metrics_2023_Consol[[#This Row],[% Supported housing (excl. HOP)]] &gt; 0.3 )</f>
        <v>0</v>
      </c>
      <c r="CM202" s="103">
        <v>9.0283512248830161E-2</v>
      </c>
      <c r="CN202" s="6">
        <f xml:space="preserve"> -- ( VfM_Metrics_2023_Consol[[#This Row],[% Housing for older people]] &gt; 0.3 )</f>
        <v>0</v>
      </c>
      <c r="CO202" s="103">
        <f xml:space="preserve"> VfM_Metrics_2023_Consol[[#This Row],[% Supported housing (excl. HOP)]] + VfM_Metrics_2023_Consol[[#This Row],[% Housing for older people]]</f>
        <v>0.13611340489953205</v>
      </c>
      <c r="CP202" s="6">
        <f xml:space="preserve"> -- ( VfM_Metrics_2023_Consol[[#This Row],[SH specialist in RSH analysis]] + VfM_Metrics_2023_Consol[[#This Row],[OP specialist in RSH analysis]] &gt; 0 )</f>
        <v>0</v>
      </c>
      <c r="CQ202" s="10">
        <f xml:space="preserve"> -- ( VfM_Metrics_2023_Consol[[#This Row],[% SH and OP]] &gt; 0.3 )</f>
        <v>0</v>
      </c>
      <c r="CR202" s="104" t="s">
        <v>143</v>
      </c>
      <c r="CS202" s="124" t="s">
        <v>144</v>
      </c>
      <c r="CT202" s="105"/>
      <c r="CU202"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202" s="85">
        <v>0</v>
      </c>
      <c r="CW202" s="85">
        <v>0</v>
      </c>
      <c r="CX202" s="85">
        <v>1</v>
      </c>
      <c r="CY202" s="85">
        <v>0</v>
      </c>
      <c r="CZ202" s="85">
        <v>0</v>
      </c>
      <c r="DA202" s="85">
        <v>0</v>
      </c>
      <c r="DB202" s="85">
        <v>0</v>
      </c>
      <c r="DC202" s="85">
        <v>0</v>
      </c>
      <c r="DD202" s="85">
        <v>0</v>
      </c>
      <c r="DE202" s="13">
        <v>0.97511902715076015</v>
      </c>
    </row>
    <row r="203" spans="1:109" x14ac:dyDescent="0.25">
      <c r="A203" s="4" t="s" vm="222">
        <v>530</v>
      </c>
      <c r="B203" s="2" t="s" vm="193">
        <v>531</v>
      </c>
      <c r="C203" s="72" vm="580">
        <v>45016</v>
      </c>
      <c r="D203" s="7">
        <f>IFERROR( VfM_Metrics_2023_Consol[[#This Row],[Reinvestment Spend]] / VfM_Metrics_2023_Consol[[#This Row],[Net Book Value of Housing Properties]], "n/a" )</f>
        <v>2.7291899268080882E-2</v>
      </c>
      <c r="E203"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2420</v>
      </c>
      <c r="F203" s="83" vm="1058">
        <v>1290</v>
      </c>
      <c r="G203" s="83" vm="8682">
        <v>0</v>
      </c>
      <c r="H203" s="83" vm="948">
        <v>1085</v>
      </c>
      <c r="I203" s="83" vm="8711">
        <v>45</v>
      </c>
      <c r="J203" s="83" vm="1059">
        <v>0</v>
      </c>
      <c r="K203" s="5">
        <f xml:space="preserve"> SUM( VfM_Metrics_2023_Consol[[#This Row],[Tangible fixed assets: Housing properties at cost (Current period)]],VfM_Metrics_2023_Consol[[#This Row],[Tangible fixed assets Housing properties at valuation (Current period)]] )</f>
        <v>88671</v>
      </c>
      <c r="L203" s="84" vm="8774">
        <v>88671</v>
      </c>
      <c r="M203" s="83" vm="8531">
        <v>0</v>
      </c>
      <c r="N203" s="7">
        <f xml:space="preserve"> IFERROR( VfM_Metrics_2023_Consol[[#This Row],[Total social units developed or newly built units acquired in-year]] / VfM_Metrics_2023_Consol[[#This Row],[Social housing units owned (period end)]], "n/a" )</f>
        <v>1.33422281521014E-3</v>
      </c>
      <c r="O203" s="5">
        <f xml:space="preserve"> SUM( VfM_Metrics_2023_Consol[[#This Row],[Total social units developed or newly built units acquired in-year (owned)]], VfM_Metrics_2023_Consol[[#This Row],[Total social leasehold units developed or newly built units acquired in-year (owned)]] )</f>
        <v>2</v>
      </c>
      <c r="P203" s="84" vm="1061">
        <v>2</v>
      </c>
      <c r="Q203" s="83" vm="8828">
        <v>0</v>
      </c>
      <c r="R203" s="5">
        <f xml:space="preserve"> SUM( VfM_Metrics_2023_Consol[[#This Row],[Total social housing units owned (Period end)]], VfM_Metrics_2023_Consol[[#This Row],[Total social leasehold units owned (Period end)]] )</f>
        <v>1499</v>
      </c>
      <c r="S203" s="84" vm="8528">
        <v>1494</v>
      </c>
      <c r="T203" s="83" vm="1062">
        <v>5</v>
      </c>
      <c r="U203" s="86">
        <f xml:space="preserve"> IFERROR( VfM_Metrics_2023_Consol[[#This Row],[Total non-social housing units developed or newly built units acquired (owned)]] / VfM_Metrics_2023_Consol[[#This Row],[Total social and non-social housing units owned (Period end)]], "n/a" )</f>
        <v>0</v>
      </c>
      <c r="V203"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03" s="83" vm="1063">
        <v>0</v>
      </c>
      <c r="X203" s="83" vm="1064">
        <v>0</v>
      </c>
      <c r="Y203" s="83" vm="1549">
        <v>0</v>
      </c>
      <c r="Z203"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1499</v>
      </c>
      <c r="AA203" s="84" vm="8583">
        <v>1494</v>
      </c>
      <c r="AB203" s="83" vm="8675">
        <v>5</v>
      </c>
      <c r="AC203" s="83" vm="1065">
        <v>0</v>
      </c>
      <c r="AD203" s="83" vm="1066">
        <v>0</v>
      </c>
      <c r="AE203" s="7">
        <f xml:space="preserve"> IFERROR( VfM_Metrics_2023_Consol[[#This Row],[Total Net Debt]] / VfM_Metrics_2023_Consol[[#This Row],[Net Book Value of Housing Properties2]], "n/a" )</f>
        <v>0.33370549559607987</v>
      </c>
      <c r="AF203"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29590</v>
      </c>
      <c r="AG203" s="84" vm="8671">
        <v>738</v>
      </c>
      <c r="AH203" s="83" vm="1068">
        <v>33019</v>
      </c>
      <c r="AI203" s="83" vm="1069">
        <v>4167</v>
      </c>
      <c r="AJ203" s="83" vm="8789">
        <v>0</v>
      </c>
      <c r="AK203" s="83" vm="8436">
        <v>0</v>
      </c>
      <c r="AL203" s="5">
        <f xml:space="preserve"> SUM( VfM_Metrics_2023_Consol[[#This Row],[Tangible fixed assets: Housing properties at cost (Current period)2]], VfM_Metrics_2023_Consol[[#This Row],[Tangible fixed assets Housing properties at valuation (Current period)2]] )</f>
        <v>88671</v>
      </c>
      <c r="AM203" s="84" vm="8579">
        <v>88671</v>
      </c>
      <c r="AN203" s="83" vm="8670">
        <v>0</v>
      </c>
      <c r="AO203" s="87">
        <f xml:space="preserve"> IFERROR( VfM_Metrics_2023_Consol[[#This Row],[EBITDA MRI]] / VfM_Metrics_2023_Consol[[#This Row],[Total interest]], "n/a" )</f>
        <v>0.63546423135464236</v>
      </c>
      <c r="AP203"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1670</v>
      </c>
      <c r="AQ203" s="84" vm="1032">
        <v>1942</v>
      </c>
      <c r="AR203" s="84" vm="1320">
        <v>449</v>
      </c>
      <c r="AS203" s="84" vm="8574">
        <v>0</v>
      </c>
      <c r="AT203" s="84" vm="1071">
        <v>268</v>
      </c>
      <c r="AU203" s="84" vm="8648">
        <v>0</v>
      </c>
      <c r="AV203" s="84" vm="8555">
        <v>25</v>
      </c>
      <c r="AW203" s="84" vm="1072">
        <v>1085</v>
      </c>
      <c r="AX203" s="84" vm="1073">
        <v>1505</v>
      </c>
      <c r="AY203" s="3">
        <f xml:space="preserve"> - SUM( VfM_Metrics_2023_Consol[[#This Row],[Interest capitalised]], VfM_Metrics_2023_Consol[[#This Row],[Interest payable and financing costs]] )</f>
        <v>2628</v>
      </c>
      <c r="AZ203" s="84" vm="1048">
        <v>-45</v>
      </c>
      <c r="BA203" s="83" vm="7136">
        <v>-2583</v>
      </c>
      <c r="BB203" s="8">
        <f xml:space="preserve"> IFERROR( ( VfM_Metrics_2023_Consol[[#This Row],[Total Costs]] / VfM_Metrics_2023_Consol[[#This Row],[Total units for costs]] ) * 1000, "n/a" )</f>
        <v>4728.2463186077648</v>
      </c>
      <c r="BC203"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7064</v>
      </c>
      <c r="BD203" s="84" vm="8758">
        <v>1596</v>
      </c>
      <c r="BE203" s="83" vm="8397">
        <v>361</v>
      </c>
      <c r="BF203" s="83" vm="1074">
        <v>1344</v>
      </c>
      <c r="BG203" s="83" vm="8667">
        <v>799</v>
      </c>
      <c r="BH203" s="83" vm="1075">
        <v>0</v>
      </c>
      <c r="BI203" s="83" vm="8552">
        <v>1266</v>
      </c>
      <c r="BJ203" s="83" vm="8787">
        <v>1085</v>
      </c>
      <c r="BK203" s="83" vm="1076">
        <v>470</v>
      </c>
      <c r="BL203" s="83" vm="1077">
        <v>0</v>
      </c>
      <c r="BM203" s="83" vm="8805">
        <v>0</v>
      </c>
      <c r="BN203" s="83" vm="1298">
        <v>143</v>
      </c>
      <c r="BO203" s="83" vm="8619">
        <v>0</v>
      </c>
      <c r="BP203" s="5" vm="1057">
        <f xml:space="preserve"> VfM_Metrics_2023_Consol[[#This Row],[Total social housing units owned and/or managed at period end]]</f>
        <v>1494</v>
      </c>
      <c r="BQ203" s="84" vm="1057">
        <v>1494</v>
      </c>
      <c r="BR203" s="7">
        <f xml:space="preserve"> IFERROR( VfM_Metrics_2023_Consol[[#This Row],[SHL operating surplus / (deficit)]] / VfM_Metrics_2023_Consol[[#This Row],[Turnover from social housing lettings]], "n/a" )</f>
        <v>0.18181818181818182</v>
      </c>
      <c r="BS203" s="5" vm="1078">
        <f xml:space="preserve"> VfM_Metrics_2023_Consol[[#This Row],[Operating surplus/(deficit) (social housing lettings)]]</f>
        <v>1592</v>
      </c>
      <c r="BT203" s="84" vm="1078">
        <v>1592</v>
      </c>
      <c r="BU203" s="5" vm="1079">
        <f xml:space="preserve"> VfM_Metrics_2023_Consol[[#This Row],[Turnover from social housing lettings]]</f>
        <v>8756</v>
      </c>
      <c r="BV203" s="84" vm="1079">
        <v>8756</v>
      </c>
      <c r="BW203" s="7">
        <f xml:space="preserve"> IFERROR( VfM_Metrics_2023_Consol[[#This Row],[Net operating surplus]] / VfM_Metrics_2023_Consol[[#This Row],[Overall turnover]], "n/a" )</f>
        <v>0.16830120617743208</v>
      </c>
      <c r="BX203" s="5">
        <f xml:space="preserve"> SUM( VfM_Metrics_2023_Consol[[#This Row],[Operating surplus/(deficit) (overall)2]], - VfM_Metrics_2023_Consol[[#This Row],[Gain/(loss) on disposal of fixed assets (housing properties)2]], - VfM_Metrics_2023_Consol[[#This Row],[Gain/(loss) on disposal of fixed assets (other)2]] )</f>
        <v>1493</v>
      </c>
      <c r="BY203" s="84" vm="8571">
        <v>1942</v>
      </c>
      <c r="BZ203" s="83" vm="1131">
        <v>449</v>
      </c>
      <c r="CA203" s="83" vm="1070">
        <v>0</v>
      </c>
      <c r="CB203" s="5" vm="1080">
        <f xml:space="preserve"> VfM_Metrics_2023_Consol[[#This Row],[Turnover (overall)]]</f>
        <v>8871</v>
      </c>
      <c r="CC203" s="84" vm="1080">
        <v>8871</v>
      </c>
      <c r="CD203" s="7">
        <f xml:space="preserve"> IFERROR( VfM_Metrics_2023_Consol[[#This Row],[Operating surplus including from JVs]] / VfM_Metrics_2023_Consol[[#This Row],[Net assets]], "n/a" )</f>
        <v>2.1070905441328051E-2</v>
      </c>
      <c r="CE203" s="5">
        <f xml:space="preserve"> SUM( VfM_Metrics_2023_Consol[[#This Row],[Operating surplus/(deficit) (overall)3]], VfM_Metrics_2023_Consol[[#This Row],[Share of operating surplus/(deficit) in joint ventures or associates]] )</f>
        <v>1942</v>
      </c>
      <c r="CF203" s="84" vm="8524">
        <v>1942</v>
      </c>
      <c r="CG203" s="83" vm="8389">
        <v>0</v>
      </c>
      <c r="CH203" s="5" vm="1081">
        <f xml:space="preserve"> VfM_Metrics_2023_Consol[[#This Row],[Total assets less current liabilities]]</f>
        <v>92165</v>
      </c>
      <c r="CI203" s="84" vm="1081">
        <v>92165</v>
      </c>
      <c r="CJ203" s="71" vm="8528">
        <f xml:space="preserve"> VfM_Metrics_2023_Consol[[#This Row],[Total social housing units owned (Period end)]]</f>
        <v>1494</v>
      </c>
      <c r="CK203" s="103">
        <v>0</v>
      </c>
      <c r="CL203" s="6">
        <f xml:space="preserve"> -- ( VfM_Metrics_2023_Consol[[#This Row],[% Supported housing (excl. HOP)]] &gt; 0.3 )</f>
        <v>0</v>
      </c>
      <c r="CM203" s="103">
        <v>4.992076069730586E-2</v>
      </c>
      <c r="CN203" s="6">
        <f xml:space="preserve"> -- ( VfM_Metrics_2023_Consol[[#This Row],[% Housing for older people]] &gt; 0.3 )</f>
        <v>0</v>
      </c>
      <c r="CO203" s="103">
        <f xml:space="preserve"> VfM_Metrics_2023_Consol[[#This Row],[% Supported housing (excl. HOP)]] + VfM_Metrics_2023_Consol[[#This Row],[% Housing for older people]]</f>
        <v>4.992076069730586E-2</v>
      </c>
      <c r="CP203" s="6">
        <f xml:space="preserve"> -- ( VfM_Metrics_2023_Consol[[#This Row],[SH specialist in RSH analysis]] + VfM_Metrics_2023_Consol[[#This Row],[OP specialist in RSH analysis]] &gt; 0 )</f>
        <v>0</v>
      </c>
      <c r="CQ203" s="10">
        <f xml:space="preserve"> -- ( VfM_Metrics_2023_Consol[[#This Row],[% SH and OP]] &gt; 0.3 )</f>
        <v>0</v>
      </c>
      <c r="CR203" s="104" t="s">
        <v>143</v>
      </c>
      <c r="CS203" s="124" t="s">
        <v>144</v>
      </c>
      <c r="CT203" s="105"/>
      <c r="CU203"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West</v>
      </c>
      <c r="CV203" s="85">
        <v>0</v>
      </c>
      <c r="CW203" s="85">
        <v>0</v>
      </c>
      <c r="CX203" s="85">
        <v>1</v>
      </c>
      <c r="CY203" s="85">
        <v>0</v>
      </c>
      <c r="CZ203" s="85">
        <v>0</v>
      </c>
      <c r="DA203" s="85">
        <v>0</v>
      </c>
      <c r="DB203" s="85">
        <v>0</v>
      </c>
      <c r="DC203" s="85">
        <v>0</v>
      </c>
      <c r="DD203" s="85">
        <v>0</v>
      </c>
      <c r="DE203" s="13">
        <v>0.97511902715076015</v>
      </c>
    </row>
    <row r="204" spans="1:109" x14ac:dyDescent="0.25">
      <c r="A204" s="4" t="s" vm="332">
        <v>532</v>
      </c>
      <c r="B204" s="2" t="s" vm="194">
        <v>533</v>
      </c>
      <c r="C204" s="72" vm="471">
        <v>45016</v>
      </c>
      <c r="D204" s="7">
        <f>IFERROR( VfM_Metrics_2023_Consol[[#This Row],[Reinvestment Spend]] / VfM_Metrics_2023_Consol[[#This Row],[Net Book Value of Housing Properties]], "n/a" )</f>
        <v>8.4057435397776673E-2</v>
      </c>
      <c r="E204"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20015</v>
      </c>
      <c r="F204" s="83" vm="4452">
        <v>17166</v>
      </c>
      <c r="G204" s="83" vm="4453">
        <v>0</v>
      </c>
      <c r="H204" s="83" vm="4454">
        <v>2651</v>
      </c>
      <c r="I204" s="83" vm="4455">
        <v>198</v>
      </c>
      <c r="J204" s="83" vm="5682">
        <v>0</v>
      </c>
      <c r="K204" s="5">
        <f xml:space="preserve"> SUM( VfM_Metrics_2023_Consol[[#This Row],[Tangible fixed assets: Housing properties at cost (Current period)]],VfM_Metrics_2023_Consol[[#This Row],[Tangible fixed assets Housing properties at valuation (Current period)]] )</f>
        <v>238111</v>
      </c>
      <c r="L204" s="84" vm="7348">
        <v>238111</v>
      </c>
      <c r="M204" s="83">
        <v>0</v>
      </c>
      <c r="N204" s="7">
        <f xml:space="preserve"> IFERROR( VfM_Metrics_2023_Consol[[#This Row],[Total social units developed or newly built units acquired in-year]] / VfM_Metrics_2023_Consol[[#This Row],[Social housing units owned (period end)]], "n/a" )</f>
        <v>1.1398176291793313E-2</v>
      </c>
      <c r="O204" s="5">
        <f xml:space="preserve"> SUM( VfM_Metrics_2023_Consol[[#This Row],[Total social units developed or newly built units acquired in-year (owned)]], VfM_Metrics_2023_Consol[[#This Row],[Total social leasehold units developed or newly built units acquired in-year (owned)]] )</f>
        <v>45</v>
      </c>
      <c r="P204" s="84" vm="4456">
        <v>45</v>
      </c>
      <c r="Q204" s="83">
        <v>0</v>
      </c>
      <c r="R204" s="5">
        <f xml:space="preserve"> SUM( VfM_Metrics_2023_Consol[[#This Row],[Total social housing units owned (Period end)]], VfM_Metrics_2023_Consol[[#This Row],[Total social leasehold units owned (Period end)]] )</f>
        <v>3948</v>
      </c>
      <c r="S204" s="84" vm="4450">
        <v>3690</v>
      </c>
      <c r="T204" s="83" vm="4457">
        <v>258</v>
      </c>
      <c r="U204" s="86">
        <f xml:space="preserve"> IFERROR( VfM_Metrics_2023_Consol[[#This Row],[Total non-social housing units developed or newly built units acquired (owned)]] / VfM_Metrics_2023_Consol[[#This Row],[Total social and non-social housing units owned (Period end)]], "n/a" )</f>
        <v>0</v>
      </c>
      <c r="V204"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04" s="83">
        <v>0</v>
      </c>
      <c r="X204" s="83">
        <v>0</v>
      </c>
      <c r="Y204" s="83">
        <v>0</v>
      </c>
      <c r="Z204"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3948</v>
      </c>
      <c r="AA204" s="84" vm="4450">
        <v>3690</v>
      </c>
      <c r="AB204" s="83" vm="4457">
        <v>258</v>
      </c>
      <c r="AC204" s="83" vm="4458">
        <v>0</v>
      </c>
      <c r="AD204" s="83" vm="4459">
        <v>0</v>
      </c>
      <c r="AE204" s="7">
        <f xml:space="preserve"> IFERROR( VfM_Metrics_2023_Consol[[#This Row],[Total Net Debt]] / VfM_Metrics_2023_Consol[[#This Row],[Net Book Value of Housing Properties2]], "n/a" )</f>
        <v>0.58321959086308484</v>
      </c>
      <c r="AF204"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138871</v>
      </c>
      <c r="AG204" s="84" vm="4460">
        <v>16052</v>
      </c>
      <c r="AH204" s="83" vm="6975">
        <v>124462</v>
      </c>
      <c r="AI204" s="83" vm="4461">
        <v>1643</v>
      </c>
      <c r="AJ204" s="83" vm="1675">
        <v>0</v>
      </c>
      <c r="AK204" s="83">
        <v>0</v>
      </c>
      <c r="AL204" s="5">
        <f xml:space="preserve"> SUM( VfM_Metrics_2023_Consol[[#This Row],[Tangible fixed assets: Housing properties at cost (Current period)2]], VfM_Metrics_2023_Consol[[#This Row],[Tangible fixed assets Housing properties at valuation (Current period)2]] )</f>
        <v>238111</v>
      </c>
      <c r="AM204" s="84" vm="7476">
        <v>238111</v>
      </c>
      <c r="AN204" s="83">
        <v>0</v>
      </c>
      <c r="AO204" s="87">
        <f xml:space="preserve"> IFERROR( VfM_Metrics_2023_Consol[[#This Row],[EBITDA MRI]] / VfM_Metrics_2023_Consol[[#This Row],[Total interest]], "n/a" )</f>
        <v>1.4847876447876447</v>
      </c>
      <c r="AP204"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9614</v>
      </c>
      <c r="AQ204" s="84" vm="7161">
        <v>8837</v>
      </c>
      <c r="AR204" s="84" vm="7520">
        <v>718</v>
      </c>
      <c r="AS204" s="84">
        <v>0</v>
      </c>
      <c r="AT204" s="84" vm="7572">
        <v>462</v>
      </c>
      <c r="AU204" s="84" vm="4463">
        <v>0</v>
      </c>
      <c r="AV204" s="84" vm="7427">
        <v>142</v>
      </c>
      <c r="AW204" s="84" vm="4464">
        <v>2651</v>
      </c>
      <c r="AX204" s="84" vm="4465">
        <v>4466</v>
      </c>
      <c r="AY204" s="3">
        <f xml:space="preserve"> - SUM( VfM_Metrics_2023_Consol[[#This Row],[Interest capitalised]], VfM_Metrics_2023_Consol[[#This Row],[Interest payable and financing costs]] )</f>
        <v>6475</v>
      </c>
      <c r="AZ204" s="84" vm="7160">
        <v>-219</v>
      </c>
      <c r="BA204" s="83" vm="4466">
        <v>-6256</v>
      </c>
      <c r="BB204" s="8">
        <f xml:space="preserve"> IFERROR( ( VfM_Metrics_2023_Consol[[#This Row],[Total Costs]] / VfM_Metrics_2023_Consol[[#This Row],[Total units for costs]] ) * 1000, "n/a" )</f>
        <v>4146.9181721572795</v>
      </c>
      <c r="BC204"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15609</v>
      </c>
      <c r="BD204" s="84" vm="4467">
        <v>5000</v>
      </c>
      <c r="BE204" s="83" vm="4468">
        <v>1333</v>
      </c>
      <c r="BF204" s="83" vm="4469">
        <v>2692</v>
      </c>
      <c r="BG204" s="83" vm="7159">
        <v>1729</v>
      </c>
      <c r="BH204" s="83" vm="6973">
        <v>1235</v>
      </c>
      <c r="BI204" s="83" vm="4470">
        <v>0</v>
      </c>
      <c r="BJ204" s="83" vm="4464">
        <v>2651</v>
      </c>
      <c r="BK204" s="83" vm="4471">
        <v>552</v>
      </c>
      <c r="BL204" s="83" vm="4472">
        <v>339</v>
      </c>
      <c r="BM204" s="83">
        <v>0</v>
      </c>
      <c r="BN204" s="83" vm="4473">
        <v>78</v>
      </c>
      <c r="BO204" s="83">
        <v>0</v>
      </c>
      <c r="BP204" s="5" vm="4451">
        <f xml:space="preserve"> VfM_Metrics_2023_Consol[[#This Row],[Total social housing units owned and/or managed at period end]]</f>
        <v>3764</v>
      </c>
      <c r="BQ204" s="84" vm="4451">
        <v>3764</v>
      </c>
      <c r="BR204" s="7">
        <f xml:space="preserve"> IFERROR( VfM_Metrics_2023_Consol[[#This Row],[SHL operating surplus / (deficit)]] / VfM_Metrics_2023_Consol[[#This Row],[Turnover from social housing lettings]], "n/a" )</f>
        <v>0.30778198775867094</v>
      </c>
      <c r="BS204" s="5" vm="7538">
        <f xml:space="preserve"> VfM_Metrics_2023_Consol[[#This Row],[Operating surplus/(deficit) (social housing lettings)]]</f>
        <v>7392</v>
      </c>
      <c r="BT204" s="84" vm="7538">
        <v>7392</v>
      </c>
      <c r="BU204" s="5" vm="4474">
        <f xml:space="preserve"> VfM_Metrics_2023_Consol[[#This Row],[Turnover from social housing lettings]]</f>
        <v>24017</v>
      </c>
      <c r="BV204" s="84" vm="4474">
        <v>24017</v>
      </c>
      <c r="BW204" s="7">
        <f xml:space="preserve"> IFERROR( VfM_Metrics_2023_Consol[[#This Row],[Net operating surplus]] / VfM_Metrics_2023_Consol[[#This Row],[Overall turnover]], "n/a" )</f>
        <v>0.3042419246046616</v>
      </c>
      <c r="BX204" s="5">
        <f xml:space="preserve"> SUM( VfM_Metrics_2023_Consol[[#This Row],[Operating surplus/(deficit) (overall)2]], - VfM_Metrics_2023_Consol[[#This Row],[Gain/(loss) on disposal of fixed assets (housing properties)2]], - VfM_Metrics_2023_Consol[[#This Row],[Gain/(loss) on disposal of fixed assets (other)2]] )</f>
        <v>8119</v>
      </c>
      <c r="BY204" s="84" vm="4322">
        <v>8837</v>
      </c>
      <c r="BZ204" s="83" vm="4462">
        <v>718</v>
      </c>
      <c r="CA204" s="83">
        <v>0</v>
      </c>
      <c r="CB204" s="5" vm="4475">
        <f xml:space="preserve"> VfM_Metrics_2023_Consol[[#This Row],[Turnover (overall)]]</f>
        <v>26686</v>
      </c>
      <c r="CC204" s="84" vm="4475">
        <v>26686</v>
      </c>
      <c r="CD204" s="7">
        <f xml:space="preserve"> IFERROR( VfM_Metrics_2023_Consol[[#This Row],[Operating surplus including from JVs]] / VfM_Metrics_2023_Consol[[#This Row],[Net assets]], "n/a" )</f>
        <v>3.9065988232017575E-2</v>
      </c>
      <c r="CE204" s="5">
        <f xml:space="preserve"> SUM( VfM_Metrics_2023_Consol[[#This Row],[Operating surplus/(deficit) (overall)3]], VfM_Metrics_2023_Consol[[#This Row],[Share of operating surplus/(deficit) in joint ventures or associates]] )</f>
        <v>8837</v>
      </c>
      <c r="CF204" s="84" vm="7395">
        <v>8837</v>
      </c>
      <c r="CG204" s="83">
        <v>0</v>
      </c>
      <c r="CH204" s="5" vm="6978">
        <f xml:space="preserve"> VfM_Metrics_2023_Consol[[#This Row],[Total assets less current liabilities]]</f>
        <v>226207</v>
      </c>
      <c r="CI204" s="84" vm="6978">
        <v>226207</v>
      </c>
      <c r="CJ204" s="71" vm="4450">
        <f xml:space="preserve"> VfM_Metrics_2023_Consol[[#This Row],[Total social housing units owned (Period end)]]</f>
        <v>3690</v>
      </c>
      <c r="CK204" s="103">
        <v>2.989942919271541E-3</v>
      </c>
      <c r="CL204" s="6">
        <f xml:space="preserve"> -- ( VfM_Metrics_2023_Consol[[#This Row],[% Supported housing (excl. HOP)]] &gt; 0.3 )</f>
        <v>0</v>
      </c>
      <c r="CM204" s="103">
        <v>5.8439793422125574E-2</v>
      </c>
      <c r="CN204" s="6">
        <f xml:space="preserve"> -- ( VfM_Metrics_2023_Consol[[#This Row],[% Housing for older people]] &gt; 0.3 )</f>
        <v>0</v>
      </c>
      <c r="CO204" s="103">
        <f xml:space="preserve"> VfM_Metrics_2023_Consol[[#This Row],[% Supported housing (excl. HOP)]] + VfM_Metrics_2023_Consol[[#This Row],[% Housing for older people]]</f>
        <v>6.1429736341397118E-2</v>
      </c>
      <c r="CP204" s="6">
        <f xml:space="preserve"> -- ( VfM_Metrics_2023_Consol[[#This Row],[SH specialist in RSH analysis]] + VfM_Metrics_2023_Consol[[#This Row],[OP specialist in RSH analysis]] &gt; 0 )</f>
        <v>0</v>
      </c>
      <c r="CQ204" s="10">
        <f xml:space="preserve"> -- ( VfM_Metrics_2023_Consol[[#This Row],[% SH and OP]] &gt; 0.3 )</f>
        <v>0</v>
      </c>
      <c r="CR204" s="104" t="s">
        <v>143</v>
      </c>
      <c r="CS204" s="124"/>
      <c r="CT204" s="105" t="s">
        <v>151</v>
      </c>
      <c r="CU204"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South East</v>
      </c>
      <c r="CV204" s="85">
        <v>0</v>
      </c>
      <c r="CW204" s="85">
        <v>1</v>
      </c>
      <c r="CX204" s="85">
        <v>0</v>
      </c>
      <c r="CY204" s="85">
        <v>0</v>
      </c>
      <c r="CZ204" s="85">
        <v>0</v>
      </c>
      <c r="DA204" s="85">
        <v>0</v>
      </c>
      <c r="DB204" s="85">
        <v>0</v>
      </c>
      <c r="DC204" s="85">
        <v>0</v>
      </c>
      <c r="DD204" s="85">
        <v>0</v>
      </c>
      <c r="DE204" s="13">
        <v>1.0337125580623883</v>
      </c>
    </row>
    <row r="205" spans="1:109" x14ac:dyDescent="0.25">
      <c r="A205" s="4" t="s" vm="280">
        <v>534</v>
      </c>
      <c r="B205" s="2" t="s" vm="195">
        <v>535</v>
      </c>
      <c r="C205" s="72" vm="585">
        <v>45016</v>
      </c>
      <c r="D205" s="7">
        <f>IFERROR( VfM_Metrics_2023_Consol[[#This Row],[Reinvestment Spend]] / VfM_Metrics_2023_Consol[[#This Row],[Net Book Value of Housing Properties]], "n/a" )</f>
        <v>7.5133493240656851E-2</v>
      </c>
      <c r="E205"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27283</v>
      </c>
      <c r="F205" s="83" vm="2664">
        <v>9716</v>
      </c>
      <c r="G205" s="83" vm="2665">
        <v>1920</v>
      </c>
      <c r="H205" s="83" vm="2666">
        <v>15454</v>
      </c>
      <c r="I205" s="83" vm="7493">
        <v>193</v>
      </c>
      <c r="J205" s="83" vm="2667">
        <v>0</v>
      </c>
      <c r="K205" s="5">
        <f xml:space="preserve"> SUM( VfM_Metrics_2023_Consol[[#This Row],[Tangible fixed assets: Housing properties at cost (Current period)]],VfM_Metrics_2023_Consol[[#This Row],[Tangible fixed assets Housing properties at valuation (Current period)]] )</f>
        <v>363127</v>
      </c>
      <c r="L205" s="84" vm="7615">
        <v>363127</v>
      </c>
      <c r="M205" s="83">
        <v>0</v>
      </c>
      <c r="N205" s="7">
        <f xml:space="preserve"> IFERROR( VfM_Metrics_2023_Consol[[#This Row],[Total social units developed or newly built units acquired in-year]] / VfM_Metrics_2023_Consol[[#This Row],[Social housing units owned (period end)]], "n/a" )</f>
        <v>3.5313228335334414E-3</v>
      </c>
      <c r="O205" s="5">
        <f xml:space="preserve"> SUM( VfM_Metrics_2023_Consol[[#This Row],[Total social units developed or newly built units acquired in-year (owned)]], VfM_Metrics_2023_Consol[[#This Row],[Total social leasehold units developed or newly built units acquired in-year (owned)]] )</f>
        <v>50</v>
      </c>
      <c r="P205" s="84" vm="2669">
        <v>36</v>
      </c>
      <c r="Q205" s="83" vm="2670">
        <v>14</v>
      </c>
      <c r="R205" s="5">
        <f xml:space="preserve"> SUM( VfM_Metrics_2023_Consol[[#This Row],[Total social housing units owned (Period end)]], VfM_Metrics_2023_Consol[[#This Row],[Total social leasehold units owned (Period end)]] )</f>
        <v>14159</v>
      </c>
      <c r="S205" s="84" vm="2662">
        <v>13627</v>
      </c>
      <c r="T205" s="83" vm="2671">
        <v>532</v>
      </c>
      <c r="U205" s="86">
        <f xml:space="preserve"> IFERROR( VfM_Metrics_2023_Consol[[#This Row],[Total non-social housing units developed or newly built units acquired (owned)]] / VfM_Metrics_2023_Consol[[#This Row],[Total social and non-social housing units owned (Period end)]], "n/a" )</f>
        <v>6.2994330510254078E-4</v>
      </c>
      <c r="V205"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9</v>
      </c>
      <c r="W205" s="83" vm="7943">
        <v>8</v>
      </c>
      <c r="X205" s="83" vm="2672">
        <v>1</v>
      </c>
      <c r="Y205" s="83" vm="2673">
        <v>0</v>
      </c>
      <c r="Z205"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14287</v>
      </c>
      <c r="AA205" s="84" vm="2662">
        <v>13627</v>
      </c>
      <c r="AB205" s="83" vm="7864">
        <v>532</v>
      </c>
      <c r="AC205" s="83" vm="7856">
        <v>67</v>
      </c>
      <c r="AD205" s="83" vm="2674">
        <v>61</v>
      </c>
      <c r="AE205" s="7">
        <f xml:space="preserve"> IFERROR( VfM_Metrics_2023_Consol[[#This Row],[Total Net Debt]] / VfM_Metrics_2023_Consol[[#This Row],[Net Book Value of Housing Properties2]], "n/a" )</f>
        <v>0.20658887937278142</v>
      </c>
      <c r="AF205"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75018</v>
      </c>
      <c r="AG205" s="84">
        <v>0</v>
      </c>
      <c r="AH205" s="83" vm="7490">
        <v>110095</v>
      </c>
      <c r="AI205" s="83" vm="7699">
        <v>35077</v>
      </c>
      <c r="AJ205" s="83" vm="1675">
        <v>0</v>
      </c>
      <c r="AK205" s="83">
        <v>0</v>
      </c>
      <c r="AL205" s="5">
        <f xml:space="preserve"> SUM( VfM_Metrics_2023_Consol[[#This Row],[Tangible fixed assets: Housing properties at cost (Current period)2]], VfM_Metrics_2023_Consol[[#This Row],[Tangible fixed assets Housing properties at valuation (Current period)2]] )</f>
        <v>363127</v>
      </c>
      <c r="AM205" s="84" vm="2668">
        <v>363127</v>
      </c>
      <c r="AN205" s="83">
        <v>0</v>
      </c>
      <c r="AO205" s="87">
        <f xml:space="preserve"> IFERROR( VfM_Metrics_2023_Consol[[#This Row],[EBITDA MRI]] / VfM_Metrics_2023_Consol[[#This Row],[Total interest]], "n/a" )</f>
        <v>1.2141445200966396</v>
      </c>
      <c r="AP205"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5528</v>
      </c>
      <c r="AQ205" s="84" vm="2675">
        <v>15862</v>
      </c>
      <c r="AR205" s="84" vm="2676">
        <v>5319</v>
      </c>
      <c r="AS205" s="84">
        <v>0</v>
      </c>
      <c r="AT205" s="84" vm="2677">
        <v>229</v>
      </c>
      <c r="AU205" s="84" vm="2678">
        <v>0</v>
      </c>
      <c r="AV205" s="84" vm="2679">
        <v>614</v>
      </c>
      <c r="AW205" s="84" vm="7614">
        <v>15454</v>
      </c>
      <c r="AX205" s="84" vm="3466">
        <v>10054</v>
      </c>
      <c r="AY205" s="3">
        <f xml:space="preserve"> - SUM( VfM_Metrics_2023_Consol[[#This Row],[Interest capitalised]], VfM_Metrics_2023_Consol[[#This Row],[Interest payable and financing costs]] )</f>
        <v>4553</v>
      </c>
      <c r="AZ205" s="84" vm="2681">
        <v>-193</v>
      </c>
      <c r="BA205" s="83" vm="2682">
        <v>-4360</v>
      </c>
      <c r="BB205" s="8">
        <f xml:space="preserve"> IFERROR( ( VfM_Metrics_2023_Consol[[#This Row],[Total Costs]] / VfM_Metrics_2023_Consol[[#This Row],[Total units for costs]] ) * 1000, "n/a" )</f>
        <v>4589.491450796213</v>
      </c>
      <c r="BC205"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62541</v>
      </c>
      <c r="BD205" s="84" vm="2131">
        <v>17859</v>
      </c>
      <c r="BE205" s="83" vm="7613">
        <v>5951</v>
      </c>
      <c r="BF205" s="83" vm="2683">
        <v>11255</v>
      </c>
      <c r="BG205" s="83" vm="2684">
        <v>4159</v>
      </c>
      <c r="BH205" s="83" vm="2685">
        <v>6515</v>
      </c>
      <c r="BI205" s="83" vm="2686">
        <v>0</v>
      </c>
      <c r="BJ205" s="83" vm="2680">
        <v>15454</v>
      </c>
      <c r="BK205" s="83" vm="2687">
        <v>1236</v>
      </c>
      <c r="BL205" s="83">
        <v>0</v>
      </c>
      <c r="BM205" s="83">
        <v>0</v>
      </c>
      <c r="BN205" s="83" vm="3414">
        <v>112</v>
      </c>
      <c r="BO205" s="83">
        <v>0</v>
      </c>
      <c r="BP205" s="5" vm="2663">
        <f xml:space="preserve"> VfM_Metrics_2023_Consol[[#This Row],[Total social housing units owned and/or managed at period end]]</f>
        <v>13627</v>
      </c>
      <c r="BQ205" s="84" vm="2663">
        <v>13627</v>
      </c>
      <c r="BR205" s="7">
        <f xml:space="preserve"> IFERROR( VfM_Metrics_2023_Consol[[#This Row],[SHL operating surplus / (deficit)]] / VfM_Metrics_2023_Consol[[#This Row],[Turnover from social housing lettings]], "n/a" )</f>
        <v>0.14541680975915666</v>
      </c>
      <c r="BS205" s="5" vm="2688">
        <f xml:space="preserve"> VfM_Metrics_2023_Consol[[#This Row],[Operating surplus/(deficit) (social housing lettings)]]</f>
        <v>9739</v>
      </c>
      <c r="BT205" s="84" vm="2688">
        <v>9739</v>
      </c>
      <c r="BU205" s="5" vm="7938">
        <f xml:space="preserve"> VfM_Metrics_2023_Consol[[#This Row],[Turnover from social housing lettings]]</f>
        <v>66973</v>
      </c>
      <c r="BV205" s="84" vm="7938">
        <v>66973</v>
      </c>
      <c r="BW205" s="7">
        <f xml:space="preserve"> IFERROR( VfM_Metrics_2023_Consol[[#This Row],[Net operating surplus]] / VfM_Metrics_2023_Consol[[#This Row],[Overall turnover]], "n/a" )</f>
        <v>0.15058847054790608</v>
      </c>
      <c r="BX205" s="5">
        <f xml:space="preserve"> SUM( VfM_Metrics_2023_Consol[[#This Row],[Operating surplus/(deficit) (overall)2]], - VfM_Metrics_2023_Consol[[#This Row],[Gain/(loss) on disposal of fixed assets (housing properties)2]], - VfM_Metrics_2023_Consol[[#This Row],[Gain/(loss) on disposal of fixed assets (other)2]] )</f>
        <v>10543</v>
      </c>
      <c r="BY205" s="84" vm="7832">
        <v>15862</v>
      </c>
      <c r="BZ205" s="83" vm="2676">
        <v>5319</v>
      </c>
      <c r="CA205" s="83">
        <v>0</v>
      </c>
      <c r="CB205" s="5" vm="7784">
        <f xml:space="preserve"> VfM_Metrics_2023_Consol[[#This Row],[Turnover (overall)]]</f>
        <v>70012</v>
      </c>
      <c r="CC205" s="84" vm="7784">
        <v>70012</v>
      </c>
      <c r="CD205" s="7">
        <f xml:space="preserve"> IFERROR( VfM_Metrics_2023_Consol[[#This Row],[Operating surplus including from JVs]] / VfM_Metrics_2023_Consol[[#This Row],[Net assets]], "n/a" )</f>
        <v>3.8083119252839068E-2</v>
      </c>
      <c r="CE205" s="5">
        <f xml:space="preserve"> SUM( VfM_Metrics_2023_Consol[[#This Row],[Operating surplus/(deficit) (overall)3]], VfM_Metrics_2023_Consol[[#This Row],[Share of operating surplus/(deficit) in joint ventures or associates]] )</f>
        <v>15862</v>
      </c>
      <c r="CF205" s="84" vm="2675">
        <v>15862</v>
      </c>
      <c r="CG205" s="83">
        <v>0</v>
      </c>
      <c r="CH205" s="5" vm="2690">
        <f xml:space="preserve"> VfM_Metrics_2023_Consol[[#This Row],[Total assets less current liabilities]]</f>
        <v>416510</v>
      </c>
      <c r="CI205" s="84" vm="2690">
        <v>416510</v>
      </c>
      <c r="CJ205" s="71" vm="2662">
        <f xml:space="preserve"> VfM_Metrics_2023_Consol[[#This Row],[Total social housing units owned (Period end)]]</f>
        <v>13627</v>
      </c>
      <c r="CK205" s="103">
        <v>1.1732785803329178E-3</v>
      </c>
      <c r="CL205" s="6">
        <f xml:space="preserve"> -- ( VfM_Metrics_2023_Consol[[#This Row],[% Supported housing (excl. HOP)]] &gt; 0.3 )</f>
        <v>0</v>
      </c>
      <c r="CM205" s="103">
        <v>5.0597638776857081E-3</v>
      </c>
      <c r="CN205" s="6">
        <f xml:space="preserve"> -- ( VfM_Metrics_2023_Consol[[#This Row],[% Housing for older people]] &gt; 0.3 )</f>
        <v>0</v>
      </c>
      <c r="CO205" s="103">
        <f xml:space="preserve"> VfM_Metrics_2023_Consol[[#This Row],[% Supported housing (excl. HOP)]] + VfM_Metrics_2023_Consol[[#This Row],[% Housing for older people]]</f>
        <v>6.2330424580186259E-3</v>
      </c>
      <c r="CP205" s="6">
        <f xml:space="preserve"> -- ( VfM_Metrics_2023_Consol[[#This Row],[SH specialist in RSH analysis]] + VfM_Metrics_2023_Consol[[#This Row],[OP specialist in RSH analysis]] &gt; 0 )</f>
        <v>0</v>
      </c>
      <c r="CQ205" s="10">
        <f xml:space="preserve"> -- ( VfM_Metrics_2023_Consol[[#This Row],[% SH and OP]] &gt; 0.3 )</f>
        <v>0</v>
      </c>
      <c r="CR205" s="104" t="s">
        <v>143</v>
      </c>
      <c r="CS205" s="124"/>
      <c r="CT205" s="105" t="s">
        <v>151</v>
      </c>
      <c r="CU205"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205" s="85">
        <v>0</v>
      </c>
      <c r="CW205" s="85">
        <v>0</v>
      </c>
      <c r="CX205" s="85">
        <v>0</v>
      </c>
      <c r="CY205" s="85">
        <v>0</v>
      </c>
      <c r="CZ205" s="85">
        <v>0</v>
      </c>
      <c r="DA205" s="85">
        <v>0</v>
      </c>
      <c r="DB205" s="85">
        <v>0</v>
      </c>
      <c r="DC205" s="85">
        <v>1</v>
      </c>
      <c r="DD205" s="85">
        <v>0</v>
      </c>
      <c r="DE205" s="13">
        <v>0.96105917141044694</v>
      </c>
    </row>
    <row r="206" spans="1:109" x14ac:dyDescent="0.25">
      <c r="A206" s="4" t="s" vm="205">
        <v>536</v>
      </c>
      <c r="B206" s="2" t="s" vm="196">
        <v>537</v>
      </c>
      <c r="C206" s="72" vm="519">
        <v>45016</v>
      </c>
      <c r="D206" s="7">
        <f>IFERROR( VfM_Metrics_2023_Consol[[#This Row],[Reinvestment Spend]] / VfM_Metrics_2023_Consol[[#This Row],[Net Book Value of Housing Properties]], "n/a" )</f>
        <v>0.19065492276382076</v>
      </c>
      <c r="E206"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11429</v>
      </c>
      <c r="F206" s="83" vm="9205">
        <v>10769</v>
      </c>
      <c r="G206" s="83" vm="724">
        <v>0</v>
      </c>
      <c r="H206" s="83" vm="9098">
        <v>442</v>
      </c>
      <c r="I206" s="83" vm="725">
        <v>218</v>
      </c>
      <c r="J206" s="83" vm="659">
        <v>0</v>
      </c>
      <c r="K206" s="5">
        <f xml:space="preserve"> SUM( VfM_Metrics_2023_Consol[[#This Row],[Tangible fixed assets: Housing properties at cost (Current period)]],VfM_Metrics_2023_Consol[[#This Row],[Tangible fixed assets Housing properties at valuation (Current period)]] )</f>
        <v>59946</v>
      </c>
      <c r="L206" s="84" vm="9001">
        <v>59946</v>
      </c>
      <c r="M206" s="83">
        <v>0</v>
      </c>
      <c r="N206" s="7">
        <f xml:space="preserve"> IFERROR( VfM_Metrics_2023_Consol[[#This Row],[Total social units developed or newly built units acquired in-year]] / VfM_Metrics_2023_Consol[[#This Row],[Social housing units owned (period end)]], "n/a" )</f>
        <v>6.7170445004198151E-3</v>
      </c>
      <c r="O206" s="5">
        <f xml:space="preserve"> SUM( VfM_Metrics_2023_Consol[[#This Row],[Total social units developed or newly built units acquired in-year (owned)]], VfM_Metrics_2023_Consol[[#This Row],[Total social leasehold units developed or newly built units acquired in-year (owned)]] )</f>
        <v>8</v>
      </c>
      <c r="P206" s="84" vm="727">
        <v>8</v>
      </c>
      <c r="Q206" s="83">
        <v>0</v>
      </c>
      <c r="R206" s="5">
        <f xml:space="preserve"> SUM( VfM_Metrics_2023_Consol[[#This Row],[Total social housing units owned (Period end)]], VfM_Metrics_2023_Consol[[#This Row],[Total social leasehold units owned (Period end)]] )</f>
        <v>1191</v>
      </c>
      <c r="S206" s="84" vm="722">
        <v>1191</v>
      </c>
      <c r="T206" s="83" vm="8963">
        <v>0</v>
      </c>
      <c r="U206" s="86">
        <f xml:space="preserve"> IFERROR( VfM_Metrics_2023_Consol[[#This Row],[Total non-social housing units developed or newly built units acquired (owned)]] / VfM_Metrics_2023_Consol[[#This Row],[Total social and non-social housing units owned (Period end)]], "n/a" )</f>
        <v>0</v>
      </c>
      <c r="V206"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0</v>
      </c>
      <c r="W206" s="83">
        <v>0</v>
      </c>
      <c r="X206" s="83">
        <v>0</v>
      </c>
      <c r="Y206" s="83" vm="8962">
        <v>0</v>
      </c>
      <c r="Z206"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1191</v>
      </c>
      <c r="AA206" s="84" vm="722">
        <v>1191</v>
      </c>
      <c r="AB206" s="83" vm="728">
        <v>0</v>
      </c>
      <c r="AC206" s="83" vm="684">
        <v>0</v>
      </c>
      <c r="AD206" s="83" vm="8993">
        <v>0</v>
      </c>
      <c r="AE206" s="7">
        <f xml:space="preserve"> IFERROR( VfM_Metrics_2023_Consol[[#This Row],[Total Net Debt]] / VfM_Metrics_2023_Consol[[#This Row],[Net Book Value of Housing Properties2]], "n/a" )</f>
        <v>0.31022920628565709</v>
      </c>
      <c r="AF206"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18597</v>
      </c>
      <c r="AG206" s="84" vm="9113">
        <v>3</v>
      </c>
      <c r="AH206" s="83" vm="9136">
        <v>22249</v>
      </c>
      <c r="AI206" s="83" vm="873">
        <v>3655</v>
      </c>
      <c r="AJ206" s="83" vm="1675">
        <v>0</v>
      </c>
      <c r="AK206" s="83">
        <v>0</v>
      </c>
      <c r="AL206" s="5">
        <f xml:space="preserve"> SUM( VfM_Metrics_2023_Consol[[#This Row],[Tangible fixed assets: Housing properties at cost (Current period)2]], VfM_Metrics_2023_Consol[[#This Row],[Tangible fixed assets Housing properties at valuation (Current period)2]] )</f>
        <v>59946</v>
      </c>
      <c r="AM206" s="84" vm="726">
        <v>59946</v>
      </c>
      <c r="AN206" s="83">
        <v>0</v>
      </c>
      <c r="AO206" s="87">
        <f xml:space="preserve"> IFERROR( VfM_Metrics_2023_Consol[[#This Row],[EBITDA MRI]] / VfM_Metrics_2023_Consol[[#This Row],[Total interest]], "n/a" )</f>
        <v>1.2991666666666666</v>
      </c>
      <c r="AP206"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1559</v>
      </c>
      <c r="AQ206" s="84" vm="862">
        <v>1117</v>
      </c>
      <c r="AR206" s="84">
        <v>0</v>
      </c>
      <c r="AS206" s="84">
        <v>0</v>
      </c>
      <c r="AT206" s="84" vm="9148">
        <v>277</v>
      </c>
      <c r="AU206" s="84" vm="837">
        <v>0</v>
      </c>
      <c r="AV206" s="84" vm="9153">
        <v>19</v>
      </c>
      <c r="AW206" s="84" vm="8892">
        <v>658</v>
      </c>
      <c r="AX206" s="84" vm="9114">
        <v>1358</v>
      </c>
      <c r="AY206" s="3">
        <f xml:space="preserve"> - SUM( VfM_Metrics_2023_Consol[[#This Row],[Interest capitalised]], VfM_Metrics_2023_Consol[[#This Row],[Interest payable and financing costs]] )</f>
        <v>1200</v>
      </c>
      <c r="AZ206" s="84" vm="9094">
        <v>-218</v>
      </c>
      <c r="BA206" s="83" vm="733">
        <v>-982</v>
      </c>
      <c r="BB206" s="8">
        <f xml:space="preserve"> IFERROR( ( VfM_Metrics_2023_Consol[[#This Row],[Total Costs]] / VfM_Metrics_2023_Consol[[#This Row],[Total units for costs]] ) * 1000, "n/a" )</f>
        <v>13816.762530813476</v>
      </c>
      <c r="BC206"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16815</v>
      </c>
      <c r="BD206" s="84" vm="734">
        <v>4788</v>
      </c>
      <c r="BE206" s="83" vm="9081">
        <v>7186</v>
      </c>
      <c r="BF206" s="83" vm="9095">
        <v>582</v>
      </c>
      <c r="BG206" s="83" vm="8951">
        <v>102</v>
      </c>
      <c r="BH206" s="83" vm="9191">
        <v>0</v>
      </c>
      <c r="BI206" s="83" vm="749">
        <v>0</v>
      </c>
      <c r="BJ206" s="83" vm="732">
        <v>658</v>
      </c>
      <c r="BK206" s="83" vm="9078">
        <v>2975</v>
      </c>
      <c r="BL206" s="83">
        <v>0</v>
      </c>
      <c r="BM206" s="83">
        <v>0</v>
      </c>
      <c r="BN206" s="83" vm="735">
        <v>524</v>
      </c>
      <c r="BO206" s="83">
        <v>0</v>
      </c>
      <c r="BP206" s="5" vm="723">
        <f xml:space="preserve"> VfM_Metrics_2023_Consol[[#This Row],[Total social housing units owned and/or managed at period end]]</f>
        <v>1217</v>
      </c>
      <c r="BQ206" s="84" vm="723">
        <v>1217</v>
      </c>
      <c r="BR206" s="7">
        <f xml:space="preserve"> IFERROR( VfM_Metrics_2023_Consol[[#This Row],[SHL operating surplus / (deficit)]] / VfM_Metrics_2023_Consol[[#This Row],[Turnover from social housing lettings]], "n/a" )</f>
        <v>0.13681087762669963</v>
      </c>
      <c r="BS206" s="5" vm="736">
        <f xml:space="preserve"> VfM_Metrics_2023_Consol[[#This Row],[Operating surplus/(deficit) (social housing lettings)]]</f>
        <v>2767</v>
      </c>
      <c r="BT206" s="84" vm="736">
        <v>2767</v>
      </c>
      <c r="BU206" s="5" vm="791">
        <f xml:space="preserve"> VfM_Metrics_2023_Consol[[#This Row],[Turnover from social housing lettings]]</f>
        <v>20225</v>
      </c>
      <c r="BV206" s="84" vm="791">
        <v>20225</v>
      </c>
      <c r="BW206" s="7">
        <f xml:space="preserve"> IFERROR( VfM_Metrics_2023_Consol[[#This Row],[Net operating surplus]] / VfM_Metrics_2023_Consol[[#This Row],[Overall turnover]], "n/a" )</f>
        <v>4.2466638786450212E-2</v>
      </c>
      <c r="BX206" s="5">
        <f xml:space="preserve"> SUM( VfM_Metrics_2023_Consol[[#This Row],[Operating surplus/(deficit) (overall)2]], - VfM_Metrics_2023_Consol[[#This Row],[Gain/(loss) on disposal of fixed assets (housing properties)2]], - VfM_Metrics_2023_Consol[[#This Row],[Gain/(loss) on disposal of fixed assets (other)2]] )</f>
        <v>1117</v>
      </c>
      <c r="BY206" s="84" vm="8877">
        <v>1117</v>
      </c>
      <c r="BZ206" s="83">
        <v>0</v>
      </c>
      <c r="CA206" s="83">
        <v>0</v>
      </c>
      <c r="CB206" s="5" vm="684">
        <f xml:space="preserve"> VfM_Metrics_2023_Consol[[#This Row],[Turnover (overall)]]</f>
        <v>26303</v>
      </c>
      <c r="CC206" s="84" vm="684">
        <v>26303</v>
      </c>
      <c r="CD206" s="7">
        <f xml:space="preserve"> IFERROR( VfM_Metrics_2023_Consol[[#This Row],[Operating surplus including from JVs]] / VfM_Metrics_2023_Consol[[#This Row],[Net assets]], "n/a" )</f>
        <v>1.6793961991821024E-2</v>
      </c>
      <c r="CE206" s="5">
        <f xml:space="preserve"> SUM( VfM_Metrics_2023_Consol[[#This Row],[Operating surplus/(deficit) (overall)3]], VfM_Metrics_2023_Consol[[#This Row],[Share of operating surplus/(deficit) in joint ventures or associates]] )</f>
        <v>1117</v>
      </c>
      <c r="CF206" s="84" vm="729">
        <v>1117</v>
      </c>
      <c r="CG206" s="83">
        <v>0</v>
      </c>
      <c r="CH206" s="5" vm="8873">
        <f xml:space="preserve"> VfM_Metrics_2023_Consol[[#This Row],[Total assets less current liabilities]]</f>
        <v>66512</v>
      </c>
      <c r="CI206" s="84" vm="8873">
        <v>66512</v>
      </c>
      <c r="CJ206" s="71" vm="722">
        <f xml:space="preserve"> VfM_Metrics_2023_Consol[[#This Row],[Total social housing units owned (Period end)]]</f>
        <v>1191</v>
      </c>
      <c r="CK206" s="103">
        <v>0.91267842149454237</v>
      </c>
      <c r="CL206" s="6">
        <f xml:space="preserve"> -- ( VfM_Metrics_2023_Consol[[#This Row],[% Supported housing (excl. HOP)]] &gt; 0.3 )</f>
        <v>1</v>
      </c>
      <c r="CM206" s="103">
        <v>0</v>
      </c>
      <c r="CN206" s="6">
        <f xml:space="preserve"> -- ( VfM_Metrics_2023_Consol[[#This Row],[% Housing for older people]] &gt; 0.3 )</f>
        <v>0</v>
      </c>
      <c r="CO206" s="103">
        <f xml:space="preserve"> VfM_Metrics_2023_Consol[[#This Row],[% Supported housing (excl. HOP)]] + VfM_Metrics_2023_Consol[[#This Row],[% Housing for older people]]</f>
        <v>0.91267842149454237</v>
      </c>
      <c r="CP206" s="6">
        <f xml:space="preserve"> -- ( VfM_Metrics_2023_Consol[[#This Row],[SH specialist in RSH analysis]] + VfM_Metrics_2023_Consol[[#This Row],[OP specialist in RSH analysis]] &gt; 0 )</f>
        <v>1</v>
      </c>
      <c r="CQ206" s="10">
        <f xml:space="preserve"> -- ( VfM_Metrics_2023_Consol[[#This Row],[% SH and OP]] &gt; 0.3 )</f>
        <v>1</v>
      </c>
      <c r="CR206" s="104" t="s">
        <v>143</v>
      </c>
      <c r="CS206" s="124" t="s">
        <v>144</v>
      </c>
      <c r="CT206" s="105"/>
      <c r="CU206"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London</v>
      </c>
      <c r="CV206" s="85">
        <v>0.94663167104111989</v>
      </c>
      <c r="CW206" s="85">
        <v>5.3368328958880142E-2</v>
      </c>
      <c r="CX206" s="85">
        <v>0</v>
      </c>
      <c r="CY206" s="85">
        <v>0</v>
      </c>
      <c r="CZ206" s="85">
        <v>0</v>
      </c>
      <c r="DA206" s="85">
        <v>0</v>
      </c>
      <c r="DB206" s="85">
        <v>0</v>
      </c>
      <c r="DC206" s="85">
        <v>0</v>
      </c>
      <c r="DD206" s="85">
        <v>0</v>
      </c>
      <c r="DE206" s="13">
        <v>1.1536105465613671</v>
      </c>
    </row>
    <row r="207" spans="1:109" x14ac:dyDescent="0.25">
      <c r="A207" s="4" t="s" vm="281">
        <v>538</v>
      </c>
      <c r="B207" s="2" t="s" vm="197">
        <v>539</v>
      </c>
      <c r="C207" s="72" vm="498">
        <v>45016</v>
      </c>
      <c r="D207" s="7">
        <f>IFERROR( VfM_Metrics_2023_Consol[[#This Row],[Reinvestment Spend]] / VfM_Metrics_2023_Consol[[#This Row],[Net Book Value of Housing Properties]], "n/a" )</f>
        <v>7.5953996036066215E-2</v>
      </c>
      <c r="E207"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81627</v>
      </c>
      <c r="F207" s="83" vm="2693">
        <v>62205</v>
      </c>
      <c r="G207" s="83" vm="3936">
        <v>0</v>
      </c>
      <c r="H207" s="83" vm="2791">
        <v>15905</v>
      </c>
      <c r="I207" s="83" vm="2694">
        <v>3517</v>
      </c>
      <c r="J207" s="83" vm="2695">
        <v>0</v>
      </c>
      <c r="K207" s="5">
        <f xml:space="preserve"> SUM( VfM_Metrics_2023_Consol[[#This Row],[Tangible fixed assets: Housing properties at cost (Current period)]],VfM_Metrics_2023_Consol[[#This Row],[Tangible fixed assets Housing properties at valuation (Current period)]] )</f>
        <v>1074690</v>
      </c>
      <c r="L207" s="84" vm="7491">
        <v>1003426</v>
      </c>
      <c r="M207" s="83" vm="7863">
        <v>71264</v>
      </c>
      <c r="N207" s="7">
        <f xml:space="preserve"> IFERROR( VfM_Metrics_2023_Consol[[#This Row],[Total social units developed or newly built units acquired in-year]] / VfM_Metrics_2023_Consol[[#This Row],[Social housing units owned (period end)]], "n/a" )</f>
        <v>2.485753052917232E-2</v>
      </c>
      <c r="O207" s="5">
        <f xml:space="preserve"> SUM( VfM_Metrics_2023_Consol[[#This Row],[Total social units developed or newly built units acquired in-year (owned)]], VfM_Metrics_2023_Consol[[#This Row],[Total social leasehold units developed or newly built units acquired in-year (owned)]] )</f>
        <v>458</v>
      </c>
      <c r="P207" s="84" vm="2698">
        <v>458</v>
      </c>
      <c r="Q207" s="83">
        <v>0</v>
      </c>
      <c r="R207" s="5">
        <f xml:space="preserve"> SUM( VfM_Metrics_2023_Consol[[#This Row],[Total social housing units owned (Period end)]], VfM_Metrics_2023_Consol[[#This Row],[Total social leasehold units owned (Period end)]] )</f>
        <v>18425</v>
      </c>
      <c r="S207" s="84" vm="2691">
        <v>17903</v>
      </c>
      <c r="T207" s="83" vm="2699">
        <v>522</v>
      </c>
      <c r="U207" s="86">
        <f xml:space="preserve"> IFERROR( VfM_Metrics_2023_Consol[[#This Row],[Total non-social housing units developed or newly built units acquired (owned)]] / VfM_Metrics_2023_Consol[[#This Row],[Total social and non-social housing units owned (Period end)]], "n/a" )</f>
        <v>2.3905652358691032E-3</v>
      </c>
      <c r="V207"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45</v>
      </c>
      <c r="W207" s="83">
        <v>0</v>
      </c>
      <c r="X207" s="83">
        <v>0</v>
      </c>
      <c r="Y207" s="83" vm="2700">
        <v>45</v>
      </c>
      <c r="Z207"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18824</v>
      </c>
      <c r="AA207" s="84" vm="2691">
        <v>17903</v>
      </c>
      <c r="AB207" s="83" vm="2699">
        <v>522</v>
      </c>
      <c r="AC207" s="83" vm="7696">
        <v>344</v>
      </c>
      <c r="AD207" s="83" vm="2701">
        <v>55</v>
      </c>
      <c r="AE207" s="7">
        <f xml:space="preserve"> IFERROR( VfM_Metrics_2023_Consol[[#This Row],[Total Net Debt]] / VfM_Metrics_2023_Consol[[#This Row],[Net Book Value of Housing Properties2]], "n/a" )</f>
        <v>0.53531716122788897</v>
      </c>
      <c r="AF207"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575300</v>
      </c>
      <c r="AG207" s="84" vm="2702">
        <v>36544</v>
      </c>
      <c r="AH207" s="83" vm="2703">
        <v>559827</v>
      </c>
      <c r="AI207" s="83" vm="2704">
        <v>21071</v>
      </c>
      <c r="AJ207" s="83" vm="1675">
        <v>0</v>
      </c>
      <c r="AK207" s="83">
        <v>0</v>
      </c>
      <c r="AL207" s="5">
        <f xml:space="preserve"> SUM( VfM_Metrics_2023_Consol[[#This Row],[Tangible fixed assets: Housing properties at cost (Current period)2]], VfM_Metrics_2023_Consol[[#This Row],[Tangible fixed assets Housing properties at valuation (Current period)2]] )</f>
        <v>1074690</v>
      </c>
      <c r="AM207" s="84" vm="2696">
        <v>1003426</v>
      </c>
      <c r="AN207" s="83" vm="2697">
        <v>71264</v>
      </c>
      <c r="AO207" s="87">
        <f xml:space="preserve"> IFERROR( VfM_Metrics_2023_Consol[[#This Row],[EBITDA MRI]] / VfM_Metrics_2023_Consol[[#This Row],[Total interest]], "n/a" )</f>
        <v>1.1237547724579804</v>
      </c>
      <c r="AP207"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25607</v>
      </c>
      <c r="AQ207" s="84" vm="2705">
        <v>28661</v>
      </c>
      <c r="AR207" s="84" vm="2052">
        <v>6464</v>
      </c>
      <c r="AS207" s="84">
        <v>0</v>
      </c>
      <c r="AT207" s="84" vm="7489">
        <v>4169</v>
      </c>
      <c r="AU207" s="84" vm="2707">
        <v>0</v>
      </c>
      <c r="AV207" s="84" vm="2708">
        <v>1053</v>
      </c>
      <c r="AW207" s="84" vm="2709">
        <v>15905</v>
      </c>
      <c r="AX207" s="84" vm="2710">
        <v>22431</v>
      </c>
      <c r="AY207" s="3">
        <f xml:space="preserve"> - SUM( VfM_Metrics_2023_Consol[[#This Row],[Interest capitalised]], VfM_Metrics_2023_Consol[[#This Row],[Interest payable and financing costs]] )</f>
        <v>22787</v>
      </c>
      <c r="AZ207" s="84" vm="2711">
        <v>-3517</v>
      </c>
      <c r="BA207" s="83" vm="2712">
        <v>-19270</v>
      </c>
      <c r="BB207" s="8">
        <f xml:space="preserve"> IFERROR( ( VfM_Metrics_2023_Consol[[#This Row],[Total Costs]] / VfM_Metrics_2023_Consol[[#This Row],[Total units for costs]] ) * 1000, "n/a" )</f>
        <v>4507.456850807127</v>
      </c>
      <c r="BC207"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80697</v>
      </c>
      <c r="BD207" s="84" vm="2713">
        <v>26910</v>
      </c>
      <c r="BE207" s="83" vm="2714">
        <v>6750</v>
      </c>
      <c r="BF207" s="83" vm="7983">
        <v>16301</v>
      </c>
      <c r="BG207" s="83" vm="2715">
        <v>8476</v>
      </c>
      <c r="BH207" s="83" vm="3201">
        <v>4744</v>
      </c>
      <c r="BI207" s="83" vm="2716">
        <v>83</v>
      </c>
      <c r="BJ207" s="83" vm="2742">
        <v>15905</v>
      </c>
      <c r="BK207" s="83" vm="2717">
        <v>0</v>
      </c>
      <c r="BL207" s="83">
        <v>0</v>
      </c>
      <c r="BM207" s="83">
        <v>0</v>
      </c>
      <c r="BN207" s="83" vm="2718">
        <v>1528</v>
      </c>
      <c r="BO207" s="83">
        <v>0</v>
      </c>
      <c r="BP207" s="5" vm="2692">
        <f xml:space="preserve"> VfM_Metrics_2023_Consol[[#This Row],[Total social housing units owned and/or managed at period end]]</f>
        <v>17903</v>
      </c>
      <c r="BQ207" s="84" vm="2692">
        <v>17903</v>
      </c>
      <c r="BR207" s="7">
        <f xml:space="preserve"> IFERROR( VfM_Metrics_2023_Consol[[#This Row],[SHL operating surplus / (deficit)]] / VfM_Metrics_2023_Consol[[#This Row],[Turnover from social housing lettings]], "n/a" )</f>
        <v>0.13966910350134668</v>
      </c>
      <c r="BS207" s="5" vm="2719">
        <f xml:space="preserve"> VfM_Metrics_2023_Consol[[#This Row],[Operating surplus/(deficit) (social housing lettings)]]</f>
        <v>13431</v>
      </c>
      <c r="BT207" s="84" vm="2719">
        <v>13431</v>
      </c>
      <c r="BU207" s="5" vm="2720">
        <f xml:space="preserve"> VfM_Metrics_2023_Consol[[#This Row],[Turnover from social housing lettings]]</f>
        <v>96163</v>
      </c>
      <c r="BV207" s="84" vm="2720">
        <v>96163</v>
      </c>
      <c r="BW207" s="7">
        <f xml:space="preserve"> IFERROR( VfM_Metrics_2023_Consol[[#This Row],[Net operating surplus]] / VfM_Metrics_2023_Consol[[#This Row],[Overall turnover]], "n/a" )</f>
        <v>0.15224801947940603</v>
      </c>
      <c r="BX207" s="5">
        <f xml:space="preserve"> SUM( VfM_Metrics_2023_Consol[[#This Row],[Operating surplus/(deficit) (overall)2]], - VfM_Metrics_2023_Consol[[#This Row],[Gain/(loss) on disposal of fixed assets (housing properties)2]], - VfM_Metrics_2023_Consol[[#This Row],[Gain/(loss) on disposal of fixed assets (other)2]] )</f>
        <v>22197</v>
      </c>
      <c r="BY207" s="84" vm="2705">
        <v>28661</v>
      </c>
      <c r="BZ207" s="83" vm="2706">
        <v>6464</v>
      </c>
      <c r="CA207" s="83">
        <v>0</v>
      </c>
      <c r="CB207" s="5" vm="2721">
        <f xml:space="preserve"> VfM_Metrics_2023_Consol[[#This Row],[Turnover (overall)]]</f>
        <v>145795</v>
      </c>
      <c r="CC207" s="84" vm="2721">
        <v>145795</v>
      </c>
      <c r="CD207" s="7">
        <f xml:space="preserve"> IFERROR( VfM_Metrics_2023_Consol[[#This Row],[Operating surplus including from JVs]] / VfM_Metrics_2023_Consol[[#This Row],[Net assets]], "n/a" )</f>
        <v>2.509487213798375E-2</v>
      </c>
      <c r="CE207" s="5">
        <f xml:space="preserve"> SUM( VfM_Metrics_2023_Consol[[#This Row],[Operating surplus/(deficit) (overall)3]], VfM_Metrics_2023_Consol[[#This Row],[Share of operating surplus/(deficit) in joint ventures or associates]] )</f>
        <v>28693</v>
      </c>
      <c r="CF207" s="84" vm="7487">
        <v>28661</v>
      </c>
      <c r="CG207" s="83" vm="2723">
        <v>32</v>
      </c>
      <c r="CH207" s="5" vm="2722">
        <f xml:space="preserve"> VfM_Metrics_2023_Consol[[#This Row],[Total assets less current liabilities]]</f>
        <v>1143381</v>
      </c>
      <c r="CI207" s="84" vm="2722">
        <v>1143381</v>
      </c>
      <c r="CJ207" s="71" vm="2691">
        <f xml:space="preserve"> VfM_Metrics_2023_Consol[[#This Row],[Total social housing units owned (Period end)]]</f>
        <v>17903</v>
      </c>
      <c r="CK207" s="103">
        <v>2.2530916483144165E-2</v>
      </c>
      <c r="CL207" s="6">
        <f xml:space="preserve"> -- ( VfM_Metrics_2023_Consol[[#This Row],[% Supported housing (excl. HOP)]] &gt; 0.3 )</f>
        <v>0</v>
      </c>
      <c r="CM207" s="103">
        <v>4.8845219944660907E-2</v>
      </c>
      <c r="CN207" s="6">
        <f xml:space="preserve"> -- ( VfM_Metrics_2023_Consol[[#This Row],[% Housing for older people]] &gt; 0.3 )</f>
        <v>0</v>
      </c>
      <c r="CO207" s="103">
        <f xml:space="preserve"> VfM_Metrics_2023_Consol[[#This Row],[% Supported housing (excl. HOP)]] + VfM_Metrics_2023_Consol[[#This Row],[% Housing for older people]]</f>
        <v>7.1376136427805076E-2</v>
      </c>
      <c r="CP207" s="6">
        <f xml:space="preserve"> -- ( VfM_Metrics_2023_Consol[[#This Row],[SH specialist in RSH analysis]] + VfM_Metrics_2023_Consol[[#This Row],[OP specialist in RSH analysis]] &gt; 0 )</f>
        <v>0</v>
      </c>
      <c r="CQ207" s="10">
        <f xml:space="preserve"> -- ( VfM_Metrics_2023_Consol[[#This Row],[% SH and OP]] &gt; 0.3 )</f>
        <v>0</v>
      </c>
      <c r="CR207" s="104" t="s">
        <v>143</v>
      </c>
      <c r="CS207" s="124" t="s">
        <v>144</v>
      </c>
      <c r="CT207" s="105"/>
      <c r="CU207"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Yorkshire &amp; the Humber</v>
      </c>
      <c r="CV207" s="85">
        <v>0</v>
      </c>
      <c r="CW207" s="85">
        <v>0</v>
      </c>
      <c r="CX207" s="85">
        <v>0</v>
      </c>
      <c r="CY207" s="85">
        <v>0</v>
      </c>
      <c r="CZ207" s="85">
        <v>0</v>
      </c>
      <c r="DA207" s="85">
        <v>0</v>
      </c>
      <c r="DB207" s="85">
        <v>0</v>
      </c>
      <c r="DC207" s="85">
        <v>1.3405574484723231E-3</v>
      </c>
      <c r="DD207" s="85">
        <v>0.99865944255152772</v>
      </c>
      <c r="DE207" s="13">
        <v>0.94461329066055166</v>
      </c>
    </row>
    <row r="208" spans="1:109" x14ac:dyDescent="0.25">
      <c r="A208" s="4" t="s" vm="336">
        <v>540</v>
      </c>
      <c r="B208" s="2" t="s" vm="198">
        <v>541</v>
      </c>
      <c r="C208" s="72" vm="541">
        <v>45016</v>
      </c>
      <c r="D208" s="7">
        <f>IFERROR( VfM_Metrics_2023_Consol[[#This Row],[Reinvestment Spend]] / VfM_Metrics_2023_Consol[[#This Row],[Net Book Value of Housing Properties]], "n/a" )</f>
        <v>5.8195850586424437E-2</v>
      </c>
      <c r="E208" s="5">
        <f xml:space="preserve"> SUM( VfM_Metrics_2023_Consol[[#This Row],[Development of new properties (Total housing properties)]], VfM_Metrics_2023_Consol[[#This Row],[Newly built properties acquired (Total housing properties)]], VfM_Metrics_2023_Consol[[#This Row],[ Works to Existing (Total housing properties)]], VfM_Metrics_2023_Consol[[#This Row],[Capitalised Interest (Total housing properties)]], VfM_Metrics_2023_Consol[[#This Row],[Schemes completed (Total housing properties)]] )</f>
        <v>67110</v>
      </c>
      <c r="F208" s="83" vm="4592">
        <v>36065</v>
      </c>
      <c r="G208" s="83" vm="4593">
        <v>0</v>
      </c>
      <c r="H208" s="83" vm="5680">
        <v>28721</v>
      </c>
      <c r="I208" s="83" vm="4594">
        <v>2324</v>
      </c>
      <c r="J208" s="83" vm="4595">
        <v>0</v>
      </c>
      <c r="K208" s="5">
        <f xml:space="preserve"> SUM( VfM_Metrics_2023_Consol[[#This Row],[Tangible fixed assets: Housing properties at cost (Current period)]],VfM_Metrics_2023_Consol[[#This Row],[Tangible fixed assets Housing properties at valuation (Current period)]] )</f>
        <v>1153175</v>
      </c>
      <c r="L208" s="84" vm="4596">
        <v>1153175</v>
      </c>
      <c r="M208" s="83" vm="4597">
        <v>0</v>
      </c>
      <c r="N208" s="7">
        <f xml:space="preserve"> IFERROR( VfM_Metrics_2023_Consol[[#This Row],[Total social units developed or newly built units acquired in-year]] / VfM_Metrics_2023_Consol[[#This Row],[Social housing units owned (period end)]], "n/a" )</f>
        <v>1.2084368165474292E-2</v>
      </c>
      <c r="O208" s="5">
        <f xml:space="preserve"> SUM( VfM_Metrics_2023_Consol[[#This Row],[Total social units developed or newly built units acquired in-year (owned)]], VfM_Metrics_2023_Consol[[#This Row],[Total social leasehold units developed or newly built units acquired in-year (owned)]] )</f>
        <v>326</v>
      </c>
      <c r="P208" s="84" vm="4598">
        <v>326</v>
      </c>
      <c r="Q208" s="83" vm="4599">
        <v>0</v>
      </c>
      <c r="R208" s="5">
        <f xml:space="preserve"> SUM( VfM_Metrics_2023_Consol[[#This Row],[Total social housing units owned (Period end)]], VfM_Metrics_2023_Consol[[#This Row],[Total social leasehold units owned (Period end)]] )</f>
        <v>26977</v>
      </c>
      <c r="S208" s="84" vm="4590">
        <v>25889</v>
      </c>
      <c r="T208" s="83" vm="4600">
        <v>1088</v>
      </c>
      <c r="U208" s="86">
        <f xml:space="preserve"> IFERROR( VfM_Metrics_2023_Consol[[#This Row],[Total non-social housing units developed or newly built units acquired (owned)]] / VfM_Metrics_2023_Consol[[#This Row],[Total social and non-social housing units owned (Period end)]], "n/a" )</f>
        <v>2.2491967154587649E-3</v>
      </c>
      <c r="V208" s="5">
        <f xml:space="preserve"> SUM( VfM_Metrics_2023_Consol[[#This Row],[Total non-social units developed or newly built units acquired in-year (owned)]], VfM_Metrics_2023_Consol[[#This Row],[Total non-social leasehold units developed or newly built units acquired in-year (owned)]], VfM_Metrics_2023_Consol[[#This Row],[New outright sale units developed or acquired (owned)]] )</f>
        <v>63</v>
      </c>
      <c r="W208" s="83" vm="7501">
        <v>46</v>
      </c>
      <c r="X208" s="83" vm="3842">
        <v>17</v>
      </c>
      <c r="Y208" s="83" vm="4601">
        <v>0</v>
      </c>
      <c r="Z208" s="5">
        <f xml:space="preserve"> SUM( VfM_Metrics_2023_Consol[[#This Row],[Total social housing units owned (Period end)2]], VfM_Metrics_2023_Consol[[#This Row],[Total social leasehold units owned (Period end)2]], VfM_Metrics_2023_Consol[[#This Row],[Total non-social rental housing units owned (Period end)]], VfM_Metrics_2023_Consol[[#This Row],[Total non-social leasehold units owned (Period end)]] )</f>
        <v>28010</v>
      </c>
      <c r="AA208" s="84" vm="4590">
        <v>25889</v>
      </c>
      <c r="AB208" s="83" vm="7555">
        <v>1088</v>
      </c>
      <c r="AC208" s="83" vm="4602">
        <v>620</v>
      </c>
      <c r="AD208" s="83" vm="4603">
        <v>413</v>
      </c>
      <c r="AE208" s="7">
        <f xml:space="preserve"> IFERROR( VfM_Metrics_2023_Consol[[#This Row],[Total Net Debt]] / VfM_Metrics_2023_Consol[[#This Row],[Net Book Value of Housing Properties2]], "n/a" )</f>
        <v>0.44816007977973854</v>
      </c>
      <c r="AF208" s="5">
        <f xml:space="preserve"> SUM( VfM_Metrics_2023_Consol[[#This Row],[Short-term loans]], VfM_Metrics_2023_Consol[[#This Row],[Long-term loans]], - VfM_Metrics_2023_Consol[[#This Row],[Cash and cash equivalents ]], VfM_Metrics_2023_Consol[[#This Row],[Amounts owed to group undertakings]], VfM_Metrics_2023_Consol[[#This Row],[Finance lease obligations]] )</f>
        <v>516807</v>
      </c>
      <c r="AG208" s="84" vm="4604">
        <v>13258</v>
      </c>
      <c r="AH208" s="83" vm="4605">
        <v>572421</v>
      </c>
      <c r="AI208" s="83" vm="4606">
        <v>69850</v>
      </c>
      <c r="AJ208" s="83" vm="4607">
        <v>0</v>
      </c>
      <c r="AK208" s="83" vm="4608">
        <v>978</v>
      </c>
      <c r="AL208" s="5">
        <f xml:space="preserve"> SUM( VfM_Metrics_2023_Consol[[#This Row],[Tangible fixed assets: Housing properties at cost (Current period)2]], VfM_Metrics_2023_Consol[[#This Row],[Tangible fixed assets Housing properties at valuation (Current period)2]] )</f>
        <v>1153175</v>
      </c>
      <c r="AM208" s="84" vm="4596">
        <v>1153175</v>
      </c>
      <c r="AN208" s="83" vm="6968">
        <v>0</v>
      </c>
      <c r="AO208" s="87">
        <f xml:space="preserve"> IFERROR( VfM_Metrics_2023_Consol[[#This Row],[EBITDA MRI]] / VfM_Metrics_2023_Consol[[#This Row],[Total interest]], "n/a" )</f>
        <v>-0.58014772580018137</v>
      </c>
      <c r="AP208" s="5">
        <f xml:space="preserve"> SUM( VfM_Metrics_2023_Consol[[#This Row],[Operating surplus/(deficit) (overall)]], - VfM_Metrics_2023_Consol[[#This Row],[Gain/(loss) on disposal of fixed assets (housing properties)]], - VfM_Metrics_2023_Consol[[#This Row],[Gain/(loss) on disposal of fixed assets (other)]], - VfM_Metrics_2023_Consol[[#This Row],[Amortised government grant]], - VfM_Metrics_2023_Consol[[#This Row],[Government grants taken to income]], VfM_Metrics_2023_Consol[[#This Row],[Interest receivable]], - VfM_Metrics_2023_Consol[[#This Row],[Capitalised major repairs expenditure for period]], VfM_Metrics_2023_Consol[[#This Row],[Total depreciation charge for period]] )</f>
        <v>-13431</v>
      </c>
      <c r="AQ208" s="84" vm="4609">
        <v>-5643</v>
      </c>
      <c r="AR208" s="84" vm="4610">
        <v>4542</v>
      </c>
      <c r="AS208" s="84" vm="4611">
        <v>-2</v>
      </c>
      <c r="AT208" s="84" vm="7156">
        <v>0</v>
      </c>
      <c r="AU208" s="84" vm="4612">
        <v>4774</v>
      </c>
      <c r="AV208" s="84" vm="4862">
        <v>3435</v>
      </c>
      <c r="AW208" s="84" vm="7643">
        <v>28721</v>
      </c>
      <c r="AX208" s="84" vm="4614">
        <v>26812</v>
      </c>
      <c r="AY208" s="3">
        <f xml:space="preserve"> - SUM( VfM_Metrics_2023_Consol[[#This Row],[Interest capitalised]], VfM_Metrics_2023_Consol[[#This Row],[Interest payable and financing costs]] )</f>
        <v>23151</v>
      </c>
      <c r="AZ208" s="84" vm="4615">
        <v>-2324</v>
      </c>
      <c r="BA208" s="83" vm="6967">
        <v>-20827</v>
      </c>
      <c r="BB208" s="8">
        <f xml:space="preserve"> IFERROR( ( VfM_Metrics_2023_Consol[[#This Row],[Total Costs]] / VfM_Metrics_2023_Consol[[#This Row],[Total units for costs]] ) * 1000, "n/a" )</f>
        <v>6701.3420274471155</v>
      </c>
      <c r="BC208" s="5">
        <f xml:space="preserve"> SUM( VfM_Metrics_2023_Consol[[#This Row],[Management costs]], VfM_Metrics_2023_Consol[[#This Row],[Service charge costs]], VfM_Metrics_2023_Consol[[#This Row],[Routine maintenance costs]], VfM_Metrics_2023_Consol[[#This Row],[Planned maintenance costs]], VfM_Metrics_2023_Consol[[#This Row],[Major repairs expenditure]], VfM_Metrics_2023_Consol[[#This Row],[Lease costs]], VfM_Metrics_2023_Consol[[#This Row],[Capitalised major repairs expenditure for period2]], VfM_Metrics_2023_Consol[[#This Row],[Other (social housing letting) costs]], VfM_Metrics_2023_Consol[[#This Row],[Development services]], VfM_Metrics_2023_Consol[[#This Row],[Community/neighbourhood services]], VfM_Metrics_2023_Consol[[#This Row],[Other social housing activities: Other]], VfM_Metrics_2023_Consol[[#This Row],[Other social housing activities: charges for support services]] )</f>
        <v>176768</v>
      </c>
      <c r="BD208" s="84" vm="7334">
        <v>60371</v>
      </c>
      <c r="BE208" s="83" vm="4617">
        <v>21859</v>
      </c>
      <c r="BF208" s="83" vm="4618">
        <v>21003</v>
      </c>
      <c r="BG208" s="83" vm="4619">
        <v>14878</v>
      </c>
      <c r="BH208" s="83" vm="4620">
        <v>3109</v>
      </c>
      <c r="BI208" s="83" vm="4621">
        <v>0</v>
      </c>
      <c r="BJ208" s="83" vm="4613">
        <v>28721</v>
      </c>
      <c r="BK208" s="83" vm="7333">
        <v>4094</v>
      </c>
      <c r="BL208" s="83" vm="2490">
        <v>0</v>
      </c>
      <c r="BM208" s="83" vm="4622">
        <v>1018</v>
      </c>
      <c r="BN208" s="83" vm="4623">
        <v>20018</v>
      </c>
      <c r="BO208" s="83" vm="7585">
        <v>1697</v>
      </c>
      <c r="BP208" s="5" vm="4591">
        <f xml:space="preserve"> VfM_Metrics_2023_Consol[[#This Row],[Total social housing units owned and/or managed at period end]]</f>
        <v>26378</v>
      </c>
      <c r="BQ208" s="84" vm="4591">
        <v>26378</v>
      </c>
      <c r="BR208" s="7">
        <f xml:space="preserve"> IFERROR( VfM_Metrics_2023_Consol[[#This Row],[SHL operating surplus / (deficit)]] / VfM_Metrics_2023_Consol[[#This Row],[Turnover from social housing lettings]], "n/a" )</f>
        <v>1.0497346712171065E-2</v>
      </c>
      <c r="BS208" s="5" vm="4624">
        <f xml:space="preserve"> VfM_Metrics_2023_Consol[[#This Row],[Operating surplus/(deficit) (social housing lettings)]]</f>
        <v>1541</v>
      </c>
      <c r="BT208" s="84" vm="4624">
        <v>1541</v>
      </c>
      <c r="BU208" s="5" vm="4625">
        <f xml:space="preserve"> VfM_Metrics_2023_Consol[[#This Row],[Turnover from social housing lettings]]</f>
        <v>146799</v>
      </c>
      <c r="BV208" s="84" vm="4625">
        <v>146799</v>
      </c>
      <c r="BW208" s="7">
        <f xml:space="preserve"> IFERROR( VfM_Metrics_2023_Consol[[#This Row],[Net operating surplus]] / VfM_Metrics_2023_Consol[[#This Row],[Overall turnover]], "n/a" )</f>
        <v>-5.6231707990501957E-2</v>
      </c>
      <c r="BX208" s="5">
        <f xml:space="preserve"> SUM( VfM_Metrics_2023_Consol[[#This Row],[Operating surplus/(deficit) (overall)2]], - VfM_Metrics_2023_Consol[[#This Row],[Gain/(loss) on disposal of fixed assets (housing properties)2]], - VfM_Metrics_2023_Consol[[#This Row],[Gain/(loss) on disposal of fixed assets (other)2]] )</f>
        <v>-10183</v>
      </c>
      <c r="BY208" s="84" vm="4609">
        <v>-5643</v>
      </c>
      <c r="BZ208" s="83" vm="7154">
        <v>4542</v>
      </c>
      <c r="CA208" s="83" vm="4611">
        <v>-2</v>
      </c>
      <c r="CB208" s="5" vm="4626">
        <f xml:space="preserve"> VfM_Metrics_2023_Consol[[#This Row],[Turnover (overall)]]</f>
        <v>181090</v>
      </c>
      <c r="CC208" s="84" vm="4626">
        <v>181090</v>
      </c>
      <c r="CD208" s="7">
        <f xml:space="preserve"> IFERROR( VfM_Metrics_2023_Consol[[#This Row],[Operating surplus including from JVs]] / VfM_Metrics_2023_Consol[[#This Row],[Net assets]], "n/a" )</f>
        <v>-3.9305256117431924E-3</v>
      </c>
      <c r="CE208" s="5">
        <f xml:space="preserve"> SUM( VfM_Metrics_2023_Consol[[#This Row],[Operating surplus/(deficit) (overall)3]], VfM_Metrics_2023_Consol[[#This Row],[Share of operating surplus/(deficit) in joint ventures or associates]] )</f>
        <v>-5524</v>
      </c>
      <c r="CF208" s="84" vm="4609">
        <v>-5643</v>
      </c>
      <c r="CG208" s="83" vm="4628">
        <v>119</v>
      </c>
      <c r="CH208" s="5" vm="4627">
        <f xml:space="preserve"> VfM_Metrics_2023_Consol[[#This Row],[Total assets less current liabilities]]</f>
        <v>1405410</v>
      </c>
      <c r="CI208" s="84" vm="4627">
        <v>1405410</v>
      </c>
      <c r="CJ208" s="71" vm="4590">
        <f xml:space="preserve"> VfM_Metrics_2023_Consol[[#This Row],[Total social housing units owned (Period end)]]</f>
        <v>25889</v>
      </c>
      <c r="CK208" s="103">
        <v>3.1812557378357878E-2</v>
      </c>
      <c r="CL208" s="6">
        <f xml:space="preserve"> -- ( VfM_Metrics_2023_Consol[[#This Row],[% Supported housing (excl. HOP)]] &gt; 0.3 )</f>
        <v>0</v>
      </c>
      <c r="CM208" s="103">
        <v>0.12293936853869795</v>
      </c>
      <c r="CN208" s="6">
        <f xml:space="preserve"> -- ( VfM_Metrics_2023_Consol[[#This Row],[% Housing for older people]] &gt; 0.3 )</f>
        <v>0</v>
      </c>
      <c r="CO208" s="103">
        <f xml:space="preserve"> VfM_Metrics_2023_Consol[[#This Row],[% Supported housing (excl. HOP)]] + VfM_Metrics_2023_Consol[[#This Row],[% Housing for older people]]</f>
        <v>0.15475192591705583</v>
      </c>
      <c r="CP208" s="6">
        <f xml:space="preserve"> -- ( VfM_Metrics_2023_Consol[[#This Row],[SH specialist in RSH analysis]] + VfM_Metrics_2023_Consol[[#This Row],[OP specialist in RSH analysis]] &gt; 0 )</f>
        <v>0</v>
      </c>
      <c r="CQ208" s="10">
        <f xml:space="preserve"> -- ( VfM_Metrics_2023_Consol[[#This Row],[% SH and OP]] &gt; 0.3 )</f>
        <v>0</v>
      </c>
      <c r="CR208" s="104" t="s">
        <v>143</v>
      </c>
      <c r="CS208" s="124" t="s">
        <v>144</v>
      </c>
      <c r="CT208" s="105"/>
      <c r="CU208" s="4" t="str">
        <f xml:space="preserve"> IF( MAX( VfM_Metrics_2023_Consol[[#This Row],[London]:[Yorkshire &amp; the Humber]] ) &gt; 0.5,
  INDEX( VfM_Metrics_2023_Consol[[#Headers],[London]:[Yorkshire &amp; the Humber]], 1,
       MATCH( MAX( VfM_Metrics_2023_Consol[[#This Row],[London]:[Yorkshire &amp; the Humber]] ), VfM_Metrics_2023_Consol[[#This Row],[London]:[Yorkshire &amp; the Humber]], 0 ) ),
  "Mixed"  )</f>
        <v>North West</v>
      </c>
      <c r="CV208" s="85">
        <v>3.9831116067872224E-5</v>
      </c>
      <c r="CW208" s="85">
        <v>4.7797339281446664E-4</v>
      </c>
      <c r="CX208" s="85">
        <v>1.5135824105791443E-3</v>
      </c>
      <c r="CY208" s="85">
        <v>6.8907830797418947E-3</v>
      </c>
      <c r="CZ208" s="85">
        <v>0.12873416713136301</v>
      </c>
      <c r="DA208" s="85">
        <v>0</v>
      </c>
      <c r="DB208" s="85">
        <v>0</v>
      </c>
      <c r="DC208" s="85">
        <v>0.82358798693539392</v>
      </c>
      <c r="DD208" s="85">
        <v>3.8755675934039668E-2</v>
      </c>
      <c r="DE208" s="13">
        <v>0.96081044264045101</v>
      </c>
    </row>
  </sheetData>
  <mergeCells count="20">
    <mergeCell ref="BB9:BQ9"/>
    <mergeCell ref="BR9:BV9"/>
    <mergeCell ref="BW9:CC9"/>
    <mergeCell ref="B1:B3"/>
    <mergeCell ref="B4:B6"/>
    <mergeCell ref="A7:C8"/>
    <mergeCell ref="D7:CI8"/>
    <mergeCell ref="D9:M9"/>
    <mergeCell ref="N9:T9"/>
    <mergeCell ref="U9:AD9"/>
    <mergeCell ref="AE9:AN9"/>
    <mergeCell ref="AO9:BA9"/>
    <mergeCell ref="CD9:CI9"/>
    <mergeCell ref="CJ7:CJ8"/>
    <mergeCell ref="CK7:CQ8"/>
    <mergeCell ref="CK9:CQ9"/>
    <mergeCell ref="CR9:CT9"/>
    <mergeCell ref="CU9:DE9"/>
    <mergeCell ref="CR7:CT8"/>
    <mergeCell ref="CU7:DE8"/>
  </mergeCells>
  <conditionalFormatting sqref="C11:C208">
    <cfRule type="expression" dxfId="52" priority="1">
      <formula xml:space="preserve"> ( MONTH( C11 ) &lt;&gt; 3 )</formula>
    </cfRule>
  </conditionalFormatting>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5642-499D-45B8-B90D-2E901F710844}">
  <sheetPr codeName="Sheet5">
    <tabColor rgb="FF3C8A8A"/>
    <outlinePr summaryRight="0"/>
  </sheetPr>
  <dimension ref="A1:DJ234"/>
  <sheetViews>
    <sheetView showGridLines="0" zoomScale="85" zoomScaleNormal="85" workbookViewId="0">
      <pane xSplit="3" ySplit="10" topLeftCell="D11" activePane="bottomRight" state="frozen"/>
      <selection pane="topRight" activeCell="C33" sqref="C33"/>
      <selection pane="bottomLeft" activeCell="C33" sqref="C33"/>
      <selection pane="bottomRight" activeCell="D11" sqref="D11"/>
    </sheetView>
  </sheetViews>
  <sheetFormatPr defaultColWidth="0" defaultRowHeight="20.25" zeroHeight="1" outlineLevelCol="1" x14ac:dyDescent="0.25"/>
  <cols>
    <col min="1" max="1" width="11.42578125" style="91" customWidth="1"/>
    <col min="2" max="2" width="34.5703125" style="91" customWidth="1"/>
    <col min="3" max="3" width="14.42578125" style="91" customWidth="1"/>
    <col min="4" max="4" width="17.140625" style="91" customWidth="1" collapsed="1"/>
    <col min="5" max="13" width="17.140625" style="91" hidden="1" customWidth="1" outlineLevel="1"/>
    <col min="14" max="14" width="17.140625" style="91" customWidth="1" collapsed="1"/>
    <col min="15" max="20" width="17.140625" style="91" hidden="1" customWidth="1" outlineLevel="1"/>
    <col min="21" max="21" width="17.140625" style="91" customWidth="1" collapsed="1"/>
    <col min="22" max="30" width="17.140625" style="91" hidden="1" customWidth="1" outlineLevel="1"/>
    <col min="31" max="31" width="17.140625" style="91" customWidth="1" collapsed="1"/>
    <col min="32" max="40" width="17.140625" style="91" hidden="1" customWidth="1" outlineLevel="1"/>
    <col min="41" max="41" width="17.140625" style="91" customWidth="1" collapsed="1"/>
    <col min="42" max="53" width="17.140625" style="91" hidden="1" customWidth="1" outlineLevel="1"/>
    <col min="54" max="54" width="17.140625" style="91" customWidth="1" collapsed="1"/>
    <col min="55" max="69" width="17.140625" style="91" hidden="1" customWidth="1" outlineLevel="1"/>
    <col min="70" max="70" width="17.140625" style="91" customWidth="1" collapsed="1"/>
    <col min="71" max="74" width="17.140625" style="91" hidden="1" customWidth="1" outlineLevel="1"/>
    <col min="75" max="75" width="17.140625" style="91" customWidth="1" collapsed="1"/>
    <col min="76" max="81" width="17.140625" style="91" hidden="1" customWidth="1" outlineLevel="1"/>
    <col min="82" max="82" width="17.140625" style="91" customWidth="1" collapsed="1"/>
    <col min="83" max="87" width="17.140625" style="91" hidden="1" customWidth="1" outlineLevel="1"/>
    <col min="88" max="88" width="17.140625" style="92" customWidth="1"/>
    <col min="89" max="89" width="12" style="92" customWidth="1" collapsed="1"/>
    <col min="90" max="90" width="12" style="92" hidden="1" customWidth="1" outlineLevel="1"/>
    <col min="91" max="91" width="12" style="92" customWidth="1" collapsed="1"/>
    <col min="92" max="92" width="12" style="92" hidden="1" customWidth="1" outlineLevel="1"/>
    <col min="93" max="93" width="12" style="92" customWidth="1" collapsed="1"/>
    <col min="94" max="95" width="12" style="92" hidden="1" customWidth="1" outlineLevel="1"/>
    <col min="96" max="97" width="14.5703125" style="91" customWidth="1"/>
    <col min="98" max="98" width="18.140625" style="91" customWidth="1"/>
    <col min="99" max="99" width="19.140625" style="91" customWidth="1" collapsed="1"/>
    <col min="100" max="107" width="9.5703125" style="91" hidden="1" customWidth="1" outlineLevel="1"/>
    <col min="108" max="108" width="10.42578125" style="91" hidden="1" customWidth="1" outlineLevel="1"/>
    <col min="109" max="109" width="12" style="130" customWidth="1"/>
    <col min="110" max="113" width="9.140625" style="91" hidden="1" customWidth="1"/>
    <col min="114" max="114" width="26" style="119" hidden="1" customWidth="1"/>
    <col min="115" max="16384" width="9.140625" style="91" hidden="1"/>
  </cols>
  <sheetData>
    <row r="1" spans="1:114" ht="12.75" x14ac:dyDescent="0.25">
      <c r="A1" s="93"/>
      <c r="B1" s="398" t="str">
        <f xml:space="preserve"> "Quartiles - whole dataset (" &amp; COUNTA( VfM_Metrics_2023_Entity[RP_Name] ) &amp; ")"</f>
        <v>Quartiles - whole dataset (224)</v>
      </c>
      <c r="C1" s="93" t="s">
        <v>18</v>
      </c>
      <c r="D1" s="94">
        <f xml:space="preserve"> _xlfn.PERCENTILE.EXC( VfM_Metrics_2023_Entity[Reinvestment], 0.25 )</f>
        <v>3.9185832960633368E-2</v>
      </c>
      <c r="E1" s="94"/>
      <c r="F1" s="94"/>
      <c r="G1" s="94"/>
      <c r="H1" s="94"/>
      <c r="I1" s="94"/>
      <c r="J1" s="94"/>
      <c r="K1" s="94"/>
      <c r="L1" s="94"/>
      <c r="M1" s="94"/>
      <c r="N1" s="94">
        <f xml:space="preserve"> _xlfn.PERCENTILE.EXC( VfM_Metrics_2023_Entity[New Supply (Social)], 0.25 )</f>
        <v>5.5071152458151737E-3</v>
      </c>
      <c r="O1" s="94"/>
      <c r="P1" s="94"/>
      <c r="Q1" s="94"/>
      <c r="R1" s="94"/>
      <c r="S1" s="94"/>
      <c r="T1" s="94"/>
      <c r="U1" s="95">
        <f xml:space="preserve"> _xlfn.PERCENTILE.EXC( VfM_Metrics_2023_Entity[New Supply (Non-Social)], 0.25 )</f>
        <v>0</v>
      </c>
      <c r="V1" s="94"/>
      <c r="W1" s="94"/>
      <c r="X1" s="94"/>
      <c r="Y1" s="94"/>
      <c r="Z1" s="94"/>
      <c r="AA1" s="94"/>
      <c r="AB1" s="94"/>
      <c r="AC1" s="94"/>
      <c r="AD1" s="94"/>
      <c r="AE1" s="94">
        <f xml:space="preserve"> _xlfn.PERCENTILE.EXC( VfM_Metrics_2023_Entity[Gearing], 0.25 )</f>
        <v>0.33383170279845287</v>
      </c>
      <c r="AF1" s="94"/>
      <c r="AG1" s="94"/>
      <c r="AH1" s="94"/>
      <c r="AI1" s="94"/>
      <c r="AJ1" s="94"/>
      <c r="AK1" s="94"/>
      <c r="AL1" s="94"/>
      <c r="AM1" s="94"/>
      <c r="AN1" s="94"/>
      <c r="AO1" s="94">
        <f xml:space="preserve"> _xlfn.PERCENTILE.EXC( VfM_Metrics_2023_Entity[EBITDA MRI Interest Cover], 0.25 )</f>
        <v>0.89863581526095748</v>
      </c>
      <c r="AP1" s="94"/>
      <c r="AQ1" s="94"/>
      <c r="AR1" s="94"/>
      <c r="AS1" s="94"/>
      <c r="AT1" s="94"/>
      <c r="AU1" s="94"/>
      <c r="AV1" s="94"/>
      <c r="AW1" s="94"/>
      <c r="AX1" s="94"/>
      <c r="AY1" s="94"/>
      <c r="AZ1" s="94"/>
      <c r="BA1" s="94"/>
      <c r="BB1" s="96">
        <f xml:space="preserve"> _xlfn.PERCENTILE.EXC( VfM_Metrics_2023_Entity[Headline Social Housing Cost per unit], 0.25 )</f>
        <v>4072.9229804934375</v>
      </c>
      <c r="BC1" s="94"/>
      <c r="BD1" s="94"/>
      <c r="BE1" s="94"/>
      <c r="BF1" s="94"/>
      <c r="BG1" s="94"/>
      <c r="BH1" s="94"/>
      <c r="BI1" s="94"/>
      <c r="BJ1" s="94"/>
      <c r="BK1" s="94"/>
      <c r="BL1" s="94"/>
      <c r="BM1" s="94"/>
      <c r="BN1" s="94"/>
      <c r="BO1" s="94"/>
      <c r="BP1" s="94"/>
      <c r="BQ1" s="94"/>
      <c r="BR1" s="94">
        <f xml:space="preserve"> _xlfn.PERCENTILE.EXC( VfM_Metrics_2023_Entity[Operating Margin (SHL)], 0.25 )</f>
        <v>0.14357526921668257</v>
      </c>
      <c r="BS1" s="94"/>
      <c r="BT1" s="94"/>
      <c r="BU1" s="94"/>
      <c r="BV1" s="94"/>
      <c r="BW1" s="94">
        <f xml:space="preserve"> _xlfn.PERCENTILE.EXC( VfM_Metrics_2023_Entity[Operating Margin (Overall)], 0.25 )</f>
        <v>0.12507926233702446</v>
      </c>
      <c r="BX1" s="94"/>
      <c r="BY1" s="94"/>
      <c r="BZ1" s="94"/>
      <c r="CA1" s="94"/>
      <c r="CB1" s="94"/>
      <c r="CC1" s="94"/>
      <c r="CD1" s="94">
        <f xml:space="preserve"> _xlfn.PERCENTILE.EXC( VfM_Metrics_2023_Entity[ROCE], 0.25 )</f>
        <v>2.1032214679891217E-2</v>
      </c>
      <c r="CE1" s="93"/>
      <c r="CF1" s="93"/>
      <c r="CG1" s="93"/>
      <c r="CH1" s="93"/>
      <c r="CI1" s="93"/>
      <c r="CJ1" s="97"/>
      <c r="CK1" s="97"/>
      <c r="CL1" s="97"/>
      <c r="CM1" s="97"/>
      <c r="CN1" s="97"/>
      <c r="CO1" s="97"/>
      <c r="CP1" s="97"/>
      <c r="CQ1" s="97"/>
      <c r="CR1" s="93"/>
      <c r="CS1" s="93"/>
      <c r="CT1" s="93"/>
      <c r="CU1" s="93"/>
      <c r="CV1" s="93"/>
      <c r="CW1" s="93"/>
      <c r="CX1" s="93"/>
      <c r="CY1" s="93"/>
      <c r="CZ1" s="93"/>
      <c r="DA1" s="93"/>
      <c r="DB1" s="93"/>
      <c r="DC1" s="93"/>
      <c r="DD1" s="93"/>
      <c r="DE1" s="127"/>
      <c r="DJ1" s="115"/>
    </row>
    <row r="2" spans="1:114" ht="12.75" x14ac:dyDescent="0.25">
      <c r="A2" s="93"/>
      <c r="B2" s="398"/>
      <c r="C2" s="93" t="s">
        <v>19</v>
      </c>
      <c r="D2" s="94">
        <f xml:space="preserve"> _xlfn.PERCENTILE.EXC( VfM_Metrics_2023_Entity[Reinvestment], 0.5 )</f>
        <v>6.6287638740516755E-2</v>
      </c>
      <c r="E2" s="94"/>
      <c r="F2" s="94"/>
      <c r="G2" s="94"/>
      <c r="H2" s="94"/>
      <c r="I2" s="94"/>
      <c r="J2" s="94"/>
      <c r="K2" s="94"/>
      <c r="L2" s="94"/>
      <c r="M2" s="94"/>
      <c r="N2" s="94">
        <f xml:space="preserve"> _xlfn.PERCENTILE.EXC( VfM_Metrics_2023_Entity[New Supply (Social)], 0.5 )</f>
        <v>1.2916380184934385E-2</v>
      </c>
      <c r="O2" s="94"/>
      <c r="P2" s="94"/>
      <c r="Q2" s="94"/>
      <c r="R2" s="94"/>
      <c r="S2" s="94"/>
      <c r="T2" s="94"/>
      <c r="U2" s="95">
        <f xml:space="preserve"> _xlfn.PERCENTILE.EXC( VfM_Metrics_2023_Entity[New Supply (Non-Social)], 0.5 )</f>
        <v>0</v>
      </c>
      <c r="V2" s="94"/>
      <c r="W2" s="94"/>
      <c r="X2" s="94"/>
      <c r="Y2" s="94"/>
      <c r="Z2" s="94"/>
      <c r="AA2" s="94"/>
      <c r="AB2" s="94"/>
      <c r="AC2" s="94"/>
      <c r="AD2" s="94"/>
      <c r="AE2" s="94">
        <f xml:space="preserve"> _xlfn.PERCENTILE.EXC( VfM_Metrics_2023_Entity[Gearing], 0.5 )</f>
        <v>0.45460534712137779</v>
      </c>
      <c r="AF2" s="94"/>
      <c r="AG2" s="94"/>
      <c r="AH2" s="94"/>
      <c r="AI2" s="94"/>
      <c r="AJ2" s="94"/>
      <c r="AK2" s="94"/>
      <c r="AL2" s="94"/>
      <c r="AM2" s="94"/>
      <c r="AN2" s="94"/>
      <c r="AO2" s="94">
        <f xml:space="preserve"> _xlfn.PERCENTILE.EXC( VfM_Metrics_2023_Entity[EBITDA MRI Interest Cover], 0.5 )</f>
        <v>1.2437365783822476</v>
      </c>
      <c r="AP2" s="94"/>
      <c r="AQ2" s="94"/>
      <c r="AR2" s="94"/>
      <c r="AS2" s="94"/>
      <c r="AT2" s="94"/>
      <c r="AU2" s="94"/>
      <c r="AV2" s="94"/>
      <c r="AW2" s="94"/>
      <c r="AX2" s="94"/>
      <c r="AY2" s="94"/>
      <c r="AZ2" s="94"/>
      <c r="BA2" s="94"/>
      <c r="BB2" s="96">
        <f xml:space="preserve"> _xlfn.PERCENTILE.EXC( VfM_Metrics_2023_Entity[Headline Social Housing Cost per unit], 0.5 )</f>
        <v>4567.7321422971818</v>
      </c>
      <c r="BC2" s="94"/>
      <c r="BD2" s="94"/>
      <c r="BE2" s="94"/>
      <c r="BF2" s="94"/>
      <c r="BG2" s="94"/>
      <c r="BH2" s="94"/>
      <c r="BI2" s="94"/>
      <c r="BJ2" s="94"/>
      <c r="BK2" s="94"/>
      <c r="BL2" s="94"/>
      <c r="BM2" s="94"/>
      <c r="BN2" s="94"/>
      <c r="BO2" s="94"/>
      <c r="BP2" s="94"/>
      <c r="BQ2" s="94"/>
      <c r="BR2" s="94">
        <f xml:space="preserve"> _xlfn.PERCENTILE.EXC( VfM_Metrics_2023_Entity[Operating Margin (SHL)], 0.5 )</f>
        <v>0.19916641781621425</v>
      </c>
      <c r="BS2" s="94"/>
      <c r="BT2" s="94"/>
      <c r="BU2" s="94"/>
      <c r="BV2" s="94"/>
      <c r="BW2" s="94">
        <f xml:space="preserve"> _xlfn.PERCENTILE.EXC( VfM_Metrics_2023_Entity[Operating Margin (Overall)], 0.5 )</f>
        <v>0.1884161167006877</v>
      </c>
      <c r="BX2" s="94"/>
      <c r="BY2" s="94"/>
      <c r="BZ2" s="94"/>
      <c r="CA2" s="94"/>
      <c r="CB2" s="94"/>
      <c r="CC2" s="94"/>
      <c r="CD2" s="94">
        <f xml:space="preserve"> _xlfn.PERCENTILE.EXC( VfM_Metrics_2023_Entity[ROCE], 0.5 )</f>
        <v>2.7911080788831408E-2</v>
      </c>
      <c r="CE2" s="93"/>
      <c r="CF2" s="93"/>
      <c r="CG2" s="93"/>
      <c r="CH2" s="93"/>
      <c r="CI2" s="93"/>
      <c r="CJ2" s="97"/>
      <c r="CK2" s="97"/>
      <c r="CL2" s="97"/>
      <c r="CM2" s="97"/>
      <c r="CN2" s="97"/>
      <c r="CO2" s="97"/>
      <c r="CP2" s="97"/>
      <c r="CQ2" s="97"/>
      <c r="CR2" s="93"/>
      <c r="CS2" s="93"/>
      <c r="CT2" s="93"/>
      <c r="CU2" s="93"/>
      <c r="CV2" s="93"/>
      <c r="CW2" s="93"/>
      <c r="CX2" s="93"/>
      <c r="CY2" s="93"/>
      <c r="CZ2" s="93"/>
      <c r="DA2" s="93"/>
      <c r="DB2" s="93"/>
      <c r="DC2" s="93"/>
      <c r="DD2" s="93"/>
      <c r="DE2" s="127"/>
      <c r="DJ2" s="115"/>
    </row>
    <row r="3" spans="1:114" ht="12.75" x14ac:dyDescent="0.25">
      <c r="A3" s="93"/>
      <c r="B3" s="399"/>
      <c r="C3" s="98" t="s">
        <v>20</v>
      </c>
      <c r="D3" s="99">
        <f xml:space="preserve"> _xlfn.PERCENTILE.EXC( VfM_Metrics_2023_Entity[Reinvestment], 0.75 )</f>
        <v>9.2484764211921394E-2</v>
      </c>
      <c r="E3" s="99"/>
      <c r="F3" s="99"/>
      <c r="G3" s="99"/>
      <c r="H3" s="99"/>
      <c r="I3" s="99"/>
      <c r="J3" s="99"/>
      <c r="K3" s="99"/>
      <c r="L3" s="99"/>
      <c r="M3" s="99"/>
      <c r="N3" s="99">
        <f xml:space="preserve"> _xlfn.PERCENTILE.EXC( VfM_Metrics_2023_Entity[New Supply (Social)], 0.75 )</f>
        <v>2.236095743113125E-2</v>
      </c>
      <c r="O3" s="99"/>
      <c r="P3" s="99"/>
      <c r="Q3" s="99"/>
      <c r="R3" s="99"/>
      <c r="S3" s="99"/>
      <c r="T3" s="99"/>
      <c r="U3" s="100">
        <f xml:space="preserve"> _xlfn.PERCENTILE.EXC( VfM_Metrics_2023_Entity[New Supply (Non-Social)], 0.75 )</f>
        <v>0</v>
      </c>
      <c r="V3" s="99"/>
      <c r="W3" s="99"/>
      <c r="X3" s="99"/>
      <c r="Y3" s="99"/>
      <c r="Z3" s="99"/>
      <c r="AA3" s="99"/>
      <c r="AB3" s="99"/>
      <c r="AC3" s="99"/>
      <c r="AD3" s="99"/>
      <c r="AE3" s="99">
        <f xml:space="preserve"> _xlfn.PERCENTILE.EXC( VfM_Metrics_2023_Entity[Gearing], 0.75 )</f>
        <v>0.54981637991749677</v>
      </c>
      <c r="AF3" s="99"/>
      <c r="AG3" s="99"/>
      <c r="AH3" s="99"/>
      <c r="AI3" s="99"/>
      <c r="AJ3" s="99"/>
      <c r="AK3" s="99"/>
      <c r="AL3" s="99"/>
      <c r="AM3" s="99"/>
      <c r="AN3" s="99"/>
      <c r="AO3" s="99">
        <f xml:space="preserve"> _xlfn.PERCENTILE.EXC( VfM_Metrics_2023_Entity[EBITDA MRI Interest Cover], 0.75 )</f>
        <v>1.7270943492556312</v>
      </c>
      <c r="AP3" s="99"/>
      <c r="AQ3" s="99"/>
      <c r="AR3" s="99"/>
      <c r="AS3" s="99"/>
      <c r="AT3" s="99"/>
      <c r="AU3" s="99"/>
      <c r="AV3" s="99"/>
      <c r="AW3" s="99"/>
      <c r="AX3" s="99"/>
      <c r="AY3" s="99"/>
      <c r="AZ3" s="99"/>
      <c r="BA3" s="99"/>
      <c r="BB3" s="101">
        <f xml:space="preserve"> _xlfn.PERCENTILE.EXC( VfM_Metrics_2023_Entity[Headline Social Housing Cost per unit], 0.75 )</f>
        <v>5985.101760101139</v>
      </c>
      <c r="BC3" s="99"/>
      <c r="BD3" s="99"/>
      <c r="BE3" s="99"/>
      <c r="BF3" s="99"/>
      <c r="BG3" s="99"/>
      <c r="BH3" s="99"/>
      <c r="BI3" s="99"/>
      <c r="BJ3" s="99"/>
      <c r="BK3" s="99"/>
      <c r="BL3" s="99"/>
      <c r="BM3" s="99"/>
      <c r="BN3" s="99"/>
      <c r="BO3" s="99"/>
      <c r="BP3" s="99"/>
      <c r="BQ3" s="99"/>
      <c r="BR3" s="99">
        <f xml:space="preserve"> _xlfn.PERCENTILE.EXC( VfM_Metrics_2023_Entity[Operating Margin (SHL)], 0.75 )</f>
        <v>0.26164694821624818</v>
      </c>
      <c r="BS3" s="99"/>
      <c r="BT3" s="99"/>
      <c r="BU3" s="99"/>
      <c r="BV3" s="99"/>
      <c r="BW3" s="99">
        <f xml:space="preserve"> _xlfn.PERCENTILE.EXC( VfM_Metrics_2023_Entity[Operating Margin (Overall)], 0.75 )</f>
        <v>0.24078445138404819</v>
      </c>
      <c r="BX3" s="99"/>
      <c r="BY3" s="99"/>
      <c r="BZ3" s="99"/>
      <c r="CA3" s="99"/>
      <c r="CB3" s="99"/>
      <c r="CC3" s="99"/>
      <c r="CD3" s="99">
        <f xml:space="preserve"> _xlfn.PERCENTILE.EXC( VfM_Metrics_2023_Entity[ROCE], 0.75 )</f>
        <v>3.641882826094682E-2</v>
      </c>
      <c r="CE3" s="93"/>
      <c r="CF3" s="93"/>
      <c r="CG3" s="93"/>
      <c r="CH3" s="93"/>
      <c r="CI3" s="93"/>
      <c r="CJ3" s="97"/>
      <c r="CK3" s="97"/>
      <c r="CL3" s="97"/>
      <c r="CM3" s="97"/>
      <c r="CN3" s="97"/>
      <c r="CO3" s="97"/>
      <c r="CP3" s="97"/>
      <c r="CQ3" s="97"/>
      <c r="CR3" s="93"/>
      <c r="CS3" s="93"/>
      <c r="CT3" s="93"/>
      <c r="CU3" s="93"/>
      <c r="CV3" s="93"/>
      <c r="CW3" s="93"/>
      <c r="CX3" s="93"/>
      <c r="CY3" s="93"/>
      <c r="CZ3" s="93"/>
      <c r="DA3" s="93"/>
      <c r="DB3" s="93"/>
      <c r="DC3" s="93"/>
      <c r="DD3" s="93"/>
      <c r="DE3" s="127"/>
      <c r="DJ3" s="115"/>
    </row>
    <row r="4" spans="1:114" ht="12.75" x14ac:dyDescent="0.25">
      <c r="A4" s="93"/>
      <c r="B4" s="400" t="str">
        <f xml:space="preserve"> "Quartiles - filtered rows (" &amp; SUBTOTAL( 3, VfM_Metrics_2023_Entity[RP_Name] ) &amp; ")"</f>
        <v>Quartiles - filtered rows (224)</v>
      </c>
      <c r="C4" s="102" t="s">
        <v>18</v>
      </c>
      <c r="D4" s="94">
        <f xml:space="preserve"> _xlfn.AGGREGATE( 18, 1, VfM_Metrics_2023_Entity[Reinvestment], 0.25 )</f>
        <v>3.9185832960633368E-2</v>
      </c>
      <c r="E4" s="94"/>
      <c r="F4" s="94"/>
      <c r="G4" s="94"/>
      <c r="H4" s="94"/>
      <c r="I4" s="94"/>
      <c r="J4" s="94"/>
      <c r="K4" s="94"/>
      <c r="L4" s="94"/>
      <c r="M4" s="94"/>
      <c r="N4" s="94">
        <f xml:space="preserve"> _xlfn.AGGREGATE( 18, 1, VfM_Metrics_2023_Entity[New Supply (Social)], 0.25 )</f>
        <v>5.5071152458151737E-3</v>
      </c>
      <c r="O4" s="94"/>
      <c r="P4" s="94"/>
      <c r="Q4" s="94"/>
      <c r="R4" s="94"/>
      <c r="S4" s="94"/>
      <c r="T4" s="94"/>
      <c r="U4" s="95">
        <f xml:space="preserve"> _xlfn.AGGREGATE( 18, 1, VfM_Metrics_2023_Entity[New Supply (Non-Social)], 0.25 )</f>
        <v>0</v>
      </c>
      <c r="V4" s="94"/>
      <c r="W4" s="94"/>
      <c r="X4" s="94"/>
      <c r="Y4" s="94"/>
      <c r="Z4" s="94"/>
      <c r="AA4" s="94"/>
      <c r="AB4" s="94"/>
      <c r="AC4" s="94"/>
      <c r="AD4" s="94"/>
      <c r="AE4" s="94">
        <f xml:space="preserve"> _xlfn.AGGREGATE( 18, 1, VfM_Metrics_2023_Entity[Gearing], 0.25 )</f>
        <v>0.33383170279845287</v>
      </c>
      <c r="AF4" s="94"/>
      <c r="AG4" s="94"/>
      <c r="AH4" s="94"/>
      <c r="AI4" s="94"/>
      <c r="AJ4" s="94"/>
      <c r="AK4" s="94"/>
      <c r="AL4" s="94"/>
      <c r="AM4" s="94"/>
      <c r="AN4" s="94"/>
      <c r="AO4" s="94">
        <f xml:space="preserve"> _xlfn.AGGREGATE( 18, 1, VfM_Metrics_2023_Entity[EBITDA MRI Interest Cover], 0.25 )</f>
        <v>0.89863581526095748</v>
      </c>
      <c r="AP4" s="94"/>
      <c r="AQ4" s="94"/>
      <c r="AR4" s="94"/>
      <c r="AS4" s="94"/>
      <c r="AT4" s="94"/>
      <c r="AU4" s="94"/>
      <c r="AV4" s="94"/>
      <c r="AW4" s="94"/>
      <c r="AX4" s="94"/>
      <c r="AY4" s="94"/>
      <c r="AZ4" s="94"/>
      <c r="BA4" s="94"/>
      <c r="BB4" s="96">
        <f xml:space="preserve"> _xlfn.AGGREGATE( 18, 1, VfM_Metrics_2023_Entity[Headline Social Housing Cost per unit], 0.25 )</f>
        <v>4072.9229804934375</v>
      </c>
      <c r="BC4" s="94"/>
      <c r="BD4" s="94"/>
      <c r="BE4" s="94"/>
      <c r="BF4" s="94"/>
      <c r="BG4" s="94"/>
      <c r="BH4" s="94"/>
      <c r="BI4" s="94"/>
      <c r="BJ4" s="94"/>
      <c r="BK4" s="94"/>
      <c r="BL4" s="94"/>
      <c r="BM4" s="94"/>
      <c r="BN4" s="94"/>
      <c r="BO4" s="94"/>
      <c r="BP4" s="94"/>
      <c r="BQ4" s="94"/>
      <c r="BR4" s="94">
        <f xml:space="preserve"> _xlfn.AGGREGATE( 18, 1, VfM_Metrics_2023_Entity[Operating Margin (SHL)], 0.25 )</f>
        <v>0.14357526921668257</v>
      </c>
      <c r="BS4" s="94"/>
      <c r="BT4" s="94"/>
      <c r="BU4" s="94"/>
      <c r="BV4" s="94"/>
      <c r="BW4" s="94">
        <f xml:space="preserve"> _xlfn.AGGREGATE( 18, 1, VfM_Metrics_2023_Entity[Operating Margin (Overall)], 0.25 )</f>
        <v>0.12507926233702446</v>
      </c>
      <c r="BX4" s="94"/>
      <c r="BY4" s="94"/>
      <c r="BZ4" s="94"/>
      <c r="CA4" s="94"/>
      <c r="CB4" s="94"/>
      <c r="CC4" s="94"/>
      <c r="CD4" s="94">
        <f xml:space="preserve"> _xlfn.AGGREGATE( 18, 1, VfM_Metrics_2023_Entity[ROCE], 0.25 )</f>
        <v>2.1032214679891217E-2</v>
      </c>
      <c r="CE4" s="93"/>
      <c r="CF4" s="93"/>
      <c r="CG4" s="93"/>
      <c r="CH4" s="93"/>
      <c r="CI4" s="93"/>
      <c r="CJ4" s="97"/>
      <c r="CK4" s="97"/>
      <c r="CL4" s="97"/>
      <c r="CM4" s="97"/>
      <c r="CN4" s="97"/>
      <c r="CO4" s="97"/>
      <c r="CP4" s="97"/>
      <c r="CQ4" s="97"/>
      <c r="CR4" s="93"/>
      <c r="CS4" s="93"/>
      <c r="CT4" s="93"/>
      <c r="CU4" s="93"/>
      <c r="CV4" s="93"/>
      <c r="CW4" s="93"/>
      <c r="CX4" s="93"/>
      <c r="CY4" s="93"/>
      <c r="CZ4" s="93"/>
      <c r="DA4" s="93"/>
      <c r="DB4" s="93"/>
      <c r="DC4" s="93"/>
      <c r="DD4" s="93"/>
      <c r="DE4" s="127"/>
      <c r="DJ4" s="115"/>
    </row>
    <row r="5" spans="1:114" ht="12.75" x14ac:dyDescent="0.25">
      <c r="A5" s="93"/>
      <c r="B5" s="398"/>
      <c r="C5" s="93" t="s">
        <v>19</v>
      </c>
      <c r="D5" s="94">
        <f xml:space="preserve"> _xlfn.AGGREGATE( 18, 1, VfM_Metrics_2023_Entity[Reinvestment], 0.5 )</f>
        <v>6.6287638740516755E-2</v>
      </c>
      <c r="E5" s="94"/>
      <c r="F5" s="94"/>
      <c r="G5" s="94"/>
      <c r="H5" s="94"/>
      <c r="I5" s="94"/>
      <c r="J5" s="94"/>
      <c r="K5" s="94"/>
      <c r="L5" s="94"/>
      <c r="M5" s="94"/>
      <c r="N5" s="94">
        <f xml:space="preserve"> _xlfn.AGGREGATE( 18, 1, VfM_Metrics_2023_Entity[New Supply (Social)], 0.5 )</f>
        <v>1.2916380184934385E-2</v>
      </c>
      <c r="O5" s="94"/>
      <c r="P5" s="94"/>
      <c r="Q5" s="94"/>
      <c r="R5" s="94"/>
      <c r="S5" s="94"/>
      <c r="T5" s="94"/>
      <c r="U5" s="95">
        <f xml:space="preserve"> _xlfn.AGGREGATE( 18, 1, VfM_Metrics_2023_Entity[New Supply (Non-Social)], 0.5 )</f>
        <v>0</v>
      </c>
      <c r="V5" s="94"/>
      <c r="W5" s="94"/>
      <c r="X5" s="94"/>
      <c r="Y5" s="94"/>
      <c r="Z5" s="94"/>
      <c r="AA5" s="94"/>
      <c r="AB5" s="94"/>
      <c r="AC5" s="94"/>
      <c r="AD5" s="94"/>
      <c r="AE5" s="94">
        <f xml:space="preserve"> _xlfn.AGGREGATE( 18, 1, VfM_Metrics_2023_Entity[Gearing], 0.5 )</f>
        <v>0.45460534712137779</v>
      </c>
      <c r="AF5" s="94"/>
      <c r="AG5" s="94"/>
      <c r="AH5" s="94"/>
      <c r="AI5" s="94"/>
      <c r="AJ5" s="94"/>
      <c r="AK5" s="94"/>
      <c r="AL5" s="94"/>
      <c r="AM5" s="94"/>
      <c r="AN5" s="94"/>
      <c r="AO5" s="94">
        <f xml:space="preserve"> _xlfn.AGGREGATE( 18, 1, VfM_Metrics_2023_Entity[EBITDA MRI Interest Cover], 0.5 )</f>
        <v>1.2437365783822476</v>
      </c>
      <c r="AP5" s="94"/>
      <c r="AQ5" s="94"/>
      <c r="AR5" s="94"/>
      <c r="AS5" s="94"/>
      <c r="AT5" s="94"/>
      <c r="AU5" s="94"/>
      <c r="AV5" s="94"/>
      <c r="AW5" s="94"/>
      <c r="AX5" s="94"/>
      <c r="AY5" s="94"/>
      <c r="AZ5" s="94"/>
      <c r="BA5" s="94"/>
      <c r="BB5" s="96">
        <f xml:space="preserve"> _xlfn.AGGREGATE( 18, 1, VfM_Metrics_2023_Entity[Headline Social Housing Cost per unit], 0.5 )</f>
        <v>4567.7321422971818</v>
      </c>
      <c r="BC5" s="94"/>
      <c r="BD5" s="94"/>
      <c r="BE5" s="94"/>
      <c r="BF5" s="94"/>
      <c r="BG5" s="94"/>
      <c r="BH5" s="94"/>
      <c r="BI5" s="94"/>
      <c r="BJ5" s="94"/>
      <c r="BK5" s="94"/>
      <c r="BL5" s="94"/>
      <c r="BM5" s="94"/>
      <c r="BN5" s="94"/>
      <c r="BO5" s="94"/>
      <c r="BP5" s="94"/>
      <c r="BQ5" s="94"/>
      <c r="BR5" s="94">
        <f xml:space="preserve"> _xlfn.AGGREGATE( 18, 1, VfM_Metrics_2023_Entity[Operating Margin (SHL)], 0.5 )</f>
        <v>0.19916641781621425</v>
      </c>
      <c r="BS5" s="94"/>
      <c r="BT5" s="94"/>
      <c r="BU5" s="94"/>
      <c r="BV5" s="94"/>
      <c r="BW5" s="94">
        <f xml:space="preserve"> _xlfn.AGGREGATE( 18, 1, VfM_Metrics_2023_Entity[Operating Margin (Overall)], 0.5 )</f>
        <v>0.1884161167006877</v>
      </c>
      <c r="BX5" s="94"/>
      <c r="BY5" s="94"/>
      <c r="BZ5" s="94"/>
      <c r="CA5" s="94"/>
      <c r="CB5" s="94"/>
      <c r="CC5" s="94"/>
      <c r="CD5" s="94">
        <f xml:space="preserve"> _xlfn.AGGREGATE( 18, 1, VfM_Metrics_2023_Entity[ROCE], 0.5 )</f>
        <v>2.7911080788831408E-2</v>
      </c>
      <c r="CE5" s="93"/>
      <c r="CF5" s="93"/>
      <c r="CG5" s="93"/>
      <c r="CH5" s="93"/>
      <c r="CI5" s="93"/>
      <c r="CJ5" s="97"/>
      <c r="CK5" s="97"/>
      <c r="CL5" s="97"/>
      <c r="CM5" s="97"/>
      <c r="CN5" s="97"/>
      <c r="CO5" s="97"/>
      <c r="CP5" s="97"/>
      <c r="CQ5" s="97"/>
      <c r="CR5" s="93"/>
      <c r="CS5" s="93"/>
      <c r="CT5" s="93"/>
      <c r="CU5" s="93"/>
      <c r="CV5" s="93"/>
      <c r="CW5" s="93"/>
      <c r="CX5" s="93"/>
      <c r="CY5" s="93"/>
      <c r="CZ5" s="93"/>
      <c r="DA5" s="93"/>
      <c r="DB5" s="93"/>
      <c r="DC5" s="93"/>
      <c r="DD5" s="93"/>
      <c r="DE5" s="127"/>
      <c r="DJ5" s="115"/>
    </row>
    <row r="6" spans="1:114" ht="12.75" x14ac:dyDescent="0.25">
      <c r="A6" s="93"/>
      <c r="B6" s="399"/>
      <c r="C6" s="98" t="s">
        <v>20</v>
      </c>
      <c r="D6" s="94">
        <f xml:space="preserve"> _xlfn.AGGREGATE( 18, 1, VfM_Metrics_2023_Entity[Reinvestment], 0.75 )</f>
        <v>9.2484764211921394E-2</v>
      </c>
      <c r="E6" s="94"/>
      <c r="F6" s="94"/>
      <c r="G6" s="94"/>
      <c r="H6" s="94"/>
      <c r="I6" s="94"/>
      <c r="J6" s="94"/>
      <c r="K6" s="94"/>
      <c r="L6" s="94"/>
      <c r="M6" s="94"/>
      <c r="N6" s="94">
        <f xml:space="preserve"> _xlfn.AGGREGATE( 18, 1, VfM_Metrics_2023_Entity[New Supply (Social)], 0.75 )</f>
        <v>2.236095743113125E-2</v>
      </c>
      <c r="O6" s="94"/>
      <c r="P6" s="94"/>
      <c r="Q6" s="94"/>
      <c r="R6" s="94"/>
      <c r="S6" s="94"/>
      <c r="T6" s="94"/>
      <c r="U6" s="95">
        <f xml:space="preserve"> _xlfn.AGGREGATE( 18, 1, VfM_Metrics_2023_Entity[New Supply (Non-Social)], 0.75 )</f>
        <v>0</v>
      </c>
      <c r="V6" s="94"/>
      <c r="W6" s="94"/>
      <c r="X6" s="94"/>
      <c r="Y6" s="94"/>
      <c r="Z6" s="94"/>
      <c r="AA6" s="94"/>
      <c r="AB6" s="94"/>
      <c r="AC6" s="94"/>
      <c r="AD6" s="94"/>
      <c r="AE6" s="94">
        <f xml:space="preserve"> _xlfn.AGGREGATE( 18, 1, VfM_Metrics_2023_Entity[Gearing], 0.75 )</f>
        <v>0.54981637991749677</v>
      </c>
      <c r="AF6" s="94"/>
      <c r="AG6" s="94"/>
      <c r="AH6" s="94"/>
      <c r="AI6" s="94"/>
      <c r="AJ6" s="94"/>
      <c r="AK6" s="94"/>
      <c r="AL6" s="94"/>
      <c r="AM6" s="94"/>
      <c r="AN6" s="94"/>
      <c r="AO6" s="94">
        <f xml:space="preserve"> _xlfn.AGGREGATE( 18, 1, VfM_Metrics_2023_Entity[EBITDA MRI Interest Cover], 0.75 )</f>
        <v>1.7270943492556312</v>
      </c>
      <c r="AP6" s="94"/>
      <c r="AQ6" s="94"/>
      <c r="AR6" s="94"/>
      <c r="AS6" s="94"/>
      <c r="AT6" s="94"/>
      <c r="AU6" s="94"/>
      <c r="AV6" s="94"/>
      <c r="AW6" s="94"/>
      <c r="AX6" s="94"/>
      <c r="AY6" s="94"/>
      <c r="AZ6" s="94"/>
      <c r="BA6" s="94"/>
      <c r="BB6" s="96">
        <f xml:space="preserve"> _xlfn.AGGREGATE( 18, 1, VfM_Metrics_2023_Entity[Headline Social Housing Cost per unit], 0.75 )</f>
        <v>5985.101760101139</v>
      </c>
      <c r="BC6" s="94"/>
      <c r="BD6" s="94"/>
      <c r="BE6" s="94"/>
      <c r="BF6" s="94"/>
      <c r="BG6" s="94"/>
      <c r="BH6" s="94"/>
      <c r="BI6" s="94"/>
      <c r="BJ6" s="94"/>
      <c r="BK6" s="94"/>
      <c r="BL6" s="94"/>
      <c r="BM6" s="94"/>
      <c r="BN6" s="94"/>
      <c r="BO6" s="94"/>
      <c r="BP6" s="94"/>
      <c r="BQ6" s="94"/>
      <c r="BR6" s="94">
        <f xml:space="preserve"> _xlfn.AGGREGATE( 18, 1, VfM_Metrics_2023_Entity[Operating Margin (SHL)], 0.75 )</f>
        <v>0.26164694821624818</v>
      </c>
      <c r="BS6" s="94"/>
      <c r="BT6" s="94"/>
      <c r="BU6" s="94"/>
      <c r="BV6" s="94"/>
      <c r="BW6" s="94">
        <f xml:space="preserve"> _xlfn.AGGREGATE( 18, 1, VfM_Metrics_2023_Entity[Operating Margin (Overall)], 0.75 )</f>
        <v>0.24078445138404819</v>
      </c>
      <c r="BX6" s="94"/>
      <c r="BY6" s="94"/>
      <c r="BZ6" s="94"/>
      <c r="CA6" s="94"/>
      <c r="CB6" s="94"/>
      <c r="CC6" s="94"/>
      <c r="CD6" s="94">
        <f xml:space="preserve"> _xlfn.AGGREGATE( 18, 1, VfM_Metrics_2023_Entity[ROCE], 0.75 )</f>
        <v>3.641882826094682E-2</v>
      </c>
      <c r="CE6" s="93"/>
      <c r="CF6" s="93"/>
      <c r="CG6" s="93"/>
      <c r="CH6" s="93"/>
      <c r="CI6" s="93"/>
      <c r="CJ6" s="97"/>
      <c r="CK6" s="97"/>
      <c r="CL6" s="97"/>
      <c r="CM6" s="97"/>
      <c r="CN6" s="97"/>
      <c r="CO6" s="97"/>
      <c r="CP6" s="97"/>
      <c r="CQ6" s="97"/>
      <c r="CR6" s="93"/>
      <c r="CS6" s="93"/>
      <c r="CT6" s="93"/>
      <c r="CU6" s="93"/>
      <c r="CV6" s="93"/>
      <c r="CW6" s="93"/>
      <c r="CX6" s="93"/>
      <c r="CY6" s="93"/>
      <c r="CZ6" s="93"/>
      <c r="DA6" s="93"/>
      <c r="DB6" s="93"/>
      <c r="DC6" s="93"/>
      <c r="DD6" s="93"/>
      <c r="DE6" s="127"/>
      <c r="DJ6" s="115"/>
    </row>
    <row r="7" spans="1:114" x14ac:dyDescent="0.25">
      <c r="A7" s="385" t="s">
        <v>21</v>
      </c>
      <c r="B7" s="385"/>
      <c r="C7" s="386"/>
      <c r="D7" s="390" t="s">
        <v>542</v>
      </c>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K7" s="391"/>
      <c r="AL7" s="391"/>
      <c r="AM7" s="391"/>
      <c r="AN7" s="391"/>
      <c r="AO7" s="391"/>
      <c r="AP7" s="391"/>
      <c r="AQ7" s="391"/>
      <c r="AR7" s="391"/>
      <c r="AS7" s="391"/>
      <c r="AT7" s="391"/>
      <c r="AU7" s="391"/>
      <c r="AV7" s="391"/>
      <c r="AW7" s="391"/>
      <c r="AX7" s="391"/>
      <c r="AY7" s="391"/>
      <c r="AZ7" s="391"/>
      <c r="BA7" s="391"/>
      <c r="BB7" s="391"/>
      <c r="BC7" s="391"/>
      <c r="BD7" s="391"/>
      <c r="BE7" s="391"/>
      <c r="BF7" s="391"/>
      <c r="BG7" s="391"/>
      <c r="BH7" s="391"/>
      <c r="BI7" s="391"/>
      <c r="BJ7" s="391"/>
      <c r="BK7" s="391"/>
      <c r="BL7" s="391"/>
      <c r="BM7" s="391"/>
      <c r="BN7" s="391"/>
      <c r="BO7" s="391"/>
      <c r="BP7" s="391"/>
      <c r="BQ7" s="391"/>
      <c r="BR7" s="391"/>
      <c r="BS7" s="391"/>
      <c r="BT7" s="391"/>
      <c r="BU7" s="391"/>
      <c r="BV7" s="391"/>
      <c r="BW7" s="391"/>
      <c r="BX7" s="391"/>
      <c r="BY7" s="391"/>
      <c r="BZ7" s="391"/>
      <c r="CA7" s="391"/>
      <c r="CB7" s="391"/>
      <c r="CC7" s="391"/>
      <c r="CD7" s="391"/>
      <c r="CE7" s="391"/>
      <c r="CF7" s="391"/>
      <c r="CG7" s="391"/>
      <c r="CH7" s="391"/>
      <c r="CI7" s="392"/>
      <c r="CJ7" s="355"/>
      <c r="CK7" s="390" t="s">
        <v>23</v>
      </c>
      <c r="CL7" s="391"/>
      <c r="CM7" s="391"/>
      <c r="CN7" s="391"/>
      <c r="CO7" s="391"/>
      <c r="CP7" s="391"/>
      <c r="CQ7" s="392"/>
      <c r="CR7" s="401" t="s">
        <v>24</v>
      </c>
      <c r="CS7" s="402"/>
      <c r="CT7" s="403"/>
      <c r="CU7" s="11"/>
      <c r="CV7" s="11"/>
      <c r="CW7" s="11"/>
      <c r="CX7" s="11"/>
      <c r="CY7" s="11"/>
      <c r="CZ7" s="11"/>
      <c r="DA7" s="11"/>
      <c r="DB7" s="11"/>
      <c r="DC7" s="11"/>
      <c r="DD7" s="11"/>
      <c r="DE7" s="128"/>
      <c r="DJ7" s="116"/>
    </row>
    <row r="8" spans="1:114" x14ac:dyDescent="0.25">
      <c r="A8" s="385"/>
      <c r="B8" s="385"/>
      <c r="C8" s="386"/>
      <c r="D8" s="393"/>
      <c r="E8" s="394"/>
      <c r="F8" s="394"/>
      <c r="G8" s="394"/>
      <c r="H8" s="394"/>
      <c r="I8" s="394"/>
      <c r="J8" s="394"/>
      <c r="K8" s="394"/>
      <c r="L8" s="394"/>
      <c r="M8" s="394"/>
      <c r="N8" s="394"/>
      <c r="O8" s="394"/>
      <c r="P8" s="394"/>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4"/>
      <c r="BR8" s="394"/>
      <c r="BS8" s="394"/>
      <c r="BT8" s="394"/>
      <c r="BU8" s="394"/>
      <c r="BV8" s="394"/>
      <c r="BW8" s="394"/>
      <c r="BX8" s="394"/>
      <c r="BY8" s="394"/>
      <c r="BZ8" s="394"/>
      <c r="CA8" s="394"/>
      <c r="CB8" s="394"/>
      <c r="CC8" s="394"/>
      <c r="CD8" s="394"/>
      <c r="CE8" s="394"/>
      <c r="CF8" s="394"/>
      <c r="CG8" s="394"/>
      <c r="CH8" s="394"/>
      <c r="CI8" s="395"/>
      <c r="CJ8" s="356"/>
      <c r="CK8" s="393"/>
      <c r="CL8" s="394"/>
      <c r="CM8" s="394"/>
      <c r="CN8" s="394"/>
      <c r="CO8" s="394"/>
      <c r="CP8" s="394"/>
      <c r="CQ8" s="395"/>
      <c r="CR8" s="404"/>
      <c r="CS8" s="405"/>
      <c r="CT8" s="406"/>
      <c r="CU8" s="11"/>
      <c r="CV8" s="70"/>
      <c r="CW8" s="70"/>
      <c r="CX8" s="70"/>
      <c r="CY8" s="70"/>
      <c r="CZ8" s="70"/>
      <c r="DA8" s="70"/>
      <c r="DB8" s="70"/>
      <c r="DC8" s="70"/>
      <c r="DD8" s="70"/>
      <c r="DE8" s="129"/>
      <c r="DJ8" s="116"/>
    </row>
    <row r="9" spans="1:114" s="89" customFormat="1" ht="25.5" x14ac:dyDescent="0.25">
      <c r="A9" s="52" t="s">
        <v>543</v>
      </c>
      <c r="B9" s="14"/>
      <c r="C9" s="14"/>
      <c r="D9" s="380" t="s">
        <v>26</v>
      </c>
      <c r="E9" s="381"/>
      <c r="F9" s="381"/>
      <c r="G9" s="381"/>
      <c r="H9" s="381"/>
      <c r="I9" s="381"/>
      <c r="J9" s="381"/>
      <c r="K9" s="381"/>
      <c r="L9" s="381"/>
      <c r="M9" s="381"/>
      <c r="N9" s="396" t="s">
        <v>27</v>
      </c>
      <c r="O9" s="397"/>
      <c r="P9" s="397"/>
      <c r="Q9" s="397"/>
      <c r="R9" s="397"/>
      <c r="S9" s="397"/>
      <c r="T9" s="397"/>
      <c r="U9" s="380" t="s">
        <v>28</v>
      </c>
      <c r="V9" s="381"/>
      <c r="W9" s="381"/>
      <c r="X9" s="381"/>
      <c r="Y9" s="381"/>
      <c r="Z9" s="381"/>
      <c r="AA9" s="381"/>
      <c r="AB9" s="381"/>
      <c r="AC9" s="381"/>
      <c r="AD9" s="381"/>
      <c r="AE9" s="396" t="s">
        <v>29</v>
      </c>
      <c r="AF9" s="397"/>
      <c r="AG9" s="397"/>
      <c r="AH9" s="397"/>
      <c r="AI9" s="397"/>
      <c r="AJ9" s="397"/>
      <c r="AK9" s="397"/>
      <c r="AL9" s="397"/>
      <c r="AM9" s="397"/>
      <c r="AN9" s="397"/>
      <c r="AO9" s="380" t="s">
        <v>30</v>
      </c>
      <c r="AP9" s="381"/>
      <c r="AQ9" s="381"/>
      <c r="AR9" s="381"/>
      <c r="AS9" s="381"/>
      <c r="AT9" s="381"/>
      <c r="AU9" s="381"/>
      <c r="AV9" s="381"/>
      <c r="AW9" s="381"/>
      <c r="AX9" s="381"/>
      <c r="AY9" s="381"/>
      <c r="AZ9" s="381"/>
      <c r="BA9" s="381"/>
      <c r="BB9" s="396" t="s">
        <v>31</v>
      </c>
      <c r="BC9" s="397"/>
      <c r="BD9" s="397"/>
      <c r="BE9" s="397"/>
      <c r="BF9" s="397"/>
      <c r="BG9" s="397"/>
      <c r="BH9" s="397"/>
      <c r="BI9" s="397"/>
      <c r="BJ9" s="397"/>
      <c r="BK9" s="397"/>
      <c r="BL9" s="397"/>
      <c r="BM9" s="397"/>
      <c r="BN9" s="397"/>
      <c r="BO9" s="397"/>
      <c r="BP9" s="397"/>
      <c r="BQ9" s="397"/>
      <c r="BR9" s="380" t="s">
        <v>32</v>
      </c>
      <c r="BS9" s="381"/>
      <c r="BT9" s="381"/>
      <c r="BU9" s="381"/>
      <c r="BV9" s="381"/>
      <c r="BW9" s="396" t="s">
        <v>33</v>
      </c>
      <c r="BX9" s="397"/>
      <c r="BY9" s="397"/>
      <c r="BZ9" s="397"/>
      <c r="CA9" s="397"/>
      <c r="CB9" s="397"/>
      <c r="CC9" s="397"/>
      <c r="CD9" s="380" t="s">
        <v>34</v>
      </c>
      <c r="CE9" s="381"/>
      <c r="CF9" s="381"/>
      <c r="CG9" s="381"/>
      <c r="CH9" s="381"/>
      <c r="CI9" s="381"/>
      <c r="CJ9" s="64" t="str">
        <f>VfM_Metrics_2023_Entity[[#Headers],[Total social stock owned]]</f>
        <v>Total social stock owned</v>
      </c>
      <c r="CK9" s="387" t="s">
        <v>35</v>
      </c>
      <c r="CL9" s="388"/>
      <c r="CM9" s="388"/>
      <c r="CN9" s="388"/>
      <c r="CO9" s="388"/>
      <c r="CP9" s="388"/>
      <c r="CQ9" s="389"/>
      <c r="CR9" s="387" t="s">
        <v>36</v>
      </c>
      <c r="CS9" s="388"/>
      <c r="CT9" s="388"/>
      <c r="CU9" s="387" t="s">
        <v>37</v>
      </c>
      <c r="CV9" s="388"/>
      <c r="CW9" s="388"/>
      <c r="CX9" s="388"/>
      <c r="CY9" s="388"/>
      <c r="CZ9" s="388"/>
      <c r="DA9" s="388"/>
      <c r="DB9" s="388"/>
      <c r="DC9" s="388"/>
      <c r="DD9" s="388"/>
      <c r="DE9" s="389"/>
      <c r="DJ9" s="117"/>
    </row>
    <row r="10" spans="1:114" s="90" customFormat="1" ht="89.25" x14ac:dyDescent="0.25">
      <c r="A10" s="53" t="s">
        <v>38</v>
      </c>
      <c r="B10" s="53" t="s">
        <v>39</v>
      </c>
      <c r="C10" s="53" t="s">
        <v>40</v>
      </c>
      <c r="D10" s="54" t="s">
        <v>41</v>
      </c>
      <c r="E10" s="65" t="s">
        <v>42</v>
      </c>
      <c r="F10" s="56" t="s">
        <v>43</v>
      </c>
      <c r="G10" s="56" t="s">
        <v>44</v>
      </c>
      <c r="H10" s="56" t="s">
        <v>45</v>
      </c>
      <c r="I10" s="56" t="s">
        <v>46</v>
      </c>
      <c r="J10" s="56" t="s">
        <v>47</v>
      </c>
      <c r="K10" s="65" t="s">
        <v>48</v>
      </c>
      <c r="L10" s="56" t="s">
        <v>49</v>
      </c>
      <c r="M10" s="56" t="s">
        <v>50</v>
      </c>
      <c r="N10" s="54" t="s">
        <v>51</v>
      </c>
      <c r="O10" s="65" t="s">
        <v>52</v>
      </c>
      <c r="P10" s="56" t="s">
        <v>53</v>
      </c>
      <c r="Q10" s="56" t="s">
        <v>54</v>
      </c>
      <c r="R10" s="65" t="s">
        <v>55</v>
      </c>
      <c r="S10" s="56" t="s">
        <v>56</v>
      </c>
      <c r="T10" s="56" t="s">
        <v>57</v>
      </c>
      <c r="U10" s="54" t="s">
        <v>28</v>
      </c>
      <c r="V10" s="65" t="s">
        <v>58</v>
      </c>
      <c r="W10" s="56" t="s">
        <v>59</v>
      </c>
      <c r="X10" s="56" t="s">
        <v>60</v>
      </c>
      <c r="Y10" s="56" t="s">
        <v>61</v>
      </c>
      <c r="Z10" s="65" t="s">
        <v>62</v>
      </c>
      <c r="AA10" s="56" t="s">
        <v>63</v>
      </c>
      <c r="AB10" s="56" t="s">
        <v>64</v>
      </c>
      <c r="AC10" s="56" t="s">
        <v>65</v>
      </c>
      <c r="AD10" s="56" t="s">
        <v>66</v>
      </c>
      <c r="AE10" s="54" t="s">
        <v>29</v>
      </c>
      <c r="AF10" s="65" t="s">
        <v>67</v>
      </c>
      <c r="AG10" s="56" t="s">
        <v>68</v>
      </c>
      <c r="AH10" s="56" t="s">
        <v>69</v>
      </c>
      <c r="AI10" s="56" t="s">
        <v>70</v>
      </c>
      <c r="AJ10" s="56" t="s">
        <v>71</v>
      </c>
      <c r="AK10" s="56" t="s">
        <v>72</v>
      </c>
      <c r="AL10" s="65" t="s">
        <v>73</v>
      </c>
      <c r="AM10" s="56" t="s">
        <v>74</v>
      </c>
      <c r="AN10" s="56" t="s">
        <v>75</v>
      </c>
      <c r="AO10" s="54" t="s">
        <v>30</v>
      </c>
      <c r="AP10" s="65" t="s">
        <v>76</v>
      </c>
      <c r="AQ10" s="56" t="s">
        <v>77</v>
      </c>
      <c r="AR10" s="56" t="s">
        <v>78</v>
      </c>
      <c r="AS10" s="56" t="s">
        <v>79</v>
      </c>
      <c r="AT10" s="56" t="s">
        <v>80</v>
      </c>
      <c r="AU10" s="56" t="s">
        <v>81</v>
      </c>
      <c r="AV10" s="56" t="s">
        <v>82</v>
      </c>
      <c r="AW10" s="56" t="s">
        <v>83</v>
      </c>
      <c r="AX10" s="56" t="s">
        <v>84</v>
      </c>
      <c r="AY10" s="65" t="s">
        <v>85</v>
      </c>
      <c r="AZ10" s="56" t="s">
        <v>86</v>
      </c>
      <c r="BA10" s="56" t="s">
        <v>87</v>
      </c>
      <c r="BB10" s="54" t="s">
        <v>31</v>
      </c>
      <c r="BC10" s="65" t="s">
        <v>88</v>
      </c>
      <c r="BD10" s="56" t="s">
        <v>89</v>
      </c>
      <c r="BE10" s="56" t="s">
        <v>90</v>
      </c>
      <c r="BF10" s="56" t="s">
        <v>91</v>
      </c>
      <c r="BG10" s="56" t="s">
        <v>92</v>
      </c>
      <c r="BH10" s="56" t="s">
        <v>93</v>
      </c>
      <c r="BI10" s="56" t="s">
        <v>94</v>
      </c>
      <c r="BJ10" s="56" t="s">
        <v>95</v>
      </c>
      <c r="BK10" s="56" t="s">
        <v>96</v>
      </c>
      <c r="BL10" s="56" t="s">
        <v>97</v>
      </c>
      <c r="BM10" s="56" t="s">
        <v>98</v>
      </c>
      <c r="BN10" s="56" t="s">
        <v>99</v>
      </c>
      <c r="BO10" s="56" t="s">
        <v>100</v>
      </c>
      <c r="BP10" s="65" t="s">
        <v>101</v>
      </c>
      <c r="BQ10" s="56" t="s">
        <v>102</v>
      </c>
      <c r="BR10" s="54" t="s">
        <v>32</v>
      </c>
      <c r="BS10" s="65" t="s">
        <v>103</v>
      </c>
      <c r="BT10" s="56" t="s">
        <v>104</v>
      </c>
      <c r="BU10" s="65" t="s">
        <v>105</v>
      </c>
      <c r="BV10" s="56" t="s">
        <v>106</v>
      </c>
      <c r="BW10" s="54" t="s">
        <v>33</v>
      </c>
      <c r="BX10" s="65" t="s">
        <v>107</v>
      </c>
      <c r="BY10" s="56" t="s">
        <v>108</v>
      </c>
      <c r="BZ10" s="56" t="s">
        <v>109</v>
      </c>
      <c r="CA10" s="56" t="s">
        <v>110</v>
      </c>
      <c r="CB10" s="65" t="s">
        <v>111</v>
      </c>
      <c r="CC10" s="56" t="s">
        <v>112</v>
      </c>
      <c r="CD10" s="54" t="s">
        <v>34</v>
      </c>
      <c r="CE10" s="65" t="s">
        <v>113</v>
      </c>
      <c r="CF10" s="56" t="s">
        <v>114</v>
      </c>
      <c r="CG10" s="56" t="s">
        <v>115</v>
      </c>
      <c r="CH10" s="65" t="s">
        <v>116</v>
      </c>
      <c r="CI10" s="56" t="s">
        <v>117</v>
      </c>
      <c r="CJ10" s="63" t="s">
        <v>118</v>
      </c>
      <c r="CK10" s="57" t="s">
        <v>119</v>
      </c>
      <c r="CL10" s="65" t="s">
        <v>120</v>
      </c>
      <c r="CM10" s="58" t="s">
        <v>121</v>
      </c>
      <c r="CN10" s="65" t="s">
        <v>122</v>
      </c>
      <c r="CO10" s="57" t="s">
        <v>123</v>
      </c>
      <c r="CP10" s="65" t="s">
        <v>124</v>
      </c>
      <c r="CQ10" s="66" t="s">
        <v>125</v>
      </c>
      <c r="CR10" s="60" t="s">
        <v>126</v>
      </c>
      <c r="CS10" s="53" t="s">
        <v>127</v>
      </c>
      <c r="CT10" s="61" t="s">
        <v>128</v>
      </c>
      <c r="CU10" s="53" t="s">
        <v>129</v>
      </c>
      <c r="CV10" s="65" t="s">
        <v>130</v>
      </c>
      <c r="CW10" s="65" t="s">
        <v>131</v>
      </c>
      <c r="CX10" s="65" t="s">
        <v>132</v>
      </c>
      <c r="CY10" s="65" t="s">
        <v>133</v>
      </c>
      <c r="CZ10" s="65" t="s">
        <v>134</v>
      </c>
      <c r="DA10" s="65" t="s">
        <v>135</v>
      </c>
      <c r="DB10" s="65" t="s">
        <v>136</v>
      </c>
      <c r="DC10" s="65" t="s">
        <v>137</v>
      </c>
      <c r="DD10" s="65" t="s">
        <v>138</v>
      </c>
      <c r="DE10" s="125" t="s">
        <v>139</v>
      </c>
      <c r="DJ10" s="118" t="s">
        <v>140</v>
      </c>
    </row>
    <row r="11" spans="1:114" x14ac:dyDescent="0.25">
      <c r="A11" s="4" t="s" vm="9214">
        <v>544</v>
      </c>
      <c r="B11" s="4" t="s" vm="9375">
        <v>545</v>
      </c>
      <c r="C11" s="121" vm="18785">
        <v>45016</v>
      </c>
      <c r="D11" s="68">
        <f>IFERROR( VfM_Metrics_2023_Entity[[#This Row],[Reinvestment Spend]] / VfM_Metrics_2023_Entity[[#This Row],[Net Book Value of Housing Properties]], "n/a" )</f>
        <v>3.5837857185467996E-2</v>
      </c>
      <c r="E1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4806</v>
      </c>
      <c r="F11" s="84" vm="9381">
        <v>3567</v>
      </c>
      <c r="G11" s="84" vm="9465">
        <v>0</v>
      </c>
      <c r="H11" s="84" vm="10675">
        <v>1239</v>
      </c>
      <c r="I11" s="84" vm="10577">
        <v>0</v>
      </c>
      <c r="J11" s="84" vm="9466">
        <v>0</v>
      </c>
      <c r="K11" s="5">
        <f xml:space="preserve"> SUM( VfM_Metrics_2023_Entity[[#This Row],[Tangible fixed assets: Housing properties at cost (Current period)]],VfM_Metrics_2023_Entity[[#This Row],[Tangible fixed assets Housing properties at valuation (Current period)]] )</f>
        <v>134104</v>
      </c>
      <c r="L11" s="84" vm="10591">
        <v>134104</v>
      </c>
      <c r="M11" s="84" vm="10599">
        <v>0</v>
      </c>
      <c r="N11" s="134">
        <f xml:space="preserve"> IFERROR( VfM_Metrics_2023_Entity[[#This Row],[Total social units developed or newly built units acquired in-year]] / VfM_Metrics_2023_Entity[[#This Row],[Social housing units owned (period end)]], "n/a" )</f>
        <v>1.764014112112897E-2</v>
      </c>
      <c r="O11" s="5">
        <f xml:space="preserve"> SUM( VfM_Metrics_2023_Entity[[#This Row],[Total social units developed or newly built units acquired in-year (owned)]], VfM_Metrics_2023_Entity[[#This Row],[Total social leasehold units developed or newly built units acquired in-year (owned)]] )</f>
        <v>45</v>
      </c>
      <c r="P11" s="84" vm="11101">
        <v>45</v>
      </c>
      <c r="Q11" s="84" vm="11103">
        <v>0</v>
      </c>
      <c r="R11" s="5">
        <f xml:space="preserve"> SUM( VfM_Metrics_2023_Entity[[#This Row],[Total social housing units owned (Period end)]], VfM_Metrics_2023_Entity[[#This Row],[Total social leasehold units owned (Period end)]] )</f>
        <v>2551</v>
      </c>
      <c r="S11" s="84" vm="11220">
        <v>2541</v>
      </c>
      <c r="T11" s="135" vm="11394">
        <v>10</v>
      </c>
      <c r="U11" s="136">
        <f xml:space="preserve"> IFERROR( VfM_Metrics_2023_Entity[[#This Row],[Total non-social housing units developed or newly built units acquired (owned)]] / VfM_Metrics_2023_Entity[[#This Row],[Total social and non-social housing units owned (Period end)]], "n/a" )</f>
        <v>0</v>
      </c>
      <c r="V1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 s="84" vm="11559">
        <v>0</v>
      </c>
      <c r="X11" s="84" vm="11679">
        <v>0</v>
      </c>
      <c r="Y11" s="84" vm="11680">
        <v>0</v>
      </c>
      <c r="Z1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2615</v>
      </c>
      <c r="AA11" s="84" vm="11220">
        <v>2541</v>
      </c>
      <c r="AB11" s="84" vm="11394">
        <v>10</v>
      </c>
      <c r="AC11" s="84" vm="12059">
        <v>64</v>
      </c>
      <c r="AD11" s="135" vm="12060">
        <v>0</v>
      </c>
      <c r="AE11" s="134">
        <f xml:space="preserve"> IFERROR( VfM_Metrics_2023_Entity[[#This Row],[Total Net Debt]] / VfM_Metrics_2023_Entity[[#This Row],[Net Book Value of Housing Properties2]], "n/a" )</f>
        <v>0.27432440493944998</v>
      </c>
      <c r="AF1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36788</v>
      </c>
      <c r="AG11" s="84" vm="12550">
        <v>614</v>
      </c>
      <c r="AH11" s="84" vm="12702">
        <v>40844</v>
      </c>
      <c r="AI11" s="84" vm="12703">
        <v>4670</v>
      </c>
      <c r="AJ11" s="84" vm="12704">
        <v>0</v>
      </c>
      <c r="AK11" s="84" vm="12705">
        <v>0</v>
      </c>
      <c r="AL11" s="5">
        <f xml:space="preserve"> SUM( VfM_Metrics_2023_Entity[[#This Row],[Tangible fixed assets: Housing properties at cost (Current period)2]], VfM_Metrics_2023_Entity[[#This Row],[Tangible fixed assets Housing properties at valuation (Current period)2]] )</f>
        <v>134104</v>
      </c>
      <c r="AM11" s="84" vm="9878">
        <v>134104</v>
      </c>
      <c r="AN11" s="135" vm="10078">
        <v>0</v>
      </c>
      <c r="AO11" s="137">
        <f xml:space="preserve"> IFERROR( VfM_Metrics_2023_Entity[[#This Row],[EBITDA MRI]] / VfM_Metrics_2023_Entity[[#This Row],[Total interest]], "n/a" )</f>
        <v>1.9656387665198238</v>
      </c>
      <c r="AP1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2231</v>
      </c>
      <c r="AQ11" s="84" vm="13429">
        <v>2401</v>
      </c>
      <c r="AR11" s="84" vm="13632">
        <v>129</v>
      </c>
      <c r="AS11" s="84" vm="13631">
        <v>0</v>
      </c>
      <c r="AT11" s="84" vm="13634">
        <v>242</v>
      </c>
      <c r="AU11" s="84" vm="13635">
        <v>0</v>
      </c>
      <c r="AV11" s="84" vm="13636">
        <v>27</v>
      </c>
      <c r="AW11" s="84" vm="13637">
        <v>1239</v>
      </c>
      <c r="AX11" s="84" vm="13633">
        <v>1413</v>
      </c>
      <c r="AY11" s="5">
        <f xml:space="preserve"> - SUM( VfM_Metrics_2023_Entity[[#This Row],[Interest capitalised]], VfM_Metrics_2023_Entity[[#This Row],[Interest payable and financing costs]] )</f>
        <v>1135</v>
      </c>
      <c r="AZ11" s="84" vm="15150">
        <v>0</v>
      </c>
      <c r="BA11" s="135" vm="15309">
        <v>-1135</v>
      </c>
      <c r="BB11" s="138">
        <f xml:space="preserve"> IFERROR( ( VfM_Metrics_2023_Entity[[#This Row],[Total Costs]] / VfM_Metrics_2023_Entity[[#This Row],[Total units for costs]] ) * 1000, "n/a" )</f>
        <v>1920.5977146205685</v>
      </c>
      <c r="BC1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6555</v>
      </c>
      <c r="BD11" s="84" vm="15565">
        <v>1817</v>
      </c>
      <c r="BE11" s="84" vm="15615">
        <v>1001</v>
      </c>
      <c r="BF11" s="84" vm="15615">
        <v>1129</v>
      </c>
      <c r="BG11" s="84" vm="15613">
        <v>613</v>
      </c>
      <c r="BH11" s="84" vm="15618">
        <v>0</v>
      </c>
      <c r="BI11" s="84" vm="15620">
        <v>124</v>
      </c>
      <c r="BJ11" s="84" vm="13637">
        <v>1239</v>
      </c>
      <c r="BK11" s="84" vm="15616">
        <v>155</v>
      </c>
      <c r="BL11" s="84" vm="15614">
        <v>0</v>
      </c>
      <c r="BM11" s="84" vm="15619">
        <v>442</v>
      </c>
      <c r="BN11" s="84" vm="15621">
        <v>0</v>
      </c>
      <c r="BO11" s="84" vm="15617">
        <v>35</v>
      </c>
      <c r="BP11" s="5" vm="17831">
        <f xml:space="preserve"> VfM_Metrics_2023_Entity[[#This Row],[Total social housing units owned and/or managed at period end]]</f>
        <v>3413</v>
      </c>
      <c r="BQ11" s="135" vm="17831">
        <v>3413</v>
      </c>
      <c r="BR11" s="134">
        <f xml:space="preserve"> IFERROR( VfM_Metrics_2023_Entity[[#This Row],[SHL operating surplus / (deficit)]] / VfM_Metrics_2023_Entity[[#This Row],[Turnover from social housing lettings]], "n/a" )</f>
        <v>0.23854217454900048</v>
      </c>
      <c r="BS11" s="5" vm="17832">
        <f xml:space="preserve"> VfM_Metrics_2023_Entity[[#This Row],[Operating surplus/(deficit) (social housing lettings)]]</f>
        <v>1957</v>
      </c>
      <c r="BT11" s="84" vm="17832">
        <v>1957</v>
      </c>
      <c r="BU11" s="5" vm="18040">
        <f xml:space="preserve"> VfM_Metrics_2023_Entity[[#This Row],[Turnover from social housing lettings]]</f>
        <v>8204</v>
      </c>
      <c r="BV11" s="135" vm="18040">
        <v>8204</v>
      </c>
      <c r="BW11" s="134">
        <f xml:space="preserve"> IFERROR( VfM_Metrics_2023_Entity[[#This Row],[Net operating surplus]] / VfM_Metrics_2023_Entity[[#This Row],[Overall turnover]], "n/a" )</f>
        <v>0.24093319194061505</v>
      </c>
      <c r="BX11" s="5">
        <f xml:space="preserve"> SUM( VfM_Metrics_2023_Entity[[#This Row],[Operating surplus/(deficit) (overall)2]], - VfM_Metrics_2023_Entity[[#This Row],[Gain/(loss) on disposal of fixed assets (housing properties)2]], - VfM_Metrics_2023_Entity[[#This Row],[Gain/(loss) on disposal of fixed assets (other)2]] )</f>
        <v>2272</v>
      </c>
      <c r="BY11" s="84" vm="13429">
        <v>2401</v>
      </c>
      <c r="BZ11" s="84" vm="13632">
        <v>129</v>
      </c>
      <c r="CA11" s="84" vm="13631">
        <v>0</v>
      </c>
      <c r="CB11" s="5" vm="18243">
        <f xml:space="preserve"> VfM_Metrics_2023_Entity[[#This Row],[Turnover (overall)]]</f>
        <v>9430</v>
      </c>
      <c r="CC11" s="135" vm="18243">
        <v>9430</v>
      </c>
      <c r="CD11" s="134">
        <f xml:space="preserve"> IFERROR( VfM_Metrics_2023_Entity[[#This Row],[Operating surplus including from JVs]] / VfM_Metrics_2023_Entity[[#This Row],[Net assets]], "n/a" )</f>
        <v>1.7680933164452562E-2</v>
      </c>
      <c r="CE11" s="5">
        <f xml:space="preserve"> SUM( VfM_Metrics_2023_Entity[[#This Row],[Operating surplus/(deficit) (overall)3]], VfM_Metrics_2023_Entity[[#This Row],[Share of operating surplus/(deficit) in joint ventures or associates]] )</f>
        <v>2401</v>
      </c>
      <c r="CF11" s="84" vm="13429">
        <v>2401</v>
      </c>
      <c r="CG11" s="84" vm="18441">
        <v>0</v>
      </c>
      <c r="CH11" s="5" vm="18569">
        <f xml:space="preserve"> VfM_Metrics_2023_Entity[[#This Row],[Total assets less current liabilities]]</f>
        <v>135796</v>
      </c>
      <c r="CI11" s="135" vm="18569">
        <v>135796</v>
      </c>
      <c r="CJ11" s="139" vm="11220">
        <f xml:space="preserve"> VfM_Metrics_2023_Entity[[#This Row],[Total social housing units owned (Period end)]]</f>
        <v>2541</v>
      </c>
      <c r="CK11" s="141">
        <v>6.6129032258064518E-2</v>
      </c>
      <c r="CL11" s="69">
        <f xml:space="preserve"> -- ( VfM_Metrics_2023_Entity[[#This Row],[% Supported housing (excl. HOP)]] &gt; 0.3 )</f>
        <v>0</v>
      </c>
      <c r="CM11" s="9">
        <v>8.3467741935483869E-2</v>
      </c>
      <c r="CN11" s="69">
        <f xml:space="preserve"> -- ( VfM_Metrics_2023_Entity[[#This Row],[% Housing for older people]] &gt; 0.3 )</f>
        <v>0</v>
      </c>
      <c r="CO11" s="9">
        <f xml:space="preserve"> VfM_Metrics_2023_Entity[[#This Row],[% Supported housing (excl. HOP)]] + VfM_Metrics_2023_Entity[[#This Row],[% Housing for older people]]</f>
        <v>0.14959677419354839</v>
      </c>
      <c r="CP11" s="69">
        <f xml:space="preserve"> -- ( VfM_Metrics_2023_Entity[[#This Row],[SH specialist in RSH analysis]] + VfM_Metrics_2023_Entity[[#This Row],[OP specialist in RSH analysis]] &gt; 0 )</f>
        <v>0</v>
      </c>
      <c r="CQ11" s="142">
        <f xml:space="preserve"> -- ( VfM_Metrics_2023_Entity[[#This Row],[% SH and OP]] &gt; 0.3 )</f>
        <v>0</v>
      </c>
      <c r="CR11" s="143" t="s">
        <v>143</v>
      </c>
      <c r="CS11" s="120"/>
      <c r="CT11" s="144" t="s">
        <v>144</v>
      </c>
      <c r="CU1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11" s="146">
        <v>0</v>
      </c>
      <c r="CW11" s="146">
        <v>0</v>
      </c>
      <c r="CX11" s="146">
        <v>0</v>
      </c>
      <c r="CY11" s="146">
        <v>0</v>
      </c>
      <c r="CZ11" s="146">
        <v>0</v>
      </c>
      <c r="DA11" s="146">
        <v>0</v>
      </c>
      <c r="DB11" s="146">
        <v>0</v>
      </c>
      <c r="DC11" s="146">
        <v>0</v>
      </c>
      <c r="DD11" s="146">
        <v>1</v>
      </c>
      <c r="DE11" s="126">
        <v>0.94459121441814442</v>
      </c>
    </row>
    <row r="12" spans="1:114" x14ac:dyDescent="0.25">
      <c r="A12" s="4" t="s" vm="9215">
        <v>546</v>
      </c>
      <c r="B12" s="4" t="s" vm="9376">
        <v>547</v>
      </c>
      <c r="C12" s="121" vm="18822">
        <v>45016</v>
      </c>
      <c r="D12" s="68">
        <f>IFERROR( VfM_Metrics_2023_Entity[[#This Row],[Reinvestment Spend]] / VfM_Metrics_2023_Entity[[#This Row],[Net Book Value of Housing Properties]], "n/a" )</f>
        <v>4.4068782464962687E-2</v>
      </c>
      <c r="E1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59854</v>
      </c>
      <c r="F12" s="84" vm="9400">
        <v>44263</v>
      </c>
      <c r="G12" s="84" vm="9532">
        <v>0</v>
      </c>
      <c r="H12" s="84" vm="9590">
        <v>13938</v>
      </c>
      <c r="I12" s="84" vm="10745">
        <v>1653</v>
      </c>
      <c r="J12" s="84" vm="9779">
        <v>0</v>
      </c>
      <c r="K12" s="5">
        <f xml:space="preserve"> SUM( VfM_Metrics_2023_Entity[[#This Row],[Tangible fixed assets: Housing properties at cost (Current period)]],VfM_Metrics_2023_Entity[[#This Row],[Tangible fixed assets Housing properties at valuation (Current period)]] )</f>
        <v>1358195</v>
      </c>
      <c r="L12" s="84" vm="10012">
        <v>1358195</v>
      </c>
      <c r="M12" s="84">
        <v>0</v>
      </c>
      <c r="N12" s="134">
        <f xml:space="preserve"> IFERROR( VfM_Metrics_2023_Entity[[#This Row],[Total social units developed or newly built units acquired in-year]] / VfM_Metrics_2023_Entity[[#This Row],[Social housing units owned (period end)]], "n/a" )</f>
        <v>1.0751243112484881E-2</v>
      </c>
      <c r="O12" s="5">
        <f xml:space="preserve"> SUM( VfM_Metrics_2023_Entity[[#This Row],[Total social units developed or newly built units acquired in-year (owned)]], VfM_Metrics_2023_Entity[[#This Row],[Total social leasehold units developed or newly built units acquired in-year (owned)]] )</f>
        <v>160</v>
      </c>
      <c r="P12" s="84" vm="10989">
        <v>160</v>
      </c>
      <c r="Q12" s="84">
        <v>0</v>
      </c>
      <c r="R12" s="5">
        <f xml:space="preserve"> SUM( VfM_Metrics_2023_Entity[[#This Row],[Total social housing units owned (Period end)]], VfM_Metrics_2023_Entity[[#This Row],[Total social leasehold units owned (Period end)]] )</f>
        <v>14882</v>
      </c>
      <c r="S12" s="84" vm="11229">
        <v>13286</v>
      </c>
      <c r="T12" s="135" vm="11399">
        <v>1596</v>
      </c>
      <c r="U12" s="136">
        <f xml:space="preserve"> IFERROR( VfM_Metrics_2023_Entity[[#This Row],[Total non-social housing units developed or newly built units acquired (owned)]] / VfM_Metrics_2023_Entity[[#This Row],[Total social and non-social housing units owned (Period end)]], "n/a" )</f>
        <v>6.1853286317128161E-3</v>
      </c>
      <c r="V1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107</v>
      </c>
      <c r="W12" s="84">
        <v>0</v>
      </c>
      <c r="X12" s="84" vm="11681">
        <v>107</v>
      </c>
      <c r="Y12" s="84" vm="11706">
        <v>0</v>
      </c>
      <c r="Z1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17299</v>
      </c>
      <c r="AA12" s="84" vm="11982">
        <v>13286</v>
      </c>
      <c r="AB12" s="84" vm="12171">
        <v>1596</v>
      </c>
      <c r="AC12" s="84" vm="12061">
        <v>1127</v>
      </c>
      <c r="AD12" s="135" vm="12225">
        <v>1290</v>
      </c>
      <c r="AE12" s="134">
        <f xml:space="preserve"> IFERROR( VfM_Metrics_2023_Entity[[#This Row],[Total Net Debt]] / VfM_Metrics_2023_Entity[[#This Row],[Net Book Value of Housing Properties2]], "n/a" )</f>
        <v>0.2978114335570371</v>
      </c>
      <c r="AF1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404486</v>
      </c>
      <c r="AG12" s="84" vm="12581">
        <v>15028</v>
      </c>
      <c r="AH12" s="84" vm="12706">
        <v>406673</v>
      </c>
      <c r="AI12" s="84" vm="12826">
        <v>17215</v>
      </c>
      <c r="AJ12" s="84">
        <v>0</v>
      </c>
      <c r="AK12" s="84">
        <v>0</v>
      </c>
      <c r="AL12" s="5">
        <f xml:space="preserve"> SUM( VfM_Metrics_2023_Entity[[#This Row],[Tangible fixed assets: Housing properties at cost (Current period)2]], VfM_Metrics_2023_Entity[[#This Row],[Tangible fixed assets Housing properties at valuation (Current period)2]] )</f>
        <v>1358195</v>
      </c>
      <c r="AM12" s="84" vm="9884">
        <v>1358195</v>
      </c>
      <c r="AN12" s="135">
        <v>0</v>
      </c>
      <c r="AO12" s="137">
        <f xml:space="preserve"> IFERROR( VfM_Metrics_2023_Entity[[#This Row],[EBITDA MRI]] / VfM_Metrics_2023_Entity[[#This Row],[Total interest]], "n/a" )</f>
        <v>0.64900762206625917</v>
      </c>
      <c r="AP1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17200</v>
      </c>
      <c r="AQ12" s="84" vm="13466">
        <v>22693</v>
      </c>
      <c r="AR12" s="84" vm="13638">
        <v>9323</v>
      </c>
      <c r="AS12" s="84">
        <v>0</v>
      </c>
      <c r="AT12" s="84" vm="14590">
        <v>13435</v>
      </c>
      <c r="AU12" s="84" vm="14591">
        <v>0</v>
      </c>
      <c r="AV12" s="84" vm="14592">
        <v>7062</v>
      </c>
      <c r="AW12" s="84" vm="14593">
        <v>13938</v>
      </c>
      <c r="AX12" s="84" vm="13639">
        <v>24141</v>
      </c>
      <c r="AY12" s="5">
        <f xml:space="preserve"> - SUM( VfM_Metrics_2023_Entity[[#This Row],[Interest capitalised]], VfM_Metrics_2023_Entity[[#This Row],[Interest payable and financing costs]] )</f>
        <v>26502</v>
      </c>
      <c r="AZ12" s="84" vm="15143">
        <v>-1721</v>
      </c>
      <c r="BA12" s="135" vm="15310">
        <v>-24781</v>
      </c>
      <c r="BB12" s="138">
        <f xml:space="preserve"> IFERROR( ( VfM_Metrics_2023_Entity[[#This Row],[Total Costs]] / VfM_Metrics_2023_Entity[[#This Row],[Total units for costs]] ) * 1000, "n/a" )</f>
        <v>8857.334625997466</v>
      </c>
      <c r="BC1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118768</v>
      </c>
      <c r="BD12" s="84" vm="15508">
        <v>28116</v>
      </c>
      <c r="BE12" s="84" vm="16359">
        <v>17011</v>
      </c>
      <c r="BF12" s="84" vm="15622">
        <v>16790</v>
      </c>
      <c r="BG12" s="84" vm="16840">
        <v>3327</v>
      </c>
      <c r="BH12" s="84" vm="17612">
        <v>12443</v>
      </c>
      <c r="BI12" s="84" vm="17613">
        <v>1945</v>
      </c>
      <c r="BJ12" s="84" vm="14593">
        <v>13938</v>
      </c>
      <c r="BK12" s="84" vm="16361">
        <v>0</v>
      </c>
      <c r="BL12" s="84" vm="16770">
        <v>4656</v>
      </c>
      <c r="BM12" s="84" vm="17006">
        <v>3387</v>
      </c>
      <c r="BN12" s="84" vm="17225">
        <v>15623</v>
      </c>
      <c r="BO12" s="84" vm="15623">
        <v>1532</v>
      </c>
      <c r="BP12" s="5" vm="17615">
        <f xml:space="preserve"> VfM_Metrics_2023_Entity[[#This Row],[Total social housing units owned and/or managed at period end]]</f>
        <v>13409</v>
      </c>
      <c r="BQ12" s="135" vm="17615">
        <v>13409</v>
      </c>
      <c r="BR12" s="134">
        <f xml:space="preserve"> IFERROR( VfM_Metrics_2023_Entity[[#This Row],[SHL operating surplus / (deficit)]] / VfM_Metrics_2023_Entity[[#This Row],[Turnover from social housing lettings]], "n/a" )</f>
        <v>9.5208431113197087E-2</v>
      </c>
      <c r="BS12" s="5" vm="17869">
        <f xml:space="preserve"> VfM_Metrics_2023_Entity[[#This Row],[Operating surplus/(deficit) (social housing lettings)]]</f>
        <v>11157</v>
      </c>
      <c r="BT12" s="84" vm="17869">
        <v>11157</v>
      </c>
      <c r="BU12" s="5" vm="18049">
        <f xml:space="preserve"> VfM_Metrics_2023_Entity[[#This Row],[Turnover from social housing lettings]]</f>
        <v>117185</v>
      </c>
      <c r="BV12" s="135" vm="18049">
        <v>117185</v>
      </c>
      <c r="BW12" s="134">
        <f xml:space="preserve"> IFERROR( VfM_Metrics_2023_Entity[[#This Row],[Net operating surplus]] / VfM_Metrics_2023_Entity[[#This Row],[Overall turnover]], "n/a" )</f>
        <v>8.6228023785261912E-2</v>
      </c>
      <c r="BX12" s="5">
        <f xml:space="preserve"> SUM( VfM_Metrics_2023_Entity[[#This Row],[Operating surplus/(deficit) (overall)2]], - VfM_Metrics_2023_Entity[[#This Row],[Gain/(loss) on disposal of fixed assets (housing properties)2]], - VfM_Metrics_2023_Entity[[#This Row],[Gain/(loss) on disposal of fixed assets (other)2]] )</f>
        <v>13370</v>
      </c>
      <c r="BY12" s="84" vm="13466">
        <v>22693</v>
      </c>
      <c r="BZ12" s="84" vm="13638">
        <v>9323</v>
      </c>
      <c r="CA12" s="84">
        <v>0</v>
      </c>
      <c r="CB12" s="5" vm="18251">
        <f xml:space="preserve"> VfM_Metrics_2023_Entity[[#This Row],[Turnover (overall)]]</f>
        <v>155054</v>
      </c>
      <c r="CC12" s="135" vm="18251">
        <v>155054</v>
      </c>
      <c r="CD12" s="134">
        <f xml:space="preserve"> IFERROR( VfM_Metrics_2023_Entity[[#This Row],[Operating surplus including from JVs]] / VfM_Metrics_2023_Entity[[#This Row],[Net assets]], "n/a" )</f>
        <v>1.423903099544587E-2</v>
      </c>
      <c r="CE12" s="5">
        <f xml:space="preserve"> SUM( VfM_Metrics_2023_Entity[[#This Row],[Operating surplus/(deficit) (overall)3]], VfM_Metrics_2023_Entity[[#This Row],[Share of operating surplus/(deficit) in joint ventures or associates]] )</f>
        <v>22693</v>
      </c>
      <c r="CF12" s="84" vm="15130">
        <v>22693</v>
      </c>
      <c r="CG12" s="84">
        <v>0</v>
      </c>
      <c r="CH12" s="5" vm="18606">
        <f xml:space="preserve"> VfM_Metrics_2023_Entity[[#This Row],[Total assets less current liabilities]]</f>
        <v>1593718</v>
      </c>
      <c r="CI12" s="135" vm="18606">
        <v>1593718</v>
      </c>
      <c r="CJ12" s="140" vm="11229">
        <f xml:space="preserve"> VfM_Metrics_2023_Entity[[#This Row],[Total social housing units owned (Period end)]]</f>
        <v>13286</v>
      </c>
      <c r="CK12" s="141">
        <v>6.3904382470119522E-2</v>
      </c>
      <c r="CL12" s="69">
        <f xml:space="preserve"> -- ( VfM_Metrics_2023_Entity[[#This Row],[% Supported housing (excl. HOP)]] &gt; 0.3 )</f>
        <v>0</v>
      </c>
      <c r="CM12" s="9">
        <v>2.4462151394422312E-2</v>
      </c>
      <c r="CN12" s="69">
        <f xml:space="preserve"> -- ( VfM_Metrics_2023_Entity[[#This Row],[% Housing for older people]] &gt; 0.3 )</f>
        <v>0</v>
      </c>
      <c r="CO12" s="9">
        <f xml:space="preserve"> VfM_Metrics_2023_Entity[[#This Row],[% Supported housing (excl. HOP)]] + VfM_Metrics_2023_Entity[[#This Row],[% Housing for older people]]</f>
        <v>8.8366533864541838E-2</v>
      </c>
      <c r="CP12" s="69">
        <f xml:space="preserve"> -- ( VfM_Metrics_2023_Entity[[#This Row],[SH specialist in RSH analysis]] + VfM_Metrics_2023_Entity[[#This Row],[OP specialist in RSH analysis]] &gt; 0 )</f>
        <v>0</v>
      </c>
      <c r="CQ12" s="142">
        <f xml:space="preserve"> -- ( VfM_Metrics_2023_Entity[[#This Row],[% SH and OP]] &gt; 0.3 )</f>
        <v>0</v>
      </c>
      <c r="CR12" s="143" t="s">
        <v>143</v>
      </c>
      <c r="CS12" s="120"/>
      <c r="CT12" s="144" t="s">
        <v>144</v>
      </c>
      <c r="CU1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2" s="146">
        <v>0.81210704497823638</v>
      </c>
      <c r="CW12" s="146">
        <v>0.18482992100596485</v>
      </c>
      <c r="CX12" s="146">
        <v>3.0630340157988072E-3</v>
      </c>
      <c r="CY12" s="146">
        <v>0</v>
      </c>
      <c r="CZ12" s="146">
        <v>0</v>
      </c>
      <c r="DA12" s="146">
        <v>0</v>
      </c>
      <c r="DB12" s="146">
        <v>0</v>
      </c>
      <c r="DC12" s="146">
        <v>0</v>
      </c>
      <c r="DD12" s="146">
        <v>0</v>
      </c>
      <c r="DE12" s="126">
        <v>1.1363925215162447</v>
      </c>
    </row>
    <row r="13" spans="1:114" x14ac:dyDescent="0.25">
      <c r="A13" s="4" t="s" vm="9216">
        <v>548</v>
      </c>
      <c r="B13" s="4" t="s" vm="10680">
        <v>549</v>
      </c>
      <c r="C13" s="121" vm="18849">
        <v>45016</v>
      </c>
      <c r="D13" s="68">
        <f>IFERROR( VfM_Metrics_2023_Entity[[#This Row],[Reinvestment Spend]] / VfM_Metrics_2023_Entity[[#This Row],[Net Book Value of Housing Properties]], "n/a" )</f>
        <v>7.5921221795054936E-2</v>
      </c>
      <c r="E1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12224</v>
      </c>
      <c r="F13" s="84" vm="9410">
        <v>10935</v>
      </c>
      <c r="G13" s="84" vm="10815">
        <v>0</v>
      </c>
      <c r="H13" s="84" vm="9576">
        <v>1</v>
      </c>
      <c r="I13" s="84" vm="9591">
        <v>1288</v>
      </c>
      <c r="J13" s="84" vm="9647">
        <v>0</v>
      </c>
      <c r="K13" s="5">
        <f xml:space="preserve"> SUM( VfM_Metrics_2023_Entity[[#This Row],[Tangible fixed assets: Housing properties at cost (Current period)]],VfM_Metrics_2023_Entity[[#This Row],[Tangible fixed assets Housing properties at valuation (Current period)]] )</f>
        <v>161009</v>
      </c>
      <c r="L13" s="84" vm="10878">
        <v>161009</v>
      </c>
      <c r="M13" s="84">
        <v>0</v>
      </c>
      <c r="N13" s="134">
        <f xml:space="preserve"> IFERROR( VfM_Metrics_2023_Entity[[#This Row],[Total social units developed or newly built units acquired in-year]] / VfM_Metrics_2023_Entity[[#This Row],[Social housing units owned (period end)]], "n/a" )</f>
        <v>0.11155115511551156</v>
      </c>
      <c r="O13" s="5">
        <f xml:space="preserve"> SUM( VfM_Metrics_2023_Entity[[#This Row],[Total social units developed or newly built units acquired in-year (owned)]], VfM_Metrics_2023_Entity[[#This Row],[Total social leasehold units developed or newly built units acquired in-year (owned)]] )</f>
        <v>169</v>
      </c>
      <c r="P13" s="84" vm="10950">
        <v>169</v>
      </c>
      <c r="Q13" s="84">
        <v>0</v>
      </c>
      <c r="R13" s="5">
        <f xml:space="preserve"> SUM( VfM_Metrics_2023_Entity[[#This Row],[Total social housing units owned (Period end)]], VfM_Metrics_2023_Entity[[#This Row],[Total social leasehold units owned (Period end)]] )</f>
        <v>1515</v>
      </c>
      <c r="S13" s="84" vm="11230">
        <v>1060</v>
      </c>
      <c r="T13" s="135" vm="11396">
        <v>455</v>
      </c>
      <c r="U13" s="136">
        <f xml:space="preserve"> IFERROR( VfM_Metrics_2023_Entity[[#This Row],[Total non-social housing units developed or newly built units acquired (owned)]] / VfM_Metrics_2023_Entity[[#This Row],[Total social and non-social housing units owned (Period end)]], "n/a" )</f>
        <v>0</v>
      </c>
      <c r="V1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 s="84">
        <v>0</v>
      </c>
      <c r="X13" s="84">
        <v>0</v>
      </c>
      <c r="Y13" s="84">
        <v>0</v>
      </c>
      <c r="Z1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1559</v>
      </c>
      <c r="AA13" s="84" vm="11230">
        <v>1060</v>
      </c>
      <c r="AB13" s="84" vm="11396">
        <v>455</v>
      </c>
      <c r="AC13" s="84" vm="12322">
        <v>15</v>
      </c>
      <c r="AD13" s="135" vm="12470">
        <v>29</v>
      </c>
      <c r="AE13" s="134">
        <f xml:space="preserve"> IFERROR( VfM_Metrics_2023_Entity[[#This Row],[Total Net Debt]] / VfM_Metrics_2023_Entity[[#This Row],[Net Book Value of Housing Properties2]], "n/a" )</f>
        <v>0.78069548907203945</v>
      </c>
      <c r="AF1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125699</v>
      </c>
      <c r="AG13" s="84">
        <v>0</v>
      </c>
      <c r="AH13" s="84" vm="13179">
        <v>127022</v>
      </c>
      <c r="AI13" s="84" vm="13263">
        <v>1323</v>
      </c>
      <c r="AJ13" s="84">
        <v>0</v>
      </c>
      <c r="AK13" s="84">
        <v>0</v>
      </c>
      <c r="AL13" s="5">
        <f xml:space="preserve"> SUM( VfM_Metrics_2023_Entity[[#This Row],[Tangible fixed assets: Housing properties at cost (Current period)2]], VfM_Metrics_2023_Entity[[#This Row],[Tangible fixed assets Housing properties at valuation (Current period)2]] )</f>
        <v>161009</v>
      </c>
      <c r="AM13" s="84" vm="13357">
        <v>161009</v>
      </c>
      <c r="AN13" s="135">
        <v>0</v>
      </c>
      <c r="AO13" s="137">
        <f xml:space="preserve"> IFERROR( VfM_Metrics_2023_Entity[[#This Row],[EBITDA MRI]] / VfM_Metrics_2023_Entity[[#This Row],[Total interest]], "n/a" )</f>
        <v>-1.9936657131181037</v>
      </c>
      <c r="AP1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-9757</v>
      </c>
      <c r="AQ13" s="84" vm="13630">
        <v>-7480</v>
      </c>
      <c r="AR13" s="84" vm="13890">
        <v>2095</v>
      </c>
      <c r="AS13" s="84">
        <v>0</v>
      </c>
      <c r="AT13" s="84" vm="14386">
        <v>321</v>
      </c>
      <c r="AU13" s="84" vm="15071">
        <v>0</v>
      </c>
      <c r="AV13" s="84" vm="15072">
        <v>8</v>
      </c>
      <c r="AW13" s="84" vm="13640">
        <v>1</v>
      </c>
      <c r="AX13" s="84" vm="13891">
        <v>132</v>
      </c>
      <c r="AY13" s="5">
        <f xml:space="preserve"> - SUM( VfM_Metrics_2023_Entity[[#This Row],[Interest capitalised]], VfM_Metrics_2023_Entity[[#This Row],[Interest payable and financing costs]] )</f>
        <v>4894</v>
      </c>
      <c r="AZ13" s="84" vm="15187">
        <v>-1236</v>
      </c>
      <c r="BA13" s="135" vm="15348">
        <v>-3658</v>
      </c>
      <c r="BB13" s="138">
        <f xml:space="preserve"> IFERROR( ( VfM_Metrics_2023_Entity[[#This Row],[Total Costs]] / VfM_Metrics_2023_Entity[[#This Row],[Total units for costs]] ) * 1000, "n/a" )</f>
        <v>11866.981132075471</v>
      </c>
      <c r="BC1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12579</v>
      </c>
      <c r="BD13" s="84" vm="15509">
        <v>1610</v>
      </c>
      <c r="BE13" s="84" vm="15647">
        <v>920</v>
      </c>
      <c r="BF13" s="84" vm="15624">
        <v>159</v>
      </c>
      <c r="BG13" s="84" vm="16677">
        <v>202</v>
      </c>
      <c r="BH13" s="84" vm="16841">
        <v>75</v>
      </c>
      <c r="BI13" s="84" vm="17076">
        <v>0</v>
      </c>
      <c r="BJ13" s="84" vm="13640">
        <v>1</v>
      </c>
      <c r="BK13" s="84" vm="15645">
        <v>0</v>
      </c>
      <c r="BL13" s="84" vm="15637">
        <v>2971</v>
      </c>
      <c r="BM13" s="84">
        <v>0</v>
      </c>
      <c r="BN13" s="84" vm="17004">
        <v>6641</v>
      </c>
      <c r="BO13" s="84">
        <v>0</v>
      </c>
      <c r="BP13" s="5" vm="17654">
        <f xml:space="preserve"> VfM_Metrics_2023_Entity[[#This Row],[Total social housing units owned and/or managed at period end]]</f>
        <v>1060</v>
      </c>
      <c r="BQ13" s="135" vm="17654">
        <v>1060</v>
      </c>
      <c r="BR13" s="134">
        <f xml:space="preserve"> IFERROR( VfM_Metrics_2023_Entity[[#This Row],[SHL operating surplus / (deficit)]] / VfM_Metrics_2023_Entity[[#This Row],[Turnover from social housing lettings]], "n/a" )</f>
        <v>-0.46509388541165142</v>
      </c>
      <c r="BS13" s="5" vm="17907">
        <f xml:space="preserve"> VfM_Metrics_2023_Entity[[#This Row],[Operating surplus/(deficit) (social housing lettings)]]</f>
        <v>-2898</v>
      </c>
      <c r="BT13" s="84" vm="17907">
        <v>-2898</v>
      </c>
      <c r="BU13" s="5" vm="18063">
        <f xml:space="preserve"> VfM_Metrics_2023_Entity[[#This Row],[Turnover from social housing lettings]]</f>
        <v>6231</v>
      </c>
      <c r="BV13" s="135" vm="18063">
        <v>6231</v>
      </c>
      <c r="BW13" s="134">
        <f xml:space="preserve"> IFERROR( VfM_Metrics_2023_Entity[[#This Row],[Net operating surplus]] / VfM_Metrics_2023_Entity[[#This Row],[Overall turnover]], "n/a" )</f>
        <v>-0.27015207516293765</v>
      </c>
      <c r="BX13" s="5">
        <f xml:space="preserve"> SUM( VfM_Metrics_2023_Entity[[#This Row],[Operating surplus/(deficit) (overall)2]], - VfM_Metrics_2023_Entity[[#This Row],[Gain/(loss) on disposal of fixed assets (housing properties)2]], - VfM_Metrics_2023_Entity[[#This Row],[Gain/(loss) on disposal of fixed assets (other)2]] )</f>
        <v>-9575</v>
      </c>
      <c r="BY13" s="84" vm="13630">
        <v>-7480</v>
      </c>
      <c r="BZ13" s="84" vm="13890">
        <v>2095</v>
      </c>
      <c r="CA13" s="84">
        <v>0</v>
      </c>
      <c r="CB13" s="5" vm="18254">
        <f xml:space="preserve"> VfM_Metrics_2023_Entity[[#This Row],[Turnover (overall)]]</f>
        <v>35443</v>
      </c>
      <c r="CC13" s="135" vm="18254">
        <v>35443</v>
      </c>
      <c r="CD13" s="134">
        <f xml:space="preserve"> IFERROR( VfM_Metrics_2023_Entity[[#This Row],[Operating surplus including from JVs]] / VfM_Metrics_2023_Entity[[#This Row],[Net assets]], "n/a" )</f>
        <v>-2.5419753221108215E-2</v>
      </c>
      <c r="CE13" s="5">
        <f xml:space="preserve"> SUM( VfM_Metrics_2023_Entity[[#This Row],[Operating surplus/(deficit) (overall)3]], VfM_Metrics_2023_Entity[[#This Row],[Share of operating surplus/(deficit) in joint ventures or associates]] )</f>
        <v>-4660</v>
      </c>
      <c r="CF13" s="84" vm="13630">
        <v>-7480</v>
      </c>
      <c r="CG13" s="84" vm="18472">
        <v>2820</v>
      </c>
      <c r="CH13" s="5" vm="18757">
        <f xml:space="preserve"> VfM_Metrics_2023_Entity[[#This Row],[Total assets less current liabilities]]</f>
        <v>183322</v>
      </c>
      <c r="CI13" s="135" vm="18757">
        <v>183322</v>
      </c>
      <c r="CJ13" s="140" vm="11230">
        <f xml:space="preserve"> VfM_Metrics_2023_Entity[[#This Row],[Total social housing units owned (Period end)]]</f>
        <v>1060</v>
      </c>
      <c r="CK13" s="141">
        <v>0</v>
      </c>
      <c r="CL13" s="69">
        <f xml:space="preserve"> -- ( VfM_Metrics_2023_Entity[[#This Row],[% Supported housing (excl. HOP)]] &gt; 0.3 )</f>
        <v>0</v>
      </c>
      <c r="CM13" s="9">
        <v>0</v>
      </c>
      <c r="CN13" s="69">
        <f xml:space="preserve"> -- ( VfM_Metrics_2023_Entity[[#This Row],[% Housing for older people]] &gt; 0.3 )</f>
        <v>0</v>
      </c>
      <c r="CO13" s="9">
        <f xml:space="preserve"> VfM_Metrics_2023_Entity[[#This Row],[% Supported housing (excl. HOP)]] + VfM_Metrics_2023_Entity[[#This Row],[% Housing for older people]]</f>
        <v>0</v>
      </c>
      <c r="CP13" s="69">
        <f xml:space="preserve"> -- ( VfM_Metrics_2023_Entity[[#This Row],[SH specialist in RSH analysis]] + VfM_Metrics_2023_Entity[[#This Row],[OP specialist in RSH analysis]] &gt; 0 )</f>
        <v>0</v>
      </c>
      <c r="CQ13" s="142">
        <f xml:space="preserve"> -- ( VfM_Metrics_2023_Entity[[#This Row],[% SH and OP]] &gt; 0.3 )</f>
        <v>0</v>
      </c>
      <c r="CR13" s="143" t="s">
        <v>143</v>
      </c>
      <c r="CS13" s="120"/>
      <c r="CT13" s="144" t="s">
        <v>144</v>
      </c>
      <c r="CU1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3" s="146">
        <v>0.25925925925925924</v>
      </c>
      <c r="CW13" s="146">
        <v>0.73973973973973972</v>
      </c>
      <c r="CX13" s="146">
        <v>0</v>
      </c>
      <c r="CY13" s="146">
        <v>0</v>
      </c>
      <c r="CZ13" s="146">
        <v>0</v>
      </c>
      <c r="DA13" s="146">
        <v>1.001001001001001E-3</v>
      </c>
      <c r="DB13" s="146">
        <v>0</v>
      </c>
      <c r="DC13" s="146">
        <v>0</v>
      </c>
      <c r="DD13" s="146">
        <v>0</v>
      </c>
      <c r="DE13" s="126">
        <v>1.0665273195095575</v>
      </c>
    </row>
    <row r="14" spans="1:114" x14ac:dyDescent="0.25">
      <c r="A14" s="4" t="s" vm="9217">
        <v>550</v>
      </c>
      <c r="B14" s="4" t="s" vm="10469">
        <v>551</v>
      </c>
      <c r="C14" s="121" vm="18803">
        <v>45016</v>
      </c>
      <c r="D14" s="68">
        <f>IFERROR( VfM_Metrics_2023_Entity[[#This Row],[Reinvestment Spend]] / VfM_Metrics_2023_Entity[[#This Row],[Net Book Value of Housing Properties]], "n/a" )</f>
        <v>3.1132513332680183E-2</v>
      </c>
      <c r="E1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31459</v>
      </c>
      <c r="F14" s="84" vm="9415">
        <v>15793</v>
      </c>
      <c r="G14" s="84" vm="10693">
        <v>0</v>
      </c>
      <c r="H14" s="84" vm="10601">
        <v>14223</v>
      </c>
      <c r="I14" s="84" vm="9533">
        <v>1443</v>
      </c>
      <c r="J14" s="84" vm="9592">
        <v>0</v>
      </c>
      <c r="K14" s="5">
        <f xml:space="preserve"> SUM( VfM_Metrics_2023_Entity[[#This Row],[Tangible fixed assets: Housing properties at cost (Current period)]],VfM_Metrics_2023_Entity[[#This Row],[Tangible fixed assets Housing properties at valuation (Current period)]] )</f>
        <v>1010487</v>
      </c>
      <c r="L14" s="84" vm="10512">
        <v>1010487</v>
      </c>
      <c r="M14" s="84">
        <v>0</v>
      </c>
      <c r="N14" s="134">
        <f xml:space="preserve"> IFERROR( VfM_Metrics_2023_Entity[[#This Row],[Total social units developed or newly built units acquired in-year]] / VfM_Metrics_2023_Entity[[#This Row],[Social housing units owned (period end)]], "n/a" )</f>
        <v>1.1022898759923889E-2</v>
      </c>
      <c r="O14" s="5">
        <f xml:space="preserve"> SUM( VfM_Metrics_2023_Entity[[#This Row],[Total social units developed or newly built units acquired in-year (owned)]], VfM_Metrics_2023_Entity[[#This Row],[Total social leasehold units developed or newly built units acquired in-year (owned)]] )</f>
        <v>168</v>
      </c>
      <c r="P14" s="84" vm="10998">
        <v>168</v>
      </c>
      <c r="Q14" s="84">
        <v>0</v>
      </c>
      <c r="R14" s="5">
        <f xml:space="preserve"> SUM( VfM_Metrics_2023_Entity[[#This Row],[Total social housing units owned (Period end)]], VfM_Metrics_2023_Entity[[#This Row],[Total social leasehold units owned (Period end)]] )</f>
        <v>15241</v>
      </c>
      <c r="S14" s="84" vm="11305">
        <v>13831</v>
      </c>
      <c r="T14" s="135" vm="11400">
        <v>1410</v>
      </c>
      <c r="U14" s="136">
        <f xml:space="preserve"> IFERROR( VfM_Metrics_2023_Entity[[#This Row],[Total non-social housing units developed or newly built units acquired (owned)]] / VfM_Metrics_2023_Entity[[#This Row],[Total social and non-social housing units owned (Period end)]], "n/a" )</f>
        <v>0</v>
      </c>
      <c r="V1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4" s="84">
        <v>0</v>
      </c>
      <c r="X14" s="84">
        <v>0</v>
      </c>
      <c r="Y14" s="84" vm="11908">
        <v>0</v>
      </c>
      <c r="Z1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16582</v>
      </c>
      <c r="AA14" s="84" vm="11994">
        <v>13831</v>
      </c>
      <c r="AB14" s="84" vm="12174">
        <v>1410</v>
      </c>
      <c r="AC14" s="84" vm="12062">
        <v>844</v>
      </c>
      <c r="AD14" s="135" vm="12226">
        <v>497</v>
      </c>
      <c r="AE14" s="134">
        <f xml:space="preserve"> IFERROR( VfM_Metrics_2023_Entity[[#This Row],[Total Net Debt]] / VfM_Metrics_2023_Entity[[#This Row],[Net Book Value of Housing Properties2]], "n/a" )</f>
        <v>0.44625413290819177</v>
      </c>
      <c r="AF1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450934</v>
      </c>
      <c r="AG14" s="84" vm="12634">
        <v>18050</v>
      </c>
      <c r="AH14" s="84" vm="13010">
        <v>267184</v>
      </c>
      <c r="AI14" s="84" vm="13092">
        <v>7409</v>
      </c>
      <c r="AJ14" s="84" vm="13181">
        <v>173109</v>
      </c>
      <c r="AK14" s="84">
        <v>0</v>
      </c>
      <c r="AL14" s="5">
        <f xml:space="preserve"> SUM( VfM_Metrics_2023_Entity[[#This Row],[Tangible fixed assets: Housing properties at cost (Current period)2]], VfM_Metrics_2023_Entity[[#This Row],[Tangible fixed assets Housing properties at valuation (Current period)2]] )</f>
        <v>1010487</v>
      </c>
      <c r="AM14" s="84" vm="13361">
        <v>1010487</v>
      </c>
      <c r="AN14" s="135">
        <v>0</v>
      </c>
      <c r="AO14" s="137">
        <f xml:space="preserve"> IFERROR( VfM_Metrics_2023_Entity[[#This Row],[EBITDA MRI]] / VfM_Metrics_2023_Entity[[#This Row],[Total interest]], "n/a" )</f>
        <v>0.55782267266259478</v>
      </c>
      <c r="AP1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16622</v>
      </c>
      <c r="AQ14" s="84" vm="13537">
        <v>17650</v>
      </c>
      <c r="AR14" s="84" vm="14143">
        <v>4132</v>
      </c>
      <c r="AS14" s="84">
        <v>0</v>
      </c>
      <c r="AT14" s="84" vm="14632">
        <v>5167</v>
      </c>
      <c r="AU14" s="84" vm="14877">
        <v>0</v>
      </c>
      <c r="AV14" s="84" vm="13641">
        <v>6798</v>
      </c>
      <c r="AW14" s="84" vm="13892">
        <v>14224</v>
      </c>
      <c r="AX14" s="84" vm="14144">
        <v>15697</v>
      </c>
      <c r="AY14" s="5">
        <f xml:space="preserve"> - SUM( VfM_Metrics_2023_Entity[[#This Row],[Interest capitalised]], VfM_Metrics_2023_Entity[[#This Row],[Interest payable and financing costs]] )</f>
        <v>29798</v>
      </c>
      <c r="AZ14" s="84" vm="15210">
        <v>-1442</v>
      </c>
      <c r="BA14" s="135" vm="15381">
        <v>-28356</v>
      </c>
      <c r="BB14" s="138">
        <f xml:space="preserve"> IFERROR( ( VfM_Metrics_2023_Entity[[#This Row],[Total Costs]] / VfM_Metrics_2023_Entity[[#This Row],[Total units for costs]] ) * 1000, "n/a" )</f>
        <v>7184.0150039673945</v>
      </c>
      <c r="BC1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99592</v>
      </c>
      <c r="BD14" s="84" vm="15634">
        <v>27247</v>
      </c>
      <c r="BE14" s="84" vm="17300">
        <v>12120</v>
      </c>
      <c r="BF14" s="84" vm="15625">
        <v>17336</v>
      </c>
      <c r="BG14" s="84" vm="16360">
        <v>5113</v>
      </c>
      <c r="BH14" s="84" vm="16245">
        <v>5308</v>
      </c>
      <c r="BI14" s="84" vm="16032">
        <v>96</v>
      </c>
      <c r="BJ14" s="84" vm="13892">
        <v>14224</v>
      </c>
      <c r="BK14" s="84" vm="16841">
        <v>0</v>
      </c>
      <c r="BL14" s="84" vm="15707">
        <v>1417</v>
      </c>
      <c r="BM14" s="84" vm="15638">
        <v>303</v>
      </c>
      <c r="BN14" s="84" vm="15826">
        <v>15528</v>
      </c>
      <c r="BO14" s="84" vm="15626">
        <v>900</v>
      </c>
      <c r="BP14" s="5" vm="17659">
        <f xml:space="preserve"> VfM_Metrics_2023_Entity[[#This Row],[Total social housing units owned and/or managed at period end]]</f>
        <v>13863</v>
      </c>
      <c r="BQ14" s="135" vm="17659">
        <v>13863</v>
      </c>
      <c r="BR14" s="134">
        <f xml:space="preserve"> IFERROR( VfM_Metrics_2023_Entity[[#This Row],[SHL operating surplus / (deficit)]] / VfM_Metrics_2023_Entity[[#This Row],[Turnover from social housing lettings]], "n/a" )</f>
        <v>0.23768049716687992</v>
      </c>
      <c r="BS14" s="5" vm="17945">
        <f xml:space="preserve"> VfM_Metrics_2023_Entity[[#This Row],[Operating surplus/(deficit) (social housing lettings)]]</f>
        <v>26007</v>
      </c>
      <c r="BT14" s="84" vm="17945">
        <v>26007</v>
      </c>
      <c r="BU14" s="5" vm="18107">
        <f xml:space="preserve"> VfM_Metrics_2023_Entity[[#This Row],[Turnover from social housing lettings]]</f>
        <v>109420</v>
      </c>
      <c r="BV14" s="135" vm="18107">
        <v>109420</v>
      </c>
      <c r="BW14" s="134">
        <f xml:space="preserve"> IFERROR( VfM_Metrics_2023_Entity[[#This Row],[Net operating surplus]] / VfM_Metrics_2023_Entity[[#This Row],[Overall turnover]], "n/a" )</f>
        <v>0.10941053636900763</v>
      </c>
      <c r="BX14" s="5">
        <f xml:space="preserve"> SUM( VfM_Metrics_2023_Entity[[#This Row],[Operating surplus/(deficit) (overall)2]], - VfM_Metrics_2023_Entity[[#This Row],[Gain/(loss) on disposal of fixed assets (housing properties)2]], - VfM_Metrics_2023_Entity[[#This Row],[Gain/(loss) on disposal of fixed assets (other)2]] )</f>
        <v>13518</v>
      </c>
      <c r="BY14" s="84" vm="13537">
        <v>17650</v>
      </c>
      <c r="BZ14" s="84" vm="14143">
        <v>4132</v>
      </c>
      <c r="CA14" s="84">
        <v>0</v>
      </c>
      <c r="CB14" s="5" vm="18295">
        <f xml:space="preserve"> VfM_Metrics_2023_Entity[[#This Row],[Turnover (overall)]]</f>
        <v>123553</v>
      </c>
      <c r="CC14" s="135" vm="18295">
        <v>123553</v>
      </c>
      <c r="CD14" s="134">
        <f xml:space="preserve"> IFERROR( VfM_Metrics_2023_Entity[[#This Row],[Operating surplus including from JVs]] / VfM_Metrics_2023_Entity[[#This Row],[Net assets]], "n/a" )</f>
        <v>1.5423077292773698E-2</v>
      </c>
      <c r="CE14" s="5">
        <f xml:space="preserve"> SUM( VfM_Metrics_2023_Entity[[#This Row],[Operating surplus/(deficit) (overall)3]], VfM_Metrics_2023_Entity[[#This Row],[Share of operating surplus/(deficit) in joint ventures or associates]] )</f>
        <v>17650</v>
      </c>
      <c r="CF14" s="84" vm="13537">
        <v>17650</v>
      </c>
      <c r="CG14" s="84">
        <v>0</v>
      </c>
      <c r="CH14" s="5" vm="18681">
        <f xml:space="preserve"> VfM_Metrics_2023_Entity[[#This Row],[Total assets less current liabilities]]</f>
        <v>1144389</v>
      </c>
      <c r="CI14" s="135" vm="18681">
        <v>1144389</v>
      </c>
      <c r="CJ14" s="140" vm="11305">
        <f xml:space="preserve"> VfM_Metrics_2023_Entity[[#This Row],[Total social housing units owned (Period end)]]</f>
        <v>13831</v>
      </c>
      <c r="CK14" s="141">
        <v>2.4867374005305039E-2</v>
      </c>
      <c r="CL14" s="69">
        <f xml:space="preserve"> -- ( VfM_Metrics_2023_Entity[[#This Row],[% Supported housing (excl. HOP)]] &gt; 0.3 )</f>
        <v>0</v>
      </c>
      <c r="CM14" s="9">
        <v>5.1309681697612734E-2</v>
      </c>
      <c r="CN14" s="69">
        <f xml:space="preserve"> -- ( VfM_Metrics_2023_Entity[[#This Row],[% Housing for older people]] &gt; 0.3 )</f>
        <v>0</v>
      </c>
      <c r="CO14" s="9">
        <f xml:space="preserve"> VfM_Metrics_2023_Entity[[#This Row],[% Supported housing (excl. HOP)]] + VfM_Metrics_2023_Entity[[#This Row],[% Housing for older people]]</f>
        <v>7.6177055702917773E-2</v>
      </c>
      <c r="CP14" s="69">
        <f xml:space="preserve"> -- ( VfM_Metrics_2023_Entity[[#This Row],[SH specialist in RSH analysis]] + VfM_Metrics_2023_Entity[[#This Row],[OP specialist in RSH analysis]] &gt; 0 )</f>
        <v>0</v>
      </c>
      <c r="CQ14" s="142">
        <f xml:space="preserve"> -- ( VfM_Metrics_2023_Entity[[#This Row],[% SH and OP]] &gt; 0.3 )</f>
        <v>0</v>
      </c>
      <c r="CR14" s="143" t="s">
        <v>143</v>
      </c>
      <c r="CS14" s="120"/>
      <c r="CT14" s="144" t="s">
        <v>151</v>
      </c>
      <c r="CU1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4" s="146">
        <v>0.14509151414309485</v>
      </c>
      <c r="CW14" s="146">
        <v>0.83743760399334444</v>
      </c>
      <c r="CX14" s="146">
        <v>1.747088186356073E-2</v>
      </c>
      <c r="CY14" s="146">
        <v>0</v>
      </c>
      <c r="CZ14" s="146">
        <v>0</v>
      </c>
      <c r="DA14" s="146">
        <v>0</v>
      </c>
      <c r="DB14" s="146">
        <v>0</v>
      </c>
      <c r="DC14" s="146">
        <v>0</v>
      </c>
      <c r="DD14" s="146">
        <v>0</v>
      </c>
      <c r="DE14" s="126">
        <v>1.0510658039615686</v>
      </c>
    </row>
    <row r="15" spans="1:114" x14ac:dyDescent="0.25">
      <c r="A15" s="4" t="s" vm="254">
        <v>145</v>
      </c>
      <c r="B15" s="4" t="s" vm="10403">
        <v>146</v>
      </c>
      <c r="C15" s="121" vm="18879">
        <v>45016</v>
      </c>
      <c r="D15" s="68">
        <f>IFERROR( VfM_Metrics_2023_Entity[[#This Row],[Reinvestment Spend]] / VfM_Metrics_2023_Entity[[#This Row],[Net Book Value of Housing Properties]], "n/a" )</f>
        <v>7.8808110425979433E-2</v>
      </c>
      <c r="E1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131590</v>
      </c>
      <c r="F15" s="84" vm="9426">
        <v>113827</v>
      </c>
      <c r="G15" s="84" vm="10903">
        <v>0</v>
      </c>
      <c r="H15" s="84" vm="9803">
        <v>14541</v>
      </c>
      <c r="I15" s="84" vm="9468">
        <v>3222</v>
      </c>
      <c r="J15" s="84" vm="10293">
        <v>0</v>
      </c>
      <c r="K15" s="5">
        <f xml:space="preserve"> SUM( VfM_Metrics_2023_Entity[[#This Row],[Tangible fixed assets: Housing properties at cost (Current period)]],VfM_Metrics_2023_Entity[[#This Row],[Tangible fixed assets Housing properties at valuation (Current period)]] )</f>
        <v>1669752</v>
      </c>
      <c r="L15" s="84" vm="10266">
        <v>1669752</v>
      </c>
      <c r="M15" s="84">
        <v>0</v>
      </c>
      <c r="N15" s="134">
        <f xml:space="preserve"> IFERROR( VfM_Metrics_2023_Entity[[#This Row],[Total social units developed or newly built units acquired in-year]] / VfM_Metrics_2023_Entity[[#This Row],[Social housing units owned (period end)]], "n/a" )</f>
        <v>1.7869521682199799E-2</v>
      </c>
      <c r="O15" s="5">
        <f xml:space="preserve"> SUM( VfM_Metrics_2023_Entity[[#This Row],[Total social units developed or newly built units acquired in-year (owned)]], VfM_Metrics_2023_Entity[[#This Row],[Total social leasehold units developed or newly built units acquired in-year (owned)]] )</f>
        <v>464</v>
      </c>
      <c r="P15" s="84" vm="11041">
        <v>464</v>
      </c>
      <c r="Q15" s="84" vm="11169">
        <v>0</v>
      </c>
      <c r="R15" s="5">
        <f xml:space="preserve"> SUM( VfM_Metrics_2023_Entity[[#This Row],[Total social housing units owned (Period end)]], VfM_Metrics_2023_Entity[[#This Row],[Total social leasehold units owned (Period end)]] )</f>
        <v>25966</v>
      </c>
      <c r="S15" s="84" vm="11254">
        <v>24809</v>
      </c>
      <c r="T15" s="135" vm="11459">
        <v>1157</v>
      </c>
      <c r="U15" s="136">
        <f xml:space="preserve"> IFERROR( VfM_Metrics_2023_Entity[[#This Row],[Total non-social housing units developed or newly built units acquired (owned)]] / VfM_Metrics_2023_Entity[[#This Row],[Total social and non-social housing units owned (Period end)]], "n/a" )</f>
        <v>0</v>
      </c>
      <c r="V1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5" s="84" vm="11648">
        <v>0</v>
      </c>
      <c r="X15" s="84">
        <v>0</v>
      </c>
      <c r="Y15" s="84">
        <v>0</v>
      </c>
      <c r="Z1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26034</v>
      </c>
      <c r="AA15" s="84" vm="12020">
        <v>24809</v>
      </c>
      <c r="AB15" s="84" vm="12422">
        <v>1157</v>
      </c>
      <c r="AC15" s="84" vm="12323">
        <v>68</v>
      </c>
      <c r="AD15" s="135" vm="12482">
        <v>0</v>
      </c>
      <c r="AE15" s="134">
        <f xml:space="preserve"> IFERROR( VfM_Metrics_2023_Entity[[#This Row],[Total Net Debt]] / VfM_Metrics_2023_Entity[[#This Row],[Net Book Value of Housing Properties2]], "n/a" )</f>
        <v>0.54981637991749677</v>
      </c>
      <c r="AF1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918057</v>
      </c>
      <c r="AG15" s="84" vm="12654">
        <v>11710</v>
      </c>
      <c r="AH15" s="84" vm="12707">
        <v>937433</v>
      </c>
      <c r="AI15" s="84" vm="12827">
        <v>31086</v>
      </c>
      <c r="AJ15" s="84">
        <v>0</v>
      </c>
      <c r="AK15" s="84">
        <v>0</v>
      </c>
      <c r="AL15" s="5">
        <f xml:space="preserve"> SUM( VfM_Metrics_2023_Entity[[#This Row],[Tangible fixed assets: Housing properties at cost (Current period)2]], VfM_Metrics_2023_Entity[[#This Row],[Tangible fixed assets Housing properties at valuation (Current period)2]] )</f>
        <v>1669752</v>
      </c>
      <c r="AM15" s="84" vm="9953">
        <v>1669752</v>
      </c>
      <c r="AN15" s="135">
        <v>0</v>
      </c>
      <c r="AO15" s="137">
        <f xml:space="preserve"> IFERROR( VfM_Metrics_2023_Entity[[#This Row],[EBITDA MRI]] / VfM_Metrics_2023_Entity[[#This Row],[Total interest]], "n/a" )</f>
        <v>1.2950040658670461</v>
      </c>
      <c r="AP1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50961</v>
      </c>
      <c r="AQ15" s="84" vm="13561">
        <v>50280</v>
      </c>
      <c r="AR15" s="84" vm="14387">
        <v>11612</v>
      </c>
      <c r="AS15" s="84" vm="14633">
        <v>1443</v>
      </c>
      <c r="AT15" s="84" vm="14878">
        <v>2387</v>
      </c>
      <c r="AU15" s="84" vm="13642">
        <v>0</v>
      </c>
      <c r="AV15" s="84" vm="13893">
        <v>7305</v>
      </c>
      <c r="AW15" s="84" vm="14145">
        <v>14541</v>
      </c>
      <c r="AX15" s="84" vm="14388">
        <v>23359</v>
      </c>
      <c r="AY15" s="5">
        <f xml:space="preserve"> - SUM( VfM_Metrics_2023_Entity[[#This Row],[Interest capitalised]], VfM_Metrics_2023_Entity[[#This Row],[Interest payable and financing costs]] )</f>
        <v>39352</v>
      </c>
      <c r="AZ15" s="84" vm="15229">
        <v>-4295</v>
      </c>
      <c r="BA15" s="135" vm="15408">
        <v>-35057</v>
      </c>
      <c r="BB15" s="138">
        <f xml:space="preserve"> IFERROR( ( VfM_Metrics_2023_Entity[[#This Row],[Total Costs]] / VfM_Metrics_2023_Entity[[#This Row],[Total units for costs]] ) * 1000, "n/a" )</f>
        <v>4376.7160058286681</v>
      </c>
      <c r="BC1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114136</v>
      </c>
      <c r="BD15" s="84" vm="15635">
        <v>36129</v>
      </c>
      <c r="BE15" s="84" vm="16769">
        <v>8790</v>
      </c>
      <c r="BF15" s="84" vm="15627">
        <v>31716</v>
      </c>
      <c r="BG15" s="84" vm="15649">
        <v>10346</v>
      </c>
      <c r="BH15" s="84" vm="15752">
        <v>6980</v>
      </c>
      <c r="BI15" s="84" vm="16358">
        <v>0</v>
      </c>
      <c r="BJ15" s="84" vm="14145">
        <v>14541</v>
      </c>
      <c r="BK15" s="84" vm="16034">
        <v>1399</v>
      </c>
      <c r="BL15" s="84" vm="15706">
        <v>2065</v>
      </c>
      <c r="BM15" s="84">
        <v>0</v>
      </c>
      <c r="BN15" s="84" vm="15639">
        <v>316</v>
      </c>
      <c r="BO15" s="84" vm="15628">
        <v>1854</v>
      </c>
      <c r="BP15" s="5" vm="17697">
        <f xml:space="preserve"> VfM_Metrics_2023_Entity[[#This Row],[Total social housing units owned and/or managed at period end]]</f>
        <v>26078</v>
      </c>
      <c r="BQ15" s="135" vm="17697">
        <v>26078</v>
      </c>
      <c r="BR15" s="134">
        <f xml:space="preserve"> IFERROR( VfM_Metrics_2023_Entity[[#This Row],[SHL operating surplus / (deficit)]] / VfM_Metrics_2023_Entity[[#This Row],[Turnover from social housing lettings]], "n/a" )</f>
        <v>0.23114791510448929</v>
      </c>
      <c r="BS15" s="5" vm="17981">
        <f xml:space="preserve"> VfM_Metrics_2023_Entity[[#This Row],[Operating surplus/(deficit) (social housing lettings)]]</f>
        <v>35450</v>
      </c>
      <c r="BT15" s="84" vm="17981">
        <v>35450</v>
      </c>
      <c r="BU15" s="5" vm="18210">
        <f xml:space="preserve"> VfM_Metrics_2023_Entity[[#This Row],[Turnover from social housing lettings]]</f>
        <v>153365</v>
      </c>
      <c r="BV15" s="135" vm="18210">
        <v>153365</v>
      </c>
      <c r="BW15" s="134">
        <f xml:space="preserve"> IFERROR( VfM_Metrics_2023_Entity[[#This Row],[Net operating surplus]] / VfM_Metrics_2023_Entity[[#This Row],[Overall turnover]], "n/a" )</f>
        <v>0.20302810487103828</v>
      </c>
      <c r="BX15" s="5">
        <f xml:space="preserve"> SUM( VfM_Metrics_2023_Entity[[#This Row],[Operating surplus/(deficit) (overall)2]], - VfM_Metrics_2023_Entity[[#This Row],[Gain/(loss) on disposal of fixed assets (housing properties)2]], - VfM_Metrics_2023_Entity[[#This Row],[Gain/(loss) on disposal of fixed assets (other)2]] )</f>
        <v>37225</v>
      </c>
      <c r="BY15" s="84" vm="13561">
        <v>50280</v>
      </c>
      <c r="BZ15" s="84" vm="14387">
        <v>11612</v>
      </c>
      <c r="CA15" s="84" vm="14633">
        <v>1443</v>
      </c>
      <c r="CB15" s="5" vm="18375">
        <f xml:space="preserve"> VfM_Metrics_2023_Entity[[#This Row],[Turnover (overall)]]</f>
        <v>183349</v>
      </c>
      <c r="CC15" s="135" vm="18375">
        <v>183349</v>
      </c>
      <c r="CD15" s="134">
        <f xml:space="preserve"> IFERROR( VfM_Metrics_2023_Entity[[#This Row],[Operating surplus including from JVs]] / VfM_Metrics_2023_Entity[[#This Row],[Net assets]], "n/a" )</f>
        <v>2.6481625343989887E-2</v>
      </c>
      <c r="CE15" s="5">
        <f xml:space="preserve"> SUM( VfM_Metrics_2023_Entity[[#This Row],[Operating surplus/(deficit) (overall)3]], VfM_Metrics_2023_Entity[[#This Row],[Share of operating surplus/(deficit) in joint ventures or associates]] )</f>
        <v>50280</v>
      </c>
      <c r="CF15" s="84" vm="13561">
        <v>50280</v>
      </c>
      <c r="CG15" s="84">
        <v>0</v>
      </c>
      <c r="CH15" s="5" vm="18705">
        <f xml:space="preserve"> VfM_Metrics_2023_Entity[[#This Row],[Total assets less current liabilities]]</f>
        <v>1898675</v>
      </c>
      <c r="CI15" s="135" vm="18705">
        <v>1898675</v>
      </c>
      <c r="CJ15" s="140" vm="11254">
        <f xml:space="preserve"> VfM_Metrics_2023_Entity[[#This Row],[Total social housing units owned (Period end)]]</f>
        <v>24809</v>
      </c>
      <c r="CK15" s="141">
        <v>5.9812019367701513E-3</v>
      </c>
      <c r="CL15" s="69">
        <f xml:space="preserve"> -- ( VfM_Metrics_2023_Entity[[#This Row],[% Supported housing (excl. HOP)]] &gt; 0.3 )</f>
        <v>0</v>
      </c>
      <c r="CM15" s="9">
        <v>0.10973674573788501</v>
      </c>
      <c r="CN15" s="69">
        <f xml:space="preserve"> -- ( VfM_Metrics_2023_Entity[[#This Row],[% Housing for older people]] &gt; 0.3 )</f>
        <v>0</v>
      </c>
      <c r="CO15" s="9">
        <f xml:space="preserve"> VfM_Metrics_2023_Entity[[#This Row],[% Supported housing (excl. HOP)]] + VfM_Metrics_2023_Entity[[#This Row],[% Housing for older people]]</f>
        <v>0.11571794767465517</v>
      </c>
      <c r="CP15" s="69">
        <f xml:space="preserve"> -- ( VfM_Metrics_2023_Entity[[#This Row],[SH specialist in RSH analysis]] + VfM_Metrics_2023_Entity[[#This Row],[OP specialist in RSH analysis]] &gt; 0 )</f>
        <v>0</v>
      </c>
      <c r="CQ15" s="142">
        <f xml:space="preserve"> -- ( VfM_Metrics_2023_Entity[[#This Row],[% SH and OP]] &gt; 0.3 )</f>
        <v>0</v>
      </c>
      <c r="CR15" s="143" t="s">
        <v>143</v>
      </c>
      <c r="CS15" s="120"/>
      <c r="CT15" s="144" t="s">
        <v>144</v>
      </c>
      <c r="CU1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5" s="146">
        <v>0</v>
      </c>
      <c r="CW15" s="146">
        <v>0.53023236952025632</v>
      </c>
      <c r="CX15" s="146">
        <v>0.46976763047974368</v>
      </c>
      <c r="CY15" s="146">
        <v>0</v>
      </c>
      <c r="CZ15" s="146">
        <v>0</v>
      </c>
      <c r="DA15" s="146">
        <v>0</v>
      </c>
      <c r="DB15" s="146">
        <v>0</v>
      </c>
      <c r="DC15" s="146">
        <v>0</v>
      </c>
      <c r="DD15" s="146">
        <v>0</v>
      </c>
      <c r="DE15" s="126">
        <v>1.0061872138845911</v>
      </c>
    </row>
    <row r="16" spans="1:114" x14ac:dyDescent="0.25">
      <c r="A16" s="4" t="s" vm="9218">
        <v>552</v>
      </c>
      <c r="B16" s="4" t="s" vm="9340">
        <v>553</v>
      </c>
      <c r="C16" s="121" vm="18766">
        <v>45016</v>
      </c>
      <c r="D16" s="68">
        <f>IFERROR( VfM_Metrics_2023_Entity[[#This Row],[Reinvestment Spend]] / VfM_Metrics_2023_Entity[[#This Row],[Net Book Value of Housing Properties]], "n/a" )</f>
        <v>0.12384042010697972</v>
      </c>
      <c r="E1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102726</v>
      </c>
      <c r="F16" s="84" vm="9460">
        <v>88169</v>
      </c>
      <c r="G16" s="84" vm="9648">
        <v>0</v>
      </c>
      <c r="H16" s="84" vm="9700">
        <v>12543</v>
      </c>
      <c r="I16" s="84" vm="10365">
        <v>2014</v>
      </c>
      <c r="J16" s="84" vm="9469">
        <v>0</v>
      </c>
      <c r="K16" s="5">
        <f xml:space="preserve"> SUM( VfM_Metrics_2023_Entity[[#This Row],[Tangible fixed assets: Housing properties at cost (Current period)]],VfM_Metrics_2023_Entity[[#This Row],[Tangible fixed assets Housing properties at valuation (Current period)]] )</f>
        <v>829503</v>
      </c>
      <c r="L16" s="84" vm="9971">
        <v>829503</v>
      </c>
      <c r="M16" s="84" vm="10583">
        <v>0</v>
      </c>
      <c r="N16" s="134">
        <f xml:space="preserve"> IFERROR( VfM_Metrics_2023_Entity[[#This Row],[Total social units developed or newly built units acquired in-year]] / VfM_Metrics_2023_Entity[[#This Row],[Social housing units owned (period end)]], "n/a" )</f>
        <v>1.1198738170347004E-2</v>
      </c>
      <c r="O16" s="5">
        <f xml:space="preserve"> SUM( VfM_Metrics_2023_Entity[[#This Row],[Total social units developed or newly built units acquired in-year (owned)]], VfM_Metrics_2023_Entity[[#This Row],[Total social leasehold units developed or newly built units acquired in-year (owned)]] )</f>
        <v>213</v>
      </c>
      <c r="P16" s="84" vm="11061">
        <v>213</v>
      </c>
      <c r="Q16" s="84" vm="11184">
        <v>0</v>
      </c>
      <c r="R16" s="5">
        <f xml:space="preserve"> SUM( VfM_Metrics_2023_Entity[[#This Row],[Total social housing units owned (Period end)]], VfM_Metrics_2023_Entity[[#This Row],[Total social leasehold units owned (Period end)]] )</f>
        <v>19020</v>
      </c>
      <c r="S16" s="84" vm="11273">
        <v>19020</v>
      </c>
      <c r="T16" s="135" vm="11467">
        <v>0</v>
      </c>
      <c r="U16" s="136">
        <f xml:space="preserve"> IFERROR( VfM_Metrics_2023_Entity[[#This Row],[Total non-social housing units developed or newly built units acquired (owned)]] / VfM_Metrics_2023_Entity[[#This Row],[Total social and non-social housing units owned (Period end)]], "n/a" )</f>
        <v>5.7748845023099541E-4</v>
      </c>
      <c r="V1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11</v>
      </c>
      <c r="W16" s="84" vm="11663">
        <v>11</v>
      </c>
      <c r="X16" s="84" vm="11780">
        <v>0</v>
      </c>
      <c r="Y16" s="84" vm="11817">
        <v>0</v>
      </c>
      <c r="Z1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19048</v>
      </c>
      <c r="AA16" s="84" vm="12036">
        <v>19020</v>
      </c>
      <c r="AB16" s="84" vm="12172">
        <v>0</v>
      </c>
      <c r="AC16" s="84" vm="12063">
        <v>28</v>
      </c>
      <c r="AD16" s="135" vm="12227">
        <v>0</v>
      </c>
      <c r="AE16" s="134">
        <f xml:space="preserve"> IFERROR( VfM_Metrics_2023_Entity[[#This Row],[Total Net Debt]] / VfM_Metrics_2023_Entity[[#This Row],[Net Book Value of Housing Properties2]], "n/a" )</f>
        <v>0.43758129868125856</v>
      </c>
      <c r="AF1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362975</v>
      </c>
      <c r="AG16" s="84" vm="12683">
        <v>5812</v>
      </c>
      <c r="AH16" s="84" vm="13180">
        <v>138262</v>
      </c>
      <c r="AI16" s="84" vm="13264">
        <v>133044</v>
      </c>
      <c r="AJ16" s="84" vm="12708">
        <v>351945</v>
      </c>
      <c r="AK16" s="84" vm="12828">
        <v>0</v>
      </c>
      <c r="AL16" s="5">
        <f xml:space="preserve"> SUM( VfM_Metrics_2023_Entity[[#This Row],[Tangible fixed assets: Housing properties at cost (Current period)2]], VfM_Metrics_2023_Entity[[#This Row],[Tangible fixed assets Housing properties at valuation (Current period)2]] )</f>
        <v>829503</v>
      </c>
      <c r="AM16" s="84" vm="9971">
        <v>829503</v>
      </c>
      <c r="AN16" s="135" vm="10144">
        <v>0</v>
      </c>
      <c r="AO16" s="137">
        <f xml:space="preserve"> IFERROR( VfM_Metrics_2023_Entity[[#This Row],[EBITDA MRI]] / VfM_Metrics_2023_Entity[[#This Row],[Total interest]], "n/a" )</f>
        <v>1.9462101147685711</v>
      </c>
      <c r="AP1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30863</v>
      </c>
      <c r="AQ16" s="84" vm="13592">
        <v>29306</v>
      </c>
      <c r="AR16" s="84" vm="14634">
        <v>2805</v>
      </c>
      <c r="AS16" s="84" vm="14879">
        <v>0</v>
      </c>
      <c r="AT16" s="84" vm="13643">
        <v>3972</v>
      </c>
      <c r="AU16" s="84" vm="13894">
        <v>0</v>
      </c>
      <c r="AV16" s="84" vm="14146">
        <v>3115</v>
      </c>
      <c r="AW16" s="84" vm="14389">
        <v>12543</v>
      </c>
      <c r="AX16" s="84" vm="14635">
        <v>17762</v>
      </c>
      <c r="AY16" s="5">
        <f xml:space="preserve"> - SUM( VfM_Metrics_2023_Entity[[#This Row],[Interest capitalised]], VfM_Metrics_2023_Entity[[#This Row],[Interest payable and financing costs]] )</f>
        <v>15858</v>
      </c>
      <c r="AZ16" s="84" vm="15268">
        <v>-2014</v>
      </c>
      <c r="BA16" s="135" vm="15444">
        <v>-13844</v>
      </c>
      <c r="BB16" s="138">
        <f xml:space="preserve"> IFERROR( ( VfM_Metrics_2023_Entity[[#This Row],[Total Costs]] / VfM_Metrics_2023_Entity[[#This Row],[Total units for costs]] ) * 1000, "n/a" )</f>
        <v>3934.1427520235466</v>
      </c>
      <c r="BC1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74851</v>
      </c>
      <c r="BD16" s="84" vm="15559">
        <v>19892</v>
      </c>
      <c r="BE16" s="84" vm="16362">
        <v>11248</v>
      </c>
      <c r="BF16" s="84" vm="15629">
        <v>19007</v>
      </c>
      <c r="BG16" s="84" vm="16678">
        <v>8360</v>
      </c>
      <c r="BH16" s="84" vm="15651">
        <v>0</v>
      </c>
      <c r="BI16" s="84" vm="17074">
        <v>0</v>
      </c>
      <c r="BJ16" s="84" vm="14389">
        <v>12543</v>
      </c>
      <c r="BK16" s="84" vm="15753">
        <v>2357</v>
      </c>
      <c r="BL16" s="84" vm="16247">
        <v>0</v>
      </c>
      <c r="BM16" s="84" vm="15650">
        <v>0</v>
      </c>
      <c r="BN16" s="84" vm="16679">
        <v>1292</v>
      </c>
      <c r="BO16" s="84" vm="15630">
        <v>152</v>
      </c>
      <c r="BP16" s="5" vm="17698">
        <f xml:space="preserve"> VfM_Metrics_2023_Entity[[#This Row],[Total social housing units owned and/or managed at period end]]</f>
        <v>19026</v>
      </c>
      <c r="BQ16" s="135" vm="17698">
        <v>19026</v>
      </c>
      <c r="BR16" s="134">
        <f xml:space="preserve"> IFERROR( VfM_Metrics_2023_Entity[[#This Row],[SHL operating surplus / (deficit)]] / VfM_Metrics_2023_Entity[[#This Row],[Turnover from social housing lettings]], "n/a" )</f>
        <v>0.24672621628653196</v>
      </c>
      <c r="BS16" s="5" vm="18008">
        <f xml:space="preserve"> VfM_Metrics_2023_Entity[[#This Row],[Operating surplus/(deficit) (social housing lettings)]]</f>
        <v>25605</v>
      </c>
      <c r="BT16" s="84" vm="18008">
        <v>25605</v>
      </c>
      <c r="BU16" s="5" vm="18134">
        <f xml:space="preserve"> VfM_Metrics_2023_Entity[[#This Row],[Turnover from social housing lettings]]</f>
        <v>103779</v>
      </c>
      <c r="BV16" s="135" vm="18134">
        <v>103779</v>
      </c>
      <c r="BW16" s="134">
        <f xml:space="preserve"> IFERROR( VfM_Metrics_2023_Entity[[#This Row],[Net operating surplus]] / VfM_Metrics_2023_Entity[[#This Row],[Overall turnover]], "n/a" )</f>
        <v>0.23918517649394838</v>
      </c>
      <c r="BX16" s="5">
        <f xml:space="preserve"> SUM( VfM_Metrics_2023_Entity[[#This Row],[Operating surplus/(deficit) (overall)2]], - VfM_Metrics_2023_Entity[[#This Row],[Gain/(loss) on disposal of fixed assets (housing properties)2]], - VfM_Metrics_2023_Entity[[#This Row],[Gain/(loss) on disposal of fixed assets (other)2]] )</f>
        <v>26501</v>
      </c>
      <c r="BY16" s="84" vm="13592">
        <v>29306</v>
      </c>
      <c r="BZ16" s="84" vm="14634">
        <v>2805</v>
      </c>
      <c r="CA16" s="84" vm="14879">
        <v>0</v>
      </c>
      <c r="CB16" s="5" vm="18378">
        <f xml:space="preserve"> VfM_Metrics_2023_Entity[[#This Row],[Turnover (overall)]]</f>
        <v>110797</v>
      </c>
      <c r="CC16" s="135" vm="18378">
        <v>110797</v>
      </c>
      <c r="CD16" s="134">
        <f xml:space="preserve"> IFERROR( VfM_Metrics_2023_Entity[[#This Row],[Operating surplus including from JVs]] / VfM_Metrics_2023_Entity[[#This Row],[Net assets]], "n/a" )</f>
        <v>3.1317625007079755E-2</v>
      </c>
      <c r="CE16" s="5">
        <f xml:space="preserve"> SUM( VfM_Metrics_2023_Entity[[#This Row],[Operating surplus/(deficit) (overall)3]], VfM_Metrics_2023_Entity[[#This Row],[Share of operating surplus/(deficit) in joint ventures or associates]] )</f>
        <v>29306</v>
      </c>
      <c r="CF16" s="84" vm="13592">
        <v>29306</v>
      </c>
      <c r="CG16" s="84" vm="18528">
        <v>0</v>
      </c>
      <c r="CH16" s="5" vm="18733">
        <f xml:space="preserve"> VfM_Metrics_2023_Entity[[#This Row],[Total assets less current liabilities]]</f>
        <v>935767</v>
      </c>
      <c r="CI16" s="135" vm="18733">
        <v>935767</v>
      </c>
      <c r="CJ16" s="140" vm="11273">
        <f xml:space="preserve"> VfM_Metrics_2023_Entity[[#This Row],[Total social housing units owned (Period end)]]</f>
        <v>19020</v>
      </c>
      <c r="CK16" s="141">
        <v>7.8988941548183253E-4</v>
      </c>
      <c r="CL16" s="69">
        <f xml:space="preserve"> -- ( VfM_Metrics_2023_Entity[[#This Row],[% Supported housing (excl. HOP)]] &gt; 0.3 )</f>
        <v>0</v>
      </c>
      <c r="CM16" s="9">
        <v>9.7998946814112697E-2</v>
      </c>
      <c r="CN16" s="69">
        <f xml:space="preserve"> -- ( VfM_Metrics_2023_Entity[[#This Row],[% Housing for older people]] &gt; 0.3 )</f>
        <v>0</v>
      </c>
      <c r="CO16" s="9">
        <f xml:space="preserve"> VfM_Metrics_2023_Entity[[#This Row],[% Supported housing (excl. HOP)]] + VfM_Metrics_2023_Entity[[#This Row],[% Housing for older people]]</f>
        <v>9.8788836229594529E-2</v>
      </c>
      <c r="CP16" s="69">
        <f xml:space="preserve"> -- ( VfM_Metrics_2023_Entity[[#This Row],[SH specialist in RSH analysis]] + VfM_Metrics_2023_Entity[[#This Row],[OP specialist in RSH analysis]] &gt; 0 )</f>
        <v>0</v>
      </c>
      <c r="CQ16" s="142">
        <f xml:space="preserve"> -- ( VfM_Metrics_2023_Entity[[#This Row],[% SH and OP]] &gt; 0.3 )</f>
        <v>0</v>
      </c>
      <c r="CR16" s="143" t="s">
        <v>143</v>
      </c>
      <c r="CS16" s="120"/>
      <c r="CT16" s="144" t="s">
        <v>151</v>
      </c>
      <c r="CU1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6" s="146">
        <v>1.9991582491582492E-3</v>
      </c>
      <c r="CW16" s="146">
        <v>0.20533459595959597</v>
      </c>
      <c r="CX16" s="146">
        <v>0</v>
      </c>
      <c r="CY16" s="146">
        <v>5.8922558922558925E-2</v>
      </c>
      <c r="CZ16" s="146">
        <v>0</v>
      </c>
      <c r="DA16" s="146">
        <v>0.16629840067340068</v>
      </c>
      <c r="DB16" s="146">
        <v>0.13604797979797981</v>
      </c>
      <c r="DC16" s="146">
        <v>0.21148989898989898</v>
      </c>
      <c r="DD16" s="146">
        <v>0.21990740740740741</v>
      </c>
      <c r="DE16" s="126">
        <v>0.9726015695791056</v>
      </c>
    </row>
    <row r="17" spans="1:109" x14ac:dyDescent="0.25">
      <c r="A17" s="4" t="s" vm="392">
        <v>149</v>
      </c>
      <c r="B17" s="4" t="s" vm="10437">
        <v>150</v>
      </c>
      <c r="C17" s="121" vm="18941">
        <v>45016</v>
      </c>
      <c r="D17" s="68">
        <f>IFERROR( VfM_Metrics_2023_Entity[[#This Row],[Reinvestment Spend]] / VfM_Metrics_2023_Entity[[#This Row],[Net Book Value of Housing Properties]], "n/a" )</f>
        <v>7.9363881216654372E-2</v>
      </c>
      <c r="E1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23131</v>
      </c>
      <c r="F17" s="84" vm="9631">
        <v>7154</v>
      </c>
      <c r="G17" s="84" vm="10334">
        <v>7226</v>
      </c>
      <c r="H17" s="84" vm="10454">
        <v>8290</v>
      </c>
      <c r="I17" s="84" vm="9701">
        <v>461</v>
      </c>
      <c r="J17" s="84" vm="9835">
        <v>0</v>
      </c>
      <c r="K17" s="5">
        <f xml:space="preserve"> SUM( VfM_Metrics_2023_Entity[[#This Row],[Tangible fixed assets: Housing properties at cost (Current period)]],VfM_Metrics_2023_Entity[[#This Row],[Tangible fixed assets Housing properties at valuation (Current period)]] )</f>
        <v>291455</v>
      </c>
      <c r="L17" s="84" vm="9879">
        <v>291455</v>
      </c>
      <c r="M17" s="84" vm="10161">
        <v>0</v>
      </c>
      <c r="N17" s="134">
        <f xml:space="preserve"> IFERROR( VfM_Metrics_2023_Entity[[#This Row],[Total social units developed or newly built units acquired in-year]] / VfM_Metrics_2023_Entity[[#This Row],[Social housing units owned (period end)]], "n/a" )</f>
        <v>1.3464447806354009E-2</v>
      </c>
      <c r="O17" s="5">
        <f xml:space="preserve"> SUM( VfM_Metrics_2023_Entity[[#This Row],[Total social units developed or newly built units acquired in-year (owned)]], VfM_Metrics_2023_Entity[[#This Row],[Total social leasehold units developed or newly built units acquired in-year (owned)]] )</f>
        <v>89</v>
      </c>
      <c r="P17" s="84" vm="11080">
        <v>89</v>
      </c>
      <c r="Q17" s="84" vm="11202">
        <v>0</v>
      </c>
      <c r="R17" s="5">
        <f xml:space="preserve"> SUM( VfM_Metrics_2023_Entity[[#This Row],[Total social housing units owned (Period end)]], VfM_Metrics_2023_Entity[[#This Row],[Total social leasehold units owned (Period end)]] )</f>
        <v>6610</v>
      </c>
      <c r="S17" s="84" vm="11221">
        <v>6610</v>
      </c>
      <c r="T17" s="135" vm="11395">
        <v>0</v>
      </c>
      <c r="U17" s="136">
        <f xml:space="preserve"> IFERROR( VfM_Metrics_2023_Entity[[#This Row],[Total non-social housing units developed or newly built units acquired (owned)]] / VfM_Metrics_2023_Entity[[#This Row],[Total social and non-social housing units owned (Period end)]], "n/a" )</f>
        <v>1.4082703879144795E-3</v>
      </c>
      <c r="V1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11</v>
      </c>
      <c r="W17" s="84" vm="11560">
        <v>0</v>
      </c>
      <c r="X17" s="84" vm="11868">
        <v>0</v>
      </c>
      <c r="Y17" s="84" vm="11906">
        <v>11</v>
      </c>
      <c r="Z1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7811</v>
      </c>
      <c r="AA17" s="84" vm="11221">
        <v>6610</v>
      </c>
      <c r="AB17" s="84" vm="11395">
        <v>0</v>
      </c>
      <c r="AC17" s="84" vm="12324">
        <v>1150</v>
      </c>
      <c r="AD17" s="135" vm="12471">
        <v>51</v>
      </c>
      <c r="AE17" s="134">
        <f xml:space="preserve"> IFERROR( VfM_Metrics_2023_Entity[[#This Row],[Total Net Debt]] / VfM_Metrics_2023_Entity[[#This Row],[Net Book Value of Housing Properties2]], "n/a" )</f>
        <v>0.63223825290353575</v>
      </c>
      <c r="AF1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184269</v>
      </c>
      <c r="AG17" s="84" vm="12551">
        <v>1633</v>
      </c>
      <c r="AH17" s="84" vm="13008">
        <v>184385</v>
      </c>
      <c r="AI17" s="84" vm="13093">
        <v>1749</v>
      </c>
      <c r="AJ17" s="84" vm="13182">
        <v>0</v>
      </c>
      <c r="AK17" s="84" vm="13265">
        <v>0</v>
      </c>
      <c r="AL17" s="5">
        <f xml:space="preserve"> SUM( VfM_Metrics_2023_Entity[[#This Row],[Tangible fixed assets: Housing properties at cost (Current period)2]], VfM_Metrics_2023_Entity[[#This Row],[Tangible fixed assets Housing properties at valuation (Current period)2]] )</f>
        <v>291455</v>
      </c>
      <c r="AM17" s="84" vm="9879">
        <v>291455</v>
      </c>
      <c r="AN17" s="135" vm="10386">
        <v>0</v>
      </c>
      <c r="AO17" s="137">
        <f xml:space="preserve"> IFERROR( VfM_Metrics_2023_Entity[[#This Row],[EBITDA MRI]] / VfM_Metrics_2023_Entity[[#This Row],[Total interest]], "n/a" )</f>
        <v>1.2435077645830614</v>
      </c>
      <c r="AP1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9529</v>
      </c>
      <c r="AQ17" s="84" vm="13430">
        <v>11651</v>
      </c>
      <c r="AR17" s="84" vm="14880">
        <v>885</v>
      </c>
      <c r="AS17" s="84" vm="13644">
        <v>0</v>
      </c>
      <c r="AT17" s="84" vm="13895">
        <v>716</v>
      </c>
      <c r="AU17" s="84" vm="14147">
        <v>0</v>
      </c>
      <c r="AV17" s="84" vm="14390">
        <v>49</v>
      </c>
      <c r="AW17" s="84" vm="14636">
        <v>8290</v>
      </c>
      <c r="AX17" s="84" vm="14881">
        <v>7720</v>
      </c>
      <c r="AY17" s="5">
        <f xml:space="preserve"> - SUM( VfM_Metrics_2023_Entity[[#This Row],[Interest capitalised]], VfM_Metrics_2023_Entity[[#This Row],[Interest payable and financing costs]] )</f>
        <v>7663</v>
      </c>
      <c r="AZ17" s="84" vm="15153">
        <v>-461</v>
      </c>
      <c r="BA17" s="135" vm="15477">
        <v>-7202</v>
      </c>
      <c r="BB17" s="138">
        <f xml:space="preserve"> IFERROR( ( VfM_Metrics_2023_Entity[[#This Row],[Total Costs]] / VfM_Metrics_2023_Entity[[#This Row],[Total units for costs]] ) * 1000, "n/a" )</f>
        <v>3652.6475037821483</v>
      </c>
      <c r="BC1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24144</v>
      </c>
      <c r="BD17" s="84" vm="15640">
        <v>4464</v>
      </c>
      <c r="BE17" s="84" vm="17005">
        <v>1212</v>
      </c>
      <c r="BF17" s="84" vm="15631">
        <v>5398</v>
      </c>
      <c r="BG17" s="84" vm="16031">
        <v>1574</v>
      </c>
      <c r="BH17" s="84" vm="15828">
        <v>2183</v>
      </c>
      <c r="BI17" s="84" vm="15653">
        <v>0</v>
      </c>
      <c r="BJ17" s="84" vm="14636">
        <v>8290</v>
      </c>
      <c r="BK17" s="84" vm="15641">
        <v>1023</v>
      </c>
      <c r="BL17" s="84" vm="17226">
        <v>0</v>
      </c>
      <c r="BM17" s="84" vm="17301">
        <v>0</v>
      </c>
      <c r="BN17" s="84" vm="17457">
        <v>0</v>
      </c>
      <c r="BO17" s="84" vm="15632">
        <v>0</v>
      </c>
      <c r="BP17" s="5" vm="17751">
        <f xml:space="preserve"> VfM_Metrics_2023_Entity[[#This Row],[Total social housing units owned and/or managed at period end]]</f>
        <v>6610</v>
      </c>
      <c r="BQ17" s="135" vm="17751">
        <v>6610</v>
      </c>
      <c r="BR17" s="134">
        <f xml:space="preserve"> IFERROR( VfM_Metrics_2023_Entity[[#This Row],[SHL operating surplus / (deficit)]] / VfM_Metrics_2023_Entity[[#This Row],[Turnover from social housing lettings]], "n/a" )</f>
        <v>0.2499671829876608</v>
      </c>
      <c r="BS17" s="5" vm="17833">
        <f xml:space="preserve"> VfM_Metrics_2023_Entity[[#This Row],[Operating surplus/(deficit) (social housing lettings)]]</f>
        <v>7617</v>
      </c>
      <c r="BT17" s="84" vm="17833">
        <v>7617</v>
      </c>
      <c r="BU17" s="5" vm="18041">
        <f xml:space="preserve"> VfM_Metrics_2023_Entity[[#This Row],[Turnover from social housing lettings]]</f>
        <v>30472</v>
      </c>
      <c r="BV17" s="135" vm="18041">
        <v>30472</v>
      </c>
      <c r="BW17" s="134">
        <f xml:space="preserve"> IFERROR( VfM_Metrics_2023_Entity[[#This Row],[Net operating surplus]] / VfM_Metrics_2023_Entity[[#This Row],[Overall turnover]], "n/a" )</f>
        <v>0.27608667777920248</v>
      </c>
      <c r="BX17" s="5">
        <f xml:space="preserve"> SUM( VfM_Metrics_2023_Entity[[#This Row],[Operating surplus/(deficit) (overall)2]], - VfM_Metrics_2023_Entity[[#This Row],[Gain/(loss) on disposal of fixed assets (housing properties)2]], - VfM_Metrics_2023_Entity[[#This Row],[Gain/(loss) on disposal of fixed assets (other)2]] )</f>
        <v>10766</v>
      </c>
      <c r="BY17" s="84" vm="13430">
        <v>11651</v>
      </c>
      <c r="BZ17" s="84" vm="14880">
        <v>885</v>
      </c>
      <c r="CA17" s="84" vm="13644">
        <v>0</v>
      </c>
      <c r="CB17" s="5" vm="18244">
        <f xml:space="preserve"> VfM_Metrics_2023_Entity[[#This Row],[Turnover (overall)]]</f>
        <v>38995</v>
      </c>
      <c r="CC17" s="135" vm="18244">
        <v>38995</v>
      </c>
      <c r="CD17" s="134">
        <f xml:space="preserve"> IFERROR( VfM_Metrics_2023_Entity[[#This Row],[Operating surplus including from JVs]] / VfM_Metrics_2023_Entity[[#This Row],[Net assets]], "n/a" )</f>
        <v>3.9958981253472532E-2</v>
      </c>
      <c r="CE17" s="5">
        <f xml:space="preserve"> SUM( VfM_Metrics_2023_Entity[[#This Row],[Operating surplus/(deficit) (overall)3]], VfM_Metrics_2023_Entity[[#This Row],[Share of operating surplus/(deficit) in joint ventures or associates]] )</f>
        <v>11651</v>
      </c>
      <c r="CF17" s="84" vm="13430">
        <v>11651</v>
      </c>
      <c r="CG17" s="84" vm="18549">
        <v>0</v>
      </c>
      <c r="CH17" s="5" vm="18570">
        <f xml:space="preserve"> VfM_Metrics_2023_Entity[[#This Row],[Total assets less current liabilities]]</f>
        <v>291574</v>
      </c>
      <c r="CI17" s="135" vm="18570">
        <v>291574</v>
      </c>
      <c r="CJ17" s="140" vm="11221">
        <f xml:space="preserve"> VfM_Metrics_2023_Entity[[#This Row],[Total social housing units owned (Period end)]]</f>
        <v>6610</v>
      </c>
      <c r="CK17" s="141">
        <v>9.1130012150668284E-4</v>
      </c>
      <c r="CL17" s="69">
        <f xml:space="preserve"> -- ( VfM_Metrics_2023_Entity[[#This Row],[% Supported housing (excl. HOP)]] &gt; 0.3 )</f>
        <v>0</v>
      </c>
      <c r="CM17" s="9">
        <v>3.8274605103280679E-2</v>
      </c>
      <c r="CN17" s="69">
        <f xml:space="preserve"> -- ( VfM_Metrics_2023_Entity[[#This Row],[% Housing for older people]] &gt; 0.3 )</f>
        <v>0</v>
      </c>
      <c r="CO17" s="9">
        <f xml:space="preserve"> VfM_Metrics_2023_Entity[[#This Row],[% Supported housing (excl. HOP)]] + VfM_Metrics_2023_Entity[[#This Row],[% Housing for older people]]</f>
        <v>3.9185905224787362E-2</v>
      </c>
      <c r="CP17" s="69">
        <f xml:space="preserve"> -- ( VfM_Metrics_2023_Entity[[#This Row],[SH specialist in RSH analysis]] + VfM_Metrics_2023_Entity[[#This Row],[OP specialist in RSH analysis]] &gt; 0 )</f>
        <v>0</v>
      </c>
      <c r="CQ17" s="142">
        <f xml:space="preserve"> -- ( VfM_Metrics_2023_Entity[[#This Row],[% SH and OP]] &gt; 0.3 )</f>
        <v>0</v>
      </c>
      <c r="CR17" s="143" t="s">
        <v>143</v>
      </c>
      <c r="CS17" s="120"/>
      <c r="CT17" s="144" t="s">
        <v>151</v>
      </c>
      <c r="CU1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17" s="146">
        <v>0</v>
      </c>
      <c r="CW17" s="146">
        <v>0</v>
      </c>
      <c r="CX17" s="146">
        <v>0</v>
      </c>
      <c r="CY17" s="146">
        <v>0.76762481089258694</v>
      </c>
      <c r="CZ17" s="146">
        <v>0</v>
      </c>
      <c r="DA17" s="146">
        <v>0</v>
      </c>
      <c r="DB17" s="146">
        <v>0</v>
      </c>
      <c r="DC17" s="146">
        <v>0</v>
      </c>
      <c r="DD17" s="146">
        <v>0.232375189107413</v>
      </c>
      <c r="DE17" s="126">
        <v>0.94285874662421076</v>
      </c>
    </row>
    <row r="18" spans="1:109" x14ac:dyDescent="0.25">
      <c r="A18" s="4" t="s" vm="204">
        <v>152</v>
      </c>
      <c r="B18" s="4" t="s" vm="9278">
        <v>153</v>
      </c>
      <c r="C18" s="121" vm="18914">
        <v>45016</v>
      </c>
      <c r="D18" s="68">
        <f>IFERROR( VfM_Metrics_2023_Entity[[#This Row],[Reinvestment Spend]] / VfM_Metrics_2023_Entity[[#This Row],[Net Book Value of Housing Properties]], "n/a" )</f>
        <v>8.651176640596947E-2</v>
      </c>
      <c r="E1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9878</v>
      </c>
      <c r="F18" s="84" vm="10316">
        <v>0</v>
      </c>
      <c r="G18" s="84" vm="10800">
        <v>9075</v>
      </c>
      <c r="H18" s="84" vm="9593">
        <v>803</v>
      </c>
      <c r="I18" s="84" vm="10921">
        <v>0</v>
      </c>
      <c r="J18" s="84" vm="10639">
        <v>0</v>
      </c>
      <c r="K18" s="5">
        <f xml:space="preserve"> SUM( VfM_Metrics_2023_Entity[[#This Row],[Tangible fixed assets: Housing properties at cost (Current period)]],VfM_Metrics_2023_Entity[[#This Row],[Tangible fixed assets Housing properties at valuation (Current period)]] )</f>
        <v>114181</v>
      </c>
      <c r="L18" s="84" vm="10269">
        <v>114181</v>
      </c>
      <c r="M18" s="84" vm="10079">
        <v>0</v>
      </c>
      <c r="N18" s="134">
        <f xml:space="preserve"> IFERROR( VfM_Metrics_2023_Entity[[#This Row],[Total social units developed or newly built units acquired in-year]] / VfM_Metrics_2023_Entity[[#This Row],[Social housing units owned (period end)]], "n/a" )</f>
        <v>2.5858225590726706E-2</v>
      </c>
      <c r="O18" s="5">
        <f xml:space="preserve"> SUM( VfM_Metrics_2023_Entity[[#This Row],[Total social units developed or newly built units acquired in-year (owned)]], VfM_Metrics_2023_Entity[[#This Row],[Total social leasehold units developed or newly built units acquired in-year (owned)]] )</f>
        <v>58</v>
      </c>
      <c r="P18" s="84" vm="10990">
        <v>58</v>
      </c>
      <c r="Q18" s="84" vm="11104">
        <v>0</v>
      </c>
      <c r="R18" s="5">
        <f xml:space="preserve"> SUM( VfM_Metrics_2023_Entity[[#This Row],[Total social housing units owned (Period end)]], VfM_Metrics_2023_Entity[[#This Row],[Total social leasehold units owned (Period end)]] )</f>
        <v>2243</v>
      </c>
      <c r="S18" s="84" vm="11232">
        <v>2243</v>
      </c>
      <c r="T18" s="135" vm="11401">
        <v>0</v>
      </c>
      <c r="U18" s="136">
        <f xml:space="preserve"> IFERROR( VfM_Metrics_2023_Entity[[#This Row],[Total non-social housing units developed or newly built units acquired (owned)]] / VfM_Metrics_2023_Entity[[#This Row],[Total social and non-social housing units owned (Period end)]], "n/a" )</f>
        <v>0</v>
      </c>
      <c r="V1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8" s="84" vm="11583">
        <v>0</v>
      </c>
      <c r="X18" s="84" vm="11682">
        <v>0</v>
      </c>
      <c r="Y18" s="84" vm="11708">
        <v>0</v>
      </c>
      <c r="Z1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2243</v>
      </c>
      <c r="AA18" s="84" vm="11983">
        <v>2243</v>
      </c>
      <c r="AB18" s="84" vm="11401">
        <v>0</v>
      </c>
      <c r="AC18" s="84" vm="12064">
        <v>0</v>
      </c>
      <c r="AD18" s="135" vm="12228">
        <v>0</v>
      </c>
      <c r="AE18" s="134">
        <f xml:space="preserve"> IFERROR( VfM_Metrics_2023_Entity[[#This Row],[Total Net Debt]] / VfM_Metrics_2023_Entity[[#This Row],[Net Book Value of Housing Properties2]], "n/a" )</f>
        <v>-8.5565899755651112E-3</v>
      </c>
      <c r="AF1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-977</v>
      </c>
      <c r="AG18" s="84" vm="12585">
        <v>760</v>
      </c>
      <c r="AH18" s="84" vm="12709">
        <v>6273</v>
      </c>
      <c r="AI18" s="84" vm="12829">
        <v>8010</v>
      </c>
      <c r="AJ18" s="84" vm="13009">
        <v>0</v>
      </c>
      <c r="AK18" s="84" vm="13094">
        <v>0</v>
      </c>
      <c r="AL18" s="5">
        <f xml:space="preserve"> SUM( VfM_Metrics_2023_Entity[[#This Row],[Tangible fixed assets: Housing properties at cost (Current period)2]], VfM_Metrics_2023_Entity[[#This Row],[Tangible fixed assets Housing properties at valuation (Current period)2]] )</f>
        <v>114181</v>
      </c>
      <c r="AM18" s="84" vm="13359">
        <v>114181</v>
      </c>
      <c r="AN18" s="135" vm="10079">
        <v>0</v>
      </c>
      <c r="AO18" s="137">
        <f xml:space="preserve"> IFERROR( VfM_Metrics_2023_Entity[[#This Row],[EBITDA MRI]] / VfM_Metrics_2023_Entity[[#This Row],[Total interest]], "n/a" )</f>
        <v>4.3608490566037732</v>
      </c>
      <c r="AP1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1849</v>
      </c>
      <c r="AQ18" s="84" vm="13469">
        <v>1951</v>
      </c>
      <c r="AR18" s="84" vm="13645">
        <v>689</v>
      </c>
      <c r="AS18" s="84" vm="13896">
        <v>0</v>
      </c>
      <c r="AT18" s="84" vm="14148">
        <v>1893</v>
      </c>
      <c r="AU18" s="84" vm="14391">
        <v>0</v>
      </c>
      <c r="AV18" s="84" vm="14637">
        <v>31</v>
      </c>
      <c r="AW18" s="84" vm="14882">
        <v>803</v>
      </c>
      <c r="AX18" s="84" vm="13646">
        <v>3252</v>
      </c>
      <c r="AY18" s="5">
        <f xml:space="preserve"> - SUM( VfM_Metrics_2023_Entity[[#This Row],[Interest capitalised]], VfM_Metrics_2023_Entity[[#This Row],[Interest payable and financing costs]] )</f>
        <v>424</v>
      </c>
      <c r="AZ18" s="84" vm="15144">
        <v>0</v>
      </c>
      <c r="BA18" s="135" vm="15311">
        <v>-424</v>
      </c>
      <c r="BB18" s="138">
        <f xml:space="preserve"> IFERROR( ( VfM_Metrics_2023_Entity[[#This Row],[Total Costs]] / VfM_Metrics_2023_Entity[[#This Row],[Total units for costs]] ) * 1000, "n/a" )</f>
        <v>16111.593573599652</v>
      </c>
      <c r="BC1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37105</v>
      </c>
      <c r="BD18" s="84" vm="15510">
        <v>1355</v>
      </c>
      <c r="BE18" s="84" vm="16037">
        <v>6186</v>
      </c>
      <c r="BF18" s="84" vm="15633">
        <v>3162</v>
      </c>
      <c r="BG18" s="84" vm="16680">
        <v>3117</v>
      </c>
      <c r="BH18" s="84" vm="15755">
        <v>524</v>
      </c>
      <c r="BI18" s="84" vm="17007">
        <v>670</v>
      </c>
      <c r="BJ18" s="84" vm="15654">
        <v>803</v>
      </c>
      <c r="BK18" s="84" vm="15829">
        <v>2173</v>
      </c>
      <c r="BL18" s="84" vm="16363">
        <v>300</v>
      </c>
      <c r="BM18" s="84" vm="15708">
        <v>0</v>
      </c>
      <c r="BN18" s="84" vm="15827">
        <v>0</v>
      </c>
      <c r="BO18" s="84" vm="15623">
        <v>18815</v>
      </c>
      <c r="BP18" s="5" vm="17616">
        <f xml:space="preserve"> VfM_Metrics_2023_Entity[[#This Row],[Total social housing units owned and/or managed at period end]]</f>
        <v>2303</v>
      </c>
      <c r="BQ18" s="135" vm="17616">
        <v>2303</v>
      </c>
      <c r="BR18" s="134">
        <f xml:space="preserve"> IFERROR( VfM_Metrics_2023_Entity[[#This Row],[SHL operating surplus / (deficit)]] / VfM_Metrics_2023_Entity[[#This Row],[Turnover from social housing lettings]], "n/a" )</f>
        <v>0.11266726137377342</v>
      </c>
      <c r="BS18" s="5" vm="17870">
        <f xml:space="preserve"> VfM_Metrics_2023_Entity[[#This Row],[Operating surplus/(deficit) (social housing lettings)]]</f>
        <v>2526</v>
      </c>
      <c r="BT18" s="84" vm="17870">
        <v>2526</v>
      </c>
      <c r="BU18" s="5" vm="18052">
        <f xml:space="preserve"> VfM_Metrics_2023_Entity[[#This Row],[Turnover from social housing lettings]]</f>
        <v>22420</v>
      </c>
      <c r="BV18" s="135" vm="18052">
        <v>22420</v>
      </c>
      <c r="BW18" s="134">
        <f xml:space="preserve"> IFERROR( VfM_Metrics_2023_Entity[[#This Row],[Net operating surplus]] / VfM_Metrics_2023_Entity[[#This Row],[Overall turnover]], "n/a" )</f>
        <v>2.6907741839193193E-2</v>
      </c>
      <c r="BX18" s="5">
        <f xml:space="preserve"> SUM( VfM_Metrics_2023_Entity[[#This Row],[Operating surplus/(deficit) (overall)2]], - VfM_Metrics_2023_Entity[[#This Row],[Gain/(loss) on disposal of fixed assets (housing properties)2]], - VfM_Metrics_2023_Entity[[#This Row],[Gain/(loss) on disposal of fixed assets (other)2]] )</f>
        <v>1262</v>
      </c>
      <c r="BY18" s="84" vm="18221">
        <v>1951</v>
      </c>
      <c r="BZ18" s="84" vm="13645">
        <v>689</v>
      </c>
      <c r="CA18" s="84" vm="13896">
        <v>0</v>
      </c>
      <c r="CB18" s="5" vm="18253">
        <f xml:space="preserve"> VfM_Metrics_2023_Entity[[#This Row],[Turnover (overall)]]</f>
        <v>46901</v>
      </c>
      <c r="CC18" s="135" vm="18253">
        <v>46901</v>
      </c>
      <c r="CD18" s="134">
        <f xml:space="preserve"> IFERROR( VfM_Metrics_2023_Entity[[#This Row],[Operating surplus including from JVs]] / VfM_Metrics_2023_Entity[[#This Row],[Net assets]], "n/a" )</f>
        <v>1.6309027226295066E-2</v>
      </c>
      <c r="CE18" s="5">
        <f xml:space="preserve"> SUM( VfM_Metrics_2023_Entity[[#This Row],[Operating surplus/(deficit) (overall)3]], VfM_Metrics_2023_Entity[[#This Row],[Share of operating surplus/(deficit) in joint ventures or associates]] )</f>
        <v>1951</v>
      </c>
      <c r="CF18" s="84" vm="15130">
        <v>1951</v>
      </c>
      <c r="CG18" s="84" vm="18442">
        <v>0</v>
      </c>
      <c r="CH18" s="5" vm="18607">
        <f xml:space="preserve"> VfM_Metrics_2023_Entity[[#This Row],[Total assets less current liabilities]]</f>
        <v>119627</v>
      </c>
      <c r="CI18" s="135" vm="18607">
        <v>119627</v>
      </c>
      <c r="CJ18" s="140" vm="11232">
        <f xml:space="preserve"> VfM_Metrics_2023_Entity[[#This Row],[Total social housing units owned (Period end)]]</f>
        <v>2243</v>
      </c>
      <c r="CK18" s="141">
        <v>0.62841774988794263</v>
      </c>
      <c r="CL18" s="69">
        <f xml:space="preserve"> -- ( VfM_Metrics_2023_Entity[[#This Row],[% Supported housing (excl. HOP)]] &gt; 0.3 )</f>
        <v>1</v>
      </c>
      <c r="CM18" s="9">
        <v>0</v>
      </c>
      <c r="CN18" s="69">
        <f xml:space="preserve"> -- ( VfM_Metrics_2023_Entity[[#This Row],[% Housing for older people]] &gt; 0.3 )</f>
        <v>0</v>
      </c>
      <c r="CO18" s="9">
        <f xml:space="preserve"> VfM_Metrics_2023_Entity[[#This Row],[% Supported housing (excl. HOP)]] + VfM_Metrics_2023_Entity[[#This Row],[% Housing for older people]]</f>
        <v>0.62841774988794263</v>
      </c>
      <c r="CP18" s="69">
        <f xml:space="preserve"> -- ( VfM_Metrics_2023_Entity[[#This Row],[SH specialist in RSH analysis]] + VfM_Metrics_2023_Entity[[#This Row],[OP specialist in RSH analysis]] &gt; 0 )</f>
        <v>1</v>
      </c>
      <c r="CQ18" s="142">
        <f xml:space="preserve"> -- ( VfM_Metrics_2023_Entity[[#This Row],[% SH and OP]] &gt; 0.3 )</f>
        <v>1</v>
      </c>
      <c r="CR18" s="143" t="s">
        <v>143</v>
      </c>
      <c r="CS18" s="120"/>
      <c r="CT18" s="144" t="s">
        <v>144</v>
      </c>
      <c r="CU1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8" s="146">
        <v>2.7089072543617997E-2</v>
      </c>
      <c r="CW18" s="146">
        <v>0.28053259871441688</v>
      </c>
      <c r="CX18" s="146">
        <v>0.32277318640955005</v>
      </c>
      <c r="CY18" s="146">
        <v>0.24793388429752067</v>
      </c>
      <c r="CZ18" s="146">
        <v>8.7695133149678597E-2</v>
      </c>
      <c r="DA18" s="146">
        <v>3.1221303948576674E-2</v>
      </c>
      <c r="DB18" s="146">
        <v>4.591368227731864E-4</v>
      </c>
      <c r="DC18" s="146">
        <v>9.1827364554637281E-4</v>
      </c>
      <c r="DD18" s="146">
        <v>1.3774104683195593E-3</v>
      </c>
      <c r="DE18" s="126">
        <v>0.98856830244107563</v>
      </c>
    </row>
    <row r="19" spans="1:109" x14ac:dyDescent="0.25">
      <c r="A19" s="4" t="s" vm="238">
        <v>154</v>
      </c>
      <c r="B19" s="4" t="s" vm="9258">
        <v>155</v>
      </c>
      <c r="C19" s="121" vm="18873">
        <v>45016</v>
      </c>
      <c r="D19" s="68">
        <f>IFERROR( VfM_Metrics_2023_Entity[[#This Row],[Reinvestment Spend]] / VfM_Metrics_2023_Entity[[#This Row],[Net Book Value of Housing Properties]], "n/a" )</f>
        <v>0.16252102528409773</v>
      </c>
      <c r="E1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229768</v>
      </c>
      <c r="F19" s="84" vm="9411">
        <v>35279</v>
      </c>
      <c r="G19" s="84" vm="10318">
        <v>147353</v>
      </c>
      <c r="H19" s="84" vm="9534">
        <v>47136</v>
      </c>
      <c r="I19" s="84" vm="10373">
        <v>0</v>
      </c>
      <c r="J19" s="84" vm="9649">
        <v>0</v>
      </c>
      <c r="K19" s="5">
        <f xml:space="preserve"> SUM( VfM_Metrics_2023_Entity[[#This Row],[Tangible fixed assets: Housing properties at cost (Current period)]],VfM_Metrics_2023_Entity[[#This Row],[Tangible fixed assets Housing properties at valuation (Current period)]] )</f>
        <v>1413774</v>
      </c>
      <c r="L19" s="84" vm="9911">
        <v>1413774</v>
      </c>
      <c r="M19" s="84" vm="10101">
        <v>0</v>
      </c>
      <c r="N19" s="134">
        <f xml:space="preserve"> IFERROR( VfM_Metrics_2023_Entity[[#This Row],[Total social units developed or newly built units acquired in-year]] / VfM_Metrics_2023_Entity[[#This Row],[Social housing units owned (period end)]], "n/a" )</f>
        <v>3.2245301681503463E-3</v>
      </c>
      <c r="O19" s="5">
        <f xml:space="preserve"> SUM( VfM_Metrics_2023_Entity[[#This Row],[Total social units developed or newly built units acquired in-year (owned)]], VfM_Metrics_2023_Entity[[#This Row],[Total social leasehold units developed or newly built units acquired in-year (owned)]] )</f>
        <v>163</v>
      </c>
      <c r="P19" s="84" vm="10951">
        <v>156</v>
      </c>
      <c r="Q19" s="84" vm="11218">
        <v>7</v>
      </c>
      <c r="R19" s="5">
        <f xml:space="preserve"> SUM( VfM_Metrics_2023_Entity[[#This Row],[Total social housing units owned (Period end)]], VfM_Metrics_2023_Entity[[#This Row],[Total social leasehold units owned (Period end)]] )</f>
        <v>50550</v>
      </c>
      <c r="S19" s="84" vm="11231">
        <v>40338</v>
      </c>
      <c r="T19" s="135" vm="11398">
        <v>10212</v>
      </c>
      <c r="U19" s="136">
        <f xml:space="preserve"> IFERROR( VfM_Metrics_2023_Entity[[#This Row],[Total non-social housing units developed or newly built units acquired (owned)]] / VfM_Metrics_2023_Entity[[#This Row],[Total social and non-social housing units owned (Period end)]], "n/a" )</f>
        <v>1.5754132231404958E-2</v>
      </c>
      <c r="V1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854</v>
      </c>
      <c r="W19" s="84" vm="11609">
        <v>789</v>
      </c>
      <c r="X19" s="84" vm="11781">
        <v>65</v>
      </c>
      <c r="Y19" s="84" vm="11818">
        <v>0</v>
      </c>
      <c r="Z1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54208</v>
      </c>
      <c r="AA19" s="84" vm="11231">
        <v>40338</v>
      </c>
      <c r="AB19" s="84" vm="12417">
        <v>10212</v>
      </c>
      <c r="AC19" s="84" vm="12325">
        <v>3401</v>
      </c>
      <c r="AD19" s="135" vm="12472">
        <v>257</v>
      </c>
      <c r="AE19" s="134">
        <f xml:space="preserve"> IFERROR( VfM_Metrics_2023_Entity[[#This Row],[Total Net Debt]] / VfM_Metrics_2023_Entity[[#This Row],[Net Book Value of Housing Properties2]], "n/a" )</f>
        <v>0.56157207587634228</v>
      </c>
      <c r="AF1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793936</v>
      </c>
      <c r="AG19" s="84" vm="12606">
        <v>1092</v>
      </c>
      <c r="AH19" s="84" vm="13183">
        <v>547551</v>
      </c>
      <c r="AI19" s="84" vm="13266">
        <v>33237</v>
      </c>
      <c r="AJ19" s="84" vm="12710">
        <v>39077</v>
      </c>
      <c r="AK19" s="84" vm="12830">
        <v>239453</v>
      </c>
      <c r="AL19" s="5">
        <f xml:space="preserve"> SUM( VfM_Metrics_2023_Entity[[#This Row],[Tangible fixed assets: Housing properties at cost (Current period)2]], VfM_Metrics_2023_Entity[[#This Row],[Tangible fixed assets Housing properties at valuation (Current period)2]] )</f>
        <v>1413774</v>
      </c>
      <c r="AM19" s="84" vm="13358">
        <v>1413774</v>
      </c>
      <c r="AN19" s="135" vm="13399">
        <v>0</v>
      </c>
      <c r="AO19" s="137">
        <f xml:space="preserve"> IFERROR( VfM_Metrics_2023_Entity[[#This Row],[EBITDA MRI]] / VfM_Metrics_2023_Entity[[#This Row],[Total interest]], "n/a" )</f>
        <v>1.6156507299522591</v>
      </c>
      <c r="AP1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46702</v>
      </c>
      <c r="AQ19" s="84" vm="13499">
        <v>37489</v>
      </c>
      <c r="AR19" s="84" vm="13897">
        <v>3074</v>
      </c>
      <c r="AS19" s="84" vm="14149">
        <v>0</v>
      </c>
      <c r="AT19" s="84" vm="14392">
        <v>12974</v>
      </c>
      <c r="AU19" s="84" vm="14638">
        <v>0</v>
      </c>
      <c r="AV19" s="84" vm="14883">
        <v>8004</v>
      </c>
      <c r="AW19" s="84" vm="13647">
        <v>47136</v>
      </c>
      <c r="AX19" s="84" vm="13898">
        <v>64393</v>
      </c>
      <c r="AY19" s="5">
        <f xml:space="preserve"> - SUM( VfM_Metrics_2023_Entity[[#This Row],[Interest capitalised]], VfM_Metrics_2023_Entity[[#This Row],[Interest payable and financing costs]] )</f>
        <v>28906</v>
      </c>
      <c r="AZ19" s="84" vm="15303">
        <v>0</v>
      </c>
      <c r="BA19" s="135" vm="15357">
        <v>-28906</v>
      </c>
      <c r="BB19" s="138">
        <f xml:space="preserve"> IFERROR( ( VfM_Metrics_2023_Entity[[#This Row],[Total Costs]] / VfM_Metrics_2023_Entity[[#This Row],[Total units for costs]] ) * 1000, "n/a" )</f>
        <v>11171.518644401754</v>
      </c>
      <c r="BC1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453586</v>
      </c>
      <c r="BD19" s="84" vm="17075">
        <v>77417</v>
      </c>
      <c r="BE19" s="84" vm="15655">
        <v>263403</v>
      </c>
      <c r="BF19" s="84" vm="15636">
        <v>26968</v>
      </c>
      <c r="BG19" s="84" vm="16039">
        <v>28889</v>
      </c>
      <c r="BH19" s="84" vm="16597">
        <v>0</v>
      </c>
      <c r="BI19" s="84" vm="15757">
        <v>427</v>
      </c>
      <c r="BJ19" s="84" vm="15829">
        <v>47136</v>
      </c>
      <c r="BK19" s="84" vm="17008">
        <v>4747</v>
      </c>
      <c r="BL19" s="84" vm="15642">
        <v>0</v>
      </c>
      <c r="BM19" s="84" vm="16250">
        <v>0</v>
      </c>
      <c r="BN19" s="84" vm="17535">
        <v>4254</v>
      </c>
      <c r="BO19" s="84" vm="17077">
        <v>345</v>
      </c>
      <c r="BP19" s="5" vm="17801">
        <f xml:space="preserve"> VfM_Metrics_2023_Entity[[#This Row],[Total social housing units owned and/or managed at period end]]</f>
        <v>40602</v>
      </c>
      <c r="BQ19" s="135" vm="17801">
        <v>40602</v>
      </c>
      <c r="BR19" s="134">
        <f xml:space="preserve"> IFERROR( VfM_Metrics_2023_Entity[[#This Row],[SHL operating surplus / (deficit)]] / VfM_Metrics_2023_Entity[[#This Row],[Turnover from social housing lettings]], "n/a" )</f>
        <v>8.799452027985713E-2</v>
      </c>
      <c r="BS19" s="5" vm="17909">
        <f xml:space="preserve"> VfM_Metrics_2023_Entity[[#This Row],[Operating surplus/(deficit) (social housing lettings)]]</f>
        <v>44963</v>
      </c>
      <c r="BT19" s="84" vm="17909">
        <v>44963</v>
      </c>
      <c r="BU19" s="5" vm="18065">
        <f xml:space="preserve"> VfM_Metrics_2023_Entity[[#This Row],[Turnover from social housing lettings]]</f>
        <v>510975</v>
      </c>
      <c r="BV19" s="135" vm="18065">
        <v>510975</v>
      </c>
      <c r="BW19" s="134">
        <f xml:space="preserve"> IFERROR( VfM_Metrics_2023_Entity[[#This Row],[Net operating surplus]] / VfM_Metrics_2023_Entity[[#This Row],[Overall turnover]], "n/a" )</f>
        <v>6.4723306220320659E-2</v>
      </c>
      <c r="BX19" s="5">
        <f xml:space="preserve"> SUM( VfM_Metrics_2023_Entity[[#This Row],[Operating surplus/(deficit) (overall)2]], - VfM_Metrics_2023_Entity[[#This Row],[Gain/(loss) on disposal of fixed assets (housing properties)2]], - VfM_Metrics_2023_Entity[[#This Row],[Gain/(loss) on disposal of fixed assets (other)2]] )</f>
        <v>34415</v>
      </c>
      <c r="BY19" s="84" vm="13499">
        <v>37489</v>
      </c>
      <c r="BZ19" s="84" vm="13897">
        <v>3074</v>
      </c>
      <c r="CA19" s="84" vm="14149">
        <v>0</v>
      </c>
      <c r="CB19" s="5" vm="18255">
        <f xml:space="preserve"> VfM_Metrics_2023_Entity[[#This Row],[Turnover (overall)]]</f>
        <v>531725</v>
      </c>
      <c r="CC19" s="135" vm="18255">
        <v>531725</v>
      </c>
      <c r="CD19" s="134">
        <f xml:space="preserve"> IFERROR( VfM_Metrics_2023_Entity[[#This Row],[Operating surplus including from JVs]] / VfM_Metrics_2023_Entity[[#This Row],[Net assets]], "n/a" )</f>
        <v>2.2480042358830384E-2</v>
      </c>
      <c r="CE19" s="5">
        <f xml:space="preserve"> SUM( VfM_Metrics_2023_Entity[[#This Row],[Operating surplus/(deficit) (overall)3]], VfM_Metrics_2023_Entity[[#This Row],[Share of operating surplus/(deficit) in joint ventures or associates]] )</f>
        <v>37489</v>
      </c>
      <c r="CF19" s="84" vm="13505">
        <v>37489</v>
      </c>
      <c r="CG19" s="84" vm="18469">
        <v>0</v>
      </c>
      <c r="CH19" s="5" vm="18644">
        <f xml:space="preserve"> VfM_Metrics_2023_Entity[[#This Row],[Total assets less current liabilities]]</f>
        <v>1667657</v>
      </c>
      <c r="CI19" s="135" vm="18644">
        <v>1667657</v>
      </c>
      <c r="CJ19" s="140" vm="11231">
        <f xml:space="preserve"> VfM_Metrics_2023_Entity[[#This Row],[Total social housing units owned (Period end)]]</f>
        <v>40338</v>
      </c>
      <c r="CK19" s="141">
        <v>0</v>
      </c>
      <c r="CL19" s="69">
        <f xml:space="preserve"> -- ( VfM_Metrics_2023_Entity[[#This Row],[% Supported housing (excl. HOP)]] &gt; 0.3 )</f>
        <v>0</v>
      </c>
      <c r="CM19" s="9">
        <v>0.87535670860319115</v>
      </c>
      <c r="CN19" s="69">
        <f xml:space="preserve"> -- ( VfM_Metrics_2023_Entity[[#This Row],[% Housing for older people]] &gt; 0.3 )</f>
        <v>1</v>
      </c>
      <c r="CO19" s="9">
        <f xml:space="preserve"> VfM_Metrics_2023_Entity[[#This Row],[% Supported housing (excl. HOP)]] + VfM_Metrics_2023_Entity[[#This Row],[% Housing for older people]]</f>
        <v>0.87535670860319115</v>
      </c>
      <c r="CP19" s="69">
        <f xml:space="preserve"> -- ( VfM_Metrics_2023_Entity[[#This Row],[SH specialist in RSH analysis]] + VfM_Metrics_2023_Entity[[#This Row],[OP specialist in RSH analysis]] &gt; 0 )</f>
        <v>1</v>
      </c>
      <c r="CQ19" s="142">
        <f xml:space="preserve"> -- ( VfM_Metrics_2023_Entity[[#This Row],[% SH and OP]] &gt; 0.3 )</f>
        <v>1</v>
      </c>
      <c r="CR19" s="143" t="s">
        <v>143</v>
      </c>
      <c r="CS19" s="120"/>
      <c r="CT19" s="144" t="s">
        <v>151</v>
      </c>
      <c r="CU1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9" s="146">
        <v>0.12019956850053938</v>
      </c>
      <c r="CW19" s="146">
        <v>0.13994066882416398</v>
      </c>
      <c r="CX19" s="146">
        <v>7.5862998921251354E-2</v>
      </c>
      <c r="CY19" s="146">
        <v>5.7281553398058252E-2</v>
      </c>
      <c r="CZ19" s="146">
        <v>7.1413160733549086E-2</v>
      </c>
      <c r="DA19" s="146">
        <v>9.6359223300970867E-2</v>
      </c>
      <c r="DB19" s="146">
        <v>0.12704962243797197</v>
      </c>
      <c r="DC19" s="146">
        <v>0.17651024811218985</v>
      </c>
      <c r="DD19" s="146">
        <v>0.1353829557713053</v>
      </c>
      <c r="DE19" s="126">
        <v>0.99112238139313147</v>
      </c>
    </row>
    <row r="20" spans="1:109" x14ac:dyDescent="0.25">
      <c r="A20" s="4" t="s" vm="226">
        <v>156</v>
      </c>
      <c r="B20" s="4" t="s" vm="9306">
        <v>157</v>
      </c>
      <c r="C20" s="121" vm="18950">
        <v>45016</v>
      </c>
      <c r="D20" s="68">
        <f>IFERROR( VfM_Metrics_2023_Entity[[#This Row],[Reinvestment Spend]] / VfM_Metrics_2023_Entity[[#This Row],[Net Book Value of Housing Properties]], "n/a" )</f>
        <v>3.0735544562484795E-2</v>
      </c>
      <c r="E2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1137</v>
      </c>
      <c r="F20" s="84" vm="9617">
        <v>0</v>
      </c>
      <c r="G20" s="84" vm="10368">
        <v>176</v>
      </c>
      <c r="H20" s="84" vm="9594">
        <v>961</v>
      </c>
      <c r="I20" s="84" vm="9535">
        <v>0</v>
      </c>
      <c r="J20" s="84" vm="10510">
        <v>0</v>
      </c>
      <c r="K20" s="5">
        <f xml:space="preserve"> SUM( VfM_Metrics_2023_Entity[[#This Row],[Tangible fixed assets: Housing properties at cost (Current period)]],VfM_Metrics_2023_Entity[[#This Row],[Tangible fixed assets Housing properties at valuation (Current period)]] )</f>
        <v>36993</v>
      </c>
      <c r="L20" s="84" vm="9748">
        <v>36993</v>
      </c>
      <c r="M20" s="84" vm="10117">
        <v>0</v>
      </c>
      <c r="N20" s="134">
        <f xml:space="preserve"> IFERROR( VfM_Metrics_2023_Entity[[#This Row],[Total social units developed or newly built units acquired in-year]] / VfM_Metrics_2023_Entity[[#This Row],[Social housing units owned (period end)]], "n/a" )</f>
        <v>8.9686098654708521E-4</v>
      </c>
      <c r="O20" s="5">
        <f xml:space="preserve"> SUM( VfM_Metrics_2023_Entity[[#This Row],[Total social units developed or newly built units acquired in-year (owned)]], VfM_Metrics_2023_Entity[[#This Row],[Total social leasehold units developed or newly built units acquired in-year (owned)]] )</f>
        <v>1</v>
      </c>
      <c r="P20" s="84" vm="11000">
        <v>1</v>
      </c>
      <c r="Q20" s="84" vm="11140">
        <v>0</v>
      </c>
      <c r="R20" s="5">
        <f xml:space="preserve"> SUM( VfM_Metrics_2023_Entity[[#This Row],[Total social housing units owned (Period end)]], VfM_Metrics_2023_Entity[[#This Row],[Total social leasehold units owned (Period end)]] )</f>
        <v>1115</v>
      </c>
      <c r="S20" s="84" vm="11247">
        <v>1105</v>
      </c>
      <c r="T20" s="135" vm="11402">
        <v>10</v>
      </c>
      <c r="U20" s="136">
        <f xml:space="preserve"> IFERROR( VfM_Metrics_2023_Entity[[#This Row],[Total non-social housing units developed or newly built units acquired (owned)]] / VfM_Metrics_2023_Entity[[#This Row],[Total social and non-social housing units owned (Period end)]], "n/a" )</f>
        <v>0</v>
      </c>
      <c r="V2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0" s="84" vm="11632">
        <v>0</v>
      </c>
      <c r="X20" s="84" vm="11869">
        <v>0</v>
      </c>
      <c r="Y20" s="84" vm="11907">
        <v>0</v>
      </c>
      <c r="Z2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1115</v>
      </c>
      <c r="AA20" s="84" vm="11342">
        <v>1105</v>
      </c>
      <c r="AB20" s="84" vm="11402">
        <v>10</v>
      </c>
      <c r="AC20" s="84" vm="12065">
        <v>0</v>
      </c>
      <c r="AD20" s="135" vm="12245">
        <v>0</v>
      </c>
      <c r="AE20" s="134">
        <f xml:space="preserve"> IFERROR( VfM_Metrics_2023_Entity[[#This Row],[Total Net Debt]] / VfM_Metrics_2023_Entity[[#This Row],[Net Book Value of Housing Properties2]], "n/a" )</f>
        <v>0.42040386018976561</v>
      </c>
      <c r="AF2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15552</v>
      </c>
      <c r="AG20" s="84" vm="12635">
        <v>659</v>
      </c>
      <c r="AH20" s="84" vm="13010">
        <v>16411</v>
      </c>
      <c r="AI20" s="84" vm="13095">
        <v>1518</v>
      </c>
      <c r="AJ20" s="84" vm="13184">
        <v>0</v>
      </c>
      <c r="AK20" s="84" vm="13267">
        <v>0</v>
      </c>
      <c r="AL20" s="5">
        <f xml:space="preserve"> SUM( VfM_Metrics_2023_Entity[[#This Row],[Tangible fixed assets: Housing properties at cost (Current period)2]], VfM_Metrics_2023_Entity[[#This Row],[Tangible fixed assets Housing properties at valuation (Current period)2]] )</f>
        <v>36993</v>
      </c>
      <c r="AM20" s="84" vm="13367">
        <v>36993</v>
      </c>
      <c r="AN20" s="135" vm="13403">
        <v>0</v>
      </c>
      <c r="AO20" s="137">
        <f xml:space="preserve"> IFERROR( VfM_Metrics_2023_Entity[[#This Row],[EBITDA MRI]] / VfM_Metrics_2023_Entity[[#This Row],[Total interest]], "n/a" )</f>
        <v>1.8357030015797788</v>
      </c>
      <c r="AP2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1162</v>
      </c>
      <c r="AQ20" s="84" vm="13548">
        <v>1242</v>
      </c>
      <c r="AR20" s="84" vm="14150">
        <v>0</v>
      </c>
      <c r="AS20" s="84" vm="14393">
        <v>0</v>
      </c>
      <c r="AT20" s="84" vm="14639">
        <v>106</v>
      </c>
      <c r="AU20" s="84" vm="14884">
        <v>0</v>
      </c>
      <c r="AV20" s="84" vm="13648">
        <v>6</v>
      </c>
      <c r="AW20" s="84" vm="13899">
        <v>962</v>
      </c>
      <c r="AX20" s="84" vm="14151">
        <v>982</v>
      </c>
      <c r="AY20" s="5">
        <f xml:space="preserve"> - SUM( VfM_Metrics_2023_Entity[[#This Row],[Interest capitalised]], VfM_Metrics_2023_Entity[[#This Row],[Interest payable and financing costs]] )</f>
        <v>633</v>
      </c>
      <c r="AZ20" s="84" vm="15211">
        <v>0</v>
      </c>
      <c r="BA20" s="135" vm="15381">
        <v>-633</v>
      </c>
      <c r="BB20" s="138">
        <f xml:space="preserve"> IFERROR( ( VfM_Metrics_2023_Entity[[#This Row],[Total Costs]] / VfM_Metrics_2023_Entity[[#This Row],[Total units for costs]] ) * 1000, "n/a" )</f>
        <v>4178.6355475763012</v>
      </c>
      <c r="BC2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4655</v>
      </c>
      <c r="BD20" s="84" vm="15758">
        <v>1371</v>
      </c>
      <c r="BE20" s="84" vm="16365">
        <v>599</v>
      </c>
      <c r="BF20" s="84" vm="15656">
        <v>983</v>
      </c>
      <c r="BG20" s="84" vm="16842">
        <v>319</v>
      </c>
      <c r="BH20" s="84" vm="16033">
        <v>350</v>
      </c>
      <c r="BI20" s="84" vm="17078">
        <v>0</v>
      </c>
      <c r="BJ20" s="84" vm="16252">
        <v>962</v>
      </c>
      <c r="BK20" s="84" vm="15709">
        <v>5</v>
      </c>
      <c r="BL20" s="84" vm="16363">
        <v>0</v>
      </c>
      <c r="BM20" s="84" vm="15643">
        <v>0</v>
      </c>
      <c r="BN20" s="84" vm="16771">
        <v>48</v>
      </c>
      <c r="BO20" s="84" vm="16364">
        <v>18</v>
      </c>
      <c r="BP20" s="5" vm="17822">
        <f xml:space="preserve"> VfM_Metrics_2023_Entity[[#This Row],[Total social housing units owned and/or managed at period end]]</f>
        <v>1114</v>
      </c>
      <c r="BQ20" s="135" vm="17822">
        <v>1114</v>
      </c>
      <c r="BR20" s="134">
        <f xml:space="preserve"> IFERROR( VfM_Metrics_2023_Entity[[#This Row],[SHL operating surplus / (deficit)]] / VfM_Metrics_2023_Entity[[#This Row],[Turnover from social housing lettings]], "n/a" )</f>
        <v>0.21210025929127052</v>
      </c>
      <c r="BS20" s="5" vm="17958">
        <f xml:space="preserve"> VfM_Metrics_2023_Entity[[#This Row],[Operating surplus/(deficit) (social housing lettings)]]</f>
        <v>1227</v>
      </c>
      <c r="BT20" s="84" vm="17958">
        <v>1227</v>
      </c>
      <c r="BU20" s="5" vm="18109">
        <f xml:space="preserve"> VfM_Metrics_2023_Entity[[#This Row],[Turnover from social housing lettings]]</f>
        <v>5785</v>
      </c>
      <c r="BV20" s="135" vm="18109">
        <v>5785</v>
      </c>
      <c r="BW20" s="134">
        <f xml:space="preserve"> IFERROR( VfM_Metrics_2023_Entity[[#This Row],[Net operating surplus]] / VfM_Metrics_2023_Entity[[#This Row],[Overall turnover]], "n/a" )</f>
        <v>0.2113323124042879</v>
      </c>
      <c r="BX20" s="5">
        <f xml:space="preserve"> SUM( VfM_Metrics_2023_Entity[[#This Row],[Operating surplus/(deficit) (overall)2]], - VfM_Metrics_2023_Entity[[#This Row],[Gain/(loss) on disposal of fixed assets (housing properties)2]], - VfM_Metrics_2023_Entity[[#This Row],[Gain/(loss) on disposal of fixed assets (other)2]] )</f>
        <v>1242</v>
      </c>
      <c r="BY20" s="84" vm="18222">
        <v>1242</v>
      </c>
      <c r="BZ20" s="84" vm="14150">
        <v>0</v>
      </c>
      <c r="CA20" s="84" vm="14393">
        <v>0</v>
      </c>
      <c r="CB20" s="5" vm="18421">
        <f xml:space="preserve"> VfM_Metrics_2023_Entity[[#This Row],[Turnover (overall)]]</f>
        <v>5877</v>
      </c>
      <c r="CC20" s="135" vm="18421">
        <v>5877</v>
      </c>
      <c r="CD20" s="134">
        <f xml:space="preserve"> IFERROR( VfM_Metrics_2023_Entity[[#This Row],[Operating surplus including from JVs]] / VfM_Metrics_2023_Entity[[#This Row],[Net assets]], "n/a" )</f>
        <v>3.3033672003829992E-2</v>
      </c>
      <c r="CE20" s="5">
        <f xml:space="preserve"> SUM( VfM_Metrics_2023_Entity[[#This Row],[Operating surplus/(deficit) (overall)3]], VfM_Metrics_2023_Entity[[#This Row],[Share of operating surplus/(deficit) in joint ventures or associates]] )</f>
        <v>1242</v>
      </c>
      <c r="CF20" s="84" vm="13540">
        <v>1242</v>
      </c>
      <c r="CG20" s="84" vm="18495">
        <v>0</v>
      </c>
      <c r="CH20" s="5" vm="18690">
        <f xml:space="preserve"> VfM_Metrics_2023_Entity[[#This Row],[Total assets less current liabilities]]</f>
        <v>37598</v>
      </c>
      <c r="CI20" s="135" vm="18690">
        <v>37598</v>
      </c>
      <c r="CJ20" s="140" vm="11247">
        <f xml:space="preserve"> VfM_Metrics_2023_Entity[[#This Row],[Total social housing units owned (Period end)]]</f>
        <v>1105</v>
      </c>
      <c r="CK20" s="141">
        <v>0</v>
      </c>
      <c r="CL20" s="69">
        <f xml:space="preserve"> -- ( VfM_Metrics_2023_Entity[[#This Row],[% Supported housing (excl. HOP)]] &gt; 0.3 )</f>
        <v>0</v>
      </c>
      <c r="CM20" s="9">
        <v>0.1330316742081448</v>
      </c>
      <c r="CN20" s="69">
        <f xml:space="preserve"> -- ( VfM_Metrics_2023_Entity[[#This Row],[% Housing for older people]] &gt; 0.3 )</f>
        <v>0</v>
      </c>
      <c r="CO20" s="9">
        <f xml:space="preserve"> VfM_Metrics_2023_Entity[[#This Row],[% Supported housing (excl. HOP)]] + VfM_Metrics_2023_Entity[[#This Row],[% Housing for older people]]</f>
        <v>0.1330316742081448</v>
      </c>
      <c r="CP20" s="69">
        <f xml:space="preserve"> -- ( VfM_Metrics_2023_Entity[[#This Row],[SH specialist in RSH analysis]] + VfM_Metrics_2023_Entity[[#This Row],[OP specialist in RSH analysis]] &gt; 0 )</f>
        <v>0</v>
      </c>
      <c r="CQ20" s="142">
        <f xml:space="preserve"> -- ( VfM_Metrics_2023_Entity[[#This Row],[% SH and OP]] &gt; 0.3 )</f>
        <v>0</v>
      </c>
      <c r="CR20" s="143" t="s">
        <v>143</v>
      </c>
      <c r="CS20" s="120"/>
      <c r="CT20" s="144" t="s">
        <v>144</v>
      </c>
      <c r="CU2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20" s="146">
        <v>0</v>
      </c>
      <c r="CW20" s="146">
        <v>0</v>
      </c>
      <c r="CX20" s="146">
        <v>0</v>
      </c>
      <c r="CY20" s="146">
        <v>0</v>
      </c>
      <c r="CZ20" s="146">
        <v>0</v>
      </c>
      <c r="DA20" s="146">
        <v>0</v>
      </c>
      <c r="DB20" s="146">
        <v>0</v>
      </c>
      <c r="DC20" s="146">
        <v>1</v>
      </c>
      <c r="DD20" s="146">
        <v>0</v>
      </c>
      <c r="DE20" s="126">
        <v>0.96105917141044694</v>
      </c>
    </row>
    <row r="21" spans="1:109" x14ac:dyDescent="0.25">
      <c r="A21" s="4" t="s" vm="233">
        <v>158</v>
      </c>
      <c r="B21" s="4" t="s" vm="9322">
        <v>159</v>
      </c>
      <c r="C21" s="121" vm="18788">
        <v>45016</v>
      </c>
      <c r="D21" s="68">
        <f>IFERROR( VfM_Metrics_2023_Entity[[#This Row],[Reinvestment Spend]] / VfM_Metrics_2023_Entity[[#This Row],[Net Book Value of Housing Properties]], "n/a" )</f>
        <v>5.2916633866015902E-2</v>
      </c>
      <c r="E2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3361</v>
      </c>
      <c r="F21" s="84" vm="9389">
        <v>2062</v>
      </c>
      <c r="G21" s="84" vm="9702">
        <v>228</v>
      </c>
      <c r="H21" s="84" vm="9743">
        <v>1032</v>
      </c>
      <c r="I21" s="84" vm="9470">
        <v>39</v>
      </c>
      <c r="J21" s="84" vm="9536">
        <v>0</v>
      </c>
      <c r="K21" s="5">
        <f xml:space="preserve"> SUM( VfM_Metrics_2023_Entity[[#This Row],[Tangible fixed assets: Housing properties at cost (Current period)]],VfM_Metrics_2023_Entity[[#This Row],[Tangible fixed assets Housing properties at valuation (Current period)]] )</f>
        <v>63515</v>
      </c>
      <c r="L21" s="84" vm="10026">
        <v>63515</v>
      </c>
      <c r="M21" s="84" vm="10026">
        <v>0</v>
      </c>
      <c r="N21" s="134">
        <f xml:space="preserve"> IFERROR( VfM_Metrics_2023_Entity[[#This Row],[Total social units developed or newly built units acquired in-year]] / VfM_Metrics_2023_Entity[[#This Row],[Social housing units owned (period end)]], "n/a" )</f>
        <v>1.8996960486322188E-2</v>
      </c>
      <c r="O21" s="5">
        <f xml:space="preserve"> SUM( VfM_Metrics_2023_Entity[[#This Row],[Total social units developed or newly built units acquired in-year (owned)]], VfM_Metrics_2023_Entity[[#This Row],[Total social leasehold units developed or newly built units acquired in-year (owned)]] )</f>
        <v>25</v>
      </c>
      <c r="P21" s="84" vm="11043">
        <v>25</v>
      </c>
      <c r="Q21" s="84" vm="11171">
        <v>0</v>
      </c>
      <c r="R21" s="5">
        <f xml:space="preserve"> SUM( VfM_Metrics_2023_Entity[[#This Row],[Total social housing units owned (Period end)]], VfM_Metrics_2023_Entity[[#This Row],[Total social leasehold units owned (Period end)]] )</f>
        <v>1316</v>
      </c>
      <c r="S21" s="84" vm="11307">
        <v>1316</v>
      </c>
      <c r="T21" s="135" vm="11419">
        <v>0</v>
      </c>
      <c r="U21" s="136">
        <f xml:space="preserve"> IFERROR( VfM_Metrics_2023_Entity[[#This Row],[Total non-social housing units developed or newly built units acquired (owned)]] / VfM_Metrics_2023_Entity[[#This Row],[Total social and non-social housing units owned (Period end)]], "n/a" )</f>
        <v>0</v>
      </c>
      <c r="V2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1" s="84" vm="11648">
        <v>0</v>
      </c>
      <c r="X21" s="84" vm="11683">
        <v>0</v>
      </c>
      <c r="Y21" s="84" vm="11710">
        <v>0</v>
      </c>
      <c r="Z2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1316</v>
      </c>
      <c r="AA21" s="84" vm="12021">
        <v>1316</v>
      </c>
      <c r="AB21" s="84" vm="12418">
        <v>0</v>
      </c>
      <c r="AC21" s="84" vm="12326">
        <v>0</v>
      </c>
      <c r="AD21" s="135" vm="12473">
        <v>0</v>
      </c>
      <c r="AE21" s="134">
        <f xml:space="preserve"> IFERROR( VfM_Metrics_2023_Entity[[#This Row],[Total Net Debt]] / VfM_Metrics_2023_Entity[[#This Row],[Net Book Value of Housing Properties2]], "n/a" )</f>
        <v>0.3797685586082028</v>
      </c>
      <c r="AF2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24121</v>
      </c>
      <c r="AG21" s="84" vm="12656">
        <v>692</v>
      </c>
      <c r="AH21" s="84" vm="12711">
        <v>23755</v>
      </c>
      <c r="AI21" s="84" vm="12831">
        <v>326</v>
      </c>
      <c r="AJ21" s="84" vm="13011">
        <v>0</v>
      </c>
      <c r="AK21" s="84" vm="13096">
        <v>0</v>
      </c>
      <c r="AL21" s="5">
        <f xml:space="preserve"> SUM( VfM_Metrics_2023_Entity[[#This Row],[Tangible fixed assets: Housing properties at cost (Current period)2]], VfM_Metrics_2023_Entity[[#This Row],[Tangible fixed assets Housing properties at valuation (Current period)2]] )</f>
        <v>63515</v>
      </c>
      <c r="AM21" s="84" vm="10026">
        <v>63515</v>
      </c>
      <c r="AN21" s="135" vm="10128">
        <v>0</v>
      </c>
      <c r="AO21" s="137">
        <f xml:space="preserve"> IFERROR( VfM_Metrics_2023_Entity[[#This Row],[EBITDA MRI]] / VfM_Metrics_2023_Entity[[#This Row],[Total interest]], "n/a" )</f>
        <v>1.3863845446182153</v>
      </c>
      <c r="AP2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1507</v>
      </c>
      <c r="AQ21" s="84" vm="13562">
        <v>1542</v>
      </c>
      <c r="AR21" s="84" vm="14394">
        <v>174</v>
      </c>
      <c r="AS21" s="84" vm="14640">
        <v>0</v>
      </c>
      <c r="AT21" s="84" vm="14885">
        <v>420</v>
      </c>
      <c r="AU21" s="84" vm="13649">
        <v>0</v>
      </c>
      <c r="AV21" s="84" vm="13900">
        <v>12</v>
      </c>
      <c r="AW21" s="84" vm="14152">
        <v>1032</v>
      </c>
      <c r="AX21" s="84" vm="14395">
        <v>1579</v>
      </c>
      <c r="AY21" s="5">
        <f xml:space="preserve"> - SUM( VfM_Metrics_2023_Entity[[#This Row],[Interest capitalised]], VfM_Metrics_2023_Entity[[#This Row],[Interest payable and financing costs]] )</f>
        <v>1087</v>
      </c>
      <c r="AZ21" s="84" vm="15231">
        <v>-39</v>
      </c>
      <c r="BA21" s="135" vm="15408">
        <v>-1048</v>
      </c>
      <c r="BB21" s="138">
        <f xml:space="preserve"> IFERROR( ( VfM_Metrics_2023_Entity[[#This Row],[Total Costs]] / VfM_Metrics_2023_Entity[[#This Row],[Total units for costs]] ) * 1000, "n/a" )</f>
        <v>3730.2431610942249</v>
      </c>
      <c r="BC2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4909</v>
      </c>
      <c r="BD21" s="84" vm="15537">
        <v>1516</v>
      </c>
      <c r="BE21" s="84" vm="16035">
        <v>135</v>
      </c>
      <c r="BF21" s="84" vm="15710">
        <v>1369</v>
      </c>
      <c r="BG21" s="84" vm="15658">
        <v>695</v>
      </c>
      <c r="BH21" s="84" vm="15830">
        <v>111</v>
      </c>
      <c r="BI21" s="84" vm="16368">
        <v>0</v>
      </c>
      <c r="BJ21" s="84" vm="14152">
        <v>1032</v>
      </c>
      <c r="BK21" s="84" vm="15831">
        <v>0</v>
      </c>
      <c r="BL21" s="84" vm="15711">
        <v>8</v>
      </c>
      <c r="BM21" s="84" vm="15759">
        <v>0</v>
      </c>
      <c r="BN21" s="84" vm="15644">
        <v>0</v>
      </c>
      <c r="BO21" s="84" vm="16036">
        <v>43</v>
      </c>
      <c r="BP21" s="5" vm="17687">
        <f xml:space="preserve"> VfM_Metrics_2023_Entity[[#This Row],[Total social housing units owned and/or managed at period end]]</f>
        <v>1316</v>
      </c>
      <c r="BQ21" s="135" vm="17687">
        <v>1316</v>
      </c>
      <c r="BR21" s="134">
        <f xml:space="preserve"> IFERROR( VfM_Metrics_2023_Entity[[#This Row],[SHL operating surplus / (deficit)]] / VfM_Metrics_2023_Entity[[#This Row],[Turnover from social housing lettings]], "n/a" )</f>
        <v>0.18292316926770708</v>
      </c>
      <c r="BS21" s="5" vm="17994">
        <f xml:space="preserve"> VfM_Metrics_2023_Entity[[#This Row],[Operating surplus/(deficit) (social housing lettings)]]</f>
        <v>1219</v>
      </c>
      <c r="BT21" s="84" vm="17994">
        <v>1219</v>
      </c>
      <c r="BU21" s="5" vm="18211">
        <f xml:space="preserve"> VfM_Metrics_2023_Entity[[#This Row],[Turnover from social housing lettings]]</f>
        <v>6664</v>
      </c>
      <c r="BV21" s="135" vm="18211">
        <v>6664</v>
      </c>
      <c r="BW21" s="134">
        <f xml:space="preserve"> IFERROR( VfM_Metrics_2023_Entity[[#This Row],[Net operating surplus]] / VfM_Metrics_2023_Entity[[#This Row],[Overall turnover]], "n/a" )</f>
        <v>0.1993006993006993</v>
      </c>
      <c r="BX21" s="5">
        <f xml:space="preserve"> SUM( VfM_Metrics_2023_Entity[[#This Row],[Operating surplus/(deficit) (overall)2]], - VfM_Metrics_2023_Entity[[#This Row],[Gain/(loss) on disposal of fixed assets (housing properties)2]], - VfM_Metrics_2023_Entity[[#This Row],[Gain/(loss) on disposal of fixed assets (other)2]] )</f>
        <v>1368</v>
      </c>
      <c r="BY21" s="84" vm="13562">
        <v>1542</v>
      </c>
      <c r="BZ21" s="84" vm="14394">
        <v>174</v>
      </c>
      <c r="CA21" s="84" vm="14640">
        <v>0</v>
      </c>
      <c r="CB21" s="5" vm="18317">
        <f xml:space="preserve"> VfM_Metrics_2023_Entity[[#This Row],[Turnover (overall)]]</f>
        <v>6864</v>
      </c>
      <c r="CC21" s="135" vm="18317">
        <v>6864</v>
      </c>
      <c r="CD21" s="134">
        <f xml:space="preserve"> IFERROR( VfM_Metrics_2023_Entity[[#This Row],[Operating surplus including from JVs]] / VfM_Metrics_2023_Entity[[#This Row],[Net assets]], "n/a" )</f>
        <v>2.4291880651564322E-2</v>
      </c>
      <c r="CE21" s="5">
        <f xml:space="preserve"> SUM( VfM_Metrics_2023_Entity[[#This Row],[Operating surplus/(deficit) (overall)3]], VfM_Metrics_2023_Entity[[#This Row],[Share of operating surplus/(deficit) in joint ventures or associates]] )</f>
        <v>1542</v>
      </c>
      <c r="CF21" s="84" vm="13562">
        <v>1542</v>
      </c>
      <c r="CG21" s="84" vm="18513">
        <v>0</v>
      </c>
      <c r="CH21" s="5" vm="18711">
        <f xml:space="preserve"> VfM_Metrics_2023_Entity[[#This Row],[Total assets less current liabilities]]</f>
        <v>63478</v>
      </c>
      <c r="CI21" s="135" vm="18711">
        <v>63478</v>
      </c>
      <c r="CJ21" s="140" vm="11307">
        <f xml:space="preserve"> VfM_Metrics_2023_Entity[[#This Row],[Total social housing units owned (Period end)]]</f>
        <v>1316</v>
      </c>
      <c r="CK21" s="141">
        <v>3.3383915022761758E-2</v>
      </c>
      <c r="CL21" s="69">
        <f xml:space="preserve"> -- ( VfM_Metrics_2023_Entity[[#This Row],[% Supported housing (excl. HOP)]] &gt; 0.3 )</f>
        <v>0</v>
      </c>
      <c r="CM21" s="9">
        <v>0</v>
      </c>
      <c r="CN21" s="69">
        <f xml:space="preserve"> -- ( VfM_Metrics_2023_Entity[[#This Row],[% Housing for older people]] &gt; 0.3 )</f>
        <v>0</v>
      </c>
      <c r="CO21" s="9">
        <f xml:space="preserve"> VfM_Metrics_2023_Entity[[#This Row],[% Supported housing (excl. HOP)]] + VfM_Metrics_2023_Entity[[#This Row],[% Housing for older people]]</f>
        <v>3.3383915022761758E-2</v>
      </c>
      <c r="CP21" s="69">
        <f xml:space="preserve"> -- ( VfM_Metrics_2023_Entity[[#This Row],[SH specialist in RSH analysis]] + VfM_Metrics_2023_Entity[[#This Row],[OP specialist in RSH analysis]] &gt; 0 )</f>
        <v>0</v>
      </c>
      <c r="CQ21" s="142">
        <f xml:space="preserve"> -- ( VfM_Metrics_2023_Entity[[#This Row],[% SH and OP]] &gt; 0.3 )</f>
        <v>0</v>
      </c>
      <c r="CR21" s="143" t="s">
        <v>143</v>
      </c>
      <c r="CS21" s="120"/>
      <c r="CT21" s="144" t="s">
        <v>144</v>
      </c>
      <c r="CU2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21" s="146">
        <v>0</v>
      </c>
      <c r="CW21" s="146">
        <v>0</v>
      </c>
      <c r="CX21" s="146">
        <v>0</v>
      </c>
      <c r="CY21" s="146">
        <v>9.8784194528875376E-3</v>
      </c>
      <c r="CZ21" s="146">
        <v>0</v>
      </c>
      <c r="DA21" s="146">
        <v>0</v>
      </c>
      <c r="DB21" s="146">
        <v>0</v>
      </c>
      <c r="DC21" s="146">
        <v>0</v>
      </c>
      <c r="DD21" s="146">
        <v>0.99012158054711241</v>
      </c>
      <c r="DE21" s="126">
        <v>0.94456891961563894</v>
      </c>
    </row>
    <row r="22" spans="1:109" x14ac:dyDescent="0.25">
      <c r="A22" s="4" t="s" vm="9219">
        <v>554</v>
      </c>
      <c r="B22" s="4" t="s" vm="10572">
        <v>555</v>
      </c>
      <c r="C22" s="121" vm="18825">
        <v>45016</v>
      </c>
      <c r="D22" s="68">
        <f>IFERROR( VfM_Metrics_2023_Entity[[#This Row],[Reinvestment Spend]] / VfM_Metrics_2023_Entity[[#This Row],[Net Book Value of Housing Properties]], "n/a" )</f>
        <v>1.8858985805652231E-2</v>
      </c>
      <c r="E2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1035</v>
      </c>
      <c r="F22" s="84" vm="9438">
        <v>140</v>
      </c>
      <c r="G22" s="84" vm="9650">
        <v>199</v>
      </c>
      <c r="H22" s="84" vm="9630">
        <v>696</v>
      </c>
      <c r="I22" s="84" vm="9744">
        <v>0</v>
      </c>
      <c r="J22" s="84" vm="10346">
        <v>0</v>
      </c>
      <c r="K22" s="5">
        <f xml:space="preserve"> SUM( VfM_Metrics_2023_Entity[[#This Row],[Tangible fixed assets: Housing properties at cost (Current period)]],VfM_Metrics_2023_Entity[[#This Row],[Tangible fixed assets Housing properties at valuation (Current period)]] )</f>
        <v>54881</v>
      </c>
      <c r="L22" s="84" vm="10653">
        <v>54881</v>
      </c>
      <c r="M22" s="84">
        <v>0</v>
      </c>
      <c r="N22" s="134">
        <f xml:space="preserve"> IFERROR( VfM_Metrics_2023_Entity[[#This Row],[Total social units developed or newly built units acquired in-year]] / VfM_Metrics_2023_Entity[[#This Row],[Social housing units owned (period end)]], "n/a" )</f>
        <v>8.6139389193422081E-3</v>
      </c>
      <c r="O22" s="5">
        <f xml:space="preserve"> SUM( VfM_Metrics_2023_Entity[[#This Row],[Total social units developed or newly built units acquired in-year (owned)]], VfM_Metrics_2023_Entity[[#This Row],[Total social leasehold units developed or newly built units acquired in-year (owned)]] )</f>
        <v>11</v>
      </c>
      <c r="P22" s="84" vm="11061">
        <v>11</v>
      </c>
      <c r="Q22" s="84">
        <v>0</v>
      </c>
      <c r="R22" s="5">
        <f xml:space="preserve"> SUM( VfM_Metrics_2023_Entity[[#This Row],[Total social housing units owned (Period end)]], VfM_Metrics_2023_Entity[[#This Row],[Total social leasehold units owned (Period end)]] )</f>
        <v>1277</v>
      </c>
      <c r="S22" s="84" vm="11296">
        <v>1215</v>
      </c>
      <c r="T22" s="135" vm="11434">
        <v>62</v>
      </c>
      <c r="U22" s="136">
        <f xml:space="preserve"> IFERROR( VfM_Metrics_2023_Entity[[#This Row],[Total non-social housing units developed or newly built units acquired (owned)]] / VfM_Metrics_2023_Entity[[#This Row],[Total social and non-social housing units owned (Period end)]], "n/a" )</f>
        <v>0</v>
      </c>
      <c r="V2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2" s="84">
        <v>0</v>
      </c>
      <c r="X22" s="84">
        <v>0</v>
      </c>
      <c r="Y22" s="84">
        <v>0</v>
      </c>
      <c r="Z2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1277</v>
      </c>
      <c r="AA22" s="84" vm="12036">
        <v>1215</v>
      </c>
      <c r="AB22" s="84" vm="12173">
        <v>62</v>
      </c>
      <c r="AC22" s="84" vm="12066">
        <v>0</v>
      </c>
      <c r="AD22" s="135" vm="12229">
        <v>0</v>
      </c>
      <c r="AE22" s="134">
        <f xml:space="preserve"> IFERROR( VfM_Metrics_2023_Entity[[#This Row],[Total Net Debt]] / VfM_Metrics_2023_Entity[[#This Row],[Net Book Value of Housing Properties2]], "n/a" )</f>
        <v>0.34449080738324739</v>
      </c>
      <c r="AF2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18906</v>
      </c>
      <c r="AG22" s="84" vm="12683">
        <v>378</v>
      </c>
      <c r="AH22" s="84" vm="13185">
        <v>20907</v>
      </c>
      <c r="AI22" s="84" vm="13268">
        <v>2379</v>
      </c>
      <c r="AJ22" s="84">
        <v>0</v>
      </c>
      <c r="AK22" s="84">
        <v>0</v>
      </c>
      <c r="AL22" s="5">
        <f xml:space="preserve"> SUM( VfM_Metrics_2023_Entity[[#This Row],[Tangible fixed assets: Housing properties at cost (Current period)2]], VfM_Metrics_2023_Entity[[#This Row],[Tangible fixed assets Housing properties at valuation (Current period)2]] )</f>
        <v>54881</v>
      </c>
      <c r="AM22" s="84" vm="10031">
        <v>54881</v>
      </c>
      <c r="AN22" s="135">
        <v>0</v>
      </c>
      <c r="AO22" s="137">
        <f xml:space="preserve"> IFERROR( VfM_Metrics_2023_Entity[[#This Row],[EBITDA MRI]] / VfM_Metrics_2023_Entity[[#This Row],[Total interest]], "n/a" )</f>
        <v>1.2477432296890671</v>
      </c>
      <c r="AP2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1244</v>
      </c>
      <c r="AQ22" s="84" vm="13595">
        <v>1091</v>
      </c>
      <c r="AR22" s="84" vm="14641">
        <v>2</v>
      </c>
      <c r="AS22" s="84">
        <v>0</v>
      </c>
      <c r="AT22" s="84" vm="13650">
        <v>411</v>
      </c>
      <c r="AU22" s="84" vm="13901">
        <v>0</v>
      </c>
      <c r="AV22" s="84" vm="14153">
        <v>66</v>
      </c>
      <c r="AW22" s="84" vm="14396">
        <v>696</v>
      </c>
      <c r="AX22" s="84" vm="14642">
        <v>1196</v>
      </c>
      <c r="AY22" s="5">
        <f xml:space="preserve"> - SUM( VfM_Metrics_2023_Entity[[#This Row],[Interest capitalised]], VfM_Metrics_2023_Entity[[#This Row],[Interest payable and financing costs]] )</f>
        <v>997</v>
      </c>
      <c r="AZ22" s="84" vm="15303">
        <v>0</v>
      </c>
      <c r="BA22" s="135" vm="15456">
        <v>-997</v>
      </c>
      <c r="BB22" s="138">
        <f xml:space="preserve"> IFERROR( ( VfM_Metrics_2023_Entity[[#This Row],[Total Costs]] / VfM_Metrics_2023_Entity[[#This Row],[Total units for costs]] ) * 1000, "n/a" )</f>
        <v>4030.0230946882216</v>
      </c>
      <c r="BC2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5235</v>
      </c>
      <c r="BD22" s="84" vm="15553">
        <v>1471</v>
      </c>
      <c r="BE22" s="84" vm="16598">
        <v>460</v>
      </c>
      <c r="BF22" s="84" vm="15833">
        <v>944</v>
      </c>
      <c r="BG22" s="84" vm="16038">
        <v>515</v>
      </c>
      <c r="BH22" s="84" vm="15660">
        <v>875</v>
      </c>
      <c r="BI22" s="84" vm="16040">
        <v>0</v>
      </c>
      <c r="BJ22" s="84" vm="17536">
        <v>696</v>
      </c>
      <c r="BK22" s="84" vm="15832">
        <v>46</v>
      </c>
      <c r="BL22" s="84" vm="15834">
        <v>228</v>
      </c>
      <c r="BM22" s="84">
        <v>0</v>
      </c>
      <c r="BN22" s="84">
        <v>0</v>
      </c>
      <c r="BO22" s="84">
        <v>0</v>
      </c>
      <c r="BP22" s="5" vm="17826">
        <f xml:space="preserve"> VfM_Metrics_2023_Entity[[#This Row],[Total social housing units owned and/or managed at period end]]</f>
        <v>1299</v>
      </c>
      <c r="BQ22" s="135" vm="17826">
        <v>1299</v>
      </c>
      <c r="BR22" s="134">
        <f xml:space="preserve"> IFERROR( VfM_Metrics_2023_Entity[[#This Row],[SHL operating surplus / (deficit)]] / VfM_Metrics_2023_Entity[[#This Row],[Turnover from social housing lettings]], "n/a" )</f>
        <v>0.12529513615614671</v>
      </c>
      <c r="BS22" s="5" vm="18014">
        <f xml:space="preserve"> VfM_Metrics_2023_Entity[[#This Row],[Operating surplus/(deficit) (social housing lettings)]]</f>
        <v>796</v>
      </c>
      <c r="BT22" s="84" vm="18014">
        <v>796</v>
      </c>
      <c r="BU22" s="5" vm="18213">
        <f xml:space="preserve"> VfM_Metrics_2023_Entity[[#This Row],[Turnover from social housing lettings]]</f>
        <v>6353</v>
      </c>
      <c r="BV22" s="135" vm="18213">
        <v>6353</v>
      </c>
      <c r="BW22" s="134">
        <f xml:space="preserve"> IFERROR( VfM_Metrics_2023_Entity[[#This Row],[Net operating surplus]] / VfM_Metrics_2023_Entity[[#This Row],[Overall turnover]], "n/a" )</f>
        <v>0.14325177584846094</v>
      </c>
      <c r="BX22" s="5">
        <f xml:space="preserve"> SUM( VfM_Metrics_2023_Entity[[#This Row],[Operating surplus/(deficit) (overall)2]], - VfM_Metrics_2023_Entity[[#This Row],[Gain/(loss) on disposal of fixed assets (housing properties)2]], - VfM_Metrics_2023_Entity[[#This Row],[Gain/(loss) on disposal of fixed assets (other)2]] )</f>
        <v>1089</v>
      </c>
      <c r="BY22" s="84" vm="13611">
        <v>1091</v>
      </c>
      <c r="BZ22" s="84" vm="14641">
        <v>2</v>
      </c>
      <c r="CA22" s="84">
        <v>0</v>
      </c>
      <c r="CB22" s="5" vm="18318">
        <f xml:space="preserve"> VfM_Metrics_2023_Entity[[#This Row],[Turnover (overall)]]</f>
        <v>7602</v>
      </c>
      <c r="CC22" s="135" vm="18318">
        <v>7602</v>
      </c>
      <c r="CD22" s="134">
        <f xml:space="preserve"> IFERROR( VfM_Metrics_2023_Entity[[#This Row],[Operating surplus including from JVs]] / VfM_Metrics_2023_Entity[[#This Row],[Net assets]], "n/a" )</f>
        <v>1.8632373535539842E-2</v>
      </c>
      <c r="CE22" s="5">
        <f xml:space="preserve"> SUM( VfM_Metrics_2023_Entity[[#This Row],[Operating surplus/(deficit) (overall)3]], VfM_Metrics_2023_Entity[[#This Row],[Share of operating surplus/(deficit) in joint ventures or associates]] )</f>
        <v>1091</v>
      </c>
      <c r="CF22" s="84" vm="18437">
        <v>1091</v>
      </c>
      <c r="CG22" s="84">
        <v>0</v>
      </c>
      <c r="CH22" s="5" vm="18737">
        <f xml:space="preserve"> VfM_Metrics_2023_Entity[[#This Row],[Total assets less current liabilities]]</f>
        <v>58554</v>
      </c>
      <c r="CI22" s="135" vm="18737">
        <v>58554</v>
      </c>
      <c r="CJ22" s="140" vm="11296">
        <f xml:space="preserve"> VfM_Metrics_2023_Entity[[#This Row],[Total social housing units owned (Period end)]]</f>
        <v>1215</v>
      </c>
      <c r="CK22" s="141">
        <v>3.3585222502099076E-3</v>
      </c>
      <c r="CL22" s="69">
        <f xml:space="preserve"> -- ( VfM_Metrics_2023_Entity[[#This Row],[% Supported housing (excl. HOP)]] &gt; 0.3 )</f>
        <v>0</v>
      </c>
      <c r="CM22" s="9">
        <v>0</v>
      </c>
      <c r="CN22" s="69">
        <f xml:space="preserve"> -- ( VfM_Metrics_2023_Entity[[#This Row],[% Housing for older people]] &gt; 0.3 )</f>
        <v>0</v>
      </c>
      <c r="CO22" s="9">
        <f xml:space="preserve"> VfM_Metrics_2023_Entity[[#This Row],[% Supported housing (excl. HOP)]] + VfM_Metrics_2023_Entity[[#This Row],[% Housing for older people]]</f>
        <v>3.3585222502099076E-3</v>
      </c>
      <c r="CP22" s="69">
        <f xml:space="preserve"> -- ( VfM_Metrics_2023_Entity[[#This Row],[SH specialist in RSH analysis]] + VfM_Metrics_2023_Entity[[#This Row],[OP specialist in RSH analysis]] &gt; 0 )</f>
        <v>0</v>
      </c>
      <c r="CQ22" s="142">
        <f xml:space="preserve"> -- ( VfM_Metrics_2023_Entity[[#This Row],[% SH and OP]] &gt; 0.3 )</f>
        <v>0</v>
      </c>
      <c r="CR22" s="143" t="s">
        <v>143</v>
      </c>
      <c r="CS22" s="120"/>
      <c r="CT22" s="144" t="s">
        <v>144</v>
      </c>
      <c r="CU2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22" s="146">
        <v>0</v>
      </c>
      <c r="CW22" s="146">
        <v>0</v>
      </c>
      <c r="CX22" s="146">
        <v>0</v>
      </c>
      <c r="CY22" s="146">
        <v>1.9966722129783693E-2</v>
      </c>
      <c r="CZ22" s="146">
        <v>0</v>
      </c>
      <c r="DA22" s="146">
        <v>0</v>
      </c>
      <c r="DB22" s="146">
        <v>0</v>
      </c>
      <c r="DC22" s="146">
        <v>0.98003327787021632</v>
      </c>
      <c r="DD22" s="146">
        <v>0</v>
      </c>
      <c r="DE22" s="126">
        <v>0.96068529699447813</v>
      </c>
    </row>
    <row r="23" spans="1:109" x14ac:dyDescent="0.25">
      <c r="A23" s="4" t="s" vm="385">
        <v>160</v>
      </c>
      <c r="B23" s="4" t="s" vm="9360">
        <v>161</v>
      </c>
      <c r="C23" s="121" vm="18771">
        <v>45016</v>
      </c>
      <c r="D23" s="68">
        <f>IFERROR( VfM_Metrics_2023_Entity[[#This Row],[Reinvestment Spend]] / VfM_Metrics_2023_Entity[[#This Row],[Net Book Value of Housing Properties]], "n/a" )</f>
        <v>0.11203744282231778</v>
      </c>
      <c r="E2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32723</v>
      </c>
      <c r="F23" s="84" vm="10241">
        <v>23822</v>
      </c>
      <c r="G23" s="84" vm="9548">
        <v>0</v>
      </c>
      <c r="H23" s="84" vm="10654">
        <v>8901</v>
      </c>
      <c r="I23" s="84" vm="10559">
        <v>0</v>
      </c>
      <c r="J23" s="84" vm="9739">
        <v>0</v>
      </c>
      <c r="K23" s="5">
        <f xml:space="preserve"> SUM( VfM_Metrics_2023_Entity[[#This Row],[Tangible fixed assets: Housing properties at cost (Current period)]],VfM_Metrics_2023_Entity[[#This Row],[Tangible fixed assets Housing properties at valuation (Current period)]] )</f>
        <v>292072</v>
      </c>
      <c r="L23" s="84" vm="10646">
        <v>292072</v>
      </c>
      <c r="M23" s="84" vm="10160">
        <v>0</v>
      </c>
      <c r="N23" s="134">
        <f xml:space="preserve"> IFERROR( VfM_Metrics_2023_Entity[[#This Row],[Total social units developed or newly built units acquired in-year]] / VfM_Metrics_2023_Entity[[#This Row],[Social housing units owned (period end)]], "n/a" )</f>
        <v>1.7663043478260868E-2</v>
      </c>
      <c r="O23" s="5">
        <f xml:space="preserve"> SUM( VfM_Metrics_2023_Entity[[#This Row],[Total social units developed or newly built units acquired in-year (owned)]], VfM_Metrics_2023_Entity[[#This Row],[Total social leasehold units developed or newly built units acquired in-year (owned)]] )</f>
        <v>169</v>
      </c>
      <c r="P23" s="84" vm="11080">
        <v>167</v>
      </c>
      <c r="Q23" s="84" vm="11202">
        <v>2</v>
      </c>
      <c r="R23" s="5">
        <f xml:space="preserve"> SUM( VfM_Metrics_2023_Entity[[#This Row],[Total social housing units owned (Period end)]], VfM_Metrics_2023_Entity[[#This Row],[Total social leasehold units owned (Period end)]] )</f>
        <v>9568</v>
      </c>
      <c r="S23" s="84" vm="11222">
        <v>9300</v>
      </c>
      <c r="T23" s="135" vm="11397">
        <v>268</v>
      </c>
      <c r="U23" s="136">
        <f xml:space="preserve"> IFERROR( VfM_Metrics_2023_Entity[[#This Row],[Total non-social housing units developed or newly built units acquired (owned)]] / VfM_Metrics_2023_Entity[[#This Row],[Total social and non-social housing units owned (Period end)]], "n/a" )</f>
        <v>0</v>
      </c>
      <c r="V2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3" s="84" vm="11561">
        <v>0</v>
      </c>
      <c r="X23" s="84" vm="11870">
        <v>0</v>
      </c>
      <c r="Y23" s="84" vm="11909">
        <v>0</v>
      </c>
      <c r="Z2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9568</v>
      </c>
      <c r="AA23" s="84" vm="11222">
        <v>9300</v>
      </c>
      <c r="AB23" s="84" vm="11397">
        <v>268</v>
      </c>
      <c r="AC23" s="84" vm="12337">
        <v>0</v>
      </c>
      <c r="AD23" s="135" vm="12474">
        <v>0</v>
      </c>
      <c r="AE23" s="134">
        <f xml:space="preserve"> IFERROR( VfM_Metrics_2023_Entity[[#This Row],[Total Net Debt]] / VfM_Metrics_2023_Entity[[#This Row],[Net Book Value of Housing Properties2]], "n/a" )</f>
        <v>0.69324002300802545</v>
      </c>
      <c r="AF2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202476</v>
      </c>
      <c r="AG23" s="84" vm="12552">
        <v>0</v>
      </c>
      <c r="AH23" s="84" vm="13012">
        <v>202667</v>
      </c>
      <c r="AI23" s="84" vm="13096">
        <v>191</v>
      </c>
      <c r="AJ23" s="84" vm="13186">
        <v>0</v>
      </c>
      <c r="AK23" s="84" vm="13269">
        <v>0</v>
      </c>
      <c r="AL23" s="5">
        <f xml:space="preserve"> SUM( VfM_Metrics_2023_Entity[[#This Row],[Tangible fixed assets: Housing properties at cost (Current period)2]], VfM_Metrics_2023_Entity[[#This Row],[Tangible fixed assets Housing properties at valuation (Current period)2]] )</f>
        <v>292072</v>
      </c>
      <c r="AM23" s="84" vm="9880">
        <v>292072</v>
      </c>
      <c r="AN23" s="135" vm="10160">
        <v>0</v>
      </c>
      <c r="AO23" s="137">
        <f xml:space="preserve"> IFERROR( VfM_Metrics_2023_Entity[[#This Row],[EBITDA MRI]] / VfM_Metrics_2023_Entity[[#This Row],[Total interest]], "n/a" )</f>
        <v>0.57818784007570379</v>
      </c>
      <c r="AP2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4888</v>
      </c>
      <c r="AQ23" s="84" vm="13431">
        <v>7331</v>
      </c>
      <c r="AR23" s="84" vm="14886">
        <v>2836</v>
      </c>
      <c r="AS23" s="84" vm="13651">
        <v>44</v>
      </c>
      <c r="AT23" s="84" vm="13902">
        <v>706</v>
      </c>
      <c r="AU23" s="84" vm="14154">
        <v>0</v>
      </c>
      <c r="AV23" s="84" vm="14397">
        <v>1034</v>
      </c>
      <c r="AW23" s="84" vm="14643">
        <v>8901</v>
      </c>
      <c r="AX23" s="84" vm="14887">
        <v>9010</v>
      </c>
      <c r="AY23" s="5">
        <f xml:space="preserve"> - SUM( VfM_Metrics_2023_Entity[[#This Row],[Interest capitalised]], VfM_Metrics_2023_Entity[[#This Row],[Interest payable and financing costs]] )</f>
        <v>8454</v>
      </c>
      <c r="AZ23" s="84" vm="15154">
        <v>0</v>
      </c>
      <c r="BA23" s="135" vm="15479">
        <v>-8454</v>
      </c>
      <c r="BB23" s="138">
        <f xml:space="preserve"> IFERROR( ( VfM_Metrics_2023_Entity[[#This Row],[Total Costs]] / VfM_Metrics_2023_Entity[[#This Row],[Total units for costs]] ) * 1000, "n/a" )</f>
        <v>4067.9362362255265</v>
      </c>
      <c r="BC2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38023</v>
      </c>
      <c r="BD23" s="84" vm="15567">
        <v>10270</v>
      </c>
      <c r="BE23" s="84" vm="16253">
        <v>3626</v>
      </c>
      <c r="BF23" s="84" vm="17458">
        <v>8315</v>
      </c>
      <c r="BG23" s="84" vm="17537">
        <v>5517</v>
      </c>
      <c r="BH23" s="84" vm="16370">
        <v>0</v>
      </c>
      <c r="BI23" s="84" vm="15661">
        <v>0</v>
      </c>
      <c r="BJ23" s="84" vm="14643">
        <v>8901</v>
      </c>
      <c r="BK23" s="84" vm="15645">
        <v>0</v>
      </c>
      <c r="BL23" s="84" vm="15834">
        <v>0</v>
      </c>
      <c r="BM23" s="84" vm="17459">
        <v>0</v>
      </c>
      <c r="BN23" s="84" vm="15835">
        <v>1394</v>
      </c>
      <c r="BO23" s="84" vm="17079">
        <v>0</v>
      </c>
      <c r="BP23" s="5" vm="17753">
        <f xml:space="preserve"> VfM_Metrics_2023_Entity[[#This Row],[Total social housing units owned and/or managed at period end]]</f>
        <v>9347</v>
      </c>
      <c r="BQ23" s="135" vm="17753">
        <v>9347</v>
      </c>
      <c r="BR23" s="134">
        <f xml:space="preserve"> IFERROR( VfM_Metrics_2023_Entity[[#This Row],[SHL operating surplus / (deficit)]] / VfM_Metrics_2023_Entity[[#This Row],[Turnover from social housing lettings]], "n/a" )</f>
        <v>0.16646604009444882</v>
      </c>
      <c r="BS23" s="5" vm="17834">
        <f xml:space="preserve"> VfM_Metrics_2023_Entity[[#This Row],[Operating surplus/(deficit) (social housing lettings)]]</f>
        <v>7191</v>
      </c>
      <c r="BT23" s="84" vm="17834">
        <v>7191</v>
      </c>
      <c r="BU23" s="5" vm="18042">
        <f xml:space="preserve"> VfM_Metrics_2023_Entity[[#This Row],[Turnover from social housing lettings]]</f>
        <v>43198</v>
      </c>
      <c r="BV23" s="135" vm="18042">
        <v>43198</v>
      </c>
      <c r="BW23" s="134">
        <f xml:space="preserve"> IFERROR( VfM_Metrics_2023_Entity[[#This Row],[Net operating surplus]] / VfM_Metrics_2023_Entity[[#This Row],[Overall turnover]], "n/a" )</f>
        <v>9.2684755221456389E-2</v>
      </c>
      <c r="BX23" s="5">
        <f xml:space="preserve"> SUM( VfM_Metrics_2023_Entity[[#This Row],[Operating surplus/(deficit) (overall)2]], - VfM_Metrics_2023_Entity[[#This Row],[Gain/(loss) on disposal of fixed assets (housing properties)2]], - VfM_Metrics_2023_Entity[[#This Row],[Gain/(loss) on disposal of fixed assets (other)2]] )</f>
        <v>4451</v>
      </c>
      <c r="BY23" s="84" vm="13431">
        <v>7331</v>
      </c>
      <c r="BZ23" s="84" vm="14886">
        <v>2836</v>
      </c>
      <c r="CA23" s="84" vm="13651">
        <v>44</v>
      </c>
      <c r="CB23" s="5" vm="18245">
        <f xml:space="preserve"> VfM_Metrics_2023_Entity[[#This Row],[Turnover (overall)]]</f>
        <v>48023</v>
      </c>
      <c r="CC23" s="135" vm="18245">
        <v>48023</v>
      </c>
      <c r="CD23" s="134">
        <f xml:space="preserve"> IFERROR( VfM_Metrics_2023_Entity[[#This Row],[Operating surplus including from JVs]] / VfM_Metrics_2023_Entity[[#This Row],[Net assets]], "n/a" )</f>
        <v>2.4857841358755177E-2</v>
      </c>
      <c r="CE23" s="5">
        <f xml:space="preserve"> SUM( VfM_Metrics_2023_Entity[[#This Row],[Operating surplus/(deficit) (overall)3]], VfM_Metrics_2023_Entity[[#This Row],[Share of operating surplus/(deficit) in joint ventures or associates]] )</f>
        <v>7331</v>
      </c>
      <c r="CF23" s="84" vm="13431">
        <v>7331</v>
      </c>
      <c r="CG23" s="84" vm="18554">
        <v>0</v>
      </c>
      <c r="CH23" s="5" vm="18571">
        <f xml:space="preserve"> VfM_Metrics_2023_Entity[[#This Row],[Total assets less current liabilities]]</f>
        <v>294917</v>
      </c>
      <c r="CI23" s="135" vm="18571">
        <v>294917</v>
      </c>
      <c r="CJ23" s="140" vm="11222">
        <f xml:space="preserve"> VfM_Metrics_2023_Entity[[#This Row],[Total social housing units owned (Period end)]]</f>
        <v>9300</v>
      </c>
      <c r="CK23" s="141">
        <v>0</v>
      </c>
      <c r="CL23" s="69">
        <f xml:space="preserve"> -- ( VfM_Metrics_2023_Entity[[#This Row],[% Supported housing (excl. HOP)]] &gt; 0.3 )</f>
        <v>0</v>
      </c>
      <c r="CM23" s="9">
        <v>6.8059444324790011E-2</v>
      </c>
      <c r="CN23" s="69">
        <f xml:space="preserve"> -- ( VfM_Metrics_2023_Entity[[#This Row],[% Housing for older people]] &gt; 0.3 )</f>
        <v>0</v>
      </c>
      <c r="CO23" s="9">
        <f xml:space="preserve"> VfM_Metrics_2023_Entity[[#This Row],[% Supported housing (excl. HOP)]] + VfM_Metrics_2023_Entity[[#This Row],[% Housing for older people]]</f>
        <v>6.8059444324790011E-2</v>
      </c>
      <c r="CP23" s="69">
        <f xml:space="preserve"> -- ( VfM_Metrics_2023_Entity[[#This Row],[SH specialist in RSH analysis]] + VfM_Metrics_2023_Entity[[#This Row],[OP specialist in RSH analysis]] &gt; 0 )</f>
        <v>0</v>
      </c>
      <c r="CQ23" s="142">
        <f xml:space="preserve"> -- ( VfM_Metrics_2023_Entity[[#This Row],[% SH and OP]] &gt; 0.3 )</f>
        <v>0</v>
      </c>
      <c r="CR23" s="143" t="s">
        <v>143</v>
      </c>
      <c r="CS23" s="120"/>
      <c r="CT23" s="144" t="s">
        <v>151</v>
      </c>
      <c r="CU2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23" s="146">
        <v>0</v>
      </c>
      <c r="CW23" s="146">
        <v>0</v>
      </c>
      <c r="CX23" s="146">
        <v>0</v>
      </c>
      <c r="CY23" s="146">
        <v>0</v>
      </c>
      <c r="CZ23" s="146">
        <v>0.9043010752688172</v>
      </c>
      <c r="DA23" s="146">
        <v>0</v>
      </c>
      <c r="DB23" s="146">
        <v>0</v>
      </c>
      <c r="DC23" s="146">
        <v>9.56989247311828E-2</v>
      </c>
      <c r="DD23" s="146">
        <v>0</v>
      </c>
      <c r="DE23" s="126">
        <v>0.96425240493668152</v>
      </c>
    </row>
    <row r="24" spans="1:109" x14ac:dyDescent="0.25">
      <c r="A24" s="4" t="s" vm="9220">
        <v>556</v>
      </c>
      <c r="B24" s="4" t="s" vm="9280">
        <v>557</v>
      </c>
      <c r="C24" s="121" vm="18861">
        <v>45016</v>
      </c>
      <c r="D24" s="68">
        <f>IFERROR( VfM_Metrics_2023_Entity[[#This Row],[Reinvestment Spend]] / VfM_Metrics_2023_Entity[[#This Row],[Net Book Value of Housing Properties]], "n/a" )</f>
        <v>0.19747539580658965</v>
      </c>
      <c r="E2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24921</v>
      </c>
      <c r="F24" s="84" vm="9401">
        <v>22750</v>
      </c>
      <c r="G24" s="84" vm="9537">
        <v>0</v>
      </c>
      <c r="H24" s="84" vm="10834">
        <v>1106</v>
      </c>
      <c r="I24" s="84" vm="10419">
        <v>1065</v>
      </c>
      <c r="J24" s="84" vm="9703">
        <v>0</v>
      </c>
      <c r="K24" s="5">
        <f xml:space="preserve"> SUM( VfM_Metrics_2023_Entity[[#This Row],[Tangible fixed assets: Housing properties at cost (Current period)]],VfM_Metrics_2023_Entity[[#This Row],[Tangible fixed assets Housing properties at valuation (Current period)]] )</f>
        <v>126198</v>
      </c>
      <c r="L24" s="84" vm="10867">
        <v>126198</v>
      </c>
      <c r="M24" s="84" vm="10080">
        <v>0</v>
      </c>
      <c r="N24" s="134">
        <f xml:space="preserve"> IFERROR( VfM_Metrics_2023_Entity[[#This Row],[Total social units developed or newly built units acquired in-year]] / VfM_Metrics_2023_Entity[[#This Row],[Social housing units owned (period end)]], "n/a" )</f>
        <v>0.12640239341810022</v>
      </c>
      <c r="O24" s="5">
        <f xml:space="preserve"> SUM( VfM_Metrics_2023_Entity[[#This Row],[Total social units developed or newly built units acquired in-year (owned)]], VfM_Metrics_2023_Entity[[#This Row],[Total social leasehold units developed or newly built units acquired in-year (owned)]] )</f>
        <v>169</v>
      </c>
      <c r="P24" s="84" vm="10991">
        <v>169</v>
      </c>
      <c r="Q24" s="84" vm="11105">
        <v>0</v>
      </c>
      <c r="R24" s="5">
        <f xml:space="preserve"> SUM( VfM_Metrics_2023_Entity[[#This Row],[Total social housing units owned (Period end)]], VfM_Metrics_2023_Entity[[#This Row],[Total social leasehold units owned (Period end)]] )</f>
        <v>1337</v>
      </c>
      <c r="S24" s="84" vm="11299">
        <v>1304</v>
      </c>
      <c r="T24" s="135" vm="11403">
        <v>33</v>
      </c>
      <c r="U24" s="136">
        <f xml:space="preserve"> IFERROR( VfM_Metrics_2023_Entity[[#This Row],[Total non-social housing units developed or newly built units acquired (owned)]] / VfM_Metrics_2023_Entity[[#This Row],[Total social and non-social housing units owned (Period end)]], "n/a" )</f>
        <v>0</v>
      </c>
      <c r="V2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4" s="84" vm="11584">
        <v>0</v>
      </c>
      <c r="X24" s="84">
        <v>0</v>
      </c>
      <c r="Y24" s="84" vm="11712">
        <v>0</v>
      </c>
      <c r="Z2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1337</v>
      </c>
      <c r="AA24" s="84" vm="11984">
        <v>1304</v>
      </c>
      <c r="AB24" s="84" vm="12174">
        <v>33</v>
      </c>
      <c r="AC24" s="84" vm="12067">
        <v>0</v>
      </c>
      <c r="AD24" s="135" vm="12230">
        <v>0</v>
      </c>
      <c r="AE24" s="134">
        <f xml:space="preserve"> IFERROR( VfM_Metrics_2023_Entity[[#This Row],[Total Net Debt]] / VfM_Metrics_2023_Entity[[#This Row],[Net Book Value of Housing Properties2]], "n/a" )</f>
        <v>0.77822152490530749</v>
      </c>
      <c r="AF2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98210</v>
      </c>
      <c r="AG24" s="84" vm="12582">
        <v>0</v>
      </c>
      <c r="AH24" s="84" vm="12712">
        <v>0</v>
      </c>
      <c r="AI24" s="84" vm="12832">
        <v>22275</v>
      </c>
      <c r="AJ24" s="84" vm="13013">
        <v>120485</v>
      </c>
      <c r="AK24" s="84" vm="13097">
        <v>0</v>
      </c>
      <c r="AL24" s="5">
        <f xml:space="preserve"> SUM( VfM_Metrics_2023_Entity[[#This Row],[Tangible fixed assets: Housing properties at cost (Current period)2]], VfM_Metrics_2023_Entity[[#This Row],[Tangible fixed assets Housing properties at valuation (Current period)2]] )</f>
        <v>126198</v>
      </c>
      <c r="AM24" s="84" vm="13360">
        <v>126198</v>
      </c>
      <c r="AN24" s="135" vm="10080">
        <v>0</v>
      </c>
      <c r="AO24" s="137">
        <f xml:space="preserve"> IFERROR( VfM_Metrics_2023_Entity[[#This Row],[EBITDA MRI]] / VfM_Metrics_2023_Entity[[#This Row],[Total interest]], "n/a" )</f>
        <v>1.583495957624756</v>
      </c>
      <c r="AP2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5680</v>
      </c>
      <c r="AQ24" s="84" vm="13467">
        <v>4347</v>
      </c>
      <c r="AR24" s="84" vm="13652">
        <v>307</v>
      </c>
      <c r="AS24" s="84" vm="13903">
        <v>0</v>
      </c>
      <c r="AT24" s="84" vm="14155">
        <v>1</v>
      </c>
      <c r="AU24" s="84" vm="14398">
        <v>0</v>
      </c>
      <c r="AV24" s="84" vm="14644">
        <v>1456</v>
      </c>
      <c r="AW24" s="84" vm="14888">
        <v>1106</v>
      </c>
      <c r="AX24" s="84" vm="13653">
        <v>1291</v>
      </c>
      <c r="AY24" s="5">
        <f xml:space="preserve"> - SUM( VfM_Metrics_2023_Entity[[#This Row],[Interest capitalised]], VfM_Metrics_2023_Entity[[#This Row],[Interest payable and financing costs]] )</f>
        <v>3587</v>
      </c>
      <c r="AZ24" s="84" vm="15145">
        <v>-1065</v>
      </c>
      <c r="BA24" s="135" vm="15312">
        <v>-2522</v>
      </c>
      <c r="BB24" s="138">
        <f xml:space="preserve"> IFERROR( ( VfM_Metrics_2023_Entity[[#This Row],[Total Costs]] / VfM_Metrics_2023_Entity[[#This Row],[Total units for costs]] ) * 1000, "n/a" )</f>
        <v>3385.7361963190183</v>
      </c>
      <c r="BC2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4415</v>
      </c>
      <c r="BD24" s="84" vm="16372">
        <v>1457</v>
      </c>
      <c r="BE24" s="84" vm="16599">
        <v>208</v>
      </c>
      <c r="BF24" s="84" vm="15712">
        <v>601</v>
      </c>
      <c r="BG24" s="84" vm="16843">
        <v>353</v>
      </c>
      <c r="BH24" s="84" vm="16254">
        <v>271</v>
      </c>
      <c r="BI24" s="84" vm="16042">
        <v>0</v>
      </c>
      <c r="BJ24" s="84" vm="15662">
        <v>1106</v>
      </c>
      <c r="BK24" s="84" vm="15836">
        <v>21</v>
      </c>
      <c r="BL24" s="84" vm="15760">
        <v>398</v>
      </c>
      <c r="BM24" s="84" vm="16844">
        <v>0</v>
      </c>
      <c r="BN24" s="84" vm="15835">
        <v>0</v>
      </c>
      <c r="BO24" s="84" vm="15646">
        <v>0</v>
      </c>
      <c r="BP24" s="5" vm="17617">
        <f xml:space="preserve"> VfM_Metrics_2023_Entity[[#This Row],[Total social housing units owned and/or managed at period end]]</f>
        <v>1304</v>
      </c>
      <c r="BQ24" s="135" vm="17617">
        <v>1304</v>
      </c>
      <c r="BR24" s="134">
        <f xml:space="preserve"> IFERROR( VfM_Metrics_2023_Entity[[#This Row],[SHL operating surplus / (deficit)]] / VfM_Metrics_2023_Entity[[#This Row],[Turnover from social housing lettings]], "n/a" )</f>
        <v>0.39432358449791094</v>
      </c>
      <c r="BS24" s="5" vm="17871">
        <f xml:space="preserve"> VfM_Metrics_2023_Entity[[#This Row],[Operating surplus/(deficit) (social housing lettings)]]</f>
        <v>2737</v>
      </c>
      <c r="BT24" s="84" vm="17871">
        <v>2737</v>
      </c>
      <c r="BU24" s="5" vm="18055">
        <f xml:space="preserve"> VfM_Metrics_2023_Entity[[#This Row],[Turnover from social housing lettings]]</f>
        <v>6941</v>
      </c>
      <c r="BV24" s="135" vm="18055">
        <v>6941</v>
      </c>
      <c r="BW24" s="134">
        <f xml:space="preserve"> IFERROR( VfM_Metrics_2023_Entity[[#This Row],[Net operating surplus]] / VfM_Metrics_2023_Entity[[#This Row],[Overall turnover]], "n/a" )</f>
        <v>0.21721597935372869</v>
      </c>
      <c r="BX24" s="5">
        <f xml:space="preserve"> SUM( VfM_Metrics_2023_Entity[[#This Row],[Operating surplus/(deficit) (overall)2]], - VfM_Metrics_2023_Entity[[#This Row],[Gain/(loss) on disposal of fixed assets (housing properties)2]], - VfM_Metrics_2023_Entity[[#This Row],[Gain/(loss) on disposal of fixed assets (other)2]] )</f>
        <v>4040</v>
      </c>
      <c r="BY24" s="84" vm="13467">
        <v>4347</v>
      </c>
      <c r="BZ24" s="84" vm="13652">
        <v>307</v>
      </c>
      <c r="CA24" s="84" vm="13903">
        <v>0</v>
      </c>
      <c r="CB24" s="5" vm="18255">
        <f xml:space="preserve"> VfM_Metrics_2023_Entity[[#This Row],[Turnover (overall)]]</f>
        <v>18599</v>
      </c>
      <c r="CC24" s="135" vm="18255">
        <v>18599</v>
      </c>
      <c r="CD24" s="134">
        <f xml:space="preserve"> IFERROR( VfM_Metrics_2023_Entity[[#This Row],[Operating surplus including from JVs]] / VfM_Metrics_2023_Entity[[#This Row],[Net assets]], "n/a" )</f>
        <v>2.6879626022594468E-2</v>
      </c>
      <c r="CE24" s="5">
        <f xml:space="preserve"> SUM( VfM_Metrics_2023_Entity[[#This Row],[Operating surplus/(deficit) (overall)3]], VfM_Metrics_2023_Entity[[#This Row],[Share of operating surplus/(deficit) in joint ventures or associates]] )</f>
        <v>4347</v>
      </c>
      <c r="CF24" s="84" vm="13468">
        <v>4347</v>
      </c>
      <c r="CG24" s="84" vm="18443">
        <v>0</v>
      </c>
      <c r="CH24" s="5" vm="18608">
        <f xml:space="preserve"> VfM_Metrics_2023_Entity[[#This Row],[Total assets less current liabilities]]</f>
        <v>161721</v>
      </c>
      <c r="CI24" s="135" vm="18608">
        <v>161721</v>
      </c>
      <c r="CJ24" s="140" vm="11299">
        <f xml:space="preserve"> VfM_Metrics_2023_Entity[[#This Row],[Total social housing units owned (Period end)]]</f>
        <v>1304</v>
      </c>
      <c r="CK24" s="141">
        <v>0</v>
      </c>
      <c r="CL24" s="69">
        <f xml:space="preserve"> -- ( VfM_Metrics_2023_Entity[[#This Row],[% Supported housing (excl. HOP)]] &gt; 0.3 )</f>
        <v>0</v>
      </c>
      <c r="CM24" s="9">
        <v>1.9055509527754765E-2</v>
      </c>
      <c r="CN24" s="69">
        <f xml:space="preserve"> -- ( VfM_Metrics_2023_Entity[[#This Row],[% Housing for older people]] &gt; 0.3 )</f>
        <v>0</v>
      </c>
      <c r="CO24" s="9">
        <f xml:space="preserve"> VfM_Metrics_2023_Entity[[#This Row],[% Supported housing (excl. HOP)]] + VfM_Metrics_2023_Entity[[#This Row],[% Housing for older people]]</f>
        <v>1.9055509527754765E-2</v>
      </c>
      <c r="CP24" s="69">
        <f xml:space="preserve"> -- ( VfM_Metrics_2023_Entity[[#This Row],[SH specialist in RSH analysis]] + VfM_Metrics_2023_Entity[[#This Row],[OP specialist in RSH analysis]] &gt; 0 )</f>
        <v>0</v>
      </c>
      <c r="CQ24" s="142">
        <f xml:space="preserve"> -- ( VfM_Metrics_2023_Entity[[#This Row],[% SH and OP]] &gt; 0.3 )</f>
        <v>0</v>
      </c>
      <c r="CR24" s="143" t="s">
        <v>143</v>
      </c>
      <c r="CS24" s="120"/>
      <c r="CT24" s="144" t="s">
        <v>144</v>
      </c>
      <c r="CU2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24" s="146">
        <v>0</v>
      </c>
      <c r="CW24" s="146">
        <v>0.28297546012269936</v>
      </c>
      <c r="CX24" s="146">
        <v>0.71702453987730064</v>
      </c>
      <c r="CY24" s="146">
        <v>0</v>
      </c>
      <c r="CZ24" s="146">
        <v>0</v>
      </c>
      <c r="DA24" s="146">
        <v>0</v>
      </c>
      <c r="DB24" s="146">
        <v>0</v>
      </c>
      <c r="DC24" s="146">
        <v>0</v>
      </c>
      <c r="DD24" s="146">
        <v>0</v>
      </c>
      <c r="DE24" s="126">
        <v>0.9916995585206918</v>
      </c>
    </row>
    <row r="25" spans="1:109" x14ac:dyDescent="0.25">
      <c r="A25" s="4" t="s" vm="9221">
        <v>558</v>
      </c>
      <c r="B25" s="4" t="s" vm="9259">
        <v>559</v>
      </c>
      <c r="C25" s="121" vm="18806">
        <v>45016</v>
      </c>
      <c r="D25" s="68">
        <f>IFERROR( VfM_Metrics_2023_Entity[[#This Row],[Reinvestment Spend]] / VfM_Metrics_2023_Entity[[#This Row],[Net Book Value of Housing Properties]], "n/a" )</f>
        <v>8.3704159395762964E-2</v>
      </c>
      <c r="E2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104905</v>
      </c>
      <c r="F25" s="84" vm="9434">
        <v>86873</v>
      </c>
      <c r="G25" s="84" vm="9471">
        <v>0</v>
      </c>
      <c r="H25" s="84" vm="9538">
        <v>13916</v>
      </c>
      <c r="I25" s="84" vm="10626">
        <v>4116</v>
      </c>
      <c r="J25" s="84" vm="9554">
        <v>0</v>
      </c>
      <c r="K25" s="5">
        <f xml:space="preserve"> SUM( VfM_Metrics_2023_Entity[[#This Row],[Tangible fixed assets: Housing properties at cost (Current period)]],VfM_Metrics_2023_Entity[[#This Row],[Tangible fixed assets Housing properties at valuation (Current period)]] )</f>
        <v>1253283</v>
      </c>
      <c r="L25" s="84" vm="10233">
        <v>1253283</v>
      </c>
      <c r="M25" s="84" vm="10230">
        <v>0</v>
      </c>
      <c r="N25" s="134">
        <f xml:space="preserve"> IFERROR( VfM_Metrics_2023_Entity[[#This Row],[Total social units developed or newly built units acquired in-year]] / VfM_Metrics_2023_Entity[[#This Row],[Social housing units owned (period end)]], "n/a" )</f>
        <v>2.4348730556474872E-2</v>
      </c>
      <c r="O25" s="5">
        <f xml:space="preserve"> SUM( VfM_Metrics_2023_Entity[[#This Row],[Total social units developed or newly built units acquired in-year (owned)]], VfM_Metrics_2023_Entity[[#This Row],[Total social leasehold units developed or newly built units acquired in-year (owned)]] )</f>
        <v>515</v>
      </c>
      <c r="P25" s="84" vm="10952">
        <v>515</v>
      </c>
      <c r="Q25" s="84" vm="11130">
        <v>0</v>
      </c>
      <c r="R25" s="5">
        <f xml:space="preserve"> SUM( VfM_Metrics_2023_Entity[[#This Row],[Total social housing units owned (Period end)]], VfM_Metrics_2023_Entity[[#This Row],[Total social leasehold units owned (Period end)]] )</f>
        <v>21151</v>
      </c>
      <c r="S25" s="84" vm="11233">
        <v>20135</v>
      </c>
      <c r="T25" s="135" vm="11438">
        <v>1016</v>
      </c>
      <c r="U25" s="136">
        <f xml:space="preserve"> IFERROR( VfM_Metrics_2023_Entity[[#This Row],[Total non-social housing units developed or newly built units acquired (owned)]] / VfM_Metrics_2023_Entity[[#This Row],[Total social and non-social housing units owned (Period end)]], "n/a" )</f>
        <v>0</v>
      </c>
      <c r="V2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5" s="84" vm="11610">
        <v>0</v>
      </c>
      <c r="X25" s="84" vm="11782">
        <v>0</v>
      </c>
      <c r="Y25" s="84" vm="11819">
        <v>0</v>
      </c>
      <c r="Z2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21157</v>
      </c>
      <c r="AA25" s="84" vm="11233">
        <v>20135</v>
      </c>
      <c r="AB25" s="84" vm="12419">
        <v>1016</v>
      </c>
      <c r="AC25" s="84" vm="12327">
        <v>6</v>
      </c>
      <c r="AD25" s="135" vm="12475">
        <v>0</v>
      </c>
      <c r="AE25" s="134">
        <f xml:space="preserve"> IFERROR( VfM_Metrics_2023_Entity[[#This Row],[Total Net Debt]] / VfM_Metrics_2023_Entity[[#This Row],[Net Book Value of Housing Properties2]], "n/a" )</f>
        <v>0.53528772033132177</v>
      </c>
      <c r="AF2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670867</v>
      </c>
      <c r="AG25" s="84" vm="12605">
        <v>15000</v>
      </c>
      <c r="AH25" s="84" vm="13187">
        <v>396406</v>
      </c>
      <c r="AI25" s="84" vm="13270">
        <v>18757</v>
      </c>
      <c r="AJ25" s="84" vm="12713">
        <v>278218</v>
      </c>
      <c r="AK25" s="84" vm="12833">
        <v>0</v>
      </c>
      <c r="AL25" s="5">
        <f xml:space="preserve"> SUM( VfM_Metrics_2023_Entity[[#This Row],[Tangible fixed assets: Housing properties at cost (Current period)2]], VfM_Metrics_2023_Entity[[#This Row],[Tangible fixed assets Housing properties at valuation (Current period)2]] )</f>
        <v>1253283</v>
      </c>
      <c r="AM25" s="84" vm="9912">
        <v>1253283</v>
      </c>
      <c r="AN25" s="135" vm="10102">
        <v>0</v>
      </c>
      <c r="AO25" s="137">
        <f xml:space="preserve"> IFERROR( VfM_Metrics_2023_Entity[[#This Row],[EBITDA MRI]] / VfM_Metrics_2023_Entity[[#This Row],[Total interest]], "n/a" )</f>
        <v>1.7160723339530168</v>
      </c>
      <c r="AP2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40616</v>
      </c>
      <c r="AQ25" s="84" vm="13500">
        <v>47166</v>
      </c>
      <c r="AR25" s="84" vm="13904">
        <v>13647</v>
      </c>
      <c r="AS25" s="84" vm="14156">
        <v>0</v>
      </c>
      <c r="AT25" s="84" vm="14399">
        <v>241</v>
      </c>
      <c r="AU25" s="84" vm="14645">
        <v>0</v>
      </c>
      <c r="AV25" s="84" vm="14889">
        <v>2112</v>
      </c>
      <c r="AW25" s="84" vm="13654">
        <v>13916</v>
      </c>
      <c r="AX25" s="84" vm="13905">
        <v>19142</v>
      </c>
      <c r="AY25" s="5">
        <f xml:space="preserve"> - SUM( VfM_Metrics_2023_Entity[[#This Row],[Interest capitalised]], VfM_Metrics_2023_Entity[[#This Row],[Interest payable and financing costs]] )</f>
        <v>23668</v>
      </c>
      <c r="AZ25" s="84" vm="15304">
        <v>-4116</v>
      </c>
      <c r="BA25" s="135" vm="15349">
        <v>-19552</v>
      </c>
      <c r="BB25" s="138">
        <f xml:space="preserve"> IFERROR( ( VfM_Metrics_2023_Entity[[#This Row],[Total Costs]] / VfM_Metrics_2023_Entity[[#This Row],[Total units for costs]] ) * 1000, "n/a" )</f>
        <v>3878.1741103926693</v>
      </c>
      <c r="BC2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90567</v>
      </c>
      <c r="BD25" s="84" vm="15511">
        <v>24969</v>
      </c>
      <c r="BE25" s="84" vm="15663">
        <v>11004</v>
      </c>
      <c r="BF25" s="84" vm="16366">
        <v>15376</v>
      </c>
      <c r="BG25" s="84" vm="16374">
        <v>7722</v>
      </c>
      <c r="BH25" s="84" vm="15762">
        <v>13976</v>
      </c>
      <c r="BI25" s="84" vm="16040">
        <v>0</v>
      </c>
      <c r="BJ25" s="84" vm="13654">
        <v>13916</v>
      </c>
      <c r="BK25" s="84" vm="15836">
        <v>779</v>
      </c>
      <c r="BL25" s="84" vm="15648">
        <v>1737</v>
      </c>
      <c r="BM25" s="84" vm="16367">
        <v>233</v>
      </c>
      <c r="BN25" s="84" vm="15764">
        <v>78</v>
      </c>
      <c r="BO25" s="84" vm="16044">
        <v>777</v>
      </c>
      <c r="BP25" s="5" vm="17653">
        <f xml:space="preserve"> VfM_Metrics_2023_Entity[[#This Row],[Total social housing units owned and/or managed at period end]]</f>
        <v>23353</v>
      </c>
      <c r="BQ25" s="135" vm="17653">
        <v>23353</v>
      </c>
      <c r="BR25" s="134">
        <f xml:space="preserve"> IFERROR( VfM_Metrics_2023_Entity[[#This Row],[SHL operating surplus / (deficit)]] / VfM_Metrics_2023_Entity[[#This Row],[Turnover from social housing lettings]], "n/a" )</f>
        <v>0.24402567142214773</v>
      </c>
      <c r="BS25" s="5" vm="17908">
        <f xml:space="preserve"> VfM_Metrics_2023_Entity[[#This Row],[Operating surplus/(deficit) (social housing lettings)]]</f>
        <v>29848</v>
      </c>
      <c r="BT25" s="84" vm="17908">
        <v>29848</v>
      </c>
      <c r="BU25" s="5" vm="18066">
        <f xml:space="preserve"> VfM_Metrics_2023_Entity[[#This Row],[Turnover from social housing lettings]]</f>
        <v>122315</v>
      </c>
      <c r="BV25" s="135" vm="18066">
        <v>122315</v>
      </c>
      <c r="BW25" s="134">
        <f xml:space="preserve"> IFERROR( VfM_Metrics_2023_Entity[[#This Row],[Net operating surplus]] / VfM_Metrics_2023_Entity[[#This Row],[Overall turnover]], "n/a" )</f>
        <v>0.20919042388536621</v>
      </c>
      <c r="BX25" s="5">
        <f xml:space="preserve"> SUM( VfM_Metrics_2023_Entity[[#This Row],[Operating surplus/(deficit) (overall)2]], - VfM_Metrics_2023_Entity[[#This Row],[Gain/(loss) on disposal of fixed assets (housing properties)2]], - VfM_Metrics_2023_Entity[[#This Row],[Gain/(loss) on disposal of fixed assets (other)2]] )</f>
        <v>33519</v>
      </c>
      <c r="BY25" s="84" vm="18215">
        <v>47166</v>
      </c>
      <c r="BZ25" s="84" vm="13904">
        <v>13647</v>
      </c>
      <c r="CA25" s="84" vm="14156">
        <v>0</v>
      </c>
      <c r="CB25" s="5" vm="18256">
        <f xml:space="preserve"> VfM_Metrics_2023_Entity[[#This Row],[Turnover (overall)]]</f>
        <v>160232</v>
      </c>
      <c r="CC25" s="135" vm="18256">
        <v>160232</v>
      </c>
      <c r="CD25" s="134">
        <f xml:space="preserve"> IFERROR( VfM_Metrics_2023_Entity[[#This Row],[Operating surplus including from JVs]] / VfM_Metrics_2023_Entity[[#This Row],[Net assets]], "n/a" )</f>
        <v>3.7832223082260183E-2</v>
      </c>
      <c r="CE25" s="5">
        <f xml:space="preserve"> SUM( VfM_Metrics_2023_Entity[[#This Row],[Operating surplus/(deficit) (overall)3]], VfM_Metrics_2023_Entity[[#This Row],[Share of operating surplus/(deficit) in joint ventures or associates]] )</f>
        <v>47166</v>
      </c>
      <c r="CF25" s="84" vm="13500">
        <v>47166</v>
      </c>
      <c r="CG25" s="84" vm="18470">
        <v>0</v>
      </c>
      <c r="CH25" s="5" vm="18647">
        <f xml:space="preserve"> VfM_Metrics_2023_Entity[[#This Row],[Total assets less current liabilities]]</f>
        <v>1246715</v>
      </c>
      <c r="CI25" s="135" vm="18647">
        <v>1246715</v>
      </c>
      <c r="CJ25" s="140" vm="11233">
        <f xml:space="preserve"> VfM_Metrics_2023_Entity[[#This Row],[Total social housing units owned (Period end)]]</f>
        <v>20135</v>
      </c>
      <c r="CK25" s="141">
        <v>2.3413215682342323E-2</v>
      </c>
      <c r="CL25" s="69">
        <f xml:space="preserve"> -- ( VfM_Metrics_2023_Entity[[#This Row],[% Supported housing (excl. HOP)]] &gt; 0.3 )</f>
        <v>0</v>
      </c>
      <c r="CM25" s="9">
        <v>6.7381931214278545E-2</v>
      </c>
      <c r="CN25" s="69">
        <f xml:space="preserve"> -- ( VfM_Metrics_2023_Entity[[#This Row],[% Housing for older people]] &gt; 0.3 )</f>
        <v>0</v>
      </c>
      <c r="CO25" s="9">
        <f xml:space="preserve"> VfM_Metrics_2023_Entity[[#This Row],[% Supported housing (excl. HOP)]] + VfM_Metrics_2023_Entity[[#This Row],[% Housing for older people]]</f>
        <v>9.0795146896620868E-2</v>
      </c>
      <c r="CP25" s="69">
        <f xml:space="preserve"> -- ( VfM_Metrics_2023_Entity[[#This Row],[SH specialist in RSH analysis]] + VfM_Metrics_2023_Entity[[#This Row],[OP specialist in RSH analysis]] &gt; 0 )</f>
        <v>0</v>
      </c>
      <c r="CQ25" s="142">
        <f xml:space="preserve"> -- ( VfM_Metrics_2023_Entity[[#This Row],[% SH and OP]] &gt; 0.3 )</f>
        <v>0</v>
      </c>
      <c r="CR25" s="143" t="s">
        <v>143</v>
      </c>
      <c r="CS25" s="120"/>
      <c r="CT25" s="144" t="s">
        <v>151</v>
      </c>
      <c r="CU2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25" s="146">
        <v>0</v>
      </c>
      <c r="CW25" s="146">
        <v>0.34332885772539656</v>
      </c>
      <c r="CX25" s="146">
        <v>0.65667114227460344</v>
      </c>
      <c r="CY25" s="146">
        <v>0</v>
      </c>
      <c r="CZ25" s="146">
        <v>0</v>
      </c>
      <c r="DA25" s="146">
        <v>0</v>
      </c>
      <c r="DB25" s="146">
        <v>0</v>
      </c>
      <c r="DC25" s="146">
        <v>0</v>
      </c>
      <c r="DD25" s="146">
        <v>0</v>
      </c>
      <c r="DE25" s="126">
        <v>0.99523587718874718</v>
      </c>
    </row>
    <row r="26" spans="1:109" x14ac:dyDescent="0.25">
      <c r="A26" s="4" t="s" vm="326">
        <v>164</v>
      </c>
      <c r="B26" s="4" t="s" vm="9300">
        <v>165</v>
      </c>
      <c r="C26" s="121" vm="18780">
        <v>45016</v>
      </c>
      <c r="D26" s="68">
        <f>IFERROR( VfM_Metrics_2023_Entity[[#This Row],[Reinvestment Spend]] / VfM_Metrics_2023_Entity[[#This Row],[Net Book Value of Housing Properties]], "n/a" )</f>
        <v>8.044150138165887E-2</v>
      </c>
      <c r="E2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25559</v>
      </c>
      <c r="F26" s="84" vm="10494">
        <v>19071</v>
      </c>
      <c r="G26" s="84" vm="10472">
        <v>0</v>
      </c>
      <c r="H26" s="84" vm="10602">
        <v>4577</v>
      </c>
      <c r="I26" s="84" vm="10821">
        <v>1911</v>
      </c>
      <c r="J26" s="84" vm="10719">
        <v>0</v>
      </c>
      <c r="K26" s="5">
        <f xml:space="preserve"> SUM( VfM_Metrics_2023_Entity[[#This Row],[Tangible fixed assets: Housing properties at cost (Current period)]],VfM_Metrics_2023_Entity[[#This Row],[Tangible fixed assets Housing properties at valuation (Current period)]] )</f>
        <v>317734</v>
      </c>
      <c r="L26" s="84" vm="10054">
        <v>317734</v>
      </c>
      <c r="M26" s="84" vm="10281">
        <v>0</v>
      </c>
      <c r="N26" s="134">
        <f xml:space="preserve"> IFERROR( VfM_Metrics_2023_Entity[[#This Row],[Total social units developed or newly built units acquired in-year]] / VfM_Metrics_2023_Entity[[#This Row],[Social housing units owned (period end)]], "n/a" )</f>
        <v>4.9246039320481008E-2</v>
      </c>
      <c r="O26" s="5">
        <f xml:space="preserve"> SUM( VfM_Metrics_2023_Entity[[#This Row],[Total social units developed or newly built units acquired in-year (owned)]], VfM_Metrics_2023_Entity[[#This Row],[Total social leasehold units developed or newly built units acquired in-year (owned)]] )</f>
        <v>258</v>
      </c>
      <c r="P26" s="84" vm="11002">
        <v>258</v>
      </c>
      <c r="Q26" s="84" vm="11141">
        <v>0</v>
      </c>
      <c r="R26" s="5">
        <f xml:space="preserve"> SUM( VfM_Metrics_2023_Entity[[#This Row],[Total social housing units owned (Period end)]], VfM_Metrics_2023_Entity[[#This Row],[Total social leasehold units owned (Period end)]] )</f>
        <v>5239</v>
      </c>
      <c r="S26" s="84" vm="11249">
        <v>4540</v>
      </c>
      <c r="T26" s="135" vm="11404">
        <v>699</v>
      </c>
      <c r="U26" s="136">
        <f xml:space="preserve"> IFERROR( VfM_Metrics_2023_Entity[[#This Row],[Total non-social housing units developed or newly built units acquired (owned)]] / VfM_Metrics_2023_Entity[[#This Row],[Total social and non-social housing units owned (Period end)]], "n/a" )</f>
        <v>0</v>
      </c>
      <c r="V2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6" s="84" vm="11633">
        <v>0</v>
      </c>
      <c r="X26" s="84" vm="11871">
        <v>0</v>
      </c>
      <c r="Y26" s="84" vm="11910">
        <v>0</v>
      </c>
      <c r="Z2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5349</v>
      </c>
      <c r="AA26" s="84" vm="11249">
        <v>4540</v>
      </c>
      <c r="AB26" s="84" vm="12175">
        <v>699</v>
      </c>
      <c r="AC26" s="84" vm="12068">
        <v>6</v>
      </c>
      <c r="AD26" s="135" vm="12231">
        <v>104</v>
      </c>
      <c r="AE26" s="134">
        <f xml:space="preserve"> IFERROR( VfM_Metrics_2023_Entity[[#This Row],[Total Net Debt]] / VfM_Metrics_2023_Entity[[#This Row],[Net Book Value of Housing Properties2]], "n/a" )</f>
        <v>0.63500286403091899</v>
      </c>
      <c r="AF2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201762</v>
      </c>
      <c r="AG26" s="84" vm="12635">
        <v>0</v>
      </c>
      <c r="AH26" s="84" vm="13014">
        <v>207673</v>
      </c>
      <c r="AI26" s="84" vm="13097">
        <v>5911</v>
      </c>
      <c r="AJ26" s="84" vm="13188">
        <v>0</v>
      </c>
      <c r="AK26" s="84" vm="13271">
        <v>0</v>
      </c>
      <c r="AL26" s="5">
        <f xml:space="preserve"> SUM( VfM_Metrics_2023_Entity[[#This Row],[Tangible fixed assets: Housing properties at cost (Current period)2]], VfM_Metrics_2023_Entity[[#This Row],[Tangible fixed assets Housing properties at valuation (Current period)2]] )</f>
        <v>317734</v>
      </c>
      <c r="AM26" s="84" vm="9936">
        <v>317734</v>
      </c>
      <c r="AN26" s="135" vm="10118">
        <v>0</v>
      </c>
      <c r="AO26" s="137">
        <f xml:space="preserve"> IFERROR( VfM_Metrics_2023_Entity[[#This Row],[EBITDA MRI]] / VfM_Metrics_2023_Entity[[#This Row],[Total interest]], "n/a" )</f>
        <v>1.5963147048127047</v>
      </c>
      <c r="AP2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13168</v>
      </c>
      <c r="AQ26" s="84" vm="13538">
        <v>14506</v>
      </c>
      <c r="AR26" s="84" vm="14157">
        <v>669</v>
      </c>
      <c r="AS26" s="84" vm="14400">
        <v>0</v>
      </c>
      <c r="AT26" s="84" vm="14646">
        <v>234</v>
      </c>
      <c r="AU26" s="84" vm="14890">
        <v>0</v>
      </c>
      <c r="AV26" s="84" vm="13655">
        <v>29</v>
      </c>
      <c r="AW26" s="84" vm="13906">
        <v>4577</v>
      </c>
      <c r="AX26" s="84" vm="14158">
        <v>4113</v>
      </c>
      <c r="AY26" s="5">
        <f xml:space="preserve"> - SUM( VfM_Metrics_2023_Entity[[#This Row],[Interest capitalised]], VfM_Metrics_2023_Entity[[#This Row],[Interest payable and financing costs]] )</f>
        <v>8249</v>
      </c>
      <c r="AZ26" s="84" vm="15212">
        <v>-1911</v>
      </c>
      <c r="BA26" s="135" vm="15382">
        <v>-6338</v>
      </c>
      <c r="BB26" s="138">
        <f xml:space="preserve"> IFERROR( ( VfM_Metrics_2023_Entity[[#This Row],[Total Costs]] / VfM_Metrics_2023_Entity[[#This Row],[Total units for costs]] ) * 1000, "n/a" )</f>
        <v>4567.4008810572686</v>
      </c>
      <c r="BC2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20736</v>
      </c>
      <c r="BD26" s="84" vm="16682">
        <v>3809</v>
      </c>
      <c r="BE26" s="84" vm="16041">
        <v>2026</v>
      </c>
      <c r="BF26" s="84" vm="15665">
        <v>6164</v>
      </c>
      <c r="BG26" s="84" vm="16046">
        <v>3064</v>
      </c>
      <c r="BH26" s="84" vm="17302">
        <v>0</v>
      </c>
      <c r="BI26" s="84" vm="15837">
        <v>0</v>
      </c>
      <c r="BJ26" s="84" vm="15518">
        <v>4577</v>
      </c>
      <c r="BK26" s="84" vm="16376">
        <v>115</v>
      </c>
      <c r="BL26" s="84" vm="16043">
        <v>0</v>
      </c>
      <c r="BM26" s="84" vm="15650">
        <v>0</v>
      </c>
      <c r="BN26" s="84" vm="16047">
        <v>883</v>
      </c>
      <c r="BO26" s="84" vm="16681">
        <v>98</v>
      </c>
      <c r="BP26" s="5" vm="17686">
        <f xml:space="preserve"> VfM_Metrics_2023_Entity[[#This Row],[Total social housing units owned and/or managed at period end]]</f>
        <v>4540</v>
      </c>
      <c r="BQ26" s="135" vm="17686">
        <v>4540</v>
      </c>
      <c r="BR26" s="134">
        <f xml:space="preserve"> IFERROR( VfM_Metrics_2023_Entity[[#This Row],[SHL operating surplus / (deficit)]] / VfM_Metrics_2023_Entity[[#This Row],[Turnover from social housing lettings]], "n/a" )</f>
        <v>0.40549119187430566</v>
      </c>
      <c r="BS26" s="5" vm="17946">
        <f xml:space="preserve"> VfM_Metrics_2023_Entity[[#This Row],[Operating surplus/(deficit) (social housing lettings)]]</f>
        <v>12775</v>
      </c>
      <c r="BT26" s="84" vm="17946">
        <v>12775</v>
      </c>
      <c r="BU26" s="5" vm="18111">
        <f xml:space="preserve"> VfM_Metrics_2023_Entity[[#This Row],[Turnover from social housing lettings]]</f>
        <v>31505</v>
      </c>
      <c r="BV26" s="135" vm="18111">
        <v>31505</v>
      </c>
      <c r="BW26" s="134">
        <f xml:space="preserve"> IFERROR( VfM_Metrics_2023_Entity[[#This Row],[Net operating surplus]] / VfM_Metrics_2023_Entity[[#This Row],[Overall turnover]], "n/a" )</f>
        <v>0.32581412324283593</v>
      </c>
      <c r="BX26" s="5">
        <f xml:space="preserve"> SUM( VfM_Metrics_2023_Entity[[#This Row],[Operating surplus/(deficit) (overall)2]], - VfM_Metrics_2023_Entity[[#This Row],[Gain/(loss) on disposal of fixed assets (housing properties)2]], - VfM_Metrics_2023_Entity[[#This Row],[Gain/(loss) on disposal of fixed assets (other)2]] )</f>
        <v>13837</v>
      </c>
      <c r="BY26" s="84" vm="18223">
        <v>14506</v>
      </c>
      <c r="BZ26" s="84" vm="14157">
        <v>669</v>
      </c>
      <c r="CA26" s="84" vm="14400">
        <v>0</v>
      </c>
      <c r="CB26" s="5" vm="18296">
        <f xml:space="preserve"> VfM_Metrics_2023_Entity[[#This Row],[Turnover (overall)]]</f>
        <v>42469</v>
      </c>
      <c r="CC26" s="135" vm="18296">
        <v>42469</v>
      </c>
      <c r="CD26" s="134">
        <f xml:space="preserve"> IFERROR( VfM_Metrics_2023_Entity[[#This Row],[Operating surplus including from JVs]] / VfM_Metrics_2023_Entity[[#This Row],[Net assets]], "n/a" )</f>
        <v>4.3096430714748335E-2</v>
      </c>
      <c r="CE26" s="5">
        <f xml:space="preserve"> SUM( VfM_Metrics_2023_Entity[[#This Row],[Operating surplus/(deficit) (overall)3]], VfM_Metrics_2023_Entity[[#This Row],[Share of operating surplus/(deficit) in joint ventures or associates]] )</f>
        <v>14506</v>
      </c>
      <c r="CF26" s="84" vm="13538">
        <v>14506</v>
      </c>
      <c r="CG26" s="84" vm="18492">
        <v>0</v>
      </c>
      <c r="CH26" s="5" vm="18682">
        <f xml:space="preserve"> VfM_Metrics_2023_Entity[[#This Row],[Total assets less current liabilities]]</f>
        <v>336594</v>
      </c>
      <c r="CI26" s="135" vm="18682">
        <v>336594</v>
      </c>
      <c r="CJ26" s="140" vm="11249">
        <f xml:space="preserve"> VfM_Metrics_2023_Entity[[#This Row],[Total social housing units owned (Period end)]]</f>
        <v>4540</v>
      </c>
      <c r="CK26" s="141">
        <v>0</v>
      </c>
      <c r="CL26" s="69">
        <f xml:space="preserve"> -- ( VfM_Metrics_2023_Entity[[#This Row],[% Supported housing (excl. HOP)]] &gt; 0.3 )</f>
        <v>0</v>
      </c>
      <c r="CM26" s="9">
        <v>6.4061790095411172E-2</v>
      </c>
      <c r="CN26" s="69">
        <f xml:space="preserve"> -- ( VfM_Metrics_2023_Entity[[#This Row],[% Housing for older people]] &gt; 0.3 )</f>
        <v>0</v>
      </c>
      <c r="CO26" s="9">
        <f xml:space="preserve"> VfM_Metrics_2023_Entity[[#This Row],[% Supported housing (excl. HOP)]] + VfM_Metrics_2023_Entity[[#This Row],[% Housing for older people]]</f>
        <v>6.4061790095411172E-2</v>
      </c>
      <c r="CP26" s="69">
        <f xml:space="preserve"> -- ( VfM_Metrics_2023_Entity[[#This Row],[SH specialist in RSH analysis]] + VfM_Metrics_2023_Entity[[#This Row],[OP specialist in RSH analysis]] &gt; 0 )</f>
        <v>0</v>
      </c>
      <c r="CQ26" s="142">
        <f xml:space="preserve"> -- ( VfM_Metrics_2023_Entity[[#This Row],[% SH and OP]] &gt; 0.3 )</f>
        <v>0</v>
      </c>
      <c r="CR26" s="143" t="s">
        <v>143</v>
      </c>
      <c r="CS26" s="120"/>
      <c r="CT26" s="144" t="s">
        <v>151</v>
      </c>
      <c r="CU2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26" s="146">
        <v>0</v>
      </c>
      <c r="CW26" s="146">
        <v>0</v>
      </c>
      <c r="CX26" s="146">
        <v>0</v>
      </c>
      <c r="CY26" s="146">
        <v>0</v>
      </c>
      <c r="CZ26" s="146">
        <v>0</v>
      </c>
      <c r="DA26" s="146">
        <v>1</v>
      </c>
      <c r="DB26" s="146">
        <v>0</v>
      </c>
      <c r="DC26" s="146">
        <v>0</v>
      </c>
      <c r="DD26" s="146">
        <v>0</v>
      </c>
      <c r="DE26" s="126">
        <v>1.0113701298544711</v>
      </c>
    </row>
    <row r="27" spans="1:109" x14ac:dyDescent="0.25">
      <c r="A27" s="4" t="s" vm="284">
        <v>166</v>
      </c>
      <c r="B27" s="4" t="s" vm="9323">
        <v>167</v>
      </c>
      <c r="C27" s="121" vm="18859">
        <v>45016</v>
      </c>
      <c r="D27" s="68">
        <f>IFERROR( VfM_Metrics_2023_Entity[[#This Row],[Reinvestment Spend]] / VfM_Metrics_2023_Entity[[#This Row],[Net Book Value of Housing Properties]], "n/a" )</f>
        <v>0.1536477570879079</v>
      </c>
      <c r="E2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48254</v>
      </c>
      <c r="F27" s="84" vm="10732">
        <v>17353</v>
      </c>
      <c r="G27" s="84" vm="9704">
        <v>5158</v>
      </c>
      <c r="H27" s="84" vm="9745">
        <v>25743</v>
      </c>
      <c r="I27" s="84" vm="9472">
        <v>0</v>
      </c>
      <c r="J27" s="84" vm="9719">
        <v>0</v>
      </c>
      <c r="K27" s="5">
        <f xml:space="preserve"> SUM( VfM_Metrics_2023_Entity[[#This Row],[Tangible fixed assets: Housing properties at cost (Current period)]],VfM_Metrics_2023_Entity[[#This Row],[Tangible fixed assets Housing properties at valuation (Current period)]] )</f>
        <v>314056</v>
      </c>
      <c r="L27" s="84" vm="9954">
        <v>314056</v>
      </c>
      <c r="M27" s="84" vm="10393">
        <v>0</v>
      </c>
      <c r="N27" s="134">
        <f xml:space="preserve"> IFERROR( VfM_Metrics_2023_Entity[[#This Row],[Total social units developed or newly built units acquired in-year]] / VfM_Metrics_2023_Entity[[#This Row],[Social housing units owned (period end)]], "n/a" )</f>
        <v>5.4776511831726559E-3</v>
      </c>
      <c r="O27" s="5">
        <f xml:space="preserve"> SUM( VfM_Metrics_2023_Entity[[#This Row],[Total social units developed or newly built units acquired in-year (owned)]], VfM_Metrics_2023_Entity[[#This Row],[Total social leasehold units developed or newly built units acquired in-year (owned)]] )</f>
        <v>100</v>
      </c>
      <c r="P27" s="84" vm="11042">
        <v>100</v>
      </c>
      <c r="Q27" s="84" vm="11170">
        <v>0</v>
      </c>
      <c r="R27" s="5">
        <f xml:space="preserve"> SUM( VfM_Metrics_2023_Entity[[#This Row],[Total social housing units owned (Period end)]], VfM_Metrics_2023_Entity[[#This Row],[Total social leasehold units owned (Period end)]] )</f>
        <v>18256</v>
      </c>
      <c r="S27" s="84" vm="11258">
        <v>18044</v>
      </c>
      <c r="T27" s="135" vm="11422">
        <v>212</v>
      </c>
      <c r="U27" s="136">
        <f xml:space="preserve"> IFERROR( VfM_Metrics_2023_Entity[[#This Row],[Total non-social housing units developed or newly built units acquired (owned)]] / VfM_Metrics_2023_Entity[[#This Row],[Total social and non-social housing units owned (Period end)]], "n/a" )</f>
        <v>0</v>
      </c>
      <c r="V2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7" s="84" vm="11649">
        <v>0</v>
      </c>
      <c r="X27" s="84" vm="11684">
        <v>0</v>
      </c>
      <c r="Y27" s="84" vm="11713">
        <v>0</v>
      </c>
      <c r="Z2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18256</v>
      </c>
      <c r="AA27" s="84" vm="11257">
        <v>18044</v>
      </c>
      <c r="AB27" s="84" vm="12420">
        <v>212</v>
      </c>
      <c r="AC27" s="84" vm="12328">
        <v>0</v>
      </c>
      <c r="AD27" s="135" vm="12476">
        <v>0</v>
      </c>
      <c r="AE27" s="134">
        <f xml:space="preserve"> IFERROR( VfM_Metrics_2023_Entity[[#This Row],[Total Net Debt]] / VfM_Metrics_2023_Entity[[#This Row],[Net Book Value of Housing Properties2]], "n/a" )</f>
        <v>0.49274651654482005</v>
      </c>
      <c r="AF2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154750</v>
      </c>
      <c r="AG27" s="84" vm="12655">
        <v>0</v>
      </c>
      <c r="AH27" s="84" vm="12714">
        <v>159065</v>
      </c>
      <c r="AI27" s="84" vm="12834">
        <v>4315</v>
      </c>
      <c r="AJ27" s="84" vm="13014">
        <v>0</v>
      </c>
      <c r="AK27" s="84" vm="13098">
        <v>0</v>
      </c>
      <c r="AL27" s="5">
        <f xml:space="preserve"> SUM( VfM_Metrics_2023_Entity[[#This Row],[Tangible fixed assets: Housing properties at cost (Current period)2]], VfM_Metrics_2023_Entity[[#This Row],[Tangible fixed assets Housing properties at valuation (Current period)2]] )</f>
        <v>314056</v>
      </c>
      <c r="AM27" s="84" vm="9954">
        <v>314056</v>
      </c>
      <c r="AN27" s="135" vm="13427">
        <v>0</v>
      </c>
      <c r="AO27" s="137">
        <f xml:space="preserve"> IFERROR( VfM_Metrics_2023_Entity[[#This Row],[EBITDA MRI]] / VfM_Metrics_2023_Entity[[#This Row],[Total interest]], "n/a" )</f>
        <v>-0.79462494985960686</v>
      </c>
      <c r="AP2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-5943</v>
      </c>
      <c r="AQ27" s="84" vm="13563">
        <v>13440</v>
      </c>
      <c r="AR27" s="84" vm="14401">
        <v>3248</v>
      </c>
      <c r="AS27" s="84" vm="14647">
        <v>87</v>
      </c>
      <c r="AT27" s="84" vm="14891">
        <v>405</v>
      </c>
      <c r="AU27" s="84" vm="13656">
        <v>0</v>
      </c>
      <c r="AV27" s="84" vm="13907">
        <v>626</v>
      </c>
      <c r="AW27" s="84" vm="14159">
        <v>25743</v>
      </c>
      <c r="AX27" s="84" vm="14402">
        <v>9474</v>
      </c>
      <c r="AY27" s="5">
        <f xml:space="preserve"> - SUM( VfM_Metrics_2023_Entity[[#This Row],[Interest capitalised]], VfM_Metrics_2023_Entity[[#This Row],[Interest payable and financing costs]] )</f>
        <v>7479</v>
      </c>
      <c r="AZ27" s="84" vm="15233">
        <v>0</v>
      </c>
      <c r="BA27" s="135" vm="15409">
        <v>-7479</v>
      </c>
      <c r="BB27" s="138">
        <f xml:space="preserve"> IFERROR( ( VfM_Metrics_2023_Entity[[#This Row],[Total Costs]] / VfM_Metrics_2023_Entity[[#This Row],[Total units for costs]] ) * 1000, "n/a" )</f>
        <v>4370.9820438927072</v>
      </c>
      <c r="BC2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78870</v>
      </c>
      <c r="BD27" s="84" vm="17614">
        <v>24646</v>
      </c>
      <c r="BE27" s="84" vm="15713">
        <v>995</v>
      </c>
      <c r="BF27" s="84" vm="16377">
        <v>18574</v>
      </c>
      <c r="BG27" s="84" vm="15667">
        <v>4220</v>
      </c>
      <c r="BH27" s="84" vm="16845">
        <v>3441</v>
      </c>
      <c r="BI27" s="84" vm="17009">
        <v>0</v>
      </c>
      <c r="BJ27" s="84" vm="14159">
        <v>25743</v>
      </c>
      <c r="BK27" s="84" vm="16048">
        <v>0</v>
      </c>
      <c r="BL27" s="84" vm="16369">
        <v>289</v>
      </c>
      <c r="BM27" s="84" vm="16378">
        <v>962</v>
      </c>
      <c r="BN27" s="84" vm="15652">
        <v>0</v>
      </c>
      <c r="BO27" s="84" vm="15714">
        <v>0</v>
      </c>
      <c r="BP27" s="5" vm="17688">
        <f xml:space="preserve"> VfM_Metrics_2023_Entity[[#This Row],[Total social housing units owned and/or managed at period end]]</f>
        <v>18044</v>
      </c>
      <c r="BQ27" s="135" vm="17688">
        <v>18044</v>
      </c>
      <c r="BR27" s="134">
        <f xml:space="preserve"> IFERROR( VfM_Metrics_2023_Entity[[#This Row],[SHL operating surplus / (deficit)]] / VfM_Metrics_2023_Entity[[#This Row],[Turnover from social housing lettings]], "n/a" )</f>
        <v>0.14326878257553285</v>
      </c>
      <c r="BS27" s="5" vm="17982">
        <f xml:space="preserve"> VfM_Metrics_2023_Entity[[#This Row],[Operating surplus/(deficit) (social housing lettings)]]</f>
        <v>10143</v>
      </c>
      <c r="BT27" s="84" vm="17982">
        <v>10143</v>
      </c>
      <c r="BU27" s="5" vm="18161">
        <f xml:space="preserve"> VfM_Metrics_2023_Entity[[#This Row],[Turnover from social housing lettings]]</f>
        <v>70797</v>
      </c>
      <c r="BV27" s="135" vm="18161">
        <v>70797</v>
      </c>
      <c r="BW27" s="134">
        <f xml:space="preserve"> IFERROR( VfM_Metrics_2023_Entity[[#This Row],[Net operating surplus]] / VfM_Metrics_2023_Entity[[#This Row],[Overall turnover]], "n/a" )</f>
        <v>0.13665562242207047</v>
      </c>
      <c r="BX27" s="5">
        <f xml:space="preserve"> SUM( VfM_Metrics_2023_Entity[[#This Row],[Operating surplus/(deficit) (overall)2]], - VfM_Metrics_2023_Entity[[#This Row],[Gain/(loss) on disposal of fixed assets (housing properties)2]], - VfM_Metrics_2023_Entity[[#This Row],[Gain/(loss) on disposal of fixed assets (other)2]] )</f>
        <v>10105</v>
      </c>
      <c r="BY27" s="84" vm="13563">
        <v>13440</v>
      </c>
      <c r="BZ27" s="84" vm="14401">
        <v>3248</v>
      </c>
      <c r="CA27" s="84" vm="14647">
        <v>87</v>
      </c>
      <c r="CB27" s="5" vm="18341">
        <f xml:space="preserve"> VfM_Metrics_2023_Entity[[#This Row],[Turnover (overall)]]</f>
        <v>73945</v>
      </c>
      <c r="CC27" s="135" vm="18341">
        <v>73945</v>
      </c>
      <c r="CD27" s="134">
        <f xml:space="preserve"> IFERROR( VfM_Metrics_2023_Entity[[#This Row],[Operating surplus including from JVs]] / VfM_Metrics_2023_Entity[[#This Row],[Net assets]], "n/a" )</f>
        <v>4.1737963845731023E-2</v>
      </c>
      <c r="CE27" s="5">
        <f xml:space="preserve"> SUM( VfM_Metrics_2023_Entity[[#This Row],[Operating surplus/(deficit) (overall)3]], VfM_Metrics_2023_Entity[[#This Row],[Share of operating surplus/(deficit) in joint ventures or associates]] )</f>
        <v>13440</v>
      </c>
      <c r="CF27" s="84" vm="13563">
        <v>13440</v>
      </c>
      <c r="CG27" s="84" vm="18509">
        <v>0</v>
      </c>
      <c r="CH27" s="5" vm="18706">
        <f xml:space="preserve"> VfM_Metrics_2023_Entity[[#This Row],[Total assets less current liabilities]]</f>
        <v>322009</v>
      </c>
      <c r="CI27" s="135" vm="18706">
        <v>322009</v>
      </c>
      <c r="CJ27" s="140" vm="11258">
        <f xml:space="preserve"> VfM_Metrics_2023_Entity[[#This Row],[Total social housing units owned (Period end)]]</f>
        <v>18044</v>
      </c>
      <c r="CK27" s="141">
        <v>0</v>
      </c>
      <c r="CL27" s="69">
        <f xml:space="preserve"> -- ( VfM_Metrics_2023_Entity[[#This Row],[% Supported housing (excl. HOP)]] &gt; 0.3 )</f>
        <v>0</v>
      </c>
      <c r="CM27" s="9">
        <v>0</v>
      </c>
      <c r="CN27" s="69">
        <f xml:space="preserve"> -- ( VfM_Metrics_2023_Entity[[#This Row],[% Housing for older people]] &gt; 0.3 )</f>
        <v>0</v>
      </c>
      <c r="CO27" s="9">
        <f xml:space="preserve"> VfM_Metrics_2023_Entity[[#This Row],[% Supported housing (excl. HOP)]] + VfM_Metrics_2023_Entity[[#This Row],[% Housing for older people]]</f>
        <v>0</v>
      </c>
      <c r="CP27" s="69">
        <f xml:space="preserve"> -- ( VfM_Metrics_2023_Entity[[#This Row],[SH specialist in RSH analysis]] + VfM_Metrics_2023_Entity[[#This Row],[OP specialist in RSH analysis]] &gt; 0 )</f>
        <v>0</v>
      </c>
      <c r="CQ27" s="142">
        <f xml:space="preserve"> -- ( VfM_Metrics_2023_Entity[[#This Row],[% SH and OP]] &gt; 0.3 )</f>
        <v>0</v>
      </c>
      <c r="CR27" s="143" t="s">
        <v>168</v>
      </c>
      <c r="CS27" s="120">
        <v>42107</v>
      </c>
      <c r="CT27" s="144" t="s">
        <v>169</v>
      </c>
      <c r="CU2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27" s="146">
        <v>0</v>
      </c>
      <c r="CW27" s="146">
        <v>0</v>
      </c>
      <c r="CX27" s="146">
        <v>0</v>
      </c>
      <c r="CY27" s="146">
        <v>0</v>
      </c>
      <c r="CZ27" s="146">
        <v>0</v>
      </c>
      <c r="DA27" s="146">
        <v>0</v>
      </c>
      <c r="DB27" s="146">
        <v>1</v>
      </c>
      <c r="DC27" s="146">
        <v>0</v>
      </c>
      <c r="DD27" s="146">
        <v>0</v>
      </c>
      <c r="DE27" s="126">
        <v>0.90654753410084521</v>
      </c>
    </row>
    <row r="28" spans="1:109" x14ac:dyDescent="0.25">
      <c r="A28" s="4" t="s" vm="291">
        <v>170</v>
      </c>
      <c r="B28" s="4" t="s" vm="10357">
        <v>171</v>
      </c>
      <c r="C28" s="121" vm="18877">
        <v>45016</v>
      </c>
      <c r="D28" s="68">
        <f>IFERROR( VfM_Metrics_2023_Entity[[#This Row],[Reinvestment Spend]] / VfM_Metrics_2023_Entity[[#This Row],[Net Book Value of Housing Properties]], "n/a" )</f>
        <v>5.449823199924899E-2</v>
      </c>
      <c r="E2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26124</v>
      </c>
      <c r="F28" s="84" vm="9434">
        <v>9479</v>
      </c>
      <c r="G28" s="84" vm="9651">
        <v>1644</v>
      </c>
      <c r="H28" s="84" vm="10193">
        <v>14582</v>
      </c>
      <c r="I28" s="84" vm="9746">
        <v>419</v>
      </c>
      <c r="J28" s="84" vm="9473">
        <v>0</v>
      </c>
      <c r="K28" s="5">
        <f xml:space="preserve"> SUM( VfM_Metrics_2023_Entity[[#This Row],[Tangible fixed assets: Housing properties at cost (Current period)]],VfM_Metrics_2023_Entity[[#This Row],[Tangible fixed assets Housing properties at valuation (Current period)]] )</f>
        <v>479355</v>
      </c>
      <c r="L28" s="84" vm="10450">
        <v>479355</v>
      </c>
      <c r="M28" s="84" vm="10276">
        <v>0</v>
      </c>
      <c r="N28" s="134">
        <f xml:space="preserve"> IFERROR( VfM_Metrics_2023_Entity[[#This Row],[Total social units developed or newly built units acquired in-year]] / VfM_Metrics_2023_Entity[[#This Row],[Social housing units owned (period end)]], "n/a" )</f>
        <v>8.0143705955506434E-3</v>
      </c>
      <c r="O28" s="5">
        <f xml:space="preserve"> SUM( VfM_Metrics_2023_Entity[[#This Row],[Total social units developed or newly built units acquired in-year (owned)]], VfM_Metrics_2023_Entity[[#This Row],[Total social leasehold units developed or newly built units acquired in-year (owned)]] )</f>
        <v>116</v>
      </c>
      <c r="P28" s="84" vm="11062">
        <v>116</v>
      </c>
      <c r="Q28" s="84">
        <v>0</v>
      </c>
      <c r="R28" s="5">
        <f xml:space="preserve"> SUM( VfM_Metrics_2023_Entity[[#This Row],[Total social housing units owned (Period end)]], VfM_Metrics_2023_Entity[[#This Row],[Total social leasehold units owned (Period end)]] )</f>
        <v>14474</v>
      </c>
      <c r="S28" s="84" vm="11275">
        <v>13715</v>
      </c>
      <c r="T28" s="135" vm="11436">
        <v>759</v>
      </c>
      <c r="U28" s="136">
        <f xml:space="preserve"> IFERROR( VfM_Metrics_2023_Entity[[#This Row],[Total non-social housing units developed or newly built units acquired (owned)]] / VfM_Metrics_2023_Entity[[#This Row],[Total social and non-social housing units owned (Period end)]], "n/a" )</f>
        <v>0</v>
      </c>
      <c r="V2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8" s="84">
        <v>0</v>
      </c>
      <c r="X28" s="84">
        <v>0</v>
      </c>
      <c r="Y28" s="84" vm="11819">
        <v>0</v>
      </c>
      <c r="Z2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14485</v>
      </c>
      <c r="AA28" s="84" vm="12037">
        <v>13715</v>
      </c>
      <c r="AB28" s="84" vm="12548">
        <v>759</v>
      </c>
      <c r="AC28" s="84" vm="12069">
        <v>11</v>
      </c>
      <c r="AD28" s="135" vm="12232">
        <v>0</v>
      </c>
      <c r="AE28" s="134">
        <f xml:space="preserve"> IFERROR( VfM_Metrics_2023_Entity[[#This Row],[Total Net Debt]] / VfM_Metrics_2023_Entity[[#This Row],[Net Book Value of Housing Properties2]], "n/a" )</f>
        <v>0.24140772496375337</v>
      </c>
      <c r="AF2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115720</v>
      </c>
      <c r="AG28" s="84" vm="12684">
        <v>2206</v>
      </c>
      <c r="AH28" s="84" vm="13015">
        <v>152011</v>
      </c>
      <c r="AI28" s="84" vm="13272">
        <v>38497</v>
      </c>
      <c r="AJ28" s="84" vm="12715">
        <v>0</v>
      </c>
      <c r="AK28" s="84" vm="12835">
        <v>0</v>
      </c>
      <c r="AL28" s="5">
        <f xml:space="preserve"> SUM( VfM_Metrics_2023_Entity[[#This Row],[Tangible fixed assets: Housing properties at cost (Current period)2]], VfM_Metrics_2023_Entity[[#This Row],[Tangible fixed assets Housing properties at valuation (Current period)2]] )</f>
        <v>479355</v>
      </c>
      <c r="AM28" s="84" vm="9974">
        <v>479355</v>
      </c>
      <c r="AN28" s="135" vm="13414">
        <v>0</v>
      </c>
      <c r="AO28" s="137">
        <f xml:space="preserve"> IFERROR( VfM_Metrics_2023_Entity[[#This Row],[EBITDA MRI]] / VfM_Metrics_2023_Entity[[#This Row],[Total interest]], "n/a" )</f>
        <v>2.2569412486577698</v>
      </c>
      <c r="AP2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14713</v>
      </c>
      <c r="AQ28" s="84" vm="13593">
        <v>23674</v>
      </c>
      <c r="AR28" s="84" vm="14648">
        <v>2375</v>
      </c>
      <c r="AS28" s="84" vm="14892">
        <v>0</v>
      </c>
      <c r="AT28" s="84" vm="13657">
        <v>4330</v>
      </c>
      <c r="AU28" s="84" vm="13908">
        <v>0</v>
      </c>
      <c r="AV28" s="84" vm="14160">
        <v>536</v>
      </c>
      <c r="AW28" s="84" vm="14403">
        <v>14582</v>
      </c>
      <c r="AX28" s="84" vm="14649">
        <v>11790</v>
      </c>
      <c r="AY28" s="5">
        <f xml:space="preserve"> - SUM( VfM_Metrics_2023_Entity[[#This Row],[Interest capitalised]], VfM_Metrics_2023_Entity[[#This Row],[Interest payable and financing costs]] )</f>
        <v>6519</v>
      </c>
      <c r="AZ28" s="84" vm="15271">
        <v>-419</v>
      </c>
      <c r="BA28" s="135" vm="15445">
        <v>-6100</v>
      </c>
      <c r="BB28" s="138">
        <f xml:space="preserve"> IFERROR( ( VfM_Metrics_2023_Entity[[#This Row],[Total Costs]] / VfM_Metrics_2023_Entity[[#This Row],[Total units for costs]] ) * 1000, "n/a" )</f>
        <v>4100.8464153946325</v>
      </c>
      <c r="BC2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56686</v>
      </c>
      <c r="BD28" s="84" vm="15554">
        <v>10281</v>
      </c>
      <c r="BE28" s="84" vm="15837">
        <v>5977</v>
      </c>
      <c r="BF28" s="84" vm="16049">
        <v>12902</v>
      </c>
      <c r="BG28" s="84" vm="15715">
        <v>5697</v>
      </c>
      <c r="BH28" s="84" vm="15669">
        <v>1756</v>
      </c>
      <c r="BI28" s="84" vm="16600">
        <v>330</v>
      </c>
      <c r="BJ28" s="84" vm="16683">
        <v>14582</v>
      </c>
      <c r="BK28" s="84" vm="16045">
        <v>3038</v>
      </c>
      <c r="BL28" s="84" vm="16050">
        <v>1310</v>
      </c>
      <c r="BM28" s="84" vm="15716">
        <v>403</v>
      </c>
      <c r="BN28" s="84" vm="15765">
        <v>410</v>
      </c>
      <c r="BO28" s="84">
        <v>0</v>
      </c>
      <c r="BP28" s="5" vm="17724">
        <f xml:space="preserve"> VfM_Metrics_2023_Entity[[#This Row],[Total social housing units owned and/or managed at period end]]</f>
        <v>13823</v>
      </c>
      <c r="BQ28" s="135" vm="17724">
        <v>13823</v>
      </c>
      <c r="BR28" s="134">
        <f xml:space="preserve"> IFERROR( VfM_Metrics_2023_Entity[[#This Row],[SHL operating surplus / (deficit)]] / VfM_Metrics_2023_Entity[[#This Row],[Turnover from social housing lettings]], "n/a" )</f>
        <v>0.28320705331312851</v>
      </c>
      <c r="BS28" s="5" vm="18009">
        <f xml:space="preserve"> VfM_Metrics_2023_Entity[[#This Row],[Operating surplus/(deficit) (social housing lettings)]]</f>
        <v>20558</v>
      </c>
      <c r="BT28" s="84" vm="18009">
        <v>20558</v>
      </c>
      <c r="BU28" s="5" vm="18156">
        <f xml:space="preserve"> VfM_Metrics_2023_Entity[[#This Row],[Turnover from social housing lettings]]</f>
        <v>72590</v>
      </c>
      <c r="BV28" s="135" vm="18156">
        <v>72590</v>
      </c>
      <c r="BW28" s="134">
        <f xml:space="preserve"> IFERROR( VfM_Metrics_2023_Entity[[#This Row],[Net operating surplus]] / VfM_Metrics_2023_Entity[[#This Row],[Overall turnover]], "n/a" )</f>
        <v>0.26784119918009081</v>
      </c>
      <c r="BX28" s="5">
        <f xml:space="preserve"> SUM( VfM_Metrics_2023_Entity[[#This Row],[Operating surplus/(deficit) (overall)2]], - VfM_Metrics_2023_Entity[[#This Row],[Gain/(loss) on disposal of fixed assets (housing properties)2]], - VfM_Metrics_2023_Entity[[#This Row],[Gain/(loss) on disposal of fixed assets (other)2]] )</f>
        <v>21299</v>
      </c>
      <c r="BY28" s="84" vm="13593">
        <v>23674</v>
      </c>
      <c r="BZ28" s="84" vm="14648">
        <v>2375</v>
      </c>
      <c r="CA28" s="84" vm="14892">
        <v>0</v>
      </c>
      <c r="CB28" s="5" vm="18320">
        <f xml:space="preserve"> VfM_Metrics_2023_Entity[[#This Row],[Turnover (overall)]]</f>
        <v>79521</v>
      </c>
      <c r="CC28" s="135" vm="18320">
        <v>79521</v>
      </c>
      <c r="CD28" s="134">
        <f xml:space="preserve"> IFERROR( VfM_Metrics_2023_Entity[[#This Row],[Operating surplus including from JVs]] / VfM_Metrics_2023_Entity[[#This Row],[Net assets]], "n/a" )</f>
        <v>4.5397365978630214E-2</v>
      </c>
      <c r="CE28" s="5">
        <f xml:space="preserve"> SUM( VfM_Metrics_2023_Entity[[#This Row],[Operating surplus/(deficit) (overall)3]], VfM_Metrics_2023_Entity[[#This Row],[Share of operating surplus/(deficit) in joint ventures or associates]] )</f>
        <v>23674</v>
      </c>
      <c r="CF28" s="84" vm="13593">
        <v>23674</v>
      </c>
      <c r="CG28" s="84" vm="18529">
        <v>0</v>
      </c>
      <c r="CH28" s="5" vm="18734">
        <f xml:space="preserve"> VfM_Metrics_2023_Entity[[#This Row],[Total assets less current liabilities]]</f>
        <v>521484</v>
      </c>
      <c r="CI28" s="135" vm="18734">
        <v>521484</v>
      </c>
      <c r="CJ28" s="140" vm="11275">
        <f xml:space="preserve"> VfM_Metrics_2023_Entity[[#This Row],[Total social housing units owned (Period end)]]</f>
        <v>13715</v>
      </c>
      <c r="CK28" s="141">
        <v>4.2495808732414896E-2</v>
      </c>
      <c r="CL28" s="69">
        <f xml:space="preserve"> -- ( VfM_Metrics_2023_Entity[[#This Row],[% Supported housing (excl. HOP)]] &gt; 0.3 )</f>
        <v>0</v>
      </c>
      <c r="CM28" s="9">
        <v>0.18667541365988774</v>
      </c>
      <c r="CN28" s="69">
        <f xml:space="preserve"> -- ( VfM_Metrics_2023_Entity[[#This Row],[% Housing for older people]] &gt; 0.3 )</f>
        <v>0</v>
      </c>
      <c r="CO28" s="9">
        <f xml:space="preserve"> VfM_Metrics_2023_Entity[[#This Row],[% Supported housing (excl. HOP)]] + VfM_Metrics_2023_Entity[[#This Row],[% Housing for older people]]</f>
        <v>0.22917122239230264</v>
      </c>
      <c r="CP28" s="69">
        <f xml:space="preserve"> -- ( VfM_Metrics_2023_Entity[[#This Row],[SH specialist in RSH analysis]] + VfM_Metrics_2023_Entity[[#This Row],[OP specialist in RSH analysis]] &gt; 0 )</f>
        <v>0</v>
      </c>
      <c r="CQ28" s="142">
        <f xml:space="preserve"> -- ( VfM_Metrics_2023_Entity[[#This Row],[% SH and OP]] &gt; 0.3 )</f>
        <v>0</v>
      </c>
      <c r="CR28" s="143" t="s">
        <v>143</v>
      </c>
      <c r="CS28" s="120"/>
      <c r="CT28" s="144" t="s">
        <v>151</v>
      </c>
      <c r="CU2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28" s="146">
        <v>0</v>
      </c>
      <c r="CW28" s="146">
        <v>0</v>
      </c>
      <c r="CX28" s="146">
        <v>0</v>
      </c>
      <c r="CY28" s="146">
        <v>0</v>
      </c>
      <c r="CZ28" s="146">
        <v>0</v>
      </c>
      <c r="DA28" s="146">
        <v>0</v>
      </c>
      <c r="DB28" s="146">
        <v>1</v>
      </c>
      <c r="DC28" s="146">
        <v>0</v>
      </c>
      <c r="DD28" s="146">
        <v>0</v>
      </c>
      <c r="DE28" s="126">
        <v>0.90654753410084521</v>
      </c>
    </row>
    <row r="29" spans="1:109" x14ac:dyDescent="0.25">
      <c r="A29" s="4" t="s" vm="285">
        <v>172</v>
      </c>
      <c r="B29" s="4" t="s" vm="9281">
        <v>173</v>
      </c>
      <c r="C29" s="121" vm="18810">
        <v>45016</v>
      </c>
      <c r="D29" s="68">
        <f>IFERROR( VfM_Metrics_2023_Entity[[#This Row],[Reinvestment Spend]] / VfM_Metrics_2023_Entity[[#This Row],[Net Book Value of Housing Properties]], "n/a" )</f>
        <v>0.10669497060744611</v>
      </c>
      <c r="E2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45738</v>
      </c>
      <c r="F29" s="84" vm="10716">
        <v>0</v>
      </c>
      <c r="G29" s="84" vm="10872">
        <v>30386</v>
      </c>
      <c r="H29" s="84" vm="9595">
        <v>14448</v>
      </c>
      <c r="I29" s="84" vm="10209">
        <v>904</v>
      </c>
      <c r="J29" s="84" vm="9705">
        <v>0</v>
      </c>
      <c r="K29" s="5">
        <f xml:space="preserve"> SUM( VfM_Metrics_2023_Entity[[#This Row],[Tangible fixed assets: Housing properties at cost (Current period)]],VfM_Metrics_2023_Entity[[#This Row],[Tangible fixed assets Housing properties at valuation (Current period)]] )</f>
        <v>428680</v>
      </c>
      <c r="L29" s="84" vm="10718">
        <v>428680</v>
      </c>
      <c r="M29" s="84" vm="10081">
        <v>0</v>
      </c>
      <c r="N29" s="134">
        <f xml:space="preserve"> IFERROR( VfM_Metrics_2023_Entity[[#This Row],[Total social units developed or newly built units acquired in-year]] / VfM_Metrics_2023_Entity[[#This Row],[Social housing units owned (period end)]], "n/a" )</f>
        <v>1.0319314641744548E-2</v>
      </c>
      <c r="O29" s="5">
        <f xml:space="preserve"> SUM( VfM_Metrics_2023_Entity[[#This Row],[Total social units developed or newly built units acquired in-year (owned)]], VfM_Metrics_2023_Entity[[#This Row],[Total social leasehold units developed or newly built units acquired in-year (owned)]] )</f>
        <v>159</v>
      </c>
      <c r="P29" s="84" vm="10992">
        <v>159</v>
      </c>
      <c r="Q29" s="84" vm="11106">
        <v>0</v>
      </c>
      <c r="R29" s="5">
        <f xml:space="preserve"> SUM( VfM_Metrics_2023_Entity[[#This Row],[Total social housing units owned (Period end)]], VfM_Metrics_2023_Entity[[#This Row],[Total social leasehold units owned (Period end)]] )</f>
        <v>15408</v>
      </c>
      <c r="S29" s="84" vm="11246">
        <v>15130</v>
      </c>
      <c r="T29" s="135" vm="11405">
        <v>278</v>
      </c>
      <c r="U29" s="136">
        <f xml:space="preserve"> IFERROR( VfM_Metrics_2023_Entity[[#This Row],[Total non-social housing units developed or newly built units acquired (owned)]] / VfM_Metrics_2023_Entity[[#This Row],[Total social and non-social housing units owned (Period end)]], "n/a" )</f>
        <v>3.2417012448132782E-3</v>
      </c>
      <c r="V2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50</v>
      </c>
      <c r="W29" s="84" vm="11585">
        <v>0</v>
      </c>
      <c r="X29" s="84" vm="11685">
        <v>0</v>
      </c>
      <c r="Y29" s="84" vm="11715">
        <v>50</v>
      </c>
      <c r="Z2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15424</v>
      </c>
      <c r="AA29" s="84" vm="11985">
        <v>15130</v>
      </c>
      <c r="AB29" s="84" vm="12176">
        <v>278</v>
      </c>
      <c r="AC29" s="84" vm="12070">
        <v>3</v>
      </c>
      <c r="AD29" s="135" vm="12233">
        <v>13</v>
      </c>
      <c r="AE29" s="134">
        <f xml:space="preserve"> IFERROR( VfM_Metrics_2023_Entity[[#This Row],[Total Net Debt]] / VfM_Metrics_2023_Entity[[#This Row],[Net Book Value of Housing Properties2]], "n/a" )</f>
        <v>0.47311980964822248</v>
      </c>
      <c r="AF2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202817</v>
      </c>
      <c r="AG29" s="84" vm="12583">
        <v>0</v>
      </c>
      <c r="AH29" s="84" vm="12716">
        <v>230132</v>
      </c>
      <c r="AI29" s="84" vm="12836">
        <v>27315</v>
      </c>
      <c r="AJ29" s="84" vm="13015">
        <v>0</v>
      </c>
      <c r="AK29" s="84" vm="13099">
        <v>0</v>
      </c>
      <c r="AL29" s="5">
        <f xml:space="preserve"> SUM( VfM_Metrics_2023_Entity[[#This Row],[Tangible fixed assets: Housing properties at cost (Current period)2]], VfM_Metrics_2023_Entity[[#This Row],[Tangible fixed assets Housing properties at valuation (Current period)2]] )</f>
        <v>428680</v>
      </c>
      <c r="AM29" s="84" vm="9914">
        <v>428680</v>
      </c>
      <c r="AN29" s="135" vm="10081">
        <v>0</v>
      </c>
      <c r="AO29" s="137">
        <f xml:space="preserve"> IFERROR( VfM_Metrics_2023_Entity[[#This Row],[EBITDA MRI]] / VfM_Metrics_2023_Entity[[#This Row],[Total interest]], "n/a" )</f>
        <v>0.96903439309774253</v>
      </c>
      <c r="AP2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8199</v>
      </c>
      <c r="AQ29" s="84" vm="13468">
        <v>15125</v>
      </c>
      <c r="AR29" s="84" vm="13658">
        <v>832</v>
      </c>
      <c r="AS29" s="84" vm="13909">
        <v>0</v>
      </c>
      <c r="AT29" s="84" vm="14161">
        <v>1356</v>
      </c>
      <c r="AU29" s="84" vm="14404">
        <v>148</v>
      </c>
      <c r="AV29" s="84" vm="14651">
        <v>210</v>
      </c>
      <c r="AW29" s="84" vm="14893">
        <v>14448</v>
      </c>
      <c r="AX29" s="84" vm="13659">
        <v>9648</v>
      </c>
      <c r="AY29" s="5">
        <f xml:space="preserve"> - SUM( VfM_Metrics_2023_Entity[[#This Row],[Interest capitalised]], VfM_Metrics_2023_Entity[[#This Row],[Interest payable and financing costs]] )</f>
        <v>8461</v>
      </c>
      <c r="AZ29" s="84" vm="15146">
        <v>-1183</v>
      </c>
      <c r="BA29" s="135" vm="15313">
        <v>-7278</v>
      </c>
      <c r="BB29" s="138">
        <f xml:space="preserve"> IFERROR( ( VfM_Metrics_2023_Entity[[#This Row],[Total Costs]] / VfM_Metrics_2023_Entity[[#This Row],[Total units for costs]] ) * 1000, "n/a" )</f>
        <v>4363.6782820631051</v>
      </c>
      <c r="BC2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66245</v>
      </c>
      <c r="BD29" s="84" vm="15717">
        <v>20641</v>
      </c>
      <c r="BE29" s="84" vm="15766">
        <v>1996</v>
      </c>
      <c r="BF29" s="84" vm="15665">
        <v>15462</v>
      </c>
      <c r="BG29" s="84" vm="17538">
        <v>4483</v>
      </c>
      <c r="BH29" s="84" vm="14178">
        <v>6899</v>
      </c>
      <c r="BI29" s="84" vm="15840">
        <v>0</v>
      </c>
      <c r="BJ29" s="84" vm="15671">
        <v>14448</v>
      </c>
      <c r="BK29" s="84" vm="16053">
        <v>0</v>
      </c>
      <c r="BL29" s="84" vm="17227">
        <v>0</v>
      </c>
      <c r="BM29" s="84" vm="17460">
        <v>0</v>
      </c>
      <c r="BN29" s="84" vm="16371">
        <v>2316</v>
      </c>
      <c r="BO29" s="84" vm="15657">
        <v>0</v>
      </c>
      <c r="BP29" s="5" vm="17618">
        <f xml:space="preserve"> VfM_Metrics_2023_Entity[[#This Row],[Total social housing units owned and/or managed at period end]]</f>
        <v>15181</v>
      </c>
      <c r="BQ29" s="135" vm="17618">
        <v>15181</v>
      </c>
      <c r="BR29" s="134">
        <f xml:space="preserve"> IFERROR( VfM_Metrics_2023_Entity[[#This Row],[SHL operating surplus / (deficit)]] / VfM_Metrics_2023_Entity[[#This Row],[Turnover from social housing lettings]], "n/a" )</f>
        <v>0.17589278612900661</v>
      </c>
      <c r="BS29" s="5" vm="17872">
        <f xml:space="preserve"> VfM_Metrics_2023_Entity[[#This Row],[Operating surplus/(deficit) (social housing lettings)]]</f>
        <v>13269</v>
      </c>
      <c r="BT29" s="84" vm="17872">
        <v>13269</v>
      </c>
      <c r="BU29" s="5" vm="18057">
        <f xml:space="preserve"> VfM_Metrics_2023_Entity[[#This Row],[Turnover from social housing lettings]]</f>
        <v>75438</v>
      </c>
      <c r="BV29" s="135" vm="18057">
        <v>75438</v>
      </c>
      <c r="BW29" s="134">
        <f xml:space="preserve"> IFERROR( VfM_Metrics_2023_Entity[[#This Row],[Net operating surplus]] / VfM_Metrics_2023_Entity[[#This Row],[Overall turnover]], "n/a" )</f>
        <v>0.15600135340151275</v>
      </c>
      <c r="BX29" s="5">
        <f xml:space="preserve"> SUM( VfM_Metrics_2023_Entity[[#This Row],[Operating surplus/(deficit) (overall)2]], - VfM_Metrics_2023_Entity[[#This Row],[Gain/(loss) on disposal of fixed assets (housing properties)2]], - VfM_Metrics_2023_Entity[[#This Row],[Gain/(loss) on disposal of fixed assets (other)2]] )</f>
        <v>14293</v>
      </c>
      <c r="BY29" s="84" vm="13468">
        <v>15125</v>
      </c>
      <c r="BZ29" s="84" vm="13658">
        <v>832</v>
      </c>
      <c r="CA29" s="84" vm="13909">
        <v>0</v>
      </c>
      <c r="CB29" s="5" vm="18257">
        <f xml:space="preserve"> VfM_Metrics_2023_Entity[[#This Row],[Turnover (overall)]]</f>
        <v>91621</v>
      </c>
      <c r="CC29" s="135" vm="18257">
        <v>91621</v>
      </c>
      <c r="CD29" s="134">
        <f xml:space="preserve"> IFERROR( VfM_Metrics_2023_Entity[[#This Row],[Operating surplus including from JVs]] / VfM_Metrics_2023_Entity[[#This Row],[Net assets]], "n/a" )</f>
        <v>3.3227736867080263E-2</v>
      </c>
      <c r="CE29" s="5">
        <f xml:space="preserve"> SUM( VfM_Metrics_2023_Entity[[#This Row],[Operating surplus/(deficit) (overall)3]], VfM_Metrics_2023_Entity[[#This Row],[Share of operating surplus/(deficit) in joint ventures or associates]] )</f>
        <v>15125</v>
      </c>
      <c r="CF29" s="84" vm="13468">
        <v>15125</v>
      </c>
      <c r="CG29" s="84" vm="18444">
        <v>0</v>
      </c>
      <c r="CH29" s="5" vm="18609">
        <f xml:space="preserve"> VfM_Metrics_2023_Entity[[#This Row],[Total assets less current liabilities]]</f>
        <v>455192</v>
      </c>
      <c r="CI29" s="135" vm="18609">
        <v>455192</v>
      </c>
      <c r="CJ29" s="140" vm="11246">
        <f xml:space="preserve"> VfM_Metrics_2023_Entity[[#This Row],[Total social housing units owned (Period end)]]</f>
        <v>15130</v>
      </c>
      <c r="CK29" s="141">
        <v>9.254974548819991E-4</v>
      </c>
      <c r="CL29" s="69">
        <f xml:space="preserve"> -- ( VfM_Metrics_2023_Entity[[#This Row],[% Supported housing (excl. HOP)]] &gt; 0.3 )</f>
        <v>0</v>
      </c>
      <c r="CM29" s="9">
        <v>1.3551927017914987E-2</v>
      </c>
      <c r="CN29" s="69">
        <f xml:space="preserve"> -- ( VfM_Metrics_2023_Entity[[#This Row],[% Housing for older people]] &gt; 0.3 )</f>
        <v>0</v>
      </c>
      <c r="CO29" s="9">
        <f xml:space="preserve"> VfM_Metrics_2023_Entity[[#This Row],[% Supported housing (excl. HOP)]] + VfM_Metrics_2023_Entity[[#This Row],[% Housing for older people]]</f>
        <v>1.4477424472796986E-2</v>
      </c>
      <c r="CP29" s="69">
        <f xml:space="preserve"> -- ( VfM_Metrics_2023_Entity[[#This Row],[SH specialist in RSH analysis]] + VfM_Metrics_2023_Entity[[#This Row],[OP specialist in RSH analysis]] &gt; 0 )</f>
        <v>0</v>
      </c>
      <c r="CQ29" s="142">
        <f xml:space="preserve"> -- ( VfM_Metrics_2023_Entity[[#This Row],[% SH and OP]] &gt; 0.3 )</f>
        <v>0</v>
      </c>
      <c r="CR29" s="143" t="s">
        <v>143</v>
      </c>
      <c r="CS29" s="120"/>
      <c r="CT29" s="144" t="s">
        <v>151</v>
      </c>
      <c r="CU2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29" s="146">
        <v>0</v>
      </c>
      <c r="CW29" s="146">
        <v>0</v>
      </c>
      <c r="CX29" s="146">
        <v>0</v>
      </c>
      <c r="CY29" s="146">
        <v>0</v>
      </c>
      <c r="CZ29" s="146">
        <v>0</v>
      </c>
      <c r="DA29" s="146">
        <v>0</v>
      </c>
      <c r="DB29" s="146">
        <v>0.69061467283542632</v>
      </c>
      <c r="DC29" s="146">
        <v>0</v>
      </c>
      <c r="DD29" s="146">
        <v>0.30938532716457368</v>
      </c>
      <c r="DE29" s="126">
        <v>0.91831769058235735</v>
      </c>
    </row>
    <row r="30" spans="1:109" x14ac:dyDescent="0.25">
      <c r="A30" s="4" t="s" vm="215">
        <v>174</v>
      </c>
      <c r="B30" s="4" t="s" vm="10408">
        <v>175</v>
      </c>
      <c r="C30" s="121" vm="18897">
        <v>45016</v>
      </c>
      <c r="D30" s="68">
        <f>IFERROR( VfM_Metrics_2023_Entity[[#This Row],[Reinvestment Spend]] / VfM_Metrics_2023_Entity[[#This Row],[Net Book Value of Housing Properties]], "n/a" )</f>
        <v>6.1655982495873479E-2</v>
      </c>
      <c r="E3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8031</v>
      </c>
      <c r="F30" s="84" vm="9393">
        <v>6191</v>
      </c>
      <c r="G30" s="84" vm="9474">
        <v>205</v>
      </c>
      <c r="H30" s="84" vm="9540">
        <v>1500</v>
      </c>
      <c r="I30" s="84" vm="10822">
        <v>135</v>
      </c>
      <c r="J30" s="84" vm="10824">
        <v>0</v>
      </c>
      <c r="K30" s="5">
        <f xml:space="preserve"> SUM( VfM_Metrics_2023_Entity[[#This Row],[Tangible fixed assets: Housing properties at cost (Current period)]],VfM_Metrics_2023_Entity[[#This Row],[Tangible fixed assets Housing properties at valuation (Current period)]] )</f>
        <v>130255</v>
      </c>
      <c r="L30" s="84" vm="9913">
        <v>130255</v>
      </c>
      <c r="M30" s="84" vm="10139">
        <v>0</v>
      </c>
      <c r="N30" s="134">
        <f xml:space="preserve"> IFERROR( VfM_Metrics_2023_Entity[[#This Row],[Total social units developed or newly built units acquired in-year]] / VfM_Metrics_2023_Entity[[#This Row],[Social housing units owned (period end)]], "n/a" )</f>
        <v>1.3444598980064905E-2</v>
      </c>
      <c r="O30" s="5">
        <f xml:space="preserve"> SUM( VfM_Metrics_2023_Entity[[#This Row],[Total social units developed or newly built units acquired in-year (owned)]], VfM_Metrics_2023_Entity[[#This Row],[Total social leasehold units developed or newly built units acquired in-year (owned)]] )</f>
        <v>29</v>
      </c>
      <c r="P30" s="84" vm="10953">
        <v>29</v>
      </c>
      <c r="Q30" s="84" vm="11219">
        <v>0</v>
      </c>
      <c r="R30" s="5">
        <f xml:space="preserve"> SUM( VfM_Metrics_2023_Entity[[#This Row],[Total social housing units owned (Period end)]], VfM_Metrics_2023_Entity[[#This Row],[Total social leasehold units owned (Period end)]] )</f>
        <v>2157</v>
      </c>
      <c r="S30" s="84" vm="11234">
        <v>2134</v>
      </c>
      <c r="T30" s="135" vm="11418">
        <v>23</v>
      </c>
      <c r="U30" s="136">
        <f xml:space="preserve"> IFERROR( VfM_Metrics_2023_Entity[[#This Row],[Total non-social housing units developed or newly built units acquired (owned)]] / VfM_Metrics_2023_Entity[[#This Row],[Total social and non-social housing units owned (Period end)]], "n/a" )</f>
        <v>0</v>
      </c>
      <c r="V3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30" s="84" vm="11611">
        <v>0</v>
      </c>
      <c r="X30" s="84" vm="11783">
        <v>0</v>
      </c>
      <c r="Y30" s="84" vm="11820">
        <v>0</v>
      </c>
      <c r="Z3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2157</v>
      </c>
      <c r="AA30" s="84" vm="11234">
        <v>2134</v>
      </c>
      <c r="AB30" s="84" vm="11418">
        <v>23</v>
      </c>
      <c r="AC30" s="84" vm="12329">
        <v>0</v>
      </c>
      <c r="AD30" s="135" vm="12477">
        <v>0</v>
      </c>
      <c r="AE30" s="134">
        <f xml:space="preserve"> IFERROR( VfM_Metrics_2023_Entity[[#This Row],[Total Net Debt]] / VfM_Metrics_2023_Entity[[#This Row],[Net Book Value of Housing Properties2]], "n/a" )</f>
        <v>0.30837203946105718</v>
      </c>
      <c r="AF3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40167</v>
      </c>
      <c r="AG30" s="84" vm="12607">
        <v>758</v>
      </c>
      <c r="AH30" s="84" vm="13189">
        <v>41056</v>
      </c>
      <c r="AI30" s="84" vm="13273">
        <v>1647</v>
      </c>
      <c r="AJ30" s="84">
        <v>0</v>
      </c>
      <c r="AK30" s="84" vm="12837">
        <v>0</v>
      </c>
      <c r="AL30" s="5">
        <f xml:space="preserve"> SUM( VfM_Metrics_2023_Entity[[#This Row],[Tangible fixed assets: Housing properties at cost (Current period)2]], VfM_Metrics_2023_Entity[[#This Row],[Tangible fixed assets Housing properties at valuation (Current period)2]] )</f>
        <v>130255</v>
      </c>
      <c r="AM30" s="84" vm="9913">
        <v>130255</v>
      </c>
      <c r="AN30" s="135" vm="10103">
        <v>0</v>
      </c>
      <c r="AO30" s="137">
        <f xml:space="preserve"> IFERROR( VfM_Metrics_2023_Entity[[#This Row],[EBITDA MRI]] / VfM_Metrics_2023_Entity[[#This Row],[Total interest]], "n/a" )</f>
        <v>1.8377837116154874</v>
      </c>
      <c r="AP3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2753</v>
      </c>
      <c r="AQ30" s="84" vm="13501">
        <v>5242</v>
      </c>
      <c r="AR30" s="84" vm="13910">
        <v>2535</v>
      </c>
      <c r="AS30" s="84" vm="14162">
        <v>0</v>
      </c>
      <c r="AT30" s="84" vm="14405">
        <v>509</v>
      </c>
      <c r="AU30" s="84" vm="14652">
        <v>0</v>
      </c>
      <c r="AV30" s="84" vm="14894">
        <v>20</v>
      </c>
      <c r="AW30" s="84" vm="13660">
        <v>1500</v>
      </c>
      <c r="AX30" s="84" vm="13911">
        <v>2035</v>
      </c>
      <c r="AY30" s="5">
        <f xml:space="preserve"> - SUM( VfM_Metrics_2023_Entity[[#This Row],[Interest capitalised]], VfM_Metrics_2023_Entity[[#This Row],[Interest payable and financing costs]] )</f>
        <v>1498</v>
      </c>
      <c r="AZ30" s="84" vm="15188">
        <v>-135</v>
      </c>
      <c r="BA30" s="135" vm="15350">
        <v>-1363</v>
      </c>
      <c r="BB30" s="138">
        <f xml:space="preserve"> IFERROR( ( VfM_Metrics_2023_Entity[[#This Row],[Total Costs]] / VfM_Metrics_2023_Entity[[#This Row],[Total units for costs]] ) * 1000, "n/a" )</f>
        <v>6270.3842549203373</v>
      </c>
      <c r="BC3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13381</v>
      </c>
      <c r="BD30" s="84" vm="15842">
        <v>2720</v>
      </c>
      <c r="BE30" s="84" vm="15672">
        <v>1566</v>
      </c>
      <c r="BF30" s="84" vm="15718">
        <v>2083</v>
      </c>
      <c r="BG30" s="84" vm="15768">
        <v>445</v>
      </c>
      <c r="BH30" s="84" vm="17080">
        <v>0</v>
      </c>
      <c r="BI30" s="84" vm="17303">
        <v>0</v>
      </c>
      <c r="BJ30" s="84" vm="13660">
        <v>1500</v>
      </c>
      <c r="BK30" s="84" vm="16048">
        <v>0</v>
      </c>
      <c r="BL30" s="84" vm="15659">
        <v>19</v>
      </c>
      <c r="BM30" s="84" vm="15769">
        <v>0</v>
      </c>
      <c r="BN30" s="84" vm="17081">
        <v>3704</v>
      </c>
      <c r="BO30" s="84" vm="15843">
        <v>1344</v>
      </c>
      <c r="BP30" s="5" vm="17655">
        <f xml:space="preserve"> VfM_Metrics_2023_Entity[[#This Row],[Total social housing units owned and/or managed at period end]]</f>
        <v>2134</v>
      </c>
      <c r="BQ30" s="135" vm="17655">
        <v>2134</v>
      </c>
      <c r="BR30" s="134">
        <f xml:space="preserve"> IFERROR( VfM_Metrics_2023_Entity[[#This Row],[SHL operating surplus / (deficit)]] / VfM_Metrics_2023_Entity[[#This Row],[Turnover from social housing lettings]], "n/a" )</f>
        <v>0.27507430997876858</v>
      </c>
      <c r="BS30" s="5" vm="18039">
        <f xml:space="preserve"> VfM_Metrics_2023_Entity[[#This Row],[Operating surplus/(deficit) (social housing lettings)]]</f>
        <v>3239</v>
      </c>
      <c r="BT30" s="84" vm="18039">
        <v>3239</v>
      </c>
      <c r="BU30" s="5" vm="18113">
        <f xml:space="preserve"> VfM_Metrics_2023_Entity[[#This Row],[Turnover from social housing lettings]]</f>
        <v>11775</v>
      </c>
      <c r="BV30" s="135" vm="18113">
        <v>11775</v>
      </c>
      <c r="BW30" s="134">
        <f xml:space="preserve"> IFERROR( VfM_Metrics_2023_Entity[[#This Row],[Net operating surplus]] / VfM_Metrics_2023_Entity[[#This Row],[Overall turnover]], "n/a" )</f>
        <v>0.15458854434355548</v>
      </c>
      <c r="BX30" s="5">
        <f xml:space="preserve"> SUM( VfM_Metrics_2023_Entity[[#This Row],[Operating surplus/(deficit) (overall)2]], - VfM_Metrics_2023_Entity[[#This Row],[Gain/(loss) on disposal of fixed assets (housing properties)2]], - VfM_Metrics_2023_Entity[[#This Row],[Gain/(loss) on disposal of fixed assets (other)2]] )</f>
        <v>2707</v>
      </c>
      <c r="BY30" s="84" vm="13501">
        <v>5242</v>
      </c>
      <c r="BZ30" s="84" vm="13910">
        <v>2535</v>
      </c>
      <c r="CA30" s="84" vm="14162">
        <v>0</v>
      </c>
      <c r="CB30" s="5" vm="18258">
        <f xml:space="preserve"> VfM_Metrics_2023_Entity[[#This Row],[Turnover (overall)]]</f>
        <v>17511</v>
      </c>
      <c r="CC30" s="135" vm="18258">
        <v>17511</v>
      </c>
      <c r="CD30" s="134">
        <f xml:space="preserve"> IFERROR( VfM_Metrics_2023_Entity[[#This Row],[Operating surplus including from JVs]] / VfM_Metrics_2023_Entity[[#This Row],[Net assets]], "n/a" )</f>
        <v>4.0336108588928728E-2</v>
      </c>
      <c r="CE30" s="5">
        <f xml:space="preserve"> SUM( VfM_Metrics_2023_Entity[[#This Row],[Operating surplus/(deficit) (overall)3]], VfM_Metrics_2023_Entity[[#This Row],[Share of operating surplus/(deficit) in joint ventures or associates]] )</f>
        <v>5242</v>
      </c>
      <c r="CF30" s="84" vm="13501">
        <v>5242</v>
      </c>
      <c r="CG30" s="84" vm="18471">
        <v>0</v>
      </c>
      <c r="CH30" s="5" vm="18645">
        <f xml:space="preserve"> VfM_Metrics_2023_Entity[[#This Row],[Total assets less current liabilities]]</f>
        <v>129958</v>
      </c>
      <c r="CI30" s="135" vm="18645">
        <v>129958</v>
      </c>
      <c r="CJ30" s="140" vm="11234">
        <f xml:space="preserve"> VfM_Metrics_2023_Entity[[#This Row],[Total social housing units owned (Period end)]]</f>
        <v>2134</v>
      </c>
      <c r="CK30" s="141">
        <v>2.9439252336448597E-2</v>
      </c>
      <c r="CL30" s="69">
        <f xml:space="preserve"> -- ( VfM_Metrics_2023_Entity[[#This Row],[% Supported housing (excl. HOP)]] &gt; 0.3 )</f>
        <v>0</v>
      </c>
      <c r="CM30" s="9">
        <v>0.10700934579439253</v>
      </c>
      <c r="CN30" s="69">
        <f xml:space="preserve"> -- ( VfM_Metrics_2023_Entity[[#This Row],[% Housing for older people]] &gt; 0.3 )</f>
        <v>0</v>
      </c>
      <c r="CO30" s="9">
        <f xml:space="preserve"> VfM_Metrics_2023_Entity[[#This Row],[% Supported housing (excl. HOP)]] + VfM_Metrics_2023_Entity[[#This Row],[% Housing for older people]]</f>
        <v>0.13644859813084112</v>
      </c>
      <c r="CP30" s="69">
        <f xml:space="preserve"> -- ( VfM_Metrics_2023_Entity[[#This Row],[SH specialist in RSH analysis]] + VfM_Metrics_2023_Entity[[#This Row],[OP specialist in RSH analysis]] &gt; 0 )</f>
        <v>0</v>
      </c>
      <c r="CQ30" s="142">
        <f xml:space="preserve"> -- ( VfM_Metrics_2023_Entity[[#This Row],[% SH and OP]] &gt; 0.3 )</f>
        <v>0</v>
      </c>
      <c r="CR30" s="143" t="s">
        <v>143</v>
      </c>
      <c r="CS30" s="120"/>
      <c r="CT30" s="144" t="s">
        <v>144</v>
      </c>
      <c r="CU3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30" s="146">
        <v>0</v>
      </c>
      <c r="CW30" s="146">
        <v>0</v>
      </c>
      <c r="CX30" s="146">
        <v>0</v>
      </c>
      <c r="CY30" s="146">
        <v>0</v>
      </c>
      <c r="CZ30" s="146">
        <v>1</v>
      </c>
      <c r="DA30" s="146">
        <v>0</v>
      </c>
      <c r="DB30" s="146">
        <v>0</v>
      </c>
      <c r="DC30" s="146">
        <v>0</v>
      </c>
      <c r="DD30" s="146">
        <v>0</v>
      </c>
      <c r="DE30" s="126">
        <v>0.96459033333600952</v>
      </c>
    </row>
    <row r="31" spans="1:109" x14ac:dyDescent="0.25">
      <c r="A31" s="4" t="s" vm="278">
        <v>176</v>
      </c>
      <c r="B31" s="4" t="s" vm="10425">
        <v>177</v>
      </c>
      <c r="C31" s="121" vm="18847">
        <v>45016</v>
      </c>
      <c r="D31" s="68">
        <f>IFERROR( VfM_Metrics_2023_Entity[[#This Row],[Reinvestment Spend]] / VfM_Metrics_2023_Entity[[#This Row],[Net Book Value of Housing Properties]], "n/a" )</f>
        <v>0.1702674937769173</v>
      </c>
      <c r="E3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43093</v>
      </c>
      <c r="F31" s="84" vm="10098">
        <v>21135</v>
      </c>
      <c r="G31" s="84" vm="10909">
        <v>6705</v>
      </c>
      <c r="H31" s="84" vm="10206">
        <v>15253</v>
      </c>
      <c r="I31" s="84" vm="10216">
        <v>0</v>
      </c>
      <c r="J31" s="84" vm="10255">
        <v>0</v>
      </c>
      <c r="K31" s="5">
        <f xml:space="preserve"> SUM( VfM_Metrics_2023_Entity[[#This Row],[Tangible fixed assets: Housing properties at cost (Current period)]],VfM_Metrics_2023_Entity[[#This Row],[Tangible fixed assets Housing properties at valuation (Current period)]] )</f>
        <v>253090</v>
      </c>
      <c r="L31" s="84" vm="10285">
        <v>253090</v>
      </c>
      <c r="M31" s="84">
        <v>0</v>
      </c>
      <c r="N31" s="134">
        <f xml:space="preserve"> IFERROR( VfM_Metrics_2023_Entity[[#This Row],[Total social units developed or newly built units acquired in-year]] / VfM_Metrics_2023_Entity[[#This Row],[Social housing units owned (period end)]], "n/a" )</f>
        <v>1.4369766915591763E-2</v>
      </c>
      <c r="O31" s="5">
        <f xml:space="preserve"> SUM( VfM_Metrics_2023_Entity[[#This Row],[Total social units developed or newly built units acquired in-year (owned)]], VfM_Metrics_2023_Entity[[#This Row],[Total social leasehold units developed or newly built units acquired in-year (owned)]] )</f>
        <v>254</v>
      </c>
      <c r="P31" s="84" vm="11004">
        <v>254</v>
      </c>
      <c r="Q31" s="84">
        <v>0</v>
      </c>
      <c r="R31" s="5">
        <f xml:space="preserve"> SUM( VfM_Metrics_2023_Entity[[#This Row],[Total social housing units owned (Period end)]], VfM_Metrics_2023_Entity[[#This Row],[Total social leasehold units owned (Period end)]] )</f>
        <v>17676</v>
      </c>
      <c r="S31" s="84" vm="11250">
        <v>17676</v>
      </c>
      <c r="T31" s="135" vm="11406">
        <v>0</v>
      </c>
      <c r="U31" s="136">
        <f xml:space="preserve"> IFERROR( VfM_Metrics_2023_Entity[[#This Row],[Total non-social housing units developed or newly built units acquired (owned)]] / VfM_Metrics_2023_Entity[[#This Row],[Total social and non-social housing units owned (Period end)]], "n/a" )</f>
        <v>0</v>
      </c>
      <c r="V3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31" s="84">
        <v>0</v>
      </c>
      <c r="X31" s="84">
        <v>0</v>
      </c>
      <c r="Y31" s="84">
        <v>0</v>
      </c>
      <c r="Z3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18032</v>
      </c>
      <c r="AA31" s="84" vm="11250">
        <v>17676</v>
      </c>
      <c r="AB31" s="84" vm="12176">
        <v>0</v>
      </c>
      <c r="AC31" s="84" vm="12071">
        <v>0</v>
      </c>
      <c r="AD31" s="135" vm="12234">
        <v>356</v>
      </c>
      <c r="AE31" s="134">
        <f xml:space="preserve"> IFERROR( VfM_Metrics_2023_Entity[[#This Row],[Total Net Debt]] / VfM_Metrics_2023_Entity[[#This Row],[Net Book Value of Housing Properties2]], "n/a" )</f>
        <v>0.21678849421154531</v>
      </c>
      <c r="AF3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54867</v>
      </c>
      <c r="AG31" s="84" vm="12636">
        <v>20000</v>
      </c>
      <c r="AH31" s="84" vm="13016">
        <v>37500</v>
      </c>
      <c r="AI31" s="84" vm="13100">
        <v>2633</v>
      </c>
      <c r="AJ31" s="84">
        <v>0</v>
      </c>
      <c r="AK31" s="84">
        <v>0</v>
      </c>
      <c r="AL31" s="5">
        <f xml:space="preserve"> SUM( VfM_Metrics_2023_Entity[[#This Row],[Tangible fixed assets: Housing properties at cost (Current period)2]], VfM_Metrics_2023_Entity[[#This Row],[Tangible fixed assets Housing properties at valuation (Current period)2]] )</f>
        <v>253090</v>
      </c>
      <c r="AM31" s="84" vm="10022">
        <v>253090</v>
      </c>
      <c r="AN31" s="135">
        <v>0</v>
      </c>
      <c r="AO31" s="137">
        <f xml:space="preserve"> IFERROR( VfM_Metrics_2023_Entity[[#This Row],[EBITDA MRI]] / VfM_Metrics_2023_Entity[[#This Row],[Total interest]], "n/a" )</f>
        <v>-1.0265597594587823</v>
      </c>
      <c r="AP3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-4097</v>
      </c>
      <c r="AQ31" s="84" vm="13539">
        <v>7049</v>
      </c>
      <c r="AR31" s="84" vm="14163">
        <v>4267</v>
      </c>
      <c r="AS31" s="84" vm="14406">
        <v>600</v>
      </c>
      <c r="AT31" s="84" vm="14653">
        <v>329</v>
      </c>
      <c r="AU31" s="84" vm="14895">
        <v>0</v>
      </c>
      <c r="AV31" s="84" vm="13661">
        <v>570</v>
      </c>
      <c r="AW31" s="84" vm="13912">
        <v>15253</v>
      </c>
      <c r="AX31" s="84" vm="14164">
        <v>8733</v>
      </c>
      <c r="AY31" s="5">
        <f xml:space="preserve"> - SUM( VfM_Metrics_2023_Entity[[#This Row],[Interest capitalised]], VfM_Metrics_2023_Entity[[#This Row],[Interest payable and financing costs]] )</f>
        <v>3991</v>
      </c>
      <c r="AZ31" s="84" vm="15303">
        <v>0</v>
      </c>
      <c r="BA31" s="135" vm="15383">
        <v>-3991</v>
      </c>
      <c r="BB31" s="138">
        <f xml:space="preserve"> IFERROR( ( VfM_Metrics_2023_Entity[[#This Row],[Total Costs]] / VfM_Metrics_2023_Entity[[#This Row],[Total units for costs]] ) * 1000, "n/a" )</f>
        <v>4963.1138266576154</v>
      </c>
      <c r="BC3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87728</v>
      </c>
      <c r="BD31" s="84" vm="17304">
        <v>32209</v>
      </c>
      <c r="BE31" s="84" vm="17461">
        <v>6088</v>
      </c>
      <c r="BF31" s="84" vm="15674">
        <v>19726</v>
      </c>
      <c r="BG31" s="84" vm="16601">
        <v>4595</v>
      </c>
      <c r="BH31" s="84" vm="16256">
        <v>558</v>
      </c>
      <c r="BI31" s="84" vm="15770">
        <v>0</v>
      </c>
      <c r="BJ31" s="84" vm="13912">
        <v>15253</v>
      </c>
      <c r="BK31" s="84" vm="17082">
        <v>0</v>
      </c>
      <c r="BL31" s="84">
        <v>0</v>
      </c>
      <c r="BM31" s="84" vm="15661">
        <v>3652</v>
      </c>
      <c r="BN31" s="84" vm="16602">
        <v>1157</v>
      </c>
      <c r="BO31" s="84" vm="17305">
        <v>4490</v>
      </c>
      <c r="BP31" s="5" vm="17824">
        <f xml:space="preserve"> VfM_Metrics_2023_Entity[[#This Row],[Total social housing units owned and/or managed at period end]]</f>
        <v>17676</v>
      </c>
      <c r="BQ31" s="135" vm="17824">
        <v>17676</v>
      </c>
      <c r="BR31" s="134">
        <f xml:space="preserve"> IFERROR( VfM_Metrics_2023_Entity[[#This Row],[SHL operating surplus / (deficit)]] / VfM_Metrics_2023_Entity[[#This Row],[Turnover from social housing lettings]], "n/a" )</f>
        <v>7.5918619147377492E-2</v>
      </c>
      <c r="BS31" s="5" vm="17947">
        <f xml:space="preserve"> VfM_Metrics_2023_Entity[[#This Row],[Operating surplus/(deficit) (social housing lettings)]]</f>
        <v>5907</v>
      </c>
      <c r="BT31" s="84" vm="17947">
        <v>5907</v>
      </c>
      <c r="BU31" s="5" vm="18114">
        <f xml:space="preserve"> VfM_Metrics_2023_Entity[[#This Row],[Turnover from social housing lettings]]</f>
        <v>77807</v>
      </c>
      <c r="BV31" s="135" vm="18114">
        <v>77807</v>
      </c>
      <c r="BW31" s="134">
        <f xml:space="preserve"> IFERROR( VfM_Metrics_2023_Entity[[#This Row],[Net operating surplus]] / VfM_Metrics_2023_Entity[[#This Row],[Overall turnover]], "n/a" )</f>
        <v>2.4276273336151843E-2</v>
      </c>
      <c r="BX31" s="5">
        <f xml:space="preserve"> SUM( VfM_Metrics_2023_Entity[[#This Row],[Operating surplus/(deficit) (overall)2]], - VfM_Metrics_2023_Entity[[#This Row],[Gain/(loss) on disposal of fixed assets (housing properties)2]], - VfM_Metrics_2023_Entity[[#This Row],[Gain/(loss) on disposal of fixed assets (other)2]] )</f>
        <v>2182</v>
      </c>
      <c r="BY31" s="84" vm="15131">
        <v>7049</v>
      </c>
      <c r="BZ31" s="84" vm="14163">
        <v>4267</v>
      </c>
      <c r="CA31" s="84" vm="14406">
        <v>600</v>
      </c>
      <c r="CB31" s="5" vm="18297">
        <f xml:space="preserve"> VfM_Metrics_2023_Entity[[#This Row],[Turnover (overall)]]</f>
        <v>89882</v>
      </c>
      <c r="CC31" s="135" vm="18297">
        <v>89882</v>
      </c>
      <c r="CD31" s="134">
        <f xml:space="preserve"> IFERROR( VfM_Metrics_2023_Entity[[#This Row],[Operating surplus including from JVs]] / VfM_Metrics_2023_Entity[[#This Row],[Net assets]], "n/a" )</f>
        <v>2.416714379261992E-2</v>
      </c>
      <c r="CE31" s="5">
        <f xml:space="preserve"> SUM( VfM_Metrics_2023_Entity[[#This Row],[Operating surplus/(deficit) (overall)3]], VfM_Metrics_2023_Entity[[#This Row],[Share of operating surplus/(deficit) in joint ventures or associates]] )</f>
        <v>7049</v>
      </c>
      <c r="CF31" s="84" vm="13539">
        <v>7049</v>
      </c>
      <c r="CG31" s="84">
        <v>0</v>
      </c>
      <c r="CH31" s="5" vm="18683">
        <f xml:space="preserve"> VfM_Metrics_2023_Entity[[#This Row],[Total assets less current liabilities]]</f>
        <v>291677</v>
      </c>
      <c r="CI31" s="135" vm="18683">
        <v>291677</v>
      </c>
      <c r="CJ31" s="140" vm="11250">
        <f xml:space="preserve"> VfM_Metrics_2023_Entity[[#This Row],[Total social housing units owned (Period end)]]</f>
        <v>17676</v>
      </c>
      <c r="CK31" s="141">
        <v>6.1710921134575103E-3</v>
      </c>
      <c r="CL31" s="69">
        <f xml:space="preserve"> -- ( VfM_Metrics_2023_Entity[[#This Row],[% Supported housing (excl. HOP)]] &gt; 0.3 )</f>
        <v>0</v>
      </c>
      <c r="CM31" s="9">
        <v>0.12574307875219384</v>
      </c>
      <c r="CN31" s="69">
        <f xml:space="preserve"> -- ( VfM_Metrics_2023_Entity[[#This Row],[% Housing for older people]] &gt; 0.3 )</f>
        <v>0</v>
      </c>
      <c r="CO31" s="9">
        <f xml:space="preserve"> VfM_Metrics_2023_Entity[[#This Row],[% Supported housing (excl. HOP)]] + VfM_Metrics_2023_Entity[[#This Row],[% Housing for older people]]</f>
        <v>0.13191417086565135</v>
      </c>
      <c r="CP31" s="69">
        <f xml:space="preserve"> -- ( VfM_Metrics_2023_Entity[[#This Row],[SH specialist in RSH analysis]] + VfM_Metrics_2023_Entity[[#This Row],[OP specialist in RSH analysis]] &gt; 0 )</f>
        <v>0</v>
      </c>
      <c r="CQ31" s="142">
        <f xml:space="preserve"> -- ( VfM_Metrics_2023_Entity[[#This Row],[% SH and OP]] &gt; 0.3 )</f>
        <v>0</v>
      </c>
      <c r="CR31" s="143" t="s">
        <v>143</v>
      </c>
      <c r="CS31" s="120"/>
      <c r="CT31" s="144" t="s">
        <v>151</v>
      </c>
      <c r="CU3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31" s="146">
        <v>0</v>
      </c>
      <c r="CW31" s="146">
        <v>0</v>
      </c>
      <c r="CX31" s="146">
        <v>0</v>
      </c>
      <c r="CY31" s="146">
        <v>0</v>
      </c>
      <c r="CZ31" s="146">
        <v>0</v>
      </c>
      <c r="DA31" s="146">
        <v>0</v>
      </c>
      <c r="DB31" s="146">
        <v>0</v>
      </c>
      <c r="DC31" s="146">
        <v>1</v>
      </c>
      <c r="DD31" s="146">
        <v>0</v>
      </c>
      <c r="DE31" s="126">
        <v>0.96105917141044694</v>
      </c>
    </row>
    <row r="32" spans="1:109" x14ac:dyDescent="0.25">
      <c r="A32" s="4" t="s" vm="206">
        <v>178</v>
      </c>
      <c r="B32" s="4" t="s" vm="10731">
        <v>179</v>
      </c>
      <c r="C32" s="121" vm="18933">
        <v>45016</v>
      </c>
      <c r="D32" s="68">
        <f>IFERROR( VfM_Metrics_2023_Entity[[#This Row],[Reinvestment Spend]] / VfM_Metrics_2023_Entity[[#This Row],[Net Book Value of Housing Properties]], "n/a" )</f>
        <v>5.9598991475567298E-2</v>
      </c>
      <c r="E3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4964</v>
      </c>
      <c r="F32" s="84" vm="9456">
        <v>2853</v>
      </c>
      <c r="G32" s="84" vm="9706">
        <v>1736</v>
      </c>
      <c r="H32" s="84" vm="9747">
        <v>375</v>
      </c>
      <c r="I32" s="84" vm="10870">
        <v>0</v>
      </c>
      <c r="J32" s="84" vm="9541">
        <v>0</v>
      </c>
      <c r="K32" s="5">
        <f xml:space="preserve"> SUM( VfM_Metrics_2023_Entity[[#This Row],[Tangible fixed assets: Housing properties at cost (Current period)]],VfM_Metrics_2023_Entity[[#This Row],[Tangible fixed assets Housing properties at valuation (Current period)]] )</f>
        <v>83290</v>
      </c>
      <c r="L32" s="84" vm="9955">
        <v>83290</v>
      </c>
      <c r="M32" s="84">
        <v>0</v>
      </c>
      <c r="N32" s="134">
        <f xml:space="preserve"> IFERROR( VfM_Metrics_2023_Entity[[#This Row],[Total social units developed or newly built units acquired in-year]] / VfM_Metrics_2023_Entity[[#This Row],[Social housing units owned (period end)]], "n/a" )</f>
        <v>3.134796238244514E-3</v>
      </c>
      <c r="O32" s="5">
        <f xml:space="preserve"> SUM( VfM_Metrics_2023_Entity[[#This Row],[Total social units developed or newly built units acquired in-year (owned)]], VfM_Metrics_2023_Entity[[#This Row],[Total social leasehold units developed or newly built units acquired in-year (owned)]] )</f>
        <v>4</v>
      </c>
      <c r="P32" s="84" vm="11043">
        <v>4</v>
      </c>
      <c r="Q32" s="84">
        <v>0</v>
      </c>
      <c r="R32" s="5">
        <f xml:space="preserve"> SUM( VfM_Metrics_2023_Entity[[#This Row],[Total social housing units owned (Period end)]], VfM_Metrics_2023_Entity[[#This Row],[Total social leasehold units owned (Period end)]] )</f>
        <v>1276</v>
      </c>
      <c r="S32" s="84" vm="11260">
        <v>1276</v>
      </c>
      <c r="T32" s="135" vm="11446">
        <v>0</v>
      </c>
      <c r="U32" s="136">
        <f xml:space="preserve"> IFERROR( VfM_Metrics_2023_Entity[[#This Row],[Total non-social housing units developed or newly built units acquired (owned)]] / VfM_Metrics_2023_Entity[[#This Row],[Total social and non-social housing units owned (Period end)]], "n/a" )</f>
        <v>5.9612518628912071E-3</v>
      </c>
      <c r="V3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8</v>
      </c>
      <c r="W32" s="84" vm="11649">
        <v>8</v>
      </c>
      <c r="X32" s="84">
        <v>0</v>
      </c>
      <c r="Y32" s="84">
        <v>0</v>
      </c>
      <c r="Z3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1342</v>
      </c>
      <c r="AA32" s="84" vm="12022">
        <v>1276</v>
      </c>
      <c r="AB32" s="84" vm="11446">
        <v>0</v>
      </c>
      <c r="AC32" s="84" vm="12330">
        <v>66</v>
      </c>
      <c r="AD32" s="135" vm="12478">
        <v>0</v>
      </c>
      <c r="AE32" s="134">
        <f xml:space="preserve"> IFERROR( VfM_Metrics_2023_Entity[[#This Row],[Total Net Debt]] / VfM_Metrics_2023_Entity[[#This Row],[Net Book Value of Housing Properties2]], "n/a" )</f>
        <v>0.41393924840917279</v>
      </c>
      <c r="AF3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34477</v>
      </c>
      <c r="AG32" s="84" vm="12657">
        <v>2458</v>
      </c>
      <c r="AH32" s="84" vm="12717">
        <v>33173</v>
      </c>
      <c r="AI32" s="84" vm="12838">
        <v>1154</v>
      </c>
      <c r="AJ32" s="84">
        <v>0</v>
      </c>
      <c r="AK32" s="84">
        <v>0</v>
      </c>
      <c r="AL32" s="5">
        <f xml:space="preserve"> SUM( VfM_Metrics_2023_Entity[[#This Row],[Tangible fixed assets: Housing properties at cost (Current period)2]], VfM_Metrics_2023_Entity[[#This Row],[Tangible fixed assets Housing properties at valuation (Current period)2]] )</f>
        <v>83290</v>
      </c>
      <c r="AM32" s="84" vm="9955">
        <v>83290</v>
      </c>
      <c r="AN32" s="135">
        <v>0</v>
      </c>
      <c r="AO32" s="137">
        <f xml:space="preserve"> IFERROR( VfM_Metrics_2023_Entity[[#This Row],[EBITDA MRI]] / VfM_Metrics_2023_Entity[[#This Row],[Total interest]], "n/a" )</f>
        <v>1.7948113207547169</v>
      </c>
      <c r="AP3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2283</v>
      </c>
      <c r="AQ32" s="84" vm="13564">
        <v>1700</v>
      </c>
      <c r="AR32" s="84" vm="14407">
        <v>145</v>
      </c>
      <c r="AS32" s="84" vm="14654">
        <v>0</v>
      </c>
      <c r="AT32" s="84" vm="14896">
        <v>436</v>
      </c>
      <c r="AU32" s="84" vm="13662">
        <v>0</v>
      </c>
      <c r="AV32" s="84" vm="13913">
        <v>1</v>
      </c>
      <c r="AW32" s="84" vm="14165">
        <v>192</v>
      </c>
      <c r="AX32" s="84" vm="14408">
        <v>1355</v>
      </c>
      <c r="AY32" s="5">
        <f xml:space="preserve"> - SUM( VfM_Metrics_2023_Entity[[#This Row],[Interest capitalised]], VfM_Metrics_2023_Entity[[#This Row],[Interest payable and financing costs]] )</f>
        <v>1272</v>
      </c>
      <c r="AZ32" s="84" vm="15303">
        <v>0</v>
      </c>
      <c r="BA32" s="135" vm="15410">
        <v>-1272</v>
      </c>
      <c r="BB32" s="138">
        <f xml:space="preserve"> IFERROR( ( VfM_Metrics_2023_Entity[[#This Row],[Total Costs]] / VfM_Metrics_2023_Entity[[#This Row],[Total units for costs]] ) * 1000, "n/a" )</f>
        <v>13310.344827586207</v>
      </c>
      <c r="BC3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16984</v>
      </c>
      <c r="BD32" s="84" vm="15771">
        <v>2424</v>
      </c>
      <c r="BE32" s="84" vm="16055">
        <v>2421</v>
      </c>
      <c r="BF32" s="84" vm="16846">
        <v>973</v>
      </c>
      <c r="BG32" s="84" vm="15676">
        <v>1271</v>
      </c>
      <c r="BH32" s="84" vm="17306">
        <v>208</v>
      </c>
      <c r="BI32" s="84" vm="17462">
        <v>913</v>
      </c>
      <c r="BJ32" s="84" vm="14165">
        <v>192</v>
      </c>
      <c r="BK32" s="84" vm="15719">
        <v>619</v>
      </c>
      <c r="BL32" s="84">
        <v>0</v>
      </c>
      <c r="BM32" s="84">
        <v>0</v>
      </c>
      <c r="BN32" s="84">
        <v>0</v>
      </c>
      <c r="BO32" s="84" vm="16257">
        <v>7963</v>
      </c>
      <c r="BP32" s="5" vm="17689">
        <f xml:space="preserve"> VfM_Metrics_2023_Entity[[#This Row],[Total social housing units owned and/or managed at period end]]</f>
        <v>1276</v>
      </c>
      <c r="BQ32" s="135" vm="17689">
        <v>1276</v>
      </c>
      <c r="BR32" s="134">
        <f xml:space="preserve"> IFERROR( VfM_Metrics_2023_Entity[[#This Row],[SHL operating surplus / (deficit)]] / VfM_Metrics_2023_Entity[[#This Row],[Turnover from social housing lettings]], "n/a" )</f>
        <v>0.19899874843554444</v>
      </c>
      <c r="BS32" s="5" vm="17983">
        <f xml:space="preserve"> VfM_Metrics_2023_Entity[[#This Row],[Operating surplus/(deficit) (social housing lettings)]]</f>
        <v>2544</v>
      </c>
      <c r="BT32" s="84" vm="17983">
        <v>2544</v>
      </c>
      <c r="BU32" s="5" vm="18163">
        <f xml:space="preserve"> VfM_Metrics_2023_Entity[[#This Row],[Turnover from social housing lettings]]</f>
        <v>12784</v>
      </c>
      <c r="BV32" s="135" vm="18163">
        <v>12784</v>
      </c>
      <c r="BW32" s="134">
        <f xml:space="preserve"> IFERROR( VfM_Metrics_2023_Entity[[#This Row],[Net operating surplus]] / VfM_Metrics_2023_Entity[[#This Row],[Overall turnover]], "n/a" )</f>
        <v>6.8456966762051513E-2</v>
      </c>
      <c r="BX32" s="5">
        <f xml:space="preserve"> SUM( VfM_Metrics_2023_Entity[[#This Row],[Operating surplus/(deficit) (overall)2]], - VfM_Metrics_2023_Entity[[#This Row],[Gain/(loss) on disposal of fixed assets (housing properties)2]], - VfM_Metrics_2023_Entity[[#This Row],[Gain/(loss) on disposal of fixed assets (other)2]] )</f>
        <v>1555</v>
      </c>
      <c r="BY32" s="84" vm="13564">
        <v>1700</v>
      </c>
      <c r="BZ32" s="84" vm="14407">
        <v>145</v>
      </c>
      <c r="CA32" s="84" vm="14654">
        <v>0</v>
      </c>
      <c r="CB32" s="5" vm="18342">
        <f xml:space="preserve"> VfM_Metrics_2023_Entity[[#This Row],[Turnover (overall)]]</f>
        <v>22715</v>
      </c>
      <c r="CC32" s="135" vm="18342">
        <v>22715</v>
      </c>
      <c r="CD32" s="134">
        <f xml:space="preserve"> IFERROR( VfM_Metrics_2023_Entity[[#This Row],[Operating surplus including from JVs]] / VfM_Metrics_2023_Entity[[#This Row],[Net assets]], "n/a" )</f>
        <v>2.0086727399477745E-2</v>
      </c>
      <c r="CE32" s="5">
        <f xml:space="preserve"> SUM( VfM_Metrics_2023_Entity[[#This Row],[Operating surplus/(deficit) (overall)3]], VfM_Metrics_2023_Entity[[#This Row],[Share of operating surplus/(deficit) in joint ventures or associates]] )</f>
        <v>1700</v>
      </c>
      <c r="CF32" s="84" vm="13564">
        <v>1700</v>
      </c>
      <c r="CG32" s="84">
        <v>0</v>
      </c>
      <c r="CH32" s="5" vm="18707">
        <f xml:space="preserve"> VfM_Metrics_2023_Entity[[#This Row],[Total assets less current liabilities]]</f>
        <v>84633</v>
      </c>
      <c r="CI32" s="135" vm="18707">
        <v>84633</v>
      </c>
      <c r="CJ32" s="140" vm="11260">
        <f xml:space="preserve"> VfM_Metrics_2023_Entity[[#This Row],[Total social housing units owned (Period end)]]</f>
        <v>1276</v>
      </c>
      <c r="CK32" s="141">
        <v>0.53098039215686277</v>
      </c>
      <c r="CL32" s="69">
        <f xml:space="preserve"> -- ( VfM_Metrics_2023_Entity[[#This Row],[% Supported housing (excl. HOP)]] &gt; 0.3 )</f>
        <v>1</v>
      </c>
      <c r="CM32" s="9">
        <v>0.04</v>
      </c>
      <c r="CN32" s="69">
        <f xml:space="preserve"> -- ( VfM_Metrics_2023_Entity[[#This Row],[% Housing for older people]] &gt; 0.3 )</f>
        <v>0</v>
      </c>
      <c r="CO32" s="9">
        <f xml:space="preserve"> VfM_Metrics_2023_Entity[[#This Row],[% Supported housing (excl. HOP)]] + VfM_Metrics_2023_Entity[[#This Row],[% Housing for older people]]</f>
        <v>0.5709803921568628</v>
      </c>
      <c r="CP32" s="69">
        <f xml:space="preserve"> -- ( VfM_Metrics_2023_Entity[[#This Row],[SH specialist in RSH analysis]] + VfM_Metrics_2023_Entity[[#This Row],[OP specialist in RSH analysis]] &gt; 0 )</f>
        <v>1</v>
      </c>
      <c r="CQ32" s="142">
        <f xml:space="preserve"> -- ( VfM_Metrics_2023_Entity[[#This Row],[% SH and OP]] &gt; 0.3 )</f>
        <v>1</v>
      </c>
      <c r="CR32" s="143" t="s">
        <v>143</v>
      </c>
      <c r="CS32" s="120"/>
      <c r="CT32" s="144" t="s">
        <v>144</v>
      </c>
      <c r="CU3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32" s="146">
        <v>0</v>
      </c>
      <c r="CW32" s="146">
        <v>2.8688524590163935E-2</v>
      </c>
      <c r="CX32" s="146">
        <v>0.97131147540983609</v>
      </c>
      <c r="CY32" s="146">
        <v>0</v>
      </c>
      <c r="CZ32" s="146">
        <v>0</v>
      </c>
      <c r="DA32" s="146">
        <v>0</v>
      </c>
      <c r="DB32" s="146">
        <v>0</v>
      </c>
      <c r="DC32" s="146">
        <v>0</v>
      </c>
      <c r="DD32" s="146">
        <v>0</v>
      </c>
      <c r="DE32" s="126">
        <v>0.97679998910314292</v>
      </c>
    </row>
    <row r="33" spans="1:109" x14ac:dyDescent="0.25">
      <c r="A33" s="4" t="s" vm="325">
        <v>180</v>
      </c>
      <c r="B33" s="4" t="s" vm="9341">
        <v>181</v>
      </c>
      <c r="C33" s="121" vm="18969">
        <v>44926</v>
      </c>
      <c r="D33" s="68">
        <f>IFERROR( VfM_Metrics_2023_Entity[[#This Row],[Reinvestment Spend]] / VfM_Metrics_2023_Entity[[#This Row],[Net Book Value of Housing Properties]], "n/a" )</f>
        <v>2.9123875628585594E-2</v>
      </c>
      <c r="E3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4112</v>
      </c>
      <c r="F33" s="84" vm="9439">
        <v>21</v>
      </c>
      <c r="G33" s="84" vm="10191">
        <v>374</v>
      </c>
      <c r="H33" s="84" vm="10888">
        <v>3717</v>
      </c>
      <c r="I33" s="84" vm="9816">
        <v>0</v>
      </c>
      <c r="J33" s="84" vm="10248">
        <v>0</v>
      </c>
      <c r="K33" s="5">
        <f xml:space="preserve"> SUM( VfM_Metrics_2023_Entity[[#This Row],[Tangible fixed assets: Housing properties at cost (Current period)]],VfM_Metrics_2023_Entity[[#This Row],[Tangible fixed assets Housing properties at valuation (Current period)]] )</f>
        <v>141190</v>
      </c>
      <c r="L33" s="84" vm="9972">
        <v>141190</v>
      </c>
      <c r="M33" s="84">
        <v>0</v>
      </c>
      <c r="N33" s="134">
        <f xml:space="preserve"> IFERROR( VfM_Metrics_2023_Entity[[#This Row],[Total social units developed or newly built units acquired in-year]] / VfM_Metrics_2023_Entity[[#This Row],[Social housing units owned (period end)]], "n/a" )</f>
        <v>8.0645161290322581E-4</v>
      </c>
      <c r="O33" s="5">
        <f xml:space="preserve"> SUM( VfM_Metrics_2023_Entity[[#This Row],[Total social units developed or newly built units acquired in-year (owned)]], VfM_Metrics_2023_Entity[[#This Row],[Total social leasehold units developed or newly built units acquired in-year (owned)]] )</f>
        <v>3</v>
      </c>
      <c r="P33" s="84" vm="11062">
        <v>3</v>
      </c>
      <c r="Q33" s="84">
        <v>0</v>
      </c>
      <c r="R33" s="5">
        <f xml:space="preserve"> SUM( VfM_Metrics_2023_Entity[[#This Row],[Total social housing units owned (Period end)]], VfM_Metrics_2023_Entity[[#This Row],[Total social leasehold units owned (Period end)]] )</f>
        <v>3720</v>
      </c>
      <c r="S33" s="84" vm="11277">
        <v>3720</v>
      </c>
      <c r="T33" s="135" vm="11437">
        <v>0</v>
      </c>
      <c r="U33" s="136">
        <f xml:space="preserve"> IFERROR( VfM_Metrics_2023_Entity[[#This Row],[Total non-social housing units developed or newly built units acquired (owned)]] / VfM_Metrics_2023_Entity[[#This Row],[Total social and non-social housing units owned (Period end)]], "n/a" )</f>
        <v>0</v>
      </c>
      <c r="V3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33" s="84">
        <v>0</v>
      </c>
      <c r="X33" s="84">
        <v>0</v>
      </c>
      <c r="Y33" s="84" vm="11821">
        <v>0</v>
      </c>
      <c r="Z3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4187</v>
      </c>
      <c r="AA33" s="84" vm="12038">
        <v>3720</v>
      </c>
      <c r="AB33" s="84" vm="11407">
        <v>0</v>
      </c>
      <c r="AC33" s="84" vm="12072">
        <v>93</v>
      </c>
      <c r="AD33" s="135" vm="12235">
        <v>374</v>
      </c>
      <c r="AE33" s="134">
        <f xml:space="preserve"> IFERROR( VfM_Metrics_2023_Entity[[#This Row],[Total Net Debt]] / VfM_Metrics_2023_Entity[[#This Row],[Net Book Value of Housing Properties2]], "n/a" )</f>
        <v>0.56177491323748141</v>
      </c>
      <c r="AF3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79317</v>
      </c>
      <c r="AG33" s="84" vm="12684">
        <v>3600</v>
      </c>
      <c r="AH33" s="84" vm="13190">
        <v>78672</v>
      </c>
      <c r="AI33" s="84" vm="13274">
        <v>2955</v>
      </c>
      <c r="AJ33" s="84">
        <v>0</v>
      </c>
      <c r="AK33" s="84">
        <v>0</v>
      </c>
      <c r="AL33" s="5">
        <f xml:space="preserve"> SUM( VfM_Metrics_2023_Entity[[#This Row],[Tangible fixed assets: Housing properties at cost (Current period)2]], VfM_Metrics_2023_Entity[[#This Row],[Tangible fixed assets Housing properties at valuation (Current period)2]] )</f>
        <v>141190</v>
      </c>
      <c r="AM33" s="84" vm="9972">
        <v>141190</v>
      </c>
      <c r="AN33" s="135">
        <v>0</v>
      </c>
      <c r="AO33" s="137">
        <f xml:space="preserve"> IFERROR( VfM_Metrics_2023_Entity[[#This Row],[EBITDA MRI]] / VfM_Metrics_2023_Entity[[#This Row],[Total interest]], "n/a" )</f>
        <v>1.268225238813474</v>
      </c>
      <c r="AP3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5045</v>
      </c>
      <c r="AQ33" s="84" vm="13594">
        <v>5269</v>
      </c>
      <c r="AR33" s="84" vm="14655">
        <v>360</v>
      </c>
      <c r="AS33" s="84" vm="14897">
        <v>394</v>
      </c>
      <c r="AT33" s="84" vm="13663">
        <v>289</v>
      </c>
      <c r="AU33" s="84" vm="13914">
        <v>0</v>
      </c>
      <c r="AV33" s="84" vm="14166">
        <v>218</v>
      </c>
      <c r="AW33" s="84" vm="14409">
        <v>3717</v>
      </c>
      <c r="AX33" s="84" vm="14656">
        <v>4318</v>
      </c>
      <c r="AY33" s="5">
        <f xml:space="preserve"> - SUM( VfM_Metrics_2023_Entity[[#This Row],[Interest capitalised]], VfM_Metrics_2023_Entity[[#This Row],[Interest payable and financing costs]] )</f>
        <v>3978</v>
      </c>
      <c r="AZ33" s="84" vm="15303">
        <v>0</v>
      </c>
      <c r="BA33" s="135" vm="15446">
        <v>-3978</v>
      </c>
      <c r="BB33" s="138">
        <f xml:space="preserve"> IFERROR( ( VfM_Metrics_2023_Entity[[#This Row],[Total Costs]] / VfM_Metrics_2023_Entity[[#This Row],[Total units for costs]] ) * 1000, "n/a" )</f>
        <v>4426.280393171236</v>
      </c>
      <c r="BC3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17112</v>
      </c>
      <c r="BD33" s="84" vm="15555">
        <v>4009</v>
      </c>
      <c r="BE33" s="84" vm="17462">
        <v>1410</v>
      </c>
      <c r="BF33" s="84" vm="15720">
        <v>3591</v>
      </c>
      <c r="BG33" s="84" vm="16380">
        <v>2031</v>
      </c>
      <c r="BH33" s="84" vm="15678">
        <v>430</v>
      </c>
      <c r="BI33" s="84" vm="16057">
        <v>0</v>
      </c>
      <c r="BJ33" s="84" vm="14409">
        <v>3717</v>
      </c>
      <c r="BK33" s="84" vm="17010">
        <v>47</v>
      </c>
      <c r="BL33" s="84">
        <v>0</v>
      </c>
      <c r="BM33" s="84" vm="17539">
        <v>960</v>
      </c>
      <c r="BN33" s="84" vm="15838">
        <v>917</v>
      </c>
      <c r="BO33" s="84">
        <v>0</v>
      </c>
      <c r="BP33" s="5" vm="17725">
        <f xml:space="preserve"> VfM_Metrics_2023_Entity[[#This Row],[Total social housing units owned and/or managed at period end]]</f>
        <v>3866</v>
      </c>
      <c r="BQ33" s="135" vm="17725">
        <v>3866</v>
      </c>
      <c r="BR33" s="134">
        <f xml:space="preserve"> IFERROR( VfM_Metrics_2023_Entity[[#This Row],[SHL operating surplus / (deficit)]] / VfM_Metrics_2023_Entity[[#This Row],[Turnover from social housing lettings]], "n/a" )</f>
        <v>0.23926258096661684</v>
      </c>
      <c r="BS33" s="5" vm="18010">
        <f xml:space="preserve"> VfM_Metrics_2023_Entity[[#This Row],[Operating surplus/(deficit) (social housing lettings)]]</f>
        <v>4802</v>
      </c>
      <c r="BT33" s="84" vm="18010">
        <v>4802</v>
      </c>
      <c r="BU33" s="5" vm="18158">
        <f xml:space="preserve"> VfM_Metrics_2023_Entity[[#This Row],[Turnover from social housing lettings]]</f>
        <v>20070</v>
      </c>
      <c r="BV33" s="135" vm="18158">
        <v>20070</v>
      </c>
      <c r="BW33" s="134">
        <f xml:space="preserve"> IFERROR( VfM_Metrics_2023_Entity[[#This Row],[Net operating surplus]] / VfM_Metrics_2023_Entity[[#This Row],[Overall turnover]], "n/a" )</f>
        <v>0.17057690128074351</v>
      </c>
      <c r="BX33" s="5">
        <f xml:space="preserve"> SUM( VfM_Metrics_2023_Entity[[#This Row],[Operating surplus/(deficit) (overall)2]], - VfM_Metrics_2023_Entity[[#This Row],[Gain/(loss) on disposal of fixed assets (housing properties)2]], - VfM_Metrics_2023_Entity[[#This Row],[Gain/(loss) on disposal of fixed assets (other)2]] )</f>
        <v>4515</v>
      </c>
      <c r="BY33" s="84" vm="13594">
        <v>5269</v>
      </c>
      <c r="BZ33" s="84" vm="14655">
        <v>360</v>
      </c>
      <c r="CA33" s="84" vm="14897">
        <v>394</v>
      </c>
      <c r="CB33" s="5" vm="18322">
        <f xml:space="preserve"> VfM_Metrics_2023_Entity[[#This Row],[Turnover (overall)]]</f>
        <v>26469</v>
      </c>
      <c r="CC33" s="135" vm="18322">
        <v>26469</v>
      </c>
      <c r="CD33" s="134">
        <f xml:space="preserve"> IFERROR( VfM_Metrics_2023_Entity[[#This Row],[Operating surplus including from JVs]] / VfM_Metrics_2023_Entity[[#This Row],[Net assets]], "n/a" )</f>
        <v>3.0793237059418267E-2</v>
      </c>
      <c r="CE33" s="5">
        <f xml:space="preserve"> SUM( VfM_Metrics_2023_Entity[[#This Row],[Operating surplus/(deficit) (overall)3]], VfM_Metrics_2023_Entity[[#This Row],[Share of operating surplus/(deficit) in joint ventures or associates]] )</f>
        <v>5269</v>
      </c>
      <c r="CF33" s="84" vm="13594">
        <v>5269</v>
      </c>
      <c r="CG33" s="84" vm="18530">
        <v>0</v>
      </c>
      <c r="CH33" s="5" vm="18735">
        <f xml:space="preserve"> VfM_Metrics_2023_Entity[[#This Row],[Total assets less current liabilities]]</f>
        <v>171109</v>
      </c>
      <c r="CI33" s="135" vm="18735">
        <v>171109</v>
      </c>
      <c r="CJ33" s="140" vm="11277">
        <f xml:space="preserve"> VfM_Metrics_2023_Entity[[#This Row],[Total social housing units owned (Period end)]]</f>
        <v>3720</v>
      </c>
      <c r="CK33" s="141">
        <v>2.644725242433147E-3</v>
      </c>
      <c r="CL33" s="69">
        <f xml:space="preserve"> -- ( VfM_Metrics_2023_Entity[[#This Row],[% Supported housing (excl. HOP)]] &gt; 0.3 )</f>
        <v>0</v>
      </c>
      <c r="CM33" s="9">
        <v>7.6990890390831623E-2</v>
      </c>
      <c r="CN33" s="69">
        <f xml:space="preserve"> -- ( VfM_Metrics_2023_Entity[[#This Row],[% Housing for older people]] &gt; 0.3 )</f>
        <v>0</v>
      </c>
      <c r="CO33" s="9">
        <f xml:space="preserve"> VfM_Metrics_2023_Entity[[#This Row],[% Supported housing (excl. HOP)]] + VfM_Metrics_2023_Entity[[#This Row],[% Housing for older people]]</f>
        <v>7.9635615633264767E-2</v>
      </c>
      <c r="CP33" s="69">
        <f xml:space="preserve"> -- ( VfM_Metrics_2023_Entity[[#This Row],[SH specialist in RSH analysis]] + VfM_Metrics_2023_Entity[[#This Row],[OP specialist in RSH analysis]] &gt; 0 )</f>
        <v>0</v>
      </c>
      <c r="CQ33" s="142">
        <f xml:space="preserve"> -- ( VfM_Metrics_2023_Entity[[#This Row],[% SH and OP]] &gt; 0.3 )</f>
        <v>0</v>
      </c>
      <c r="CR33" s="143" t="s">
        <v>143</v>
      </c>
      <c r="CS33" s="120"/>
      <c r="CT33" s="144" t="s">
        <v>144</v>
      </c>
      <c r="CU3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33" s="146">
        <v>0</v>
      </c>
      <c r="CW33" s="146">
        <v>0</v>
      </c>
      <c r="CX33" s="146">
        <v>0</v>
      </c>
      <c r="CY33" s="146">
        <v>0</v>
      </c>
      <c r="CZ33" s="146">
        <v>1</v>
      </c>
      <c r="DA33" s="146">
        <v>0</v>
      </c>
      <c r="DB33" s="146">
        <v>0</v>
      </c>
      <c r="DC33" s="146">
        <v>0</v>
      </c>
      <c r="DD33" s="146">
        <v>0</v>
      </c>
      <c r="DE33" s="126">
        <v>0.96459033333600952</v>
      </c>
    </row>
    <row r="34" spans="1:109" x14ac:dyDescent="0.25">
      <c r="A34" s="4" t="s" vm="294">
        <v>182</v>
      </c>
      <c r="B34" s="4" t="s" vm="9361">
        <v>183</v>
      </c>
      <c r="C34" s="121" vm="18759">
        <v>45016</v>
      </c>
      <c r="D34" s="68">
        <f>IFERROR( VfM_Metrics_2023_Entity[[#This Row],[Reinvestment Spend]] / VfM_Metrics_2023_Entity[[#This Row],[Net Book Value of Housing Properties]], "n/a" )</f>
        <v>5.2499564456285487E-2</v>
      </c>
      <c r="E3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69008</v>
      </c>
      <c r="F34" s="84" vm="10743">
        <v>44582</v>
      </c>
      <c r="G34" s="84" vm="9596">
        <v>0</v>
      </c>
      <c r="H34" s="84" vm="9653">
        <v>21193</v>
      </c>
      <c r="I34" s="84" vm="10522">
        <v>3233</v>
      </c>
      <c r="J34" s="84" vm="10918">
        <v>0</v>
      </c>
      <c r="K34" s="5">
        <f xml:space="preserve"> SUM( VfM_Metrics_2023_Entity[[#This Row],[Tangible fixed assets: Housing properties at cost (Current period)]],VfM_Metrics_2023_Entity[[#This Row],[Tangible fixed assets Housing properties at valuation (Current period)]] )</f>
        <v>1314449</v>
      </c>
      <c r="L34" s="84" vm="9486">
        <v>1314449</v>
      </c>
      <c r="M34" s="84" vm="10162">
        <v>0</v>
      </c>
      <c r="N34" s="134">
        <f xml:space="preserve"> IFERROR( VfM_Metrics_2023_Entity[[#This Row],[Total social units developed or newly built units acquired in-year]] / VfM_Metrics_2023_Entity[[#This Row],[Social housing units owned (period end)]], "n/a" )</f>
        <v>1.3788138878121713E-2</v>
      </c>
      <c r="O34" s="5">
        <f xml:space="preserve"> SUM( VfM_Metrics_2023_Entity[[#This Row],[Total social units developed or newly built units acquired in-year (owned)]], VfM_Metrics_2023_Entity[[#This Row],[Total social leasehold units developed or newly built units acquired in-year (owned)]] )</f>
        <v>249</v>
      </c>
      <c r="P34" s="84" vm="11081">
        <v>223</v>
      </c>
      <c r="Q34" s="84" vm="11203">
        <v>26</v>
      </c>
      <c r="R34" s="5">
        <f xml:space="preserve"> SUM( VfM_Metrics_2023_Entity[[#This Row],[Total social housing units owned (Period end)]], VfM_Metrics_2023_Entity[[#This Row],[Total social leasehold units owned (Period end)]] )</f>
        <v>18059</v>
      </c>
      <c r="S34" s="84" vm="11223">
        <v>17363</v>
      </c>
      <c r="T34" s="135" vm="11558">
        <v>696</v>
      </c>
      <c r="U34" s="136">
        <f xml:space="preserve"> IFERROR( VfM_Metrics_2023_Entity[[#This Row],[Total non-social housing units developed or newly built units acquired (owned)]] / VfM_Metrics_2023_Entity[[#This Row],[Total social and non-social housing units owned (Period end)]], "n/a" )</f>
        <v>0</v>
      </c>
      <c r="V3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34" s="84" vm="11562">
        <v>0</v>
      </c>
      <c r="X34" s="84" vm="11872">
        <v>0</v>
      </c>
      <c r="Y34" s="84" vm="11911">
        <v>0</v>
      </c>
      <c r="Z3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19053</v>
      </c>
      <c r="AA34" s="84" vm="11223">
        <v>17363</v>
      </c>
      <c r="AB34" s="84" vm="12421">
        <v>696</v>
      </c>
      <c r="AC34" s="84" vm="12331">
        <v>994</v>
      </c>
      <c r="AD34" s="135" vm="12479">
        <v>0</v>
      </c>
      <c r="AE34" s="134">
        <f xml:space="preserve"> IFERROR( VfM_Metrics_2023_Entity[[#This Row],[Total Net Debt]] / VfM_Metrics_2023_Entity[[#This Row],[Net Book Value of Housing Properties2]], "n/a" )</f>
        <v>0.6438287069334756</v>
      </c>
      <c r="AF3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846280</v>
      </c>
      <c r="AG34" s="84" vm="12553">
        <v>12500</v>
      </c>
      <c r="AH34" s="84" vm="12718">
        <v>552626</v>
      </c>
      <c r="AI34" s="84" vm="13101">
        <v>14849</v>
      </c>
      <c r="AJ34" s="84" vm="13190">
        <v>296003</v>
      </c>
      <c r="AK34" s="84" vm="13275">
        <v>0</v>
      </c>
      <c r="AL34" s="5">
        <f xml:space="preserve"> SUM( VfM_Metrics_2023_Entity[[#This Row],[Tangible fixed assets: Housing properties at cost (Current period)2]], VfM_Metrics_2023_Entity[[#This Row],[Tangible fixed assets Housing properties at valuation (Current period)2]] )</f>
        <v>1314449</v>
      </c>
      <c r="AM34" s="84" vm="9881">
        <v>1314449</v>
      </c>
      <c r="AN34" s="135" vm="10162">
        <v>0</v>
      </c>
      <c r="AO34" s="137">
        <f xml:space="preserve"> IFERROR( VfM_Metrics_2023_Entity[[#This Row],[EBITDA MRI]] / VfM_Metrics_2023_Entity[[#This Row],[Total interest]], "n/a" )</f>
        <v>1.3063149736764745</v>
      </c>
      <c r="AP3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48881</v>
      </c>
      <c r="AQ34" s="84" vm="13432">
        <v>56030</v>
      </c>
      <c r="AR34" s="84" vm="14898">
        <v>7924</v>
      </c>
      <c r="AS34" s="84" vm="13664">
        <v>0</v>
      </c>
      <c r="AT34" s="84" vm="13915">
        <v>0</v>
      </c>
      <c r="AU34" s="84" vm="14167">
        <v>0</v>
      </c>
      <c r="AV34" s="84" vm="14410">
        <v>860</v>
      </c>
      <c r="AW34" s="84" vm="14657">
        <v>21193</v>
      </c>
      <c r="AX34" s="84" vm="14899">
        <v>21108</v>
      </c>
      <c r="AY34" s="5">
        <f xml:space="preserve"> - SUM( VfM_Metrics_2023_Entity[[#This Row],[Interest capitalised]], VfM_Metrics_2023_Entity[[#This Row],[Interest payable and financing costs]] )</f>
        <v>37419</v>
      </c>
      <c r="AZ34" s="84" vm="15156">
        <v>-3233</v>
      </c>
      <c r="BA34" s="135" vm="15478">
        <v>-34186</v>
      </c>
      <c r="BB34" s="138">
        <f xml:space="preserve"> IFERROR( ( VfM_Metrics_2023_Entity[[#This Row],[Total Costs]] / VfM_Metrics_2023_Entity[[#This Row],[Total units for costs]] ) * 1000, "n/a" )</f>
        <v>4085.6994758970222</v>
      </c>
      <c r="BC3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70940</v>
      </c>
      <c r="BD34" s="84" vm="15664">
        <v>18518</v>
      </c>
      <c r="BE34" s="84" vm="16258">
        <v>11573</v>
      </c>
      <c r="BF34" s="84" vm="16772">
        <v>12667</v>
      </c>
      <c r="BG34" s="84" vm="17011">
        <v>4937</v>
      </c>
      <c r="BH34" s="84" vm="15721">
        <v>0</v>
      </c>
      <c r="BI34" s="84" vm="15679">
        <v>0</v>
      </c>
      <c r="BJ34" s="84" vm="16049">
        <v>21193</v>
      </c>
      <c r="BK34" s="84" vm="15666">
        <v>0</v>
      </c>
      <c r="BL34" s="84" vm="16685">
        <v>0</v>
      </c>
      <c r="BM34" s="84" vm="15846">
        <v>0</v>
      </c>
      <c r="BN34" s="84" vm="15773">
        <v>2052</v>
      </c>
      <c r="BO34" s="84" vm="16259">
        <v>0</v>
      </c>
      <c r="BP34" s="5" vm="17756">
        <f xml:space="preserve"> VfM_Metrics_2023_Entity[[#This Row],[Total social housing units owned and/or managed at period end]]</f>
        <v>17363</v>
      </c>
      <c r="BQ34" s="135" vm="17756">
        <v>17363</v>
      </c>
      <c r="BR34" s="134">
        <f xml:space="preserve"> IFERROR( VfM_Metrics_2023_Entity[[#This Row],[SHL operating surplus / (deficit)]] / VfM_Metrics_2023_Entity[[#This Row],[Turnover from social housing lettings]], "n/a" )</f>
        <v>0.3810990332662117</v>
      </c>
      <c r="BS34" s="5" vm="17835">
        <f xml:space="preserve"> VfM_Metrics_2023_Entity[[#This Row],[Operating surplus/(deficit) (social housing lettings)]]</f>
        <v>41826</v>
      </c>
      <c r="BT34" s="84" vm="17835">
        <v>41826</v>
      </c>
      <c r="BU34" s="5" vm="18043">
        <f xml:space="preserve"> VfM_Metrics_2023_Entity[[#This Row],[Turnover from social housing lettings]]</f>
        <v>109751</v>
      </c>
      <c r="BV34" s="135" vm="18043">
        <v>109751</v>
      </c>
      <c r="BW34" s="134">
        <f xml:space="preserve"> IFERROR( VfM_Metrics_2023_Entity[[#This Row],[Net operating surplus]] / VfM_Metrics_2023_Entity[[#This Row],[Overall turnover]], "n/a" )</f>
        <v>0.36168837027457823</v>
      </c>
      <c r="BX34" s="5">
        <f xml:space="preserve"> SUM( VfM_Metrics_2023_Entity[[#This Row],[Operating surplus/(deficit) (overall)2]], - VfM_Metrics_2023_Entity[[#This Row],[Gain/(loss) on disposal of fixed assets (housing properties)2]], - VfM_Metrics_2023_Entity[[#This Row],[Gain/(loss) on disposal of fixed assets (other)2]] )</f>
        <v>48106</v>
      </c>
      <c r="BY34" s="84" vm="13505">
        <v>56030</v>
      </c>
      <c r="BZ34" s="84" vm="14898">
        <v>7924</v>
      </c>
      <c r="CA34" s="84" vm="13664">
        <v>0</v>
      </c>
      <c r="CB34" s="5" vm="18246">
        <f xml:space="preserve"> VfM_Metrics_2023_Entity[[#This Row],[Turnover (overall)]]</f>
        <v>133004</v>
      </c>
      <c r="CC34" s="135" vm="18246">
        <v>133004</v>
      </c>
      <c r="CD34" s="134">
        <f xml:space="preserve"> IFERROR( VfM_Metrics_2023_Entity[[#This Row],[Operating surplus including from JVs]] / VfM_Metrics_2023_Entity[[#This Row],[Net assets]], "n/a" )</f>
        <v>4.0730132883603269E-2</v>
      </c>
      <c r="CE34" s="5">
        <f xml:space="preserve"> SUM( VfM_Metrics_2023_Entity[[#This Row],[Operating surplus/(deficit) (overall)3]], VfM_Metrics_2023_Entity[[#This Row],[Share of operating surplus/(deficit) in joint ventures or associates]] )</f>
        <v>56030</v>
      </c>
      <c r="CF34" s="84" vm="13432">
        <v>56030</v>
      </c>
      <c r="CG34" s="84" vm="18550">
        <v>0</v>
      </c>
      <c r="CH34" s="5" vm="18572">
        <f xml:space="preserve"> VfM_Metrics_2023_Entity[[#This Row],[Total assets less current liabilities]]</f>
        <v>1375640</v>
      </c>
      <c r="CI34" s="135" vm="18572">
        <v>1375640</v>
      </c>
      <c r="CJ34" s="140" vm="11223">
        <f xml:space="preserve"> VfM_Metrics_2023_Entity[[#This Row],[Total social housing units owned (Period end)]]</f>
        <v>17363</v>
      </c>
      <c r="CK34" s="141">
        <v>1.1210117849956885E-2</v>
      </c>
      <c r="CL34" s="69">
        <f xml:space="preserve"> -- ( VfM_Metrics_2023_Entity[[#This Row],[% Supported housing (excl. HOP)]] &gt; 0.3 )</f>
        <v>0</v>
      </c>
      <c r="CM34" s="9">
        <v>5.8005173900546131E-2</v>
      </c>
      <c r="CN34" s="69">
        <f xml:space="preserve"> -- ( VfM_Metrics_2023_Entity[[#This Row],[% Housing for older people]] &gt; 0.3 )</f>
        <v>0</v>
      </c>
      <c r="CO34" s="9">
        <f xml:space="preserve"> VfM_Metrics_2023_Entity[[#This Row],[% Supported housing (excl. HOP)]] + VfM_Metrics_2023_Entity[[#This Row],[% Housing for older people]]</f>
        <v>6.9215291750503019E-2</v>
      </c>
      <c r="CP34" s="69">
        <f xml:space="preserve"> -- ( VfM_Metrics_2023_Entity[[#This Row],[SH specialist in RSH analysis]] + VfM_Metrics_2023_Entity[[#This Row],[OP specialist in RSH analysis]] &gt; 0 )</f>
        <v>0</v>
      </c>
      <c r="CQ34" s="142">
        <f xml:space="preserve"> -- ( VfM_Metrics_2023_Entity[[#This Row],[% SH and OP]] &gt; 0.3 )</f>
        <v>0</v>
      </c>
      <c r="CR34" s="143" t="s">
        <v>143</v>
      </c>
      <c r="CS34" s="120"/>
      <c r="CT34" s="144" t="s">
        <v>151</v>
      </c>
      <c r="CU3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34" s="146">
        <v>0</v>
      </c>
      <c r="CW34" s="146">
        <v>0.11513653625896679</v>
      </c>
      <c r="CX34" s="146">
        <v>2.7126409066248721E-3</v>
      </c>
      <c r="CY34" s="146">
        <v>6.8659955392127311E-2</v>
      </c>
      <c r="CZ34" s="146">
        <v>6.0280909036108268E-5</v>
      </c>
      <c r="DA34" s="146">
        <v>0.81337030562420887</v>
      </c>
      <c r="DB34" s="146">
        <v>0</v>
      </c>
      <c r="DC34" s="146">
        <v>0</v>
      </c>
      <c r="DD34" s="146">
        <v>6.0280909036108268E-5</v>
      </c>
      <c r="DE34" s="126">
        <v>1.0090973806214263</v>
      </c>
    </row>
    <row r="35" spans="1:109" x14ac:dyDescent="0.25">
      <c r="A35" s="4" t="s" vm="324">
        <v>184</v>
      </c>
      <c r="B35" s="4" t="s" vm="9282">
        <v>185</v>
      </c>
      <c r="C35" s="121" vm="18787">
        <v>45016</v>
      </c>
      <c r="D35" s="68">
        <f>IFERROR( VfM_Metrics_2023_Entity[[#This Row],[Reinvestment Spend]] / VfM_Metrics_2023_Entity[[#This Row],[Net Book Value of Housing Properties]], "n/a" )</f>
        <v>3.3688765260392523E-2</v>
      </c>
      <c r="E3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8066</v>
      </c>
      <c r="F35" s="84" vm="10007">
        <v>4734</v>
      </c>
      <c r="G35" s="84" vm="10375">
        <v>0</v>
      </c>
      <c r="H35" s="84" vm="9597">
        <v>2058</v>
      </c>
      <c r="I35" s="84" vm="9654">
        <v>1274</v>
      </c>
      <c r="J35" s="84" vm="9707">
        <v>0</v>
      </c>
      <c r="K35" s="5">
        <f xml:space="preserve"> SUM( VfM_Metrics_2023_Entity[[#This Row],[Tangible fixed assets: Housing properties at cost (Current period)]],VfM_Metrics_2023_Entity[[#This Row],[Tangible fixed assets Housing properties at valuation (Current period)]] )</f>
        <v>239427</v>
      </c>
      <c r="L35" s="84" vm="10013">
        <v>239427</v>
      </c>
      <c r="M35" s="84" vm="10475">
        <v>0</v>
      </c>
      <c r="N35" s="134">
        <f xml:space="preserve"> IFERROR( VfM_Metrics_2023_Entity[[#This Row],[Total social units developed or newly built units acquired in-year]] / VfM_Metrics_2023_Entity[[#This Row],[Social housing units owned (period end)]], "n/a" )</f>
        <v>1.0328638497652582E-2</v>
      </c>
      <c r="O35" s="5">
        <f xml:space="preserve"> SUM( VfM_Metrics_2023_Entity[[#This Row],[Total social units developed or newly built units acquired in-year (owned)]], VfM_Metrics_2023_Entity[[#This Row],[Total social leasehold units developed or newly built units acquired in-year (owned)]] )</f>
        <v>33</v>
      </c>
      <c r="P35" s="84" vm="10993">
        <v>33</v>
      </c>
      <c r="Q35" s="84">
        <v>0</v>
      </c>
      <c r="R35" s="5">
        <f xml:space="preserve"> SUM( VfM_Metrics_2023_Entity[[#This Row],[Total social housing units owned (Period end)]], VfM_Metrics_2023_Entity[[#This Row],[Total social leasehold units owned (Period end)]] )</f>
        <v>3195</v>
      </c>
      <c r="S35" s="84" vm="11250">
        <v>3195</v>
      </c>
      <c r="T35" s="135" vm="11407">
        <v>0</v>
      </c>
      <c r="U35" s="136">
        <f xml:space="preserve"> IFERROR( VfM_Metrics_2023_Entity[[#This Row],[Total non-social housing units developed or newly built units acquired (owned)]] / VfM_Metrics_2023_Entity[[#This Row],[Total social and non-social housing units owned (Period end)]], "n/a" )</f>
        <v>0</v>
      </c>
      <c r="V3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35" s="84">
        <v>0</v>
      </c>
      <c r="X35" s="84">
        <v>0</v>
      </c>
      <c r="Y35" s="84" vm="11716">
        <v>0</v>
      </c>
      <c r="Z3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3216</v>
      </c>
      <c r="AA35" s="84" vm="11986">
        <v>3195</v>
      </c>
      <c r="AB35" s="84" vm="11407">
        <v>0</v>
      </c>
      <c r="AC35" s="84" vm="12073">
        <v>0</v>
      </c>
      <c r="AD35" s="135" vm="12236">
        <v>21</v>
      </c>
      <c r="AE35" s="134">
        <f xml:space="preserve"> IFERROR( VfM_Metrics_2023_Entity[[#This Row],[Total Net Debt]] / VfM_Metrics_2023_Entity[[#This Row],[Net Book Value of Housing Properties2]], "n/a" )</f>
        <v>0.36341348302405324</v>
      </c>
      <c r="AF3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87011</v>
      </c>
      <c r="AG35" s="84" vm="12584">
        <v>6586</v>
      </c>
      <c r="AH35" s="84" vm="12718">
        <v>89972</v>
      </c>
      <c r="AI35" s="84" vm="12839">
        <v>9547</v>
      </c>
      <c r="AJ35" s="84" vm="13017">
        <v>0</v>
      </c>
      <c r="AK35" s="84" vm="13102">
        <v>0</v>
      </c>
      <c r="AL35" s="5">
        <f xml:space="preserve"> SUM( VfM_Metrics_2023_Entity[[#This Row],[Tangible fixed assets: Housing properties at cost (Current period)2]], VfM_Metrics_2023_Entity[[#This Row],[Tangible fixed assets Housing properties at valuation (Current period)2]] )</f>
        <v>239427</v>
      </c>
      <c r="AM35" s="84" vm="13370">
        <v>239427</v>
      </c>
      <c r="AN35" s="135" vm="10082">
        <v>0</v>
      </c>
      <c r="AO35" s="137">
        <f xml:space="preserve"> IFERROR( VfM_Metrics_2023_Entity[[#This Row],[EBITDA MRI]] / VfM_Metrics_2023_Entity[[#This Row],[Total interest]], "n/a" )</f>
        <v>1.0761925318368228</v>
      </c>
      <c r="AP3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4986</v>
      </c>
      <c r="AQ35" s="84" vm="13470">
        <v>4662</v>
      </c>
      <c r="AR35" s="84" vm="13665">
        <v>369</v>
      </c>
      <c r="AS35" s="84" vm="13916">
        <v>0</v>
      </c>
      <c r="AT35" s="84" vm="14168">
        <v>648</v>
      </c>
      <c r="AU35" s="84" vm="14411">
        <v>79</v>
      </c>
      <c r="AV35" s="84" vm="14658">
        <v>61</v>
      </c>
      <c r="AW35" s="84" vm="14900">
        <v>2058</v>
      </c>
      <c r="AX35" s="84" vm="13666">
        <v>3417</v>
      </c>
      <c r="AY35" s="5">
        <f xml:space="preserve"> - SUM( VfM_Metrics_2023_Entity[[#This Row],[Interest capitalised]], VfM_Metrics_2023_Entity[[#This Row],[Interest payable and financing costs]] )</f>
        <v>4633</v>
      </c>
      <c r="AZ35" s="84" vm="15147">
        <v>-1274</v>
      </c>
      <c r="BA35" s="135" vm="15314">
        <v>-3359</v>
      </c>
      <c r="BB35" s="138">
        <f xml:space="preserve"> IFERROR( ( VfM_Metrics_2023_Entity[[#This Row],[Total Costs]] / VfM_Metrics_2023_Entity[[#This Row],[Total units for costs]] ) * 1000, "n/a" )</f>
        <v>4553.4767695665732</v>
      </c>
      <c r="BC3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14603</v>
      </c>
      <c r="BD35" s="84" vm="15512">
        <v>2950</v>
      </c>
      <c r="BE35" s="84" vm="17228">
        <v>1176</v>
      </c>
      <c r="BF35" s="84" vm="15839">
        <v>7364</v>
      </c>
      <c r="BG35" s="84" vm="17540">
        <v>650</v>
      </c>
      <c r="BH35" s="84" vm="16261">
        <v>71</v>
      </c>
      <c r="BI35" s="84" vm="16602">
        <v>285</v>
      </c>
      <c r="BJ35" s="84" vm="15681">
        <v>2058</v>
      </c>
      <c r="BK35" s="84" vm="15546">
        <v>0</v>
      </c>
      <c r="BL35" s="84" vm="16050">
        <v>0</v>
      </c>
      <c r="BM35" s="84" vm="17539">
        <v>49</v>
      </c>
      <c r="BN35" s="84" vm="14184">
        <v>0</v>
      </c>
      <c r="BO35" s="84" vm="15668">
        <v>0</v>
      </c>
      <c r="BP35" s="5" vm="17619">
        <f xml:space="preserve"> VfM_Metrics_2023_Entity[[#This Row],[Total social housing units owned and/or managed at period end]]</f>
        <v>3207</v>
      </c>
      <c r="BQ35" s="135" vm="17619">
        <v>3207</v>
      </c>
      <c r="BR35" s="134">
        <f xml:space="preserve"> IFERROR( VfM_Metrics_2023_Entity[[#This Row],[SHL operating surplus / (deficit)]] / VfM_Metrics_2023_Entity[[#This Row],[Turnover from social housing lettings]], "n/a" )</f>
        <v>0.17319354507143592</v>
      </c>
      <c r="BS35" s="5" vm="17873">
        <f xml:space="preserve"> VfM_Metrics_2023_Entity[[#This Row],[Operating surplus/(deficit) (social housing lettings)]]</f>
        <v>3370</v>
      </c>
      <c r="BT35" s="84" vm="17873">
        <v>3370</v>
      </c>
      <c r="BU35" s="5" vm="18058">
        <f xml:space="preserve"> VfM_Metrics_2023_Entity[[#This Row],[Turnover from social housing lettings]]</f>
        <v>19458</v>
      </c>
      <c r="BV35" s="135" vm="18058">
        <v>19458</v>
      </c>
      <c r="BW35" s="134">
        <f xml:space="preserve"> IFERROR( VfM_Metrics_2023_Entity[[#This Row],[Net operating surplus]] / VfM_Metrics_2023_Entity[[#This Row],[Overall turnover]], "n/a" )</f>
        <v>0.18720565149136578</v>
      </c>
      <c r="BX35" s="5">
        <f xml:space="preserve"> SUM( VfM_Metrics_2023_Entity[[#This Row],[Operating surplus/(deficit) (overall)2]], - VfM_Metrics_2023_Entity[[#This Row],[Gain/(loss) on disposal of fixed assets (housing properties)2]], - VfM_Metrics_2023_Entity[[#This Row],[Gain/(loss) on disposal of fixed assets (other)2]] )</f>
        <v>4293</v>
      </c>
      <c r="BY35" s="84" vm="13470">
        <v>4662</v>
      </c>
      <c r="BZ35" s="84" vm="13665">
        <v>369</v>
      </c>
      <c r="CA35" s="84" vm="13916">
        <v>0</v>
      </c>
      <c r="CB35" s="5" vm="18259">
        <f xml:space="preserve"> VfM_Metrics_2023_Entity[[#This Row],[Turnover (overall)]]</f>
        <v>22932</v>
      </c>
      <c r="CC35" s="135" vm="18259">
        <v>22932</v>
      </c>
      <c r="CD35" s="134">
        <f xml:space="preserve"> IFERROR( VfM_Metrics_2023_Entity[[#This Row],[Operating surplus including from JVs]] / VfM_Metrics_2023_Entity[[#This Row],[Net assets]], "n/a" )</f>
        <v>1.9362314506784287E-2</v>
      </c>
      <c r="CE35" s="5">
        <f xml:space="preserve"> SUM( VfM_Metrics_2023_Entity[[#This Row],[Operating surplus/(deficit) (overall)3]], VfM_Metrics_2023_Entity[[#This Row],[Share of operating surplus/(deficit) in joint ventures or associates]] )</f>
        <v>4662</v>
      </c>
      <c r="CF35" s="84" vm="15131">
        <v>4662</v>
      </c>
      <c r="CG35" s="84" vm="18445">
        <v>0</v>
      </c>
      <c r="CH35" s="5" vm="18610">
        <f xml:space="preserve"> VfM_Metrics_2023_Entity[[#This Row],[Total assets less current liabilities]]</f>
        <v>240777</v>
      </c>
      <c r="CI35" s="135" vm="18610">
        <v>240777</v>
      </c>
      <c r="CJ35" s="140" vm="11250">
        <f xml:space="preserve"> VfM_Metrics_2023_Entity[[#This Row],[Total social housing units owned (Period end)]]</f>
        <v>3195</v>
      </c>
      <c r="CK35" s="141">
        <v>5.284680717206669E-2</v>
      </c>
      <c r="CL35" s="69">
        <f xml:space="preserve"> -- ( VfM_Metrics_2023_Entity[[#This Row],[% Supported housing (excl. HOP)]] &gt; 0.3 )</f>
        <v>0</v>
      </c>
      <c r="CM35" s="9">
        <v>1.1953444479396037E-2</v>
      </c>
      <c r="CN35" s="69">
        <f xml:space="preserve"> -- ( VfM_Metrics_2023_Entity[[#This Row],[% Housing for older people]] &gt; 0.3 )</f>
        <v>0</v>
      </c>
      <c r="CO35" s="9">
        <f xml:space="preserve"> VfM_Metrics_2023_Entity[[#This Row],[% Supported housing (excl. HOP)]] + VfM_Metrics_2023_Entity[[#This Row],[% Housing for older people]]</f>
        <v>6.480025165146272E-2</v>
      </c>
      <c r="CP35" s="69">
        <f xml:space="preserve"> -- ( VfM_Metrics_2023_Entity[[#This Row],[SH specialist in RSH analysis]] + VfM_Metrics_2023_Entity[[#This Row],[OP specialist in RSH analysis]] &gt; 0 )</f>
        <v>0</v>
      </c>
      <c r="CQ35" s="142">
        <f xml:space="preserve"> -- ( VfM_Metrics_2023_Entity[[#This Row],[% SH and OP]] &gt; 0.3 )</f>
        <v>0</v>
      </c>
      <c r="CR35" s="143" t="s">
        <v>143</v>
      </c>
      <c r="CS35" s="120"/>
      <c r="CT35" s="144" t="s">
        <v>144</v>
      </c>
      <c r="CU3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35" s="146">
        <v>0</v>
      </c>
      <c r="CW35" s="146">
        <v>0</v>
      </c>
      <c r="CX35" s="146">
        <v>1</v>
      </c>
      <c r="CY35" s="146">
        <v>0</v>
      </c>
      <c r="CZ35" s="146">
        <v>0</v>
      </c>
      <c r="DA35" s="146">
        <v>0</v>
      </c>
      <c r="DB35" s="146">
        <v>0</v>
      </c>
      <c r="DC35" s="146">
        <v>0</v>
      </c>
      <c r="DD35" s="146">
        <v>0</v>
      </c>
      <c r="DE35" s="126">
        <v>0.97511902715076015</v>
      </c>
    </row>
    <row r="36" spans="1:109" x14ac:dyDescent="0.25">
      <c r="A36" s="4" t="s" vm="366">
        <v>186</v>
      </c>
      <c r="B36" s="4" t="s" vm="10643">
        <v>187</v>
      </c>
      <c r="C36" s="121" vm="18837">
        <v>45016</v>
      </c>
      <c r="D36" s="68">
        <f>IFERROR( VfM_Metrics_2023_Entity[[#This Row],[Reinvestment Spend]] / VfM_Metrics_2023_Entity[[#This Row],[Net Book Value of Housing Properties]], "n/a" )</f>
        <v>5.450266353968302E-2</v>
      </c>
      <c r="E3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19777</v>
      </c>
      <c r="F36" s="84" vm="9988">
        <v>14933</v>
      </c>
      <c r="G36" s="84" vm="9475">
        <v>0</v>
      </c>
      <c r="H36" s="84" vm="10551">
        <v>4430</v>
      </c>
      <c r="I36" s="84" vm="9598">
        <v>414</v>
      </c>
      <c r="J36" s="84" vm="10221">
        <v>0</v>
      </c>
      <c r="K36" s="5">
        <f xml:space="preserve"> SUM( VfM_Metrics_2023_Entity[[#This Row],[Tangible fixed assets: Housing properties at cost (Current period)]],VfM_Metrics_2023_Entity[[#This Row],[Tangible fixed assets Housing properties at valuation (Current period)]] )</f>
        <v>362863</v>
      </c>
      <c r="L36" s="84" vm="10286">
        <v>362863</v>
      </c>
      <c r="M36" s="84">
        <v>0</v>
      </c>
      <c r="N36" s="134">
        <f xml:space="preserve"> IFERROR( VfM_Metrics_2023_Entity[[#This Row],[Total social units developed or newly built units acquired in-year]] / VfM_Metrics_2023_Entity[[#This Row],[Social housing units owned (period end)]], "n/a" )</f>
        <v>1.6526442307692308E-2</v>
      </c>
      <c r="O36" s="5">
        <f xml:space="preserve"> SUM( VfM_Metrics_2023_Entity[[#This Row],[Total social units developed or newly built units acquired in-year (owned)]], VfM_Metrics_2023_Entity[[#This Row],[Total social leasehold units developed or newly built units acquired in-year (owned)]] )</f>
        <v>110</v>
      </c>
      <c r="P36" s="84" vm="10954">
        <v>110</v>
      </c>
      <c r="Q36" s="84">
        <v>0</v>
      </c>
      <c r="R36" s="5">
        <f xml:space="preserve"> SUM( VfM_Metrics_2023_Entity[[#This Row],[Total social housing units owned (Period end)]], VfM_Metrics_2023_Entity[[#This Row],[Total social leasehold units owned (Period end)]] )</f>
        <v>6656</v>
      </c>
      <c r="S36" s="84" vm="11235">
        <v>6656</v>
      </c>
      <c r="T36" s="135" vm="11421">
        <v>0</v>
      </c>
      <c r="U36" s="136">
        <f xml:space="preserve"> IFERROR( VfM_Metrics_2023_Entity[[#This Row],[Total non-social housing units developed or newly built units acquired (owned)]] / VfM_Metrics_2023_Entity[[#This Row],[Total social and non-social housing units owned (Period end)]], "n/a" )</f>
        <v>0</v>
      </c>
      <c r="V3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36" s="84">
        <v>0</v>
      </c>
      <c r="X36" s="84">
        <v>0</v>
      </c>
      <c r="Y36" s="84" vm="11822">
        <v>0</v>
      </c>
      <c r="Z3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6656</v>
      </c>
      <c r="AA36" s="84" vm="11235">
        <v>6656</v>
      </c>
      <c r="AB36" s="84" vm="11421">
        <v>0</v>
      </c>
      <c r="AC36" s="84" vm="12332">
        <v>0</v>
      </c>
      <c r="AD36" s="135" vm="12480">
        <v>0</v>
      </c>
      <c r="AE36" s="134">
        <f xml:space="preserve"> IFERROR( VfM_Metrics_2023_Entity[[#This Row],[Total Net Debt]] / VfM_Metrics_2023_Entity[[#This Row],[Net Book Value of Housing Properties2]], "n/a" )</f>
        <v>0.4714782162965086</v>
      </c>
      <c r="AF3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171082</v>
      </c>
      <c r="AG36" s="84" vm="12608">
        <v>900</v>
      </c>
      <c r="AH36" s="84" vm="13191">
        <v>171655</v>
      </c>
      <c r="AI36" s="84" vm="13276">
        <v>1473</v>
      </c>
      <c r="AJ36" s="84">
        <v>0</v>
      </c>
      <c r="AK36" s="84" vm="12840">
        <v>0</v>
      </c>
      <c r="AL36" s="5">
        <f xml:space="preserve"> SUM( VfM_Metrics_2023_Entity[[#This Row],[Tangible fixed assets: Housing properties at cost (Current period)2]], VfM_Metrics_2023_Entity[[#This Row],[Tangible fixed assets Housing properties at valuation (Current period)2]] )</f>
        <v>362863</v>
      </c>
      <c r="AM36" s="84" vm="9914">
        <v>362863</v>
      </c>
      <c r="AN36" s="135">
        <v>0</v>
      </c>
      <c r="AO36" s="137">
        <f xml:space="preserve"> IFERROR( VfM_Metrics_2023_Entity[[#This Row],[EBITDA MRI]] / VfM_Metrics_2023_Entity[[#This Row],[Total interest]], "n/a" )</f>
        <v>1.3597727003669942</v>
      </c>
      <c r="AP3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11486</v>
      </c>
      <c r="AQ36" s="84" vm="13502">
        <v>7709</v>
      </c>
      <c r="AR36" s="84" vm="13917">
        <v>486</v>
      </c>
      <c r="AS36" s="84">
        <v>0</v>
      </c>
      <c r="AT36" s="84" vm="14412">
        <v>132</v>
      </c>
      <c r="AU36" s="84" vm="14659">
        <v>0</v>
      </c>
      <c r="AV36" s="84" vm="14901">
        <v>518</v>
      </c>
      <c r="AW36" s="84" vm="13667">
        <v>4430</v>
      </c>
      <c r="AX36" s="84" vm="13918">
        <v>8307</v>
      </c>
      <c r="AY36" s="5">
        <f xml:space="preserve"> - SUM( VfM_Metrics_2023_Entity[[#This Row],[Interest capitalised]], VfM_Metrics_2023_Entity[[#This Row],[Interest payable and financing costs]] )</f>
        <v>8447</v>
      </c>
      <c r="AZ36" s="84" vm="15189">
        <v>-414</v>
      </c>
      <c r="BA36" s="135" vm="15351">
        <v>-8033</v>
      </c>
      <c r="BB36" s="138">
        <f xml:space="preserve"> IFERROR( ( VfM_Metrics_2023_Entity[[#This Row],[Total Costs]] / VfM_Metrics_2023_Entity[[#This Row],[Total units for costs]] ) * 1000, "n/a" )</f>
        <v>4623.7980769230762</v>
      </c>
      <c r="BC3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30776</v>
      </c>
      <c r="BD36" s="84" vm="16603">
        <v>1457</v>
      </c>
      <c r="BE36" s="84" vm="15683">
        <v>3402</v>
      </c>
      <c r="BF36" s="84" vm="16059">
        <v>9360</v>
      </c>
      <c r="BG36" s="84" vm="17012">
        <v>591</v>
      </c>
      <c r="BH36" s="84" vm="17083">
        <v>5704</v>
      </c>
      <c r="BI36" s="84" vm="17228">
        <v>0</v>
      </c>
      <c r="BJ36" s="84" vm="16262">
        <v>4430</v>
      </c>
      <c r="BK36" s="84" vm="16060">
        <v>0</v>
      </c>
      <c r="BL36" s="84" vm="15670">
        <v>1546</v>
      </c>
      <c r="BM36" s="84" vm="16684">
        <v>107</v>
      </c>
      <c r="BN36" s="84" vm="15841">
        <v>1782</v>
      </c>
      <c r="BO36" s="84" vm="16373">
        <v>2397</v>
      </c>
      <c r="BP36" s="5" vm="17830">
        <f xml:space="preserve"> VfM_Metrics_2023_Entity[[#This Row],[Total social housing units owned and/or managed at period end]]</f>
        <v>6656</v>
      </c>
      <c r="BQ36" s="135" vm="17830">
        <v>6656</v>
      </c>
      <c r="BR36" s="134">
        <f xml:space="preserve"> IFERROR( VfM_Metrics_2023_Entity[[#This Row],[SHL operating surplus / (deficit)]] / VfM_Metrics_2023_Entity[[#This Row],[Turnover from social housing lettings]], "n/a" )</f>
        <v>0.2107843137254902</v>
      </c>
      <c r="BS36" s="5" vm="17910">
        <f xml:space="preserve"> VfM_Metrics_2023_Entity[[#This Row],[Operating surplus/(deficit) (social housing lettings)]]</f>
        <v>7568</v>
      </c>
      <c r="BT36" s="84" vm="17910">
        <v>7568</v>
      </c>
      <c r="BU36" s="5" vm="18110">
        <f xml:space="preserve"> VfM_Metrics_2023_Entity[[#This Row],[Turnover from social housing lettings]]</f>
        <v>35904</v>
      </c>
      <c r="BV36" s="135" vm="18110">
        <v>35904</v>
      </c>
      <c r="BW36" s="134">
        <f xml:space="preserve"> IFERROR( VfM_Metrics_2023_Entity[[#This Row],[Net operating surplus]] / VfM_Metrics_2023_Entity[[#This Row],[Overall turnover]], "n/a" )</f>
        <v>0.16702895199334011</v>
      </c>
      <c r="BX36" s="5">
        <f xml:space="preserve"> SUM( VfM_Metrics_2023_Entity[[#This Row],[Operating surplus/(deficit) (overall)2]], - VfM_Metrics_2023_Entity[[#This Row],[Gain/(loss) on disposal of fixed assets (housing properties)2]], - VfM_Metrics_2023_Entity[[#This Row],[Gain/(loss) on disposal of fixed assets (other)2]] )</f>
        <v>7223</v>
      </c>
      <c r="BY36" s="84" vm="13502">
        <v>7709</v>
      </c>
      <c r="BZ36" s="84" vm="13917">
        <v>486</v>
      </c>
      <c r="CA36" s="84">
        <v>0</v>
      </c>
      <c r="CB36" s="5" vm="18259">
        <f xml:space="preserve"> VfM_Metrics_2023_Entity[[#This Row],[Turnover (overall)]]</f>
        <v>43244</v>
      </c>
      <c r="CC36" s="135" vm="18259">
        <v>43244</v>
      </c>
      <c r="CD36" s="134">
        <f xml:space="preserve"> IFERROR( VfM_Metrics_2023_Entity[[#This Row],[Operating surplus including from JVs]] / VfM_Metrics_2023_Entity[[#This Row],[Net assets]], "n/a" )</f>
        <v>2.0315872417691595E-2</v>
      </c>
      <c r="CE36" s="5">
        <f xml:space="preserve"> SUM( VfM_Metrics_2023_Entity[[#This Row],[Operating surplus/(deficit) (overall)3]], VfM_Metrics_2023_Entity[[#This Row],[Share of operating surplus/(deficit) in joint ventures or associates]] )</f>
        <v>7709</v>
      </c>
      <c r="CF36" s="84" vm="13502">
        <v>7709</v>
      </c>
      <c r="CG36" s="84">
        <v>0</v>
      </c>
      <c r="CH36" s="5" vm="18646">
        <f xml:space="preserve"> VfM_Metrics_2023_Entity[[#This Row],[Total assets less current liabilities]]</f>
        <v>379457</v>
      </c>
      <c r="CI36" s="135" vm="18646">
        <v>379457</v>
      </c>
      <c r="CJ36" s="140" vm="11235">
        <f xml:space="preserve"> VfM_Metrics_2023_Entity[[#This Row],[Total social housing units owned (Period end)]]</f>
        <v>6656</v>
      </c>
      <c r="CK36" s="141">
        <v>3.896103896103896E-2</v>
      </c>
      <c r="CL36" s="69">
        <f xml:space="preserve"> -- ( VfM_Metrics_2023_Entity[[#This Row],[% Supported housing (excl. HOP)]] &gt; 0.3 )</f>
        <v>0</v>
      </c>
      <c r="CM36" s="9">
        <v>0</v>
      </c>
      <c r="CN36" s="69">
        <f xml:space="preserve"> -- ( VfM_Metrics_2023_Entity[[#This Row],[% Housing for older people]] &gt; 0.3 )</f>
        <v>0</v>
      </c>
      <c r="CO36" s="9">
        <f xml:space="preserve"> VfM_Metrics_2023_Entity[[#This Row],[% Supported housing (excl. HOP)]] + VfM_Metrics_2023_Entity[[#This Row],[% Housing for older people]]</f>
        <v>3.896103896103896E-2</v>
      </c>
      <c r="CP36" s="69">
        <f xml:space="preserve"> -- ( VfM_Metrics_2023_Entity[[#This Row],[SH specialist in RSH analysis]] + VfM_Metrics_2023_Entity[[#This Row],[OP specialist in RSH analysis]] &gt; 0 )</f>
        <v>0</v>
      </c>
      <c r="CQ36" s="142">
        <f xml:space="preserve"> -- ( VfM_Metrics_2023_Entity[[#This Row],[% SH and OP]] &gt; 0.3 )</f>
        <v>0</v>
      </c>
      <c r="CR36" s="143" t="s">
        <v>143</v>
      </c>
      <c r="CS36" s="120"/>
      <c r="CT36" s="144" t="s">
        <v>151</v>
      </c>
      <c r="CU3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36" s="146">
        <v>0</v>
      </c>
      <c r="CW36" s="146">
        <v>0</v>
      </c>
      <c r="CX36" s="146">
        <v>0</v>
      </c>
      <c r="CY36" s="146">
        <v>0</v>
      </c>
      <c r="CZ36" s="146">
        <v>0</v>
      </c>
      <c r="DA36" s="146">
        <v>0</v>
      </c>
      <c r="DB36" s="146">
        <v>4.9586776859504135E-3</v>
      </c>
      <c r="DC36" s="146">
        <v>0</v>
      </c>
      <c r="DD36" s="146">
        <v>0.99504132231404963</v>
      </c>
      <c r="DE36" s="126">
        <v>0.94440256806946365</v>
      </c>
    </row>
    <row r="37" spans="1:109" x14ac:dyDescent="0.25">
      <c r="A37" s="4" t="s" vm="391">
        <v>188</v>
      </c>
      <c r="B37" s="4" t="s" vm="9302">
        <v>189</v>
      </c>
      <c r="C37" s="121" vm="18824">
        <v>45016</v>
      </c>
      <c r="D37" s="68">
        <f>IFERROR( VfM_Metrics_2023_Entity[[#This Row],[Reinvestment Spend]] / VfM_Metrics_2023_Entity[[#This Row],[Net Book Value of Housing Properties]], "n/a" )</f>
        <v>6.8375706931452312E-2</v>
      </c>
      <c r="E3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24253</v>
      </c>
      <c r="F37" s="84" vm="9417">
        <v>14045</v>
      </c>
      <c r="G37" s="84" vm="9786">
        <v>5445</v>
      </c>
      <c r="H37" s="84" vm="10633">
        <v>4214</v>
      </c>
      <c r="I37" s="84" vm="9555">
        <v>549</v>
      </c>
      <c r="J37" s="84" vm="9599">
        <v>0</v>
      </c>
      <c r="K37" s="5">
        <f xml:space="preserve"> SUM( VfM_Metrics_2023_Entity[[#This Row],[Tangible fixed assets: Housing properties at cost (Current period)]],VfM_Metrics_2023_Entity[[#This Row],[Tangible fixed assets Housing properties at valuation (Current period)]] )</f>
        <v>354702</v>
      </c>
      <c r="L37" s="84" vm="10696">
        <v>354702</v>
      </c>
      <c r="M37" s="84">
        <v>0</v>
      </c>
      <c r="N37" s="134">
        <f xml:space="preserve"> IFERROR( VfM_Metrics_2023_Entity[[#This Row],[Total social units developed or newly built units acquired in-year]] / VfM_Metrics_2023_Entity[[#This Row],[Social housing units owned (period end)]], "n/a" )</f>
        <v>2.487382840663302E-2</v>
      </c>
      <c r="O37" s="5">
        <f xml:space="preserve"> SUM( VfM_Metrics_2023_Entity[[#This Row],[Total social units developed or newly built units acquired in-year (owned)]], VfM_Metrics_2023_Entity[[#This Row],[Total social leasehold units developed or newly built units acquired in-year (owned)]] )</f>
        <v>138</v>
      </c>
      <c r="P37" s="84" vm="11006">
        <v>138</v>
      </c>
      <c r="Q37" s="84">
        <v>0</v>
      </c>
      <c r="R37" s="5">
        <f xml:space="preserve"> SUM( VfM_Metrics_2023_Entity[[#This Row],[Total social housing units owned (Period end)]], VfM_Metrics_2023_Entity[[#This Row],[Total social leasehold units owned (Period end)]] )</f>
        <v>5548</v>
      </c>
      <c r="S37" s="84" vm="11251">
        <v>5548</v>
      </c>
      <c r="T37" s="135" vm="11408">
        <v>0</v>
      </c>
      <c r="U37" s="136">
        <f xml:space="preserve"> IFERROR( VfM_Metrics_2023_Entity[[#This Row],[Total non-social housing units developed or newly built units acquired (owned)]] / VfM_Metrics_2023_Entity[[#This Row],[Total social and non-social housing units owned (Period end)]], "n/a" )</f>
        <v>0</v>
      </c>
      <c r="V3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37" s="84">
        <v>0</v>
      </c>
      <c r="X37" s="84">
        <v>0</v>
      </c>
      <c r="Y37" s="84">
        <v>0</v>
      </c>
      <c r="Z3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5586</v>
      </c>
      <c r="AA37" s="84" vm="11995">
        <v>5548</v>
      </c>
      <c r="AB37" s="84" vm="12177">
        <v>0</v>
      </c>
      <c r="AC37" s="84" vm="12074">
        <v>25</v>
      </c>
      <c r="AD37" s="135" vm="12237">
        <v>13</v>
      </c>
      <c r="AE37" s="134">
        <f xml:space="preserve"> IFERROR( VfM_Metrics_2023_Entity[[#This Row],[Total Net Debt]] / VfM_Metrics_2023_Entity[[#This Row],[Net Book Value of Housing Properties2]], "n/a" )</f>
        <v>0.56831086376733142</v>
      </c>
      <c r="AF3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201581</v>
      </c>
      <c r="AG37" s="84" vm="12636">
        <v>6148</v>
      </c>
      <c r="AH37" s="84" vm="13018">
        <v>198926</v>
      </c>
      <c r="AI37" s="84" vm="13103">
        <v>3493</v>
      </c>
      <c r="AJ37" s="84">
        <v>0</v>
      </c>
      <c r="AK37" s="84">
        <v>0</v>
      </c>
      <c r="AL37" s="5">
        <f xml:space="preserve"> SUM( VfM_Metrics_2023_Entity[[#This Row],[Tangible fixed assets: Housing properties at cost (Current period)2]], VfM_Metrics_2023_Entity[[#This Row],[Tangible fixed assets Housing properties at valuation (Current period)2]] )</f>
        <v>354702</v>
      </c>
      <c r="AM37" s="84" vm="9937">
        <v>354702</v>
      </c>
      <c r="AN37" s="135">
        <v>0</v>
      </c>
      <c r="AO37" s="137">
        <f xml:space="preserve"> IFERROR( VfM_Metrics_2023_Entity[[#This Row],[EBITDA MRI]] / VfM_Metrics_2023_Entity[[#This Row],[Total interest]], "n/a" )</f>
        <v>1.1063561988672121</v>
      </c>
      <c r="AP3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8790</v>
      </c>
      <c r="AQ37" s="84" vm="13540">
        <v>8334</v>
      </c>
      <c r="AR37" s="84" vm="14169">
        <v>125</v>
      </c>
      <c r="AS37" s="84">
        <v>0</v>
      </c>
      <c r="AT37" s="84" vm="14660">
        <v>1006</v>
      </c>
      <c r="AU37" s="84" vm="14902">
        <v>0</v>
      </c>
      <c r="AV37" s="84" vm="13668">
        <v>266</v>
      </c>
      <c r="AW37" s="84" vm="13919">
        <v>4214</v>
      </c>
      <c r="AX37" s="84" vm="14170">
        <v>5535</v>
      </c>
      <c r="AY37" s="5">
        <f xml:space="preserve"> - SUM( VfM_Metrics_2023_Entity[[#This Row],[Interest capitalised]], VfM_Metrics_2023_Entity[[#This Row],[Interest payable and financing costs]] )</f>
        <v>7945</v>
      </c>
      <c r="AZ37" s="84" vm="15213">
        <v>-549</v>
      </c>
      <c r="BA37" s="135" vm="15384">
        <v>-7396</v>
      </c>
      <c r="BB37" s="138">
        <f xml:space="preserve"> IFERROR( ( VfM_Metrics_2023_Entity[[#This Row],[Total Costs]] / VfM_Metrics_2023_Entity[[#This Row],[Total units for costs]] ) * 1000, "n/a" )</f>
        <v>3796.1267605633802</v>
      </c>
      <c r="BC3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21562</v>
      </c>
      <c r="BD37" s="84" vm="16051">
        <v>5237</v>
      </c>
      <c r="BE37" s="84" vm="17229">
        <v>3194</v>
      </c>
      <c r="BF37" s="84" vm="15684">
        <v>4745</v>
      </c>
      <c r="BG37" s="84" vm="15722">
        <v>2098</v>
      </c>
      <c r="BH37" s="84" vm="15774">
        <v>1808</v>
      </c>
      <c r="BI37" s="84" vm="16686">
        <v>0</v>
      </c>
      <c r="BJ37" s="84" vm="13660">
        <v>4214</v>
      </c>
      <c r="BK37" s="84" vm="17013">
        <v>0</v>
      </c>
      <c r="BL37" s="84" vm="17229">
        <v>205</v>
      </c>
      <c r="BM37" s="84">
        <v>0</v>
      </c>
      <c r="BN37" s="84" vm="15776">
        <v>61</v>
      </c>
      <c r="BO37" s="84">
        <v>0</v>
      </c>
      <c r="BP37" s="5" vm="17794">
        <f xml:space="preserve"> VfM_Metrics_2023_Entity[[#This Row],[Total social housing units owned and/or managed at period end]]</f>
        <v>5680</v>
      </c>
      <c r="BQ37" s="135" vm="17794">
        <v>5680</v>
      </c>
      <c r="BR37" s="134">
        <f xml:space="preserve"> IFERROR( VfM_Metrics_2023_Entity[[#This Row],[SHL operating surplus / (deficit)]] / VfM_Metrics_2023_Entity[[#This Row],[Turnover from social housing lettings]], "n/a" )</f>
        <v>0.24737756397407631</v>
      </c>
      <c r="BS37" s="5" vm="17948">
        <f xml:space="preserve"> VfM_Metrics_2023_Entity[[#This Row],[Operating surplus/(deficit) (social housing lettings)]]</f>
        <v>7405</v>
      </c>
      <c r="BT37" s="84" vm="17948">
        <v>7405</v>
      </c>
      <c r="BU37" s="5" vm="18115">
        <f xml:space="preserve"> VfM_Metrics_2023_Entity[[#This Row],[Turnover from social housing lettings]]</f>
        <v>29934</v>
      </c>
      <c r="BV37" s="135" vm="18115">
        <v>29934</v>
      </c>
      <c r="BW37" s="134">
        <f xml:space="preserve"> IFERROR( VfM_Metrics_2023_Entity[[#This Row],[Net operating surplus]] / VfM_Metrics_2023_Entity[[#This Row],[Overall turnover]], "n/a" )</f>
        <v>0.25214239641244585</v>
      </c>
      <c r="BX37" s="5">
        <f xml:space="preserve"> SUM( VfM_Metrics_2023_Entity[[#This Row],[Operating surplus/(deficit) (overall)2]], - VfM_Metrics_2023_Entity[[#This Row],[Gain/(loss) on disposal of fixed assets (housing properties)2]], - VfM_Metrics_2023_Entity[[#This Row],[Gain/(loss) on disposal of fixed assets (other)2]] )</f>
        <v>8209</v>
      </c>
      <c r="BY37" s="84" vm="13540">
        <v>8334</v>
      </c>
      <c r="BZ37" s="84" vm="14169">
        <v>125</v>
      </c>
      <c r="CA37" s="84">
        <v>0</v>
      </c>
      <c r="CB37" s="5" vm="18298">
        <f xml:space="preserve"> VfM_Metrics_2023_Entity[[#This Row],[Turnover (overall)]]</f>
        <v>32557</v>
      </c>
      <c r="CC37" s="135" vm="18298">
        <v>32557</v>
      </c>
      <c r="CD37" s="134">
        <f xml:space="preserve"> IFERROR( VfM_Metrics_2023_Entity[[#This Row],[Operating surplus including from JVs]] / VfM_Metrics_2023_Entity[[#This Row],[Net assets]], "n/a" )</f>
        <v>2.2929557779239038E-2</v>
      </c>
      <c r="CE37" s="5">
        <f xml:space="preserve"> SUM( VfM_Metrics_2023_Entity[[#This Row],[Operating surplus/(deficit) (overall)3]], VfM_Metrics_2023_Entity[[#This Row],[Share of operating surplus/(deficit) in joint ventures or associates]] )</f>
        <v>8334</v>
      </c>
      <c r="CF37" s="84" vm="13540">
        <v>8334</v>
      </c>
      <c r="CG37" s="84">
        <v>0</v>
      </c>
      <c r="CH37" s="5" vm="18684">
        <f xml:space="preserve"> VfM_Metrics_2023_Entity[[#This Row],[Total assets less current liabilities]]</f>
        <v>363461</v>
      </c>
      <c r="CI37" s="135" vm="18684">
        <v>363461</v>
      </c>
      <c r="CJ37" s="140" vm="11251">
        <f xml:space="preserve"> VfM_Metrics_2023_Entity[[#This Row],[Total social housing units owned (Period end)]]</f>
        <v>5548</v>
      </c>
      <c r="CK37" s="141">
        <v>2.6918879592579121E-2</v>
      </c>
      <c r="CL37" s="69">
        <f xml:space="preserve"> -- ( VfM_Metrics_2023_Entity[[#This Row],[% Supported housing (excl. HOP)]] &gt; 0.3 )</f>
        <v>0</v>
      </c>
      <c r="CM37" s="9">
        <v>0.10894870862131684</v>
      </c>
      <c r="CN37" s="69">
        <f xml:space="preserve"> -- ( VfM_Metrics_2023_Entity[[#This Row],[% Housing for older people]] &gt; 0.3 )</f>
        <v>0</v>
      </c>
      <c r="CO37" s="9">
        <f xml:space="preserve"> VfM_Metrics_2023_Entity[[#This Row],[% Supported housing (excl. HOP)]] + VfM_Metrics_2023_Entity[[#This Row],[% Housing for older people]]</f>
        <v>0.13586758821389597</v>
      </c>
      <c r="CP37" s="69">
        <f xml:space="preserve"> -- ( VfM_Metrics_2023_Entity[[#This Row],[SH specialist in RSH analysis]] + VfM_Metrics_2023_Entity[[#This Row],[OP specialist in RSH analysis]] &gt; 0 )</f>
        <v>0</v>
      </c>
      <c r="CQ37" s="142">
        <f xml:space="preserve"> -- ( VfM_Metrics_2023_Entity[[#This Row],[% SH and OP]] &gt; 0.3 )</f>
        <v>0</v>
      </c>
      <c r="CR37" s="143" t="s">
        <v>143</v>
      </c>
      <c r="CS37" s="120"/>
      <c r="CT37" s="144" t="s">
        <v>144</v>
      </c>
      <c r="CU3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37" s="146">
        <v>0</v>
      </c>
      <c r="CW37" s="146">
        <v>0</v>
      </c>
      <c r="CX37" s="146">
        <v>0</v>
      </c>
      <c r="CY37" s="146">
        <v>0</v>
      </c>
      <c r="CZ37" s="146">
        <v>0</v>
      </c>
      <c r="DA37" s="146">
        <v>1</v>
      </c>
      <c r="DB37" s="146">
        <v>0</v>
      </c>
      <c r="DC37" s="146">
        <v>0</v>
      </c>
      <c r="DD37" s="146">
        <v>0</v>
      </c>
      <c r="DE37" s="126">
        <v>1.0113701298544711</v>
      </c>
    </row>
    <row r="38" spans="1:109" x14ac:dyDescent="0.25">
      <c r="A38" s="4" t="s" vm="9222">
        <v>560</v>
      </c>
      <c r="B38" s="4" t="s" vm="9324">
        <v>561</v>
      </c>
      <c r="C38" s="121" vm="18958">
        <v>45016</v>
      </c>
      <c r="D38" s="68">
        <f>IFERROR( VfM_Metrics_2023_Entity[[#This Row],[Reinvestment Spend]] / VfM_Metrics_2023_Entity[[#This Row],[Net Book Value of Housing Properties]], "n/a" )</f>
        <v>9.1555393930647086E-2</v>
      </c>
      <c r="E3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192851</v>
      </c>
      <c r="F38" s="84" vm="9427">
        <v>164170</v>
      </c>
      <c r="G38" s="84" vm="10793">
        <v>0</v>
      </c>
      <c r="H38" s="84" vm="10578">
        <v>25220</v>
      </c>
      <c r="I38" s="84" vm="10841">
        <v>3461</v>
      </c>
      <c r="J38" s="84" vm="10877">
        <v>0</v>
      </c>
      <c r="K38" s="5">
        <f xml:space="preserve"> SUM( VfM_Metrics_2023_Entity[[#This Row],[Tangible fixed assets: Housing properties at cost (Current period)]],VfM_Metrics_2023_Entity[[#This Row],[Tangible fixed assets Housing properties at valuation (Current period)]] )</f>
        <v>2106386</v>
      </c>
      <c r="L38" s="84" vm="9963">
        <v>2106386</v>
      </c>
      <c r="M38" s="84">
        <v>0</v>
      </c>
      <c r="N38" s="134">
        <f xml:space="preserve"> IFERROR( VfM_Metrics_2023_Entity[[#This Row],[Total social units developed or newly built units acquired in-year]] / VfM_Metrics_2023_Entity[[#This Row],[Social housing units owned (period end)]], "n/a" )</f>
        <v>3.3074984849934617E-2</v>
      </c>
      <c r="O38" s="5">
        <f xml:space="preserve"> SUM( VfM_Metrics_2023_Entity[[#This Row],[Total social units developed or newly built units acquired in-year (owned)]], VfM_Metrics_2023_Entity[[#This Row],[Total social leasehold units developed or newly built units acquired in-year (owned)]] )</f>
        <v>1037</v>
      </c>
      <c r="P38" s="84" vm="11044">
        <v>1037</v>
      </c>
      <c r="Q38" s="84">
        <v>0</v>
      </c>
      <c r="R38" s="5">
        <f xml:space="preserve"> SUM( VfM_Metrics_2023_Entity[[#This Row],[Total social housing units owned (Period end)]], VfM_Metrics_2023_Entity[[#This Row],[Total social leasehold units owned (Period end)]] )</f>
        <v>31353</v>
      </c>
      <c r="S38" s="84" vm="11263">
        <v>30177</v>
      </c>
      <c r="T38" s="135" vm="11448">
        <v>1176</v>
      </c>
      <c r="U38" s="136">
        <f xml:space="preserve"> IFERROR( VfM_Metrics_2023_Entity[[#This Row],[Total non-social housing units developed or newly built units acquired (owned)]] / VfM_Metrics_2023_Entity[[#This Row],[Total social and non-social housing units owned (Period end)]], "n/a" )</f>
        <v>0</v>
      </c>
      <c r="V3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38" s="84">
        <v>0</v>
      </c>
      <c r="X38" s="84">
        <v>0</v>
      </c>
      <c r="Y38" s="84" vm="11717">
        <v>0</v>
      </c>
      <c r="Z3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31495</v>
      </c>
      <c r="AA38" s="84" vm="12023">
        <v>30177</v>
      </c>
      <c r="AB38" s="84" vm="12422">
        <v>1176</v>
      </c>
      <c r="AC38" s="84" vm="12333">
        <v>142</v>
      </c>
      <c r="AD38" s="135" vm="12481">
        <v>0</v>
      </c>
      <c r="AE38" s="134">
        <f xml:space="preserve"> IFERROR( VfM_Metrics_2023_Entity[[#This Row],[Total Net Debt]] / VfM_Metrics_2023_Entity[[#This Row],[Net Book Value of Housing Properties2]], "n/a" )</f>
        <v>0.51087027733758195</v>
      </c>
      <c r="AF3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1076090</v>
      </c>
      <c r="AG38" s="84" vm="12658">
        <v>13385</v>
      </c>
      <c r="AH38" s="84" vm="12719">
        <v>465537</v>
      </c>
      <c r="AI38" s="84" vm="12841">
        <v>18952</v>
      </c>
      <c r="AJ38" s="84" vm="13018">
        <v>616120</v>
      </c>
      <c r="AK38" s="84">
        <v>0</v>
      </c>
      <c r="AL38" s="5">
        <f xml:space="preserve"> SUM( VfM_Metrics_2023_Entity[[#This Row],[Tangible fixed assets: Housing properties at cost (Current period)2]], VfM_Metrics_2023_Entity[[#This Row],[Tangible fixed assets Housing properties at valuation (Current period)2]] )</f>
        <v>2106386</v>
      </c>
      <c r="AM38" s="84" vm="9956">
        <v>2106386</v>
      </c>
      <c r="AN38" s="135">
        <v>0</v>
      </c>
      <c r="AO38" s="137">
        <f xml:space="preserve"> IFERROR( VfM_Metrics_2023_Entity[[#This Row],[EBITDA MRI]] / VfM_Metrics_2023_Entity[[#This Row],[Total interest]], "n/a" )</f>
        <v>1.5899405553595178</v>
      </c>
      <c r="AP3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58575</v>
      </c>
      <c r="AQ38" s="84" vm="13565">
        <v>62146</v>
      </c>
      <c r="AR38" s="84" vm="14413">
        <v>8486</v>
      </c>
      <c r="AS38" s="84">
        <v>0</v>
      </c>
      <c r="AT38" s="84" vm="14903">
        <v>4555</v>
      </c>
      <c r="AU38" s="84" vm="13669">
        <v>0</v>
      </c>
      <c r="AV38" s="84" vm="13920">
        <v>552</v>
      </c>
      <c r="AW38" s="84" vm="14171">
        <v>25220</v>
      </c>
      <c r="AX38" s="84" vm="14414">
        <v>34138</v>
      </c>
      <c r="AY38" s="5">
        <f xml:space="preserve"> - SUM( VfM_Metrics_2023_Entity[[#This Row],[Interest capitalised]], VfM_Metrics_2023_Entity[[#This Row],[Interest payable and financing costs]] )</f>
        <v>36841</v>
      </c>
      <c r="AZ38" s="84" vm="15235">
        <v>-3461</v>
      </c>
      <c r="BA38" s="135" vm="15411">
        <v>-33380</v>
      </c>
      <c r="BB38" s="138">
        <f xml:space="preserve"> IFERROR( ( VfM_Metrics_2023_Entity[[#This Row],[Total Costs]] / VfM_Metrics_2023_Entity[[#This Row],[Total units for costs]] ) * 1000, "n/a" )</f>
        <v>4150.0032996766322</v>
      </c>
      <c r="BC3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125770</v>
      </c>
      <c r="BD38" s="84" vm="16382">
        <v>33725</v>
      </c>
      <c r="BE38" s="84" vm="15683">
        <v>14079</v>
      </c>
      <c r="BF38" s="84" vm="16687">
        <v>26751</v>
      </c>
      <c r="BG38" s="84" vm="15685">
        <v>7135</v>
      </c>
      <c r="BH38" s="84" vm="17084">
        <v>11519</v>
      </c>
      <c r="BI38" s="84" vm="16263">
        <v>0</v>
      </c>
      <c r="BJ38" s="84" vm="14171">
        <v>25220</v>
      </c>
      <c r="BK38" s="84" vm="15848">
        <v>0</v>
      </c>
      <c r="BL38" s="84" vm="15844">
        <v>3533</v>
      </c>
      <c r="BM38" s="84">
        <v>0</v>
      </c>
      <c r="BN38" s="84" vm="15673">
        <v>2628</v>
      </c>
      <c r="BO38" s="84" vm="16375">
        <v>1180</v>
      </c>
      <c r="BP38" s="5" vm="17690">
        <f xml:space="preserve"> VfM_Metrics_2023_Entity[[#This Row],[Total social housing units owned and/or managed at period end]]</f>
        <v>30306</v>
      </c>
      <c r="BQ38" s="135" vm="17690">
        <v>30306</v>
      </c>
      <c r="BR38" s="134">
        <f xml:space="preserve"> IFERROR( VfM_Metrics_2023_Entity[[#This Row],[SHL operating surplus / (deficit)]] / VfM_Metrics_2023_Entity[[#This Row],[Turnover from social housing lettings]], "n/a" )</f>
        <v>0.28373045310228184</v>
      </c>
      <c r="BS38" s="5" vm="17984">
        <f xml:space="preserve"> VfM_Metrics_2023_Entity[[#This Row],[Operating surplus/(deficit) (social housing lettings)]]</f>
        <v>47810</v>
      </c>
      <c r="BT38" s="84" vm="17984">
        <v>47810</v>
      </c>
      <c r="BU38" s="5" vm="18174">
        <f xml:space="preserve"> VfM_Metrics_2023_Entity[[#This Row],[Turnover from social housing lettings]]</f>
        <v>168505</v>
      </c>
      <c r="BV38" s="135" vm="18174">
        <v>168505</v>
      </c>
      <c r="BW38" s="134">
        <f xml:space="preserve"> IFERROR( VfM_Metrics_2023_Entity[[#This Row],[Net operating surplus]] / VfM_Metrics_2023_Entity[[#This Row],[Overall turnover]], "n/a" )</f>
        <v>0.257341128061501</v>
      </c>
      <c r="BX38" s="5">
        <f xml:space="preserve"> SUM( VfM_Metrics_2023_Entity[[#This Row],[Operating surplus/(deficit) (overall)2]], - VfM_Metrics_2023_Entity[[#This Row],[Gain/(loss) on disposal of fixed assets (housing properties)2]], - VfM_Metrics_2023_Entity[[#This Row],[Gain/(loss) on disposal of fixed assets (other)2]] )</f>
        <v>53660</v>
      </c>
      <c r="BY38" s="84" vm="13565">
        <v>62146</v>
      </c>
      <c r="BZ38" s="84" vm="14413">
        <v>8486</v>
      </c>
      <c r="CA38" s="84">
        <v>0</v>
      </c>
      <c r="CB38" s="5" vm="18318">
        <f xml:space="preserve"> VfM_Metrics_2023_Entity[[#This Row],[Turnover (overall)]]</f>
        <v>208517</v>
      </c>
      <c r="CC38" s="135" vm="18318">
        <v>208517</v>
      </c>
      <c r="CD38" s="134">
        <f xml:space="preserve"> IFERROR( VfM_Metrics_2023_Entity[[#This Row],[Operating surplus including from JVs]] / VfM_Metrics_2023_Entity[[#This Row],[Net assets]], "n/a" )</f>
        <v>2.7865499842391735E-2</v>
      </c>
      <c r="CE38" s="5">
        <f xml:space="preserve"> SUM( VfM_Metrics_2023_Entity[[#This Row],[Operating surplus/(deficit) (overall)3]], VfM_Metrics_2023_Entity[[#This Row],[Share of operating surplus/(deficit) in joint ventures or associates]] )</f>
        <v>62146</v>
      </c>
      <c r="CF38" s="84" vm="13565">
        <v>62146</v>
      </c>
      <c r="CG38" s="84">
        <v>0</v>
      </c>
      <c r="CH38" s="5" vm="18708">
        <f xml:space="preserve"> VfM_Metrics_2023_Entity[[#This Row],[Total assets less current liabilities]]</f>
        <v>2230213</v>
      </c>
      <c r="CI38" s="135" vm="18708">
        <v>2230213</v>
      </c>
      <c r="CJ38" s="140" vm="11263">
        <f xml:space="preserve"> VfM_Metrics_2023_Entity[[#This Row],[Total social housing units owned (Period end)]]</f>
        <v>30177</v>
      </c>
      <c r="CK38" s="141">
        <v>2.5157023694792464E-2</v>
      </c>
      <c r="CL38" s="69">
        <f xml:space="preserve"> -- ( VfM_Metrics_2023_Entity[[#This Row],[% Supported housing (excl. HOP)]] &gt; 0.3 )</f>
        <v>0</v>
      </c>
      <c r="CM38" s="9">
        <v>2.7582998238676017E-2</v>
      </c>
      <c r="CN38" s="69">
        <f xml:space="preserve"> -- ( VfM_Metrics_2023_Entity[[#This Row],[% Housing for older people]] &gt; 0.3 )</f>
        <v>0</v>
      </c>
      <c r="CO38" s="9">
        <f xml:space="preserve"> VfM_Metrics_2023_Entity[[#This Row],[% Supported housing (excl. HOP)]] + VfM_Metrics_2023_Entity[[#This Row],[% Housing for older people]]</f>
        <v>5.2740021933468481E-2</v>
      </c>
      <c r="CP38" s="69">
        <f xml:space="preserve"> -- ( VfM_Metrics_2023_Entity[[#This Row],[SH specialist in RSH analysis]] + VfM_Metrics_2023_Entity[[#This Row],[OP specialist in RSH analysis]] &gt; 0 )</f>
        <v>0</v>
      </c>
      <c r="CQ38" s="142">
        <f xml:space="preserve"> -- ( VfM_Metrics_2023_Entity[[#This Row],[% SH and OP]] &gt; 0.3 )</f>
        <v>0</v>
      </c>
      <c r="CR38" s="143" t="s">
        <v>143</v>
      </c>
      <c r="CS38" s="120"/>
      <c r="CT38" s="144" t="s">
        <v>151</v>
      </c>
      <c r="CU3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38" s="146">
        <v>0</v>
      </c>
      <c r="CW38" s="146">
        <v>5.0575017399661949E-2</v>
      </c>
      <c r="CX38" s="146">
        <v>0.26759022967553775</v>
      </c>
      <c r="CY38" s="146">
        <v>3.3241639876710964E-2</v>
      </c>
      <c r="CZ38" s="146">
        <v>0.64859311304808931</v>
      </c>
      <c r="DA38" s="146">
        <v>0</v>
      </c>
      <c r="DB38" s="146">
        <v>0</v>
      </c>
      <c r="DC38" s="146">
        <v>0</v>
      </c>
      <c r="DD38" s="146">
        <v>0</v>
      </c>
      <c r="DE38" s="126">
        <v>0.97016373941928391</v>
      </c>
    </row>
    <row r="39" spans="1:109" x14ac:dyDescent="0.25">
      <c r="A39" s="4" t="s" vm="323">
        <v>192</v>
      </c>
      <c r="B39" s="4" t="s" vm="9379">
        <v>193</v>
      </c>
      <c r="C39" s="121" vm="18945">
        <v>45016</v>
      </c>
      <c r="D39" s="68">
        <f>IFERROR( VfM_Metrics_2023_Entity[[#This Row],[Reinvestment Spend]] / VfM_Metrics_2023_Entity[[#This Row],[Net Book Value of Housing Properties]], "n/a" )</f>
        <v>0.1026080678639112</v>
      </c>
      <c r="E3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17055</v>
      </c>
      <c r="F39" s="84" vm="10310">
        <v>7960</v>
      </c>
      <c r="G39" s="84" vm="10906">
        <v>3394</v>
      </c>
      <c r="H39" s="84" vm="10195">
        <v>5701</v>
      </c>
      <c r="I39" s="84" vm="9667">
        <v>0</v>
      </c>
      <c r="J39" s="84" vm="9477">
        <v>0</v>
      </c>
      <c r="K39" s="5">
        <f xml:space="preserve"> SUM( VfM_Metrics_2023_Entity[[#This Row],[Tangible fixed assets: Housing properties at cost (Current period)]],VfM_Metrics_2023_Entity[[#This Row],[Tangible fixed assets Housing properties at valuation (Current period)]] )</f>
        <v>166215</v>
      </c>
      <c r="L39" s="84" vm="9973">
        <v>166215</v>
      </c>
      <c r="M39" s="84" vm="10250">
        <v>0</v>
      </c>
      <c r="N39" s="134">
        <f xml:space="preserve"> IFERROR( VfM_Metrics_2023_Entity[[#This Row],[Total social units developed or newly built units acquired in-year]] / VfM_Metrics_2023_Entity[[#This Row],[Social housing units owned (period end)]], "n/a" )</f>
        <v>4.4737461737697198E-3</v>
      </c>
      <c r="O39" s="5">
        <f xml:space="preserve"> SUM( VfM_Metrics_2023_Entity[[#This Row],[Total social units developed or newly built units acquired in-year (owned)]], VfM_Metrics_2023_Entity[[#This Row],[Total social leasehold units developed or newly built units acquired in-year (owned)]] )</f>
        <v>19</v>
      </c>
      <c r="P39" s="84" vm="11063">
        <v>19</v>
      </c>
      <c r="Q39" s="84" vm="11185">
        <v>0</v>
      </c>
      <c r="R39" s="5">
        <f xml:space="preserve"> SUM( VfM_Metrics_2023_Entity[[#This Row],[Total social housing units owned (Period end)]], VfM_Metrics_2023_Entity[[#This Row],[Total social leasehold units owned (Period end)]] )</f>
        <v>4247</v>
      </c>
      <c r="S39" s="84" vm="11279">
        <v>4072</v>
      </c>
      <c r="T39" s="135" vm="11440">
        <v>175</v>
      </c>
      <c r="U39" s="136">
        <f xml:space="preserve"> IFERROR( VfM_Metrics_2023_Entity[[#This Row],[Total non-social housing units developed or newly built units acquired (owned)]] / VfM_Metrics_2023_Entity[[#This Row],[Total social and non-social housing units owned (Period end)]], "n/a" )</f>
        <v>0</v>
      </c>
      <c r="V3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39" s="84" vm="11664">
        <v>0</v>
      </c>
      <c r="X39" s="84" vm="11784">
        <v>0</v>
      </c>
      <c r="Y39" s="84" vm="11823">
        <v>0</v>
      </c>
      <c r="Z3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4334</v>
      </c>
      <c r="AA39" s="84" vm="11279">
        <v>4072</v>
      </c>
      <c r="AB39" s="84" vm="11440">
        <v>175</v>
      </c>
      <c r="AC39" s="84" vm="12075">
        <v>87</v>
      </c>
      <c r="AD39" s="135" vm="12238">
        <v>0</v>
      </c>
      <c r="AE39" s="134">
        <f xml:space="preserve"> IFERROR( VfM_Metrics_2023_Entity[[#This Row],[Total Net Debt]] / VfM_Metrics_2023_Entity[[#This Row],[Net Book Value of Housing Properties2]], "n/a" )</f>
        <v>0.49074993231657793</v>
      </c>
      <c r="AF3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81570</v>
      </c>
      <c r="AG39" s="84" vm="12685">
        <v>0</v>
      </c>
      <c r="AH39" s="84" vm="13192">
        <v>92200</v>
      </c>
      <c r="AI39" s="84" vm="13277">
        <v>10630</v>
      </c>
      <c r="AJ39" s="84" vm="12720">
        <v>0</v>
      </c>
      <c r="AK39" s="84" vm="12842">
        <v>0</v>
      </c>
      <c r="AL39" s="5">
        <f xml:space="preserve"> SUM( VfM_Metrics_2023_Entity[[#This Row],[Tangible fixed assets: Housing properties at cost (Current period)2]], VfM_Metrics_2023_Entity[[#This Row],[Tangible fixed assets Housing properties at valuation (Current period)2]] )</f>
        <v>166215</v>
      </c>
      <c r="AM39" s="84" vm="9973">
        <v>166215</v>
      </c>
      <c r="AN39" s="135" vm="10145">
        <v>0</v>
      </c>
      <c r="AO39" s="137">
        <f xml:space="preserve"> IFERROR( VfM_Metrics_2023_Entity[[#This Row],[EBITDA MRI]] / VfM_Metrics_2023_Entity[[#This Row],[Total interest]], "n/a" )</f>
        <v>1.0940241228070176</v>
      </c>
      <c r="AP3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3991</v>
      </c>
      <c r="AQ39" s="84" vm="13628">
        <v>5655</v>
      </c>
      <c r="AR39" s="84" vm="14661">
        <v>863</v>
      </c>
      <c r="AS39" s="84" vm="14904">
        <v>0</v>
      </c>
      <c r="AT39" s="84" vm="13670">
        <v>223</v>
      </c>
      <c r="AU39" s="84" vm="13921">
        <v>0</v>
      </c>
      <c r="AV39" s="84" vm="14172">
        <v>176</v>
      </c>
      <c r="AW39" s="84" vm="14415">
        <v>5701</v>
      </c>
      <c r="AX39" s="84" vm="14662">
        <v>4947</v>
      </c>
      <c r="AY39" s="5">
        <f xml:space="preserve"> - SUM( VfM_Metrics_2023_Entity[[#This Row],[Interest capitalised]], VfM_Metrics_2023_Entity[[#This Row],[Interest payable and financing costs]] )</f>
        <v>3648</v>
      </c>
      <c r="AZ39" s="84" vm="15269">
        <v>0</v>
      </c>
      <c r="BA39" s="135" vm="15447">
        <v>-3648</v>
      </c>
      <c r="BB39" s="138">
        <f xml:space="preserve"> IFERROR( ( VfM_Metrics_2023_Entity[[#This Row],[Total Costs]] / VfM_Metrics_2023_Entity[[#This Row],[Total units for costs]] ) * 1000, "n/a" )</f>
        <v>4641.9449901768176</v>
      </c>
      <c r="BC3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18902</v>
      </c>
      <c r="BD39" s="84" vm="15556">
        <v>6640</v>
      </c>
      <c r="BE39" s="84" vm="15723">
        <v>1434</v>
      </c>
      <c r="BF39" s="84" vm="15849">
        <v>3578</v>
      </c>
      <c r="BG39" s="84" vm="16376">
        <v>1108</v>
      </c>
      <c r="BH39" s="84" vm="15686">
        <v>0</v>
      </c>
      <c r="BI39" s="84" vm="16773">
        <v>0</v>
      </c>
      <c r="BJ39" s="84" vm="14650">
        <v>5701</v>
      </c>
      <c r="BK39" s="84" vm="17014">
        <v>106</v>
      </c>
      <c r="BL39" s="84" vm="15850">
        <v>0</v>
      </c>
      <c r="BM39" s="84" vm="16377">
        <v>0</v>
      </c>
      <c r="BN39" s="84" vm="16383">
        <v>335</v>
      </c>
      <c r="BO39" s="84" vm="15724">
        <v>0</v>
      </c>
      <c r="BP39" s="5" vm="17726">
        <f xml:space="preserve"> VfM_Metrics_2023_Entity[[#This Row],[Total social housing units owned and/or managed at period end]]</f>
        <v>4072</v>
      </c>
      <c r="BQ39" s="135" vm="17726">
        <v>4072</v>
      </c>
      <c r="BR39" s="134">
        <f xml:space="preserve"> IFERROR( VfM_Metrics_2023_Entity[[#This Row],[SHL operating surplus / (deficit)]] / VfM_Metrics_2023_Entity[[#This Row],[Turnover from social housing lettings]], "n/a" )</f>
        <v>0.16626862820022928</v>
      </c>
      <c r="BS39" s="5" vm="18011">
        <f xml:space="preserve"> VfM_Metrics_2023_Entity[[#This Row],[Operating surplus/(deficit) (social housing lettings)]]</f>
        <v>3481</v>
      </c>
      <c r="BT39" s="84" vm="18011">
        <v>3481</v>
      </c>
      <c r="BU39" s="5" vm="18159">
        <f xml:space="preserve"> VfM_Metrics_2023_Entity[[#This Row],[Turnover from social housing lettings]]</f>
        <v>20936</v>
      </c>
      <c r="BV39" s="135" vm="18159">
        <v>20936</v>
      </c>
      <c r="BW39" s="134">
        <f xml:space="preserve"> IFERROR( VfM_Metrics_2023_Entity[[#This Row],[Net operating surplus]] / VfM_Metrics_2023_Entity[[#This Row],[Overall turnover]], "n/a" )</f>
        <v>0.20164106879865348</v>
      </c>
      <c r="BX39" s="5">
        <f xml:space="preserve"> SUM( VfM_Metrics_2023_Entity[[#This Row],[Operating surplus/(deficit) (overall)2]], - VfM_Metrics_2023_Entity[[#This Row],[Gain/(loss) on disposal of fixed assets (housing properties)2]], - VfM_Metrics_2023_Entity[[#This Row],[Gain/(loss) on disposal of fixed assets (other)2]] )</f>
        <v>4792</v>
      </c>
      <c r="BY39" s="84" vm="13595">
        <v>5655</v>
      </c>
      <c r="BZ39" s="84" vm="14661">
        <v>863</v>
      </c>
      <c r="CA39" s="84" vm="14904">
        <v>0</v>
      </c>
      <c r="CB39" s="5" vm="18324">
        <f xml:space="preserve"> VfM_Metrics_2023_Entity[[#This Row],[Turnover (overall)]]</f>
        <v>23765</v>
      </c>
      <c r="CC39" s="135" vm="18324">
        <v>23765</v>
      </c>
      <c r="CD39" s="134">
        <f xml:space="preserve"> IFERROR( VfM_Metrics_2023_Entity[[#This Row],[Operating surplus including from JVs]] / VfM_Metrics_2023_Entity[[#This Row],[Net assets]], "n/a" )</f>
        <v>2.961523757652567E-2</v>
      </c>
      <c r="CE39" s="5">
        <f xml:space="preserve"> SUM( VfM_Metrics_2023_Entity[[#This Row],[Operating surplus/(deficit) (overall)3]], VfM_Metrics_2023_Entity[[#This Row],[Share of operating surplus/(deficit) in joint ventures or associates]] )</f>
        <v>5655</v>
      </c>
      <c r="CF39" s="84" vm="13596">
        <v>5655</v>
      </c>
      <c r="CG39" s="84" vm="18531">
        <v>0</v>
      </c>
      <c r="CH39" s="5" vm="18736">
        <f xml:space="preserve"> VfM_Metrics_2023_Entity[[#This Row],[Total assets less current liabilities]]</f>
        <v>190949</v>
      </c>
      <c r="CI39" s="135" vm="18736">
        <v>190949</v>
      </c>
      <c r="CJ39" s="140" vm="11279">
        <f xml:space="preserve"> VfM_Metrics_2023_Entity[[#This Row],[Total social housing units owned (Period end)]]</f>
        <v>4072</v>
      </c>
      <c r="CK39" s="141">
        <v>7.5150300601202404E-4</v>
      </c>
      <c r="CL39" s="69">
        <f xml:space="preserve"> -- ( VfM_Metrics_2023_Entity[[#This Row],[% Supported housing (excl. HOP)]] &gt; 0.3 )</f>
        <v>0</v>
      </c>
      <c r="CM39" s="9">
        <v>0.22870741482965931</v>
      </c>
      <c r="CN39" s="69">
        <f xml:space="preserve"> -- ( VfM_Metrics_2023_Entity[[#This Row],[% Housing for older people]] &gt; 0.3 )</f>
        <v>0</v>
      </c>
      <c r="CO39" s="9">
        <f xml:space="preserve"> VfM_Metrics_2023_Entity[[#This Row],[% Supported housing (excl. HOP)]] + VfM_Metrics_2023_Entity[[#This Row],[% Housing for older people]]</f>
        <v>0.22945891783567132</v>
      </c>
      <c r="CP39" s="69">
        <f xml:space="preserve"> -- ( VfM_Metrics_2023_Entity[[#This Row],[SH specialist in RSH analysis]] + VfM_Metrics_2023_Entity[[#This Row],[OP specialist in RSH analysis]] &gt; 0 )</f>
        <v>0</v>
      </c>
      <c r="CQ39" s="142">
        <f xml:space="preserve"> -- ( VfM_Metrics_2023_Entity[[#This Row],[% SH and OP]] &gt; 0.3 )</f>
        <v>0</v>
      </c>
      <c r="CR39" s="143" t="s">
        <v>143</v>
      </c>
      <c r="CS39" s="120"/>
      <c r="CT39" s="144" t="s">
        <v>151</v>
      </c>
      <c r="CU3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39" s="146">
        <v>0</v>
      </c>
      <c r="CW39" s="146">
        <v>0</v>
      </c>
      <c r="CX39" s="146">
        <v>0</v>
      </c>
      <c r="CY39" s="146">
        <v>0</v>
      </c>
      <c r="CZ39" s="146">
        <v>1</v>
      </c>
      <c r="DA39" s="146">
        <v>0</v>
      </c>
      <c r="DB39" s="146">
        <v>0</v>
      </c>
      <c r="DC39" s="146">
        <v>0</v>
      </c>
      <c r="DD39" s="146">
        <v>0</v>
      </c>
      <c r="DE39" s="126">
        <v>0.96459033333600952</v>
      </c>
    </row>
    <row r="40" spans="1:109" x14ac:dyDescent="0.25">
      <c r="A40" s="4" t="s" vm="211">
        <v>194</v>
      </c>
      <c r="B40" s="4" t="s" vm="10761">
        <v>195</v>
      </c>
      <c r="C40" s="121" vm="18851">
        <v>45016</v>
      </c>
      <c r="D40" s="68">
        <f>IFERROR( VfM_Metrics_2023_Entity[[#This Row],[Reinvestment Spend]] / VfM_Metrics_2023_Entity[[#This Row],[Net Book Value of Housing Properties]], "n/a" )</f>
        <v>1.8979877644283924E-2</v>
      </c>
      <c r="E4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1030</v>
      </c>
      <c r="F40" s="84" vm="10707">
        <v>0</v>
      </c>
      <c r="G40" s="84" vm="10629">
        <v>0</v>
      </c>
      <c r="H40" s="84" vm="9622">
        <v>1030</v>
      </c>
      <c r="I40" s="84" vm="9600">
        <v>0</v>
      </c>
      <c r="J40" s="84" vm="9787">
        <v>0</v>
      </c>
      <c r="K40" s="5">
        <f xml:space="preserve"> SUM( VfM_Metrics_2023_Entity[[#This Row],[Tangible fixed assets: Housing properties at cost (Current period)]],VfM_Metrics_2023_Entity[[#This Row],[Tangible fixed assets Housing properties at valuation (Current period)]] )</f>
        <v>54268</v>
      </c>
      <c r="L40" s="84" vm="9797">
        <v>54268</v>
      </c>
      <c r="M40" s="84" vm="10692">
        <v>0</v>
      </c>
      <c r="N40" s="134">
        <f xml:space="preserve"> IFERROR( VfM_Metrics_2023_Entity[[#This Row],[Total social units developed or newly built units acquired in-year]] / VfM_Metrics_2023_Entity[[#This Row],[Social housing units owned (period end)]], "n/a" )</f>
        <v>0</v>
      </c>
      <c r="O40" s="5">
        <f xml:space="preserve"> SUM( VfM_Metrics_2023_Entity[[#This Row],[Total social units developed or newly built units acquired in-year (owned)]], VfM_Metrics_2023_Entity[[#This Row],[Total social leasehold units developed or newly built units acquired in-year (owned)]] )</f>
        <v>0</v>
      </c>
      <c r="P40" s="84" vm="11082">
        <v>0</v>
      </c>
      <c r="Q40" s="84" vm="11204">
        <v>0</v>
      </c>
      <c r="R40" s="5">
        <f xml:space="preserve"> SUM( VfM_Metrics_2023_Entity[[#This Row],[Total social housing units owned (Period end)]], VfM_Metrics_2023_Entity[[#This Row],[Total social leasehold units owned (Period end)]] )</f>
        <v>1143</v>
      </c>
      <c r="S40" s="84" vm="11224">
        <v>1128</v>
      </c>
      <c r="T40" s="135" vm="11432">
        <v>15</v>
      </c>
      <c r="U40" s="136">
        <f xml:space="preserve"> IFERROR( VfM_Metrics_2023_Entity[[#This Row],[Total non-social housing units developed or newly built units acquired (owned)]] / VfM_Metrics_2023_Entity[[#This Row],[Total social and non-social housing units owned (Period end)]], "n/a" )</f>
        <v>0</v>
      </c>
      <c r="V4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40" s="84" vm="11563">
        <v>0</v>
      </c>
      <c r="X40" s="84" vm="11873">
        <v>0</v>
      </c>
      <c r="Y40" s="84" vm="11912">
        <v>0</v>
      </c>
      <c r="Z4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1500</v>
      </c>
      <c r="AA40" s="84" vm="11224">
        <v>1128</v>
      </c>
      <c r="AB40" s="84" vm="12423">
        <v>15</v>
      </c>
      <c r="AC40" s="84" vm="12334">
        <v>301</v>
      </c>
      <c r="AD40" s="135" vm="12482">
        <v>56</v>
      </c>
      <c r="AE40" s="134">
        <f xml:space="preserve"> IFERROR( VfM_Metrics_2023_Entity[[#This Row],[Total Net Debt]] / VfM_Metrics_2023_Entity[[#This Row],[Net Book Value of Housing Properties2]], "n/a" )</f>
        <v>5.321736566669124E-2</v>
      </c>
      <c r="AF4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2888</v>
      </c>
      <c r="AG40" s="84" vm="12554">
        <v>724</v>
      </c>
      <c r="AH40" s="84" vm="13019">
        <v>11046</v>
      </c>
      <c r="AI40" s="84" vm="13104">
        <v>8882</v>
      </c>
      <c r="AJ40" s="84" vm="13192">
        <v>0</v>
      </c>
      <c r="AK40" s="84" vm="13278">
        <v>0</v>
      </c>
      <c r="AL40" s="5">
        <f xml:space="preserve"> SUM( VfM_Metrics_2023_Entity[[#This Row],[Tangible fixed assets: Housing properties at cost (Current period)2]], VfM_Metrics_2023_Entity[[#This Row],[Tangible fixed assets Housing properties at valuation (Current period)2]] )</f>
        <v>54268</v>
      </c>
      <c r="AM40" s="84" vm="9882">
        <v>54268</v>
      </c>
      <c r="AN40" s="135" vm="10188">
        <v>0</v>
      </c>
      <c r="AO40" s="137">
        <f xml:space="preserve"> IFERROR( VfM_Metrics_2023_Entity[[#This Row],[EBITDA MRI]] / VfM_Metrics_2023_Entity[[#This Row],[Total interest]], "n/a" )</f>
        <v>2.9902439024390244</v>
      </c>
      <c r="AP4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1839</v>
      </c>
      <c r="AQ40" s="84" vm="13433">
        <v>1335</v>
      </c>
      <c r="AR40" s="84" vm="14905">
        <v>0</v>
      </c>
      <c r="AS40" s="84" vm="13671">
        <v>87</v>
      </c>
      <c r="AT40" s="84" vm="13922">
        <v>237</v>
      </c>
      <c r="AU40" s="84" vm="14173">
        <v>0</v>
      </c>
      <c r="AV40" s="84" vm="14416">
        <v>80</v>
      </c>
      <c r="AW40" s="84" vm="14663">
        <v>1030</v>
      </c>
      <c r="AX40" s="84" vm="14906">
        <v>1778</v>
      </c>
      <c r="AY40" s="5">
        <f xml:space="preserve"> - SUM( VfM_Metrics_2023_Entity[[#This Row],[Interest capitalised]], VfM_Metrics_2023_Entity[[#This Row],[Interest payable and financing costs]] )</f>
        <v>615</v>
      </c>
      <c r="AZ40" s="84" vm="15158">
        <v>0</v>
      </c>
      <c r="BA40" s="135" vm="15479">
        <v>-615</v>
      </c>
      <c r="BB40" s="138">
        <f xml:space="preserve"> IFERROR( ( VfM_Metrics_2023_Entity[[#This Row],[Total Costs]] / VfM_Metrics_2023_Entity[[#This Row],[Total units for costs]] ) * 1000, "n/a" )</f>
        <v>8060.2836879432616</v>
      </c>
      <c r="BC4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9092</v>
      </c>
      <c r="BD40" s="84" vm="15675">
        <v>2069</v>
      </c>
      <c r="BE40" s="84" vm="16688">
        <v>4094</v>
      </c>
      <c r="BF40" s="84" vm="16052">
        <v>862</v>
      </c>
      <c r="BG40" s="84" vm="15725">
        <v>316</v>
      </c>
      <c r="BH40" s="84" vm="15852">
        <v>93</v>
      </c>
      <c r="BI40" s="84" vm="15687">
        <v>0</v>
      </c>
      <c r="BJ40" s="84" vm="15845">
        <v>1030</v>
      </c>
      <c r="BK40" s="84" vm="15677">
        <v>413</v>
      </c>
      <c r="BL40" s="84" vm="16847">
        <v>0</v>
      </c>
      <c r="BM40" s="84" vm="15779">
        <v>0</v>
      </c>
      <c r="BN40" s="84" vm="15854">
        <v>18</v>
      </c>
      <c r="BO40" s="84" vm="16774">
        <v>197</v>
      </c>
      <c r="BP40" s="5" vm="17827">
        <f xml:space="preserve"> VfM_Metrics_2023_Entity[[#This Row],[Total social housing units owned and/or managed at period end]]</f>
        <v>1128</v>
      </c>
      <c r="BQ40" s="135" vm="17827">
        <v>1128</v>
      </c>
      <c r="BR40" s="134">
        <f xml:space="preserve"> IFERROR( VfM_Metrics_2023_Entity[[#This Row],[SHL operating surplus / (deficit)]] / VfM_Metrics_2023_Entity[[#This Row],[Turnover from social housing lettings]], "n/a" )</f>
        <v>8.3732789393166751E-2</v>
      </c>
      <c r="BS40" s="5" vm="17836">
        <f xml:space="preserve"> VfM_Metrics_2023_Entity[[#This Row],[Operating surplus/(deficit) (social housing lettings)]]</f>
        <v>821</v>
      </c>
      <c r="BT40" s="84" vm="17836">
        <v>821</v>
      </c>
      <c r="BU40" s="5" vm="18044">
        <f xml:space="preserve"> VfM_Metrics_2023_Entity[[#This Row],[Turnover from social housing lettings]]</f>
        <v>9805</v>
      </c>
      <c r="BV40" s="135" vm="18044">
        <v>9805</v>
      </c>
      <c r="BW40" s="134">
        <f xml:space="preserve"> IFERROR( VfM_Metrics_2023_Entity[[#This Row],[Net operating surplus]] / VfM_Metrics_2023_Entity[[#This Row],[Overall turnover]], "n/a" )</f>
        <v>2.8842153917263694E-2</v>
      </c>
      <c r="BX40" s="5">
        <f xml:space="preserve"> SUM( VfM_Metrics_2023_Entity[[#This Row],[Operating surplus/(deficit) (overall)2]], - VfM_Metrics_2023_Entity[[#This Row],[Gain/(loss) on disposal of fixed assets (housing properties)2]], - VfM_Metrics_2023_Entity[[#This Row],[Gain/(loss) on disposal of fixed assets (other)2]] )</f>
        <v>1248</v>
      </c>
      <c r="BY40" s="84" vm="13506">
        <v>1335</v>
      </c>
      <c r="BZ40" s="84" vm="14905">
        <v>0</v>
      </c>
      <c r="CA40" s="84" vm="13671">
        <v>87</v>
      </c>
      <c r="CB40" s="5" vm="18247">
        <f xml:space="preserve"> VfM_Metrics_2023_Entity[[#This Row],[Turnover (overall)]]</f>
        <v>43270</v>
      </c>
      <c r="CC40" s="135" vm="18247">
        <v>43270</v>
      </c>
      <c r="CD40" s="134">
        <f xml:space="preserve"> IFERROR( VfM_Metrics_2023_Entity[[#This Row],[Operating surplus including from JVs]] / VfM_Metrics_2023_Entity[[#This Row],[Net assets]], "n/a" )</f>
        <v>2.1958320311857495E-2</v>
      </c>
      <c r="CE40" s="5">
        <f xml:space="preserve"> SUM( VfM_Metrics_2023_Entity[[#This Row],[Operating surplus/(deficit) (overall)3]], VfM_Metrics_2023_Entity[[#This Row],[Share of operating surplus/(deficit) in joint ventures or associates]] )</f>
        <v>1335</v>
      </c>
      <c r="CF40" s="84" vm="13433">
        <v>1335</v>
      </c>
      <c r="CG40" s="84" vm="18551">
        <v>0</v>
      </c>
      <c r="CH40" s="5" vm="18573">
        <f xml:space="preserve"> VfM_Metrics_2023_Entity[[#This Row],[Total assets less current liabilities]]</f>
        <v>60797</v>
      </c>
      <c r="CI40" s="135" vm="18573">
        <v>60797</v>
      </c>
      <c r="CJ40" s="140" vm="11224">
        <f xml:space="preserve"> VfM_Metrics_2023_Entity[[#This Row],[Total social housing units owned (Period end)]]</f>
        <v>1128</v>
      </c>
      <c r="CK40" s="141">
        <v>0.97539543057996481</v>
      </c>
      <c r="CL40" s="69">
        <f xml:space="preserve"> -- ( VfM_Metrics_2023_Entity[[#This Row],[% Supported housing (excl. HOP)]] &gt; 0.3 )</f>
        <v>1</v>
      </c>
      <c r="CM40" s="9">
        <v>0</v>
      </c>
      <c r="CN40" s="69">
        <f xml:space="preserve"> -- ( VfM_Metrics_2023_Entity[[#This Row],[% Housing for older people]] &gt; 0.3 )</f>
        <v>0</v>
      </c>
      <c r="CO40" s="9">
        <f xml:space="preserve"> VfM_Metrics_2023_Entity[[#This Row],[% Supported housing (excl. HOP)]] + VfM_Metrics_2023_Entity[[#This Row],[% Housing for older people]]</f>
        <v>0.97539543057996481</v>
      </c>
      <c r="CP40" s="69">
        <f xml:space="preserve"> -- ( VfM_Metrics_2023_Entity[[#This Row],[SH specialist in RSH analysis]] + VfM_Metrics_2023_Entity[[#This Row],[OP specialist in RSH analysis]] &gt; 0 )</f>
        <v>1</v>
      </c>
      <c r="CQ40" s="142">
        <f xml:space="preserve"> -- ( VfM_Metrics_2023_Entity[[#This Row],[% SH and OP]] &gt; 0.3 )</f>
        <v>1</v>
      </c>
      <c r="CR40" s="143" t="s">
        <v>143</v>
      </c>
      <c r="CS40" s="120"/>
      <c r="CT40" s="144" t="s">
        <v>144</v>
      </c>
      <c r="CU4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40" s="146">
        <v>0</v>
      </c>
      <c r="CW40" s="146">
        <v>0</v>
      </c>
      <c r="CX40" s="146">
        <v>1</v>
      </c>
      <c r="CY40" s="146">
        <v>0</v>
      </c>
      <c r="CZ40" s="146">
        <v>0</v>
      </c>
      <c r="DA40" s="146">
        <v>0</v>
      </c>
      <c r="DB40" s="146">
        <v>0</v>
      </c>
      <c r="DC40" s="146">
        <v>0</v>
      </c>
      <c r="DD40" s="146">
        <v>0</v>
      </c>
      <c r="DE40" s="126">
        <v>0.97511902715076015</v>
      </c>
    </row>
    <row r="41" spans="1:109" x14ac:dyDescent="0.25">
      <c r="A41" s="4" t="s" vm="393">
        <v>196</v>
      </c>
      <c r="B41" s="4" t="s" vm="9283">
        <v>197</v>
      </c>
      <c r="C41" s="121" vm="18924">
        <v>45016</v>
      </c>
      <c r="D41" s="68">
        <f>IFERROR( VfM_Metrics_2023_Entity[[#This Row],[Reinvestment Spend]] / VfM_Metrics_2023_Entity[[#This Row],[Net Book Value of Housing Properties]], "n/a" )</f>
        <v>0.1051414192470826</v>
      </c>
      <c r="E4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19137</v>
      </c>
      <c r="F41" s="84" vm="9402">
        <v>13724</v>
      </c>
      <c r="G41" s="84" vm="10886">
        <v>1554</v>
      </c>
      <c r="H41" s="84" vm="9601">
        <v>3441</v>
      </c>
      <c r="I41" s="84" vm="10415">
        <v>418</v>
      </c>
      <c r="J41" s="84" vm="9817">
        <v>0</v>
      </c>
      <c r="K41" s="5">
        <f xml:space="preserve"> SUM( VfM_Metrics_2023_Entity[[#This Row],[Tangible fixed assets: Housing properties at cost (Current period)]],VfM_Metrics_2023_Entity[[#This Row],[Tangible fixed assets Housing properties at valuation (Current period)]] )</f>
        <v>182012</v>
      </c>
      <c r="L41" s="84" vm="10513">
        <v>182012</v>
      </c>
      <c r="M41" s="84" vm="10779">
        <v>0</v>
      </c>
      <c r="N41" s="134">
        <f xml:space="preserve"> IFERROR( VfM_Metrics_2023_Entity[[#This Row],[Total social units developed or newly built units acquired in-year]] / VfM_Metrics_2023_Entity[[#This Row],[Social housing units owned (period end)]], "n/a" )</f>
        <v>2.2329735764793451E-2</v>
      </c>
      <c r="O41" s="5">
        <f xml:space="preserve"> SUM( VfM_Metrics_2023_Entity[[#This Row],[Total social units developed or newly built units acquired in-year (owned)]], VfM_Metrics_2023_Entity[[#This Row],[Total social leasehold units developed or newly built units acquired in-year (owned)]] )</f>
        <v>120</v>
      </c>
      <c r="P41" s="84" vm="10994">
        <v>120</v>
      </c>
      <c r="Q41" s="84" vm="11107">
        <v>0</v>
      </c>
      <c r="R41" s="5">
        <f xml:space="preserve"> SUM( VfM_Metrics_2023_Entity[[#This Row],[Total social housing units owned (Period end)]], VfM_Metrics_2023_Entity[[#This Row],[Total social leasehold units owned (Period end)]] )</f>
        <v>5374</v>
      </c>
      <c r="S41" s="84" vm="11291">
        <v>5293</v>
      </c>
      <c r="T41" s="135" vm="11409">
        <v>81</v>
      </c>
      <c r="U41" s="136">
        <f xml:space="preserve"> IFERROR( VfM_Metrics_2023_Entity[[#This Row],[Total non-social housing units developed or newly built units acquired (owned)]] / VfM_Metrics_2023_Entity[[#This Row],[Total social and non-social housing units owned (Period end)]], "n/a" )</f>
        <v>0</v>
      </c>
      <c r="V4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41" s="84" vm="11586">
        <v>0</v>
      </c>
      <c r="X41" s="84" vm="11687">
        <v>0</v>
      </c>
      <c r="Y41" s="84" vm="11718">
        <v>0</v>
      </c>
      <c r="Z4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5414</v>
      </c>
      <c r="AA41" s="84" vm="11987">
        <v>5293</v>
      </c>
      <c r="AB41" s="84" vm="11409">
        <v>81</v>
      </c>
      <c r="AC41" s="84" vm="12076">
        <v>40</v>
      </c>
      <c r="AD41" s="135" vm="12239">
        <v>0</v>
      </c>
      <c r="AE41" s="134">
        <f xml:space="preserve"> IFERROR( VfM_Metrics_2023_Entity[[#This Row],[Total Net Debt]] / VfM_Metrics_2023_Entity[[#This Row],[Net Book Value of Housing Properties2]], "n/a" )</f>
        <v>0.76466386831637478</v>
      </c>
      <c r="AF4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139178</v>
      </c>
      <c r="AG41" s="84" vm="12586">
        <v>0</v>
      </c>
      <c r="AH41" s="84" vm="12721">
        <v>141244</v>
      </c>
      <c r="AI41" s="84" vm="12843">
        <v>2066</v>
      </c>
      <c r="AJ41" s="84" vm="13020">
        <v>0</v>
      </c>
      <c r="AK41" s="84" vm="13105">
        <v>0</v>
      </c>
      <c r="AL41" s="5">
        <f xml:space="preserve"> SUM( VfM_Metrics_2023_Entity[[#This Row],[Tangible fixed assets: Housing properties at cost (Current period)2]], VfM_Metrics_2023_Entity[[#This Row],[Tangible fixed assets Housing properties at valuation (Current period)2]] )</f>
        <v>182012</v>
      </c>
      <c r="AM41" s="84" vm="9892">
        <v>182012</v>
      </c>
      <c r="AN41" s="135" vm="10083">
        <v>0</v>
      </c>
      <c r="AO41" s="137">
        <f xml:space="preserve"> IFERROR( VfM_Metrics_2023_Entity[[#This Row],[EBITDA MRI]] / VfM_Metrics_2023_Entity[[#This Row],[Total interest]], "n/a" )</f>
        <v>0.98504514672686228</v>
      </c>
      <c r="AP4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6982</v>
      </c>
      <c r="AQ41" s="84" vm="13471">
        <v>8125</v>
      </c>
      <c r="AR41" s="84" vm="13672">
        <v>1678</v>
      </c>
      <c r="AS41" s="84" vm="13923">
        <v>0</v>
      </c>
      <c r="AT41" s="84" vm="14174">
        <v>339</v>
      </c>
      <c r="AU41" s="84" vm="14417">
        <v>0</v>
      </c>
      <c r="AV41" s="84" vm="14664">
        <v>143</v>
      </c>
      <c r="AW41" s="84" vm="14907">
        <v>3441</v>
      </c>
      <c r="AX41" s="84" vm="13673">
        <v>4172</v>
      </c>
      <c r="AY41" s="5">
        <f xml:space="preserve"> - SUM( VfM_Metrics_2023_Entity[[#This Row],[Interest capitalised]], VfM_Metrics_2023_Entity[[#This Row],[Interest payable and financing costs]] )</f>
        <v>7088</v>
      </c>
      <c r="AZ41" s="84" vm="15148">
        <v>-418</v>
      </c>
      <c r="BA41" s="135" vm="15315">
        <v>-6670</v>
      </c>
      <c r="BB41" s="138">
        <f xml:space="preserve"> IFERROR( ( VfM_Metrics_2023_Entity[[#This Row],[Total Costs]] / VfM_Metrics_2023_Entity[[#This Row],[Total units for costs]] ) * 1000, "n/a" )</f>
        <v>3593.5278713056487</v>
      </c>
      <c r="BC4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19211</v>
      </c>
      <c r="BD41" s="84" vm="17307">
        <v>6684</v>
      </c>
      <c r="BE41" s="84" vm="17463">
        <v>1107</v>
      </c>
      <c r="BF41" s="84" vm="17541">
        <v>3428</v>
      </c>
      <c r="BG41" s="84" vm="16379">
        <v>1520</v>
      </c>
      <c r="BH41" s="84" vm="16604">
        <v>1430</v>
      </c>
      <c r="BI41" s="84" vm="15726">
        <v>0</v>
      </c>
      <c r="BJ41" s="84" vm="15689">
        <v>3441</v>
      </c>
      <c r="BK41" s="84" vm="15855">
        <v>993</v>
      </c>
      <c r="BL41" s="84" vm="15847">
        <v>0</v>
      </c>
      <c r="BM41" s="84" vm="16385">
        <v>0</v>
      </c>
      <c r="BN41" s="84" vm="16689">
        <v>0</v>
      </c>
      <c r="BO41" s="84" vm="15680">
        <v>608</v>
      </c>
      <c r="BP41" s="5" vm="17620">
        <f xml:space="preserve"> VfM_Metrics_2023_Entity[[#This Row],[Total social housing units owned and/or managed at period end]]</f>
        <v>5346</v>
      </c>
      <c r="BQ41" s="135" vm="17620">
        <v>5346</v>
      </c>
      <c r="BR41" s="134">
        <f xml:space="preserve"> IFERROR( VfM_Metrics_2023_Entity[[#This Row],[SHL operating surplus / (deficit)]] / VfM_Metrics_2023_Entity[[#This Row],[Turnover from social housing lettings]], "n/a" )</f>
        <v>0.26181467181467183</v>
      </c>
      <c r="BS41" s="5" vm="17874">
        <f xml:space="preserve"> VfM_Metrics_2023_Entity[[#This Row],[Operating surplus/(deficit) (social housing lettings)]]</f>
        <v>6781</v>
      </c>
      <c r="BT41" s="84" vm="17874">
        <v>6781</v>
      </c>
      <c r="BU41" s="5" vm="18059">
        <f xml:space="preserve"> VfM_Metrics_2023_Entity[[#This Row],[Turnover from social housing lettings]]</f>
        <v>25900</v>
      </c>
      <c r="BV41" s="135" vm="18059">
        <v>25900</v>
      </c>
      <c r="BW41" s="134">
        <f xml:space="preserve"> IFERROR( VfM_Metrics_2023_Entity[[#This Row],[Net operating surplus]] / VfM_Metrics_2023_Entity[[#This Row],[Overall turnover]], "n/a" )</f>
        <v>0.22134102379235759</v>
      </c>
      <c r="BX41" s="5">
        <f xml:space="preserve"> SUM( VfM_Metrics_2023_Entity[[#This Row],[Operating surplus/(deficit) (overall)2]], - VfM_Metrics_2023_Entity[[#This Row],[Gain/(loss) on disposal of fixed assets (housing properties)2]], - VfM_Metrics_2023_Entity[[#This Row],[Gain/(loss) on disposal of fixed assets (other)2]] )</f>
        <v>6447</v>
      </c>
      <c r="BY41" s="84" vm="15131">
        <v>8125</v>
      </c>
      <c r="BZ41" s="84" vm="13672">
        <v>1678</v>
      </c>
      <c r="CA41" s="84" vm="13923">
        <v>0</v>
      </c>
      <c r="CB41" s="5" vm="18261">
        <f xml:space="preserve"> VfM_Metrics_2023_Entity[[#This Row],[Turnover (overall)]]</f>
        <v>29127</v>
      </c>
      <c r="CC41" s="135" vm="18261">
        <v>29127</v>
      </c>
      <c r="CD41" s="134">
        <f xml:space="preserve"> IFERROR( VfM_Metrics_2023_Entity[[#This Row],[Operating surplus including from JVs]] / VfM_Metrics_2023_Entity[[#This Row],[Net assets]], "n/a" )</f>
        <v>4.3086762155769912E-2</v>
      </c>
      <c r="CE41" s="5">
        <f xml:space="preserve"> SUM( VfM_Metrics_2023_Entity[[#This Row],[Operating surplus/(deficit) (overall)3]], VfM_Metrics_2023_Entity[[#This Row],[Share of operating surplus/(deficit) in joint ventures or associates]] )</f>
        <v>8125</v>
      </c>
      <c r="CF41" s="84" vm="15131">
        <v>8125</v>
      </c>
      <c r="CG41" s="84" vm="18446">
        <v>0</v>
      </c>
      <c r="CH41" s="5" vm="18611">
        <f xml:space="preserve"> VfM_Metrics_2023_Entity[[#This Row],[Total assets less current liabilities]]</f>
        <v>188573</v>
      </c>
      <c r="CI41" s="135" vm="18611">
        <v>188573</v>
      </c>
      <c r="CJ41" s="140" vm="11291">
        <f xml:space="preserve"> VfM_Metrics_2023_Entity[[#This Row],[Total social housing units owned (Period end)]]</f>
        <v>5293</v>
      </c>
      <c r="CK41" s="141">
        <v>2.7224934284641383E-2</v>
      </c>
      <c r="CL41" s="69">
        <f xml:space="preserve"> -- ( VfM_Metrics_2023_Entity[[#This Row],[% Supported housing (excl. HOP)]] &gt; 0.3 )</f>
        <v>0</v>
      </c>
      <c r="CM41" s="9">
        <v>0.20296657904618851</v>
      </c>
      <c r="CN41" s="69">
        <f xml:space="preserve"> -- ( VfM_Metrics_2023_Entity[[#This Row],[% Housing for older people]] &gt; 0.3 )</f>
        <v>0</v>
      </c>
      <c r="CO41" s="9">
        <f xml:space="preserve"> VfM_Metrics_2023_Entity[[#This Row],[% Supported housing (excl. HOP)]] + VfM_Metrics_2023_Entity[[#This Row],[% Housing for older people]]</f>
        <v>0.23019151333082988</v>
      </c>
      <c r="CP41" s="69">
        <f xml:space="preserve"> -- ( VfM_Metrics_2023_Entity[[#This Row],[SH specialist in RSH analysis]] + VfM_Metrics_2023_Entity[[#This Row],[OP specialist in RSH analysis]] &gt; 0 )</f>
        <v>0</v>
      </c>
      <c r="CQ41" s="142">
        <f xml:space="preserve"> -- ( VfM_Metrics_2023_Entity[[#This Row],[% SH and OP]] &gt; 0.3 )</f>
        <v>0</v>
      </c>
      <c r="CR41" s="143" t="s">
        <v>143</v>
      </c>
      <c r="CS41" s="120"/>
      <c r="CT41" s="144" t="s">
        <v>151</v>
      </c>
      <c r="CU4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41" s="146">
        <v>0</v>
      </c>
      <c r="CW41" s="146">
        <v>0</v>
      </c>
      <c r="CX41" s="146">
        <v>0</v>
      </c>
      <c r="CY41" s="146">
        <v>0</v>
      </c>
      <c r="CZ41" s="146">
        <v>0</v>
      </c>
      <c r="DA41" s="146">
        <v>0</v>
      </c>
      <c r="DB41" s="146">
        <v>0</v>
      </c>
      <c r="DC41" s="146">
        <v>1</v>
      </c>
      <c r="DD41" s="146">
        <v>0</v>
      </c>
      <c r="DE41" s="126">
        <v>0.96105917141044694</v>
      </c>
    </row>
    <row r="42" spans="1:109" x14ac:dyDescent="0.25">
      <c r="A42" s="4" t="s" vm="371">
        <v>198</v>
      </c>
      <c r="B42" s="4" t="s" vm="9260">
        <v>199</v>
      </c>
      <c r="C42" s="121" vm="18804">
        <v>45016</v>
      </c>
      <c r="D42" s="68">
        <f>IFERROR( VfM_Metrics_2023_Entity[[#This Row],[Reinvestment Spend]] / VfM_Metrics_2023_Entity[[#This Row],[Net Book Value of Housing Properties]], "n/a" )</f>
        <v>6.2050403535669707E-2</v>
      </c>
      <c r="E4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16553</v>
      </c>
      <c r="F42" s="84" vm="10778">
        <v>260</v>
      </c>
      <c r="G42" s="84" vm="9767">
        <v>8811</v>
      </c>
      <c r="H42" s="84" vm="9542">
        <v>7389</v>
      </c>
      <c r="I42" s="84" vm="10876">
        <v>93</v>
      </c>
      <c r="J42" s="84" vm="9647">
        <v>0</v>
      </c>
      <c r="K42" s="5">
        <f xml:space="preserve"> SUM( VfM_Metrics_2023_Entity[[#This Row],[Tangible fixed assets: Housing properties at cost (Current period)]],VfM_Metrics_2023_Entity[[#This Row],[Tangible fixed assets Housing properties at valuation (Current period)]] )</f>
        <v>266767</v>
      </c>
      <c r="L42" s="84" vm="10055">
        <v>266767</v>
      </c>
      <c r="M42" s="84" vm="10579">
        <v>0</v>
      </c>
      <c r="N42" s="134">
        <f xml:space="preserve"> IFERROR( VfM_Metrics_2023_Entity[[#This Row],[Total social units developed or newly built units acquired in-year]] / VfM_Metrics_2023_Entity[[#This Row],[Social housing units owned (period end)]], "n/a" )</f>
        <v>1.1527777777777777E-2</v>
      </c>
      <c r="O42" s="5">
        <f xml:space="preserve"> SUM( VfM_Metrics_2023_Entity[[#This Row],[Total social units developed or newly built units acquired in-year (owned)]], VfM_Metrics_2023_Entity[[#This Row],[Total social leasehold units developed or newly built units acquired in-year (owned)]] )</f>
        <v>83</v>
      </c>
      <c r="P42" s="84" vm="10955">
        <v>83</v>
      </c>
      <c r="Q42" s="84" vm="11131">
        <v>0</v>
      </c>
      <c r="R42" s="5">
        <f xml:space="preserve"> SUM( VfM_Metrics_2023_Entity[[#This Row],[Total social housing units owned (Period end)]], VfM_Metrics_2023_Entity[[#This Row],[Total social leasehold units owned (Period end)]] )</f>
        <v>7200</v>
      </c>
      <c r="S42" s="84" vm="11236">
        <v>6795</v>
      </c>
      <c r="T42" s="135" vm="11423">
        <v>405</v>
      </c>
      <c r="U42" s="136">
        <f xml:space="preserve"> IFERROR( VfM_Metrics_2023_Entity[[#This Row],[Total non-social housing units developed or newly built units acquired (owned)]] / VfM_Metrics_2023_Entity[[#This Row],[Total social and non-social housing units owned (Period end)]], "n/a" )</f>
        <v>0</v>
      </c>
      <c r="V4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42" s="84" vm="11612">
        <v>0</v>
      </c>
      <c r="X42" s="84" vm="11785">
        <v>0</v>
      </c>
      <c r="Y42" s="84" vm="11824">
        <v>0</v>
      </c>
      <c r="Z4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7200</v>
      </c>
      <c r="AA42" s="84" vm="11236">
        <v>6795</v>
      </c>
      <c r="AB42" s="84" vm="11423">
        <v>405</v>
      </c>
      <c r="AC42" s="84" vm="12335">
        <v>0</v>
      </c>
      <c r="AD42" s="135" vm="12483">
        <v>0</v>
      </c>
      <c r="AE42" s="134">
        <f xml:space="preserve"> IFERROR( VfM_Metrics_2023_Entity[[#This Row],[Total Net Debt]] / VfM_Metrics_2023_Entity[[#This Row],[Net Book Value of Housing Properties2]], "n/a" )</f>
        <v>0.28603612890649893</v>
      </c>
      <c r="AF4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76305</v>
      </c>
      <c r="AG42" s="84" vm="12608">
        <v>49</v>
      </c>
      <c r="AH42" s="84" vm="13193">
        <v>80990</v>
      </c>
      <c r="AI42" s="84" vm="13279">
        <v>4779</v>
      </c>
      <c r="AJ42" s="84" vm="12722">
        <v>0</v>
      </c>
      <c r="AK42" s="84" vm="12843">
        <v>45</v>
      </c>
      <c r="AL42" s="5">
        <f xml:space="preserve"> SUM( VfM_Metrics_2023_Entity[[#This Row],[Tangible fixed assets: Housing properties at cost (Current period)2]], VfM_Metrics_2023_Entity[[#This Row],[Tangible fixed assets Housing properties at valuation (Current period)2]] )</f>
        <v>266767</v>
      </c>
      <c r="AM42" s="84" vm="10013">
        <v>266767</v>
      </c>
      <c r="AN42" s="135" vm="13398">
        <v>0</v>
      </c>
      <c r="AO42" s="137">
        <f xml:space="preserve"> IFERROR( VfM_Metrics_2023_Entity[[#This Row],[EBITDA MRI]] / VfM_Metrics_2023_Entity[[#This Row],[Total interest]], "n/a" )</f>
        <v>0.77382550335570466</v>
      </c>
      <c r="AP4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3459</v>
      </c>
      <c r="AQ42" s="84" vm="13503">
        <v>5873</v>
      </c>
      <c r="AR42" s="84" vm="13924">
        <v>978</v>
      </c>
      <c r="AS42" s="84" vm="14175">
        <v>4</v>
      </c>
      <c r="AT42" s="84" vm="14418">
        <v>1071</v>
      </c>
      <c r="AU42" s="84" vm="14665">
        <v>0</v>
      </c>
      <c r="AV42" s="84" vm="14908">
        <v>49</v>
      </c>
      <c r="AW42" s="84" vm="13674">
        <v>5700</v>
      </c>
      <c r="AX42" s="84" vm="13925">
        <v>5290</v>
      </c>
      <c r="AY42" s="5">
        <f xml:space="preserve"> - SUM( VfM_Metrics_2023_Entity[[#This Row],[Interest capitalised]], VfM_Metrics_2023_Entity[[#This Row],[Interest payable and financing costs]] )</f>
        <v>4470</v>
      </c>
      <c r="AZ42" s="84" vm="15190">
        <v>-93</v>
      </c>
      <c r="BA42" s="135" vm="15352">
        <v>-4377</v>
      </c>
      <c r="BB42" s="138">
        <f xml:space="preserve"> IFERROR( ( VfM_Metrics_2023_Entity[[#This Row],[Total Costs]] / VfM_Metrics_2023_Entity[[#This Row],[Total units for costs]] ) * 1000, "n/a" )</f>
        <v>4514.7902869757172</v>
      </c>
      <c r="BC4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30678</v>
      </c>
      <c r="BD42" s="84" vm="15780">
        <v>6819</v>
      </c>
      <c r="BE42" s="84" vm="15691">
        <v>4771</v>
      </c>
      <c r="BF42" s="84" vm="15856">
        <v>6774</v>
      </c>
      <c r="BG42" s="84" vm="16062">
        <v>4375</v>
      </c>
      <c r="BH42" s="84" vm="17463">
        <v>1699</v>
      </c>
      <c r="BI42" s="84" vm="17541">
        <v>540</v>
      </c>
      <c r="BJ42" s="84" vm="13674">
        <v>5700</v>
      </c>
      <c r="BK42" s="84" vm="15727">
        <v>0</v>
      </c>
      <c r="BL42" s="84" vm="15682">
        <v>0</v>
      </c>
      <c r="BM42" s="84" vm="16265">
        <v>0</v>
      </c>
      <c r="BN42" s="84" vm="16381">
        <v>0</v>
      </c>
      <c r="BO42" s="84" vm="15781">
        <v>0</v>
      </c>
      <c r="BP42" s="5" vm="17656">
        <f xml:space="preserve"> VfM_Metrics_2023_Entity[[#This Row],[Total social housing units owned and/or managed at period end]]</f>
        <v>6795</v>
      </c>
      <c r="BQ42" s="135" vm="17656">
        <v>6795</v>
      </c>
      <c r="BR42" s="134">
        <f xml:space="preserve"> IFERROR( VfM_Metrics_2023_Entity[[#This Row],[SHL operating surplus / (deficit)]] / VfM_Metrics_2023_Entity[[#This Row],[Turnover from social housing lettings]], "n/a" )</f>
        <v>0.11361491269466729</v>
      </c>
      <c r="BS42" s="5" vm="17911">
        <f xml:space="preserve"> VfM_Metrics_2023_Entity[[#This Row],[Operating surplus/(deficit) (social housing lettings)]]</f>
        <v>3852</v>
      </c>
      <c r="BT42" s="84" vm="17911">
        <v>3852</v>
      </c>
      <c r="BU42" s="5" vm="18106">
        <f xml:space="preserve"> VfM_Metrics_2023_Entity[[#This Row],[Turnover from social housing lettings]]</f>
        <v>33904</v>
      </c>
      <c r="BV42" s="135" vm="18106">
        <v>33904</v>
      </c>
      <c r="BW42" s="134">
        <f xml:space="preserve"> IFERROR( VfM_Metrics_2023_Entity[[#This Row],[Net operating surplus]] / VfM_Metrics_2023_Entity[[#This Row],[Overall turnover]], "n/a" )</f>
        <v>0.13683798226226115</v>
      </c>
      <c r="BX42" s="5">
        <f xml:space="preserve"> SUM( VfM_Metrics_2023_Entity[[#This Row],[Operating surplus/(deficit) (overall)2]], - VfM_Metrics_2023_Entity[[#This Row],[Gain/(loss) on disposal of fixed assets (housing properties)2]], - VfM_Metrics_2023_Entity[[#This Row],[Gain/(loss) on disposal of fixed assets (other)2]] )</f>
        <v>4891</v>
      </c>
      <c r="BY42" s="84" vm="13503">
        <v>5873</v>
      </c>
      <c r="BZ42" s="84" vm="13924">
        <v>978</v>
      </c>
      <c r="CA42" s="84" vm="14175">
        <v>4</v>
      </c>
      <c r="CB42" s="5" vm="18260">
        <f xml:space="preserve"> VfM_Metrics_2023_Entity[[#This Row],[Turnover (overall)]]</f>
        <v>35743</v>
      </c>
      <c r="CC42" s="135" vm="18260">
        <v>35743</v>
      </c>
      <c r="CD42" s="134">
        <f xml:space="preserve"> IFERROR( VfM_Metrics_2023_Entity[[#This Row],[Operating surplus including from JVs]] / VfM_Metrics_2023_Entity[[#This Row],[Net assets]], "n/a" )</f>
        <v>2.1455997486510087E-2</v>
      </c>
      <c r="CE42" s="5">
        <f xml:space="preserve"> SUM( VfM_Metrics_2023_Entity[[#This Row],[Operating surplus/(deficit) (overall)3]], VfM_Metrics_2023_Entity[[#This Row],[Share of operating surplus/(deficit) in joint ventures or associates]] )</f>
        <v>5873</v>
      </c>
      <c r="CF42" s="84" vm="13503">
        <v>5873</v>
      </c>
      <c r="CG42" s="84" vm="18473">
        <v>0</v>
      </c>
      <c r="CH42" s="5" vm="18647">
        <f xml:space="preserve"> VfM_Metrics_2023_Entity[[#This Row],[Total assets less current liabilities]]</f>
        <v>273723</v>
      </c>
      <c r="CI42" s="135" vm="18647">
        <v>273723</v>
      </c>
      <c r="CJ42" s="140" vm="11236">
        <f xml:space="preserve"> VfM_Metrics_2023_Entity[[#This Row],[Total social housing units owned (Period end)]]</f>
        <v>6795</v>
      </c>
      <c r="CK42" s="141">
        <v>5.3970701619121047E-3</v>
      </c>
      <c r="CL42" s="69">
        <f xml:space="preserve"> -- ( VfM_Metrics_2023_Entity[[#This Row],[% Supported housing (excl. HOP)]] &gt; 0.3 )</f>
        <v>0</v>
      </c>
      <c r="CM42" s="9">
        <v>9.7455666923670012E-2</v>
      </c>
      <c r="CN42" s="69">
        <f xml:space="preserve"> -- ( VfM_Metrics_2023_Entity[[#This Row],[% Housing for older people]] &gt; 0.3 )</f>
        <v>0</v>
      </c>
      <c r="CO42" s="9">
        <f xml:space="preserve"> VfM_Metrics_2023_Entity[[#This Row],[% Supported housing (excl. HOP)]] + VfM_Metrics_2023_Entity[[#This Row],[% Housing for older people]]</f>
        <v>0.10285273708558211</v>
      </c>
      <c r="CP42" s="69">
        <f xml:space="preserve"> -- ( VfM_Metrics_2023_Entity[[#This Row],[SH specialist in RSH analysis]] + VfM_Metrics_2023_Entity[[#This Row],[OP specialist in RSH analysis]] &gt; 0 )</f>
        <v>0</v>
      </c>
      <c r="CQ42" s="142">
        <f xml:space="preserve"> -- ( VfM_Metrics_2023_Entity[[#This Row],[% SH and OP]] &gt; 0.3 )</f>
        <v>0</v>
      </c>
      <c r="CR42" s="143" t="s">
        <v>143</v>
      </c>
      <c r="CS42" s="120"/>
      <c r="CT42" s="144" t="s">
        <v>151</v>
      </c>
      <c r="CU4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42" s="146">
        <v>0</v>
      </c>
      <c r="CW42" s="146">
        <v>0</v>
      </c>
      <c r="CX42" s="146">
        <v>0</v>
      </c>
      <c r="CY42" s="146">
        <v>0</v>
      </c>
      <c r="CZ42" s="146">
        <v>0</v>
      </c>
      <c r="DA42" s="146">
        <v>0</v>
      </c>
      <c r="DB42" s="146">
        <v>0.21428571428571427</v>
      </c>
      <c r="DC42" s="146">
        <v>0.78509852216748766</v>
      </c>
      <c r="DD42" s="146">
        <v>6.1576354679802956E-4</v>
      </c>
      <c r="DE42" s="126">
        <v>0.94936796590506911</v>
      </c>
    </row>
    <row r="43" spans="1:109" x14ac:dyDescent="0.25">
      <c r="A43" s="4" t="s" vm="9223">
        <v>562</v>
      </c>
      <c r="B43" s="4" t="s" vm="9303">
        <v>563</v>
      </c>
      <c r="C43" s="121" vm="18800">
        <v>45016</v>
      </c>
      <c r="D43" s="68">
        <f>IFERROR( VfM_Metrics_2023_Entity[[#This Row],[Reinvestment Spend]] / VfM_Metrics_2023_Entity[[#This Row],[Net Book Value of Housing Properties]], "n/a" )</f>
        <v>5.4589007809305291E-2</v>
      </c>
      <c r="E4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175679</v>
      </c>
      <c r="F43" s="84" vm="10755">
        <v>120153</v>
      </c>
      <c r="G43" s="84" vm="9749">
        <v>0</v>
      </c>
      <c r="H43" s="84" vm="10914">
        <v>50029</v>
      </c>
      <c r="I43" s="84" vm="9718">
        <v>5497</v>
      </c>
      <c r="J43" s="84" vm="10518">
        <v>0</v>
      </c>
      <c r="K43" s="5">
        <f xml:space="preserve"> SUM( VfM_Metrics_2023_Entity[[#This Row],[Tangible fixed assets: Housing properties at cost (Current period)]],VfM_Metrics_2023_Entity[[#This Row],[Tangible fixed assets Housing properties at valuation (Current period)]] )</f>
        <v>3218212</v>
      </c>
      <c r="L43" s="84" vm="9935">
        <v>3218212</v>
      </c>
      <c r="M43" s="84">
        <v>0</v>
      </c>
      <c r="N43" s="134">
        <f xml:space="preserve"> IFERROR( VfM_Metrics_2023_Entity[[#This Row],[Total social units developed or newly built units acquired in-year]] / VfM_Metrics_2023_Entity[[#This Row],[Social housing units owned (period end)]], "n/a" )</f>
        <v>1.8182990521632601E-2</v>
      </c>
      <c r="O43" s="5">
        <f xml:space="preserve"> SUM( VfM_Metrics_2023_Entity[[#This Row],[Total social units developed or newly built units acquired in-year (owned)]], VfM_Metrics_2023_Entity[[#This Row],[Total social leasehold units developed or newly built units acquired in-year (owned)]] )</f>
        <v>564</v>
      </c>
      <c r="P43" s="84" vm="11008">
        <v>540</v>
      </c>
      <c r="Q43" s="84" vm="11143">
        <v>24</v>
      </c>
      <c r="R43" s="5">
        <f xml:space="preserve"> SUM( VfM_Metrics_2023_Entity[[#This Row],[Total social housing units owned (Period end)]], VfM_Metrics_2023_Entity[[#This Row],[Total social leasehold units owned (Period end)]] )</f>
        <v>31018</v>
      </c>
      <c r="S43" s="84" vm="11252">
        <v>28227</v>
      </c>
      <c r="T43" s="135" vm="11410">
        <v>2791</v>
      </c>
      <c r="U43" s="136">
        <f xml:space="preserve"> IFERROR( VfM_Metrics_2023_Entity[[#This Row],[Total non-social housing units developed or newly built units acquired (owned)]] / VfM_Metrics_2023_Entity[[#This Row],[Total social and non-social housing units owned (Period end)]], "n/a" )</f>
        <v>7.4892342258004124E-4</v>
      </c>
      <c r="V4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24</v>
      </c>
      <c r="W43" s="84" vm="11634">
        <v>0</v>
      </c>
      <c r="X43" s="84" vm="11874">
        <v>0</v>
      </c>
      <c r="Y43" s="84" vm="11912">
        <v>24</v>
      </c>
      <c r="Z4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32046</v>
      </c>
      <c r="AA43" s="84" vm="11996">
        <v>28227</v>
      </c>
      <c r="AB43" s="84" vm="12178">
        <v>2791</v>
      </c>
      <c r="AC43" s="84" vm="12077">
        <v>160</v>
      </c>
      <c r="AD43" s="135" vm="12240">
        <v>868</v>
      </c>
      <c r="AE43" s="134">
        <f xml:space="preserve"> IFERROR( VfM_Metrics_2023_Entity[[#This Row],[Total Net Debt]] / VfM_Metrics_2023_Entity[[#This Row],[Net Book Value of Housing Properties2]], "n/a" )</f>
        <v>0.38282282211364571</v>
      </c>
      <c r="AF4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1232005</v>
      </c>
      <c r="AG43" s="84" vm="12637">
        <v>74734</v>
      </c>
      <c r="AH43" s="84" vm="13021">
        <v>1207760</v>
      </c>
      <c r="AI43" s="84" vm="13106">
        <v>50489</v>
      </c>
      <c r="AJ43" s="84">
        <v>0</v>
      </c>
      <c r="AK43" s="84">
        <v>0</v>
      </c>
      <c r="AL43" s="5">
        <f xml:space="preserve"> SUM( VfM_Metrics_2023_Entity[[#This Row],[Tangible fixed assets: Housing properties at cost (Current period)2]], VfM_Metrics_2023_Entity[[#This Row],[Tangible fixed assets Housing properties at valuation (Current period)2]] )</f>
        <v>3218212</v>
      </c>
      <c r="AM43" s="84" vm="9938">
        <v>3218212</v>
      </c>
      <c r="AN43" s="135">
        <v>0</v>
      </c>
      <c r="AO43" s="137">
        <f xml:space="preserve"> IFERROR( VfM_Metrics_2023_Entity[[#This Row],[EBITDA MRI]] / VfM_Metrics_2023_Entity[[#This Row],[Total interest]], "n/a" )</f>
        <v>0.32527058823529414</v>
      </c>
      <c r="AP4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20736</v>
      </c>
      <c r="AQ43" s="84" vm="13541">
        <v>48960</v>
      </c>
      <c r="AR43" s="84" vm="14176">
        <v>18505</v>
      </c>
      <c r="AS43" s="84">
        <v>0</v>
      </c>
      <c r="AT43" s="84" vm="14666">
        <v>3766</v>
      </c>
      <c r="AU43" s="84" vm="14909">
        <v>8307</v>
      </c>
      <c r="AV43" s="84" vm="13675">
        <v>6309</v>
      </c>
      <c r="AW43" s="84" vm="13926">
        <v>50029</v>
      </c>
      <c r="AX43" s="84" vm="14177">
        <v>46074</v>
      </c>
      <c r="AY43" s="5">
        <f xml:space="preserve"> - SUM( VfM_Metrics_2023_Entity[[#This Row],[Interest capitalised]], VfM_Metrics_2023_Entity[[#This Row],[Interest payable and financing costs]] )</f>
        <v>63750</v>
      </c>
      <c r="AZ43" s="84" vm="15214">
        <v>-5497</v>
      </c>
      <c r="BA43" s="135" vm="15385">
        <v>-58253</v>
      </c>
      <c r="BB43" s="138">
        <f xml:space="preserve"> IFERROR( ( VfM_Metrics_2023_Entity[[#This Row],[Total Costs]] / VfM_Metrics_2023_Entity[[#This Row],[Total units for costs]] ) * 1000, "n/a" )</f>
        <v>6721.4532268749344</v>
      </c>
      <c r="BC4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192778</v>
      </c>
      <c r="BD43" s="84" vm="17307">
        <v>43887</v>
      </c>
      <c r="BE43" s="84" vm="17464">
        <v>33053</v>
      </c>
      <c r="BF43" s="84" vm="15692">
        <v>34347</v>
      </c>
      <c r="BG43" s="84" vm="16605">
        <v>9966</v>
      </c>
      <c r="BH43" s="84" vm="16054">
        <v>11667</v>
      </c>
      <c r="BI43" s="84" vm="16775">
        <v>0</v>
      </c>
      <c r="BJ43" s="84" vm="13926">
        <v>50029</v>
      </c>
      <c r="BK43" s="84" vm="15849">
        <v>977</v>
      </c>
      <c r="BL43" s="84" vm="17465">
        <v>3006</v>
      </c>
      <c r="BM43" s="84" vm="15684">
        <v>3016</v>
      </c>
      <c r="BN43" s="84" vm="16387">
        <v>838</v>
      </c>
      <c r="BO43" s="84" vm="17308">
        <v>1992</v>
      </c>
      <c r="BP43" s="5" vm="17800">
        <f xml:space="preserve"> VfM_Metrics_2023_Entity[[#This Row],[Total social housing units owned and/or managed at period end]]</f>
        <v>28681</v>
      </c>
      <c r="BQ43" s="135" vm="17800">
        <v>28681</v>
      </c>
      <c r="BR43" s="134">
        <f xml:space="preserve"> IFERROR( VfM_Metrics_2023_Entity[[#This Row],[SHL operating surplus / (deficit)]] / VfM_Metrics_2023_Entity[[#This Row],[Turnover from social housing lettings]], "n/a" )</f>
        <v>0.20783501572672081</v>
      </c>
      <c r="BS43" s="5" vm="17949">
        <f xml:space="preserve"> VfM_Metrics_2023_Entity[[#This Row],[Operating surplus/(deficit) (social housing lettings)]]</f>
        <v>45461</v>
      </c>
      <c r="BT43" s="84" vm="17949">
        <v>45461</v>
      </c>
      <c r="BU43" s="5" vm="18117">
        <f xml:space="preserve"> VfM_Metrics_2023_Entity[[#This Row],[Turnover from social housing lettings]]</f>
        <v>218736</v>
      </c>
      <c r="BV43" s="135" vm="18117">
        <v>218736</v>
      </c>
      <c r="BW43" s="134">
        <f xml:space="preserve"> IFERROR( VfM_Metrics_2023_Entity[[#This Row],[Net operating surplus]] / VfM_Metrics_2023_Entity[[#This Row],[Overall turnover]], "n/a" )</f>
        <v>0.11065089832325103</v>
      </c>
      <c r="BX43" s="5">
        <f xml:space="preserve"> SUM( VfM_Metrics_2023_Entity[[#This Row],[Operating surplus/(deficit) (overall)2]], - VfM_Metrics_2023_Entity[[#This Row],[Gain/(loss) on disposal of fixed assets (housing properties)2]], - VfM_Metrics_2023_Entity[[#This Row],[Gain/(loss) on disposal of fixed assets (other)2]] )</f>
        <v>30455</v>
      </c>
      <c r="BY43" s="84" vm="13541">
        <v>48960</v>
      </c>
      <c r="BZ43" s="84" vm="14176">
        <v>18505</v>
      </c>
      <c r="CA43" s="84">
        <v>0</v>
      </c>
      <c r="CB43" s="5" vm="18299">
        <f xml:space="preserve"> VfM_Metrics_2023_Entity[[#This Row],[Turnover (overall)]]</f>
        <v>275235</v>
      </c>
      <c r="CC43" s="135" vm="18299">
        <v>275235</v>
      </c>
      <c r="CD43" s="134">
        <f xml:space="preserve"> IFERROR( VfM_Metrics_2023_Entity[[#This Row],[Operating surplus including from JVs]] / VfM_Metrics_2023_Entity[[#This Row],[Net assets]], "n/a" )</f>
        <v>1.4696082845565062E-2</v>
      </c>
      <c r="CE43" s="5">
        <f xml:space="preserve"> SUM( VfM_Metrics_2023_Entity[[#This Row],[Operating surplus/(deficit) (overall)3]], VfM_Metrics_2023_Entity[[#This Row],[Share of operating surplus/(deficit) in joint ventures or associates]] )</f>
        <v>48960</v>
      </c>
      <c r="CF43" s="84" vm="13542">
        <v>48960</v>
      </c>
      <c r="CG43" s="84">
        <v>0</v>
      </c>
      <c r="CH43" s="5" vm="18685">
        <f xml:space="preserve"> VfM_Metrics_2023_Entity[[#This Row],[Total assets less current liabilities]]</f>
        <v>3331500</v>
      </c>
      <c r="CI43" s="135" vm="18685">
        <v>3331500</v>
      </c>
      <c r="CJ43" s="140" vm="11252">
        <f xml:space="preserve"> VfM_Metrics_2023_Entity[[#This Row],[Total social housing units owned (Period end)]]</f>
        <v>28227</v>
      </c>
      <c r="CK43" s="141">
        <v>2.0156854395116931E-2</v>
      </c>
      <c r="CL43" s="69">
        <f xml:space="preserve"> -- ( VfM_Metrics_2023_Entity[[#This Row],[% Supported housing (excl. HOP)]] &gt; 0.3 )</f>
        <v>0</v>
      </c>
      <c r="CM43" s="9">
        <v>3.3464636786259272E-2</v>
      </c>
      <c r="CN43" s="69">
        <f xml:space="preserve"> -- ( VfM_Metrics_2023_Entity[[#This Row],[% Housing for older people]] &gt; 0.3 )</f>
        <v>0</v>
      </c>
      <c r="CO43" s="9">
        <f xml:space="preserve"> VfM_Metrics_2023_Entity[[#This Row],[% Supported housing (excl. HOP)]] + VfM_Metrics_2023_Entity[[#This Row],[% Housing for older people]]</f>
        <v>5.3621491181376199E-2</v>
      </c>
      <c r="CP43" s="69">
        <f xml:space="preserve"> -- ( VfM_Metrics_2023_Entity[[#This Row],[SH specialist in RSH analysis]] + VfM_Metrics_2023_Entity[[#This Row],[OP specialist in RSH analysis]] &gt; 0 )</f>
        <v>0</v>
      </c>
      <c r="CQ43" s="142">
        <f xml:space="preserve"> -- ( VfM_Metrics_2023_Entity[[#This Row],[% SH and OP]] &gt; 0.3 )</f>
        <v>0</v>
      </c>
      <c r="CR43" s="143" t="s">
        <v>143</v>
      </c>
      <c r="CS43" s="120"/>
      <c r="CT43" s="144" t="s">
        <v>151</v>
      </c>
      <c r="CU4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43" s="146">
        <v>0.46119111111111111</v>
      </c>
      <c r="CW43" s="146">
        <v>0.20170666666666667</v>
      </c>
      <c r="CX43" s="146">
        <v>0</v>
      </c>
      <c r="CY43" s="146">
        <v>3.3422222222222221E-3</v>
      </c>
      <c r="CZ43" s="146">
        <v>0</v>
      </c>
      <c r="DA43" s="146">
        <v>0.33376</v>
      </c>
      <c r="DB43" s="146">
        <v>0</v>
      </c>
      <c r="DC43" s="146">
        <v>0</v>
      </c>
      <c r="DD43" s="146">
        <v>0</v>
      </c>
      <c r="DE43" s="126">
        <v>1.084363449886423</v>
      </c>
    </row>
    <row r="44" spans="1:109" x14ac:dyDescent="0.25">
      <c r="A44" s="4" t="s" vm="9224">
        <v>564</v>
      </c>
      <c r="B44" s="4" t="s" vm="10406">
        <v>565</v>
      </c>
      <c r="C44" s="121" vm="18880">
        <v>45016</v>
      </c>
      <c r="D44" s="68">
        <f>IFERROR( VfM_Metrics_2023_Entity[[#This Row],[Reinvestment Spend]] / VfM_Metrics_2023_Entity[[#This Row],[Net Book Value of Housing Properties]], "n/a" )</f>
        <v>6.9577080491132329E-2</v>
      </c>
      <c r="E4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9792</v>
      </c>
      <c r="F44" s="84" vm="9655">
        <v>9209</v>
      </c>
      <c r="G44" s="84" vm="9708">
        <v>0</v>
      </c>
      <c r="H44" s="84" vm="10805">
        <v>448</v>
      </c>
      <c r="I44" s="84" vm="10788">
        <v>135</v>
      </c>
      <c r="J44" s="84" vm="10434">
        <v>0</v>
      </c>
      <c r="K44" s="5">
        <f xml:space="preserve"> SUM( VfM_Metrics_2023_Entity[[#This Row],[Tangible fixed assets: Housing properties at cost (Current period)]],VfM_Metrics_2023_Entity[[#This Row],[Tangible fixed assets Housing properties at valuation (Current period)]] )</f>
        <v>140736</v>
      </c>
      <c r="L44" s="84" vm="10438">
        <v>140736</v>
      </c>
      <c r="M44" s="84" vm="10129">
        <v>0</v>
      </c>
      <c r="N44" s="134">
        <f xml:space="preserve"> IFERROR( VfM_Metrics_2023_Entity[[#This Row],[Total social units developed or newly built units acquired in-year]] / VfM_Metrics_2023_Entity[[#This Row],[Social housing units owned (period end)]], "n/a" )</f>
        <v>3.7654653039268424E-3</v>
      </c>
      <c r="O44" s="5">
        <f xml:space="preserve"> SUM( VfM_Metrics_2023_Entity[[#This Row],[Total social units developed or newly built units acquired in-year (owned)]], VfM_Metrics_2023_Entity[[#This Row],[Total social leasehold units developed or newly built units acquired in-year (owned)]] )</f>
        <v>7</v>
      </c>
      <c r="P44" s="84" vm="11044">
        <v>7</v>
      </c>
      <c r="Q44" s="84" vm="11171">
        <v>0</v>
      </c>
      <c r="R44" s="5">
        <f xml:space="preserve"> SUM( VfM_Metrics_2023_Entity[[#This Row],[Total social housing units owned (Period end)]], VfM_Metrics_2023_Entity[[#This Row],[Total social leasehold units owned (Period end)]] )</f>
        <v>1859</v>
      </c>
      <c r="S44" s="84" vm="11265">
        <v>1859</v>
      </c>
      <c r="T44" s="135" vm="11450">
        <v>0</v>
      </c>
      <c r="U44" s="136">
        <f xml:space="preserve"> IFERROR( VfM_Metrics_2023_Entity[[#This Row],[Total non-social housing units developed or newly built units acquired (owned)]] / VfM_Metrics_2023_Entity[[#This Row],[Total social and non-social housing units owned (Period end)]], "n/a" )</f>
        <v>8.5513078470824955E-3</v>
      </c>
      <c r="V4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17</v>
      </c>
      <c r="W44" s="84" vm="11650">
        <v>17</v>
      </c>
      <c r="X44" s="84" vm="11688">
        <v>0</v>
      </c>
      <c r="Y44" s="84" vm="11719">
        <v>0</v>
      </c>
      <c r="Z4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1988</v>
      </c>
      <c r="AA44" s="84" vm="11265">
        <v>1859</v>
      </c>
      <c r="AB44" s="84" vm="11450">
        <v>0</v>
      </c>
      <c r="AC44" s="84" vm="12336">
        <v>129</v>
      </c>
      <c r="AD44" s="135" vm="12484">
        <v>0</v>
      </c>
      <c r="AE44" s="134">
        <f xml:space="preserve"> IFERROR( VfM_Metrics_2023_Entity[[#This Row],[Total Net Debt]] / VfM_Metrics_2023_Entity[[#This Row],[Net Book Value of Housing Properties2]], "n/a" )</f>
        <v>0.16773249204183721</v>
      </c>
      <c r="AF4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23606</v>
      </c>
      <c r="AG44" s="84" vm="12659">
        <v>0</v>
      </c>
      <c r="AH44" s="84" vm="12723">
        <v>0</v>
      </c>
      <c r="AI44" s="84" vm="12844">
        <v>1729</v>
      </c>
      <c r="AJ44" s="84" vm="13021">
        <v>25335</v>
      </c>
      <c r="AK44" s="84" vm="13107">
        <v>0</v>
      </c>
      <c r="AL44" s="5">
        <f xml:space="preserve"> SUM( VfM_Metrics_2023_Entity[[#This Row],[Tangible fixed assets: Housing properties at cost (Current period)2]], VfM_Metrics_2023_Entity[[#This Row],[Tangible fixed assets Housing properties at valuation (Current period)2]] )</f>
        <v>140736</v>
      </c>
      <c r="AM44" s="84" vm="9957">
        <v>140736</v>
      </c>
      <c r="AN44" s="135" vm="10129">
        <v>0</v>
      </c>
      <c r="AO44" s="137">
        <f xml:space="preserve"> IFERROR( VfM_Metrics_2023_Entity[[#This Row],[EBITDA MRI]] / VfM_Metrics_2023_Entity[[#This Row],[Total interest]], "n/a" )</f>
        <v>0.12079701120797011</v>
      </c>
      <c r="AP4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97</v>
      </c>
      <c r="AQ44" s="84" vm="13566">
        <v>-2459</v>
      </c>
      <c r="AR44" s="84" vm="14419">
        <v>0</v>
      </c>
      <c r="AS44" s="84" vm="14667">
        <v>0</v>
      </c>
      <c r="AT44" s="84" vm="14910">
        <v>499</v>
      </c>
      <c r="AU44" s="84" vm="13676">
        <v>0</v>
      </c>
      <c r="AV44" s="84" vm="13927">
        <v>282</v>
      </c>
      <c r="AW44" s="84" vm="14178">
        <v>448</v>
      </c>
      <c r="AX44" s="84" vm="14420">
        <v>3221</v>
      </c>
      <c r="AY44" s="5">
        <f xml:space="preserve"> - SUM( VfM_Metrics_2023_Entity[[#This Row],[Interest capitalised]], VfM_Metrics_2023_Entity[[#This Row],[Interest payable and financing costs]] )</f>
        <v>803</v>
      </c>
      <c r="AZ44" s="84" vm="15237">
        <v>-135</v>
      </c>
      <c r="BA44" s="135" vm="15506">
        <v>-668</v>
      </c>
      <c r="BB44" s="138">
        <f xml:space="preserve"> IFERROR( ( VfM_Metrics_2023_Entity[[#This Row],[Total Costs]] / VfM_Metrics_2023_Entity[[#This Row],[Total units for costs]] ) * 1000, "n/a" )</f>
        <v>12711.702127659575</v>
      </c>
      <c r="BC4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23898</v>
      </c>
      <c r="BD44" s="84" vm="15538">
        <v>4804</v>
      </c>
      <c r="BE44" s="84" vm="16776">
        <v>6823</v>
      </c>
      <c r="BF44" s="84" vm="16267">
        <v>2276</v>
      </c>
      <c r="BG44" s="84" vm="15693">
        <v>9</v>
      </c>
      <c r="BH44" s="84" vm="15728">
        <v>130</v>
      </c>
      <c r="BI44" s="84" vm="15782">
        <v>0</v>
      </c>
      <c r="BJ44" s="84" vm="14178">
        <v>448</v>
      </c>
      <c r="BK44" s="84" vm="16389">
        <v>111</v>
      </c>
      <c r="BL44" s="84" vm="16690">
        <v>0</v>
      </c>
      <c r="BM44" s="84" vm="15851">
        <v>0</v>
      </c>
      <c r="BN44" s="84" vm="15685">
        <v>9236</v>
      </c>
      <c r="BO44" s="84" vm="16606">
        <v>61</v>
      </c>
      <c r="BP44" s="5" vm="17691">
        <f xml:space="preserve"> VfM_Metrics_2023_Entity[[#This Row],[Total social housing units owned and/or managed at period end]]</f>
        <v>1880</v>
      </c>
      <c r="BQ44" s="135" vm="17691">
        <v>1880</v>
      </c>
      <c r="BR44" s="134">
        <f xml:space="preserve"> IFERROR( VfM_Metrics_2023_Entity[[#This Row],[SHL operating surplus / (deficit)]] / VfM_Metrics_2023_Entity[[#This Row],[Turnover from social housing lettings]], "n/a" )</f>
        <v>-0.16516028809490185</v>
      </c>
      <c r="BS44" s="5" vm="17985">
        <f xml:space="preserve"> VfM_Metrics_2023_Entity[[#This Row],[Operating surplus/(deficit) (social housing lettings)]]</f>
        <v>-2339</v>
      </c>
      <c r="BT44" s="84" vm="17985">
        <v>-2339</v>
      </c>
      <c r="BU44" s="5" vm="18162">
        <f xml:space="preserve"> VfM_Metrics_2023_Entity[[#This Row],[Turnover from social housing lettings]]</f>
        <v>14162</v>
      </c>
      <c r="BV44" s="135" vm="18162">
        <v>14162</v>
      </c>
      <c r="BW44" s="134">
        <f xml:space="preserve"> IFERROR( VfM_Metrics_2023_Entity[[#This Row],[Net operating surplus]] / VfM_Metrics_2023_Entity[[#This Row],[Overall turnover]], "n/a" )</f>
        <v>-9.77772476042785E-2</v>
      </c>
      <c r="BX44" s="5">
        <f xml:space="preserve"> SUM( VfM_Metrics_2023_Entity[[#This Row],[Operating surplus/(deficit) (overall)2]], - VfM_Metrics_2023_Entity[[#This Row],[Gain/(loss) on disposal of fixed assets (housing properties)2]], - VfM_Metrics_2023_Entity[[#This Row],[Gain/(loss) on disposal of fixed assets (other)2]] )</f>
        <v>-2459</v>
      </c>
      <c r="BY44" s="84" vm="13566">
        <v>-2459</v>
      </c>
      <c r="BZ44" s="84" vm="14419">
        <v>0</v>
      </c>
      <c r="CA44" s="84" vm="14667">
        <v>0</v>
      </c>
      <c r="CB44" s="5" vm="18319">
        <f xml:space="preserve"> VfM_Metrics_2023_Entity[[#This Row],[Turnover (overall)]]</f>
        <v>25149</v>
      </c>
      <c r="CC44" s="135" vm="18319">
        <v>25149</v>
      </c>
      <c r="CD44" s="134">
        <f xml:space="preserve"> IFERROR( VfM_Metrics_2023_Entity[[#This Row],[Operating surplus including from JVs]] / VfM_Metrics_2023_Entity[[#This Row],[Net assets]], "n/a" )</f>
        <v>-1.5477187041710987E-2</v>
      </c>
      <c r="CE44" s="5">
        <f xml:space="preserve"> SUM( VfM_Metrics_2023_Entity[[#This Row],[Operating surplus/(deficit) (overall)3]], VfM_Metrics_2023_Entity[[#This Row],[Share of operating surplus/(deficit) in joint ventures or associates]] )</f>
        <v>-2459</v>
      </c>
      <c r="CF44" s="84" vm="13566">
        <v>-2459</v>
      </c>
      <c r="CG44" s="84" vm="18510">
        <v>0</v>
      </c>
      <c r="CH44" s="5" vm="18709">
        <f xml:space="preserve"> VfM_Metrics_2023_Entity[[#This Row],[Total assets less current liabilities]]</f>
        <v>158879</v>
      </c>
      <c r="CI44" s="135" vm="18709">
        <v>158879</v>
      </c>
      <c r="CJ44" s="140" vm="11265">
        <f xml:space="preserve"> VfM_Metrics_2023_Entity[[#This Row],[Total social housing units owned (Period end)]]</f>
        <v>1859</v>
      </c>
      <c r="CK44" s="141">
        <v>9.8812095032397407E-2</v>
      </c>
      <c r="CL44" s="69">
        <f xml:space="preserve"> -- ( VfM_Metrics_2023_Entity[[#This Row],[% Supported housing (excl. HOP)]] &gt; 0.3 )</f>
        <v>0</v>
      </c>
      <c r="CM44" s="9">
        <v>0.63876889848812091</v>
      </c>
      <c r="CN44" s="69">
        <f xml:space="preserve"> -- ( VfM_Metrics_2023_Entity[[#This Row],[% Housing for older people]] &gt; 0.3 )</f>
        <v>1</v>
      </c>
      <c r="CO44" s="9">
        <f xml:space="preserve"> VfM_Metrics_2023_Entity[[#This Row],[% Supported housing (excl. HOP)]] + VfM_Metrics_2023_Entity[[#This Row],[% Housing for older people]]</f>
        <v>0.73758099352051831</v>
      </c>
      <c r="CP44" s="69">
        <f xml:space="preserve"> -- ( VfM_Metrics_2023_Entity[[#This Row],[SH specialist in RSH analysis]] + VfM_Metrics_2023_Entity[[#This Row],[OP specialist in RSH analysis]] &gt; 0 )</f>
        <v>1</v>
      </c>
      <c r="CQ44" s="142">
        <f xml:space="preserve"> -- ( VfM_Metrics_2023_Entity[[#This Row],[% SH and OP]] &gt; 0.3 )</f>
        <v>1</v>
      </c>
      <c r="CR44" s="143" t="s">
        <v>143</v>
      </c>
      <c r="CS44" s="120"/>
      <c r="CT44" s="144" t="s">
        <v>144</v>
      </c>
      <c r="CU4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44" s="146">
        <v>0.97032640949554894</v>
      </c>
      <c r="CW44" s="146">
        <v>2.967359050445104E-2</v>
      </c>
      <c r="CX44" s="146">
        <v>0</v>
      </c>
      <c r="CY44" s="146">
        <v>0</v>
      </c>
      <c r="CZ44" s="146">
        <v>0</v>
      </c>
      <c r="DA44" s="146">
        <v>0</v>
      </c>
      <c r="DB44" s="146">
        <v>0</v>
      </c>
      <c r="DC44" s="146">
        <v>0</v>
      </c>
      <c r="DD44" s="146">
        <v>0</v>
      </c>
      <c r="DE44" s="126">
        <v>1.1566116625873828</v>
      </c>
    </row>
    <row r="45" spans="1:109" x14ac:dyDescent="0.25">
      <c r="A45" s="4" t="s" vm="279">
        <v>200</v>
      </c>
      <c r="B45" s="4" t="s" vm="9342">
        <v>201</v>
      </c>
      <c r="C45" s="121" vm="18811">
        <v>45016</v>
      </c>
      <c r="D45" s="68">
        <f>IFERROR( VfM_Metrics_2023_Entity[[#This Row],[Reinvestment Spend]] / VfM_Metrics_2023_Entity[[#This Row],[Net Book Value of Housing Properties]], "n/a" )</f>
        <v>6.8120712445145892E-2</v>
      </c>
      <c r="E4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49938</v>
      </c>
      <c r="F45" s="84" vm="9440">
        <v>41476</v>
      </c>
      <c r="G45" s="84" vm="9656">
        <v>0</v>
      </c>
      <c r="H45" s="84" vm="10545">
        <v>7378</v>
      </c>
      <c r="I45" s="84" vm="9750">
        <v>1084</v>
      </c>
      <c r="J45" s="84" vm="9478">
        <v>0</v>
      </c>
      <c r="K45" s="5">
        <f xml:space="preserve"> SUM( VfM_Metrics_2023_Entity[[#This Row],[Tangible fixed assets: Housing properties at cost (Current period)]],VfM_Metrics_2023_Entity[[#This Row],[Tangible fixed assets Housing properties at valuation (Current period)]] )</f>
        <v>733081</v>
      </c>
      <c r="L45" s="84" vm="10309">
        <v>733081</v>
      </c>
      <c r="M45" s="84" vm="10145">
        <v>0</v>
      </c>
      <c r="N45" s="134">
        <f xml:space="preserve"> IFERROR( VfM_Metrics_2023_Entity[[#This Row],[Total social units developed or newly built units acquired in-year]] / VfM_Metrics_2023_Entity[[#This Row],[Social housing units owned (period end)]], "n/a" )</f>
        <v>2.7029520295202954E-2</v>
      </c>
      <c r="O45" s="5">
        <f xml:space="preserve"> SUM( VfM_Metrics_2023_Entity[[#This Row],[Total social units developed or newly built units acquired in-year (owned)]], VfM_Metrics_2023_Entity[[#This Row],[Total social leasehold units developed or newly built units acquired in-year (owned)]] )</f>
        <v>293</v>
      </c>
      <c r="P45" s="84" vm="11063">
        <v>293</v>
      </c>
      <c r="Q45" s="84" vm="11186">
        <v>0</v>
      </c>
      <c r="R45" s="5">
        <f xml:space="preserve"> SUM( VfM_Metrics_2023_Entity[[#This Row],[Total social housing units owned (Period end)]], VfM_Metrics_2023_Entity[[#This Row],[Total social leasehold units owned (Period end)]] )</f>
        <v>10840</v>
      </c>
      <c r="S45" s="84" vm="11281">
        <v>10036</v>
      </c>
      <c r="T45" s="135" vm="11442">
        <v>804</v>
      </c>
      <c r="U45" s="136">
        <f xml:space="preserve"> IFERROR( VfM_Metrics_2023_Entity[[#This Row],[Total non-social housing units developed or newly built units acquired (owned)]] / VfM_Metrics_2023_Entity[[#This Row],[Total social and non-social housing units owned (Period end)]], "n/a" )</f>
        <v>0</v>
      </c>
      <c r="V4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45" s="84" vm="11664">
        <v>0</v>
      </c>
      <c r="X45" s="84" vm="11786">
        <v>0</v>
      </c>
      <c r="Y45" s="84" vm="11825">
        <v>0</v>
      </c>
      <c r="Z4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10882</v>
      </c>
      <c r="AA45" s="84" vm="12039">
        <v>10036</v>
      </c>
      <c r="AB45" s="84" vm="12179">
        <v>804</v>
      </c>
      <c r="AC45" s="84" vm="12078">
        <v>42</v>
      </c>
      <c r="AD45" s="135" vm="12241">
        <v>0</v>
      </c>
      <c r="AE45" s="134">
        <f xml:space="preserve"> IFERROR( VfM_Metrics_2023_Entity[[#This Row],[Total Net Debt]] / VfM_Metrics_2023_Entity[[#This Row],[Net Book Value of Housing Properties2]], "n/a" )</f>
        <v>0.66042088118502595</v>
      </c>
      <c r="AF4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484142</v>
      </c>
      <c r="AG45" s="84" vm="12685">
        <v>5557</v>
      </c>
      <c r="AH45" s="84" vm="13194">
        <v>496203</v>
      </c>
      <c r="AI45" s="84" vm="13280">
        <v>17618</v>
      </c>
      <c r="AJ45" s="84" vm="12724">
        <v>0</v>
      </c>
      <c r="AK45" s="84" vm="12845">
        <v>0</v>
      </c>
      <c r="AL45" s="5">
        <f xml:space="preserve"> SUM( VfM_Metrics_2023_Entity[[#This Row],[Tangible fixed assets: Housing properties at cost (Current period)2]], VfM_Metrics_2023_Entity[[#This Row],[Tangible fixed assets Housing properties at valuation (Current period)2]] )</f>
        <v>733081</v>
      </c>
      <c r="AM45" s="84" vm="9974">
        <v>733081</v>
      </c>
      <c r="AN45" s="135" vm="10145">
        <v>0</v>
      </c>
      <c r="AO45" s="137">
        <f xml:space="preserve"> IFERROR( VfM_Metrics_2023_Entity[[#This Row],[EBITDA MRI]] / VfM_Metrics_2023_Entity[[#This Row],[Total interest]], "n/a" )</f>
        <v>1.0410561370123692</v>
      </c>
      <c r="AP4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21883</v>
      </c>
      <c r="AQ45" s="84" vm="13596">
        <v>19783</v>
      </c>
      <c r="AR45" s="84" vm="14668">
        <v>2155</v>
      </c>
      <c r="AS45" s="84">
        <v>0</v>
      </c>
      <c r="AT45" s="84" vm="13677">
        <v>74</v>
      </c>
      <c r="AU45" s="84" vm="13928">
        <v>0</v>
      </c>
      <c r="AV45" s="84" vm="14179">
        <v>666</v>
      </c>
      <c r="AW45" s="84" vm="14421">
        <v>7378</v>
      </c>
      <c r="AX45" s="84" vm="14669">
        <v>11041</v>
      </c>
      <c r="AY45" s="5">
        <f xml:space="preserve"> - SUM( VfM_Metrics_2023_Entity[[#This Row],[Interest capitalised]], VfM_Metrics_2023_Entity[[#This Row],[Interest payable and financing costs]] )</f>
        <v>21020</v>
      </c>
      <c r="AZ45" s="84" vm="15270">
        <v>-1084</v>
      </c>
      <c r="BA45" s="135" vm="15448">
        <v>-19936</v>
      </c>
      <c r="BB45" s="138">
        <f xml:space="preserve"> IFERROR( ( VfM_Metrics_2023_Entity[[#This Row],[Total Costs]] / VfM_Metrics_2023_Entity[[#This Row],[Total units for costs]] ) * 1000, "n/a" )</f>
        <v>4618.4272632870761</v>
      </c>
      <c r="BC4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48923</v>
      </c>
      <c r="BD45" s="84" vm="15557">
        <v>16974</v>
      </c>
      <c r="BE45" s="84" vm="17308">
        <v>5017</v>
      </c>
      <c r="BF45" s="84" vm="17542">
        <v>9373</v>
      </c>
      <c r="BG45" s="84" vm="16380">
        <v>6971</v>
      </c>
      <c r="BH45" s="84" vm="15694">
        <v>1348</v>
      </c>
      <c r="BI45" s="84" vm="16776">
        <v>0</v>
      </c>
      <c r="BJ45" s="84" vm="16269">
        <v>7378</v>
      </c>
      <c r="BK45" s="84" vm="15729">
        <v>427</v>
      </c>
      <c r="BL45" s="84" vm="17466">
        <v>45</v>
      </c>
      <c r="BM45" s="84" vm="17543">
        <v>0</v>
      </c>
      <c r="BN45" s="84" vm="16381">
        <v>1390</v>
      </c>
      <c r="BO45" s="84" vm="17230">
        <v>0</v>
      </c>
      <c r="BP45" s="5" vm="17727">
        <f xml:space="preserve"> VfM_Metrics_2023_Entity[[#This Row],[Total social housing units owned and/or managed at period end]]</f>
        <v>10593</v>
      </c>
      <c r="BQ45" s="135" vm="17727">
        <v>10593</v>
      </c>
      <c r="BR45" s="134">
        <f xml:space="preserve"> IFERROR( VfM_Metrics_2023_Entity[[#This Row],[SHL operating surplus / (deficit)]] / VfM_Metrics_2023_Entity[[#This Row],[Turnover from social housing lettings]], "n/a" )</f>
        <v>0.19891158608723086</v>
      </c>
      <c r="BS45" s="5" vm="18012">
        <f xml:space="preserve"> VfM_Metrics_2023_Entity[[#This Row],[Operating surplus/(deficit) (social housing lettings)]]</f>
        <v>12610</v>
      </c>
      <c r="BT45" s="84" vm="18012">
        <v>12610</v>
      </c>
      <c r="BU45" s="5" vm="18160">
        <f xml:space="preserve"> VfM_Metrics_2023_Entity[[#This Row],[Turnover from social housing lettings]]</f>
        <v>63395</v>
      </c>
      <c r="BV45" s="135" vm="18160">
        <v>63395</v>
      </c>
      <c r="BW45" s="134">
        <f xml:space="preserve"> IFERROR( VfM_Metrics_2023_Entity[[#This Row],[Net operating surplus]] / VfM_Metrics_2023_Entity[[#This Row],[Overall turnover]], "n/a" )</f>
        <v>0.23249188889768141</v>
      </c>
      <c r="BX45" s="5">
        <f xml:space="preserve"> SUM( VfM_Metrics_2023_Entity[[#This Row],[Operating surplus/(deficit) (overall)2]], - VfM_Metrics_2023_Entity[[#This Row],[Gain/(loss) on disposal of fixed assets (housing properties)2]], - VfM_Metrics_2023_Entity[[#This Row],[Gain/(loss) on disposal of fixed assets (other)2]] )</f>
        <v>17628</v>
      </c>
      <c r="BY45" s="84" vm="13596">
        <v>19783</v>
      </c>
      <c r="BZ45" s="84" vm="14668">
        <v>2155</v>
      </c>
      <c r="CA45" s="84">
        <v>0</v>
      </c>
      <c r="CB45" s="5" vm="18326">
        <f xml:space="preserve"> VfM_Metrics_2023_Entity[[#This Row],[Turnover (overall)]]</f>
        <v>75822</v>
      </c>
      <c r="CC45" s="135" vm="18326">
        <v>75822</v>
      </c>
      <c r="CD45" s="134">
        <f xml:space="preserve"> IFERROR( VfM_Metrics_2023_Entity[[#This Row],[Operating surplus including from JVs]] / VfM_Metrics_2023_Entity[[#This Row],[Net assets]], "n/a" )</f>
        <v>2.5567293302074797E-2</v>
      </c>
      <c r="CE45" s="5">
        <f xml:space="preserve"> SUM( VfM_Metrics_2023_Entity[[#This Row],[Operating surplus/(deficit) (overall)3]], VfM_Metrics_2023_Entity[[#This Row],[Share of operating surplus/(deficit) in joint ventures or associates]] )</f>
        <v>19783</v>
      </c>
      <c r="CF45" s="84" vm="13596">
        <v>19783</v>
      </c>
      <c r="CG45" s="84" vm="18532">
        <v>0</v>
      </c>
      <c r="CH45" s="5" vm="18737">
        <f xml:space="preserve"> VfM_Metrics_2023_Entity[[#This Row],[Total assets less current liabilities]]</f>
        <v>773762</v>
      </c>
      <c r="CI45" s="135" vm="18737">
        <v>773762</v>
      </c>
      <c r="CJ45" s="140" vm="11281">
        <f xml:space="preserve"> VfM_Metrics_2023_Entity[[#This Row],[Total social housing units owned (Period end)]]</f>
        <v>10036</v>
      </c>
      <c r="CK45" s="141">
        <v>2.8050490883590462E-3</v>
      </c>
      <c r="CL45" s="69">
        <f xml:space="preserve"> -- ( VfM_Metrics_2023_Entity[[#This Row],[% Supported housing (excl. HOP)]] &gt; 0.3 )</f>
        <v>0</v>
      </c>
      <c r="CM45" s="9">
        <v>0</v>
      </c>
      <c r="CN45" s="69">
        <f xml:space="preserve"> -- ( VfM_Metrics_2023_Entity[[#This Row],[% Housing for older people]] &gt; 0.3 )</f>
        <v>0</v>
      </c>
      <c r="CO45" s="9">
        <f xml:space="preserve"> VfM_Metrics_2023_Entity[[#This Row],[% Supported housing (excl. HOP)]] + VfM_Metrics_2023_Entity[[#This Row],[% Housing for older people]]</f>
        <v>2.8050490883590462E-3</v>
      </c>
      <c r="CP45" s="69">
        <f xml:space="preserve"> -- ( VfM_Metrics_2023_Entity[[#This Row],[SH specialist in RSH analysis]] + VfM_Metrics_2023_Entity[[#This Row],[OP specialist in RSH analysis]] &gt; 0 )</f>
        <v>0</v>
      </c>
      <c r="CQ45" s="142">
        <f xml:space="preserve"> -- ( VfM_Metrics_2023_Entity[[#This Row],[% SH and OP]] &gt; 0.3 )</f>
        <v>0</v>
      </c>
      <c r="CR45" s="143" t="s">
        <v>143</v>
      </c>
      <c r="CS45" s="120"/>
      <c r="CT45" s="144" t="s">
        <v>151</v>
      </c>
      <c r="CU4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45" s="146">
        <v>0</v>
      </c>
      <c r="CW45" s="146">
        <v>0</v>
      </c>
      <c r="CX45" s="146">
        <v>0</v>
      </c>
      <c r="CY45" s="146">
        <v>0</v>
      </c>
      <c r="CZ45" s="146">
        <v>0</v>
      </c>
      <c r="DA45" s="146">
        <v>1</v>
      </c>
      <c r="DB45" s="146">
        <v>0</v>
      </c>
      <c r="DC45" s="146">
        <v>0</v>
      </c>
      <c r="DD45" s="146">
        <v>0</v>
      </c>
      <c r="DE45" s="126">
        <v>1.0113701298544711</v>
      </c>
    </row>
    <row r="46" spans="1:109" x14ac:dyDescent="0.25">
      <c r="A46" s="4" t="s" vm="370">
        <v>202</v>
      </c>
      <c r="B46" s="4" t="s" vm="10550">
        <v>203</v>
      </c>
      <c r="C46" s="121" vm="18965">
        <v>45016</v>
      </c>
      <c r="D46" s="68">
        <f>IFERROR( VfM_Metrics_2023_Entity[[#This Row],[Reinvestment Spend]] / VfM_Metrics_2023_Entity[[#This Row],[Net Book Value of Housing Properties]], "n/a" )</f>
        <v>6.6178267836289079E-2</v>
      </c>
      <c r="E4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9747</v>
      </c>
      <c r="F46" s="84" vm="9383">
        <v>1986</v>
      </c>
      <c r="G46" s="84" vm="9603">
        <v>432</v>
      </c>
      <c r="H46" s="84" vm="9657">
        <v>7180</v>
      </c>
      <c r="I46" s="84" vm="10451">
        <v>149</v>
      </c>
      <c r="J46" s="84" vm="10705">
        <v>0</v>
      </c>
      <c r="K46" s="5">
        <f xml:space="preserve"> SUM( VfM_Metrics_2023_Entity[[#This Row],[Tangible fixed assets: Housing properties at cost (Current period)]],VfM_Metrics_2023_Entity[[#This Row],[Tangible fixed assets Housing properties at valuation (Current period)]] )</f>
        <v>147284</v>
      </c>
      <c r="L46" s="84" vm="9961">
        <v>147284</v>
      </c>
      <c r="M46" s="84">
        <v>0</v>
      </c>
      <c r="N46" s="134">
        <f xml:space="preserve"> IFERROR( VfM_Metrics_2023_Entity[[#This Row],[Total social units developed or newly built units acquired in-year]] / VfM_Metrics_2023_Entity[[#This Row],[Social housing units owned (period end)]], "n/a" )</f>
        <v>1.2788700133613285E-2</v>
      </c>
      <c r="O46" s="5">
        <f xml:space="preserve"> SUM( VfM_Metrics_2023_Entity[[#This Row],[Total social units developed or newly built units acquired in-year (owned)]], VfM_Metrics_2023_Entity[[#This Row],[Total social leasehold units developed or newly built units acquired in-year (owned)]] )</f>
        <v>67</v>
      </c>
      <c r="P46" s="84" vm="11082">
        <v>67</v>
      </c>
      <c r="Q46" s="84">
        <v>0</v>
      </c>
      <c r="R46" s="5">
        <f xml:space="preserve"> SUM( VfM_Metrics_2023_Entity[[#This Row],[Total social housing units owned (Period end)]], VfM_Metrics_2023_Entity[[#This Row],[Total social leasehold units owned (Period end)]] )</f>
        <v>5239</v>
      </c>
      <c r="S46" s="84" vm="11225">
        <v>5239</v>
      </c>
      <c r="T46" s="135" vm="11475">
        <v>0</v>
      </c>
      <c r="U46" s="136">
        <f xml:space="preserve"> IFERROR( VfM_Metrics_2023_Entity[[#This Row],[Total non-social housing units developed or newly built units acquired (owned)]] / VfM_Metrics_2023_Entity[[#This Row],[Total social and non-social housing units owned (Period end)]], "n/a" )</f>
        <v>8.8261253309797002E-4</v>
      </c>
      <c r="V4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5</v>
      </c>
      <c r="W46" s="84" vm="11564">
        <v>5</v>
      </c>
      <c r="X46" s="84">
        <v>0</v>
      </c>
      <c r="Y46" s="84" vm="11913">
        <v>0</v>
      </c>
      <c r="Z4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5665</v>
      </c>
      <c r="AA46" s="84" vm="11225">
        <v>5239</v>
      </c>
      <c r="AB46" s="84" vm="11452">
        <v>0</v>
      </c>
      <c r="AC46" s="84" vm="12338">
        <v>33</v>
      </c>
      <c r="AD46" s="135" vm="12485">
        <v>393</v>
      </c>
      <c r="AE46" s="134">
        <f xml:space="preserve"> IFERROR( VfM_Metrics_2023_Entity[[#This Row],[Total Net Debt]] / VfM_Metrics_2023_Entity[[#This Row],[Net Book Value of Housing Properties2]], "n/a" )</f>
        <v>0.51110100214551479</v>
      </c>
      <c r="AF4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75277</v>
      </c>
      <c r="AG46" s="84">
        <v>0</v>
      </c>
      <c r="AH46" s="84" vm="12969">
        <v>88485</v>
      </c>
      <c r="AI46" s="84" vm="13062">
        <v>13208</v>
      </c>
      <c r="AJ46" s="84">
        <v>0</v>
      </c>
      <c r="AK46" s="84">
        <v>0</v>
      </c>
      <c r="AL46" s="5">
        <f xml:space="preserve"> SUM( VfM_Metrics_2023_Entity[[#This Row],[Tangible fixed assets: Housing properties at cost (Current period)2]], VfM_Metrics_2023_Entity[[#This Row],[Tangible fixed assets Housing properties at valuation (Current period)2]] )</f>
        <v>147284</v>
      </c>
      <c r="AM46" s="84" vm="9883">
        <v>147284</v>
      </c>
      <c r="AN46" s="135">
        <v>0</v>
      </c>
      <c r="AO46" s="137">
        <f xml:space="preserve"> IFERROR( VfM_Metrics_2023_Entity[[#This Row],[EBITDA MRI]] / VfM_Metrics_2023_Entity[[#This Row],[Total interest]], "n/a" )</f>
        <v>0.74483328740699917</v>
      </c>
      <c r="AP4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5406</v>
      </c>
      <c r="AQ46" s="84" vm="13434">
        <v>7612</v>
      </c>
      <c r="AR46" s="84" vm="14911">
        <v>937</v>
      </c>
      <c r="AS46" s="84">
        <v>0</v>
      </c>
      <c r="AT46" s="84" vm="13929">
        <v>140</v>
      </c>
      <c r="AU46" s="84" vm="14180">
        <v>0</v>
      </c>
      <c r="AV46" s="84" vm="14422">
        <v>276</v>
      </c>
      <c r="AW46" s="84" vm="14670">
        <v>7180</v>
      </c>
      <c r="AX46" s="84" vm="14912">
        <v>5775</v>
      </c>
      <c r="AY46" s="5">
        <f xml:space="preserve"> - SUM( VfM_Metrics_2023_Entity[[#This Row],[Interest capitalised]], VfM_Metrics_2023_Entity[[#This Row],[Interest payable and financing costs]] )</f>
        <v>7258</v>
      </c>
      <c r="AZ46" s="84" vm="15160">
        <v>-149</v>
      </c>
      <c r="BA46" s="135" vm="15480">
        <v>-7109</v>
      </c>
      <c r="BB46" s="138">
        <f xml:space="preserve"> IFERROR( ( VfM_Metrics_2023_Entity[[#This Row],[Total Costs]] / VfM_Metrics_2023_Entity[[#This Row],[Total units for costs]] ) * 1000, "n/a" )</f>
        <v>4538.666666666667</v>
      </c>
      <c r="BC4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23828</v>
      </c>
      <c r="BD46" s="84" vm="15569">
        <v>7361</v>
      </c>
      <c r="BE46" s="84" vm="16691">
        <v>1198</v>
      </c>
      <c r="BF46" s="84" vm="15730">
        <v>3427</v>
      </c>
      <c r="BG46" s="84" vm="17085">
        <v>2553</v>
      </c>
      <c r="BH46" s="84" vm="17309">
        <v>1717</v>
      </c>
      <c r="BI46" s="84" vm="15695">
        <v>0</v>
      </c>
      <c r="BJ46" s="84" vm="14670">
        <v>7180</v>
      </c>
      <c r="BK46" s="84" vm="15688">
        <v>0</v>
      </c>
      <c r="BL46" s="84">
        <v>0</v>
      </c>
      <c r="BM46" s="84">
        <v>0</v>
      </c>
      <c r="BN46" s="84" vm="17231">
        <v>356</v>
      </c>
      <c r="BO46" s="84" vm="16692">
        <v>36</v>
      </c>
      <c r="BP46" s="5" vm="17759">
        <f xml:space="preserve"> VfM_Metrics_2023_Entity[[#This Row],[Total social housing units owned and/or managed at period end]]</f>
        <v>5250</v>
      </c>
      <c r="BQ46" s="135" vm="17759">
        <v>5250</v>
      </c>
      <c r="BR46" s="134">
        <f xml:space="preserve"> IFERROR( VfM_Metrics_2023_Entity[[#This Row],[SHL operating surplus / (deficit)]] / VfM_Metrics_2023_Entity[[#This Row],[Turnover from social housing lettings]], "n/a" )</f>
        <v>0.22458183884370894</v>
      </c>
      <c r="BS46" s="5" vm="17837">
        <f xml:space="preserve"> VfM_Metrics_2023_Entity[[#This Row],[Operating surplus/(deficit) (social housing lettings)]]</f>
        <v>6324</v>
      </c>
      <c r="BT46" s="84" vm="17837">
        <v>6324</v>
      </c>
      <c r="BU46" s="5" vm="18045">
        <f xml:space="preserve"> VfM_Metrics_2023_Entity[[#This Row],[Turnover from social housing lettings]]</f>
        <v>28159</v>
      </c>
      <c r="BV46" s="135" vm="18045">
        <v>28159</v>
      </c>
      <c r="BW46" s="134">
        <f xml:space="preserve"> IFERROR( VfM_Metrics_2023_Entity[[#This Row],[Net operating surplus]] / VfM_Metrics_2023_Entity[[#This Row],[Overall turnover]], "n/a" )</f>
        <v>0.21156893819334391</v>
      </c>
      <c r="BX46" s="5">
        <f xml:space="preserve"> SUM( VfM_Metrics_2023_Entity[[#This Row],[Operating surplus/(deficit) (overall)2]], - VfM_Metrics_2023_Entity[[#This Row],[Gain/(loss) on disposal of fixed assets (housing properties)2]], - VfM_Metrics_2023_Entity[[#This Row],[Gain/(loss) on disposal of fixed assets (other)2]] )</f>
        <v>6675</v>
      </c>
      <c r="BY46" s="84" vm="13507">
        <v>7612</v>
      </c>
      <c r="BZ46" s="84" vm="14911">
        <v>937</v>
      </c>
      <c r="CA46" s="84">
        <v>0</v>
      </c>
      <c r="CB46" s="5" vm="18248">
        <f xml:space="preserve"> VfM_Metrics_2023_Entity[[#This Row],[Turnover (overall)]]</f>
        <v>31550</v>
      </c>
      <c r="CC46" s="135" vm="18248">
        <v>31550</v>
      </c>
      <c r="CD46" s="134">
        <f xml:space="preserve"> IFERROR( VfM_Metrics_2023_Entity[[#This Row],[Operating surplus including from JVs]] / VfM_Metrics_2023_Entity[[#This Row],[Net assets]], "n/a" )</f>
        <v>4.5554651218461244E-2</v>
      </c>
      <c r="CE46" s="5">
        <f xml:space="preserve"> SUM( VfM_Metrics_2023_Entity[[#This Row],[Operating surplus/(deficit) (overall)3]], VfM_Metrics_2023_Entity[[#This Row],[Share of operating surplus/(deficit) in joint ventures or associates]] )</f>
        <v>7612</v>
      </c>
      <c r="CF46" s="84" vm="13434">
        <v>7612</v>
      </c>
      <c r="CG46" s="84">
        <v>0</v>
      </c>
      <c r="CH46" s="5" vm="18574">
        <f xml:space="preserve"> VfM_Metrics_2023_Entity[[#This Row],[Total assets less current liabilities]]</f>
        <v>167096</v>
      </c>
      <c r="CI46" s="135" vm="18574">
        <v>167096</v>
      </c>
      <c r="CJ46" s="140" vm="11225">
        <f xml:space="preserve"> VfM_Metrics_2023_Entity[[#This Row],[Total social housing units owned (Period end)]]</f>
        <v>5239</v>
      </c>
      <c r="CK46" s="141">
        <v>9.5822154082023765E-4</v>
      </c>
      <c r="CL46" s="69">
        <f xml:space="preserve"> -- ( VfM_Metrics_2023_Entity[[#This Row],[% Supported housing (excl. HOP)]] &gt; 0.3 )</f>
        <v>0</v>
      </c>
      <c r="CM46" s="9">
        <v>0.20582598696818705</v>
      </c>
      <c r="CN46" s="69">
        <f xml:space="preserve"> -- ( VfM_Metrics_2023_Entity[[#This Row],[% Housing for older people]] &gt; 0.3 )</f>
        <v>0</v>
      </c>
      <c r="CO46" s="9">
        <f xml:space="preserve"> VfM_Metrics_2023_Entity[[#This Row],[% Supported housing (excl. HOP)]] + VfM_Metrics_2023_Entity[[#This Row],[% Housing for older people]]</f>
        <v>0.20678420850900728</v>
      </c>
      <c r="CP46" s="69">
        <f xml:space="preserve"> -- ( VfM_Metrics_2023_Entity[[#This Row],[SH specialist in RSH analysis]] + VfM_Metrics_2023_Entity[[#This Row],[OP specialist in RSH analysis]] &gt; 0 )</f>
        <v>0</v>
      </c>
      <c r="CQ46" s="142">
        <f xml:space="preserve"> -- ( VfM_Metrics_2023_Entity[[#This Row],[% SH and OP]] &gt; 0.3 )</f>
        <v>0</v>
      </c>
      <c r="CR46" s="143" t="s">
        <v>143</v>
      </c>
      <c r="CS46" s="120"/>
      <c r="CT46" s="144" t="s">
        <v>151</v>
      </c>
      <c r="CU4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46" s="146">
        <v>0</v>
      </c>
      <c r="CW46" s="146">
        <v>0</v>
      </c>
      <c r="CX46" s="146">
        <v>0</v>
      </c>
      <c r="CY46" s="146">
        <v>3.6571428571428574E-2</v>
      </c>
      <c r="CZ46" s="146">
        <v>0</v>
      </c>
      <c r="DA46" s="146">
        <v>0</v>
      </c>
      <c r="DB46" s="146">
        <v>0</v>
      </c>
      <c r="DC46" s="146">
        <v>0.96342857142857141</v>
      </c>
      <c r="DD46" s="146">
        <v>0</v>
      </c>
      <c r="DE46" s="126">
        <v>0.96037437590874097</v>
      </c>
    </row>
    <row r="47" spans="1:109" x14ac:dyDescent="0.25">
      <c r="A47" s="4" t="s" vm="214">
        <v>204</v>
      </c>
      <c r="B47" s="4" t="s" vm="9284">
        <v>205</v>
      </c>
      <c r="C47" s="121" vm="18915">
        <v>45016</v>
      </c>
      <c r="D47" s="68">
        <f>IFERROR( VfM_Metrics_2023_Entity[[#This Row],[Reinvestment Spend]] / VfM_Metrics_2023_Entity[[#This Row],[Net Book Value of Housing Properties]], "n/a" )</f>
        <v>2.0411160957457878E-2</v>
      </c>
      <c r="E4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3335</v>
      </c>
      <c r="F47" s="84" vm="9403">
        <v>2311</v>
      </c>
      <c r="G47" s="84" vm="10829">
        <v>0</v>
      </c>
      <c r="H47" s="84" vm="10573">
        <v>353</v>
      </c>
      <c r="I47" s="84" vm="9658">
        <v>671</v>
      </c>
      <c r="J47" s="84" vm="9799">
        <v>0</v>
      </c>
      <c r="K47" s="5">
        <f xml:space="preserve"> SUM( VfM_Metrics_2023_Entity[[#This Row],[Tangible fixed assets: Housing properties at cost (Current period)]],VfM_Metrics_2023_Entity[[#This Row],[Tangible fixed assets Housing properties at valuation (Current period)]] )</f>
        <v>163391</v>
      </c>
      <c r="L47" s="84" vm="10014">
        <v>163391</v>
      </c>
      <c r="M47" s="84" vm="9752">
        <v>0</v>
      </c>
      <c r="N47" s="134">
        <f xml:space="preserve"> IFERROR( VfM_Metrics_2023_Entity[[#This Row],[Total social units developed or newly built units acquired in-year]] / VfM_Metrics_2023_Entity[[#This Row],[Social housing units owned (period end)]], "n/a" )</f>
        <v>6.4608758076094763E-3</v>
      </c>
      <c r="O47" s="5">
        <f xml:space="preserve"> SUM( VfM_Metrics_2023_Entity[[#This Row],[Total social units developed or newly built units acquired in-year (owned)]], VfM_Metrics_2023_Entity[[#This Row],[Total social leasehold units developed or newly built units acquired in-year (owned)]] )</f>
        <v>9</v>
      </c>
      <c r="P47" s="84" vm="10995">
        <v>9</v>
      </c>
      <c r="Q47" s="84">
        <v>0</v>
      </c>
      <c r="R47" s="5">
        <f xml:space="preserve"> SUM( VfM_Metrics_2023_Entity[[#This Row],[Total social housing units owned (Period end)]], VfM_Metrics_2023_Entity[[#This Row],[Total social leasehold units owned (Period end)]] )</f>
        <v>1393</v>
      </c>
      <c r="S47" s="84" vm="11294">
        <v>1358</v>
      </c>
      <c r="T47" s="135" vm="11410">
        <v>35</v>
      </c>
      <c r="U47" s="136">
        <f xml:space="preserve"> IFERROR( VfM_Metrics_2023_Entity[[#This Row],[Total non-social housing units developed or newly built units acquired (owned)]] / VfM_Metrics_2023_Entity[[#This Row],[Total social and non-social housing units owned (Period end)]], "n/a" )</f>
        <v>2.1186440677966102E-3</v>
      </c>
      <c r="V4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3</v>
      </c>
      <c r="W47" s="84" vm="11587">
        <v>3</v>
      </c>
      <c r="X47" s="84">
        <v>0</v>
      </c>
      <c r="Y47" s="84" vm="11720">
        <v>0</v>
      </c>
      <c r="Z4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1416</v>
      </c>
      <c r="AA47" s="84" vm="11294">
        <v>1358</v>
      </c>
      <c r="AB47" s="84" vm="11411">
        <v>35</v>
      </c>
      <c r="AC47" s="84" vm="12079">
        <v>23</v>
      </c>
      <c r="AD47" s="135" vm="12242">
        <v>0</v>
      </c>
      <c r="AE47" s="134">
        <f xml:space="preserve"> IFERROR( VfM_Metrics_2023_Entity[[#This Row],[Total Net Debt]] / VfM_Metrics_2023_Entity[[#This Row],[Net Book Value of Housing Properties2]], "n/a" )</f>
        <v>0.47646443194545601</v>
      </c>
      <c r="AF4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77850</v>
      </c>
      <c r="AG47" s="84" vm="12587">
        <v>2179</v>
      </c>
      <c r="AH47" s="84" vm="12725">
        <v>75874</v>
      </c>
      <c r="AI47" s="84" vm="12846">
        <v>203</v>
      </c>
      <c r="AJ47" s="84" vm="12929">
        <v>0</v>
      </c>
      <c r="AK47" s="84" vm="13022">
        <v>0</v>
      </c>
      <c r="AL47" s="5">
        <f xml:space="preserve"> SUM( VfM_Metrics_2023_Entity[[#This Row],[Tangible fixed assets: Housing properties at cost (Current period)2]], VfM_Metrics_2023_Entity[[#This Row],[Tangible fixed assets Housing properties at valuation (Current period)2]] )</f>
        <v>163391</v>
      </c>
      <c r="AM47" s="84" vm="9937">
        <v>163391</v>
      </c>
      <c r="AN47" s="135" vm="10084">
        <v>0</v>
      </c>
      <c r="AO47" s="137">
        <f xml:space="preserve"> IFERROR( VfM_Metrics_2023_Entity[[#This Row],[EBITDA MRI]] / VfM_Metrics_2023_Entity[[#This Row],[Total interest]], "n/a" )</f>
        <v>1.2088627207933065</v>
      </c>
      <c r="AP4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3901</v>
      </c>
      <c r="AQ47" s="84" vm="13472">
        <v>2617</v>
      </c>
      <c r="AR47" s="84" vm="13678">
        <v>0</v>
      </c>
      <c r="AS47" s="84" vm="13930">
        <v>0</v>
      </c>
      <c r="AT47" s="84" vm="14181">
        <v>663</v>
      </c>
      <c r="AU47" s="84" vm="14423">
        <v>0</v>
      </c>
      <c r="AV47" s="84" vm="14671">
        <v>0</v>
      </c>
      <c r="AW47" s="84" vm="14913">
        <v>353</v>
      </c>
      <c r="AX47" s="84" vm="13679">
        <v>2300</v>
      </c>
      <c r="AY47" s="5">
        <f xml:space="preserve"> - SUM( VfM_Metrics_2023_Entity[[#This Row],[Interest capitalised]], VfM_Metrics_2023_Entity[[#This Row],[Interest payable and financing costs]] )</f>
        <v>3227</v>
      </c>
      <c r="AZ47" s="84" vm="15149">
        <v>-671</v>
      </c>
      <c r="BA47" s="135" vm="15316">
        <v>-2556</v>
      </c>
      <c r="BB47" s="138">
        <f xml:space="preserve"> IFERROR( ( VfM_Metrics_2023_Entity[[#This Row],[Total Costs]] / VfM_Metrics_2023_Entity[[#This Row],[Total units for costs]] ) * 1000, "n/a" )</f>
        <v>7137.5166889185584</v>
      </c>
      <c r="BC4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10692</v>
      </c>
      <c r="BD47" s="84" vm="15513">
        <v>3305</v>
      </c>
      <c r="BE47" s="84" vm="17466">
        <v>2856</v>
      </c>
      <c r="BF47" s="84" vm="17544">
        <v>2477</v>
      </c>
      <c r="BG47" s="84" vm="15853">
        <v>51</v>
      </c>
      <c r="BH47" s="84" vm="15731">
        <v>0</v>
      </c>
      <c r="BI47" s="84" vm="16271">
        <v>718</v>
      </c>
      <c r="BJ47" s="84" vm="15696">
        <v>353</v>
      </c>
      <c r="BK47" s="84" vm="17086">
        <v>45</v>
      </c>
      <c r="BL47" s="84" vm="17467">
        <v>0</v>
      </c>
      <c r="BM47" s="84" vm="17545">
        <v>0</v>
      </c>
      <c r="BN47" s="84" vm="15784">
        <v>0</v>
      </c>
      <c r="BO47" s="84" vm="15690">
        <v>887</v>
      </c>
      <c r="BP47" s="5" vm="17621">
        <f xml:space="preserve"> VfM_Metrics_2023_Entity[[#This Row],[Total social housing units owned and/or managed at period end]]</f>
        <v>1498</v>
      </c>
      <c r="BQ47" s="135" vm="17621">
        <v>1498</v>
      </c>
      <c r="BR47" s="134">
        <f xml:space="preserve"> IFERROR( VfM_Metrics_2023_Entity[[#This Row],[SHL operating surplus / (deficit)]] / VfM_Metrics_2023_Entity[[#This Row],[Turnover from social housing lettings]], "n/a" )</f>
        <v>0.1584560690705942</v>
      </c>
      <c r="BS47" s="5" vm="17875">
        <f xml:space="preserve"> VfM_Metrics_2023_Entity[[#This Row],[Operating surplus/(deficit) (social housing lettings)]]</f>
        <v>2184</v>
      </c>
      <c r="BT47" s="84" vm="17875">
        <v>2184</v>
      </c>
      <c r="BU47" s="5" vm="18061">
        <f xml:space="preserve"> VfM_Metrics_2023_Entity[[#This Row],[Turnover from social housing lettings]]</f>
        <v>13783</v>
      </c>
      <c r="BV47" s="135" vm="18061">
        <v>13783</v>
      </c>
      <c r="BW47" s="134">
        <f xml:space="preserve"> IFERROR( VfM_Metrics_2023_Entity[[#This Row],[Net operating surplus]] / VfM_Metrics_2023_Entity[[#This Row],[Overall turnover]], "n/a" )</f>
        <v>0.17075557875505676</v>
      </c>
      <c r="BX47" s="5">
        <f xml:space="preserve"> SUM( VfM_Metrics_2023_Entity[[#This Row],[Operating surplus/(deficit) (overall)2]], - VfM_Metrics_2023_Entity[[#This Row],[Gain/(loss) on disposal of fixed assets (housing properties)2]], - VfM_Metrics_2023_Entity[[#This Row],[Gain/(loss) on disposal of fixed assets (other)2]] )</f>
        <v>2617</v>
      </c>
      <c r="BY47" s="84" vm="13472">
        <v>2617</v>
      </c>
      <c r="BZ47" s="84" vm="13678">
        <v>0</v>
      </c>
      <c r="CA47" s="84" vm="13930">
        <v>0</v>
      </c>
      <c r="CB47" s="5" vm="18394">
        <f xml:space="preserve"> VfM_Metrics_2023_Entity[[#This Row],[Turnover (overall)]]</f>
        <v>15326</v>
      </c>
      <c r="CC47" s="135" vm="18394">
        <v>15326</v>
      </c>
      <c r="CD47" s="134">
        <f xml:space="preserve"> IFERROR( VfM_Metrics_2023_Entity[[#This Row],[Operating surplus including from JVs]] / VfM_Metrics_2023_Entity[[#This Row],[Net assets]], "n/a" )</f>
        <v>1.6237311691857145E-2</v>
      </c>
      <c r="CE47" s="5">
        <f xml:space="preserve"> SUM( VfM_Metrics_2023_Entity[[#This Row],[Operating surplus/(deficit) (overall)3]], VfM_Metrics_2023_Entity[[#This Row],[Share of operating surplus/(deficit) in joint ventures or associates]] )</f>
        <v>2617</v>
      </c>
      <c r="CF47" s="84" vm="13473">
        <v>2617</v>
      </c>
      <c r="CG47" s="84" vm="18447">
        <v>0</v>
      </c>
      <c r="CH47" s="5" vm="18612">
        <f xml:space="preserve"> VfM_Metrics_2023_Entity[[#This Row],[Total assets less current liabilities]]</f>
        <v>161172</v>
      </c>
      <c r="CI47" s="135" vm="18612">
        <v>161172</v>
      </c>
      <c r="CJ47" s="140" vm="11294">
        <f xml:space="preserve"> VfM_Metrics_2023_Entity[[#This Row],[Total social housing units owned (Period end)]]</f>
        <v>1358</v>
      </c>
      <c r="CK47" s="141">
        <v>0.13574982231698648</v>
      </c>
      <c r="CL47" s="69">
        <f xml:space="preserve"> -- ( VfM_Metrics_2023_Entity[[#This Row],[% Supported housing (excl. HOP)]] &gt; 0.3 )</f>
        <v>0</v>
      </c>
      <c r="CM47" s="9">
        <v>0.1634683724235963</v>
      </c>
      <c r="CN47" s="69">
        <f xml:space="preserve"> -- ( VfM_Metrics_2023_Entity[[#This Row],[% Housing for older people]] &gt; 0.3 )</f>
        <v>0</v>
      </c>
      <c r="CO47" s="9">
        <f xml:space="preserve"> VfM_Metrics_2023_Entity[[#This Row],[% Supported housing (excl. HOP)]] + VfM_Metrics_2023_Entity[[#This Row],[% Housing for older people]]</f>
        <v>0.29921819474058275</v>
      </c>
      <c r="CP47" s="69">
        <f xml:space="preserve"> -- ( VfM_Metrics_2023_Entity[[#This Row],[SH specialist in RSH analysis]] + VfM_Metrics_2023_Entity[[#This Row],[OP specialist in RSH analysis]] &gt; 0 )</f>
        <v>0</v>
      </c>
      <c r="CQ47" s="142">
        <f xml:space="preserve"> -- ( VfM_Metrics_2023_Entity[[#This Row],[% SH and OP]] &gt; 0.3 )</f>
        <v>0</v>
      </c>
      <c r="CR47" s="143" t="s">
        <v>143</v>
      </c>
      <c r="CS47" s="120"/>
      <c r="CT47" s="144" t="s">
        <v>144</v>
      </c>
      <c r="CU4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47" s="146">
        <v>1</v>
      </c>
      <c r="CW47" s="146">
        <v>0</v>
      </c>
      <c r="CX47" s="146">
        <v>0</v>
      </c>
      <c r="CY47" s="146">
        <v>0</v>
      </c>
      <c r="CZ47" s="146">
        <v>0</v>
      </c>
      <c r="DA47" s="146">
        <v>0</v>
      </c>
      <c r="DB47" s="146">
        <v>0</v>
      </c>
      <c r="DC47" s="146">
        <v>0</v>
      </c>
      <c r="DD47" s="146">
        <v>0</v>
      </c>
      <c r="DE47" s="126">
        <v>1.1603700449887588</v>
      </c>
    </row>
    <row r="48" spans="1:109" x14ac:dyDescent="0.25">
      <c r="A48" s="4" t="s" vm="342">
        <v>206</v>
      </c>
      <c r="B48" s="4" t="s" vm="9261">
        <v>207</v>
      </c>
      <c r="C48" s="121" vm="18809">
        <v>45016</v>
      </c>
      <c r="D48" s="68">
        <f>IFERROR( VfM_Metrics_2023_Entity[[#This Row],[Reinvestment Spend]] / VfM_Metrics_2023_Entity[[#This Row],[Net Book Value of Housing Properties]], "n/a" )</f>
        <v>8.9568259323922914E-2</v>
      </c>
      <c r="E4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126253</v>
      </c>
      <c r="F48" s="84" vm="10236">
        <v>94821</v>
      </c>
      <c r="G48" s="84" vm="10783">
        <v>0</v>
      </c>
      <c r="H48" s="84" vm="9544">
        <v>30277</v>
      </c>
      <c r="I48" s="84" vm="10836">
        <v>1155</v>
      </c>
      <c r="J48" s="84" vm="9531">
        <v>0</v>
      </c>
      <c r="K48" s="5">
        <f xml:space="preserve"> SUM( VfM_Metrics_2023_Entity[[#This Row],[Tangible fixed assets: Housing properties at cost (Current period)]],VfM_Metrics_2023_Entity[[#This Row],[Tangible fixed assets Housing properties at valuation (Current period)]] )</f>
        <v>1409573</v>
      </c>
      <c r="L48" s="84" vm="9668">
        <v>1409573</v>
      </c>
      <c r="M48" s="84">
        <v>0</v>
      </c>
      <c r="N48" s="134">
        <f xml:space="preserve"> IFERROR( VfM_Metrics_2023_Entity[[#This Row],[Total social units developed or newly built units acquired in-year]] / VfM_Metrics_2023_Entity[[#This Row],[Social housing units owned (period end)]], "n/a" )</f>
        <v>1.9354397483244426E-2</v>
      </c>
      <c r="O48" s="5">
        <f xml:space="preserve"> SUM( VfM_Metrics_2023_Entity[[#This Row],[Total social units developed or newly built units acquired in-year (owned)]], VfM_Metrics_2023_Entity[[#This Row],[Total social leasehold units developed or newly built units acquired in-year (owned)]] )</f>
        <v>566</v>
      </c>
      <c r="P48" s="84" vm="10956">
        <v>566</v>
      </c>
      <c r="Q48" s="84">
        <v>0</v>
      </c>
      <c r="R48" s="5">
        <f xml:space="preserve"> SUM( VfM_Metrics_2023_Entity[[#This Row],[Total social housing units owned (Period end)]], VfM_Metrics_2023_Entity[[#This Row],[Total social leasehold units owned (Period end)]] )</f>
        <v>29244</v>
      </c>
      <c r="S48" s="84" vm="11237">
        <v>29244</v>
      </c>
      <c r="T48" s="135" vm="11455">
        <v>0</v>
      </c>
      <c r="U48" s="136">
        <f xml:space="preserve"> IFERROR( VfM_Metrics_2023_Entity[[#This Row],[Total non-social housing units developed or newly built units acquired (owned)]] / VfM_Metrics_2023_Entity[[#This Row],[Total social and non-social housing units owned (Period end)]], "n/a" )</f>
        <v>0</v>
      </c>
      <c r="V4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48" s="84">
        <v>0</v>
      </c>
      <c r="X48" s="84">
        <v>0</v>
      </c>
      <c r="Y48" s="84">
        <v>0</v>
      </c>
      <c r="Z4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31691</v>
      </c>
      <c r="AA48" s="84" vm="11237">
        <v>29244</v>
      </c>
      <c r="AB48" s="84" vm="12424">
        <v>0</v>
      </c>
      <c r="AC48" s="84" vm="12339">
        <v>118</v>
      </c>
      <c r="AD48" s="135" vm="12486">
        <v>2329</v>
      </c>
      <c r="AE48" s="134">
        <f xml:space="preserve"> IFERROR( VfM_Metrics_2023_Entity[[#This Row],[Total Net Debt]] / VfM_Metrics_2023_Entity[[#This Row],[Net Book Value of Housing Properties2]], "n/a" )</f>
        <v>0.47100008300386004</v>
      </c>
      <c r="AF4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663909</v>
      </c>
      <c r="AG48" s="84" vm="12609">
        <v>7367</v>
      </c>
      <c r="AH48" s="84" vm="13108">
        <v>696740</v>
      </c>
      <c r="AI48" s="84" vm="13195">
        <v>40198</v>
      </c>
      <c r="AJ48" s="84">
        <v>0</v>
      </c>
      <c r="AK48" s="84">
        <v>0</v>
      </c>
      <c r="AL48" s="5">
        <f xml:space="preserve"> SUM( VfM_Metrics_2023_Entity[[#This Row],[Tangible fixed assets: Housing properties at cost (Current period)2]], VfM_Metrics_2023_Entity[[#This Row],[Tangible fixed assets Housing properties at valuation (Current period)2]] )</f>
        <v>1409573</v>
      </c>
      <c r="AM48" s="84" vm="9915">
        <v>1409573</v>
      </c>
      <c r="AN48" s="135">
        <v>0</v>
      </c>
      <c r="AO48" s="137">
        <f xml:space="preserve"> IFERROR( VfM_Metrics_2023_Entity[[#This Row],[EBITDA MRI]] / VfM_Metrics_2023_Entity[[#This Row],[Total interest]], "n/a" )</f>
        <v>1.3333977269068547</v>
      </c>
      <c r="AP4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41414</v>
      </c>
      <c r="AQ48" s="84" vm="13504">
        <v>51725</v>
      </c>
      <c r="AR48" s="84" vm="13931">
        <v>5623</v>
      </c>
      <c r="AS48" s="84">
        <v>0</v>
      </c>
      <c r="AT48" s="84" vm="14424">
        <v>4336</v>
      </c>
      <c r="AU48" s="84" vm="14672">
        <v>1485</v>
      </c>
      <c r="AV48" s="84" vm="14914">
        <v>2805</v>
      </c>
      <c r="AW48" s="84" vm="13680">
        <v>30277</v>
      </c>
      <c r="AX48" s="84" vm="13932">
        <v>28605</v>
      </c>
      <c r="AY48" s="5">
        <f xml:space="preserve"> - SUM( VfM_Metrics_2023_Entity[[#This Row],[Interest capitalised]], VfM_Metrics_2023_Entity[[#This Row],[Interest payable and financing costs]] )</f>
        <v>31059</v>
      </c>
      <c r="AZ48" s="84" vm="15191">
        <v>-1155</v>
      </c>
      <c r="BA48" s="135" vm="15353">
        <v>-29904</v>
      </c>
      <c r="BB48" s="138">
        <f xml:space="preserve"> IFERROR( ( VfM_Metrics_2023_Entity[[#This Row],[Total Costs]] / VfM_Metrics_2023_Entity[[#This Row],[Total units for costs]] ) * 1000, "n/a" )</f>
        <v>4174.7695459201095</v>
      </c>
      <c r="BC4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122279</v>
      </c>
      <c r="BD48" s="84" vm="16607">
        <v>16728</v>
      </c>
      <c r="BE48" s="84" vm="15698">
        <v>21164</v>
      </c>
      <c r="BF48" s="84" vm="16066">
        <v>30444</v>
      </c>
      <c r="BG48" s="84" vm="15859">
        <v>11630</v>
      </c>
      <c r="BH48" s="84" vm="17232">
        <v>9692</v>
      </c>
      <c r="BI48" s="84" vm="15855">
        <v>127</v>
      </c>
      <c r="BJ48" s="84" vm="15786">
        <v>30277</v>
      </c>
      <c r="BK48" s="84" vm="16384">
        <v>54</v>
      </c>
      <c r="BL48" s="84">
        <v>0</v>
      </c>
      <c r="BM48" s="84" vm="16068">
        <v>1447</v>
      </c>
      <c r="BN48" s="84" vm="17015">
        <v>716</v>
      </c>
      <c r="BO48" s="84">
        <v>0</v>
      </c>
      <c r="BP48" s="5" vm="17657">
        <f xml:space="preserve"> VfM_Metrics_2023_Entity[[#This Row],[Total social housing units owned and/or managed at period end]]</f>
        <v>29290</v>
      </c>
      <c r="BQ48" s="135" vm="17657">
        <v>29290</v>
      </c>
      <c r="BR48" s="134">
        <f xml:space="preserve"> IFERROR( VfM_Metrics_2023_Entity[[#This Row],[SHL operating surplus / (deficit)]] / VfM_Metrics_2023_Entity[[#This Row],[Turnover from social housing lettings]], "n/a" )</f>
        <v>0.24258492024275596</v>
      </c>
      <c r="BS48" s="5" vm="17912">
        <f xml:space="preserve"> VfM_Metrics_2023_Entity[[#This Row],[Operating surplus/(deficit) (social housing lettings)]]</f>
        <v>38293</v>
      </c>
      <c r="BT48" s="84" vm="17912">
        <v>38293</v>
      </c>
      <c r="BU48" s="5" vm="18115">
        <f xml:space="preserve"> VfM_Metrics_2023_Entity[[#This Row],[Turnover from social housing lettings]]</f>
        <v>157854</v>
      </c>
      <c r="BV48" s="135" vm="18115">
        <v>157854</v>
      </c>
      <c r="BW48" s="134">
        <f xml:space="preserve"> IFERROR( VfM_Metrics_2023_Entity[[#This Row],[Net operating surplus]] / VfM_Metrics_2023_Entity[[#This Row],[Overall turnover]], "n/a" )</f>
        <v>0.25601839254080289</v>
      </c>
      <c r="BX48" s="5">
        <f xml:space="preserve"> SUM( VfM_Metrics_2023_Entity[[#This Row],[Operating surplus/(deficit) (overall)2]], - VfM_Metrics_2023_Entity[[#This Row],[Gain/(loss) on disposal of fixed assets (housing properties)2]], - VfM_Metrics_2023_Entity[[#This Row],[Gain/(loss) on disposal of fixed assets (other)2]] )</f>
        <v>46102</v>
      </c>
      <c r="BY48" s="84" vm="13504">
        <v>51725</v>
      </c>
      <c r="BZ48" s="84" vm="13931">
        <v>5623</v>
      </c>
      <c r="CA48" s="84">
        <v>0</v>
      </c>
      <c r="CB48" s="5" vm="18262">
        <f xml:space="preserve"> VfM_Metrics_2023_Entity[[#This Row],[Turnover (overall)]]</f>
        <v>180073</v>
      </c>
      <c r="CC48" s="135" vm="18262">
        <v>180073</v>
      </c>
      <c r="CD48" s="134">
        <f xml:space="preserve"> IFERROR( VfM_Metrics_2023_Entity[[#This Row],[Operating surplus including from JVs]] / VfM_Metrics_2023_Entity[[#This Row],[Net assets]], "n/a" )</f>
        <v>3.5933988446936148E-2</v>
      </c>
      <c r="CE48" s="5">
        <f xml:space="preserve"> SUM( VfM_Metrics_2023_Entity[[#This Row],[Operating surplus/(deficit) (overall)3]], VfM_Metrics_2023_Entity[[#This Row],[Share of operating surplus/(deficit) in joint ventures or associates]] )</f>
        <v>51725</v>
      </c>
      <c r="CF48" s="84" vm="13504">
        <v>51725</v>
      </c>
      <c r="CG48" s="84">
        <v>0</v>
      </c>
      <c r="CH48" s="5" vm="18648">
        <f xml:space="preserve"> VfM_Metrics_2023_Entity[[#This Row],[Total assets less current liabilities]]</f>
        <v>1439445</v>
      </c>
      <c r="CI48" s="135" vm="18648">
        <v>1439445</v>
      </c>
      <c r="CJ48" s="140" vm="11237">
        <f xml:space="preserve"> VfM_Metrics_2023_Entity[[#This Row],[Total social housing units owned (Period end)]]</f>
        <v>29244</v>
      </c>
      <c r="CK48" s="141">
        <v>1.5339313839621995E-2</v>
      </c>
      <c r="CL48" s="69">
        <f xml:space="preserve"> -- ( VfM_Metrics_2023_Entity[[#This Row],[% Supported housing (excl. HOP)]] &gt; 0.3 )</f>
        <v>0</v>
      </c>
      <c r="CM48" s="9">
        <v>2.4378552352256385E-2</v>
      </c>
      <c r="CN48" s="69">
        <f xml:space="preserve"> -- ( VfM_Metrics_2023_Entity[[#This Row],[% Housing for older people]] &gt; 0.3 )</f>
        <v>0</v>
      </c>
      <c r="CO48" s="9">
        <f xml:space="preserve"> VfM_Metrics_2023_Entity[[#This Row],[% Supported housing (excl. HOP)]] + VfM_Metrics_2023_Entity[[#This Row],[% Housing for older people]]</f>
        <v>3.9717866191878379E-2</v>
      </c>
      <c r="CP48" s="69">
        <f xml:space="preserve"> -- ( VfM_Metrics_2023_Entity[[#This Row],[SH specialist in RSH analysis]] + VfM_Metrics_2023_Entity[[#This Row],[OP specialist in RSH analysis]] &gt; 0 )</f>
        <v>0</v>
      </c>
      <c r="CQ48" s="142">
        <f xml:space="preserve"> -- ( VfM_Metrics_2023_Entity[[#This Row],[% SH and OP]] &gt; 0.3 )</f>
        <v>0</v>
      </c>
      <c r="CR48" s="143" t="s">
        <v>143</v>
      </c>
      <c r="CS48" s="120"/>
      <c r="CT48" s="144" t="s">
        <v>151</v>
      </c>
      <c r="CU4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48" s="146">
        <v>0</v>
      </c>
      <c r="CW48" s="146">
        <v>0</v>
      </c>
      <c r="CX48" s="146">
        <v>8.8907126248119277E-4</v>
      </c>
      <c r="CY48" s="146">
        <v>0</v>
      </c>
      <c r="CZ48" s="146">
        <v>0.99911092873751883</v>
      </c>
      <c r="DA48" s="146">
        <v>0</v>
      </c>
      <c r="DB48" s="146">
        <v>0</v>
      </c>
      <c r="DC48" s="146">
        <v>0</v>
      </c>
      <c r="DD48" s="146">
        <v>0</v>
      </c>
      <c r="DE48" s="126">
        <v>0.9645996940951117</v>
      </c>
    </row>
    <row r="49" spans="1:109" x14ac:dyDescent="0.25">
      <c r="A49" s="4" t="s" vm="9225">
        <v>566</v>
      </c>
      <c r="B49" s="4" t="s" vm="9304">
        <v>567</v>
      </c>
      <c r="C49" s="121" vm="18982">
        <v>45016</v>
      </c>
      <c r="D49" s="68">
        <f>IFERROR( VfM_Metrics_2023_Entity[[#This Row],[Reinvestment Spend]] / VfM_Metrics_2023_Entity[[#This Row],[Net Book Value of Housing Properties]], "n/a" )</f>
        <v>6.1838412682782729E-2</v>
      </c>
      <c r="E4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502400</v>
      </c>
      <c r="F49" s="84" vm="9418">
        <v>339800</v>
      </c>
      <c r="G49" s="84" vm="10840">
        <v>300</v>
      </c>
      <c r="H49" s="84" vm="9479">
        <v>145900</v>
      </c>
      <c r="I49" s="84" vm="10440">
        <v>16400</v>
      </c>
      <c r="J49" s="84" vm="10852">
        <v>0</v>
      </c>
      <c r="K49" s="5">
        <f xml:space="preserve"> SUM( VfM_Metrics_2023_Entity[[#This Row],[Tangible fixed assets: Housing properties at cost (Current period)]],VfM_Metrics_2023_Entity[[#This Row],[Tangible fixed assets Housing properties at valuation (Current period)]] )</f>
        <v>8124400</v>
      </c>
      <c r="L49" s="84" vm="9939">
        <v>8124400</v>
      </c>
      <c r="M49" s="84" vm="10919">
        <v>0</v>
      </c>
      <c r="N49" s="134">
        <f xml:space="preserve"> IFERROR( VfM_Metrics_2023_Entity[[#This Row],[Total social units developed or newly built units acquired in-year]] / VfM_Metrics_2023_Entity[[#This Row],[Social housing units owned (period end)]], "n/a" )</f>
        <v>1.3360834384107288E-2</v>
      </c>
      <c r="O49" s="5">
        <f xml:space="preserve"> SUM( VfM_Metrics_2023_Entity[[#This Row],[Total social units developed or newly built units acquired in-year (owned)]], VfM_Metrics_2023_Entity[[#This Row],[Total social leasehold units developed or newly built units acquired in-year (owned)]] )</f>
        <v>1600</v>
      </c>
      <c r="P49" s="84" vm="11009">
        <v>1595</v>
      </c>
      <c r="Q49" s="84" vm="11144">
        <v>5</v>
      </c>
      <c r="R49" s="5">
        <f xml:space="preserve"> SUM( VfM_Metrics_2023_Entity[[#This Row],[Total social housing units owned (Period end)]], VfM_Metrics_2023_Entity[[#This Row],[Total social leasehold units owned (Period end)]] )</f>
        <v>119753</v>
      </c>
      <c r="S49" s="84" vm="11255">
        <v>109520</v>
      </c>
      <c r="T49" s="135" vm="11411">
        <v>10233</v>
      </c>
      <c r="U49" s="136">
        <f xml:space="preserve"> IFERROR( VfM_Metrics_2023_Entity[[#This Row],[Total non-social housing units developed or newly built units acquired (owned)]] / VfM_Metrics_2023_Entity[[#This Row],[Total social and non-social housing units owned (Period end)]], "n/a" )</f>
        <v>0</v>
      </c>
      <c r="V4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49" s="84" vm="11635">
        <v>0</v>
      </c>
      <c r="X49" s="84" vm="11875">
        <v>0</v>
      </c>
      <c r="Y49" s="84">
        <v>0</v>
      </c>
      <c r="Z4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120924</v>
      </c>
      <c r="AA49" s="84" vm="11254">
        <v>109520</v>
      </c>
      <c r="AB49" s="84" vm="11411">
        <v>10233</v>
      </c>
      <c r="AC49" s="84" vm="12080">
        <v>850</v>
      </c>
      <c r="AD49" s="135" vm="12243">
        <v>321</v>
      </c>
      <c r="AE49" s="134">
        <f xml:space="preserve"> IFERROR( VfM_Metrics_2023_Entity[[#This Row],[Total Net Debt]] / VfM_Metrics_2023_Entity[[#This Row],[Net Book Value of Housing Properties2]], "n/a" )</f>
        <v>0.56306927280783814</v>
      </c>
      <c r="AF4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4574600</v>
      </c>
      <c r="AG49" s="84" vm="12637">
        <v>72200</v>
      </c>
      <c r="AH49" s="84" vm="12889">
        <v>600</v>
      </c>
      <c r="AI49" s="84" vm="12970">
        <v>11800</v>
      </c>
      <c r="AJ49" s="84" vm="13063">
        <v>4507600</v>
      </c>
      <c r="AK49" s="84" vm="13153">
        <v>6000</v>
      </c>
      <c r="AL49" s="5">
        <f xml:space="preserve"> SUM( VfM_Metrics_2023_Entity[[#This Row],[Tangible fixed assets: Housing properties at cost (Current period)2]], VfM_Metrics_2023_Entity[[#This Row],[Tangible fixed assets Housing properties at valuation (Current period)2]] )</f>
        <v>8124400</v>
      </c>
      <c r="AM49" s="84" vm="13371">
        <v>8124400</v>
      </c>
      <c r="AN49" s="135" vm="10119">
        <v>0</v>
      </c>
      <c r="AO49" s="137">
        <f xml:space="preserve"> IFERROR( VfM_Metrics_2023_Entity[[#This Row],[EBITDA MRI]] / VfM_Metrics_2023_Entity[[#This Row],[Total interest]], "n/a" )</f>
        <v>0.6806148590947908</v>
      </c>
      <c r="AP4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159400</v>
      </c>
      <c r="AQ49" s="84" vm="13542">
        <v>257000</v>
      </c>
      <c r="AR49" s="84" vm="14182">
        <v>95800</v>
      </c>
      <c r="AS49" s="84" vm="14425">
        <v>300</v>
      </c>
      <c r="AT49" s="84" vm="14673">
        <v>24300</v>
      </c>
      <c r="AU49" s="84" vm="14915">
        <v>0</v>
      </c>
      <c r="AV49" s="84" vm="13681">
        <v>43000</v>
      </c>
      <c r="AW49" s="84" vm="13933">
        <v>145900</v>
      </c>
      <c r="AX49" s="84" vm="14183">
        <v>125700</v>
      </c>
      <c r="AY49" s="5">
        <f xml:space="preserve"> - SUM( VfM_Metrics_2023_Entity[[#This Row],[Interest capitalised]], VfM_Metrics_2023_Entity[[#This Row],[Interest payable and financing costs]] )</f>
        <v>234200</v>
      </c>
      <c r="AZ49" s="84" vm="15215">
        <v>-24700</v>
      </c>
      <c r="BA49" s="135" vm="15386">
        <v>-209500</v>
      </c>
      <c r="BB49" s="138">
        <f xml:space="preserve"> IFERROR( ( VfM_Metrics_2023_Entity[[#This Row],[Total Costs]] / VfM_Metrics_2023_Entity[[#This Row],[Total units for costs]] ) * 1000, "n/a" )</f>
        <v>5602.1004457977406</v>
      </c>
      <c r="BC4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614500</v>
      </c>
      <c r="BD49" s="84" vm="17233">
        <v>112500</v>
      </c>
      <c r="BE49" s="84" vm="15732">
        <v>71700</v>
      </c>
      <c r="BF49" s="84" vm="15700">
        <v>157500</v>
      </c>
      <c r="BG49" s="84" vm="16056">
        <v>67100</v>
      </c>
      <c r="BH49" s="84" vm="16608">
        <v>26500</v>
      </c>
      <c r="BI49" s="84" vm="16273">
        <v>200</v>
      </c>
      <c r="BJ49" s="84" vm="13933">
        <v>145900</v>
      </c>
      <c r="BK49" s="84" vm="17016">
        <v>1000</v>
      </c>
      <c r="BL49" s="84" vm="15787">
        <v>1700</v>
      </c>
      <c r="BM49" s="84" vm="15693">
        <v>7500</v>
      </c>
      <c r="BN49" s="84" vm="16058">
        <v>14700</v>
      </c>
      <c r="BO49" s="84" vm="15733">
        <v>8200</v>
      </c>
      <c r="BP49" s="5" vm="17810">
        <f xml:space="preserve"> VfM_Metrics_2023_Entity[[#This Row],[Total social housing units owned and/or managed at period end]]</f>
        <v>109691</v>
      </c>
      <c r="BQ49" s="135" vm="17810">
        <v>109691</v>
      </c>
      <c r="BR49" s="134">
        <f xml:space="preserve"> IFERROR( VfM_Metrics_2023_Entity[[#This Row],[SHL operating surplus / (deficit)]] / VfM_Metrics_2023_Entity[[#This Row],[Turnover from social housing lettings]], "n/a" )</f>
        <v>0.19585814834867352</v>
      </c>
      <c r="BS49" s="5" vm="17950">
        <f xml:space="preserve"> VfM_Metrics_2023_Entity[[#This Row],[Operating surplus/(deficit) (social housing lettings)]]</f>
        <v>144700</v>
      </c>
      <c r="BT49" s="84" vm="17950">
        <v>144700</v>
      </c>
      <c r="BU49" s="5" vm="18119">
        <f xml:space="preserve"> VfM_Metrics_2023_Entity[[#This Row],[Turnover from social housing lettings]]</f>
        <v>738800</v>
      </c>
      <c r="BV49" s="135" vm="18119">
        <v>738800</v>
      </c>
      <c r="BW49" s="134">
        <f xml:space="preserve"> IFERROR( VfM_Metrics_2023_Entity[[#This Row],[Net operating surplus]] / VfM_Metrics_2023_Entity[[#This Row],[Overall turnover]], "n/a" )</f>
        <v>0.1624760173684742</v>
      </c>
      <c r="BX49" s="5">
        <f xml:space="preserve"> SUM( VfM_Metrics_2023_Entity[[#This Row],[Operating surplus/(deficit) (overall)2]], - VfM_Metrics_2023_Entity[[#This Row],[Gain/(loss) on disposal of fixed assets (housing properties)2]], - VfM_Metrics_2023_Entity[[#This Row],[Gain/(loss) on disposal of fixed assets (other)2]] )</f>
        <v>160900</v>
      </c>
      <c r="BY49" s="84" vm="13542">
        <v>257000</v>
      </c>
      <c r="BZ49" s="84" vm="14182">
        <v>95800</v>
      </c>
      <c r="CA49" s="84" vm="14425">
        <v>300</v>
      </c>
      <c r="CB49" s="5" vm="18358">
        <f xml:space="preserve"> VfM_Metrics_2023_Entity[[#This Row],[Turnover (overall)]]</f>
        <v>990300</v>
      </c>
      <c r="CC49" s="135" vm="18358">
        <v>990300</v>
      </c>
      <c r="CD49" s="134">
        <f xml:space="preserve"> IFERROR( VfM_Metrics_2023_Entity[[#This Row],[Operating surplus including from JVs]] / VfM_Metrics_2023_Entity[[#This Row],[Net assets]], "n/a" )</f>
        <v>2.7956661735271081E-2</v>
      </c>
      <c r="CE49" s="5">
        <f xml:space="preserve"> SUM( VfM_Metrics_2023_Entity[[#This Row],[Operating surplus/(deficit) (overall)3]], VfM_Metrics_2023_Entity[[#This Row],[Share of operating surplus/(deficit) in joint ventures or associates]] )</f>
        <v>257000</v>
      </c>
      <c r="CF49" s="84" vm="13542">
        <v>257000</v>
      </c>
      <c r="CG49" s="84" vm="18493">
        <v>0</v>
      </c>
      <c r="CH49" s="5" vm="18686">
        <f xml:space="preserve"> VfM_Metrics_2023_Entity[[#This Row],[Total assets less current liabilities]]</f>
        <v>9192800</v>
      </c>
      <c r="CI49" s="135" vm="18686">
        <v>9192800</v>
      </c>
      <c r="CJ49" s="140" vm="11255">
        <f xml:space="preserve"> VfM_Metrics_2023_Entity[[#This Row],[Total social housing units owned (Period end)]]</f>
        <v>109520</v>
      </c>
      <c r="CK49" s="141">
        <v>1.4766073821191932E-2</v>
      </c>
      <c r="CL49" s="69">
        <f xml:space="preserve"> -- ( VfM_Metrics_2023_Entity[[#This Row],[% Supported housing (excl. HOP)]] &gt; 0.3 )</f>
        <v>0</v>
      </c>
      <c r="CM49" s="9">
        <v>6.0055430134170293E-2</v>
      </c>
      <c r="CN49" s="69">
        <f xml:space="preserve"> -- ( VfM_Metrics_2023_Entity[[#This Row],[% Housing for older people]] &gt; 0.3 )</f>
        <v>0</v>
      </c>
      <c r="CO49" s="9">
        <f xml:space="preserve"> VfM_Metrics_2023_Entity[[#This Row],[% Supported housing (excl. HOP)]] + VfM_Metrics_2023_Entity[[#This Row],[% Housing for older people]]</f>
        <v>7.4821503955362217E-2</v>
      </c>
      <c r="CP49" s="69">
        <f xml:space="preserve"> -- ( VfM_Metrics_2023_Entity[[#This Row],[SH specialist in RSH analysis]] + VfM_Metrics_2023_Entity[[#This Row],[OP specialist in RSH analysis]] &gt; 0 )</f>
        <v>0</v>
      </c>
      <c r="CQ49" s="142">
        <f xml:space="preserve"> -- ( VfM_Metrics_2023_Entity[[#This Row],[% SH and OP]] &gt; 0.3 )</f>
        <v>0</v>
      </c>
      <c r="CR49" s="143" t="s">
        <v>143</v>
      </c>
      <c r="CS49" s="120"/>
      <c r="CT49" s="144" t="s">
        <v>151</v>
      </c>
      <c r="CU4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49" s="146">
        <v>0.38621370223497375</v>
      </c>
      <c r="CW49" s="146">
        <v>0.25905045594926995</v>
      </c>
      <c r="CX49" s="146">
        <v>2.0385226878163777E-2</v>
      </c>
      <c r="CY49" s="146">
        <v>2.5036092176678056E-3</v>
      </c>
      <c r="CZ49" s="146">
        <v>4.8381791268434421E-2</v>
      </c>
      <c r="DA49" s="146">
        <v>0.24374554558578973</v>
      </c>
      <c r="DB49" s="146">
        <v>0</v>
      </c>
      <c r="DC49" s="146">
        <v>2.5136602035781511E-2</v>
      </c>
      <c r="DD49" s="146">
        <v>1.4583066829919044E-2</v>
      </c>
      <c r="DE49" s="126">
        <v>1.0692901509404711</v>
      </c>
    </row>
    <row r="50" spans="1:109" x14ac:dyDescent="0.25">
      <c r="A50" s="4" t="s" vm="363">
        <v>210</v>
      </c>
      <c r="B50" s="4" t="s" vm="9325">
        <v>211</v>
      </c>
      <c r="C50" s="121" vm="18904">
        <v>45016</v>
      </c>
      <c r="D50" s="68">
        <f>IFERROR( VfM_Metrics_2023_Entity[[#This Row],[Reinvestment Spend]] / VfM_Metrics_2023_Entity[[#This Row],[Net Book Value of Housing Properties]], "n/a" )</f>
        <v>8.8675557779202302E-2</v>
      </c>
      <c r="E5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28358</v>
      </c>
      <c r="F50" s="84" vm="9428">
        <v>24233</v>
      </c>
      <c r="G50" s="84" vm="10623">
        <v>0</v>
      </c>
      <c r="H50" s="84" vm="10536">
        <v>4125</v>
      </c>
      <c r="I50" s="84" vm="10883">
        <v>0</v>
      </c>
      <c r="J50" s="84" vm="9683">
        <v>0</v>
      </c>
      <c r="K50" s="5">
        <f xml:space="preserve"> SUM( VfM_Metrics_2023_Entity[[#This Row],[Tangible fixed assets: Housing properties at cost (Current period)]],VfM_Metrics_2023_Entity[[#This Row],[Tangible fixed assets Housing properties at valuation (Current period)]] )</f>
        <v>319795</v>
      </c>
      <c r="L50" s="84" vm="9958">
        <v>319795</v>
      </c>
      <c r="M50" s="84">
        <v>0</v>
      </c>
      <c r="N50" s="134">
        <f xml:space="preserve"> IFERROR( VfM_Metrics_2023_Entity[[#This Row],[Total social units developed or newly built units acquired in-year]] / VfM_Metrics_2023_Entity[[#This Row],[Social housing units owned (period end)]], "n/a" )</f>
        <v>3.3403321244512313E-2</v>
      </c>
      <c r="O50" s="5">
        <f xml:space="preserve"> SUM( VfM_Metrics_2023_Entity[[#This Row],[Total social units developed or newly built units acquired in-year (owned)]], VfM_Metrics_2023_Entity[[#This Row],[Total social leasehold units developed or newly built units acquired in-year (owned)]] )</f>
        <v>175</v>
      </c>
      <c r="P50" s="84" vm="11045">
        <v>175</v>
      </c>
      <c r="Q50" s="84">
        <v>0</v>
      </c>
      <c r="R50" s="5">
        <f xml:space="preserve"> SUM( VfM_Metrics_2023_Entity[[#This Row],[Total social housing units owned (Period end)]], VfM_Metrics_2023_Entity[[#This Row],[Total social leasehold units owned (Period end)]] )</f>
        <v>5239</v>
      </c>
      <c r="S50" s="84" vm="11268">
        <v>5111</v>
      </c>
      <c r="T50" s="135" vm="11452">
        <v>128</v>
      </c>
      <c r="U50" s="136">
        <f xml:space="preserve"> IFERROR( VfM_Metrics_2023_Entity[[#This Row],[Total non-social housing units developed or newly built units acquired (owned)]] / VfM_Metrics_2023_Entity[[#This Row],[Total social and non-social housing units owned (Period end)]], "n/a" )</f>
        <v>3.8160656363289448E-3</v>
      </c>
      <c r="V5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20</v>
      </c>
      <c r="W50" s="84">
        <v>0</v>
      </c>
      <c r="X50" s="84">
        <v>0</v>
      </c>
      <c r="Y50" s="84" vm="11722">
        <v>20</v>
      </c>
      <c r="Z5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5241</v>
      </c>
      <c r="AA50" s="84" vm="11268">
        <v>5111</v>
      </c>
      <c r="AB50" s="84" vm="12425">
        <v>128</v>
      </c>
      <c r="AC50" s="84" vm="12339">
        <v>2</v>
      </c>
      <c r="AD50" s="135" vm="12486">
        <v>0</v>
      </c>
      <c r="AE50" s="134">
        <f xml:space="preserve"> IFERROR( VfM_Metrics_2023_Entity[[#This Row],[Total Net Debt]] / VfM_Metrics_2023_Entity[[#This Row],[Net Book Value of Housing Properties2]], "n/a" )</f>
        <v>0.54100908394440184</v>
      </c>
      <c r="AF5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173012</v>
      </c>
      <c r="AG50" s="84" vm="12659">
        <v>0</v>
      </c>
      <c r="AH50" s="84" vm="12726">
        <v>233707</v>
      </c>
      <c r="AI50" s="84" vm="13319">
        <v>60695</v>
      </c>
      <c r="AJ50" s="84">
        <v>0</v>
      </c>
      <c r="AK50" s="84">
        <v>0</v>
      </c>
      <c r="AL50" s="5">
        <f xml:space="preserve"> SUM( VfM_Metrics_2023_Entity[[#This Row],[Tangible fixed assets: Housing properties at cost (Current period)2]], VfM_Metrics_2023_Entity[[#This Row],[Tangible fixed assets Housing properties at valuation (Current period)2]] )</f>
        <v>319795</v>
      </c>
      <c r="AM50" s="84" vm="9958">
        <v>319795</v>
      </c>
      <c r="AN50" s="135">
        <v>0</v>
      </c>
      <c r="AO50" s="137">
        <f xml:space="preserve"> IFERROR( VfM_Metrics_2023_Entity[[#This Row],[EBITDA MRI]] / VfM_Metrics_2023_Entity[[#This Row],[Total interest]], "n/a" )</f>
        <v>0.87812825860271115</v>
      </c>
      <c r="AP5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6737</v>
      </c>
      <c r="AQ50" s="84" vm="13567">
        <v>11675</v>
      </c>
      <c r="AR50" s="84" vm="14426">
        <v>5034</v>
      </c>
      <c r="AS50" s="84">
        <v>0</v>
      </c>
      <c r="AT50" s="84" vm="14916">
        <v>1053</v>
      </c>
      <c r="AU50" s="84" vm="13682">
        <v>0</v>
      </c>
      <c r="AV50" s="84" vm="13934">
        <v>85</v>
      </c>
      <c r="AW50" s="84" vm="14184">
        <v>4125</v>
      </c>
      <c r="AX50" s="84" vm="14427">
        <v>5189</v>
      </c>
      <c r="AY50" s="5">
        <f xml:space="preserve"> - SUM( VfM_Metrics_2023_Entity[[#This Row],[Interest capitalised]], VfM_Metrics_2023_Entity[[#This Row],[Interest payable and financing costs]] )</f>
        <v>7672</v>
      </c>
      <c r="AZ50" s="84" vm="15238">
        <v>-2204</v>
      </c>
      <c r="BA50" s="135" vm="15412">
        <v>-5468</v>
      </c>
      <c r="BB50" s="138">
        <f xml:space="preserve"> IFERROR( ( VfM_Metrics_2023_Entity[[#This Row],[Total Costs]] / VfM_Metrics_2023_Entity[[#This Row],[Total units for costs]] ) * 1000, "n/a" )</f>
        <v>4615.7398499134115</v>
      </c>
      <c r="BC5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23988</v>
      </c>
      <c r="BD50" s="84" vm="16693">
        <v>5217</v>
      </c>
      <c r="BE50" s="84" vm="15861">
        <v>2289</v>
      </c>
      <c r="BF50" s="84" vm="17017">
        <v>1644</v>
      </c>
      <c r="BG50" s="84" vm="15701">
        <v>7672</v>
      </c>
      <c r="BH50" s="84" vm="15694">
        <v>1330</v>
      </c>
      <c r="BI50" s="84" vm="17546">
        <v>0</v>
      </c>
      <c r="BJ50" s="84" vm="14184">
        <v>4125</v>
      </c>
      <c r="BK50" s="84" vm="16609">
        <v>314</v>
      </c>
      <c r="BL50" s="84">
        <v>0</v>
      </c>
      <c r="BM50" s="84">
        <v>0</v>
      </c>
      <c r="BN50" s="84">
        <v>0</v>
      </c>
      <c r="BO50" s="84" vm="15862">
        <v>1397</v>
      </c>
      <c r="BP50" s="5" vm="17692">
        <f xml:space="preserve"> VfM_Metrics_2023_Entity[[#This Row],[Total social housing units owned and/or managed at period end]]</f>
        <v>5197</v>
      </c>
      <c r="BQ50" s="135" vm="17692">
        <v>5197</v>
      </c>
      <c r="BR50" s="134">
        <f xml:space="preserve"> IFERROR( VfM_Metrics_2023_Entity[[#This Row],[SHL operating surplus / (deficit)]] / VfM_Metrics_2023_Entity[[#This Row],[Turnover from social housing lettings]], "n/a" )</f>
        <v>0.18403601842803294</v>
      </c>
      <c r="BS50" s="5" vm="17986">
        <f xml:space="preserve"> VfM_Metrics_2023_Entity[[#This Row],[Operating surplus/(deficit) (social housing lettings)]]</f>
        <v>5273</v>
      </c>
      <c r="BT50" s="84" vm="17986">
        <v>5273</v>
      </c>
      <c r="BU50" s="5" vm="18164">
        <f xml:space="preserve"> VfM_Metrics_2023_Entity[[#This Row],[Turnover from social housing lettings]]</f>
        <v>28652</v>
      </c>
      <c r="BV50" s="135" vm="18164">
        <v>28652</v>
      </c>
      <c r="BW50" s="134">
        <f xml:space="preserve"> IFERROR( VfM_Metrics_2023_Entity[[#This Row],[Net operating surplus]] / VfM_Metrics_2023_Entity[[#This Row],[Overall turnover]], "n/a" )</f>
        <v>0.18278652427612022</v>
      </c>
      <c r="BX50" s="5">
        <f xml:space="preserve"> SUM( VfM_Metrics_2023_Entity[[#This Row],[Operating surplus/(deficit) (overall)2]], - VfM_Metrics_2023_Entity[[#This Row],[Gain/(loss) on disposal of fixed assets (housing properties)2]], - VfM_Metrics_2023_Entity[[#This Row],[Gain/(loss) on disposal of fixed assets (other)2]] )</f>
        <v>6641</v>
      </c>
      <c r="BY50" s="84" vm="13567">
        <v>11675</v>
      </c>
      <c r="BZ50" s="84" vm="14426">
        <v>5034</v>
      </c>
      <c r="CA50" s="84">
        <v>0</v>
      </c>
      <c r="CB50" s="5" vm="18321">
        <f xml:space="preserve"> VfM_Metrics_2023_Entity[[#This Row],[Turnover (overall)]]</f>
        <v>36332</v>
      </c>
      <c r="CC50" s="135" vm="18321">
        <v>36332</v>
      </c>
      <c r="CD50" s="134">
        <f xml:space="preserve"> IFERROR( VfM_Metrics_2023_Entity[[#This Row],[Operating surplus including from JVs]] / VfM_Metrics_2023_Entity[[#This Row],[Net assets]], "n/a" )</f>
        <v>2.9678983974619703E-2</v>
      </c>
      <c r="CE50" s="5">
        <f xml:space="preserve"> SUM( VfM_Metrics_2023_Entity[[#This Row],[Operating surplus/(deficit) (overall)3]], VfM_Metrics_2023_Entity[[#This Row],[Share of operating surplus/(deficit) in joint ventures or associates]] )</f>
        <v>11675</v>
      </c>
      <c r="CF50" s="84" vm="18434">
        <v>11675</v>
      </c>
      <c r="CG50" s="84" vm="18511">
        <v>0</v>
      </c>
      <c r="CH50" s="5" vm="18710">
        <f xml:space="preserve"> VfM_Metrics_2023_Entity[[#This Row],[Total assets less current liabilities]]</f>
        <v>393376</v>
      </c>
      <c r="CI50" s="135" vm="18710">
        <v>393376</v>
      </c>
      <c r="CJ50" s="140" vm="11268">
        <f xml:space="preserve"> VfM_Metrics_2023_Entity[[#This Row],[Total social housing units owned (Period end)]]</f>
        <v>5111</v>
      </c>
      <c r="CK50" s="141">
        <v>2.0270270270270271E-2</v>
      </c>
      <c r="CL50" s="69">
        <f xml:space="preserve"> -- ( VfM_Metrics_2023_Entity[[#This Row],[% Supported housing (excl. HOP)]] &gt; 0.3 )</f>
        <v>0</v>
      </c>
      <c r="CM50" s="9">
        <v>0.14169316375198729</v>
      </c>
      <c r="CN50" s="69">
        <f xml:space="preserve"> -- ( VfM_Metrics_2023_Entity[[#This Row],[% Housing for older people]] &gt; 0.3 )</f>
        <v>0</v>
      </c>
      <c r="CO50" s="9">
        <f xml:space="preserve"> VfM_Metrics_2023_Entity[[#This Row],[% Supported housing (excl. HOP)]] + VfM_Metrics_2023_Entity[[#This Row],[% Housing for older people]]</f>
        <v>0.16196343402225755</v>
      </c>
      <c r="CP50" s="69">
        <f xml:space="preserve"> -- ( VfM_Metrics_2023_Entity[[#This Row],[SH specialist in RSH analysis]] + VfM_Metrics_2023_Entity[[#This Row],[OP specialist in RSH analysis]] &gt; 0 )</f>
        <v>0</v>
      </c>
      <c r="CQ50" s="142">
        <f xml:space="preserve"> -- ( VfM_Metrics_2023_Entity[[#This Row],[% SH and OP]] &gt; 0.3 )</f>
        <v>0</v>
      </c>
      <c r="CR50" s="143" t="s">
        <v>143</v>
      </c>
      <c r="CS50" s="120"/>
      <c r="CT50" s="144" t="s">
        <v>151</v>
      </c>
      <c r="CU5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50" s="146">
        <v>0</v>
      </c>
      <c r="CW50" s="146">
        <v>0</v>
      </c>
      <c r="CX50" s="146">
        <v>1</v>
      </c>
      <c r="CY50" s="146">
        <v>0</v>
      </c>
      <c r="CZ50" s="146">
        <v>0</v>
      </c>
      <c r="DA50" s="146">
        <v>0</v>
      </c>
      <c r="DB50" s="146">
        <v>0</v>
      </c>
      <c r="DC50" s="146">
        <v>0</v>
      </c>
      <c r="DD50" s="146">
        <v>0</v>
      </c>
      <c r="DE50" s="126">
        <v>0.97511902715076015</v>
      </c>
    </row>
    <row r="51" spans="1:109" x14ac:dyDescent="0.25">
      <c r="A51" s="4" t="s" vm="394">
        <v>212</v>
      </c>
      <c r="B51" s="4" t="s" vm="9343">
        <v>213</v>
      </c>
      <c r="C51" s="121" vm="18892">
        <v>45016</v>
      </c>
      <c r="D51" s="68">
        <f>IFERROR( VfM_Metrics_2023_Entity[[#This Row],[Reinvestment Spend]] / VfM_Metrics_2023_Entity[[#This Row],[Net Book Value of Housing Properties]], "n/a" )</f>
        <v>2.8088798236101036E-2</v>
      </c>
      <c r="E5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3911</v>
      </c>
      <c r="F51" s="84" vm="9461">
        <v>1235</v>
      </c>
      <c r="G51" s="84" vm="10756">
        <v>0</v>
      </c>
      <c r="H51" s="84" vm="9709">
        <v>2647</v>
      </c>
      <c r="I51" s="84" vm="9751">
        <v>29</v>
      </c>
      <c r="J51" s="84" vm="9480">
        <v>0</v>
      </c>
      <c r="K51" s="5">
        <f xml:space="preserve"> SUM( VfM_Metrics_2023_Entity[[#This Row],[Tangible fixed assets: Housing properties at cost (Current period)]],VfM_Metrics_2023_Entity[[#This Row],[Tangible fixed assets Housing properties at valuation (Current period)]] )</f>
        <v>139237</v>
      </c>
      <c r="L51" s="84" vm="9981">
        <v>139237</v>
      </c>
      <c r="M51" s="84">
        <v>0</v>
      </c>
      <c r="N51" s="134">
        <f xml:space="preserve"> IFERROR( VfM_Metrics_2023_Entity[[#This Row],[Total social units developed or newly built units acquired in-year]] / VfM_Metrics_2023_Entity[[#This Row],[Social housing units owned (period end)]], "n/a" )</f>
        <v>8.6251509401414524E-3</v>
      </c>
      <c r="O51" s="5">
        <f xml:space="preserve"> SUM( VfM_Metrics_2023_Entity[[#This Row],[Total social units developed or newly built units acquired in-year (owned)]], VfM_Metrics_2023_Entity[[#This Row],[Total social leasehold units developed or newly built units acquired in-year (owned)]] )</f>
        <v>50</v>
      </c>
      <c r="P51" s="84" vm="11064">
        <v>50</v>
      </c>
      <c r="Q51" s="84">
        <v>0</v>
      </c>
      <c r="R51" s="5">
        <f xml:space="preserve"> SUM( VfM_Metrics_2023_Entity[[#This Row],[Total social housing units owned (Period end)]], VfM_Metrics_2023_Entity[[#This Row],[Total social leasehold units owned (Period end)]] )</f>
        <v>5797</v>
      </c>
      <c r="S51" s="84" vm="11284">
        <v>5797</v>
      </c>
      <c r="T51" s="135" vm="11446">
        <v>0</v>
      </c>
      <c r="U51" s="136">
        <f xml:space="preserve"> IFERROR( VfM_Metrics_2023_Entity[[#This Row],[Total non-social housing units developed or newly built units acquired (owned)]] / VfM_Metrics_2023_Entity[[#This Row],[Total social and non-social housing units owned (Period end)]], "n/a" )</f>
        <v>0</v>
      </c>
      <c r="V5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51" s="84">
        <v>0</v>
      </c>
      <c r="X51" s="84">
        <v>0</v>
      </c>
      <c r="Y51" s="84" vm="11826">
        <v>0</v>
      </c>
      <c r="Z5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5806</v>
      </c>
      <c r="AA51" s="84" vm="12040">
        <v>5797</v>
      </c>
      <c r="AB51" s="84" vm="12180">
        <v>0</v>
      </c>
      <c r="AC51" s="84" vm="12081">
        <v>9</v>
      </c>
      <c r="AD51" s="135" vm="12244">
        <v>0</v>
      </c>
      <c r="AE51" s="134">
        <f xml:space="preserve"> IFERROR( VfM_Metrics_2023_Entity[[#This Row],[Total Net Debt]] / VfM_Metrics_2023_Entity[[#This Row],[Net Book Value of Housing Properties2]], "n/a" )</f>
        <v>-0.11727486228516845</v>
      </c>
      <c r="AF5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-16329</v>
      </c>
      <c r="AG51" s="84" vm="12686">
        <v>105</v>
      </c>
      <c r="AH51" s="84" vm="13023">
        <v>28331</v>
      </c>
      <c r="AI51" s="84" vm="13109">
        <v>44765</v>
      </c>
      <c r="AJ51" s="84">
        <v>0</v>
      </c>
      <c r="AK51" s="84">
        <v>0</v>
      </c>
      <c r="AL51" s="5">
        <f xml:space="preserve"> SUM( VfM_Metrics_2023_Entity[[#This Row],[Tangible fixed assets: Housing properties at cost (Current period)2]], VfM_Metrics_2023_Entity[[#This Row],[Tangible fixed assets Housing properties at valuation (Current period)2]] )</f>
        <v>139237</v>
      </c>
      <c r="AM51" s="84" vm="13389">
        <v>139237</v>
      </c>
      <c r="AN51" s="135">
        <v>0</v>
      </c>
      <c r="AO51" s="137">
        <f xml:space="preserve"> IFERROR( VfM_Metrics_2023_Entity[[#This Row],[EBITDA MRI]] / VfM_Metrics_2023_Entity[[#This Row],[Total interest]], "n/a" )</f>
        <v>13.133592736705577</v>
      </c>
      <c r="AP5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10126</v>
      </c>
      <c r="AQ51" s="84" vm="13597">
        <v>9351</v>
      </c>
      <c r="AR51" s="84" vm="14674">
        <v>2640</v>
      </c>
      <c r="AS51" s="84" vm="14917">
        <v>5</v>
      </c>
      <c r="AT51" s="84" vm="13683">
        <v>475</v>
      </c>
      <c r="AU51" s="84" vm="13935">
        <v>0</v>
      </c>
      <c r="AV51" s="84" vm="14185">
        <v>1011</v>
      </c>
      <c r="AW51" s="84" vm="14428">
        <v>2647</v>
      </c>
      <c r="AX51" s="84" vm="14675">
        <v>5531</v>
      </c>
      <c r="AY51" s="5">
        <f xml:space="preserve"> - SUM( VfM_Metrics_2023_Entity[[#This Row],[Interest capitalised]], VfM_Metrics_2023_Entity[[#This Row],[Interest payable and financing costs]] )</f>
        <v>771</v>
      </c>
      <c r="AZ51" s="84" vm="15270">
        <v>-29</v>
      </c>
      <c r="BA51" s="135" vm="15449">
        <v>-742</v>
      </c>
      <c r="BB51" s="138">
        <f xml:space="preserve"> IFERROR( ( VfM_Metrics_2023_Entity[[#This Row],[Total Costs]] / VfM_Metrics_2023_Entity[[#This Row],[Total units for costs]] ) * 1000, "n/a" )</f>
        <v>3369.156460238054</v>
      </c>
      <c r="BC5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19531</v>
      </c>
      <c r="BD51" s="84" vm="17468">
        <v>6369</v>
      </c>
      <c r="BE51" s="84" vm="17547">
        <v>252</v>
      </c>
      <c r="BF51" s="84" vm="16059">
        <v>4649</v>
      </c>
      <c r="BG51" s="84" vm="16694">
        <v>1196</v>
      </c>
      <c r="BH51" s="84" vm="15702">
        <v>1141</v>
      </c>
      <c r="BI51" s="84" vm="15734">
        <v>0</v>
      </c>
      <c r="BJ51" s="84" vm="14428">
        <v>2647</v>
      </c>
      <c r="BK51" s="84" vm="17234">
        <v>1623</v>
      </c>
      <c r="BL51" s="84" vm="16386">
        <v>854</v>
      </c>
      <c r="BM51" s="84" vm="16391">
        <v>520</v>
      </c>
      <c r="BN51" s="84" vm="15864">
        <v>280</v>
      </c>
      <c r="BO51" s="84">
        <v>0</v>
      </c>
      <c r="BP51" s="5" vm="17728">
        <f xml:space="preserve"> VfM_Metrics_2023_Entity[[#This Row],[Total social housing units owned and/or managed at period end]]</f>
        <v>5797</v>
      </c>
      <c r="BQ51" s="135" vm="17728">
        <v>5797</v>
      </c>
      <c r="BR51" s="134">
        <f xml:space="preserve"> IFERROR( VfM_Metrics_2023_Entity[[#This Row],[SHL operating surplus / (deficit)]] / VfM_Metrics_2023_Entity[[#This Row],[Turnover from social housing lettings]], "n/a" )</f>
        <v>0.27976417548118604</v>
      </c>
      <c r="BS51" s="5" vm="18013">
        <f xml:space="preserve"> VfM_Metrics_2023_Entity[[#This Row],[Operating surplus/(deficit) (social housing lettings)]]</f>
        <v>8067</v>
      </c>
      <c r="BT51" s="84" vm="18013">
        <v>8067</v>
      </c>
      <c r="BU51" s="5" vm="18212">
        <f xml:space="preserve"> VfM_Metrics_2023_Entity[[#This Row],[Turnover from social housing lettings]]</f>
        <v>28835</v>
      </c>
      <c r="BV51" s="135" vm="18212">
        <v>28835</v>
      </c>
      <c r="BW51" s="134">
        <f xml:space="preserve"> IFERROR( VfM_Metrics_2023_Entity[[#This Row],[Net operating surplus]] / VfM_Metrics_2023_Entity[[#This Row],[Overall turnover]], "n/a" )</f>
        <v>0.23008303026144239</v>
      </c>
      <c r="BX51" s="5">
        <f xml:space="preserve"> SUM( VfM_Metrics_2023_Entity[[#This Row],[Operating surplus/(deficit) (overall)2]], - VfM_Metrics_2023_Entity[[#This Row],[Gain/(loss) on disposal of fixed assets (housing properties)2]], - VfM_Metrics_2023_Entity[[#This Row],[Gain/(loss) on disposal of fixed assets (other)2]] )</f>
        <v>6706</v>
      </c>
      <c r="BY51" s="84" vm="13597">
        <v>9351</v>
      </c>
      <c r="BZ51" s="84" vm="14674">
        <v>2640</v>
      </c>
      <c r="CA51" s="84" vm="14917">
        <v>5</v>
      </c>
      <c r="CB51" s="5" vm="18328">
        <f xml:space="preserve"> VfM_Metrics_2023_Entity[[#This Row],[Turnover (overall)]]</f>
        <v>29146</v>
      </c>
      <c r="CC51" s="135" vm="18328">
        <v>29146</v>
      </c>
      <c r="CD51" s="134">
        <f xml:space="preserve"> IFERROR( VfM_Metrics_2023_Entity[[#This Row],[Operating surplus including from JVs]] / VfM_Metrics_2023_Entity[[#This Row],[Net assets]], "n/a" )</f>
        <v>4.8077368007033452E-2</v>
      </c>
      <c r="CE51" s="5">
        <f xml:space="preserve"> SUM( VfM_Metrics_2023_Entity[[#This Row],[Operating surplus/(deficit) (overall)3]], VfM_Metrics_2023_Entity[[#This Row],[Share of operating surplus/(deficit) in joint ventures or associates]] )</f>
        <v>9351</v>
      </c>
      <c r="CF51" s="84" vm="13598">
        <v>9351</v>
      </c>
      <c r="CG51" s="84">
        <v>0</v>
      </c>
      <c r="CH51" s="5" vm="18738">
        <f xml:space="preserve"> VfM_Metrics_2023_Entity[[#This Row],[Total assets less current liabilities]]</f>
        <v>194499</v>
      </c>
      <c r="CI51" s="135" vm="18738">
        <v>194499</v>
      </c>
      <c r="CJ51" s="140" vm="11284">
        <f xml:space="preserve"> VfM_Metrics_2023_Entity[[#This Row],[Total social housing units owned (Period end)]]</f>
        <v>5797</v>
      </c>
      <c r="CK51" s="141">
        <v>0</v>
      </c>
      <c r="CL51" s="69">
        <f xml:space="preserve"> -- ( VfM_Metrics_2023_Entity[[#This Row],[% Supported housing (excl. HOP)]] &gt; 0.3 )</f>
        <v>0</v>
      </c>
      <c r="CM51" s="9">
        <v>0</v>
      </c>
      <c r="CN51" s="69">
        <f xml:space="preserve"> -- ( VfM_Metrics_2023_Entity[[#This Row],[% Housing for older people]] &gt; 0.3 )</f>
        <v>0</v>
      </c>
      <c r="CO51" s="9">
        <f xml:space="preserve"> VfM_Metrics_2023_Entity[[#This Row],[% Supported housing (excl. HOP)]] + VfM_Metrics_2023_Entity[[#This Row],[% Housing for older people]]</f>
        <v>0</v>
      </c>
      <c r="CP51" s="69">
        <f xml:space="preserve"> -- ( VfM_Metrics_2023_Entity[[#This Row],[SH specialist in RSH analysis]] + VfM_Metrics_2023_Entity[[#This Row],[OP specialist in RSH analysis]] &gt; 0 )</f>
        <v>0</v>
      </c>
      <c r="CQ51" s="142">
        <f xml:space="preserve"> -- ( VfM_Metrics_2023_Entity[[#This Row],[% SH and OP]] &gt; 0.3 )</f>
        <v>0</v>
      </c>
      <c r="CR51" s="143" t="s">
        <v>143</v>
      </c>
      <c r="CS51" s="120"/>
      <c r="CT51" s="144" t="s">
        <v>151</v>
      </c>
      <c r="CU5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51" s="146">
        <v>0</v>
      </c>
      <c r="CW51" s="146">
        <v>0</v>
      </c>
      <c r="CX51" s="146">
        <v>0</v>
      </c>
      <c r="CY51" s="146">
        <v>0</v>
      </c>
      <c r="CZ51" s="146">
        <v>0</v>
      </c>
      <c r="DA51" s="146">
        <v>0</v>
      </c>
      <c r="DB51" s="146">
        <v>0</v>
      </c>
      <c r="DC51" s="146">
        <v>1</v>
      </c>
      <c r="DD51" s="146">
        <v>0</v>
      </c>
      <c r="DE51" s="126">
        <v>0.96105917141044694</v>
      </c>
    </row>
    <row r="52" spans="1:109" x14ac:dyDescent="0.25">
      <c r="A52" s="4" t="s" vm="396">
        <v>214</v>
      </c>
      <c r="B52" s="4" t="s" vm="9362">
        <v>215</v>
      </c>
      <c r="C52" s="121" vm="18910">
        <v>45016</v>
      </c>
      <c r="D52" s="68">
        <f>IFERROR( VfM_Metrics_2023_Entity[[#This Row],[Reinvestment Spend]] / VfM_Metrics_2023_Entity[[#This Row],[Net Book Value of Housing Properties]], "n/a" )</f>
        <v>0.12810930699698694</v>
      </c>
      <c r="E5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30613</v>
      </c>
      <c r="F52" s="84" vm="9384">
        <v>27116</v>
      </c>
      <c r="G52" s="84" vm="9604">
        <v>742</v>
      </c>
      <c r="H52" s="84" vm="10750">
        <v>2292</v>
      </c>
      <c r="I52" s="84" vm="9710">
        <v>463</v>
      </c>
      <c r="J52" s="84" vm="10916">
        <v>0</v>
      </c>
      <c r="K52" s="5">
        <f xml:space="preserve"> SUM( VfM_Metrics_2023_Entity[[#This Row],[Tangible fixed assets: Housing properties at cost (Current period)]],VfM_Metrics_2023_Entity[[#This Row],[Tangible fixed assets Housing properties at valuation (Current period)]] )</f>
        <v>238960</v>
      </c>
      <c r="L52" s="84" vm="10765">
        <v>238960</v>
      </c>
      <c r="M52" s="84" vm="10163">
        <v>0</v>
      </c>
      <c r="N52" s="134">
        <f xml:space="preserve"> IFERROR( VfM_Metrics_2023_Entity[[#This Row],[Total social units developed or newly built units acquired in-year]] / VfM_Metrics_2023_Entity[[#This Row],[Social housing units owned (period end)]], "n/a" )</f>
        <v>1.5870661524770097E-2</v>
      </c>
      <c r="O52" s="5">
        <f xml:space="preserve"> SUM( VfM_Metrics_2023_Entity[[#This Row],[Total social units developed or newly built units acquired in-year (owned)]], VfM_Metrics_2023_Entity[[#This Row],[Total social leasehold units developed or newly built units acquired in-year (owned)]] )</f>
        <v>107</v>
      </c>
      <c r="P52" s="84" vm="11083">
        <v>107</v>
      </c>
      <c r="Q52" s="84" vm="11205">
        <v>0</v>
      </c>
      <c r="R52" s="5">
        <f xml:space="preserve"> SUM( VfM_Metrics_2023_Entity[[#This Row],[Total social housing units owned (Period end)]], VfM_Metrics_2023_Entity[[#This Row],[Total social leasehold units owned (Period end)]] )</f>
        <v>6742</v>
      </c>
      <c r="S52" s="84" vm="11226">
        <v>6742</v>
      </c>
      <c r="T52" s="135" vm="11478">
        <v>0</v>
      </c>
      <c r="U52" s="136">
        <f xml:space="preserve"> IFERROR( VfM_Metrics_2023_Entity[[#This Row],[Total non-social housing units developed or newly built units acquired (owned)]] / VfM_Metrics_2023_Entity[[#This Row],[Total social and non-social housing units owned (Period end)]], "n/a" )</f>
        <v>0</v>
      </c>
      <c r="V5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52" s="84" vm="11565">
        <v>0</v>
      </c>
      <c r="X52" s="84" vm="11876">
        <v>0</v>
      </c>
      <c r="Y52" s="84" vm="11914">
        <v>0</v>
      </c>
      <c r="Z5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6746</v>
      </c>
      <c r="AA52" s="84" vm="11226">
        <v>6742</v>
      </c>
      <c r="AB52" s="84" vm="11477">
        <v>0</v>
      </c>
      <c r="AC52" s="84" vm="12340">
        <v>4</v>
      </c>
      <c r="AD52" s="135" vm="12487">
        <v>0</v>
      </c>
      <c r="AE52" s="134">
        <f xml:space="preserve"> IFERROR( VfM_Metrics_2023_Entity[[#This Row],[Total Net Debt]] / VfM_Metrics_2023_Entity[[#This Row],[Net Book Value of Housing Properties2]], "n/a" )</f>
        <v>0.42607130900569135</v>
      </c>
      <c r="AF5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101814</v>
      </c>
      <c r="AG52" s="84" vm="12555">
        <v>0</v>
      </c>
      <c r="AH52" s="84" vm="13320">
        <v>133832</v>
      </c>
      <c r="AI52" s="84" vm="12890">
        <v>32018</v>
      </c>
      <c r="AJ52" s="84" vm="12971">
        <v>0</v>
      </c>
      <c r="AK52" s="84" vm="13064">
        <v>0</v>
      </c>
      <c r="AL52" s="5">
        <f xml:space="preserve"> SUM( VfM_Metrics_2023_Entity[[#This Row],[Tangible fixed assets: Housing properties at cost (Current period)2]], VfM_Metrics_2023_Entity[[#This Row],[Tangible fixed assets Housing properties at valuation (Current period)2]] )</f>
        <v>238960</v>
      </c>
      <c r="AM52" s="84" vm="13369">
        <v>238960</v>
      </c>
      <c r="AN52" s="135" vm="13420">
        <v>0</v>
      </c>
      <c r="AO52" s="137">
        <f xml:space="preserve"> IFERROR( VfM_Metrics_2023_Entity[[#This Row],[EBITDA MRI]] / VfM_Metrics_2023_Entity[[#This Row],[Total interest]], "n/a" )</f>
        <v>2.4016203703703702</v>
      </c>
      <c r="AP5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12450</v>
      </c>
      <c r="AQ52" s="84" vm="13435">
        <v>11358</v>
      </c>
      <c r="AR52" s="84" vm="14918">
        <v>1297</v>
      </c>
      <c r="AS52" s="84" vm="13684">
        <v>0</v>
      </c>
      <c r="AT52" s="84" vm="13936">
        <v>2567</v>
      </c>
      <c r="AU52" s="84" vm="14186">
        <v>0</v>
      </c>
      <c r="AV52" s="84" vm="14429">
        <v>607</v>
      </c>
      <c r="AW52" s="84" vm="14676">
        <v>2292</v>
      </c>
      <c r="AX52" s="84" vm="14919">
        <v>6641</v>
      </c>
      <c r="AY52" s="5">
        <f xml:space="preserve"> - SUM( VfM_Metrics_2023_Entity[[#This Row],[Interest capitalised]], VfM_Metrics_2023_Entity[[#This Row],[Interest payable and financing costs]] )</f>
        <v>5184</v>
      </c>
      <c r="AZ52" s="84" vm="15161">
        <v>-463</v>
      </c>
      <c r="BA52" s="135" vm="15481">
        <v>-4721</v>
      </c>
      <c r="BB52" s="138">
        <f xml:space="preserve"> IFERROR( ( VfM_Metrics_2023_Entity[[#This Row],[Total Costs]] / VfM_Metrics_2023_Entity[[#This Row],[Total units for costs]] ) * 1000, "n/a" )</f>
        <v>3056.3630970038562</v>
      </c>
      <c r="BC5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20606</v>
      </c>
      <c r="BD52" s="84" vm="15570">
        <v>6299</v>
      </c>
      <c r="BE52" s="84" vm="15735">
        <v>2617</v>
      </c>
      <c r="BF52" s="84" vm="17087">
        <v>5599</v>
      </c>
      <c r="BG52" s="84" vm="17310">
        <v>1701</v>
      </c>
      <c r="BH52" s="84" vm="16239">
        <v>696</v>
      </c>
      <c r="BI52" s="84" vm="15703">
        <v>326</v>
      </c>
      <c r="BJ52" s="84" vm="14676">
        <v>2292</v>
      </c>
      <c r="BK52" s="84" vm="15697">
        <v>0</v>
      </c>
      <c r="BL52" s="84" vm="17088">
        <v>0</v>
      </c>
      <c r="BM52" s="84" vm="17311">
        <v>1076</v>
      </c>
      <c r="BN52" s="84" vm="16061">
        <v>0</v>
      </c>
      <c r="BO52" s="84" vm="13980">
        <v>0</v>
      </c>
      <c r="BP52" s="5" vm="17760">
        <f xml:space="preserve"> VfM_Metrics_2023_Entity[[#This Row],[Total social housing units owned and/or managed at period end]]</f>
        <v>6742</v>
      </c>
      <c r="BQ52" s="135" vm="17760">
        <v>6742</v>
      </c>
      <c r="BR52" s="134">
        <f xml:space="preserve"> IFERROR( VfM_Metrics_2023_Entity[[#This Row],[SHL operating surplus / (deficit)]] / VfM_Metrics_2023_Entity[[#This Row],[Turnover from social housing lettings]], "n/a" )</f>
        <v>0.31388578486149504</v>
      </c>
      <c r="BS52" s="5" vm="17838">
        <f xml:space="preserve"> VfM_Metrics_2023_Entity[[#This Row],[Operating surplus/(deficit) (social housing lettings)]]</f>
        <v>10674</v>
      </c>
      <c r="BT52" s="84" vm="17838">
        <v>10674</v>
      </c>
      <c r="BU52" s="5" vm="18046">
        <f xml:space="preserve"> VfM_Metrics_2023_Entity[[#This Row],[Turnover from social housing lettings]]</f>
        <v>34006</v>
      </c>
      <c r="BV52" s="135" vm="18046">
        <v>34006</v>
      </c>
      <c r="BW52" s="134">
        <f xml:space="preserve"> IFERROR( VfM_Metrics_2023_Entity[[#This Row],[Net operating surplus]] / VfM_Metrics_2023_Entity[[#This Row],[Overall turnover]], "n/a" )</f>
        <v>0.27103987068965518</v>
      </c>
      <c r="BX52" s="5">
        <f xml:space="preserve"> SUM( VfM_Metrics_2023_Entity[[#This Row],[Operating surplus/(deficit) (overall)2]], - VfM_Metrics_2023_Entity[[#This Row],[Gain/(loss) on disposal of fixed assets (housing properties)2]], - VfM_Metrics_2023_Entity[[#This Row],[Gain/(loss) on disposal of fixed assets (other)2]] )</f>
        <v>10061</v>
      </c>
      <c r="BY52" s="84" vm="13508">
        <v>11358</v>
      </c>
      <c r="BZ52" s="84" vm="14918">
        <v>1297</v>
      </c>
      <c r="CA52" s="84" vm="13684">
        <v>0</v>
      </c>
      <c r="CB52" s="5" vm="18249">
        <f xml:space="preserve"> VfM_Metrics_2023_Entity[[#This Row],[Turnover (overall)]]</f>
        <v>37120</v>
      </c>
      <c r="CC52" s="135" vm="18249">
        <v>37120</v>
      </c>
      <c r="CD52" s="134">
        <f xml:space="preserve"> IFERROR( VfM_Metrics_2023_Entity[[#This Row],[Operating surplus including from JVs]] / VfM_Metrics_2023_Entity[[#This Row],[Net assets]], "n/a" )</f>
        <v>4.0924862989266141E-2</v>
      </c>
      <c r="CE52" s="5">
        <f xml:space="preserve"> SUM( VfM_Metrics_2023_Entity[[#This Row],[Operating surplus/(deficit) (overall)3]], VfM_Metrics_2023_Entity[[#This Row],[Share of operating surplus/(deficit) in joint ventures or associates]] )</f>
        <v>11358</v>
      </c>
      <c r="CF52" s="84" vm="13435">
        <v>11358</v>
      </c>
      <c r="CG52" s="84" vm="18552">
        <v>0</v>
      </c>
      <c r="CH52" s="5" vm="18575">
        <f xml:space="preserve"> VfM_Metrics_2023_Entity[[#This Row],[Total assets less current liabilities]]</f>
        <v>277533</v>
      </c>
      <c r="CI52" s="135" vm="18575">
        <v>277533</v>
      </c>
      <c r="CJ52" s="140" vm="11226">
        <f xml:space="preserve"> VfM_Metrics_2023_Entity[[#This Row],[Total social housing units owned (Period end)]]</f>
        <v>6742</v>
      </c>
      <c r="CK52" s="141">
        <v>1.4151646059883808E-2</v>
      </c>
      <c r="CL52" s="69">
        <f xml:space="preserve"> -- ( VfM_Metrics_2023_Entity[[#This Row],[% Supported housing (excl. HOP)]] &gt; 0.3 )</f>
        <v>0</v>
      </c>
      <c r="CM52" s="9">
        <v>6.3905854312527932E-2</v>
      </c>
      <c r="CN52" s="69">
        <f xml:space="preserve"> -- ( VfM_Metrics_2023_Entity[[#This Row],[% Housing for older people]] &gt; 0.3 )</f>
        <v>0</v>
      </c>
      <c r="CO52" s="9">
        <f xml:space="preserve"> VfM_Metrics_2023_Entity[[#This Row],[% Supported housing (excl. HOP)]] + VfM_Metrics_2023_Entity[[#This Row],[% Housing for older people]]</f>
        <v>7.8057500372411742E-2</v>
      </c>
      <c r="CP52" s="69">
        <f xml:space="preserve"> -- ( VfM_Metrics_2023_Entity[[#This Row],[SH specialist in RSH analysis]] + VfM_Metrics_2023_Entity[[#This Row],[OP specialist in RSH analysis]] &gt; 0 )</f>
        <v>0</v>
      </c>
      <c r="CQ52" s="142">
        <f xml:space="preserve"> -- ( VfM_Metrics_2023_Entity[[#This Row],[% SH and OP]] &gt; 0.3 )</f>
        <v>0</v>
      </c>
      <c r="CR52" s="143" t="s">
        <v>143</v>
      </c>
      <c r="CS52" s="120"/>
      <c r="CT52" s="144" t="s">
        <v>151</v>
      </c>
      <c r="CU5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52" s="146">
        <v>0</v>
      </c>
      <c r="CW52" s="146">
        <v>0</v>
      </c>
      <c r="CX52" s="146">
        <v>0</v>
      </c>
      <c r="CY52" s="146">
        <v>0</v>
      </c>
      <c r="CZ52" s="146">
        <v>0</v>
      </c>
      <c r="DA52" s="146">
        <v>0</v>
      </c>
      <c r="DB52" s="146">
        <v>0</v>
      </c>
      <c r="DC52" s="146">
        <v>1</v>
      </c>
      <c r="DD52" s="146">
        <v>0</v>
      </c>
      <c r="DE52" s="126">
        <v>0.96105917141044694</v>
      </c>
    </row>
    <row r="53" spans="1:109" x14ac:dyDescent="0.25">
      <c r="A53" s="4" t="s" vm="321">
        <v>216</v>
      </c>
      <c r="B53" s="4" t="s" vm="10842">
        <v>217</v>
      </c>
      <c r="C53" s="121" vm="18951">
        <v>45016</v>
      </c>
      <c r="D53" s="68">
        <f>IFERROR( VfM_Metrics_2023_Entity[[#This Row],[Reinvestment Spend]] / VfM_Metrics_2023_Entity[[#This Row],[Net Book Value of Housing Properties]], "n/a" )</f>
        <v>4.3062759430693251E-2</v>
      </c>
      <c r="E5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5903</v>
      </c>
      <c r="F53" s="84" vm="9403">
        <v>2820</v>
      </c>
      <c r="G53" s="84" vm="10671">
        <v>0</v>
      </c>
      <c r="H53" s="84" vm="10442">
        <v>3083</v>
      </c>
      <c r="I53" s="84" vm="10796">
        <v>0</v>
      </c>
      <c r="J53" s="84" vm="10776">
        <v>0</v>
      </c>
      <c r="K53" s="5">
        <f xml:space="preserve"> SUM( VfM_Metrics_2023_Entity[[#This Row],[Tangible fixed assets: Housing properties at cost (Current period)]],VfM_Metrics_2023_Entity[[#This Row],[Tangible fixed assets Housing properties at valuation (Current period)]] )</f>
        <v>137079</v>
      </c>
      <c r="L53" s="84" vm="10350">
        <v>137079</v>
      </c>
      <c r="M53" s="84" vm="10085">
        <v>0</v>
      </c>
      <c r="N53" s="134">
        <f xml:space="preserve"> IFERROR( VfM_Metrics_2023_Entity[[#This Row],[Total social units developed or newly built units acquired in-year]] / VfM_Metrics_2023_Entity[[#This Row],[Social housing units owned (period end)]], "n/a" )</f>
        <v>7.0339976553341153E-3</v>
      </c>
      <c r="O53" s="5">
        <f xml:space="preserve"> SUM( VfM_Metrics_2023_Entity[[#This Row],[Total social units developed or newly built units acquired in-year (owned)]], VfM_Metrics_2023_Entity[[#This Row],[Total social leasehold units developed or newly built units acquired in-year (owned)]] )</f>
        <v>24</v>
      </c>
      <c r="P53" s="84" vm="10996">
        <v>24</v>
      </c>
      <c r="Q53" s="84" vm="11108">
        <v>0</v>
      </c>
      <c r="R53" s="5">
        <f xml:space="preserve"> SUM( VfM_Metrics_2023_Entity[[#This Row],[Total social housing units owned (Period end)]], VfM_Metrics_2023_Entity[[#This Row],[Total social leasehold units owned (Period end)]] )</f>
        <v>3412</v>
      </c>
      <c r="S53" s="84" vm="11317">
        <v>3412</v>
      </c>
      <c r="T53" s="135" vm="11411">
        <v>0</v>
      </c>
      <c r="U53" s="136">
        <f xml:space="preserve"> IFERROR( VfM_Metrics_2023_Entity[[#This Row],[Total non-social housing units developed or newly built units acquired (owned)]] / VfM_Metrics_2023_Entity[[#This Row],[Total social and non-social housing units owned (Period end)]], "n/a" )</f>
        <v>0</v>
      </c>
      <c r="V5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53" s="84" vm="11588">
        <v>0</v>
      </c>
      <c r="X53" s="84" vm="11689">
        <v>0</v>
      </c>
      <c r="Y53" s="84" vm="11723">
        <v>0</v>
      </c>
      <c r="Z5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3657</v>
      </c>
      <c r="AA53" s="84" vm="11317">
        <v>3412</v>
      </c>
      <c r="AB53" s="84" vm="12181">
        <v>0</v>
      </c>
      <c r="AC53" s="84" vm="12082">
        <v>245</v>
      </c>
      <c r="AD53" s="135" vm="12245">
        <v>0</v>
      </c>
      <c r="AE53" s="134">
        <f xml:space="preserve"> IFERROR( VfM_Metrics_2023_Entity[[#This Row],[Total Net Debt]] / VfM_Metrics_2023_Entity[[#This Row],[Net Book Value of Housing Properties2]], "n/a" )</f>
        <v>0.33800946899233286</v>
      </c>
      <c r="AF5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46334</v>
      </c>
      <c r="AG53" s="84" vm="12588">
        <v>10319</v>
      </c>
      <c r="AH53" s="84" vm="12727">
        <v>60499</v>
      </c>
      <c r="AI53" s="84" vm="13234">
        <v>24484</v>
      </c>
      <c r="AJ53" s="84" vm="13281">
        <v>0</v>
      </c>
      <c r="AK53" s="84" vm="12847">
        <v>0</v>
      </c>
      <c r="AL53" s="5">
        <f xml:space="preserve"> SUM( VfM_Metrics_2023_Entity[[#This Row],[Tangible fixed assets: Housing properties at cost (Current period)2]], VfM_Metrics_2023_Entity[[#This Row],[Tangible fixed assets Housing properties at valuation (Current period)2]] )</f>
        <v>137079</v>
      </c>
      <c r="AM53" s="84" vm="9938">
        <v>137079</v>
      </c>
      <c r="AN53" s="135" vm="10085">
        <v>0</v>
      </c>
      <c r="AO53" s="137">
        <f xml:space="preserve"> IFERROR( VfM_Metrics_2023_Entity[[#This Row],[EBITDA MRI]] / VfM_Metrics_2023_Entity[[#This Row],[Total interest]], "n/a" )</f>
        <v>1.2887788778877889</v>
      </c>
      <c r="AP5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3124</v>
      </c>
      <c r="AQ53" s="84" vm="13473">
        <v>4636</v>
      </c>
      <c r="AR53" s="84" vm="13685">
        <v>983</v>
      </c>
      <c r="AS53" s="84" vm="13937">
        <v>0</v>
      </c>
      <c r="AT53" s="84" vm="14187">
        <v>1446</v>
      </c>
      <c r="AU53" s="84" vm="14430">
        <v>144</v>
      </c>
      <c r="AV53" s="84" vm="14677">
        <v>292</v>
      </c>
      <c r="AW53" s="84" vm="14920">
        <v>3083</v>
      </c>
      <c r="AX53" s="84" vm="13686">
        <v>3852</v>
      </c>
      <c r="AY53" s="5">
        <f xml:space="preserve"> - SUM( VfM_Metrics_2023_Entity[[#This Row],[Interest capitalised]], VfM_Metrics_2023_Entity[[#This Row],[Interest payable and financing costs]] )</f>
        <v>2424</v>
      </c>
      <c r="AZ53" s="84" vm="15151">
        <v>0</v>
      </c>
      <c r="BA53" s="135" vm="15317">
        <v>-2424</v>
      </c>
      <c r="BB53" s="138">
        <f xml:space="preserve"> IFERROR( ( VfM_Metrics_2023_Entity[[#This Row],[Total Costs]] / VfM_Metrics_2023_Entity[[#This Row],[Total units for costs]] ) * 1000, "n/a" )</f>
        <v>4788.1355932203387</v>
      </c>
      <c r="BC5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16385</v>
      </c>
      <c r="BD53" s="84" vm="15514">
        <v>3970</v>
      </c>
      <c r="BE53" s="84" vm="15866">
        <v>1365</v>
      </c>
      <c r="BF53" s="84" vm="16276">
        <v>3024</v>
      </c>
      <c r="BG53" s="84" vm="15736">
        <v>2245</v>
      </c>
      <c r="BH53" s="84" vm="16848">
        <v>316</v>
      </c>
      <c r="BI53" s="84" vm="17089">
        <v>0</v>
      </c>
      <c r="BJ53" s="84" vm="14920">
        <v>3083</v>
      </c>
      <c r="BK53" s="84" vm="16063">
        <v>184</v>
      </c>
      <c r="BL53" s="84" vm="16070">
        <v>176</v>
      </c>
      <c r="BM53" s="84" vm="15788">
        <v>0</v>
      </c>
      <c r="BN53" s="84" vm="16849">
        <v>327</v>
      </c>
      <c r="BO53" s="84" vm="15699">
        <v>1695</v>
      </c>
      <c r="BP53" s="5" vm="17622">
        <f xml:space="preserve"> VfM_Metrics_2023_Entity[[#This Row],[Total social housing units owned and/or managed at period end]]</f>
        <v>3422</v>
      </c>
      <c r="BQ53" s="135" vm="17622">
        <v>3422</v>
      </c>
      <c r="BR53" s="134">
        <f xml:space="preserve"> IFERROR( VfM_Metrics_2023_Entity[[#This Row],[SHL operating surplus / (deficit)]] / VfM_Metrics_2023_Entity[[#This Row],[Turnover from social housing lettings]], "n/a" )</f>
        <v>0.18121212121212121</v>
      </c>
      <c r="BS53" s="5" vm="17876">
        <f xml:space="preserve"> VfM_Metrics_2023_Entity[[#This Row],[Operating surplus/(deficit) (social housing lettings)]]</f>
        <v>3289</v>
      </c>
      <c r="BT53" s="84" vm="17876">
        <v>3289</v>
      </c>
      <c r="BU53" s="5" vm="18062">
        <f xml:space="preserve"> VfM_Metrics_2023_Entity[[#This Row],[Turnover from social housing lettings]]</f>
        <v>18150</v>
      </c>
      <c r="BV53" s="135" vm="18062">
        <v>18150</v>
      </c>
      <c r="BW53" s="134">
        <f xml:space="preserve"> IFERROR( VfM_Metrics_2023_Entity[[#This Row],[Net operating surplus]] / VfM_Metrics_2023_Entity[[#This Row],[Overall turnover]], "n/a" )</f>
        <v>0.17309514783927218</v>
      </c>
      <c r="BX53" s="5">
        <f xml:space="preserve"> SUM( VfM_Metrics_2023_Entity[[#This Row],[Operating surplus/(deficit) (overall)2]], - VfM_Metrics_2023_Entity[[#This Row],[Gain/(loss) on disposal of fixed assets (housing properties)2]], - VfM_Metrics_2023_Entity[[#This Row],[Gain/(loss) on disposal of fixed assets (other)2]] )</f>
        <v>3653</v>
      </c>
      <c r="BY53" s="84" vm="13473">
        <v>4636</v>
      </c>
      <c r="BZ53" s="84" vm="13685">
        <v>983</v>
      </c>
      <c r="CA53" s="84" vm="13937">
        <v>0</v>
      </c>
      <c r="CB53" s="5" vm="18353">
        <f xml:space="preserve"> VfM_Metrics_2023_Entity[[#This Row],[Turnover (overall)]]</f>
        <v>21104</v>
      </c>
      <c r="CC53" s="135" vm="18353">
        <v>21104</v>
      </c>
      <c r="CD53" s="134">
        <f xml:space="preserve"> IFERROR( VfM_Metrics_2023_Entity[[#This Row],[Operating surplus including from JVs]] / VfM_Metrics_2023_Entity[[#This Row],[Net assets]], "n/a" )</f>
        <v>2.9641943734015345E-2</v>
      </c>
      <c r="CE53" s="5">
        <f xml:space="preserve"> SUM( VfM_Metrics_2023_Entity[[#This Row],[Operating surplus/(deficit) (overall)3]], VfM_Metrics_2023_Entity[[#This Row],[Share of operating surplus/(deficit) in joint ventures or associates]] )</f>
        <v>4636</v>
      </c>
      <c r="CF53" s="84" vm="13473">
        <v>4636</v>
      </c>
      <c r="CG53" s="84" vm="18448">
        <v>0</v>
      </c>
      <c r="CH53" s="5" vm="18613">
        <f xml:space="preserve"> VfM_Metrics_2023_Entity[[#This Row],[Total assets less current liabilities]]</f>
        <v>156400</v>
      </c>
      <c r="CI53" s="135" vm="18613">
        <v>156400</v>
      </c>
      <c r="CJ53" s="140" vm="11317">
        <f xml:space="preserve"> VfM_Metrics_2023_Entity[[#This Row],[Total social housing units owned (Period end)]]</f>
        <v>3412</v>
      </c>
      <c r="CK53" s="141">
        <v>5.2366863905325446E-2</v>
      </c>
      <c r="CL53" s="69">
        <f xml:space="preserve"> -- ( VfM_Metrics_2023_Entity[[#This Row],[% Supported housing (excl. HOP)]] &gt; 0.3 )</f>
        <v>0</v>
      </c>
      <c r="CM53" s="9">
        <v>0.23431952662721894</v>
      </c>
      <c r="CN53" s="69">
        <f xml:space="preserve"> -- ( VfM_Metrics_2023_Entity[[#This Row],[% Housing for older people]] &gt; 0.3 )</f>
        <v>0</v>
      </c>
      <c r="CO53" s="9">
        <f xml:space="preserve"> VfM_Metrics_2023_Entity[[#This Row],[% Supported housing (excl. HOP)]] + VfM_Metrics_2023_Entity[[#This Row],[% Housing for older people]]</f>
        <v>0.28668639053254441</v>
      </c>
      <c r="CP53" s="69">
        <f xml:space="preserve"> -- ( VfM_Metrics_2023_Entity[[#This Row],[SH specialist in RSH analysis]] + VfM_Metrics_2023_Entity[[#This Row],[OP specialist in RSH analysis]] &gt; 0 )</f>
        <v>0</v>
      </c>
      <c r="CQ53" s="142">
        <f xml:space="preserve"> -- ( VfM_Metrics_2023_Entity[[#This Row],[% SH and OP]] &gt; 0.3 )</f>
        <v>0</v>
      </c>
      <c r="CR53" s="143" t="s">
        <v>143</v>
      </c>
      <c r="CS53" s="120"/>
      <c r="CT53" s="144" t="s">
        <v>144</v>
      </c>
      <c r="CU5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53" s="146">
        <v>0</v>
      </c>
      <c r="CW53" s="146">
        <v>0</v>
      </c>
      <c r="CX53" s="146">
        <v>0</v>
      </c>
      <c r="CY53" s="146">
        <v>0</v>
      </c>
      <c r="CZ53" s="146">
        <v>0</v>
      </c>
      <c r="DA53" s="146">
        <v>0</v>
      </c>
      <c r="DB53" s="146">
        <v>0</v>
      </c>
      <c r="DC53" s="146">
        <v>0</v>
      </c>
      <c r="DD53" s="146">
        <v>1</v>
      </c>
      <c r="DE53" s="126">
        <v>0.94459121441814442</v>
      </c>
    </row>
    <row r="54" spans="1:109" x14ac:dyDescent="0.25">
      <c r="A54" s="4" t="s" vm="277">
        <v>218</v>
      </c>
      <c r="B54" s="4" t="s" vm="9262">
        <v>219</v>
      </c>
      <c r="C54" s="121" vm="18908">
        <v>45016</v>
      </c>
      <c r="D54" s="68">
        <f>IFERROR( VfM_Metrics_2023_Entity[[#This Row],[Reinvestment Spend]] / VfM_Metrics_2023_Entity[[#This Row],[Net Book Value of Housing Properties]], "n/a" )</f>
        <v>9.9834455959833271E-2</v>
      </c>
      <c r="E5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40285</v>
      </c>
      <c r="F54" s="84" vm="9449">
        <v>15563</v>
      </c>
      <c r="G54" s="84" vm="10885">
        <v>9344</v>
      </c>
      <c r="H54" s="84" vm="10748">
        <v>14548</v>
      </c>
      <c r="I54" s="84" vm="9605">
        <v>830</v>
      </c>
      <c r="J54" s="84" vm="10502">
        <v>0</v>
      </c>
      <c r="K54" s="5">
        <f xml:space="preserve"> SUM( VfM_Metrics_2023_Entity[[#This Row],[Tangible fixed assets: Housing properties at cost (Current period)]],VfM_Metrics_2023_Entity[[#This Row],[Tangible fixed assets Housing properties at valuation (Current period)]] )</f>
        <v>403518</v>
      </c>
      <c r="L54" s="84" vm="10279">
        <v>403518</v>
      </c>
      <c r="M54" s="84" vm="9891">
        <v>0</v>
      </c>
      <c r="N54" s="134">
        <f xml:space="preserve"> IFERROR( VfM_Metrics_2023_Entity[[#This Row],[Total social units developed or newly built units acquired in-year]] / VfM_Metrics_2023_Entity[[#This Row],[Social housing units owned (period end)]], "n/a" )</f>
        <v>1.9767659733932921E-2</v>
      </c>
      <c r="O54" s="5">
        <f xml:space="preserve"> SUM( VfM_Metrics_2023_Entity[[#This Row],[Total social units developed or newly built units acquired in-year (owned)]], VfM_Metrics_2023_Entity[[#This Row],[Total social leasehold units developed or newly built units acquired in-year (owned)]] )</f>
        <v>211</v>
      </c>
      <c r="P54" s="84" vm="10957">
        <v>211</v>
      </c>
      <c r="Q54" s="84" vm="11132">
        <v>0</v>
      </c>
      <c r="R54" s="5">
        <f xml:space="preserve"> SUM( VfM_Metrics_2023_Entity[[#This Row],[Total social housing units owned (Period end)]], VfM_Metrics_2023_Entity[[#This Row],[Total social leasehold units owned (Period end)]] )</f>
        <v>10674</v>
      </c>
      <c r="S54" s="84" vm="11238">
        <v>10673</v>
      </c>
      <c r="T54" s="135" vm="11442">
        <v>1</v>
      </c>
      <c r="U54" s="136">
        <f xml:space="preserve"> IFERROR( VfM_Metrics_2023_Entity[[#This Row],[Total non-social housing units developed or newly built units acquired (owned)]] / VfM_Metrics_2023_Entity[[#This Row],[Total social and non-social housing units owned (Period end)]], "n/a" )</f>
        <v>0</v>
      </c>
      <c r="V5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54" s="84" vm="11613">
        <v>0</v>
      </c>
      <c r="X54" s="84" vm="11787">
        <v>0</v>
      </c>
      <c r="Y54" s="84" vm="11826">
        <v>0</v>
      </c>
      <c r="Z5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11140</v>
      </c>
      <c r="AA54" s="84" vm="11238">
        <v>10673</v>
      </c>
      <c r="AB54" s="84" vm="12426">
        <v>1</v>
      </c>
      <c r="AC54" s="84" vm="12341">
        <v>33</v>
      </c>
      <c r="AD54" s="135" vm="12487">
        <v>433</v>
      </c>
      <c r="AE54" s="134">
        <f xml:space="preserve"> IFERROR( VfM_Metrics_2023_Entity[[#This Row],[Total Net Debt]] / VfM_Metrics_2023_Entity[[#This Row],[Net Book Value of Housing Properties2]], "n/a" )</f>
        <v>0.59009015706858181</v>
      </c>
      <c r="AF5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238112</v>
      </c>
      <c r="AG54" s="84" vm="12609">
        <v>796</v>
      </c>
      <c r="AH54" s="84" vm="12930">
        <v>118543</v>
      </c>
      <c r="AI54" s="84" vm="13024">
        <v>512</v>
      </c>
      <c r="AJ54" s="84" vm="12728">
        <v>119285</v>
      </c>
      <c r="AK54" s="84" vm="13196">
        <v>0</v>
      </c>
      <c r="AL54" s="5">
        <f xml:space="preserve"> SUM( VfM_Metrics_2023_Entity[[#This Row],[Tangible fixed assets: Housing properties at cost (Current period)2]], VfM_Metrics_2023_Entity[[#This Row],[Tangible fixed assets Housing properties at valuation (Current period)2]] )</f>
        <v>403518</v>
      </c>
      <c r="AM54" s="84" vm="9916">
        <v>403518</v>
      </c>
      <c r="AN54" s="135" vm="13425">
        <v>0</v>
      </c>
      <c r="AO54" s="137">
        <f xml:space="preserve"> IFERROR( VfM_Metrics_2023_Entity[[#This Row],[EBITDA MRI]] / VfM_Metrics_2023_Entity[[#This Row],[Total interest]], "n/a" )</f>
        <v>0.57263513513513509</v>
      </c>
      <c r="AP5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6102</v>
      </c>
      <c r="AQ54" s="84" vm="13505">
        <v>12558</v>
      </c>
      <c r="AR54" s="84" vm="13938">
        <v>1969</v>
      </c>
      <c r="AS54" s="84" vm="14188">
        <v>-93</v>
      </c>
      <c r="AT54" s="84" vm="14431">
        <v>759</v>
      </c>
      <c r="AU54" s="84" vm="14678">
        <v>0</v>
      </c>
      <c r="AV54" s="84" vm="14921">
        <v>297</v>
      </c>
      <c r="AW54" s="84" vm="13687">
        <v>14548</v>
      </c>
      <c r="AX54" s="84" vm="13939">
        <v>10430</v>
      </c>
      <c r="AY54" s="5">
        <f xml:space="preserve"> - SUM( VfM_Metrics_2023_Entity[[#This Row],[Interest capitalised]], VfM_Metrics_2023_Entity[[#This Row],[Interest payable and financing costs]] )</f>
        <v>10656</v>
      </c>
      <c r="AZ54" s="84" vm="15192">
        <v>-830</v>
      </c>
      <c r="BA54" s="135" vm="15354">
        <v>-9826</v>
      </c>
      <c r="BB54" s="138">
        <f xml:space="preserve"> IFERROR( ( VfM_Metrics_2023_Entity[[#This Row],[Total Costs]] / VfM_Metrics_2023_Entity[[#This Row],[Total units for costs]] ) * 1000, "n/a" )</f>
        <v>4913.3327087042071</v>
      </c>
      <c r="BC5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52440</v>
      </c>
      <c r="BD54" s="84" vm="17090">
        <v>14154</v>
      </c>
      <c r="BE54" s="84" vm="15704">
        <v>2989</v>
      </c>
      <c r="BF54" s="84" vm="16064">
        <v>16853</v>
      </c>
      <c r="BG54" s="84" vm="17548">
        <v>744</v>
      </c>
      <c r="BH54" s="84" vm="16388">
        <v>0</v>
      </c>
      <c r="BI54" s="84" vm="15790">
        <v>0</v>
      </c>
      <c r="BJ54" s="84" vm="13687">
        <v>14548</v>
      </c>
      <c r="BK54" s="84" vm="15705">
        <v>946</v>
      </c>
      <c r="BL54" s="84" vm="17235">
        <v>553</v>
      </c>
      <c r="BM54" s="84" vm="16065">
        <v>0</v>
      </c>
      <c r="BN54" s="84" vm="15737">
        <v>0</v>
      </c>
      <c r="BO54" s="84" vm="17091">
        <v>1653</v>
      </c>
      <c r="BP54" s="5" vm="17658">
        <f xml:space="preserve"> VfM_Metrics_2023_Entity[[#This Row],[Total social housing units owned and/or managed at period end]]</f>
        <v>10673</v>
      </c>
      <c r="BQ54" s="135" vm="17658">
        <v>10673</v>
      </c>
      <c r="BR54" s="134">
        <f xml:space="preserve"> IFERROR( VfM_Metrics_2023_Entity[[#This Row],[SHL operating surplus / (deficit)]] / VfM_Metrics_2023_Entity[[#This Row],[Turnover from social housing lettings]], "n/a" )</f>
        <v>0.15357189281536091</v>
      </c>
      <c r="BS54" s="5" vm="17913">
        <f xml:space="preserve"> VfM_Metrics_2023_Entity[[#This Row],[Operating surplus/(deficit) (social housing lettings)]]</f>
        <v>8270</v>
      </c>
      <c r="BT54" s="84" vm="17913">
        <v>8270</v>
      </c>
      <c r="BU54" s="5" vm="18108">
        <f xml:space="preserve"> VfM_Metrics_2023_Entity[[#This Row],[Turnover from social housing lettings]]</f>
        <v>53851</v>
      </c>
      <c r="BV54" s="135" vm="18108">
        <v>53851</v>
      </c>
      <c r="BW54" s="134">
        <f xml:space="preserve"> IFERROR( VfM_Metrics_2023_Entity[[#This Row],[Net operating surplus]] / VfM_Metrics_2023_Entity[[#This Row],[Overall turnover]], "n/a" )</f>
        <v>0.16011631741463561</v>
      </c>
      <c r="BX54" s="5">
        <f xml:space="preserve"> SUM( VfM_Metrics_2023_Entity[[#This Row],[Operating surplus/(deficit) (overall)2]], - VfM_Metrics_2023_Entity[[#This Row],[Gain/(loss) on disposal of fixed assets (housing properties)2]], - VfM_Metrics_2023_Entity[[#This Row],[Gain/(loss) on disposal of fixed assets (other)2]] )</f>
        <v>10682</v>
      </c>
      <c r="BY54" s="84" vm="13505">
        <v>12558</v>
      </c>
      <c r="BZ54" s="84" vm="13938">
        <v>1969</v>
      </c>
      <c r="CA54" s="84" vm="14188">
        <v>-93</v>
      </c>
      <c r="CB54" s="5" vm="18263">
        <f xml:space="preserve"> VfM_Metrics_2023_Entity[[#This Row],[Turnover (overall)]]</f>
        <v>66714</v>
      </c>
      <c r="CC54" s="135" vm="18263">
        <v>66714</v>
      </c>
      <c r="CD54" s="134">
        <f xml:space="preserve"> IFERROR( VfM_Metrics_2023_Entity[[#This Row],[Operating surplus including from JVs]] / VfM_Metrics_2023_Entity[[#This Row],[Net assets]], "n/a" )</f>
        <v>2.9254656214692556E-2</v>
      </c>
      <c r="CE54" s="5">
        <f xml:space="preserve"> SUM( VfM_Metrics_2023_Entity[[#This Row],[Operating surplus/(deficit) (overall)3]], VfM_Metrics_2023_Entity[[#This Row],[Share of operating surplus/(deficit) in joint ventures or associates]] )</f>
        <v>12558</v>
      </c>
      <c r="CF54" s="84" vm="13505">
        <v>12558</v>
      </c>
      <c r="CG54" s="84" vm="18474">
        <v>0</v>
      </c>
      <c r="CH54" s="5" vm="18649">
        <f xml:space="preserve"> VfM_Metrics_2023_Entity[[#This Row],[Total assets less current liabilities]]</f>
        <v>429265</v>
      </c>
      <c r="CI54" s="135" vm="18649">
        <v>429265</v>
      </c>
      <c r="CJ54" s="140" vm="11238">
        <f xml:space="preserve"> VfM_Metrics_2023_Entity[[#This Row],[Total social housing units owned (Period end)]]</f>
        <v>10673</v>
      </c>
      <c r="CK54" s="141">
        <v>9.8094699113374841E-3</v>
      </c>
      <c r="CL54" s="69">
        <f xml:space="preserve"> -- ( VfM_Metrics_2023_Entity[[#This Row],[% Supported housing (excl. HOP)]] &gt; 0.3 )</f>
        <v>0</v>
      </c>
      <c r="CM54" s="9">
        <v>0.13223920015091492</v>
      </c>
      <c r="CN54" s="69">
        <f xml:space="preserve"> -- ( VfM_Metrics_2023_Entity[[#This Row],[% Housing for older people]] &gt; 0.3 )</f>
        <v>0</v>
      </c>
      <c r="CO54" s="9">
        <f xml:space="preserve"> VfM_Metrics_2023_Entity[[#This Row],[% Supported housing (excl. HOP)]] + VfM_Metrics_2023_Entity[[#This Row],[% Housing for older people]]</f>
        <v>0.14204867006225241</v>
      </c>
      <c r="CP54" s="69">
        <f xml:space="preserve"> -- ( VfM_Metrics_2023_Entity[[#This Row],[SH specialist in RSH analysis]] + VfM_Metrics_2023_Entity[[#This Row],[OP specialist in RSH analysis]] &gt; 0 )</f>
        <v>0</v>
      </c>
      <c r="CQ54" s="142">
        <f xml:space="preserve"> -- ( VfM_Metrics_2023_Entity[[#This Row],[% SH and OP]] &gt; 0.3 )</f>
        <v>0</v>
      </c>
      <c r="CR54" s="143" t="s">
        <v>143</v>
      </c>
      <c r="CS54" s="120"/>
      <c r="CT54" s="144" t="s">
        <v>151</v>
      </c>
      <c r="CU5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54" s="146">
        <v>0</v>
      </c>
      <c r="CW54" s="146">
        <v>0</v>
      </c>
      <c r="CX54" s="146">
        <v>0</v>
      </c>
      <c r="CY54" s="146">
        <v>0</v>
      </c>
      <c r="CZ54" s="146">
        <v>1</v>
      </c>
      <c r="DA54" s="146">
        <v>0</v>
      </c>
      <c r="DB54" s="146">
        <v>0</v>
      </c>
      <c r="DC54" s="146">
        <v>0</v>
      </c>
      <c r="DD54" s="146">
        <v>0</v>
      </c>
      <c r="DE54" s="126">
        <v>0.96459033333600952</v>
      </c>
    </row>
    <row r="55" spans="1:109" x14ac:dyDescent="0.25">
      <c r="A55" s="4" t="s" vm="228">
        <v>220</v>
      </c>
      <c r="B55" s="4" t="s" vm="10397">
        <v>221</v>
      </c>
      <c r="C55" s="121" vm="18790">
        <v>45016</v>
      </c>
      <c r="D55" s="68">
        <f>IFERROR( VfM_Metrics_2023_Entity[[#This Row],[Reinvestment Spend]] / VfM_Metrics_2023_Entity[[#This Row],[Net Book Value of Housing Properties]], "n/a" )</f>
        <v>3.4832701549115004E-2</v>
      </c>
      <c r="E5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2334</v>
      </c>
      <c r="F55" s="84" vm="10549">
        <v>930</v>
      </c>
      <c r="G55" s="84" vm="10697">
        <v>0</v>
      </c>
      <c r="H55" s="84" vm="10141">
        <v>1397</v>
      </c>
      <c r="I55" s="84" vm="10784">
        <v>7</v>
      </c>
      <c r="J55" s="84" vm="10235">
        <v>0</v>
      </c>
      <c r="K55" s="5">
        <f xml:space="preserve"> SUM( VfM_Metrics_2023_Entity[[#This Row],[Tangible fixed assets: Housing properties at cost (Current period)]],VfM_Metrics_2023_Entity[[#This Row],[Tangible fixed assets Housing properties at valuation (Current period)]] )</f>
        <v>67006</v>
      </c>
      <c r="L55" s="84" vm="9940">
        <v>67006</v>
      </c>
      <c r="M55" s="84" vm="10190">
        <v>0</v>
      </c>
      <c r="N55" s="134">
        <f xml:space="preserve"> IFERROR( VfM_Metrics_2023_Entity[[#This Row],[Total social units developed or newly built units acquired in-year]] / VfM_Metrics_2023_Entity[[#This Row],[Social housing units owned (period end)]], "n/a" )</f>
        <v>7.2411296162201303E-3</v>
      </c>
      <c r="O55" s="5">
        <f xml:space="preserve"> SUM( VfM_Metrics_2023_Entity[[#This Row],[Total social units developed or newly built units acquired in-year (owned)]], VfM_Metrics_2023_Entity[[#This Row],[Total social leasehold units developed or newly built units acquired in-year (owned)]] )</f>
        <v>10</v>
      </c>
      <c r="P55" s="84" vm="11010">
        <v>10</v>
      </c>
      <c r="Q55" s="84" vm="11145">
        <v>0</v>
      </c>
      <c r="R55" s="5">
        <f xml:space="preserve"> SUM( VfM_Metrics_2023_Entity[[#This Row],[Total social housing units owned (Period end)]], VfM_Metrics_2023_Entity[[#This Row],[Total social leasehold units owned (Period end)]] )</f>
        <v>1381</v>
      </c>
      <c r="S55" s="84" vm="11257">
        <v>1381</v>
      </c>
      <c r="T55" s="135" vm="11439">
        <v>0</v>
      </c>
      <c r="U55" s="136">
        <f xml:space="preserve"> IFERROR( VfM_Metrics_2023_Entity[[#This Row],[Total non-social housing units developed or newly built units acquired (owned)]] / VfM_Metrics_2023_Entity[[#This Row],[Total social and non-social housing units owned (Period end)]], "n/a" )</f>
        <v>0</v>
      </c>
      <c r="V5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55" s="84" vm="11635">
        <v>0</v>
      </c>
      <c r="X55" s="84" vm="11877">
        <v>0</v>
      </c>
      <c r="Y55" s="84" vm="11915">
        <v>0</v>
      </c>
      <c r="Z5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1381</v>
      </c>
      <c r="AA55" s="84" vm="11997">
        <v>1381</v>
      </c>
      <c r="AB55" s="84" vm="12182">
        <v>0</v>
      </c>
      <c r="AC55" s="84" vm="12083">
        <v>0</v>
      </c>
      <c r="AD55" s="135" vm="12247">
        <v>0</v>
      </c>
      <c r="AE55" s="134">
        <f xml:space="preserve"> IFERROR( VfM_Metrics_2023_Entity[[#This Row],[Total Net Debt]] / VfM_Metrics_2023_Entity[[#This Row],[Net Book Value of Housing Properties2]], "n/a" )</f>
        <v>0.3290899322448736</v>
      </c>
      <c r="AF5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22051</v>
      </c>
      <c r="AG55" s="84" vm="12638">
        <v>8</v>
      </c>
      <c r="AH55" s="84" vm="13235">
        <v>29524</v>
      </c>
      <c r="AI55" s="84" vm="13321">
        <v>7481</v>
      </c>
      <c r="AJ55" s="84" vm="12891">
        <v>0</v>
      </c>
      <c r="AK55" s="84" vm="12972">
        <v>0</v>
      </c>
      <c r="AL55" s="5">
        <f xml:space="preserve"> SUM( VfM_Metrics_2023_Entity[[#This Row],[Tangible fixed assets: Housing properties at cost (Current period)2]], VfM_Metrics_2023_Entity[[#This Row],[Tangible fixed assets Housing properties at valuation (Current period)2]] )</f>
        <v>67006</v>
      </c>
      <c r="AM55" s="84" vm="9940">
        <v>67006</v>
      </c>
      <c r="AN55" s="135" vm="10120">
        <v>0</v>
      </c>
      <c r="AO55" s="137">
        <f xml:space="preserve"> IFERROR( VfM_Metrics_2023_Entity[[#This Row],[EBITDA MRI]] / VfM_Metrics_2023_Entity[[#This Row],[Total interest]], "n/a" )</f>
        <v>1.8472949389179756</v>
      </c>
      <c r="AP5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2117</v>
      </c>
      <c r="AQ55" s="84" vm="13543">
        <v>1813</v>
      </c>
      <c r="AR55" s="84" vm="14189">
        <v>68</v>
      </c>
      <c r="AS55" s="84" vm="14432">
        <v>0</v>
      </c>
      <c r="AT55" s="84" vm="14679">
        <v>327</v>
      </c>
      <c r="AU55" s="84" vm="14922">
        <v>0</v>
      </c>
      <c r="AV55" s="84" vm="13688">
        <v>174</v>
      </c>
      <c r="AW55" s="84" vm="13940">
        <v>1397</v>
      </c>
      <c r="AX55" s="84" vm="14190">
        <v>1922</v>
      </c>
      <c r="AY55" s="5">
        <f xml:space="preserve"> - SUM( VfM_Metrics_2023_Entity[[#This Row],[Interest capitalised]], VfM_Metrics_2023_Entity[[#This Row],[Interest payable and financing costs]] )</f>
        <v>1146</v>
      </c>
      <c r="AZ55" s="84" vm="15216">
        <v>-7</v>
      </c>
      <c r="BA55" s="135" vm="15387">
        <v>-1139</v>
      </c>
      <c r="BB55" s="138">
        <f xml:space="preserve"> IFERROR( ( VfM_Metrics_2023_Entity[[#This Row],[Total Costs]] / VfM_Metrics_2023_Entity[[#This Row],[Total units for costs]] ) * 1000, "n/a" )</f>
        <v>4014.2247510668562</v>
      </c>
      <c r="BC5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5644</v>
      </c>
      <c r="BD55" s="84" vm="16278">
        <v>1400</v>
      </c>
      <c r="BE55" s="84" vm="16071">
        <v>351</v>
      </c>
      <c r="BF55" s="84" vm="16778">
        <v>1087</v>
      </c>
      <c r="BG55" s="84" vm="16850">
        <v>489</v>
      </c>
      <c r="BH55" s="84" vm="17092">
        <v>877</v>
      </c>
      <c r="BI55" s="84" vm="15868">
        <v>0</v>
      </c>
      <c r="BJ55" s="84" vm="13940">
        <v>1397</v>
      </c>
      <c r="BK55" s="84" vm="16390">
        <v>-208</v>
      </c>
      <c r="BL55" s="84" vm="16073">
        <v>251</v>
      </c>
      <c r="BM55" s="84" vm="16777">
        <v>0</v>
      </c>
      <c r="BN55" s="84" vm="17018">
        <v>0</v>
      </c>
      <c r="BO55" s="84" vm="16072">
        <v>0</v>
      </c>
      <c r="BP55" s="5" vm="17795">
        <f xml:space="preserve"> VfM_Metrics_2023_Entity[[#This Row],[Total social housing units owned and/or managed at period end]]</f>
        <v>1406</v>
      </c>
      <c r="BQ55" s="135" vm="17795">
        <v>1406</v>
      </c>
      <c r="BR55" s="134">
        <f xml:space="preserve"> IFERROR( VfM_Metrics_2023_Entity[[#This Row],[SHL operating surplus / (deficit)]] / VfM_Metrics_2023_Entity[[#This Row],[Turnover from social housing lettings]], "n/a" )</f>
        <v>0.24533437013996889</v>
      </c>
      <c r="BS55" s="5" vm="17951">
        <f xml:space="preserve"> VfM_Metrics_2023_Entity[[#This Row],[Operating surplus/(deficit) (social housing lettings)]]</f>
        <v>1893</v>
      </c>
      <c r="BT55" s="84" vm="17951">
        <v>1893</v>
      </c>
      <c r="BU55" s="5" vm="18125">
        <f xml:space="preserve"> VfM_Metrics_2023_Entity[[#This Row],[Turnover from social housing lettings]]</f>
        <v>7716</v>
      </c>
      <c r="BV55" s="135" vm="18125">
        <v>7716</v>
      </c>
      <c r="BW55" s="134">
        <f xml:space="preserve"> IFERROR( VfM_Metrics_2023_Entity[[#This Row],[Net operating surplus]] / VfM_Metrics_2023_Entity[[#This Row],[Overall turnover]], "n/a" )</f>
        <v>0.22317431896661977</v>
      </c>
      <c r="BX55" s="5">
        <f xml:space="preserve"> SUM( VfM_Metrics_2023_Entity[[#This Row],[Operating surplus/(deficit) (overall)2]], - VfM_Metrics_2023_Entity[[#This Row],[Gain/(loss) on disposal of fixed assets (housing properties)2]], - VfM_Metrics_2023_Entity[[#This Row],[Gain/(loss) on disposal of fixed assets (other)2]] )</f>
        <v>1745</v>
      </c>
      <c r="BY55" s="84" vm="13543">
        <v>1813</v>
      </c>
      <c r="BZ55" s="84" vm="14189">
        <v>68</v>
      </c>
      <c r="CA55" s="84" vm="14432">
        <v>0</v>
      </c>
      <c r="CB55" s="5" vm="18300">
        <f xml:space="preserve"> VfM_Metrics_2023_Entity[[#This Row],[Turnover (overall)]]</f>
        <v>7819</v>
      </c>
      <c r="CC55" s="135" vm="18300">
        <v>7819</v>
      </c>
      <c r="CD55" s="134">
        <f xml:space="preserve"> IFERROR( VfM_Metrics_2023_Entity[[#This Row],[Operating surplus including from JVs]] / VfM_Metrics_2023_Entity[[#This Row],[Net assets]], "n/a" )</f>
        <v>2.3612920031258141E-2</v>
      </c>
      <c r="CE55" s="5">
        <f xml:space="preserve"> SUM( VfM_Metrics_2023_Entity[[#This Row],[Operating surplus/(deficit) (overall)3]], VfM_Metrics_2023_Entity[[#This Row],[Share of operating surplus/(deficit) in joint ventures or associates]] )</f>
        <v>1813</v>
      </c>
      <c r="CF55" s="84" vm="13544">
        <v>1813</v>
      </c>
      <c r="CG55" s="84" vm="18494">
        <v>0</v>
      </c>
      <c r="CH55" s="5" vm="18687">
        <f xml:space="preserve"> VfM_Metrics_2023_Entity[[#This Row],[Total assets less current liabilities]]</f>
        <v>76780</v>
      </c>
      <c r="CI55" s="135" vm="18687">
        <v>76780</v>
      </c>
      <c r="CJ55" s="140" vm="11257">
        <f xml:space="preserve"> VfM_Metrics_2023_Entity[[#This Row],[Total social housing units owned (Period end)]]</f>
        <v>1381</v>
      </c>
      <c r="CK55" s="141">
        <v>0</v>
      </c>
      <c r="CL55" s="69">
        <f xml:space="preserve"> -- ( VfM_Metrics_2023_Entity[[#This Row],[% Supported housing (excl. HOP)]] &gt; 0.3 )</f>
        <v>0</v>
      </c>
      <c r="CM55" s="9">
        <v>0</v>
      </c>
      <c r="CN55" s="69">
        <f xml:space="preserve"> -- ( VfM_Metrics_2023_Entity[[#This Row],[% Housing for older people]] &gt; 0.3 )</f>
        <v>0</v>
      </c>
      <c r="CO55" s="9">
        <f xml:space="preserve"> VfM_Metrics_2023_Entity[[#This Row],[% Supported housing (excl. HOP)]] + VfM_Metrics_2023_Entity[[#This Row],[% Housing for older people]]</f>
        <v>0</v>
      </c>
      <c r="CP55" s="69">
        <f xml:space="preserve"> -- ( VfM_Metrics_2023_Entity[[#This Row],[SH specialist in RSH analysis]] + VfM_Metrics_2023_Entity[[#This Row],[OP specialist in RSH analysis]] &gt; 0 )</f>
        <v>0</v>
      </c>
      <c r="CQ55" s="142">
        <f xml:space="preserve"> -- ( VfM_Metrics_2023_Entity[[#This Row],[% SH and OP]] &gt; 0.3 )</f>
        <v>0</v>
      </c>
      <c r="CR55" s="143" t="s">
        <v>143</v>
      </c>
      <c r="CS55" s="120"/>
      <c r="CT55" s="144" t="s">
        <v>144</v>
      </c>
      <c r="CU5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55" s="146">
        <v>0</v>
      </c>
      <c r="CW55" s="146">
        <v>0</v>
      </c>
      <c r="CX55" s="146">
        <v>1</v>
      </c>
      <c r="CY55" s="146">
        <v>0</v>
      </c>
      <c r="CZ55" s="146">
        <v>0</v>
      </c>
      <c r="DA55" s="146">
        <v>0</v>
      </c>
      <c r="DB55" s="146">
        <v>0</v>
      </c>
      <c r="DC55" s="146">
        <v>0</v>
      </c>
      <c r="DD55" s="146">
        <v>0</v>
      </c>
      <c r="DE55" s="126">
        <v>0.97511902715076015</v>
      </c>
    </row>
    <row r="56" spans="1:109" x14ac:dyDescent="0.25">
      <c r="A56" s="4" t="s" vm="390">
        <v>222</v>
      </c>
      <c r="B56" s="4" t="s" vm="10413">
        <v>223</v>
      </c>
      <c r="C56" s="121" vm="18836">
        <v>45016</v>
      </c>
      <c r="D56" s="68">
        <f>IFERROR( VfM_Metrics_2023_Entity[[#This Row],[Reinvestment Spend]] / VfM_Metrics_2023_Entity[[#This Row],[Net Book Value of Housing Properties]], "n/a" )</f>
        <v>8.6260874726122594E-2</v>
      </c>
      <c r="E5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34882</v>
      </c>
      <c r="F56" s="84" vm="9435">
        <v>177</v>
      </c>
      <c r="G56" s="84" vm="9711">
        <v>29632</v>
      </c>
      <c r="H56" s="84" vm="9782">
        <v>4445</v>
      </c>
      <c r="I56" s="84" vm="9481">
        <v>628</v>
      </c>
      <c r="J56" s="84" vm="9545">
        <v>0</v>
      </c>
      <c r="K56" s="5">
        <f xml:space="preserve"> SUM( VfM_Metrics_2023_Entity[[#This Row],[Tangible fixed assets: Housing properties at cost (Current period)]],VfM_Metrics_2023_Entity[[#This Row],[Tangible fixed assets Housing properties at valuation (Current period)]] )</f>
        <v>404378</v>
      </c>
      <c r="L56" s="84" vm="9959">
        <v>404378</v>
      </c>
      <c r="M56" s="84" vm="10332">
        <v>0</v>
      </c>
      <c r="N56" s="134">
        <f xml:space="preserve"> IFERROR( VfM_Metrics_2023_Entity[[#This Row],[Total social units developed or newly built units acquired in-year]] / VfM_Metrics_2023_Entity[[#This Row],[Social housing units owned (period end)]], "n/a" )</f>
        <v>3.8510677130863299E-2</v>
      </c>
      <c r="O56" s="5">
        <f xml:space="preserve"> SUM( VfM_Metrics_2023_Entity[[#This Row],[Total social units developed or newly built units acquired in-year (owned)]], VfM_Metrics_2023_Entity[[#This Row],[Total social leasehold units developed or newly built units acquired in-year (owned)]] )</f>
        <v>211</v>
      </c>
      <c r="P56" s="84" vm="11045">
        <v>211</v>
      </c>
      <c r="Q56" s="84">
        <v>0</v>
      </c>
      <c r="R56" s="5">
        <f xml:space="preserve"> SUM( VfM_Metrics_2023_Entity[[#This Row],[Total social housing units owned (Period end)]], VfM_Metrics_2023_Entity[[#This Row],[Total social leasehold units owned (Period end)]] )</f>
        <v>5479</v>
      </c>
      <c r="S56" s="84" vm="11290">
        <v>5338</v>
      </c>
      <c r="T56" s="135" vm="11453">
        <v>141</v>
      </c>
      <c r="U56" s="136">
        <f xml:space="preserve"> IFERROR( VfM_Metrics_2023_Entity[[#This Row],[Total non-social housing units developed or newly built units acquired (owned)]] / VfM_Metrics_2023_Entity[[#This Row],[Total social and non-social housing units owned (Period end)]], "n/a" )</f>
        <v>0</v>
      </c>
      <c r="V5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56" s="84">
        <v>0</v>
      </c>
      <c r="X56" s="84">
        <v>0</v>
      </c>
      <c r="Y56" s="84">
        <v>0</v>
      </c>
      <c r="Z5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5479</v>
      </c>
      <c r="AA56" s="84" vm="11270">
        <v>5338</v>
      </c>
      <c r="AB56" s="84" vm="12427">
        <v>141</v>
      </c>
      <c r="AC56" s="84" vm="12342">
        <v>0</v>
      </c>
      <c r="AD56" s="135" vm="12488">
        <v>0</v>
      </c>
      <c r="AE56" s="134">
        <f xml:space="preserve"> IFERROR( VfM_Metrics_2023_Entity[[#This Row],[Total Net Debt]] / VfM_Metrics_2023_Entity[[#This Row],[Net Book Value of Housing Properties2]], "n/a" )</f>
        <v>0.59100148870611158</v>
      </c>
      <c r="AF5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238988</v>
      </c>
      <c r="AG56" s="84" vm="12660">
        <v>0</v>
      </c>
      <c r="AH56" s="84" vm="12729">
        <v>247970</v>
      </c>
      <c r="AI56" s="84" vm="13154">
        <v>8982</v>
      </c>
      <c r="AJ56" s="84" vm="13197">
        <v>0</v>
      </c>
      <c r="AK56" s="84" vm="13282">
        <v>0</v>
      </c>
      <c r="AL56" s="5">
        <f xml:space="preserve"> SUM( VfM_Metrics_2023_Entity[[#This Row],[Tangible fixed assets: Housing properties at cost (Current period)2]], VfM_Metrics_2023_Entity[[#This Row],[Tangible fixed assets Housing properties at valuation (Current period)2]] )</f>
        <v>404378</v>
      </c>
      <c r="AM56" s="84" vm="9959">
        <v>404378</v>
      </c>
      <c r="AN56" s="135" vm="10130">
        <v>0</v>
      </c>
      <c r="AO56" s="137">
        <f xml:space="preserve"> IFERROR( VfM_Metrics_2023_Entity[[#This Row],[EBITDA MRI]] / VfM_Metrics_2023_Entity[[#This Row],[Total interest]], "n/a" )</f>
        <v>1.3739823163792348</v>
      </c>
      <c r="AP5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15695</v>
      </c>
      <c r="AQ56" s="84" vm="13584">
        <v>14353</v>
      </c>
      <c r="AR56" s="84" vm="14433">
        <v>1208</v>
      </c>
      <c r="AS56" s="84" vm="14680">
        <v>0</v>
      </c>
      <c r="AT56" s="84" vm="14923">
        <v>76</v>
      </c>
      <c r="AU56" s="84" vm="13689">
        <v>0</v>
      </c>
      <c r="AV56" s="84" vm="13941">
        <v>282</v>
      </c>
      <c r="AW56" s="84" vm="14191">
        <v>4445</v>
      </c>
      <c r="AX56" s="84" vm="14434">
        <v>6789</v>
      </c>
      <c r="AY56" s="5">
        <f xml:space="preserve"> - SUM( VfM_Metrics_2023_Entity[[#This Row],[Interest capitalised]], VfM_Metrics_2023_Entity[[#This Row],[Interest payable and financing costs]] )</f>
        <v>11423</v>
      </c>
      <c r="AZ56" s="84" vm="15240">
        <v>-628</v>
      </c>
      <c r="BA56" s="135" vm="15413">
        <v>-10795</v>
      </c>
      <c r="BB56" s="138">
        <f xml:space="preserve"> IFERROR( ( VfM_Metrics_2023_Entity[[#This Row],[Total Costs]] / VfM_Metrics_2023_Entity[[#This Row],[Total units for costs]] ) * 1000, "n/a" )</f>
        <v>3817.6754548830304</v>
      </c>
      <c r="BC5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20562</v>
      </c>
      <c r="BD56" s="84" vm="15541">
        <v>6185</v>
      </c>
      <c r="BE56" s="84" vm="16067">
        <v>1341</v>
      </c>
      <c r="BF56" s="84" vm="15857">
        <v>3582</v>
      </c>
      <c r="BG56" s="84" vm="16281">
        <v>2557</v>
      </c>
      <c r="BH56" s="84" vm="16610">
        <v>919</v>
      </c>
      <c r="BI56" s="84" vm="16779">
        <v>0</v>
      </c>
      <c r="BJ56" s="84" vm="14191">
        <v>4445</v>
      </c>
      <c r="BK56" s="84" vm="15791">
        <v>847</v>
      </c>
      <c r="BL56" s="84">
        <v>0</v>
      </c>
      <c r="BM56" s="84">
        <v>0</v>
      </c>
      <c r="BN56" s="84" vm="16075">
        <v>686</v>
      </c>
      <c r="BO56" s="84">
        <v>0</v>
      </c>
      <c r="BP56" s="5" vm="17693">
        <f xml:space="preserve"> VfM_Metrics_2023_Entity[[#This Row],[Total social housing units owned and/or managed at period end]]</f>
        <v>5386</v>
      </c>
      <c r="BQ56" s="135" vm="17693">
        <v>5386</v>
      </c>
      <c r="BR56" s="134">
        <f xml:space="preserve"> IFERROR( VfM_Metrics_2023_Entity[[#This Row],[SHL operating surplus / (deficit)]] / VfM_Metrics_2023_Entity[[#This Row],[Turnover from social housing lettings]], "n/a" )</f>
        <v>0.33831747006447649</v>
      </c>
      <c r="BS56" s="5" vm="17987">
        <f xml:space="preserve"> VfM_Metrics_2023_Entity[[#This Row],[Operating surplus/(deficit) (social housing lettings)]]</f>
        <v>11019</v>
      </c>
      <c r="BT56" s="84" vm="17987">
        <v>11019</v>
      </c>
      <c r="BU56" s="5" vm="18165">
        <f xml:space="preserve"> VfM_Metrics_2023_Entity[[#This Row],[Turnover from social housing lettings]]</f>
        <v>32570</v>
      </c>
      <c r="BV56" s="135" vm="18165">
        <v>32570</v>
      </c>
      <c r="BW56" s="134">
        <f xml:space="preserve"> IFERROR( VfM_Metrics_2023_Entity[[#This Row],[Net operating surplus]] / VfM_Metrics_2023_Entity[[#This Row],[Overall turnover]], "n/a" )</f>
        <v>0.33668007069128908</v>
      </c>
      <c r="BX56" s="5">
        <f xml:space="preserve"> SUM( VfM_Metrics_2023_Entity[[#This Row],[Operating surplus/(deficit) (overall)2]], - VfM_Metrics_2023_Entity[[#This Row],[Gain/(loss) on disposal of fixed assets (housing properties)2]], - VfM_Metrics_2023_Entity[[#This Row],[Gain/(loss) on disposal of fixed assets (other)2]] )</f>
        <v>13145</v>
      </c>
      <c r="BY56" s="84" vm="13584">
        <v>14353</v>
      </c>
      <c r="BZ56" s="84" vm="14433">
        <v>1208</v>
      </c>
      <c r="CA56" s="84" vm="14680">
        <v>0</v>
      </c>
      <c r="CB56" s="5" vm="18323">
        <f xml:space="preserve"> VfM_Metrics_2023_Entity[[#This Row],[Turnover (overall)]]</f>
        <v>39043</v>
      </c>
      <c r="CC56" s="135" vm="18323">
        <v>39043</v>
      </c>
      <c r="CD56" s="134">
        <f xml:space="preserve"> IFERROR( VfM_Metrics_2023_Entity[[#This Row],[Operating surplus including from JVs]] / VfM_Metrics_2023_Entity[[#This Row],[Net assets]], "n/a" )</f>
        <v>3.5124856838004245E-2</v>
      </c>
      <c r="CE56" s="5">
        <f xml:space="preserve"> SUM( VfM_Metrics_2023_Entity[[#This Row],[Operating surplus/(deficit) (overall)3]], VfM_Metrics_2023_Entity[[#This Row],[Share of operating surplus/(deficit) in joint ventures or associates]] )</f>
        <v>14353</v>
      </c>
      <c r="CF56" s="84" vm="13584">
        <v>14353</v>
      </c>
      <c r="CG56" s="84" vm="18512">
        <v>0</v>
      </c>
      <c r="CH56" s="5" vm="18711">
        <f xml:space="preserve"> VfM_Metrics_2023_Entity[[#This Row],[Total assets less current liabilities]]</f>
        <v>408628</v>
      </c>
      <c r="CI56" s="135" vm="18711">
        <v>408628</v>
      </c>
      <c r="CJ56" s="140" vm="11290">
        <f xml:space="preserve"> VfM_Metrics_2023_Entity[[#This Row],[Total social housing units owned (Period end)]]</f>
        <v>5338</v>
      </c>
      <c r="CK56" s="141">
        <v>0</v>
      </c>
      <c r="CL56" s="69">
        <f xml:space="preserve"> -- ( VfM_Metrics_2023_Entity[[#This Row],[% Supported housing (excl. HOP)]] &gt; 0.3 )</f>
        <v>0</v>
      </c>
      <c r="CM56" s="9">
        <v>0</v>
      </c>
      <c r="CN56" s="69">
        <f xml:space="preserve"> -- ( VfM_Metrics_2023_Entity[[#This Row],[% Housing for older people]] &gt; 0.3 )</f>
        <v>0</v>
      </c>
      <c r="CO56" s="9">
        <f xml:space="preserve"> VfM_Metrics_2023_Entity[[#This Row],[% Supported housing (excl. HOP)]] + VfM_Metrics_2023_Entity[[#This Row],[% Housing for older people]]</f>
        <v>0</v>
      </c>
      <c r="CP56" s="69">
        <f xml:space="preserve"> -- ( VfM_Metrics_2023_Entity[[#This Row],[SH specialist in RSH analysis]] + VfM_Metrics_2023_Entity[[#This Row],[OP specialist in RSH analysis]] &gt; 0 )</f>
        <v>0</v>
      </c>
      <c r="CQ56" s="142">
        <f xml:space="preserve"> -- ( VfM_Metrics_2023_Entity[[#This Row],[% SH and OP]] &gt; 0.3 )</f>
        <v>0</v>
      </c>
      <c r="CR56" s="143" t="s">
        <v>143</v>
      </c>
      <c r="CS56" s="120"/>
      <c r="CT56" s="144" t="s">
        <v>151</v>
      </c>
      <c r="CU5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56" s="146">
        <v>0</v>
      </c>
      <c r="CW56" s="146">
        <v>0.8049831397527164</v>
      </c>
      <c r="CX56" s="146">
        <v>0.17853128512551517</v>
      </c>
      <c r="CY56" s="146">
        <v>0</v>
      </c>
      <c r="CZ56" s="146">
        <v>1.6485575121768452E-2</v>
      </c>
      <c r="DA56" s="146">
        <v>0</v>
      </c>
      <c r="DB56" s="146">
        <v>0</v>
      </c>
      <c r="DC56" s="146">
        <v>0</v>
      </c>
      <c r="DD56" s="146">
        <v>0</v>
      </c>
      <c r="DE56" s="126">
        <v>1.0221122600603831</v>
      </c>
    </row>
    <row r="57" spans="1:109" x14ac:dyDescent="0.25">
      <c r="A57" s="4" t="s" vm="302">
        <v>224</v>
      </c>
      <c r="B57" s="4" t="s" vm="9344">
        <v>225</v>
      </c>
      <c r="C57" s="121" vm="18852">
        <v>45016</v>
      </c>
      <c r="D57" s="68">
        <f>IFERROR( VfM_Metrics_2023_Entity[[#This Row],[Reinvestment Spend]] / VfM_Metrics_2023_Entity[[#This Row],[Net Book Value of Housing Properties]], "n/a" )</f>
        <v>0.12728642930269593</v>
      </c>
      <c r="E5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89518</v>
      </c>
      <c r="F57" s="84" vm="10607">
        <v>77889</v>
      </c>
      <c r="G57" s="84" vm="10295">
        <v>104</v>
      </c>
      <c r="H57" s="84" vm="10882">
        <v>9753</v>
      </c>
      <c r="I57" s="84" vm="10683">
        <v>1772</v>
      </c>
      <c r="J57" s="84" vm="10392">
        <v>0</v>
      </c>
      <c r="K57" s="5">
        <f xml:space="preserve"> SUM( VfM_Metrics_2023_Entity[[#This Row],[Tangible fixed assets: Housing properties at cost (Current period)]],VfM_Metrics_2023_Entity[[#This Row],[Tangible fixed assets Housing properties at valuation (Current period)]] )</f>
        <v>703280</v>
      </c>
      <c r="L57" s="84" vm="10495">
        <v>703280</v>
      </c>
      <c r="M57" s="84" vm="10146">
        <v>0</v>
      </c>
      <c r="N57" s="134">
        <f xml:space="preserve"> IFERROR( VfM_Metrics_2023_Entity[[#This Row],[Total social units developed or newly built units acquired in-year]] / VfM_Metrics_2023_Entity[[#This Row],[Social housing units owned (period end)]], "n/a" )</f>
        <v>1.8152085036794767E-2</v>
      </c>
      <c r="O57" s="5">
        <f xml:space="preserve"> SUM( VfM_Metrics_2023_Entity[[#This Row],[Total social units developed or newly built units acquired in-year (owned)]], VfM_Metrics_2023_Entity[[#This Row],[Total social leasehold units developed or newly built units acquired in-year (owned)]] )</f>
        <v>222</v>
      </c>
      <c r="P57" s="84" vm="11064">
        <v>222</v>
      </c>
      <c r="Q57" s="84" vm="11187">
        <v>0</v>
      </c>
      <c r="R57" s="5">
        <f xml:space="preserve"> SUM( VfM_Metrics_2023_Entity[[#This Row],[Total social housing units owned (Period end)]], VfM_Metrics_2023_Entity[[#This Row],[Total social leasehold units owned (Period end)]] )</f>
        <v>12230</v>
      </c>
      <c r="S57" s="84" vm="11344">
        <v>12230</v>
      </c>
      <c r="T57" s="135" vm="11489">
        <v>0</v>
      </c>
      <c r="U57" s="136">
        <f xml:space="preserve"> IFERROR( VfM_Metrics_2023_Entity[[#This Row],[Total non-social housing units developed or newly built units acquired (owned)]] / VfM_Metrics_2023_Entity[[#This Row],[Total social and non-social housing units owned (Period end)]], "n/a" )</f>
        <v>0</v>
      </c>
      <c r="V5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57" s="84" vm="11665">
        <v>0</v>
      </c>
      <c r="X57" s="84" vm="11788">
        <v>0</v>
      </c>
      <c r="Y57" s="84" vm="11827">
        <v>0</v>
      </c>
      <c r="Z5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13382</v>
      </c>
      <c r="AA57" s="84" vm="12041">
        <v>12230</v>
      </c>
      <c r="AB57" s="84" vm="12183">
        <v>0</v>
      </c>
      <c r="AC57" s="84" vm="12084">
        <v>88</v>
      </c>
      <c r="AD57" s="135" vm="12246">
        <v>1064</v>
      </c>
      <c r="AE57" s="134">
        <f xml:space="preserve"> IFERROR( VfM_Metrics_2023_Entity[[#This Row],[Total Net Debt]] / VfM_Metrics_2023_Entity[[#This Row],[Net Book Value of Housing Properties2]], "n/a" )</f>
        <v>0.57958281196678418</v>
      </c>
      <c r="AF5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407609</v>
      </c>
      <c r="AG57" s="84" vm="12686">
        <v>3857</v>
      </c>
      <c r="AH57" s="84" vm="12848">
        <v>409103</v>
      </c>
      <c r="AI57" s="84" vm="12931">
        <v>5351</v>
      </c>
      <c r="AJ57" s="84" vm="12730">
        <v>0</v>
      </c>
      <c r="AK57" s="84" vm="13110">
        <v>0</v>
      </c>
      <c r="AL57" s="5">
        <f xml:space="preserve"> SUM( VfM_Metrics_2023_Entity[[#This Row],[Tangible fixed assets: Housing properties at cost (Current period)2]], VfM_Metrics_2023_Entity[[#This Row],[Tangible fixed assets Housing properties at valuation (Current period)2]] )</f>
        <v>703280</v>
      </c>
      <c r="AM57" s="84" vm="13389">
        <v>703280</v>
      </c>
      <c r="AN57" s="135" vm="10146">
        <v>0</v>
      </c>
      <c r="AO57" s="137">
        <f xml:space="preserve"> IFERROR( VfM_Metrics_2023_Entity[[#This Row],[EBITDA MRI]] / VfM_Metrics_2023_Entity[[#This Row],[Total interest]], "n/a" )</f>
        <v>1.2566818694522093</v>
      </c>
      <c r="AP5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25625</v>
      </c>
      <c r="AQ57" s="84" vm="13598">
        <v>25043</v>
      </c>
      <c r="AR57" s="84" vm="14681">
        <v>4030</v>
      </c>
      <c r="AS57" s="84" vm="14924">
        <v>0</v>
      </c>
      <c r="AT57" s="84" vm="13690">
        <v>559</v>
      </c>
      <c r="AU57" s="84" vm="13942">
        <v>0</v>
      </c>
      <c r="AV57" s="84" vm="14192">
        <v>1385</v>
      </c>
      <c r="AW57" s="84" vm="14435">
        <v>9753</v>
      </c>
      <c r="AX57" s="84" vm="14682">
        <v>13539</v>
      </c>
      <c r="AY57" s="5">
        <f xml:space="preserve"> - SUM( VfM_Metrics_2023_Entity[[#This Row],[Interest capitalised]], VfM_Metrics_2023_Entity[[#This Row],[Interest payable and financing costs]] )</f>
        <v>20391</v>
      </c>
      <c r="AZ57" s="84" vm="15272">
        <v>-1772</v>
      </c>
      <c r="BA57" s="135" vm="15450">
        <v>-18619</v>
      </c>
      <c r="BB57" s="138">
        <f xml:space="preserve"> IFERROR( ( VfM_Metrics_2023_Entity[[#This Row],[Total Costs]] / VfM_Metrics_2023_Entity[[#This Row],[Total units for costs]] ) * 1000, "n/a" )</f>
        <v>3744.6842913735954</v>
      </c>
      <c r="BC5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46318</v>
      </c>
      <c r="BD57" s="84" vm="16611">
        <v>14382</v>
      </c>
      <c r="BE57" s="84" vm="15738">
        <v>6229</v>
      </c>
      <c r="BF57" s="84" vm="17019">
        <v>6957</v>
      </c>
      <c r="BG57" s="84" vm="17093">
        <v>6501</v>
      </c>
      <c r="BH57" s="84" vm="15858">
        <v>0</v>
      </c>
      <c r="BI57" s="84" vm="16283">
        <v>0</v>
      </c>
      <c r="BJ57" s="84" vm="17549">
        <v>9753</v>
      </c>
      <c r="BK57" s="84" vm="16392">
        <v>0</v>
      </c>
      <c r="BL57" s="84" vm="15869">
        <v>1148</v>
      </c>
      <c r="BM57" s="84" vm="16851">
        <v>1179</v>
      </c>
      <c r="BN57" s="84" vm="15860">
        <v>0</v>
      </c>
      <c r="BO57" s="84" vm="15792">
        <v>169</v>
      </c>
      <c r="BP57" s="5" vm="17729">
        <f xml:space="preserve"> VfM_Metrics_2023_Entity[[#This Row],[Total social housing units owned and/or managed at period end]]</f>
        <v>12369</v>
      </c>
      <c r="BQ57" s="135" vm="17729">
        <v>12369</v>
      </c>
      <c r="BR57" s="134">
        <f xml:space="preserve"> IFERROR( VfM_Metrics_2023_Entity[[#This Row],[SHL operating surplus / (deficit)]] / VfM_Metrics_2023_Entity[[#This Row],[Turnover from social housing lettings]], "n/a" )</f>
        <v>0.27766874175841028</v>
      </c>
      <c r="BS57" s="5" vm="18015">
        <f xml:space="preserve"> VfM_Metrics_2023_Entity[[#This Row],[Operating surplus/(deficit) (social housing lettings)]]</f>
        <v>18109</v>
      </c>
      <c r="BT57" s="84" vm="18015">
        <v>18109</v>
      </c>
      <c r="BU57" s="5" vm="18196">
        <f xml:space="preserve"> VfM_Metrics_2023_Entity[[#This Row],[Turnover from social housing lettings]]</f>
        <v>65218</v>
      </c>
      <c r="BV57" s="135" vm="18196">
        <v>65218</v>
      </c>
      <c r="BW57" s="134">
        <f xml:space="preserve"> IFERROR( VfM_Metrics_2023_Entity[[#This Row],[Net operating surplus]] / VfM_Metrics_2023_Entity[[#This Row],[Overall turnover]], "n/a" )</f>
        <v>0.2599460636350141</v>
      </c>
      <c r="BX57" s="5">
        <f xml:space="preserve"> SUM( VfM_Metrics_2023_Entity[[#This Row],[Operating surplus/(deficit) (overall)2]], - VfM_Metrics_2023_Entity[[#This Row],[Gain/(loss) on disposal of fixed assets (housing properties)2]], - VfM_Metrics_2023_Entity[[#This Row],[Gain/(loss) on disposal of fixed assets (other)2]] )</f>
        <v>21013</v>
      </c>
      <c r="BY57" s="84" vm="13598">
        <v>25043</v>
      </c>
      <c r="BZ57" s="84" vm="14681">
        <v>4030</v>
      </c>
      <c r="CA57" s="84" vm="14924">
        <v>0</v>
      </c>
      <c r="CB57" s="5" vm="18330">
        <f xml:space="preserve"> VfM_Metrics_2023_Entity[[#This Row],[Turnover (overall)]]</f>
        <v>80836</v>
      </c>
      <c r="CC57" s="135" vm="18330">
        <v>80836</v>
      </c>
      <c r="CD57" s="134">
        <f xml:space="preserve"> IFERROR( VfM_Metrics_2023_Entity[[#This Row],[Operating surplus including from JVs]] / VfM_Metrics_2023_Entity[[#This Row],[Net assets]], "n/a" )</f>
        <v>3.2875485885844886E-2</v>
      </c>
      <c r="CE57" s="5">
        <f xml:space="preserve"> SUM( VfM_Metrics_2023_Entity[[#This Row],[Operating surplus/(deficit) (overall)3]], VfM_Metrics_2023_Entity[[#This Row],[Share of operating surplus/(deficit) in joint ventures or associates]] )</f>
        <v>25043</v>
      </c>
      <c r="CF57" s="84" vm="13598">
        <v>25043</v>
      </c>
      <c r="CG57" s="84" vm="18533">
        <v>0</v>
      </c>
      <c r="CH57" s="5" vm="18738">
        <f xml:space="preserve"> VfM_Metrics_2023_Entity[[#This Row],[Total assets less current liabilities]]</f>
        <v>761753</v>
      </c>
      <c r="CI57" s="135" vm="18738">
        <v>761753</v>
      </c>
      <c r="CJ57" s="140" vm="11344">
        <f xml:space="preserve"> VfM_Metrics_2023_Entity[[#This Row],[Total social housing units owned (Period end)]]</f>
        <v>12230</v>
      </c>
      <c r="CK57" s="141">
        <v>9.4448094612352169E-3</v>
      </c>
      <c r="CL57" s="69">
        <f xml:space="preserve"> -- ( VfM_Metrics_2023_Entity[[#This Row],[% Supported housing (excl. HOP)]] &gt; 0.3 )</f>
        <v>0</v>
      </c>
      <c r="CM57" s="9">
        <v>9.2723390275952694E-2</v>
      </c>
      <c r="CN57" s="69">
        <f xml:space="preserve"> -- ( VfM_Metrics_2023_Entity[[#This Row],[% Housing for older people]] &gt; 0.3 )</f>
        <v>0</v>
      </c>
      <c r="CO57" s="9">
        <f xml:space="preserve"> VfM_Metrics_2023_Entity[[#This Row],[% Supported housing (excl. HOP)]] + VfM_Metrics_2023_Entity[[#This Row],[% Housing for older people]]</f>
        <v>0.10216819973718791</v>
      </c>
      <c r="CP57" s="69">
        <f xml:space="preserve"> -- ( VfM_Metrics_2023_Entity[[#This Row],[SH specialist in RSH analysis]] + VfM_Metrics_2023_Entity[[#This Row],[OP specialist in RSH analysis]] &gt; 0 )</f>
        <v>0</v>
      </c>
      <c r="CQ57" s="142">
        <f xml:space="preserve"> -- ( VfM_Metrics_2023_Entity[[#This Row],[% SH and OP]] &gt; 0.3 )</f>
        <v>0</v>
      </c>
      <c r="CR57" s="143" t="s">
        <v>143</v>
      </c>
      <c r="CS57" s="120"/>
      <c r="CT57" s="144" t="s">
        <v>151</v>
      </c>
      <c r="CU5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57" s="146">
        <v>0</v>
      </c>
      <c r="CW57" s="146">
        <v>2.4693376941946035E-2</v>
      </c>
      <c r="CX57" s="146">
        <v>0</v>
      </c>
      <c r="CY57" s="146">
        <v>2.5919869174161898E-2</v>
      </c>
      <c r="CZ57" s="146">
        <v>0</v>
      </c>
      <c r="DA57" s="146">
        <v>0.94938675388389204</v>
      </c>
      <c r="DB57" s="146">
        <v>0</v>
      </c>
      <c r="DC57" s="146">
        <v>0</v>
      </c>
      <c r="DD57" s="146">
        <v>0</v>
      </c>
      <c r="DE57" s="126">
        <v>1.0101324400329754</v>
      </c>
    </row>
    <row r="58" spans="1:109" x14ac:dyDescent="0.25">
      <c r="A58" s="4" t="s" vm="213">
        <v>226</v>
      </c>
      <c r="B58" s="4" t="s" vm="9363">
        <v>227</v>
      </c>
      <c r="C58" s="121" vm="18827">
        <v>45016</v>
      </c>
      <c r="D58" s="68">
        <f>IFERROR( VfM_Metrics_2023_Entity[[#This Row],[Reinvestment Spend]] / VfM_Metrics_2023_Entity[[#This Row],[Net Book Value of Housing Properties]], "n/a" )</f>
        <v>2.8887815498633829E-2</v>
      </c>
      <c r="E5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4007</v>
      </c>
      <c r="F58" s="84" vm="9385">
        <v>2621</v>
      </c>
      <c r="G58" s="84" vm="10802">
        <v>0</v>
      </c>
      <c r="H58" s="84" vm="9659">
        <v>1115</v>
      </c>
      <c r="I58" s="84" vm="10638">
        <v>271</v>
      </c>
      <c r="J58" s="84" vm="9800">
        <v>0</v>
      </c>
      <c r="K58" s="5">
        <f xml:space="preserve"> SUM( VfM_Metrics_2023_Entity[[#This Row],[Tangible fixed assets: Housing properties at cost (Current period)]],VfM_Metrics_2023_Entity[[#This Row],[Tangible fixed assets Housing properties at valuation (Current period)]] )</f>
        <v>138709</v>
      </c>
      <c r="L58" s="84" vm="10592">
        <v>138709</v>
      </c>
      <c r="M58" s="84" vm="10762">
        <v>0</v>
      </c>
      <c r="N58" s="134">
        <f xml:space="preserve"> IFERROR( VfM_Metrics_2023_Entity[[#This Row],[Total social units developed or newly built units acquired in-year]] / VfM_Metrics_2023_Entity[[#This Row],[Social housing units owned (period end)]], "n/a" )</f>
        <v>2.7333333333333334E-2</v>
      </c>
      <c r="O58" s="5">
        <f xml:space="preserve"> SUM( VfM_Metrics_2023_Entity[[#This Row],[Total social units developed or newly built units acquired in-year (owned)]], VfM_Metrics_2023_Entity[[#This Row],[Total social leasehold units developed or newly built units acquired in-year (owned)]] )</f>
        <v>41</v>
      </c>
      <c r="P58" s="84" vm="11084">
        <v>41</v>
      </c>
      <c r="Q58" s="84" vm="11205">
        <v>0</v>
      </c>
      <c r="R58" s="5">
        <f xml:space="preserve"> SUM( VfM_Metrics_2023_Entity[[#This Row],[Total social housing units owned (Period end)]], VfM_Metrics_2023_Entity[[#This Row],[Total social leasehold units owned (Period end)]] )</f>
        <v>1500</v>
      </c>
      <c r="S58" s="84" vm="11227">
        <v>1444</v>
      </c>
      <c r="T58" s="135" vm="11481">
        <v>56</v>
      </c>
      <c r="U58" s="136">
        <f xml:space="preserve"> IFERROR( VfM_Metrics_2023_Entity[[#This Row],[Total non-social housing units developed or newly built units acquired (owned)]] / VfM_Metrics_2023_Entity[[#This Row],[Total social and non-social housing units owned (Period end)]], "n/a" )</f>
        <v>0</v>
      </c>
      <c r="V5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58" s="84" vm="11566">
        <v>0</v>
      </c>
      <c r="X58" s="84" vm="11878">
        <v>0</v>
      </c>
      <c r="Y58" s="84" vm="11915">
        <v>0</v>
      </c>
      <c r="Z5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1541</v>
      </c>
      <c r="AA58" s="84" vm="11227">
        <v>1444</v>
      </c>
      <c r="AB58" s="84" vm="12428">
        <v>56</v>
      </c>
      <c r="AC58" s="84" vm="12343">
        <v>15</v>
      </c>
      <c r="AD58" s="135" vm="12488">
        <v>26</v>
      </c>
      <c r="AE58" s="134">
        <f xml:space="preserve"> IFERROR( VfM_Metrics_2023_Entity[[#This Row],[Total Net Debt]] / VfM_Metrics_2023_Entity[[#This Row],[Net Book Value of Housing Properties2]], "n/a" )</f>
        <v>0.41341225154820521</v>
      </c>
      <c r="AF5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57344</v>
      </c>
      <c r="AG58" s="84" vm="12556">
        <v>6034</v>
      </c>
      <c r="AH58" s="84" vm="13154">
        <v>59976</v>
      </c>
      <c r="AI58" s="84" vm="13236">
        <v>8666</v>
      </c>
      <c r="AJ58" s="84" vm="13322">
        <v>0</v>
      </c>
      <c r="AK58" s="84" vm="12892">
        <v>0</v>
      </c>
      <c r="AL58" s="5">
        <f xml:space="preserve"> SUM( VfM_Metrics_2023_Entity[[#This Row],[Tangible fixed assets: Housing properties at cost (Current period)2]], VfM_Metrics_2023_Entity[[#This Row],[Tangible fixed assets Housing properties at valuation (Current period)2]] )</f>
        <v>138709</v>
      </c>
      <c r="AM58" s="84" vm="9951">
        <v>138709</v>
      </c>
      <c r="AN58" s="135" vm="13420">
        <v>0</v>
      </c>
      <c r="AO58" s="137">
        <f xml:space="preserve"> IFERROR( VfM_Metrics_2023_Entity[[#This Row],[EBITDA MRI]] / VfM_Metrics_2023_Entity[[#This Row],[Total interest]], "n/a" )</f>
        <v>1.2168674698795181</v>
      </c>
      <c r="AP5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2323</v>
      </c>
      <c r="AQ58" s="84" vm="13436">
        <v>2192</v>
      </c>
      <c r="AR58" s="84" vm="14925">
        <v>76</v>
      </c>
      <c r="AS58" s="84" vm="13691">
        <v>0</v>
      </c>
      <c r="AT58" s="84" vm="13943">
        <v>730</v>
      </c>
      <c r="AU58" s="84" vm="14193">
        <v>0</v>
      </c>
      <c r="AV58" s="84" vm="14436">
        <v>337</v>
      </c>
      <c r="AW58" s="84" vm="14683">
        <v>1115</v>
      </c>
      <c r="AX58" s="84" vm="14926">
        <v>1715</v>
      </c>
      <c r="AY58" s="5">
        <f xml:space="preserve"> - SUM( VfM_Metrics_2023_Entity[[#This Row],[Interest capitalised]], VfM_Metrics_2023_Entity[[#This Row],[Interest payable and financing costs]] )</f>
        <v>1909</v>
      </c>
      <c r="AZ58" s="84" vm="15163">
        <v>-271</v>
      </c>
      <c r="BA58" s="135" vm="15482">
        <v>-1638</v>
      </c>
      <c r="BB58" s="138">
        <f xml:space="preserve"> IFERROR( ( VfM_Metrics_2023_Entity[[#This Row],[Total Costs]] / VfM_Metrics_2023_Entity[[#This Row],[Total units for costs]] ) * 1000, "n/a" )</f>
        <v>7254.9420586230408</v>
      </c>
      <c r="BC5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10643</v>
      </c>
      <c r="BD58" s="84" vm="15588">
        <v>4271</v>
      </c>
      <c r="BE58" s="84" vm="17311">
        <v>2581</v>
      </c>
      <c r="BF58" s="84" vm="15739">
        <v>2202</v>
      </c>
      <c r="BG58" s="84" vm="15794">
        <v>474</v>
      </c>
      <c r="BH58" s="84" vm="16611">
        <v>0</v>
      </c>
      <c r="BI58" s="84" vm="16069">
        <v>0</v>
      </c>
      <c r="BJ58" s="84" vm="16852">
        <v>1115</v>
      </c>
      <c r="BK58" s="84" vm="16286">
        <v>0</v>
      </c>
      <c r="BL58" s="84" vm="15740">
        <v>0</v>
      </c>
      <c r="BM58" s="84" vm="15871">
        <v>0</v>
      </c>
      <c r="BN58" s="84" vm="16393">
        <v>0</v>
      </c>
      <c r="BO58" s="84" vm="17235">
        <v>0</v>
      </c>
      <c r="BP58" s="5" vm="17761">
        <f xml:space="preserve"> VfM_Metrics_2023_Entity[[#This Row],[Total social housing units owned and/or managed at period end]]</f>
        <v>1467</v>
      </c>
      <c r="BQ58" s="135" vm="17761">
        <v>1467</v>
      </c>
      <c r="BR58" s="134">
        <f xml:space="preserve"> IFERROR( VfM_Metrics_2023_Entity[[#This Row],[SHL operating surplus / (deficit)]] / VfM_Metrics_2023_Entity[[#This Row],[Turnover from social housing lettings]], "n/a" )</f>
        <v>0.1475917258040163</v>
      </c>
      <c r="BS58" s="5" vm="17839">
        <f xml:space="preserve"> VfM_Metrics_2023_Entity[[#This Row],[Operating surplus/(deficit) (social housing lettings)]]</f>
        <v>1955</v>
      </c>
      <c r="BT58" s="84" vm="17839">
        <v>1955</v>
      </c>
      <c r="BU58" s="5" vm="18047">
        <f xml:space="preserve"> VfM_Metrics_2023_Entity[[#This Row],[Turnover from social housing lettings]]</f>
        <v>13246</v>
      </c>
      <c r="BV58" s="135" vm="18047">
        <v>13246</v>
      </c>
      <c r="BW58" s="134">
        <f xml:space="preserve"> IFERROR( VfM_Metrics_2023_Entity[[#This Row],[Net operating surplus]] / VfM_Metrics_2023_Entity[[#This Row],[Overall turnover]], "n/a" )</f>
        <v>0.14108547806374183</v>
      </c>
      <c r="BX58" s="5">
        <f xml:space="preserve"> SUM( VfM_Metrics_2023_Entity[[#This Row],[Operating surplus/(deficit) (overall)2]], - VfM_Metrics_2023_Entity[[#This Row],[Gain/(loss) on disposal of fixed assets (housing properties)2]], - VfM_Metrics_2023_Entity[[#This Row],[Gain/(loss) on disposal of fixed assets (other)2]] )</f>
        <v>2116</v>
      </c>
      <c r="BY58" s="84" vm="13509">
        <v>2192</v>
      </c>
      <c r="BZ58" s="84" vm="14925">
        <v>76</v>
      </c>
      <c r="CA58" s="84" vm="13691">
        <v>0</v>
      </c>
      <c r="CB58" s="5" vm="18250">
        <f xml:space="preserve"> VfM_Metrics_2023_Entity[[#This Row],[Turnover (overall)]]</f>
        <v>14998</v>
      </c>
      <c r="CC58" s="135" vm="18250">
        <v>14998</v>
      </c>
      <c r="CD58" s="134">
        <f xml:space="preserve"> IFERROR( VfM_Metrics_2023_Entity[[#This Row],[Operating surplus including from JVs]] / VfM_Metrics_2023_Entity[[#This Row],[Net assets]], "n/a" )</f>
        <v>1.5437598157629708E-2</v>
      </c>
      <c r="CE58" s="5">
        <f xml:space="preserve"> SUM( VfM_Metrics_2023_Entity[[#This Row],[Operating surplus/(deficit) (overall)3]], VfM_Metrics_2023_Entity[[#This Row],[Share of operating surplus/(deficit) in joint ventures or associates]] )</f>
        <v>2192</v>
      </c>
      <c r="CF58" s="84" vm="13436">
        <v>2192</v>
      </c>
      <c r="CG58" s="84" vm="18553">
        <v>0</v>
      </c>
      <c r="CH58" s="5" vm="18576">
        <f xml:space="preserve"> VfM_Metrics_2023_Entity[[#This Row],[Total assets less current liabilities]]</f>
        <v>141991</v>
      </c>
      <c r="CI58" s="135" vm="18576">
        <v>141991</v>
      </c>
      <c r="CJ58" s="140" vm="11227">
        <f xml:space="preserve"> VfM_Metrics_2023_Entity[[#This Row],[Total social housing units owned (Period end)]]</f>
        <v>1444</v>
      </c>
      <c r="CK58" s="141">
        <v>9.0845070422535215E-2</v>
      </c>
      <c r="CL58" s="69">
        <f xml:space="preserve"> -- ( VfM_Metrics_2023_Entity[[#This Row],[% Supported housing (excl. HOP)]] &gt; 0.3 )</f>
        <v>0</v>
      </c>
      <c r="CM58" s="9">
        <v>0.22323943661971832</v>
      </c>
      <c r="CN58" s="69">
        <f xml:space="preserve"> -- ( VfM_Metrics_2023_Entity[[#This Row],[% Housing for older people]] &gt; 0.3 )</f>
        <v>0</v>
      </c>
      <c r="CO58" s="9">
        <f xml:space="preserve"> VfM_Metrics_2023_Entity[[#This Row],[% Supported housing (excl. HOP)]] + VfM_Metrics_2023_Entity[[#This Row],[% Housing for older people]]</f>
        <v>0.31408450704225355</v>
      </c>
      <c r="CP58" s="69">
        <f xml:space="preserve"> -- ( VfM_Metrics_2023_Entity[[#This Row],[SH specialist in RSH analysis]] + VfM_Metrics_2023_Entity[[#This Row],[OP specialist in RSH analysis]] &gt; 0 )</f>
        <v>0</v>
      </c>
      <c r="CQ58" s="142">
        <f xml:space="preserve"> -- ( VfM_Metrics_2023_Entity[[#This Row],[% SH and OP]] &gt; 0.3 )</f>
        <v>1</v>
      </c>
      <c r="CR58" s="143" t="s">
        <v>143</v>
      </c>
      <c r="CS58" s="120"/>
      <c r="CT58" s="144" t="s">
        <v>144</v>
      </c>
      <c r="CU5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58" s="146">
        <v>1</v>
      </c>
      <c r="CW58" s="146">
        <v>0</v>
      </c>
      <c r="CX58" s="146">
        <v>0</v>
      </c>
      <c r="CY58" s="146">
        <v>0</v>
      </c>
      <c r="CZ58" s="146">
        <v>0</v>
      </c>
      <c r="DA58" s="146">
        <v>0</v>
      </c>
      <c r="DB58" s="146">
        <v>0</v>
      </c>
      <c r="DC58" s="146">
        <v>0</v>
      </c>
      <c r="DD58" s="146">
        <v>0</v>
      </c>
      <c r="DE58" s="126">
        <v>1.1603700449887588</v>
      </c>
    </row>
    <row r="59" spans="1:109" x14ac:dyDescent="0.25">
      <c r="A59" s="4" t="s" vm="9226">
        <v>568</v>
      </c>
      <c r="B59" s="4" t="s" vm="9285">
        <v>569</v>
      </c>
      <c r="C59" s="121" vm="18923">
        <v>45016</v>
      </c>
      <c r="D59" s="68">
        <f>IFERROR( VfM_Metrics_2023_Entity[[#This Row],[Reinvestment Spend]] / VfM_Metrics_2023_Entity[[#This Row],[Net Book Value of Housing Properties]], "n/a" )</f>
        <v>7.8246856781951535E-2</v>
      </c>
      <c r="E5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50547</v>
      </c>
      <c r="F59" s="84" vm="10733">
        <v>29776</v>
      </c>
      <c r="G59" s="84" vm="9546">
        <v>0</v>
      </c>
      <c r="H59" s="84" vm="9697">
        <v>17909</v>
      </c>
      <c r="I59" s="84" vm="10214">
        <v>2862</v>
      </c>
      <c r="J59" s="84" vm="9712">
        <v>0</v>
      </c>
      <c r="K59" s="5">
        <f xml:space="preserve"> SUM( VfM_Metrics_2023_Entity[[#This Row],[Tangible fixed assets: Housing properties at cost (Current period)]],VfM_Metrics_2023_Entity[[#This Row],[Tangible fixed assets Housing properties at valuation (Current period)]] )</f>
        <v>645994</v>
      </c>
      <c r="L59" s="84" vm="10722">
        <v>645994</v>
      </c>
      <c r="M59" s="84">
        <v>0</v>
      </c>
      <c r="N59" s="134">
        <f xml:space="preserve"> IFERROR( VfM_Metrics_2023_Entity[[#This Row],[Total social units developed or newly built units acquired in-year]] / VfM_Metrics_2023_Entity[[#This Row],[Social housing units owned (period end)]], "n/a" )</f>
        <v>1.3857355358960308E-2</v>
      </c>
      <c r="O59" s="5">
        <f xml:space="preserve"> SUM( VfM_Metrics_2023_Entity[[#This Row],[Total social units developed or newly built units acquired in-year (owned)]], VfM_Metrics_2023_Entity[[#This Row],[Total social leasehold units developed or newly built units acquired in-year (owned)]] )</f>
        <v>177</v>
      </c>
      <c r="P59" s="84" vm="10997">
        <v>177</v>
      </c>
      <c r="Q59" s="84">
        <v>0</v>
      </c>
      <c r="R59" s="5">
        <f xml:space="preserve"> SUM( VfM_Metrics_2023_Entity[[#This Row],[Total social housing units owned (Period end)]], VfM_Metrics_2023_Entity[[#This Row],[Total social leasehold units owned (Period end)]] )</f>
        <v>12773</v>
      </c>
      <c r="S59" s="84" vm="11302">
        <v>12773</v>
      </c>
      <c r="T59" s="135" vm="11412">
        <v>0</v>
      </c>
      <c r="U59" s="136">
        <f xml:space="preserve"> IFERROR( VfM_Metrics_2023_Entity[[#This Row],[Total non-social housing units developed or newly built units acquired (owned)]] / VfM_Metrics_2023_Entity[[#This Row],[Total social and non-social housing units owned (Period end)]], "n/a" )</f>
        <v>8.698803914461761E-4</v>
      </c>
      <c r="V5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12</v>
      </c>
      <c r="W59" s="84">
        <v>0</v>
      </c>
      <c r="X59" s="84" vm="11690">
        <v>12</v>
      </c>
      <c r="Y59" s="84" vm="11724">
        <v>0</v>
      </c>
      <c r="Z5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13795</v>
      </c>
      <c r="AA59" s="84" vm="11988">
        <v>12773</v>
      </c>
      <c r="AB59" s="84" vm="12184">
        <v>0</v>
      </c>
      <c r="AC59" s="84" vm="12085">
        <v>0</v>
      </c>
      <c r="AD59" s="135" vm="12248">
        <v>1022</v>
      </c>
      <c r="AE59" s="134">
        <f xml:space="preserve"> IFERROR( VfM_Metrics_2023_Entity[[#This Row],[Total Net Debt]] / VfM_Metrics_2023_Entity[[#This Row],[Net Book Value of Housing Properties2]], "n/a" )</f>
        <v>0.48312987427127807</v>
      </c>
      <c r="AF5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312099</v>
      </c>
      <c r="AG59" s="84" vm="12589">
        <v>5971</v>
      </c>
      <c r="AH59" s="84" vm="12731">
        <v>338908</v>
      </c>
      <c r="AI59" s="84" vm="13065">
        <v>32780</v>
      </c>
      <c r="AJ59" s="84">
        <v>0</v>
      </c>
      <c r="AK59" s="84">
        <v>0</v>
      </c>
      <c r="AL59" s="5">
        <f xml:space="preserve"> SUM( VfM_Metrics_2023_Entity[[#This Row],[Tangible fixed assets: Housing properties at cost (Current period)2]], VfM_Metrics_2023_Entity[[#This Row],[Tangible fixed assets Housing properties at valuation (Current period)2]] )</f>
        <v>645994</v>
      </c>
      <c r="AM59" s="84" vm="9939">
        <v>645994</v>
      </c>
      <c r="AN59" s="135">
        <v>0</v>
      </c>
      <c r="AO59" s="137">
        <f xml:space="preserve"> IFERROR( VfM_Metrics_2023_Entity[[#This Row],[EBITDA MRI]] / VfM_Metrics_2023_Entity[[#This Row],[Total interest]], "n/a" )</f>
        <v>1.261737089201878</v>
      </c>
      <c r="AP5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16125</v>
      </c>
      <c r="AQ59" s="84" vm="13474">
        <v>28570</v>
      </c>
      <c r="AR59" s="84" vm="13692">
        <v>6708</v>
      </c>
      <c r="AS59" s="84">
        <v>0</v>
      </c>
      <c r="AT59" s="84" vm="14194">
        <v>1333</v>
      </c>
      <c r="AU59" s="84" vm="14437">
        <v>0</v>
      </c>
      <c r="AV59" s="84" vm="14684">
        <v>1353</v>
      </c>
      <c r="AW59" s="84" vm="14927">
        <v>17909</v>
      </c>
      <c r="AX59" s="84" vm="13693">
        <v>12152</v>
      </c>
      <c r="AY59" s="5">
        <f xml:space="preserve"> - SUM( VfM_Metrics_2023_Entity[[#This Row],[Interest capitalised]], VfM_Metrics_2023_Entity[[#This Row],[Interest payable and financing costs]] )</f>
        <v>12780</v>
      </c>
      <c r="AZ59" s="84" vm="15152">
        <v>-2862</v>
      </c>
      <c r="BA59" s="135" vm="15318">
        <v>-9918</v>
      </c>
      <c r="BB59" s="138">
        <f xml:space="preserve"> IFERROR( ( VfM_Metrics_2023_Entity[[#This Row],[Total Costs]] / VfM_Metrics_2023_Entity[[#This Row],[Total units for costs]] ) * 1000, "n/a" )</f>
        <v>4899.7103264698972</v>
      </c>
      <c r="BC5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62584</v>
      </c>
      <c r="BD59" s="84" vm="15515">
        <v>10385</v>
      </c>
      <c r="BE59" s="84" vm="16853">
        <v>3866</v>
      </c>
      <c r="BF59" s="84" vm="16077">
        <v>16791</v>
      </c>
      <c r="BG59" s="84" vm="17094">
        <v>0</v>
      </c>
      <c r="BH59" s="84" vm="15796">
        <v>9561</v>
      </c>
      <c r="BI59" s="84" vm="15873">
        <v>0</v>
      </c>
      <c r="BJ59" s="84" vm="14927">
        <v>17909</v>
      </c>
      <c r="BK59" s="84" vm="15863">
        <v>3683</v>
      </c>
      <c r="BL59" s="84" vm="16288">
        <v>389</v>
      </c>
      <c r="BM59" s="84">
        <v>0</v>
      </c>
      <c r="BN59" s="84">
        <v>0</v>
      </c>
      <c r="BO59" s="84">
        <v>0</v>
      </c>
      <c r="BP59" s="5" vm="17623">
        <f xml:space="preserve"> VfM_Metrics_2023_Entity[[#This Row],[Total social housing units owned and/or managed at period end]]</f>
        <v>12773</v>
      </c>
      <c r="BQ59" s="135" vm="17623">
        <v>12773</v>
      </c>
      <c r="BR59" s="134">
        <f xml:space="preserve"> IFERROR( VfM_Metrics_2023_Entity[[#This Row],[SHL operating surplus / (deficit)]] / VfM_Metrics_2023_Entity[[#This Row],[Turnover from social housing lettings]], "n/a" )</f>
        <v>0.2505832322397451</v>
      </c>
      <c r="BS59" s="5" vm="17877">
        <f xml:space="preserve"> VfM_Metrics_2023_Entity[[#This Row],[Operating surplus/(deficit) (social housing lettings)]]</f>
        <v>18797</v>
      </c>
      <c r="BT59" s="84" vm="17877">
        <v>18797</v>
      </c>
      <c r="BU59" s="5" vm="18068">
        <f xml:space="preserve"> VfM_Metrics_2023_Entity[[#This Row],[Turnover from social housing lettings]]</f>
        <v>75013</v>
      </c>
      <c r="BV59" s="135" vm="18068">
        <v>75013</v>
      </c>
      <c r="BW59" s="134">
        <f xml:space="preserve"> IFERROR( VfM_Metrics_2023_Entity[[#This Row],[Net operating surplus]] / VfM_Metrics_2023_Entity[[#This Row],[Overall turnover]], "n/a" )</f>
        <v>0.25126425156307464</v>
      </c>
      <c r="BX59" s="5">
        <f xml:space="preserve"> SUM( VfM_Metrics_2023_Entity[[#This Row],[Operating surplus/(deficit) (overall)2]], - VfM_Metrics_2023_Entity[[#This Row],[Gain/(loss) on disposal of fixed assets (housing properties)2]], - VfM_Metrics_2023_Entity[[#This Row],[Gain/(loss) on disposal of fixed assets (other)2]] )</f>
        <v>21862</v>
      </c>
      <c r="BY59" s="84" vm="13474">
        <v>28570</v>
      </c>
      <c r="BZ59" s="84" vm="13692">
        <v>6708</v>
      </c>
      <c r="CA59" s="84">
        <v>0</v>
      </c>
      <c r="CB59" s="5" vm="18355">
        <f xml:space="preserve"> VfM_Metrics_2023_Entity[[#This Row],[Turnover (overall)]]</f>
        <v>87008</v>
      </c>
      <c r="CC59" s="135" vm="18355">
        <v>87008</v>
      </c>
      <c r="CD59" s="134">
        <f xml:space="preserve"> IFERROR( VfM_Metrics_2023_Entity[[#This Row],[Operating surplus including from JVs]] / VfM_Metrics_2023_Entity[[#This Row],[Net assets]], "n/a" )</f>
        <v>3.9118873726959297E-2</v>
      </c>
      <c r="CE59" s="5">
        <f xml:space="preserve"> SUM( VfM_Metrics_2023_Entity[[#This Row],[Operating surplus/(deficit) (overall)3]], VfM_Metrics_2023_Entity[[#This Row],[Share of operating surplus/(deficit) in joint ventures or associates]] )</f>
        <v>28570</v>
      </c>
      <c r="CF59" s="84" vm="18427">
        <v>28570</v>
      </c>
      <c r="CG59" s="84">
        <v>0</v>
      </c>
      <c r="CH59" s="5" vm="18614">
        <f xml:space="preserve"> VfM_Metrics_2023_Entity[[#This Row],[Total assets less current liabilities]]</f>
        <v>730338</v>
      </c>
      <c r="CI59" s="135" vm="18614">
        <v>730338</v>
      </c>
      <c r="CJ59" s="140" vm="11302">
        <f xml:space="preserve"> VfM_Metrics_2023_Entity[[#This Row],[Total social housing units owned (Period end)]]</f>
        <v>12773</v>
      </c>
      <c r="CK59" s="141">
        <v>1.7673395648417248E-2</v>
      </c>
      <c r="CL59" s="69">
        <f xml:space="preserve"> -- ( VfM_Metrics_2023_Entity[[#This Row],[% Supported housing (excl. HOP)]] &gt; 0.3 )</f>
        <v>0</v>
      </c>
      <c r="CM59" s="9">
        <v>0.14052313251119314</v>
      </c>
      <c r="CN59" s="69">
        <f xml:space="preserve"> -- ( VfM_Metrics_2023_Entity[[#This Row],[% Housing for older people]] &gt; 0.3 )</f>
        <v>0</v>
      </c>
      <c r="CO59" s="9">
        <f xml:space="preserve"> VfM_Metrics_2023_Entity[[#This Row],[% Supported housing (excl. HOP)]] + VfM_Metrics_2023_Entity[[#This Row],[% Housing for older people]]</f>
        <v>0.15819652815961038</v>
      </c>
      <c r="CP59" s="69">
        <f xml:space="preserve"> -- ( VfM_Metrics_2023_Entity[[#This Row],[SH specialist in RSH analysis]] + VfM_Metrics_2023_Entity[[#This Row],[OP specialist in RSH analysis]] &gt; 0 )</f>
        <v>0</v>
      </c>
      <c r="CQ59" s="142">
        <f xml:space="preserve"> -- ( VfM_Metrics_2023_Entity[[#This Row],[% SH and OP]] &gt; 0.3 )</f>
        <v>0</v>
      </c>
      <c r="CR59" s="143" t="s">
        <v>143</v>
      </c>
      <c r="CS59" s="120"/>
      <c r="CT59" s="144" t="s">
        <v>151</v>
      </c>
      <c r="CU5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59" s="146">
        <v>0</v>
      </c>
      <c r="CW59" s="146">
        <v>0</v>
      </c>
      <c r="CX59" s="146">
        <v>1</v>
      </c>
      <c r="CY59" s="146">
        <v>0</v>
      </c>
      <c r="CZ59" s="146">
        <v>0</v>
      </c>
      <c r="DA59" s="146">
        <v>0</v>
      </c>
      <c r="DB59" s="146">
        <v>0</v>
      </c>
      <c r="DC59" s="146">
        <v>0</v>
      </c>
      <c r="DD59" s="146">
        <v>0</v>
      </c>
      <c r="DE59" s="126">
        <v>0.97511902715076015</v>
      </c>
    </row>
    <row r="60" spans="1:109" x14ac:dyDescent="0.25">
      <c r="A60" s="4" t="s" vm="236">
        <v>230</v>
      </c>
      <c r="B60" s="4" t="s" vm="9263">
        <v>231</v>
      </c>
      <c r="C60" s="121" vm="18862">
        <v>45016</v>
      </c>
      <c r="D60" s="68">
        <f>IFERROR( VfM_Metrics_2023_Entity[[#This Row],[Reinvestment Spend]] / VfM_Metrics_2023_Entity[[#This Row],[Net Book Value of Housing Properties]], "n/a" )</f>
        <v>1.6219253658910374E-2</v>
      </c>
      <c r="E6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1270</v>
      </c>
      <c r="F60" s="84" vm="9766">
        <v>40</v>
      </c>
      <c r="G60" s="84" vm="10786">
        <v>0</v>
      </c>
      <c r="H60" s="84" vm="9564">
        <v>1230</v>
      </c>
      <c r="I60" s="84" vm="9606">
        <v>0</v>
      </c>
      <c r="J60" s="84" vm="9660">
        <v>0</v>
      </c>
      <c r="K60" s="5">
        <f xml:space="preserve"> SUM( VfM_Metrics_2023_Entity[[#This Row],[Tangible fixed assets: Housing properties at cost (Current period)]],VfM_Metrics_2023_Entity[[#This Row],[Tangible fixed assets Housing properties at valuation (Current period)]] )</f>
        <v>78302</v>
      </c>
      <c r="L60" s="84" vm="10240">
        <v>78302</v>
      </c>
      <c r="M60" s="84" vm="10615">
        <v>0</v>
      </c>
      <c r="N60" s="134">
        <f xml:space="preserve"> IFERROR( VfM_Metrics_2023_Entity[[#This Row],[Total social units developed or newly built units acquired in-year]] / VfM_Metrics_2023_Entity[[#This Row],[Social housing units owned (period end)]], "n/a" )</f>
        <v>0</v>
      </c>
      <c r="O60" s="5">
        <f xml:space="preserve"> SUM( VfM_Metrics_2023_Entity[[#This Row],[Total social units developed or newly built units acquired in-year (owned)]], VfM_Metrics_2023_Entity[[#This Row],[Total social leasehold units developed or newly built units acquired in-year (owned)]] )</f>
        <v>0</v>
      </c>
      <c r="P60" s="84" vm="10958">
        <v>0</v>
      </c>
      <c r="Q60" s="84" vm="11133">
        <v>0</v>
      </c>
      <c r="R60" s="5">
        <f xml:space="preserve"> SUM( VfM_Metrics_2023_Entity[[#This Row],[Total social housing units owned (Period end)]], VfM_Metrics_2023_Entity[[#This Row],[Total social leasehold units owned (Period end)]] )</f>
        <v>1800</v>
      </c>
      <c r="S60" s="84" vm="11245">
        <v>1784</v>
      </c>
      <c r="T60" s="135" vm="11462">
        <v>16</v>
      </c>
      <c r="U60" s="136">
        <f xml:space="preserve"> IFERROR( VfM_Metrics_2023_Entity[[#This Row],[Total non-social housing units developed or newly built units acquired (owned)]] / VfM_Metrics_2023_Entity[[#This Row],[Total social and non-social housing units owned (Period end)]], "n/a" )</f>
        <v>0</v>
      </c>
      <c r="V6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60" s="84" vm="11614">
        <v>0</v>
      </c>
      <c r="X60" s="84" vm="11788">
        <v>0</v>
      </c>
      <c r="Y60" s="84" vm="11828">
        <v>0</v>
      </c>
      <c r="Z6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1800</v>
      </c>
      <c r="AA60" s="84" vm="11966">
        <v>1784</v>
      </c>
      <c r="AB60" s="84" vm="12428">
        <v>16</v>
      </c>
      <c r="AC60" s="84" vm="12344">
        <v>0</v>
      </c>
      <c r="AD60" s="135" vm="12489">
        <v>0</v>
      </c>
      <c r="AE60" s="134">
        <f xml:space="preserve"> IFERROR( VfM_Metrics_2023_Entity[[#This Row],[Total Net Debt]] / VfM_Metrics_2023_Entity[[#This Row],[Net Book Value of Housing Properties2]], "n/a" )</f>
        <v>0.12159331817833516</v>
      </c>
      <c r="AF6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9521</v>
      </c>
      <c r="AG60" s="84" vm="12610">
        <v>834</v>
      </c>
      <c r="AH60" s="84" vm="13283">
        <v>17507</v>
      </c>
      <c r="AI60" s="84" vm="12849">
        <v>8820</v>
      </c>
      <c r="AJ60" s="84" vm="12732">
        <v>0</v>
      </c>
      <c r="AK60" s="84" vm="13025">
        <v>0</v>
      </c>
      <c r="AL60" s="5">
        <f xml:space="preserve"> SUM( VfM_Metrics_2023_Entity[[#This Row],[Tangible fixed assets: Housing properties at cost (Current period)2]], VfM_Metrics_2023_Entity[[#This Row],[Tangible fixed assets Housing properties at valuation (Current period)2]] )</f>
        <v>78302</v>
      </c>
      <c r="AM60" s="84" vm="9917">
        <v>78302</v>
      </c>
      <c r="AN60" s="135" vm="10104">
        <v>0</v>
      </c>
      <c r="AO60" s="137">
        <f xml:space="preserve"> IFERROR( VfM_Metrics_2023_Entity[[#This Row],[EBITDA MRI]] / VfM_Metrics_2023_Entity[[#This Row],[Total interest]], "n/a" )</f>
        <v>2.5971615720524017</v>
      </c>
      <c r="AP6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2379</v>
      </c>
      <c r="AQ60" s="84" vm="13506">
        <v>2105</v>
      </c>
      <c r="AR60" s="84" vm="13944">
        <v>92</v>
      </c>
      <c r="AS60" s="84" vm="14195">
        <v>0</v>
      </c>
      <c r="AT60" s="84" vm="14438">
        <v>437</v>
      </c>
      <c r="AU60" s="84" vm="14685">
        <v>14</v>
      </c>
      <c r="AV60" s="84" vm="14928">
        <v>77</v>
      </c>
      <c r="AW60" s="84" vm="13694">
        <v>1230</v>
      </c>
      <c r="AX60" s="84" vm="13945">
        <v>1970</v>
      </c>
      <c r="AY60" s="5">
        <f xml:space="preserve"> - SUM( VfM_Metrics_2023_Entity[[#This Row],[Interest capitalised]], VfM_Metrics_2023_Entity[[#This Row],[Interest payable and financing costs]] )</f>
        <v>916</v>
      </c>
      <c r="AZ60" s="84" vm="15193">
        <v>0</v>
      </c>
      <c r="BA60" s="135" vm="15355">
        <v>-916</v>
      </c>
      <c r="BB60" s="138">
        <f xml:space="preserve"> IFERROR( ( VfM_Metrics_2023_Entity[[#This Row],[Total Costs]] / VfM_Metrics_2023_Entity[[#This Row],[Total units for costs]] ) * 1000, "n/a" )</f>
        <v>3316.192560175055</v>
      </c>
      <c r="BC6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6062</v>
      </c>
      <c r="BD60" s="84" vm="17312">
        <v>1035</v>
      </c>
      <c r="BE60" s="84" vm="17551">
        <v>518</v>
      </c>
      <c r="BF60" s="84" vm="16392">
        <v>3137</v>
      </c>
      <c r="BG60" s="84" vm="16070">
        <v>95</v>
      </c>
      <c r="BH60" s="84" vm="16695">
        <v>0</v>
      </c>
      <c r="BI60" s="84" vm="15798">
        <v>7</v>
      </c>
      <c r="BJ60" s="84" vm="13694">
        <v>1230</v>
      </c>
      <c r="BK60" s="84" vm="17095">
        <v>0</v>
      </c>
      <c r="BL60" s="84" vm="15865">
        <v>0</v>
      </c>
      <c r="BM60" s="84" vm="16393">
        <v>0</v>
      </c>
      <c r="BN60" s="84" vm="15741">
        <v>40</v>
      </c>
      <c r="BO60" s="84" vm="17313">
        <v>0</v>
      </c>
      <c r="BP60" s="5" vm="17814">
        <f xml:space="preserve"> VfM_Metrics_2023_Entity[[#This Row],[Total social housing units owned and/or managed at period end]]</f>
        <v>1828</v>
      </c>
      <c r="BQ60" s="135" vm="17814">
        <v>1828</v>
      </c>
      <c r="BR60" s="134">
        <f xml:space="preserve"> IFERROR( VfM_Metrics_2023_Entity[[#This Row],[SHL operating surplus / (deficit)]] / VfM_Metrics_2023_Entity[[#This Row],[Turnover from social housing lettings]], "n/a" )</f>
        <v>0.2287087912087912</v>
      </c>
      <c r="BS60" s="5" vm="17914">
        <f xml:space="preserve"> VfM_Metrics_2023_Entity[[#This Row],[Operating surplus/(deficit) (social housing lettings)]]</f>
        <v>1998</v>
      </c>
      <c r="BT60" s="84" vm="17914">
        <v>1998</v>
      </c>
      <c r="BU60" s="5" vm="18109">
        <f xml:space="preserve"> VfM_Metrics_2023_Entity[[#This Row],[Turnover from social housing lettings]]</f>
        <v>8736</v>
      </c>
      <c r="BV60" s="135" vm="18109">
        <v>8736</v>
      </c>
      <c r="BW60" s="134">
        <f xml:space="preserve"> IFERROR( VfM_Metrics_2023_Entity[[#This Row],[Net operating surplus]] / VfM_Metrics_2023_Entity[[#This Row],[Overall turnover]], "n/a" )</f>
        <v>0.2289841883744739</v>
      </c>
      <c r="BX60" s="5">
        <f xml:space="preserve"> SUM( VfM_Metrics_2023_Entity[[#This Row],[Operating surplus/(deficit) (overall)2]], - VfM_Metrics_2023_Entity[[#This Row],[Gain/(loss) on disposal of fixed assets (housing properties)2]], - VfM_Metrics_2023_Entity[[#This Row],[Gain/(loss) on disposal of fixed assets (other)2]] )</f>
        <v>2013</v>
      </c>
      <c r="BY60" s="84" vm="13506">
        <v>2105</v>
      </c>
      <c r="BZ60" s="84" vm="13944">
        <v>92</v>
      </c>
      <c r="CA60" s="84" vm="14195">
        <v>0</v>
      </c>
      <c r="CB60" s="5" vm="18264">
        <f xml:space="preserve"> VfM_Metrics_2023_Entity[[#This Row],[Turnover (overall)]]</f>
        <v>8791</v>
      </c>
      <c r="CC60" s="135" vm="18264">
        <v>8791</v>
      </c>
      <c r="CD60" s="134">
        <f xml:space="preserve"> IFERROR( VfM_Metrics_2023_Entity[[#This Row],[Operating surplus including from JVs]] / VfM_Metrics_2023_Entity[[#This Row],[Net assets]], "n/a" )</f>
        <v>2.4561853865720754E-2</v>
      </c>
      <c r="CE60" s="5">
        <f xml:space="preserve"> SUM( VfM_Metrics_2023_Entity[[#This Row],[Operating surplus/(deficit) (overall)3]], VfM_Metrics_2023_Entity[[#This Row],[Share of operating surplus/(deficit) in joint ventures or associates]] )</f>
        <v>2105</v>
      </c>
      <c r="CF60" s="84" vm="13506">
        <v>2105</v>
      </c>
      <c r="CG60" s="84" vm="18475">
        <v>0</v>
      </c>
      <c r="CH60" s="5" vm="18650">
        <f xml:space="preserve"> VfM_Metrics_2023_Entity[[#This Row],[Total assets less current liabilities]]</f>
        <v>85702</v>
      </c>
      <c r="CI60" s="135" vm="18650">
        <v>85702</v>
      </c>
      <c r="CJ60" s="140" vm="11245">
        <f xml:space="preserve"> VfM_Metrics_2023_Entity[[#This Row],[Total social housing units owned (Period end)]]</f>
        <v>1784</v>
      </c>
      <c r="CK60" s="141">
        <v>0</v>
      </c>
      <c r="CL60" s="69">
        <f xml:space="preserve"> -- ( VfM_Metrics_2023_Entity[[#This Row],[% Supported housing (excl. HOP)]] &gt; 0.3 )</f>
        <v>0</v>
      </c>
      <c r="CM60" s="9">
        <v>3.5127478753541073E-2</v>
      </c>
      <c r="CN60" s="69">
        <f xml:space="preserve"> -- ( VfM_Metrics_2023_Entity[[#This Row],[% Housing for older people]] &gt; 0.3 )</f>
        <v>0</v>
      </c>
      <c r="CO60" s="9">
        <f xml:space="preserve"> VfM_Metrics_2023_Entity[[#This Row],[% Supported housing (excl. HOP)]] + VfM_Metrics_2023_Entity[[#This Row],[% Housing for older people]]</f>
        <v>3.5127478753541073E-2</v>
      </c>
      <c r="CP60" s="69">
        <f xml:space="preserve"> -- ( VfM_Metrics_2023_Entity[[#This Row],[SH specialist in RSH analysis]] + VfM_Metrics_2023_Entity[[#This Row],[OP specialist in RSH analysis]] &gt; 0 )</f>
        <v>0</v>
      </c>
      <c r="CQ60" s="142">
        <f xml:space="preserve"> -- ( VfM_Metrics_2023_Entity[[#This Row],[% SH and OP]] &gt; 0.3 )</f>
        <v>0</v>
      </c>
      <c r="CR60" s="143" t="s">
        <v>143</v>
      </c>
      <c r="CS60" s="120"/>
      <c r="CT60" s="144" t="s">
        <v>144</v>
      </c>
      <c r="CU6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60" s="146">
        <v>0</v>
      </c>
      <c r="CW60" s="146">
        <v>0</v>
      </c>
      <c r="CX60" s="146">
        <v>0</v>
      </c>
      <c r="CY60" s="146">
        <v>0</v>
      </c>
      <c r="CZ60" s="146">
        <v>0</v>
      </c>
      <c r="DA60" s="146">
        <v>0</v>
      </c>
      <c r="DB60" s="146">
        <v>1</v>
      </c>
      <c r="DC60" s="146">
        <v>0</v>
      </c>
      <c r="DD60" s="146">
        <v>0</v>
      </c>
      <c r="DE60" s="126">
        <v>0.90654753410084521</v>
      </c>
    </row>
    <row r="61" spans="1:109" x14ac:dyDescent="0.25">
      <c r="A61" s="4" t="s" vm="217">
        <v>232</v>
      </c>
      <c r="B61" s="4" t="s" vm="9305">
        <v>233</v>
      </c>
      <c r="C61" s="121" vm="18842">
        <v>45016</v>
      </c>
      <c r="D61" s="68">
        <f>IFERROR( VfM_Metrics_2023_Entity[[#This Row],[Reinvestment Spend]] / VfM_Metrics_2023_Entity[[#This Row],[Net Book Value of Housing Properties]], "n/a" )</f>
        <v>9.9308085033894308E-2</v>
      </c>
      <c r="E6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19821</v>
      </c>
      <c r="F61" s="84" vm="9419">
        <v>0</v>
      </c>
      <c r="G61" s="84" vm="10588">
        <v>16278</v>
      </c>
      <c r="H61" s="84" vm="9482">
        <v>3543</v>
      </c>
      <c r="I61" s="84" vm="10887">
        <v>0</v>
      </c>
      <c r="J61" s="84" vm="9607">
        <v>0</v>
      </c>
      <c r="K61" s="5">
        <f xml:space="preserve"> SUM( VfM_Metrics_2023_Entity[[#This Row],[Tangible fixed assets: Housing properties at cost (Current period)]],VfM_Metrics_2023_Entity[[#This Row],[Tangible fixed assets Housing properties at valuation (Current period)]] )</f>
        <v>199591</v>
      </c>
      <c r="L61" s="84" vm="9729">
        <v>199591</v>
      </c>
      <c r="M61" s="84" vm="10121">
        <v>0</v>
      </c>
      <c r="N61" s="134">
        <f xml:space="preserve"> IFERROR( VfM_Metrics_2023_Entity[[#This Row],[Total social units developed or newly built units acquired in-year]] / VfM_Metrics_2023_Entity[[#This Row],[Social housing units owned (period end)]], "n/a" )</f>
        <v>4.9325463743676225E-2</v>
      </c>
      <c r="O61" s="5">
        <f xml:space="preserve"> SUM( VfM_Metrics_2023_Entity[[#This Row],[Total social units developed or newly built units acquired in-year (owned)]], VfM_Metrics_2023_Entity[[#This Row],[Total social leasehold units developed or newly built units acquired in-year (owned)]] )</f>
        <v>117</v>
      </c>
      <c r="P61" s="84" vm="11011">
        <v>117</v>
      </c>
      <c r="Q61" s="84">
        <v>0</v>
      </c>
      <c r="R61" s="5">
        <f xml:space="preserve"> SUM( VfM_Metrics_2023_Entity[[#This Row],[Total social housing units owned (Period end)]], VfM_Metrics_2023_Entity[[#This Row],[Total social leasehold units owned (Period end)]] )</f>
        <v>2372</v>
      </c>
      <c r="S61" s="84" vm="11259">
        <v>2372</v>
      </c>
      <c r="T61" s="135" vm="11445">
        <v>0</v>
      </c>
      <c r="U61" s="136">
        <f xml:space="preserve"> IFERROR( VfM_Metrics_2023_Entity[[#This Row],[Total non-social housing units developed or newly built units acquired (owned)]] / VfM_Metrics_2023_Entity[[#This Row],[Total social and non-social housing units owned (Period end)]], "n/a" )</f>
        <v>0</v>
      </c>
      <c r="V6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61" s="84">
        <v>0</v>
      </c>
      <c r="X61" s="84">
        <v>0</v>
      </c>
      <c r="Y61" s="84" vm="11916">
        <v>0</v>
      </c>
      <c r="Z6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3920</v>
      </c>
      <c r="AA61" s="84" vm="11998">
        <v>2372</v>
      </c>
      <c r="AB61" s="84" vm="12185">
        <v>0</v>
      </c>
      <c r="AC61" s="84" vm="12086">
        <v>60</v>
      </c>
      <c r="AD61" s="135" vm="12249">
        <v>1488</v>
      </c>
      <c r="AE61" s="134">
        <f xml:space="preserve"> IFERROR( VfM_Metrics_2023_Entity[[#This Row],[Total Net Debt]] / VfM_Metrics_2023_Entity[[#This Row],[Net Book Value of Housing Properties2]], "n/a" )</f>
        <v>0.42309021949887521</v>
      </c>
      <c r="AF6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84445</v>
      </c>
      <c r="AG61" s="84" vm="12638">
        <v>10000</v>
      </c>
      <c r="AH61" s="84" vm="13066">
        <v>83147</v>
      </c>
      <c r="AI61" s="84" vm="13155">
        <v>8702</v>
      </c>
      <c r="AJ61" s="84">
        <v>0</v>
      </c>
      <c r="AK61" s="84">
        <v>0</v>
      </c>
      <c r="AL61" s="5">
        <f xml:space="preserve"> SUM( VfM_Metrics_2023_Entity[[#This Row],[Tangible fixed assets: Housing properties at cost (Current period)2]], VfM_Metrics_2023_Entity[[#This Row],[Tangible fixed assets Housing properties at valuation (Current period)2]] )</f>
        <v>199591</v>
      </c>
      <c r="AM61" s="84" vm="9941">
        <v>199591</v>
      </c>
      <c r="AN61" s="135" vm="10121">
        <v>0</v>
      </c>
      <c r="AO61" s="137">
        <f xml:space="preserve"> IFERROR( VfM_Metrics_2023_Entity[[#This Row],[EBITDA MRI]] / VfM_Metrics_2023_Entity[[#This Row],[Total interest]], "n/a" )</f>
        <v>0.99971256108077033</v>
      </c>
      <c r="AP6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3478</v>
      </c>
      <c r="AQ61" s="84" vm="13544">
        <v>4181</v>
      </c>
      <c r="AR61" s="84" vm="14196">
        <v>728</v>
      </c>
      <c r="AS61" s="84" vm="14439">
        <v>0</v>
      </c>
      <c r="AT61" s="84" vm="14686">
        <v>590</v>
      </c>
      <c r="AU61" s="84" vm="14929">
        <v>0</v>
      </c>
      <c r="AV61" s="84" vm="13695">
        <v>356</v>
      </c>
      <c r="AW61" s="84" vm="13946">
        <v>3543</v>
      </c>
      <c r="AX61" s="84" vm="14197">
        <v>3802</v>
      </c>
      <c r="AY61" s="5">
        <f xml:space="preserve"> - SUM( VfM_Metrics_2023_Entity[[#This Row],[Interest capitalised]], VfM_Metrics_2023_Entity[[#This Row],[Interest payable and financing costs]] )</f>
        <v>3479</v>
      </c>
      <c r="AZ61" s="84" vm="15303">
        <v>0</v>
      </c>
      <c r="BA61" s="135" vm="15387">
        <v>-3479</v>
      </c>
      <c r="BB61" s="138">
        <f xml:space="preserve"> IFERROR( ( VfM_Metrics_2023_Entity[[#This Row],[Total Costs]] / VfM_Metrics_2023_Entity[[#This Row],[Total units for costs]] ) * 1000, "n/a" )</f>
        <v>5840.6408094435074</v>
      </c>
      <c r="BC6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13854</v>
      </c>
      <c r="BD61" s="84" vm="15612">
        <v>2128</v>
      </c>
      <c r="BE61" s="84" vm="15875">
        <v>3442</v>
      </c>
      <c r="BF61" s="84" vm="17020">
        <v>3919</v>
      </c>
      <c r="BG61" s="84" vm="17096">
        <v>410</v>
      </c>
      <c r="BH61" s="84" vm="17236">
        <v>412</v>
      </c>
      <c r="BI61" s="84" vm="17469">
        <v>0</v>
      </c>
      <c r="BJ61" s="84" vm="13946">
        <v>3543</v>
      </c>
      <c r="BK61" s="84" vm="16395">
        <v>0</v>
      </c>
      <c r="BL61" s="84" vm="16696">
        <v>0</v>
      </c>
      <c r="BM61" s="84" vm="16854">
        <v>0</v>
      </c>
      <c r="BN61" s="84" vm="17021">
        <v>0</v>
      </c>
      <c r="BO61" s="84" vm="15876">
        <v>0</v>
      </c>
      <c r="BP61" s="5" vm="17796">
        <f xml:space="preserve"> VfM_Metrics_2023_Entity[[#This Row],[Total social housing units owned and/or managed at period end]]</f>
        <v>2372</v>
      </c>
      <c r="BQ61" s="135" vm="17796">
        <v>2372</v>
      </c>
      <c r="BR61" s="134">
        <f xml:space="preserve"> IFERROR( VfM_Metrics_2023_Entity[[#This Row],[SHL operating surplus / (deficit)]] / VfM_Metrics_2023_Entity[[#This Row],[Turnover from social housing lettings]], "n/a" )</f>
        <v>0.1869249119618312</v>
      </c>
      <c r="BS61" s="5" vm="17952">
        <f xml:space="preserve"> VfM_Metrics_2023_Entity[[#This Row],[Operating surplus/(deficit) (social housing lettings)]]</f>
        <v>3291</v>
      </c>
      <c r="BT61" s="84" vm="17952">
        <v>3291</v>
      </c>
      <c r="BU61" s="5" vm="18120">
        <f xml:space="preserve"> VfM_Metrics_2023_Entity[[#This Row],[Turnover from social housing lettings]]</f>
        <v>17606</v>
      </c>
      <c r="BV61" s="135" vm="18120">
        <v>17606</v>
      </c>
      <c r="BW61" s="134">
        <f xml:space="preserve"> IFERROR( VfM_Metrics_2023_Entity[[#This Row],[Net operating surplus]] / VfM_Metrics_2023_Entity[[#This Row],[Overall turnover]], "n/a" )</f>
        <v>0.14296952633322293</v>
      </c>
      <c r="BX61" s="5">
        <f xml:space="preserve"> SUM( VfM_Metrics_2023_Entity[[#This Row],[Operating surplus/(deficit) (overall)2]], - VfM_Metrics_2023_Entity[[#This Row],[Gain/(loss) on disposal of fixed assets (housing properties)2]], - VfM_Metrics_2023_Entity[[#This Row],[Gain/(loss) on disposal of fixed assets (other)2]] )</f>
        <v>3453</v>
      </c>
      <c r="BY61" s="84" vm="13544">
        <v>4181</v>
      </c>
      <c r="BZ61" s="84" vm="14196">
        <v>728</v>
      </c>
      <c r="CA61" s="84" vm="14439">
        <v>0</v>
      </c>
      <c r="CB61" s="5" vm="18300">
        <f xml:space="preserve"> VfM_Metrics_2023_Entity[[#This Row],[Turnover (overall)]]</f>
        <v>24152</v>
      </c>
      <c r="CC61" s="135" vm="18300">
        <v>24152</v>
      </c>
      <c r="CD61" s="134">
        <f xml:space="preserve"> IFERROR( VfM_Metrics_2023_Entity[[#This Row],[Operating surplus including from JVs]] / VfM_Metrics_2023_Entity[[#This Row],[Net assets]], "n/a" )</f>
        <v>1.8716062867349177E-2</v>
      </c>
      <c r="CE61" s="5">
        <f xml:space="preserve"> SUM( VfM_Metrics_2023_Entity[[#This Row],[Operating surplus/(deficit) (overall)3]], VfM_Metrics_2023_Entity[[#This Row],[Share of operating surplus/(deficit) in joint ventures or associates]] )</f>
        <v>4181</v>
      </c>
      <c r="CF61" s="84" vm="13544">
        <v>4181</v>
      </c>
      <c r="CG61" s="84">
        <v>0</v>
      </c>
      <c r="CH61" s="5" vm="18688">
        <f xml:space="preserve"> VfM_Metrics_2023_Entity[[#This Row],[Total assets less current liabilities]]</f>
        <v>223391</v>
      </c>
      <c r="CI61" s="135" vm="18688">
        <v>223391</v>
      </c>
      <c r="CJ61" s="140" vm="11259">
        <f xml:space="preserve"> VfM_Metrics_2023_Entity[[#This Row],[Total social housing units owned (Period end)]]</f>
        <v>2372</v>
      </c>
      <c r="CK61" s="141">
        <v>0</v>
      </c>
      <c r="CL61" s="69">
        <f xml:space="preserve"> -- ( VfM_Metrics_2023_Entity[[#This Row],[% Supported housing (excl. HOP)]] &gt; 0.3 )</f>
        <v>0</v>
      </c>
      <c r="CM61" s="9">
        <v>0</v>
      </c>
      <c r="CN61" s="69">
        <f xml:space="preserve"> -- ( VfM_Metrics_2023_Entity[[#This Row],[% Housing for older people]] &gt; 0.3 )</f>
        <v>0</v>
      </c>
      <c r="CO61" s="9">
        <f xml:space="preserve"> VfM_Metrics_2023_Entity[[#This Row],[% Supported housing (excl. HOP)]] + VfM_Metrics_2023_Entity[[#This Row],[% Housing for older people]]</f>
        <v>0</v>
      </c>
      <c r="CP61" s="69">
        <f xml:space="preserve"> -- ( VfM_Metrics_2023_Entity[[#This Row],[SH specialist in RSH analysis]] + VfM_Metrics_2023_Entity[[#This Row],[OP specialist in RSH analysis]] &gt; 0 )</f>
        <v>0</v>
      </c>
      <c r="CQ61" s="142">
        <f xml:space="preserve"> -- ( VfM_Metrics_2023_Entity[[#This Row],[% SH and OP]] &gt; 0.3 )</f>
        <v>0</v>
      </c>
      <c r="CR61" s="143" t="s">
        <v>143</v>
      </c>
      <c r="CS61" s="120"/>
      <c r="CT61" s="144" t="s">
        <v>151</v>
      </c>
      <c r="CU6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61" s="146">
        <v>1</v>
      </c>
      <c r="CW61" s="146">
        <v>0</v>
      </c>
      <c r="CX61" s="146">
        <v>0</v>
      </c>
      <c r="CY61" s="146">
        <v>0</v>
      </c>
      <c r="CZ61" s="146">
        <v>0</v>
      </c>
      <c r="DA61" s="146">
        <v>0</v>
      </c>
      <c r="DB61" s="146">
        <v>0</v>
      </c>
      <c r="DC61" s="146">
        <v>0</v>
      </c>
      <c r="DD61" s="146">
        <v>0</v>
      </c>
      <c r="DE61" s="126">
        <v>1.1603700449887588</v>
      </c>
    </row>
    <row r="62" spans="1:109" x14ac:dyDescent="0.25">
      <c r="A62" s="4" t="s" vm="290">
        <v>236</v>
      </c>
      <c r="B62" s="4" t="s" vm="9326">
        <v>237</v>
      </c>
      <c r="C62" s="121" vm="18894">
        <v>45016</v>
      </c>
      <c r="D62" s="68">
        <f>IFERROR( VfM_Metrics_2023_Entity[[#This Row],[Reinvestment Spend]] / VfM_Metrics_2023_Entity[[#This Row],[Net Book Value of Housing Properties]], "n/a" )</f>
        <v>9.2221043500439331E-2</v>
      </c>
      <c r="E6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65807</v>
      </c>
      <c r="F62" s="84" vm="10489">
        <v>3909</v>
      </c>
      <c r="G62" s="84" vm="10210">
        <v>53093</v>
      </c>
      <c r="H62" s="84" vm="10633">
        <v>7633</v>
      </c>
      <c r="I62" s="84" vm="9502">
        <v>1172</v>
      </c>
      <c r="J62" s="84" vm="9547">
        <v>0</v>
      </c>
      <c r="K62" s="5">
        <f xml:space="preserve"> SUM( VfM_Metrics_2023_Entity[[#This Row],[Tangible fixed assets: Housing properties at cost (Current period)]],VfM_Metrics_2023_Entity[[#This Row],[Tangible fixed assets Housing properties at valuation (Current period)]] )</f>
        <v>713579</v>
      </c>
      <c r="L62" s="84" vm="10717">
        <v>713579</v>
      </c>
      <c r="M62" s="84">
        <v>0</v>
      </c>
      <c r="N62" s="134">
        <f xml:space="preserve"> IFERROR( VfM_Metrics_2023_Entity[[#This Row],[Total social units developed or newly built units acquired in-year]] / VfM_Metrics_2023_Entity[[#This Row],[Social housing units owned (period end)]], "n/a" )</f>
        <v>2.4871420895064097E-2</v>
      </c>
      <c r="O62" s="5">
        <f xml:space="preserve"> SUM( VfM_Metrics_2023_Entity[[#This Row],[Total social units developed or newly built units acquired in-year (owned)]], VfM_Metrics_2023_Entity[[#This Row],[Total social leasehold units developed or newly built units acquired in-year (owned)]] )</f>
        <v>324</v>
      </c>
      <c r="P62" s="84" vm="11046">
        <v>324</v>
      </c>
      <c r="Q62" s="84">
        <v>0</v>
      </c>
      <c r="R62" s="5">
        <f xml:space="preserve"> SUM( VfM_Metrics_2023_Entity[[#This Row],[Total social housing units owned (Period end)]], VfM_Metrics_2023_Entity[[#This Row],[Total social leasehold units owned (Period end)]] )</f>
        <v>13027</v>
      </c>
      <c r="S62" s="84" vm="11293">
        <v>12450</v>
      </c>
      <c r="T62" s="135" vm="11457">
        <v>577</v>
      </c>
      <c r="U62" s="136">
        <f xml:space="preserve"> IFERROR( VfM_Metrics_2023_Entity[[#This Row],[Total non-social housing units developed or newly built units acquired (owned)]] / VfM_Metrics_2023_Entity[[#This Row],[Total social and non-social housing units owned (Period end)]], "n/a" )</f>
        <v>0</v>
      </c>
      <c r="V6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62" s="84">
        <v>0</v>
      </c>
      <c r="X62" s="84">
        <v>0</v>
      </c>
      <c r="Y62" s="84">
        <v>0</v>
      </c>
      <c r="Z6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13027</v>
      </c>
      <c r="AA62" s="84" vm="11293">
        <v>12450</v>
      </c>
      <c r="AB62" s="84" vm="12429">
        <v>577</v>
      </c>
      <c r="AC62" s="84" vm="12345">
        <v>0</v>
      </c>
      <c r="AD62" s="135" vm="12489">
        <v>0</v>
      </c>
      <c r="AE62" s="134">
        <f xml:space="preserve"> IFERROR( VfM_Metrics_2023_Entity[[#This Row],[Total Net Debt]] / VfM_Metrics_2023_Entity[[#This Row],[Net Book Value of Housing Properties2]], "n/a" )</f>
        <v>0.51108566816007761</v>
      </c>
      <c r="AF6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364700</v>
      </c>
      <c r="AG62" s="84" vm="12660">
        <v>42468</v>
      </c>
      <c r="AH62" s="84" vm="12733">
        <v>336944</v>
      </c>
      <c r="AI62" s="84" vm="12973">
        <v>14712</v>
      </c>
      <c r="AJ62" s="84">
        <v>0</v>
      </c>
      <c r="AK62" s="84">
        <v>0</v>
      </c>
      <c r="AL62" s="5">
        <f xml:space="preserve"> SUM( VfM_Metrics_2023_Entity[[#This Row],[Tangible fixed assets: Housing properties at cost (Current period)2]], VfM_Metrics_2023_Entity[[#This Row],[Tangible fixed assets Housing properties at valuation (Current period)2]] )</f>
        <v>713579</v>
      </c>
      <c r="AM62" s="84" vm="13381">
        <v>713579</v>
      </c>
      <c r="AN62" s="135">
        <v>0</v>
      </c>
      <c r="AO62" s="137">
        <f xml:space="preserve"> IFERROR( VfM_Metrics_2023_Entity[[#This Row],[EBITDA MRI]] / VfM_Metrics_2023_Entity[[#This Row],[Total interest]], "n/a" )</f>
        <v>1.6518661518661519</v>
      </c>
      <c r="AP6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23103</v>
      </c>
      <c r="AQ62" s="84" vm="13568">
        <v>19876</v>
      </c>
      <c r="AR62" s="84" vm="14440">
        <v>988</v>
      </c>
      <c r="AS62" s="84" vm="14687">
        <v>-5</v>
      </c>
      <c r="AT62" s="84" vm="14930">
        <v>981</v>
      </c>
      <c r="AU62" s="84" vm="13696">
        <v>0</v>
      </c>
      <c r="AV62" s="84" vm="13947">
        <v>748</v>
      </c>
      <c r="AW62" s="84" vm="14198">
        <v>7633</v>
      </c>
      <c r="AX62" s="84" vm="14441">
        <v>12076</v>
      </c>
      <c r="AY62" s="5">
        <f xml:space="preserve"> - SUM( VfM_Metrics_2023_Entity[[#This Row],[Interest capitalised]], VfM_Metrics_2023_Entity[[#This Row],[Interest payable and financing costs]] )</f>
        <v>13986</v>
      </c>
      <c r="AZ62" s="84" vm="15241">
        <v>-1175</v>
      </c>
      <c r="BA62" s="135" vm="15414">
        <v>-12811</v>
      </c>
      <c r="BB62" s="138">
        <f xml:space="preserve"> IFERROR( ( VfM_Metrics_2023_Entity[[#This Row],[Total Costs]] / VfM_Metrics_2023_Entity[[#This Row],[Total units for costs]] ) * 1000, "n/a" )</f>
        <v>4190.1204819277109</v>
      </c>
      <c r="BC6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52167</v>
      </c>
      <c r="BD62" s="84" vm="15742">
        <v>16547</v>
      </c>
      <c r="BE62" s="84" vm="16071">
        <v>3385</v>
      </c>
      <c r="BF62" s="84" vm="16394">
        <v>9701</v>
      </c>
      <c r="BG62" s="84" vm="15878">
        <v>5552</v>
      </c>
      <c r="BH62" s="84" vm="16697">
        <v>6591</v>
      </c>
      <c r="BI62" s="84" vm="15867">
        <v>0</v>
      </c>
      <c r="BJ62" s="84" vm="17097">
        <v>7633</v>
      </c>
      <c r="BK62" s="84" vm="15799">
        <v>639</v>
      </c>
      <c r="BL62" s="84" vm="17552">
        <v>520</v>
      </c>
      <c r="BM62" s="84">
        <v>0</v>
      </c>
      <c r="BN62" s="84" vm="16698">
        <v>1559</v>
      </c>
      <c r="BO62" s="84" vm="16072">
        <v>40</v>
      </c>
      <c r="BP62" s="5" vm="17694">
        <f xml:space="preserve"> VfM_Metrics_2023_Entity[[#This Row],[Total social housing units owned and/or managed at period end]]</f>
        <v>12450</v>
      </c>
      <c r="BQ62" s="135" vm="17694">
        <v>12450</v>
      </c>
      <c r="BR62" s="134">
        <f xml:space="preserve"> IFERROR( VfM_Metrics_2023_Entity[[#This Row],[SHL operating surplus / (deficit)]] / VfM_Metrics_2023_Entity[[#This Row],[Turnover from social housing lettings]], "n/a" )</f>
        <v>0.24982547395797686</v>
      </c>
      <c r="BS62" s="5" vm="17988">
        <f xml:space="preserve"> VfM_Metrics_2023_Entity[[#This Row],[Operating surplus/(deficit) (social housing lettings)]]</f>
        <v>18251</v>
      </c>
      <c r="BT62" s="84" vm="17988">
        <v>18251</v>
      </c>
      <c r="BU62" s="5" vm="18166">
        <f xml:space="preserve"> VfM_Metrics_2023_Entity[[#This Row],[Turnover from social housing lettings]]</f>
        <v>73055</v>
      </c>
      <c r="BV62" s="135" vm="18166">
        <v>73055</v>
      </c>
      <c r="BW62" s="134">
        <f xml:space="preserve"> IFERROR( VfM_Metrics_2023_Entity[[#This Row],[Net operating surplus]] / VfM_Metrics_2023_Entity[[#This Row],[Overall turnover]], "n/a" )</f>
        <v>0.21728829543755535</v>
      </c>
      <c r="BX62" s="5">
        <f xml:space="preserve"> SUM( VfM_Metrics_2023_Entity[[#This Row],[Operating surplus/(deficit) (overall)2]], - VfM_Metrics_2023_Entity[[#This Row],[Gain/(loss) on disposal of fixed assets (housing properties)2]], - VfM_Metrics_2023_Entity[[#This Row],[Gain/(loss) on disposal of fixed assets (other)2]] )</f>
        <v>18893</v>
      </c>
      <c r="BY62" s="84" vm="13568">
        <v>19876</v>
      </c>
      <c r="BZ62" s="84" vm="14440">
        <v>988</v>
      </c>
      <c r="CA62" s="84" vm="14687">
        <v>-5</v>
      </c>
      <c r="CB62" s="5" vm="18325">
        <f xml:space="preserve"> VfM_Metrics_2023_Entity[[#This Row],[Turnover (overall)]]</f>
        <v>86949</v>
      </c>
      <c r="CC62" s="135" vm="18325">
        <v>86949</v>
      </c>
      <c r="CD62" s="134">
        <f xml:space="preserve"> IFERROR( VfM_Metrics_2023_Entity[[#This Row],[Operating surplus including from JVs]] / VfM_Metrics_2023_Entity[[#This Row],[Net assets]], "n/a" )</f>
        <v>2.8761570975644697E-2</v>
      </c>
      <c r="CE62" s="5">
        <f xml:space="preserve"> SUM( VfM_Metrics_2023_Entity[[#This Row],[Operating surplus/(deficit) (overall)3]], VfM_Metrics_2023_Entity[[#This Row],[Share of operating surplus/(deficit) in joint ventures or associates]] )</f>
        <v>19876</v>
      </c>
      <c r="CF62" s="84" vm="13569">
        <v>19876</v>
      </c>
      <c r="CG62" s="84">
        <v>0</v>
      </c>
      <c r="CH62" s="5" vm="18712">
        <f xml:space="preserve"> VfM_Metrics_2023_Entity[[#This Row],[Total assets less current liabilities]]</f>
        <v>691061</v>
      </c>
      <c r="CI62" s="135" vm="18712">
        <v>691061</v>
      </c>
      <c r="CJ62" s="140" vm="11293">
        <f xml:space="preserve"> VfM_Metrics_2023_Entity[[#This Row],[Total social housing units owned (Period end)]]</f>
        <v>12450</v>
      </c>
      <c r="CK62" s="141">
        <v>1.2070641607258587E-2</v>
      </c>
      <c r="CL62" s="69">
        <f xml:space="preserve"> -- ( VfM_Metrics_2023_Entity[[#This Row],[% Supported housing (excl. HOP)]] &gt; 0.3 )</f>
        <v>0</v>
      </c>
      <c r="CM62" s="9">
        <v>5.1604018146467923E-2</v>
      </c>
      <c r="CN62" s="69">
        <f xml:space="preserve"> -- ( VfM_Metrics_2023_Entity[[#This Row],[% Housing for older people]] &gt; 0.3 )</f>
        <v>0</v>
      </c>
      <c r="CO62" s="9">
        <f xml:space="preserve"> VfM_Metrics_2023_Entity[[#This Row],[% Supported housing (excl. HOP)]] + VfM_Metrics_2023_Entity[[#This Row],[% Housing for older people]]</f>
        <v>6.3674659753726506E-2</v>
      </c>
      <c r="CP62" s="69">
        <f xml:space="preserve"> -- ( VfM_Metrics_2023_Entity[[#This Row],[SH specialist in RSH analysis]] + VfM_Metrics_2023_Entity[[#This Row],[OP specialist in RSH analysis]] &gt; 0 )</f>
        <v>0</v>
      </c>
      <c r="CQ62" s="142">
        <f xml:space="preserve"> -- ( VfM_Metrics_2023_Entity[[#This Row],[% SH and OP]] &gt; 0.3 )</f>
        <v>0</v>
      </c>
      <c r="CR62" s="143" t="s">
        <v>143</v>
      </c>
      <c r="CS62" s="120"/>
      <c r="CT62" s="144" t="s">
        <v>151</v>
      </c>
      <c r="CU6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62" s="146">
        <v>0</v>
      </c>
      <c r="CW62" s="146">
        <v>0</v>
      </c>
      <c r="CX62" s="146">
        <v>0</v>
      </c>
      <c r="CY62" s="146">
        <v>0</v>
      </c>
      <c r="CZ62" s="146">
        <v>0</v>
      </c>
      <c r="DA62" s="146">
        <v>1</v>
      </c>
      <c r="DB62" s="146">
        <v>0</v>
      </c>
      <c r="DC62" s="146">
        <v>0</v>
      </c>
      <c r="DD62" s="146">
        <v>0</v>
      </c>
      <c r="DE62" s="126">
        <v>1.0113701298544711</v>
      </c>
    </row>
    <row r="63" spans="1:109" x14ac:dyDescent="0.25">
      <c r="A63" s="4" t="s" vm="231">
        <v>238</v>
      </c>
      <c r="B63" s="4" t="s" vm="9345">
        <v>239</v>
      </c>
      <c r="C63" s="121" vm="18802">
        <v>45016</v>
      </c>
      <c r="D63" s="68">
        <f>IFERROR( VfM_Metrics_2023_Entity[[#This Row],[Reinvestment Spend]] / VfM_Metrics_2023_Entity[[#This Row],[Net Book Value of Housing Properties]], "n/a" )</f>
        <v>2.5498366399924238E-2</v>
      </c>
      <c r="E6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2154</v>
      </c>
      <c r="F63" s="84" vm="9441">
        <v>0</v>
      </c>
      <c r="G63" s="84" vm="10706">
        <v>0</v>
      </c>
      <c r="H63" s="84" vm="9791">
        <v>2045</v>
      </c>
      <c r="I63" s="84" vm="10807">
        <v>109</v>
      </c>
      <c r="J63" s="84" vm="10238">
        <v>0</v>
      </c>
      <c r="K63" s="5">
        <f xml:space="preserve"> SUM( VfM_Metrics_2023_Entity[[#This Row],[Tangible fixed assets: Housing properties at cost (Current period)]],VfM_Metrics_2023_Entity[[#This Row],[Tangible fixed assets Housing properties at valuation (Current period)]] )</f>
        <v>84476</v>
      </c>
      <c r="L63" s="84">
        <v>0</v>
      </c>
      <c r="M63" s="84" vm="10147">
        <v>84476</v>
      </c>
      <c r="N63" s="134">
        <f xml:space="preserve"> IFERROR( VfM_Metrics_2023_Entity[[#This Row],[Total social units developed or newly built units acquired in-year]] / VfM_Metrics_2023_Entity[[#This Row],[Social housing units owned (period end)]], "n/a" )</f>
        <v>0</v>
      </c>
      <c r="O63" s="5">
        <f xml:space="preserve"> SUM( VfM_Metrics_2023_Entity[[#This Row],[Total social units developed or newly built units acquired in-year (owned)]], VfM_Metrics_2023_Entity[[#This Row],[Total social leasehold units developed or newly built units acquired in-year (owned)]] )</f>
        <v>0</v>
      </c>
      <c r="P63" s="84" vm="11065">
        <v>0</v>
      </c>
      <c r="Q63" s="84">
        <v>0</v>
      </c>
      <c r="R63" s="5">
        <f xml:space="preserve"> SUM( VfM_Metrics_2023_Entity[[#This Row],[Total social housing units owned (Period end)]], VfM_Metrics_2023_Entity[[#This Row],[Total social leasehold units owned (Period end)]] )</f>
        <v>1823</v>
      </c>
      <c r="S63" s="84" vm="11369">
        <v>1823</v>
      </c>
      <c r="T63" s="135" vm="11469">
        <v>0</v>
      </c>
      <c r="U63" s="136">
        <f xml:space="preserve"> IFERROR( VfM_Metrics_2023_Entity[[#This Row],[Total non-social housing units developed or newly built units acquired (owned)]] / VfM_Metrics_2023_Entity[[#This Row],[Total social and non-social housing units owned (Period end)]], "n/a" )</f>
        <v>0</v>
      </c>
      <c r="V6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63" s="84">
        <v>0</v>
      </c>
      <c r="X63" s="84">
        <v>0</v>
      </c>
      <c r="Y63" s="84" vm="11829">
        <v>0</v>
      </c>
      <c r="Z6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1832</v>
      </c>
      <c r="AA63" s="84" vm="12042">
        <v>1823</v>
      </c>
      <c r="AB63" s="84" vm="11469">
        <v>0</v>
      </c>
      <c r="AC63" s="84" vm="12087">
        <v>9</v>
      </c>
      <c r="AD63" s="135" vm="12249">
        <v>0</v>
      </c>
      <c r="AE63" s="134">
        <f xml:space="preserve"> IFERROR( VfM_Metrics_2023_Entity[[#This Row],[Total Net Debt]] / VfM_Metrics_2023_Entity[[#This Row],[Net Book Value of Housing Properties2]], "n/a" )</f>
        <v>0.44631611345234151</v>
      </c>
      <c r="AF6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37703</v>
      </c>
      <c r="AG63" s="84" vm="12687">
        <v>1152</v>
      </c>
      <c r="AH63" s="84" vm="13198">
        <v>39798</v>
      </c>
      <c r="AI63" s="84" vm="13284">
        <v>3247</v>
      </c>
      <c r="AJ63" s="84">
        <v>0</v>
      </c>
      <c r="AK63" s="84">
        <v>0</v>
      </c>
      <c r="AL63" s="5">
        <f xml:space="preserve"> SUM( VfM_Metrics_2023_Entity[[#This Row],[Tangible fixed assets: Housing properties at cost (Current period)2]], VfM_Metrics_2023_Entity[[#This Row],[Tangible fixed assets Housing properties at valuation (Current period)2]] )</f>
        <v>84476</v>
      </c>
      <c r="AM63" s="84">
        <v>0</v>
      </c>
      <c r="AN63" s="135" vm="10147">
        <v>84476</v>
      </c>
      <c r="AO63" s="137">
        <f xml:space="preserve"> IFERROR( VfM_Metrics_2023_Entity[[#This Row],[EBITDA MRI]] / VfM_Metrics_2023_Entity[[#This Row],[Total interest]], "n/a" )</f>
        <v>1.2853817504655494</v>
      </c>
      <c r="AP6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2761</v>
      </c>
      <c r="AQ63" s="84" vm="13599">
        <v>3693</v>
      </c>
      <c r="AR63" s="84" vm="14688">
        <v>317</v>
      </c>
      <c r="AS63" s="84">
        <v>0</v>
      </c>
      <c r="AT63" s="84" vm="13697">
        <v>0</v>
      </c>
      <c r="AU63" s="84" vm="13948">
        <v>261</v>
      </c>
      <c r="AV63" s="84" vm="14199">
        <v>141</v>
      </c>
      <c r="AW63" s="84" vm="14442">
        <v>2045</v>
      </c>
      <c r="AX63" s="84" vm="14689">
        <v>1550</v>
      </c>
      <c r="AY63" s="5">
        <f xml:space="preserve"> - SUM( VfM_Metrics_2023_Entity[[#This Row],[Interest capitalised]], VfM_Metrics_2023_Entity[[#This Row],[Interest payable and financing costs]] )</f>
        <v>2148</v>
      </c>
      <c r="AZ63" s="84" vm="15272">
        <v>-109</v>
      </c>
      <c r="BA63" s="135" vm="15451">
        <v>-2039</v>
      </c>
      <c r="BB63" s="138">
        <f xml:space="preserve"> IFERROR( ( VfM_Metrics_2023_Entity[[#This Row],[Total Costs]] / VfM_Metrics_2023_Entity[[#This Row],[Total units for costs]] ) * 1000, "n/a" )</f>
        <v>3822.3452440865631</v>
      </c>
      <c r="BC6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7595</v>
      </c>
      <c r="BD63" s="84" vm="15560">
        <v>2554</v>
      </c>
      <c r="BE63" s="84" vm="15743">
        <v>644</v>
      </c>
      <c r="BF63" s="84" vm="17314">
        <v>1386</v>
      </c>
      <c r="BG63" s="84" vm="16074">
        <v>573</v>
      </c>
      <c r="BH63" s="84" vm="16396">
        <v>0</v>
      </c>
      <c r="BI63" s="84" vm="16290">
        <v>0</v>
      </c>
      <c r="BJ63" s="84" vm="16612">
        <v>2045</v>
      </c>
      <c r="BK63" s="84" vm="16699">
        <v>79</v>
      </c>
      <c r="BL63" s="84">
        <v>0</v>
      </c>
      <c r="BM63" s="84">
        <v>0</v>
      </c>
      <c r="BN63" s="84" vm="16076">
        <v>150</v>
      </c>
      <c r="BO63" s="84" vm="15801">
        <v>164</v>
      </c>
      <c r="BP63" s="5" vm="17730">
        <f xml:space="preserve"> VfM_Metrics_2023_Entity[[#This Row],[Total social housing units owned and/or managed at period end]]</f>
        <v>1987</v>
      </c>
      <c r="BQ63" s="135" vm="17730">
        <v>1987</v>
      </c>
      <c r="BR63" s="134">
        <f xml:space="preserve"> IFERROR( VfM_Metrics_2023_Entity[[#This Row],[SHL operating surplus / (deficit)]] / VfM_Metrics_2023_Entity[[#This Row],[Turnover from social housing lettings]], "n/a" )</f>
        <v>0.32979356887653832</v>
      </c>
      <c r="BS63" s="5" vm="18016">
        <f xml:space="preserve"> VfM_Metrics_2023_Entity[[#This Row],[Operating surplus/(deficit) (social housing lettings)]]</f>
        <v>3323</v>
      </c>
      <c r="BT63" s="84" vm="18016">
        <v>3323</v>
      </c>
      <c r="BU63" s="5" vm="18192">
        <f xml:space="preserve"> VfM_Metrics_2023_Entity[[#This Row],[Turnover from social housing lettings]]</f>
        <v>10076</v>
      </c>
      <c r="BV63" s="135" vm="18192">
        <v>10076</v>
      </c>
      <c r="BW63" s="134">
        <f xml:space="preserve"> IFERROR( VfM_Metrics_2023_Entity[[#This Row],[Net operating surplus]] / VfM_Metrics_2023_Entity[[#This Row],[Overall turnover]], "n/a" )</f>
        <v>0.30226519831676962</v>
      </c>
      <c r="BX63" s="5">
        <f xml:space="preserve"> SUM( VfM_Metrics_2023_Entity[[#This Row],[Operating surplus/(deficit) (overall)2]], - VfM_Metrics_2023_Entity[[#This Row],[Gain/(loss) on disposal of fixed assets (housing properties)2]], - VfM_Metrics_2023_Entity[[#This Row],[Gain/(loss) on disposal of fixed assets (other)2]] )</f>
        <v>3376</v>
      </c>
      <c r="BY63" s="84" vm="13599">
        <v>3693</v>
      </c>
      <c r="BZ63" s="84" vm="14688">
        <v>317</v>
      </c>
      <c r="CA63" s="84">
        <v>0</v>
      </c>
      <c r="CB63" s="5" vm="18332">
        <f xml:space="preserve"> VfM_Metrics_2023_Entity[[#This Row],[Turnover (overall)]]</f>
        <v>11169</v>
      </c>
      <c r="CC63" s="135" vm="18332">
        <v>11169</v>
      </c>
      <c r="CD63" s="134">
        <f xml:space="preserve"> IFERROR( VfM_Metrics_2023_Entity[[#This Row],[Operating surplus including from JVs]] / VfM_Metrics_2023_Entity[[#This Row],[Net assets]], "n/a" )</f>
        <v>4.0944166038405248E-2</v>
      </c>
      <c r="CE63" s="5">
        <f xml:space="preserve"> SUM( VfM_Metrics_2023_Entity[[#This Row],[Operating surplus/(deficit) (overall)3]], VfM_Metrics_2023_Entity[[#This Row],[Share of operating surplus/(deficit) in joint ventures or associates]] )</f>
        <v>3693</v>
      </c>
      <c r="CF63" s="84" vm="13599">
        <v>3693</v>
      </c>
      <c r="CG63" s="84">
        <v>0</v>
      </c>
      <c r="CH63" s="5" vm="18739">
        <f xml:space="preserve"> VfM_Metrics_2023_Entity[[#This Row],[Total assets less current liabilities]]</f>
        <v>90196</v>
      </c>
      <c r="CI63" s="135" vm="18739">
        <v>90196</v>
      </c>
      <c r="CJ63" s="140" vm="11369">
        <f xml:space="preserve"> VfM_Metrics_2023_Entity[[#This Row],[Total social housing units owned (Period end)]]</f>
        <v>1823</v>
      </c>
      <c r="CK63" s="141">
        <v>4.4628099173553717E-2</v>
      </c>
      <c r="CL63" s="69">
        <f xml:space="preserve"> -- ( VfM_Metrics_2023_Entity[[#This Row],[% Supported housing (excl. HOP)]] &gt; 0.3 )</f>
        <v>0</v>
      </c>
      <c r="CM63" s="9">
        <v>3.7465564738292011E-2</v>
      </c>
      <c r="CN63" s="69">
        <f xml:space="preserve"> -- ( VfM_Metrics_2023_Entity[[#This Row],[% Housing for older people]] &gt; 0.3 )</f>
        <v>0</v>
      </c>
      <c r="CO63" s="9">
        <f xml:space="preserve"> VfM_Metrics_2023_Entity[[#This Row],[% Supported housing (excl. HOP)]] + VfM_Metrics_2023_Entity[[#This Row],[% Housing for older people]]</f>
        <v>8.2093663911845721E-2</v>
      </c>
      <c r="CP63" s="69">
        <f xml:space="preserve"> -- ( VfM_Metrics_2023_Entity[[#This Row],[SH specialist in RSH analysis]] + VfM_Metrics_2023_Entity[[#This Row],[OP specialist in RSH analysis]] &gt; 0 )</f>
        <v>0</v>
      </c>
      <c r="CQ63" s="142">
        <f xml:space="preserve"> -- ( VfM_Metrics_2023_Entity[[#This Row],[% SH and OP]] &gt; 0.3 )</f>
        <v>0</v>
      </c>
      <c r="CR63" s="143" t="s">
        <v>143</v>
      </c>
      <c r="CS63" s="120"/>
      <c r="CT63" s="144" t="s">
        <v>151</v>
      </c>
      <c r="CU6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63" s="146">
        <v>0</v>
      </c>
      <c r="CW63" s="146">
        <v>0</v>
      </c>
      <c r="CX63" s="146">
        <v>0</v>
      </c>
      <c r="CY63" s="146">
        <v>0</v>
      </c>
      <c r="CZ63" s="146">
        <v>0</v>
      </c>
      <c r="DA63" s="146">
        <v>0</v>
      </c>
      <c r="DB63" s="146">
        <v>0</v>
      </c>
      <c r="DC63" s="146">
        <v>1</v>
      </c>
      <c r="DD63" s="146">
        <v>0</v>
      </c>
      <c r="DE63" s="126">
        <v>0.96105917141044694</v>
      </c>
    </row>
    <row r="64" spans="1:109" x14ac:dyDescent="0.25">
      <c r="A64" s="4" t="s" vm="9227">
        <v>570</v>
      </c>
      <c r="B64" s="4" t="s" vm="9364">
        <v>571</v>
      </c>
      <c r="C64" s="121" vm="18891">
        <v>45016</v>
      </c>
      <c r="D64" s="68">
        <f>IFERROR( VfM_Metrics_2023_Entity[[#This Row],[Reinvestment Spend]] / VfM_Metrics_2023_Entity[[#This Row],[Net Book Value of Housing Properties]], "n/a" )</f>
        <v>0.10939162242753604</v>
      </c>
      <c r="E6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104370</v>
      </c>
      <c r="F64" s="84" vm="9386">
        <v>86237</v>
      </c>
      <c r="G64" s="84" vm="10264">
        <v>0</v>
      </c>
      <c r="H64" s="84" vm="9661">
        <v>14490</v>
      </c>
      <c r="I64" s="84" vm="9724">
        <v>3643</v>
      </c>
      <c r="J64" s="84" vm="10685">
        <v>0</v>
      </c>
      <c r="K64" s="5">
        <f xml:space="preserve"> SUM( VfM_Metrics_2023_Entity[[#This Row],[Tangible fixed assets: Housing properties at cost (Current period)]],VfM_Metrics_2023_Entity[[#This Row],[Tangible fixed assets Housing properties at valuation (Current period)]] )</f>
        <v>954095</v>
      </c>
      <c r="L64" s="84" vm="10389">
        <v>954095</v>
      </c>
      <c r="M64" s="84">
        <v>0</v>
      </c>
      <c r="N64" s="134">
        <f xml:space="preserve"> IFERROR( VfM_Metrics_2023_Entity[[#This Row],[Total social units developed or newly built units acquired in-year]] / VfM_Metrics_2023_Entity[[#This Row],[Social housing units owned (period end)]], "n/a" )</f>
        <v>2.4428684003152089E-2</v>
      </c>
      <c r="O64" s="5">
        <f xml:space="preserve"> SUM( VfM_Metrics_2023_Entity[[#This Row],[Total social units developed or newly built units acquired in-year (owned)]], VfM_Metrics_2023_Entity[[#This Row],[Total social leasehold units developed or newly built units acquired in-year (owned)]] )</f>
        <v>465</v>
      </c>
      <c r="P64" s="84" vm="11085">
        <v>464</v>
      </c>
      <c r="Q64" s="84" vm="11206">
        <v>1</v>
      </c>
      <c r="R64" s="5">
        <f xml:space="preserve"> SUM( VfM_Metrics_2023_Entity[[#This Row],[Total social housing units owned (Period end)]], VfM_Metrics_2023_Entity[[#This Row],[Total social leasehold units owned (Period end)]] )</f>
        <v>19035</v>
      </c>
      <c r="S64" s="84" vm="11228">
        <v>18401</v>
      </c>
      <c r="T64" s="135" vm="11483">
        <v>634</v>
      </c>
      <c r="U64" s="136">
        <f xml:space="preserve"> IFERROR( VfM_Metrics_2023_Entity[[#This Row],[Total non-social housing units developed or newly built units acquired (owned)]] / VfM_Metrics_2023_Entity[[#This Row],[Total social and non-social housing units owned (Period end)]], "n/a" )</f>
        <v>5.0769152662842059E-5</v>
      </c>
      <c r="V6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v>
      </c>
      <c r="W64" s="84">
        <v>0</v>
      </c>
      <c r="X64" s="84" vm="11879">
        <v>1</v>
      </c>
      <c r="Y64" s="84">
        <v>0</v>
      </c>
      <c r="Z6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19697</v>
      </c>
      <c r="AA64" s="84" vm="11228">
        <v>18401</v>
      </c>
      <c r="AB64" s="84" vm="12429">
        <v>634</v>
      </c>
      <c r="AC64" s="84" vm="12345">
        <v>28</v>
      </c>
      <c r="AD64" s="135" vm="12490">
        <v>634</v>
      </c>
      <c r="AE64" s="134">
        <f xml:space="preserve"> IFERROR( VfM_Metrics_2023_Entity[[#This Row],[Total Net Debt]] / VfM_Metrics_2023_Entity[[#This Row],[Net Book Value of Housing Properties2]], "n/a" )</f>
        <v>0.52337345861785256</v>
      </c>
      <c r="AF6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499348</v>
      </c>
      <c r="AG64" s="84" vm="12557">
        <v>21930</v>
      </c>
      <c r="AH64" s="84" vm="12974">
        <v>508608</v>
      </c>
      <c r="AI64" s="84" vm="13067">
        <v>31190</v>
      </c>
      <c r="AJ64" s="84">
        <v>0</v>
      </c>
      <c r="AK64" s="84">
        <v>0</v>
      </c>
      <c r="AL64" s="5">
        <f xml:space="preserve"> SUM( VfM_Metrics_2023_Entity[[#This Row],[Tangible fixed assets: Housing properties at cost (Current period)2]], VfM_Metrics_2023_Entity[[#This Row],[Tangible fixed assets Housing properties at valuation (Current period)2]] )</f>
        <v>954095</v>
      </c>
      <c r="AM64" s="84" vm="9885">
        <v>954095</v>
      </c>
      <c r="AN64" s="135">
        <v>0</v>
      </c>
      <c r="AO64" s="137">
        <f xml:space="preserve"> IFERROR( VfM_Metrics_2023_Entity[[#This Row],[EBITDA MRI]] / VfM_Metrics_2023_Entity[[#This Row],[Total interest]], "n/a" )</f>
        <v>0.98950185976987526</v>
      </c>
      <c r="AP6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28465</v>
      </c>
      <c r="AQ64" s="84" vm="13437">
        <v>32804</v>
      </c>
      <c r="AR64" s="84" vm="14931">
        <v>5203</v>
      </c>
      <c r="AS64" s="84">
        <v>0</v>
      </c>
      <c r="AT64" s="84" vm="13949">
        <v>2533</v>
      </c>
      <c r="AU64" s="84" vm="14200">
        <v>0</v>
      </c>
      <c r="AV64" s="84" vm="14443">
        <v>197</v>
      </c>
      <c r="AW64" s="84" vm="14690">
        <v>14490</v>
      </c>
      <c r="AX64" s="84" vm="14932">
        <v>17690</v>
      </c>
      <c r="AY64" s="5">
        <f xml:space="preserve"> - SUM( VfM_Metrics_2023_Entity[[#This Row],[Interest capitalised]], VfM_Metrics_2023_Entity[[#This Row],[Interest payable and financing costs]] )</f>
        <v>28767</v>
      </c>
      <c r="AZ64" s="84" vm="15164">
        <v>-3643</v>
      </c>
      <c r="BA64" s="135" vm="15483">
        <v>-25124</v>
      </c>
      <c r="BB64" s="138">
        <f xml:space="preserve"> IFERROR( ( VfM_Metrics_2023_Entity[[#This Row],[Total Costs]] / VfM_Metrics_2023_Entity[[#This Row],[Total units for costs]] ) * 1000, "n/a" )</f>
        <v>3838.6185925282361</v>
      </c>
      <c r="BC6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70692</v>
      </c>
      <c r="BD64" s="84" vm="17471">
        <v>23627</v>
      </c>
      <c r="BE64" s="84" vm="16291">
        <v>9439</v>
      </c>
      <c r="BF64" s="84" vm="15744">
        <v>19227</v>
      </c>
      <c r="BG64" s="84" vm="15802">
        <v>3148</v>
      </c>
      <c r="BH64" s="84" vm="16780">
        <v>17</v>
      </c>
      <c r="BI64" s="84" vm="17022">
        <v>0</v>
      </c>
      <c r="BJ64" s="84" vm="15880">
        <v>14490</v>
      </c>
      <c r="BK64" s="84" vm="17470">
        <v>13</v>
      </c>
      <c r="BL64" s="84">
        <v>0</v>
      </c>
      <c r="BM64" s="84">
        <v>0</v>
      </c>
      <c r="BN64" s="84" vm="16855">
        <v>61</v>
      </c>
      <c r="BO64" s="84" vm="15870">
        <v>670</v>
      </c>
      <c r="BP64" s="5" vm="17762">
        <f xml:space="preserve"> VfM_Metrics_2023_Entity[[#This Row],[Total social housing units owned and/or managed at period end]]</f>
        <v>18416</v>
      </c>
      <c r="BQ64" s="135" vm="17762">
        <v>18416</v>
      </c>
      <c r="BR64" s="134">
        <f xml:space="preserve"> IFERROR( VfM_Metrics_2023_Entity[[#This Row],[SHL operating surplus / (deficit)]] / VfM_Metrics_2023_Entity[[#This Row],[Turnover from social housing lettings]], "n/a" )</f>
        <v>0.23842429716134045</v>
      </c>
      <c r="BS64" s="5" vm="17840">
        <f xml:space="preserve"> VfM_Metrics_2023_Entity[[#This Row],[Operating surplus/(deficit) (social housing lettings)]]</f>
        <v>22703</v>
      </c>
      <c r="BT64" s="84" vm="17840">
        <v>22703</v>
      </c>
      <c r="BU64" s="5" vm="18048">
        <f xml:space="preserve"> VfM_Metrics_2023_Entity[[#This Row],[Turnover from social housing lettings]]</f>
        <v>95221</v>
      </c>
      <c r="BV64" s="135" vm="18048">
        <v>95221</v>
      </c>
      <c r="BW64" s="134">
        <f xml:space="preserve"> IFERROR( VfM_Metrics_2023_Entity[[#This Row],[Net operating surplus]] / VfM_Metrics_2023_Entity[[#This Row],[Overall turnover]], "n/a" )</f>
        <v>0.24669961834449103</v>
      </c>
      <c r="BX64" s="5">
        <f xml:space="preserve"> SUM( VfM_Metrics_2023_Entity[[#This Row],[Operating surplus/(deficit) (overall)2]], - VfM_Metrics_2023_Entity[[#This Row],[Gain/(loss) on disposal of fixed assets (housing properties)2]], - VfM_Metrics_2023_Entity[[#This Row],[Gain/(loss) on disposal of fixed assets (other)2]] )</f>
        <v>27601</v>
      </c>
      <c r="BY64" s="84" vm="13510">
        <v>32804</v>
      </c>
      <c r="BZ64" s="84" vm="14931">
        <v>5203</v>
      </c>
      <c r="CA64" s="84">
        <v>0</v>
      </c>
      <c r="CB64" s="5" vm="18251">
        <f xml:space="preserve"> VfM_Metrics_2023_Entity[[#This Row],[Turnover (overall)]]</f>
        <v>111881</v>
      </c>
      <c r="CC64" s="135" vm="18251">
        <v>111881</v>
      </c>
      <c r="CD64" s="134">
        <f xml:space="preserve"> IFERROR( VfM_Metrics_2023_Entity[[#This Row],[Operating surplus including from JVs]] / VfM_Metrics_2023_Entity[[#This Row],[Net assets]], "n/a" )</f>
        <v>3.3251566079429119E-2</v>
      </c>
      <c r="CE64" s="5">
        <f xml:space="preserve"> SUM( VfM_Metrics_2023_Entity[[#This Row],[Operating surplus/(deficit) (overall)3]], VfM_Metrics_2023_Entity[[#This Row],[Share of operating surplus/(deficit) in joint ventures or associates]] )</f>
        <v>32804</v>
      </c>
      <c r="CF64" s="84" vm="13437">
        <v>32804</v>
      </c>
      <c r="CG64" s="84">
        <v>0</v>
      </c>
      <c r="CH64" s="5" vm="18577">
        <f xml:space="preserve"> VfM_Metrics_2023_Entity[[#This Row],[Total assets less current liabilities]]</f>
        <v>986540</v>
      </c>
      <c r="CI64" s="135" vm="18577">
        <v>986540</v>
      </c>
      <c r="CJ64" s="140" vm="11228">
        <f xml:space="preserve"> VfM_Metrics_2023_Entity[[#This Row],[Total social housing units owned (Period end)]]</f>
        <v>18401</v>
      </c>
      <c r="CK64" s="141">
        <v>3.0181979582778518E-2</v>
      </c>
      <c r="CL64" s="69">
        <f xml:space="preserve"> -- ( VfM_Metrics_2023_Entity[[#This Row],[% Supported housing (excl. HOP)]] &gt; 0.3 )</f>
        <v>0</v>
      </c>
      <c r="CM64" s="9">
        <v>0.19346426986240567</v>
      </c>
      <c r="CN64" s="69">
        <f xml:space="preserve"> -- ( VfM_Metrics_2023_Entity[[#This Row],[% Housing for older people]] &gt; 0.3 )</f>
        <v>0</v>
      </c>
      <c r="CO64" s="9">
        <f xml:space="preserve"> VfM_Metrics_2023_Entity[[#This Row],[% Supported housing (excl. HOP)]] + VfM_Metrics_2023_Entity[[#This Row],[% Housing for older people]]</f>
        <v>0.22364624944518419</v>
      </c>
      <c r="CP64" s="69">
        <f xml:space="preserve"> -- ( VfM_Metrics_2023_Entity[[#This Row],[SH specialist in RSH analysis]] + VfM_Metrics_2023_Entity[[#This Row],[OP specialist in RSH analysis]] &gt; 0 )</f>
        <v>0</v>
      </c>
      <c r="CQ64" s="142">
        <f xml:space="preserve"> -- ( VfM_Metrics_2023_Entity[[#This Row],[% SH and OP]] &gt; 0.3 )</f>
        <v>0</v>
      </c>
      <c r="CR64" s="143" t="s">
        <v>143</v>
      </c>
      <c r="CS64" s="120"/>
      <c r="CT64" s="144" t="s">
        <v>151</v>
      </c>
      <c r="CU6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64" s="146">
        <v>0</v>
      </c>
      <c r="CW64" s="146">
        <v>0</v>
      </c>
      <c r="CX64" s="146">
        <v>0</v>
      </c>
      <c r="CY64" s="146">
        <v>0.99757615821076406</v>
      </c>
      <c r="CZ64" s="146">
        <v>2.2585798490607615E-3</v>
      </c>
      <c r="DA64" s="146">
        <v>5.5087313391725883E-5</v>
      </c>
      <c r="DB64" s="146">
        <v>0</v>
      </c>
      <c r="DC64" s="146">
        <v>0</v>
      </c>
      <c r="DD64" s="146">
        <v>1.1017462678345177E-4</v>
      </c>
      <c r="DE64" s="126">
        <v>0.9423886131057333</v>
      </c>
    </row>
    <row r="65" spans="1:109" x14ac:dyDescent="0.25">
      <c r="A65" s="4" t="s" vm="237">
        <v>240</v>
      </c>
      <c r="B65" s="4" t="s" vm="9833">
        <v>241</v>
      </c>
      <c r="C65" s="121" vm="18940">
        <v>45016</v>
      </c>
      <c r="D65" s="68">
        <f>IFERROR( VfM_Metrics_2023_Entity[[#This Row],[Reinvestment Spend]] / VfM_Metrics_2023_Entity[[#This Row],[Net Book Value of Housing Properties]], "n/a" )</f>
        <v>1.2840644815043035E-2</v>
      </c>
      <c r="E6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646</v>
      </c>
      <c r="F65" s="84" vm="10452">
        <v>0</v>
      </c>
      <c r="G65" s="84" vm="10669">
        <v>0</v>
      </c>
      <c r="H65" s="84" vm="10795">
        <v>646</v>
      </c>
      <c r="I65" s="84" vm="9662">
        <v>0</v>
      </c>
      <c r="J65" s="84" vm="10668">
        <v>0</v>
      </c>
      <c r="K65" s="5">
        <f xml:space="preserve"> SUM( VfM_Metrics_2023_Entity[[#This Row],[Tangible fixed assets: Housing properties at cost (Current period)]],VfM_Metrics_2023_Entity[[#This Row],[Tangible fixed assets Housing properties at valuation (Current period)]] )</f>
        <v>50309</v>
      </c>
      <c r="L65" s="84" vm="10278">
        <v>50309</v>
      </c>
      <c r="M65" s="84" vm="10086">
        <v>0</v>
      </c>
      <c r="N65" s="134">
        <f xml:space="preserve"> IFERROR( VfM_Metrics_2023_Entity[[#This Row],[Total social units developed or newly built units acquired in-year]] / VfM_Metrics_2023_Entity[[#This Row],[Social housing units owned (period end)]], "n/a" )</f>
        <v>0</v>
      </c>
      <c r="O65" s="5">
        <f xml:space="preserve"> SUM( VfM_Metrics_2023_Entity[[#This Row],[Total social units developed or newly built units acquired in-year (owned)]], VfM_Metrics_2023_Entity[[#This Row],[Total social leasehold units developed or newly built units acquired in-year (owned)]] )</f>
        <v>0</v>
      </c>
      <c r="P65" s="84" vm="10999">
        <v>0</v>
      </c>
      <c r="Q65" s="84" vm="11109">
        <v>0</v>
      </c>
      <c r="R65" s="5">
        <f xml:space="preserve"> SUM( VfM_Metrics_2023_Entity[[#This Row],[Total social housing units owned (Period end)]], VfM_Metrics_2023_Entity[[#This Row],[Total social leasehold units owned (Period end)]] )</f>
        <v>1387</v>
      </c>
      <c r="S65" s="84" vm="11322">
        <v>1387</v>
      </c>
      <c r="T65" s="135" vm="11413">
        <v>0</v>
      </c>
      <c r="U65" s="136">
        <f xml:space="preserve"> IFERROR( VfM_Metrics_2023_Entity[[#This Row],[Total non-social housing units developed or newly built units acquired (owned)]] / VfM_Metrics_2023_Entity[[#This Row],[Total social and non-social housing units owned (Period end)]], "n/a" )</f>
        <v>0</v>
      </c>
      <c r="V6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65" s="84" vm="11589">
        <v>0</v>
      </c>
      <c r="X65" s="84" vm="11691">
        <v>0</v>
      </c>
      <c r="Y65" s="84" vm="11725">
        <v>0</v>
      </c>
      <c r="Z6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1407</v>
      </c>
      <c r="AA65" s="84" vm="11989">
        <v>1387</v>
      </c>
      <c r="AB65" s="84" vm="11413">
        <v>0</v>
      </c>
      <c r="AC65" s="84" vm="12088">
        <v>20</v>
      </c>
      <c r="AD65" s="135" vm="12250">
        <v>0</v>
      </c>
      <c r="AE65" s="134">
        <f xml:space="preserve"> IFERROR( VfM_Metrics_2023_Entity[[#This Row],[Total Net Debt]] / VfM_Metrics_2023_Entity[[#This Row],[Net Book Value of Housing Properties2]], "n/a" )</f>
        <v>0.2792939633067642</v>
      </c>
      <c r="AF6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14051</v>
      </c>
      <c r="AG65" s="84" vm="12589">
        <v>469</v>
      </c>
      <c r="AH65" s="84" vm="12734">
        <v>17280</v>
      </c>
      <c r="AI65" s="84" vm="12893">
        <v>3698</v>
      </c>
      <c r="AJ65" s="84" vm="12932">
        <v>0</v>
      </c>
      <c r="AK65" s="84" vm="13026">
        <v>0</v>
      </c>
      <c r="AL65" s="5">
        <f xml:space="preserve"> SUM( VfM_Metrics_2023_Entity[[#This Row],[Tangible fixed assets: Housing properties at cost (Current period)2]], VfM_Metrics_2023_Entity[[#This Row],[Tangible fixed assets Housing properties at valuation (Current period)2]] )</f>
        <v>50309</v>
      </c>
      <c r="AM65" s="84" vm="9893">
        <v>50309</v>
      </c>
      <c r="AN65" s="135" vm="10086">
        <v>0</v>
      </c>
      <c r="AO65" s="137">
        <f xml:space="preserve"> IFERROR( VfM_Metrics_2023_Entity[[#This Row],[EBITDA MRI]] / VfM_Metrics_2023_Entity[[#This Row],[Total interest]], "n/a" )</f>
        <v>1.927063339731286</v>
      </c>
      <c r="AP6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1004</v>
      </c>
      <c r="AQ65" s="84" vm="13475">
        <v>806</v>
      </c>
      <c r="AR65" s="84" vm="13698">
        <v>149</v>
      </c>
      <c r="AS65" s="84" vm="13950">
        <v>0</v>
      </c>
      <c r="AT65" s="84" vm="14201">
        <v>69</v>
      </c>
      <c r="AU65" s="84" vm="14444">
        <v>0</v>
      </c>
      <c r="AV65" s="84" vm="14691">
        <v>0</v>
      </c>
      <c r="AW65" s="84" vm="14933">
        <v>671</v>
      </c>
      <c r="AX65" s="84" vm="13699">
        <v>1087</v>
      </c>
      <c r="AY65" s="5">
        <f xml:space="preserve"> - SUM( VfM_Metrics_2023_Entity[[#This Row],[Interest capitalised]], VfM_Metrics_2023_Entity[[#This Row],[Interest payable and financing costs]] )</f>
        <v>521</v>
      </c>
      <c r="AZ65" s="84" vm="15153">
        <v>0</v>
      </c>
      <c r="BA65" s="135" vm="15319">
        <v>-521</v>
      </c>
      <c r="BB65" s="138">
        <f xml:space="preserve"> IFERROR( ( VfM_Metrics_2023_Entity[[#This Row],[Total Costs]] / VfM_Metrics_2023_Entity[[#This Row],[Total units for costs]] ) * 1000, "n/a" )</f>
        <v>3271.8096611391493</v>
      </c>
      <c r="BC6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4538</v>
      </c>
      <c r="BD65" s="84" vm="17098">
        <v>2462</v>
      </c>
      <c r="BE65" s="84" vm="17237">
        <v>170</v>
      </c>
      <c r="BF65" s="84" vm="17315">
        <v>993</v>
      </c>
      <c r="BG65" s="84" vm="15872">
        <v>0</v>
      </c>
      <c r="BH65" s="84" vm="15803">
        <v>242</v>
      </c>
      <c r="BI65" s="84" vm="16397">
        <v>0</v>
      </c>
      <c r="BJ65" s="84" vm="14933">
        <v>671</v>
      </c>
      <c r="BK65" s="84" vm="16856">
        <v>0</v>
      </c>
      <c r="BL65" s="84" vm="17099">
        <v>0</v>
      </c>
      <c r="BM65" s="84" vm="15745">
        <v>0</v>
      </c>
      <c r="BN65" s="84" vm="16293">
        <v>0</v>
      </c>
      <c r="BO65" s="84" vm="17022">
        <v>0</v>
      </c>
      <c r="BP65" s="5" vm="17624">
        <f xml:space="preserve"> VfM_Metrics_2023_Entity[[#This Row],[Total social housing units owned and/or managed at period end]]</f>
        <v>1387</v>
      </c>
      <c r="BQ65" s="135" vm="17624">
        <v>1387</v>
      </c>
      <c r="BR65" s="134">
        <f xml:space="preserve"> IFERROR( VfM_Metrics_2023_Entity[[#This Row],[SHL operating surplus / (deficit)]] / VfM_Metrics_2023_Entity[[#This Row],[Turnover from social housing lettings]], "n/a" )</f>
        <v>0.11497466363795213</v>
      </c>
      <c r="BS65" s="5" vm="17878">
        <f xml:space="preserve"> VfM_Metrics_2023_Entity[[#This Row],[Operating surplus/(deficit) (social housing lettings)]]</f>
        <v>658</v>
      </c>
      <c r="BT65" s="84" vm="17878">
        <v>658</v>
      </c>
      <c r="BU65" s="5" vm="18070">
        <f xml:space="preserve"> VfM_Metrics_2023_Entity[[#This Row],[Turnover from social housing lettings]]</f>
        <v>5723</v>
      </c>
      <c r="BV65" s="135" vm="18070">
        <v>5723</v>
      </c>
      <c r="BW65" s="134">
        <f xml:space="preserve"> IFERROR( VfM_Metrics_2023_Entity[[#This Row],[Net operating surplus]] / VfM_Metrics_2023_Entity[[#This Row],[Overall turnover]], "n/a" )</f>
        <v>0.11481999300943727</v>
      </c>
      <c r="BX65" s="5">
        <f xml:space="preserve"> SUM( VfM_Metrics_2023_Entity[[#This Row],[Operating surplus/(deficit) (overall)2]], - VfM_Metrics_2023_Entity[[#This Row],[Gain/(loss) on disposal of fixed assets (housing properties)2]], - VfM_Metrics_2023_Entity[[#This Row],[Gain/(loss) on disposal of fixed assets (other)2]] )</f>
        <v>657</v>
      </c>
      <c r="BY65" s="84" vm="13475">
        <v>806</v>
      </c>
      <c r="BZ65" s="84" vm="13698">
        <v>149</v>
      </c>
      <c r="CA65" s="84" vm="13950">
        <v>0</v>
      </c>
      <c r="CB65" s="5" vm="18397">
        <f xml:space="preserve"> VfM_Metrics_2023_Entity[[#This Row],[Turnover (overall)]]</f>
        <v>5722</v>
      </c>
      <c r="CC65" s="135" vm="18397">
        <v>5722</v>
      </c>
      <c r="CD65" s="134">
        <f xml:space="preserve"> IFERROR( VfM_Metrics_2023_Entity[[#This Row],[Operating surplus including from JVs]] / VfM_Metrics_2023_Entity[[#This Row],[Net assets]], "n/a" )</f>
        <v>1.5216734632230781E-2</v>
      </c>
      <c r="CE65" s="5">
        <f xml:space="preserve"> SUM( VfM_Metrics_2023_Entity[[#This Row],[Operating surplus/(deficit) (overall)3]], VfM_Metrics_2023_Entity[[#This Row],[Share of operating surplus/(deficit) in joint ventures or associates]] )</f>
        <v>806</v>
      </c>
      <c r="CF65" s="84" vm="13475">
        <v>806</v>
      </c>
      <c r="CG65" s="84" vm="18449">
        <v>0</v>
      </c>
      <c r="CH65" s="5" vm="18615">
        <f xml:space="preserve"> VfM_Metrics_2023_Entity[[#This Row],[Total assets less current liabilities]]</f>
        <v>52968</v>
      </c>
      <c r="CI65" s="135" vm="18615">
        <v>52968</v>
      </c>
      <c r="CJ65" s="140" vm="11322">
        <f xml:space="preserve"> VfM_Metrics_2023_Entity[[#This Row],[Total social housing units owned (Period end)]]</f>
        <v>1387</v>
      </c>
      <c r="CK65" s="141">
        <v>1.4450867052023121E-2</v>
      </c>
      <c r="CL65" s="69">
        <f xml:space="preserve"> -- ( VfM_Metrics_2023_Entity[[#This Row],[% Supported housing (excl. HOP)]] &gt; 0.3 )</f>
        <v>0</v>
      </c>
      <c r="CM65" s="9">
        <v>0</v>
      </c>
      <c r="CN65" s="69">
        <f xml:space="preserve"> -- ( VfM_Metrics_2023_Entity[[#This Row],[% Housing for older people]] &gt; 0.3 )</f>
        <v>0</v>
      </c>
      <c r="CO65" s="9">
        <f xml:space="preserve"> VfM_Metrics_2023_Entity[[#This Row],[% Supported housing (excl. HOP)]] + VfM_Metrics_2023_Entity[[#This Row],[% Housing for older people]]</f>
        <v>1.4450867052023121E-2</v>
      </c>
      <c r="CP65" s="69">
        <f xml:space="preserve"> -- ( VfM_Metrics_2023_Entity[[#This Row],[SH specialist in RSH analysis]] + VfM_Metrics_2023_Entity[[#This Row],[OP specialist in RSH analysis]] &gt; 0 )</f>
        <v>0</v>
      </c>
      <c r="CQ65" s="142">
        <f xml:space="preserve"> -- ( VfM_Metrics_2023_Entity[[#This Row],[% SH and OP]] &gt; 0.3 )</f>
        <v>0</v>
      </c>
      <c r="CR65" s="143" t="s">
        <v>143</v>
      </c>
      <c r="CS65" s="120"/>
      <c r="CT65" s="144" t="s">
        <v>151</v>
      </c>
      <c r="CU6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65" s="146">
        <v>0</v>
      </c>
      <c r="CW65" s="146">
        <v>0</v>
      </c>
      <c r="CX65" s="146">
        <v>0</v>
      </c>
      <c r="CY65" s="146">
        <v>0</v>
      </c>
      <c r="CZ65" s="146">
        <v>1</v>
      </c>
      <c r="DA65" s="146">
        <v>0</v>
      </c>
      <c r="DB65" s="146">
        <v>0</v>
      </c>
      <c r="DC65" s="146">
        <v>0</v>
      </c>
      <c r="DD65" s="146">
        <v>0</v>
      </c>
      <c r="DE65" s="126">
        <v>0.96459033333600952</v>
      </c>
    </row>
    <row r="66" spans="1:109" x14ac:dyDescent="0.25">
      <c r="A66" s="4" t="s" vm="234">
        <v>242</v>
      </c>
      <c r="B66" s="4" t="s" vm="8599">
        <v>243</v>
      </c>
      <c r="C66" s="121" vm="18898">
        <v>45016</v>
      </c>
      <c r="D66" s="68">
        <f>IFERROR( VfM_Metrics_2023_Entity[[#This Row],[Reinvestment Spend]] / VfM_Metrics_2023_Entity[[#This Row],[Net Book Value of Housing Properties]], "n/a" )</f>
        <v>7.4280941692331778E-2</v>
      </c>
      <c r="E6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7115</v>
      </c>
      <c r="F66" s="84" vm="10427">
        <v>6140</v>
      </c>
      <c r="G66" s="84" vm="10947">
        <v>0</v>
      </c>
      <c r="H66" s="84" vm="9549">
        <v>817</v>
      </c>
      <c r="I66" s="84" vm="9608">
        <v>158</v>
      </c>
      <c r="J66" s="84" vm="10428">
        <v>0</v>
      </c>
      <c r="K66" s="5">
        <f xml:space="preserve"> SUM( VfM_Metrics_2023_Entity[[#This Row],[Tangible fixed assets: Housing properties at cost (Current period)]],VfM_Metrics_2023_Entity[[#This Row],[Tangible fixed assets Housing properties at valuation (Current period)]] )</f>
        <v>95785</v>
      </c>
      <c r="L66" s="84" vm="10058">
        <v>95785</v>
      </c>
      <c r="M66" s="84" vm="10287">
        <v>0</v>
      </c>
      <c r="N66" s="134">
        <f xml:space="preserve"> IFERROR( VfM_Metrics_2023_Entity[[#This Row],[Total social units developed or newly built units acquired in-year]] / VfM_Metrics_2023_Entity[[#This Row],[Social housing units owned (period end)]], "n/a" )</f>
        <v>1.3291634089132134E-2</v>
      </c>
      <c r="O66" s="5">
        <f xml:space="preserve"> SUM( VfM_Metrics_2023_Entity[[#This Row],[Total social units developed or newly built units acquired in-year (owned)]], VfM_Metrics_2023_Entity[[#This Row],[Total social leasehold units developed or newly built units acquired in-year (owned)]] )</f>
        <v>17</v>
      </c>
      <c r="P66" s="84" vm="10959">
        <v>17</v>
      </c>
      <c r="Q66" s="84" vm="11134">
        <v>0</v>
      </c>
      <c r="R66" s="5">
        <f xml:space="preserve"> SUM( VfM_Metrics_2023_Entity[[#This Row],[Total social housing units owned (Period end)]], VfM_Metrics_2023_Entity[[#This Row],[Total social leasehold units owned (Period end)]] )</f>
        <v>1279</v>
      </c>
      <c r="S66" s="84" vm="11239">
        <v>1279</v>
      </c>
      <c r="T66" s="135" vm="11497">
        <v>0</v>
      </c>
      <c r="U66" s="136">
        <f xml:space="preserve"> IFERROR( VfM_Metrics_2023_Entity[[#This Row],[Total non-social housing units developed or newly built units acquired (owned)]] / VfM_Metrics_2023_Entity[[#This Row],[Total social and non-social housing units owned (Period end)]], "n/a" )</f>
        <v>0</v>
      </c>
      <c r="V6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66" s="84" vm="11615">
        <v>0</v>
      </c>
      <c r="X66" s="84" vm="11789">
        <v>0</v>
      </c>
      <c r="Y66" s="84" vm="11830">
        <v>0</v>
      </c>
      <c r="Z6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1279</v>
      </c>
      <c r="AA66" s="84" vm="11239">
        <v>1279</v>
      </c>
      <c r="AB66" s="84" vm="12430">
        <v>0</v>
      </c>
      <c r="AC66" s="84" vm="12346">
        <v>0</v>
      </c>
      <c r="AD66" s="135" vm="12490">
        <v>0</v>
      </c>
      <c r="AE66" s="134">
        <f xml:space="preserve"> IFERROR( VfM_Metrics_2023_Entity[[#This Row],[Total Net Debt]] / VfM_Metrics_2023_Entity[[#This Row],[Net Book Value of Housing Properties2]], "n/a" )</f>
        <v>0.36330323119486352</v>
      </c>
      <c r="AF6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34799</v>
      </c>
      <c r="AG66" s="84" vm="12610">
        <v>919</v>
      </c>
      <c r="AH66" s="84" vm="13111">
        <v>37232</v>
      </c>
      <c r="AI66" s="84" vm="13199">
        <v>3352</v>
      </c>
      <c r="AJ66" s="84" vm="12735">
        <v>0</v>
      </c>
      <c r="AK66" s="84" vm="12850">
        <v>0</v>
      </c>
      <c r="AL66" s="5">
        <f xml:space="preserve"> SUM( VfM_Metrics_2023_Entity[[#This Row],[Tangible fixed assets: Housing properties at cost (Current period)2]], VfM_Metrics_2023_Entity[[#This Row],[Tangible fixed assets Housing properties at valuation (Current period)2]] )</f>
        <v>95785</v>
      </c>
      <c r="AM66" s="84" vm="9918">
        <v>95785</v>
      </c>
      <c r="AN66" s="135" vm="10105">
        <v>0</v>
      </c>
      <c r="AO66" s="137">
        <f xml:space="preserve"> IFERROR( VfM_Metrics_2023_Entity[[#This Row],[EBITDA MRI]] / VfM_Metrics_2023_Entity[[#This Row],[Total interest]], "n/a" )</f>
        <v>1.4710198092443141</v>
      </c>
      <c r="AP6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2005</v>
      </c>
      <c r="AQ66" s="84" vm="13507">
        <v>1692</v>
      </c>
      <c r="AR66" s="84" vm="13951">
        <v>116</v>
      </c>
      <c r="AS66" s="84" vm="14202">
        <v>0</v>
      </c>
      <c r="AT66" s="84" vm="14445">
        <v>472</v>
      </c>
      <c r="AU66" s="84" vm="14692">
        <v>0</v>
      </c>
      <c r="AV66" s="84" vm="14934">
        <v>16</v>
      </c>
      <c r="AW66" s="84" vm="13700">
        <v>817</v>
      </c>
      <c r="AX66" s="84" vm="13952">
        <v>1702</v>
      </c>
      <c r="AY66" s="5">
        <f xml:space="preserve"> - SUM( VfM_Metrics_2023_Entity[[#This Row],[Interest capitalised]], VfM_Metrics_2023_Entity[[#This Row],[Interest payable and financing costs]] )</f>
        <v>1363</v>
      </c>
      <c r="AZ66" s="84" vm="15194">
        <v>-158</v>
      </c>
      <c r="BA66" s="135" vm="15356">
        <v>-1205</v>
      </c>
      <c r="BB66" s="138">
        <f xml:space="preserve"> IFERROR( ( VfM_Metrics_2023_Entity[[#This Row],[Total Costs]] / VfM_Metrics_2023_Entity[[#This Row],[Total units for costs]] ) * 1000, "n/a" )</f>
        <v>3472.9027468448407</v>
      </c>
      <c r="BC6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4678</v>
      </c>
      <c r="BD66" s="84" vm="15611">
        <v>989</v>
      </c>
      <c r="BE66" s="84" vm="16399">
        <v>722</v>
      </c>
      <c r="BF66" s="84" vm="15881">
        <v>744</v>
      </c>
      <c r="BG66" s="84" vm="16781">
        <v>557</v>
      </c>
      <c r="BH66" s="84" vm="16078">
        <v>660</v>
      </c>
      <c r="BI66" s="84" vm="15804">
        <v>0</v>
      </c>
      <c r="BJ66" s="84" vm="13700">
        <v>817</v>
      </c>
      <c r="BK66" s="84" vm="17472">
        <v>0</v>
      </c>
      <c r="BL66" s="84" vm="16400">
        <v>46</v>
      </c>
      <c r="BM66" s="84" vm="16613">
        <v>0</v>
      </c>
      <c r="BN66" s="84" vm="15746">
        <v>143</v>
      </c>
      <c r="BO66" s="84" vm="16398">
        <v>0</v>
      </c>
      <c r="BP66" s="5" vm="17660">
        <f xml:space="preserve"> VfM_Metrics_2023_Entity[[#This Row],[Total social housing units owned and/or managed at period end]]</f>
        <v>1347</v>
      </c>
      <c r="BQ66" s="135" vm="17660">
        <v>1347</v>
      </c>
      <c r="BR66" s="134">
        <f xml:space="preserve"> IFERROR( VfM_Metrics_2023_Entity[[#This Row],[SHL operating surplus / (deficit)]] / VfM_Metrics_2023_Entity[[#This Row],[Turnover from social housing lettings]], "n/a" )</f>
        <v>0.2053068485028165</v>
      </c>
      <c r="BS66" s="5" vm="17915">
        <f xml:space="preserve"> VfM_Metrics_2023_Entity[[#This Row],[Operating surplus/(deficit) (social housing lettings)]]</f>
        <v>1385</v>
      </c>
      <c r="BT66" s="84" vm="17915">
        <v>1385</v>
      </c>
      <c r="BU66" s="5" vm="18112">
        <f xml:space="preserve"> VfM_Metrics_2023_Entity[[#This Row],[Turnover from social housing lettings]]</f>
        <v>6746</v>
      </c>
      <c r="BV66" s="135" vm="18112">
        <v>6746</v>
      </c>
      <c r="BW66" s="134">
        <f xml:space="preserve"> IFERROR( VfM_Metrics_2023_Entity[[#This Row],[Net operating surplus]] / VfM_Metrics_2023_Entity[[#This Row],[Overall turnover]], "n/a" )</f>
        <v>0.21199892386333063</v>
      </c>
      <c r="BX66" s="5">
        <f xml:space="preserve"> SUM( VfM_Metrics_2023_Entity[[#This Row],[Operating surplus/(deficit) (overall)2]], - VfM_Metrics_2023_Entity[[#This Row],[Gain/(loss) on disposal of fixed assets (housing properties)2]], - VfM_Metrics_2023_Entity[[#This Row],[Gain/(loss) on disposal of fixed assets (other)2]] )</f>
        <v>1576</v>
      </c>
      <c r="BY66" s="84" vm="13507">
        <v>1692</v>
      </c>
      <c r="BZ66" s="84" vm="13951">
        <v>116</v>
      </c>
      <c r="CA66" s="84" vm="14202">
        <v>0</v>
      </c>
      <c r="CB66" s="5" vm="18265">
        <f xml:space="preserve"> VfM_Metrics_2023_Entity[[#This Row],[Turnover (overall)]]</f>
        <v>7434</v>
      </c>
      <c r="CC66" s="135" vm="18265">
        <v>7434</v>
      </c>
      <c r="CD66" s="134">
        <f xml:space="preserve"> IFERROR( VfM_Metrics_2023_Entity[[#This Row],[Operating surplus including from JVs]] / VfM_Metrics_2023_Entity[[#This Row],[Net assets]], "n/a" )</f>
        <v>1.7535495906311534E-2</v>
      </c>
      <c r="CE66" s="5">
        <f xml:space="preserve"> SUM( VfM_Metrics_2023_Entity[[#This Row],[Operating surplus/(deficit) (overall)3]], VfM_Metrics_2023_Entity[[#This Row],[Share of operating surplus/(deficit) in joint ventures or associates]] )</f>
        <v>1692</v>
      </c>
      <c r="CF66" s="84" vm="13506">
        <v>1692</v>
      </c>
      <c r="CG66" s="84" vm="18476">
        <v>0</v>
      </c>
      <c r="CH66" s="5" vm="18651">
        <f xml:space="preserve"> VfM_Metrics_2023_Entity[[#This Row],[Total assets less current liabilities]]</f>
        <v>96490</v>
      </c>
      <c r="CI66" s="135" vm="18651">
        <v>96490</v>
      </c>
      <c r="CJ66" s="140" vm="11239">
        <f xml:space="preserve"> VfM_Metrics_2023_Entity[[#This Row],[Total social housing units owned (Period end)]]</f>
        <v>1279</v>
      </c>
      <c r="CK66" s="141">
        <v>0</v>
      </c>
      <c r="CL66" s="69">
        <f xml:space="preserve"> -- ( VfM_Metrics_2023_Entity[[#This Row],[% Supported housing (excl. HOP)]] &gt; 0.3 )</f>
        <v>0</v>
      </c>
      <c r="CM66" s="9">
        <v>0</v>
      </c>
      <c r="CN66" s="69">
        <f xml:space="preserve"> -- ( VfM_Metrics_2023_Entity[[#This Row],[% Housing for older people]] &gt; 0.3 )</f>
        <v>0</v>
      </c>
      <c r="CO66" s="9">
        <f xml:space="preserve"> VfM_Metrics_2023_Entity[[#This Row],[% Supported housing (excl. HOP)]] + VfM_Metrics_2023_Entity[[#This Row],[% Housing for older people]]</f>
        <v>0</v>
      </c>
      <c r="CP66" s="69">
        <f xml:space="preserve"> -- ( VfM_Metrics_2023_Entity[[#This Row],[SH specialist in RSH analysis]] + VfM_Metrics_2023_Entity[[#This Row],[OP specialist in RSH analysis]] &gt; 0 )</f>
        <v>0</v>
      </c>
      <c r="CQ66" s="142">
        <f xml:space="preserve"> -- ( VfM_Metrics_2023_Entity[[#This Row],[% SH and OP]] &gt; 0.3 )</f>
        <v>0</v>
      </c>
      <c r="CR66" s="143" t="s">
        <v>143</v>
      </c>
      <c r="CS66" s="120"/>
      <c r="CT66" s="144" t="s">
        <v>144</v>
      </c>
      <c r="CU6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66" s="146">
        <v>0</v>
      </c>
      <c r="CW66" s="146">
        <v>0.72400312744331508</v>
      </c>
      <c r="CX66" s="146">
        <v>7.8967943706020324E-2</v>
      </c>
      <c r="CY66" s="146">
        <v>2.4237685691946835E-2</v>
      </c>
      <c r="CZ66" s="146">
        <v>0</v>
      </c>
      <c r="DA66" s="146">
        <v>0.16966379984362784</v>
      </c>
      <c r="DB66" s="146">
        <v>0</v>
      </c>
      <c r="DC66" s="146">
        <v>3.1274433150899139E-3</v>
      </c>
      <c r="DD66" s="146">
        <v>0</v>
      </c>
      <c r="DE66" s="126">
        <v>1.0228528291624639</v>
      </c>
    </row>
    <row r="67" spans="1:109" x14ac:dyDescent="0.25">
      <c r="A67" s="4" t="s" vm="316">
        <v>244</v>
      </c>
      <c r="B67" s="4" t="s" vm="10391">
        <v>245</v>
      </c>
      <c r="C67" s="121" vm="18934">
        <v>45016</v>
      </c>
      <c r="D67" s="68">
        <f>IFERROR( VfM_Metrics_2023_Entity[[#This Row],[Reinvestment Spend]] / VfM_Metrics_2023_Entity[[#This Row],[Net Book Value of Housing Properties]], "n/a" )</f>
        <v>2.3041270783075309E-2</v>
      </c>
      <c r="E6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8854</v>
      </c>
      <c r="F67" s="84" vm="9420">
        <v>6218</v>
      </c>
      <c r="G67" s="84" vm="9752">
        <v>0</v>
      </c>
      <c r="H67" s="84" vm="10811">
        <v>2636</v>
      </c>
      <c r="I67" s="84" vm="9550">
        <v>0</v>
      </c>
      <c r="J67" s="84" vm="9947">
        <v>0</v>
      </c>
      <c r="K67" s="5">
        <f xml:space="preserve"> SUM( VfM_Metrics_2023_Entity[[#This Row],[Tangible fixed assets: Housing properties at cost (Current period)]],VfM_Metrics_2023_Entity[[#This Row],[Tangible fixed assets Housing properties at valuation (Current period)]] )</f>
        <v>384267</v>
      </c>
      <c r="L67" s="84" vm="10917">
        <v>384267</v>
      </c>
      <c r="M67" s="84">
        <v>0</v>
      </c>
      <c r="N67" s="134">
        <f xml:space="preserve"> IFERROR( VfM_Metrics_2023_Entity[[#This Row],[Total social units developed or newly built units acquired in-year]] / VfM_Metrics_2023_Entity[[#This Row],[Social housing units owned (period end)]], "n/a" )</f>
        <v>1.500808127453244E-2</v>
      </c>
      <c r="O67" s="5">
        <f xml:space="preserve"> SUM( VfM_Metrics_2023_Entity[[#This Row],[Total social units developed or newly built units acquired in-year (owned)]], VfM_Metrics_2023_Entity[[#This Row],[Total social leasehold units developed or newly built units acquired in-year (owned)]] )</f>
        <v>65</v>
      </c>
      <c r="P67" s="84" vm="11012">
        <v>65</v>
      </c>
      <c r="Q67" s="84">
        <v>0</v>
      </c>
      <c r="R67" s="5">
        <f xml:space="preserve"> SUM( VfM_Metrics_2023_Entity[[#This Row],[Total social housing units owned (Period end)]], VfM_Metrics_2023_Entity[[#This Row],[Total social leasehold units owned (Period end)]] )</f>
        <v>4331</v>
      </c>
      <c r="S67" s="84" vm="11262">
        <v>4331</v>
      </c>
      <c r="T67" s="135" vm="11441">
        <v>0</v>
      </c>
      <c r="U67" s="136">
        <f xml:space="preserve"> IFERROR( VfM_Metrics_2023_Entity[[#This Row],[Total non-social housing units developed or newly built units acquired (owned)]] / VfM_Metrics_2023_Entity[[#This Row],[Total social and non-social housing units owned (Period end)]], "n/a" )</f>
        <v>0</v>
      </c>
      <c r="V6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67" s="84">
        <v>0</v>
      </c>
      <c r="X67" s="84">
        <v>0</v>
      </c>
      <c r="Y67" s="84">
        <v>0</v>
      </c>
      <c r="Z6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4685</v>
      </c>
      <c r="AA67" s="84" vm="11261">
        <v>4331</v>
      </c>
      <c r="AB67" s="84" vm="12186">
        <v>0</v>
      </c>
      <c r="AC67" s="84" vm="12089">
        <v>225</v>
      </c>
      <c r="AD67" s="135" vm="12250">
        <v>129</v>
      </c>
      <c r="AE67" s="134">
        <f xml:space="preserve"> IFERROR( VfM_Metrics_2023_Entity[[#This Row],[Total Net Debt]] / VfM_Metrics_2023_Entity[[#This Row],[Net Book Value of Housing Properties2]], "n/a" )</f>
        <v>0.56339472294003912</v>
      </c>
      <c r="AF6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216494</v>
      </c>
      <c r="AG67" s="84" vm="12639">
        <v>9311</v>
      </c>
      <c r="AH67" s="84" vm="12894">
        <v>218670</v>
      </c>
      <c r="AI67" s="84" vm="12975">
        <v>11487</v>
      </c>
      <c r="AJ67" s="84">
        <v>0</v>
      </c>
      <c r="AK67" s="84">
        <v>0</v>
      </c>
      <c r="AL67" s="5">
        <f xml:space="preserve"> SUM( VfM_Metrics_2023_Entity[[#This Row],[Tangible fixed assets: Housing properties at cost (Current period)2]], VfM_Metrics_2023_Entity[[#This Row],[Tangible fixed assets Housing properties at valuation (Current period)2]] )</f>
        <v>384267</v>
      </c>
      <c r="AM67" s="84" vm="9942">
        <v>384267</v>
      </c>
      <c r="AN67" s="135">
        <v>0</v>
      </c>
      <c r="AO67" s="137">
        <f xml:space="preserve"> IFERROR( VfM_Metrics_2023_Entity[[#This Row],[EBITDA MRI]] / VfM_Metrics_2023_Entity[[#This Row],[Total interest]], "n/a" )</f>
        <v>1.1601130209559689</v>
      </c>
      <c r="AP6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9854</v>
      </c>
      <c r="AQ67" s="84" vm="13545">
        <v>9118</v>
      </c>
      <c r="AR67" s="84" vm="14203">
        <v>1083</v>
      </c>
      <c r="AS67" s="84">
        <v>0</v>
      </c>
      <c r="AT67" s="84" vm="14693">
        <v>2032</v>
      </c>
      <c r="AU67" s="84" vm="14935">
        <v>0</v>
      </c>
      <c r="AV67" s="84" vm="13701">
        <v>74</v>
      </c>
      <c r="AW67" s="84" vm="13953">
        <v>2693</v>
      </c>
      <c r="AX67" s="84" vm="14204">
        <v>6470</v>
      </c>
      <c r="AY67" s="5">
        <f xml:space="preserve"> - SUM( VfM_Metrics_2023_Entity[[#This Row],[Interest capitalised]], VfM_Metrics_2023_Entity[[#This Row],[Interest payable and financing costs]] )</f>
        <v>8494</v>
      </c>
      <c r="AZ67" s="84" vm="15303">
        <v>0</v>
      </c>
      <c r="BA67" s="135" vm="15388">
        <v>-8494</v>
      </c>
      <c r="BB67" s="138">
        <f xml:space="preserve"> IFERROR( ( VfM_Metrics_2023_Entity[[#This Row],[Total Costs]] / VfM_Metrics_2023_Entity[[#This Row],[Total units for costs]] ) * 1000, "n/a" )</f>
        <v>5944.7004608294928</v>
      </c>
      <c r="BC6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25800</v>
      </c>
      <c r="BD67" s="84" vm="17023">
        <v>4914</v>
      </c>
      <c r="BE67" s="84" vm="16295">
        <v>4249</v>
      </c>
      <c r="BF67" s="84" vm="17316">
        <v>5780</v>
      </c>
      <c r="BG67" s="84" vm="17473">
        <v>1428</v>
      </c>
      <c r="BH67" s="84" vm="15882">
        <v>1084</v>
      </c>
      <c r="BI67" s="84" vm="16614">
        <v>127</v>
      </c>
      <c r="BJ67" s="84" vm="13953">
        <v>2693</v>
      </c>
      <c r="BK67" s="84" vm="15807">
        <v>687</v>
      </c>
      <c r="BL67" s="84" vm="16079">
        <v>730</v>
      </c>
      <c r="BM67" s="84" vm="17474">
        <v>439</v>
      </c>
      <c r="BN67" s="84" vm="15884">
        <v>85</v>
      </c>
      <c r="BO67" s="84" vm="16297">
        <v>3584</v>
      </c>
      <c r="BP67" s="5" vm="17797">
        <f xml:space="preserve"> VfM_Metrics_2023_Entity[[#This Row],[Total social housing units owned and/or managed at period end]]</f>
        <v>4340</v>
      </c>
      <c r="BQ67" s="135" vm="17797">
        <v>4340</v>
      </c>
      <c r="BR67" s="134">
        <f xml:space="preserve"> IFERROR( VfM_Metrics_2023_Entity[[#This Row],[SHL operating surplus / (deficit)]] / VfM_Metrics_2023_Entity[[#This Row],[Turnover from social housing lettings]], "n/a" )</f>
        <v>0.22098524031790084</v>
      </c>
      <c r="BS67" s="5" vm="17953">
        <f xml:space="preserve"> VfM_Metrics_2023_Entity[[#This Row],[Operating surplus/(deficit) (social housing lettings)]]</f>
        <v>7007</v>
      </c>
      <c r="BT67" s="84" vm="17953">
        <v>7007</v>
      </c>
      <c r="BU67" s="5" vm="18123">
        <f xml:space="preserve"> VfM_Metrics_2023_Entity[[#This Row],[Turnover from social housing lettings]]</f>
        <v>31708</v>
      </c>
      <c r="BV67" s="135" vm="18123">
        <v>31708</v>
      </c>
      <c r="BW67" s="134">
        <f xml:space="preserve"> IFERROR( VfM_Metrics_2023_Entity[[#This Row],[Net operating surplus]] / VfM_Metrics_2023_Entity[[#This Row],[Overall turnover]], "n/a" )</f>
        <v>0.19626761767507755</v>
      </c>
      <c r="BX67" s="5">
        <f xml:space="preserve"> SUM( VfM_Metrics_2023_Entity[[#This Row],[Operating surplus/(deficit) (overall)2]], - VfM_Metrics_2023_Entity[[#This Row],[Gain/(loss) on disposal of fixed assets (housing properties)2]], - VfM_Metrics_2023_Entity[[#This Row],[Gain/(loss) on disposal of fixed assets (other)2]] )</f>
        <v>8035</v>
      </c>
      <c r="BY67" s="84" vm="13545">
        <v>9118</v>
      </c>
      <c r="BZ67" s="84" vm="14203">
        <v>1083</v>
      </c>
      <c r="CA67" s="84">
        <v>0</v>
      </c>
      <c r="CB67" s="5" vm="18301">
        <f xml:space="preserve"> VfM_Metrics_2023_Entity[[#This Row],[Turnover (overall)]]</f>
        <v>40939</v>
      </c>
      <c r="CC67" s="135" vm="18301">
        <v>40939</v>
      </c>
      <c r="CD67" s="134">
        <f xml:space="preserve"> IFERROR( VfM_Metrics_2023_Entity[[#This Row],[Operating surplus including from JVs]] / VfM_Metrics_2023_Entity[[#This Row],[Net assets]], "n/a" )</f>
        <v>2.0761229917301175E-2</v>
      </c>
      <c r="CE67" s="5">
        <f xml:space="preserve"> SUM( VfM_Metrics_2023_Entity[[#This Row],[Operating surplus/(deficit) (overall)3]], VfM_Metrics_2023_Entity[[#This Row],[Share of operating surplus/(deficit) in joint ventures or associates]] )</f>
        <v>9118</v>
      </c>
      <c r="CF67" s="84" vm="18432">
        <v>9118</v>
      </c>
      <c r="CG67" s="84">
        <v>0</v>
      </c>
      <c r="CH67" s="5" vm="18689">
        <f xml:space="preserve"> VfM_Metrics_2023_Entity[[#This Row],[Total assets less current liabilities]]</f>
        <v>439184</v>
      </c>
      <c r="CI67" s="135" vm="18689">
        <v>439184</v>
      </c>
      <c r="CJ67" s="140" vm="11262">
        <f xml:space="preserve"> VfM_Metrics_2023_Entity[[#This Row],[Total social housing units owned (Period end)]]</f>
        <v>4331</v>
      </c>
      <c r="CK67" s="141">
        <v>2.333641404805915E-2</v>
      </c>
      <c r="CL67" s="69">
        <f xml:space="preserve"> -- ( VfM_Metrics_2023_Entity[[#This Row],[% Supported housing (excl. HOP)]] &gt; 0.3 )</f>
        <v>0</v>
      </c>
      <c r="CM67" s="9">
        <v>1.8022181146025877E-2</v>
      </c>
      <c r="CN67" s="69">
        <f xml:space="preserve"> -- ( VfM_Metrics_2023_Entity[[#This Row],[% Housing for older people]] &gt; 0.3 )</f>
        <v>0</v>
      </c>
      <c r="CO67" s="9">
        <f xml:space="preserve"> VfM_Metrics_2023_Entity[[#This Row],[% Supported housing (excl. HOP)]] + VfM_Metrics_2023_Entity[[#This Row],[% Housing for older people]]</f>
        <v>4.1358595194085024E-2</v>
      </c>
      <c r="CP67" s="69">
        <f xml:space="preserve"> -- ( VfM_Metrics_2023_Entity[[#This Row],[SH specialist in RSH analysis]] + VfM_Metrics_2023_Entity[[#This Row],[OP specialist in RSH analysis]] &gt; 0 )</f>
        <v>0</v>
      </c>
      <c r="CQ67" s="142">
        <f xml:space="preserve"> -- ( VfM_Metrics_2023_Entity[[#This Row],[% SH and OP]] &gt; 0.3 )</f>
        <v>0</v>
      </c>
      <c r="CR67" s="143" t="s">
        <v>143</v>
      </c>
      <c r="CS67" s="120"/>
      <c r="CT67" s="144" t="s">
        <v>144</v>
      </c>
      <c r="CU6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67" s="146">
        <v>0.18227964928472543</v>
      </c>
      <c r="CW67" s="146">
        <v>0</v>
      </c>
      <c r="CX67" s="146">
        <v>0</v>
      </c>
      <c r="CY67" s="146">
        <v>0</v>
      </c>
      <c r="CZ67" s="146">
        <v>0</v>
      </c>
      <c r="DA67" s="146">
        <v>0.8177203507152746</v>
      </c>
      <c r="DB67" s="146">
        <v>0</v>
      </c>
      <c r="DC67" s="146">
        <v>0</v>
      </c>
      <c r="DD67" s="146">
        <v>0</v>
      </c>
      <c r="DE67" s="126">
        <v>1.038529782128603</v>
      </c>
    </row>
    <row r="68" spans="1:109" x14ac:dyDescent="0.25">
      <c r="A68" s="4" t="s" vm="355">
        <v>246</v>
      </c>
      <c r="B68" s="4" t="s" vm="9327">
        <v>247</v>
      </c>
      <c r="C68" s="121" vm="18779">
        <v>45016</v>
      </c>
      <c r="D68" s="68">
        <f>IFERROR( VfM_Metrics_2023_Entity[[#This Row],[Reinvestment Spend]] / VfM_Metrics_2023_Entity[[#This Row],[Net Book Value of Housing Properties]], "n/a" )</f>
        <v>0.1155881835570014</v>
      </c>
      <c r="E6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51911</v>
      </c>
      <c r="F68" s="84" vm="9663">
        <v>41185</v>
      </c>
      <c r="G68" s="84" vm="10631">
        <v>0</v>
      </c>
      <c r="H68" s="84" vm="10929">
        <v>8976</v>
      </c>
      <c r="I68" s="84" vm="9484">
        <v>1750</v>
      </c>
      <c r="J68" s="84" vm="9551">
        <v>0</v>
      </c>
      <c r="K68" s="5">
        <f xml:space="preserve"> SUM( VfM_Metrics_2023_Entity[[#This Row],[Tangible fixed assets: Housing properties at cost (Current period)]],VfM_Metrics_2023_Entity[[#This Row],[Tangible fixed assets Housing properties at valuation (Current period)]] )</f>
        <v>449103</v>
      </c>
      <c r="L68" s="84" vm="10156">
        <v>449103</v>
      </c>
      <c r="M68" s="84">
        <v>0</v>
      </c>
      <c r="N68" s="134">
        <f xml:space="preserve"> IFERROR( VfM_Metrics_2023_Entity[[#This Row],[Total social units developed or newly built units acquired in-year]] / VfM_Metrics_2023_Entity[[#This Row],[Social housing units owned (period end)]], "n/a" )</f>
        <v>2.3003269500233535E-2</v>
      </c>
      <c r="O68" s="5">
        <f xml:space="preserve"> SUM( VfM_Metrics_2023_Entity[[#This Row],[Total social units developed or newly built units acquired in-year (owned)]], VfM_Metrics_2023_Entity[[#This Row],[Total social leasehold units developed or newly built units acquired in-year (owned)]] )</f>
        <v>197</v>
      </c>
      <c r="P68" s="84" vm="11046">
        <v>197</v>
      </c>
      <c r="Q68" s="84">
        <v>0</v>
      </c>
      <c r="R68" s="5">
        <f xml:space="preserve"> SUM( VfM_Metrics_2023_Entity[[#This Row],[Total social housing units owned (Period end)]], VfM_Metrics_2023_Entity[[#This Row],[Total social leasehold units owned (Period end)]] )</f>
        <v>8564</v>
      </c>
      <c r="S68" s="84" vm="11295">
        <v>8564</v>
      </c>
      <c r="T68" s="135" vm="11459">
        <v>0</v>
      </c>
      <c r="U68" s="136">
        <f xml:space="preserve"> IFERROR( VfM_Metrics_2023_Entity[[#This Row],[Total non-social housing units developed or newly built units acquired (owned)]] / VfM_Metrics_2023_Entity[[#This Row],[Total social and non-social housing units owned (Period end)]], "n/a" )</f>
        <v>0</v>
      </c>
      <c r="V6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68" s="84">
        <v>0</v>
      </c>
      <c r="X68" s="84">
        <v>0</v>
      </c>
      <c r="Y68" s="84">
        <v>0</v>
      </c>
      <c r="Z6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9251</v>
      </c>
      <c r="AA68" s="84" vm="12024">
        <v>8564</v>
      </c>
      <c r="AB68" s="84" vm="12430">
        <v>0</v>
      </c>
      <c r="AC68" s="84" vm="12346">
        <v>0</v>
      </c>
      <c r="AD68" s="135" vm="12491">
        <v>687</v>
      </c>
      <c r="AE68" s="134">
        <f xml:space="preserve"> IFERROR( VfM_Metrics_2023_Entity[[#This Row],[Total Net Debt]] / VfM_Metrics_2023_Entity[[#This Row],[Net Book Value of Housing Properties2]], "n/a" )</f>
        <v>0.43877907740540589</v>
      </c>
      <c r="AF6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197057</v>
      </c>
      <c r="AG68" s="84">
        <v>0</v>
      </c>
      <c r="AH68" s="84" vm="12736">
        <v>203271</v>
      </c>
      <c r="AI68" s="84" vm="13323">
        <v>6214</v>
      </c>
      <c r="AJ68" s="84">
        <v>0</v>
      </c>
      <c r="AK68" s="84">
        <v>0</v>
      </c>
      <c r="AL68" s="5">
        <f xml:space="preserve"> SUM( VfM_Metrics_2023_Entity[[#This Row],[Tangible fixed assets: Housing properties at cost (Current period)2]], VfM_Metrics_2023_Entity[[#This Row],[Tangible fixed assets Housing properties at valuation (Current period)2]] )</f>
        <v>449103</v>
      </c>
      <c r="AM68" s="84" vm="10027">
        <v>449103</v>
      </c>
      <c r="AN68" s="135">
        <v>0</v>
      </c>
      <c r="AO68" s="137">
        <f xml:space="preserve"> IFERROR( VfM_Metrics_2023_Entity[[#This Row],[EBITDA MRI]] / VfM_Metrics_2023_Entity[[#This Row],[Total interest]], "n/a" )</f>
        <v>1.1314608182634347</v>
      </c>
      <c r="AP6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8822</v>
      </c>
      <c r="AQ68" s="84" vm="13569">
        <v>12808</v>
      </c>
      <c r="AR68" s="84" vm="14446">
        <v>1998</v>
      </c>
      <c r="AS68" s="84">
        <v>0</v>
      </c>
      <c r="AT68" s="84" vm="14936">
        <v>150</v>
      </c>
      <c r="AU68" s="84" vm="13702">
        <v>1070</v>
      </c>
      <c r="AV68" s="84" vm="13954">
        <v>133</v>
      </c>
      <c r="AW68" s="84" vm="14205">
        <v>8976</v>
      </c>
      <c r="AX68" s="84" vm="14447">
        <v>8075</v>
      </c>
      <c r="AY68" s="5">
        <f xml:space="preserve"> - SUM( VfM_Metrics_2023_Entity[[#This Row],[Interest capitalised]], VfM_Metrics_2023_Entity[[#This Row],[Interest payable and financing costs]] )</f>
        <v>7797</v>
      </c>
      <c r="AZ68" s="84" vm="15242">
        <v>-1750</v>
      </c>
      <c r="BA68" s="135" vm="15415">
        <v>-6047</v>
      </c>
      <c r="BB68" s="138">
        <f xml:space="preserve"> IFERROR( ( VfM_Metrics_2023_Entity[[#This Row],[Total Costs]] / VfM_Metrics_2023_Entity[[#This Row],[Total units for costs]] ) * 1000, "n/a" )</f>
        <v>5456.4000932618328</v>
      </c>
      <c r="BC6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46805</v>
      </c>
      <c r="BD68" s="84" vm="15558">
        <v>12129</v>
      </c>
      <c r="BE68" s="84" vm="15874">
        <v>2023</v>
      </c>
      <c r="BF68" s="84" vm="17023">
        <v>15791</v>
      </c>
      <c r="BG68" s="84" vm="16299">
        <v>2398</v>
      </c>
      <c r="BH68" s="84" vm="17238">
        <v>4928</v>
      </c>
      <c r="BI68" s="84" vm="17474">
        <v>0</v>
      </c>
      <c r="BJ68" s="84" vm="14205">
        <v>8976</v>
      </c>
      <c r="BK68" s="84" vm="15807">
        <v>0</v>
      </c>
      <c r="BL68" s="84">
        <v>0</v>
      </c>
      <c r="BM68" s="84" vm="16857">
        <v>231</v>
      </c>
      <c r="BN68" s="84" vm="16081">
        <v>329</v>
      </c>
      <c r="BO68" s="84">
        <v>0</v>
      </c>
      <c r="BP68" s="5" vm="17695">
        <f xml:space="preserve"> VfM_Metrics_2023_Entity[[#This Row],[Total social housing units owned and/or managed at period end]]</f>
        <v>8578</v>
      </c>
      <c r="BQ68" s="135" vm="17695">
        <v>8578</v>
      </c>
      <c r="BR68" s="134">
        <f xml:space="preserve"> IFERROR( VfM_Metrics_2023_Entity[[#This Row],[SHL operating surplus / (deficit)]] / VfM_Metrics_2023_Entity[[#This Row],[Turnover from social housing lettings]], "n/a" )</f>
        <v>0.12608900400282552</v>
      </c>
      <c r="BS68" s="5" vm="17989">
        <f xml:space="preserve"> VfM_Metrics_2023_Entity[[#This Row],[Operating surplus/(deficit) (social housing lettings)]]</f>
        <v>6426</v>
      </c>
      <c r="BT68" s="84" vm="17989">
        <v>6426</v>
      </c>
      <c r="BU68" s="5" vm="18167">
        <f xml:space="preserve"> VfM_Metrics_2023_Entity[[#This Row],[Turnover from social housing lettings]]</f>
        <v>50964</v>
      </c>
      <c r="BV68" s="135" vm="18167">
        <v>50964</v>
      </c>
      <c r="BW68" s="134">
        <f xml:space="preserve"> IFERROR( VfM_Metrics_2023_Entity[[#This Row],[Net operating surplus]] / VfM_Metrics_2023_Entity[[#This Row],[Overall turnover]], "n/a" )</f>
        <v>0.17560674485850741</v>
      </c>
      <c r="BX68" s="5">
        <f xml:space="preserve"> SUM( VfM_Metrics_2023_Entity[[#This Row],[Operating surplus/(deficit) (overall)2]], - VfM_Metrics_2023_Entity[[#This Row],[Gain/(loss) on disposal of fixed assets (housing properties)2]], - VfM_Metrics_2023_Entity[[#This Row],[Gain/(loss) on disposal of fixed assets (other)2]] )</f>
        <v>10810</v>
      </c>
      <c r="BY68" s="84" vm="13569">
        <v>12808</v>
      </c>
      <c r="BZ68" s="84" vm="14446">
        <v>1998</v>
      </c>
      <c r="CA68" s="84">
        <v>0</v>
      </c>
      <c r="CB68" s="5" vm="18327">
        <f xml:space="preserve"> VfM_Metrics_2023_Entity[[#This Row],[Turnover (overall)]]</f>
        <v>61558</v>
      </c>
      <c r="CC68" s="135" vm="18327">
        <v>61558</v>
      </c>
      <c r="CD68" s="134">
        <f xml:space="preserve"> IFERROR( VfM_Metrics_2023_Entity[[#This Row],[Operating surplus including from JVs]] / VfM_Metrics_2023_Entity[[#This Row],[Net assets]], "n/a" )</f>
        <v>2.7864740269205414E-2</v>
      </c>
      <c r="CE68" s="5">
        <f xml:space="preserve"> SUM( VfM_Metrics_2023_Entity[[#This Row],[Operating surplus/(deficit) (overall)3]], VfM_Metrics_2023_Entity[[#This Row],[Share of operating surplus/(deficit) in joint ventures or associates]] )</f>
        <v>12808</v>
      </c>
      <c r="CF68" s="84" vm="13569">
        <v>12808</v>
      </c>
      <c r="CG68" s="84">
        <v>0</v>
      </c>
      <c r="CH68" s="5" vm="18713">
        <f xml:space="preserve"> VfM_Metrics_2023_Entity[[#This Row],[Total assets less current liabilities]]</f>
        <v>459649</v>
      </c>
      <c r="CI68" s="135" vm="18713">
        <v>459649</v>
      </c>
      <c r="CJ68" s="140" vm="11295">
        <f xml:space="preserve"> VfM_Metrics_2023_Entity[[#This Row],[Total social housing units owned (Period end)]]</f>
        <v>8564</v>
      </c>
      <c r="CK68" s="141">
        <v>1.2945745557255502E-3</v>
      </c>
      <c r="CL68" s="69">
        <f xml:space="preserve"> -- ( VfM_Metrics_2023_Entity[[#This Row],[% Supported housing (excl. HOP)]] &gt; 0.3 )</f>
        <v>0</v>
      </c>
      <c r="CM68" s="9">
        <v>7.4379192656231607E-2</v>
      </c>
      <c r="CN68" s="69">
        <f xml:space="preserve"> -- ( VfM_Metrics_2023_Entity[[#This Row],[% Housing for older people]] &gt; 0.3 )</f>
        <v>0</v>
      </c>
      <c r="CO68" s="9">
        <f xml:space="preserve"> VfM_Metrics_2023_Entity[[#This Row],[% Supported housing (excl. HOP)]] + VfM_Metrics_2023_Entity[[#This Row],[% Housing for older people]]</f>
        <v>7.5673767211957163E-2</v>
      </c>
      <c r="CP68" s="69">
        <f xml:space="preserve"> -- ( VfM_Metrics_2023_Entity[[#This Row],[SH specialist in RSH analysis]] + VfM_Metrics_2023_Entity[[#This Row],[OP specialist in RSH analysis]] &gt; 0 )</f>
        <v>0</v>
      </c>
      <c r="CQ68" s="142">
        <f xml:space="preserve"> -- ( VfM_Metrics_2023_Entity[[#This Row],[% SH and OP]] &gt; 0.3 )</f>
        <v>0</v>
      </c>
      <c r="CR68" s="143" t="s">
        <v>143</v>
      </c>
      <c r="CS68" s="120"/>
      <c r="CT68" s="144" t="s">
        <v>151</v>
      </c>
      <c r="CU6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68" s="146">
        <v>0</v>
      </c>
      <c r="CW68" s="146">
        <v>0.99311069593647827</v>
      </c>
      <c r="CX68" s="146">
        <v>0</v>
      </c>
      <c r="CY68" s="146">
        <v>6.3054647361046236E-3</v>
      </c>
      <c r="CZ68" s="146">
        <v>0</v>
      </c>
      <c r="DA68" s="146">
        <v>5.838393274170948E-4</v>
      </c>
      <c r="DB68" s="146">
        <v>0</v>
      </c>
      <c r="DC68" s="146">
        <v>0</v>
      </c>
      <c r="DD68" s="146">
        <v>0</v>
      </c>
      <c r="DE68" s="126">
        <v>1.0331233312550281</v>
      </c>
    </row>
    <row r="69" spans="1:109" x14ac:dyDescent="0.25">
      <c r="A69" s="4" t="s" vm="289">
        <v>248</v>
      </c>
      <c r="B69" s="4" t="s" vm="9346">
        <v>249</v>
      </c>
      <c r="C69" s="121" vm="18821">
        <v>45016</v>
      </c>
      <c r="D69" s="68">
        <f>IFERROR( VfM_Metrics_2023_Entity[[#This Row],[Reinvestment Spend]] / VfM_Metrics_2023_Entity[[#This Row],[Net Book Value of Housing Properties]], "n/a" )</f>
        <v>0.16938616580573515</v>
      </c>
      <c r="E6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36759</v>
      </c>
      <c r="F69" s="84" vm="9609">
        <v>24039</v>
      </c>
      <c r="G69" s="84" vm="10908">
        <v>0</v>
      </c>
      <c r="H69" s="84" vm="10359">
        <v>12016</v>
      </c>
      <c r="I69" s="84" vm="10371">
        <v>704</v>
      </c>
      <c r="J69" s="84" vm="9485">
        <v>0</v>
      </c>
      <c r="K69" s="5">
        <f xml:space="preserve"> SUM( VfM_Metrics_2023_Entity[[#This Row],[Tangible fixed assets: Housing properties at cost (Current period)]],VfM_Metrics_2023_Entity[[#This Row],[Tangible fixed assets Housing properties at valuation (Current period)]] )</f>
        <v>217013</v>
      </c>
      <c r="L69" s="84" vm="10074">
        <v>217013</v>
      </c>
      <c r="M69" s="84" vm="9557">
        <v>0</v>
      </c>
      <c r="N69" s="134">
        <f xml:space="preserve"> IFERROR( VfM_Metrics_2023_Entity[[#This Row],[Total social units developed or newly built units acquired in-year]] / VfM_Metrics_2023_Entity[[#This Row],[Social housing units owned (period end)]], "n/a" )</f>
        <v>1.14780004990435E-2</v>
      </c>
      <c r="O69" s="5">
        <f xml:space="preserve"> SUM( VfM_Metrics_2023_Entity[[#This Row],[Total social units developed or newly built units acquired in-year (owned)]], VfM_Metrics_2023_Entity[[#This Row],[Total social leasehold units developed or newly built units acquired in-year (owned)]] )</f>
        <v>138</v>
      </c>
      <c r="P69" s="84" vm="11065">
        <v>138</v>
      </c>
      <c r="Q69" s="84" vm="11188">
        <v>0</v>
      </c>
      <c r="R69" s="5">
        <f xml:space="preserve"> SUM( VfM_Metrics_2023_Entity[[#This Row],[Total social housing units owned (Period end)]], VfM_Metrics_2023_Entity[[#This Row],[Total social leasehold units owned (Period end)]] )</f>
        <v>12023</v>
      </c>
      <c r="S69" s="84" vm="11380">
        <v>11426</v>
      </c>
      <c r="T69" s="135" vm="11472">
        <v>597</v>
      </c>
      <c r="U69" s="136">
        <f xml:space="preserve"> IFERROR( VfM_Metrics_2023_Entity[[#This Row],[Total non-social housing units developed or newly built units acquired (owned)]] / VfM_Metrics_2023_Entity[[#This Row],[Total social and non-social housing units owned (Period end)]], "n/a" )</f>
        <v>0</v>
      </c>
      <c r="V6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69" s="84" vm="11666">
        <v>0</v>
      </c>
      <c r="X69" s="84" vm="11790">
        <v>0</v>
      </c>
      <c r="Y69" s="84" vm="11831">
        <v>0</v>
      </c>
      <c r="Z6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12023</v>
      </c>
      <c r="AA69" s="84" vm="12043">
        <v>11426</v>
      </c>
      <c r="AB69" s="84" vm="11471">
        <v>597</v>
      </c>
      <c r="AC69" s="84" vm="12090">
        <v>0</v>
      </c>
      <c r="AD69" s="135" vm="12251">
        <v>0</v>
      </c>
      <c r="AE69" s="134">
        <f xml:space="preserve"> IFERROR( VfM_Metrics_2023_Entity[[#This Row],[Total Net Debt]] / VfM_Metrics_2023_Entity[[#This Row],[Net Book Value of Housing Properties2]], "n/a" )</f>
        <v>0.13907922566850833</v>
      </c>
      <c r="AF6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30182</v>
      </c>
      <c r="AG69" s="84" vm="12687">
        <v>0</v>
      </c>
      <c r="AH69" s="84" vm="13027">
        <v>31974</v>
      </c>
      <c r="AI69" s="84" vm="13112">
        <v>1792</v>
      </c>
      <c r="AJ69" s="84" vm="12737">
        <v>0</v>
      </c>
      <c r="AK69" s="84" vm="13285">
        <v>0</v>
      </c>
      <c r="AL69" s="5">
        <f xml:space="preserve"> SUM( VfM_Metrics_2023_Entity[[#This Row],[Tangible fixed assets: Housing properties at cost (Current period)2]], VfM_Metrics_2023_Entity[[#This Row],[Tangible fixed assets Housing properties at valuation (Current period)2]] )</f>
        <v>217013</v>
      </c>
      <c r="AM69" s="84" vm="10074">
        <v>217013</v>
      </c>
      <c r="AN69" s="135" vm="10148">
        <v>0</v>
      </c>
      <c r="AO69" s="137">
        <f xml:space="preserve"> IFERROR( VfM_Metrics_2023_Entity[[#This Row],[EBITDA MRI]] / VfM_Metrics_2023_Entity[[#This Row],[Total interest]], "n/a" )</f>
        <v>1.0978452843518192</v>
      </c>
      <c r="AP6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3108</v>
      </c>
      <c r="AQ69" s="84" vm="13600">
        <v>10327</v>
      </c>
      <c r="AR69" s="84" vm="14694">
        <v>2555</v>
      </c>
      <c r="AS69" s="84" vm="14937">
        <v>0</v>
      </c>
      <c r="AT69" s="84" vm="13703">
        <v>230</v>
      </c>
      <c r="AU69" s="84" vm="13955">
        <v>0</v>
      </c>
      <c r="AV69" s="84" vm="14206">
        <v>83</v>
      </c>
      <c r="AW69" s="84" vm="14448">
        <v>12016</v>
      </c>
      <c r="AX69" s="84" vm="14695">
        <v>7499</v>
      </c>
      <c r="AY69" s="5">
        <f xml:space="preserve"> - SUM( VfM_Metrics_2023_Entity[[#This Row],[Interest capitalised]], VfM_Metrics_2023_Entity[[#This Row],[Interest payable and financing costs]] )</f>
        <v>2831</v>
      </c>
      <c r="AZ69" s="84" vm="15273">
        <v>-750</v>
      </c>
      <c r="BA69" s="135" vm="15452">
        <v>-2081</v>
      </c>
      <c r="BB69" s="138">
        <f xml:space="preserve"> IFERROR( ( VfM_Metrics_2023_Entity[[#This Row],[Total Costs]] / VfM_Metrics_2023_Entity[[#This Row],[Total units for costs]] ) * 1000, "n/a" )</f>
        <v>4240.7666725013132</v>
      </c>
      <c r="BC6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48455</v>
      </c>
      <c r="BD69" s="84" vm="15561">
        <v>13708</v>
      </c>
      <c r="BE69" s="84" vm="15747">
        <v>3627</v>
      </c>
      <c r="BF69" s="84" vm="17553">
        <v>9005</v>
      </c>
      <c r="BG69" s="84" vm="15877">
        <v>3748</v>
      </c>
      <c r="BH69" s="84" vm="16080">
        <v>5746</v>
      </c>
      <c r="BI69" s="84" vm="16782">
        <v>0</v>
      </c>
      <c r="BJ69" s="84" vm="14696">
        <v>12016</v>
      </c>
      <c r="BK69" s="84" vm="15885">
        <v>0</v>
      </c>
      <c r="BL69" s="84" vm="17317">
        <v>172</v>
      </c>
      <c r="BM69" s="84" vm="15879">
        <v>0</v>
      </c>
      <c r="BN69" s="84" vm="16082">
        <v>433</v>
      </c>
      <c r="BO69" s="84" vm="15808">
        <v>0</v>
      </c>
      <c r="BP69" s="5" vm="17731">
        <f xml:space="preserve"> VfM_Metrics_2023_Entity[[#This Row],[Total social housing units owned and/or managed at period end]]</f>
        <v>11426</v>
      </c>
      <c r="BQ69" s="135" vm="17731">
        <v>11426</v>
      </c>
      <c r="BR69" s="134">
        <f xml:space="preserve"> IFERROR( VfM_Metrics_2023_Entity[[#This Row],[SHL operating surplus / (deficit)]] / VfM_Metrics_2023_Entity[[#This Row],[Turnover from social housing lettings]], "n/a" )</f>
        <v>0.13756926778283934</v>
      </c>
      <c r="BS69" s="5" vm="18017">
        <f xml:space="preserve"> VfM_Metrics_2023_Entity[[#This Row],[Operating surplus/(deficit) (social housing lettings)]]</f>
        <v>6976</v>
      </c>
      <c r="BT69" s="84" vm="18017">
        <v>6976</v>
      </c>
      <c r="BU69" s="5" vm="18214">
        <f xml:space="preserve"> VfM_Metrics_2023_Entity[[#This Row],[Turnover from social housing lettings]]</f>
        <v>50709</v>
      </c>
      <c r="BV69" s="135" vm="18214">
        <v>50709</v>
      </c>
      <c r="BW69" s="134">
        <f xml:space="preserve"> IFERROR( VfM_Metrics_2023_Entity[[#This Row],[Net operating surplus]] / VfM_Metrics_2023_Entity[[#This Row],[Overall turnover]], "n/a" )</f>
        <v>0.14271810786492095</v>
      </c>
      <c r="BX69" s="5">
        <f xml:space="preserve"> SUM( VfM_Metrics_2023_Entity[[#This Row],[Operating surplus/(deficit) (overall)2]], - VfM_Metrics_2023_Entity[[#This Row],[Gain/(loss) on disposal of fixed assets (housing properties)2]], - VfM_Metrics_2023_Entity[[#This Row],[Gain/(loss) on disposal of fixed assets (other)2]] )</f>
        <v>7772</v>
      </c>
      <c r="BY69" s="84" vm="13600">
        <v>10327</v>
      </c>
      <c r="BZ69" s="84" vm="14694">
        <v>2555</v>
      </c>
      <c r="CA69" s="84" vm="14937">
        <v>0</v>
      </c>
      <c r="CB69" s="5" vm="18334">
        <f xml:space="preserve"> VfM_Metrics_2023_Entity[[#This Row],[Turnover (overall)]]</f>
        <v>54457</v>
      </c>
      <c r="CC69" s="135" vm="18334">
        <v>54457</v>
      </c>
      <c r="CD69" s="134">
        <f xml:space="preserve"> IFERROR( VfM_Metrics_2023_Entity[[#This Row],[Operating surplus including from JVs]] / VfM_Metrics_2023_Entity[[#This Row],[Net assets]], "n/a" )</f>
        <v>4.0953506448184518E-2</v>
      </c>
      <c r="CE69" s="5">
        <f xml:space="preserve"> SUM( VfM_Metrics_2023_Entity[[#This Row],[Operating surplus/(deficit) (overall)3]], VfM_Metrics_2023_Entity[[#This Row],[Share of operating surplus/(deficit) in joint ventures or associates]] )</f>
        <v>10327</v>
      </c>
      <c r="CF69" s="84" vm="18438">
        <v>10327</v>
      </c>
      <c r="CG69" s="84" vm="18534">
        <v>0</v>
      </c>
      <c r="CH69" s="5" vm="18739">
        <f xml:space="preserve"> VfM_Metrics_2023_Entity[[#This Row],[Total assets less current liabilities]]</f>
        <v>252164</v>
      </c>
      <c r="CI69" s="135" vm="18739">
        <v>252164</v>
      </c>
      <c r="CJ69" s="140" vm="11380">
        <f xml:space="preserve"> VfM_Metrics_2023_Entity[[#This Row],[Total social housing units owned (Period end)]]</f>
        <v>11426</v>
      </c>
      <c r="CK69" s="141">
        <v>0</v>
      </c>
      <c r="CL69" s="69">
        <f xml:space="preserve"> -- ( VfM_Metrics_2023_Entity[[#This Row],[% Supported housing (excl. HOP)]] &gt; 0.3 )</f>
        <v>0</v>
      </c>
      <c r="CM69" s="9">
        <v>0</v>
      </c>
      <c r="CN69" s="69">
        <f xml:space="preserve"> -- ( VfM_Metrics_2023_Entity[[#This Row],[% Housing for older people]] &gt; 0.3 )</f>
        <v>0</v>
      </c>
      <c r="CO69" s="9">
        <f xml:space="preserve"> VfM_Metrics_2023_Entity[[#This Row],[% Supported housing (excl. HOP)]] + VfM_Metrics_2023_Entity[[#This Row],[% Housing for older people]]</f>
        <v>0</v>
      </c>
      <c r="CP69" s="69">
        <f xml:space="preserve"> -- ( VfM_Metrics_2023_Entity[[#This Row],[SH specialist in RSH analysis]] + VfM_Metrics_2023_Entity[[#This Row],[OP specialist in RSH analysis]] &gt; 0 )</f>
        <v>0</v>
      </c>
      <c r="CQ69" s="142">
        <f xml:space="preserve"> -- ( VfM_Metrics_2023_Entity[[#This Row],[% SH and OP]] &gt; 0.3 )</f>
        <v>0</v>
      </c>
      <c r="CR69" s="143" t="s">
        <v>143</v>
      </c>
      <c r="CS69" s="120"/>
      <c r="CT69" s="144" t="s">
        <v>151</v>
      </c>
      <c r="CU6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69" s="146">
        <v>0</v>
      </c>
      <c r="CW69" s="146">
        <v>0</v>
      </c>
      <c r="CX69" s="146">
        <v>0</v>
      </c>
      <c r="CY69" s="146">
        <v>0</v>
      </c>
      <c r="CZ69" s="146">
        <v>0</v>
      </c>
      <c r="DA69" s="146">
        <v>0</v>
      </c>
      <c r="DB69" s="146">
        <v>0</v>
      </c>
      <c r="DC69" s="146">
        <v>1</v>
      </c>
      <c r="DD69" s="146">
        <v>0</v>
      </c>
      <c r="DE69" s="126">
        <v>0.96105917141044694</v>
      </c>
    </row>
    <row r="70" spans="1:109" x14ac:dyDescent="0.25">
      <c r="A70" s="4" t="s" vm="224">
        <v>250</v>
      </c>
      <c r="B70" s="4" t="s" vm="9365">
        <v>251</v>
      </c>
      <c r="C70" s="121" vm="18970">
        <v>45016</v>
      </c>
      <c r="D70" s="68">
        <f>IFERROR( VfM_Metrics_2023_Entity[[#This Row],[Reinvestment Spend]] / VfM_Metrics_2023_Entity[[#This Row],[Net Book Value of Housing Properties]], "n/a" )</f>
        <v>3.6618309849373955E-2</v>
      </c>
      <c r="E7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5273</v>
      </c>
      <c r="F70" s="84" vm="10543">
        <v>3333</v>
      </c>
      <c r="G70" s="84" vm="9515">
        <v>0</v>
      </c>
      <c r="H70" s="84" vm="9476">
        <v>1874</v>
      </c>
      <c r="I70" s="84" vm="9713">
        <v>66</v>
      </c>
      <c r="J70" s="84" vm="10335">
        <v>0</v>
      </c>
      <c r="K70" s="5">
        <f xml:space="preserve"> SUM( VfM_Metrics_2023_Entity[[#This Row],[Tangible fixed assets: Housing properties at cost (Current period)]],VfM_Metrics_2023_Entity[[#This Row],[Tangible fixed assets Housing properties at valuation (Current period)]] )</f>
        <v>143999</v>
      </c>
      <c r="L70" s="84" vm="9886">
        <v>143999</v>
      </c>
      <c r="M70" s="84">
        <v>0</v>
      </c>
      <c r="N70" s="134">
        <f xml:space="preserve"> IFERROR( VfM_Metrics_2023_Entity[[#This Row],[Total social units developed or newly built units acquired in-year]] / VfM_Metrics_2023_Entity[[#This Row],[Social housing units owned (period end)]], "n/a" )</f>
        <v>5.7293962097840455E-3</v>
      </c>
      <c r="O70" s="5">
        <f xml:space="preserve"> SUM( VfM_Metrics_2023_Entity[[#This Row],[Total social units developed or newly built units acquired in-year (owned)]], VfM_Metrics_2023_Entity[[#This Row],[Total social leasehold units developed or newly built units acquired in-year (owned)]] )</f>
        <v>13</v>
      </c>
      <c r="P70" s="84" vm="11086">
        <v>13</v>
      </c>
      <c r="Q70" s="84">
        <v>0</v>
      </c>
      <c r="R70" s="5">
        <f xml:space="preserve"> SUM( VfM_Metrics_2023_Entity[[#This Row],[Total social housing units owned (Period end)]], VfM_Metrics_2023_Entity[[#This Row],[Total social leasehold units owned (Period end)]] )</f>
        <v>2269</v>
      </c>
      <c r="S70" s="84" vm="11278">
        <v>2266</v>
      </c>
      <c r="T70" s="135" vm="11484">
        <v>3</v>
      </c>
      <c r="U70" s="136">
        <f xml:space="preserve"> IFERROR( VfM_Metrics_2023_Entity[[#This Row],[Total non-social housing units developed or newly built units acquired (owned)]] / VfM_Metrics_2023_Entity[[#This Row],[Total social and non-social housing units owned (Period end)]], "n/a" )</f>
        <v>0</v>
      </c>
      <c r="V7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70" s="84">
        <v>0</v>
      </c>
      <c r="X70" s="84">
        <v>0</v>
      </c>
      <c r="Y70" s="84" vm="11917">
        <v>0</v>
      </c>
      <c r="Z7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2274</v>
      </c>
      <c r="AA70" s="84" vm="11229">
        <v>2266</v>
      </c>
      <c r="AB70" s="84" vm="12431">
        <v>3</v>
      </c>
      <c r="AC70" s="84" vm="12347">
        <v>5</v>
      </c>
      <c r="AD70" s="135" vm="12491">
        <v>0</v>
      </c>
      <c r="AE70" s="134">
        <f xml:space="preserve"> IFERROR( VfM_Metrics_2023_Entity[[#This Row],[Total Net Debt]] / VfM_Metrics_2023_Entity[[#This Row],[Net Book Value of Housing Properties2]], "n/a" )</f>
        <v>0.38746102403488913</v>
      </c>
      <c r="AF7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55794</v>
      </c>
      <c r="AG70" s="84" vm="12558">
        <v>160</v>
      </c>
      <c r="AH70" s="84" vm="13324">
        <v>47347</v>
      </c>
      <c r="AI70" s="84" vm="12895">
        <v>2491</v>
      </c>
      <c r="AJ70" s="84">
        <v>0</v>
      </c>
      <c r="AK70" s="84" vm="13068">
        <v>10778</v>
      </c>
      <c r="AL70" s="5">
        <f xml:space="preserve"> SUM( VfM_Metrics_2023_Entity[[#This Row],[Tangible fixed assets: Housing properties at cost (Current period)2]], VfM_Metrics_2023_Entity[[#This Row],[Tangible fixed assets Housing properties at valuation (Current period)2]] )</f>
        <v>143999</v>
      </c>
      <c r="AM70" s="84" vm="9886">
        <v>143999</v>
      </c>
      <c r="AN70" s="135">
        <v>0</v>
      </c>
      <c r="AO70" s="137">
        <f xml:space="preserve"> IFERROR( VfM_Metrics_2023_Entity[[#This Row],[EBITDA MRI]] / VfM_Metrics_2023_Entity[[#This Row],[Total interest]], "n/a" )</f>
        <v>1.7598627787307033</v>
      </c>
      <c r="AP7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4104</v>
      </c>
      <c r="AQ70" s="84" vm="13438">
        <v>3798</v>
      </c>
      <c r="AR70" s="84" vm="14938">
        <v>-60</v>
      </c>
      <c r="AS70" s="84">
        <v>0</v>
      </c>
      <c r="AT70" s="84" vm="13956">
        <v>405</v>
      </c>
      <c r="AU70" s="84" vm="14207">
        <v>0</v>
      </c>
      <c r="AV70" s="84" vm="14449">
        <v>69</v>
      </c>
      <c r="AW70" s="84" vm="14696">
        <v>1874</v>
      </c>
      <c r="AX70" s="84" vm="14939">
        <v>2456</v>
      </c>
      <c r="AY70" s="5">
        <f xml:space="preserve"> - SUM( VfM_Metrics_2023_Entity[[#This Row],[Interest capitalised]], VfM_Metrics_2023_Entity[[#This Row],[Interest payable and financing costs]] )</f>
        <v>2332</v>
      </c>
      <c r="AZ70" s="84" vm="15166">
        <v>-66</v>
      </c>
      <c r="BA70" s="135" vm="15483">
        <v>-2266</v>
      </c>
      <c r="BB70" s="138">
        <f xml:space="preserve"> IFERROR( ( VfM_Metrics_2023_Entity[[#This Row],[Total Costs]] / VfM_Metrics_2023_Entity[[#This Row],[Total units for costs]] ) * 1000, "n/a" )</f>
        <v>4330.9982486865147</v>
      </c>
      <c r="BC7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9892</v>
      </c>
      <c r="BD70" s="84" vm="15573">
        <v>3549</v>
      </c>
      <c r="BE70" s="84" vm="16083">
        <v>1176</v>
      </c>
      <c r="BF70" s="84" vm="15748">
        <v>1732</v>
      </c>
      <c r="BG70" s="84" vm="15809">
        <v>752</v>
      </c>
      <c r="BH70" s="84" vm="17318">
        <v>725</v>
      </c>
      <c r="BI70" s="84" vm="17476">
        <v>0</v>
      </c>
      <c r="BJ70" s="84" vm="14696">
        <v>1874</v>
      </c>
      <c r="BK70" s="84" vm="16615">
        <v>84</v>
      </c>
      <c r="BL70" s="84">
        <v>0</v>
      </c>
      <c r="BM70" s="84">
        <v>0</v>
      </c>
      <c r="BN70" s="84">
        <v>0</v>
      </c>
      <c r="BO70" s="84">
        <v>0</v>
      </c>
      <c r="BP70" s="5" vm="17763">
        <f xml:space="preserve"> VfM_Metrics_2023_Entity[[#This Row],[Total social housing units owned and/or managed at period end]]</f>
        <v>2284</v>
      </c>
      <c r="BQ70" s="135" vm="17763">
        <v>2284</v>
      </c>
      <c r="BR70" s="134">
        <f xml:space="preserve"> IFERROR( VfM_Metrics_2023_Entity[[#This Row],[SHL operating surplus / (deficit)]] / VfM_Metrics_2023_Entity[[#This Row],[Turnover from social housing lettings]], "n/a" )</f>
        <v>0.21637909160111646</v>
      </c>
      <c r="BS70" s="5" vm="17841">
        <f xml:space="preserve"> VfM_Metrics_2023_Entity[[#This Row],[Operating surplus/(deficit) (social housing lettings)]]</f>
        <v>3411</v>
      </c>
      <c r="BT70" s="84" vm="17841">
        <v>3411</v>
      </c>
      <c r="BU70" s="5" vm="18049">
        <f xml:space="preserve"> VfM_Metrics_2023_Entity[[#This Row],[Turnover from social housing lettings]]</f>
        <v>15764</v>
      </c>
      <c r="BV70" s="135" vm="18049">
        <v>15764</v>
      </c>
      <c r="BW70" s="134">
        <f xml:space="preserve"> IFERROR( VfM_Metrics_2023_Entity[[#This Row],[Net operating surplus]] / VfM_Metrics_2023_Entity[[#This Row],[Overall turnover]], "n/a" )</f>
        <v>0.23212996389891696</v>
      </c>
      <c r="BX70" s="5">
        <f xml:space="preserve"> SUM( VfM_Metrics_2023_Entity[[#This Row],[Operating surplus/(deficit) (overall)2]], - VfM_Metrics_2023_Entity[[#This Row],[Gain/(loss) on disposal of fixed assets (housing properties)2]], - VfM_Metrics_2023_Entity[[#This Row],[Gain/(loss) on disposal of fixed assets (other)2]] )</f>
        <v>3858</v>
      </c>
      <c r="BY70" s="84" vm="13511">
        <v>3798</v>
      </c>
      <c r="BZ70" s="84" vm="14938">
        <v>-60</v>
      </c>
      <c r="CA70" s="84">
        <v>0</v>
      </c>
      <c r="CB70" s="5" vm="18252">
        <f xml:space="preserve"> VfM_Metrics_2023_Entity[[#This Row],[Turnover (overall)]]</f>
        <v>16620</v>
      </c>
      <c r="CC70" s="135" vm="18252">
        <v>16620</v>
      </c>
      <c r="CD70" s="134">
        <f xml:space="preserve"> IFERROR( VfM_Metrics_2023_Entity[[#This Row],[Operating surplus including from JVs]] / VfM_Metrics_2023_Entity[[#This Row],[Net assets]], "n/a" )</f>
        <v>2.5479843551882139E-2</v>
      </c>
      <c r="CE70" s="5">
        <f xml:space="preserve"> SUM( VfM_Metrics_2023_Entity[[#This Row],[Operating surplus/(deficit) (overall)3]], VfM_Metrics_2023_Entity[[#This Row],[Share of operating surplus/(deficit) in joint ventures or associates]] )</f>
        <v>3798</v>
      </c>
      <c r="CF70" s="84" vm="13438">
        <v>3798</v>
      </c>
      <c r="CG70" s="84">
        <v>0</v>
      </c>
      <c r="CH70" s="5" vm="18578">
        <f xml:space="preserve"> VfM_Metrics_2023_Entity[[#This Row],[Total assets less current liabilities]]</f>
        <v>149059</v>
      </c>
      <c r="CI70" s="135" vm="18578">
        <v>149059</v>
      </c>
      <c r="CJ70" s="140" vm="11278">
        <f xml:space="preserve"> VfM_Metrics_2023_Entity[[#This Row],[Total social housing units owned (Period end)]]</f>
        <v>2266</v>
      </c>
      <c r="CK70" s="141">
        <v>2.0255394099515631E-2</v>
      </c>
      <c r="CL70" s="69">
        <f xml:space="preserve"> -- ( VfM_Metrics_2023_Entity[[#This Row],[% Supported housing (excl. HOP)]] &gt; 0.3 )</f>
        <v>0</v>
      </c>
      <c r="CM70" s="9">
        <v>0.20387494495816821</v>
      </c>
      <c r="CN70" s="69">
        <f xml:space="preserve"> -- ( VfM_Metrics_2023_Entity[[#This Row],[% Housing for older people]] &gt; 0.3 )</f>
        <v>0</v>
      </c>
      <c r="CO70" s="9">
        <f xml:space="preserve"> VfM_Metrics_2023_Entity[[#This Row],[% Supported housing (excl. HOP)]] + VfM_Metrics_2023_Entity[[#This Row],[% Housing for older people]]</f>
        <v>0.22413033905768384</v>
      </c>
      <c r="CP70" s="69">
        <f xml:space="preserve"> -- ( VfM_Metrics_2023_Entity[[#This Row],[SH specialist in RSH analysis]] + VfM_Metrics_2023_Entity[[#This Row],[OP specialist in RSH analysis]] &gt; 0 )</f>
        <v>0</v>
      </c>
      <c r="CQ70" s="142">
        <f xml:space="preserve"> -- ( VfM_Metrics_2023_Entity[[#This Row],[% SH and OP]] &gt; 0.3 )</f>
        <v>0</v>
      </c>
      <c r="CR70" s="143" t="s">
        <v>143</v>
      </c>
      <c r="CS70" s="120"/>
      <c r="CT70" s="144" t="s">
        <v>144</v>
      </c>
      <c r="CU7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70" s="146">
        <v>0</v>
      </c>
      <c r="CW70" s="146">
        <v>0</v>
      </c>
      <c r="CX70" s="146">
        <v>0</v>
      </c>
      <c r="CY70" s="146">
        <v>0</v>
      </c>
      <c r="CZ70" s="146">
        <v>0</v>
      </c>
      <c r="DA70" s="146">
        <v>1</v>
      </c>
      <c r="DB70" s="146">
        <v>0</v>
      </c>
      <c r="DC70" s="146">
        <v>0</v>
      </c>
      <c r="DD70" s="146">
        <v>0</v>
      </c>
      <c r="DE70" s="126">
        <v>1.0113701298544711</v>
      </c>
    </row>
    <row r="71" spans="1:109" x14ac:dyDescent="0.25">
      <c r="A71" s="4" t="s" vm="255">
        <v>252</v>
      </c>
      <c r="B71" s="4" t="s" vm="9286">
        <v>253</v>
      </c>
      <c r="C71" s="121" vm="18801">
        <v>45016</v>
      </c>
      <c r="D71" s="68">
        <f>IFERROR( VfM_Metrics_2023_Entity[[#This Row],[Reinvestment Spend]] / VfM_Metrics_2023_Entity[[#This Row],[Net Book Value of Housing Properties]], "n/a" )</f>
        <v>8.1957987036126626E-2</v>
      </c>
      <c r="E7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162375</v>
      </c>
      <c r="F71" s="84" vm="9457">
        <v>113503</v>
      </c>
      <c r="G71" s="84" vm="9552">
        <v>0</v>
      </c>
      <c r="H71" s="84" vm="9670">
        <v>47361</v>
      </c>
      <c r="I71" s="84" vm="10948">
        <v>1511</v>
      </c>
      <c r="J71" s="84" vm="10322">
        <v>0</v>
      </c>
      <c r="K71" s="5">
        <f xml:space="preserve"> SUM( VfM_Metrics_2023_Entity[[#This Row],[Tangible fixed assets: Housing properties at cost (Current period)]],VfM_Metrics_2023_Entity[[#This Row],[Tangible fixed assets Housing properties at valuation (Current period)]] )</f>
        <v>1981198</v>
      </c>
      <c r="L71" s="84" vm="10439">
        <v>1981198</v>
      </c>
      <c r="M71" s="84">
        <v>0</v>
      </c>
      <c r="N71" s="134">
        <f xml:space="preserve"> IFERROR( VfM_Metrics_2023_Entity[[#This Row],[Total social units developed or newly built units acquired in-year]] / VfM_Metrics_2023_Entity[[#This Row],[Social housing units owned (period end)]], "n/a" )</f>
        <v>1.9581155071611966E-2</v>
      </c>
      <c r="O71" s="5">
        <f xml:space="preserve"> SUM( VfM_Metrics_2023_Entity[[#This Row],[Total social units developed or newly built units acquired in-year (owned)]], VfM_Metrics_2023_Entity[[#This Row],[Total social leasehold units developed or newly built units acquired in-year (owned)]] )</f>
        <v>633</v>
      </c>
      <c r="P71" s="84" vm="11001">
        <v>633</v>
      </c>
      <c r="Q71" s="84" vm="11110">
        <v>0</v>
      </c>
      <c r="R71" s="5">
        <f xml:space="preserve"> SUM( VfM_Metrics_2023_Entity[[#This Row],[Total social housing units owned (Period end)]], VfM_Metrics_2023_Entity[[#This Row],[Total social leasehold units owned (Period end)]] )</f>
        <v>32327</v>
      </c>
      <c r="S71" s="84" vm="11342">
        <v>31550</v>
      </c>
      <c r="T71" s="135" vm="11414">
        <v>777</v>
      </c>
      <c r="U71" s="136">
        <f xml:space="preserve"> IFERROR( VfM_Metrics_2023_Entity[[#This Row],[Total non-social housing units developed or newly built units acquired (owned)]] / VfM_Metrics_2023_Entity[[#This Row],[Total social and non-social housing units owned (Period end)]], "n/a" )</f>
        <v>0</v>
      </c>
      <c r="V7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71" s="84" vm="11590">
        <v>0</v>
      </c>
      <c r="X71" s="84" vm="11692">
        <v>0</v>
      </c>
      <c r="Y71" s="84" vm="11727">
        <v>0</v>
      </c>
      <c r="Z7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33274</v>
      </c>
      <c r="AA71" s="84" vm="11990">
        <v>31550</v>
      </c>
      <c r="AB71" s="84" vm="11414">
        <v>777</v>
      </c>
      <c r="AC71" s="84" vm="12091">
        <v>947</v>
      </c>
      <c r="AD71" s="135" vm="12252">
        <v>0</v>
      </c>
      <c r="AE71" s="134">
        <f xml:space="preserve"> IFERROR( VfM_Metrics_2023_Entity[[#This Row],[Total Net Debt]] / VfM_Metrics_2023_Entity[[#This Row],[Net Book Value of Housing Properties2]], "n/a" )</f>
        <v>0.4528941579791621</v>
      </c>
      <c r="AF7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897273</v>
      </c>
      <c r="AG71" s="84" vm="12590">
        <v>14740</v>
      </c>
      <c r="AH71" s="84" vm="12738">
        <v>713492</v>
      </c>
      <c r="AI71" s="84" vm="13237">
        <v>42493</v>
      </c>
      <c r="AJ71" s="84" vm="13286">
        <v>190814</v>
      </c>
      <c r="AK71" s="84" vm="12851">
        <v>20720</v>
      </c>
      <c r="AL71" s="5">
        <f xml:space="preserve"> SUM( VfM_Metrics_2023_Entity[[#This Row],[Tangible fixed assets: Housing properties at cost (Current period)2]], VfM_Metrics_2023_Entity[[#This Row],[Tangible fixed assets Housing properties at valuation (Current period)2]] )</f>
        <v>1981198</v>
      </c>
      <c r="AM71" s="84" vm="13362">
        <v>1981198</v>
      </c>
      <c r="AN71" s="135">
        <v>0</v>
      </c>
      <c r="AO71" s="137">
        <f xml:space="preserve"> IFERROR( VfM_Metrics_2023_Entity[[#This Row],[EBITDA MRI]] / VfM_Metrics_2023_Entity[[#This Row],[Total interest]], "n/a" )</f>
        <v>1.1234776827536188</v>
      </c>
      <c r="AP7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37177</v>
      </c>
      <c r="AQ71" s="84" vm="13476">
        <v>70207</v>
      </c>
      <c r="AR71" s="84" vm="13704">
        <v>17547</v>
      </c>
      <c r="AS71" s="84" vm="13957">
        <v>-3</v>
      </c>
      <c r="AT71" s="84" vm="14208">
        <v>2365</v>
      </c>
      <c r="AU71" s="84" vm="14450">
        <v>0</v>
      </c>
      <c r="AV71" s="84" vm="14697">
        <v>3342</v>
      </c>
      <c r="AW71" s="84" vm="14940">
        <v>47361</v>
      </c>
      <c r="AX71" s="84" vm="13705">
        <v>30898</v>
      </c>
      <c r="AY71" s="5">
        <f xml:space="preserve"> - SUM( VfM_Metrics_2023_Entity[[#This Row],[Interest capitalised]], VfM_Metrics_2023_Entity[[#This Row],[Interest payable and financing costs]] )</f>
        <v>33091</v>
      </c>
      <c r="AZ71" s="84" vm="15154">
        <v>-1511</v>
      </c>
      <c r="BA71" s="135" vm="15320">
        <v>-31580</v>
      </c>
      <c r="BB71" s="138">
        <f xml:space="preserve"> IFERROR( ( VfM_Metrics_2023_Entity[[#This Row],[Total Costs]] / VfM_Metrics_2023_Entity[[#This Row],[Total units for costs]] ) * 1000, "n/a" )</f>
        <v>4396.1100270661545</v>
      </c>
      <c r="BC7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139682</v>
      </c>
      <c r="BD71" s="84" vm="17475">
        <v>32235</v>
      </c>
      <c r="BE71" s="84" vm="17554">
        <v>9952</v>
      </c>
      <c r="BF71" s="84" vm="16301">
        <v>38308</v>
      </c>
      <c r="BG71" s="84" vm="16086">
        <v>6662</v>
      </c>
      <c r="BH71" s="84" vm="15810">
        <v>0</v>
      </c>
      <c r="BI71" s="84" vm="16858">
        <v>0</v>
      </c>
      <c r="BJ71" s="84" vm="14940">
        <v>47361</v>
      </c>
      <c r="BK71" s="84" vm="17319">
        <v>5164</v>
      </c>
      <c r="BL71" s="84">
        <v>0</v>
      </c>
      <c r="BM71" s="84">
        <v>0</v>
      </c>
      <c r="BN71" s="84">
        <v>0</v>
      </c>
      <c r="BO71" s="84">
        <v>0</v>
      </c>
      <c r="BP71" s="5" vm="17625">
        <f xml:space="preserve"> VfM_Metrics_2023_Entity[[#This Row],[Total social housing units owned and/or managed at period end]]</f>
        <v>31774</v>
      </c>
      <c r="BQ71" s="135" vm="17625">
        <v>31774</v>
      </c>
      <c r="BR71" s="134">
        <f xml:space="preserve"> IFERROR( VfM_Metrics_2023_Entity[[#This Row],[SHL operating surplus / (deficit)]] / VfM_Metrics_2023_Entity[[#This Row],[Turnover from social housing lettings]], "n/a" )</f>
        <v>0.27763926015607204</v>
      </c>
      <c r="BS71" s="5" vm="17879">
        <f xml:space="preserve"> VfM_Metrics_2023_Entity[[#This Row],[Operating surplus/(deficit) (social housing lettings)]]</f>
        <v>46323</v>
      </c>
      <c r="BT71" s="84" vm="17879">
        <v>46323</v>
      </c>
      <c r="BU71" s="5" vm="18071">
        <f xml:space="preserve"> VfM_Metrics_2023_Entity[[#This Row],[Turnover from social housing lettings]]</f>
        <v>166846</v>
      </c>
      <c r="BV71" s="135" vm="18071">
        <v>166846</v>
      </c>
      <c r="BW71" s="134">
        <f xml:space="preserve"> IFERROR( VfM_Metrics_2023_Entity[[#This Row],[Net operating surplus]] / VfM_Metrics_2023_Entity[[#This Row],[Overall turnover]], "n/a" )</f>
        <v>0.26410599746239988</v>
      </c>
      <c r="BX71" s="5">
        <f xml:space="preserve"> SUM( VfM_Metrics_2023_Entity[[#This Row],[Operating surplus/(deficit) (overall)2]], - VfM_Metrics_2023_Entity[[#This Row],[Gain/(loss) on disposal of fixed assets (housing properties)2]], - VfM_Metrics_2023_Entity[[#This Row],[Gain/(loss) on disposal of fixed assets (other)2]] )</f>
        <v>52663</v>
      </c>
      <c r="BY71" s="84" vm="18231">
        <v>70207</v>
      </c>
      <c r="BZ71" s="84" vm="13704">
        <v>17547</v>
      </c>
      <c r="CA71" s="84" vm="13957">
        <v>-3</v>
      </c>
      <c r="CB71" s="5" vm="18398">
        <f xml:space="preserve"> VfM_Metrics_2023_Entity[[#This Row],[Turnover (overall)]]</f>
        <v>199401</v>
      </c>
      <c r="CC71" s="135" vm="18398">
        <v>199401</v>
      </c>
      <c r="CD71" s="134">
        <f xml:space="preserve"> IFERROR( VfM_Metrics_2023_Entity[[#This Row],[Operating surplus including from JVs]] / VfM_Metrics_2023_Entity[[#This Row],[Net assets]], "n/a" )</f>
        <v>3.2542019981218362E-2</v>
      </c>
      <c r="CE71" s="5">
        <f xml:space="preserve"> SUM( VfM_Metrics_2023_Entity[[#This Row],[Operating surplus/(deficit) (overall)3]], VfM_Metrics_2023_Entity[[#This Row],[Share of operating surplus/(deficit) in joint ventures or associates]] )</f>
        <v>70207</v>
      </c>
      <c r="CF71" s="84" vm="13477">
        <v>70207</v>
      </c>
      <c r="CG71" s="84">
        <v>0</v>
      </c>
      <c r="CH71" s="5" vm="18616">
        <f xml:space="preserve"> VfM_Metrics_2023_Entity[[#This Row],[Total assets less current liabilities]]</f>
        <v>2157426</v>
      </c>
      <c r="CI71" s="135" vm="18616">
        <v>2157426</v>
      </c>
      <c r="CJ71" s="140" vm="11342">
        <f xml:space="preserve"> VfM_Metrics_2023_Entity[[#This Row],[Total social housing units owned (Period end)]]</f>
        <v>31550</v>
      </c>
      <c r="CK71" s="141">
        <v>7.7697108648579795E-3</v>
      </c>
      <c r="CL71" s="69">
        <f xml:space="preserve"> -- ( VfM_Metrics_2023_Entity[[#This Row],[% Supported housing (excl. HOP)]] &gt; 0.3 )</f>
        <v>0</v>
      </c>
      <c r="CM71" s="9">
        <v>1.3437778626926506E-2</v>
      </c>
      <c r="CN71" s="69">
        <f xml:space="preserve"> -- ( VfM_Metrics_2023_Entity[[#This Row],[% Housing for older people]] &gt; 0.3 )</f>
        <v>0</v>
      </c>
      <c r="CO71" s="9">
        <f xml:space="preserve"> VfM_Metrics_2023_Entity[[#This Row],[% Supported housing (excl. HOP)]] + VfM_Metrics_2023_Entity[[#This Row],[% Housing for older people]]</f>
        <v>2.1207489491784484E-2</v>
      </c>
      <c r="CP71" s="69">
        <f xml:space="preserve"> -- ( VfM_Metrics_2023_Entity[[#This Row],[SH specialist in RSH analysis]] + VfM_Metrics_2023_Entity[[#This Row],[OP specialist in RSH analysis]] &gt; 0 )</f>
        <v>0</v>
      </c>
      <c r="CQ71" s="142">
        <f xml:space="preserve"> -- ( VfM_Metrics_2023_Entity[[#This Row],[% SH and OP]] &gt; 0.3 )</f>
        <v>0</v>
      </c>
      <c r="CR71" s="143" t="s">
        <v>143</v>
      </c>
      <c r="CS71" s="120"/>
      <c r="CT71" s="144" t="s">
        <v>151</v>
      </c>
      <c r="CU7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71" s="146">
        <v>0</v>
      </c>
      <c r="CW71" s="146">
        <v>0</v>
      </c>
      <c r="CX71" s="146">
        <v>0</v>
      </c>
      <c r="CY71" s="146">
        <v>0</v>
      </c>
      <c r="CZ71" s="146">
        <v>0</v>
      </c>
      <c r="DA71" s="146">
        <v>1</v>
      </c>
      <c r="DB71" s="146">
        <v>0</v>
      </c>
      <c r="DC71" s="146">
        <v>0</v>
      </c>
      <c r="DD71" s="146">
        <v>0</v>
      </c>
      <c r="DE71" s="126">
        <v>1.0113701298544711</v>
      </c>
    </row>
    <row r="72" spans="1:109" x14ac:dyDescent="0.25">
      <c r="A72" s="4" t="s" vm="296">
        <v>254</v>
      </c>
      <c r="B72" s="4" t="s" vm="10758">
        <v>255</v>
      </c>
      <c r="C72" s="121" vm="18858">
        <v>45016</v>
      </c>
      <c r="D72" s="68">
        <f>IFERROR( VfM_Metrics_2023_Entity[[#This Row],[Reinvestment Spend]] / VfM_Metrics_2023_Entity[[#This Row],[Net Book Value of Housing Properties]], "n/a" )</f>
        <v>6.7077589839282484E-2</v>
      </c>
      <c r="E7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27859</v>
      </c>
      <c r="F72" s="84" vm="10420">
        <v>15538</v>
      </c>
      <c r="G72" s="84" vm="10642">
        <v>0</v>
      </c>
      <c r="H72" s="84" vm="10630">
        <v>12321</v>
      </c>
      <c r="I72" s="84" vm="10682">
        <v>0</v>
      </c>
      <c r="J72" s="84" vm="9664">
        <v>0</v>
      </c>
      <c r="K72" s="5">
        <f xml:space="preserve"> SUM( VfM_Metrics_2023_Entity[[#This Row],[Tangible fixed assets: Housing properties at cost (Current period)]],VfM_Metrics_2023_Entity[[#This Row],[Tangible fixed assets Housing properties at valuation (Current period)]] )</f>
        <v>415325</v>
      </c>
      <c r="L72" s="84" vm="9880">
        <v>415325</v>
      </c>
      <c r="M72" s="84" vm="10105">
        <v>0</v>
      </c>
      <c r="N72" s="134">
        <f xml:space="preserve"> IFERROR( VfM_Metrics_2023_Entity[[#This Row],[Total social units developed or newly built units acquired in-year]] / VfM_Metrics_2023_Entity[[#This Row],[Social housing units owned (period end)]], "n/a" )</f>
        <v>8.9376053962900506E-3</v>
      </c>
      <c r="O72" s="5">
        <f xml:space="preserve"> SUM( VfM_Metrics_2023_Entity[[#This Row],[Total social units developed or newly built units acquired in-year (owned)]], VfM_Metrics_2023_Entity[[#This Row],[Total social leasehold units developed or newly built units acquired in-year (owned)]] )</f>
        <v>159</v>
      </c>
      <c r="P72" s="84" vm="10960">
        <v>159</v>
      </c>
      <c r="Q72" s="84">
        <v>0</v>
      </c>
      <c r="R72" s="5">
        <f xml:space="preserve"> SUM( VfM_Metrics_2023_Entity[[#This Row],[Total social housing units owned (Period end)]], VfM_Metrics_2023_Entity[[#This Row],[Total social leasehold units owned (Period end)]] )</f>
        <v>17790</v>
      </c>
      <c r="S72" s="84" vm="11240">
        <v>17790</v>
      </c>
      <c r="T72" s="135" vm="11464">
        <v>0</v>
      </c>
      <c r="U72" s="136">
        <f xml:space="preserve"> IFERROR( VfM_Metrics_2023_Entity[[#This Row],[Total non-social housing units developed or newly built units acquired (owned)]] / VfM_Metrics_2023_Entity[[#This Row],[Total social and non-social housing units owned (Period end)]], "n/a" )</f>
        <v>1.4838569409718448E-2</v>
      </c>
      <c r="V7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273</v>
      </c>
      <c r="W72" s="84" vm="11616">
        <v>273</v>
      </c>
      <c r="X72" s="84">
        <v>0</v>
      </c>
      <c r="Y72" s="84" vm="11832">
        <v>0</v>
      </c>
      <c r="Z7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18398</v>
      </c>
      <c r="AA72" s="84" vm="11240">
        <v>17790</v>
      </c>
      <c r="AB72" s="84" vm="12432">
        <v>0</v>
      </c>
      <c r="AC72" s="84" vm="12348">
        <v>608</v>
      </c>
      <c r="AD72" s="135" vm="12492">
        <v>0</v>
      </c>
      <c r="AE72" s="134">
        <f xml:space="preserve"> IFERROR( VfM_Metrics_2023_Entity[[#This Row],[Total Net Debt]] / VfM_Metrics_2023_Entity[[#This Row],[Net Book Value of Housing Properties2]], "n/a" )</f>
        <v>0.45118642027327999</v>
      </c>
      <c r="AF7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187389</v>
      </c>
      <c r="AG72" s="84" vm="12611">
        <v>18</v>
      </c>
      <c r="AH72" s="84" vm="12933">
        <v>28027</v>
      </c>
      <c r="AI72" s="84" vm="13027">
        <v>3593</v>
      </c>
      <c r="AJ72" s="84" vm="12739">
        <v>162937</v>
      </c>
      <c r="AK72" s="84" vm="13200">
        <v>0</v>
      </c>
      <c r="AL72" s="5">
        <f xml:space="preserve"> SUM( VfM_Metrics_2023_Entity[[#This Row],[Tangible fixed assets: Housing properties at cost (Current period)2]], VfM_Metrics_2023_Entity[[#This Row],[Tangible fixed assets Housing properties at valuation (Current period)2]] )</f>
        <v>415325</v>
      </c>
      <c r="AM72" s="84" vm="9919">
        <v>415325</v>
      </c>
      <c r="AN72" s="135" vm="10105">
        <v>0</v>
      </c>
      <c r="AO72" s="137">
        <f xml:space="preserve"> IFERROR( VfM_Metrics_2023_Entity[[#This Row],[EBITDA MRI]] / VfM_Metrics_2023_Entity[[#This Row],[Total interest]], "n/a" )</f>
        <v>1.6603008113991689</v>
      </c>
      <c r="AP7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16779</v>
      </c>
      <c r="AQ72" s="84" vm="13508">
        <v>23031</v>
      </c>
      <c r="AR72" s="84" vm="13958">
        <v>0</v>
      </c>
      <c r="AS72" s="84" vm="14209">
        <v>6496</v>
      </c>
      <c r="AT72" s="84" vm="14451">
        <v>4016</v>
      </c>
      <c r="AU72" s="84" vm="14698">
        <v>0</v>
      </c>
      <c r="AV72" s="84" vm="14941">
        <v>253</v>
      </c>
      <c r="AW72" s="84" vm="13706">
        <v>12321</v>
      </c>
      <c r="AX72" s="84" vm="13959">
        <v>16328</v>
      </c>
      <c r="AY72" s="5">
        <f xml:space="preserve"> - SUM( VfM_Metrics_2023_Entity[[#This Row],[Interest capitalised]], VfM_Metrics_2023_Entity[[#This Row],[Interest payable and financing costs]] )</f>
        <v>10106</v>
      </c>
      <c r="AZ72" s="84" vm="15303">
        <v>0</v>
      </c>
      <c r="BA72" s="135" vm="15357">
        <v>-10106</v>
      </c>
      <c r="BB72" s="138">
        <f xml:space="preserve"> IFERROR( ( VfM_Metrics_2023_Entity[[#This Row],[Total Costs]] / VfM_Metrics_2023_Entity[[#This Row],[Total units for costs]] ) * 1000, "n/a" )</f>
        <v>3884.411954418405</v>
      </c>
      <c r="BC7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90332</v>
      </c>
      <c r="BD72" s="84" vm="15536">
        <v>22825</v>
      </c>
      <c r="BE72" s="84" vm="16859">
        <v>4179</v>
      </c>
      <c r="BF72" s="84" vm="17100">
        <v>18274</v>
      </c>
      <c r="BG72" s="84" vm="16084">
        <v>7038</v>
      </c>
      <c r="BH72" s="84" vm="17477">
        <v>1806</v>
      </c>
      <c r="BI72" s="84" vm="15811">
        <v>0</v>
      </c>
      <c r="BJ72" s="84" vm="16402">
        <v>12321</v>
      </c>
      <c r="BK72" s="84" vm="16700">
        <v>2914</v>
      </c>
      <c r="BL72" s="84">
        <v>0</v>
      </c>
      <c r="BM72" s="84">
        <v>0</v>
      </c>
      <c r="BN72" s="84" vm="15749">
        <v>20169</v>
      </c>
      <c r="BO72" s="84" vm="16783">
        <v>806</v>
      </c>
      <c r="BP72" s="5" vm="17661">
        <f xml:space="preserve"> VfM_Metrics_2023_Entity[[#This Row],[Total social housing units owned and/or managed at period end]]</f>
        <v>23255</v>
      </c>
      <c r="BQ72" s="135" vm="17661">
        <v>23255</v>
      </c>
      <c r="BR72" s="134">
        <f xml:space="preserve"> IFERROR( VfM_Metrics_2023_Entity[[#This Row],[SHL operating surplus / (deficit)]] / VfM_Metrics_2023_Entity[[#This Row],[Turnover from social housing lettings]], "n/a" )</f>
        <v>0.1608663604921472</v>
      </c>
      <c r="BS72" s="5" vm="17916">
        <f xml:space="preserve"> VfM_Metrics_2023_Entity[[#This Row],[Operating surplus/(deficit) (social housing lettings)]]</f>
        <v>14186</v>
      </c>
      <c r="BT72" s="84" vm="17916">
        <v>14186</v>
      </c>
      <c r="BU72" s="5" vm="18115">
        <f xml:space="preserve"> VfM_Metrics_2023_Entity[[#This Row],[Turnover from social housing lettings]]</f>
        <v>88185</v>
      </c>
      <c r="BV72" s="135" vm="18115">
        <v>88185</v>
      </c>
      <c r="BW72" s="134">
        <f xml:space="preserve"> IFERROR( VfM_Metrics_2023_Entity[[#This Row],[Net operating surplus]] / VfM_Metrics_2023_Entity[[#This Row],[Overall turnover]], "n/a" )</f>
        <v>0.13198435504469988</v>
      </c>
      <c r="BX72" s="5">
        <f xml:space="preserve"> SUM( VfM_Metrics_2023_Entity[[#This Row],[Operating surplus/(deficit) (overall)2]], - VfM_Metrics_2023_Entity[[#This Row],[Gain/(loss) on disposal of fixed assets (housing properties)2]], - VfM_Metrics_2023_Entity[[#This Row],[Gain/(loss) on disposal of fixed assets (other)2]] )</f>
        <v>16535</v>
      </c>
      <c r="BY72" s="84" vm="13508">
        <v>23031</v>
      </c>
      <c r="BZ72" s="84" vm="13958">
        <v>0</v>
      </c>
      <c r="CA72" s="84" vm="14209">
        <v>6496</v>
      </c>
      <c r="CB72" s="5" vm="18266">
        <f xml:space="preserve"> VfM_Metrics_2023_Entity[[#This Row],[Turnover (overall)]]</f>
        <v>125280</v>
      </c>
      <c r="CC72" s="135" vm="18266">
        <v>125280</v>
      </c>
      <c r="CD72" s="134">
        <f xml:space="preserve"> IFERROR( VfM_Metrics_2023_Entity[[#This Row],[Operating surplus including from JVs]] / VfM_Metrics_2023_Entity[[#This Row],[Net assets]], "n/a" )</f>
        <v>4.0715486593465654E-2</v>
      </c>
      <c r="CE72" s="5">
        <f xml:space="preserve"> SUM( VfM_Metrics_2023_Entity[[#This Row],[Operating surplus/(deficit) (overall)3]], VfM_Metrics_2023_Entity[[#This Row],[Share of operating surplus/(deficit) in joint ventures or associates]] )</f>
        <v>23031</v>
      </c>
      <c r="CF72" s="84" vm="13509">
        <v>23031</v>
      </c>
      <c r="CG72" s="84">
        <v>0</v>
      </c>
      <c r="CH72" s="5" vm="18652">
        <f xml:space="preserve"> VfM_Metrics_2023_Entity[[#This Row],[Total assets less current liabilities]]</f>
        <v>565657</v>
      </c>
      <c r="CI72" s="135" vm="18652">
        <v>565657</v>
      </c>
      <c r="CJ72" s="140" vm="11240">
        <f xml:space="preserve"> VfM_Metrics_2023_Entity[[#This Row],[Total social housing units owned (Period end)]]</f>
        <v>17790</v>
      </c>
      <c r="CK72" s="141">
        <v>7.8816058063052849E-2</v>
      </c>
      <c r="CL72" s="69">
        <f xml:space="preserve"> -- ( VfM_Metrics_2023_Entity[[#This Row],[% Supported housing (excl. HOP)]] &gt; 0.3 )</f>
        <v>0</v>
      </c>
      <c r="CM72" s="9">
        <v>0</v>
      </c>
      <c r="CN72" s="69">
        <f xml:space="preserve"> -- ( VfM_Metrics_2023_Entity[[#This Row],[% Housing for older people]] &gt; 0.3 )</f>
        <v>0</v>
      </c>
      <c r="CO72" s="9">
        <f xml:space="preserve"> VfM_Metrics_2023_Entity[[#This Row],[% Supported housing (excl. HOP)]] + VfM_Metrics_2023_Entity[[#This Row],[% Housing for older people]]</f>
        <v>7.8816058063052849E-2</v>
      </c>
      <c r="CP72" s="69">
        <f xml:space="preserve"> -- ( VfM_Metrics_2023_Entity[[#This Row],[SH specialist in RSH analysis]] + VfM_Metrics_2023_Entity[[#This Row],[OP specialist in RSH analysis]] &gt; 0 )</f>
        <v>0</v>
      </c>
      <c r="CQ72" s="142">
        <f xml:space="preserve"> -- ( VfM_Metrics_2023_Entity[[#This Row],[% SH and OP]] &gt; 0.3 )</f>
        <v>0</v>
      </c>
      <c r="CR72" s="143" t="s">
        <v>143</v>
      </c>
      <c r="CS72" s="120"/>
      <c r="CT72" s="144" t="s">
        <v>151</v>
      </c>
      <c r="CU7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72" s="146">
        <v>0</v>
      </c>
      <c r="CW72" s="146">
        <v>0</v>
      </c>
      <c r="CX72" s="146">
        <v>0</v>
      </c>
      <c r="CY72" s="146">
        <v>0</v>
      </c>
      <c r="CZ72" s="146">
        <v>0</v>
      </c>
      <c r="DA72" s="146">
        <v>0</v>
      </c>
      <c r="DB72" s="146">
        <v>0</v>
      </c>
      <c r="DC72" s="146">
        <v>1</v>
      </c>
      <c r="DD72" s="146">
        <v>0</v>
      </c>
      <c r="DE72" s="126">
        <v>0.96105917141044694</v>
      </c>
    </row>
    <row r="73" spans="1:109" x14ac:dyDescent="0.25">
      <c r="A73" s="4" t="s" vm="200">
        <v>256</v>
      </c>
      <c r="B73" s="4" t="s" vm="10270">
        <v>257</v>
      </c>
      <c r="C73" s="121" vm="18789">
        <v>45016</v>
      </c>
      <c r="D73" s="68">
        <f>IFERROR( VfM_Metrics_2023_Entity[[#This Row],[Reinvestment Spend]] / VfM_Metrics_2023_Entity[[#This Row],[Net Book Value of Housing Properties]], "n/a" )</f>
        <v>6.4498138853222309E-2</v>
      </c>
      <c r="E7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4973</v>
      </c>
      <c r="F73" s="84" vm="10290">
        <v>4228</v>
      </c>
      <c r="G73" s="84" vm="10789">
        <v>0</v>
      </c>
      <c r="H73" s="84" vm="10369">
        <v>694</v>
      </c>
      <c r="I73" s="84" vm="10787">
        <v>51</v>
      </c>
      <c r="J73" s="84" vm="10307">
        <v>0</v>
      </c>
      <c r="K73" s="5">
        <f xml:space="preserve"> SUM( VfM_Metrics_2023_Entity[[#This Row],[Tangible fixed assets: Housing properties at cost (Current period)]],VfM_Metrics_2023_Entity[[#This Row],[Tangible fixed assets Housing properties at valuation (Current period)]] )</f>
        <v>77103</v>
      </c>
      <c r="L73" s="84" vm="10023">
        <v>77103</v>
      </c>
      <c r="M73" s="84">
        <v>0</v>
      </c>
      <c r="N73" s="134">
        <f xml:space="preserve"> IFERROR( VfM_Metrics_2023_Entity[[#This Row],[Total social units developed or newly built units acquired in-year]] / VfM_Metrics_2023_Entity[[#This Row],[Social housing units owned (period end)]], "n/a" )</f>
        <v>4.4153720359771054E-2</v>
      </c>
      <c r="O73" s="5">
        <f xml:space="preserve"> SUM( VfM_Metrics_2023_Entity[[#This Row],[Total social units developed or newly built units acquired in-year (owned)]], VfM_Metrics_2023_Entity[[#This Row],[Total social leasehold units developed or newly built units acquired in-year (owned)]] )</f>
        <v>54</v>
      </c>
      <c r="P73" s="84" vm="11013">
        <v>54</v>
      </c>
      <c r="Q73" s="84">
        <v>0</v>
      </c>
      <c r="R73" s="5">
        <f xml:space="preserve"> SUM( VfM_Metrics_2023_Entity[[#This Row],[Total social housing units owned (Period end)]], VfM_Metrics_2023_Entity[[#This Row],[Total social leasehold units owned (Period end)]] )</f>
        <v>1223</v>
      </c>
      <c r="S73" s="84" vm="11264">
        <v>1223</v>
      </c>
      <c r="T73" s="135" vm="11443">
        <v>0</v>
      </c>
      <c r="U73" s="136">
        <f xml:space="preserve"> IFERROR( VfM_Metrics_2023_Entity[[#This Row],[Total non-social housing units developed or newly built units acquired (owned)]] / VfM_Metrics_2023_Entity[[#This Row],[Total social and non-social housing units owned (Period end)]], "n/a" )</f>
        <v>0</v>
      </c>
      <c r="V7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73" s="84">
        <v>0</v>
      </c>
      <c r="X73" s="84">
        <v>0</v>
      </c>
      <c r="Y73" s="84">
        <v>0</v>
      </c>
      <c r="Z7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1223</v>
      </c>
      <c r="AA73" s="84" vm="11264">
        <v>1223</v>
      </c>
      <c r="AB73" s="84" vm="12187">
        <v>0</v>
      </c>
      <c r="AC73" s="84" vm="12092">
        <v>0</v>
      </c>
      <c r="AD73" s="135" vm="12253">
        <v>0</v>
      </c>
      <c r="AE73" s="134">
        <f xml:space="preserve"> IFERROR( VfM_Metrics_2023_Entity[[#This Row],[Total Net Debt]] / VfM_Metrics_2023_Entity[[#This Row],[Net Book Value of Housing Properties2]], "n/a" )</f>
        <v>6.1320571184000625E-2</v>
      </c>
      <c r="AF7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4728</v>
      </c>
      <c r="AG73" s="84" vm="12639">
        <v>519</v>
      </c>
      <c r="AH73" s="84" vm="13238">
        <v>12861</v>
      </c>
      <c r="AI73" s="84" vm="13325">
        <v>8652</v>
      </c>
      <c r="AJ73" s="84">
        <v>0</v>
      </c>
      <c r="AK73" s="84">
        <v>0</v>
      </c>
      <c r="AL73" s="5">
        <f xml:space="preserve"> SUM( VfM_Metrics_2023_Entity[[#This Row],[Tangible fixed assets: Housing properties at cost (Current period)2]], VfM_Metrics_2023_Entity[[#This Row],[Tangible fixed assets Housing properties at valuation (Current period)2]] )</f>
        <v>77103</v>
      </c>
      <c r="AM73" s="84" vm="10023">
        <v>77103</v>
      </c>
      <c r="AN73" s="135">
        <v>0</v>
      </c>
      <c r="AO73" s="137">
        <f xml:space="preserve"> IFERROR( VfM_Metrics_2023_Entity[[#This Row],[EBITDA MRI]] / VfM_Metrics_2023_Entity[[#This Row],[Total interest]], "n/a" )</f>
        <v>2.7260273972602738</v>
      </c>
      <c r="AP7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1393</v>
      </c>
      <c r="AQ73" s="84" vm="13546">
        <v>972</v>
      </c>
      <c r="AR73" s="84">
        <v>0</v>
      </c>
      <c r="AS73" s="84">
        <v>0</v>
      </c>
      <c r="AT73" s="84" vm="14699">
        <v>602</v>
      </c>
      <c r="AU73" s="84" vm="14942">
        <v>0</v>
      </c>
      <c r="AV73" s="84" vm="13707">
        <v>50</v>
      </c>
      <c r="AW73" s="84" vm="13960">
        <v>694</v>
      </c>
      <c r="AX73" s="84" vm="14210">
        <v>1667</v>
      </c>
      <c r="AY73" s="5">
        <f xml:space="preserve"> - SUM( VfM_Metrics_2023_Entity[[#This Row],[Interest capitalised]], VfM_Metrics_2023_Entity[[#This Row],[Interest payable and financing costs]] )</f>
        <v>511</v>
      </c>
      <c r="AZ73" s="84" vm="15226">
        <v>-51</v>
      </c>
      <c r="BA73" s="135" vm="15388">
        <v>-460</v>
      </c>
      <c r="BB73" s="138">
        <f xml:space="preserve"> IFERROR( ( VfM_Metrics_2023_Entity[[#This Row],[Total Costs]] / VfM_Metrics_2023_Entity[[#This Row],[Total units for costs]] ) * 1000, "n/a" )</f>
        <v>28646.294881589001</v>
      </c>
      <c r="BC7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37498</v>
      </c>
      <c r="BD73" s="84" vm="15887">
        <v>7193</v>
      </c>
      <c r="BE73" s="84" vm="16399">
        <v>10760</v>
      </c>
      <c r="BF73" s="84" vm="15883">
        <v>5291</v>
      </c>
      <c r="BG73" s="84" vm="16701">
        <v>0</v>
      </c>
      <c r="BH73" s="84" vm="16860">
        <v>0</v>
      </c>
      <c r="BI73" s="84" vm="16085">
        <v>0</v>
      </c>
      <c r="BJ73" s="84" vm="15812">
        <v>694</v>
      </c>
      <c r="BK73" s="84" vm="15889">
        <v>1663</v>
      </c>
      <c r="BL73" s="84">
        <v>0</v>
      </c>
      <c r="BM73" s="84">
        <v>0</v>
      </c>
      <c r="BN73" s="84">
        <v>0</v>
      </c>
      <c r="BO73" s="84" vm="16401">
        <v>11897</v>
      </c>
      <c r="BP73" s="5" vm="17798">
        <f xml:space="preserve"> VfM_Metrics_2023_Entity[[#This Row],[Total social housing units owned and/or managed at period end]]</f>
        <v>1309</v>
      </c>
      <c r="BQ73" s="135" vm="17798">
        <v>1309</v>
      </c>
      <c r="BR73" s="134">
        <f xml:space="preserve"> IFERROR( VfM_Metrics_2023_Entity[[#This Row],[SHL operating surplus / (deficit)]] / VfM_Metrics_2023_Entity[[#This Row],[Turnover from social housing lettings]], "n/a" )</f>
        <v>2.5755109423042141E-2</v>
      </c>
      <c r="BS73" s="5" vm="17954">
        <f xml:space="preserve"> VfM_Metrics_2023_Entity[[#This Row],[Operating surplus/(deficit) (social housing lettings)]]</f>
        <v>712</v>
      </c>
      <c r="BT73" s="84" vm="17954">
        <v>712</v>
      </c>
      <c r="BU73" s="5" vm="18125">
        <f xml:space="preserve"> VfM_Metrics_2023_Entity[[#This Row],[Turnover from social housing lettings]]</f>
        <v>27645</v>
      </c>
      <c r="BV73" s="135" vm="18125">
        <v>27645</v>
      </c>
      <c r="BW73" s="134">
        <f xml:space="preserve"> IFERROR( VfM_Metrics_2023_Entity[[#This Row],[Net operating surplus]] / VfM_Metrics_2023_Entity[[#This Row],[Overall turnover]], "n/a" )</f>
        <v>1.7418106228944161E-2</v>
      </c>
      <c r="BX73" s="5">
        <f xml:space="preserve"> SUM( VfM_Metrics_2023_Entity[[#This Row],[Operating surplus/(deficit) (overall)2]], - VfM_Metrics_2023_Entity[[#This Row],[Gain/(loss) on disposal of fixed assets (housing properties)2]], - VfM_Metrics_2023_Entity[[#This Row],[Gain/(loss) on disposal of fixed assets (other)2]] )</f>
        <v>972</v>
      </c>
      <c r="BY73" s="84" vm="13546">
        <v>972</v>
      </c>
      <c r="BZ73" s="84">
        <v>0</v>
      </c>
      <c r="CA73" s="84">
        <v>0</v>
      </c>
      <c r="CB73" s="5" vm="18302">
        <f xml:space="preserve"> VfM_Metrics_2023_Entity[[#This Row],[Turnover (overall)]]</f>
        <v>55804</v>
      </c>
      <c r="CC73" s="135" vm="18302">
        <v>55804</v>
      </c>
      <c r="CD73" s="134">
        <f xml:space="preserve"> IFERROR( VfM_Metrics_2023_Entity[[#This Row],[Operating surplus including from JVs]] / VfM_Metrics_2023_Entity[[#This Row],[Net assets]], "n/a" )</f>
        <v>1.1749205236374186E-2</v>
      </c>
      <c r="CE73" s="5">
        <f xml:space="preserve"> SUM( VfM_Metrics_2023_Entity[[#This Row],[Operating surplus/(deficit) (overall)3]], VfM_Metrics_2023_Entity[[#This Row],[Share of operating surplus/(deficit) in joint ventures or associates]] )</f>
        <v>972</v>
      </c>
      <c r="CF73" s="84" vm="18432">
        <v>972</v>
      </c>
      <c r="CG73" s="84">
        <v>0</v>
      </c>
      <c r="CH73" s="5" vm="18690">
        <f xml:space="preserve"> VfM_Metrics_2023_Entity[[#This Row],[Total assets less current liabilities]]</f>
        <v>82729</v>
      </c>
      <c r="CI73" s="135" vm="18690">
        <v>82729</v>
      </c>
      <c r="CJ73" s="140" vm="11264">
        <f xml:space="preserve"> VfM_Metrics_2023_Entity[[#This Row],[Total social housing units owned (Period end)]]</f>
        <v>1223</v>
      </c>
      <c r="CK73" s="141">
        <v>0.84791496320523307</v>
      </c>
      <c r="CL73" s="69">
        <f xml:space="preserve"> -- ( VfM_Metrics_2023_Entity[[#This Row],[% Supported housing (excl. HOP)]] &gt; 0.3 )</f>
        <v>1</v>
      </c>
      <c r="CM73" s="9">
        <v>0</v>
      </c>
      <c r="CN73" s="69">
        <f xml:space="preserve"> -- ( VfM_Metrics_2023_Entity[[#This Row],[% Housing for older people]] &gt; 0.3 )</f>
        <v>0</v>
      </c>
      <c r="CO73" s="9">
        <f xml:space="preserve"> VfM_Metrics_2023_Entity[[#This Row],[% Supported housing (excl. HOP)]] + VfM_Metrics_2023_Entity[[#This Row],[% Housing for older people]]</f>
        <v>0.84791496320523307</v>
      </c>
      <c r="CP73" s="69">
        <f xml:space="preserve"> -- ( VfM_Metrics_2023_Entity[[#This Row],[SH specialist in RSH analysis]] + VfM_Metrics_2023_Entity[[#This Row],[OP specialist in RSH analysis]] &gt; 0 )</f>
        <v>1</v>
      </c>
      <c r="CQ73" s="142">
        <f xml:space="preserve"> -- ( VfM_Metrics_2023_Entity[[#This Row],[% SH and OP]] &gt; 0.3 )</f>
        <v>1</v>
      </c>
      <c r="CR73" s="143" t="s">
        <v>143</v>
      </c>
      <c r="CS73" s="120"/>
      <c r="CT73" s="144" t="s">
        <v>144</v>
      </c>
      <c r="CU7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73" s="146">
        <v>0</v>
      </c>
      <c r="CW73" s="146">
        <v>0</v>
      </c>
      <c r="CX73" s="146">
        <v>0</v>
      </c>
      <c r="CY73" s="146">
        <v>0.97327586206896555</v>
      </c>
      <c r="CZ73" s="146">
        <v>2.5862068965517241E-3</v>
      </c>
      <c r="DA73" s="146">
        <v>0</v>
      </c>
      <c r="DB73" s="146">
        <v>0</v>
      </c>
      <c r="DC73" s="146">
        <v>0</v>
      </c>
      <c r="DD73" s="146">
        <v>2.4137931034482758E-2</v>
      </c>
      <c r="DE73" s="126">
        <v>0.94244633051152416</v>
      </c>
    </row>
    <row r="74" spans="1:109" x14ac:dyDescent="0.25">
      <c r="A74" s="4" t="s" vm="388">
        <v>258</v>
      </c>
      <c r="B74" s="4" t="s" vm="9328">
        <v>259</v>
      </c>
      <c r="C74" s="121" vm="18854">
        <v>45016</v>
      </c>
      <c r="D74" s="68">
        <f>IFERROR( VfM_Metrics_2023_Entity[[#This Row],[Reinvestment Spend]] / VfM_Metrics_2023_Entity[[#This Row],[Net Book Value of Housing Properties]], "n/a" )</f>
        <v>0.10017830291775881</v>
      </c>
      <c r="E7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12192</v>
      </c>
      <c r="F74" s="84" vm="10272">
        <v>9038</v>
      </c>
      <c r="G74" s="84" vm="10946">
        <v>0</v>
      </c>
      <c r="H74" s="84" vm="9808">
        <v>3002</v>
      </c>
      <c r="I74" s="84" vm="10632">
        <v>152</v>
      </c>
      <c r="J74" s="84" vm="9553">
        <v>0</v>
      </c>
      <c r="K74" s="5">
        <f xml:space="preserve"> SUM( VfM_Metrics_2023_Entity[[#This Row],[Tangible fixed assets: Housing properties at cost (Current period)]],VfM_Metrics_2023_Entity[[#This Row],[Tangible fixed assets Housing properties at valuation (Current period)]] )</f>
        <v>121703</v>
      </c>
      <c r="L74" s="84" vm="10780">
        <v>121703</v>
      </c>
      <c r="M74" s="84" vm="10175">
        <v>0</v>
      </c>
      <c r="N74" s="134">
        <f xml:space="preserve"> IFERROR( VfM_Metrics_2023_Entity[[#This Row],[Total social units developed or newly built units acquired in-year]] / VfM_Metrics_2023_Entity[[#This Row],[Social housing units owned (period end)]], "n/a" )</f>
        <v>5.2804338518624237E-3</v>
      </c>
      <c r="O74" s="5">
        <f xml:space="preserve"> SUM( VfM_Metrics_2023_Entity[[#This Row],[Total social units developed or newly built units acquired in-year (owned)]], VfM_Metrics_2023_Entity[[#This Row],[Total social leasehold units developed or newly built units acquired in-year (owned)]] )</f>
        <v>37</v>
      </c>
      <c r="P74" s="84" vm="11047">
        <v>37</v>
      </c>
      <c r="Q74" s="84" vm="11172">
        <v>0</v>
      </c>
      <c r="R74" s="5">
        <f xml:space="preserve"> SUM( VfM_Metrics_2023_Entity[[#This Row],[Total social housing units owned (Period end)]], VfM_Metrics_2023_Entity[[#This Row],[Total social leasehold units owned (Period end)]] )</f>
        <v>7007</v>
      </c>
      <c r="S74" s="84" vm="11296">
        <v>6832</v>
      </c>
      <c r="T74" s="135" vm="11461">
        <v>175</v>
      </c>
      <c r="U74" s="136">
        <f xml:space="preserve"> IFERROR( VfM_Metrics_2023_Entity[[#This Row],[Total non-social housing units developed or newly built units acquired (owned)]] / VfM_Metrics_2023_Entity[[#This Row],[Total social and non-social housing units owned (Period end)]], "n/a" )</f>
        <v>0</v>
      </c>
      <c r="V7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74" s="84" vm="11651">
        <v>0</v>
      </c>
      <c r="X74" s="84" vm="11693">
        <v>0</v>
      </c>
      <c r="Y74" s="84" vm="11728">
        <v>0</v>
      </c>
      <c r="Z7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7015</v>
      </c>
      <c r="AA74" s="84" vm="12025">
        <v>6832</v>
      </c>
      <c r="AB74" s="84" vm="12433">
        <v>175</v>
      </c>
      <c r="AC74" s="84" vm="12349">
        <v>8</v>
      </c>
      <c r="AD74" s="135" vm="12492">
        <v>0</v>
      </c>
      <c r="AE74" s="134">
        <f xml:space="preserve"> IFERROR( VfM_Metrics_2023_Entity[[#This Row],[Total Net Debt]] / VfM_Metrics_2023_Entity[[#This Row],[Net Book Value of Housing Properties2]], "n/a" )</f>
        <v>0.23442314486906649</v>
      </c>
      <c r="AF7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28530</v>
      </c>
      <c r="AG74" s="84" vm="12661">
        <v>0</v>
      </c>
      <c r="AH74" s="84" vm="12740">
        <v>52500</v>
      </c>
      <c r="AI74" s="84" vm="13156">
        <v>23970</v>
      </c>
      <c r="AJ74" s="84" vm="13201">
        <v>0</v>
      </c>
      <c r="AK74" s="84" vm="13287">
        <v>0</v>
      </c>
      <c r="AL74" s="5">
        <f xml:space="preserve"> SUM( VfM_Metrics_2023_Entity[[#This Row],[Tangible fixed assets: Housing properties at cost (Current period)2]], VfM_Metrics_2023_Entity[[#This Row],[Tangible fixed assets Housing properties at valuation (Current period)2]] )</f>
        <v>121703</v>
      </c>
      <c r="AM74" s="84" vm="9960">
        <v>121703</v>
      </c>
      <c r="AN74" s="135" vm="10131">
        <v>0</v>
      </c>
      <c r="AO74" s="137">
        <f xml:space="preserve"> IFERROR( VfM_Metrics_2023_Entity[[#This Row],[EBITDA MRI]] / VfM_Metrics_2023_Entity[[#This Row],[Total interest]], "n/a" )</f>
        <v>2.8025672371638142</v>
      </c>
      <c r="AP7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4585</v>
      </c>
      <c r="AQ74" s="84" vm="13570">
        <v>5296</v>
      </c>
      <c r="AR74" s="84" vm="14452">
        <v>2333</v>
      </c>
      <c r="AS74" s="84" vm="14700">
        <v>0</v>
      </c>
      <c r="AT74" s="84" vm="14943">
        <v>88</v>
      </c>
      <c r="AU74" s="84" vm="13708">
        <v>0</v>
      </c>
      <c r="AV74" s="84" vm="13961">
        <v>57</v>
      </c>
      <c r="AW74" s="84" vm="14211">
        <v>3002</v>
      </c>
      <c r="AX74" s="84" vm="14453">
        <v>4655</v>
      </c>
      <c r="AY74" s="5">
        <f xml:space="preserve"> - SUM( VfM_Metrics_2023_Entity[[#This Row],[Interest capitalised]], VfM_Metrics_2023_Entity[[#This Row],[Interest payable and financing costs]] )</f>
        <v>1636</v>
      </c>
      <c r="AZ74" s="84" vm="15243">
        <v>-152</v>
      </c>
      <c r="BA74" s="135" vm="15416">
        <v>-1484</v>
      </c>
      <c r="BB74" s="138">
        <f xml:space="preserve"> IFERROR( ( VfM_Metrics_2023_Entity[[#This Row],[Total Costs]] / VfM_Metrics_2023_Entity[[#This Row],[Total units for costs]] ) * 1000, "n/a" )</f>
        <v>3968.2377049180327</v>
      </c>
      <c r="BC7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27111</v>
      </c>
      <c r="BD74" s="84" vm="15543">
        <v>5684</v>
      </c>
      <c r="BE74" s="84" vm="17239">
        <v>4956</v>
      </c>
      <c r="BF74" s="84" vm="17320">
        <v>7673</v>
      </c>
      <c r="BG74" s="84" vm="16303">
        <v>1654</v>
      </c>
      <c r="BH74" s="84" vm="15885">
        <v>3862</v>
      </c>
      <c r="BI74" s="84" vm="16404">
        <v>0</v>
      </c>
      <c r="BJ74" s="84" vm="16702">
        <v>3002</v>
      </c>
      <c r="BK74" s="84" vm="15813">
        <v>280</v>
      </c>
      <c r="BL74" s="84" vm="15890">
        <v>0</v>
      </c>
      <c r="BM74" s="84" vm="16304">
        <v>0</v>
      </c>
      <c r="BN74" s="84" vm="15886">
        <v>0</v>
      </c>
      <c r="BO74" s="84" vm="16086">
        <v>0</v>
      </c>
      <c r="BP74" s="5" vm="17696">
        <f xml:space="preserve"> VfM_Metrics_2023_Entity[[#This Row],[Total social housing units owned and/or managed at period end]]</f>
        <v>6832</v>
      </c>
      <c r="BQ74" s="135" vm="17696">
        <v>6832</v>
      </c>
      <c r="BR74" s="134">
        <f xml:space="preserve"> IFERROR( VfM_Metrics_2023_Entity[[#This Row],[SHL operating surplus / (deficit)]] / VfM_Metrics_2023_Entity[[#This Row],[Turnover from social housing lettings]], "n/a" )</f>
        <v>7.7553232181563181E-2</v>
      </c>
      <c r="BS74" s="5" vm="17990">
        <f xml:space="preserve"> VfM_Metrics_2023_Entity[[#This Row],[Operating surplus/(deficit) (social housing lettings)]]</f>
        <v>2433</v>
      </c>
      <c r="BT74" s="84" vm="17990">
        <v>2433</v>
      </c>
      <c r="BU74" s="5" vm="18168">
        <f xml:space="preserve"> VfM_Metrics_2023_Entity[[#This Row],[Turnover from social housing lettings]]</f>
        <v>31372</v>
      </c>
      <c r="BV74" s="135" vm="18168">
        <v>31372</v>
      </c>
      <c r="BW74" s="134">
        <f xml:space="preserve"> IFERROR( VfM_Metrics_2023_Entity[[#This Row],[Net operating surplus]] / VfM_Metrics_2023_Entity[[#This Row],[Overall turnover]], "n/a" )</f>
        <v>9.0528567063855786E-2</v>
      </c>
      <c r="BX74" s="5">
        <f xml:space="preserve"> SUM( VfM_Metrics_2023_Entity[[#This Row],[Operating surplus/(deficit) (overall)2]], - VfM_Metrics_2023_Entity[[#This Row],[Gain/(loss) on disposal of fixed assets (housing properties)2]], - VfM_Metrics_2023_Entity[[#This Row],[Gain/(loss) on disposal of fixed assets (other)2]] )</f>
        <v>2963</v>
      </c>
      <c r="BY74" s="84" vm="13570">
        <v>5296</v>
      </c>
      <c r="BZ74" s="84" vm="14452">
        <v>2333</v>
      </c>
      <c r="CA74" s="84" vm="14700">
        <v>0</v>
      </c>
      <c r="CB74" s="5" vm="18329">
        <f xml:space="preserve"> VfM_Metrics_2023_Entity[[#This Row],[Turnover (overall)]]</f>
        <v>32730</v>
      </c>
      <c r="CC74" s="135" vm="18329">
        <v>32730</v>
      </c>
      <c r="CD74" s="134">
        <f xml:space="preserve"> IFERROR( VfM_Metrics_2023_Entity[[#This Row],[Operating surplus including from JVs]] / VfM_Metrics_2023_Entity[[#This Row],[Net assets]], "n/a" )</f>
        <v>3.6472573258496607E-2</v>
      </c>
      <c r="CE74" s="5">
        <f xml:space="preserve"> SUM( VfM_Metrics_2023_Entity[[#This Row],[Operating surplus/(deficit) (overall)3]], VfM_Metrics_2023_Entity[[#This Row],[Share of operating surplus/(deficit) in joint ventures or associates]] )</f>
        <v>5296</v>
      </c>
      <c r="CF74" s="84" vm="13571">
        <v>5296</v>
      </c>
      <c r="CG74" s="84" vm="18513">
        <v>0</v>
      </c>
      <c r="CH74" s="5" vm="18714">
        <f xml:space="preserve"> VfM_Metrics_2023_Entity[[#This Row],[Total assets less current liabilities]]</f>
        <v>145205</v>
      </c>
      <c r="CI74" s="135" vm="18714">
        <v>145205</v>
      </c>
      <c r="CJ74" s="140" vm="11296">
        <f xml:space="preserve"> VfM_Metrics_2023_Entity[[#This Row],[Total social housing units owned (Period end)]]</f>
        <v>6832</v>
      </c>
      <c r="CK74" s="141">
        <v>4.1049699457557541E-3</v>
      </c>
      <c r="CL74" s="69">
        <f xml:space="preserve"> -- ( VfM_Metrics_2023_Entity[[#This Row],[% Supported housing (excl. HOP)]] &gt; 0.3 )</f>
        <v>0</v>
      </c>
      <c r="CM74" s="9">
        <v>8.5471338513414458E-2</v>
      </c>
      <c r="CN74" s="69">
        <f xml:space="preserve"> -- ( VfM_Metrics_2023_Entity[[#This Row],[% Housing for older people]] &gt; 0.3 )</f>
        <v>0</v>
      </c>
      <c r="CO74" s="9">
        <f xml:space="preserve"> VfM_Metrics_2023_Entity[[#This Row],[% Supported housing (excl. HOP)]] + VfM_Metrics_2023_Entity[[#This Row],[% Housing for older people]]</f>
        <v>8.9576308459170209E-2</v>
      </c>
      <c r="CP74" s="69">
        <f xml:space="preserve"> -- ( VfM_Metrics_2023_Entity[[#This Row],[SH specialist in RSH analysis]] + VfM_Metrics_2023_Entity[[#This Row],[OP specialist in RSH analysis]] &gt; 0 )</f>
        <v>0</v>
      </c>
      <c r="CQ74" s="142">
        <f xml:space="preserve"> -- ( VfM_Metrics_2023_Entity[[#This Row],[% SH and OP]] &gt; 0.3 )</f>
        <v>0</v>
      </c>
      <c r="CR74" s="143" t="s">
        <v>143</v>
      </c>
      <c r="CS74" s="120"/>
      <c r="CT74" s="144" t="s">
        <v>151</v>
      </c>
      <c r="CU7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74" s="146">
        <v>0</v>
      </c>
      <c r="CW74" s="146">
        <v>0</v>
      </c>
      <c r="CX74" s="146">
        <v>0</v>
      </c>
      <c r="CY74" s="146">
        <v>0</v>
      </c>
      <c r="CZ74" s="146">
        <v>0</v>
      </c>
      <c r="DA74" s="146">
        <v>1</v>
      </c>
      <c r="DB74" s="146">
        <v>0</v>
      </c>
      <c r="DC74" s="146">
        <v>0</v>
      </c>
      <c r="DD74" s="146">
        <v>0</v>
      </c>
      <c r="DE74" s="126">
        <v>1.0113701298544711</v>
      </c>
    </row>
    <row r="75" spans="1:109" x14ac:dyDescent="0.25">
      <c r="A75" s="4" t="s" vm="9228">
        <v>572</v>
      </c>
      <c r="B75" s="4" t="s" vm="10311">
        <v>573</v>
      </c>
      <c r="C75" s="121" vm="18826">
        <v>45016</v>
      </c>
      <c r="D75" s="68">
        <f>IFERROR( VfM_Metrics_2023_Entity[[#This Row],[Reinvestment Spend]] / VfM_Metrics_2023_Entity[[#This Row],[Net Book Value of Housing Properties]], "n/a" )</f>
        <v>3.4330845260106373E-2</v>
      </c>
      <c r="E7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1504</v>
      </c>
      <c r="F75" s="84" vm="9954">
        <v>0</v>
      </c>
      <c r="G75" s="84" vm="9665">
        <v>0</v>
      </c>
      <c r="H75" s="84" vm="10846">
        <v>1504</v>
      </c>
      <c r="I75" s="84" vm="9753">
        <v>0</v>
      </c>
      <c r="J75" s="84" vm="9486">
        <v>0</v>
      </c>
      <c r="K75" s="5">
        <f xml:space="preserve"> SUM( VfM_Metrics_2023_Entity[[#This Row],[Tangible fixed assets: Housing properties at cost (Current period)]],VfM_Metrics_2023_Entity[[#This Row],[Tangible fixed assets Housing properties at valuation (Current period)]] )</f>
        <v>43809</v>
      </c>
      <c r="L75" s="84" vm="10065">
        <v>43809</v>
      </c>
      <c r="M75" s="84" vm="10148">
        <v>0</v>
      </c>
      <c r="N75" s="134">
        <f xml:space="preserve"> IFERROR( VfM_Metrics_2023_Entity[[#This Row],[Total social units developed or newly built units acquired in-year]] / VfM_Metrics_2023_Entity[[#This Row],[Social housing units owned (period end)]], "n/a" )</f>
        <v>0</v>
      </c>
      <c r="O75" s="5">
        <f xml:space="preserve"> SUM( VfM_Metrics_2023_Entity[[#This Row],[Total social units developed or newly built units acquired in-year (owned)]], VfM_Metrics_2023_Entity[[#This Row],[Total social leasehold units developed or newly built units acquired in-year (owned)]] )</f>
        <v>0</v>
      </c>
      <c r="P75" s="84" vm="11066">
        <v>0</v>
      </c>
      <c r="Q75" s="84" vm="11189">
        <v>0</v>
      </c>
      <c r="R75" s="5">
        <f xml:space="preserve"> SUM( VfM_Metrics_2023_Entity[[#This Row],[Total social housing units owned (Period end)]], VfM_Metrics_2023_Entity[[#This Row],[Total social leasehold units owned (Period end)]] )</f>
        <v>2039</v>
      </c>
      <c r="S75" s="84" vm="11393">
        <v>1971</v>
      </c>
      <c r="T75" s="135" vm="11474">
        <v>68</v>
      </c>
      <c r="U75" s="136">
        <f xml:space="preserve"> IFERROR( VfM_Metrics_2023_Entity[[#This Row],[Total non-social housing units developed or newly built units acquired (owned)]] / VfM_Metrics_2023_Entity[[#This Row],[Total social and non-social housing units owned (Period end)]], "n/a" )</f>
        <v>3.1111111111111109E-3</v>
      </c>
      <c r="V7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7</v>
      </c>
      <c r="W75" s="84" vm="11667">
        <v>0</v>
      </c>
      <c r="X75" s="84" vm="11791">
        <v>7</v>
      </c>
      <c r="Y75" s="84" vm="11832">
        <v>0</v>
      </c>
      <c r="Z7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2250</v>
      </c>
      <c r="AA75" s="84" vm="12044">
        <v>1971</v>
      </c>
      <c r="AB75" s="84" vm="12187">
        <v>68</v>
      </c>
      <c r="AC75" s="84" vm="12093">
        <v>136</v>
      </c>
      <c r="AD75" s="135" vm="12254">
        <v>75</v>
      </c>
      <c r="AE75" s="134">
        <f xml:space="preserve"> IFERROR( VfM_Metrics_2023_Entity[[#This Row],[Total Net Debt]] / VfM_Metrics_2023_Entity[[#This Row],[Net Book Value of Housing Properties2]], "n/a" )</f>
        <v>0.80876075692209359</v>
      </c>
      <c r="AF7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35431</v>
      </c>
      <c r="AG75" s="84" vm="12688">
        <v>6038</v>
      </c>
      <c r="AH75" s="84" vm="12852">
        <v>29839</v>
      </c>
      <c r="AI75" s="84" vm="12934">
        <v>446</v>
      </c>
      <c r="AJ75" s="84" vm="12741">
        <v>0</v>
      </c>
      <c r="AK75" s="84" vm="13113">
        <v>0</v>
      </c>
      <c r="AL75" s="5">
        <f xml:space="preserve"> SUM( VfM_Metrics_2023_Entity[[#This Row],[Tangible fixed assets: Housing properties at cost (Current period)2]], VfM_Metrics_2023_Entity[[#This Row],[Tangible fixed assets Housing properties at valuation (Current period)2]] )</f>
        <v>43809</v>
      </c>
      <c r="AM75" s="84" vm="9975">
        <v>43809</v>
      </c>
      <c r="AN75" s="135" vm="10148">
        <v>0</v>
      </c>
      <c r="AO75" s="137">
        <f xml:space="preserve"> IFERROR( VfM_Metrics_2023_Entity[[#This Row],[EBITDA MRI]] / VfM_Metrics_2023_Entity[[#This Row],[Total interest]], "n/a" )</f>
        <v>1.1309523809523809</v>
      </c>
      <c r="AP7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1995</v>
      </c>
      <c r="AQ75" s="84" vm="13601">
        <v>2556</v>
      </c>
      <c r="AR75" s="84" vm="14701">
        <v>383</v>
      </c>
      <c r="AS75" s="84" vm="14944">
        <v>0</v>
      </c>
      <c r="AT75" s="84" vm="13709">
        <v>0</v>
      </c>
      <c r="AU75" s="84" vm="13962">
        <v>0</v>
      </c>
      <c r="AV75" s="84" vm="14212">
        <v>0</v>
      </c>
      <c r="AW75" s="84" vm="14454">
        <v>1504</v>
      </c>
      <c r="AX75" s="84" vm="14702">
        <v>1326</v>
      </c>
      <c r="AY75" s="5">
        <f xml:space="preserve"> - SUM( VfM_Metrics_2023_Entity[[#This Row],[Interest capitalised]], VfM_Metrics_2023_Entity[[#This Row],[Interest payable and financing costs]] )</f>
        <v>1764</v>
      </c>
      <c r="AZ75" s="84" vm="15274">
        <v>0</v>
      </c>
      <c r="BA75" s="135" vm="15453">
        <v>-1764</v>
      </c>
      <c r="BB75" s="138">
        <f xml:space="preserve"> IFERROR( ( VfM_Metrics_2023_Entity[[#This Row],[Total Costs]] / VfM_Metrics_2023_Entity[[#This Row],[Total units for costs]] ) * 1000, "n/a" )</f>
        <v>4521.5626585489599</v>
      </c>
      <c r="BC7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8912</v>
      </c>
      <c r="BD75" s="84" vm="15562">
        <v>3315</v>
      </c>
      <c r="BE75" s="84" vm="15750">
        <v>1794</v>
      </c>
      <c r="BF75" s="84" vm="16784">
        <v>1166</v>
      </c>
      <c r="BG75" s="84" vm="16087">
        <v>964</v>
      </c>
      <c r="BH75" s="84" vm="17024">
        <v>154</v>
      </c>
      <c r="BI75" s="84" vm="16306">
        <v>0</v>
      </c>
      <c r="BJ75" s="84" vm="14454">
        <v>1504</v>
      </c>
      <c r="BK75" s="84" vm="17555">
        <v>1</v>
      </c>
      <c r="BL75" s="84" vm="16405">
        <v>0</v>
      </c>
      <c r="BM75" s="84" vm="16703">
        <v>0</v>
      </c>
      <c r="BN75" s="84" vm="16785">
        <v>6</v>
      </c>
      <c r="BO75" s="84" vm="15814">
        <v>8</v>
      </c>
      <c r="BP75" s="5" vm="17732">
        <f xml:space="preserve"> VfM_Metrics_2023_Entity[[#This Row],[Total social housing units owned and/or managed at period end]]</f>
        <v>1971</v>
      </c>
      <c r="BQ75" s="135" vm="17732">
        <v>1971</v>
      </c>
      <c r="BR75" s="134">
        <f xml:space="preserve"> IFERROR( VfM_Metrics_2023_Entity[[#This Row],[SHL operating surplus / (deficit)]] / VfM_Metrics_2023_Entity[[#This Row],[Turnover from social housing lettings]], "n/a" )</f>
        <v>0.2</v>
      </c>
      <c r="BS75" s="5" vm="18018">
        <f xml:space="preserve"> VfM_Metrics_2023_Entity[[#This Row],[Operating surplus/(deficit) (social housing lettings)]]</f>
        <v>2102</v>
      </c>
      <c r="BT75" s="84" vm="18018">
        <v>2102</v>
      </c>
      <c r="BU75" s="5" vm="18193">
        <f xml:space="preserve"> VfM_Metrics_2023_Entity[[#This Row],[Turnover from social housing lettings]]</f>
        <v>10510</v>
      </c>
      <c r="BV75" s="135" vm="18193">
        <v>10510</v>
      </c>
      <c r="BW75" s="134">
        <f xml:space="preserve"> IFERROR( VfM_Metrics_2023_Entity[[#This Row],[Net operating surplus]] / VfM_Metrics_2023_Entity[[#This Row],[Overall turnover]], "n/a" )</f>
        <v>0.18923626230079246</v>
      </c>
      <c r="BX75" s="5">
        <f xml:space="preserve"> SUM( VfM_Metrics_2023_Entity[[#This Row],[Operating surplus/(deficit) (overall)2]], - VfM_Metrics_2023_Entity[[#This Row],[Gain/(loss) on disposal of fixed assets (housing properties)2]], - VfM_Metrics_2023_Entity[[#This Row],[Gain/(loss) on disposal of fixed assets (other)2]] )</f>
        <v>2173</v>
      </c>
      <c r="BY75" s="84" vm="13601">
        <v>2556</v>
      </c>
      <c r="BZ75" s="84" vm="14701">
        <v>383</v>
      </c>
      <c r="CA75" s="84" vm="14944">
        <v>0</v>
      </c>
      <c r="CB75" s="5" vm="18336">
        <f xml:space="preserve"> VfM_Metrics_2023_Entity[[#This Row],[Turnover (overall)]]</f>
        <v>11483</v>
      </c>
      <c r="CC75" s="135" vm="18336">
        <v>11483</v>
      </c>
      <c r="CD75" s="134">
        <f xml:space="preserve"> IFERROR( VfM_Metrics_2023_Entity[[#This Row],[Operating surplus including from JVs]] / VfM_Metrics_2023_Entity[[#This Row],[Net assets]], "n/a" )</f>
        <v>4.8856946249713283E-2</v>
      </c>
      <c r="CE75" s="5">
        <f xml:space="preserve"> SUM( VfM_Metrics_2023_Entity[[#This Row],[Operating surplus/(deficit) (overall)3]], VfM_Metrics_2023_Entity[[#This Row],[Share of operating surplus/(deficit) in joint ventures or associates]] )</f>
        <v>2556</v>
      </c>
      <c r="CF75" s="84" vm="13601">
        <v>2556</v>
      </c>
      <c r="CG75" s="84" vm="18535">
        <v>0</v>
      </c>
      <c r="CH75" s="5" vm="18740">
        <f xml:space="preserve"> VfM_Metrics_2023_Entity[[#This Row],[Total assets less current liabilities]]</f>
        <v>52316</v>
      </c>
      <c r="CI75" s="135" vm="18740">
        <v>52316</v>
      </c>
      <c r="CJ75" s="140" vm="11393">
        <f xml:space="preserve"> VfM_Metrics_2023_Entity[[#This Row],[Total social housing units owned (Period end)]]</f>
        <v>1971</v>
      </c>
      <c r="CK75" s="141">
        <v>1.6837481698389459E-2</v>
      </c>
      <c r="CL75" s="69">
        <f xml:space="preserve"> -- ( VfM_Metrics_2023_Entity[[#This Row],[% Supported housing (excl. HOP)]] &gt; 0.3 )</f>
        <v>0</v>
      </c>
      <c r="CM75" s="9">
        <v>3.5871156661786238E-2</v>
      </c>
      <c r="CN75" s="69">
        <f xml:space="preserve"> -- ( VfM_Metrics_2023_Entity[[#This Row],[% Housing for older people]] &gt; 0.3 )</f>
        <v>0</v>
      </c>
      <c r="CO75" s="9">
        <f xml:space="preserve"> VfM_Metrics_2023_Entity[[#This Row],[% Supported housing (excl. HOP)]] + VfM_Metrics_2023_Entity[[#This Row],[% Housing for older people]]</f>
        <v>5.2708638360175697E-2</v>
      </c>
      <c r="CP75" s="69">
        <f xml:space="preserve"> -- ( VfM_Metrics_2023_Entity[[#This Row],[SH specialist in RSH analysis]] + VfM_Metrics_2023_Entity[[#This Row],[OP specialist in RSH analysis]] &gt; 0 )</f>
        <v>0</v>
      </c>
      <c r="CQ75" s="142">
        <f xml:space="preserve"> -- ( VfM_Metrics_2023_Entity[[#This Row],[% SH and OP]] &gt; 0.3 )</f>
        <v>0</v>
      </c>
      <c r="CR75" s="143" t="s">
        <v>143</v>
      </c>
      <c r="CS75" s="120"/>
      <c r="CT75" s="144" t="s">
        <v>144</v>
      </c>
      <c r="CU7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75" s="146">
        <v>0</v>
      </c>
      <c r="CW75" s="146">
        <v>8.8626292466765146E-3</v>
      </c>
      <c r="CX75" s="146">
        <v>2.8064992614475627E-2</v>
      </c>
      <c r="CY75" s="146">
        <v>0</v>
      </c>
      <c r="CZ75" s="146">
        <v>1.4771048744460858E-3</v>
      </c>
      <c r="DA75" s="146">
        <v>0</v>
      </c>
      <c r="DB75" s="146">
        <v>0</v>
      </c>
      <c r="DC75" s="146">
        <v>0.91728212703101919</v>
      </c>
      <c r="DD75" s="146">
        <v>4.4313146233382568E-2</v>
      </c>
      <c r="DE75" s="126">
        <v>0.9613731300974987</v>
      </c>
    </row>
    <row r="76" spans="1:109" x14ac:dyDescent="0.25">
      <c r="A76" s="4" t="s" vm="9229">
        <v>574</v>
      </c>
      <c r="B76" s="4" t="s" vm="10570">
        <v>575</v>
      </c>
      <c r="C76" s="121" vm="18812">
        <v>45016</v>
      </c>
      <c r="D76" s="68">
        <f>IFERROR( VfM_Metrics_2023_Entity[[#This Row],[Reinvestment Spend]] / VfM_Metrics_2023_Entity[[#This Row],[Net Book Value of Housing Properties]], "n/a" )</f>
        <v>0.12465068592581839</v>
      </c>
      <c r="E7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27477</v>
      </c>
      <c r="F76" s="84" vm="9387">
        <v>19378</v>
      </c>
      <c r="G76" s="84" vm="10687">
        <v>0</v>
      </c>
      <c r="H76" s="84" vm="10746">
        <v>8099</v>
      </c>
      <c r="I76" s="84" vm="9714">
        <v>0</v>
      </c>
      <c r="J76" s="84" vm="10582">
        <v>0</v>
      </c>
      <c r="K76" s="5">
        <f xml:space="preserve"> SUM( VfM_Metrics_2023_Entity[[#This Row],[Tangible fixed assets: Housing properties at cost (Current period)]],VfM_Metrics_2023_Entity[[#This Row],[Tangible fixed assets Housing properties at valuation (Current period)]] )</f>
        <v>220432</v>
      </c>
      <c r="L76" s="84" vm="10750">
        <v>220432</v>
      </c>
      <c r="M76" s="84">
        <v>0</v>
      </c>
      <c r="N76" s="134">
        <f xml:space="preserve"> IFERROR( VfM_Metrics_2023_Entity[[#This Row],[Total social units developed or newly built units acquired in-year]] / VfM_Metrics_2023_Entity[[#This Row],[Social housing units owned (period end)]], "n/a" )</f>
        <v>1.5043306488375627E-2</v>
      </c>
      <c r="O76" s="5">
        <f xml:space="preserve"> SUM( VfM_Metrics_2023_Entity[[#This Row],[Total social units developed or newly built units acquired in-year (owned)]], VfM_Metrics_2023_Entity[[#This Row],[Total social leasehold units developed or newly built units acquired in-year (owned)]] )</f>
        <v>99</v>
      </c>
      <c r="P76" s="84" vm="11087">
        <v>99</v>
      </c>
      <c r="Q76" s="84">
        <v>0</v>
      </c>
      <c r="R76" s="5">
        <f xml:space="preserve"> SUM( VfM_Metrics_2023_Entity[[#This Row],[Total social housing units owned (Period end)]], VfM_Metrics_2023_Entity[[#This Row],[Total social leasehold units owned (Period end)]] )</f>
        <v>6581</v>
      </c>
      <c r="S76" s="84" vm="11297">
        <v>6581</v>
      </c>
      <c r="T76" s="135" vm="11486">
        <v>0</v>
      </c>
      <c r="U76" s="136">
        <f xml:space="preserve"> IFERROR( VfM_Metrics_2023_Entity[[#This Row],[Total non-social housing units developed or newly built units acquired (owned)]] / VfM_Metrics_2023_Entity[[#This Row],[Total social and non-social housing units owned (Period end)]], "n/a" )</f>
        <v>1.4515894904920887E-4</v>
      </c>
      <c r="V7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v>
      </c>
      <c r="W76" s="84">
        <v>0</v>
      </c>
      <c r="X76" s="84" vm="11880">
        <v>1</v>
      </c>
      <c r="Y76" s="84">
        <v>0</v>
      </c>
      <c r="Z7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6889</v>
      </c>
      <c r="AA76" s="84" vm="11281">
        <v>6581</v>
      </c>
      <c r="AB76" s="84" vm="12434">
        <v>0</v>
      </c>
      <c r="AC76" s="84" vm="12350">
        <v>225</v>
      </c>
      <c r="AD76" s="135" vm="12493">
        <v>83</v>
      </c>
      <c r="AE76" s="134">
        <f xml:space="preserve"> IFERROR( VfM_Metrics_2023_Entity[[#This Row],[Total Net Debt]] / VfM_Metrics_2023_Entity[[#This Row],[Net Book Value of Housing Properties2]], "n/a" )</f>
        <v>0.76306071713725776</v>
      </c>
      <c r="AF7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168203</v>
      </c>
      <c r="AG76" s="84">
        <v>0</v>
      </c>
      <c r="AH76" s="84">
        <v>0</v>
      </c>
      <c r="AI76" s="84" vm="13238">
        <v>45547</v>
      </c>
      <c r="AJ76" s="84" vm="13326">
        <v>213750</v>
      </c>
      <c r="AK76" s="84">
        <v>0</v>
      </c>
      <c r="AL76" s="5">
        <f xml:space="preserve"> SUM( VfM_Metrics_2023_Entity[[#This Row],[Tangible fixed assets: Housing properties at cost (Current period)2]], VfM_Metrics_2023_Entity[[#This Row],[Tangible fixed assets Housing properties at valuation (Current period)2]] )</f>
        <v>220432</v>
      </c>
      <c r="AM76" s="84" vm="9887">
        <v>220432</v>
      </c>
      <c r="AN76" s="135">
        <v>0</v>
      </c>
      <c r="AO76" s="137">
        <f xml:space="preserve"> IFERROR( VfM_Metrics_2023_Entity[[#This Row],[EBITDA MRI]] / VfM_Metrics_2023_Entity[[#This Row],[Total interest]], "n/a" )</f>
        <v>0.92518518518518522</v>
      </c>
      <c r="AP7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7494</v>
      </c>
      <c r="AQ76" s="84" vm="13439">
        <v>11201</v>
      </c>
      <c r="AR76" s="84" vm="14945">
        <v>768</v>
      </c>
      <c r="AS76" s="84" vm="13710">
        <v>19</v>
      </c>
      <c r="AT76" s="84" vm="13963">
        <v>486</v>
      </c>
      <c r="AU76" s="84" vm="14213">
        <v>0</v>
      </c>
      <c r="AV76" s="84" vm="14455">
        <v>888</v>
      </c>
      <c r="AW76" s="84" vm="14703">
        <v>8099</v>
      </c>
      <c r="AX76" s="84" vm="14946">
        <v>4777</v>
      </c>
      <c r="AY76" s="5">
        <f xml:space="preserve"> - SUM( VfM_Metrics_2023_Entity[[#This Row],[Interest capitalised]], VfM_Metrics_2023_Entity[[#This Row],[Interest payable and financing costs]] )</f>
        <v>8100</v>
      </c>
      <c r="AZ76" s="84" vm="15167">
        <v>0</v>
      </c>
      <c r="BA76" s="135" vm="15484">
        <v>-8100</v>
      </c>
      <c r="BB76" s="138">
        <f xml:space="preserve"> IFERROR( ( VfM_Metrics_2023_Entity[[#This Row],[Total Costs]] / VfM_Metrics_2023_Entity[[#This Row],[Total units for costs]] ) * 1000, "n/a" )</f>
        <v>4306.1038566656543</v>
      </c>
      <c r="BC7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28360</v>
      </c>
      <c r="BD76" s="84" vm="15574">
        <v>9847</v>
      </c>
      <c r="BE76" s="84" vm="17025">
        <v>1761</v>
      </c>
      <c r="BF76" s="84" vm="15751">
        <v>3677</v>
      </c>
      <c r="BG76" s="84" vm="15816">
        <v>1860</v>
      </c>
      <c r="BH76" s="84" vm="17478">
        <v>1958</v>
      </c>
      <c r="BI76" s="84" vm="15891">
        <v>0</v>
      </c>
      <c r="BJ76" s="84" vm="13713">
        <v>8099</v>
      </c>
      <c r="BK76" s="84" vm="15888">
        <v>1095</v>
      </c>
      <c r="BL76" s="84">
        <v>0</v>
      </c>
      <c r="BM76" s="84">
        <v>0</v>
      </c>
      <c r="BN76" s="84" vm="17479">
        <v>63</v>
      </c>
      <c r="BO76" s="84">
        <v>0</v>
      </c>
      <c r="BP76" s="5" vm="17764">
        <f xml:space="preserve"> VfM_Metrics_2023_Entity[[#This Row],[Total social housing units owned and/or managed at period end]]</f>
        <v>6586</v>
      </c>
      <c r="BQ76" s="135" vm="17764">
        <v>6586</v>
      </c>
      <c r="BR76" s="134">
        <f xml:space="preserve"> IFERROR( VfM_Metrics_2023_Entity[[#This Row],[SHL operating surplus / (deficit)]] / VfM_Metrics_2023_Entity[[#This Row],[Turnover from social housing lettings]], "n/a" )</f>
        <v>0.27067264573991029</v>
      </c>
      <c r="BS76" s="5" vm="17842">
        <f xml:space="preserve"> VfM_Metrics_2023_Entity[[#This Row],[Operating surplus/(deficit) (social housing lettings)]]</f>
        <v>9054</v>
      </c>
      <c r="BT76" s="84" vm="17842">
        <v>9054</v>
      </c>
      <c r="BU76" s="5" vm="18050">
        <f xml:space="preserve"> VfM_Metrics_2023_Entity[[#This Row],[Turnover from social housing lettings]]</f>
        <v>33450</v>
      </c>
      <c r="BV76" s="135" vm="18050">
        <v>33450</v>
      </c>
      <c r="BW76" s="134">
        <f xml:space="preserve"> IFERROR( VfM_Metrics_2023_Entity[[#This Row],[Net operating surplus]] / VfM_Metrics_2023_Entity[[#This Row],[Overall turnover]], "n/a" )</f>
        <v>0.27051458555212093</v>
      </c>
      <c r="BX76" s="5">
        <f xml:space="preserve"> SUM( VfM_Metrics_2023_Entity[[#This Row],[Operating surplus/(deficit) (overall)2]], - VfM_Metrics_2023_Entity[[#This Row],[Gain/(loss) on disposal of fixed assets (housing properties)2]], - VfM_Metrics_2023_Entity[[#This Row],[Gain/(loss) on disposal of fixed assets (other)2]] )</f>
        <v>10414</v>
      </c>
      <c r="BY76" s="84" vm="13512">
        <v>11201</v>
      </c>
      <c r="BZ76" s="84" vm="14945">
        <v>768</v>
      </c>
      <c r="CA76" s="84" vm="13710">
        <v>19</v>
      </c>
      <c r="CB76" s="5" vm="18344">
        <f xml:space="preserve"> VfM_Metrics_2023_Entity[[#This Row],[Turnover (overall)]]</f>
        <v>38497</v>
      </c>
      <c r="CC76" s="135" vm="18344">
        <v>38497</v>
      </c>
      <c r="CD76" s="134">
        <f xml:space="preserve"> IFERROR( VfM_Metrics_2023_Entity[[#This Row],[Operating surplus including from JVs]] / VfM_Metrics_2023_Entity[[#This Row],[Net assets]], "n/a" )</f>
        <v>3.5794061911807472E-2</v>
      </c>
      <c r="CE76" s="5">
        <f xml:space="preserve"> SUM( VfM_Metrics_2023_Entity[[#This Row],[Operating surplus/(deficit) (overall)3]], VfM_Metrics_2023_Entity[[#This Row],[Share of operating surplus/(deficit) in joint ventures or associates]] )</f>
        <v>11201</v>
      </c>
      <c r="CF76" s="84" vm="13439">
        <v>11201</v>
      </c>
      <c r="CG76" s="84">
        <v>0</v>
      </c>
      <c r="CH76" s="5" vm="18579">
        <f xml:space="preserve"> VfM_Metrics_2023_Entity[[#This Row],[Total assets less current liabilities]]</f>
        <v>312929</v>
      </c>
      <c r="CI76" s="135" vm="18579">
        <v>312929</v>
      </c>
      <c r="CJ76" s="140" vm="11297">
        <f xml:space="preserve"> VfM_Metrics_2023_Entity[[#This Row],[Total social housing units owned (Period end)]]</f>
        <v>6581</v>
      </c>
      <c r="CK76" s="141">
        <v>3.0501753850846426E-3</v>
      </c>
      <c r="CL76" s="69">
        <f xml:space="preserve"> -- ( VfM_Metrics_2023_Entity[[#This Row],[% Supported housing (excl. HOP)]] &gt; 0.3 )</f>
        <v>0</v>
      </c>
      <c r="CM76" s="9">
        <v>0.33719688882110721</v>
      </c>
      <c r="CN76" s="69">
        <f xml:space="preserve"> -- ( VfM_Metrics_2023_Entity[[#This Row],[% Housing for older people]] &gt; 0.3 )</f>
        <v>1</v>
      </c>
      <c r="CO76" s="9">
        <f xml:space="preserve"> VfM_Metrics_2023_Entity[[#This Row],[% Supported housing (excl. HOP)]] + VfM_Metrics_2023_Entity[[#This Row],[% Housing for older people]]</f>
        <v>0.34024706420619183</v>
      </c>
      <c r="CP76" s="69">
        <f xml:space="preserve"> -- ( VfM_Metrics_2023_Entity[[#This Row],[SH specialist in RSH analysis]] + VfM_Metrics_2023_Entity[[#This Row],[OP specialist in RSH analysis]] &gt; 0 )</f>
        <v>1</v>
      </c>
      <c r="CQ76" s="142">
        <f xml:space="preserve"> -- ( VfM_Metrics_2023_Entity[[#This Row],[% SH and OP]] &gt; 0.3 )</f>
        <v>1</v>
      </c>
      <c r="CR76" s="143" t="s">
        <v>143</v>
      </c>
      <c r="CS76" s="120"/>
      <c r="CT76" s="144" t="s">
        <v>151</v>
      </c>
      <c r="CU7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76" s="146">
        <v>0</v>
      </c>
      <c r="CW76" s="146">
        <v>0</v>
      </c>
      <c r="CX76" s="146">
        <v>0</v>
      </c>
      <c r="CY76" s="146">
        <v>0.99208884831888022</v>
      </c>
      <c r="CZ76" s="146">
        <v>0</v>
      </c>
      <c r="DA76" s="146">
        <v>7.9111516811197317E-3</v>
      </c>
      <c r="DB76" s="146">
        <v>0</v>
      </c>
      <c r="DC76" s="146">
        <v>0</v>
      </c>
      <c r="DD76" s="146">
        <v>0</v>
      </c>
      <c r="DE76" s="126">
        <v>0.9428804473763035</v>
      </c>
    </row>
    <row r="77" spans="1:109" x14ac:dyDescent="0.25">
      <c r="A77" s="4" t="s" vm="9230">
        <v>576</v>
      </c>
      <c r="B77" s="4" t="s" vm="9287">
        <v>577</v>
      </c>
      <c r="C77" s="121" vm="18856">
        <v>45016</v>
      </c>
      <c r="D77" s="68">
        <f>IFERROR( VfM_Metrics_2023_Entity[[#This Row],[Reinvestment Spend]] / VfM_Metrics_2023_Entity[[#This Row],[Net Book Value of Housing Properties]], "n/a" )</f>
        <v>9.5978158143442197E-2</v>
      </c>
      <c r="E7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9140</v>
      </c>
      <c r="F77" s="84" vm="9416">
        <v>5401</v>
      </c>
      <c r="G77" s="84" vm="10845">
        <v>0</v>
      </c>
      <c r="H77" s="84" vm="10407">
        <v>3739</v>
      </c>
      <c r="I77" s="84" vm="10514">
        <v>0</v>
      </c>
      <c r="J77" s="84" vm="10763">
        <v>0</v>
      </c>
      <c r="K77" s="5">
        <f xml:space="preserve"> SUM( VfM_Metrics_2023_Entity[[#This Row],[Tangible fixed assets: Housing properties at cost (Current period)]],VfM_Metrics_2023_Entity[[#This Row],[Tangible fixed assets Housing properties at valuation (Current period)]] )</f>
        <v>95230</v>
      </c>
      <c r="L77" s="84" vm="10613">
        <v>95230</v>
      </c>
      <c r="M77" s="84">
        <v>0</v>
      </c>
      <c r="N77" s="134">
        <f xml:space="preserve"> IFERROR( VfM_Metrics_2023_Entity[[#This Row],[Total social units developed or newly built units acquired in-year]] / VfM_Metrics_2023_Entity[[#This Row],[Social housing units owned (period end)]], "n/a" )</f>
        <v>1.3246982631733883E-2</v>
      </c>
      <c r="O77" s="5">
        <f xml:space="preserve"> SUM( VfM_Metrics_2023_Entity[[#This Row],[Total social units developed or newly built units acquired in-year (owned)]], VfM_Metrics_2023_Entity[[#This Row],[Total social leasehold units developed or newly built units acquired in-year (owned)]] )</f>
        <v>45</v>
      </c>
      <c r="P77" s="84" vm="11003">
        <v>45</v>
      </c>
      <c r="Q77" s="84">
        <v>0</v>
      </c>
      <c r="R77" s="5">
        <f xml:space="preserve"> SUM( VfM_Metrics_2023_Entity[[#This Row],[Total social housing units owned (Period end)]], VfM_Metrics_2023_Entity[[#This Row],[Total social leasehold units owned (Period end)]] )</f>
        <v>3397</v>
      </c>
      <c r="S77" s="84" vm="11343">
        <v>3397</v>
      </c>
      <c r="T77" s="135" vm="11415">
        <v>0</v>
      </c>
      <c r="U77" s="136">
        <f xml:space="preserve"> IFERROR( VfM_Metrics_2023_Entity[[#This Row],[Total non-social housing units developed or newly built units acquired (owned)]] / VfM_Metrics_2023_Entity[[#This Row],[Total social and non-social housing units owned (Period end)]], "n/a" )</f>
        <v>8.7133313970374669E-4</v>
      </c>
      <c r="V7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3</v>
      </c>
      <c r="W77" s="84">
        <v>0</v>
      </c>
      <c r="X77" s="84" vm="11694">
        <v>3</v>
      </c>
      <c r="Y77" s="84">
        <v>0</v>
      </c>
      <c r="Z7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3443</v>
      </c>
      <c r="AA77" s="84" vm="11991">
        <v>3397</v>
      </c>
      <c r="AB77" s="84" vm="11415">
        <v>0</v>
      </c>
      <c r="AC77" s="84" vm="12094">
        <v>43</v>
      </c>
      <c r="AD77" s="135" vm="12254">
        <v>3</v>
      </c>
      <c r="AE77" s="134">
        <f xml:space="preserve"> IFERROR( VfM_Metrics_2023_Entity[[#This Row],[Total Net Debt]] / VfM_Metrics_2023_Entity[[#This Row],[Net Book Value of Housing Properties2]], "n/a" )</f>
        <v>0.85350204767405224</v>
      </c>
      <c r="AF7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81279</v>
      </c>
      <c r="AG77" s="84">
        <v>0</v>
      </c>
      <c r="AH77" s="84">
        <v>0</v>
      </c>
      <c r="AI77" s="84" vm="13069">
        <v>32335</v>
      </c>
      <c r="AJ77" s="84" vm="13114">
        <v>113614</v>
      </c>
      <c r="AK77" s="84">
        <v>0</v>
      </c>
      <c r="AL77" s="5">
        <f xml:space="preserve"> SUM( VfM_Metrics_2023_Entity[[#This Row],[Tangible fixed assets: Housing properties at cost (Current period)2]], VfM_Metrics_2023_Entity[[#This Row],[Tangible fixed assets Housing properties at valuation (Current period)2]] )</f>
        <v>95230</v>
      </c>
      <c r="AM77" s="84" vm="9894">
        <v>95230</v>
      </c>
      <c r="AN77" s="135">
        <v>0</v>
      </c>
      <c r="AO77" s="137">
        <f xml:space="preserve"> IFERROR( VfM_Metrics_2023_Entity[[#This Row],[EBITDA MRI]] / VfM_Metrics_2023_Entity[[#This Row],[Total interest]], "n/a" )</f>
        <v>1.0421545667447307</v>
      </c>
      <c r="AP7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4450</v>
      </c>
      <c r="AQ77" s="84" vm="13477">
        <v>5577</v>
      </c>
      <c r="AR77" s="84" vm="13711">
        <v>419</v>
      </c>
      <c r="AS77" s="84">
        <v>0</v>
      </c>
      <c r="AT77" s="84" vm="14214">
        <v>87</v>
      </c>
      <c r="AU77" s="84" vm="14456">
        <v>0</v>
      </c>
      <c r="AV77" s="84" vm="14704">
        <v>649</v>
      </c>
      <c r="AW77" s="84" vm="14947">
        <v>3739</v>
      </c>
      <c r="AX77" s="84" vm="13712">
        <v>2469</v>
      </c>
      <c r="AY77" s="5">
        <f xml:space="preserve"> - SUM( VfM_Metrics_2023_Entity[[#This Row],[Interest capitalised]], VfM_Metrics_2023_Entity[[#This Row],[Interest payable and financing costs]] )</f>
        <v>4270</v>
      </c>
      <c r="AZ77" s="84" vm="15303">
        <v>0</v>
      </c>
      <c r="BA77" s="135" vm="15321">
        <v>-4270</v>
      </c>
      <c r="BB77" s="138">
        <f xml:space="preserve"> IFERROR( ( VfM_Metrics_2023_Entity[[#This Row],[Total Costs]] / VfM_Metrics_2023_Entity[[#This Row],[Total units for costs]] ) * 1000, "n/a" )</f>
        <v>4295.5549013835744</v>
      </c>
      <c r="BC7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14592</v>
      </c>
      <c r="BD77" s="84" vm="15517">
        <v>4778</v>
      </c>
      <c r="BE77" s="84" vm="16407">
        <v>1069</v>
      </c>
      <c r="BF77" s="84" vm="16088">
        <v>2353</v>
      </c>
      <c r="BG77" s="84" vm="16704">
        <v>568</v>
      </c>
      <c r="BH77" s="84" vm="15818">
        <v>1603</v>
      </c>
      <c r="BI77" s="84" vm="16089">
        <v>0</v>
      </c>
      <c r="BJ77" s="84" vm="14947">
        <v>3739</v>
      </c>
      <c r="BK77" s="84" vm="17321">
        <v>365</v>
      </c>
      <c r="BL77" s="84">
        <v>0</v>
      </c>
      <c r="BM77" s="84">
        <v>0</v>
      </c>
      <c r="BN77" s="84" vm="16786">
        <v>117</v>
      </c>
      <c r="BO77" s="84">
        <v>0</v>
      </c>
      <c r="BP77" s="5" vm="17626">
        <f xml:space="preserve"> VfM_Metrics_2023_Entity[[#This Row],[Total social housing units owned and/or managed at period end]]</f>
        <v>3397</v>
      </c>
      <c r="BQ77" s="135" vm="17626">
        <v>3397</v>
      </c>
      <c r="BR77" s="134">
        <f xml:space="preserve"> IFERROR( VfM_Metrics_2023_Entity[[#This Row],[SHL operating surplus / (deficit)]] / VfM_Metrics_2023_Entity[[#This Row],[Turnover from social housing lettings]], "n/a" )</f>
        <v>0.27211527762323356</v>
      </c>
      <c r="BS77" s="5" vm="17880">
        <f xml:space="preserve"> VfM_Metrics_2023_Entity[[#This Row],[Operating surplus/(deficit) (social housing lettings)]]</f>
        <v>4891</v>
      </c>
      <c r="BT77" s="84" vm="17880">
        <v>4891</v>
      </c>
      <c r="BU77" s="5" vm="18072">
        <f xml:space="preserve"> VfM_Metrics_2023_Entity[[#This Row],[Turnover from social housing lettings]]</f>
        <v>17974</v>
      </c>
      <c r="BV77" s="135" vm="18072">
        <v>17974</v>
      </c>
      <c r="BW77" s="134">
        <f xml:space="preserve"> IFERROR( VfM_Metrics_2023_Entity[[#This Row],[Net operating surplus]] / VfM_Metrics_2023_Entity[[#This Row],[Overall turnover]], "n/a" )</f>
        <v>0.24885415158971391</v>
      </c>
      <c r="BX77" s="5">
        <f xml:space="preserve"> SUM( VfM_Metrics_2023_Entity[[#This Row],[Operating surplus/(deficit) (overall)2]], - VfM_Metrics_2023_Entity[[#This Row],[Gain/(loss) on disposal of fixed assets (housing properties)2]], - VfM_Metrics_2023_Entity[[#This Row],[Gain/(loss) on disposal of fixed assets (other)2]] )</f>
        <v>5158</v>
      </c>
      <c r="BY77" s="84" vm="13477">
        <v>5577</v>
      </c>
      <c r="BZ77" s="84" vm="13711">
        <v>419</v>
      </c>
      <c r="CA77" s="84">
        <v>0</v>
      </c>
      <c r="CB77" s="5" vm="18399">
        <f xml:space="preserve"> VfM_Metrics_2023_Entity[[#This Row],[Turnover (overall)]]</f>
        <v>20727</v>
      </c>
      <c r="CC77" s="135" vm="18399">
        <v>20727</v>
      </c>
      <c r="CD77" s="134">
        <f xml:space="preserve"> IFERROR( VfM_Metrics_2023_Entity[[#This Row],[Operating surplus including from JVs]] / VfM_Metrics_2023_Entity[[#This Row],[Net assets]], "n/a" )</f>
        <v>4.0864926652695754E-2</v>
      </c>
      <c r="CE77" s="5">
        <f xml:space="preserve"> SUM( VfM_Metrics_2023_Entity[[#This Row],[Operating surplus/(deficit) (overall)3]], VfM_Metrics_2023_Entity[[#This Row],[Share of operating surplus/(deficit) in joint ventures or associates]] )</f>
        <v>5577</v>
      </c>
      <c r="CF77" s="84" vm="13477">
        <v>5577</v>
      </c>
      <c r="CG77" s="84">
        <v>0</v>
      </c>
      <c r="CH77" s="5" vm="18617">
        <f xml:space="preserve"> VfM_Metrics_2023_Entity[[#This Row],[Total assets less current liabilities]]</f>
        <v>136474</v>
      </c>
      <c r="CI77" s="135" vm="18617">
        <v>136474</v>
      </c>
      <c r="CJ77" s="140" vm="11343">
        <f xml:space="preserve"> VfM_Metrics_2023_Entity[[#This Row],[Total social housing units owned (Period end)]]</f>
        <v>3397</v>
      </c>
      <c r="CK77" s="141">
        <v>0</v>
      </c>
      <c r="CL77" s="69">
        <f xml:space="preserve"> -- ( VfM_Metrics_2023_Entity[[#This Row],[% Supported housing (excl. HOP)]] &gt; 0.3 )</f>
        <v>0</v>
      </c>
      <c r="CM77" s="9">
        <v>0.26066490144160048</v>
      </c>
      <c r="CN77" s="69">
        <f xml:space="preserve"> -- ( VfM_Metrics_2023_Entity[[#This Row],[% Housing for older people]] &gt; 0.3 )</f>
        <v>0</v>
      </c>
      <c r="CO77" s="9">
        <f xml:space="preserve"> VfM_Metrics_2023_Entity[[#This Row],[% Supported housing (excl. HOP)]] + VfM_Metrics_2023_Entity[[#This Row],[% Housing for older people]]</f>
        <v>0.26066490144160048</v>
      </c>
      <c r="CP77" s="69">
        <f xml:space="preserve"> -- ( VfM_Metrics_2023_Entity[[#This Row],[SH specialist in RSH analysis]] + VfM_Metrics_2023_Entity[[#This Row],[OP specialist in RSH analysis]] &gt; 0 )</f>
        <v>0</v>
      </c>
      <c r="CQ77" s="142">
        <f xml:space="preserve"> -- ( VfM_Metrics_2023_Entity[[#This Row],[% SH and OP]] &gt; 0.3 )</f>
        <v>0</v>
      </c>
      <c r="CR77" s="143" t="s">
        <v>143</v>
      </c>
      <c r="CS77" s="120"/>
      <c r="CT77" s="144" t="s">
        <v>151</v>
      </c>
      <c r="CU7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77" s="146">
        <v>0</v>
      </c>
      <c r="CW77" s="146">
        <v>0</v>
      </c>
      <c r="CX77" s="146">
        <v>0</v>
      </c>
      <c r="CY77" s="146">
        <v>1</v>
      </c>
      <c r="CZ77" s="146">
        <v>0</v>
      </c>
      <c r="DA77" s="146">
        <v>0</v>
      </c>
      <c r="DB77" s="146">
        <v>0</v>
      </c>
      <c r="DC77" s="146">
        <v>0</v>
      </c>
      <c r="DD77" s="146">
        <v>0</v>
      </c>
      <c r="DE77" s="126">
        <v>0.94233429441067484</v>
      </c>
    </row>
    <row r="78" spans="1:109" x14ac:dyDescent="0.25">
      <c r="A78" s="4" t="s" vm="312">
        <v>262</v>
      </c>
      <c r="B78" s="4" t="s" vm="9864">
        <v>263</v>
      </c>
      <c r="C78" s="121" vm="18875">
        <v>45016</v>
      </c>
      <c r="D78" s="68">
        <f>IFERROR( VfM_Metrics_2023_Entity[[#This Row],[Reinvestment Spend]] / VfM_Metrics_2023_Entity[[#This Row],[Net Book Value of Housing Properties]], "n/a" )</f>
        <v>3.255524193688724E-2</v>
      </c>
      <c r="E7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9354</v>
      </c>
      <c r="F78" s="84" vm="10003">
        <v>6044</v>
      </c>
      <c r="G78" s="84" vm="9487">
        <v>0</v>
      </c>
      <c r="H78" s="84" vm="9824">
        <v>3010</v>
      </c>
      <c r="I78" s="84" vm="10851">
        <v>300</v>
      </c>
      <c r="J78" s="84" vm="9666">
        <v>0</v>
      </c>
      <c r="K78" s="5">
        <f xml:space="preserve"> SUM( VfM_Metrics_2023_Entity[[#This Row],[Tangible fixed assets: Housing properties at cost (Current period)]],VfM_Metrics_2023_Entity[[#This Row],[Tangible fixed assets Housing properties at valuation (Current period)]] )</f>
        <v>287327</v>
      </c>
      <c r="L78" s="84" vm="10016">
        <v>287327</v>
      </c>
      <c r="M78" s="84" vm="10481">
        <v>0</v>
      </c>
      <c r="N78" s="134">
        <f xml:space="preserve"> IFERROR( VfM_Metrics_2023_Entity[[#This Row],[Total social units developed or newly built units acquired in-year]] / VfM_Metrics_2023_Entity[[#This Row],[Social housing units owned (period end)]], "n/a" )</f>
        <v>3.2797638570022957E-4</v>
      </c>
      <c r="O78" s="5">
        <f xml:space="preserve"> SUM( VfM_Metrics_2023_Entity[[#This Row],[Total social units developed or newly built units acquired in-year (owned)]], VfM_Metrics_2023_Entity[[#This Row],[Total social leasehold units developed or newly built units acquired in-year (owned)]] )</f>
        <v>1</v>
      </c>
      <c r="P78" s="84" vm="10961">
        <v>0</v>
      </c>
      <c r="Q78" s="84" vm="11135">
        <v>1</v>
      </c>
      <c r="R78" s="5">
        <f xml:space="preserve"> SUM( VfM_Metrics_2023_Entity[[#This Row],[Total social housing units owned (Period end)]], VfM_Metrics_2023_Entity[[#This Row],[Total social leasehold units owned (Period end)]] )</f>
        <v>3049</v>
      </c>
      <c r="S78" s="84" vm="11241">
        <v>2803</v>
      </c>
      <c r="T78" s="135" vm="11466">
        <v>246</v>
      </c>
      <c r="U78" s="136">
        <f xml:space="preserve"> IFERROR( VfM_Metrics_2023_Entity[[#This Row],[Total non-social housing units developed or newly built units acquired (owned)]] / VfM_Metrics_2023_Entity[[#This Row],[Total social and non-social housing units owned (Period end)]], "n/a" )</f>
        <v>0</v>
      </c>
      <c r="V7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78" s="84" vm="11617">
        <v>0</v>
      </c>
      <c r="X78" s="84" vm="11792">
        <v>0</v>
      </c>
      <c r="Y78" s="84" vm="11833">
        <v>0</v>
      </c>
      <c r="Z7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3049</v>
      </c>
      <c r="AA78" s="84" vm="11241">
        <v>2803</v>
      </c>
      <c r="AB78" s="84" vm="12435">
        <v>246</v>
      </c>
      <c r="AC78" s="84" vm="12351">
        <v>0</v>
      </c>
      <c r="AD78" s="135" vm="12493">
        <v>0</v>
      </c>
      <c r="AE78" s="134">
        <f xml:space="preserve"> IFERROR( VfM_Metrics_2023_Entity[[#This Row],[Total Net Debt]] / VfM_Metrics_2023_Entity[[#This Row],[Net Book Value of Housing Properties2]], "n/a" )</f>
        <v>0.27072986527545273</v>
      </c>
      <c r="AF7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77788</v>
      </c>
      <c r="AG78" s="84" vm="12611">
        <v>2899</v>
      </c>
      <c r="AH78" s="84" vm="13288">
        <v>114774</v>
      </c>
      <c r="AI78" s="84" vm="12853">
        <v>39885</v>
      </c>
      <c r="AJ78" s="84" vm="12742">
        <v>0</v>
      </c>
      <c r="AK78" s="84" vm="13028">
        <v>0</v>
      </c>
      <c r="AL78" s="5">
        <f xml:space="preserve"> SUM( VfM_Metrics_2023_Entity[[#This Row],[Tangible fixed assets: Housing properties at cost (Current period)2]], VfM_Metrics_2023_Entity[[#This Row],[Tangible fixed assets Housing properties at valuation (Current period)2]] )</f>
        <v>287327</v>
      </c>
      <c r="AM78" s="84" vm="10016">
        <v>287327</v>
      </c>
      <c r="AN78" s="135" vm="13400">
        <v>0</v>
      </c>
      <c r="AO78" s="137">
        <f xml:space="preserve"> IFERROR( VfM_Metrics_2023_Entity[[#This Row],[EBITDA MRI]] / VfM_Metrics_2023_Entity[[#This Row],[Total interest]], "n/a" )</f>
        <v>1.2429530201342283</v>
      </c>
      <c r="AP7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4630</v>
      </c>
      <c r="AQ78" s="84" vm="13509">
        <v>5752</v>
      </c>
      <c r="AR78" s="84" vm="13964">
        <v>1199</v>
      </c>
      <c r="AS78" s="84" vm="14215">
        <v>0</v>
      </c>
      <c r="AT78" s="84" vm="14457">
        <v>1319</v>
      </c>
      <c r="AU78" s="84" vm="14705">
        <v>0</v>
      </c>
      <c r="AV78" s="84" vm="14948">
        <v>133</v>
      </c>
      <c r="AW78" s="84" vm="13713">
        <v>3010</v>
      </c>
      <c r="AX78" s="84" vm="13965">
        <v>4273</v>
      </c>
      <c r="AY78" s="5">
        <f xml:space="preserve"> - SUM( VfM_Metrics_2023_Entity[[#This Row],[Interest capitalised]], VfM_Metrics_2023_Entity[[#This Row],[Interest payable and financing costs]] )</f>
        <v>3725</v>
      </c>
      <c r="AZ78" s="84" vm="15195">
        <v>-300</v>
      </c>
      <c r="BA78" s="135" vm="15358">
        <v>-3425</v>
      </c>
      <c r="BB78" s="138">
        <f xml:space="preserve"> IFERROR( ( VfM_Metrics_2023_Entity[[#This Row],[Total Costs]] / VfM_Metrics_2023_Entity[[#This Row],[Total units for costs]] ) * 1000, "n/a" )</f>
        <v>6902.9611130931144</v>
      </c>
      <c r="BC7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19349</v>
      </c>
      <c r="BD78" s="84" vm="16091">
        <v>4297</v>
      </c>
      <c r="BE78" s="84" vm="15892">
        <v>3440</v>
      </c>
      <c r="BF78" s="84" vm="17322">
        <v>2752</v>
      </c>
      <c r="BG78" s="84" vm="17480">
        <v>2988</v>
      </c>
      <c r="BH78" s="84" vm="17556">
        <v>2317</v>
      </c>
      <c r="BI78" s="84" vm="15820">
        <v>0</v>
      </c>
      <c r="BJ78" s="84" vm="13713">
        <v>3010</v>
      </c>
      <c r="BK78" s="84" vm="16309">
        <v>0</v>
      </c>
      <c r="BL78" s="84" vm="17026">
        <v>545</v>
      </c>
      <c r="BM78" s="84" vm="17240">
        <v>0</v>
      </c>
      <c r="BN78" s="84" vm="15754">
        <v>0</v>
      </c>
      <c r="BO78" s="84" vm="15893">
        <v>0</v>
      </c>
      <c r="BP78" s="5" vm="17662">
        <f xml:space="preserve"> VfM_Metrics_2023_Entity[[#This Row],[Total social housing units owned and/or managed at period end]]</f>
        <v>2803</v>
      </c>
      <c r="BQ78" s="135" vm="17662">
        <v>2803</v>
      </c>
      <c r="BR78" s="134">
        <f xml:space="preserve"> IFERROR( VfM_Metrics_2023_Entity[[#This Row],[SHL operating surplus / (deficit)]] / VfM_Metrics_2023_Entity[[#This Row],[Turnover from social housing lettings]], "n/a" )</f>
        <v>0.15805342052741092</v>
      </c>
      <c r="BS78" s="5" vm="17917">
        <f xml:space="preserve"> VfM_Metrics_2023_Entity[[#This Row],[Operating surplus/(deficit) (social housing lettings)]]</f>
        <v>3722</v>
      </c>
      <c r="BT78" s="84" vm="17917">
        <v>3722</v>
      </c>
      <c r="BU78" s="5" vm="18114">
        <f xml:space="preserve"> VfM_Metrics_2023_Entity[[#This Row],[Turnover from social housing lettings]]</f>
        <v>23549</v>
      </c>
      <c r="BV78" s="135" vm="18114">
        <v>23549</v>
      </c>
      <c r="BW78" s="134">
        <f xml:space="preserve"> IFERROR( VfM_Metrics_2023_Entity[[#This Row],[Net operating surplus]] / VfM_Metrics_2023_Entity[[#This Row],[Overall turnover]], "n/a" )</f>
        <v>0.1440959584770706</v>
      </c>
      <c r="BX78" s="5">
        <f xml:space="preserve"> SUM( VfM_Metrics_2023_Entity[[#This Row],[Operating surplus/(deficit) (overall)2]], - VfM_Metrics_2023_Entity[[#This Row],[Gain/(loss) on disposal of fixed assets (housing properties)2]], - VfM_Metrics_2023_Entity[[#This Row],[Gain/(loss) on disposal of fixed assets (other)2]] )</f>
        <v>4553</v>
      </c>
      <c r="BY78" s="84" vm="13509">
        <v>5752</v>
      </c>
      <c r="BZ78" s="84" vm="13964">
        <v>1199</v>
      </c>
      <c r="CA78" s="84" vm="14215">
        <v>0</v>
      </c>
      <c r="CB78" s="5" vm="18267">
        <f xml:space="preserve"> VfM_Metrics_2023_Entity[[#This Row],[Turnover (overall)]]</f>
        <v>31597</v>
      </c>
      <c r="CC78" s="135" vm="18267">
        <v>31597</v>
      </c>
      <c r="CD78" s="134">
        <f xml:space="preserve"> IFERROR( VfM_Metrics_2023_Entity[[#This Row],[Operating surplus including from JVs]] / VfM_Metrics_2023_Entity[[#This Row],[Net assets]], "n/a" )</f>
        <v>1.7800609652312501E-2</v>
      </c>
      <c r="CE78" s="5">
        <f xml:space="preserve"> SUM( VfM_Metrics_2023_Entity[[#This Row],[Operating surplus/(deficit) (overall)3]], VfM_Metrics_2023_Entity[[#This Row],[Share of operating surplus/(deficit) in joint ventures or associates]] )</f>
        <v>5752</v>
      </c>
      <c r="CF78" s="84" vm="13509">
        <v>5752</v>
      </c>
      <c r="CG78" s="84" vm="18477">
        <v>0</v>
      </c>
      <c r="CH78" s="5" vm="18653">
        <f xml:space="preserve"> VfM_Metrics_2023_Entity[[#This Row],[Total assets less current liabilities]]</f>
        <v>323135</v>
      </c>
      <c r="CI78" s="135" vm="18653">
        <v>323135</v>
      </c>
      <c r="CJ78" s="140" vm="11241">
        <f xml:space="preserve"> VfM_Metrics_2023_Entity[[#This Row],[Total social housing units owned (Period end)]]</f>
        <v>2803</v>
      </c>
      <c r="CK78" s="141">
        <v>3.6402569593147749E-2</v>
      </c>
      <c r="CL78" s="69">
        <f xml:space="preserve"> -- ( VfM_Metrics_2023_Entity[[#This Row],[% Supported housing (excl. HOP)]] &gt; 0.3 )</f>
        <v>0</v>
      </c>
      <c r="CM78" s="9">
        <v>0.12955032119914348</v>
      </c>
      <c r="CN78" s="69">
        <f xml:space="preserve"> -- ( VfM_Metrics_2023_Entity[[#This Row],[% Housing for older people]] &gt; 0.3 )</f>
        <v>0</v>
      </c>
      <c r="CO78" s="9">
        <f xml:space="preserve"> VfM_Metrics_2023_Entity[[#This Row],[% Supported housing (excl. HOP)]] + VfM_Metrics_2023_Entity[[#This Row],[% Housing for older people]]</f>
        <v>0.16595289079229122</v>
      </c>
      <c r="CP78" s="69">
        <f xml:space="preserve"> -- ( VfM_Metrics_2023_Entity[[#This Row],[SH specialist in RSH analysis]] + VfM_Metrics_2023_Entity[[#This Row],[OP specialist in RSH analysis]] &gt; 0 )</f>
        <v>0</v>
      </c>
      <c r="CQ78" s="142">
        <f xml:space="preserve"> -- ( VfM_Metrics_2023_Entity[[#This Row],[% SH and OP]] &gt; 0.3 )</f>
        <v>0</v>
      </c>
      <c r="CR78" s="143" t="s">
        <v>143</v>
      </c>
      <c r="CS78" s="120"/>
      <c r="CT78" s="144" t="s">
        <v>151</v>
      </c>
      <c r="CU7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78" s="146">
        <v>0.99964323938637178</v>
      </c>
      <c r="CW78" s="146">
        <v>0</v>
      </c>
      <c r="CX78" s="146">
        <v>0</v>
      </c>
      <c r="CY78" s="146">
        <v>0</v>
      </c>
      <c r="CZ78" s="146">
        <v>0</v>
      </c>
      <c r="DA78" s="146">
        <v>3.5676061362825543E-4</v>
      </c>
      <c r="DB78" s="146">
        <v>0</v>
      </c>
      <c r="DC78" s="146">
        <v>0</v>
      </c>
      <c r="DD78" s="146">
        <v>0</v>
      </c>
      <c r="DE78" s="126">
        <v>1.1603168876876051</v>
      </c>
    </row>
    <row r="79" spans="1:109" x14ac:dyDescent="0.25">
      <c r="A79" s="4" t="s" vm="344">
        <v>264</v>
      </c>
      <c r="B79" s="4" t="s" vm="10771">
        <v>265</v>
      </c>
      <c r="C79" s="121" vm="18872">
        <v>45016</v>
      </c>
      <c r="D79" s="68">
        <f>IFERROR( VfM_Metrics_2023_Entity[[#This Row],[Reinvestment Spend]] / VfM_Metrics_2023_Entity[[#This Row],[Net Book Value of Housing Properties]], "n/a" )</f>
        <v>5.2222657392858446E-2</v>
      </c>
      <c r="E7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55869</v>
      </c>
      <c r="F79" s="84" vm="9388">
        <v>19278</v>
      </c>
      <c r="G79" s="84" vm="10835">
        <v>0</v>
      </c>
      <c r="H79" s="84" vm="10421">
        <v>36410</v>
      </c>
      <c r="I79" s="84" vm="10548">
        <v>181</v>
      </c>
      <c r="J79" s="84" vm="9539">
        <v>0</v>
      </c>
      <c r="K79" s="5">
        <f xml:space="preserve"> SUM( VfM_Metrics_2023_Entity[[#This Row],[Tangible fixed assets: Housing properties at cost (Current period)]],VfM_Metrics_2023_Entity[[#This Row],[Tangible fixed assets Housing properties at valuation (Current period)]] )</f>
        <v>1069823</v>
      </c>
      <c r="L79" s="84" vm="10507">
        <v>1069823</v>
      </c>
      <c r="M79" s="84">
        <v>0</v>
      </c>
      <c r="N79" s="134">
        <f xml:space="preserve"> IFERROR( VfM_Metrics_2023_Entity[[#This Row],[Total social units developed or newly built units acquired in-year]] / VfM_Metrics_2023_Entity[[#This Row],[Social housing units owned (period end)]], "n/a" )</f>
        <v>2.0736308937009213E-3</v>
      </c>
      <c r="O79" s="5">
        <f xml:space="preserve"> SUM( VfM_Metrics_2023_Entity[[#This Row],[Total social units developed or newly built units acquired in-year (owned)]], VfM_Metrics_2023_Entity[[#This Row],[Total social leasehold units developed or newly built units acquired in-year (owned)]] )</f>
        <v>61</v>
      </c>
      <c r="P79" s="84" vm="11014">
        <v>54</v>
      </c>
      <c r="Q79" s="84" vm="11148">
        <v>7</v>
      </c>
      <c r="R79" s="5">
        <f xml:space="preserve"> SUM( VfM_Metrics_2023_Entity[[#This Row],[Total social housing units owned (Period end)]], VfM_Metrics_2023_Entity[[#This Row],[Total social leasehold units owned (Period end)]] )</f>
        <v>29417</v>
      </c>
      <c r="S79" s="84" vm="11267">
        <v>28701</v>
      </c>
      <c r="T79" s="135" vm="11454">
        <v>716</v>
      </c>
      <c r="U79" s="136">
        <f xml:space="preserve"> IFERROR( VfM_Metrics_2023_Entity[[#This Row],[Total non-social housing units developed or newly built units acquired (owned)]] / VfM_Metrics_2023_Entity[[#This Row],[Total social and non-social housing units owned (Period end)]], "n/a" )</f>
        <v>0</v>
      </c>
      <c r="V7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79" s="84" vm="11636">
        <v>0</v>
      </c>
      <c r="X79" s="84" vm="11880">
        <v>0</v>
      </c>
      <c r="Y79" s="84" vm="11918">
        <v>0</v>
      </c>
      <c r="Z7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29683</v>
      </c>
      <c r="AA79" s="84" vm="11266">
        <v>28701</v>
      </c>
      <c r="AB79" s="84" vm="12188">
        <v>716</v>
      </c>
      <c r="AC79" s="84" vm="12095">
        <v>62</v>
      </c>
      <c r="AD79" s="135" vm="12256">
        <v>204</v>
      </c>
      <c r="AE79" s="134">
        <f xml:space="preserve"> IFERROR( VfM_Metrics_2023_Entity[[#This Row],[Total Net Debt]] / VfM_Metrics_2023_Entity[[#This Row],[Net Book Value of Housing Properties2]], "n/a" )</f>
        <v>0.45927036528472465</v>
      </c>
      <c r="AF7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491338</v>
      </c>
      <c r="AG79" s="84" vm="12640">
        <v>5477</v>
      </c>
      <c r="AH79" s="84" vm="13070">
        <v>507651</v>
      </c>
      <c r="AI79" s="84" vm="13157">
        <v>21790</v>
      </c>
      <c r="AJ79" s="84">
        <v>0</v>
      </c>
      <c r="AK79" s="84">
        <v>0</v>
      </c>
      <c r="AL79" s="5">
        <f xml:space="preserve"> SUM( VfM_Metrics_2023_Entity[[#This Row],[Tangible fixed assets: Housing properties at cost (Current period)2]], VfM_Metrics_2023_Entity[[#This Row],[Tangible fixed assets Housing properties at valuation (Current period)2]] )</f>
        <v>1069823</v>
      </c>
      <c r="AM79" s="84" vm="13365">
        <v>1069823</v>
      </c>
      <c r="AN79" s="135">
        <v>0</v>
      </c>
      <c r="AO79" s="137">
        <f xml:space="preserve"> IFERROR( VfM_Metrics_2023_Entity[[#This Row],[EBITDA MRI]] / VfM_Metrics_2023_Entity[[#This Row],[Total interest]], "n/a" )</f>
        <v>0.89774420089380724</v>
      </c>
      <c r="AP7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25311</v>
      </c>
      <c r="AQ79" s="84" vm="13547">
        <v>27607</v>
      </c>
      <c r="AR79" s="84" vm="14216">
        <v>3862</v>
      </c>
      <c r="AS79" s="84" vm="14458">
        <v>28</v>
      </c>
      <c r="AT79" s="84" vm="14706">
        <v>210</v>
      </c>
      <c r="AU79" s="84" vm="14949">
        <v>0</v>
      </c>
      <c r="AV79" s="84" vm="13714">
        <v>8210</v>
      </c>
      <c r="AW79" s="84" vm="13966">
        <v>36410</v>
      </c>
      <c r="AX79" s="84" vm="14217">
        <v>30004</v>
      </c>
      <c r="AY79" s="5">
        <f xml:space="preserve"> - SUM( VfM_Metrics_2023_Entity[[#This Row],[Interest capitalised]], VfM_Metrics_2023_Entity[[#This Row],[Interest payable and financing costs]] )</f>
        <v>28194</v>
      </c>
      <c r="AZ79" s="84" vm="15217">
        <v>-181</v>
      </c>
      <c r="BA79" s="135" vm="15389">
        <v>-28013</v>
      </c>
      <c r="BB79" s="138">
        <f xml:space="preserve"> IFERROR( ( VfM_Metrics_2023_Entity[[#This Row],[Total Costs]] / VfM_Metrics_2023_Entity[[#This Row],[Total units for costs]] ) * 1000, "n/a" )</f>
        <v>4036.109756946862</v>
      </c>
      <c r="BC7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115909</v>
      </c>
      <c r="BD79" s="84" vm="15576">
        <v>22458</v>
      </c>
      <c r="BE79" s="84" vm="16403">
        <v>3563</v>
      </c>
      <c r="BF79" s="84" vm="16311">
        <v>36259</v>
      </c>
      <c r="BG79" s="84" vm="15895">
        <v>7208</v>
      </c>
      <c r="BH79" s="84" vm="16861">
        <v>6850</v>
      </c>
      <c r="BI79" s="84" vm="15891">
        <v>1700</v>
      </c>
      <c r="BJ79" s="84" vm="13966">
        <v>36410</v>
      </c>
      <c r="BK79" s="84" vm="17481">
        <v>189</v>
      </c>
      <c r="BL79" s="84">
        <v>0</v>
      </c>
      <c r="BM79" s="84">
        <v>0</v>
      </c>
      <c r="BN79" s="84">
        <v>0</v>
      </c>
      <c r="BO79" s="84" vm="17557">
        <v>1272</v>
      </c>
      <c r="BP79" s="5" vm="17799">
        <f xml:space="preserve"> VfM_Metrics_2023_Entity[[#This Row],[Total social housing units owned and/or managed at period end]]</f>
        <v>28718</v>
      </c>
      <c r="BQ79" s="135" vm="17799">
        <v>28718</v>
      </c>
      <c r="BR79" s="134">
        <f xml:space="preserve"> IFERROR( VfM_Metrics_2023_Entity[[#This Row],[SHL operating surplus / (deficit)]] / VfM_Metrics_2023_Entity[[#This Row],[Turnover from social housing lettings]], "n/a" )</f>
        <v>0.1833781681343358</v>
      </c>
      <c r="BS79" s="5" vm="17955">
        <f xml:space="preserve"> VfM_Metrics_2023_Entity[[#This Row],[Operating surplus/(deficit) (social housing lettings)]]</f>
        <v>23927</v>
      </c>
      <c r="BT79" s="84" vm="17955">
        <v>23927</v>
      </c>
      <c r="BU79" s="5" vm="18137">
        <f xml:space="preserve"> VfM_Metrics_2023_Entity[[#This Row],[Turnover from social housing lettings]]</f>
        <v>130479</v>
      </c>
      <c r="BV79" s="135" vm="18137">
        <v>130479</v>
      </c>
      <c r="BW79" s="134">
        <f xml:space="preserve"> IFERROR( VfM_Metrics_2023_Entity[[#This Row],[Net operating surplus]] / VfM_Metrics_2023_Entity[[#This Row],[Overall turnover]], "n/a" )</f>
        <v>0.17441278992807871</v>
      </c>
      <c r="BX79" s="5">
        <f xml:space="preserve"> SUM( VfM_Metrics_2023_Entity[[#This Row],[Operating surplus/(deficit) (overall)2]], - VfM_Metrics_2023_Entity[[#This Row],[Gain/(loss) on disposal of fixed assets (housing properties)2]], - VfM_Metrics_2023_Entity[[#This Row],[Gain/(loss) on disposal of fixed assets (other)2]] )</f>
        <v>23717</v>
      </c>
      <c r="BY79" s="84" vm="13547">
        <v>27607</v>
      </c>
      <c r="BZ79" s="84" vm="14216">
        <v>3862</v>
      </c>
      <c r="CA79" s="84" vm="14458">
        <v>28</v>
      </c>
      <c r="CB79" s="5" vm="18303">
        <f xml:space="preserve"> VfM_Metrics_2023_Entity[[#This Row],[Turnover (overall)]]</f>
        <v>135982</v>
      </c>
      <c r="CC79" s="135" vm="18303">
        <v>135982</v>
      </c>
      <c r="CD79" s="134">
        <f xml:space="preserve"> IFERROR( VfM_Metrics_2023_Entity[[#This Row],[Operating surplus including from JVs]] / VfM_Metrics_2023_Entity[[#This Row],[Net assets]], "n/a" )</f>
        <v>2.3487383411732378E-2</v>
      </c>
      <c r="CE79" s="5">
        <f xml:space="preserve"> SUM( VfM_Metrics_2023_Entity[[#This Row],[Operating surplus/(deficit) (overall)3]], VfM_Metrics_2023_Entity[[#This Row],[Share of operating surplus/(deficit) in joint ventures or associates]] )</f>
        <v>27607</v>
      </c>
      <c r="CF79" s="84" vm="18224">
        <v>27607</v>
      </c>
      <c r="CG79" s="84">
        <v>0</v>
      </c>
      <c r="CH79" s="5" vm="18691">
        <f xml:space="preserve"> VfM_Metrics_2023_Entity[[#This Row],[Total assets less current liabilities]]</f>
        <v>1175397</v>
      </c>
      <c r="CI79" s="135" vm="18691">
        <v>1175397</v>
      </c>
      <c r="CJ79" s="140" vm="11267">
        <f xml:space="preserve"> VfM_Metrics_2023_Entity[[#This Row],[Total social housing units owned (Period end)]]</f>
        <v>28701</v>
      </c>
      <c r="CK79" s="141">
        <v>4.6672007244610084E-3</v>
      </c>
      <c r="CL79" s="69">
        <f xml:space="preserve"> -- ( VfM_Metrics_2023_Entity[[#This Row],[% Supported housing (excl. HOP)]] &gt; 0.3 )</f>
        <v>0</v>
      </c>
      <c r="CM79" s="9">
        <v>6.6525025251645709E-3</v>
      </c>
      <c r="CN79" s="69">
        <f xml:space="preserve"> -- ( VfM_Metrics_2023_Entity[[#This Row],[% Housing for older people]] &gt; 0.3 )</f>
        <v>0</v>
      </c>
      <c r="CO79" s="9">
        <f xml:space="preserve"> VfM_Metrics_2023_Entity[[#This Row],[% Supported housing (excl. HOP)]] + VfM_Metrics_2023_Entity[[#This Row],[% Housing for older people]]</f>
        <v>1.1319703249625579E-2</v>
      </c>
      <c r="CP79" s="69">
        <f xml:space="preserve"> -- ( VfM_Metrics_2023_Entity[[#This Row],[SH specialist in RSH analysis]] + VfM_Metrics_2023_Entity[[#This Row],[OP specialist in RSH analysis]] &gt; 0 )</f>
        <v>0</v>
      </c>
      <c r="CQ79" s="142">
        <f xml:space="preserve"> -- ( VfM_Metrics_2023_Entity[[#This Row],[% SH and OP]] &gt; 0.3 )</f>
        <v>0</v>
      </c>
      <c r="CR79" s="143" t="s">
        <v>143</v>
      </c>
      <c r="CS79" s="120"/>
      <c r="CT79" s="144" t="s">
        <v>151</v>
      </c>
      <c r="CU7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79" s="146">
        <v>0</v>
      </c>
      <c r="CW79" s="146">
        <v>0</v>
      </c>
      <c r="CX79" s="146">
        <v>0</v>
      </c>
      <c r="CY79" s="146">
        <v>0</v>
      </c>
      <c r="CZ79" s="146">
        <v>0</v>
      </c>
      <c r="DA79" s="146">
        <v>0</v>
      </c>
      <c r="DB79" s="146">
        <v>1</v>
      </c>
      <c r="DC79" s="146">
        <v>0</v>
      </c>
      <c r="DD79" s="146">
        <v>0</v>
      </c>
      <c r="DE79" s="126">
        <v>0.90654753410084521</v>
      </c>
    </row>
    <row r="80" spans="1:109" x14ac:dyDescent="0.25">
      <c r="A80" s="4" t="s" vm="322">
        <v>266</v>
      </c>
      <c r="B80" s="4" t="s" vm="9834">
        <v>267</v>
      </c>
      <c r="C80" s="121" vm="18786">
        <v>45016</v>
      </c>
      <c r="D80" s="68">
        <f>IFERROR( VfM_Metrics_2023_Entity[[#This Row],[Reinvestment Spend]] / VfM_Metrics_2023_Entity[[#This Row],[Net Book Value of Housing Properties]], "n/a" )</f>
        <v>0.15933440752647937</v>
      </c>
      <c r="E8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20865</v>
      </c>
      <c r="F80" s="84" vm="10222">
        <v>14700</v>
      </c>
      <c r="G80" s="84" vm="10901">
        <v>0</v>
      </c>
      <c r="H80" s="84" vm="9754">
        <v>5899</v>
      </c>
      <c r="I80" s="84" vm="9488">
        <v>266</v>
      </c>
      <c r="J80" s="84" vm="10245">
        <v>0</v>
      </c>
      <c r="K80" s="5">
        <f xml:space="preserve"> SUM( VfM_Metrics_2023_Entity[[#This Row],[Tangible fixed assets: Housing properties at cost (Current period)]],VfM_Metrics_2023_Entity[[#This Row],[Tangible fixed assets Housing properties at valuation (Current period)]] )</f>
        <v>130951</v>
      </c>
      <c r="L80" s="84" vm="9960">
        <v>130951</v>
      </c>
      <c r="M80" s="84" vm="10256">
        <v>0</v>
      </c>
      <c r="N80" s="134">
        <f xml:space="preserve"> IFERROR( VfM_Metrics_2023_Entity[[#This Row],[Total social units developed or newly built units acquired in-year]] / VfM_Metrics_2023_Entity[[#This Row],[Social housing units owned (period end)]], "n/a" )</f>
        <v>2.129757444291067E-2</v>
      </c>
      <c r="O80" s="5">
        <f xml:space="preserve"> SUM( VfM_Metrics_2023_Entity[[#This Row],[Total social units developed or newly built units acquired in-year (owned)]], VfM_Metrics_2023_Entity[[#This Row],[Total social leasehold units developed or newly built units acquired in-year (owned)]] )</f>
        <v>108</v>
      </c>
      <c r="P80" s="84" vm="11047">
        <v>105</v>
      </c>
      <c r="Q80" s="84" vm="11172">
        <v>3</v>
      </c>
      <c r="R80" s="5">
        <f xml:space="preserve"> SUM( VfM_Metrics_2023_Entity[[#This Row],[Total social housing units owned (Period end)]], VfM_Metrics_2023_Entity[[#This Row],[Total social leasehold units owned (Period end)]] )</f>
        <v>5071</v>
      </c>
      <c r="S80" s="84" vm="11319">
        <v>4756</v>
      </c>
      <c r="T80" s="135" vm="11461">
        <v>315</v>
      </c>
      <c r="U80" s="136">
        <f xml:space="preserve"> IFERROR( VfM_Metrics_2023_Entity[[#This Row],[Total non-social housing units developed or newly built units acquired (owned)]] / VfM_Metrics_2023_Entity[[#This Row],[Total social and non-social housing units owned (Period end)]], "n/a" )</f>
        <v>0</v>
      </c>
      <c r="V8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80" s="84" vm="11651">
        <v>0</v>
      </c>
      <c r="X80" s="84" vm="11695">
        <v>0</v>
      </c>
      <c r="Y80" s="84" vm="11730">
        <v>0</v>
      </c>
      <c r="Z8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5071</v>
      </c>
      <c r="AA80" s="84" vm="12026">
        <v>4756</v>
      </c>
      <c r="AB80" s="84" vm="12436">
        <v>315</v>
      </c>
      <c r="AC80" s="84" vm="12352">
        <v>0</v>
      </c>
      <c r="AD80" s="135" vm="12494">
        <v>0</v>
      </c>
      <c r="AE80" s="134">
        <f xml:space="preserve"> IFERROR( VfM_Metrics_2023_Entity[[#This Row],[Total Net Debt]] / VfM_Metrics_2023_Entity[[#This Row],[Net Book Value of Housing Properties2]], "n/a" )</f>
        <v>0.53296271124313677</v>
      </c>
      <c r="AF8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69792</v>
      </c>
      <c r="AG80" s="84" vm="12662">
        <v>0</v>
      </c>
      <c r="AH80" s="84" vm="12743">
        <v>71800</v>
      </c>
      <c r="AI80" s="84" vm="12976">
        <v>2008</v>
      </c>
      <c r="AJ80" s="84" vm="13028">
        <v>0</v>
      </c>
      <c r="AK80" s="84" vm="13115">
        <v>0</v>
      </c>
      <c r="AL80" s="5">
        <f xml:space="preserve"> SUM( VfM_Metrics_2023_Entity[[#This Row],[Tangible fixed assets: Housing properties at cost (Current period)2]], VfM_Metrics_2023_Entity[[#This Row],[Tangible fixed assets Housing properties at valuation (Current period)2]] )</f>
        <v>130951</v>
      </c>
      <c r="AM80" s="84" vm="9960">
        <v>130951</v>
      </c>
      <c r="AN80" s="135" vm="13412">
        <v>0</v>
      </c>
      <c r="AO80" s="137">
        <f xml:space="preserve"> IFERROR( VfM_Metrics_2023_Entity[[#This Row],[EBITDA MRI]] / VfM_Metrics_2023_Entity[[#This Row],[Total interest]], "n/a" )</f>
        <v>1.0040024630541873</v>
      </c>
      <c r="AP8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3261</v>
      </c>
      <c r="AQ80" s="84" vm="13571">
        <v>7534</v>
      </c>
      <c r="AR80" s="84" vm="14459">
        <v>2416</v>
      </c>
      <c r="AS80" s="84" vm="14707">
        <v>0</v>
      </c>
      <c r="AT80" s="84" vm="14950">
        <v>108</v>
      </c>
      <c r="AU80" s="84" vm="13715">
        <v>0</v>
      </c>
      <c r="AV80" s="84" vm="13967">
        <v>8</v>
      </c>
      <c r="AW80" s="84" vm="14218">
        <v>5899</v>
      </c>
      <c r="AX80" s="84" vm="14460">
        <v>4142</v>
      </c>
      <c r="AY80" s="5">
        <f xml:space="preserve"> - SUM( VfM_Metrics_2023_Entity[[#This Row],[Interest capitalised]], VfM_Metrics_2023_Entity[[#This Row],[Interest payable and financing costs]] )</f>
        <v>3248</v>
      </c>
      <c r="AZ80" s="84" vm="15259">
        <v>-266</v>
      </c>
      <c r="BA80" s="135" vm="15417">
        <v>-2982</v>
      </c>
      <c r="BB80" s="138">
        <f xml:space="preserve"> IFERROR( ( VfM_Metrics_2023_Entity[[#This Row],[Total Costs]] / VfM_Metrics_2023_Entity[[#This Row],[Total units for costs]] ) * 1000, "n/a" )</f>
        <v>4645.4526360008404</v>
      </c>
      <c r="BC8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22117</v>
      </c>
      <c r="BD80" s="84" vm="15756">
        <v>6740</v>
      </c>
      <c r="BE80" s="84" vm="17101">
        <v>2589</v>
      </c>
      <c r="BF80" s="84" vm="16090">
        <v>5384</v>
      </c>
      <c r="BG80" s="84" vm="17558">
        <v>582</v>
      </c>
      <c r="BH80" s="84" vm="15897">
        <v>8</v>
      </c>
      <c r="BI80" s="84" vm="16616">
        <v>0</v>
      </c>
      <c r="BJ80" s="84" vm="14218">
        <v>5899</v>
      </c>
      <c r="BK80" s="84" vm="16617">
        <v>384</v>
      </c>
      <c r="BL80" s="84" vm="17482">
        <v>101</v>
      </c>
      <c r="BM80" s="84" vm="15898">
        <v>429</v>
      </c>
      <c r="BN80" s="84" vm="16410">
        <v>1</v>
      </c>
      <c r="BO80" s="84" vm="16092">
        <v>0</v>
      </c>
      <c r="BP80" s="5" vm="17825">
        <f xml:space="preserve"> VfM_Metrics_2023_Entity[[#This Row],[Total social housing units owned and/or managed at period end]]</f>
        <v>4761</v>
      </c>
      <c r="BQ80" s="135" vm="17825">
        <v>4761</v>
      </c>
      <c r="BR80" s="134">
        <f xml:space="preserve"> IFERROR( VfM_Metrics_2023_Entity[[#This Row],[SHL operating surplus / (deficit)]] / VfM_Metrics_2023_Entity[[#This Row],[Turnover from social housing lettings]], "n/a" )</f>
        <v>0.16203044809591582</v>
      </c>
      <c r="BS80" s="5" vm="17991">
        <f xml:space="preserve"> VfM_Metrics_2023_Entity[[#This Row],[Operating surplus/(deficit) (social housing lettings)]]</f>
        <v>3757</v>
      </c>
      <c r="BT80" s="84" vm="17991">
        <v>3757</v>
      </c>
      <c r="BU80" s="5" vm="18169">
        <f xml:space="preserve"> VfM_Metrics_2023_Entity[[#This Row],[Turnover from social housing lettings]]</f>
        <v>23187</v>
      </c>
      <c r="BV80" s="135" vm="18169">
        <v>23187</v>
      </c>
      <c r="BW80" s="134">
        <f xml:space="preserve"> IFERROR( VfM_Metrics_2023_Entity[[#This Row],[Net operating surplus]] / VfM_Metrics_2023_Entity[[#This Row],[Overall turnover]], "n/a" )</f>
        <v>0.18584552816006392</v>
      </c>
      <c r="BX80" s="5">
        <f xml:space="preserve"> SUM( VfM_Metrics_2023_Entity[[#This Row],[Operating surplus/(deficit) (overall)2]], - VfM_Metrics_2023_Entity[[#This Row],[Gain/(loss) on disposal of fixed assets (housing properties)2]], - VfM_Metrics_2023_Entity[[#This Row],[Gain/(loss) on disposal of fixed assets (other)2]] )</f>
        <v>5118</v>
      </c>
      <c r="BY80" s="84" vm="13571">
        <v>7534</v>
      </c>
      <c r="BZ80" s="84" vm="14459">
        <v>2416</v>
      </c>
      <c r="CA80" s="84" vm="14707">
        <v>0</v>
      </c>
      <c r="CB80" s="5" vm="18331">
        <f xml:space="preserve"> VfM_Metrics_2023_Entity[[#This Row],[Turnover (overall)]]</f>
        <v>27539</v>
      </c>
      <c r="CC80" s="135" vm="18331">
        <v>27539</v>
      </c>
      <c r="CD80" s="134">
        <f xml:space="preserve"> IFERROR( VfM_Metrics_2023_Entity[[#This Row],[Operating surplus including from JVs]] / VfM_Metrics_2023_Entity[[#This Row],[Net assets]], "n/a" )</f>
        <v>3.4565341065497052E-2</v>
      </c>
      <c r="CE80" s="5">
        <f xml:space="preserve"> SUM( VfM_Metrics_2023_Entity[[#This Row],[Operating surplus/(deficit) (overall)3]], VfM_Metrics_2023_Entity[[#This Row],[Share of operating surplus/(deficit) in joint ventures or associates]] )</f>
        <v>7534</v>
      </c>
      <c r="CF80" s="84" vm="13571">
        <v>7534</v>
      </c>
      <c r="CG80" s="84" vm="18514">
        <v>0</v>
      </c>
      <c r="CH80" s="5" vm="18715">
        <f xml:space="preserve"> VfM_Metrics_2023_Entity[[#This Row],[Total assets less current liabilities]]</f>
        <v>217964</v>
      </c>
      <c r="CI80" s="135" vm="18715">
        <v>217964</v>
      </c>
      <c r="CJ80" s="140" vm="11319">
        <f xml:space="preserve"> VfM_Metrics_2023_Entity[[#This Row],[Total social housing units owned (Period end)]]</f>
        <v>4756</v>
      </c>
      <c r="CK80" s="141">
        <v>1.5443198646075735E-2</v>
      </c>
      <c r="CL80" s="69">
        <f xml:space="preserve"> -- ( VfM_Metrics_2023_Entity[[#This Row],[% Supported housing (excl. HOP)]] &gt; 0.3 )</f>
        <v>0</v>
      </c>
      <c r="CM80" s="9">
        <v>6.1349693251533742E-2</v>
      </c>
      <c r="CN80" s="69">
        <f xml:space="preserve"> -- ( VfM_Metrics_2023_Entity[[#This Row],[% Housing for older people]] &gt; 0.3 )</f>
        <v>0</v>
      </c>
      <c r="CO80" s="9">
        <f xml:space="preserve"> VfM_Metrics_2023_Entity[[#This Row],[% Supported housing (excl. HOP)]] + VfM_Metrics_2023_Entity[[#This Row],[% Housing for older people]]</f>
        <v>7.6792891897609475E-2</v>
      </c>
      <c r="CP80" s="69">
        <f xml:space="preserve"> -- ( VfM_Metrics_2023_Entity[[#This Row],[SH specialist in RSH analysis]] + VfM_Metrics_2023_Entity[[#This Row],[OP specialist in RSH analysis]] &gt; 0 )</f>
        <v>0</v>
      </c>
      <c r="CQ80" s="142">
        <f xml:space="preserve"> -- ( VfM_Metrics_2023_Entity[[#This Row],[% SH and OP]] &gt; 0.3 )</f>
        <v>0</v>
      </c>
      <c r="CR80" s="143" t="s">
        <v>168</v>
      </c>
      <c r="CS80" s="120">
        <v>42079</v>
      </c>
      <c r="CT80" s="144" t="s">
        <v>169</v>
      </c>
      <c r="CU8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80" s="146">
        <v>0</v>
      </c>
      <c r="CW80" s="146">
        <v>0</v>
      </c>
      <c r="CX80" s="146">
        <v>1</v>
      </c>
      <c r="CY80" s="146">
        <v>0</v>
      </c>
      <c r="CZ80" s="146">
        <v>0</v>
      </c>
      <c r="DA80" s="146">
        <v>0</v>
      </c>
      <c r="DB80" s="146">
        <v>0</v>
      </c>
      <c r="DC80" s="146">
        <v>0</v>
      </c>
      <c r="DD80" s="146">
        <v>0</v>
      </c>
      <c r="DE80" s="126">
        <v>0.97511902715076015</v>
      </c>
    </row>
    <row r="81" spans="1:109" x14ac:dyDescent="0.25">
      <c r="A81" s="4" t="s" vm="309">
        <v>268</v>
      </c>
      <c r="B81" s="4" t="s" vm="10740">
        <v>269</v>
      </c>
      <c r="C81" s="121" vm="18853">
        <v>45016</v>
      </c>
      <c r="D81" s="68">
        <f>IFERROR( VfM_Metrics_2023_Entity[[#This Row],[Reinvestment Spend]] / VfM_Metrics_2023_Entity[[#This Row],[Net Book Value of Housing Properties]], "n/a" )</f>
        <v>8.244655354232576E-2</v>
      </c>
      <c r="E8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10320</v>
      </c>
      <c r="F81" s="84" vm="10595">
        <v>9633</v>
      </c>
      <c r="G81" s="84" vm="10928">
        <v>0</v>
      </c>
      <c r="H81" s="84" vm="10753">
        <v>687</v>
      </c>
      <c r="I81" s="84" vm="10486">
        <v>0</v>
      </c>
      <c r="J81" s="84" vm="9952">
        <v>0</v>
      </c>
      <c r="K81" s="5">
        <f xml:space="preserve"> SUM( VfM_Metrics_2023_Entity[[#This Row],[Tangible fixed assets: Housing properties at cost (Current period)]],VfM_Metrics_2023_Entity[[#This Row],[Tangible fixed assets Housing properties at valuation (Current period)]] )</f>
        <v>125172</v>
      </c>
      <c r="L81" s="84" vm="10767">
        <v>125172</v>
      </c>
      <c r="M81" s="84">
        <v>0</v>
      </c>
      <c r="N81" s="134">
        <f xml:space="preserve"> IFERROR( VfM_Metrics_2023_Entity[[#This Row],[Total social units developed or newly built units acquired in-year]] / VfM_Metrics_2023_Entity[[#This Row],[Social housing units owned (period end)]], "n/a" )</f>
        <v>0.10295769374766005</v>
      </c>
      <c r="O81" s="5">
        <f xml:space="preserve"> SUM( VfM_Metrics_2023_Entity[[#This Row],[Total social units developed or newly built units acquired in-year (owned)]], VfM_Metrics_2023_Entity[[#This Row],[Total social leasehold units developed or newly built units acquired in-year (owned)]] )</f>
        <v>275</v>
      </c>
      <c r="P81" s="84" vm="11066">
        <v>275</v>
      </c>
      <c r="Q81" s="84">
        <v>0</v>
      </c>
      <c r="R81" s="5">
        <f xml:space="preserve"> SUM( VfM_Metrics_2023_Entity[[#This Row],[Total social housing units owned (Period end)]], VfM_Metrics_2023_Entity[[#This Row],[Total social leasehold units owned (Period end)]] )</f>
        <v>2671</v>
      </c>
      <c r="S81" s="84" vm="11374">
        <v>2671</v>
      </c>
      <c r="T81" s="135" vm="11477">
        <v>0</v>
      </c>
      <c r="U81" s="136">
        <f xml:space="preserve"> IFERROR( VfM_Metrics_2023_Entity[[#This Row],[Total non-social housing units developed or newly built units acquired (owned)]] / VfM_Metrics_2023_Entity[[#This Row],[Total social and non-social housing units owned (Period end)]], "n/a" )</f>
        <v>0</v>
      </c>
      <c r="V8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81" s="84">
        <v>0</v>
      </c>
      <c r="X81" s="84">
        <v>0</v>
      </c>
      <c r="Y81" s="84" vm="11833">
        <v>0</v>
      </c>
      <c r="Z8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2675</v>
      </c>
      <c r="AA81" s="84" vm="12045">
        <v>2671</v>
      </c>
      <c r="AB81" s="84" vm="12189">
        <v>0</v>
      </c>
      <c r="AC81" s="84" vm="12096">
        <v>4</v>
      </c>
      <c r="AD81" s="135" vm="12255">
        <v>0</v>
      </c>
      <c r="AE81" s="134">
        <f xml:space="preserve"> IFERROR( VfM_Metrics_2023_Entity[[#This Row],[Total Net Debt]] / VfM_Metrics_2023_Entity[[#This Row],[Net Book Value of Housing Properties2]], "n/a" )</f>
        <v>0.43765378838717922</v>
      </c>
      <c r="AF8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54782</v>
      </c>
      <c r="AG81" s="84" vm="12688">
        <v>1075</v>
      </c>
      <c r="AH81" s="84" vm="13202">
        <v>61134</v>
      </c>
      <c r="AI81" s="84" vm="13289">
        <v>7427</v>
      </c>
      <c r="AJ81" s="84">
        <v>0</v>
      </c>
      <c r="AK81" s="84">
        <v>0</v>
      </c>
      <c r="AL81" s="5">
        <f xml:space="preserve"> SUM( VfM_Metrics_2023_Entity[[#This Row],[Tangible fixed assets: Housing properties at cost (Current period)2]], VfM_Metrics_2023_Entity[[#This Row],[Tangible fixed assets Housing properties at valuation (Current period)2]] )</f>
        <v>125172</v>
      </c>
      <c r="AM81" s="84" vm="9975">
        <v>125172</v>
      </c>
      <c r="AN81" s="135">
        <v>0</v>
      </c>
      <c r="AO81" s="137">
        <f xml:space="preserve"> IFERROR( VfM_Metrics_2023_Entity[[#This Row],[EBITDA MRI]] / VfM_Metrics_2023_Entity[[#This Row],[Total interest]], "n/a" )</f>
        <v>1.5244444444444445</v>
      </c>
      <c r="AP8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3773</v>
      </c>
      <c r="AQ81" s="84" vm="13602">
        <v>3275</v>
      </c>
      <c r="AR81" s="84" vm="14708">
        <v>65</v>
      </c>
      <c r="AS81" s="84" vm="14951">
        <v>-74</v>
      </c>
      <c r="AT81" s="84" vm="13716">
        <v>255</v>
      </c>
      <c r="AU81" s="84" vm="13968">
        <v>0</v>
      </c>
      <c r="AV81" s="84" vm="14219">
        <v>5</v>
      </c>
      <c r="AW81" s="84" vm="14461">
        <v>687</v>
      </c>
      <c r="AX81" s="84" vm="14709">
        <v>1426</v>
      </c>
      <c r="AY81" s="5">
        <f xml:space="preserve"> - SUM( VfM_Metrics_2023_Entity[[#This Row],[Interest capitalised]], VfM_Metrics_2023_Entity[[#This Row],[Interest payable and financing costs]] )</f>
        <v>2475</v>
      </c>
      <c r="AZ81" s="84" vm="15303">
        <v>0</v>
      </c>
      <c r="BA81" s="135" vm="15454">
        <v>-2475</v>
      </c>
      <c r="BB81" s="138">
        <f xml:space="preserve"> IFERROR( ( VfM_Metrics_2023_Entity[[#This Row],[Total Costs]] / VfM_Metrics_2023_Entity[[#This Row],[Total units for costs]] ) * 1000, "n/a" )</f>
        <v>9220.516660426807</v>
      </c>
      <c r="BC8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24628</v>
      </c>
      <c r="BD81" s="84" vm="15563">
        <v>6724</v>
      </c>
      <c r="BE81" s="84" vm="16862">
        <v>2150</v>
      </c>
      <c r="BF81" s="84" vm="16093">
        <v>1696</v>
      </c>
      <c r="BG81" s="84" vm="17323">
        <v>1159</v>
      </c>
      <c r="BH81" s="84" vm="15900">
        <v>1803</v>
      </c>
      <c r="BI81" s="84" vm="16406">
        <v>9567</v>
      </c>
      <c r="BJ81" s="84" vm="14461">
        <v>687</v>
      </c>
      <c r="BK81" s="84" vm="16787">
        <v>842</v>
      </c>
      <c r="BL81" s="84">
        <v>0</v>
      </c>
      <c r="BM81" s="84">
        <v>0</v>
      </c>
      <c r="BN81" s="84">
        <v>0</v>
      </c>
      <c r="BO81" s="84">
        <v>0</v>
      </c>
      <c r="BP81" s="5" vm="17733">
        <f xml:space="preserve"> VfM_Metrics_2023_Entity[[#This Row],[Total social housing units owned and/or managed at period end]]</f>
        <v>2671</v>
      </c>
      <c r="BQ81" s="135" vm="17733">
        <v>2671</v>
      </c>
      <c r="BR81" s="134">
        <f xml:space="preserve"> IFERROR( VfM_Metrics_2023_Entity[[#This Row],[SHL operating surplus / (deficit)]] / VfM_Metrics_2023_Entity[[#This Row],[Turnover from social housing lettings]], "n/a" )</f>
        <v>0.11368827973994025</v>
      </c>
      <c r="BS81" s="5" vm="18018">
        <f xml:space="preserve"> VfM_Metrics_2023_Entity[[#This Row],[Operating surplus/(deficit) (social housing lettings)]]</f>
        <v>3235</v>
      </c>
      <c r="BT81" s="84" vm="18018">
        <v>3235</v>
      </c>
      <c r="BU81" s="5" vm="18194">
        <f xml:space="preserve"> VfM_Metrics_2023_Entity[[#This Row],[Turnover from social housing lettings]]</f>
        <v>28455</v>
      </c>
      <c r="BV81" s="135" vm="18194">
        <v>28455</v>
      </c>
      <c r="BW81" s="134">
        <f xml:space="preserve"> IFERROR( VfM_Metrics_2023_Entity[[#This Row],[Net operating surplus]] / VfM_Metrics_2023_Entity[[#This Row],[Overall turnover]], "n/a" )</f>
        <v>0.11507866979710552</v>
      </c>
      <c r="BX81" s="5">
        <f xml:space="preserve"> SUM( VfM_Metrics_2023_Entity[[#This Row],[Operating surplus/(deficit) (overall)2]], - VfM_Metrics_2023_Entity[[#This Row],[Gain/(loss) on disposal of fixed assets (housing properties)2]], - VfM_Metrics_2023_Entity[[#This Row],[Gain/(loss) on disposal of fixed assets (other)2]] )</f>
        <v>3284</v>
      </c>
      <c r="BY81" s="84" vm="13602">
        <v>3275</v>
      </c>
      <c r="BZ81" s="84" vm="14708">
        <v>65</v>
      </c>
      <c r="CA81" s="84" vm="14951">
        <v>-74</v>
      </c>
      <c r="CB81" s="5" vm="18338">
        <f xml:space="preserve"> VfM_Metrics_2023_Entity[[#This Row],[Turnover (overall)]]</f>
        <v>28537</v>
      </c>
      <c r="CC81" s="135" vm="18338">
        <v>28537</v>
      </c>
      <c r="CD81" s="134">
        <f xml:space="preserve"> IFERROR( VfM_Metrics_2023_Entity[[#This Row],[Operating surplus including from JVs]] / VfM_Metrics_2023_Entity[[#This Row],[Net assets]], "n/a" )</f>
        <v>2.5196959438665598E-2</v>
      </c>
      <c r="CE81" s="5">
        <f xml:space="preserve"> SUM( VfM_Metrics_2023_Entity[[#This Row],[Operating surplus/(deficit) (overall)3]], VfM_Metrics_2023_Entity[[#This Row],[Share of operating surplus/(deficit) in joint ventures or associates]] )</f>
        <v>3275</v>
      </c>
      <c r="CF81" s="84" vm="13603">
        <v>3275</v>
      </c>
      <c r="CG81" s="84">
        <v>0</v>
      </c>
      <c r="CH81" s="5" vm="18740">
        <f xml:space="preserve"> VfM_Metrics_2023_Entity[[#This Row],[Total assets less current liabilities]]</f>
        <v>129976</v>
      </c>
      <c r="CI81" s="135" vm="18740">
        <v>129976</v>
      </c>
      <c r="CJ81" s="140" vm="11374">
        <f xml:space="preserve"> VfM_Metrics_2023_Entity[[#This Row],[Total social housing units owned (Period end)]]</f>
        <v>2671</v>
      </c>
      <c r="CK81" s="141">
        <v>0.97603893672781727</v>
      </c>
      <c r="CL81" s="69">
        <f xml:space="preserve"> -- ( VfM_Metrics_2023_Entity[[#This Row],[% Supported housing (excl. HOP)]] &gt; 0.3 )</f>
        <v>1</v>
      </c>
      <c r="CM81" s="9">
        <v>0</v>
      </c>
      <c r="CN81" s="69">
        <f xml:space="preserve"> -- ( VfM_Metrics_2023_Entity[[#This Row],[% Housing for older people]] &gt; 0.3 )</f>
        <v>0</v>
      </c>
      <c r="CO81" s="9">
        <f xml:space="preserve"> VfM_Metrics_2023_Entity[[#This Row],[% Supported housing (excl. HOP)]] + VfM_Metrics_2023_Entity[[#This Row],[% Housing for older people]]</f>
        <v>0.97603893672781727</v>
      </c>
      <c r="CP81" s="69">
        <f xml:space="preserve"> -- ( VfM_Metrics_2023_Entity[[#This Row],[SH specialist in RSH analysis]] + VfM_Metrics_2023_Entity[[#This Row],[OP specialist in RSH analysis]] &gt; 0 )</f>
        <v>1</v>
      </c>
      <c r="CQ81" s="142">
        <f xml:space="preserve"> -- ( VfM_Metrics_2023_Entity[[#This Row],[% SH and OP]] &gt; 0.3 )</f>
        <v>1</v>
      </c>
      <c r="CR81" s="143" t="s">
        <v>143</v>
      </c>
      <c r="CS81" s="120"/>
      <c r="CT81" s="144" t="s">
        <v>144</v>
      </c>
      <c r="CU8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81" s="146">
        <v>7.9698651863600312E-2</v>
      </c>
      <c r="CW81" s="146">
        <v>0.16613798572561458</v>
      </c>
      <c r="CX81" s="146">
        <v>0.15067406819984139</v>
      </c>
      <c r="CY81" s="146">
        <v>0.15741475019825535</v>
      </c>
      <c r="CZ81" s="146">
        <v>7.1371927042030131E-2</v>
      </c>
      <c r="DA81" s="146">
        <v>7.5337034099920694E-2</v>
      </c>
      <c r="DB81" s="146">
        <v>4.4012688342585253E-2</v>
      </c>
      <c r="DC81" s="146">
        <v>7.6526566217287872E-2</v>
      </c>
      <c r="DD81" s="146">
        <v>0.1788263283108644</v>
      </c>
      <c r="DE81" s="126">
        <v>0.98688354671373213</v>
      </c>
    </row>
    <row r="82" spans="1:109" x14ac:dyDescent="0.25">
      <c r="A82" s="4" t="s" vm="361">
        <v>270</v>
      </c>
      <c r="B82" s="4" t="s" vm="10364">
        <v>271</v>
      </c>
      <c r="C82" s="121" vm="18874">
        <v>45016</v>
      </c>
      <c r="D82" s="68">
        <f>IFERROR( VfM_Metrics_2023_Entity[[#This Row],[Reinvestment Spend]] / VfM_Metrics_2023_Entity[[#This Row],[Net Book Value of Housing Properties]], "n/a" )</f>
        <v>6.4768570792070726E-2</v>
      </c>
      <c r="E8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34016</v>
      </c>
      <c r="F82" s="84" vm="9388">
        <v>0</v>
      </c>
      <c r="G82" s="84" vm="9783">
        <v>25287</v>
      </c>
      <c r="H82" s="84" vm="10757">
        <v>6959</v>
      </c>
      <c r="I82" s="84" vm="10267">
        <v>1770</v>
      </c>
      <c r="J82" s="84" vm="10730">
        <v>0</v>
      </c>
      <c r="K82" s="5">
        <f xml:space="preserve"> SUM( VfM_Metrics_2023_Entity[[#This Row],[Tangible fixed assets: Housing properties at cost (Current period)]],VfM_Metrics_2023_Entity[[#This Row],[Tangible fixed assets Housing properties at valuation (Current period)]] )</f>
        <v>525193</v>
      </c>
      <c r="L82" s="84" vm="9888">
        <v>525193</v>
      </c>
      <c r="M82" s="84">
        <v>0</v>
      </c>
      <c r="N82" s="134">
        <f xml:space="preserve"> IFERROR( VfM_Metrics_2023_Entity[[#This Row],[Total social units developed or newly built units acquired in-year]] / VfM_Metrics_2023_Entity[[#This Row],[Social housing units owned (period end)]], "n/a" )</f>
        <v>3.0497398039452984E-2</v>
      </c>
      <c r="O82" s="5">
        <f xml:space="preserve"> SUM( VfM_Metrics_2023_Entity[[#This Row],[Total social units developed or newly built units acquired in-year (owned)]], VfM_Metrics_2023_Entity[[#This Row],[Total social leasehold units developed or newly built units acquired in-year (owned)]] )</f>
        <v>252</v>
      </c>
      <c r="P82" s="84" vm="11087">
        <v>252</v>
      </c>
      <c r="Q82" s="84">
        <v>0</v>
      </c>
      <c r="R82" s="5">
        <f xml:space="preserve"> SUM( VfM_Metrics_2023_Entity[[#This Row],[Total social housing units owned (Period end)]], VfM_Metrics_2023_Entity[[#This Row],[Total social leasehold units owned (Period end)]] )</f>
        <v>8263</v>
      </c>
      <c r="S82" s="84" vm="11287">
        <v>7783</v>
      </c>
      <c r="T82" s="135" vm="11487">
        <v>480</v>
      </c>
      <c r="U82" s="136">
        <f xml:space="preserve"> IFERROR( VfM_Metrics_2023_Entity[[#This Row],[Total non-social housing units developed or newly built units acquired (owned)]] / VfM_Metrics_2023_Entity[[#This Row],[Total social and non-social housing units owned (Period end)]], "n/a" )</f>
        <v>0</v>
      </c>
      <c r="V8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82" s="84">
        <v>0</v>
      </c>
      <c r="X82" s="84">
        <v>0</v>
      </c>
      <c r="Y82" s="84">
        <v>0</v>
      </c>
      <c r="Z8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8455</v>
      </c>
      <c r="AA82" s="84" vm="11951">
        <v>7783</v>
      </c>
      <c r="AB82" s="84" vm="12436">
        <v>480</v>
      </c>
      <c r="AC82" s="84" vm="12353">
        <v>192</v>
      </c>
      <c r="AD82" s="135" vm="12494">
        <v>0</v>
      </c>
      <c r="AE82" s="134">
        <f xml:space="preserve"> IFERROR( VfM_Metrics_2023_Entity[[#This Row],[Total Net Debt]] / VfM_Metrics_2023_Entity[[#This Row],[Net Book Value of Housing Properties2]], "n/a" )</f>
        <v>0.57019419527678394</v>
      </c>
      <c r="AF8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299462</v>
      </c>
      <c r="AG82" s="84" vm="12559">
        <v>3666</v>
      </c>
      <c r="AH82" s="84" vm="12977">
        <v>302471</v>
      </c>
      <c r="AI82" s="84" vm="13070">
        <v>6675</v>
      </c>
      <c r="AJ82" s="84">
        <v>0</v>
      </c>
      <c r="AK82" s="84">
        <v>0</v>
      </c>
      <c r="AL82" s="5">
        <f xml:space="preserve"> SUM( VfM_Metrics_2023_Entity[[#This Row],[Tangible fixed assets: Housing properties at cost (Current period)2]], VfM_Metrics_2023_Entity[[#This Row],[Tangible fixed assets Housing properties at valuation (Current period)2]] )</f>
        <v>525193</v>
      </c>
      <c r="AM82" s="84" vm="9888">
        <v>525193</v>
      </c>
      <c r="AN82" s="135">
        <v>0</v>
      </c>
      <c r="AO82" s="137">
        <f xml:space="preserve"> IFERROR( VfM_Metrics_2023_Entity[[#This Row],[EBITDA MRI]] / VfM_Metrics_2023_Entity[[#This Row],[Total interest]], "n/a" )</f>
        <v>1.0903250188964475</v>
      </c>
      <c r="AP8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11540</v>
      </c>
      <c r="AQ82" s="84" vm="13440">
        <v>12419</v>
      </c>
      <c r="AR82" s="84" vm="14952">
        <v>2457</v>
      </c>
      <c r="AS82" s="84">
        <v>0</v>
      </c>
      <c r="AT82" s="84" vm="13969">
        <v>382</v>
      </c>
      <c r="AU82" s="84" vm="14220">
        <v>0</v>
      </c>
      <c r="AV82" s="84" vm="14462">
        <v>210</v>
      </c>
      <c r="AW82" s="84" vm="14710">
        <v>6959</v>
      </c>
      <c r="AX82" s="84" vm="14953">
        <v>8709</v>
      </c>
      <c r="AY82" s="5">
        <f xml:space="preserve"> - SUM( VfM_Metrics_2023_Entity[[#This Row],[Interest capitalised]], VfM_Metrics_2023_Entity[[#This Row],[Interest payable and financing costs]] )</f>
        <v>10584</v>
      </c>
      <c r="AZ82" s="84" vm="15169">
        <v>-2256</v>
      </c>
      <c r="BA82" s="135" vm="15485">
        <v>-8328</v>
      </c>
      <c r="BB82" s="138">
        <f xml:space="preserve"> IFERROR( ( VfM_Metrics_2023_Entity[[#This Row],[Total Costs]] / VfM_Metrics_2023_Entity[[#This Row],[Total units for costs]] ) * 1000, "n/a" )</f>
        <v>5142.3615572401386</v>
      </c>
      <c r="BC8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40023</v>
      </c>
      <c r="BD82" s="84" vm="15761">
        <v>10634</v>
      </c>
      <c r="BE82" s="84" vm="16705">
        <v>2773</v>
      </c>
      <c r="BF82" s="84" vm="16095">
        <v>10146</v>
      </c>
      <c r="BG82" s="84" vm="17101">
        <v>9155</v>
      </c>
      <c r="BH82" s="84" vm="15903">
        <v>0</v>
      </c>
      <c r="BI82" s="84" vm="17483">
        <v>0</v>
      </c>
      <c r="BJ82" s="84" vm="15763">
        <v>6959</v>
      </c>
      <c r="BK82" s="84" vm="16617">
        <v>281</v>
      </c>
      <c r="BL82" s="84">
        <v>0</v>
      </c>
      <c r="BM82" s="84">
        <v>0</v>
      </c>
      <c r="BN82" s="84" vm="17324">
        <v>3</v>
      </c>
      <c r="BO82" s="84" vm="15963">
        <v>72</v>
      </c>
      <c r="BP82" s="5" vm="17765">
        <f xml:space="preserve"> VfM_Metrics_2023_Entity[[#This Row],[Total social housing units owned and/or managed at period end]]</f>
        <v>7783</v>
      </c>
      <c r="BQ82" s="135" vm="17765">
        <v>7783</v>
      </c>
      <c r="BR82" s="134">
        <f xml:space="preserve"> IFERROR( VfM_Metrics_2023_Entity[[#This Row],[SHL operating surplus / (deficit)]] / VfM_Metrics_2023_Entity[[#This Row],[Turnover from social housing lettings]], "n/a" )</f>
        <v>0.1129278534164652</v>
      </c>
      <c r="BS82" s="5" vm="17843">
        <f xml:space="preserve"> VfM_Metrics_2023_Entity[[#This Row],[Operating surplus/(deficit) (social housing lettings)]]</f>
        <v>5325</v>
      </c>
      <c r="BT82" s="84" vm="17843">
        <v>5325</v>
      </c>
      <c r="BU82" s="5" vm="18051">
        <f xml:space="preserve"> VfM_Metrics_2023_Entity[[#This Row],[Turnover from social housing lettings]]</f>
        <v>47154</v>
      </c>
      <c r="BV82" s="135" vm="18051">
        <v>47154</v>
      </c>
      <c r="BW82" s="134">
        <f xml:space="preserve"> IFERROR( VfM_Metrics_2023_Entity[[#This Row],[Net operating surplus]] / VfM_Metrics_2023_Entity[[#This Row],[Overall turnover]], "n/a" )</f>
        <v>0.14888656404124945</v>
      </c>
      <c r="BX82" s="5">
        <f xml:space="preserve"> SUM( VfM_Metrics_2023_Entity[[#This Row],[Operating surplus/(deficit) (overall)2]], - VfM_Metrics_2023_Entity[[#This Row],[Gain/(loss) on disposal of fixed assets (housing properties)2]], - VfM_Metrics_2023_Entity[[#This Row],[Gain/(loss) on disposal of fixed assets (other)2]] )</f>
        <v>9962</v>
      </c>
      <c r="BY82" s="84" vm="13513">
        <v>12419</v>
      </c>
      <c r="BZ82" s="84" vm="14952">
        <v>2457</v>
      </c>
      <c r="CA82" s="84">
        <v>0</v>
      </c>
      <c r="CB82" s="5" vm="18348">
        <f xml:space="preserve"> VfM_Metrics_2023_Entity[[#This Row],[Turnover (overall)]]</f>
        <v>66910</v>
      </c>
      <c r="CC82" s="135" vm="18348">
        <v>66910</v>
      </c>
      <c r="CD82" s="134">
        <f xml:space="preserve"> IFERROR( VfM_Metrics_2023_Entity[[#This Row],[Operating surplus including from JVs]] / VfM_Metrics_2023_Entity[[#This Row],[Net assets]], "n/a" )</f>
        <v>2.1726009807231741E-2</v>
      </c>
      <c r="CE82" s="5">
        <f xml:space="preserve"> SUM( VfM_Metrics_2023_Entity[[#This Row],[Operating surplus/(deficit) (overall)3]], VfM_Metrics_2023_Entity[[#This Row],[Share of operating surplus/(deficit) in joint ventures or associates]] )</f>
        <v>12419</v>
      </c>
      <c r="CF82" s="84" vm="13440">
        <v>12419</v>
      </c>
      <c r="CG82" s="84">
        <v>0</v>
      </c>
      <c r="CH82" s="5" vm="18580">
        <f xml:space="preserve"> VfM_Metrics_2023_Entity[[#This Row],[Total assets less current liabilities]]</f>
        <v>571619</v>
      </c>
      <c r="CI82" s="135" vm="18580">
        <v>571619</v>
      </c>
      <c r="CJ82" s="140" vm="11287">
        <f xml:space="preserve"> VfM_Metrics_2023_Entity[[#This Row],[Total social housing units owned (Period end)]]</f>
        <v>7783</v>
      </c>
      <c r="CK82" s="141">
        <v>0</v>
      </c>
      <c r="CL82" s="69">
        <f xml:space="preserve"> -- ( VfM_Metrics_2023_Entity[[#This Row],[% Supported housing (excl. HOP)]] &gt; 0.3 )</f>
        <v>0</v>
      </c>
      <c r="CM82" s="9">
        <v>0.12736773350751143</v>
      </c>
      <c r="CN82" s="69">
        <f xml:space="preserve"> -- ( VfM_Metrics_2023_Entity[[#This Row],[% Housing for older people]] &gt; 0.3 )</f>
        <v>0</v>
      </c>
      <c r="CO82" s="9">
        <f xml:space="preserve"> VfM_Metrics_2023_Entity[[#This Row],[% Supported housing (excl. HOP)]] + VfM_Metrics_2023_Entity[[#This Row],[% Housing for older people]]</f>
        <v>0.12736773350751143</v>
      </c>
      <c r="CP82" s="69">
        <f xml:space="preserve"> -- ( VfM_Metrics_2023_Entity[[#This Row],[SH specialist in RSH analysis]] + VfM_Metrics_2023_Entity[[#This Row],[OP specialist in RSH analysis]] &gt; 0 )</f>
        <v>0</v>
      </c>
      <c r="CQ82" s="142">
        <f xml:space="preserve"> -- ( VfM_Metrics_2023_Entity[[#This Row],[% SH and OP]] &gt; 0.3 )</f>
        <v>0</v>
      </c>
      <c r="CR82" s="143" t="s">
        <v>143</v>
      </c>
      <c r="CS82" s="120"/>
      <c r="CT82" s="144" t="s">
        <v>151</v>
      </c>
      <c r="CU8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82" s="146">
        <v>3.5971223021582736E-3</v>
      </c>
      <c r="CW82" s="146">
        <v>0.99640287769784175</v>
      </c>
      <c r="CX82" s="146">
        <v>0</v>
      </c>
      <c r="CY82" s="146">
        <v>0</v>
      </c>
      <c r="CZ82" s="146">
        <v>0</v>
      </c>
      <c r="DA82" s="146">
        <v>0</v>
      </c>
      <c r="DB82" s="146">
        <v>0</v>
      </c>
      <c r="DC82" s="146">
        <v>0</v>
      </c>
      <c r="DD82" s="146">
        <v>0</v>
      </c>
      <c r="DE82" s="126">
        <v>1.0341681605333464</v>
      </c>
    </row>
    <row r="83" spans="1:109" x14ac:dyDescent="0.25">
      <c r="A83" s="4" t="s" vm="292">
        <v>272</v>
      </c>
      <c r="B83" s="4" t="s" vm="9288">
        <v>273</v>
      </c>
      <c r="C83" s="121" vm="18774">
        <v>45016</v>
      </c>
      <c r="D83" s="68">
        <f>IFERROR( VfM_Metrics_2023_Entity[[#This Row],[Reinvestment Spend]] / VfM_Metrics_2023_Entity[[#This Row],[Net Book Value of Housing Properties]], "n/a" )</f>
        <v>6.2850516339934617E-2</v>
      </c>
      <c r="E8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44009</v>
      </c>
      <c r="F83" s="84" vm="10091">
        <v>32552</v>
      </c>
      <c r="G83" s="84" vm="10558">
        <v>0</v>
      </c>
      <c r="H83" s="84" vm="10684">
        <v>9265</v>
      </c>
      <c r="I83" s="84" vm="9759">
        <v>2192</v>
      </c>
      <c r="J83" s="84" vm="9716">
        <v>0</v>
      </c>
      <c r="K83" s="5">
        <f xml:space="preserve"> SUM( VfM_Metrics_2023_Entity[[#This Row],[Tangible fixed assets: Housing properties at cost (Current period)]],VfM_Metrics_2023_Entity[[#This Row],[Tangible fixed assets Housing properties at valuation (Current period)]] )</f>
        <v>700217</v>
      </c>
      <c r="L83" s="84" vm="10053">
        <v>700217</v>
      </c>
      <c r="M83" s="84" vm="10326">
        <v>0</v>
      </c>
      <c r="N83" s="134">
        <f xml:space="preserve"> IFERROR( VfM_Metrics_2023_Entity[[#This Row],[Total social units developed or newly built units acquired in-year]] / VfM_Metrics_2023_Entity[[#This Row],[Social housing units owned (period end)]], "n/a" )</f>
        <v>2.1916290845794762E-2</v>
      </c>
      <c r="O83" s="5">
        <f xml:space="preserve"> SUM( VfM_Metrics_2023_Entity[[#This Row],[Total social units developed or newly built units acquired in-year (owned)]], VfM_Metrics_2023_Entity[[#This Row],[Total social leasehold units developed or newly built units acquired in-year (owned)]] )</f>
        <v>277</v>
      </c>
      <c r="P83" s="84" vm="11005">
        <v>277</v>
      </c>
      <c r="Q83" s="84" vm="11111">
        <v>0</v>
      </c>
      <c r="R83" s="5">
        <f xml:space="preserve"> SUM( VfM_Metrics_2023_Entity[[#This Row],[Total social housing units owned (Period end)]], VfM_Metrics_2023_Entity[[#This Row],[Total social leasehold units owned (Period end)]] )</f>
        <v>12639</v>
      </c>
      <c r="S83" s="84" vm="11341">
        <v>12266</v>
      </c>
      <c r="T83" s="135" vm="11416">
        <v>373</v>
      </c>
      <c r="U83" s="136">
        <f xml:space="preserve"> IFERROR( VfM_Metrics_2023_Entity[[#This Row],[Total non-social housing units developed or newly built units acquired (owned)]] / VfM_Metrics_2023_Entity[[#This Row],[Total social and non-social housing units owned (Period end)]], "n/a" )</f>
        <v>0</v>
      </c>
      <c r="V8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83" s="84" vm="11591">
        <v>0</v>
      </c>
      <c r="X83" s="84" vm="11696">
        <v>0</v>
      </c>
      <c r="Y83" s="84" vm="11731">
        <v>0</v>
      </c>
      <c r="Z8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12785</v>
      </c>
      <c r="AA83" s="84" vm="11992">
        <v>12266</v>
      </c>
      <c r="AB83" s="84" vm="11416">
        <v>373</v>
      </c>
      <c r="AC83" s="84" vm="12097">
        <v>146</v>
      </c>
      <c r="AD83" s="135" vm="12257">
        <v>0</v>
      </c>
      <c r="AE83" s="134">
        <f xml:space="preserve"> IFERROR( VfM_Metrics_2023_Entity[[#This Row],[Total Net Debt]] / VfM_Metrics_2023_Entity[[#This Row],[Net Book Value of Housing Properties2]], "n/a" )</f>
        <v>0.48199343917671233</v>
      </c>
      <c r="AF8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337500</v>
      </c>
      <c r="AG83" s="84" vm="12591">
        <v>1929</v>
      </c>
      <c r="AH83" s="84" vm="12744">
        <v>208974</v>
      </c>
      <c r="AI83" s="84" vm="12896">
        <v>9403</v>
      </c>
      <c r="AJ83" s="84" vm="12935">
        <v>136000</v>
      </c>
      <c r="AK83" s="84" vm="13029">
        <v>0</v>
      </c>
      <c r="AL83" s="5">
        <f xml:space="preserve"> SUM( VfM_Metrics_2023_Entity[[#This Row],[Tangible fixed assets: Housing properties at cost (Current period)2]], VfM_Metrics_2023_Entity[[#This Row],[Tangible fixed assets Housing properties at valuation (Current period)2]] )</f>
        <v>700217</v>
      </c>
      <c r="AM83" s="84" vm="13363">
        <v>700217</v>
      </c>
      <c r="AN83" s="135" vm="10087">
        <v>0</v>
      </c>
      <c r="AO83" s="137">
        <f xml:space="preserve"> IFERROR( VfM_Metrics_2023_Entity[[#This Row],[EBITDA MRI]] / VfM_Metrics_2023_Entity[[#This Row],[Total interest]], "n/a" )</f>
        <v>1.4570649968110396</v>
      </c>
      <c r="AP8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25130</v>
      </c>
      <c r="AQ83" s="84" vm="13478">
        <v>26614</v>
      </c>
      <c r="AR83" s="84" vm="13717">
        <v>3213</v>
      </c>
      <c r="AS83" s="84" vm="13970">
        <v>86</v>
      </c>
      <c r="AT83" s="84" vm="14221">
        <v>357</v>
      </c>
      <c r="AU83" s="84" vm="14463">
        <v>0</v>
      </c>
      <c r="AV83" s="84" vm="14711">
        <v>417</v>
      </c>
      <c r="AW83" s="84" vm="14954">
        <v>9265</v>
      </c>
      <c r="AX83" s="84" vm="13718">
        <v>11020</v>
      </c>
      <c r="AY83" s="5">
        <f xml:space="preserve"> - SUM( VfM_Metrics_2023_Entity[[#This Row],[Interest capitalised]], VfM_Metrics_2023_Entity[[#This Row],[Interest payable and financing costs]] )</f>
        <v>17247</v>
      </c>
      <c r="AZ83" s="84" vm="15155">
        <v>-2192</v>
      </c>
      <c r="BA83" s="135" vm="15322">
        <v>-15055</v>
      </c>
      <c r="BB83" s="138">
        <f xml:space="preserve"> IFERROR( ( VfM_Metrics_2023_Entity[[#This Row],[Total Costs]] / VfM_Metrics_2023_Entity[[#This Row],[Total units for costs]] ) * 1000, "n/a" )</f>
        <v>4086.048920404749</v>
      </c>
      <c r="BC8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51284</v>
      </c>
      <c r="BD83" s="84" vm="15518">
        <v>9935</v>
      </c>
      <c r="BE83" s="84" vm="16412">
        <v>2663</v>
      </c>
      <c r="BF83" s="84" vm="16096">
        <v>13839</v>
      </c>
      <c r="BG83" s="84" vm="16863">
        <v>3587</v>
      </c>
      <c r="BH83" s="84" vm="15905">
        <v>7327</v>
      </c>
      <c r="BI83" s="84" vm="17241">
        <v>477</v>
      </c>
      <c r="BJ83" s="84" vm="14954">
        <v>9265</v>
      </c>
      <c r="BK83" s="84" vm="16408">
        <v>2186</v>
      </c>
      <c r="BL83" s="84" vm="16788">
        <v>0</v>
      </c>
      <c r="BM83" s="84" vm="15906">
        <v>1000</v>
      </c>
      <c r="BN83" s="84" vm="17102">
        <v>86</v>
      </c>
      <c r="BO83" s="84" vm="16098">
        <v>919</v>
      </c>
      <c r="BP83" s="5" vm="17627">
        <f xml:space="preserve"> VfM_Metrics_2023_Entity[[#This Row],[Total social housing units owned and/or managed at period end]]</f>
        <v>12551</v>
      </c>
      <c r="BQ83" s="135" vm="17627">
        <v>12551</v>
      </c>
      <c r="BR83" s="134">
        <f xml:space="preserve"> IFERROR( VfM_Metrics_2023_Entity[[#This Row],[SHL operating surplus / (deficit)]] / VfM_Metrics_2023_Entity[[#This Row],[Turnover from social housing lettings]], "n/a" )</f>
        <v>0.26809944974215666</v>
      </c>
      <c r="BS83" s="5" vm="17881">
        <f xml:space="preserve"> VfM_Metrics_2023_Entity[[#This Row],[Operating surplus/(deficit) (social housing lettings)]]</f>
        <v>18612</v>
      </c>
      <c r="BT83" s="84" vm="17881">
        <v>18612</v>
      </c>
      <c r="BU83" s="5" vm="18074">
        <f xml:space="preserve"> VfM_Metrics_2023_Entity[[#This Row],[Turnover from social housing lettings]]</f>
        <v>69422</v>
      </c>
      <c r="BV83" s="135" vm="18074">
        <v>69422</v>
      </c>
      <c r="BW83" s="134">
        <f xml:space="preserve"> IFERROR( VfM_Metrics_2023_Entity[[#This Row],[Net operating surplus]] / VfM_Metrics_2023_Entity[[#This Row],[Overall turnover]], "n/a" )</f>
        <v>0.2630985025446585</v>
      </c>
      <c r="BX83" s="5">
        <f xml:space="preserve"> SUM( VfM_Metrics_2023_Entity[[#This Row],[Operating surplus/(deficit) (overall)2]], - VfM_Metrics_2023_Entity[[#This Row],[Gain/(loss) on disposal of fixed assets (housing properties)2]], - VfM_Metrics_2023_Entity[[#This Row],[Gain/(loss) on disposal of fixed assets (other)2]] )</f>
        <v>23315</v>
      </c>
      <c r="BY83" s="84" vm="13478">
        <v>26614</v>
      </c>
      <c r="BZ83" s="84" vm="13717">
        <v>3213</v>
      </c>
      <c r="CA83" s="84" vm="13970">
        <v>86</v>
      </c>
      <c r="CB83" s="5" vm="18400">
        <f xml:space="preserve"> VfM_Metrics_2023_Entity[[#This Row],[Turnover (overall)]]</f>
        <v>88617</v>
      </c>
      <c r="CC83" s="135" vm="18400">
        <v>88617</v>
      </c>
      <c r="CD83" s="134">
        <f xml:space="preserve"> IFERROR( VfM_Metrics_2023_Entity[[#This Row],[Operating surplus including from JVs]] / VfM_Metrics_2023_Entity[[#This Row],[Net assets]], "n/a" )</f>
        <v>3.5587112475011867E-2</v>
      </c>
      <c r="CE83" s="5">
        <f xml:space="preserve"> SUM( VfM_Metrics_2023_Entity[[#This Row],[Operating surplus/(deficit) (overall)3]], VfM_Metrics_2023_Entity[[#This Row],[Share of operating surplus/(deficit) in joint ventures or associates]] )</f>
        <v>26614</v>
      </c>
      <c r="CF83" s="84" vm="13479">
        <v>26614</v>
      </c>
      <c r="CG83" s="84" vm="18450">
        <v>0</v>
      </c>
      <c r="CH83" s="5" vm="18618">
        <f xml:space="preserve"> VfM_Metrics_2023_Entity[[#This Row],[Total assets less current liabilities]]</f>
        <v>747855</v>
      </c>
      <c r="CI83" s="135" vm="18618">
        <v>747855</v>
      </c>
      <c r="CJ83" s="140" vm="11341">
        <f xml:space="preserve"> VfM_Metrics_2023_Entity[[#This Row],[Total social housing units owned (Period end)]]</f>
        <v>12266</v>
      </c>
      <c r="CK83" s="141">
        <v>2.9102268990463663E-2</v>
      </c>
      <c r="CL83" s="69">
        <f xml:space="preserve"> -- ( VfM_Metrics_2023_Entity[[#This Row],[% Supported housing (excl. HOP)]] &gt; 0.3 )</f>
        <v>0</v>
      </c>
      <c r="CM83" s="9">
        <v>8.3196317000986522E-2</v>
      </c>
      <c r="CN83" s="69">
        <f xml:space="preserve"> -- ( VfM_Metrics_2023_Entity[[#This Row],[% Housing for older people]] &gt; 0.3 )</f>
        <v>0</v>
      </c>
      <c r="CO83" s="9">
        <f xml:space="preserve"> VfM_Metrics_2023_Entity[[#This Row],[% Supported housing (excl. HOP)]] + VfM_Metrics_2023_Entity[[#This Row],[% Housing for older people]]</f>
        <v>0.11229858599145018</v>
      </c>
      <c r="CP83" s="69">
        <f xml:space="preserve"> -- ( VfM_Metrics_2023_Entity[[#This Row],[SH specialist in RSH analysis]] + VfM_Metrics_2023_Entity[[#This Row],[OP specialist in RSH analysis]] &gt; 0 )</f>
        <v>0</v>
      </c>
      <c r="CQ83" s="142">
        <f xml:space="preserve"> -- ( VfM_Metrics_2023_Entity[[#This Row],[% SH and OP]] &gt; 0.3 )</f>
        <v>0</v>
      </c>
      <c r="CR83" s="143" t="s">
        <v>143</v>
      </c>
      <c r="CS83" s="120"/>
      <c r="CT83" s="144" t="s">
        <v>151</v>
      </c>
      <c r="CU8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83" s="146">
        <v>0</v>
      </c>
      <c r="CW83" s="146">
        <v>4.984782429875792E-2</v>
      </c>
      <c r="CX83" s="146">
        <v>0</v>
      </c>
      <c r="CY83" s="146">
        <v>0.35954594061034795</v>
      </c>
      <c r="CZ83" s="146">
        <v>0</v>
      </c>
      <c r="DA83" s="146">
        <v>0.59060623509089416</v>
      </c>
      <c r="DB83" s="146">
        <v>0</v>
      </c>
      <c r="DC83" s="146">
        <v>0</v>
      </c>
      <c r="DD83" s="146">
        <v>0</v>
      </c>
      <c r="DE83" s="126">
        <v>0.98766229689972607</v>
      </c>
    </row>
    <row r="84" spans="1:109" x14ac:dyDescent="0.25">
      <c r="A84" s="4" t="s" vm="9231">
        <v>578</v>
      </c>
      <c r="B84" s="4" t="s" vm="9264">
        <v>579</v>
      </c>
      <c r="C84" s="121" vm="18947">
        <v>45016</v>
      </c>
      <c r="D84" s="68">
        <f>IFERROR( VfM_Metrics_2023_Entity[[#This Row],[Reinvestment Spend]] / VfM_Metrics_2023_Entity[[#This Row],[Net Book Value of Housing Properties]], "n/a" )</f>
        <v>8.104104538911118E-2</v>
      </c>
      <c r="E8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116420</v>
      </c>
      <c r="F84" s="84" vm="9385">
        <v>99527</v>
      </c>
      <c r="G84" s="84" vm="9489">
        <v>0</v>
      </c>
      <c r="H84" s="84" vm="10479">
        <v>13746</v>
      </c>
      <c r="I84" s="84" vm="9627">
        <v>3147</v>
      </c>
      <c r="J84" s="84" vm="9668">
        <v>0</v>
      </c>
      <c r="K84" s="5">
        <f xml:space="preserve"> SUM( VfM_Metrics_2023_Entity[[#This Row],[Tangible fixed assets: Housing properties at cost (Current period)]],VfM_Metrics_2023_Entity[[#This Row],[Tangible fixed assets Housing properties at valuation (Current period)]] )</f>
        <v>1436556</v>
      </c>
      <c r="L84" s="84" vm="9920">
        <v>1436556</v>
      </c>
      <c r="M84" s="84">
        <v>0</v>
      </c>
      <c r="N84" s="134">
        <f xml:space="preserve"> IFERROR( VfM_Metrics_2023_Entity[[#This Row],[Total social units developed or newly built units acquired in-year]] / VfM_Metrics_2023_Entity[[#This Row],[Social housing units owned (period end)]], "n/a" )</f>
        <v>2.9234234234234234E-2</v>
      </c>
      <c r="O84" s="5">
        <f xml:space="preserve"> SUM( VfM_Metrics_2023_Entity[[#This Row],[Total social units developed or newly built units acquired in-year (owned)]], VfM_Metrics_2023_Entity[[#This Row],[Total social leasehold units developed or newly built units acquired in-year (owned)]] )</f>
        <v>649</v>
      </c>
      <c r="P84" s="84" vm="10962">
        <v>649</v>
      </c>
      <c r="Q84" s="84" vm="11136">
        <v>0</v>
      </c>
      <c r="R84" s="5">
        <f xml:space="preserve"> SUM( VfM_Metrics_2023_Entity[[#This Row],[Total social housing units owned (Period end)]], VfM_Metrics_2023_Entity[[#This Row],[Total social leasehold units owned (Period end)]] )</f>
        <v>22200</v>
      </c>
      <c r="S84" s="84" vm="11242">
        <v>21197</v>
      </c>
      <c r="T84" s="135" vm="11468">
        <v>1003</v>
      </c>
      <c r="U84" s="136">
        <f xml:space="preserve"> IFERROR( VfM_Metrics_2023_Entity[[#This Row],[Total non-social housing units developed or newly built units acquired (owned)]] / VfM_Metrics_2023_Entity[[#This Row],[Total social and non-social housing units owned (Period end)]], "n/a" )</f>
        <v>0</v>
      </c>
      <c r="V8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84" s="84" vm="11618">
        <v>0</v>
      </c>
      <c r="X84" s="84" vm="11793">
        <v>0</v>
      </c>
      <c r="Y84" s="84" vm="11834">
        <v>0</v>
      </c>
      <c r="Z8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22560</v>
      </c>
      <c r="AA84" s="84" vm="11242">
        <v>21197</v>
      </c>
      <c r="AB84" s="84" vm="12437">
        <v>1003</v>
      </c>
      <c r="AC84" s="84" vm="12354">
        <v>262</v>
      </c>
      <c r="AD84" s="135" vm="12495">
        <v>98</v>
      </c>
      <c r="AE84" s="134">
        <f xml:space="preserve"> IFERROR( VfM_Metrics_2023_Entity[[#This Row],[Total Net Debt]] / VfM_Metrics_2023_Entity[[#This Row],[Net Book Value of Housing Properties2]], "n/a" )</f>
        <v>0.41110336109417245</v>
      </c>
      <c r="AF8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590573</v>
      </c>
      <c r="AG84" s="84" vm="12612">
        <v>978</v>
      </c>
      <c r="AH84" s="84" vm="13116">
        <v>107985</v>
      </c>
      <c r="AI84" s="84" vm="13203">
        <v>92747</v>
      </c>
      <c r="AJ84" s="84" vm="12745">
        <v>571261</v>
      </c>
      <c r="AK84" s="84" vm="12854">
        <v>3096</v>
      </c>
      <c r="AL84" s="5">
        <f xml:space="preserve"> SUM( VfM_Metrics_2023_Entity[[#This Row],[Tangible fixed assets: Housing properties at cost (Current period)2]], VfM_Metrics_2023_Entity[[#This Row],[Tangible fixed assets Housing properties at valuation (Current period)2]] )</f>
        <v>1436556</v>
      </c>
      <c r="AM84" s="84" vm="9920">
        <v>1436556</v>
      </c>
      <c r="AN84" s="135">
        <v>0</v>
      </c>
      <c r="AO84" s="137">
        <f xml:space="preserve"> IFERROR( VfM_Metrics_2023_Entity[[#This Row],[EBITDA MRI]] / VfM_Metrics_2023_Entity[[#This Row],[Total interest]], "n/a" )</f>
        <v>1.4983909102850388</v>
      </c>
      <c r="AP8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45629</v>
      </c>
      <c r="AQ84" s="84" vm="13510">
        <v>46203</v>
      </c>
      <c r="AR84" s="84" vm="13971">
        <v>5994</v>
      </c>
      <c r="AS84" s="84" vm="14222">
        <v>248</v>
      </c>
      <c r="AT84" s="84" vm="14464">
        <v>6524</v>
      </c>
      <c r="AU84" s="84" vm="14712">
        <v>0</v>
      </c>
      <c r="AV84" s="84" vm="14955">
        <v>2612</v>
      </c>
      <c r="AW84" s="84" vm="13719">
        <v>13746</v>
      </c>
      <c r="AX84" s="84" vm="13972">
        <v>23326</v>
      </c>
      <c r="AY84" s="5">
        <f xml:space="preserve"> - SUM( VfM_Metrics_2023_Entity[[#This Row],[Interest capitalised]], VfM_Metrics_2023_Entity[[#This Row],[Interest payable and financing costs]] )</f>
        <v>30452</v>
      </c>
      <c r="AZ84" s="84" vm="15195">
        <v>-3147</v>
      </c>
      <c r="BA84" s="135" vm="15359">
        <v>-27305</v>
      </c>
      <c r="BB84" s="138">
        <f xml:space="preserve"> IFERROR( ( VfM_Metrics_2023_Entity[[#This Row],[Total Costs]] / VfM_Metrics_2023_Entity[[#This Row],[Total units for costs]] ) * 1000, "n/a" )</f>
        <v>4014.6631559832945</v>
      </c>
      <c r="BC8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88435</v>
      </c>
      <c r="BD84" s="84" vm="15767">
        <v>28621</v>
      </c>
      <c r="BE84" s="84" vm="16705">
        <v>12359</v>
      </c>
      <c r="BF84" s="84" vm="16099">
        <v>15054</v>
      </c>
      <c r="BG84" s="84" vm="16706">
        <v>3630</v>
      </c>
      <c r="BH84" s="84" vm="15907">
        <v>7448</v>
      </c>
      <c r="BI84" s="84" vm="17027">
        <v>103</v>
      </c>
      <c r="BJ84" s="84" vm="13660">
        <v>13746</v>
      </c>
      <c r="BK84" s="84" vm="17486">
        <v>144</v>
      </c>
      <c r="BL84" s="84" vm="16618">
        <v>0</v>
      </c>
      <c r="BM84" s="84" vm="15909">
        <v>1629</v>
      </c>
      <c r="BN84" s="84" vm="16864">
        <v>3860</v>
      </c>
      <c r="BO84" s="84" vm="16100">
        <v>1841</v>
      </c>
      <c r="BP84" s="5" vm="17663">
        <f xml:space="preserve"> VfM_Metrics_2023_Entity[[#This Row],[Total social housing units owned and/or managed at period end]]</f>
        <v>22028</v>
      </c>
      <c r="BQ84" s="135" vm="17663">
        <v>22028</v>
      </c>
      <c r="BR84" s="134">
        <f xml:space="preserve"> IFERROR( VfM_Metrics_2023_Entity[[#This Row],[SHL operating surplus / (deficit)]] / VfM_Metrics_2023_Entity[[#This Row],[Turnover from social housing lettings]], "n/a" )</f>
        <v>0.26169727955048472</v>
      </c>
      <c r="BS84" s="5" vm="17918">
        <f xml:space="preserve"> VfM_Metrics_2023_Entity[[#This Row],[Operating surplus/(deficit) (social housing lettings)]]</f>
        <v>32043</v>
      </c>
      <c r="BT84" s="84" vm="17918">
        <v>32043</v>
      </c>
      <c r="BU84" s="5" vm="18115">
        <f xml:space="preserve"> VfM_Metrics_2023_Entity[[#This Row],[Turnover from social housing lettings]]</f>
        <v>122443</v>
      </c>
      <c r="BV84" s="135" vm="18115">
        <v>122443</v>
      </c>
      <c r="BW84" s="134">
        <f xml:space="preserve"> IFERROR( VfM_Metrics_2023_Entity[[#This Row],[Net operating surplus]] / VfM_Metrics_2023_Entity[[#This Row],[Overall turnover]], "n/a" )</f>
        <v>0.25330569606612657</v>
      </c>
      <c r="BX84" s="5">
        <f xml:space="preserve"> SUM( VfM_Metrics_2023_Entity[[#This Row],[Operating surplus/(deficit) (overall)2]], - VfM_Metrics_2023_Entity[[#This Row],[Gain/(loss) on disposal of fixed assets (housing properties)2]], - VfM_Metrics_2023_Entity[[#This Row],[Gain/(loss) on disposal of fixed assets (other)2]] )</f>
        <v>39961</v>
      </c>
      <c r="BY84" s="84" vm="13510">
        <v>46203</v>
      </c>
      <c r="BZ84" s="84" vm="13971">
        <v>5994</v>
      </c>
      <c r="CA84" s="84" vm="14222">
        <v>248</v>
      </c>
      <c r="CB84" s="5" vm="18268">
        <f xml:space="preserve"> VfM_Metrics_2023_Entity[[#This Row],[Turnover (overall)]]</f>
        <v>157758</v>
      </c>
      <c r="CC84" s="135" vm="18268">
        <v>157758</v>
      </c>
      <c r="CD84" s="134">
        <f xml:space="preserve"> IFERROR( VfM_Metrics_2023_Entity[[#This Row],[Operating surplus including from JVs]] / VfM_Metrics_2023_Entity[[#This Row],[Net assets]], "n/a" )</f>
        <v>3.0152829678899741E-2</v>
      </c>
      <c r="CE84" s="5">
        <f xml:space="preserve"> SUM( VfM_Metrics_2023_Entity[[#This Row],[Operating surplus/(deficit) (overall)3]], VfM_Metrics_2023_Entity[[#This Row],[Share of operating surplus/(deficit) in joint ventures or associates]] )</f>
        <v>46203</v>
      </c>
      <c r="CF84" s="84" vm="13511">
        <v>46203</v>
      </c>
      <c r="CG84" s="84" vm="18478">
        <v>0</v>
      </c>
      <c r="CH84" s="5" vm="18654">
        <f xml:space="preserve"> VfM_Metrics_2023_Entity[[#This Row],[Total assets less current liabilities]]</f>
        <v>1532294</v>
      </c>
      <c r="CI84" s="135" vm="18654">
        <v>1532294</v>
      </c>
      <c r="CJ84" s="140" vm="11242">
        <f xml:space="preserve"> VfM_Metrics_2023_Entity[[#This Row],[Total social housing units owned (Period end)]]</f>
        <v>21197</v>
      </c>
      <c r="CK84" s="141">
        <v>6.2836453718260202E-2</v>
      </c>
      <c r="CL84" s="69">
        <f xml:space="preserve"> -- ( VfM_Metrics_2023_Entity[[#This Row],[% Supported housing (excl. HOP)]] &gt; 0.3 )</f>
        <v>0</v>
      </c>
      <c r="CM84" s="9">
        <v>2.2771664046496116E-2</v>
      </c>
      <c r="CN84" s="69">
        <f xml:space="preserve"> -- ( VfM_Metrics_2023_Entity[[#This Row],[% Housing for older people]] &gt; 0.3 )</f>
        <v>0</v>
      </c>
      <c r="CO84" s="9">
        <f xml:space="preserve"> VfM_Metrics_2023_Entity[[#This Row],[% Supported housing (excl. HOP)]] + VfM_Metrics_2023_Entity[[#This Row],[% Housing for older people]]</f>
        <v>8.5608117764756325E-2</v>
      </c>
      <c r="CP84" s="69">
        <f xml:space="preserve"> -- ( VfM_Metrics_2023_Entity[[#This Row],[SH specialist in RSH analysis]] + VfM_Metrics_2023_Entity[[#This Row],[OP specialist in RSH analysis]] &gt; 0 )</f>
        <v>0</v>
      </c>
      <c r="CQ84" s="142">
        <f xml:space="preserve"> -- ( VfM_Metrics_2023_Entity[[#This Row],[% SH and OP]] &gt; 0.3 )</f>
        <v>0</v>
      </c>
      <c r="CR84" s="143" t="s">
        <v>143</v>
      </c>
      <c r="CS84" s="120"/>
      <c r="CT84" s="144" t="s">
        <v>151</v>
      </c>
      <c r="CU8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84" s="146">
        <v>0</v>
      </c>
      <c r="CW84" s="146">
        <v>4.725451280597297E-5</v>
      </c>
      <c r="CX84" s="146">
        <v>0</v>
      </c>
      <c r="CY84" s="146">
        <v>1.8807296096777244E-2</v>
      </c>
      <c r="CZ84" s="146">
        <v>4.1583971269256214E-3</v>
      </c>
      <c r="DA84" s="146">
        <v>0</v>
      </c>
      <c r="DB84" s="146">
        <v>0</v>
      </c>
      <c r="DC84" s="146">
        <v>0.83772800302428885</v>
      </c>
      <c r="DD84" s="146">
        <v>0.13925904923920235</v>
      </c>
      <c r="DE84" s="126">
        <v>0.95843181224467244</v>
      </c>
    </row>
    <row r="85" spans="1:109" x14ac:dyDescent="0.25">
      <c r="A85" s="4" t="s" vm="373">
        <v>276</v>
      </c>
      <c r="B85" s="4" t="s" vm="9307">
        <v>277</v>
      </c>
      <c r="C85" s="121" vm="18781">
        <v>45016</v>
      </c>
      <c r="D85" s="68">
        <f>IFERROR( VfM_Metrics_2023_Entity[[#This Row],[Reinvestment Spend]] / VfM_Metrics_2023_Entity[[#This Row],[Net Book Value of Housing Properties]], "n/a" )</f>
        <v>5.3993397527847743E-2</v>
      </c>
      <c r="E8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7867</v>
      </c>
      <c r="F85" s="84" vm="9453">
        <v>396</v>
      </c>
      <c r="G85" s="84" vm="10791">
        <v>2445</v>
      </c>
      <c r="H85" s="84" vm="9490">
        <v>5026</v>
      </c>
      <c r="I85" s="84" vm="10923">
        <v>0</v>
      </c>
      <c r="J85" s="84" vm="10504">
        <v>0</v>
      </c>
      <c r="K85" s="5">
        <f xml:space="preserve"> SUM( VfM_Metrics_2023_Entity[[#This Row],[Tangible fixed assets: Housing properties at cost (Current period)]],VfM_Metrics_2023_Entity[[#This Row],[Tangible fixed assets Housing properties at valuation (Current period)]] )</f>
        <v>145703</v>
      </c>
      <c r="L85" s="84" vm="9985">
        <v>145703</v>
      </c>
      <c r="M85" s="84" vm="10294">
        <v>0</v>
      </c>
      <c r="N85" s="134">
        <f xml:space="preserve"> IFERROR( VfM_Metrics_2023_Entity[[#This Row],[Total social units developed or newly built units acquired in-year]] / VfM_Metrics_2023_Entity[[#This Row],[Social housing units owned (period end)]], "n/a" )</f>
        <v>2.5033699210475638E-3</v>
      </c>
      <c r="O85" s="5">
        <f xml:space="preserve"> SUM( VfM_Metrics_2023_Entity[[#This Row],[Total social units developed or newly built units acquired in-year (owned)]], VfM_Metrics_2023_Entity[[#This Row],[Total social leasehold units developed or newly built units acquired in-year (owned)]] )</f>
        <v>13</v>
      </c>
      <c r="P85" s="84" vm="11015">
        <v>13</v>
      </c>
      <c r="Q85" s="84">
        <v>0</v>
      </c>
      <c r="R85" s="5">
        <f xml:space="preserve"> SUM( VfM_Metrics_2023_Entity[[#This Row],[Total social housing units owned (Period end)]], VfM_Metrics_2023_Entity[[#This Row],[Total social leasehold units owned (Period end)]] )</f>
        <v>5193</v>
      </c>
      <c r="S85" s="84" vm="11270">
        <v>5078</v>
      </c>
      <c r="T85" s="135" vm="11447">
        <v>115</v>
      </c>
      <c r="U85" s="136">
        <f xml:space="preserve"> IFERROR( VfM_Metrics_2023_Entity[[#This Row],[Total non-social housing units developed or newly built units acquired (owned)]] / VfM_Metrics_2023_Entity[[#This Row],[Total social and non-social housing units owned (Period end)]], "n/a" )</f>
        <v>0</v>
      </c>
      <c r="V8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85" s="84" vm="11637">
        <v>0</v>
      </c>
      <c r="X85" s="84">
        <v>0</v>
      </c>
      <c r="Y85" s="84" vm="11919">
        <v>0</v>
      </c>
      <c r="Z8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5226</v>
      </c>
      <c r="AA85" s="84" vm="11999">
        <v>5078</v>
      </c>
      <c r="AB85" s="84" vm="12190">
        <v>115</v>
      </c>
      <c r="AC85" s="84" vm="12098">
        <v>33</v>
      </c>
      <c r="AD85" s="135" vm="12258">
        <v>0</v>
      </c>
      <c r="AE85" s="134">
        <f xml:space="preserve"> IFERROR( VfM_Metrics_2023_Entity[[#This Row],[Total Net Debt]] / VfM_Metrics_2023_Entity[[#This Row],[Net Book Value of Housing Properties2]], "n/a" )</f>
        <v>0.34797499021983075</v>
      </c>
      <c r="AF8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50701</v>
      </c>
      <c r="AG85" s="84" vm="12640">
        <v>0</v>
      </c>
      <c r="AH85" s="84" vm="12897">
        <v>59862</v>
      </c>
      <c r="AI85" s="84" vm="12978">
        <v>9161</v>
      </c>
      <c r="AJ85" s="84" vm="13071">
        <v>0</v>
      </c>
      <c r="AK85" s="84" vm="13158">
        <v>0</v>
      </c>
      <c r="AL85" s="5">
        <f xml:space="preserve"> SUM( VfM_Metrics_2023_Entity[[#This Row],[Tangible fixed assets: Housing properties at cost (Current period)2]], VfM_Metrics_2023_Entity[[#This Row],[Tangible fixed assets Housing properties at valuation (Current period)2]] )</f>
        <v>145703</v>
      </c>
      <c r="AM85" s="84" vm="10024">
        <v>145703</v>
      </c>
      <c r="AN85" s="135" vm="13404">
        <v>0</v>
      </c>
      <c r="AO85" s="137">
        <f xml:space="preserve"> IFERROR( VfM_Metrics_2023_Entity[[#This Row],[EBITDA MRI]] / VfM_Metrics_2023_Entity[[#This Row],[Total interest]], "n/a" )</f>
        <v>1.0775967413441956</v>
      </c>
      <c r="AP8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5291</v>
      </c>
      <c r="AQ85" s="84" vm="13548">
        <v>6084</v>
      </c>
      <c r="AR85" s="84" vm="14223">
        <v>579</v>
      </c>
      <c r="AS85" s="84" vm="14465">
        <v>0</v>
      </c>
      <c r="AT85" s="84" vm="14713">
        <v>93</v>
      </c>
      <c r="AU85" s="84" vm="14956">
        <v>0</v>
      </c>
      <c r="AV85" s="84" vm="13720">
        <v>244</v>
      </c>
      <c r="AW85" s="84" vm="13973">
        <v>5319</v>
      </c>
      <c r="AX85" s="84" vm="14224">
        <v>4954</v>
      </c>
      <c r="AY85" s="5">
        <f xml:space="preserve"> - SUM( VfM_Metrics_2023_Entity[[#This Row],[Interest capitalised]], VfM_Metrics_2023_Entity[[#This Row],[Interest payable and financing costs]] )</f>
        <v>4910</v>
      </c>
      <c r="AZ85" s="84" vm="15218">
        <v>0</v>
      </c>
      <c r="BA85" s="135" vm="15390">
        <v>-4910</v>
      </c>
      <c r="BB85" s="138">
        <f xml:space="preserve"> IFERROR( ( VfM_Metrics_2023_Entity[[#This Row],[Total Costs]] / VfM_Metrics_2023_Entity[[#This Row],[Total units for costs]] ) * 1000, "n/a" )</f>
        <v>4454.7748447204967</v>
      </c>
      <c r="BC8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22951</v>
      </c>
      <c r="BD85" s="84" vm="15771">
        <v>6975</v>
      </c>
      <c r="BE85" s="84" vm="17325">
        <v>753</v>
      </c>
      <c r="BF85" s="84" vm="16102">
        <v>6174</v>
      </c>
      <c r="BG85" s="84" vm="16414">
        <v>664</v>
      </c>
      <c r="BH85" s="84" vm="15911">
        <v>1864</v>
      </c>
      <c r="BI85" s="84" vm="16789">
        <v>496</v>
      </c>
      <c r="BJ85" s="84" vm="15772">
        <v>5319</v>
      </c>
      <c r="BK85" s="84" vm="17242">
        <v>0</v>
      </c>
      <c r="BL85" s="84" vm="16409">
        <v>0</v>
      </c>
      <c r="BM85" s="84" vm="15912">
        <v>0</v>
      </c>
      <c r="BN85" s="84" vm="16707">
        <v>408</v>
      </c>
      <c r="BO85" s="84" vm="16104">
        <v>298</v>
      </c>
      <c r="BP85" s="5" vm="17800">
        <f xml:space="preserve"> VfM_Metrics_2023_Entity[[#This Row],[Total social housing units owned and/or managed at period end]]</f>
        <v>5152</v>
      </c>
      <c r="BQ85" s="135" vm="17800">
        <v>5152</v>
      </c>
      <c r="BR85" s="134">
        <f xml:space="preserve"> IFERROR( VfM_Metrics_2023_Entity[[#This Row],[SHL operating surplus / (deficit)]] / VfM_Metrics_2023_Entity[[#This Row],[Turnover from social housing lettings]], "n/a" )</f>
        <v>0.16449272489394601</v>
      </c>
      <c r="BS85" s="5" vm="17956">
        <f xml:space="preserve"> VfM_Metrics_2023_Entity[[#This Row],[Operating surplus/(deficit) (social housing lettings)]]</f>
        <v>4149</v>
      </c>
      <c r="BT85" s="84" vm="17956">
        <v>4149</v>
      </c>
      <c r="BU85" s="5" vm="18127">
        <f xml:space="preserve"> VfM_Metrics_2023_Entity[[#This Row],[Turnover from social housing lettings]]</f>
        <v>25223</v>
      </c>
      <c r="BV85" s="135" vm="18127">
        <v>25223</v>
      </c>
      <c r="BW85" s="134">
        <f xml:space="preserve"> IFERROR( VfM_Metrics_2023_Entity[[#This Row],[Net operating surplus]] / VfM_Metrics_2023_Entity[[#This Row],[Overall turnover]], "n/a" )</f>
        <v>0.19349736379613358</v>
      </c>
      <c r="BX85" s="5">
        <f xml:space="preserve"> SUM( VfM_Metrics_2023_Entity[[#This Row],[Operating surplus/(deficit) (overall)2]], - VfM_Metrics_2023_Entity[[#This Row],[Gain/(loss) on disposal of fixed assets (housing properties)2]], - VfM_Metrics_2023_Entity[[#This Row],[Gain/(loss) on disposal of fixed assets (other)2]] )</f>
        <v>5505</v>
      </c>
      <c r="BY85" s="84" vm="18224">
        <v>6084</v>
      </c>
      <c r="BZ85" s="84" vm="14223">
        <v>579</v>
      </c>
      <c r="CA85" s="84" vm="14465">
        <v>0</v>
      </c>
      <c r="CB85" s="5" vm="18304">
        <f xml:space="preserve"> VfM_Metrics_2023_Entity[[#This Row],[Turnover (overall)]]</f>
        <v>28450</v>
      </c>
      <c r="CC85" s="135" vm="18304">
        <v>28450</v>
      </c>
      <c r="CD85" s="134">
        <f xml:space="preserve"> IFERROR( VfM_Metrics_2023_Entity[[#This Row],[Operating surplus including from JVs]] / VfM_Metrics_2023_Entity[[#This Row],[Net assets]], "n/a" )</f>
        <v>3.7777087860912759E-2</v>
      </c>
      <c r="CE85" s="5">
        <f xml:space="preserve"> SUM( VfM_Metrics_2023_Entity[[#This Row],[Operating surplus/(deficit) (overall)3]], VfM_Metrics_2023_Entity[[#This Row],[Share of operating surplus/(deficit) in joint ventures or associates]] )</f>
        <v>6084</v>
      </c>
      <c r="CF85" s="84" vm="18224">
        <v>6084</v>
      </c>
      <c r="CG85" s="84" vm="18496">
        <v>0</v>
      </c>
      <c r="CH85" s="5" vm="18691">
        <f xml:space="preserve"> VfM_Metrics_2023_Entity[[#This Row],[Total assets less current liabilities]]</f>
        <v>161050</v>
      </c>
      <c r="CI85" s="135" vm="18691">
        <v>161050</v>
      </c>
      <c r="CJ85" s="140" vm="11270">
        <f xml:space="preserve"> VfM_Metrics_2023_Entity[[#This Row],[Total social housing units owned (Period end)]]</f>
        <v>5078</v>
      </c>
      <c r="CK85" s="141">
        <v>4.8143053645116916E-2</v>
      </c>
      <c r="CL85" s="69">
        <f xml:space="preserve"> -- ( VfM_Metrics_2023_Entity[[#This Row],[% Supported housing (excl. HOP)]] &gt; 0.3 )</f>
        <v>0</v>
      </c>
      <c r="CM85" s="9">
        <v>0</v>
      </c>
      <c r="CN85" s="69">
        <f xml:space="preserve"> -- ( VfM_Metrics_2023_Entity[[#This Row],[% Housing for older people]] &gt; 0.3 )</f>
        <v>0</v>
      </c>
      <c r="CO85" s="9">
        <f xml:space="preserve"> VfM_Metrics_2023_Entity[[#This Row],[% Supported housing (excl. HOP)]] + VfM_Metrics_2023_Entity[[#This Row],[% Housing for older people]]</f>
        <v>4.8143053645116916E-2</v>
      </c>
      <c r="CP85" s="69">
        <f xml:space="preserve"> -- ( VfM_Metrics_2023_Entity[[#This Row],[SH specialist in RSH analysis]] + VfM_Metrics_2023_Entity[[#This Row],[OP specialist in RSH analysis]] &gt; 0 )</f>
        <v>0</v>
      </c>
      <c r="CQ85" s="142">
        <f xml:space="preserve"> -- ( VfM_Metrics_2023_Entity[[#This Row],[% SH and OP]] &gt; 0.3 )</f>
        <v>0</v>
      </c>
      <c r="CR85" s="143" t="s">
        <v>143</v>
      </c>
      <c r="CS85" s="120"/>
      <c r="CT85" s="144" t="s">
        <v>151</v>
      </c>
      <c r="CU8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85" s="146">
        <v>0</v>
      </c>
      <c r="CW85" s="146">
        <v>0</v>
      </c>
      <c r="CX85" s="146">
        <v>0</v>
      </c>
      <c r="CY85" s="146">
        <v>1</v>
      </c>
      <c r="CZ85" s="146">
        <v>0</v>
      </c>
      <c r="DA85" s="146">
        <v>0</v>
      </c>
      <c r="DB85" s="146">
        <v>0</v>
      </c>
      <c r="DC85" s="146">
        <v>0</v>
      </c>
      <c r="DD85" s="146">
        <v>0</v>
      </c>
      <c r="DE85" s="126">
        <v>0.94233429441067484</v>
      </c>
    </row>
    <row r="86" spans="1:109" x14ac:dyDescent="0.25">
      <c r="A86" s="4" t="s" vm="340">
        <v>278</v>
      </c>
      <c r="B86" s="4" t="s" vm="10412">
        <v>279</v>
      </c>
      <c r="C86" s="121" vm="18881">
        <v>45016</v>
      </c>
      <c r="D86" s="68">
        <f>IFERROR( VfM_Metrics_2023_Entity[[#This Row],[Reinvestment Spend]] / VfM_Metrics_2023_Entity[[#This Row],[Net Book Value of Housing Properties]], "n/a" )</f>
        <v>6.9601371064282061E-2</v>
      </c>
      <c r="E8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137389</v>
      </c>
      <c r="F86" s="84" vm="9807">
        <v>122426</v>
      </c>
      <c r="G86" s="84" vm="9796">
        <v>0</v>
      </c>
      <c r="H86" s="84" vm="10560">
        <v>11418</v>
      </c>
      <c r="I86" s="84" vm="9529">
        <v>3545</v>
      </c>
      <c r="J86" s="84" vm="10691">
        <v>0</v>
      </c>
      <c r="K86" s="5">
        <f xml:space="preserve"> SUM( VfM_Metrics_2023_Entity[[#This Row],[Tangible fixed assets: Housing properties at cost (Current period)]],VfM_Metrics_2023_Entity[[#This Row],[Tangible fixed assets Housing properties at valuation (Current period)]] )</f>
        <v>1973941</v>
      </c>
      <c r="L86" s="84" vm="10067">
        <v>1973941</v>
      </c>
      <c r="M86" s="84" vm="10321">
        <v>0</v>
      </c>
      <c r="N86" s="134">
        <f xml:space="preserve"> IFERROR( VfM_Metrics_2023_Entity[[#This Row],[Total social units developed or newly built units acquired in-year]] / VfM_Metrics_2023_Entity[[#This Row],[Social housing units owned (period end)]], "n/a" )</f>
        <v>1.6555530006898137E-2</v>
      </c>
      <c r="O86" s="5">
        <f xml:space="preserve"> SUM( VfM_Metrics_2023_Entity[[#This Row],[Total social units developed or newly built units acquired in-year (owned)]], VfM_Metrics_2023_Entity[[#This Row],[Total social leasehold units developed or newly built units acquired in-year (owned)]] )</f>
        <v>432</v>
      </c>
      <c r="P86" s="84" vm="11048">
        <v>432</v>
      </c>
      <c r="Q86" s="84">
        <v>0</v>
      </c>
      <c r="R86" s="5">
        <f xml:space="preserve"> SUM( VfM_Metrics_2023_Entity[[#This Row],[Total social housing units owned (Period end)]], VfM_Metrics_2023_Entity[[#This Row],[Total social leasehold units owned (Period end)]] )</f>
        <v>26094</v>
      </c>
      <c r="S86" s="84" vm="11310">
        <v>25313</v>
      </c>
      <c r="T86" s="135" vm="11463">
        <v>781</v>
      </c>
      <c r="U86" s="136">
        <f xml:space="preserve"> IFERROR( VfM_Metrics_2023_Entity[[#This Row],[Total non-social housing units developed or newly built units acquired (owned)]] / VfM_Metrics_2023_Entity[[#This Row],[Total social and non-social housing units owned (Period end)]], "n/a" )</f>
        <v>0</v>
      </c>
      <c r="V8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86" s="84" vm="11652">
        <v>0</v>
      </c>
      <c r="X86" s="84">
        <v>0</v>
      </c>
      <c r="Y86" s="84" vm="11733">
        <v>0</v>
      </c>
      <c r="Z8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26144</v>
      </c>
      <c r="AA86" s="84" vm="11309">
        <v>25313</v>
      </c>
      <c r="AB86" s="84" vm="12437">
        <v>781</v>
      </c>
      <c r="AC86" s="84" vm="12355">
        <v>50</v>
      </c>
      <c r="AD86" s="135" vm="12496">
        <v>0</v>
      </c>
      <c r="AE86" s="134">
        <f xml:space="preserve"> IFERROR( VfM_Metrics_2023_Entity[[#This Row],[Total Net Debt]] / VfM_Metrics_2023_Entity[[#This Row],[Net Book Value of Housing Properties2]], "n/a" )</f>
        <v>0.5377237718857858</v>
      </c>
      <c r="AF8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1061435</v>
      </c>
      <c r="AG86" s="84" vm="12663">
        <v>28618</v>
      </c>
      <c r="AH86" s="84" vm="12746">
        <v>1060405</v>
      </c>
      <c r="AI86" s="84" vm="13327">
        <v>88585</v>
      </c>
      <c r="AJ86" s="84" vm="12855">
        <v>0</v>
      </c>
      <c r="AK86" s="84" vm="12936">
        <v>60997</v>
      </c>
      <c r="AL86" s="5">
        <f xml:space="preserve"> SUM( VfM_Metrics_2023_Entity[[#This Row],[Tangible fixed assets: Housing properties at cost (Current period)2]], VfM_Metrics_2023_Entity[[#This Row],[Tangible fixed assets Housing properties at valuation (Current period)2]] )</f>
        <v>1973941</v>
      </c>
      <c r="AM86" s="84" vm="10067">
        <v>1973941</v>
      </c>
      <c r="AN86" s="135" vm="10132">
        <v>0</v>
      </c>
      <c r="AO86" s="137">
        <f xml:space="preserve"> IFERROR( VfM_Metrics_2023_Entity[[#This Row],[EBITDA MRI]] / VfM_Metrics_2023_Entity[[#This Row],[Total interest]], "n/a" )</f>
        <v>0.58730158730158732</v>
      </c>
      <c r="AP8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28934</v>
      </c>
      <c r="AQ86" s="84" vm="13572">
        <v>24446</v>
      </c>
      <c r="AR86" s="84" vm="14466">
        <v>6191</v>
      </c>
      <c r="AS86" s="84" vm="14714">
        <v>0</v>
      </c>
      <c r="AT86" s="84" vm="14957">
        <v>3041</v>
      </c>
      <c r="AU86" s="84" vm="13721">
        <v>0</v>
      </c>
      <c r="AV86" s="84" vm="13974">
        <v>2023</v>
      </c>
      <c r="AW86" s="84" vm="14225">
        <v>11418</v>
      </c>
      <c r="AX86" s="84" vm="14467">
        <v>23115</v>
      </c>
      <c r="AY86" s="5">
        <f xml:space="preserve"> - SUM( VfM_Metrics_2023_Entity[[#This Row],[Interest capitalised]], VfM_Metrics_2023_Entity[[#This Row],[Interest payable and financing costs]] )</f>
        <v>49266</v>
      </c>
      <c r="AZ86" s="84" vm="15244">
        <v>-3546</v>
      </c>
      <c r="BA86" s="135" vm="15418">
        <v>-45720</v>
      </c>
      <c r="BB86" s="138">
        <f xml:space="preserve"> IFERROR( ( VfM_Metrics_2023_Entity[[#This Row],[Total Costs]] / VfM_Metrics_2023_Entity[[#This Row],[Total units for costs]] ) * 1000, "n/a" )</f>
        <v>4435.0556223109425</v>
      </c>
      <c r="BC8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114420</v>
      </c>
      <c r="BD86" s="84" vm="15546">
        <v>18949</v>
      </c>
      <c r="BE86" s="84" vm="17103">
        <v>19493</v>
      </c>
      <c r="BF86" s="84" vm="16105">
        <v>32041</v>
      </c>
      <c r="BG86" s="84" vm="17326">
        <v>16605</v>
      </c>
      <c r="BH86" s="84" vm="15774">
        <v>0</v>
      </c>
      <c r="BI86" s="84" vm="16619">
        <v>1164</v>
      </c>
      <c r="BJ86" s="84" vm="15775">
        <v>11418</v>
      </c>
      <c r="BK86" s="84" vm="17028">
        <v>13011</v>
      </c>
      <c r="BL86" s="84" vm="17484">
        <v>-873</v>
      </c>
      <c r="BM86" s="84" vm="15913">
        <v>0</v>
      </c>
      <c r="BN86" s="84" vm="16415">
        <v>1060</v>
      </c>
      <c r="BO86" s="84" vm="16106">
        <v>1552</v>
      </c>
      <c r="BP86" s="5" vm="17698">
        <f xml:space="preserve"> VfM_Metrics_2023_Entity[[#This Row],[Total social housing units owned and/or managed at period end]]</f>
        <v>25799</v>
      </c>
      <c r="BQ86" s="135" vm="17698">
        <v>25799</v>
      </c>
      <c r="BR86" s="134">
        <f xml:space="preserve"> IFERROR( VfM_Metrics_2023_Entity[[#This Row],[SHL operating surplus / (deficit)]] / VfM_Metrics_2023_Entity[[#This Row],[Turnover from social housing lettings]], "n/a" )</f>
        <v>0.15190419341329717</v>
      </c>
      <c r="BS86" s="5" vm="17992">
        <f xml:space="preserve"> VfM_Metrics_2023_Entity[[#This Row],[Operating surplus/(deficit) (social housing lettings)]]</f>
        <v>24303</v>
      </c>
      <c r="BT86" s="84" vm="17992">
        <v>24303</v>
      </c>
      <c r="BU86" s="5" vm="18170">
        <f xml:space="preserve"> VfM_Metrics_2023_Entity[[#This Row],[Turnover from social housing lettings]]</f>
        <v>159989</v>
      </c>
      <c r="BV86" s="135" vm="18170">
        <v>159989</v>
      </c>
      <c r="BW86" s="134">
        <f xml:space="preserve"> IFERROR( VfM_Metrics_2023_Entity[[#This Row],[Net operating surplus]] / VfM_Metrics_2023_Entity[[#This Row],[Overall turnover]], "n/a" )</f>
        <v>8.9464243707362973E-2</v>
      </c>
      <c r="BX86" s="5">
        <f xml:space="preserve"> SUM( VfM_Metrics_2023_Entity[[#This Row],[Operating surplus/(deficit) (overall)2]], - VfM_Metrics_2023_Entity[[#This Row],[Gain/(loss) on disposal of fixed assets (housing properties)2]], - VfM_Metrics_2023_Entity[[#This Row],[Gain/(loss) on disposal of fixed assets (other)2]] )</f>
        <v>18255</v>
      </c>
      <c r="BY86" s="84" vm="13572">
        <v>24446</v>
      </c>
      <c r="BZ86" s="84" vm="14466">
        <v>6191</v>
      </c>
      <c r="CA86" s="84" vm="14714">
        <v>0</v>
      </c>
      <c r="CB86" s="5" vm="18333">
        <f xml:space="preserve"> VfM_Metrics_2023_Entity[[#This Row],[Turnover (overall)]]</f>
        <v>204048</v>
      </c>
      <c r="CC86" s="135" vm="18333">
        <v>204048</v>
      </c>
      <c r="CD86" s="134">
        <f xml:space="preserve"> IFERROR( VfM_Metrics_2023_Entity[[#This Row],[Operating surplus including from JVs]] / VfM_Metrics_2023_Entity[[#This Row],[Net assets]], "n/a" )</f>
        <v>1.1897635365655421E-2</v>
      </c>
      <c r="CE86" s="5">
        <f xml:space="preserve"> SUM( VfM_Metrics_2023_Entity[[#This Row],[Operating surplus/(deficit) (overall)3]], VfM_Metrics_2023_Entity[[#This Row],[Share of operating surplus/(deficit) in joint ventures or associates]] )</f>
        <v>24446</v>
      </c>
      <c r="CF86" s="84" vm="13573">
        <v>24446</v>
      </c>
      <c r="CG86" s="84" vm="18515">
        <v>0</v>
      </c>
      <c r="CH86" s="5" vm="18716">
        <f xml:space="preserve"> VfM_Metrics_2023_Entity[[#This Row],[Total assets less current liabilities]]</f>
        <v>2054694</v>
      </c>
      <c r="CI86" s="135" vm="18716">
        <v>2054694</v>
      </c>
      <c r="CJ86" s="140" vm="11310">
        <f xml:space="preserve"> VfM_Metrics_2023_Entity[[#This Row],[Total social housing units owned (Period end)]]</f>
        <v>25313</v>
      </c>
      <c r="CK86" s="141">
        <v>4.0750501514376744E-2</v>
      </c>
      <c r="CL86" s="69">
        <f xml:space="preserve"> -- ( VfM_Metrics_2023_Entity[[#This Row],[% Supported housing (excl. HOP)]] &gt; 0.3 )</f>
        <v>0</v>
      </c>
      <c r="CM86" s="9">
        <v>7.5246823742280616E-2</v>
      </c>
      <c r="CN86" s="69">
        <f xml:space="preserve"> -- ( VfM_Metrics_2023_Entity[[#This Row],[% Housing for older people]] &gt; 0.3 )</f>
        <v>0</v>
      </c>
      <c r="CO86" s="9">
        <f xml:space="preserve"> VfM_Metrics_2023_Entity[[#This Row],[% Supported housing (excl. HOP)]] + VfM_Metrics_2023_Entity[[#This Row],[% Housing for older people]]</f>
        <v>0.11599732525665736</v>
      </c>
      <c r="CP86" s="69">
        <f xml:space="preserve"> -- ( VfM_Metrics_2023_Entity[[#This Row],[SH specialist in RSH analysis]] + VfM_Metrics_2023_Entity[[#This Row],[OP specialist in RSH analysis]] &gt; 0 )</f>
        <v>0</v>
      </c>
      <c r="CQ86" s="142">
        <f xml:space="preserve"> -- ( VfM_Metrics_2023_Entity[[#This Row],[% SH and OP]] &gt; 0.3 )</f>
        <v>0</v>
      </c>
      <c r="CR86" s="143" t="s">
        <v>143</v>
      </c>
      <c r="CS86" s="120"/>
      <c r="CT86" s="144" t="s">
        <v>144</v>
      </c>
      <c r="CU8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86" s="146">
        <v>0</v>
      </c>
      <c r="CW86" s="146">
        <v>0.14541110889906431</v>
      </c>
      <c r="CX86" s="146">
        <v>0.35253832371092975</v>
      </c>
      <c r="CY86" s="146">
        <v>2.0704758112681664E-3</v>
      </c>
      <c r="CZ86" s="146">
        <v>0.4999800915787378</v>
      </c>
      <c r="DA86" s="146">
        <v>0</v>
      </c>
      <c r="DB86" s="146">
        <v>0</v>
      </c>
      <c r="DC86" s="146">
        <v>0</v>
      </c>
      <c r="DD86" s="146">
        <v>0</v>
      </c>
      <c r="DE86" s="126">
        <v>0.97830716016111086</v>
      </c>
    </row>
    <row r="87" spans="1:109" x14ac:dyDescent="0.25">
      <c r="A87" s="4" t="s" vm="311">
        <v>280</v>
      </c>
      <c r="B87" s="4" t="s" vm="10325">
        <v>281</v>
      </c>
      <c r="C87" s="121" vm="18916">
        <v>45016</v>
      </c>
      <c r="D87" s="68">
        <f>IFERROR( VfM_Metrics_2023_Entity[[#This Row],[Reinvestment Spend]] / VfM_Metrics_2023_Entity[[#This Row],[Net Book Value of Housing Properties]], "n/a" )</f>
        <v>3.8808691085989437E-2</v>
      </c>
      <c r="E8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7834</v>
      </c>
      <c r="F87" s="84" vm="9442">
        <v>2567</v>
      </c>
      <c r="G87" s="84" vm="10897">
        <v>0</v>
      </c>
      <c r="H87" s="84" vm="10861">
        <v>5267</v>
      </c>
      <c r="I87" s="84" vm="9756">
        <v>0</v>
      </c>
      <c r="J87" s="84" vm="9491">
        <v>0</v>
      </c>
      <c r="K87" s="5">
        <f xml:space="preserve"> SUM( VfM_Metrics_2023_Entity[[#This Row],[Tangible fixed assets: Housing properties at cost (Current period)]],VfM_Metrics_2023_Entity[[#This Row],[Tangible fixed assets Housing properties at valuation (Current period)]] )</f>
        <v>201862</v>
      </c>
      <c r="L87" s="84" vm="10075">
        <v>201862</v>
      </c>
      <c r="M87" s="84" vm="10263">
        <v>0</v>
      </c>
      <c r="N87" s="134">
        <f xml:space="preserve"> IFERROR( VfM_Metrics_2023_Entity[[#This Row],[Total social units developed or newly built units acquired in-year]] / VfM_Metrics_2023_Entity[[#This Row],[Social housing units owned (period end)]], "n/a" )</f>
        <v>0</v>
      </c>
      <c r="O87" s="5">
        <f xml:space="preserve"> SUM( VfM_Metrics_2023_Entity[[#This Row],[Total social units developed or newly built units acquired in-year (owned)]], VfM_Metrics_2023_Entity[[#This Row],[Total social leasehold units developed or newly built units acquired in-year (owned)]] )</f>
        <v>0</v>
      </c>
      <c r="P87" s="84" vm="11067">
        <v>0</v>
      </c>
      <c r="Q87" s="84" vm="11190">
        <v>0</v>
      </c>
      <c r="R87" s="5">
        <f xml:space="preserve"> SUM( VfM_Metrics_2023_Entity[[#This Row],[Total social housing units owned (Period end)]], VfM_Metrics_2023_Entity[[#This Row],[Total social leasehold units owned (Period end)]] )</f>
        <v>3320</v>
      </c>
      <c r="S87" s="84" vm="11374">
        <v>3320</v>
      </c>
      <c r="T87" s="135" vm="11480">
        <v>0</v>
      </c>
      <c r="U87" s="136">
        <f xml:space="preserve"> IFERROR( VfM_Metrics_2023_Entity[[#This Row],[Total non-social housing units developed or newly built units acquired (owned)]] / VfM_Metrics_2023_Entity[[#This Row],[Total social and non-social housing units owned (Period end)]], "n/a" )</f>
        <v>0</v>
      </c>
      <c r="V8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87" s="84" vm="11668">
        <v>0</v>
      </c>
      <c r="X87" s="84" vm="11793">
        <v>0</v>
      </c>
      <c r="Y87" s="84" vm="11835">
        <v>0</v>
      </c>
      <c r="Z8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3320</v>
      </c>
      <c r="AA87" s="84" vm="11374">
        <v>3320</v>
      </c>
      <c r="AB87" s="84" vm="11479">
        <v>0</v>
      </c>
      <c r="AC87" s="84" vm="12099">
        <v>0</v>
      </c>
      <c r="AD87" s="135" vm="12259">
        <v>0</v>
      </c>
      <c r="AE87" s="134">
        <f xml:space="preserve"> IFERROR( VfM_Metrics_2023_Entity[[#This Row],[Total Net Debt]] / VfM_Metrics_2023_Entity[[#This Row],[Net Book Value of Housing Properties2]], "n/a" )</f>
        <v>0.10787567744300562</v>
      </c>
      <c r="AF8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21776</v>
      </c>
      <c r="AG87" s="84" vm="12689">
        <v>2417</v>
      </c>
      <c r="AH87" s="84" vm="12824">
        <v>22045</v>
      </c>
      <c r="AI87" s="84" vm="13117">
        <v>2686</v>
      </c>
      <c r="AJ87" s="84" vm="12747">
        <v>0</v>
      </c>
      <c r="AK87" s="84" vm="13029">
        <v>0</v>
      </c>
      <c r="AL87" s="5">
        <f xml:space="preserve"> SUM( VfM_Metrics_2023_Entity[[#This Row],[Tangible fixed assets: Housing properties at cost (Current period)2]], VfM_Metrics_2023_Entity[[#This Row],[Tangible fixed assets Housing properties at valuation (Current period)2]] )</f>
        <v>201862</v>
      </c>
      <c r="AM87" s="84" vm="10032">
        <v>201862</v>
      </c>
      <c r="AN87" s="135" vm="10149">
        <v>0</v>
      </c>
      <c r="AO87" s="137">
        <f xml:space="preserve"> IFERROR( VfM_Metrics_2023_Entity[[#This Row],[EBITDA MRI]] / VfM_Metrics_2023_Entity[[#This Row],[Total interest]], "n/a" )</f>
        <v>-0.44534220532319391</v>
      </c>
      <c r="AP8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-937</v>
      </c>
      <c r="AQ87" s="84" vm="13603">
        <v>4563</v>
      </c>
      <c r="AR87" s="84" vm="14715">
        <v>2757</v>
      </c>
      <c r="AS87" s="84" vm="14958">
        <v>0</v>
      </c>
      <c r="AT87" s="84" vm="13722">
        <v>1351</v>
      </c>
      <c r="AU87" s="84" vm="13975">
        <v>0</v>
      </c>
      <c r="AV87" s="84" vm="14226">
        <v>48</v>
      </c>
      <c r="AW87" s="84" vm="14468">
        <v>5267</v>
      </c>
      <c r="AX87" s="84" vm="14716">
        <v>3827</v>
      </c>
      <c r="AY87" s="5">
        <f xml:space="preserve"> - SUM( VfM_Metrics_2023_Entity[[#This Row],[Interest capitalised]], VfM_Metrics_2023_Entity[[#This Row],[Interest payable and financing costs]] )</f>
        <v>2104</v>
      </c>
      <c r="AZ87" s="84" vm="15275">
        <v>0</v>
      </c>
      <c r="BA87" s="135" vm="15455">
        <v>-2104</v>
      </c>
      <c r="BB87" s="138">
        <f xml:space="preserve"> IFERROR( ( VfM_Metrics_2023_Entity[[#This Row],[Total Costs]] / VfM_Metrics_2023_Entity[[#This Row],[Total units for costs]] ) * 1000, "n/a" )</f>
        <v>7297.5404919016191</v>
      </c>
      <c r="BC8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24330</v>
      </c>
      <c r="BD87" s="84" vm="15777">
        <v>4588</v>
      </c>
      <c r="BE87" s="84" vm="16865">
        <v>5762</v>
      </c>
      <c r="BF87" s="84" vm="16107">
        <v>6149</v>
      </c>
      <c r="BG87" s="84" vm="17326">
        <v>1382</v>
      </c>
      <c r="BH87" s="84" vm="15914">
        <v>1059</v>
      </c>
      <c r="BI87" s="84" vm="16411">
        <v>0</v>
      </c>
      <c r="BJ87" s="84" vm="15778">
        <v>5267</v>
      </c>
      <c r="BK87" s="84" vm="16790">
        <v>0</v>
      </c>
      <c r="BL87" s="84" vm="17243">
        <v>0</v>
      </c>
      <c r="BM87" s="84" vm="15915">
        <v>0</v>
      </c>
      <c r="BN87" s="84" vm="17559">
        <v>123</v>
      </c>
      <c r="BO87" s="84" vm="16109">
        <v>0</v>
      </c>
      <c r="BP87" s="5" vm="17734">
        <f xml:space="preserve"> VfM_Metrics_2023_Entity[[#This Row],[Total social housing units owned and/or managed at period end]]</f>
        <v>3334</v>
      </c>
      <c r="BQ87" s="135" vm="17734">
        <v>3334</v>
      </c>
      <c r="BR87" s="134">
        <f xml:space="preserve"> IFERROR( VfM_Metrics_2023_Entity[[#This Row],[SHL operating surplus / (deficit)]] / VfM_Metrics_2023_Entity[[#This Row],[Turnover from social housing lettings]], "n/a" )</f>
        <v>-8.8964014056314221E-4</v>
      </c>
      <c r="BS87" s="5" vm="18019">
        <f xml:space="preserve"> VfM_Metrics_2023_Entity[[#This Row],[Operating surplus/(deficit) (social housing lettings)]]</f>
        <v>-20</v>
      </c>
      <c r="BT87" s="84" vm="18019">
        <v>-20</v>
      </c>
      <c r="BU87" s="5" vm="18195">
        <f xml:space="preserve"> VfM_Metrics_2023_Entity[[#This Row],[Turnover from social housing lettings]]</f>
        <v>22481</v>
      </c>
      <c r="BV87" s="135" vm="18195">
        <v>22481</v>
      </c>
      <c r="BW87" s="134">
        <f xml:space="preserve"> IFERROR( VfM_Metrics_2023_Entity[[#This Row],[Net operating surplus]] / VfM_Metrics_2023_Entity[[#This Row],[Overall turnover]], "n/a" )</f>
        <v>7.1689425214353758E-2</v>
      </c>
      <c r="BX87" s="5">
        <f xml:space="preserve"> SUM( VfM_Metrics_2023_Entity[[#This Row],[Operating surplus/(deficit) (overall)2]], - VfM_Metrics_2023_Entity[[#This Row],[Gain/(loss) on disposal of fixed assets (housing properties)2]], - VfM_Metrics_2023_Entity[[#This Row],[Gain/(loss) on disposal of fixed assets (other)2]] )</f>
        <v>1806</v>
      </c>
      <c r="BY87" s="84" vm="13603">
        <v>4563</v>
      </c>
      <c r="BZ87" s="84" vm="14715">
        <v>2757</v>
      </c>
      <c r="CA87" s="84" vm="14958">
        <v>0</v>
      </c>
      <c r="CB87" s="5" vm="18340">
        <f xml:space="preserve"> VfM_Metrics_2023_Entity[[#This Row],[Turnover (overall)]]</f>
        <v>25192</v>
      </c>
      <c r="CC87" s="135" vm="18340">
        <v>25192</v>
      </c>
      <c r="CD87" s="134">
        <f xml:space="preserve"> IFERROR( VfM_Metrics_2023_Entity[[#This Row],[Operating surplus including from JVs]] / VfM_Metrics_2023_Entity[[#This Row],[Net assets]], "n/a" )</f>
        <v>2.2934027603260923E-2</v>
      </c>
      <c r="CE87" s="5">
        <f xml:space="preserve"> SUM( VfM_Metrics_2023_Entity[[#This Row],[Operating surplus/(deficit) (overall)3]], VfM_Metrics_2023_Entity[[#This Row],[Share of operating surplus/(deficit) in joint ventures or associates]] )</f>
        <v>4563</v>
      </c>
      <c r="CF87" s="84" vm="13603">
        <v>4563</v>
      </c>
      <c r="CG87" s="84" vm="18536">
        <v>0</v>
      </c>
      <c r="CH87" s="5" vm="18741">
        <f xml:space="preserve"> VfM_Metrics_2023_Entity[[#This Row],[Total assets less current liabilities]]</f>
        <v>198962</v>
      </c>
      <c r="CI87" s="135" vm="18741">
        <v>198962</v>
      </c>
      <c r="CJ87" s="140" vm="11374">
        <f xml:space="preserve"> VfM_Metrics_2023_Entity[[#This Row],[Total social housing units owned (Period end)]]</f>
        <v>3320</v>
      </c>
      <c r="CK87" s="141">
        <v>0.39323789217179411</v>
      </c>
      <c r="CL87" s="69">
        <f xml:space="preserve"> -- ( VfM_Metrics_2023_Entity[[#This Row],[% Supported housing (excl. HOP)]] &gt; 0.3 )</f>
        <v>1</v>
      </c>
      <c r="CM87" s="9">
        <v>7.4322266219920802E-2</v>
      </c>
      <c r="CN87" s="69">
        <f xml:space="preserve"> -- ( VfM_Metrics_2023_Entity[[#This Row],[% Housing for older people]] &gt; 0.3 )</f>
        <v>0</v>
      </c>
      <c r="CO87" s="9">
        <f xml:space="preserve"> VfM_Metrics_2023_Entity[[#This Row],[% Supported housing (excl. HOP)]] + VfM_Metrics_2023_Entity[[#This Row],[% Housing for older people]]</f>
        <v>0.46756015839171494</v>
      </c>
      <c r="CP87" s="69">
        <f xml:space="preserve"> -- ( VfM_Metrics_2023_Entity[[#This Row],[SH specialist in RSH analysis]] + VfM_Metrics_2023_Entity[[#This Row],[OP specialist in RSH analysis]] &gt; 0 )</f>
        <v>1</v>
      </c>
      <c r="CQ87" s="142">
        <f xml:space="preserve"> -- ( VfM_Metrics_2023_Entity[[#This Row],[% SH and OP]] &gt; 0.3 )</f>
        <v>1</v>
      </c>
      <c r="CR87" s="143" t="s">
        <v>143</v>
      </c>
      <c r="CS87" s="120"/>
      <c r="CT87" s="144" t="s">
        <v>144</v>
      </c>
      <c r="CU8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87" s="146">
        <v>0.2916923076923077</v>
      </c>
      <c r="CW87" s="146">
        <v>0.12553846153846154</v>
      </c>
      <c r="CX87" s="146">
        <v>0.11138461538461539</v>
      </c>
      <c r="CY87" s="146">
        <v>1.0153846153846154E-2</v>
      </c>
      <c r="CZ87" s="146">
        <v>4.2769230769230768E-2</v>
      </c>
      <c r="DA87" s="146">
        <v>9.1692307692307698E-2</v>
      </c>
      <c r="DB87" s="146">
        <v>0.13292307692307692</v>
      </c>
      <c r="DC87" s="146">
        <v>1.3846153846153847E-2</v>
      </c>
      <c r="DD87" s="146">
        <v>0.18</v>
      </c>
      <c r="DE87" s="126">
        <v>1.0242474027055117</v>
      </c>
    </row>
    <row r="88" spans="1:109" x14ac:dyDescent="0.25">
      <c r="A88" s="4" t="s" vm="387">
        <v>282</v>
      </c>
      <c r="B88" s="4" t="s" vm="10211">
        <v>283</v>
      </c>
      <c r="C88" s="121" vm="18946">
        <v>45016</v>
      </c>
      <c r="D88" s="68">
        <f>IFERROR( VfM_Metrics_2023_Entity[[#This Row],[Reinvestment Spend]] / VfM_Metrics_2023_Entity[[#This Row],[Net Book Value of Housing Properties]], "n/a" )</f>
        <v>7.4808614151820843E-2</v>
      </c>
      <c r="E8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15684</v>
      </c>
      <c r="F88" s="84" vm="10864">
        <v>12132</v>
      </c>
      <c r="G88" s="84" vm="10854">
        <v>0</v>
      </c>
      <c r="H88" s="84" vm="10837">
        <v>2841</v>
      </c>
      <c r="I88" s="84" vm="10896">
        <v>711</v>
      </c>
      <c r="J88" s="84" vm="10619">
        <v>0</v>
      </c>
      <c r="K88" s="5">
        <f xml:space="preserve"> SUM( VfM_Metrics_2023_Entity[[#This Row],[Tangible fixed assets: Housing properties at cost (Current period)]],VfM_Metrics_2023_Entity[[#This Row],[Tangible fixed assets Housing properties at valuation (Current period)]] )</f>
        <v>209655</v>
      </c>
      <c r="L88" s="84" vm="10477">
        <v>209655</v>
      </c>
      <c r="M88" s="84" vm="10164">
        <v>0</v>
      </c>
      <c r="N88" s="134">
        <f xml:space="preserve"> IFERROR( VfM_Metrics_2023_Entity[[#This Row],[Total social units developed or newly built units acquired in-year]] / VfM_Metrics_2023_Entity[[#This Row],[Social housing units owned (period end)]], "n/a" )</f>
        <v>2.5977504017139795E-2</v>
      </c>
      <c r="O88" s="5">
        <f xml:space="preserve"> SUM( VfM_Metrics_2023_Entity[[#This Row],[Total social units developed or newly built units acquired in-year (owned)]], VfM_Metrics_2023_Entity[[#This Row],[Total social leasehold units developed or newly built units acquired in-year (owned)]] )</f>
        <v>194</v>
      </c>
      <c r="P88" s="84" vm="11088">
        <v>194</v>
      </c>
      <c r="Q88" s="84" vm="11207">
        <v>0</v>
      </c>
      <c r="R88" s="5">
        <f xml:space="preserve"> SUM( VfM_Metrics_2023_Entity[[#This Row],[Total social housing units owned (Period end)]], VfM_Metrics_2023_Entity[[#This Row],[Total social leasehold units owned (Period end)]] )</f>
        <v>7468</v>
      </c>
      <c r="S88" s="84" vm="11289">
        <v>7330</v>
      </c>
      <c r="T88" s="135" vm="11488">
        <v>138</v>
      </c>
      <c r="U88" s="136">
        <f xml:space="preserve"> IFERROR( VfM_Metrics_2023_Entity[[#This Row],[Total non-social housing units developed or newly built units acquired (owned)]] / VfM_Metrics_2023_Entity[[#This Row],[Total social and non-social housing units owned (Period end)]], "n/a" )</f>
        <v>0</v>
      </c>
      <c r="V8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88" s="84" vm="11567">
        <v>0</v>
      </c>
      <c r="X88" s="84" vm="11881">
        <v>0</v>
      </c>
      <c r="Y88" s="84" vm="11920">
        <v>0</v>
      </c>
      <c r="Z8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7478</v>
      </c>
      <c r="AA88" s="84" vm="11952">
        <v>7330</v>
      </c>
      <c r="AB88" s="84" vm="12438">
        <v>138</v>
      </c>
      <c r="AC88" s="84" vm="12356">
        <v>10</v>
      </c>
      <c r="AD88" s="135" vm="12497">
        <v>0</v>
      </c>
      <c r="AE88" s="134">
        <f xml:space="preserve"> IFERROR( VfM_Metrics_2023_Entity[[#This Row],[Total Net Debt]] / VfM_Metrics_2023_Entity[[#This Row],[Net Book Value of Housing Properties2]], "n/a" )</f>
        <v>0.77240227993608546</v>
      </c>
      <c r="AF8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161938</v>
      </c>
      <c r="AG88" s="84" vm="12560">
        <v>5000</v>
      </c>
      <c r="AH88" s="84" vm="13328">
        <v>164245</v>
      </c>
      <c r="AI88" s="84" vm="12898">
        <v>7307</v>
      </c>
      <c r="AJ88" s="84" vm="12979">
        <v>0</v>
      </c>
      <c r="AK88" s="84" vm="13072">
        <v>0</v>
      </c>
      <c r="AL88" s="5">
        <f xml:space="preserve"> SUM( VfM_Metrics_2023_Entity[[#This Row],[Tangible fixed assets: Housing properties at cost (Current period)2]], VfM_Metrics_2023_Entity[[#This Row],[Tangible fixed assets Housing properties at valuation (Current period)2]] )</f>
        <v>209655</v>
      </c>
      <c r="AM88" s="84" vm="9889">
        <v>209655</v>
      </c>
      <c r="AN88" s="135" vm="10164">
        <v>0</v>
      </c>
      <c r="AO88" s="137">
        <f xml:space="preserve"> IFERROR( VfM_Metrics_2023_Entity[[#This Row],[EBITDA MRI]] / VfM_Metrics_2023_Entity[[#This Row],[Total interest]], "n/a" )</f>
        <v>1.038190221357334</v>
      </c>
      <c r="AP8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8536</v>
      </c>
      <c r="AQ88" s="84" vm="13441">
        <v>5769</v>
      </c>
      <c r="AR88" s="84" vm="14959">
        <v>840</v>
      </c>
      <c r="AS88" s="84" vm="13723">
        <v>0</v>
      </c>
      <c r="AT88" s="84" vm="13976">
        <v>363</v>
      </c>
      <c r="AU88" s="84" vm="14227">
        <v>71</v>
      </c>
      <c r="AV88" s="84" vm="14469">
        <v>1339</v>
      </c>
      <c r="AW88" s="84" vm="14717">
        <v>2841</v>
      </c>
      <c r="AX88" s="84" vm="14960">
        <v>5543</v>
      </c>
      <c r="AY88" s="5">
        <f xml:space="preserve"> - SUM( VfM_Metrics_2023_Entity[[#This Row],[Interest capitalised]], VfM_Metrics_2023_Entity[[#This Row],[Interest payable and financing costs]] )</f>
        <v>8222</v>
      </c>
      <c r="AZ88" s="84" vm="15171">
        <v>-843</v>
      </c>
      <c r="BA88" s="135" vm="15486">
        <v>-7379</v>
      </c>
      <c r="BB88" s="138">
        <f xml:space="preserve"> IFERROR( ( VfM_Metrics_2023_Entity[[#This Row],[Total Costs]] / VfM_Metrics_2023_Entity[[#This Row],[Total units for costs]] ) * 1000, "n/a" )</f>
        <v>3998.2271921450974</v>
      </c>
      <c r="BC8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29319</v>
      </c>
      <c r="BD88" s="84" vm="15780">
        <v>10885</v>
      </c>
      <c r="BE88" s="84" vm="16708">
        <v>2153</v>
      </c>
      <c r="BF88" s="84" vm="16111">
        <v>7890</v>
      </c>
      <c r="BG88" s="84" vm="17104">
        <v>2401</v>
      </c>
      <c r="BH88" s="84" vm="15917">
        <v>2535</v>
      </c>
      <c r="BI88" s="84" vm="17485">
        <v>0</v>
      </c>
      <c r="BJ88" s="84" vm="14717">
        <v>2841</v>
      </c>
      <c r="BK88" s="84" vm="16620">
        <v>614</v>
      </c>
      <c r="BL88" s="84" vm="17029">
        <v>0</v>
      </c>
      <c r="BM88" s="84" vm="15919">
        <v>0</v>
      </c>
      <c r="BN88" s="84" vm="17327">
        <v>0</v>
      </c>
      <c r="BO88" s="84" vm="16112">
        <v>0</v>
      </c>
      <c r="BP88" s="5" vm="17766">
        <f xml:space="preserve"> VfM_Metrics_2023_Entity[[#This Row],[Total social housing units owned and/or managed at period end]]</f>
        <v>7333</v>
      </c>
      <c r="BQ88" s="135" vm="17766">
        <v>7333</v>
      </c>
      <c r="BR88" s="134">
        <f xml:space="preserve"> IFERROR( VfM_Metrics_2023_Entity[[#This Row],[SHL operating surplus / (deficit)]] / VfM_Metrics_2023_Entity[[#This Row],[Turnover from social housing lettings]], "n/a" )</f>
        <v>0.112649516631165</v>
      </c>
      <c r="BS88" s="5" vm="17844">
        <f xml:space="preserve"> VfM_Metrics_2023_Entity[[#This Row],[Operating surplus/(deficit) (social housing lettings)]]</f>
        <v>4125</v>
      </c>
      <c r="BT88" s="84" vm="17844">
        <v>4125</v>
      </c>
      <c r="BU88" s="5" vm="18053">
        <f xml:space="preserve"> VfM_Metrics_2023_Entity[[#This Row],[Turnover from social housing lettings]]</f>
        <v>36618</v>
      </c>
      <c r="BV88" s="135" vm="18053">
        <v>36618</v>
      </c>
      <c r="BW88" s="134">
        <f xml:space="preserve"> IFERROR( VfM_Metrics_2023_Entity[[#This Row],[Net operating surplus]] / VfM_Metrics_2023_Entity[[#This Row],[Overall turnover]], "n/a" )</f>
        <v>0.11222677595628415</v>
      </c>
      <c r="BX88" s="5">
        <f xml:space="preserve"> SUM( VfM_Metrics_2023_Entity[[#This Row],[Operating surplus/(deficit) (overall)2]], - VfM_Metrics_2023_Entity[[#This Row],[Gain/(loss) on disposal of fixed assets (housing properties)2]], - VfM_Metrics_2023_Entity[[#This Row],[Gain/(loss) on disposal of fixed assets (other)2]] )</f>
        <v>4929</v>
      </c>
      <c r="BY88" s="84" vm="13514">
        <v>5769</v>
      </c>
      <c r="BZ88" s="84" vm="14959">
        <v>840</v>
      </c>
      <c r="CA88" s="84" vm="13723">
        <v>0</v>
      </c>
      <c r="CB88" s="5" vm="18396">
        <f xml:space="preserve"> VfM_Metrics_2023_Entity[[#This Row],[Turnover (overall)]]</f>
        <v>43920</v>
      </c>
      <c r="CC88" s="135" vm="18396">
        <v>43920</v>
      </c>
      <c r="CD88" s="134">
        <f xml:space="preserve"> IFERROR( VfM_Metrics_2023_Entity[[#This Row],[Operating surplus including from JVs]] / VfM_Metrics_2023_Entity[[#This Row],[Net assets]], "n/a" )</f>
        <v>2.2693300185668879E-2</v>
      </c>
      <c r="CE88" s="5">
        <f xml:space="preserve"> SUM( VfM_Metrics_2023_Entity[[#This Row],[Operating surplus/(deficit) (overall)3]], VfM_Metrics_2023_Entity[[#This Row],[Share of operating surplus/(deficit) in joint ventures or associates]] )</f>
        <v>5769</v>
      </c>
      <c r="CF88" s="84" vm="13441">
        <v>5769</v>
      </c>
      <c r="CG88" s="84" vm="18555">
        <v>0</v>
      </c>
      <c r="CH88" s="5" vm="18581">
        <f xml:space="preserve"> VfM_Metrics_2023_Entity[[#This Row],[Total assets less current liabilities]]</f>
        <v>254216</v>
      </c>
      <c r="CI88" s="135" vm="18581">
        <v>254216</v>
      </c>
      <c r="CJ88" s="140" vm="11289">
        <f xml:space="preserve"> VfM_Metrics_2023_Entity[[#This Row],[Total social housing units owned (Period end)]]</f>
        <v>7330</v>
      </c>
      <c r="CK88" s="141">
        <v>1.7662481026631708E-2</v>
      </c>
      <c r="CL88" s="69">
        <f xml:space="preserve"> -- ( VfM_Metrics_2023_Entity[[#This Row],[% Supported housing (excl. HOP)]] &gt; 0.3 )</f>
        <v>0</v>
      </c>
      <c r="CM88" s="9">
        <v>0</v>
      </c>
      <c r="CN88" s="69">
        <f xml:space="preserve"> -- ( VfM_Metrics_2023_Entity[[#This Row],[% Housing for older people]] &gt; 0.3 )</f>
        <v>0</v>
      </c>
      <c r="CO88" s="9">
        <f xml:space="preserve"> VfM_Metrics_2023_Entity[[#This Row],[% Supported housing (excl. HOP)]] + VfM_Metrics_2023_Entity[[#This Row],[% Housing for older people]]</f>
        <v>1.7662481026631708E-2</v>
      </c>
      <c r="CP88" s="69">
        <f xml:space="preserve"> -- ( VfM_Metrics_2023_Entity[[#This Row],[SH specialist in RSH analysis]] + VfM_Metrics_2023_Entity[[#This Row],[OP specialist in RSH analysis]] &gt; 0 )</f>
        <v>0</v>
      </c>
      <c r="CQ88" s="142">
        <f xml:space="preserve"> -- ( VfM_Metrics_2023_Entity[[#This Row],[% SH and OP]] &gt; 0.3 )</f>
        <v>0</v>
      </c>
      <c r="CR88" s="143" t="s">
        <v>143</v>
      </c>
      <c r="CS88" s="120"/>
      <c r="CT88" s="144" t="s">
        <v>151</v>
      </c>
      <c r="CU8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88" s="146">
        <v>0</v>
      </c>
      <c r="CW88" s="146">
        <v>0</v>
      </c>
      <c r="CX88" s="146">
        <v>0</v>
      </c>
      <c r="CY88" s="146">
        <v>0</v>
      </c>
      <c r="CZ88" s="146">
        <v>0</v>
      </c>
      <c r="DA88" s="146">
        <v>0</v>
      </c>
      <c r="DB88" s="146">
        <v>0</v>
      </c>
      <c r="DC88" s="146">
        <v>1</v>
      </c>
      <c r="DD88" s="146">
        <v>0</v>
      </c>
      <c r="DE88" s="126">
        <v>0.96105917141044694</v>
      </c>
    </row>
    <row r="89" spans="1:109" x14ac:dyDescent="0.25">
      <c r="A89" s="4" t="s" vm="395">
        <v>284</v>
      </c>
      <c r="B89" s="4" t="s" vm="9289">
        <v>285</v>
      </c>
      <c r="C89" s="121" vm="18952">
        <v>45016</v>
      </c>
      <c r="D89" s="68">
        <f>IFERROR( VfM_Metrics_2023_Entity[[#This Row],[Reinvestment Spend]] / VfM_Metrics_2023_Entity[[#This Row],[Net Book Value of Housing Properties]], "n/a" )</f>
        <v>2.7218557893122206E-2</v>
      </c>
      <c r="E8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11534</v>
      </c>
      <c r="F89" s="84" vm="9802">
        <v>8167</v>
      </c>
      <c r="G89" s="84" vm="9702">
        <v>0</v>
      </c>
      <c r="H89" s="84" vm="9676">
        <v>3113</v>
      </c>
      <c r="I89" s="84" vm="9669">
        <v>254</v>
      </c>
      <c r="J89" s="84" vm="10509">
        <v>0</v>
      </c>
      <c r="K89" s="5">
        <f xml:space="preserve"> SUM( VfM_Metrics_2023_Entity[[#This Row],[Tangible fixed assets: Housing properties at cost (Current period)]],VfM_Metrics_2023_Entity[[#This Row],[Tangible fixed assets Housing properties at valuation (Current period)]] )</f>
        <v>423755</v>
      </c>
      <c r="L89" s="84" vm="9895">
        <v>423755</v>
      </c>
      <c r="M89" s="84" vm="10734">
        <v>0</v>
      </c>
      <c r="N89" s="134">
        <f xml:space="preserve"> IFERROR( VfM_Metrics_2023_Entity[[#This Row],[Total social units developed or newly built units acquired in-year]] / VfM_Metrics_2023_Entity[[#This Row],[Social housing units owned (period end)]], "n/a" )</f>
        <v>6.3598952487841373E-3</v>
      </c>
      <c r="O89" s="5">
        <f xml:space="preserve"> SUM( VfM_Metrics_2023_Entity[[#This Row],[Total social units developed or newly built units acquired in-year (owned)]], VfM_Metrics_2023_Entity[[#This Row],[Total social leasehold units developed or newly built units acquired in-year (owned)]] )</f>
        <v>34</v>
      </c>
      <c r="P89" s="84" vm="11007">
        <v>34</v>
      </c>
      <c r="Q89" s="84" vm="11112">
        <v>0</v>
      </c>
      <c r="R89" s="5">
        <f xml:space="preserve"> SUM( VfM_Metrics_2023_Entity[[#This Row],[Total social housing units owned (Period end)]], VfM_Metrics_2023_Entity[[#This Row],[Total social leasehold units owned (Period end)]] )</f>
        <v>5346</v>
      </c>
      <c r="S89" s="84" vm="11341">
        <v>5075</v>
      </c>
      <c r="T89" s="135" vm="11417">
        <v>271</v>
      </c>
      <c r="U89" s="136">
        <f xml:space="preserve"> IFERROR( VfM_Metrics_2023_Entity[[#This Row],[Total non-social housing units developed or newly built units acquired (owned)]] / VfM_Metrics_2023_Entity[[#This Row],[Total social and non-social housing units owned (Period end)]], "n/a" )</f>
        <v>1.4771048744460858E-3</v>
      </c>
      <c r="V8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11</v>
      </c>
      <c r="W89" s="84" vm="11592">
        <v>0</v>
      </c>
      <c r="X89" s="84" vm="11697">
        <v>11</v>
      </c>
      <c r="Y89" s="84" vm="11734">
        <v>0</v>
      </c>
      <c r="Z8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7447</v>
      </c>
      <c r="AA89" s="84" vm="11993">
        <v>5075</v>
      </c>
      <c r="AB89" s="84" vm="11417">
        <v>271</v>
      </c>
      <c r="AC89" s="84" vm="12100">
        <v>7</v>
      </c>
      <c r="AD89" s="135" vm="12260">
        <v>2094</v>
      </c>
      <c r="AE89" s="134">
        <f xml:space="preserve"> IFERROR( VfM_Metrics_2023_Entity[[#This Row],[Total Net Debt]] / VfM_Metrics_2023_Entity[[#This Row],[Net Book Value of Housing Properties2]], "n/a" )</f>
        <v>0.53594883836178919</v>
      </c>
      <c r="AF8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227111</v>
      </c>
      <c r="AG89" s="84" vm="12591">
        <v>4979</v>
      </c>
      <c r="AH89" s="84" vm="12748">
        <v>226095</v>
      </c>
      <c r="AI89" s="84" vm="13239">
        <v>3963</v>
      </c>
      <c r="AJ89" s="84" vm="13290">
        <v>0</v>
      </c>
      <c r="AK89" s="84" vm="12856">
        <v>0</v>
      </c>
      <c r="AL89" s="5">
        <f xml:space="preserve"> SUM( VfM_Metrics_2023_Entity[[#This Row],[Tangible fixed assets: Housing properties at cost (Current period)2]], VfM_Metrics_2023_Entity[[#This Row],[Tangible fixed assets Housing properties at valuation (Current period)2]] )</f>
        <v>423755</v>
      </c>
      <c r="AM89" s="84" vm="13364">
        <v>423755</v>
      </c>
      <c r="AN89" s="135" vm="10088">
        <v>0</v>
      </c>
      <c r="AO89" s="137">
        <f xml:space="preserve"> IFERROR( VfM_Metrics_2023_Entity[[#This Row],[EBITDA MRI]] / VfM_Metrics_2023_Entity[[#This Row],[Total interest]], "n/a" )</f>
        <v>1.3298469387755103</v>
      </c>
      <c r="AP8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15639</v>
      </c>
      <c r="AQ89" s="84" vm="13479">
        <v>16712</v>
      </c>
      <c r="AR89" s="84" vm="13724">
        <v>2644</v>
      </c>
      <c r="AS89" s="84" vm="13977">
        <v>0</v>
      </c>
      <c r="AT89" s="84" vm="14228">
        <v>1816</v>
      </c>
      <c r="AU89" s="84" vm="14470">
        <v>0</v>
      </c>
      <c r="AV89" s="84" vm="14718">
        <v>269</v>
      </c>
      <c r="AW89" s="84" vm="14961">
        <v>3113</v>
      </c>
      <c r="AX89" s="84" vm="13725">
        <v>6231</v>
      </c>
      <c r="AY89" s="5">
        <f xml:space="preserve"> - SUM( VfM_Metrics_2023_Entity[[#This Row],[Interest capitalised]], VfM_Metrics_2023_Entity[[#This Row],[Interest payable and financing costs]] )</f>
        <v>11760</v>
      </c>
      <c r="AZ89" s="84" vm="15157">
        <v>-254</v>
      </c>
      <c r="BA89" s="135" vm="15323">
        <v>-11506</v>
      </c>
      <c r="BB89" s="138">
        <f xml:space="preserve"> IFERROR( ( VfM_Metrics_2023_Entity[[#This Row],[Total Costs]] / VfM_Metrics_2023_Entity[[#This Row],[Total units for costs]] ) * 1000, "n/a" )</f>
        <v>3252.9006882989183</v>
      </c>
      <c r="BC8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16541</v>
      </c>
      <c r="BD89" s="84" vm="15557">
        <v>3203</v>
      </c>
      <c r="BE89" s="84" vm="16416">
        <v>1505</v>
      </c>
      <c r="BF89" s="84" vm="16113">
        <v>4752</v>
      </c>
      <c r="BG89" s="84" vm="16866">
        <v>1183</v>
      </c>
      <c r="BH89" s="84" vm="15920">
        <v>1490</v>
      </c>
      <c r="BI89" s="84" vm="17244">
        <v>27</v>
      </c>
      <c r="BJ89" s="84" vm="15783">
        <v>3113</v>
      </c>
      <c r="BK89" s="84" vm="16413">
        <v>104</v>
      </c>
      <c r="BL89" s="84" vm="16791">
        <v>209</v>
      </c>
      <c r="BM89" s="84" vm="15921">
        <v>109</v>
      </c>
      <c r="BN89" s="84" vm="17105">
        <v>37</v>
      </c>
      <c r="BO89" s="84" vm="16115">
        <v>809</v>
      </c>
      <c r="BP89" s="5" vm="17628">
        <f xml:space="preserve"> VfM_Metrics_2023_Entity[[#This Row],[Total social housing units owned and/or managed at period end]]</f>
        <v>5085</v>
      </c>
      <c r="BQ89" s="135" vm="17628">
        <v>5085</v>
      </c>
      <c r="BR89" s="134">
        <f xml:space="preserve"> IFERROR( VfM_Metrics_2023_Entity[[#This Row],[SHL operating surplus / (deficit)]] / VfM_Metrics_2023_Entity[[#This Row],[Turnover from social housing lettings]], "n/a" )</f>
        <v>0.42503883587483754</v>
      </c>
      <c r="BS89" s="5" vm="17882">
        <f xml:space="preserve"> VfM_Metrics_2023_Entity[[#This Row],[Operating surplus/(deficit) (social housing lettings)]]</f>
        <v>13407</v>
      </c>
      <c r="BT89" s="84" vm="17882">
        <v>13407</v>
      </c>
      <c r="BU89" s="5" vm="18076">
        <f xml:space="preserve"> VfM_Metrics_2023_Entity[[#This Row],[Turnover from social housing lettings]]</f>
        <v>31543</v>
      </c>
      <c r="BV89" s="135" vm="18076">
        <v>31543</v>
      </c>
      <c r="BW89" s="134">
        <f xml:space="preserve"> IFERROR( VfM_Metrics_2023_Entity[[#This Row],[Net operating surplus]] / VfM_Metrics_2023_Entity[[#This Row],[Overall turnover]], "n/a" )</f>
        <v>0.39925076626177775</v>
      </c>
      <c r="BX89" s="5">
        <f xml:space="preserve"> SUM( VfM_Metrics_2023_Entity[[#This Row],[Operating surplus/(deficit) (overall)2]], - VfM_Metrics_2023_Entity[[#This Row],[Gain/(loss) on disposal of fixed assets (housing properties)2]], - VfM_Metrics_2023_Entity[[#This Row],[Gain/(loss) on disposal of fixed assets (other)2]] )</f>
        <v>14068</v>
      </c>
      <c r="BY89" s="84" vm="13479">
        <v>16712</v>
      </c>
      <c r="BZ89" s="84" vm="13724">
        <v>2644</v>
      </c>
      <c r="CA89" s="84" vm="13977">
        <v>0</v>
      </c>
      <c r="CB89" s="5" vm="18401">
        <f xml:space="preserve"> VfM_Metrics_2023_Entity[[#This Row],[Turnover (overall)]]</f>
        <v>35236</v>
      </c>
      <c r="CC89" s="135" vm="18401">
        <v>35236</v>
      </c>
      <c r="CD89" s="134">
        <f xml:space="preserve"> IFERROR( VfM_Metrics_2023_Entity[[#This Row],[Operating surplus including from JVs]] / VfM_Metrics_2023_Entity[[#This Row],[Net assets]], "n/a" )</f>
        <v>3.8649130556448495E-2</v>
      </c>
      <c r="CE89" s="5">
        <f xml:space="preserve"> SUM( VfM_Metrics_2023_Entity[[#This Row],[Operating surplus/(deficit) (overall)3]], VfM_Metrics_2023_Entity[[#This Row],[Share of operating surplus/(deficit) in joint ventures or associates]] )</f>
        <v>16712</v>
      </c>
      <c r="CF89" s="84" vm="13479">
        <v>16712</v>
      </c>
      <c r="CG89" s="84" vm="18451">
        <v>0</v>
      </c>
      <c r="CH89" s="5" vm="18643">
        <f xml:space="preserve"> VfM_Metrics_2023_Entity[[#This Row],[Total assets less current liabilities]]</f>
        <v>432403</v>
      </c>
      <c r="CI89" s="135" vm="18643">
        <v>432403</v>
      </c>
      <c r="CJ89" s="140" vm="11341">
        <f xml:space="preserve"> VfM_Metrics_2023_Entity[[#This Row],[Total social housing units owned (Period end)]]</f>
        <v>5075</v>
      </c>
      <c r="CK89" s="141">
        <v>0</v>
      </c>
      <c r="CL89" s="69">
        <f xml:space="preserve"> -- ( VfM_Metrics_2023_Entity[[#This Row],[% Supported housing (excl. HOP)]] &gt; 0.3 )</f>
        <v>0</v>
      </c>
      <c r="CM89" s="9">
        <v>0</v>
      </c>
      <c r="CN89" s="69">
        <f xml:space="preserve"> -- ( VfM_Metrics_2023_Entity[[#This Row],[% Housing for older people]] &gt; 0.3 )</f>
        <v>0</v>
      </c>
      <c r="CO89" s="9">
        <f xml:space="preserve"> VfM_Metrics_2023_Entity[[#This Row],[% Supported housing (excl. HOP)]] + VfM_Metrics_2023_Entity[[#This Row],[% Housing for older people]]</f>
        <v>0</v>
      </c>
      <c r="CP89" s="69">
        <f xml:space="preserve"> -- ( VfM_Metrics_2023_Entity[[#This Row],[SH specialist in RSH analysis]] + VfM_Metrics_2023_Entity[[#This Row],[OP specialist in RSH analysis]] &gt; 0 )</f>
        <v>0</v>
      </c>
      <c r="CQ89" s="142">
        <f xml:space="preserve"> -- ( VfM_Metrics_2023_Entity[[#This Row],[% SH and OP]] &gt; 0.3 )</f>
        <v>0</v>
      </c>
      <c r="CR89" s="143" t="s">
        <v>143</v>
      </c>
      <c r="CS89" s="120"/>
      <c r="CT89" s="144" t="s">
        <v>144</v>
      </c>
      <c r="CU8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89" s="146">
        <v>5.1737756714060029E-2</v>
      </c>
      <c r="CW89" s="146">
        <v>0.26599526066350709</v>
      </c>
      <c r="CX89" s="146">
        <v>0.29601105845181674</v>
      </c>
      <c r="CY89" s="146">
        <v>8.0963665086887827E-3</v>
      </c>
      <c r="CZ89" s="146">
        <v>0</v>
      </c>
      <c r="DA89" s="146">
        <v>0.37815955766192733</v>
      </c>
      <c r="DB89" s="146">
        <v>0</v>
      </c>
      <c r="DC89" s="146">
        <v>0</v>
      </c>
      <c r="DD89" s="146">
        <v>0</v>
      </c>
      <c r="DE89" s="126">
        <v>1.0137323645217675</v>
      </c>
    </row>
    <row r="90" spans="1:109" x14ac:dyDescent="0.25">
      <c r="A90" s="4" t="s" vm="313">
        <v>286</v>
      </c>
      <c r="B90" s="4" t="s" vm="9265">
        <v>287</v>
      </c>
      <c r="C90" s="121" vm="18792">
        <v>45016</v>
      </c>
      <c r="D90" s="68">
        <f>IFERROR( VfM_Metrics_2023_Entity[[#This Row],[Reinvestment Spend]] / VfM_Metrics_2023_Entity[[#This Row],[Net Book Value of Housing Properties]], "n/a" )</f>
        <v>3.6447215238658168E-2</v>
      </c>
      <c r="E9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18252</v>
      </c>
      <c r="F90" s="84" vm="10305">
        <v>8194</v>
      </c>
      <c r="G90" s="84" vm="9492">
        <v>0</v>
      </c>
      <c r="H90" s="84" vm="10463">
        <v>7968</v>
      </c>
      <c r="I90" s="84" vm="10620">
        <v>2090</v>
      </c>
      <c r="J90" s="84" vm="9498">
        <v>0</v>
      </c>
      <c r="K90" s="5">
        <f xml:space="preserve"> SUM( VfM_Metrics_2023_Entity[[#This Row],[Tangible fixed assets: Housing properties at cost (Current period)]],VfM_Metrics_2023_Entity[[#This Row],[Tangible fixed assets Housing properties at valuation (Current period)]] )</f>
        <v>500779</v>
      </c>
      <c r="L90" s="84" vm="9921">
        <v>500779</v>
      </c>
      <c r="M90" s="84" vm="10257">
        <v>0</v>
      </c>
      <c r="N90" s="134">
        <f xml:space="preserve"> IFERROR( VfM_Metrics_2023_Entity[[#This Row],[Total social units developed or newly built units acquired in-year]] / VfM_Metrics_2023_Entity[[#This Row],[Social housing units owned (period end)]], "n/a" )</f>
        <v>5.2177858439201455E-3</v>
      </c>
      <c r="O90" s="5">
        <f xml:space="preserve"> SUM( VfM_Metrics_2023_Entity[[#This Row],[Total social units developed or newly built units acquired in-year (owned)]], VfM_Metrics_2023_Entity[[#This Row],[Total social leasehold units developed or newly built units acquired in-year (owned)]] )</f>
        <v>23</v>
      </c>
      <c r="P90" s="84" vm="10963">
        <v>15</v>
      </c>
      <c r="Q90" s="84" vm="11137">
        <v>8</v>
      </c>
      <c r="R90" s="5">
        <f xml:space="preserve"> SUM( VfM_Metrics_2023_Entity[[#This Row],[Total social housing units owned (Period end)]], VfM_Metrics_2023_Entity[[#This Row],[Total social leasehold units owned (Period end)]] )</f>
        <v>4408</v>
      </c>
      <c r="S90" s="84" vm="11243">
        <v>4298</v>
      </c>
      <c r="T90" s="135" vm="11471">
        <v>110</v>
      </c>
      <c r="U90" s="136">
        <f xml:space="preserve"> IFERROR( VfM_Metrics_2023_Entity[[#This Row],[Total non-social housing units developed or newly built units acquired (owned)]] / VfM_Metrics_2023_Entity[[#This Row],[Total social and non-social housing units owned (Period end)]], "n/a" )</f>
        <v>9.0211998195760036E-4</v>
      </c>
      <c r="V9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4</v>
      </c>
      <c r="W90" s="84" vm="11619">
        <v>0</v>
      </c>
      <c r="X90" s="84" vm="11794">
        <v>4</v>
      </c>
      <c r="Y90" s="84" vm="11836">
        <v>0</v>
      </c>
      <c r="Z9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4434</v>
      </c>
      <c r="AA90" s="84" vm="11243">
        <v>4298</v>
      </c>
      <c r="AB90" s="84" vm="12439">
        <v>110</v>
      </c>
      <c r="AC90" s="84" vm="12356">
        <v>0</v>
      </c>
      <c r="AD90" s="135" vm="12498">
        <v>26</v>
      </c>
      <c r="AE90" s="134">
        <f xml:space="preserve"> IFERROR( VfM_Metrics_2023_Entity[[#This Row],[Total Net Debt]] / VfM_Metrics_2023_Entity[[#This Row],[Net Book Value of Housing Properties2]], "n/a" )</f>
        <v>0.47248187324148977</v>
      </c>
      <c r="AF9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236609</v>
      </c>
      <c r="AG90" s="84" vm="12612">
        <v>599</v>
      </c>
      <c r="AH90" s="84" vm="12937">
        <v>306534</v>
      </c>
      <c r="AI90" s="84" vm="13030">
        <v>70524</v>
      </c>
      <c r="AJ90" s="84" vm="12749">
        <v>0</v>
      </c>
      <c r="AK90" s="84" vm="13204">
        <v>0</v>
      </c>
      <c r="AL90" s="5">
        <f xml:space="preserve"> SUM( VfM_Metrics_2023_Entity[[#This Row],[Tangible fixed assets: Housing properties at cost (Current period)2]], VfM_Metrics_2023_Entity[[#This Row],[Tangible fixed assets Housing properties at valuation (Current period)2]] )</f>
        <v>500779</v>
      </c>
      <c r="AM90" s="84" vm="9921">
        <v>500779</v>
      </c>
      <c r="AN90" s="135" vm="13401">
        <v>0</v>
      </c>
      <c r="AO90" s="137">
        <f xml:space="preserve"> IFERROR( VfM_Metrics_2023_Entity[[#This Row],[EBITDA MRI]] / VfM_Metrics_2023_Entity[[#This Row],[Total interest]], "n/a" )</f>
        <v>0.2326388888888889</v>
      </c>
      <c r="AP9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2345</v>
      </c>
      <c r="AQ90" s="84" vm="13511">
        <v>3829</v>
      </c>
      <c r="AR90" s="84" vm="13978">
        <v>1450</v>
      </c>
      <c r="AS90" s="84" vm="14229">
        <v>0</v>
      </c>
      <c r="AT90" s="84" vm="14471">
        <v>1839</v>
      </c>
      <c r="AU90" s="84" vm="14719">
        <v>0</v>
      </c>
      <c r="AV90" s="84" vm="14962">
        <v>1031</v>
      </c>
      <c r="AW90" s="84" vm="13726">
        <v>7968</v>
      </c>
      <c r="AX90" s="84" vm="13979">
        <v>8742</v>
      </c>
      <c r="AY90" s="5">
        <f xml:space="preserve"> - SUM( VfM_Metrics_2023_Entity[[#This Row],[Interest capitalised]], VfM_Metrics_2023_Entity[[#This Row],[Interest payable and financing costs]] )</f>
        <v>10080</v>
      </c>
      <c r="AZ90" s="84" vm="15196">
        <v>-2091</v>
      </c>
      <c r="BA90" s="135" vm="15360">
        <v>-7989</v>
      </c>
      <c r="BB90" s="138">
        <f xml:space="preserve"> IFERROR( ( VfM_Metrics_2023_Entity[[#This Row],[Total Costs]] / VfM_Metrics_2023_Entity[[#This Row],[Total units for costs]] ) * 1000, "n/a" )</f>
        <v>6882.7618164967562</v>
      </c>
      <c r="BC9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29706</v>
      </c>
      <c r="BD90" s="84" vm="15785">
        <v>4545</v>
      </c>
      <c r="BE90" s="84" vm="17560">
        <v>2746</v>
      </c>
      <c r="BF90" s="84" vm="16117">
        <v>5558</v>
      </c>
      <c r="BG90" s="84" vm="16418">
        <v>2153</v>
      </c>
      <c r="BH90" s="84" vm="15922">
        <v>3435</v>
      </c>
      <c r="BI90" s="84" vm="17030">
        <v>0</v>
      </c>
      <c r="BJ90" s="84" vm="13726">
        <v>7968</v>
      </c>
      <c r="BK90" s="84" vm="17486">
        <v>450</v>
      </c>
      <c r="BL90" s="84" vm="15923">
        <v>844</v>
      </c>
      <c r="BM90" s="84" vm="15924">
        <v>0</v>
      </c>
      <c r="BN90" s="84" vm="16867">
        <v>1911</v>
      </c>
      <c r="BO90" s="84" vm="16119">
        <v>96</v>
      </c>
      <c r="BP90" s="5" vm="17664">
        <f xml:space="preserve"> VfM_Metrics_2023_Entity[[#This Row],[Total social housing units owned and/or managed at period end]]</f>
        <v>4316</v>
      </c>
      <c r="BQ90" s="135" vm="17664">
        <v>4316</v>
      </c>
      <c r="BR90" s="134">
        <f xml:space="preserve"> IFERROR( VfM_Metrics_2023_Entity[[#This Row],[SHL operating surplus / (deficit)]] / VfM_Metrics_2023_Entity[[#This Row],[Turnover from social housing lettings]], "n/a" )</f>
        <v>0.11171644453092065</v>
      </c>
      <c r="BS90" s="5" vm="17919">
        <f xml:space="preserve"> VfM_Metrics_2023_Entity[[#This Row],[Operating surplus/(deficit) (social housing lettings)]]</f>
        <v>3445</v>
      </c>
      <c r="BT90" s="84" vm="17919">
        <v>3445</v>
      </c>
      <c r="BU90" s="5" vm="18115">
        <f xml:space="preserve"> VfM_Metrics_2023_Entity[[#This Row],[Turnover from social housing lettings]]</f>
        <v>30837</v>
      </c>
      <c r="BV90" s="135" vm="18115">
        <v>30837</v>
      </c>
      <c r="BW90" s="134">
        <f xml:space="preserve"> IFERROR( VfM_Metrics_2023_Entity[[#This Row],[Net operating surplus]] / VfM_Metrics_2023_Entity[[#This Row],[Overall turnover]], "n/a" )</f>
        <v>7.2497333536492459E-2</v>
      </c>
      <c r="BX90" s="5">
        <f xml:space="preserve"> SUM( VfM_Metrics_2023_Entity[[#This Row],[Operating surplus/(deficit) (overall)2]], - VfM_Metrics_2023_Entity[[#This Row],[Gain/(loss) on disposal of fixed assets (housing properties)2]], - VfM_Metrics_2023_Entity[[#This Row],[Gain/(loss) on disposal of fixed assets (other)2]] )</f>
        <v>2379</v>
      </c>
      <c r="BY90" s="84" vm="13511">
        <v>3829</v>
      </c>
      <c r="BZ90" s="84" vm="13978">
        <v>1450</v>
      </c>
      <c r="CA90" s="84" vm="14229">
        <v>0</v>
      </c>
      <c r="CB90" s="5" vm="18269">
        <f xml:space="preserve"> VfM_Metrics_2023_Entity[[#This Row],[Turnover (overall)]]</f>
        <v>32815</v>
      </c>
      <c r="CC90" s="135" vm="18269">
        <v>32815</v>
      </c>
      <c r="CD90" s="134">
        <f xml:space="preserve"> IFERROR( VfM_Metrics_2023_Entity[[#This Row],[Operating surplus including from JVs]] / VfM_Metrics_2023_Entity[[#This Row],[Net assets]], "n/a" )</f>
        <v>6.4035240286845763E-3</v>
      </c>
      <c r="CE90" s="5">
        <f xml:space="preserve"> SUM( VfM_Metrics_2023_Entity[[#This Row],[Operating surplus/(deficit) (overall)3]], VfM_Metrics_2023_Entity[[#This Row],[Share of operating surplus/(deficit) in joint ventures or associates]] )</f>
        <v>3829</v>
      </c>
      <c r="CF90" s="84" vm="13511">
        <v>3829</v>
      </c>
      <c r="CG90" s="84" vm="18479">
        <v>0</v>
      </c>
      <c r="CH90" s="5" vm="18655">
        <f xml:space="preserve"> VfM_Metrics_2023_Entity[[#This Row],[Total assets less current liabilities]]</f>
        <v>597952</v>
      </c>
      <c r="CI90" s="135" vm="18655">
        <v>597952</v>
      </c>
      <c r="CJ90" s="140" vm="11243">
        <f xml:space="preserve"> VfM_Metrics_2023_Entity[[#This Row],[Total social housing units owned (Period end)]]</f>
        <v>4298</v>
      </c>
      <c r="CK90" s="141">
        <v>5.5594324261456156E-2</v>
      </c>
      <c r="CL90" s="69">
        <f xml:space="preserve"> -- ( VfM_Metrics_2023_Entity[[#This Row],[% Supported housing (excl. HOP)]] &gt; 0.3 )</f>
        <v>0</v>
      </c>
      <c r="CM90" s="9">
        <v>0</v>
      </c>
      <c r="CN90" s="69">
        <f xml:space="preserve"> -- ( VfM_Metrics_2023_Entity[[#This Row],[% Housing for older people]] &gt; 0.3 )</f>
        <v>0</v>
      </c>
      <c r="CO90" s="9">
        <f xml:space="preserve"> VfM_Metrics_2023_Entity[[#This Row],[% Supported housing (excl. HOP)]] + VfM_Metrics_2023_Entity[[#This Row],[% Housing for older people]]</f>
        <v>5.5594324261456156E-2</v>
      </c>
      <c r="CP90" s="69">
        <f xml:space="preserve"> -- ( VfM_Metrics_2023_Entity[[#This Row],[SH specialist in RSH analysis]] + VfM_Metrics_2023_Entity[[#This Row],[OP specialist in RSH analysis]] &gt; 0 )</f>
        <v>0</v>
      </c>
      <c r="CQ90" s="142">
        <f xml:space="preserve"> -- ( VfM_Metrics_2023_Entity[[#This Row],[% SH and OP]] &gt; 0.3 )</f>
        <v>0</v>
      </c>
      <c r="CR90" s="143" t="s">
        <v>143</v>
      </c>
      <c r="CS90" s="120"/>
      <c r="CT90" s="144" t="s">
        <v>144</v>
      </c>
      <c r="CU9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90" s="146">
        <v>0.99765203099319089</v>
      </c>
      <c r="CW90" s="146">
        <v>2.3479690068091102E-3</v>
      </c>
      <c r="CX90" s="146">
        <v>0</v>
      </c>
      <c r="CY90" s="146">
        <v>0</v>
      </c>
      <c r="CZ90" s="146">
        <v>0</v>
      </c>
      <c r="DA90" s="146">
        <v>0</v>
      </c>
      <c r="DB90" s="146">
        <v>0</v>
      </c>
      <c r="DC90" s="146">
        <v>0</v>
      </c>
      <c r="DD90" s="146">
        <v>0</v>
      </c>
      <c r="DE90" s="126">
        <v>1.1600726571349755</v>
      </c>
    </row>
    <row r="91" spans="1:109" x14ac:dyDescent="0.25">
      <c r="A91" s="4" t="s" vm="349">
        <v>288</v>
      </c>
      <c r="B91" s="4" t="s" vm="9329">
        <v>289</v>
      </c>
      <c r="C91" s="121" vm="18829">
        <v>45016</v>
      </c>
      <c r="D91" s="68">
        <f>IFERROR( VfM_Metrics_2023_Entity[[#This Row],[Reinvestment Spend]] / VfM_Metrics_2023_Entity[[#This Row],[Net Book Value of Housing Properties]], "n/a" )</f>
        <v>0.11007676260539605</v>
      </c>
      <c r="E9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113658</v>
      </c>
      <c r="F91" s="84" vm="9429">
        <v>106975</v>
      </c>
      <c r="G91" s="84" vm="9717">
        <v>0</v>
      </c>
      <c r="H91" s="84" vm="9757">
        <v>2159</v>
      </c>
      <c r="I91" s="84" vm="10843">
        <v>4524</v>
      </c>
      <c r="J91" s="84" vm="10247">
        <v>0</v>
      </c>
      <c r="K91" s="5">
        <f xml:space="preserve"> SUM( VfM_Metrics_2023_Entity[[#This Row],[Tangible fixed assets: Housing properties at cost (Current period)]],VfM_Metrics_2023_Entity[[#This Row],[Tangible fixed assets Housing properties at valuation (Current period)]] )</f>
        <v>1032534</v>
      </c>
      <c r="L91" s="84" vm="9961">
        <v>1032534</v>
      </c>
      <c r="M91" s="84" vm="10586">
        <v>0</v>
      </c>
      <c r="N91" s="134">
        <f xml:space="preserve"> IFERROR( VfM_Metrics_2023_Entity[[#This Row],[Total social units developed or newly built units acquired in-year]] / VfM_Metrics_2023_Entity[[#This Row],[Social housing units owned (period end)]], "n/a" )</f>
        <v>7.3795600111389581E-2</v>
      </c>
      <c r="O91" s="5">
        <f xml:space="preserve"> SUM( VfM_Metrics_2023_Entity[[#This Row],[Total social units developed or newly built units acquired in-year (owned)]], VfM_Metrics_2023_Entity[[#This Row],[Total social leasehold units developed or newly built units acquired in-year (owned)]] )</f>
        <v>530</v>
      </c>
      <c r="P91" s="84" vm="11048">
        <v>530</v>
      </c>
      <c r="Q91" s="84" vm="11173">
        <v>0</v>
      </c>
      <c r="R91" s="5">
        <f xml:space="preserve"> SUM( VfM_Metrics_2023_Entity[[#This Row],[Total social housing units owned (Period end)]], VfM_Metrics_2023_Entity[[#This Row],[Total social leasehold units owned (Period end)]] )</f>
        <v>7182</v>
      </c>
      <c r="S91" s="84" vm="11313">
        <v>6980</v>
      </c>
      <c r="T91" s="135" vm="11463">
        <v>202</v>
      </c>
      <c r="U91" s="136">
        <f xml:space="preserve"> IFERROR( VfM_Metrics_2023_Entity[[#This Row],[Total non-social housing units developed or newly built units acquired (owned)]] / VfM_Metrics_2023_Entity[[#This Row],[Total social and non-social housing units owned (Period end)]], "n/a" )</f>
        <v>0</v>
      </c>
      <c r="V9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91" s="84" vm="11652">
        <v>0</v>
      </c>
      <c r="X91" s="84" vm="11698">
        <v>0</v>
      </c>
      <c r="Y91" s="84" vm="11735">
        <v>0</v>
      </c>
      <c r="Z9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8141</v>
      </c>
      <c r="AA91" s="84" vm="12027">
        <v>6980</v>
      </c>
      <c r="AB91" s="84" vm="11463">
        <v>202</v>
      </c>
      <c r="AC91" s="84" vm="12357">
        <v>341</v>
      </c>
      <c r="AD91" s="135" vm="12499">
        <v>618</v>
      </c>
      <c r="AE91" s="134">
        <f xml:space="preserve"> IFERROR( VfM_Metrics_2023_Entity[[#This Row],[Total Net Debt]] / VfM_Metrics_2023_Entity[[#This Row],[Net Book Value of Housing Properties2]], "n/a" )</f>
        <v>0.63196853566081113</v>
      </c>
      <c r="AF9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652529</v>
      </c>
      <c r="AG91" s="84" vm="12664">
        <v>4846</v>
      </c>
      <c r="AH91" s="84" vm="12750">
        <v>664501</v>
      </c>
      <c r="AI91" s="84" vm="13159">
        <v>16818</v>
      </c>
      <c r="AJ91" s="84" vm="13205">
        <v>0</v>
      </c>
      <c r="AK91" s="84" vm="13291">
        <v>0</v>
      </c>
      <c r="AL91" s="5">
        <f xml:space="preserve"> SUM( VfM_Metrics_2023_Entity[[#This Row],[Tangible fixed assets: Housing properties at cost (Current period)2]], VfM_Metrics_2023_Entity[[#This Row],[Tangible fixed assets Housing properties at valuation (Current period)2]] )</f>
        <v>1032534</v>
      </c>
      <c r="AM91" s="84" vm="9961">
        <v>1032534</v>
      </c>
      <c r="AN91" s="135" vm="10133">
        <v>0</v>
      </c>
      <c r="AO91" s="137">
        <f xml:space="preserve"> IFERROR( VfM_Metrics_2023_Entity[[#This Row],[EBITDA MRI]] / VfM_Metrics_2023_Entity[[#This Row],[Total interest]], "n/a" )</f>
        <v>1.6787606682036971</v>
      </c>
      <c r="AP9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41504</v>
      </c>
      <c r="AQ91" s="84" vm="13573">
        <v>38356</v>
      </c>
      <c r="AR91" s="84" vm="14472">
        <v>3501</v>
      </c>
      <c r="AS91" s="84" vm="14720">
        <v>0</v>
      </c>
      <c r="AT91" s="84" vm="14963">
        <v>2303</v>
      </c>
      <c r="AU91" s="84" vm="13727">
        <v>0</v>
      </c>
      <c r="AV91" s="84" vm="13981">
        <v>40</v>
      </c>
      <c r="AW91" s="84" vm="14230">
        <v>2159</v>
      </c>
      <c r="AX91" s="84" vm="14473">
        <v>11071</v>
      </c>
      <c r="AY91" s="5">
        <f xml:space="preserve"> - SUM( VfM_Metrics_2023_Entity[[#This Row],[Interest capitalised]], VfM_Metrics_2023_Entity[[#This Row],[Interest payable and financing costs]] )</f>
        <v>24723</v>
      </c>
      <c r="AZ91" s="84" vm="15245">
        <v>-4524</v>
      </c>
      <c r="BA91" s="135" vm="15419">
        <v>-20199</v>
      </c>
      <c r="BB91" s="138">
        <f xml:space="preserve"> IFERROR( ( VfM_Metrics_2023_Entity[[#This Row],[Total Costs]] / VfM_Metrics_2023_Entity[[#This Row],[Total units for costs]] ) * 1000, "n/a" )</f>
        <v>6765.6821378340364</v>
      </c>
      <c r="BC9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48104</v>
      </c>
      <c r="BD91" s="84" vm="15789">
        <v>7942</v>
      </c>
      <c r="BE91" s="84" vm="17106">
        <v>7138</v>
      </c>
      <c r="BF91" s="84" vm="16121">
        <v>6727</v>
      </c>
      <c r="BG91" s="84" vm="17561">
        <v>1022</v>
      </c>
      <c r="BH91" s="84" vm="15927">
        <v>3266</v>
      </c>
      <c r="BI91" s="84" vm="16621">
        <v>121</v>
      </c>
      <c r="BJ91" s="84" vm="14230">
        <v>2159</v>
      </c>
      <c r="BK91" s="84" vm="17031">
        <v>14120</v>
      </c>
      <c r="BL91" s="84" vm="17487">
        <v>0</v>
      </c>
      <c r="BM91" s="84" vm="15788">
        <v>0</v>
      </c>
      <c r="BN91" s="84" vm="16420">
        <v>3956</v>
      </c>
      <c r="BO91" s="84" vm="16123">
        <v>1653</v>
      </c>
      <c r="BP91" s="5" vm="17699">
        <f xml:space="preserve"> VfM_Metrics_2023_Entity[[#This Row],[Total social housing units owned and/or managed at period end]]</f>
        <v>7110</v>
      </c>
      <c r="BQ91" s="135" vm="17699">
        <v>7110</v>
      </c>
      <c r="BR91" s="134">
        <f xml:space="preserve"> IFERROR( VfM_Metrics_2023_Entity[[#This Row],[SHL operating surplus / (deficit)]] / VfM_Metrics_2023_Entity[[#This Row],[Turnover from social housing lettings]], "n/a" )</f>
        <v>0.34278662035446644</v>
      </c>
      <c r="BS91" s="5" vm="17993">
        <f xml:space="preserve"> VfM_Metrics_2023_Entity[[#This Row],[Operating surplus/(deficit) (social housing lettings)]]</f>
        <v>26942</v>
      </c>
      <c r="BT91" s="84" vm="17993">
        <v>26942</v>
      </c>
      <c r="BU91" s="5" vm="18170">
        <f xml:space="preserve"> VfM_Metrics_2023_Entity[[#This Row],[Turnover from social housing lettings]]</f>
        <v>78597</v>
      </c>
      <c r="BV91" s="135" vm="18170">
        <v>78597</v>
      </c>
      <c r="BW91" s="134">
        <f xml:space="preserve"> IFERROR( VfM_Metrics_2023_Entity[[#This Row],[Net operating surplus]] / VfM_Metrics_2023_Entity[[#This Row],[Overall turnover]], "n/a" )</f>
        <v>0.31144450202834317</v>
      </c>
      <c r="BX91" s="5">
        <f xml:space="preserve"> SUM( VfM_Metrics_2023_Entity[[#This Row],[Operating surplus/(deficit) (overall)2]], - VfM_Metrics_2023_Entity[[#This Row],[Gain/(loss) on disposal of fixed assets (housing properties)2]], - VfM_Metrics_2023_Entity[[#This Row],[Gain/(loss) on disposal of fixed assets (other)2]] )</f>
        <v>34855</v>
      </c>
      <c r="BY91" s="84" vm="13573">
        <v>38356</v>
      </c>
      <c r="BZ91" s="84" vm="14472">
        <v>3501</v>
      </c>
      <c r="CA91" s="84" vm="14720">
        <v>0</v>
      </c>
      <c r="CB91" s="5" vm="18335">
        <f xml:space="preserve"> VfM_Metrics_2023_Entity[[#This Row],[Turnover (overall)]]</f>
        <v>111914</v>
      </c>
      <c r="CC91" s="135" vm="18335">
        <v>111914</v>
      </c>
      <c r="CD91" s="134">
        <f xml:space="preserve"> IFERROR( VfM_Metrics_2023_Entity[[#This Row],[Operating surplus including from JVs]] / VfM_Metrics_2023_Entity[[#This Row],[Net assets]], "n/a" )</f>
        <v>3.599528521449271E-2</v>
      </c>
      <c r="CE91" s="5">
        <f xml:space="preserve"> SUM( VfM_Metrics_2023_Entity[[#This Row],[Operating surplus/(deficit) (overall)3]], VfM_Metrics_2023_Entity[[#This Row],[Share of operating surplus/(deficit) in joint ventures or associates]] )</f>
        <v>38356</v>
      </c>
      <c r="CF91" s="84" vm="13573">
        <v>38356</v>
      </c>
      <c r="CG91" s="84" vm="18515">
        <v>0</v>
      </c>
      <c r="CH91" s="5" vm="18717">
        <f xml:space="preserve"> VfM_Metrics_2023_Entity[[#This Row],[Total assets less current liabilities]]</f>
        <v>1065584</v>
      </c>
      <c r="CI91" s="135" vm="18717">
        <v>1065584</v>
      </c>
      <c r="CJ91" s="140" vm="11313">
        <f xml:space="preserve"> VfM_Metrics_2023_Entity[[#This Row],[Total social housing units owned (Period end)]]</f>
        <v>6980</v>
      </c>
      <c r="CK91" s="141">
        <v>5.5989946942194918E-2</v>
      </c>
      <c r="CL91" s="69">
        <f xml:space="preserve"> -- ( VfM_Metrics_2023_Entity[[#This Row],[% Supported housing (excl. HOP)]] &gt; 0.3 )</f>
        <v>0</v>
      </c>
      <c r="CM91" s="9">
        <v>1.1309690030717677E-2</v>
      </c>
      <c r="CN91" s="69">
        <f xml:space="preserve"> -- ( VfM_Metrics_2023_Entity[[#This Row],[% Housing for older people]] &gt; 0.3 )</f>
        <v>0</v>
      </c>
      <c r="CO91" s="9">
        <f xml:space="preserve"> VfM_Metrics_2023_Entity[[#This Row],[% Supported housing (excl. HOP)]] + VfM_Metrics_2023_Entity[[#This Row],[% Housing for older people]]</f>
        <v>6.7299636972912594E-2</v>
      </c>
      <c r="CP91" s="69">
        <f xml:space="preserve"> -- ( VfM_Metrics_2023_Entity[[#This Row],[SH specialist in RSH analysis]] + VfM_Metrics_2023_Entity[[#This Row],[OP specialist in RSH analysis]] &gt; 0 )</f>
        <v>0</v>
      </c>
      <c r="CQ91" s="142">
        <f xml:space="preserve"> -- ( VfM_Metrics_2023_Entity[[#This Row],[% SH and OP]] &gt; 0.3 )</f>
        <v>0</v>
      </c>
      <c r="CR91" s="143" t="s">
        <v>143</v>
      </c>
      <c r="CS91" s="120"/>
      <c r="CT91" s="144" t="s">
        <v>144</v>
      </c>
      <c r="CU9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91" s="146">
        <v>0</v>
      </c>
      <c r="CW91" s="146">
        <v>0.22642551428965899</v>
      </c>
      <c r="CX91" s="146">
        <v>0</v>
      </c>
      <c r="CY91" s="146">
        <v>0</v>
      </c>
      <c r="CZ91" s="146">
        <v>0</v>
      </c>
      <c r="DA91" s="146">
        <v>0.77357448571034104</v>
      </c>
      <c r="DB91" s="146">
        <v>0</v>
      </c>
      <c r="DC91" s="146">
        <v>0</v>
      </c>
      <c r="DD91" s="146">
        <v>0</v>
      </c>
      <c r="DE91" s="126">
        <v>1.0164290256519286</v>
      </c>
    </row>
    <row r="92" spans="1:109" x14ac:dyDescent="0.25">
      <c r="A92" s="4" t="s" vm="9232">
        <v>580</v>
      </c>
      <c r="B92" s="4" t="s" vm="9366">
        <v>581</v>
      </c>
      <c r="C92" s="121" vm="18864">
        <v>45016</v>
      </c>
      <c r="D92" s="68">
        <f>IFERROR( VfM_Metrics_2023_Entity[[#This Row],[Reinvestment Spend]] / VfM_Metrics_2023_Entity[[#This Row],[Net Book Value of Housing Properties]], "n/a" )</f>
        <v>7.3148517105937269E-3</v>
      </c>
      <c r="E9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257</v>
      </c>
      <c r="F92" s="84" vm="10258">
        <v>0</v>
      </c>
      <c r="G92" s="84" vm="10500">
        <v>0</v>
      </c>
      <c r="H92" s="84" vm="10405">
        <v>257</v>
      </c>
      <c r="I92" s="84" vm="10844">
        <v>0</v>
      </c>
      <c r="J92" s="84" vm="10739">
        <v>0</v>
      </c>
      <c r="K92" s="5">
        <f xml:space="preserve"> SUM( VfM_Metrics_2023_Entity[[#This Row],[Tangible fixed assets: Housing properties at cost (Current period)]],VfM_Metrics_2023_Entity[[#This Row],[Tangible fixed assets Housing properties at valuation (Current period)]] )</f>
        <v>35134</v>
      </c>
      <c r="L92" s="84" vm="10618">
        <v>35134</v>
      </c>
      <c r="M92" s="84" vm="10770">
        <v>0</v>
      </c>
      <c r="N92" s="134">
        <f xml:space="preserve"> IFERROR( VfM_Metrics_2023_Entity[[#This Row],[Total social units developed or newly built units acquired in-year]] / VfM_Metrics_2023_Entity[[#This Row],[Social housing units owned (period end)]], "n/a" )</f>
        <v>0</v>
      </c>
      <c r="O92" s="5">
        <f xml:space="preserve"> SUM( VfM_Metrics_2023_Entity[[#This Row],[Total social units developed or newly built units acquired in-year (owned)]], VfM_Metrics_2023_Entity[[#This Row],[Total social leasehold units developed or newly built units acquired in-year (owned)]] )</f>
        <v>0</v>
      </c>
      <c r="P92" s="84" vm="11088">
        <v>0</v>
      </c>
      <c r="Q92" s="84" vm="11207">
        <v>0</v>
      </c>
      <c r="R92" s="5">
        <f xml:space="preserve"> SUM( VfM_Metrics_2023_Entity[[#This Row],[Total social housing units owned (Period end)]], VfM_Metrics_2023_Entity[[#This Row],[Total social leasehold units owned (Period end)]] )</f>
        <v>724</v>
      </c>
      <c r="S92" s="84" vm="11292">
        <v>724</v>
      </c>
      <c r="T92" s="135" vm="11489">
        <v>0</v>
      </c>
      <c r="U92" s="136">
        <f xml:space="preserve"> IFERROR( VfM_Metrics_2023_Entity[[#This Row],[Total non-social housing units developed or newly built units acquired (owned)]] / VfM_Metrics_2023_Entity[[#This Row],[Total social and non-social housing units owned (Period end)]], "n/a" )</f>
        <v>0</v>
      </c>
      <c r="V9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92" s="84" vm="11568">
        <v>0</v>
      </c>
      <c r="X92" s="84" vm="11882">
        <v>0</v>
      </c>
      <c r="Y92" s="84" vm="11921">
        <v>0</v>
      </c>
      <c r="Z9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756</v>
      </c>
      <c r="AA92" s="84" vm="11292">
        <v>724</v>
      </c>
      <c r="AB92" s="84" vm="12440">
        <v>0</v>
      </c>
      <c r="AC92" s="84" vm="12357">
        <v>0</v>
      </c>
      <c r="AD92" s="135" vm="12500">
        <v>32</v>
      </c>
      <c r="AE92" s="134">
        <f xml:space="preserve"> IFERROR( VfM_Metrics_2023_Entity[[#This Row],[Total Net Debt]] / VfM_Metrics_2023_Entity[[#This Row],[Net Book Value of Housing Properties2]], "n/a" )</f>
        <v>0.12409631695793248</v>
      </c>
      <c r="AF9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4360</v>
      </c>
      <c r="AG92" s="84" vm="12561">
        <v>0</v>
      </c>
      <c r="AH92" s="84" vm="13159">
        <v>40787</v>
      </c>
      <c r="AI92" s="84" vm="13240">
        <v>36853</v>
      </c>
      <c r="AJ92" s="84" vm="13329">
        <v>426</v>
      </c>
      <c r="AK92" s="84" vm="12899">
        <v>0</v>
      </c>
      <c r="AL92" s="5">
        <f xml:space="preserve"> SUM( VfM_Metrics_2023_Entity[[#This Row],[Tangible fixed assets: Housing properties at cost (Current period)2]], VfM_Metrics_2023_Entity[[#This Row],[Tangible fixed assets Housing properties at valuation (Current period)2]] )</f>
        <v>35134</v>
      </c>
      <c r="AM92" s="84" vm="9890">
        <v>35134</v>
      </c>
      <c r="AN92" s="135" vm="13421">
        <v>0</v>
      </c>
      <c r="AO92" s="137">
        <f xml:space="preserve"> IFERROR( VfM_Metrics_2023_Entity[[#This Row],[EBITDA MRI]] / VfM_Metrics_2023_Entity[[#This Row],[Total interest]], "n/a" )</f>
        <v>2.9995192307692307</v>
      </c>
      <c r="AP9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6239</v>
      </c>
      <c r="AQ92" s="84" vm="13442">
        <v>3450</v>
      </c>
      <c r="AR92" s="84" vm="14964">
        <v>351</v>
      </c>
      <c r="AS92" s="84" vm="13728">
        <v>0</v>
      </c>
      <c r="AT92" s="84" vm="13982">
        <v>344</v>
      </c>
      <c r="AU92" s="84" vm="14231">
        <v>0</v>
      </c>
      <c r="AV92" s="84" vm="14474">
        <v>2484</v>
      </c>
      <c r="AW92" s="84" vm="14721">
        <v>257</v>
      </c>
      <c r="AX92" s="84" vm="14965">
        <v>1257</v>
      </c>
      <c r="AY92" s="5">
        <f xml:space="preserve"> - SUM( VfM_Metrics_2023_Entity[[#This Row],[Interest capitalised]], VfM_Metrics_2023_Entity[[#This Row],[Interest payable and financing costs]] )</f>
        <v>2080</v>
      </c>
      <c r="AZ92" s="84" vm="15173">
        <v>0</v>
      </c>
      <c r="BA92" s="135" vm="15487">
        <v>-2080</v>
      </c>
      <c r="BB92" s="138">
        <f xml:space="preserve"> IFERROR( ( VfM_Metrics_2023_Entity[[#This Row],[Total Costs]] / VfM_Metrics_2023_Entity[[#This Row],[Total units for costs]] ) * 1000, "n/a" )</f>
        <v>3421.5591915303175</v>
      </c>
      <c r="BC9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3555</v>
      </c>
      <c r="BD92" s="84" vm="15793">
        <v>1008</v>
      </c>
      <c r="BE92" s="84" vm="16709">
        <v>528</v>
      </c>
      <c r="BF92" s="84" vm="16127">
        <v>1236</v>
      </c>
      <c r="BG92" s="84" vm="17107">
        <v>287</v>
      </c>
      <c r="BH92" s="84" vm="15930">
        <v>134</v>
      </c>
      <c r="BI92" s="84" vm="17488">
        <v>0</v>
      </c>
      <c r="BJ92" s="84" vm="15795">
        <v>257</v>
      </c>
      <c r="BK92" s="84" vm="16622">
        <v>0</v>
      </c>
      <c r="BL92" s="84" vm="17032">
        <v>0</v>
      </c>
      <c r="BM92" s="84" vm="15932">
        <v>0</v>
      </c>
      <c r="BN92" s="84" vm="17328">
        <v>105</v>
      </c>
      <c r="BO92" s="84" vm="16129">
        <v>0</v>
      </c>
      <c r="BP92" s="5" vm="17767">
        <f xml:space="preserve"> VfM_Metrics_2023_Entity[[#This Row],[Total social housing units owned and/or managed at period end]]</f>
        <v>1039</v>
      </c>
      <c r="BQ92" s="135" vm="17767">
        <v>1039</v>
      </c>
      <c r="BR92" s="134">
        <f xml:space="preserve"> IFERROR( VfM_Metrics_2023_Entity[[#This Row],[SHL operating surplus / (deficit)]] / VfM_Metrics_2023_Entity[[#This Row],[Turnover from social housing lettings]], "n/a" )</f>
        <v>0.42886256527830852</v>
      </c>
      <c r="BS92" s="5" vm="17845">
        <f xml:space="preserve"> VfM_Metrics_2023_Entity[[#This Row],[Operating surplus/(deficit) (social housing lettings)]]</f>
        <v>3367</v>
      </c>
      <c r="BT92" s="84" vm="17845">
        <v>3367</v>
      </c>
      <c r="BU92" s="5" vm="18054">
        <f xml:space="preserve"> VfM_Metrics_2023_Entity[[#This Row],[Turnover from social housing lettings]]</f>
        <v>7851</v>
      </c>
      <c r="BV92" s="135" vm="18054">
        <v>7851</v>
      </c>
      <c r="BW92" s="134">
        <f xml:space="preserve"> IFERROR( VfM_Metrics_2023_Entity[[#This Row],[Net operating surplus]] / VfM_Metrics_2023_Entity[[#This Row],[Overall turnover]], "n/a" )</f>
        <v>0.3920303605313093</v>
      </c>
      <c r="BX92" s="5">
        <f xml:space="preserve"> SUM( VfM_Metrics_2023_Entity[[#This Row],[Operating surplus/(deficit) (overall)2]], - VfM_Metrics_2023_Entity[[#This Row],[Gain/(loss) on disposal of fixed assets (housing properties)2]], - VfM_Metrics_2023_Entity[[#This Row],[Gain/(loss) on disposal of fixed assets (other)2]] )</f>
        <v>3099</v>
      </c>
      <c r="BY92" s="84" vm="13515">
        <v>3450</v>
      </c>
      <c r="BZ92" s="84" vm="14964">
        <v>351</v>
      </c>
      <c r="CA92" s="84" vm="13728">
        <v>0</v>
      </c>
      <c r="CB92" s="5" vm="18363">
        <f xml:space="preserve"> VfM_Metrics_2023_Entity[[#This Row],[Turnover (overall)]]</f>
        <v>7905</v>
      </c>
      <c r="CC92" s="135" vm="18363">
        <v>7905</v>
      </c>
      <c r="CD92" s="134">
        <f xml:space="preserve"> IFERROR( VfM_Metrics_2023_Entity[[#This Row],[Operating surplus including from JVs]] / VfM_Metrics_2023_Entity[[#This Row],[Net assets]], "n/a" )</f>
        <v>3.0945312009471957E-2</v>
      </c>
      <c r="CE92" s="5">
        <f xml:space="preserve"> SUM( VfM_Metrics_2023_Entity[[#This Row],[Operating surplus/(deficit) (overall)3]], VfM_Metrics_2023_Entity[[#This Row],[Share of operating surplus/(deficit) in joint ventures or associates]] )</f>
        <v>3450</v>
      </c>
      <c r="CF92" s="84" vm="13442">
        <v>3450</v>
      </c>
      <c r="CG92" s="84" vm="18556">
        <v>0</v>
      </c>
      <c r="CH92" s="5" vm="18582">
        <f xml:space="preserve"> VfM_Metrics_2023_Entity[[#This Row],[Total assets less current liabilities]]</f>
        <v>111487</v>
      </c>
      <c r="CI92" s="135" vm="18582">
        <v>111487</v>
      </c>
      <c r="CJ92" s="140" vm="11292">
        <f xml:space="preserve"> VfM_Metrics_2023_Entity[[#This Row],[Total social housing units owned (Period end)]]</f>
        <v>724</v>
      </c>
      <c r="CK92" s="141">
        <v>0</v>
      </c>
      <c r="CL92" s="69">
        <f xml:space="preserve"> -- ( VfM_Metrics_2023_Entity[[#This Row],[% Supported housing (excl. HOP)]] &gt; 0.3 )</f>
        <v>0</v>
      </c>
      <c r="CM92" s="9">
        <v>4.1436464088397788E-3</v>
      </c>
      <c r="CN92" s="69">
        <f xml:space="preserve"> -- ( VfM_Metrics_2023_Entity[[#This Row],[% Housing for older people]] &gt; 0.3 )</f>
        <v>0</v>
      </c>
      <c r="CO92" s="9">
        <f xml:space="preserve"> VfM_Metrics_2023_Entity[[#This Row],[% Supported housing (excl. HOP)]] + VfM_Metrics_2023_Entity[[#This Row],[% Housing for older people]]</f>
        <v>4.1436464088397788E-3</v>
      </c>
      <c r="CP92" s="69">
        <f xml:space="preserve"> -- ( VfM_Metrics_2023_Entity[[#This Row],[SH specialist in RSH analysis]] + VfM_Metrics_2023_Entity[[#This Row],[OP specialist in RSH analysis]] &gt; 0 )</f>
        <v>0</v>
      </c>
      <c r="CQ92" s="142">
        <f xml:space="preserve"> -- ( VfM_Metrics_2023_Entity[[#This Row],[% SH and OP]] &gt; 0.3 )</f>
        <v>0</v>
      </c>
      <c r="CR92" s="143" t="s">
        <v>143</v>
      </c>
      <c r="CS92" s="120"/>
      <c r="CT92" s="144" t="s">
        <v>144</v>
      </c>
      <c r="CU9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92" s="146">
        <v>1</v>
      </c>
      <c r="CW92" s="146">
        <v>0</v>
      </c>
      <c r="CX92" s="146">
        <v>0</v>
      </c>
      <c r="CY92" s="146">
        <v>0</v>
      </c>
      <c r="CZ92" s="146">
        <v>0</v>
      </c>
      <c r="DA92" s="146">
        <v>0</v>
      </c>
      <c r="DB92" s="146">
        <v>0</v>
      </c>
      <c r="DC92" s="146">
        <v>0</v>
      </c>
      <c r="DD92" s="146">
        <v>0</v>
      </c>
      <c r="DE92" s="126">
        <v>1.1603700449887588</v>
      </c>
    </row>
    <row r="93" spans="1:109" x14ac:dyDescent="0.25">
      <c r="A93" s="4" t="s" vm="243">
        <v>290</v>
      </c>
      <c r="B93" s="4" t="s" vm="9290">
        <v>291</v>
      </c>
      <c r="C93" s="121" vm="18814">
        <v>45016</v>
      </c>
      <c r="D93" s="68">
        <f>IFERROR( VfM_Metrics_2023_Entity[[#This Row],[Reinvestment Spend]] / VfM_Metrics_2023_Entity[[#This Row],[Net Book Value of Housing Properties]], "n/a" )</f>
        <v>5.1371455884065886E-2</v>
      </c>
      <c r="E9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127899</v>
      </c>
      <c r="F93" s="84" vm="9420">
        <v>80167</v>
      </c>
      <c r="G93" s="84" vm="9556">
        <v>0</v>
      </c>
      <c r="H93" s="84" vm="9610">
        <v>44168</v>
      </c>
      <c r="I93" s="84" vm="9671">
        <v>3564</v>
      </c>
      <c r="J93" s="84" vm="9579">
        <v>0</v>
      </c>
      <c r="K93" s="5">
        <f xml:space="preserve"> SUM( VfM_Metrics_2023_Entity[[#This Row],[Tangible fixed assets: Housing properties at cost (Current period)]],VfM_Metrics_2023_Entity[[#This Row],[Tangible fixed assets Housing properties at valuation (Current period)]] )</f>
        <v>2489690</v>
      </c>
      <c r="L93" s="84" vm="10015">
        <v>2489690</v>
      </c>
      <c r="M93" s="84" vm="10506">
        <v>0</v>
      </c>
      <c r="N93" s="134">
        <f xml:space="preserve"> IFERROR( VfM_Metrics_2023_Entity[[#This Row],[Total social units developed or newly built units acquired in-year]] / VfM_Metrics_2023_Entity[[#This Row],[Social housing units owned (period end)]], "n/a" )</f>
        <v>1.3213336060544079E-2</v>
      </c>
      <c r="O93" s="5">
        <f xml:space="preserve"> SUM( VfM_Metrics_2023_Entity[[#This Row],[Total social units developed or newly built units acquired in-year (owned)]], VfM_Metrics_2023_Entity[[#This Row],[Total social leasehold units developed or newly built units acquired in-year (owned)]] )</f>
        <v>646</v>
      </c>
      <c r="P93" s="84" vm="11008">
        <v>646</v>
      </c>
      <c r="Q93" s="84" vm="11113">
        <v>0</v>
      </c>
      <c r="R93" s="5">
        <f xml:space="preserve"> SUM( VfM_Metrics_2023_Entity[[#This Row],[Total social housing units owned (Period end)]], VfM_Metrics_2023_Entity[[#This Row],[Total social leasehold units owned (Period end)]] )</f>
        <v>48890</v>
      </c>
      <c r="S93" s="84" vm="11342">
        <v>46951</v>
      </c>
      <c r="T93" s="135" vm="11418">
        <v>1939</v>
      </c>
      <c r="U93" s="136">
        <f xml:space="preserve"> IFERROR( VfM_Metrics_2023_Entity[[#This Row],[Total non-social housing units developed or newly built units acquired (owned)]] / VfM_Metrics_2023_Entity[[#This Row],[Total social and non-social housing units owned (Period end)]], "n/a" )</f>
        <v>2.1785232311548101E-3</v>
      </c>
      <c r="V9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113</v>
      </c>
      <c r="W93" s="84" vm="11593">
        <v>0</v>
      </c>
      <c r="X93" s="84" vm="11699">
        <v>91</v>
      </c>
      <c r="Y93" s="84" vm="11737">
        <v>22</v>
      </c>
      <c r="Z9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51870</v>
      </c>
      <c r="AA93" s="84" vm="11994">
        <v>46951</v>
      </c>
      <c r="AB93" s="84" vm="11457">
        <v>1939</v>
      </c>
      <c r="AC93" s="84" vm="12101">
        <v>419</v>
      </c>
      <c r="AD93" s="135" vm="12261">
        <v>2561</v>
      </c>
      <c r="AE93" s="134">
        <f xml:space="preserve"> IFERROR( VfM_Metrics_2023_Entity[[#This Row],[Total Net Debt]] / VfM_Metrics_2023_Entity[[#This Row],[Net Book Value of Housing Properties2]], "n/a" )</f>
        <v>0.43041623655957167</v>
      </c>
      <c r="AF9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1071603</v>
      </c>
      <c r="AG93" s="84" vm="12592">
        <v>16111</v>
      </c>
      <c r="AH93" s="84" vm="12751">
        <v>1091957</v>
      </c>
      <c r="AI93" s="84" vm="13073">
        <v>36465</v>
      </c>
      <c r="AJ93" s="84" vm="13118">
        <v>0</v>
      </c>
      <c r="AK93" s="84" vm="13206">
        <v>0</v>
      </c>
      <c r="AL93" s="5">
        <f xml:space="preserve"> SUM( VfM_Metrics_2023_Entity[[#This Row],[Tangible fixed assets: Housing properties at cost (Current period)2]], VfM_Metrics_2023_Entity[[#This Row],[Tangible fixed assets Housing properties at valuation (Current period)2]] )</f>
        <v>2489690</v>
      </c>
      <c r="AM93" s="84" vm="10023">
        <v>2489690</v>
      </c>
      <c r="AN93" s="135" vm="10089">
        <v>0</v>
      </c>
      <c r="AO93" s="137">
        <f xml:space="preserve"> IFERROR( VfM_Metrics_2023_Entity[[#This Row],[EBITDA MRI]] / VfM_Metrics_2023_Entity[[#This Row],[Total interest]], "n/a" )</f>
        <v>0.95855755788344787</v>
      </c>
      <c r="AP9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50053</v>
      </c>
      <c r="AQ93" s="84" vm="13480">
        <v>69915</v>
      </c>
      <c r="AR93" s="84" vm="13729">
        <v>19298</v>
      </c>
      <c r="AS93" s="84" vm="13983">
        <v>0</v>
      </c>
      <c r="AT93" s="84" vm="14232">
        <v>10013</v>
      </c>
      <c r="AU93" s="84" vm="14475">
        <v>54</v>
      </c>
      <c r="AV93" s="84" vm="14722">
        <v>645</v>
      </c>
      <c r="AW93" s="84" vm="14966">
        <v>44168</v>
      </c>
      <c r="AX93" s="84" vm="13730">
        <v>53026</v>
      </c>
      <c r="AY93" s="5">
        <f xml:space="preserve"> - SUM( VfM_Metrics_2023_Entity[[#This Row],[Interest capitalised]], VfM_Metrics_2023_Entity[[#This Row],[Interest payable and financing costs]] )</f>
        <v>52217</v>
      </c>
      <c r="AZ93" s="84" vm="15159">
        <v>-5473</v>
      </c>
      <c r="BA93" s="135" vm="15324">
        <v>-46744</v>
      </c>
      <c r="BB93" s="138">
        <f xml:space="preserve"> IFERROR( ( VfM_Metrics_2023_Entity[[#This Row],[Total Costs]] / VfM_Metrics_2023_Entity[[#This Row],[Total units for costs]] ) * 1000, "n/a" )</f>
        <v>6424.445951099623</v>
      </c>
      <c r="BC9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303221</v>
      </c>
      <c r="BD93" s="84" vm="15797">
        <v>58668</v>
      </c>
      <c r="BE93" s="84" vm="16422">
        <v>37478</v>
      </c>
      <c r="BF93" s="84" vm="16131">
        <v>59219</v>
      </c>
      <c r="BG93" s="84" vm="16868">
        <v>22959</v>
      </c>
      <c r="BH93" s="84" vm="15933">
        <v>17233</v>
      </c>
      <c r="BI93" s="84" vm="17245">
        <v>2370</v>
      </c>
      <c r="BJ93" s="84" vm="13946">
        <v>44168</v>
      </c>
      <c r="BK93" s="84" vm="16417">
        <v>15</v>
      </c>
      <c r="BL93" s="84" vm="16792">
        <v>4966</v>
      </c>
      <c r="BM93" s="84" vm="15935">
        <v>3178</v>
      </c>
      <c r="BN93" s="84" vm="17108">
        <v>8236</v>
      </c>
      <c r="BO93" s="84" vm="16132">
        <v>44731</v>
      </c>
      <c r="BP93" s="5" vm="17629">
        <f xml:space="preserve"> VfM_Metrics_2023_Entity[[#This Row],[Total social housing units owned and/or managed at period end]]</f>
        <v>47198</v>
      </c>
      <c r="BQ93" s="135" vm="17629">
        <v>47198</v>
      </c>
      <c r="BR93" s="134">
        <f xml:space="preserve"> IFERROR( VfM_Metrics_2023_Entity[[#This Row],[SHL operating surplus / (deficit)]] / VfM_Metrics_2023_Entity[[#This Row],[Turnover from social housing lettings]], "n/a" )</f>
        <v>0.16707869586774032</v>
      </c>
      <c r="BS93" s="5" vm="17883">
        <f xml:space="preserve"> VfM_Metrics_2023_Entity[[#This Row],[Operating surplus/(deficit) (social housing lettings)]]</f>
        <v>48863</v>
      </c>
      <c r="BT93" s="84" vm="17883">
        <v>48863</v>
      </c>
      <c r="BU93" s="5" vm="18078">
        <f xml:space="preserve"> VfM_Metrics_2023_Entity[[#This Row],[Turnover from social housing lettings]]</f>
        <v>292455</v>
      </c>
      <c r="BV93" s="135" vm="18078">
        <v>292455</v>
      </c>
      <c r="BW93" s="134">
        <f xml:space="preserve"> IFERROR( VfM_Metrics_2023_Entity[[#This Row],[Net operating surplus]] / VfM_Metrics_2023_Entity[[#This Row],[Overall turnover]], "n/a" )</f>
        <v>0.12788723426833151</v>
      </c>
      <c r="BX93" s="5">
        <f xml:space="preserve"> SUM( VfM_Metrics_2023_Entity[[#This Row],[Operating surplus/(deficit) (overall)2]], - VfM_Metrics_2023_Entity[[#This Row],[Gain/(loss) on disposal of fixed assets (housing properties)2]], - VfM_Metrics_2023_Entity[[#This Row],[Gain/(loss) on disposal of fixed assets (other)2]] )</f>
        <v>50617</v>
      </c>
      <c r="BY93" s="84" vm="18232">
        <v>69915</v>
      </c>
      <c r="BZ93" s="84" vm="13729">
        <v>19298</v>
      </c>
      <c r="CA93" s="84" vm="13983">
        <v>0</v>
      </c>
      <c r="CB93" s="5" vm="18403">
        <f xml:space="preserve"> VfM_Metrics_2023_Entity[[#This Row],[Turnover (overall)]]</f>
        <v>395794</v>
      </c>
      <c r="CC93" s="135" vm="18403">
        <v>395794</v>
      </c>
      <c r="CD93" s="134">
        <f xml:space="preserve"> IFERROR( VfM_Metrics_2023_Entity[[#This Row],[Operating surplus including from JVs]] / VfM_Metrics_2023_Entity[[#This Row],[Net assets]], "n/a" )</f>
        <v>2.6498191005282584E-2</v>
      </c>
      <c r="CE93" s="5">
        <f xml:space="preserve"> SUM( VfM_Metrics_2023_Entity[[#This Row],[Operating surplus/(deficit) (overall)3]], VfM_Metrics_2023_Entity[[#This Row],[Share of operating surplus/(deficit) in joint ventures or associates]] )</f>
        <v>69915</v>
      </c>
      <c r="CF93" s="84" vm="18440">
        <v>69915</v>
      </c>
      <c r="CG93" s="84" vm="18452">
        <v>0</v>
      </c>
      <c r="CH93" s="5" vm="18619">
        <f xml:space="preserve"> VfM_Metrics_2023_Entity[[#This Row],[Total assets less current liabilities]]</f>
        <v>2638482</v>
      </c>
      <c r="CI93" s="135" vm="18619">
        <v>2638482</v>
      </c>
      <c r="CJ93" s="140" vm="11342">
        <f xml:space="preserve"> VfM_Metrics_2023_Entity[[#This Row],[Total social housing units owned (Period end)]]</f>
        <v>46951</v>
      </c>
      <c r="CK93" s="141">
        <v>8.3588584465240076E-2</v>
      </c>
      <c r="CL93" s="69">
        <f xml:space="preserve"> -- ( VfM_Metrics_2023_Entity[[#This Row],[% Supported housing (excl. HOP)]] &gt; 0.3 )</f>
        <v>0</v>
      </c>
      <c r="CM93" s="9">
        <v>3.2615813599780309E-2</v>
      </c>
      <c r="CN93" s="69">
        <f xml:space="preserve"> -- ( VfM_Metrics_2023_Entity[[#This Row],[% Housing for older people]] &gt; 0.3 )</f>
        <v>0</v>
      </c>
      <c r="CO93" s="9">
        <f xml:space="preserve"> VfM_Metrics_2023_Entity[[#This Row],[% Supported housing (excl. HOP)]] + VfM_Metrics_2023_Entity[[#This Row],[% Housing for older people]]</f>
        <v>0.11620439806502039</v>
      </c>
      <c r="CP93" s="69">
        <f xml:space="preserve"> -- ( VfM_Metrics_2023_Entity[[#This Row],[SH specialist in RSH analysis]] + VfM_Metrics_2023_Entity[[#This Row],[OP specialist in RSH analysis]] &gt; 0 )</f>
        <v>0</v>
      </c>
      <c r="CQ93" s="142">
        <f xml:space="preserve"> -- ( VfM_Metrics_2023_Entity[[#This Row],[% SH and OP]] &gt; 0.3 )</f>
        <v>0</v>
      </c>
      <c r="CR93" s="143" t="s">
        <v>143</v>
      </c>
      <c r="CS93" s="120"/>
      <c r="CT93" s="144" t="s">
        <v>151</v>
      </c>
      <c r="CU9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93" s="146">
        <v>8.0234791889007465E-2</v>
      </c>
      <c r="CW93" s="146">
        <v>0.14029882604055496</v>
      </c>
      <c r="CX93" s="146">
        <v>1.1718249733191036E-2</v>
      </c>
      <c r="CY93" s="146">
        <v>2.3991462113127002E-2</v>
      </c>
      <c r="CZ93" s="146">
        <v>4.6744930629669156E-3</v>
      </c>
      <c r="DA93" s="146">
        <v>0.10542155816435432</v>
      </c>
      <c r="DB93" s="146">
        <v>0.31054429028815367</v>
      </c>
      <c r="DC93" s="146">
        <v>0.2087086446104589</v>
      </c>
      <c r="DD93" s="146">
        <v>0.11440768409818571</v>
      </c>
      <c r="DE93" s="126">
        <v>0.97346756993378458</v>
      </c>
    </row>
    <row r="94" spans="1:109" x14ac:dyDescent="0.25">
      <c r="A94" s="4" t="s" vm="9233">
        <v>582</v>
      </c>
      <c r="B94" s="4" t="s" vm="10850">
        <v>583</v>
      </c>
      <c r="C94" s="121" vm="18922">
        <v>45016</v>
      </c>
      <c r="D94" s="68">
        <f>IFERROR( VfM_Metrics_2023_Entity[[#This Row],[Reinvestment Spend]] / VfM_Metrics_2023_Entity[[#This Row],[Net Book Value of Housing Properties]], "n/a" )</f>
        <v>5.0426893509530467E-2</v>
      </c>
      <c r="E9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32260</v>
      </c>
      <c r="F94" s="84" vm="9412">
        <v>2234</v>
      </c>
      <c r="G94" s="84" vm="10445">
        <v>15368</v>
      </c>
      <c r="H94" s="84" vm="10676">
        <v>13825</v>
      </c>
      <c r="I94" s="84" vm="9611">
        <v>833</v>
      </c>
      <c r="J94" s="84" vm="10816">
        <v>0</v>
      </c>
      <c r="K94" s="5">
        <f xml:space="preserve"> SUM( VfM_Metrics_2023_Entity[[#This Row],[Tangible fixed assets: Housing properties at cost (Current period)]],VfM_Metrics_2023_Entity[[#This Row],[Tangible fixed assets Housing properties at valuation (Current period)]] )</f>
        <v>639738</v>
      </c>
      <c r="L94" s="84" vm="10056">
        <v>639738</v>
      </c>
      <c r="M94" s="84" vm="10283">
        <v>0</v>
      </c>
      <c r="N94" s="134">
        <f xml:space="preserve"> IFERROR( VfM_Metrics_2023_Entity[[#This Row],[Total social units developed or newly built units acquired in-year]] / VfM_Metrics_2023_Entity[[#This Row],[Social housing units owned (period end)]], "n/a" )</f>
        <v>8.1699346405228763E-3</v>
      </c>
      <c r="O94" s="5">
        <f xml:space="preserve"> SUM( VfM_Metrics_2023_Entity[[#This Row],[Total social units developed or newly built units acquired in-year (owned)]], VfM_Metrics_2023_Entity[[#This Row],[Total social leasehold units developed or newly built units acquired in-year (owned)]] )</f>
        <v>160</v>
      </c>
      <c r="P94" s="84" vm="10964">
        <v>160</v>
      </c>
      <c r="Q94" s="84" vm="11138">
        <v>0</v>
      </c>
      <c r="R94" s="5">
        <f xml:space="preserve"> SUM( VfM_Metrics_2023_Entity[[#This Row],[Total social housing units owned (Period end)]], VfM_Metrics_2023_Entity[[#This Row],[Total social leasehold units owned (Period end)]] )</f>
        <v>19584</v>
      </c>
      <c r="S94" s="84" vm="11244">
        <v>18908</v>
      </c>
      <c r="T94" s="135" vm="11476">
        <v>676</v>
      </c>
      <c r="U94" s="136">
        <f xml:space="preserve"> IFERROR( VfM_Metrics_2023_Entity[[#This Row],[Total non-social housing units developed or newly built units acquired (owned)]] / VfM_Metrics_2023_Entity[[#This Row],[Total social and non-social housing units owned (Period end)]], "n/a" )</f>
        <v>1.0639375823285034E-3</v>
      </c>
      <c r="V9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21</v>
      </c>
      <c r="W94" s="84" vm="11620">
        <v>0</v>
      </c>
      <c r="X94" s="84" vm="11795">
        <v>0</v>
      </c>
      <c r="Y94" s="84" vm="11837">
        <v>21</v>
      </c>
      <c r="Z9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19738</v>
      </c>
      <c r="AA94" s="84" vm="11244">
        <v>18908</v>
      </c>
      <c r="AB94" s="84" vm="11476">
        <v>676</v>
      </c>
      <c r="AC94" s="84" vm="12358">
        <v>114</v>
      </c>
      <c r="AD94" s="135" vm="12501">
        <v>40</v>
      </c>
      <c r="AE94" s="134">
        <f xml:space="preserve"> IFERROR( VfM_Metrics_2023_Entity[[#This Row],[Total Net Debt]] / VfM_Metrics_2023_Entity[[#This Row],[Net Book Value of Housing Properties2]], "n/a" )</f>
        <v>0.63528038040572854</v>
      </c>
      <c r="AF9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406413</v>
      </c>
      <c r="AG94" s="84" vm="12613">
        <v>9843</v>
      </c>
      <c r="AH94" s="84" vm="13292">
        <v>406442</v>
      </c>
      <c r="AI94" s="84" vm="12857">
        <v>9872</v>
      </c>
      <c r="AJ94" s="84" vm="12752">
        <v>0</v>
      </c>
      <c r="AK94" s="84" vm="13031">
        <v>0</v>
      </c>
      <c r="AL94" s="5">
        <f xml:space="preserve"> SUM( VfM_Metrics_2023_Entity[[#This Row],[Tangible fixed assets: Housing properties at cost (Current period)2]], VfM_Metrics_2023_Entity[[#This Row],[Tangible fixed assets Housing properties at valuation (Current period)2]] )</f>
        <v>639738</v>
      </c>
      <c r="AM94" s="84" vm="10056">
        <v>639738</v>
      </c>
      <c r="AN94" s="135" vm="10283">
        <v>0</v>
      </c>
      <c r="AO94" s="137">
        <f xml:space="preserve"> IFERROR( VfM_Metrics_2023_Entity[[#This Row],[EBITDA MRI]] / VfM_Metrics_2023_Entity[[#This Row],[Total interest]], "n/a" )</f>
        <v>1.2004821411000688</v>
      </c>
      <c r="AP9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24401</v>
      </c>
      <c r="AQ94" s="84" vm="13512">
        <v>27100</v>
      </c>
      <c r="AR94" s="84" vm="13984">
        <v>4340</v>
      </c>
      <c r="AS94" s="84" vm="14233">
        <v>32</v>
      </c>
      <c r="AT94" s="84" vm="14476">
        <v>933</v>
      </c>
      <c r="AU94" s="84" vm="14723">
        <v>1118</v>
      </c>
      <c r="AV94" s="84" vm="14967">
        <v>947</v>
      </c>
      <c r="AW94" s="84" vm="13731">
        <v>13825</v>
      </c>
      <c r="AX94" s="84" vm="13985">
        <v>16602</v>
      </c>
      <c r="AY94" s="5">
        <f xml:space="preserve"> - SUM( VfM_Metrics_2023_Entity[[#This Row],[Interest capitalised]], VfM_Metrics_2023_Entity[[#This Row],[Interest payable and financing costs]] )</f>
        <v>20326</v>
      </c>
      <c r="AZ94" s="84" vm="15196">
        <v>-833</v>
      </c>
      <c r="BA94" s="135" vm="15361">
        <v>-19493</v>
      </c>
      <c r="BB94" s="138">
        <f xml:space="preserve"> IFERROR( ( VfM_Metrics_2023_Entity[[#This Row],[Total Costs]] / VfM_Metrics_2023_Entity[[#This Row],[Total units for costs]] ) * 1000, "n/a" )</f>
        <v>3971.8652493521604</v>
      </c>
      <c r="BC9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75104</v>
      </c>
      <c r="BD94" s="84" vm="15800">
        <v>9611</v>
      </c>
      <c r="BE94" s="84" vm="17562">
        <v>8444</v>
      </c>
      <c r="BF94" s="84" vm="16134">
        <v>10838</v>
      </c>
      <c r="BG94" s="84" vm="16710">
        <v>18196</v>
      </c>
      <c r="BH94" s="84" vm="15937">
        <v>0</v>
      </c>
      <c r="BI94" s="84" vm="17033">
        <v>0</v>
      </c>
      <c r="BJ94" s="84" vm="13731">
        <v>13825</v>
      </c>
      <c r="BK94" s="84" vm="17489">
        <v>0</v>
      </c>
      <c r="BL94" s="84" vm="16623">
        <v>0</v>
      </c>
      <c r="BM94" s="84" vm="15939">
        <v>0</v>
      </c>
      <c r="BN94" s="84" vm="16869">
        <v>442</v>
      </c>
      <c r="BO94" s="84" vm="16136">
        <v>13748</v>
      </c>
      <c r="BP94" s="5" vm="17665">
        <f xml:space="preserve"> VfM_Metrics_2023_Entity[[#This Row],[Total social housing units owned and/or managed at period end]]</f>
        <v>18909</v>
      </c>
      <c r="BQ94" s="135" vm="17665">
        <v>18909</v>
      </c>
      <c r="BR94" s="134">
        <f xml:space="preserve"> IFERROR( VfM_Metrics_2023_Entity[[#This Row],[SHL operating surplus / (deficit)]] / VfM_Metrics_2023_Entity[[#This Row],[Turnover from social housing lettings]], "n/a" )</f>
        <v>0.33491217063989964</v>
      </c>
      <c r="BS94" s="5" vm="17920">
        <f xml:space="preserve"> VfM_Metrics_2023_Entity[[#This Row],[Operating surplus/(deficit) (social housing lettings)]]</f>
        <v>32031</v>
      </c>
      <c r="BT94" s="84" vm="17920">
        <v>32031</v>
      </c>
      <c r="BU94" s="5" vm="18119">
        <f xml:space="preserve"> VfM_Metrics_2023_Entity[[#This Row],[Turnover from social housing lettings]]</f>
        <v>95640</v>
      </c>
      <c r="BV94" s="135" vm="18119">
        <v>95640</v>
      </c>
      <c r="BW94" s="134">
        <f xml:space="preserve"> IFERROR( VfM_Metrics_2023_Entity[[#This Row],[Net operating surplus]] / VfM_Metrics_2023_Entity[[#This Row],[Overall turnover]], "n/a" )</f>
        <v>0.2101370217644557</v>
      </c>
      <c r="BX94" s="5">
        <f xml:space="preserve"> SUM( VfM_Metrics_2023_Entity[[#This Row],[Operating surplus/(deficit) (overall)2]], - VfM_Metrics_2023_Entity[[#This Row],[Gain/(loss) on disposal of fixed assets (housing properties)2]], - VfM_Metrics_2023_Entity[[#This Row],[Gain/(loss) on disposal of fixed assets (other)2]] )</f>
        <v>22728</v>
      </c>
      <c r="BY94" s="84" vm="13512">
        <v>27100</v>
      </c>
      <c r="BZ94" s="84" vm="13984">
        <v>4340</v>
      </c>
      <c r="CA94" s="84" vm="14233">
        <v>32</v>
      </c>
      <c r="CB94" s="5" vm="18270">
        <f xml:space="preserve"> VfM_Metrics_2023_Entity[[#This Row],[Turnover (overall)]]</f>
        <v>108158</v>
      </c>
      <c r="CC94" s="135" vm="18270">
        <v>108158</v>
      </c>
      <c r="CD94" s="134">
        <f xml:space="preserve"> IFERROR( VfM_Metrics_2023_Entity[[#This Row],[Operating surplus including from JVs]] / VfM_Metrics_2023_Entity[[#This Row],[Net assets]], "n/a" )</f>
        <v>3.9202752004258781E-2</v>
      </c>
      <c r="CE94" s="5">
        <f xml:space="preserve"> SUM( VfM_Metrics_2023_Entity[[#This Row],[Operating surplus/(deficit) (overall)3]], VfM_Metrics_2023_Entity[[#This Row],[Share of operating surplus/(deficit) in joint ventures or associates]] )</f>
        <v>27100</v>
      </c>
      <c r="CF94" s="84" vm="18429">
        <v>27100</v>
      </c>
      <c r="CG94" s="84" vm="18479">
        <v>0</v>
      </c>
      <c r="CH94" s="5" vm="18656">
        <f xml:space="preserve"> VfM_Metrics_2023_Entity[[#This Row],[Total assets less current liabilities]]</f>
        <v>691278</v>
      </c>
      <c r="CI94" s="135" vm="18656">
        <v>691278</v>
      </c>
      <c r="CJ94" s="140" vm="11244">
        <f xml:space="preserve"> VfM_Metrics_2023_Entity[[#This Row],[Total social housing units owned (Period end)]]</f>
        <v>18908</v>
      </c>
      <c r="CK94" s="141">
        <v>1.3177392040643523E-2</v>
      </c>
      <c r="CL94" s="69">
        <f xml:space="preserve"> -- ( VfM_Metrics_2023_Entity[[#This Row],[% Supported housing (excl. HOP)]] &gt; 0.3 )</f>
        <v>0</v>
      </c>
      <c r="CM94" s="9">
        <v>9.785139712108383E-2</v>
      </c>
      <c r="CN94" s="69">
        <f xml:space="preserve"> -- ( VfM_Metrics_2023_Entity[[#This Row],[% Housing for older people]] &gt; 0.3 )</f>
        <v>0</v>
      </c>
      <c r="CO94" s="9">
        <f xml:space="preserve"> VfM_Metrics_2023_Entity[[#This Row],[% Supported housing (excl. HOP)]] + VfM_Metrics_2023_Entity[[#This Row],[% Housing for older people]]</f>
        <v>0.11102878916172736</v>
      </c>
      <c r="CP94" s="69">
        <f xml:space="preserve"> -- ( VfM_Metrics_2023_Entity[[#This Row],[SH specialist in RSH analysis]] + VfM_Metrics_2023_Entity[[#This Row],[OP specialist in RSH analysis]] &gt; 0 )</f>
        <v>0</v>
      </c>
      <c r="CQ94" s="142">
        <f xml:space="preserve"> -- ( VfM_Metrics_2023_Entity[[#This Row],[% SH and OP]] &gt; 0.3 )</f>
        <v>0</v>
      </c>
      <c r="CR94" s="143" t="s">
        <v>143</v>
      </c>
      <c r="CS94" s="120"/>
      <c r="CT94" s="144" t="s">
        <v>151</v>
      </c>
      <c r="CU9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94" s="146">
        <v>0</v>
      </c>
      <c r="CW94" s="146">
        <v>0</v>
      </c>
      <c r="CX94" s="146">
        <v>0</v>
      </c>
      <c r="CY94" s="146">
        <v>0</v>
      </c>
      <c r="CZ94" s="146">
        <v>1</v>
      </c>
      <c r="DA94" s="146">
        <v>0</v>
      </c>
      <c r="DB94" s="146">
        <v>0</v>
      </c>
      <c r="DC94" s="146">
        <v>0</v>
      </c>
      <c r="DD94" s="146">
        <v>0</v>
      </c>
      <c r="DE94" s="126">
        <v>0.96459033333600952</v>
      </c>
    </row>
    <row r="95" spans="1:109" x14ac:dyDescent="0.25">
      <c r="A95" s="4" t="s" vm="315">
        <v>292</v>
      </c>
      <c r="B95" s="4" t="s" vm="10622">
        <v>293</v>
      </c>
      <c r="C95" s="121" vm="18899">
        <v>45016</v>
      </c>
      <c r="D95" s="68">
        <f>IFERROR( VfM_Metrics_2023_Entity[[#This Row],[Reinvestment Spend]] / VfM_Metrics_2023_Entity[[#This Row],[Net Book Value of Housing Properties]], "n/a" )</f>
        <v>2.7245047503537498E-2</v>
      </c>
      <c r="E9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4313</v>
      </c>
      <c r="F95" s="84" vm="10749">
        <v>2950</v>
      </c>
      <c r="G95" s="84" vm="9758">
        <v>0</v>
      </c>
      <c r="H95" s="84" vm="9652">
        <v>1128</v>
      </c>
      <c r="I95" s="84" vm="10261">
        <v>235</v>
      </c>
      <c r="J95" s="84" vm="9402">
        <v>0</v>
      </c>
      <c r="K95" s="5">
        <f xml:space="preserve"> SUM( VfM_Metrics_2023_Entity[[#This Row],[Tangible fixed assets: Housing properties at cost (Current period)]],VfM_Metrics_2023_Entity[[#This Row],[Tangible fixed assets Housing properties at valuation (Current period)]] )</f>
        <v>158304</v>
      </c>
      <c r="L95" s="84" vm="10511">
        <v>158304</v>
      </c>
      <c r="M95" s="84" vm="10395">
        <v>0</v>
      </c>
      <c r="N95" s="134">
        <f xml:space="preserve"> IFERROR( VfM_Metrics_2023_Entity[[#This Row],[Total social units developed or newly built units acquired in-year]] / VfM_Metrics_2023_Entity[[#This Row],[Social housing units owned (period end)]], "n/a" )</f>
        <v>6.9863448713877417E-3</v>
      </c>
      <c r="O95" s="5">
        <f xml:space="preserve"> SUM( VfM_Metrics_2023_Entity[[#This Row],[Total social units developed or newly built units acquired in-year (owned)]], VfM_Metrics_2023_Entity[[#This Row],[Total social leasehold units developed or newly built units acquired in-year (owned)]] )</f>
        <v>22</v>
      </c>
      <c r="P95" s="84" vm="11017">
        <v>22</v>
      </c>
      <c r="Q95" s="84" vm="11151">
        <v>0</v>
      </c>
      <c r="R95" s="5">
        <f xml:space="preserve"> SUM( VfM_Metrics_2023_Entity[[#This Row],[Total social housing units owned (Period end)]], VfM_Metrics_2023_Entity[[#This Row],[Total social leasehold units owned (Period end)]] )</f>
        <v>3149</v>
      </c>
      <c r="S95" s="84" vm="11318">
        <v>3106</v>
      </c>
      <c r="T95" s="135" vm="11482">
        <v>43</v>
      </c>
      <c r="U95" s="136">
        <f xml:space="preserve"> IFERROR( VfM_Metrics_2023_Entity[[#This Row],[Total non-social housing units developed or newly built units acquired (owned)]] / VfM_Metrics_2023_Entity[[#This Row],[Total social and non-social housing units owned (Period end)]], "n/a" )</f>
        <v>0</v>
      </c>
      <c r="V9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95" s="84" vm="11638">
        <v>0</v>
      </c>
      <c r="X95" s="84" vm="11883">
        <v>0</v>
      </c>
      <c r="Y95" s="84" vm="11922">
        <v>0</v>
      </c>
      <c r="Z9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3197</v>
      </c>
      <c r="AA95" s="84" vm="12000">
        <v>3106</v>
      </c>
      <c r="AB95" s="84" vm="11457">
        <v>43</v>
      </c>
      <c r="AC95" s="84" vm="12102">
        <v>48</v>
      </c>
      <c r="AD95" s="135" vm="12262">
        <v>0</v>
      </c>
      <c r="AE95" s="134">
        <f xml:space="preserve"> IFERROR( VfM_Metrics_2023_Entity[[#This Row],[Total Net Debt]] / VfM_Metrics_2023_Entity[[#This Row],[Net Book Value of Housing Properties2]], "n/a" )</f>
        <v>0.46803618354558318</v>
      </c>
      <c r="AF9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74092</v>
      </c>
      <c r="AG95" s="84" vm="12641">
        <v>4494</v>
      </c>
      <c r="AH95" s="84" vm="13074">
        <v>73047</v>
      </c>
      <c r="AI95" s="84" vm="13160">
        <v>3449</v>
      </c>
      <c r="AJ95" s="84" vm="13241">
        <v>0</v>
      </c>
      <c r="AK95" s="84" vm="13330">
        <v>0</v>
      </c>
      <c r="AL95" s="5">
        <f xml:space="preserve"> SUM( VfM_Metrics_2023_Entity[[#This Row],[Tangible fixed assets: Housing properties at cost (Current period)2]], VfM_Metrics_2023_Entity[[#This Row],[Tangible fixed assets Housing properties at valuation (Current period)2]] )</f>
        <v>158304</v>
      </c>
      <c r="AM95" s="84" vm="10063">
        <v>158304</v>
      </c>
      <c r="AN95" s="135" vm="13405">
        <v>0</v>
      </c>
      <c r="AO95" s="137">
        <f xml:space="preserve"> IFERROR( VfM_Metrics_2023_Entity[[#This Row],[EBITDA MRI]] / VfM_Metrics_2023_Entity[[#This Row],[Total interest]], "n/a" )</f>
        <v>1.0292160833092276</v>
      </c>
      <c r="AP9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3558</v>
      </c>
      <c r="AQ95" s="84" vm="13549">
        <v>2873</v>
      </c>
      <c r="AR95" s="84" vm="14234">
        <v>461</v>
      </c>
      <c r="AS95" s="84" vm="14477">
        <v>0</v>
      </c>
      <c r="AT95" s="84" vm="14724">
        <v>1028</v>
      </c>
      <c r="AU95" s="84" vm="14968">
        <v>0</v>
      </c>
      <c r="AV95" s="84" vm="13732">
        <v>18</v>
      </c>
      <c r="AW95" s="84" vm="13986">
        <v>1128</v>
      </c>
      <c r="AX95" s="84" vm="14235">
        <v>3284</v>
      </c>
      <c r="AY95" s="5">
        <f xml:space="preserve"> - SUM( VfM_Metrics_2023_Entity[[#This Row],[Interest capitalised]], VfM_Metrics_2023_Entity[[#This Row],[Interest payable and financing costs]] )</f>
        <v>3457</v>
      </c>
      <c r="AZ95" s="84" vm="15219">
        <v>-235</v>
      </c>
      <c r="BA95" s="135" vm="15391">
        <v>-3222</v>
      </c>
      <c r="BB95" s="138">
        <f xml:space="preserve"> IFERROR( ( VfM_Metrics_2023_Entity[[#This Row],[Total Costs]] / VfM_Metrics_2023_Entity[[#This Row],[Total units for costs]] ) * 1000, "n/a" )</f>
        <v>3950.0480307396733</v>
      </c>
      <c r="BC9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12336</v>
      </c>
      <c r="BD95" s="84" vm="15516">
        <v>3238</v>
      </c>
      <c r="BE95" s="84" vm="17329">
        <v>2669</v>
      </c>
      <c r="BF95" s="84" vm="16138">
        <v>3311</v>
      </c>
      <c r="BG95" s="84" vm="16423">
        <v>670</v>
      </c>
      <c r="BH95" s="84" vm="15941">
        <v>1161</v>
      </c>
      <c r="BI95" s="84" vm="16793">
        <v>0</v>
      </c>
      <c r="BJ95" s="84" vm="15804">
        <v>1128</v>
      </c>
      <c r="BK95" s="84" vm="17246">
        <v>8</v>
      </c>
      <c r="BL95" s="84" vm="16419">
        <v>56</v>
      </c>
      <c r="BM95" s="84" vm="15942">
        <v>95</v>
      </c>
      <c r="BN95" s="84" vm="16711">
        <v>0</v>
      </c>
      <c r="BO95" s="84" vm="16139">
        <v>0</v>
      </c>
      <c r="BP95" s="5" vm="17802">
        <f xml:space="preserve"> VfM_Metrics_2023_Entity[[#This Row],[Total social housing units owned and/or managed at period end]]</f>
        <v>3123</v>
      </c>
      <c r="BQ95" s="135" vm="17802">
        <v>3123</v>
      </c>
      <c r="BR95" s="134">
        <f xml:space="preserve"> IFERROR( VfM_Metrics_2023_Entity[[#This Row],[SHL operating surplus / (deficit)]] / VfM_Metrics_2023_Entity[[#This Row],[Turnover from social housing lettings]], "n/a" )</f>
        <v>0.12231131475117729</v>
      </c>
      <c r="BS95" s="5" vm="17957">
        <f xml:space="preserve"> VfM_Metrics_2023_Entity[[#This Row],[Operating surplus/(deficit) (social housing lettings)]]</f>
        <v>1922</v>
      </c>
      <c r="BT95" s="84" vm="17957">
        <v>1922</v>
      </c>
      <c r="BU95" s="5" vm="18131">
        <f xml:space="preserve"> VfM_Metrics_2023_Entity[[#This Row],[Turnover from social housing lettings]]</f>
        <v>15714</v>
      </c>
      <c r="BV95" s="135" vm="18131">
        <v>15714</v>
      </c>
      <c r="BW95" s="134">
        <f xml:space="preserve"> IFERROR( VfM_Metrics_2023_Entity[[#This Row],[Net operating surplus]] / VfM_Metrics_2023_Entity[[#This Row],[Overall turnover]], "n/a" )</f>
        <v>0.12507778469197262</v>
      </c>
      <c r="BX95" s="5">
        <f xml:space="preserve"> SUM( VfM_Metrics_2023_Entity[[#This Row],[Operating surplus/(deficit) (overall)2]], - VfM_Metrics_2023_Entity[[#This Row],[Gain/(loss) on disposal of fixed assets (housing properties)2]], - VfM_Metrics_2023_Entity[[#This Row],[Gain/(loss) on disposal of fixed assets (other)2]] )</f>
        <v>2412</v>
      </c>
      <c r="BY95" s="84" vm="18225">
        <v>2873</v>
      </c>
      <c r="BZ95" s="84" vm="14234">
        <v>461</v>
      </c>
      <c r="CA95" s="84" vm="14477">
        <v>0</v>
      </c>
      <c r="CB95" s="5" vm="18305">
        <f xml:space="preserve"> VfM_Metrics_2023_Entity[[#This Row],[Turnover (overall)]]</f>
        <v>19284</v>
      </c>
      <c r="CC95" s="135" vm="18305">
        <v>19284</v>
      </c>
      <c r="CD95" s="134">
        <f xml:space="preserve"> IFERROR( VfM_Metrics_2023_Entity[[#This Row],[Operating surplus including from JVs]] / VfM_Metrics_2023_Entity[[#This Row],[Net assets]], "n/a" )</f>
        <v>1.7549217828979117E-2</v>
      </c>
      <c r="CE95" s="5">
        <f xml:space="preserve"> SUM( VfM_Metrics_2023_Entity[[#This Row],[Operating surplus/(deficit) (overall)3]], VfM_Metrics_2023_Entity[[#This Row],[Share of operating surplus/(deficit) in joint ventures or associates]] )</f>
        <v>2873</v>
      </c>
      <c r="CF95" s="84" vm="18225">
        <v>2873</v>
      </c>
      <c r="CG95" s="84" vm="18497">
        <v>0</v>
      </c>
      <c r="CH95" s="5" vm="18692">
        <f xml:space="preserve"> VfM_Metrics_2023_Entity[[#This Row],[Total assets less current liabilities]]</f>
        <v>163711</v>
      </c>
      <c r="CI95" s="135" vm="18692">
        <v>163711</v>
      </c>
      <c r="CJ95" s="140" vm="11318">
        <f xml:space="preserve"> VfM_Metrics_2023_Entity[[#This Row],[Total social housing units owned (Period end)]]</f>
        <v>3106</v>
      </c>
      <c r="CK95" s="141">
        <v>4.6804389928986445E-2</v>
      </c>
      <c r="CL95" s="69">
        <f xml:space="preserve"> -- ( VfM_Metrics_2023_Entity[[#This Row],[% Supported housing (excl. HOP)]] &gt; 0.3 )</f>
        <v>0</v>
      </c>
      <c r="CM95" s="9">
        <v>0.14138153647514526</v>
      </c>
      <c r="CN95" s="69">
        <f xml:space="preserve"> -- ( VfM_Metrics_2023_Entity[[#This Row],[% Housing for older people]] &gt; 0.3 )</f>
        <v>0</v>
      </c>
      <c r="CO95" s="9">
        <f xml:space="preserve"> VfM_Metrics_2023_Entity[[#This Row],[% Supported housing (excl. HOP)]] + VfM_Metrics_2023_Entity[[#This Row],[% Housing for older people]]</f>
        <v>0.1881859264041317</v>
      </c>
      <c r="CP95" s="69">
        <f xml:space="preserve"> -- ( VfM_Metrics_2023_Entity[[#This Row],[SH specialist in RSH analysis]] + VfM_Metrics_2023_Entity[[#This Row],[OP specialist in RSH analysis]] &gt; 0 )</f>
        <v>0</v>
      </c>
      <c r="CQ95" s="142">
        <f xml:space="preserve"> -- ( VfM_Metrics_2023_Entity[[#This Row],[% SH and OP]] &gt; 0.3 )</f>
        <v>0</v>
      </c>
      <c r="CR95" s="143" t="s">
        <v>143</v>
      </c>
      <c r="CS95" s="120"/>
      <c r="CT95" s="144" t="s">
        <v>144</v>
      </c>
      <c r="CU9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95" s="146">
        <v>0</v>
      </c>
      <c r="CW95" s="146">
        <v>0</v>
      </c>
      <c r="CX95" s="146">
        <v>0</v>
      </c>
      <c r="CY95" s="146">
        <v>0</v>
      </c>
      <c r="CZ95" s="146">
        <v>0.96701502286087526</v>
      </c>
      <c r="DA95" s="146">
        <v>0</v>
      </c>
      <c r="DB95" s="146">
        <v>0</v>
      </c>
      <c r="DC95" s="146">
        <v>3.2984977139124752E-2</v>
      </c>
      <c r="DD95" s="146">
        <v>0</v>
      </c>
      <c r="DE95" s="126">
        <v>0.96447385804062036</v>
      </c>
    </row>
    <row r="96" spans="1:109" x14ac:dyDescent="0.25">
      <c r="A96" s="4" t="s" vm="268">
        <v>294</v>
      </c>
      <c r="B96" s="4" t="s" vm="10387">
        <v>295</v>
      </c>
      <c r="C96" s="121" vm="18935">
        <v>45016</v>
      </c>
      <c r="D96" s="68">
        <f>IFERROR( VfM_Metrics_2023_Entity[[#This Row],[Reinvestment Spend]] / VfM_Metrics_2023_Entity[[#This Row],[Net Book Value of Housing Properties]], "n/a" )</f>
        <v>5.635329918965977E-2</v>
      </c>
      <c r="E9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76351</v>
      </c>
      <c r="F96" s="84" vm="9430">
        <v>45658</v>
      </c>
      <c r="G96" s="84" vm="9718">
        <v>0</v>
      </c>
      <c r="H96" s="84" vm="10828">
        <v>30233</v>
      </c>
      <c r="I96" s="84" vm="9493">
        <v>460</v>
      </c>
      <c r="J96" s="84" vm="10728">
        <v>0</v>
      </c>
      <c r="K96" s="5">
        <f xml:space="preserve"> SUM( VfM_Metrics_2023_Entity[[#This Row],[Tangible fixed assets: Housing properties at cost (Current period)]],VfM_Metrics_2023_Entity[[#This Row],[Tangible fixed assets Housing properties at valuation (Current period)]] )</f>
        <v>1354863</v>
      </c>
      <c r="L96" s="84" vm="10028">
        <v>1354863</v>
      </c>
      <c r="M96" s="84">
        <v>0</v>
      </c>
      <c r="N96" s="134">
        <f xml:space="preserve"> IFERROR( VfM_Metrics_2023_Entity[[#This Row],[Total social units developed or newly built units acquired in-year]] / VfM_Metrics_2023_Entity[[#This Row],[Social housing units owned (period end)]], "n/a" )</f>
        <v>1.4294900331404264E-2</v>
      </c>
      <c r="O96" s="5">
        <f xml:space="preserve"> SUM( VfM_Metrics_2023_Entity[[#This Row],[Total social units developed or newly built units acquired in-year (owned)]], VfM_Metrics_2023_Entity[[#This Row],[Total social leasehold units developed or newly built units acquired in-year (owned)]] )</f>
        <v>289</v>
      </c>
      <c r="P96" s="84" vm="11049">
        <v>265</v>
      </c>
      <c r="Q96" s="84" vm="11174">
        <v>24</v>
      </c>
      <c r="R96" s="5">
        <f xml:space="preserve"> SUM( VfM_Metrics_2023_Entity[[#This Row],[Total social housing units owned (Period end)]], VfM_Metrics_2023_Entity[[#This Row],[Total social leasehold units owned (Period end)]] )</f>
        <v>20217</v>
      </c>
      <c r="S96" s="84" vm="11326">
        <v>19383</v>
      </c>
      <c r="T96" s="135" vm="11465">
        <v>834</v>
      </c>
      <c r="U96" s="136">
        <f xml:space="preserve"> IFERROR( VfM_Metrics_2023_Entity[[#This Row],[Total non-social housing units developed or newly built units acquired (owned)]] / VfM_Metrics_2023_Entity[[#This Row],[Total social and non-social housing units owned (Period end)]], "n/a" )</f>
        <v>1.1464603038119805E-3</v>
      </c>
      <c r="V9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24</v>
      </c>
      <c r="W96" s="84">
        <v>0</v>
      </c>
      <c r="X96" s="84">
        <v>0</v>
      </c>
      <c r="Y96" s="84" vm="11738">
        <v>24</v>
      </c>
      <c r="Z9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20934</v>
      </c>
      <c r="AA96" s="84" vm="12028">
        <v>19383</v>
      </c>
      <c r="AB96" s="84" vm="12441">
        <v>834</v>
      </c>
      <c r="AC96" s="84" vm="12359">
        <v>209</v>
      </c>
      <c r="AD96" s="135" vm="12502">
        <v>508</v>
      </c>
      <c r="AE96" s="134">
        <f xml:space="preserve"> IFERROR( VfM_Metrics_2023_Entity[[#This Row],[Total Net Debt]] / VfM_Metrics_2023_Entity[[#This Row],[Net Book Value of Housing Properties2]], "n/a" )</f>
        <v>0.38968146594895575</v>
      </c>
      <c r="AF9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527965</v>
      </c>
      <c r="AG96" s="84" vm="12665">
        <v>6887</v>
      </c>
      <c r="AH96" s="84" vm="12753">
        <v>604278</v>
      </c>
      <c r="AI96" s="84" vm="12980">
        <v>83200</v>
      </c>
      <c r="AJ96" s="84">
        <v>0</v>
      </c>
      <c r="AK96" s="84">
        <v>0</v>
      </c>
      <c r="AL96" s="5">
        <f xml:space="preserve"> SUM( VfM_Metrics_2023_Entity[[#This Row],[Tangible fixed assets: Housing properties at cost (Current period)2]], VfM_Metrics_2023_Entity[[#This Row],[Tangible fixed assets Housing properties at valuation (Current period)2]] )</f>
        <v>1354863</v>
      </c>
      <c r="AM96" s="84" vm="10028">
        <v>1354863</v>
      </c>
      <c r="AN96" s="135">
        <v>0</v>
      </c>
      <c r="AO96" s="137">
        <f xml:space="preserve"> IFERROR( VfM_Metrics_2023_Entity[[#This Row],[EBITDA MRI]] / VfM_Metrics_2023_Entity[[#This Row],[Total interest]], "n/a" )</f>
        <v>1.2657061648534744</v>
      </c>
      <c r="AP9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25828</v>
      </c>
      <c r="AQ96" s="84" vm="13574">
        <v>23317</v>
      </c>
      <c r="AR96" s="84" vm="14478">
        <v>278</v>
      </c>
      <c r="AS96" s="84">
        <v>0</v>
      </c>
      <c r="AT96" s="84" vm="14969">
        <v>781</v>
      </c>
      <c r="AU96" s="84" vm="13733">
        <v>0</v>
      </c>
      <c r="AV96" s="84" vm="13987">
        <v>4526</v>
      </c>
      <c r="AW96" s="84" vm="14236">
        <v>30233</v>
      </c>
      <c r="AX96" s="84" vm="14479">
        <v>29277</v>
      </c>
      <c r="AY96" s="5">
        <f xml:space="preserve"> - SUM( VfM_Metrics_2023_Entity[[#This Row],[Interest capitalised]], VfM_Metrics_2023_Entity[[#This Row],[Interest payable and financing costs]] )</f>
        <v>20406</v>
      </c>
      <c r="AZ96" s="84" vm="15246">
        <v>-528</v>
      </c>
      <c r="BA96" s="135" vm="15420">
        <v>-19878</v>
      </c>
      <c r="BB96" s="138">
        <f xml:space="preserve"> IFERROR( ( VfM_Metrics_2023_Entity[[#This Row],[Total Costs]] / VfM_Metrics_2023_Entity[[#This Row],[Total units for costs]] ) * 1000, "n/a" )</f>
        <v>7593.0868622088092</v>
      </c>
      <c r="BC9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161019</v>
      </c>
      <c r="BD96" s="84" vm="15805">
        <v>35709</v>
      </c>
      <c r="BE96" s="84" vm="17109">
        <v>56910</v>
      </c>
      <c r="BF96" s="84" vm="16140">
        <v>14825</v>
      </c>
      <c r="BG96" s="84" vm="17330">
        <v>9960</v>
      </c>
      <c r="BH96" s="84" vm="15943">
        <v>2443</v>
      </c>
      <c r="BI96" s="84" vm="16624">
        <v>501</v>
      </c>
      <c r="BJ96" s="84" vm="15806">
        <v>30233</v>
      </c>
      <c r="BK96" s="84" vm="17034">
        <v>1675</v>
      </c>
      <c r="BL96" s="84" vm="17490">
        <v>1934</v>
      </c>
      <c r="BM96" s="84">
        <v>0</v>
      </c>
      <c r="BN96" s="84" vm="16425">
        <v>2290</v>
      </c>
      <c r="BO96" s="84" vm="16005">
        <v>4539</v>
      </c>
      <c r="BP96" s="5" vm="17700">
        <f xml:space="preserve"> VfM_Metrics_2023_Entity[[#This Row],[Total social housing units owned and/or managed at period end]]</f>
        <v>21206</v>
      </c>
      <c r="BQ96" s="135" vm="17700">
        <v>21206</v>
      </c>
      <c r="BR96" s="134">
        <f xml:space="preserve"> IFERROR( VfM_Metrics_2023_Entity[[#This Row],[SHL operating surplus / (deficit)]] / VfM_Metrics_2023_Entity[[#This Row],[Turnover from social housing lettings]], "n/a" )</f>
        <v>0.13434934981093793</v>
      </c>
      <c r="BS96" s="5" vm="17995">
        <f xml:space="preserve"> VfM_Metrics_2023_Entity[[#This Row],[Operating surplus/(deficit) (social housing lettings)]]</f>
        <v>23308</v>
      </c>
      <c r="BT96" s="84" vm="17995">
        <v>23308</v>
      </c>
      <c r="BU96" s="5" vm="18171">
        <f xml:space="preserve"> VfM_Metrics_2023_Entity[[#This Row],[Turnover from social housing lettings]]</f>
        <v>173488</v>
      </c>
      <c r="BV96" s="135" vm="18171">
        <v>173488</v>
      </c>
      <c r="BW96" s="134">
        <f xml:space="preserve"> IFERROR( VfM_Metrics_2023_Entity[[#This Row],[Net operating surplus]] / VfM_Metrics_2023_Entity[[#This Row],[Overall turnover]], "n/a" )</f>
        <v>9.349674329890631E-2</v>
      </c>
      <c r="BX96" s="5">
        <f xml:space="preserve"> SUM( VfM_Metrics_2023_Entity[[#This Row],[Operating surplus/(deficit) (overall)2]], - VfM_Metrics_2023_Entity[[#This Row],[Gain/(loss) on disposal of fixed assets (housing properties)2]], - VfM_Metrics_2023_Entity[[#This Row],[Gain/(loss) on disposal of fixed assets (other)2]] )</f>
        <v>23039</v>
      </c>
      <c r="BY96" s="84" vm="13574">
        <v>23317</v>
      </c>
      <c r="BZ96" s="84" vm="14478">
        <v>278</v>
      </c>
      <c r="CA96" s="84">
        <v>0</v>
      </c>
      <c r="CB96" s="5" vm="18337">
        <f xml:space="preserve"> VfM_Metrics_2023_Entity[[#This Row],[Turnover (overall)]]</f>
        <v>246415</v>
      </c>
      <c r="CC96" s="135" vm="18337">
        <v>246415</v>
      </c>
      <c r="CD96" s="134">
        <f xml:space="preserve"> IFERROR( VfM_Metrics_2023_Entity[[#This Row],[Operating surplus including from JVs]] / VfM_Metrics_2023_Entity[[#This Row],[Net assets]], "n/a" )</f>
        <v>1.5932658773109426E-2</v>
      </c>
      <c r="CE96" s="5">
        <f xml:space="preserve"> SUM( VfM_Metrics_2023_Entity[[#This Row],[Operating surplus/(deficit) (overall)3]], VfM_Metrics_2023_Entity[[#This Row],[Share of operating surplus/(deficit) in joint ventures or associates]] )</f>
        <v>23317</v>
      </c>
      <c r="CF96" s="84" vm="13575">
        <v>23317</v>
      </c>
      <c r="CG96" s="84">
        <v>0</v>
      </c>
      <c r="CH96" s="5" vm="18718">
        <f xml:space="preserve"> VfM_Metrics_2023_Entity[[#This Row],[Total assets less current liabilities]]</f>
        <v>1463472</v>
      </c>
      <c r="CI96" s="135" vm="18718">
        <v>1463472</v>
      </c>
      <c r="CJ96" s="140" vm="11326">
        <f xml:space="preserve"> VfM_Metrics_2023_Entity[[#This Row],[Total social housing units owned (Period end)]]</f>
        <v>19383</v>
      </c>
      <c r="CK96" s="141">
        <v>8.5643101837433819E-3</v>
      </c>
      <c r="CL96" s="69">
        <f xml:space="preserve"> -- ( VfM_Metrics_2023_Entity[[#This Row],[% Supported housing (excl. HOP)]] &gt; 0.3 )</f>
        <v>0</v>
      </c>
      <c r="CM96" s="9">
        <v>0.91363022941970307</v>
      </c>
      <c r="CN96" s="69">
        <f xml:space="preserve"> -- ( VfM_Metrics_2023_Entity[[#This Row],[% Housing for older people]] &gt; 0.3 )</f>
        <v>1</v>
      </c>
      <c r="CO96" s="9">
        <f xml:space="preserve"> VfM_Metrics_2023_Entity[[#This Row],[% Supported housing (excl. HOP)]] + VfM_Metrics_2023_Entity[[#This Row],[% Housing for older people]]</f>
        <v>0.92219453960344644</v>
      </c>
      <c r="CP96" s="69">
        <f xml:space="preserve"> -- ( VfM_Metrics_2023_Entity[[#This Row],[SH specialist in RSH analysis]] + VfM_Metrics_2023_Entity[[#This Row],[OP specialist in RSH analysis]] &gt; 0 )</f>
        <v>1</v>
      </c>
      <c r="CQ96" s="142">
        <f xml:space="preserve"> -- ( VfM_Metrics_2023_Entity[[#This Row],[% SH and OP]] &gt; 0.3 )</f>
        <v>1</v>
      </c>
      <c r="CR96" s="143" t="s">
        <v>143</v>
      </c>
      <c r="CS96" s="120"/>
      <c r="CT96" s="144" t="s">
        <v>144</v>
      </c>
      <c r="CU9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96" s="146">
        <v>7.3153078633097238E-2</v>
      </c>
      <c r="CW96" s="146">
        <v>0.17453342294370056</v>
      </c>
      <c r="CX96" s="146">
        <v>8.9334643023315924E-2</v>
      </c>
      <c r="CY96" s="146">
        <v>7.3256475210670524E-2</v>
      </c>
      <c r="CZ96" s="146">
        <v>0.1304864808974823</v>
      </c>
      <c r="DA96" s="146">
        <v>0.10592979372382774</v>
      </c>
      <c r="DB96" s="146">
        <v>8.4681797032518227E-2</v>
      </c>
      <c r="DC96" s="146">
        <v>0.13922349170242465</v>
      </c>
      <c r="DD96" s="146">
        <v>0.12940081683296284</v>
      </c>
      <c r="DE96" s="126">
        <v>0.98724722123456488</v>
      </c>
    </row>
    <row r="97" spans="1:109" x14ac:dyDescent="0.25">
      <c r="A97" s="4" t="s" vm="377">
        <v>296</v>
      </c>
      <c r="B97" s="4" t="s" vm="9872">
        <v>297</v>
      </c>
      <c r="C97" s="121" vm="18939">
        <v>45016</v>
      </c>
      <c r="D97" s="68">
        <f>IFERROR( VfM_Metrics_2023_Entity[[#This Row],[Reinvestment Spend]] / VfM_Metrics_2023_Entity[[#This Row],[Net Book Value of Housing Properties]], "n/a" )</f>
        <v>2.2674567363731253E-2</v>
      </c>
      <c r="E9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11166</v>
      </c>
      <c r="F97" s="84" vm="9462">
        <v>0</v>
      </c>
      <c r="G97" s="84" vm="10941">
        <v>7480</v>
      </c>
      <c r="H97" s="84" vm="9794">
        <v>3686</v>
      </c>
      <c r="I97" s="84" vm="9759">
        <v>0</v>
      </c>
      <c r="J97" s="84" vm="9494">
        <v>0</v>
      </c>
      <c r="K97" s="5">
        <f xml:space="preserve"> SUM( VfM_Metrics_2023_Entity[[#This Row],[Tangible fixed assets: Housing properties at cost (Current period)]],VfM_Metrics_2023_Entity[[#This Row],[Tangible fixed assets Housing properties at valuation (Current period)]] )</f>
        <v>492446</v>
      </c>
      <c r="L97" s="84" vm="10936">
        <v>492446</v>
      </c>
      <c r="M97" s="84" vm="10150">
        <v>0</v>
      </c>
      <c r="N97" s="134">
        <f xml:space="preserve"> IFERROR( VfM_Metrics_2023_Entity[[#This Row],[Total social units developed or newly built units acquired in-year]] / VfM_Metrics_2023_Entity[[#This Row],[Social housing units owned (period end)]], "n/a" )</f>
        <v>5.6346846141806231E-3</v>
      </c>
      <c r="O97" s="5">
        <f xml:space="preserve"> SUM( VfM_Metrics_2023_Entity[[#This Row],[Total social units developed or newly built units acquired in-year (owned)]], VfM_Metrics_2023_Entity[[#This Row],[Total social leasehold units developed or newly built units acquired in-year (owned)]] )</f>
        <v>36</v>
      </c>
      <c r="P97" s="84" vm="11068">
        <v>36</v>
      </c>
      <c r="Q97" s="84">
        <v>0</v>
      </c>
      <c r="R97" s="5">
        <f xml:space="preserve"> SUM( VfM_Metrics_2023_Entity[[#This Row],[Total social housing units owned (Period end)]], VfM_Metrics_2023_Entity[[#This Row],[Total social leasehold units owned (Period end)]] )</f>
        <v>6389</v>
      </c>
      <c r="S97" s="84" vm="11393">
        <v>6389</v>
      </c>
      <c r="T97" s="135" vm="11484">
        <v>0</v>
      </c>
      <c r="U97" s="136">
        <f xml:space="preserve"> IFERROR( VfM_Metrics_2023_Entity[[#This Row],[Total non-social housing units developed or newly built units acquired (owned)]] / VfM_Metrics_2023_Entity[[#This Row],[Total social and non-social housing units owned (Period end)]], "n/a" )</f>
        <v>0</v>
      </c>
      <c r="V9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97" s="84">
        <v>0</v>
      </c>
      <c r="X97" s="84">
        <v>0</v>
      </c>
      <c r="Y97" s="84">
        <v>0</v>
      </c>
      <c r="Z9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6436</v>
      </c>
      <c r="AA97" s="84" vm="12046">
        <v>6389</v>
      </c>
      <c r="AB97" s="84" vm="12191">
        <v>0</v>
      </c>
      <c r="AC97" s="84" vm="12103">
        <v>47</v>
      </c>
      <c r="AD97" s="135" vm="12263">
        <v>0</v>
      </c>
      <c r="AE97" s="134">
        <f xml:space="preserve"> IFERROR( VfM_Metrics_2023_Entity[[#This Row],[Total Net Debt]] / VfM_Metrics_2023_Entity[[#This Row],[Net Book Value of Housing Properties2]], "n/a" )</f>
        <v>0.64663739780605389</v>
      </c>
      <c r="AF9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318434</v>
      </c>
      <c r="AG97" s="84" vm="12690">
        <v>2500</v>
      </c>
      <c r="AH97" s="84" vm="13119">
        <v>325323</v>
      </c>
      <c r="AI97" s="84" vm="13293">
        <v>9389</v>
      </c>
      <c r="AJ97" s="84" vm="12754">
        <v>0</v>
      </c>
      <c r="AK97" s="84" vm="12938">
        <v>0</v>
      </c>
      <c r="AL97" s="5">
        <f xml:space="preserve"> SUM( VfM_Metrics_2023_Entity[[#This Row],[Tangible fixed assets: Housing properties at cost (Current period)2]], VfM_Metrics_2023_Entity[[#This Row],[Tangible fixed assets Housing properties at valuation (Current period)2]] )</f>
        <v>492446</v>
      </c>
      <c r="AM97" s="84" vm="13396">
        <v>492446</v>
      </c>
      <c r="AN97" s="135" vm="13415">
        <v>0</v>
      </c>
      <c r="AO97" s="137">
        <f xml:space="preserve"> IFERROR( VfM_Metrics_2023_Entity[[#This Row],[EBITDA MRI]] / VfM_Metrics_2023_Entity[[#This Row],[Total interest]], "n/a" )</f>
        <v>1.522654979854386</v>
      </c>
      <c r="AP9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21541</v>
      </c>
      <c r="AQ97" s="84" vm="13605">
        <v>19323</v>
      </c>
      <c r="AR97" s="84" vm="14725">
        <v>896</v>
      </c>
      <c r="AS97" s="84" vm="14970">
        <v>64</v>
      </c>
      <c r="AT97" s="84" vm="13734">
        <v>642</v>
      </c>
      <c r="AU97" s="84" vm="13988">
        <v>0</v>
      </c>
      <c r="AV97" s="84" vm="14237">
        <v>1865</v>
      </c>
      <c r="AW97" s="84" vm="14480">
        <v>3686</v>
      </c>
      <c r="AX97" s="84" vm="14726">
        <v>5641</v>
      </c>
      <c r="AY97" s="5">
        <f xml:space="preserve"> - SUM( VfM_Metrics_2023_Entity[[#This Row],[Interest capitalised]], VfM_Metrics_2023_Entity[[#This Row],[Interest payable and financing costs]] )</f>
        <v>14147</v>
      </c>
      <c r="AZ97" s="84" vm="15276">
        <v>-89</v>
      </c>
      <c r="BA97" s="135" vm="15458">
        <v>-14058</v>
      </c>
      <c r="BB97" s="138">
        <f xml:space="preserve"> IFERROR( ( VfM_Metrics_2023_Entity[[#This Row],[Total Costs]] / VfM_Metrics_2023_Entity[[#This Row],[Total units for costs]] ) * 1000, "n/a" )</f>
        <v>4277.0386601972141</v>
      </c>
      <c r="BC9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27326</v>
      </c>
      <c r="BD97" s="84" vm="15561">
        <v>10125</v>
      </c>
      <c r="BE97" s="84" vm="16870">
        <v>3596</v>
      </c>
      <c r="BF97" s="84" vm="16142">
        <v>4022</v>
      </c>
      <c r="BG97" s="84" vm="17330">
        <v>5121</v>
      </c>
      <c r="BH97" s="84" vm="15945">
        <v>0</v>
      </c>
      <c r="BI97" s="84" vm="16421">
        <v>0</v>
      </c>
      <c r="BJ97" s="84" vm="15809">
        <v>3686</v>
      </c>
      <c r="BK97" s="84" vm="16794">
        <v>718</v>
      </c>
      <c r="BL97" s="84">
        <v>0</v>
      </c>
      <c r="BM97" s="84">
        <v>0</v>
      </c>
      <c r="BN97" s="84" vm="17563">
        <v>58</v>
      </c>
      <c r="BO97" s="84">
        <v>0</v>
      </c>
      <c r="BP97" s="5" vm="17735">
        <f xml:space="preserve"> VfM_Metrics_2023_Entity[[#This Row],[Total social housing units owned and/or managed at period end]]</f>
        <v>6389</v>
      </c>
      <c r="BQ97" s="135" vm="17735">
        <v>6389</v>
      </c>
      <c r="BR97" s="134">
        <f xml:space="preserve"> IFERROR( VfM_Metrics_2023_Entity[[#This Row],[SHL operating surplus / (deficit)]] / VfM_Metrics_2023_Entity[[#This Row],[Turnover from social housing lettings]], "n/a" )</f>
        <v>0.35506343200534163</v>
      </c>
      <c r="BS97" s="5" vm="18020">
        <f xml:space="preserve"> VfM_Metrics_2023_Entity[[#This Row],[Operating surplus/(deficit) (social housing lettings)]]</f>
        <v>15953</v>
      </c>
      <c r="BT97" s="84" vm="18020">
        <v>15953</v>
      </c>
      <c r="BU97" s="5" vm="18197">
        <f xml:space="preserve"> VfM_Metrics_2023_Entity[[#This Row],[Turnover from social housing lettings]]</f>
        <v>44930</v>
      </c>
      <c r="BV97" s="135" vm="18197">
        <v>44930</v>
      </c>
      <c r="BW97" s="134">
        <f xml:space="preserve"> IFERROR( VfM_Metrics_2023_Entity[[#This Row],[Net operating surplus]] / VfM_Metrics_2023_Entity[[#This Row],[Overall turnover]], "n/a" )</f>
        <v>0.34277234376166654</v>
      </c>
      <c r="BX97" s="5">
        <f xml:space="preserve"> SUM( VfM_Metrics_2023_Entity[[#This Row],[Operating surplus/(deficit) (overall)2]], - VfM_Metrics_2023_Entity[[#This Row],[Gain/(loss) on disposal of fixed assets (housing properties)2]], - VfM_Metrics_2023_Entity[[#This Row],[Gain/(loss) on disposal of fixed assets (other)2]] )</f>
        <v>18363</v>
      </c>
      <c r="BY97" s="84" vm="13605">
        <v>19323</v>
      </c>
      <c r="BZ97" s="84" vm="14725">
        <v>896</v>
      </c>
      <c r="CA97" s="84" vm="14970">
        <v>64</v>
      </c>
      <c r="CB97" s="5" vm="18425">
        <f xml:space="preserve"> VfM_Metrics_2023_Entity[[#This Row],[Turnover (overall)]]</f>
        <v>53572</v>
      </c>
      <c r="CC97" s="135" vm="18425">
        <v>53572</v>
      </c>
      <c r="CD97" s="134">
        <f xml:space="preserve"> IFERROR( VfM_Metrics_2023_Entity[[#This Row],[Operating surplus including from JVs]] / VfM_Metrics_2023_Entity[[#This Row],[Net assets]], "n/a" )</f>
        <v>3.7271285891189374E-2</v>
      </c>
      <c r="CE97" s="5">
        <f xml:space="preserve"> SUM( VfM_Metrics_2023_Entity[[#This Row],[Operating surplus/(deficit) (overall)3]], VfM_Metrics_2023_Entity[[#This Row],[Share of operating surplus/(deficit) in joint ventures or associates]] )</f>
        <v>19323</v>
      </c>
      <c r="CF97" s="84" vm="13604">
        <v>19323</v>
      </c>
      <c r="CG97" s="84">
        <v>0</v>
      </c>
      <c r="CH97" s="5" vm="18742">
        <f xml:space="preserve"> VfM_Metrics_2023_Entity[[#This Row],[Total assets less current liabilities]]</f>
        <v>518442</v>
      </c>
      <c r="CI97" s="135" vm="18742">
        <v>518442</v>
      </c>
      <c r="CJ97" s="140" vm="11393">
        <f xml:space="preserve"> VfM_Metrics_2023_Entity[[#This Row],[Total social housing units owned (Period end)]]</f>
        <v>6389</v>
      </c>
      <c r="CK97" s="141">
        <v>4.2976773581924477E-2</v>
      </c>
      <c r="CL97" s="69">
        <f xml:space="preserve"> -- ( VfM_Metrics_2023_Entity[[#This Row],[% Supported housing (excl. HOP)]] &gt; 0.3 )</f>
        <v>0</v>
      </c>
      <c r="CM97" s="9">
        <v>4.7242850371306683E-2</v>
      </c>
      <c r="CN97" s="69">
        <f xml:space="preserve"> -- ( VfM_Metrics_2023_Entity[[#This Row],[% Housing for older people]] &gt; 0.3 )</f>
        <v>0</v>
      </c>
      <c r="CO97" s="9">
        <f xml:space="preserve"> VfM_Metrics_2023_Entity[[#This Row],[% Supported housing (excl. HOP)]] + VfM_Metrics_2023_Entity[[#This Row],[% Housing for older people]]</f>
        <v>9.0219623953231159E-2</v>
      </c>
      <c r="CP97" s="69">
        <f xml:space="preserve"> -- ( VfM_Metrics_2023_Entity[[#This Row],[SH specialist in RSH analysis]] + VfM_Metrics_2023_Entity[[#This Row],[OP specialist in RSH analysis]] &gt; 0 )</f>
        <v>0</v>
      </c>
      <c r="CQ97" s="142">
        <f xml:space="preserve"> -- ( VfM_Metrics_2023_Entity[[#This Row],[% SH and OP]] &gt; 0.3 )</f>
        <v>0</v>
      </c>
      <c r="CR97" s="143" t="s">
        <v>143</v>
      </c>
      <c r="CS97" s="120"/>
      <c r="CT97" s="144" t="s">
        <v>151</v>
      </c>
      <c r="CU9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97" s="146">
        <v>0</v>
      </c>
      <c r="CW97" s="146">
        <v>0.99824314827828531</v>
      </c>
      <c r="CX97" s="146">
        <v>0</v>
      </c>
      <c r="CY97" s="146">
        <v>0</v>
      </c>
      <c r="CZ97" s="146">
        <v>0</v>
      </c>
      <c r="DA97" s="146">
        <v>1.7568517217146872E-3</v>
      </c>
      <c r="DB97" s="146">
        <v>0</v>
      </c>
      <c r="DC97" s="146">
        <v>0</v>
      </c>
      <c r="DD97" s="146">
        <v>0</v>
      </c>
      <c r="DE97" s="126">
        <v>1.0336733057289238</v>
      </c>
    </row>
    <row r="98" spans="1:109" x14ac:dyDescent="0.25">
      <c r="A98" s="4" t="s" vm="225">
        <v>298</v>
      </c>
      <c r="B98" s="4" t="s" vm="9832">
        <v>299</v>
      </c>
      <c r="C98" s="121" vm="18971">
        <v>45016</v>
      </c>
      <c r="D98" s="68">
        <f>IFERROR( VfM_Metrics_2023_Entity[[#This Row],[Reinvestment Spend]] / VfM_Metrics_2023_Entity[[#This Row],[Net Book Value of Housing Properties]], "n/a" )</f>
        <v>8.9974017049968859E-3</v>
      </c>
      <c r="E9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838</v>
      </c>
      <c r="F98" s="84" vm="10400">
        <v>0</v>
      </c>
      <c r="G98" s="84" vm="10938">
        <v>0</v>
      </c>
      <c r="H98" s="84" vm="9811">
        <v>838</v>
      </c>
      <c r="I98" s="84" vm="10448">
        <v>0</v>
      </c>
      <c r="J98" s="84" vm="10490">
        <v>0</v>
      </c>
      <c r="K98" s="5">
        <f xml:space="preserve"> SUM( VfM_Metrics_2023_Entity[[#This Row],[Tangible fixed assets: Housing properties at cost (Current period)]],VfM_Metrics_2023_Entity[[#This Row],[Tangible fixed assets Housing properties at valuation (Current period)]] )</f>
        <v>93138</v>
      </c>
      <c r="L98" s="84" vm="10291">
        <v>93138</v>
      </c>
      <c r="M98" s="84" vm="10165">
        <v>0</v>
      </c>
      <c r="N98" s="134">
        <f xml:space="preserve"> IFERROR( VfM_Metrics_2023_Entity[[#This Row],[Total social units developed or newly built units acquired in-year]] / VfM_Metrics_2023_Entity[[#This Row],[Social housing units owned (period end)]], "n/a" )</f>
        <v>0</v>
      </c>
      <c r="O98" s="5">
        <f xml:space="preserve"> SUM( VfM_Metrics_2023_Entity[[#This Row],[Total social units developed or newly built units acquired in-year (owned)]], VfM_Metrics_2023_Entity[[#This Row],[Total social leasehold units developed or newly built units acquired in-year (owned)]] )</f>
        <v>0</v>
      </c>
      <c r="P98" s="84" vm="11089">
        <v>0</v>
      </c>
      <c r="Q98" s="84" vm="11208">
        <v>0</v>
      </c>
      <c r="R98" s="5">
        <f xml:space="preserve"> SUM( VfM_Metrics_2023_Entity[[#This Row],[Total social housing units owned (Period end)]], VfM_Metrics_2023_Entity[[#This Row],[Total social leasehold units owned (Period end)]] )</f>
        <v>1384</v>
      </c>
      <c r="S98" s="84" vm="11294">
        <v>1368</v>
      </c>
      <c r="T98" s="135" vm="11490">
        <v>16</v>
      </c>
      <c r="U98" s="136">
        <f xml:space="preserve"> IFERROR( VfM_Metrics_2023_Entity[[#This Row],[Total non-social housing units developed or newly built units acquired (owned)]] / VfM_Metrics_2023_Entity[[#This Row],[Total social and non-social housing units owned (Period end)]], "n/a" )</f>
        <v>0</v>
      </c>
      <c r="V9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98" s="84" vm="11569">
        <v>0</v>
      </c>
      <c r="X98" s="84" vm="11883">
        <v>0</v>
      </c>
      <c r="Y98" s="84" vm="11922">
        <v>0</v>
      </c>
      <c r="Z9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1388</v>
      </c>
      <c r="AA98" s="84" vm="11953">
        <v>1368</v>
      </c>
      <c r="AB98" s="84" vm="12441">
        <v>16</v>
      </c>
      <c r="AC98" s="84" vm="12360">
        <v>0</v>
      </c>
      <c r="AD98" s="135" vm="12503">
        <v>4</v>
      </c>
      <c r="AE98" s="134">
        <f xml:space="preserve"> IFERROR( VfM_Metrics_2023_Entity[[#This Row],[Total Net Debt]] / VfM_Metrics_2023_Entity[[#This Row],[Net Book Value of Housing Properties2]], "n/a" )</f>
        <v>0.24114754450385451</v>
      </c>
      <c r="AF9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22460</v>
      </c>
      <c r="AG98" s="84" vm="12562">
        <v>1119</v>
      </c>
      <c r="AH98" s="84" vm="12981">
        <v>28374</v>
      </c>
      <c r="AI98" s="84" vm="13075">
        <v>7033</v>
      </c>
      <c r="AJ98" s="84" vm="13160">
        <v>0</v>
      </c>
      <c r="AK98" s="84" vm="12860">
        <v>0</v>
      </c>
      <c r="AL98" s="5">
        <f xml:space="preserve"> SUM( VfM_Metrics_2023_Entity[[#This Row],[Tangible fixed assets: Housing properties at cost (Current period)2]], VfM_Metrics_2023_Entity[[#This Row],[Tangible fixed assets Housing properties at valuation (Current period)2]] )</f>
        <v>93138</v>
      </c>
      <c r="AM98" s="84" vm="9989">
        <v>93138</v>
      </c>
      <c r="AN98" s="135" vm="10165">
        <v>0</v>
      </c>
      <c r="AO98" s="137">
        <f xml:space="preserve"> IFERROR( VfM_Metrics_2023_Entity[[#This Row],[EBITDA MRI]] / VfM_Metrics_2023_Entity[[#This Row],[Total interest]], "n/a" )</f>
        <v>2.1857485988791034</v>
      </c>
      <c r="AP9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2730</v>
      </c>
      <c r="AQ98" s="84" vm="13443">
        <v>2766</v>
      </c>
      <c r="AR98" s="84" vm="14971">
        <v>728</v>
      </c>
      <c r="AS98" s="84" vm="13735">
        <v>0</v>
      </c>
      <c r="AT98" s="84" vm="13989">
        <v>58</v>
      </c>
      <c r="AU98" s="84" vm="14238">
        <v>0</v>
      </c>
      <c r="AV98" s="84" vm="14481">
        <v>74</v>
      </c>
      <c r="AW98" s="84" vm="14727">
        <v>838</v>
      </c>
      <c r="AX98" s="84" vm="14972">
        <v>1514</v>
      </c>
      <c r="AY98" s="5">
        <f xml:space="preserve"> - SUM( VfM_Metrics_2023_Entity[[#This Row],[Interest capitalised]], VfM_Metrics_2023_Entity[[#This Row],[Interest payable and financing costs]] )</f>
        <v>1249</v>
      </c>
      <c r="AZ98" s="84" vm="15174">
        <v>0</v>
      </c>
      <c r="BA98" s="135" vm="15487">
        <v>-1249</v>
      </c>
      <c r="BB98" s="138">
        <f xml:space="preserve"> IFERROR( ( VfM_Metrics_2023_Entity[[#This Row],[Total Costs]] / VfM_Metrics_2023_Entity[[#This Row],[Total units for costs]] ) * 1000, "n/a" )</f>
        <v>4313.3640552995394</v>
      </c>
      <c r="BC9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6552</v>
      </c>
      <c r="BD98" s="84" vm="15810">
        <v>1549</v>
      </c>
      <c r="BE98" s="84" vm="16712">
        <v>1476</v>
      </c>
      <c r="BF98" s="84" vm="16145">
        <v>1181</v>
      </c>
      <c r="BG98" s="84" vm="17110">
        <v>930</v>
      </c>
      <c r="BH98" s="84" vm="15947">
        <v>407</v>
      </c>
      <c r="BI98" s="84" vm="17491">
        <v>106</v>
      </c>
      <c r="BJ98" s="84" vm="15811">
        <v>838</v>
      </c>
      <c r="BK98" s="84" vm="16625">
        <v>46</v>
      </c>
      <c r="BL98" s="84" vm="17035">
        <v>0</v>
      </c>
      <c r="BM98" s="84" vm="15948">
        <v>0</v>
      </c>
      <c r="BN98" s="84" vm="17331">
        <v>0</v>
      </c>
      <c r="BO98" s="84" vm="16147">
        <v>19</v>
      </c>
      <c r="BP98" s="5" vm="17768">
        <f xml:space="preserve"> VfM_Metrics_2023_Entity[[#This Row],[Total social housing units owned and/or managed at period end]]</f>
        <v>1519</v>
      </c>
      <c r="BQ98" s="135" vm="17768">
        <v>1519</v>
      </c>
      <c r="BR98" s="134">
        <f xml:space="preserve"> IFERROR( VfM_Metrics_2023_Entity[[#This Row],[SHL operating surplus / (deficit)]] / VfM_Metrics_2023_Entity[[#This Row],[Turnover from social housing lettings]], "n/a" )</f>
        <v>0.21018134149005899</v>
      </c>
      <c r="BS98" s="5" vm="17846">
        <f xml:space="preserve"> VfM_Metrics_2023_Entity[[#This Row],[Operating surplus/(deficit) (social housing lettings)]]</f>
        <v>1924</v>
      </c>
      <c r="BT98" s="84" vm="17846">
        <v>1924</v>
      </c>
      <c r="BU98" s="5" vm="18056">
        <f xml:space="preserve"> VfM_Metrics_2023_Entity[[#This Row],[Turnover from social housing lettings]]</f>
        <v>9154</v>
      </c>
      <c r="BV98" s="135" vm="18056">
        <v>9154</v>
      </c>
      <c r="BW98" s="134">
        <f xml:space="preserve"> IFERROR( VfM_Metrics_2023_Entity[[#This Row],[Net operating surplus]] / VfM_Metrics_2023_Entity[[#This Row],[Overall turnover]], "n/a" )</f>
        <v>0.21944653817163778</v>
      </c>
      <c r="BX98" s="5">
        <f xml:space="preserve"> SUM( VfM_Metrics_2023_Entity[[#This Row],[Operating surplus/(deficit) (overall)2]], - VfM_Metrics_2023_Entity[[#This Row],[Gain/(loss) on disposal of fixed assets (housing properties)2]], - VfM_Metrics_2023_Entity[[#This Row],[Gain/(loss) on disposal of fixed assets (other)2]] )</f>
        <v>2038</v>
      </c>
      <c r="BY98" s="84" vm="13516">
        <v>2766</v>
      </c>
      <c r="BZ98" s="84" vm="14971">
        <v>728</v>
      </c>
      <c r="CA98" s="84" vm="13735">
        <v>0</v>
      </c>
      <c r="CB98" s="5" vm="18364">
        <f xml:space="preserve"> VfM_Metrics_2023_Entity[[#This Row],[Turnover (overall)]]</f>
        <v>9287</v>
      </c>
      <c r="CC98" s="135" vm="18364">
        <v>9287</v>
      </c>
      <c r="CD98" s="134">
        <f xml:space="preserve"> IFERROR( VfM_Metrics_2023_Entity[[#This Row],[Operating surplus including from JVs]] / VfM_Metrics_2023_Entity[[#This Row],[Net assets]], "n/a" )</f>
        <v>2.805700664401278E-2</v>
      </c>
      <c r="CE98" s="5">
        <f xml:space="preserve"> SUM( VfM_Metrics_2023_Entity[[#This Row],[Operating surplus/(deficit) (overall)3]], VfM_Metrics_2023_Entity[[#This Row],[Share of operating surplus/(deficit) in joint ventures or associates]] )</f>
        <v>2766</v>
      </c>
      <c r="CF98" s="84" vm="13443">
        <v>2766</v>
      </c>
      <c r="CG98" s="84" vm="18557">
        <v>0</v>
      </c>
      <c r="CH98" s="5" vm="18583">
        <f xml:space="preserve"> VfM_Metrics_2023_Entity[[#This Row],[Total assets less current liabilities]]</f>
        <v>98585</v>
      </c>
      <c r="CI98" s="135" vm="18583">
        <v>98585</v>
      </c>
      <c r="CJ98" s="140" vm="11294">
        <f xml:space="preserve"> VfM_Metrics_2023_Entity[[#This Row],[Total social housing units owned (Period end)]]</f>
        <v>1368</v>
      </c>
      <c r="CK98" s="141">
        <v>0</v>
      </c>
      <c r="CL98" s="69">
        <f xml:space="preserve"> -- ( VfM_Metrics_2023_Entity[[#This Row],[% Supported housing (excl. HOP)]] &gt; 0.3 )</f>
        <v>0</v>
      </c>
      <c r="CM98" s="9">
        <v>0</v>
      </c>
      <c r="CN98" s="69">
        <f xml:space="preserve"> -- ( VfM_Metrics_2023_Entity[[#This Row],[% Housing for older people]] &gt; 0.3 )</f>
        <v>0</v>
      </c>
      <c r="CO98" s="9">
        <f xml:space="preserve"> VfM_Metrics_2023_Entity[[#This Row],[% Supported housing (excl. HOP)]] + VfM_Metrics_2023_Entity[[#This Row],[% Housing for older people]]</f>
        <v>0</v>
      </c>
      <c r="CP98" s="69">
        <f xml:space="preserve"> -- ( VfM_Metrics_2023_Entity[[#This Row],[SH specialist in RSH analysis]] + VfM_Metrics_2023_Entity[[#This Row],[OP specialist in RSH analysis]] &gt; 0 )</f>
        <v>0</v>
      </c>
      <c r="CQ98" s="142">
        <f xml:space="preserve"> -- ( VfM_Metrics_2023_Entity[[#This Row],[% SH and OP]] &gt; 0.3 )</f>
        <v>0</v>
      </c>
      <c r="CR98" s="143" t="s">
        <v>143</v>
      </c>
      <c r="CS98" s="120"/>
      <c r="CT98" s="144" t="s">
        <v>144</v>
      </c>
      <c r="CU9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98" s="146">
        <v>0</v>
      </c>
      <c r="CW98" s="146">
        <v>1.827485380116959E-2</v>
      </c>
      <c r="CX98" s="146">
        <v>0</v>
      </c>
      <c r="CY98" s="146">
        <v>0</v>
      </c>
      <c r="CZ98" s="146">
        <v>0</v>
      </c>
      <c r="DA98" s="146">
        <v>0.98172514619883045</v>
      </c>
      <c r="DB98" s="146">
        <v>0</v>
      </c>
      <c r="DC98" s="146">
        <v>0</v>
      </c>
      <c r="DD98" s="146">
        <v>0</v>
      </c>
      <c r="DE98" s="126">
        <v>1.0117784344635339</v>
      </c>
    </row>
    <row r="99" spans="1:109" x14ac:dyDescent="0.25">
      <c r="A99" s="4" t="s" vm="245">
        <v>300</v>
      </c>
      <c r="B99" s="4" t="s" vm="9836">
        <v>301</v>
      </c>
      <c r="C99" s="121" vm="18782">
        <v>45016</v>
      </c>
      <c r="D99" s="68">
        <f>IFERROR( VfM_Metrics_2023_Entity[[#This Row],[Reinvestment Spend]] / VfM_Metrics_2023_Entity[[#This Row],[Net Book Value of Housing Properties]], "n/a" )</f>
        <v>4.2384305358351915E-2</v>
      </c>
      <c r="E9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110926</v>
      </c>
      <c r="F99" s="84" vm="10385">
        <v>59594</v>
      </c>
      <c r="G99" s="84" vm="10912">
        <v>0</v>
      </c>
      <c r="H99" s="84" vm="9612">
        <v>47860</v>
      </c>
      <c r="I99" s="84" vm="10884">
        <v>3472</v>
      </c>
      <c r="J99" s="84" vm="9719">
        <v>0</v>
      </c>
      <c r="K99" s="5">
        <f xml:space="preserve"> SUM( VfM_Metrics_2023_Entity[[#This Row],[Tangible fixed assets: Housing properties at cost (Current period)]],VfM_Metrics_2023_Entity[[#This Row],[Tangible fixed assets Housing properties at valuation (Current period)]] )</f>
        <v>2617148</v>
      </c>
      <c r="L99" s="84" vm="9896">
        <v>2617148</v>
      </c>
      <c r="M99" s="84" vm="10170">
        <v>0</v>
      </c>
      <c r="N99" s="134">
        <f xml:space="preserve"> IFERROR( VfM_Metrics_2023_Entity[[#This Row],[Total social units developed or newly built units acquired in-year]] / VfM_Metrics_2023_Entity[[#This Row],[Social housing units owned (period end)]], "n/a" )</f>
        <v>1.7065927539101168E-2</v>
      </c>
      <c r="O99" s="5">
        <f xml:space="preserve"> SUM( VfM_Metrics_2023_Entity[[#This Row],[Total social units developed or newly built units acquired in-year (owned)]], VfM_Metrics_2023_Entity[[#This Row],[Total social leasehold units developed or newly built units acquired in-year (owned)]] )</f>
        <v>431</v>
      </c>
      <c r="P99" s="84" vm="11009">
        <v>431</v>
      </c>
      <c r="Q99" s="84" vm="11114">
        <v>0</v>
      </c>
      <c r="R99" s="5">
        <f xml:space="preserve"> SUM( VfM_Metrics_2023_Entity[[#This Row],[Total social housing units owned (Period end)]], VfM_Metrics_2023_Entity[[#This Row],[Total social leasehold units owned (Period end)]] )</f>
        <v>25255</v>
      </c>
      <c r="S99" s="84" vm="11342">
        <v>25255</v>
      </c>
      <c r="T99" s="135" vm="11420">
        <v>0</v>
      </c>
      <c r="U99" s="136">
        <f xml:space="preserve"> IFERROR( VfM_Metrics_2023_Entity[[#This Row],[Total non-social housing units developed or newly built units acquired (owned)]] / VfM_Metrics_2023_Entity[[#This Row],[Total social and non-social housing units owned (Period end)]], "n/a" )</f>
        <v>0</v>
      </c>
      <c r="V9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99" s="84" vm="11594">
        <v>0</v>
      </c>
      <c r="X99" s="84">
        <v>0</v>
      </c>
      <c r="Y99" s="84" vm="11739">
        <v>0</v>
      </c>
      <c r="Z9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29914</v>
      </c>
      <c r="AA99" s="84" vm="11342">
        <v>25255</v>
      </c>
      <c r="AB99" s="84" vm="12192">
        <v>0</v>
      </c>
      <c r="AC99" s="84" vm="12104">
        <v>68</v>
      </c>
      <c r="AD99" s="135" vm="12264">
        <v>4591</v>
      </c>
      <c r="AE99" s="134">
        <f xml:space="preserve"> IFERROR( VfM_Metrics_2023_Entity[[#This Row],[Total Net Debt]] / VfM_Metrics_2023_Entity[[#This Row],[Net Book Value of Housing Properties2]], "n/a" )</f>
        <v>0.44235671807631821</v>
      </c>
      <c r="AF9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1157713</v>
      </c>
      <c r="AG99" s="84" vm="12592">
        <v>9653</v>
      </c>
      <c r="AH99" s="84" vm="12755">
        <v>985451</v>
      </c>
      <c r="AI99" s="84" vm="12900">
        <v>31807</v>
      </c>
      <c r="AJ99" s="84" vm="12939">
        <v>194416</v>
      </c>
      <c r="AK99" s="84" vm="13032">
        <v>0</v>
      </c>
      <c r="AL99" s="5">
        <f xml:space="preserve"> SUM( VfM_Metrics_2023_Entity[[#This Row],[Tangible fixed assets: Housing properties at cost (Current period)2]], VfM_Metrics_2023_Entity[[#This Row],[Tangible fixed assets Housing properties at valuation (Current period)2]] )</f>
        <v>2617148</v>
      </c>
      <c r="AM99" s="84" vm="9896">
        <v>2617148</v>
      </c>
      <c r="AN99" s="135" vm="10090">
        <v>0</v>
      </c>
      <c r="AO99" s="137">
        <f xml:space="preserve"> IFERROR( VfM_Metrics_2023_Entity[[#This Row],[EBITDA MRI]] / VfM_Metrics_2023_Entity[[#This Row],[Total interest]], "n/a" )</f>
        <v>0.52433096079504915</v>
      </c>
      <c r="AP9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31603</v>
      </c>
      <c r="AQ99" s="84" vm="13481">
        <v>57414</v>
      </c>
      <c r="AR99" s="84" vm="13736">
        <v>32123</v>
      </c>
      <c r="AS99" s="84" vm="13990">
        <v>0</v>
      </c>
      <c r="AT99" s="84" vm="14239">
        <v>11345</v>
      </c>
      <c r="AU99" s="84" vm="14482">
        <v>0</v>
      </c>
      <c r="AV99" s="84" vm="14728">
        <v>3000</v>
      </c>
      <c r="AW99" s="84" vm="14973">
        <v>27043</v>
      </c>
      <c r="AX99" s="84" vm="13737">
        <v>41700</v>
      </c>
      <c r="AY99" s="5">
        <f xml:space="preserve"> - SUM( VfM_Metrics_2023_Entity[[#This Row],[Interest capitalised]], VfM_Metrics_2023_Entity[[#This Row],[Interest payable and financing costs]] )</f>
        <v>60273</v>
      </c>
      <c r="AZ99" s="84" vm="15160">
        <v>-3885</v>
      </c>
      <c r="BA99" s="135" vm="15325">
        <v>-56388</v>
      </c>
      <c r="BB99" s="138">
        <f xml:space="preserve"> IFERROR( ( VfM_Metrics_2023_Entity[[#This Row],[Total Costs]] / VfM_Metrics_2023_Entity[[#This Row],[Total units for costs]] ) * 1000, "n/a" )</f>
        <v>5998.5688598583538</v>
      </c>
      <c r="BC9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163467</v>
      </c>
      <c r="BD99" s="84" vm="15519">
        <v>52700</v>
      </c>
      <c r="BE99" s="84" vm="16427">
        <v>22835</v>
      </c>
      <c r="BF99" s="84" vm="16149">
        <v>23783</v>
      </c>
      <c r="BG99" s="84" vm="16871">
        <v>15191</v>
      </c>
      <c r="BH99" s="84" vm="15950">
        <v>1352</v>
      </c>
      <c r="BI99" s="84" vm="17247">
        <v>93</v>
      </c>
      <c r="BJ99" s="84" vm="14973">
        <v>27043</v>
      </c>
      <c r="BK99" s="84" vm="15813">
        <v>0</v>
      </c>
      <c r="BL99" s="84" vm="16795">
        <v>0</v>
      </c>
      <c r="BM99" s="84" vm="15951">
        <v>1542</v>
      </c>
      <c r="BN99" s="84" vm="17111">
        <v>18928</v>
      </c>
      <c r="BO99" s="84" vm="16150">
        <v>0</v>
      </c>
      <c r="BP99" s="5" vm="17630">
        <f xml:space="preserve"> VfM_Metrics_2023_Entity[[#This Row],[Total social housing units owned and/or managed at period end]]</f>
        <v>27251</v>
      </c>
      <c r="BQ99" s="135" vm="17630">
        <v>27251</v>
      </c>
      <c r="BR99" s="134">
        <f xml:space="preserve"> IFERROR( VfM_Metrics_2023_Entity[[#This Row],[SHL operating surplus / (deficit)]] / VfM_Metrics_2023_Entity[[#This Row],[Turnover from social housing lettings]], "n/a" )</f>
        <v>0.19685488728955963</v>
      </c>
      <c r="BS99" s="5" vm="17884">
        <f xml:space="preserve"> VfM_Metrics_2023_Entity[[#This Row],[Operating surplus/(deficit) (social housing lettings)]]</f>
        <v>37254</v>
      </c>
      <c r="BT99" s="84" vm="17884">
        <v>37254</v>
      </c>
      <c r="BU99" s="5" vm="18080">
        <f xml:space="preserve"> VfM_Metrics_2023_Entity[[#This Row],[Turnover from social housing lettings]]</f>
        <v>189246</v>
      </c>
      <c r="BV99" s="135" vm="18080">
        <v>189246</v>
      </c>
      <c r="BW99" s="134">
        <f xml:space="preserve"> IFERROR( VfM_Metrics_2023_Entity[[#This Row],[Net operating surplus]] / VfM_Metrics_2023_Entity[[#This Row],[Overall turnover]], "n/a" )</f>
        <v>0.1052230857561284</v>
      </c>
      <c r="BX99" s="5">
        <f xml:space="preserve"> SUM( VfM_Metrics_2023_Entity[[#This Row],[Operating surplus/(deficit) (overall)2]], - VfM_Metrics_2023_Entity[[#This Row],[Gain/(loss) on disposal of fixed assets (housing properties)2]], - VfM_Metrics_2023_Entity[[#This Row],[Gain/(loss) on disposal of fixed assets (other)2]] )</f>
        <v>25291</v>
      </c>
      <c r="BY99" s="84" vm="13481">
        <v>57414</v>
      </c>
      <c r="BZ99" s="84" vm="13736">
        <v>32123</v>
      </c>
      <c r="CA99" s="84" vm="13990">
        <v>0</v>
      </c>
      <c r="CB99" s="5" vm="18402">
        <f xml:space="preserve"> VfM_Metrics_2023_Entity[[#This Row],[Turnover (overall)]]</f>
        <v>240356</v>
      </c>
      <c r="CC99" s="135" vm="18402">
        <v>240356</v>
      </c>
      <c r="CD99" s="134">
        <f xml:space="preserve"> IFERROR( VfM_Metrics_2023_Entity[[#This Row],[Operating surplus including from JVs]] / VfM_Metrics_2023_Entity[[#This Row],[Net assets]], "n/a" )</f>
        <v>2.0506472071745149E-2</v>
      </c>
      <c r="CE99" s="5">
        <f xml:space="preserve"> SUM( VfM_Metrics_2023_Entity[[#This Row],[Operating surplus/(deficit) (overall)3]], VfM_Metrics_2023_Entity[[#This Row],[Share of operating surplus/(deficit) in joint ventures or associates]] )</f>
        <v>57414</v>
      </c>
      <c r="CF99" s="84" vm="18428">
        <v>57414</v>
      </c>
      <c r="CG99" s="84" vm="18453">
        <v>0</v>
      </c>
      <c r="CH99" s="5" vm="18620">
        <f xml:space="preserve"> VfM_Metrics_2023_Entity[[#This Row],[Total assets less current liabilities]]</f>
        <v>2799799</v>
      </c>
      <c r="CI99" s="135" vm="18620">
        <v>2799799</v>
      </c>
      <c r="CJ99" s="140" vm="11342">
        <f xml:space="preserve"> VfM_Metrics_2023_Entity[[#This Row],[Total social housing units owned (Period end)]]</f>
        <v>25255</v>
      </c>
      <c r="CK99" s="141">
        <v>4.4698751943857411E-2</v>
      </c>
      <c r="CL99" s="69">
        <f xml:space="preserve"> -- ( VfM_Metrics_2023_Entity[[#This Row],[% Supported housing (excl. HOP)]] &gt; 0.3 )</f>
        <v>0</v>
      </c>
      <c r="CM99" s="9">
        <v>4.031261214561984E-2</v>
      </c>
      <c r="CN99" s="69">
        <f xml:space="preserve"> -- ( VfM_Metrics_2023_Entity[[#This Row],[% Housing for older people]] &gt; 0.3 )</f>
        <v>0</v>
      </c>
      <c r="CO99" s="9">
        <f xml:space="preserve"> VfM_Metrics_2023_Entity[[#This Row],[% Supported housing (excl. HOP)]] + VfM_Metrics_2023_Entity[[#This Row],[% Housing for older people]]</f>
        <v>8.5011364089477251E-2</v>
      </c>
      <c r="CP99" s="69">
        <f xml:space="preserve"> -- ( VfM_Metrics_2023_Entity[[#This Row],[SH specialist in RSH analysis]] + VfM_Metrics_2023_Entity[[#This Row],[OP specialist in RSH analysis]] &gt; 0 )</f>
        <v>0</v>
      </c>
      <c r="CQ99" s="142">
        <f xml:space="preserve"> -- ( VfM_Metrics_2023_Entity[[#This Row],[% SH and OP]] &gt; 0.3 )</f>
        <v>0</v>
      </c>
      <c r="CR99" s="143" t="s">
        <v>143</v>
      </c>
      <c r="CS99" s="120"/>
      <c r="CT99" s="144" t="s">
        <v>151</v>
      </c>
      <c r="CU9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99" s="146">
        <v>0.51475566529929506</v>
      </c>
      <c r="CW99" s="146">
        <v>0.43135927356724679</v>
      </c>
      <c r="CX99" s="146">
        <v>0</v>
      </c>
      <c r="CY99" s="146">
        <v>7.8856187024572855E-3</v>
      </c>
      <c r="CZ99" s="146">
        <v>0</v>
      </c>
      <c r="DA99" s="146">
        <v>4.5999442431000834E-2</v>
      </c>
      <c r="DB99" s="146">
        <v>0</v>
      </c>
      <c r="DC99" s="146">
        <v>0</v>
      </c>
      <c r="DD99" s="146">
        <v>0</v>
      </c>
      <c r="DE99" s="126">
        <v>1.0971619036253399</v>
      </c>
    </row>
    <row r="100" spans="1:109" x14ac:dyDescent="0.25">
      <c r="A100" s="4" t="s" vm="9234">
        <v>584</v>
      </c>
      <c r="B100" s="4" t="s" vm="10890">
        <v>585</v>
      </c>
      <c r="C100" s="121" vm="18764">
        <v>45016</v>
      </c>
      <c r="D100" s="68">
        <f>IFERROR( VfM_Metrics_2023_Entity[[#This Row],[Reinvestment Spend]] / VfM_Metrics_2023_Entity[[#This Row],[Net Book Value of Housing Properties]], "n/a" )</f>
        <v>3.5620898909665008E-2</v>
      </c>
      <c r="E10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3610</v>
      </c>
      <c r="F100" s="84" vm="10496">
        <v>0</v>
      </c>
      <c r="G100" s="84" vm="10446">
        <v>0</v>
      </c>
      <c r="H100" s="84" vm="9558">
        <v>3610</v>
      </c>
      <c r="I100" s="84" vm="9525">
        <v>0</v>
      </c>
      <c r="J100" s="84" vm="10610">
        <v>0</v>
      </c>
      <c r="K100" s="5">
        <f xml:space="preserve"> SUM( VfM_Metrics_2023_Entity[[#This Row],[Tangible fixed assets: Housing properties at cost (Current period)]],VfM_Metrics_2023_Entity[[#This Row],[Tangible fixed assets Housing properties at valuation (Current period)]] )</f>
        <v>101345</v>
      </c>
      <c r="L100" s="84" vm="10017">
        <v>101345</v>
      </c>
      <c r="M100" s="84" vm="10106">
        <v>0</v>
      </c>
      <c r="N100" s="134">
        <f xml:space="preserve"> IFERROR( VfM_Metrics_2023_Entity[[#This Row],[Total social units developed or newly built units acquired in-year]] / VfM_Metrics_2023_Entity[[#This Row],[Social housing units owned (period end)]], "n/a" )</f>
        <v>0</v>
      </c>
      <c r="O100" s="5">
        <f xml:space="preserve"> SUM( VfM_Metrics_2023_Entity[[#This Row],[Total social units developed or newly built units acquired in-year (owned)]], VfM_Metrics_2023_Entity[[#This Row],[Total social leasehold units developed or newly built units acquired in-year (owned)]] )</f>
        <v>0</v>
      </c>
      <c r="P100" s="84" vm="10965">
        <v>0</v>
      </c>
      <c r="Q100" s="84" vm="11139">
        <v>0</v>
      </c>
      <c r="R100" s="5">
        <f xml:space="preserve"> SUM( VfM_Metrics_2023_Entity[[#This Row],[Total social housing units owned (Period end)]], VfM_Metrics_2023_Entity[[#This Row],[Total social leasehold units owned (Period end)]] )</f>
        <v>2265</v>
      </c>
      <c r="S100" s="84" vm="11283">
        <v>2265</v>
      </c>
      <c r="T100" s="135" vm="11492">
        <v>0</v>
      </c>
      <c r="U100" s="136">
        <f xml:space="preserve"> IFERROR( VfM_Metrics_2023_Entity[[#This Row],[Total non-social housing units developed or newly built units acquired (owned)]] / VfM_Metrics_2023_Entity[[#This Row],[Total social and non-social housing units owned (Period end)]], "n/a" )</f>
        <v>0</v>
      </c>
      <c r="V10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00" s="84" vm="11621">
        <v>0</v>
      </c>
      <c r="X100" s="84" vm="11796">
        <v>0</v>
      </c>
      <c r="Y100" s="84" vm="11838">
        <v>0</v>
      </c>
      <c r="Z10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3186</v>
      </c>
      <c r="AA100" s="84" vm="11245">
        <v>2265</v>
      </c>
      <c r="AB100" s="84" vm="11484">
        <v>0</v>
      </c>
      <c r="AC100" s="84" vm="12361">
        <v>0</v>
      </c>
      <c r="AD100" s="135" vm="12504">
        <v>921</v>
      </c>
      <c r="AE100" s="134">
        <f xml:space="preserve"> IFERROR( VfM_Metrics_2023_Entity[[#This Row],[Total Net Debt]] / VfM_Metrics_2023_Entity[[#This Row],[Net Book Value of Housing Properties2]], "n/a" )</f>
        <v>0.52714983472297594</v>
      </c>
      <c r="AF10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53424</v>
      </c>
      <c r="AG100" s="84" vm="12613">
        <v>0</v>
      </c>
      <c r="AH100" s="84" vm="13119">
        <v>60668</v>
      </c>
      <c r="AI100" s="84" vm="13207">
        <v>7244</v>
      </c>
      <c r="AJ100" s="84" vm="12756">
        <v>0</v>
      </c>
      <c r="AK100" s="84" vm="12858">
        <v>0</v>
      </c>
      <c r="AL100" s="5">
        <f xml:space="preserve"> SUM( VfM_Metrics_2023_Entity[[#This Row],[Tangible fixed assets: Housing properties at cost (Current period)2]], VfM_Metrics_2023_Entity[[#This Row],[Tangible fixed assets Housing properties at valuation (Current period)2]] )</f>
        <v>101345</v>
      </c>
      <c r="AM100" s="84" vm="10017">
        <v>101345</v>
      </c>
      <c r="AN100" s="135" vm="10106">
        <v>0</v>
      </c>
      <c r="AO100" s="137">
        <f xml:space="preserve"> IFERROR( VfM_Metrics_2023_Entity[[#This Row],[EBITDA MRI]] / VfM_Metrics_2023_Entity[[#This Row],[Total interest]], "n/a" )</f>
        <v>0.42251698479456484</v>
      </c>
      <c r="AP10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1306</v>
      </c>
      <c r="AQ100" s="84" vm="13513">
        <v>4359</v>
      </c>
      <c r="AR100" s="84" vm="13991">
        <v>2585</v>
      </c>
      <c r="AS100" s="84" vm="14240">
        <v>0</v>
      </c>
      <c r="AT100" s="84" vm="14483">
        <v>167</v>
      </c>
      <c r="AU100" s="84" vm="14729">
        <v>0</v>
      </c>
      <c r="AV100" s="84" vm="14974">
        <v>1892</v>
      </c>
      <c r="AW100" s="84" vm="13738">
        <v>3599</v>
      </c>
      <c r="AX100" s="84" vm="13992">
        <v>1406</v>
      </c>
      <c r="AY100" s="5">
        <f xml:space="preserve"> - SUM( VfM_Metrics_2023_Entity[[#This Row],[Interest capitalised]], VfM_Metrics_2023_Entity[[#This Row],[Interest payable and financing costs]] )</f>
        <v>3091</v>
      </c>
      <c r="AZ100" s="84" vm="15197">
        <v>0</v>
      </c>
      <c r="BA100" s="135" vm="15362">
        <v>-3091</v>
      </c>
      <c r="BB100" s="138">
        <f xml:space="preserve"> IFERROR( ( VfM_Metrics_2023_Entity[[#This Row],[Total Costs]] / VfM_Metrics_2023_Entity[[#This Row],[Total units for costs]] ) * 1000, "n/a" )</f>
        <v>6915.2317880794708</v>
      </c>
      <c r="BC10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15663</v>
      </c>
      <c r="BD100" s="84" vm="15815">
        <v>4304</v>
      </c>
      <c r="BE100" s="84" vm="17564">
        <v>3754</v>
      </c>
      <c r="BF100" s="84" vm="16151">
        <v>2493</v>
      </c>
      <c r="BG100" s="84" vm="16713">
        <v>891</v>
      </c>
      <c r="BH100" s="84" vm="15952">
        <v>148</v>
      </c>
      <c r="BI100" s="84" vm="17035">
        <v>0</v>
      </c>
      <c r="BJ100" s="84" vm="15817">
        <v>3599</v>
      </c>
      <c r="BK100" s="84" vm="17492">
        <v>0</v>
      </c>
      <c r="BL100" s="84" vm="16626">
        <v>0</v>
      </c>
      <c r="BM100" s="84" vm="15954">
        <v>0</v>
      </c>
      <c r="BN100" s="84" vm="16872">
        <v>474</v>
      </c>
      <c r="BO100" s="84" vm="16153">
        <v>0</v>
      </c>
      <c r="BP100" s="5" vm="17666">
        <f xml:space="preserve"> VfM_Metrics_2023_Entity[[#This Row],[Total social housing units owned and/or managed at period end]]</f>
        <v>2265</v>
      </c>
      <c r="BQ100" s="135" vm="17666">
        <v>2265</v>
      </c>
      <c r="BR100" s="134">
        <f xml:space="preserve"> IFERROR( VfM_Metrics_2023_Entity[[#This Row],[SHL operating surplus / (deficit)]] / VfM_Metrics_2023_Entity[[#This Row],[Turnover from social housing lettings]], "n/a" )</f>
        <v>0.2280297661233168</v>
      </c>
      <c r="BS100" s="5" vm="17921">
        <f xml:space="preserve"> VfM_Metrics_2023_Entity[[#This Row],[Operating surplus/(deficit) (social housing lettings)]]</f>
        <v>3861</v>
      </c>
      <c r="BT100" s="84" vm="17921">
        <v>3861</v>
      </c>
      <c r="BU100" s="5" vm="18116">
        <f xml:space="preserve"> VfM_Metrics_2023_Entity[[#This Row],[Turnover from social housing lettings]]</f>
        <v>16932</v>
      </c>
      <c r="BV100" s="135" vm="18116">
        <v>16932</v>
      </c>
      <c r="BW100" s="134">
        <f xml:space="preserve"> IFERROR( VfM_Metrics_2023_Entity[[#This Row],[Net operating surplus]] / VfM_Metrics_2023_Entity[[#This Row],[Overall turnover]], "n/a" )</f>
        <v>9.5798682363106166E-2</v>
      </c>
      <c r="BX100" s="5">
        <f xml:space="preserve"> SUM( VfM_Metrics_2023_Entity[[#This Row],[Operating surplus/(deficit) (overall)2]], - VfM_Metrics_2023_Entity[[#This Row],[Gain/(loss) on disposal of fixed assets (housing properties)2]], - VfM_Metrics_2023_Entity[[#This Row],[Gain/(loss) on disposal of fixed assets (other)2]] )</f>
        <v>1774</v>
      </c>
      <c r="BY100" s="84" vm="13513">
        <v>4359</v>
      </c>
      <c r="BZ100" s="84" vm="13991">
        <v>2585</v>
      </c>
      <c r="CA100" s="84" vm="14240">
        <v>0</v>
      </c>
      <c r="CB100" s="5" vm="18271">
        <f xml:space="preserve"> VfM_Metrics_2023_Entity[[#This Row],[Turnover (overall)]]</f>
        <v>18518</v>
      </c>
      <c r="CC100" s="135" vm="18271">
        <v>18518</v>
      </c>
      <c r="CD100" s="134">
        <f xml:space="preserve"> IFERROR( VfM_Metrics_2023_Entity[[#This Row],[Operating surplus including from JVs]] / VfM_Metrics_2023_Entity[[#This Row],[Net assets]], "n/a" )</f>
        <v>3.1292849092227397E-2</v>
      </c>
      <c r="CE100" s="5">
        <f xml:space="preserve"> SUM( VfM_Metrics_2023_Entity[[#This Row],[Operating surplus/(deficit) (overall)3]], VfM_Metrics_2023_Entity[[#This Row],[Share of operating surplus/(deficit) in joint ventures or associates]] )</f>
        <v>4359</v>
      </c>
      <c r="CF100" s="84" vm="13513">
        <v>4359</v>
      </c>
      <c r="CG100" s="84" vm="18480">
        <v>0</v>
      </c>
      <c r="CH100" s="5" vm="18657">
        <f xml:space="preserve"> VfM_Metrics_2023_Entity[[#This Row],[Total assets less current liabilities]]</f>
        <v>139297</v>
      </c>
      <c r="CI100" s="135" vm="18657">
        <v>139297</v>
      </c>
      <c r="CJ100" s="140" vm="11283">
        <f xml:space="preserve"> VfM_Metrics_2023_Entity[[#This Row],[Total social housing units owned (Period end)]]</f>
        <v>2265</v>
      </c>
      <c r="CK100" s="141">
        <v>0</v>
      </c>
      <c r="CL100" s="69">
        <f xml:space="preserve"> -- ( VfM_Metrics_2023_Entity[[#This Row],[% Supported housing (excl. HOP)]] &gt; 0.3 )</f>
        <v>0</v>
      </c>
      <c r="CM100" s="9">
        <v>1.8543046357615896E-2</v>
      </c>
      <c r="CN100" s="69">
        <f xml:space="preserve"> -- ( VfM_Metrics_2023_Entity[[#This Row],[% Housing for older people]] &gt; 0.3 )</f>
        <v>0</v>
      </c>
      <c r="CO100" s="9">
        <f xml:space="preserve"> VfM_Metrics_2023_Entity[[#This Row],[% Supported housing (excl. HOP)]] + VfM_Metrics_2023_Entity[[#This Row],[% Housing for older people]]</f>
        <v>1.8543046357615896E-2</v>
      </c>
      <c r="CP100" s="69">
        <f xml:space="preserve"> -- ( VfM_Metrics_2023_Entity[[#This Row],[SH specialist in RSH analysis]] + VfM_Metrics_2023_Entity[[#This Row],[OP specialist in RSH analysis]] &gt; 0 )</f>
        <v>0</v>
      </c>
      <c r="CQ100" s="142">
        <f xml:space="preserve"> -- ( VfM_Metrics_2023_Entity[[#This Row],[% SH and OP]] &gt; 0.3 )</f>
        <v>0</v>
      </c>
      <c r="CR100" s="143" t="s">
        <v>143</v>
      </c>
      <c r="CS100" s="120"/>
      <c r="CT100" s="144" t="s">
        <v>151</v>
      </c>
      <c r="CU10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00" s="146">
        <v>1</v>
      </c>
      <c r="CW100" s="146">
        <v>0</v>
      </c>
      <c r="CX100" s="146">
        <v>0</v>
      </c>
      <c r="CY100" s="146">
        <v>0</v>
      </c>
      <c r="CZ100" s="146">
        <v>0</v>
      </c>
      <c r="DA100" s="146">
        <v>0</v>
      </c>
      <c r="DB100" s="146">
        <v>0</v>
      </c>
      <c r="DC100" s="146">
        <v>0</v>
      </c>
      <c r="DD100" s="146">
        <v>0</v>
      </c>
      <c r="DE100" s="126">
        <v>1.1603700449887588</v>
      </c>
    </row>
    <row r="101" spans="1:109" x14ac:dyDescent="0.25">
      <c r="A101" s="4" t="s" vm="304">
        <v>302</v>
      </c>
      <c r="B101" s="4" t="s" vm="10430">
        <v>303</v>
      </c>
      <c r="C101" s="121" vm="18932">
        <v>45016</v>
      </c>
      <c r="D101" s="68">
        <f>IFERROR( VfM_Metrics_2023_Entity[[#This Row],[Reinvestment Spend]] / VfM_Metrics_2023_Entity[[#This Row],[Net Book Value of Housing Properties]], "n/a" )</f>
        <v>5.8761061946902657E-2</v>
      </c>
      <c r="E10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166</v>
      </c>
      <c r="F101" s="84" vm="10353">
        <v>0</v>
      </c>
      <c r="G101" s="84" vm="9760">
        <v>166</v>
      </c>
      <c r="H101" s="84" vm="10839">
        <v>0</v>
      </c>
      <c r="I101" s="84" vm="9559">
        <v>0</v>
      </c>
      <c r="J101" s="84" vm="9613">
        <v>0</v>
      </c>
      <c r="K101" s="5">
        <f xml:space="preserve"> SUM( VfM_Metrics_2023_Entity[[#This Row],[Tangible fixed assets: Housing properties at cost (Current period)]],VfM_Metrics_2023_Entity[[#This Row],[Tangible fixed assets Housing properties at valuation (Current period)]] )</f>
        <v>2825</v>
      </c>
      <c r="L101" s="84" vm="10589">
        <v>2825</v>
      </c>
      <c r="M101" s="84">
        <v>0</v>
      </c>
      <c r="N101" s="134">
        <f xml:space="preserve"> IFERROR( VfM_Metrics_2023_Entity[[#This Row],[Total social units developed or newly built units acquired in-year]] / VfM_Metrics_2023_Entity[[#This Row],[Social housing units owned (period end)]], "n/a" )</f>
        <v>0.11229377328366152</v>
      </c>
      <c r="O101" s="5">
        <f xml:space="preserve"> SUM( VfM_Metrics_2023_Entity[[#This Row],[Total social units developed or newly built units acquired in-year (owned)]], VfM_Metrics_2023_Entity[[#This Row],[Total social leasehold units developed or newly built units acquired in-year (owned)]] )</f>
        <v>422</v>
      </c>
      <c r="P101" s="84" vm="11018">
        <v>422</v>
      </c>
      <c r="Q101" s="84">
        <v>0</v>
      </c>
      <c r="R101" s="5">
        <f xml:space="preserve"> SUM( VfM_Metrics_2023_Entity[[#This Row],[Total social housing units owned (Period end)]], VfM_Metrics_2023_Entity[[#This Row],[Total social leasehold units owned (Period end)]] )</f>
        <v>3758</v>
      </c>
      <c r="S101" s="84" vm="11304">
        <v>3758</v>
      </c>
      <c r="T101" s="135" vm="11501">
        <v>0</v>
      </c>
      <c r="U101" s="136">
        <f xml:space="preserve"> IFERROR( VfM_Metrics_2023_Entity[[#This Row],[Total non-social housing units developed or newly built units acquired (owned)]] / VfM_Metrics_2023_Entity[[#This Row],[Total social and non-social housing units owned (Period end)]], "n/a" )</f>
        <v>0</v>
      </c>
      <c r="V10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01" s="84">
        <v>0</v>
      </c>
      <c r="X101" s="84">
        <v>0</v>
      </c>
      <c r="Y101" s="84">
        <v>0</v>
      </c>
      <c r="Z10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3758</v>
      </c>
      <c r="AA101" s="84" vm="12001">
        <v>3758</v>
      </c>
      <c r="AB101" s="84" vm="12193">
        <v>0</v>
      </c>
      <c r="AC101" s="84" vm="12105">
        <v>0</v>
      </c>
      <c r="AD101" s="135" vm="12265">
        <v>0</v>
      </c>
      <c r="AE101" s="134">
        <f xml:space="preserve"> IFERROR( VfM_Metrics_2023_Entity[[#This Row],[Total Net Debt]] / VfM_Metrics_2023_Entity[[#This Row],[Net Book Value of Housing Properties2]], "n/a" )</f>
        <v>-7.2028318584070794</v>
      </c>
      <c r="AF10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-20348</v>
      </c>
      <c r="AG101" s="84">
        <v>0</v>
      </c>
      <c r="AH101" s="84">
        <v>0</v>
      </c>
      <c r="AI101" s="84" vm="12982">
        <v>20348</v>
      </c>
      <c r="AJ101" s="84">
        <v>0</v>
      </c>
      <c r="AK101" s="84">
        <v>0</v>
      </c>
      <c r="AL101" s="5">
        <f xml:space="preserve"> SUM( VfM_Metrics_2023_Entity[[#This Row],[Tangible fixed assets: Housing properties at cost (Current period)2]], VfM_Metrics_2023_Entity[[#This Row],[Tangible fixed assets Housing properties at valuation (Current period)2]] )</f>
        <v>2825</v>
      </c>
      <c r="AM101" s="84" vm="13378">
        <v>2825</v>
      </c>
      <c r="AN101" s="135">
        <v>0</v>
      </c>
      <c r="AO101" s="137" t="str">
        <f xml:space="preserve"> IFERROR( VfM_Metrics_2023_Entity[[#This Row],[EBITDA MRI]] / VfM_Metrics_2023_Entity[[#This Row],[Total interest]], "n/a" )</f>
        <v>n/a</v>
      </c>
      <c r="AP10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3744</v>
      </c>
      <c r="AQ101" s="84" vm="13549">
        <v>3281</v>
      </c>
      <c r="AR101" s="84">
        <v>0</v>
      </c>
      <c r="AS101" s="84">
        <v>0</v>
      </c>
      <c r="AT101" s="84" vm="14730">
        <v>0</v>
      </c>
      <c r="AU101" s="84" vm="14975">
        <v>0</v>
      </c>
      <c r="AV101" s="84" vm="13739">
        <v>361</v>
      </c>
      <c r="AW101" s="84" vm="13993">
        <v>0</v>
      </c>
      <c r="AX101" s="84" vm="14241">
        <v>102</v>
      </c>
      <c r="AY101" s="5">
        <f xml:space="preserve"> - SUM( VfM_Metrics_2023_Entity[[#This Row],[Interest capitalised]], VfM_Metrics_2023_Entity[[#This Row],[Interest payable and financing costs]] )</f>
        <v>0</v>
      </c>
      <c r="AZ101" s="84" vm="15303">
        <v>0</v>
      </c>
      <c r="BA101" s="135" vm="15391">
        <v>0</v>
      </c>
      <c r="BB101" s="138">
        <f xml:space="preserve"> IFERROR( ( VfM_Metrics_2023_Entity[[#This Row],[Total Costs]] / VfM_Metrics_2023_Entity[[#This Row],[Total units for costs]] ) * 1000, "n/a" )</f>
        <v>16439.595529536986</v>
      </c>
      <c r="BC10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61780</v>
      </c>
      <c r="BD101" s="84" vm="15819">
        <v>7335</v>
      </c>
      <c r="BE101" s="84" vm="17332">
        <v>5503</v>
      </c>
      <c r="BF101" s="84" vm="16155">
        <v>3294</v>
      </c>
      <c r="BG101" s="84" vm="16429">
        <v>3877</v>
      </c>
      <c r="BH101" s="84" vm="15956">
        <v>0</v>
      </c>
      <c r="BI101" s="84" vm="16796">
        <v>39184</v>
      </c>
      <c r="BJ101" s="84" vm="13966">
        <v>0</v>
      </c>
      <c r="BK101" s="84" vm="17248">
        <v>0</v>
      </c>
      <c r="BL101" s="84" vm="16424">
        <v>309</v>
      </c>
      <c r="BM101" s="84">
        <v>0</v>
      </c>
      <c r="BN101" s="84" vm="16714">
        <v>1391</v>
      </c>
      <c r="BO101" s="84" vm="16157">
        <v>887</v>
      </c>
      <c r="BP101" s="5" vm="17828">
        <f xml:space="preserve"> VfM_Metrics_2023_Entity[[#This Row],[Total social housing units owned and/or managed at period end]]</f>
        <v>3758</v>
      </c>
      <c r="BQ101" s="135" vm="17828">
        <v>3758</v>
      </c>
      <c r="BR101" s="134">
        <f xml:space="preserve"> IFERROR( VfM_Metrics_2023_Entity[[#This Row],[SHL operating surplus / (deficit)]] / VfM_Metrics_2023_Entity[[#This Row],[Turnover from social housing lettings]], "n/a" )</f>
        <v>5.5904173352185171E-2</v>
      </c>
      <c r="BS101" s="5" vm="17959">
        <f xml:space="preserve"> VfM_Metrics_2023_Entity[[#This Row],[Operating surplus/(deficit) (social housing lettings)]]</f>
        <v>3519</v>
      </c>
      <c r="BT101" s="84" vm="17959">
        <v>3519</v>
      </c>
      <c r="BU101" s="5" vm="18132">
        <f xml:space="preserve"> VfM_Metrics_2023_Entity[[#This Row],[Turnover from social housing lettings]]</f>
        <v>62947</v>
      </c>
      <c r="BV101" s="135" vm="18132">
        <v>62947</v>
      </c>
      <c r="BW101" s="134">
        <f xml:space="preserve"> IFERROR( VfM_Metrics_2023_Entity[[#This Row],[Net operating surplus]] / VfM_Metrics_2023_Entity[[#This Row],[Overall turnover]], "n/a" )</f>
        <v>4.9980196813210247E-2</v>
      </c>
      <c r="BX101" s="5">
        <f xml:space="preserve"> SUM( VfM_Metrics_2023_Entity[[#This Row],[Operating surplus/(deficit) (overall)2]], - VfM_Metrics_2023_Entity[[#This Row],[Gain/(loss) on disposal of fixed assets (housing properties)2]], - VfM_Metrics_2023_Entity[[#This Row],[Gain/(loss) on disposal of fixed assets (other)2]] )</f>
        <v>3281</v>
      </c>
      <c r="BY101" s="84" vm="13549">
        <v>3281</v>
      </c>
      <c r="BZ101" s="84">
        <v>0</v>
      </c>
      <c r="CA101" s="84">
        <v>0</v>
      </c>
      <c r="CB101" s="5" vm="18305">
        <f xml:space="preserve"> VfM_Metrics_2023_Entity[[#This Row],[Turnover (overall)]]</f>
        <v>65646</v>
      </c>
      <c r="CC101" s="135" vm="18305">
        <v>65646</v>
      </c>
      <c r="CD101" s="134">
        <f xml:space="preserve"> IFERROR( VfM_Metrics_2023_Entity[[#This Row],[Operating surplus including from JVs]] / VfM_Metrics_2023_Entity[[#This Row],[Net assets]], "n/a" )</f>
        <v>0.14566037735849058</v>
      </c>
      <c r="CE101" s="5">
        <f xml:space="preserve"> SUM( VfM_Metrics_2023_Entity[[#This Row],[Operating surplus/(deficit) (overall)3]], VfM_Metrics_2023_Entity[[#This Row],[Share of operating surplus/(deficit) in joint ventures or associates]] )</f>
        <v>3281</v>
      </c>
      <c r="CF101" s="84" vm="18433">
        <v>3281</v>
      </c>
      <c r="CG101" s="84">
        <v>0</v>
      </c>
      <c r="CH101" s="5" vm="18693">
        <f xml:space="preserve"> VfM_Metrics_2023_Entity[[#This Row],[Total assets less current liabilities]]</f>
        <v>22525</v>
      </c>
      <c r="CI101" s="135" vm="18693">
        <v>22525</v>
      </c>
      <c r="CJ101" s="140" vm="11304">
        <f xml:space="preserve"> VfM_Metrics_2023_Entity[[#This Row],[Total social housing units owned (Period end)]]</f>
        <v>3758</v>
      </c>
      <c r="CK101" s="141">
        <v>0.96487493347525299</v>
      </c>
      <c r="CL101" s="69">
        <f xml:space="preserve"> -- ( VfM_Metrics_2023_Entity[[#This Row],[% Supported housing (excl. HOP)]] &gt; 0.3 )</f>
        <v>1</v>
      </c>
      <c r="CM101" s="9">
        <v>3.3262373602980309E-2</v>
      </c>
      <c r="CN101" s="69">
        <f xml:space="preserve"> -- ( VfM_Metrics_2023_Entity[[#This Row],[% Housing for older people]] &gt; 0.3 )</f>
        <v>0</v>
      </c>
      <c r="CO101" s="9">
        <f xml:space="preserve"> VfM_Metrics_2023_Entity[[#This Row],[% Supported housing (excl. HOP)]] + VfM_Metrics_2023_Entity[[#This Row],[% Housing for older people]]</f>
        <v>0.99813730707823334</v>
      </c>
      <c r="CP101" s="69">
        <f xml:space="preserve"> -- ( VfM_Metrics_2023_Entity[[#This Row],[SH specialist in RSH analysis]] + VfM_Metrics_2023_Entity[[#This Row],[OP specialist in RSH analysis]] &gt; 0 )</f>
        <v>1</v>
      </c>
      <c r="CQ101" s="142">
        <f xml:space="preserve"> -- ( VfM_Metrics_2023_Entity[[#This Row],[% SH and OP]] &gt; 0.3 )</f>
        <v>1</v>
      </c>
      <c r="CR101" s="143" t="s">
        <v>143</v>
      </c>
      <c r="CS101" s="120"/>
      <c r="CT101" s="144" t="s">
        <v>144</v>
      </c>
      <c r="CU10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01" s="146">
        <v>2.415591545429591E-2</v>
      </c>
      <c r="CW101" s="146">
        <v>5.9566291517979687E-2</v>
      </c>
      <c r="CX101" s="146">
        <v>5.3252813615152349E-2</v>
      </c>
      <c r="CY101" s="146">
        <v>0.14054350809772165</v>
      </c>
      <c r="CZ101" s="146">
        <v>0.2034037880867417</v>
      </c>
      <c r="DA101" s="146">
        <v>6.0664287674993135E-2</v>
      </c>
      <c r="DB101" s="146">
        <v>7.987922042272852E-2</v>
      </c>
      <c r="DC101" s="146">
        <v>0.24348064781773263</v>
      </c>
      <c r="DD101" s="146">
        <v>0.13505352731265441</v>
      </c>
      <c r="DE101" s="126">
        <v>0.96551039520231197</v>
      </c>
    </row>
    <row r="102" spans="1:109" x14ac:dyDescent="0.25">
      <c r="A102" s="4" t="s" vm="339">
        <v>304</v>
      </c>
      <c r="B102" s="4" t="s" vm="10940">
        <v>305</v>
      </c>
      <c r="C102" s="121" vm="18850">
        <v>45016</v>
      </c>
      <c r="D102" s="68">
        <f>IFERROR( VfM_Metrics_2023_Entity[[#This Row],[Reinvestment Spend]] / VfM_Metrics_2023_Entity[[#This Row],[Net Book Value of Housing Properties]], "n/a" )</f>
        <v>0.11034579479419022</v>
      </c>
      <c r="E10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48782</v>
      </c>
      <c r="F102" s="84" vm="9431">
        <v>14519</v>
      </c>
      <c r="G102" s="84" vm="9814">
        <v>14839</v>
      </c>
      <c r="H102" s="84" vm="10645">
        <v>18873</v>
      </c>
      <c r="I102" s="84" vm="10880">
        <v>551</v>
      </c>
      <c r="J102" s="84" vm="9560">
        <v>0</v>
      </c>
      <c r="K102" s="5">
        <f xml:space="preserve"> SUM( VfM_Metrics_2023_Entity[[#This Row],[Tangible fixed assets: Housing properties at cost (Current period)]],VfM_Metrics_2023_Entity[[#This Row],[Tangible fixed assets Housing properties at valuation (Current period)]] )</f>
        <v>442083</v>
      </c>
      <c r="L102" s="84" vm="10711">
        <v>442083</v>
      </c>
      <c r="M102" s="84" vm="10514">
        <v>0</v>
      </c>
      <c r="N102" s="134">
        <f xml:space="preserve"> IFERROR( VfM_Metrics_2023_Entity[[#This Row],[Total social units developed or newly built units acquired in-year]] / VfM_Metrics_2023_Entity[[#This Row],[Social housing units owned (period end)]], "n/a" )</f>
        <v>4.3010752688172043E-3</v>
      </c>
      <c r="O102" s="5">
        <f xml:space="preserve"> SUM( VfM_Metrics_2023_Entity[[#This Row],[Total social units developed or newly built units acquired in-year (owned)]], VfM_Metrics_2023_Entity[[#This Row],[Total social leasehold units developed or newly built units acquired in-year (owned)]] )</f>
        <v>96</v>
      </c>
      <c r="P102" s="84" vm="11049">
        <v>84</v>
      </c>
      <c r="Q102" s="84" vm="11174">
        <v>12</v>
      </c>
      <c r="R102" s="5">
        <f xml:space="preserve"> SUM( VfM_Metrics_2023_Entity[[#This Row],[Total social housing units owned (Period end)]], VfM_Metrics_2023_Entity[[#This Row],[Total social leasehold units owned (Period end)]] )</f>
        <v>22320</v>
      </c>
      <c r="S102" s="84" vm="11373">
        <v>21192</v>
      </c>
      <c r="T102" s="135" vm="11485">
        <v>1128</v>
      </c>
      <c r="U102" s="136">
        <f xml:space="preserve"> IFERROR( VfM_Metrics_2023_Entity[[#This Row],[Total non-social housing units developed or newly built units acquired (owned)]] / VfM_Metrics_2023_Entity[[#This Row],[Total social and non-social housing units owned (Period end)]], "n/a" )</f>
        <v>0</v>
      </c>
      <c r="V10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02" s="84" vm="11653">
        <v>0</v>
      </c>
      <c r="X102" s="84" vm="11700">
        <v>0</v>
      </c>
      <c r="Y102" s="84" vm="11740">
        <v>0</v>
      </c>
      <c r="Z10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22340</v>
      </c>
      <c r="AA102" s="84" vm="11373">
        <v>21192</v>
      </c>
      <c r="AB102" s="84" vm="11484">
        <v>1128</v>
      </c>
      <c r="AC102" s="84" vm="12361">
        <v>20</v>
      </c>
      <c r="AD102" s="135" vm="12504">
        <v>0</v>
      </c>
      <c r="AE102" s="134">
        <f xml:space="preserve"> IFERROR( VfM_Metrics_2023_Entity[[#This Row],[Total Net Debt]] / VfM_Metrics_2023_Entity[[#This Row],[Net Book Value of Housing Properties2]], "n/a" )</f>
        <v>0.6188928323414381</v>
      </c>
      <c r="AF10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273602</v>
      </c>
      <c r="AG102" s="84" vm="12666">
        <v>73</v>
      </c>
      <c r="AH102" s="84" vm="12757">
        <v>48541</v>
      </c>
      <c r="AI102" s="84" vm="13331">
        <v>6105</v>
      </c>
      <c r="AJ102" s="84" vm="12859">
        <v>231093</v>
      </c>
      <c r="AK102" s="84" vm="12940">
        <v>0</v>
      </c>
      <c r="AL102" s="5">
        <f xml:space="preserve"> SUM( VfM_Metrics_2023_Entity[[#This Row],[Tangible fixed assets: Housing properties at cost (Current period)2]], VfM_Metrics_2023_Entity[[#This Row],[Tangible fixed assets Housing properties at valuation (Current period)2]] )</f>
        <v>442083</v>
      </c>
      <c r="AM102" s="84" vm="13386">
        <v>442083</v>
      </c>
      <c r="AN102" s="135" vm="10134">
        <v>0</v>
      </c>
      <c r="AO102" s="137">
        <f xml:space="preserve"> IFERROR( VfM_Metrics_2023_Entity[[#This Row],[EBITDA MRI]] / VfM_Metrics_2023_Entity[[#This Row],[Total interest]], "n/a" )</f>
        <v>0.12479187479187479</v>
      </c>
      <c r="AP10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1499</v>
      </c>
      <c r="AQ102" s="84" vm="13575">
        <v>11968</v>
      </c>
      <c r="AR102" s="84" vm="14484">
        <v>6359</v>
      </c>
      <c r="AS102" s="84" vm="14731">
        <v>44</v>
      </c>
      <c r="AT102" s="84" vm="14976">
        <v>898</v>
      </c>
      <c r="AU102" s="84" vm="13740">
        <v>1057</v>
      </c>
      <c r="AV102" s="84" vm="13994">
        <v>208</v>
      </c>
      <c r="AW102" s="84" vm="14242">
        <v>18873</v>
      </c>
      <c r="AX102" s="84" vm="14485">
        <v>16554</v>
      </c>
      <c r="AY102" s="5">
        <f xml:space="preserve"> - SUM( VfM_Metrics_2023_Entity[[#This Row],[Interest capitalised]], VfM_Metrics_2023_Entity[[#This Row],[Interest payable and financing costs]] )</f>
        <v>12012</v>
      </c>
      <c r="AZ102" s="84" vm="15247">
        <v>-551</v>
      </c>
      <c r="BA102" s="135" vm="15421">
        <v>-11461</v>
      </c>
      <c r="BB102" s="138">
        <f xml:space="preserve"> IFERROR( ( VfM_Metrics_2023_Entity[[#This Row],[Total Costs]] / VfM_Metrics_2023_Entity[[#This Row],[Total units for costs]] ) * 1000, "n/a" )</f>
        <v>4535.0306634454555</v>
      </c>
      <c r="BC10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97612</v>
      </c>
      <c r="BD102" s="84" vm="15821">
        <v>28049</v>
      </c>
      <c r="BE102" s="84" vm="16797">
        <v>10650</v>
      </c>
      <c r="BF102" s="84" vm="16159">
        <v>24658</v>
      </c>
      <c r="BG102" s="84" vm="17565">
        <v>3378</v>
      </c>
      <c r="BH102" s="84" vm="15958">
        <v>1562</v>
      </c>
      <c r="BI102" s="84" vm="16627">
        <v>0</v>
      </c>
      <c r="BJ102" s="84" vm="14242">
        <v>18873</v>
      </c>
      <c r="BK102" s="84" vm="17036">
        <v>9882</v>
      </c>
      <c r="BL102" s="84" vm="16626">
        <v>0</v>
      </c>
      <c r="BM102" s="84" vm="15959">
        <v>0</v>
      </c>
      <c r="BN102" s="84" vm="16431">
        <v>160</v>
      </c>
      <c r="BO102" s="84" vm="16160">
        <v>400</v>
      </c>
      <c r="BP102" s="5" vm="17701">
        <f xml:space="preserve"> VfM_Metrics_2023_Entity[[#This Row],[Total social housing units owned and/or managed at period end]]</f>
        <v>21524</v>
      </c>
      <c r="BQ102" s="135" vm="17701">
        <v>21524</v>
      </c>
      <c r="BR102" s="134">
        <f xml:space="preserve"> IFERROR( VfM_Metrics_2023_Entity[[#This Row],[SHL operating surplus / (deficit)]] / VfM_Metrics_2023_Entity[[#This Row],[Turnover from social housing lettings]], "n/a" )</f>
        <v>3.8950311980654212E-2</v>
      </c>
      <c r="BS102" s="5" vm="17996">
        <f xml:space="preserve"> VfM_Metrics_2023_Entity[[#This Row],[Operating surplus/(deficit) (social housing lettings)]]</f>
        <v>3914</v>
      </c>
      <c r="BT102" s="84" vm="17996">
        <v>3914</v>
      </c>
      <c r="BU102" s="5" vm="18171">
        <f xml:space="preserve"> VfM_Metrics_2023_Entity[[#This Row],[Turnover from social housing lettings]]</f>
        <v>100487</v>
      </c>
      <c r="BV102" s="135" vm="18171">
        <v>100487</v>
      </c>
      <c r="BW102" s="134">
        <f xml:space="preserve"> IFERROR( VfM_Metrics_2023_Entity[[#This Row],[Net operating surplus]] / VfM_Metrics_2023_Entity[[#This Row],[Overall turnover]], "n/a" )</f>
        <v>5.3290815593668307E-2</v>
      </c>
      <c r="BX102" s="5">
        <f xml:space="preserve"> SUM( VfM_Metrics_2023_Entity[[#This Row],[Operating surplus/(deficit) (overall)2]], - VfM_Metrics_2023_Entity[[#This Row],[Gain/(loss) on disposal of fixed assets (housing properties)2]], - VfM_Metrics_2023_Entity[[#This Row],[Gain/(loss) on disposal of fixed assets (other)2]] )</f>
        <v>5565</v>
      </c>
      <c r="BY102" s="84" vm="13575">
        <v>11968</v>
      </c>
      <c r="BZ102" s="84" vm="14484">
        <v>6359</v>
      </c>
      <c r="CA102" s="84" vm="14731">
        <v>44</v>
      </c>
      <c r="CB102" s="5" vm="18339">
        <f xml:space="preserve"> VfM_Metrics_2023_Entity[[#This Row],[Turnover (overall)]]</f>
        <v>104427</v>
      </c>
      <c r="CC102" s="135" vm="18339">
        <v>104427</v>
      </c>
      <c r="CD102" s="134">
        <f xml:space="preserve"> IFERROR( VfM_Metrics_2023_Entity[[#This Row],[Operating surplus including from JVs]] / VfM_Metrics_2023_Entity[[#This Row],[Net assets]], "n/a" )</f>
        <v>2.6581969215734181E-2</v>
      </c>
      <c r="CE102" s="5">
        <f xml:space="preserve"> SUM( VfM_Metrics_2023_Entity[[#This Row],[Operating surplus/(deficit) (overall)3]], VfM_Metrics_2023_Entity[[#This Row],[Share of operating surplus/(deficit) in joint ventures or associates]] )</f>
        <v>11968</v>
      </c>
      <c r="CF102" s="84" vm="13575">
        <v>11968</v>
      </c>
      <c r="CG102" s="84" vm="18516">
        <v>0</v>
      </c>
      <c r="CH102" s="5" vm="18719">
        <f xml:space="preserve"> VfM_Metrics_2023_Entity[[#This Row],[Total assets less current liabilities]]</f>
        <v>450230</v>
      </c>
      <c r="CI102" s="135" vm="18719">
        <v>450230</v>
      </c>
      <c r="CJ102" s="140" vm="11373">
        <f xml:space="preserve"> VfM_Metrics_2023_Entity[[#This Row],[Total social housing units owned (Period end)]]</f>
        <v>21192</v>
      </c>
      <c r="CK102" s="141">
        <v>3.0689329556185078E-3</v>
      </c>
      <c r="CL102" s="69">
        <f xml:space="preserve"> -- ( VfM_Metrics_2023_Entity[[#This Row],[% Supported housing (excl. HOP)]] &gt; 0.3 )</f>
        <v>0</v>
      </c>
      <c r="CM102" s="9">
        <v>3.375826251180359E-2</v>
      </c>
      <c r="CN102" s="69">
        <f xml:space="preserve"> -- ( VfM_Metrics_2023_Entity[[#This Row],[% Housing for older people]] &gt; 0.3 )</f>
        <v>0</v>
      </c>
      <c r="CO102" s="9">
        <f xml:space="preserve"> VfM_Metrics_2023_Entity[[#This Row],[% Supported housing (excl. HOP)]] + VfM_Metrics_2023_Entity[[#This Row],[% Housing for older people]]</f>
        <v>3.6827195467422094E-2</v>
      </c>
      <c r="CP102" s="69">
        <f xml:space="preserve"> -- ( VfM_Metrics_2023_Entity[[#This Row],[SH specialist in RSH analysis]] + VfM_Metrics_2023_Entity[[#This Row],[OP specialist in RSH analysis]] &gt; 0 )</f>
        <v>0</v>
      </c>
      <c r="CQ102" s="142">
        <f xml:space="preserve"> -- ( VfM_Metrics_2023_Entity[[#This Row],[% SH and OP]] &gt; 0.3 )</f>
        <v>0</v>
      </c>
      <c r="CR102" s="143" t="s">
        <v>143</v>
      </c>
      <c r="CS102" s="120"/>
      <c r="CT102" s="144" t="s">
        <v>151</v>
      </c>
      <c r="CU10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102" s="146">
        <v>0</v>
      </c>
      <c r="CW102" s="146">
        <v>0</v>
      </c>
      <c r="CX102" s="146">
        <v>0</v>
      </c>
      <c r="CY102" s="146">
        <v>0</v>
      </c>
      <c r="CZ102" s="146">
        <v>0</v>
      </c>
      <c r="DA102" s="146">
        <v>0</v>
      </c>
      <c r="DB102" s="146">
        <v>0</v>
      </c>
      <c r="DC102" s="146">
        <v>1.8875047187617969E-4</v>
      </c>
      <c r="DD102" s="146">
        <v>0.99981124952812384</v>
      </c>
      <c r="DE102" s="126">
        <v>0.94459432275279764</v>
      </c>
    </row>
    <row r="103" spans="1:109" x14ac:dyDescent="0.25">
      <c r="A103" s="4" t="s" vm="216">
        <v>306</v>
      </c>
      <c r="B103" s="4" t="s" vm="9347">
        <v>307</v>
      </c>
      <c r="C103" s="121" vm="18791">
        <v>45016</v>
      </c>
      <c r="D103" s="68">
        <f>IFERROR( VfM_Metrics_2023_Entity[[#This Row],[Reinvestment Spend]] / VfM_Metrics_2023_Entity[[#This Row],[Net Book Value of Housing Properties]], "n/a" )</f>
        <v>7.7051904551709814E-3</v>
      </c>
      <c r="E10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1187</v>
      </c>
      <c r="F103" s="84" vm="10635">
        <v>0</v>
      </c>
      <c r="G103" s="84" vm="9672">
        <v>0</v>
      </c>
      <c r="H103" s="84" vm="10528">
        <v>1117</v>
      </c>
      <c r="I103" s="84" vm="9761">
        <v>70</v>
      </c>
      <c r="J103" s="84" vm="9495">
        <v>0</v>
      </c>
      <c r="K103" s="5">
        <f xml:space="preserve"> SUM( VfM_Metrics_2023_Entity[[#This Row],[Tangible fixed assets: Housing properties at cost (Current period)]],VfM_Metrics_2023_Entity[[#This Row],[Tangible fixed assets Housing properties at valuation (Current period)]] )</f>
        <v>154052</v>
      </c>
      <c r="L103" s="84" vm="9976">
        <v>154052</v>
      </c>
      <c r="M103" s="84" vm="10151">
        <v>0</v>
      </c>
      <c r="N103" s="134">
        <f xml:space="preserve"> IFERROR( VfM_Metrics_2023_Entity[[#This Row],[Total social units developed or newly built units acquired in-year]] / VfM_Metrics_2023_Entity[[#This Row],[Social housing units owned (period end)]], "n/a" )</f>
        <v>0</v>
      </c>
      <c r="O103" s="5">
        <f xml:space="preserve"> SUM( VfM_Metrics_2023_Entity[[#This Row],[Total social units developed or newly built units acquired in-year (owned)]], VfM_Metrics_2023_Entity[[#This Row],[Total social leasehold units developed or newly built units acquired in-year (owned)]] )</f>
        <v>0</v>
      </c>
      <c r="P103" s="84" vm="11068">
        <v>0</v>
      </c>
      <c r="Q103" s="84" vm="11191">
        <v>0</v>
      </c>
      <c r="R103" s="5">
        <f xml:space="preserve"> SUM( VfM_Metrics_2023_Entity[[#This Row],[Total social housing units owned (Period end)]], VfM_Metrics_2023_Entity[[#This Row],[Total social leasehold units owned (Period end)]] )</f>
        <v>1332</v>
      </c>
      <c r="S103" s="84" vm="11375">
        <v>1332</v>
      </c>
      <c r="T103" s="135" vm="11486">
        <v>0</v>
      </c>
      <c r="U103" s="136">
        <f xml:space="preserve"> IFERROR( VfM_Metrics_2023_Entity[[#This Row],[Total non-social housing units developed or newly built units acquired (owned)]] / VfM_Metrics_2023_Entity[[#This Row],[Total social and non-social housing units owned (Period end)]], "n/a" )</f>
        <v>0</v>
      </c>
      <c r="V10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03" s="84" vm="11669">
        <v>0</v>
      </c>
      <c r="X103" s="84" vm="11797">
        <v>0</v>
      </c>
      <c r="Y103" s="84" vm="11839">
        <v>0</v>
      </c>
      <c r="Z10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1332</v>
      </c>
      <c r="AA103" s="84" vm="12047">
        <v>1332</v>
      </c>
      <c r="AB103" s="84" vm="11422">
        <v>0</v>
      </c>
      <c r="AC103" s="84" vm="12106">
        <v>0</v>
      </c>
      <c r="AD103" s="135" vm="12266">
        <v>0</v>
      </c>
      <c r="AE103" s="134">
        <f xml:space="preserve"> IFERROR( VfM_Metrics_2023_Entity[[#This Row],[Total Net Debt]] / VfM_Metrics_2023_Entity[[#This Row],[Net Book Value of Housing Properties2]], "n/a" )</f>
        <v>0.30246280476722148</v>
      </c>
      <c r="AF10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46595</v>
      </c>
      <c r="AG103" s="84" vm="12690">
        <v>9017</v>
      </c>
      <c r="AH103" s="84" vm="13033">
        <v>53619</v>
      </c>
      <c r="AI103" s="84" vm="13120">
        <v>16041</v>
      </c>
      <c r="AJ103" s="84" vm="12758">
        <v>0</v>
      </c>
      <c r="AK103" s="84" vm="12860">
        <v>0</v>
      </c>
      <c r="AL103" s="5">
        <f xml:space="preserve"> SUM( VfM_Metrics_2023_Entity[[#This Row],[Tangible fixed assets: Housing properties at cost (Current period)2]], VfM_Metrics_2023_Entity[[#This Row],[Tangible fixed assets Housing properties at valuation (Current period)2]] )</f>
        <v>154052</v>
      </c>
      <c r="AM103" s="84" vm="9976">
        <v>154052</v>
      </c>
      <c r="AN103" s="135" vm="10151">
        <v>0</v>
      </c>
      <c r="AO103" s="137">
        <f xml:space="preserve"> IFERROR( VfM_Metrics_2023_Entity[[#This Row],[EBITDA MRI]] / VfM_Metrics_2023_Entity[[#This Row],[Total interest]], "n/a" )</f>
        <v>0.8956086286594761</v>
      </c>
      <c r="AP10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2325</v>
      </c>
      <c r="AQ103" s="84" vm="13606">
        <v>2640</v>
      </c>
      <c r="AR103" s="84" vm="14732">
        <v>549</v>
      </c>
      <c r="AS103" s="84" vm="14977">
        <v>0</v>
      </c>
      <c r="AT103" s="84" vm="13741">
        <v>807</v>
      </c>
      <c r="AU103" s="84" vm="13995">
        <v>0</v>
      </c>
      <c r="AV103" s="84" vm="14243">
        <v>186</v>
      </c>
      <c r="AW103" s="84" vm="14486">
        <v>1117</v>
      </c>
      <c r="AX103" s="84" vm="14733">
        <v>1972</v>
      </c>
      <c r="AY103" s="5">
        <f xml:space="preserve"> - SUM( VfM_Metrics_2023_Entity[[#This Row],[Interest capitalised]], VfM_Metrics_2023_Entity[[#This Row],[Interest payable and financing costs]] )</f>
        <v>2596</v>
      </c>
      <c r="AZ103" s="84" vm="15277">
        <v>-70</v>
      </c>
      <c r="BA103" s="135" vm="15457">
        <v>-2526</v>
      </c>
      <c r="BB103" s="138">
        <f xml:space="preserve"> IFERROR( ( VfM_Metrics_2023_Entity[[#This Row],[Total Costs]] / VfM_Metrics_2023_Entity[[#This Row],[Total units for costs]] ) * 1000, "n/a" )</f>
        <v>6002.2522522522522</v>
      </c>
      <c r="BC10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7995</v>
      </c>
      <c r="BD103" s="84" vm="15564">
        <v>1790</v>
      </c>
      <c r="BE103" s="84" vm="16797">
        <v>888</v>
      </c>
      <c r="BF103" s="84" vm="16179">
        <v>1939</v>
      </c>
      <c r="BG103" s="84" vm="17112">
        <v>1726</v>
      </c>
      <c r="BH103" s="84" vm="16313">
        <v>365</v>
      </c>
      <c r="BI103" s="84" vm="16094">
        <v>0</v>
      </c>
      <c r="BJ103" s="84" vm="14486">
        <v>1117</v>
      </c>
      <c r="BK103" s="84" vm="15894">
        <v>130</v>
      </c>
      <c r="BL103" s="84" vm="16873">
        <v>40</v>
      </c>
      <c r="BM103" s="84" vm="17550">
        <v>0</v>
      </c>
      <c r="BN103" s="84" vm="15961">
        <v>0</v>
      </c>
      <c r="BO103" s="84" vm="16715">
        <v>0</v>
      </c>
      <c r="BP103" s="5" vm="17736">
        <f xml:space="preserve"> VfM_Metrics_2023_Entity[[#This Row],[Total social housing units owned and/or managed at period end]]</f>
        <v>1332</v>
      </c>
      <c r="BQ103" s="135" vm="17736">
        <v>1332</v>
      </c>
      <c r="BR103" s="134">
        <f xml:space="preserve"> IFERROR( VfM_Metrics_2023_Entity[[#This Row],[SHL operating surplus / (deficit)]] / VfM_Metrics_2023_Entity[[#This Row],[Turnover from social housing lettings]], "n/a" )</f>
        <v>0.19708503527664314</v>
      </c>
      <c r="BS103" s="5" vm="18020">
        <f xml:space="preserve"> VfM_Metrics_2023_Entity[[#This Row],[Operating surplus/(deficit) (social housing lettings)]]</f>
        <v>2123</v>
      </c>
      <c r="BT103" s="84" vm="18020">
        <v>2123</v>
      </c>
      <c r="BU103" s="5" vm="18197">
        <f xml:space="preserve"> VfM_Metrics_2023_Entity[[#This Row],[Turnover from social housing lettings]]</f>
        <v>10772</v>
      </c>
      <c r="BV103" s="135" vm="18197">
        <v>10772</v>
      </c>
      <c r="BW103" s="134">
        <f xml:space="preserve"> IFERROR( VfM_Metrics_2023_Entity[[#This Row],[Net operating surplus]] / VfM_Metrics_2023_Entity[[#This Row],[Overall turnover]], "n/a" )</f>
        <v>0.19397031539888682</v>
      </c>
      <c r="BX103" s="5">
        <f xml:space="preserve"> SUM( VfM_Metrics_2023_Entity[[#This Row],[Operating surplus/(deficit) (overall)2]], - VfM_Metrics_2023_Entity[[#This Row],[Gain/(loss) on disposal of fixed assets (housing properties)2]], - VfM_Metrics_2023_Entity[[#This Row],[Gain/(loss) on disposal of fixed assets (other)2]] )</f>
        <v>2091</v>
      </c>
      <c r="BY103" s="84" vm="13606">
        <v>2640</v>
      </c>
      <c r="BZ103" s="84" vm="14732">
        <v>549</v>
      </c>
      <c r="CA103" s="84" vm="14977">
        <v>0</v>
      </c>
      <c r="CB103" s="5" vm="18420">
        <f xml:space="preserve"> VfM_Metrics_2023_Entity[[#This Row],[Turnover (overall)]]</f>
        <v>10780</v>
      </c>
      <c r="CC103" s="135" vm="18420">
        <v>10780</v>
      </c>
      <c r="CD103" s="134">
        <f xml:space="preserve"> IFERROR( VfM_Metrics_2023_Entity[[#This Row],[Operating surplus including from JVs]] / VfM_Metrics_2023_Entity[[#This Row],[Net assets]], "n/a" )</f>
        <v>1.621362681635611E-2</v>
      </c>
      <c r="CE103" s="5">
        <f xml:space="preserve"> SUM( VfM_Metrics_2023_Entity[[#This Row],[Operating surplus/(deficit) (overall)3]], VfM_Metrics_2023_Entity[[#This Row],[Share of operating surplus/(deficit) in joint ventures or associates]] )</f>
        <v>2640</v>
      </c>
      <c r="CF103" s="84" vm="13607">
        <v>2640</v>
      </c>
      <c r="CG103" s="84" vm="18537">
        <v>0</v>
      </c>
      <c r="CH103" s="5" vm="18742">
        <f xml:space="preserve"> VfM_Metrics_2023_Entity[[#This Row],[Total assets less current liabilities]]</f>
        <v>162826</v>
      </c>
      <c r="CI103" s="135" vm="18742">
        <v>162826</v>
      </c>
      <c r="CJ103" s="140" vm="11375">
        <f xml:space="preserve"> VfM_Metrics_2023_Entity[[#This Row],[Total social housing units owned (Period end)]]</f>
        <v>1332</v>
      </c>
      <c r="CK103" s="141">
        <v>0</v>
      </c>
      <c r="CL103" s="69">
        <f xml:space="preserve"> -- ( VfM_Metrics_2023_Entity[[#This Row],[% Supported housing (excl. HOP)]] &gt; 0.3 )</f>
        <v>0</v>
      </c>
      <c r="CM103" s="9">
        <v>0</v>
      </c>
      <c r="CN103" s="69">
        <f xml:space="preserve"> -- ( VfM_Metrics_2023_Entity[[#This Row],[% Housing for older people]] &gt; 0.3 )</f>
        <v>0</v>
      </c>
      <c r="CO103" s="9">
        <f xml:space="preserve"> VfM_Metrics_2023_Entity[[#This Row],[% Supported housing (excl. HOP)]] + VfM_Metrics_2023_Entity[[#This Row],[% Housing for older people]]</f>
        <v>0</v>
      </c>
      <c r="CP103" s="69">
        <f xml:space="preserve"> -- ( VfM_Metrics_2023_Entity[[#This Row],[SH specialist in RSH analysis]] + VfM_Metrics_2023_Entity[[#This Row],[OP specialist in RSH analysis]] &gt; 0 )</f>
        <v>0</v>
      </c>
      <c r="CQ103" s="142">
        <f xml:space="preserve"> -- ( VfM_Metrics_2023_Entity[[#This Row],[% SH and OP]] &gt; 0.3 )</f>
        <v>0</v>
      </c>
      <c r="CR103" s="143" t="s">
        <v>143</v>
      </c>
      <c r="CS103" s="120"/>
      <c r="CT103" s="144" t="s">
        <v>144</v>
      </c>
      <c r="CU10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03" s="146">
        <v>0.93348450491307633</v>
      </c>
      <c r="CW103" s="146">
        <v>6.6515495086923657E-2</v>
      </c>
      <c r="CX103" s="146">
        <v>0</v>
      </c>
      <c r="CY103" s="146">
        <v>0</v>
      </c>
      <c r="CZ103" s="146">
        <v>0</v>
      </c>
      <c r="DA103" s="146">
        <v>0</v>
      </c>
      <c r="DB103" s="146">
        <v>0</v>
      </c>
      <c r="DC103" s="146">
        <v>0</v>
      </c>
      <c r="DD103" s="146">
        <v>0</v>
      </c>
      <c r="DE103" s="126">
        <v>1.1519453595393858</v>
      </c>
    </row>
    <row r="104" spans="1:109" x14ac:dyDescent="0.25">
      <c r="A104" s="4" t="s" vm="389">
        <v>308</v>
      </c>
      <c r="B104" s="4" t="s" vm="9367">
        <v>309</v>
      </c>
      <c r="C104" s="121" vm="18960">
        <v>45016</v>
      </c>
      <c r="D104" s="68">
        <f>IFERROR( VfM_Metrics_2023_Entity[[#This Row],[Reinvestment Spend]] / VfM_Metrics_2023_Entity[[#This Row],[Net Book Value of Housing Properties]], "n/a" )</f>
        <v>5.4330647382095518E-2</v>
      </c>
      <c r="E10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18151</v>
      </c>
      <c r="F104" s="84" vm="9390">
        <v>10431</v>
      </c>
      <c r="G104" s="84" vm="9543">
        <v>0</v>
      </c>
      <c r="H104" s="84" vm="9795">
        <v>7720</v>
      </c>
      <c r="I104" s="84" vm="9720">
        <v>0</v>
      </c>
      <c r="J104" s="84" vm="9762">
        <v>0</v>
      </c>
      <c r="K104" s="5">
        <f xml:space="preserve"> SUM( VfM_Metrics_2023_Entity[[#This Row],[Tangible fixed assets: Housing properties at cost (Current period)]],VfM_Metrics_2023_Entity[[#This Row],[Tangible fixed assets Housing properties at valuation (Current period)]] )</f>
        <v>334084</v>
      </c>
      <c r="L104" s="84" vm="10028">
        <v>334084</v>
      </c>
      <c r="M104" s="84" vm="10355">
        <v>0</v>
      </c>
      <c r="N104" s="134">
        <f xml:space="preserve"> IFERROR( VfM_Metrics_2023_Entity[[#This Row],[Total social units developed or newly built units acquired in-year]] / VfM_Metrics_2023_Entity[[#This Row],[Social housing units owned (period end)]], "n/a" )</f>
        <v>9.3811074918566783E-3</v>
      </c>
      <c r="O104" s="5">
        <f xml:space="preserve"> SUM( VfM_Metrics_2023_Entity[[#This Row],[Total social units developed or newly built units acquired in-year (owned)]], VfM_Metrics_2023_Entity[[#This Row],[Total social leasehold units developed or newly built units acquired in-year (owned)]] )</f>
        <v>72</v>
      </c>
      <c r="P104" s="84" vm="11089">
        <v>72</v>
      </c>
      <c r="Q104" s="84" vm="11208">
        <v>0</v>
      </c>
      <c r="R104" s="5">
        <f xml:space="preserve"> SUM( VfM_Metrics_2023_Entity[[#This Row],[Total social housing units owned (Period end)]], VfM_Metrics_2023_Entity[[#This Row],[Total social leasehold units owned (Period end)]] )</f>
        <v>7675</v>
      </c>
      <c r="S104" s="84" vm="11295">
        <v>7423</v>
      </c>
      <c r="T104" s="135" vm="11493">
        <v>252</v>
      </c>
      <c r="U104" s="136">
        <f xml:space="preserve"> IFERROR( VfM_Metrics_2023_Entity[[#This Row],[Total non-social housing units developed or newly built units acquired (owned)]] / VfM_Metrics_2023_Entity[[#This Row],[Total social and non-social housing units owned (Period end)]], "n/a" )</f>
        <v>0</v>
      </c>
      <c r="V10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04" s="84" vm="11570">
        <v>0</v>
      </c>
      <c r="X104" s="84" vm="11884">
        <v>0</v>
      </c>
      <c r="Y104" s="84" vm="11923">
        <v>0</v>
      </c>
      <c r="Z10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7774</v>
      </c>
      <c r="AA104" s="84" vm="11295">
        <v>7423</v>
      </c>
      <c r="AB104" s="84" vm="11493">
        <v>252</v>
      </c>
      <c r="AC104" s="84" vm="12362">
        <v>99</v>
      </c>
      <c r="AD104" s="135" vm="12505">
        <v>0</v>
      </c>
      <c r="AE104" s="134">
        <f xml:space="preserve"> IFERROR( VfM_Metrics_2023_Entity[[#This Row],[Total Net Debt]] / VfM_Metrics_2023_Entity[[#This Row],[Net Book Value of Housing Properties2]], "n/a" )</f>
        <v>0.42938302941775125</v>
      </c>
      <c r="AF10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143450</v>
      </c>
      <c r="AG104" s="84" vm="12563">
        <v>6706</v>
      </c>
      <c r="AH104" s="84" vm="13332">
        <v>153923</v>
      </c>
      <c r="AI104" s="84" vm="12901">
        <v>17179</v>
      </c>
      <c r="AJ104" s="84" vm="12983">
        <v>0</v>
      </c>
      <c r="AK104" s="84" vm="13076">
        <v>0</v>
      </c>
      <c r="AL104" s="5">
        <f xml:space="preserve"> SUM( VfM_Metrics_2023_Entity[[#This Row],[Tangible fixed assets: Housing properties at cost (Current period)2]], VfM_Metrics_2023_Entity[[#This Row],[Tangible fixed assets Housing properties at valuation (Current period)2]] )</f>
        <v>334084</v>
      </c>
      <c r="AM104" s="84" vm="10034">
        <v>334084</v>
      </c>
      <c r="AN104" s="135" vm="13422">
        <v>0</v>
      </c>
      <c r="AO104" s="137">
        <f xml:space="preserve"> IFERROR( VfM_Metrics_2023_Entity[[#This Row],[EBITDA MRI]] / VfM_Metrics_2023_Entity[[#This Row],[Total interest]], "n/a" )</f>
        <v>1.2141196978500872</v>
      </c>
      <c r="AP10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8358</v>
      </c>
      <c r="AQ104" s="84" vm="13444">
        <v>11686</v>
      </c>
      <c r="AR104" s="84" vm="14978">
        <v>541</v>
      </c>
      <c r="AS104" s="84" vm="13742">
        <v>933</v>
      </c>
      <c r="AT104" s="84" vm="13996">
        <v>1366</v>
      </c>
      <c r="AU104" s="84" vm="14244">
        <v>0</v>
      </c>
      <c r="AV104" s="84" vm="14487">
        <v>159</v>
      </c>
      <c r="AW104" s="84" vm="14734">
        <v>7720</v>
      </c>
      <c r="AX104" s="84" vm="14979">
        <v>7073</v>
      </c>
      <c r="AY104" s="5">
        <f xml:space="preserve"> - SUM( VfM_Metrics_2023_Entity[[#This Row],[Interest capitalised]], VfM_Metrics_2023_Entity[[#This Row],[Interest payable and financing costs]] )</f>
        <v>6884</v>
      </c>
      <c r="AZ104" s="84" vm="15175">
        <v>0</v>
      </c>
      <c r="BA104" s="135" vm="15488">
        <v>-6884</v>
      </c>
      <c r="BB104" s="138">
        <f xml:space="preserve"> IFERROR( ( VfM_Metrics_2023_Entity[[#This Row],[Total Costs]] / VfM_Metrics_2023_Entity[[#This Row],[Total units for costs]] ) * 1000, "n/a" )</f>
        <v>3864.879428802371</v>
      </c>
      <c r="BC10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28689</v>
      </c>
      <c r="BD104" s="84" vm="15822">
        <v>4345</v>
      </c>
      <c r="BE104" s="84" vm="17566">
        <v>3309</v>
      </c>
      <c r="BF104" s="84" vm="16426">
        <v>8031</v>
      </c>
      <c r="BG104" s="84" vm="16628">
        <v>4103</v>
      </c>
      <c r="BH104" s="84" vm="16798">
        <v>15</v>
      </c>
      <c r="BI104" s="84" vm="16873">
        <v>0</v>
      </c>
      <c r="BJ104" s="84" vm="14734">
        <v>7720</v>
      </c>
      <c r="BK104" s="84" vm="16315">
        <v>5</v>
      </c>
      <c r="BL104" s="84" vm="17493">
        <v>80</v>
      </c>
      <c r="BM104" s="84" vm="16428">
        <v>491</v>
      </c>
      <c r="BN104" s="84" vm="16628">
        <v>0</v>
      </c>
      <c r="BO104" s="84" vm="15895">
        <v>590</v>
      </c>
      <c r="BP104" s="5" vm="17769">
        <f xml:space="preserve"> VfM_Metrics_2023_Entity[[#This Row],[Total social housing units owned and/or managed at period end]]</f>
        <v>7423</v>
      </c>
      <c r="BQ104" s="135" vm="17769">
        <v>7423</v>
      </c>
      <c r="BR104" s="134">
        <f xml:space="preserve"> IFERROR( VfM_Metrics_2023_Entity[[#This Row],[SHL operating surplus / (deficit)]] / VfM_Metrics_2023_Entity[[#This Row],[Turnover from social housing lettings]], "n/a" )</f>
        <v>0.2958954137666393</v>
      </c>
      <c r="BS104" s="5" vm="17847">
        <f xml:space="preserve"> VfM_Metrics_2023_Entity[[#This Row],[Operating surplus/(deficit) (social housing lettings)]]</f>
        <v>11181</v>
      </c>
      <c r="BT104" s="84" vm="17847">
        <v>11181</v>
      </c>
      <c r="BU104" s="5" vm="18057">
        <f xml:space="preserve"> VfM_Metrics_2023_Entity[[#This Row],[Turnover from social housing lettings]]</f>
        <v>37787</v>
      </c>
      <c r="BV104" s="135" vm="18057">
        <v>37787</v>
      </c>
      <c r="BW104" s="134">
        <f xml:space="preserve"> IFERROR( VfM_Metrics_2023_Entity[[#This Row],[Net operating surplus]] / VfM_Metrics_2023_Entity[[#This Row],[Overall turnover]], "n/a" )</f>
        <v>0.24898207972692918</v>
      </c>
      <c r="BX104" s="5">
        <f xml:space="preserve"> SUM( VfM_Metrics_2023_Entity[[#This Row],[Operating surplus/(deficit) (overall)2]], - VfM_Metrics_2023_Entity[[#This Row],[Gain/(loss) on disposal of fixed assets (housing properties)2]], - VfM_Metrics_2023_Entity[[#This Row],[Gain/(loss) on disposal of fixed assets (other)2]] )</f>
        <v>10212</v>
      </c>
      <c r="BY104" s="84" vm="13517">
        <v>11686</v>
      </c>
      <c r="BZ104" s="84" vm="14978">
        <v>541</v>
      </c>
      <c r="CA104" s="84" vm="13742">
        <v>933</v>
      </c>
      <c r="CB104" s="5" vm="18365">
        <f xml:space="preserve"> VfM_Metrics_2023_Entity[[#This Row],[Turnover (overall)]]</f>
        <v>41015</v>
      </c>
      <c r="CC104" s="135" vm="18365">
        <v>41015</v>
      </c>
      <c r="CD104" s="134">
        <f xml:space="preserve"> IFERROR( VfM_Metrics_2023_Entity[[#This Row],[Operating surplus including from JVs]] / VfM_Metrics_2023_Entity[[#This Row],[Net assets]], "n/a" )</f>
        <v>3.2661617149724702E-2</v>
      </c>
      <c r="CE104" s="5">
        <f xml:space="preserve"> SUM( VfM_Metrics_2023_Entity[[#This Row],[Operating surplus/(deficit) (overall)3]], VfM_Metrics_2023_Entity[[#This Row],[Share of operating surplus/(deficit) in joint ventures or associates]] )</f>
        <v>11686</v>
      </c>
      <c r="CF104" s="84" vm="13444">
        <v>11686</v>
      </c>
      <c r="CG104" s="84" vm="18558">
        <v>0</v>
      </c>
      <c r="CH104" s="5" vm="18584">
        <f xml:space="preserve"> VfM_Metrics_2023_Entity[[#This Row],[Total assets less current liabilities]]</f>
        <v>357790</v>
      </c>
      <c r="CI104" s="135" vm="18584">
        <v>357790</v>
      </c>
      <c r="CJ104" s="140" vm="11295">
        <f xml:space="preserve"> VfM_Metrics_2023_Entity[[#This Row],[Total social housing units owned (Period end)]]</f>
        <v>7423</v>
      </c>
      <c r="CK104" s="141">
        <v>3.5524703960800326E-2</v>
      </c>
      <c r="CL104" s="69">
        <f xml:space="preserve"> -- ( VfM_Metrics_2023_Entity[[#This Row],[% Supported housing (excl. HOP)]] &gt; 0.3 )</f>
        <v>0</v>
      </c>
      <c r="CM104" s="9">
        <v>6.2202259425615899E-2</v>
      </c>
      <c r="CN104" s="69">
        <f xml:space="preserve"> -- ( VfM_Metrics_2023_Entity[[#This Row],[% Housing for older people]] &gt; 0.3 )</f>
        <v>0</v>
      </c>
      <c r="CO104" s="9">
        <f xml:space="preserve"> VfM_Metrics_2023_Entity[[#This Row],[% Supported housing (excl. HOP)]] + VfM_Metrics_2023_Entity[[#This Row],[% Housing for older people]]</f>
        <v>9.7726963386416232E-2</v>
      </c>
      <c r="CP104" s="69">
        <f xml:space="preserve"> -- ( VfM_Metrics_2023_Entity[[#This Row],[SH specialist in RSH analysis]] + VfM_Metrics_2023_Entity[[#This Row],[OP specialist in RSH analysis]] &gt; 0 )</f>
        <v>0</v>
      </c>
      <c r="CQ104" s="142">
        <f xml:space="preserve"> -- ( VfM_Metrics_2023_Entity[[#This Row],[% SH and OP]] &gt; 0.3 )</f>
        <v>0</v>
      </c>
      <c r="CR104" s="143" t="s">
        <v>143</v>
      </c>
      <c r="CS104" s="120"/>
      <c r="CT104" s="144" t="s">
        <v>151</v>
      </c>
      <c r="CU10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04" s="146">
        <v>0</v>
      </c>
      <c r="CW104" s="146">
        <v>0</v>
      </c>
      <c r="CX104" s="146">
        <v>0</v>
      </c>
      <c r="CY104" s="146">
        <v>0</v>
      </c>
      <c r="CZ104" s="146">
        <v>0</v>
      </c>
      <c r="DA104" s="146">
        <v>0</v>
      </c>
      <c r="DB104" s="146">
        <v>0</v>
      </c>
      <c r="DC104" s="146">
        <v>1</v>
      </c>
      <c r="DD104" s="146">
        <v>0</v>
      </c>
      <c r="DE104" s="126">
        <v>0.96105917141044694</v>
      </c>
    </row>
    <row r="105" spans="1:109" x14ac:dyDescent="0.25">
      <c r="A105" s="4" t="s" vm="210">
        <v>310</v>
      </c>
      <c r="B105" s="4" t="s" vm="10857">
        <v>311</v>
      </c>
      <c r="C105" s="121" vm="18828">
        <v>45016</v>
      </c>
      <c r="D105" s="68">
        <f>IFERROR( VfM_Metrics_2023_Entity[[#This Row],[Reinvestment Spend]] / VfM_Metrics_2023_Entity[[#This Row],[Net Book Value of Housing Properties]], "n/a" )</f>
        <v>2.4900793981890938E-2</v>
      </c>
      <c r="E10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7461</v>
      </c>
      <c r="F105" s="84" vm="9450">
        <v>3865</v>
      </c>
      <c r="G105" s="84" vm="9561">
        <v>0</v>
      </c>
      <c r="H105" s="84" vm="9812">
        <v>3073</v>
      </c>
      <c r="I105" s="84" vm="9673">
        <v>523</v>
      </c>
      <c r="J105" s="84" vm="9823">
        <v>0</v>
      </c>
      <c r="K105" s="5">
        <f xml:space="preserve"> SUM( VfM_Metrics_2023_Entity[[#This Row],[Tangible fixed assets: Housing properties at cost (Current period)]],VfM_Metrics_2023_Entity[[#This Row],[Tangible fixed assets Housing properties at valuation (Current period)]] )</f>
        <v>299629</v>
      </c>
      <c r="L105" s="84" vm="10721">
        <v>299629</v>
      </c>
      <c r="M105" s="84" vm="10091">
        <v>0</v>
      </c>
      <c r="N105" s="134">
        <f xml:space="preserve"> IFERROR( VfM_Metrics_2023_Entity[[#This Row],[Total social units developed or newly built units acquired in-year]] / VfM_Metrics_2023_Entity[[#This Row],[Social housing units owned (period end)]], "n/a" )</f>
        <v>3.7037037037037035E-2</v>
      </c>
      <c r="O105" s="5">
        <f xml:space="preserve"> SUM( VfM_Metrics_2023_Entity[[#This Row],[Total social units developed or newly built units acquired in-year (owned)]], VfM_Metrics_2023_Entity[[#This Row],[Total social leasehold units developed or newly built units acquired in-year (owned)]] )</f>
        <v>97</v>
      </c>
      <c r="P105" s="84" vm="11010">
        <v>97</v>
      </c>
      <c r="Q105" s="84" vm="11115">
        <v>0</v>
      </c>
      <c r="R105" s="5">
        <f xml:space="preserve"> SUM( VfM_Metrics_2023_Entity[[#This Row],[Total social housing units owned (Period end)]], VfM_Metrics_2023_Entity[[#This Row],[Total social leasehold units owned (Period end)]] )</f>
        <v>2619</v>
      </c>
      <c r="S105" s="84" vm="11344">
        <v>2403</v>
      </c>
      <c r="T105" s="135" vm="11422">
        <v>216</v>
      </c>
      <c r="U105" s="136">
        <f xml:space="preserve"> IFERROR( VfM_Metrics_2023_Entity[[#This Row],[Total non-social housing units developed or newly built units acquired (owned)]] / VfM_Metrics_2023_Entity[[#This Row],[Total social and non-social housing units owned (Period end)]], "n/a" )</f>
        <v>3.7921880925293893E-4</v>
      </c>
      <c r="V10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v>
      </c>
      <c r="W105" s="84" vm="11595">
        <v>0</v>
      </c>
      <c r="X105" s="84" vm="11701">
        <v>0</v>
      </c>
      <c r="Y105" s="84" vm="11741">
        <v>1</v>
      </c>
      <c r="Z10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2637</v>
      </c>
      <c r="AA105" s="84" vm="12000">
        <v>2403</v>
      </c>
      <c r="AB105" s="84" vm="11422">
        <v>216</v>
      </c>
      <c r="AC105" s="84" vm="12107">
        <v>18</v>
      </c>
      <c r="AD105" s="135" vm="12267">
        <v>0</v>
      </c>
      <c r="AE105" s="134">
        <f xml:space="preserve"> IFERROR( VfM_Metrics_2023_Entity[[#This Row],[Total Net Debt]] / VfM_Metrics_2023_Entity[[#This Row],[Net Book Value of Housing Properties2]], "n/a" )</f>
        <v>0.28555980896375183</v>
      </c>
      <c r="AF10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85562</v>
      </c>
      <c r="AG105" s="84" vm="12593">
        <v>3782</v>
      </c>
      <c r="AH105" s="84" vm="12759">
        <v>95573</v>
      </c>
      <c r="AI105" s="84" vm="13242">
        <v>13793</v>
      </c>
      <c r="AJ105" s="84" vm="13294">
        <v>0</v>
      </c>
      <c r="AK105" s="84" vm="12860">
        <v>0</v>
      </c>
      <c r="AL105" s="5">
        <f xml:space="preserve"> SUM( VfM_Metrics_2023_Entity[[#This Row],[Tangible fixed assets: Housing properties at cost (Current period)2]], VfM_Metrics_2023_Entity[[#This Row],[Tangible fixed assets Housing properties at valuation (Current period)2]] )</f>
        <v>299629</v>
      </c>
      <c r="AM105" s="84" vm="13366">
        <v>299629</v>
      </c>
      <c r="AN105" s="135" vm="10091">
        <v>0</v>
      </c>
      <c r="AO105" s="137">
        <f xml:space="preserve"> IFERROR( VfM_Metrics_2023_Entity[[#This Row],[EBITDA MRI]] / VfM_Metrics_2023_Entity[[#This Row],[Total interest]], "n/a" )</f>
        <v>0.30557753164556961</v>
      </c>
      <c r="AP10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1545</v>
      </c>
      <c r="AQ105" s="84" vm="13482">
        <v>7049</v>
      </c>
      <c r="AR105" s="84" vm="13743">
        <v>5202</v>
      </c>
      <c r="AS105" s="84" vm="13997">
        <v>0</v>
      </c>
      <c r="AT105" s="84" vm="14245">
        <v>1428</v>
      </c>
      <c r="AU105" s="84" vm="14488">
        <v>0</v>
      </c>
      <c r="AV105" s="84" vm="14735">
        <v>130</v>
      </c>
      <c r="AW105" s="84" vm="14980">
        <v>3073</v>
      </c>
      <c r="AX105" s="84" vm="13744">
        <v>4069</v>
      </c>
      <c r="AY105" s="5">
        <f xml:space="preserve"> - SUM( VfM_Metrics_2023_Entity[[#This Row],[Interest capitalised]], VfM_Metrics_2023_Entity[[#This Row],[Interest payable and financing costs]] )</f>
        <v>5056</v>
      </c>
      <c r="AZ105" s="84" vm="15161">
        <v>-523</v>
      </c>
      <c r="BA105" s="135" vm="15326">
        <v>-4533</v>
      </c>
      <c r="BB105" s="138">
        <f xml:space="preserve"> IFERROR( ( VfM_Metrics_2023_Entity[[#This Row],[Total Costs]] / VfM_Metrics_2023_Entity[[#This Row],[Total units for costs]] ) * 1000, "n/a" )</f>
        <v>8261.3399916770704</v>
      </c>
      <c r="BC10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19852</v>
      </c>
      <c r="BD105" s="84" vm="15520">
        <v>3872</v>
      </c>
      <c r="BE105" s="84" vm="16799">
        <v>4773</v>
      </c>
      <c r="BF105" s="84" vm="16095">
        <v>4935</v>
      </c>
      <c r="BG105" s="84" vm="17036">
        <v>1934</v>
      </c>
      <c r="BH105" s="84" vm="17249">
        <v>962</v>
      </c>
      <c r="BI105" s="84" vm="17494">
        <v>0</v>
      </c>
      <c r="BJ105" s="84" vm="14980">
        <v>3073</v>
      </c>
      <c r="BK105" s="84" vm="15962">
        <v>0</v>
      </c>
      <c r="BL105" s="84" vm="15896">
        <v>25</v>
      </c>
      <c r="BM105" s="84" vm="17037">
        <v>0</v>
      </c>
      <c r="BN105" s="84" vm="17250">
        <v>278</v>
      </c>
      <c r="BO105" s="84" vm="16716">
        <v>0</v>
      </c>
      <c r="BP105" s="5" vm="17631">
        <f xml:space="preserve"> VfM_Metrics_2023_Entity[[#This Row],[Total social housing units owned and/or managed at period end]]</f>
        <v>2403</v>
      </c>
      <c r="BQ105" s="135" vm="17631">
        <v>2403</v>
      </c>
      <c r="BR105" s="134">
        <f xml:space="preserve"> IFERROR( VfM_Metrics_2023_Entity[[#This Row],[SHL operating surplus / (deficit)]] / VfM_Metrics_2023_Entity[[#This Row],[Turnover from social housing lettings]], "n/a" )</f>
        <v>2.3157595026811559E-2</v>
      </c>
      <c r="BS105" s="5" vm="17885">
        <f xml:space="preserve"> VfM_Metrics_2023_Entity[[#This Row],[Operating surplus/(deficit) (social housing lettings)]]</f>
        <v>488</v>
      </c>
      <c r="BT105" s="84" vm="17885">
        <v>488</v>
      </c>
      <c r="BU105" s="5" vm="18082">
        <f xml:space="preserve"> VfM_Metrics_2023_Entity[[#This Row],[Turnover from social housing lettings]]</f>
        <v>21073</v>
      </c>
      <c r="BV105" s="135" vm="18082">
        <v>21073</v>
      </c>
      <c r="BW105" s="134">
        <f xml:space="preserve"> IFERROR( VfM_Metrics_2023_Entity[[#This Row],[Net operating surplus]] / VfM_Metrics_2023_Entity[[#This Row],[Overall turnover]], "n/a" )</f>
        <v>7.1263214754224868E-2</v>
      </c>
      <c r="BX105" s="5">
        <f xml:space="preserve"> SUM( VfM_Metrics_2023_Entity[[#This Row],[Operating surplus/(deficit) (overall)2]], - VfM_Metrics_2023_Entity[[#This Row],[Gain/(loss) on disposal of fixed assets (housing properties)2]], - VfM_Metrics_2023_Entity[[#This Row],[Gain/(loss) on disposal of fixed assets (other)2]] )</f>
        <v>1847</v>
      </c>
      <c r="BY105" s="84" vm="18233">
        <v>7049</v>
      </c>
      <c r="BZ105" s="84" vm="13743">
        <v>5202</v>
      </c>
      <c r="CA105" s="84" vm="13997">
        <v>0</v>
      </c>
      <c r="CB105" s="5" vm="18404">
        <f xml:space="preserve"> VfM_Metrics_2023_Entity[[#This Row],[Turnover (overall)]]</f>
        <v>25918</v>
      </c>
      <c r="CC105" s="135" vm="18404">
        <v>25918</v>
      </c>
      <c r="CD105" s="134">
        <f xml:space="preserve"> IFERROR( VfM_Metrics_2023_Entity[[#This Row],[Operating surplus including from JVs]] / VfM_Metrics_2023_Entity[[#This Row],[Net assets]], "n/a" )</f>
        <v>2.235520966135774E-2</v>
      </c>
      <c r="CE105" s="5">
        <f xml:space="preserve"> SUM( VfM_Metrics_2023_Entity[[#This Row],[Operating surplus/(deficit) (overall)3]], VfM_Metrics_2023_Entity[[#This Row],[Share of operating surplus/(deficit) in joint ventures or associates]] )</f>
        <v>7049</v>
      </c>
      <c r="CF105" s="84" vm="18233">
        <v>7049</v>
      </c>
      <c r="CG105" s="84" vm="18454">
        <v>0</v>
      </c>
      <c r="CH105" s="5" vm="18621">
        <f xml:space="preserve"> VfM_Metrics_2023_Entity[[#This Row],[Total assets less current liabilities]]</f>
        <v>315318</v>
      </c>
      <c r="CI105" s="135" vm="18621">
        <v>315318</v>
      </c>
      <c r="CJ105" s="140" vm="11344">
        <f xml:space="preserve"> VfM_Metrics_2023_Entity[[#This Row],[Total social housing units owned (Period end)]]</f>
        <v>2403</v>
      </c>
      <c r="CK105" s="141">
        <v>2.9635901778154106E-2</v>
      </c>
      <c r="CL105" s="69">
        <f xml:space="preserve"> -- ( VfM_Metrics_2023_Entity[[#This Row],[% Supported housing (excl. HOP)]] &gt; 0.3 )</f>
        <v>0</v>
      </c>
      <c r="CM105" s="9">
        <v>1.7781541066892465E-2</v>
      </c>
      <c r="CN105" s="69">
        <f xml:space="preserve"> -- ( VfM_Metrics_2023_Entity[[#This Row],[% Housing for older people]] &gt; 0.3 )</f>
        <v>0</v>
      </c>
      <c r="CO105" s="9">
        <f xml:space="preserve"> VfM_Metrics_2023_Entity[[#This Row],[% Supported housing (excl. HOP)]] + VfM_Metrics_2023_Entity[[#This Row],[% Housing for older people]]</f>
        <v>4.7417442845046572E-2</v>
      </c>
      <c r="CP105" s="69">
        <f xml:space="preserve"> -- ( VfM_Metrics_2023_Entity[[#This Row],[SH specialist in RSH analysis]] + VfM_Metrics_2023_Entity[[#This Row],[OP specialist in RSH analysis]] &gt; 0 )</f>
        <v>0</v>
      </c>
      <c r="CQ105" s="142">
        <f xml:space="preserve"> -- ( VfM_Metrics_2023_Entity[[#This Row],[% SH and OP]] &gt; 0.3 )</f>
        <v>0</v>
      </c>
      <c r="CR105" s="143" t="s">
        <v>143</v>
      </c>
      <c r="CS105" s="120"/>
      <c r="CT105" s="144" t="s">
        <v>144</v>
      </c>
      <c r="CU10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05" s="146">
        <v>1</v>
      </c>
      <c r="CW105" s="146">
        <v>0</v>
      </c>
      <c r="CX105" s="146">
        <v>0</v>
      </c>
      <c r="CY105" s="146">
        <v>0</v>
      </c>
      <c r="CZ105" s="146">
        <v>0</v>
      </c>
      <c r="DA105" s="146">
        <v>0</v>
      </c>
      <c r="DB105" s="146">
        <v>0</v>
      </c>
      <c r="DC105" s="146">
        <v>0</v>
      </c>
      <c r="DD105" s="146">
        <v>0</v>
      </c>
      <c r="DE105" s="126">
        <v>1.1603700449887588</v>
      </c>
    </row>
    <row r="106" spans="1:109" x14ac:dyDescent="0.25">
      <c r="A106" s="4" t="s" vm="9235">
        <v>586</v>
      </c>
      <c r="B106" s="4" t="s" vm="9266">
        <v>587</v>
      </c>
      <c r="C106" s="121" vm="18895">
        <v>45016</v>
      </c>
      <c r="D106" s="68">
        <f>IFERROR( VfM_Metrics_2023_Entity[[#This Row],[Reinvestment Spend]] / VfM_Metrics_2023_Entity[[#This Row],[Net Book Value of Housing Properties]], "n/a" )</f>
        <v>0.25970976683515407</v>
      </c>
      <c r="E10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23892</v>
      </c>
      <c r="F106" s="84" vm="9430">
        <v>22800</v>
      </c>
      <c r="G106" s="84" vm="10774">
        <v>0</v>
      </c>
      <c r="H106" s="84" vm="10521">
        <v>317</v>
      </c>
      <c r="I106" s="84" vm="10799">
        <v>775</v>
      </c>
      <c r="J106" s="84" vm="9674">
        <v>0</v>
      </c>
      <c r="K106" s="5">
        <f xml:space="preserve"> SUM( VfM_Metrics_2023_Entity[[#This Row],[Tangible fixed assets: Housing properties at cost (Current period)]],VfM_Metrics_2023_Entity[[#This Row],[Tangible fixed assets Housing properties at valuation (Current period)]] )</f>
        <v>91995</v>
      </c>
      <c r="L106" s="84" vm="10455">
        <v>91995</v>
      </c>
      <c r="M106" s="84">
        <v>0</v>
      </c>
      <c r="N106" s="134">
        <f xml:space="preserve"> IFERROR( VfM_Metrics_2023_Entity[[#This Row],[Total social units developed or newly built units acquired in-year]] / VfM_Metrics_2023_Entity[[#This Row],[Social housing units owned (period end)]], "n/a" )</f>
        <v>1.8523715969688465E-2</v>
      </c>
      <c r="O106" s="5">
        <f xml:space="preserve"> SUM( VfM_Metrics_2023_Entity[[#This Row],[Total social units developed or newly built units acquired in-year (owned)]], VfM_Metrics_2023_Entity[[#This Row],[Total social leasehold units developed or newly built units acquired in-year (owned)]] )</f>
        <v>66</v>
      </c>
      <c r="P106" s="84" vm="10966">
        <v>66</v>
      </c>
      <c r="Q106" s="84">
        <v>0</v>
      </c>
      <c r="R106" s="5">
        <f xml:space="preserve"> SUM( VfM_Metrics_2023_Entity[[#This Row],[Total social housing units owned (Period end)]], VfM_Metrics_2023_Entity[[#This Row],[Total social leasehold units owned (Period end)]] )</f>
        <v>3563</v>
      </c>
      <c r="S106" s="84" vm="11248">
        <v>3262</v>
      </c>
      <c r="T106" s="135" vm="11479">
        <v>301</v>
      </c>
      <c r="U106" s="136">
        <f xml:space="preserve"> IFERROR( VfM_Metrics_2023_Entity[[#This Row],[Total non-social housing units developed or newly built units acquired (owned)]] / VfM_Metrics_2023_Entity[[#This Row],[Total social and non-social housing units owned (Period end)]], "n/a" )</f>
        <v>0</v>
      </c>
      <c r="V10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06" s="84">
        <v>0</v>
      </c>
      <c r="X106" s="84">
        <v>0</v>
      </c>
      <c r="Y106" s="84">
        <v>0</v>
      </c>
      <c r="Z10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3563</v>
      </c>
      <c r="AA106" s="84" vm="11248">
        <v>3262</v>
      </c>
      <c r="AB106" s="84" vm="11478">
        <v>301</v>
      </c>
      <c r="AC106" s="84" vm="12362">
        <v>0</v>
      </c>
      <c r="AD106" s="135" vm="12505">
        <v>0</v>
      </c>
      <c r="AE106" s="134">
        <f xml:space="preserve"> IFERROR( VfM_Metrics_2023_Entity[[#This Row],[Total Net Debt]] / VfM_Metrics_2023_Entity[[#This Row],[Net Book Value of Housing Properties2]], "n/a" )</f>
        <v>0.20443502364258928</v>
      </c>
      <c r="AF10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18807</v>
      </c>
      <c r="AG106" s="84">
        <v>0</v>
      </c>
      <c r="AH106" s="84">
        <v>0</v>
      </c>
      <c r="AI106" s="84" vm="13034">
        <v>8380</v>
      </c>
      <c r="AJ106" s="84" vm="12760">
        <v>27187</v>
      </c>
      <c r="AK106" s="84">
        <v>0</v>
      </c>
      <c r="AL106" s="5">
        <f xml:space="preserve"> SUM( VfM_Metrics_2023_Entity[[#This Row],[Tangible fixed assets: Housing properties at cost (Current period)2]], VfM_Metrics_2023_Entity[[#This Row],[Tangible fixed assets Housing properties at valuation (Current period)2]] )</f>
        <v>91995</v>
      </c>
      <c r="AM106" s="84" vm="9922">
        <v>91995</v>
      </c>
      <c r="AN106" s="135">
        <v>0</v>
      </c>
      <c r="AO106" s="137">
        <f xml:space="preserve"> IFERROR( VfM_Metrics_2023_Entity[[#This Row],[EBITDA MRI]] / VfM_Metrics_2023_Entity[[#This Row],[Total interest]], "n/a" )</f>
        <v>1.8334485141672425</v>
      </c>
      <c r="AP10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2653</v>
      </c>
      <c r="AQ106" s="84" vm="13514">
        <v>2639</v>
      </c>
      <c r="AR106" s="84" vm="13998">
        <v>838</v>
      </c>
      <c r="AS106" s="84">
        <v>0</v>
      </c>
      <c r="AT106" s="84" vm="14489">
        <v>42</v>
      </c>
      <c r="AU106" s="84" vm="14736">
        <v>0</v>
      </c>
      <c r="AV106" s="84" vm="14981">
        <v>215</v>
      </c>
      <c r="AW106" s="84" vm="13745">
        <v>317</v>
      </c>
      <c r="AX106" s="84" vm="13999">
        <v>996</v>
      </c>
      <c r="AY106" s="5">
        <f xml:space="preserve"> - SUM( VfM_Metrics_2023_Entity[[#This Row],[Interest capitalised]], VfM_Metrics_2023_Entity[[#This Row],[Interest payable and financing costs]] )</f>
        <v>1447</v>
      </c>
      <c r="AZ106" s="84" vm="15198">
        <v>-774</v>
      </c>
      <c r="BA106" s="135" vm="15363">
        <v>-673</v>
      </c>
      <c r="BB106" s="138">
        <f xml:space="preserve"> IFERROR( ( VfM_Metrics_2023_Entity[[#This Row],[Total Costs]] / VfM_Metrics_2023_Entity[[#This Row],[Total units for costs]] ) * 1000, "n/a" )</f>
        <v>4266.4009809932559</v>
      </c>
      <c r="BC10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13917</v>
      </c>
      <c r="BD106" s="84" vm="15823">
        <v>3688</v>
      </c>
      <c r="BE106" s="84" vm="17566">
        <v>1664</v>
      </c>
      <c r="BF106" s="84" vm="16162">
        <v>2642</v>
      </c>
      <c r="BG106" s="84" vm="16629">
        <v>4440</v>
      </c>
      <c r="BH106" s="84" vm="16317">
        <v>1088</v>
      </c>
      <c r="BI106" s="84" vm="16321">
        <v>4</v>
      </c>
      <c r="BJ106" s="84" vm="13745">
        <v>317</v>
      </c>
      <c r="BK106" s="84" vm="17113">
        <v>74</v>
      </c>
      <c r="BL106" s="84">
        <v>0</v>
      </c>
      <c r="BM106" s="84">
        <v>0</v>
      </c>
      <c r="BN106" s="84">
        <v>0</v>
      </c>
      <c r="BO106" s="84">
        <v>0</v>
      </c>
      <c r="BP106" s="5" vm="17667">
        <f xml:space="preserve"> VfM_Metrics_2023_Entity[[#This Row],[Total social housing units owned and/or managed at period end]]</f>
        <v>3262</v>
      </c>
      <c r="BQ106" s="135" vm="17667">
        <v>3262</v>
      </c>
      <c r="BR106" s="134">
        <f xml:space="preserve"> IFERROR( VfM_Metrics_2023_Entity[[#This Row],[SHL operating surplus / (deficit)]] / VfM_Metrics_2023_Entity[[#This Row],[Turnover from social housing lettings]], "n/a" )</f>
        <v>9.0738774745519266E-2</v>
      </c>
      <c r="BS106" s="5" vm="17922">
        <f xml:space="preserve"> VfM_Metrics_2023_Entity[[#This Row],[Operating surplus/(deficit) (social housing lettings)]]</f>
        <v>1453</v>
      </c>
      <c r="BT106" s="84" vm="17922">
        <v>1453</v>
      </c>
      <c r="BU106" s="5" vm="18126">
        <f xml:space="preserve"> VfM_Metrics_2023_Entity[[#This Row],[Turnover from social housing lettings]]</f>
        <v>16013</v>
      </c>
      <c r="BV106" s="135" vm="18126">
        <v>16013</v>
      </c>
      <c r="BW106" s="134">
        <f xml:space="preserve"> IFERROR( VfM_Metrics_2023_Entity[[#This Row],[Net operating surplus]] / VfM_Metrics_2023_Entity[[#This Row],[Overall turnover]], "n/a" )</f>
        <v>0.10918460139436192</v>
      </c>
      <c r="BX106" s="5">
        <f xml:space="preserve"> SUM( VfM_Metrics_2023_Entity[[#This Row],[Operating surplus/(deficit) (overall)2]], - VfM_Metrics_2023_Entity[[#This Row],[Gain/(loss) on disposal of fixed assets (housing properties)2]], - VfM_Metrics_2023_Entity[[#This Row],[Gain/(loss) on disposal of fixed assets (other)2]] )</f>
        <v>1801</v>
      </c>
      <c r="BY106" s="84" vm="13514">
        <v>2639</v>
      </c>
      <c r="BZ106" s="84" vm="13998">
        <v>838</v>
      </c>
      <c r="CA106" s="84">
        <v>0</v>
      </c>
      <c r="CB106" s="5" vm="18272">
        <f xml:space="preserve"> VfM_Metrics_2023_Entity[[#This Row],[Turnover (overall)]]</f>
        <v>16495</v>
      </c>
      <c r="CC106" s="135" vm="18272">
        <v>16495</v>
      </c>
      <c r="CD106" s="134">
        <f xml:space="preserve"> IFERROR( VfM_Metrics_2023_Entity[[#This Row],[Operating surplus including from JVs]] / VfM_Metrics_2023_Entity[[#This Row],[Net assets]], "n/a" )</f>
        <v>2.566097179140615E-2</v>
      </c>
      <c r="CE106" s="5">
        <f xml:space="preserve"> SUM( VfM_Metrics_2023_Entity[[#This Row],[Operating surplus/(deficit) (overall)3]], VfM_Metrics_2023_Entity[[#This Row],[Share of operating surplus/(deficit) in joint ventures or associates]] )</f>
        <v>2639</v>
      </c>
      <c r="CF106" s="84" vm="13514">
        <v>2639</v>
      </c>
      <c r="CG106" s="84">
        <v>0</v>
      </c>
      <c r="CH106" s="5" vm="18658">
        <f xml:space="preserve"> VfM_Metrics_2023_Entity[[#This Row],[Total assets less current liabilities]]</f>
        <v>102841</v>
      </c>
      <c r="CI106" s="135" vm="18658">
        <v>102841</v>
      </c>
      <c r="CJ106" s="140" vm="11248">
        <f xml:space="preserve"> VfM_Metrics_2023_Entity[[#This Row],[Total social housing units owned (Period end)]]</f>
        <v>3262</v>
      </c>
      <c r="CK106" s="141">
        <v>3.3825338253382535E-3</v>
      </c>
      <c r="CL106" s="69">
        <f xml:space="preserve"> -- ( VfM_Metrics_2023_Entity[[#This Row],[% Supported housing (excl. HOP)]] &gt; 0.3 )</f>
        <v>0</v>
      </c>
      <c r="CM106" s="9">
        <v>0.24846248462484624</v>
      </c>
      <c r="CN106" s="69">
        <f xml:space="preserve"> -- ( VfM_Metrics_2023_Entity[[#This Row],[% Housing for older people]] &gt; 0.3 )</f>
        <v>0</v>
      </c>
      <c r="CO106" s="9">
        <f xml:space="preserve"> VfM_Metrics_2023_Entity[[#This Row],[% Supported housing (excl. HOP)]] + VfM_Metrics_2023_Entity[[#This Row],[% Housing for older people]]</f>
        <v>0.25184501845018448</v>
      </c>
      <c r="CP106" s="69">
        <f xml:space="preserve"> -- ( VfM_Metrics_2023_Entity[[#This Row],[SH specialist in RSH analysis]] + VfM_Metrics_2023_Entity[[#This Row],[OP specialist in RSH analysis]] &gt; 0 )</f>
        <v>0</v>
      </c>
      <c r="CQ106" s="142">
        <f xml:space="preserve"> -- ( VfM_Metrics_2023_Entity[[#This Row],[% SH and OP]] &gt; 0.3 )</f>
        <v>0</v>
      </c>
      <c r="CR106" s="143" t="s">
        <v>143</v>
      </c>
      <c r="CS106" s="120"/>
      <c r="CT106" s="144" t="s">
        <v>151</v>
      </c>
      <c r="CU10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106" s="146">
        <v>0</v>
      </c>
      <c r="CW106" s="146">
        <v>0</v>
      </c>
      <c r="CX106" s="146">
        <v>0</v>
      </c>
      <c r="CY106" s="146">
        <v>1</v>
      </c>
      <c r="CZ106" s="146">
        <v>0</v>
      </c>
      <c r="DA106" s="146">
        <v>0</v>
      </c>
      <c r="DB106" s="146">
        <v>0</v>
      </c>
      <c r="DC106" s="146">
        <v>0</v>
      </c>
      <c r="DD106" s="146">
        <v>0</v>
      </c>
      <c r="DE106" s="126">
        <v>0.94233429441067484</v>
      </c>
    </row>
    <row r="107" spans="1:109" x14ac:dyDescent="0.25">
      <c r="A107" s="4" t="s" vm="9236">
        <v>588</v>
      </c>
      <c r="B107" s="4" t="s" vm="9308">
        <v>589</v>
      </c>
      <c r="C107" s="121" vm="18855">
        <v>45016</v>
      </c>
      <c r="D107" s="68">
        <f>IFERROR( VfM_Metrics_2023_Entity[[#This Row],[Reinvestment Spend]] / VfM_Metrics_2023_Entity[[#This Row],[Net Book Value of Housing Properties]], "n/a" )</f>
        <v>0.10594559612534185</v>
      </c>
      <c r="E10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101498</v>
      </c>
      <c r="F107" s="84" vm="10246">
        <v>70284</v>
      </c>
      <c r="G107" s="84" vm="9796">
        <v>21480</v>
      </c>
      <c r="H107" s="84" vm="9496">
        <v>5696</v>
      </c>
      <c r="I107" s="84" vm="10547">
        <v>4038</v>
      </c>
      <c r="J107" s="84" vm="10473">
        <v>0</v>
      </c>
      <c r="K107" s="5">
        <f xml:space="preserve"> SUM( VfM_Metrics_2023_Entity[[#This Row],[Tangible fixed assets: Housing properties at cost (Current period)]],VfM_Metrics_2023_Entity[[#This Row],[Tangible fixed assets Housing properties at valuation (Current period)]] )</f>
        <v>958020</v>
      </c>
      <c r="L107" s="84" vm="10064">
        <v>958020</v>
      </c>
      <c r="M107" s="84" vm="10138">
        <v>0</v>
      </c>
      <c r="N107" s="134">
        <f xml:space="preserve"> IFERROR( VfM_Metrics_2023_Entity[[#This Row],[Total social units developed or newly built units acquired in-year]] / VfM_Metrics_2023_Entity[[#This Row],[Social housing units owned (period end)]], "n/a" )</f>
        <v>3.6163118748397026E-2</v>
      </c>
      <c r="O107" s="5">
        <f xml:space="preserve"> SUM( VfM_Metrics_2023_Entity[[#This Row],[Total social units developed or newly built units acquired in-year (owned)]], VfM_Metrics_2023_Entity[[#This Row],[Total social leasehold units developed or newly built units acquired in-year (owned)]] )</f>
        <v>564</v>
      </c>
      <c r="P107" s="84" vm="11019">
        <v>564</v>
      </c>
      <c r="Q107" s="84">
        <v>0</v>
      </c>
      <c r="R107" s="5">
        <f xml:space="preserve"> SUM( VfM_Metrics_2023_Entity[[#This Row],[Total social housing units owned (Period end)]], VfM_Metrics_2023_Entity[[#This Row],[Total social leasehold units owned (Period end)]] )</f>
        <v>15596</v>
      </c>
      <c r="S107" s="84" vm="11305">
        <v>15110</v>
      </c>
      <c r="T107" s="135" vm="11489">
        <v>486</v>
      </c>
      <c r="U107" s="136">
        <f xml:space="preserve"> IFERROR( VfM_Metrics_2023_Entity[[#This Row],[Total non-social housing units developed or newly built units acquired (owned)]] / VfM_Metrics_2023_Entity[[#This Row],[Total social and non-social housing units owned (Period end)]], "n/a" )</f>
        <v>0</v>
      </c>
      <c r="V10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07" s="84">
        <v>0</v>
      </c>
      <c r="X107" s="84">
        <v>0</v>
      </c>
      <c r="Y107" s="84">
        <v>0</v>
      </c>
      <c r="Z10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15596</v>
      </c>
      <c r="AA107" s="84" vm="11345">
        <v>15110</v>
      </c>
      <c r="AB107" s="84" vm="11487">
        <v>486</v>
      </c>
      <c r="AC107" s="84" vm="12108">
        <v>0</v>
      </c>
      <c r="AD107" s="135" vm="12267">
        <v>0</v>
      </c>
      <c r="AE107" s="134">
        <f xml:space="preserve"> IFERROR( VfM_Metrics_2023_Entity[[#This Row],[Total Net Debt]] / VfM_Metrics_2023_Entity[[#This Row],[Net Book Value of Housing Properties2]], "n/a" )</f>
        <v>0.42737207991482434</v>
      </c>
      <c r="AF10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409431</v>
      </c>
      <c r="AG107" s="84" vm="12642">
        <v>2518</v>
      </c>
      <c r="AH107" s="84" vm="13243">
        <v>70180</v>
      </c>
      <c r="AI107" s="84" vm="13333">
        <v>79993</v>
      </c>
      <c r="AJ107" s="84" vm="12902">
        <v>416726</v>
      </c>
      <c r="AK107" s="84" vm="12984">
        <v>0</v>
      </c>
      <c r="AL107" s="5">
        <f xml:space="preserve"> SUM( VfM_Metrics_2023_Entity[[#This Row],[Tangible fixed assets: Housing properties at cost (Current period)2]], VfM_Metrics_2023_Entity[[#This Row],[Tangible fixed assets Housing properties at valuation (Current period)2]] )</f>
        <v>958020</v>
      </c>
      <c r="AM107" s="84" vm="13368">
        <v>958020</v>
      </c>
      <c r="AN107" s="135" vm="13406">
        <v>0</v>
      </c>
      <c r="AO107" s="137">
        <f xml:space="preserve"> IFERROR( VfM_Metrics_2023_Entity[[#This Row],[EBITDA MRI]] / VfM_Metrics_2023_Entity[[#This Row],[Total interest]], "n/a" )</f>
        <v>1.2859334842149679</v>
      </c>
      <c r="AP10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33523</v>
      </c>
      <c r="AQ107" s="84" vm="13550">
        <v>29931</v>
      </c>
      <c r="AR107" s="84" vm="14246">
        <v>1979</v>
      </c>
      <c r="AS107" s="84" vm="14490">
        <v>18</v>
      </c>
      <c r="AT107" s="84" vm="14737">
        <v>3056</v>
      </c>
      <c r="AU107" s="84" vm="14982">
        <v>0</v>
      </c>
      <c r="AV107" s="84" vm="13746">
        <v>1832</v>
      </c>
      <c r="AW107" s="84" vm="14000">
        <v>5696</v>
      </c>
      <c r="AX107" s="84" vm="14247">
        <v>12509</v>
      </c>
      <c r="AY107" s="5">
        <f xml:space="preserve"> - SUM( VfM_Metrics_2023_Entity[[#This Row],[Interest capitalised]], VfM_Metrics_2023_Entity[[#This Row],[Interest payable and financing costs]] )</f>
        <v>26069</v>
      </c>
      <c r="AZ107" s="84" vm="15220">
        <v>-4038</v>
      </c>
      <c r="BA107" s="135" vm="15392">
        <v>-22031</v>
      </c>
      <c r="BB107" s="138">
        <f xml:space="preserve"> IFERROR( ( VfM_Metrics_2023_Entity[[#This Row],[Total Costs]] / VfM_Metrics_2023_Entity[[#This Row],[Total units for costs]] ) * 1000, "n/a" )</f>
        <v>3700.3433941803723</v>
      </c>
      <c r="BC10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61422</v>
      </c>
      <c r="BD107" s="84" vm="15579">
        <v>11663</v>
      </c>
      <c r="BE107" s="84" vm="17038">
        <v>7346</v>
      </c>
      <c r="BF107" s="84" vm="17251">
        <v>13939</v>
      </c>
      <c r="BG107" s="84" vm="17333">
        <v>9098</v>
      </c>
      <c r="BH107" s="84" vm="16164">
        <v>3864</v>
      </c>
      <c r="BI107" s="84" vm="16430">
        <v>179</v>
      </c>
      <c r="BJ107" s="84" vm="14000">
        <v>5696</v>
      </c>
      <c r="BK107" s="84" vm="16097">
        <v>495</v>
      </c>
      <c r="BL107" s="84">
        <v>0</v>
      </c>
      <c r="BM107" s="84">
        <v>0</v>
      </c>
      <c r="BN107" s="84" vm="15899">
        <v>9142</v>
      </c>
      <c r="BO107" s="84">
        <v>0</v>
      </c>
      <c r="BP107" s="5" vm="17803">
        <f xml:space="preserve"> VfM_Metrics_2023_Entity[[#This Row],[Total social housing units owned and/or managed at period end]]</f>
        <v>16599</v>
      </c>
      <c r="BQ107" s="135" vm="17803">
        <v>16599</v>
      </c>
      <c r="BR107" s="134">
        <f xml:space="preserve"> IFERROR( VfM_Metrics_2023_Entity[[#This Row],[SHL operating surplus / (deficit)]] / VfM_Metrics_2023_Entity[[#This Row],[Turnover from social housing lettings]], "n/a" )</f>
        <v>0.28555606942044154</v>
      </c>
      <c r="BS107" s="5" vm="17960">
        <f xml:space="preserve"> VfM_Metrics_2023_Entity[[#This Row],[Operating surplus/(deficit) (social housing lettings)]]</f>
        <v>23463</v>
      </c>
      <c r="BT107" s="84" vm="17960">
        <v>23463</v>
      </c>
      <c r="BU107" s="5" vm="18134">
        <f xml:space="preserve"> VfM_Metrics_2023_Entity[[#This Row],[Turnover from social housing lettings]]</f>
        <v>82166</v>
      </c>
      <c r="BV107" s="135" vm="18134">
        <v>82166</v>
      </c>
      <c r="BW107" s="134">
        <f xml:space="preserve"> IFERROR( VfM_Metrics_2023_Entity[[#This Row],[Net operating surplus]] / VfM_Metrics_2023_Entity[[#This Row],[Overall turnover]], "n/a" )</f>
        <v>0.27098551652551828</v>
      </c>
      <c r="BX107" s="5">
        <f xml:space="preserve"> SUM( VfM_Metrics_2023_Entity[[#This Row],[Operating surplus/(deficit) (overall)2]], - VfM_Metrics_2023_Entity[[#This Row],[Gain/(loss) on disposal of fixed assets (housing properties)2]], - VfM_Metrics_2023_Entity[[#This Row],[Gain/(loss) on disposal of fixed assets (other)2]] )</f>
        <v>27934</v>
      </c>
      <c r="BY107" s="84" vm="15134">
        <v>29931</v>
      </c>
      <c r="BZ107" s="84" vm="14246">
        <v>1979</v>
      </c>
      <c r="CA107" s="84" vm="14490">
        <v>18</v>
      </c>
      <c r="CB107" s="5" vm="18306">
        <f xml:space="preserve"> VfM_Metrics_2023_Entity[[#This Row],[Turnover (overall)]]</f>
        <v>103083</v>
      </c>
      <c r="CC107" s="135" vm="18306">
        <v>103083</v>
      </c>
      <c r="CD107" s="134">
        <f xml:space="preserve"> IFERROR( VfM_Metrics_2023_Entity[[#This Row],[Operating surplus including from JVs]] / VfM_Metrics_2023_Entity[[#This Row],[Net assets]], "n/a" )</f>
        <v>2.9169074602312984E-2</v>
      </c>
      <c r="CE107" s="5">
        <f xml:space="preserve"> SUM( VfM_Metrics_2023_Entity[[#This Row],[Operating surplus/(deficit) (overall)3]], VfM_Metrics_2023_Entity[[#This Row],[Share of operating surplus/(deficit) in joint ventures or associates]] )</f>
        <v>29931</v>
      </c>
      <c r="CF107" s="84" vm="18433">
        <v>29931</v>
      </c>
      <c r="CG107" s="84" vm="18498">
        <v>0</v>
      </c>
      <c r="CH107" s="5" vm="18693">
        <f xml:space="preserve"> VfM_Metrics_2023_Entity[[#This Row],[Total assets less current liabilities]]</f>
        <v>1026121</v>
      </c>
      <c r="CI107" s="135" vm="18693">
        <v>1026121</v>
      </c>
      <c r="CJ107" s="140" vm="11305">
        <f xml:space="preserve"> VfM_Metrics_2023_Entity[[#This Row],[Total social housing units owned (Period end)]]</f>
        <v>15110</v>
      </c>
      <c r="CK107" s="141">
        <v>2.9103686024927074E-2</v>
      </c>
      <c r="CL107" s="69">
        <f xml:space="preserve"> -- ( VfM_Metrics_2023_Entity[[#This Row],[% Supported housing (excl. HOP)]] &gt; 0.3 )</f>
        <v>0</v>
      </c>
      <c r="CM107" s="9">
        <v>0.1090559533280297</v>
      </c>
      <c r="CN107" s="69">
        <f xml:space="preserve"> -- ( VfM_Metrics_2023_Entity[[#This Row],[% Housing for older people]] &gt; 0.3 )</f>
        <v>0</v>
      </c>
      <c r="CO107" s="9">
        <f xml:space="preserve"> VfM_Metrics_2023_Entity[[#This Row],[% Supported housing (excl. HOP)]] + VfM_Metrics_2023_Entity[[#This Row],[% Housing for older people]]</f>
        <v>0.13815963935295678</v>
      </c>
      <c r="CP107" s="69">
        <f xml:space="preserve"> -- ( VfM_Metrics_2023_Entity[[#This Row],[SH specialist in RSH analysis]] + VfM_Metrics_2023_Entity[[#This Row],[OP specialist in RSH analysis]] &gt; 0 )</f>
        <v>0</v>
      </c>
      <c r="CQ107" s="142">
        <f xml:space="preserve"> -- ( VfM_Metrics_2023_Entity[[#This Row],[% SH and OP]] &gt; 0.3 )</f>
        <v>0</v>
      </c>
      <c r="CR107" s="143" t="s">
        <v>143</v>
      </c>
      <c r="CS107" s="120"/>
      <c r="CT107" s="144" t="s">
        <v>144</v>
      </c>
      <c r="CU10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07" s="146">
        <v>0</v>
      </c>
      <c r="CW107" s="146">
        <v>0</v>
      </c>
      <c r="CX107" s="146">
        <v>0</v>
      </c>
      <c r="CY107" s="146">
        <v>0</v>
      </c>
      <c r="CZ107" s="146">
        <v>0</v>
      </c>
      <c r="DA107" s="146">
        <v>0</v>
      </c>
      <c r="DB107" s="146">
        <v>0</v>
      </c>
      <c r="DC107" s="146">
        <v>0.99868082580304729</v>
      </c>
      <c r="DD107" s="146">
        <v>1.3191741969527076E-3</v>
      </c>
      <c r="DE107" s="126">
        <v>0.9610374473065062</v>
      </c>
    </row>
    <row r="108" spans="1:109" x14ac:dyDescent="0.25">
      <c r="A108" s="4" t="s" vm="9237">
        <v>590</v>
      </c>
      <c r="B108" s="4" t="s" vm="9330">
        <v>591</v>
      </c>
      <c r="C108" s="121" vm="18979">
        <v>45016</v>
      </c>
      <c r="D108" s="68">
        <f>IFERROR( VfM_Metrics_2023_Entity[[#This Row],[Reinvestment Spend]] / VfM_Metrics_2023_Entity[[#This Row],[Net Book Value of Housing Properties]], "n/a" )</f>
        <v>4.1764112107604688E-2</v>
      </c>
      <c r="E10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20108</v>
      </c>
      <c r="F108" s="84" vm="10249">
        <v>11380</v>
      </c>
      <c r="G108" s="84" vm="10794">
        <v>4002</v>
      </c>
      <c r="H108" s="84" vm="9763">
        <v>4216</v>
      </c>
      <c r="I108" s="84" vm="9497">
        <v>510</v>
      </c>
      <c r="J108" s="84" vm="9562">
        <v>0</v>
      </c>
      <c r="K108" s="5">
        <f xml:space="preserve"> SUM( VfM_Metrics_2023_Entity[[#This Row],[Tangible fixed assets: Housing properties at cost (Current period)]],VfM_Metrics_2023_Entity[[#This Row],[Tangible fixed assets Housing properties at valuation (Current period)]] )</f>
        <v>481466</v>
      </c>
      <c r="L108" s="84" vm="10277">
        <v>481466</v>
      </c>
      <c r="M108" s="84">
        <v>0</v>
      </c>
      <c r="N108" s="134">
        <f xml:space="preserve"> IFERROR( VfM_Metrics_2023_Entity[[#This Row],[Total social units developed or newly built units acquired in-year]] / VfM_Metrics_2023_Entity[[#This Row],[Social housing units owned (period end)]], "n/a" )</f>
        <v>4.5734612208600646E-3</v>
      </c>
      <c r="O108" s="5">
        <f xml:space="preserve"> SUM( VfM_Metrics_2023_Entity[[#This Row],[Total social units developed or newly built units acquired in-year (owned)]], VfM_Metrics_2023_Entity[[#This Row],[Total social leasehold units developed or newly built units acquired in-year (owned)]] )</f>
        <v>72</v>
      </c>
      <c r="P108" s="84" vm="11050">
        <v>72</v>
      </c>
      <c r="Q108" s="84">
        <v>0</v>
      </c>
      <c r="R108" s="5">
        <f xml:space="preserve"> SUM( VfM_Metrics_2023_Entity[[#This Row],[Total social housing units owned (Period end)]], VfM_Metrics_2023_Entity[[#This Row],[Total social leasehold units owned (Period end)]] )</f>
        <v>15743</v>
      </c>
      <c r="S108" s="84" vm="11328">
        <v>15051</v>
      </c>
      <c r="T108" s="135" vm="11466">
        <v>692</v>
      </c>
      <c r="U108" s="136">
        <f xml:space="preserve"> IFERROR( VfM_Metrics_2023_Entity[[#This Row],[Total non-social housing units developed or newly built units acquired (owned)]] / VfM_Metrics_2023_Entity[[#This Row],[Total social and non-social housing units owned (Period end)]], "n/a" )</f>
        <v>0</v>
      </c>
      <c r="V10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08" s="84">
        <v>0</v>
      </c>
      <c r="X108" s="84">
        <v>0</v>
      </c>
      <c r="Y108" s="84" vm="11742">
        <v>0</v>
      </c>
      <c r="Z10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15826</v>
      </c>
      <c r="AA108" s="84" vm="11328">
        <v>15051</v>
      </c>
      <c r="AB108" s="84" vm="11466">
        <v>692</v>
      </c>
      <c r="AC108" s="84" vm="12363">
        <v>83</v>
      </c>
      <c r="AD108" s="135" vm="12506">
        <v>0</v>
      </c>
      <c r="AE108" s="134">
        <f xml:space="preserve"> IFERROR( VfM_Metrics_2023_Entity[[#This Row],[Total Net Debt]] / VfM_Metrics_2023_Entity[[#This Row],[Net Book Value of Housing Properties2]], "n/a" )</f>
        <v>0.56771194643027756</v>
      </c>
      <c r="AF10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273334</v>
      </c>
      <c r="AG108" s="84">
        <v>0</v>
      </c>
      <c r="AH108" s="84">
        <v>0</v>
      </c>
      <c r="AI108" s="84" vm="13161">
        <v>9890</v>
      </c>
      <c r="AJ108" s="84" vm="13208">
        <v>283224</v>
      </c>
      <c r="AK108" s="84">
        <v>0</v>
      </c>
      <c r="AL108" s="5">
        <f xml:space="preserve"> SUM( VfM_Metrics_2023_Entity[[#This Row],[Tangible fixed assets: Housing properties at cost (Current period)2]], VfM_Metrics_2023_Entity[[#This Row],[Tangible fixed assets Housing properties at valuation (Current period)2]] )</f>
        <v>481466</v>
      </c>
      <c r="AM108" s="84" vm="13383">
        <v>481466</v>
      </c>
      <c r="AN108" s="135">
        <v>0</v>
      </c>
      <c r="AO108" s="137">
        <f xml:space="preserve"> IFERROR( VfM_Metrics_2023_Entity[[#This Row],[EBITDA MRI]] / VfM_Metrics_2023_Entity[[#This Row],[Total interest]], "n/a" )</f>
        <v>1.1804699668179048</v>
      </c>
      <c r="AP10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17432</v>
      </c>
      <c r="AQ108" s="84" vm="13576">
        <v>16296</v>
      </c>
      <c r="AR108" s="84" vm="14491">
        <v>2863</v>
      </c>
      <c r="AS108" s="84" vm="14738">
        <v>0</v>
      </c>
      <c r="AT108" s="84" vm="14983">
        <v>149</v>
      </c>
      <c r="AU108" s="84" vm="13747">
        <v>0</v>
      </c>
      <c r="AV108" s="84" vm="14001">
        <v>121</v>
      </c>
      <c r="AW108" s="84" vm="14248">
        <v>4216</v>
      </c>
      <c r="AX108" s="84" vm="14492">
        <v>8243</v>
      </c>
      <c r="AY108" s="5">
        <f xml:space="preserve"> - SUM( VfM_Metrics_2023_Entity[[#This Row],[Interest capitalised]], VfM_Metrics_2023_Entity[[#This Row],[Interest payable and financing costs]] )</f>
        <v>14767</v>
      </c>
      <c r="AZ108" s="84" vm="15248">
        <v>-510</v>
      </c>
      <c r="BA108" s="135" vm="15422">
        <v>-14257</v>
      </c>
      <c r="BB108" s="138">
        <f xml:space="preserve"> IFERROR( ( VfM_Metrics_2023_Entity[[#This Row],[Total Costs]] / VfM_Metrics_2023_Entity[[#This Row],[Total units for costs]] ) * 1000, "n/a" )</f>
        <v>4122.5776479957531</v>
      </c>
      <c r="BC10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62119</v>
      </c>
      <c r="BD108" s="84" vm="15551">
        <v>19510</v>
      </c>
      <c r="BE108" s="84" vm="16318">
        <v>2229</v>
      </c>
      <c r="BF108" s="84" vm="16717">
        <v>14522</v>
      </c>
      <c r="BG108" s="84" vm="16874">
        <v>13934</v>
      </c>
      <c r="BH108" s="84" vm="17039">
        <v>4173</v>
      </c>
      <c r="BI108" s="84" vm="17252">
        <v>0</v>
      </c>
      <c r="BJ108" s="84" vm="14248">
        <v>4216</v>
      </c>
      <c r="BK108" s="84" vm="16165">
        <v>135</v>
      </c>
      <c r="BL108" s="84">
        <v>0</v>
      </c>
      <c r="BM108" s="84">
        <v>0</v>
      </c>
      <c r="BN108" s="84" vm="16875">
        <v>3400</v>
      </c>
      <c r="BO108" s="84">
        <v>0</v>
      </c>
      <c r="BP108" s="5" vm="17702">
        <f xml:space="preserve"> VfM_Metrics_2023_Entity[[#This Row],[Total social housing units owned and/or managed at period end]]</f>
        <v>15068</v>
      </c>
      <c r="BQ108" s="135" vm="17702">
        <v>15068</v>
      </c>
      <c r="BR108" s="134">
        <f xml:space="preserve"> IFERROR( VfM_Metrics_2023_Entity[[#This Row],[SHL operating surplus / (deficit)]] / VfM_Metrics_2023_Entity[[#This Row],[Turnover from social housing lettings]], "n/a" )</f>
        <v>0.16000267719697478</v>
      </c>
      <c r="BS108" s="5" vm="17996">
        <f xml:space="preserve"> VfM_Metrics_2023_Entity[[#This Row],[Operating surplus/(deficit) (social housing lettings)]]</f>
        <v>11953</v>
      </c>
      <c r="BT108" s="84" vm="17996">
        <v>11953</v>
      </c>
      <c r="BU108" s="5" vm="18172">
        <f xml:space="preserve"> VfM_Metrics_2023_Entity[[#This Row],[Turnover from social housing lettings]]</f>
        <v>74705</v>
      </c>
      <c r="BV108" s="135" vm="18172">
        <v>74705</v>
      </c>
      <c r="BW108" s="134">
        <f xml:space="preserve"> IFERROR( VfM_Metrics_2023_Entity[[#This Row],[Net operating surplus]] / VfM_Metrics_2023_Entity[[#This Row],[Overall turnover]], "n/a" )</f>
        <v>0.16852339731526786</v>
      </c>
      <c r="BX108" s="5">
        <f xml:space="preserve"> SUM( VfM_Metrics_2023_Entity[[#This Row],[Operating surplus/(deficit) (overall)2]], - VfM_Metrics_2023_Entity[[#This Row],[Gain/(loss) on disposal of fixed assets (housing properties)2]], - VfM_Metrics_2023_Entity[[#This Row],[Gain/(loss) on disposal of fixed assets (other)2]] )</f>
        <v>13433</v>
      </c>
      <c r="BY108" s="84" vm="13576">
        <v>16296</v>
      </c>
      <c r="BZ108" s="84" vm="14491">
        <v>2863</v>
      </c>
      <c r="CA108" s="84" vm="14738">
        <v>0</v>
      </c>
      <c r="CB108" s="5" vm="18382">
        <f xml:space="preserve"> VfM_Metrics_2023_Entity[[#This Row],[Turnover (overall)]]</f>
        <v>79710</v>
      </c>
      <c r="CC108" s="135" vm="18382">
        <v>79710</v>
      </c>
      <c r="CD108" s="134">
        <f xml:space="preserve"> IFERROR( VfM_Metrics_2023_Entity[[#This Row],[Operating surplus including from JVs]] / VfM_Metrics_2023_Entity[[#This Row],[Net assets]], "n/a" )</f>
        <v>3.3126125649980284E-2</v>
      </c>
      <c r="CE108" s="5">
        <f xml:space="preserve"> SUM( VfM_Metrics_2023_Entity[[#This Row],[Operating surplus/(deficit) (overall)3]], VfM_Metrics_2023_Entity[[#This Row],[Share of operating surplus/(deficit) in joint ventures or associates]] )</f>
        <v>16296</v>
      </c>
      <c r="CF108" s="84" vm="13577">
        <v>16296</v>
      </c>
      <c r="CG108" s="84">
        <v>0</v>
      </c>
      <c r="CH108" s="5" vm="18720">
        <f xml:space="preserve"> VfM_Metrics_2023_Entity[[#This Row],[Total assets less current liabilities]]</f>
        <v>491938</v>
      </c>
      <c r="CI108" s="135" vm="18720">
        <v>491938</v>
      </c>
      <c r="CJ108" s="140" vm="11328">
        <f xml:space="preserve"> VfM_Metrics_2023_Entity[[#This Row],[Total social housing units owned (Period end)]]</f>
        <v>15051</v>
      </c>
      <c r="CK108" s="141">
        <v>1.542040545031572E-2</v>
      </c>
      <c r="CL108" s="69">
        <f xml:space="preserve"> -- ( VfM_Metrics_2023_Entity[[#This Row],[% Supported housing (excl. HOP)]] &gt; 0.3 )</f>
        <v>0</v>
      </c>
      <c r="CM108" s="9">
        <v>4.3536058491193089E-2</v>
      </c>
      <c r="CN108" s="69">
        <f xml:space="preserve"> -- ( VfM_Metrics_2023_Entity[[#This Row],[% Housing for older people]] &gt; 0.3 )</f>
        <v>0</v>
      </c>
      <c r="CO108" s="9">
        <f xml:space="preserve"> VfM_Metrics_2023_Entity[[#This Row],[% Supported housing (excl. HOP)]] + VfM_Metrics_2023_Entity[[#This Row],[% Housing for older people]]</f>
        <v>5.8956463941508809E-2</v>
      </c>
      <c r="CP108" s="69">
        <f xml:space="preserve"> -- ( VfM_Metrics_2023_Entity[[#This Row],[SH specialist in RSH analysis]] + VfM_Metrics_2023_Entity[[#This Row],[OP specialist in RSH analysis]] &gt; 0 )</f>
        <v>0</v>
      </c>
      <c r="CQ108" s="142">
        <f xml:space="preserve"> -- ( VfM_Metrics_2023_Entity[[#This Row],[% SH and OP]] &gt; 0.3 )</f>
        <v>0</v>
      </c>
      <c r="CR108" s="143" t="s">
        <v>143</v>
      </c>
      <c r="CS108" s="120"/>
      <c r="CT108" s="144" t="s">
        <v>151</v>
      </c>
      <c r="CU10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08" s="146">
        <v>0</v>
      </c>
      <c r="CW108" s="146">
        <v>0</v>
      </c>
      <c r="CX108" s="146">
        <v>0</v>
      </c>
      <c r="CY108" s="146">
        <v>6.6440768055278719E-4</v>
      </c>
      <c r="CZ108" s="146">
        <v>1.9932230416583617E-4</v>
      </c>
      <c r="DA108" s="146">
        <v>0</v>
      </c>
      <c r="DB108" s="146">
        <v>0</v>
      </c>
      <c r="DC108" s="146">
        <v>0.99913627001528138</v>
      </c>
      <c r="DD108" s="146">
        <v>0</v>
      </c>
      <c r="DE108" s="126">
        <v>0.96104743429768225</v>
      </c>
    </row>
    <row r="109" spans="1:109" x14ac:dyDescent="0.25">
      <c r="A109" s="4" t="s" vm="318">
        <v>314</v>
      </c>
      <c r="B109" s="4" t="s" vm="9348">
        <v>315</v>
      </c>
      <c r="C109" s="121" vm="18883">
        <v>45016</v>
      </c>
      <c r="D109" s="68">
        <f>IFERROR( VfM_Metrics_2023_Entity[[#This Row],[Reinvestment Spend]] / VfM_Metrics_2023_Entity[[#This Row],[Net Book Value of Housing Properties]], "n/a" )</f>
        <v>5.7304151714160083E-2</v>
      </c>
      <c r="E10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8080</v>
      </c>
      <c r="F109" s="84" vm="9614">
        <v>4197</v>
      </c>
      <c r="G109" s="84" vm="9785">
        <v>0</v>
      </c>
      <c r="H109" s="84" vm="10752">
        <v>3739</v>
      </c>
      <c r="I109" s="84" vm="10823">
        <v>144</v>
      </c>
      <c r="J109" s="84" vm="9498">
        <v>0</v>
      </c>
      <c r="K109" s="5">
        <f xml:space="preserve"> SUM( VfM_Metrics_2023_Entity[[#This Row],[Tangible fixed assets: Housing properties at cost (Current period)]],VfM_Metrics_2023_Entity[[#This Row],[Tangible fixed assets Housing properties at valuation (Current period)]] )</f>
        <v>141002</v>
      </c>
      <c r="L109" s="84" vm="10076">
        <v>141002</v>
      </c>
      <c r="M109" s="84">
        <v>0</v>
      </c>
      <c r="N109" s="134">
        <f xml:space="preserve"> IFERROR( VfM_Metrics_2023_Entity[[#This Row],[Total social units developed or newly built units acquired in-year]] / VfM_Metrics_2023_Entity[[#This Row],[Social housing units owned (period end)]], "n/a" )</f>
        <v>2.6067776218167233E-3</v>
      </c>
      <c r="O109" s="5">
        <f xml:space="preserve"> SUM( VfM_Metrics_2023_Entity[[#This Row],[Total social units developed or newly built units acquired in-year (owned)]], VfM_Metrics_2023_Entity[[#This Row],[Total social leasehold units developed or newly built units acquired in-year (owned)]] )</f>
        <v>13</v>
      </c>
      <c r="P109" s="84" vm="11069">
        <v>13</v>
      </c>
      <c r="Q109" s="84">
        <v>0</v>
      </c>
      <c r="R109" s="5">
        <f xml:space="preserve"> SUM( VfM_Metrics_2023_Entity[[#This Row],[Total social housing units owned (Period end)]], VfM_Metrics_2023_Entity[[#This Row],[Total social leasehold units owned (Period end)]] )</f>
        <v>4987</v>
      </c>
      <c r="S109" s="84" vm="11375">
        <v>4908</v>
      </c>
      <c r="T109" s="135" vm="11487">
        <v>79</v>
      </c>
      <c r="U109" s="136">
        <f xml:space="preserve"> IFERROR( VfM_Metrics_2023_Entity[[#This Row],[Total non-social housing units developed or newly built units acquired (owned)]] / VfM_Metrics_2023_Entity[[#This Row],[Total social and non-social housing units owned (Period end)]], "n/a" )</f>
        <v>0</v>
      </c>
      <c r="V10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09" s="84">
        <v>0</v>
      </c>
      <c r="X109" s="84">
        <v>0</v>
      </c>
      <c r="Y109" s="84" vm="11840">
        <v>0</v>
      </c>
      <c r="Z10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4987</v>
      </c>
      <c r="AA109" s="84" vm="12048">
        <v>4908</v>
      </c>
      <c r="AB109" s="84" vm="11487">
        <v>79</v>
      </c>
      <c r="AC109" s="84" vm="12109">
        <v>0</v>
      </c>
      <c r="AD109" s="135" vm="12268">
        <v>0</v>
      </c>
      <c r="AE109" s="134">
        <f xml:space="preserve"> IFERROR( VfM_Metrics_2023_Entity[[#This Row],[Total Net Debt]] / VfM_Metrics_2023_Entity[[#This Row],[Net Book Value of Housing Properties2]], "n/a" )</f>
        <v>0.50855307016921747</v>
      </c>
      <c r="AF10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71707</v>
      </c>
      <c r="AG109" s="84" vm="12691">
        <v>2392</v>
      </c>
      <c r="AH109" s="84" vm="12861">
        <v>73302</v>
      </c>
      <c r="AI109" s="84" vm="12941">
        <v>3987</v>
      </c>
      <c r="AJ109" s="84">
        <v>0</v>
      </c>
      <c r="AK109" s="84">
        <v>0</v>
      </c>
      <c r="AL109" s="5">
        <f xml:space="preserve"> SUM( VfM_Metrics_2023_Entity[[#This Row],[Tangible fixed assets: Housing properties at cost (Current period)2]], VfM_Metrics_2023_Entity[[#This Row],[Tangible fixed assets Housing properties at valuation (Current period)2]] )</f>
        <v>141002</v>
      </c>
      <c r="AM109" s="84" vm="13391">
        <v>141002</v>
      </c>
      <c r="AN109" s="135">
        <v>0</v>
      </c>
      <c r="AO109" s="137">
        <f xml:space="preserve"> IFERROR( VfM_Metrics_2023_Entity[[#This Row],[EBITDA MRI]] / VfM_Metrics_2023_Entity[[#This Row],[Total interest]], "n/a" )</f>
        <v>1.0699888017917134</v>
      </c>
      <c r="AP10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3822</v>
      </c>
      <c r="AQ109" s="84" vm="13607">
        <v>3782</v>
      </c>
      <c r="AR109" s="84" vm="14739">
        <v>4</v>
      </c>
      <c r="AS109" s="84">
        <v>0</v>
      </c>
      <c r="AT109" s="84" vm="13748">
        <v>45</v>
      </c>
      <c r="AU109" s="84" vm="14002">
        <v>0</v>
      </c>
      <c r="AV109" s="84" vm="14249">
        <v>19</v>
      </c>
      <c r="AW109" s="84" vm="14493">
        <v>3739</v>
      </c>
      <c r="AX109" s="84" vm="14740">
        <v>3809</v>
      </c>
      <c r="AY109" s="5">
        <f xml:space="preserve"> - SUM( VfM_Metrics_2023_Entity[[#This Row],[Interest capitalised]], VfM_Metrics_2023_Entity[[#This Row],[Interest payable and financing costs]] )</f>
        <v>3572</v>
      </c>
      <c r="AZ109" s="84" vm="15278">
        <v>-144</v>
      </c>
      <c r="BA109" s="135" vm="15458">
        <v>-3428</v>
      </c>
      <c r="BB109" s="138">
        <f xml:space="preserve"> IFERROR( ( VfM_Metrics_2023_Entity[[#This Row],[Total Costs]] / VfM_Metrics_2023_Entity[[#This Row],[Total units for costs]] ) * 1000, "n/a" )</f>
        <v>4656.725502130249</v>
      </c>
      <c r="BC10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22953</v>
      </c>
      <c r="BD109" s="84" vm="15824">
        <v>7503</v>
      </c>
      <c r="BE109" s="84" vm="17253">
        <v>6888</v>
      </c>
      <c r="BF109" s="84" vm="17334">
        <v>2867</v>
      </c>
      <c r="BG109" s="84" vm="16319">
        <v>1824</v>
      </c>
      <c r="BH109" s="84" vm="16432">
        <v>0</v>
      </c>
      <c r="BI109" s="84" vm="16432">
        <v>0</v>
      </c>
      <c r="BJ109" s="84" vm="14493">
        <v>3739</v>
      </c>
      <c r="BK109" s="84" vm="15901">
        <v>0</v>
      </c>
      <c r="BL109" s="84" vm="17114">
        <v>131</v>
      </c>
      <c r="BM109" s="84">
        <v>0</v>
      </c>
      <c r="BN109" s="84" vm="15967">
        <v>1</v>
      </c>
      <c r="BO109" s="84">
        <v>0</v>
      </c>
      <c r="BP109" s="5" vm="17737">
        <f xml:space="preserve"> VfM_Metrics_2023_Entity[[#This Row],[Total social housing units owned and/or managed at period end]]</f>
        <v>4929</v>
      </c>
      <c r="BQ109" s="135" vm="17737">
        <v>4929</v>
      </c>
      <c r="BR109" s="134">
        <f xml:space="preserve"> IFERROR( VfM_Metrics_2023_Entity[[#This Row],[SHL operating surplus / (deficit)]] / VfM_Metrics_2023_Entity[[#This Row],[Turnover from social housing lettings]], "n/a" )</f>
        <v>0.14246212563773025</v>
      </c>
      <c r="BS109" s="5" vm="18021">
        <f xml:space="preserve"> VfM_Metrics_2023_Entity[[#This Row],[Operating surplus/(deficit) (social housing lettings)]]</f>
        <v>3658</v>
      </c>
      <c r="BT109" s="84" vm="18021">
        <v>3658</v>
      </c>
      <c r="BU109" s="5" vm="18209">
        <f xml:space="preserve"> VfM_Metrics_2023_Entity[[#This Row],[Turnover from social housing lettings]]</f>
        <v>25677</v>
      </c>
      <c r="BV109" s="135" vm="18209">
        <v>25677</v>
      </c>
      <c r="BW109" s="134">
        <f xml:space="preserve"> IFERROR( VfM_Metrics_2023_Entity[[#This Row],[Net operating surplus]] / VfM_Metrics_2023_Entity[[#This Row],[Overall turnover]], "n/a" )</f>
        <v>0.14570558062401173</v>
      </c>
      <c r="BX109" s="5">
        <f xml:space="preserve"> SUM( VfM_Metrics_2023_Entity[[#This Row],[Operating surplus/(deficit) (overall)2]], - VfM_Metrics_2023_Entity[[#This Row],[Gain/(loss) on disposal of fixed assets (housing properties)2]], - VfM_Metrics_2023_Entity[[#This Row],[Gain/(loss) on disposal of fixed assets (other)2]] )</f>
        <v>3778</v>
      </c>
      <c r="BY109" s="84" vm="13607">
        <v>3782</v>
      </c>
      <c r="BZ109" s="84" vm="14739">
        <v>4</v>
      </c>
      <c r="CA109" s="84">
        <v>0</v>
      </c>
      <c r="CB109" s="5" vm="18371">
        <f xml:space="preserve"> VfM_Metrics_2023_Entity[[#This Row],[Turnover (overall)]]</f>
        <v>25929</v>
      </c>
      <c r="CC109" s="135" vm="18371">
        <v>25929</v>
      </c>
      <c r="CD109" s="134">
        <f xml:space="preserve"> IFERROR( VfM_Metrics_2023_Entity[[#This Row],[Operating surplus including from JVs]] / VfM_Metrics_2023_Entity[[#This Row],[Net assets]], "n/a" )</f>
        <v>2.6625552645659092E-2</v>
      </c>
      <c r="CE109" s="5">
        <f xml:space="preserve"> SUM( VfM_Metrics_2023_Entity[[#This Row],[Operating surplus/(deficit) (overall)3]], VfM_Metrics_2023_Entity[[#This Row],[Share of operating surplus/(deficit) in joint ventures or associates]] )</f>
        <v>3782</v>
      </c>
      <c r="CF109" s="84" vm="13607">
        <v>3782</v>
      </c>
      <c r="CG109" s="84">
        <v>0</v>
      </c>
      <c r="CH109" s="5" vm="18743">
        <f xml:space="preserve"> VfM_Metrics_2023_Entity[[#This Row],[Total assets less current liabilities]]</f>
        <v>142044</v>
      </c>
      <c r="CI109" s="135" vm="18743">
        <v>142044</v>
      </c>
      <c r="CJ109" s="140" vm="11375">
        <f xml:space="preserve"> VfM_Metrics_2023_Entity[[#This Row],[Total social housing units owned (Period end)]]</f>
        <v>4908</v>
      </c>
      <c r="CK109" s="141">
        <v>1.8207855973813421E-2</v>
      </c>
      <c r="CL109" s="69">
        <f xml:space="preserve"> -- ( VfM_Metrics_2023_Entity[[#This Row],[% Supported housing (excl. HOP)]] &gt; 0.3 )</f>
        <v>0</v>
      </c>
      <c r="CM109" s="9">
        <v>0.49549918166939444</v>
      </c>
      <c r="CN109" s="69">
        <f xml:space="preserve"> -- ( VfM_Metrics_2023_Entity[[#This Row],[% Housing for older people]] &gt; 0.3 )</f>
        <v>1</v>
      </c>
      <c r="CO109" s="9">
        <f xml:space="preserve"> VfM_Metrics_2023_Entity[[#This Row],[% Supported housing (excl. HOP)]] + VfM_Metrics_2023_Entity[[#This Row],[% Housing for older people]]</f>
        <v>0.51370703764320791</v>
      </c>
      <c r="CP109" s="69">
        <f xml:space="preserve"> -- ( VfM_Metrics_2023_Entity[[#This Row],[SH specialist in RSH analysis]] + VfM_Metrics_2023_Entity[[#This Row],[OP specialist in RSH analysis]] &gt; 0 )</f>
        <v>1</v>
      </c>
      <c r="CQ109" s="142">
        <f xml:space="preserve"> -- ( VfM_Metrics_2023_Entity[[#This Row],[% SH and OP]] &gt; 0.3 )</f>
        <v>1</v>
      </c>
      <c r="CR109" s="143" t="s">
        <v>143</v>
      </c>
      <c r="CS109" s="120"/>
      <c r="CT109" s="144" t="s">
        <v>144</v>
      </c>
      <c r="CU10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09" s="146">
        <v>0</v>
      </c>
      <c r="CW109" s="146">
        <v>0</v>
      </c>
      <c r="CX109" s="146">
        <v>0</v>
      </c>
      <c r="CY109" s="146">
        <v>6.9981583793738492E-2</v>
      </c>
      <c r="CZ109" s="146">
        <v>0</v>
      </c>
      <c r="DA109" s="146">
        <v>1.0026601186822181E-2</v>
      </c>
      <c r="DB109" s="146">
        <v>0.21424186617556784</v>
      </c>
      <c r="DC109" s="146">
        <v>0.45979128299570288</v>
      </c>
      <c r="DD109" s="146">
        <v>0.24595866584816861</v>
      </c>
      <c r="DE109" s="126">
        <v>0.94452411114073842</v>
      </c>
    </row>
    <row r="110" spans="1:109" x14ac:dyDescent="0.25">
      <c r="A110" s="4" t="s" vm="207">
        <v>316</v>
      </c>
      <c r="B110" s="4" t="s" vm="10907">
        <v>317</v>
      </c>
      <c r="C110" s="121" vm="18917">
        <v>44926</v>
      </c>
      <c r="D110" s="68">
        <f>IFERROR( VfM_Metrics_2023_Entity[[#This Row],[Reinvestment Spend]] / VfM_Metrics_2023_Entity[[#This Row],[Net Book Value of Housing Properties]], "n/a" )</f>
        <v>2.0537136398000602E-2</v>
      </c>
      <c r="E11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2798</v>
      </c>
      <c r="F110" s="84" vm="9425">
        <v>813</v>
      </c>
      <c r="G110" s="84" vm="9581">
        <v>0</v>
      </c>
      <c r="H110" s="84" vm="10561">
        <v>1951</v>
      </c>
      <c r="I110" s="84" vm="9721">
        <v>34</v>
      </c>
      <c r="J110" s="84" vm="10302">
        <v>0</v>
      </c>
      <c r="K110" s="5">
        <f xml:space="preserve"> SUM( VfM_Metrics_2023_Entity[[#This Row],[Tangible fixed assets: Housing properties at cost (Current period)]],VfM_Metrics_2023_Entity[[#This Row],[Tangible fixed assets Housing properties at valuation (Current period)]] )</f>
        <v>136241</v>
      </c>
      <c r="L110" s="84" vm="9990">
        <v>136241</v>
      </c>
      <c r="M110" s="84" vm="10166">
        <v>0</v>
      </c>
      <c r="N110" s="134">
        <f xml:space="preserve"> IFERROR( VfM_Metrics_2023_Entity[[#This Row],[Total social units developed or newly built units acquired in-year]] / VfM_Metrics_2023_Entity[[#This Row],[Social housing units owned (period end)]], "n/a" )</f>
        <v>8.2610491532424622E-4</v>
      </c>
      <c r="O110" s="5">
        <f xml:space="preserve"> SUM( VfM_Metrics_2023_Entity[[#This Row],[Total social units developed or newly built units acquired in-year (owned)]], VfM_Metrics_2023_Entity[[#This Row],[Total social leasehold units developed or newly built units acquired in-year (owned)]] )</f>
        <v>2</v>
      </c>
      <c r="P110" s="84" vm="11090">
        <v>2</v>
      </c>
      <c r="Q110" s="84" vm="11209">
        <v>0</v>
      </c>
      <c r="R110" s="5">
        <f xml:space="preserve"> SUM( VfM_Metrics_2023_Entity[[#This Row],[Total social housing units owned (Period end)]], VfM_Metrics_2023_Entity[[#This Row],[Total social leasehold units owned (Period end)]] )</f>
        <v>2421</v>
      </c>
      <c r="S110" s="84" vm="11296">
        <v>2154</v>
      </c>
      <c r="T110" s="135" vm="11496">
        <v>267</v>
      </c>
      <c r="U110" s="136">
        <f xml:space="preserve"> IFERROR( VfM_Metrics_2023_Entity[[#This Row],[Total non-social housing units developed or newly built units acquired (owned)]] / VfM_Metrics_2023_Entity[[#This Row],[Total social and non-social housing units owned (Period end)]], "n/a" )</f>
        <v>0</v>
      </c>
      <c r="V11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0" s="84" vm="11571">
        <v>0</v>
      </c>
      <c r="X110" s="84" vm="11885">
        <v>0</v>
      </c>
      <c r="Y110" s="84" vm="11924">
        <v>0</v>
      </c>
      <c r="Z11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2616</v>
      </c>
      <c r="AA110" s="84" vm="11296">
        <v>2154</v>
      </c>
      <c r="AB110" s="84" vm="12442">
        <v>267</v>
      </c>
      <c r="AC110" s="84" vm="12364">
        <v>0</v>
      </c>
      <c r="AD110" s="135" vm="12506">
        <v>195</v>
      </c>
      <c r="AE110" s="134">
        <f xml:space="preserve"> IFERROR( VfM_Metrics_2023_Entity[[#This Row],[Total Net Debt]] / VfM_Metrics_2023_Entity[[#This Row],[Net Book Value of Housing Properties2]], "n/a" )</f>
        <v>0.29780315763977072</v>
      </c>
      <c r="AF11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40573</v>
      </c>
      <c r="AG110" s="84" vm="12564">
        <v>1073</v>
      </c>
      <c r="AH110" s="84" vm="13162">
        <v>45664</v>
      </c>
      <c r="AI110" s="84" vm="13244">
        <v>6164</v>
      </c>
      <c r="AJ110" s="84" vm="13334">
        <v>0</v>
      </c>
      <c r="AK110" s="84" vm="12903">
        <v>0</v>
      </c>
      <c r="AL110" s="5">
        <f xml:space="preserve"> SUM( VfM_Metrics_2023_Entity[[#This Row],[Tangible fixed assets: Housing properties at cost (Current period)2]], VfM_Metrics_2023_Entity[[#This Row],[Tangible fixed assets Housing properties at valuation (Current period)2]] )</f>
        <v>136241</v>
      </c>
      <c r="AM110" s="84" vm="9990">
        <v>136241</v>
      </c>
      <c r="AN110" s="135" vm="13422">
        <v>0</v>
      </c>
      <c r="AO110" s="137">
        <f xml:space="preserve"> IFERROR( VfM_Metrics_2023_Entity[[#This Row],[EBITDA MRI]] / VfM_Metrics_2023_Entity[[#This Row],[Total interest]], "n/a" )</f>
        <v>0.24505622334238078</v>
      </c>
      <c r="AP11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632</v>
      </c>
      <c r="AQ110" s="84" vm="13445">
        <v>1524</v>
      </c>
      <c r="AR110" s="84" vm="14984">
        <v>2186</v>
      </c>
      <c r="AS110" s="84" vm="13749">
        <v>0</v>
      </c>
      <c r="AT110" s="84" vm="14003">
        <v>510</v>
      </c>
      <c r="AU110" s="84" vm="14250">
        <v>30</v>
      </c>
      <c r="AV110" s="84" vm="14494">
        <v>256</v>
      </c>
      <c r="AW110" s="84" vm="14741">
        <v>1985</v>
      </c>
      <c r="AX110" s="84" vm="14985">
        <v>3563</v>
      </c>
      <c r="AY110" s="5">
        <f xml:space="preserve"> - SUM( VfM_Metrics_2023_Entity[[#This Row],[Interest capitalised]], VfM_Metrics_2023_Entity[[#This Row],[Interest payable and financing costs]] )</f>
        <v>2579</v>
      </c>
      <c r="AZ110" s="84" vm="15176">
        <v>-34</v>
      </c>
      <c r="BA110" s="135" vm="15489">
        <v>-2545</v>
      </c>
      <c r="BB110" s="138">
        <f xml:space="preserve"> IFERROR( ( VfM_Metrics_2023_Entity[[#This Row],[Total Costs]] / VfM_Metrics_2023_Entity[[#This Row],[Total units for costs]] ) * 1000, "n/a" )</f>
        <v>8779.0157845868143</v>
      </c>
      <c r="BC11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18910</v>
      </c>
      <c r="BD110" s="84" vm="15825">
        <v>3213</v>
      </c>
      <c r="BE110" s="84" vm="16433">
        <v>1499</v>
      </c>
      <c r="BF110" s="84" vm="16630">
        <v>1612</v>
      </c>
      <c r="BG110" s="84" vm="16800">
        <v>628</v>
      </c>
      <c r="BH110" s="84" vm="16875">
        <v>339</v>
      </c>
      <c r="BI110" s="84" vm="16321">
        <v>0</v>
      </c>
      <c r="BJ110" s="84" vm="14741">
        <v>1985</v>
      </c>
      <c r="BK110" s="84" vm="17335">
        <v>5000</v>
      </c>
      <c r="BL110" s="84" vm="16435">
        <v>0</v>
      </c>
      <c r="BM110" s="84" vm="16718">
        <v>1930</v>
      </c>
      <c r="BN110" s="84" vm="16801">
        <v>697</v>
      </c>
      <c r="BO110" s="84" vm="15902">
        <v>2007</v>
      </c>
      <c r="BP110" s="5" vm="17770">
        <f xml:space="preserve"> VfM_Metrics_2023_Entity[[#This Row],[Total social housing units owned and/or managed at period end]]</f>
        <v>2154</v>
      </c>
      <c r="BQ110" s="135" vm="17770">
        <v>2154</v>
      </c>
      <c r="BR110" s="134">
        <f xml:space="preserve"> IFERROR( VfM_Metrics_2023_Entity[[#This Row],[SHL operating surplus / (deficit)]] / VfM_Metrics_2023_Entity[[#This Row],[Turnover from social housing lettings]], "n/a" )</f>
        <v>1.0959257349149047E-2</v>
      </c>
      <c r="BS110" s="5" vm="17848">
        <f xml:space="preserve"> VfM_Metrics_2023_Entity[[#This Row],[Operating surplus/(deficit) (social housing lettings)]]</f>
        <v>170</v>
      </c>
      <c r="BT110" s="84" vm="17848">
        <v>170</v>
      </c>
      <c r="BU110" s="5" vm="18058">
        <f xml:space="preserve"> VfM_Metrics_2023_Entity[[#This Row],[Turnover from social housing lettings]]</f>
        <v>15512</v>
      </c>
      <c r="BV110" s="135" vm="18058">
        <v>15512</v>
      </c>
      <c r="BW110" s="134">
        <f xml:space="preserve"> IFERROR( VfM_Metrics_2023_Entity[[#This Row],[Net operating surplus]] / VfM_Metrics_2023_Entity[[#This Row],[Overall turnover]], "n/a" )</f>
        <v>-2.6142242230383445E-2</v>
      </c>
      <c r="BX110" s="5">
        <f xml:space="preserve"> SUM( VfM_Metrics_2023_Entity[[#This Row],[Operating surplus/(deficit) (overall)2]], - VfM_Metrics_2023_Entity[[#This Row],[Gain/(loss) on disposal of fixed assets (housing properties)2]], - VfM_Metrics_2023_Entity[[#This Row],[Gain/(loss) on disposal of fixed assets (other)2]] )</f>
        <v>-662</v>
      </c>
      <c r="BY110" s="84" vm="13518">
        <v>1524</v>
      </c>
      <c r="BZ110" s="84" vm="14984">
        <v>2186</v>
      </c>
      <c r="CA110" s="84" vm="13749">
        <v>0</v>
      </c>
      <c r="CB110" s="5" vm="18366">
        <f xml:space="preserve"> VfM_Metrics_2023_Entity[[#This Row],[Turnover (overall)]]</f>
        <v>25323</v>
      </c>
      <c r="CC110" s="135" vm="18366">
        <v>25323</v>
      </c>
      <c r="CD110" s="134">
        <f xml:space="preserve"> IFERROR( VfM_Metrics_2023_Entity[[#This Row],[Operating surplus including from JVs]] / VfM_Metrics_2023_Entity[[#This Row],[Net assets]], "n/a" )</f>
        <v>7.6261008807045633E-3</v>
      </c>
      <c r="CE110" s="5">
        <f xml:space="preserve"> SUM( VfM_Metrics_2023_Entity[[#This Row],[Operating surplus/(deficit) (overall)3]], VfM_Metrics_2023_Entity[[#This Row],[Share of operating surplus/(deficit) in joint ventures or associates]] )</f>
        <v>1524</v>
      </c>
      <c r="CF110" s="84" vm="13445">
        <v>1524</v>
      </c>
      <c r="CG110" s="84" vm="18558">
        <v>0</v>
      </c>
      <c r="CH110" s="5" vm="18585">
        <f xml:space="preserve"> VfM_Metrics_2023_Entity[[#This Row],[Total assets less current liabilities]]</f>
        <v>199840</v>
      </c>
      <c r="CI110" s="135" vm="18585">
        <v>199840</v>
      </c>
      <c r="CJ110" s="140" vm="11296">
        <f xml:space="preserve"> VfM_Metrics_2023_Entity[[#This Row],[Total social housing units owned (Period end)]]</f>
        <v>2154</v>
      </c>
      <c r="CK110" s="141">
        <v>2.1561017680034499E-2</v>
      </c>
      <c r="CL110" s="69">
        <f xml:space="preserve"> -- ( VfM_Metrics_2023_Entity[[#This Row],[% Supported housing (excl. HOP)]] &gt; 0.3 )</f>
        <v>0</v>
      </c>
      <c r="CM110" s="9">
        <v>0.13885295385942217</v>
      </c>
      <c r="CN110" s="69">
        <f xml:space="preserve"> -- ( VfM_Metrics_2023_Entity[[#This Row],[% Housing for older people]] &gt; 0.3 )</f>
        <v>0</v>
      </c>
      <c r="CO110" s="9">
        <f xml:space="preserve"> VfM_Metrics_2023_Entity[[#This Row],[% Supported housing (excl. HOP)]] + VfM_Metrics_2023_Entity[[#This Row],[% Housing for older people]]</f>
        <v>0.16041397153945666</v>
      </c>
      <c r="CP110" s="69">
        <f xml:space="preserve"> -- ( VfM_Metrics_2023_Entity[[#This Row],[SH specialist in RSH analysis]] + VfM_Metrics_2023_Entity[[#This Row],[OP specialist in RSH analysis]] &gt; 0 )</f>
        <v>0</v>
      </c>
      <c r="CQ110" s="142">
        <f xml:space="preserve"> -- ( VfM_Metrics_2023_Entity[[#This Row],[% SH and OP]] &gt; 0.3 )</f>
        <v>0</v>
      </c>
      <c r="CR110" s="143" t="s">
        <v>143</v>
      </c>
      <c r="CS110" s="120"/>
      <c r="CT110" s="144" t="s">
        <v>144</v>
      </c>
      <c r="CU11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110" s="146">
        <v>0</v>
      </c>
      <c r="CW110" s="146">
        <v>0</v>
      </c>
      <c r="CX110" s="146">
        <v>0</v>
      </c>
      <c r="CY110" s="146">
        <v>0</v>
      </c>
      <c r="CZ110" s="146">
        <v>0</v>
      </c>
      <c r="DA110" s="146">
        <v>0</v>
      </c>
      <c r="DB110" s="146">
        <v>9.3453724604966135E-2</v>
      </c>
      <c r="DC110" s="146">
        <v>0</v>
      </c>
      <c r="DD110" s="146">
        <v>0.90654627539503385</v>
      </c>
      <c r="DE110" s="126">
        <v>0.9410358907948122</v>
      </c>
    </row>
    <row r="111" spans="1:109" x14ac:dyDescent="0.25">
      <c r="A111" s="4" t="s" vm="265">
        <v>318</v>
      </c>
      <c r="B111" s="4" t="s" vm="9291">
        <v>319</v>
      </c>
      <c r="C111" s="121" vm="18844">
        <v>45016</v>
      </c>
      <c r="D111" s="68">
        <f>IFERROR( VfM_Metrics_2023_Entity[[#This Row],[Reinvestment Spend]] / VfM_Metrics_2023_Entity[[#This Row],[Net Book Value of Housing Properties]], "n/a" )</f>
        <v>0.11545465725459331</v>
      </c>
      <c r="E11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117351</v>
      </c>
      <c r="F111" s="84" vm="9404">
        <v>62446</v>
      </c>
      <c r="G111" s="84" vm="9696">
        <v>25618</v>
      </c>
      <c r="H111" s="84" vm="10751">
        <v>29287</v>
      </c>
      <c r="I111" s="84" vm="9805">
        <v>0</v>
      </c>
      <c r="J111" s="84" vm="9818">
        <v>0</v>
      </c>
      <c r="K111" s="5">
        <f xml:space="preserve"> SUM( VfM_Metrics_2023_Entity[[#This Row],[Tangible fixed assets: Housing properties at cost (Current period)]],VfM_Metrics_2023_Entity[[#This Row],[Tangible fixed assets Housing properties at valuation (Current period)]] )</f>
        <v>1016425</v>
      </c>
      <c r="L111" s="84" vm="9897">
        <v>1016425</v>
      </c>
      <c r="M111" s="84" vm="10092">
        <v>0</v>
      </c>
      <c r="N111" s="134">
        <f xml:space="preserve"> IFERROR( VfM_Metrics_2023_Entity[[#This Row],[Total social units developed or newly built units acquired in-year]] / VfM_Metrics_2023_Entity[[#This Row],[Social housing units owned (period end)]], "n/a" )</f>
        <v>1.699915706659174E-2</v>
      </c>
      <c r="O111" s="5">
        <f xml:space="preserve"> SUM( VfM_Metrics_2023_Entity[[#This Row],[Total social units developed or newly built units acquired in-year (owned)]], VfM_Metrics_2023_Entity[[#This Row],[Total social leasehold units developed or newly built units acquired in-year (owned)]] )</f>
        <v>484</v>
      </c>
      <c r="P111" s="84" vm="11011">
        <v>484</v>
      </c>
      <c r="Q111" s="84" vm="11116">
        <v>0</v>
      </c>
      <c r="R111" s="5">
        <f xml:space="preserve"> SUM( VfM_Metrics_2023_Entity[[#This Row],[Total social housing units owned (Period end)]], VfM_Metrics_2023_Entity[[#This Row],[Total social leasehold units owned (Period end)]] )</f>
        <v>28472</v>
      </c>
      <c r="S111" s="84" vm="11393">
        <v>27862</v>
      </c>
      <c r="T111" s="135" vm="11424">
        <v>610</v>
      </c>
      <c r="U111" s="136">
        <f xml:space="preserve"> IFERROR( VfM_Metrics_2023_Entity[[#This Row],[Total non-social housing units developed or newly built units acquired (owned)]] / VfM_Metrics_2023_Entity[[#This Row],[Total social and non-social housing units owned (Period end)]], "n/a" )</f>
        <v>0</v>
      </c>
      <c r="V11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1" s="84" vm="11598">
        <v>0</v>
      </c>
      <c r="X111" s="84" vm="11702">
        <v>0</v>
      </c>
      <c r="Y111" s="84" vm="11744">
        <v>0</v>
      </c>
      <c r="Z11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28704</v>
      </c>
      <c r="AA111" s="84" vm="12001">
        <v>27862</v>
      </c>
      <c r="AB111" s="84" vm="12194">
        <v>610</v>
      </c>
      <c r="AC111" s="84" vm="12110">
        <v>191</v>
      </c>
      <c r="AD111" s="135" vm="12268">
        <v>41</v>
      </c>
      <c r="AE111" s="134">
        <f xml:space="preserve"> IFERROR( VfM_Metrics_2023_Entity[[#This Row],[Total Net Debt]] / VfM_Metrics_2023_Entity[[#This Row],[Net Book Value of Housing Properties2]], "n/a" )</f>
        <v>0.39601446245418992</v>
      </c>
      <c r="AF11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402519</v>
      </c>
      <c r="AG111" s="84" vm="12593">
        <v>3398</v>
      </c>
      <c r="AH111" s="84" vm="12761">
        <v>424439</v>
      </c>
      <c r="AI111" s="84" vm="13077">
        <v>25318</v>
      </c>
      <c r="AJ111" s="84" vm="13121">
        <v>0</v>
      </c>
      <c r="AK111" s="84" vm="13209">
        <v>0</v>
      </c>
      <c r="AL111" s="5">
        <f xml:space="preserve"> SUM( VfM_Metrics_2023_Entity[[#This Row],[Tangible fixed assets: Housing properties at cost (Current period)2]], VfM_Metrics_2023_Entity[[#This Row],[Tangible fixed assets Housing properties at valuation (Current period)2]] )</f>
        <v>1016425</v>
      </c>
      <c r="AM111" s="84" vm="10063">
        <v>1016425</v>
      </c>
      <c r="AN111" s="135" vm="10092">
        <v>0</v>
      </c>
      <c r="AO111" s="137">
        <f xml:space="preserve"> IFERROR( VfM_Metrics_2023_Entity[[#This Row],[EBITDA MRI]] / VfM_Metrics_2023_Entity[[#This Row],[Total interest]], "n/a" )</f>
        <v>1.8033821995278099</v>
      </c>
      <c r="AP11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32845</v>
      </c>
      <c r="AQ111" s="84" vm="13482">
        <v>43193</v>
      </c>
      <c r="AR111" s="84" vm="13750">
        <v>3098</v>
      </c>
      <c r="AS111" s="84" vm="14004">
        <v>-97</v>
      </c>
      <c r="AT111" s="84" vm="14251">
        <v>4890</v>
      </c>
      <c r="AU111" s="84" vm="14495">
        <v>0</v>
      </c>
      <c r="AV111" s="84" vm="14742">
        <v>2602</v>
      </c>
      <c r="AW111" s="84" vm="14986">
        <v>29287</v>
      </c>
      <c r="AX111" s="84" vm="13751">
        <v>24228</v>
      </c>
      <c r="AY111" s="5">
        <f xml:space="preserve"> - SUM( VfM_Metrics_2023_Entity[[#This Row],[Interest capitalised]], VfM_Metrics_2023_Entity[[#This Row],[Interest payable and financing costs]] )</f>
        <v>18213</v>
      </c>
      <c r="AZ111" s="84" vm="15162">
        <v>0</v>
      </c>
      <c r="BA111" s="135" vm="15327">
        <v>-18213</v>
      </c>
      <c r="BB111" s="138">
        <f xml:space="preserve"> IFERROR( ( VfM_Metrics_2023_Entity[[#This Row],[Total Costs]] / VfM_Metrics_2023_Entity[[#This Row],[Total units for costs]] ) * 1000, "n/a" )</f>
        <v>3974.0562652504664</v>
      </c>
      <c r="BC11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110749</v>
      </c>
      <c r="BD111" s="84" vm="15521">
        <v>17971</v>
      </c>
      <c r="BE111" s="84" vm="16100">
        <v>17531</v>
      </c>
      <c r="BF111" s="84" vm="17336">
        <v>26645</v>
      </c>
      <c r="BG111" s="84" vm="17495">
        <v>9212</v>
      </c>
      <c r="BH111" s="84" vm="16433">
        <v>0</v>
      </c>
      <c r="BI111" s="84" vm="16631">
        <v>0</v>
      </c>
      <c r="BJ111" s="84" vm="14986">
        <v>29287</v>
      </c>
      <c r="BK111" s="84" vm="15970">
        <v>1258</v>
      </c>
      <c r="BL111" s="84" vm="15904">
        <v>848</v>
      </c>
      <c r="BM111" s="84" vm="17496">
        <v>3657</v>
      </c>
      <c r="BN111" s="84" vm="16434">
        <v>2159</v>
      </c>
      <c r="BO111" s="84" vm="16101">
        <v>2181</v>
      </c>
      <c r="BP111" s="5" vm="17632">
        <f xml:space="preserve"> VfM_Metrics_2023_Entity[[#This Row],[Total social housing units owned and/or managed at period end]]</f>
        <v>27868</v>
      </c>
      <c r="BQ111" s="135" vm="17632">
        <v>27868</v>
      </c>
      <c r="BR111" s="134">
        <f xml:space="preserve"> IFERROR( VfM_Metrics_2023_Entity[[#This Row],[SHL operating surplus / (deficit)]] / VfM_Metrics_2023_Entity[[#This Row],[Turnover from social housing lettings]], "n/a" )</f>
        <v>0.29196081730593376</v>
      </c>
      <c r="BS111" s="5" vm="17886">
        <f xml:space="preserve"> VfM_Metrics_2023_Entity[[#This Row],[Operating surplus/(deficit) (social housing lettings)]]</f>
        <v>39909</v>
      </c>
      <c r="BT111" s="84" vm="17886">
        <v>39909</v>
      </c>
      <c r="BU111" s="5" vm="18084">
        <f xml:space="preserve"> VfM_Metrics_2023_Entity[[#This Row],[Turnover from social housing lettings]]</f>
        <v>136693</v>
      </c>
      <c r="BV111" s="135" vm="18084">
        <v>136693</v>
      </c>
      <c r="BW111" s="134">
        <f xml:space="preserve"> IFERROR( VfM_Metrics_2023_Entity[[#This Row],[Net operating surplus]] / VfM_Metrics_2023_Entity[[#This Row],[Overall turnover]], "n/a" )</f>
        <v>0.25422045680238331</v>
      </c>
      <c r="BX111" s="5">
        <f xml:space="preserve"> SUM( VfM_Metrics_2023_Entity[[#This Row],[Operating surplus/(deficit) (overall)2]], - VfM_Metrics_2023_Entity[[#This Row],[Gain/(loss) on disposal of fixed assets (housing properties)2]], - VfM_Metrics_2023_Entity[[#This Row],[Gain/(loss) on disposal of fixed assets (other)2]] )</f>
        <v>40192</v>
      </c>
      <c r="BY111" s="84" vm="13482">
        <v>43193</v>
      </c>
      <c r="BZ111" s="84" vm="13750">
        <v>3098</v>
      </c>
      <c r="CA111" s="84" vm="14004">
        <v>-97</v>
      </c>
      <c r="CB111" s="5" vm="18405">
        <f xml:space="preserve"> VfM_Metrics_2023_Entity[[#This Row],[Turnover (overall)]]</f>
        <v>158099</v>
      </c>
      <c r="CC111" s="135" vm="18405">
        <v>158099</v>
      </c>
      <c r="CD111" s="134">
        <f xml:space="preserve"> IFERROR( VfM_Metrics_2023_Entity[[#This Row],[Operating surplus including from JVs]] / VfM_Metrics_2023_Entity[[#This Row],[Net assets]], "n/a" )</f>
        <v>3.9474790530363957E-2</v>
      </c>
      <c r="CE111" s="5">
        <f xml:space="preserve"> SUM( VfM_Metrics_2023_Entity[[#This Row],[Operating surplus/(deficit) (overall)3]], VfM_Metrics_2023_Entity[[#This Row],[Share of operating surplus/(deficit) in joint ventures or associates]] )</f>
        <v>43193</v>
      </c>
      <c r="CF111" s="84" vm="18233">
        <v>43193</v>
      </c>
      <c r="CG111" s="84" vm="18455">
        <v>0</v>
      </c>
      <c r="CH111" s="5" vm="18622">
        <f xml:space="preserve"> VfM_Metrics_2023_Entity[[#This Row],[Total assets less current liabilities]]</f>
        <v>1094192</v>
      </c>
      <c r="CI111" s="135" vm="18622">
        <v>1094192</v>
      </c>
      <c r="CJ111" s="140" vm="11393">
        <f xml:space="preserve"> VfM_Metrics_2023_Entity[[#This Row],[Total social housing units owned (Period end)]]</f>
        <v>27862</v>
      </c>
      <c r="CK111" s="141">
        <v>1.7342496312021012E-2</v>
      </c>
      <c r="CL111" s="69">
        <f xml:space="preserve"> -- ( VfM_Metrics_2023_Entity[[#This Row],[% Supported housing (excl. HOP)]] &gt; 0.3 )</f>
        <v>0</v>
      </c>
      <c r="CM111" s="9">
        <v>2.7668837477062568E-2</v>
      </c>
      <c r="CN111" s="69">
        <f xml:space="preserve"> -- ( VfM_Metrics_2023_Entity[[#This Row],[% Housing for older people]] &gt; 0.3 )</f>
        <v>0</v>
      </c>
      <c r="CO111" s="9">
        <f xml:space="preserve"> VfM_Metrics_2023_Entity[[#This Row],[% Supported housing (excl. HOP)]] + VfM_Metrics_2023_Entity[[#This Row],[% Housing for older people]]</f>
        <v>4.5011333789083577E-2</v>
      </c>
      <c r="CP111" s="69">
        <f xml:space="preserve"> -- ( VfM_Metrics_2023_Entity[[#This Row],[SH specialist in RSH analysis]] + VfM_Metrics_2023_Entity[[#This Row],[OP specialist in RSH analysis]] &gt; 0 )</f>
        <v>0</v>
      </c>
      <c r="CQ111" s="142">
        <f xml:space="preserve"> -- ( VfM_Metrics_2023_Entity[[#This Row],[% SH and OP]] &gt; 0.3 )</f>
        <v>0</v>
      </c>
      <c r="CR111" s="143" t="s">
        <v>143</v>
      </c>
      <c r="CS111" s="120"/>
      <c r="CT111" s="144" t="s">
        <v>151</v>
      </c>
      <c r="CU11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111" s="146">
        <v>0</v>
      </c>
      <c r="CW111" s="146">
        <v>0</v>
      </c>
      <c r="CX111" s="146">
        <v>0</v>
      </c>
      <c r="CY111" s="146">
        <v>0</v>
      </c>
      <c r="CZ111" s="146">
        <v>0</v>
      </c>
      <c r="DA111" s="146">
        <v>0</v>
      </c>
      <c r="DB111" s="146">
        <v>0.97468399885090495</v>
      </c>
      <c r="DC111" s="146">
        <v>0</v>
      </c>
      <c r="DD111" s="146">
        <v>2.5316001149095088E-2</v>
      </c>
      <c r="DE111" s="126">
        <v>0.90751064795547387</v>
      </c>
    </row>
    <row r="112" spans="1:109" x14ac:dyDescent="0.25">
      <c r="A112" s="4" t="s" vm="330">
        <v>320</v>
      </c>
      <c r="B112" s="4" t="s" vm="9267">
        <v>321</v>
      </c>
      <c r="C112" s="121" vm="18953">
        <v>45016</v>
      </c>
      <c r="D112" s="68">
        <f>IFERROR( VfM_Metrics_2023_Entity[[#This Row],[Reinvestment Spend]] / VfM_Metrics_2023_Entity[[#This Row],[Net Book Value of Housing Properties]], "n/a" )</f>
        <v>0.10254759777906224</v>
      </c>
      <c r="E11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23419</v>
      </c>
      <c r="F112" s="84" vm="10449">
        <v>6611</v>
      </c>
      <c r="G112" s="84" vm="9499">
        <v>13089</v>
      </c>
      <c r="H112" s="84" vm="9563">
        <v>3719</v>
      </c>
      <c r="I112" s="84" vm="9755">
        <v>0</v>
      </c>
      <c r="J112" s="84" vm="9675">
        <v>0</v>
      </c>
      <c r="K112" s="5">
        <f xml:space="preserve"> SUM( VfM_Metrics_2023_Entity[[#This Row],[Tangible fixed assets: Housing properties at cost (Current period)]],VfM_Metrics_2023_Entity[[#This Row],[Tangible fixed assets Housing properties at valuation (Current period)]] )</f>
        <v>228372</v>
      </c>
      <c r="L112" s="84" vm="10018">
        <v>228372</v>
      </c>
      <c r="M112" s="84">
        <v>0</v>
      </c>
      <c r="N112" s="134">
        <f xml:space="preserve"> IFERROR( VfM_Metrics_2023_Entity[[#This Row],[Total social units developed or newly built units acquired in-year]] / VfM_Metrics_2023_Entity[[#This Row],[Social housing units owned (period end)]], "n/a" )</f>
        <v>1.8918317382595147E-2</v>
      </c>
      <c r="O112" s="5">
        <f xml:space="preserve"> SUM( VfM_Metrics_2023_Entity[[#This Row],[Total social units developed or newly built units acquired in-year (owned)]], VfM_Metrics_2023_Entity[[#This Row],[Total social leasehold units developed or newly built units acquired in-year (owned)]] )</f>
        <v>85</v>
      </c>
      <c r="P112" s="84" vm="10967">
        <v>85</v>
      </c>
      <c r="Q112" s="84">
        <v>0</v>
      </c>
      <c r="R112" s="5">
        <f xml:space="preserve"> SUM( VfM_Metrics_2023_Entity[[#This Row],[Total social housing units owned (Period end)]], VfM_Metrics_2023_Entity[[#This Row],[Total social leasehold units owned (Period end)]] )</f>
        <v>4493</v>
      </c>
      <c r="S112" s="84" vm="11250">
        <v>4452</v>
      </c>
      <c r="T112" s="135" vm="11488">
        <v>41</v>
      </c>
      <c r="U112" s="136">
        <f xml:space="preserve"> IFERROR( VfM_Metrics_2023_Entity[[#This Row],[Total non-social housing units developed or newly built units acquired (owned)]] / VfM_Metrics_2023_Entity[[#This Row],[Total social and non-social housing units owned (Period end)]], "n/a" )</f>
        <v>0</v>
      </c>
      <c r="V11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2" s="84">
        <v>0</v>
      </c>
      <c r="X112" s="84">
        <v>0</v>
      </c>
      <c r="Y112" s="84">
        <v>0</v>
      </c>
      <c r="Z11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4578</v>
      </c>
      <c r="AA112" s="84" vm="11967">
        <v>4452</v>
      </c>
      <c r="AB112" s="84" vm="12443">
        <v>41</v>
      </c>
      <c r="AC112" s="84" vm="12365">
        <v>85</v>
      </c>
      <c r="AD112" s="135" vm="12507">
        <v>0</v>
      </c>
      <c r="AE112" s="134">
        <f xml:space="preserve"> IFERROR( VfM_Metrics_2023_Entity[[#This Row],[Total Net Debt]] / VfM_Metrics_2023_Entity[[#This Row],[Net Book Value of Housing Properties2]], "n/a" )</f>
        <v>0.26599583136286409</v>
      </c>
      <c r="AF11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60746</v>
      </c>
      <c r="AG112" s="84" vm="12614">
        <v>3943</v>
      </c>
      <c r="AH112" s="84" vm="13295">
        <v>58045</v>
      </c>
      <c r="AI112" s="84" vm="12862">
        <v>1242</v>
      </c>
      <c r="AJ112" s="84">
        <v>0</v>
      </c>
      <c r="AK112" s="84">
        <v>0</v>
      </c>
      <c r="AL112" s="5">
        <f xml:space="preserve"> SUM( VfM_Metrics_2023_Entity[[#This Row],[Tangible fixed assets: Housing properties at cost (Current period)2]], VfM_Metrics_2023_Entity[[#This Row],[Tangible fixed assets Housing properties at valuation (Current period)2]] )</f>
        <v>228372</v>
      </c>
      <c r="AM112" s="84" vm="10018">
        <v>228372</v>
      </c>
      <c r="AN112" s="135">
        <v>0</v>
      </c>
      <c r="AO112" s="137">
        <f xml:space="preserve"> IFERROR( VfM_Metrics_2023_Entity[[#This Row],[EBITDA MRI]] / VfM_Metrics_2023_Entity[[#This Row],[Total interest]], "n/a" )</f>
        <v>2.2394622093023258</v>
      </c>
      <c r="AP11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6163</v>
      </c>
      <c r="AQ112" s="84" vm="13515">
        <v>6958</v>
      </c>
      <c r="AR112" s="84" vm="14005">
        <v>802</v>
      </c>
      <c r="AS112" s="84" vm="14252">
        <v>-1</v>
      </c>
      <c r="AT112" s="84" vm="14496">
        <v>1778</v>
      </c>
      <c r="AU112" s="84" vm="14743">
        <v>0</v>
      </c>
      <c r="AV112" s="84" vm="14987">
        <v>153</v>
      </c>
      <c r="AW112" s="84" vm="13752">
        <v>3719</v>
      </c>
      <c r="AX112" s="84" vm="14006">
        <v>5350</v>
      </c>
      <c r="AY112" s="5">
        <f xml:space="preserve"> - SUM( VfM_Metrics_2023_Entity[[#This Row],[Interest capitalised]], VfM_Metrics_2023_Entity[[#This Row],[Interest payable and financing costs]] )</f>
        <v>2752</v>
      </c>
      <c r="AZ112" s="84" vm="15303">
        <v>0</v>
      </c>
      <c r="BA112" s="135" vm="15364">
        <v>-2752</v>
      </c>
      <c r="BB112" s="138">
        <f xml:space="preserve"> IFERROR( ( VfM_Metrics_2023_Entity[[#This Row],[Total Costs]] / VfM_Metrics_2023_Entity[[#This Row],[Total units for costs]] ) * 1000, "n/a" )</f>
        <v>4231.3566936208445</v>
      </c>
      <c r="BC11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18838</v>
      </c>
      <c r="BD112" s="84" vm="16167">
        <v>5350</v>
      </c>
      <c r="BE112" s="84" vm="16719">
        <v>1015</v>
      </c>
      <c r="BF112" s="84" vm="16801">
        <v>4691</v>
      </c>
      <c r="BG112" s="84" vm="16103">
        <v>875</v>
      </c>
      <c r="BH112" s="84" vm="17040">
        <v>1665</v>
      </c>
      <c r="BI112" s="84" vm="17254">
        <v>4</v>
      </c>
      <c r="BJ112" s="84" vm="17497">
        <v>3719</v>
      </c>
      <c r="BK112" s="84" vm="17567">
        <v>0</v>
      </c>
      <c r="BL112" s="84" vm="16720">
        <v>274</v>
      </c>
      <c r="BM112" s="84">
        <v>0</v>
      </c>
      <c r="BN112" s="84" vm="17041">
        <v>1245</v>
      </c>
      <c r="BO112" s="84">
        <v>0</v>
      </c>
      <c r="BP112" s="5" vm="17668">
        <f xml:space="preserve"> VfM_Metrics_2023_Entity[[#This Row],[Total social housing units owned and/or managed at period end]]</f>
        <v>4452</v>
      </c>
      <c r="BQ112" s="135" vm="17668">
        <v>4452</v>
      </c>
      <c r="BR112" s="134">
        <f xml:space="preserve"> IFERROR( VfM_Metrics_2023_Entity[[#This Row],[SHL operating surplus / (deficit)]] / VfM_Metrics_2023_Entity[[#This Row],[Turnover from social housing lettings]], "n/a" )</f>
        <v>0.17258471521268925</v>
      </c>
      <c r="BS112" s="5" vm="17923">
        <f xml:space="preserve"> VfM_Metrics_2023_Entity[[#This Row],[Operating surplus/(deficit) (social housing lettings)]]</f>
        <v>3830</v>
      </c>
      <c r="BT112" s="84" vm="17923">
        <v>3830</v>
      </c>
      <c r="BU112" s="5" vm="18122">
        <f xml:space="preserve"> VfM_Metrics_2023_Entity[[#This Row],[Turnover from social housing lettings]]</f>
        <v>22192</v>
      </c>
      <c r="BV112" s="135" vm="18122">
        <v>22192</v>
      </c>
      <c r="BW112" s="134">
        <f xml:space="preserve"> IFERROR( VfM_Metrics_2023_Entity[[#This Row],[Net operating surplus]] / VfM_Metrics_2023_Entity[[#This Row],[Overall turnover]], "n/a" )</f>
        <v>0.21983789766844003</v>
      </c>
      <c r="BX112" s="5">
        <f xml:space="preserve"> SUM( VfM_Metrics_2023_Entity[[#This Row],[Operating surplus/(deficit) (overall)2]], - VfM_Metrics_2023_Entity[[#This Row],[Gain/(loss) on disposal of fixed assets (housing properties)2]], - VfM_Metrics_2023_Entity[[#This Row],[Gain/(loss) on disposal of fixed assets (other)2]] )</f>
        <v>6157</v>
      </c>
      <c r="BY112" s="84" vm="13515">
        <v>6958</v>
      </c>
      <c r="BZ112" s="84" vm="14005">
        <v>802</v>
      </c>
      <c r="CA112" s="84" vm="14252">
        <v>-1</v>
      </c>
      <c r="CB112" s="5" vm="18273">
        <f xml:space="preserve"> VfM_Metrics_2023_Entity[[#This Row],[Turnover (overall)]]</f>
        <v>28007</v>
      </c>
      <c r="CC112" s="135" vm="18273">
        <v>28007</v>
      </c>
      <c r="CD112" s="134">
        <f xml:space="preserve"> IFERROR( VfM_Metrics_2023_Entity[[#This Row],[Operating surplus including from JVs]] / VfM_Metrics_2023_Entity[[#This Row],[Net assets]], "n/a" )</f>
        <v>2.9668225833272929E-2</v>
      </c>
      <c r="CE112" s="5">
        <f xml:space="preserve"> SUM( VfM_Metrics_2023_Entity[[#This Row],[Operating surplus/(deficit) (overall)3]], VfM_Metrics_2023_Entity[[#This Row],[Share of operating surplus/(deficit) in joint ventures or associates]] )</f>
        <v>6958</v>
      </c>
      <c r="CF112" s="84" vm="13515">
        <v>6958</v>
      </c>
      <c r="CG112" s="84">
        <v>0</v>
      </c>
      <c r="CH112" s="5" vm="18659">
        <f xml:space="preserve"> VfM_Metrics_2023_Entity[[#This Row],[Total assets less current liabilities]]</f>
        <v>234527</v>
      </c>
      <c r="CI112" s="135" vm="18659">
        <v>234527</v>
      </c>
      <c r="CJ112" s="140" vm="11250">
        <f xml:space="preserve"> VfM_Metrics_2023_Entity[[#This Row],[Total social housing units owned (Period end)]]</f>
        <v>4452</v>
      </c>
      <c r="CK112" s="141">
        <v>4.6741573033707864E-2</v>
      </c>
      <c r="CL112" s="69">
        <f xml:space="preserve"> -- ( VfM_Metrics_2023_Entity[[#This Row],[% Supported housing (excl. HOP)]] &gt; 0.3 )</f>
        <v>0</v>
      </c>
      <c r="CM112" s="9">
        <v>5.7078651685393257E-2</v>
      </c>
      <c r="CN112" s="69">
        <f xml:space="preserve"> -- ( VfM_Metrics_2023_Entity[[#This Row],[% Housing for older people]] &gt; 0.3 )</f>
        <v>0</v>
      </c>
      <c r="CO112" s="9">
        <f xml:space="preserve"> VfM_Metrics_2023_Entity[[#This Row],[% Supported housing (excl. HOP)]] + VfM_Metrics_2023_Entity[[#This Row],[% Housing for older people]]</f>
        <v>0.10382022471910113</v>
      </c>
      <c r="CP112" s="69">
        <f xml:space="preserve"> -- ( VfM_Metrics_2023_Entity[[#This Row],[SH specialist in RSH analysis]] + VfM_Metrics_2023_Entity[[#This Row],[OP specialist in RSH analysis]] &gt; 0 )</f>
        <v>0</v>
      </c>
      <c r="CQ112" s="142">
        <f xml:space="preserve"> -- ( VfM_Metrics_2023_Entity[[#This Row],[% SH and OP]] &gt; 0.3 )</f>
        <v>0</v>
      </c>
      <c r="CR112" s="143" t="s">
        <v>143</v>
      </c>
      <c r="CS112" s="120"/>
      <c r="CT112" s="144" t="s">
        <v>144</v>
      </c>
      <c r="CU11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112" s="146">
        <v>0</v>
      </c>
      <c r="CW112" s="146">
        <v>0</v>
      </c>
      <c r="CX112" s="146">
        <v>0</v>
      </c>
      <c r="CY112" s="146">
        <v>2.2386389075442132E-4</v>
      </c>
      <c r="CZ112" s="146">
        <v>0</v>
      </c>
      <c r="DA112" s="146">
        <v>0</v>
      </c>
      <c r="DB112" s="146">
        <v>0</v>
      </c>
      <c r="DC112" s="146">
        <v>0</v>
      </c>
      <c r="DD112" s="146">
        <v>0.99977613610924554</v>
      </c>
      <c r="DE112" s="126">
        <v>0.94459070917525034</v>
      </c>
    </row>
    <row r="113" spans="1:109" x14ac:dyDescent="0.25">
      <c r="A113" s="4" t="s" vm="299">
        <v>322</v>
      </c>
      <c r="B113" s="4" t="s" vm="10303">
        <v>323</v>
      </c>
      <c r="C113" s="121" vm="18777">
        <v>45016</v>
      </c>
      <c r="D113" s="68">
        <f>IFERROR( VfM_Metrics_2023_Entity[[#This Row],[Reinvestment Spend]] / VfM_Metrics_2023_Entity[[#This Row],[Net Book Value of Housing Properties]], "n/a" )</f>
        <v>5.8281095246590427E-2</v>
      </c>
      <c r="E11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18948</v>
      </c>
      <c r="F113" s="84" vm="9437">
        <v>0</v>
      </c>
      <c r="G113" s="84" vm="10396">
        <v>5028</v>
      </c>
      <c r="H113" s="84" vm="10388">
        <v>13920</v>
      </c>
      <c r="I113" s="84" vm="9500">
        <v>0</v>
      </c>
      <c r="J113" s="84" vm="10523">
        <v>0</v>
      </c>
      <c r="K113" s="5">
        <f xml:space="preserve"> SUM( VfM_Metrics_2023_Entity[[#This Row],[Tangible fixed assets: Housing properties at cost (Current period)]],VfM_Metrics_2023_Entity[[#This Row],[Tangible fixed assets Housing properties at valuation (Current period)]] )</f>
        <v>325114</v>
      </c>
      <c r="L113" s="84" vm="10028">
        <v>325114</v>
      </c>
      <c r="M113" s="84" vm="10135">
        <v>0</v>
      </c>
      <c r="N113" s="134">
        <f xml:space="preserve"> IFERROR( VfM_Metrics_2023_Entity[[#This Row],[Total social units developed or newly built units acquired in-year]] / VfM_Metrics_2023_Entity[[#This Row],[Social housing units owned (period end)]], "n/a" )</f>
        <v>6.2836624775583485E-3</v>
      </c>
      <c r="O113" s="5">
        <f xml:space="preserve"> SUM( VfM_Metrics_2023_Entity[[#This Row],[Total social units developed or newly built units acquired in-year (owned)]], VfM_Metrics_2023_Entity[[#This Row],[Total social leasehold units developed or newly built units acquired in-year (owned)]] )</f>
        <v>77</v>
      </c>
      <c r="P113" s="84" vm="11050">
        <v>77</v>
      </c>
      <c r="Q113" s="84" vm="11175">
        <v>0</v>
      </c>
      <c r="R113" s="5">
        <f xml:space="preserve"> SUM( VfM_Metrics_2023_Entity[[#This Row],[Total social housing units owned (Period end)]], VfM_Metrics_2023_Entity[[#This Row],[Total social leasehold units owned (Period end)]] )</f>
        <v>12254</v>
      </c>
      <c r="S113" s="84" vm="11330">
        <v>12254</v>
      </c>
      <c r="T113" s="135" vm="11468">
        <v>0</v>
      </c>
      <c r="U113" s="136">
        <f xml:space="preserve"> IFERROR( VfM_Metrics_2023_Entity[[#This Row],[Total non-social housing units developed or newly built units acquired (owned)]] / VfM_Metrics_2023_Entity[[#This Row],[Total social and non-social housing units owned (Period end)]], "n/a" )</f>
        <v>0</v>
      </c>
      <c r="V11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3" s="84" vm="11654">
        <v>0</v>
      </c>
      <c r="X113" s="84" vm="11703">
        <v>0</v>
      </c>
      <c r="Y113" s="84" vm="11745">
        <v>0</v>
      </c>
      <c r="Z11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12648</v>
      </c>
      <c r="AA113" s="84" vm="11330">
        <v>12254</v>
      </c>
      <c r="AB113" s="84" vm="11468">
        <v>0</v>
      </c>
      <c r="AC113" s="84" vm="12366">
        <v>28</v>
      </c>
      <c r="AD113" s="135" vm="12507">
        <v>366</v>
      </c>
      <c r="AE113" s="134">
        <f xml:space="preserve"> IFERROR( VfM_Metrics_2023_Entity[[#This Row],[Total Net Debt]] / VfM_Metrics_2023_Entity[[#This Row],[Net Book Value of Housing Properties2]], "n/a" )</f>
        <v>0.55492534926210502</v>
      </c>
      <c r="AF11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180414</v>
      </c>
      <c r="AG113" s="84" vm="12667">
        <v>0</v>
      </c>
      <c r="AH113" s="84" vm="12762">
        <v>194682</v>
      </c>
      <c r="AI113" s="84" vm="12985">
        <v>14268</v>
      </c>
      <c r="AJ113" s="84" vm="13035">
        <v>0</v>
      </c>
      <c r="AK113" s="84" vm="13122">
        <v>0</v>
      </c>
      <c r="AL113" s="5">
        <f xml:space="preserve"> SUM( VfM_Metrics_2023_Entity[[#This Row],[Tangible fixed assets: Housing properties at cost (Current period)2]], VfM_Metrics_2023_Entity[[#This Row],[Tangible fixed assets Housing properties at valuation (Current period)2]] )</f>
        <v>325114</v>
      </c>
      <c r="AM113" s="84" vm="13384">
        <v>325114</v>
      </c>
      <c r="AN113" s="135" vm="10135">
        <v>0</v>
      </c>
      <c r="AO113" s="137">
        <f xml:space="preserve"> IFERROR( VfM_Metrics_2023_Entity[[#This Row],[EBITDA MRI]] / VfM_Metrics_2023_Entity[[#This Row],[Total interest]], "n/a" )</f>
        <v>1.1546548623599391</v>
      </c>
      <c r="AP11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8347</v>
      </c>
      <c r="AQ113" s="84" vm="13577">
        <v>13811</v>
      </c>
      <c r="AR113" s="84" vm="14497">
        <v>1566</v>
      </c>
      <c r="AS113" s="84" vm="14744">
        <v>0</v>
      </c>
      <c r="AT113" s="84" vm="14988">
        <v>772</v>
      </c>
      <c r="AU113" s="84" vm="13753">
        <v>0</v>
      </c>
      <c r="AV113" s="84" vm="14007">
        <v>160</v>
      </c>
      <c r="AW113" s="84" vm="14253">
        <v>13920</v>
      </c>
      <c r="AX113" s="84" vm="14498">
        <v>10634</v>
      </c>
      <c r="AY113" s="5">
        <f xml:space="preserve"> - SUM( VfM_Metrics_2023_Entity[[#This Row],[Interest capitalised]], VfM_Metrics_2023_Entity[[#This Row],[Interest payable and financing costs]] )</f>
        <v>7229</v>
      </c>
      <c r="AZ113" s="84" vm="15249">
        <v>0</v>
      </c>
      <c r="BA113" s="135" vm="15423">
        <v>-7229</v>
      </c>
      <c r="BB113" s="138">
        <f xml:space="preserve"> IFERROR( ( VfM_Metrics_2023_Entity[[#This Row],[Total Costs]] / VfM_Metrics_2023_Entity[[#This Row],[Total units for costs]] ) * 1000, "n/a" )</f>
        <v>3861.351395462706</v>
      </c>
      <c r="BC11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47317</v>
      </c>
      <c r="BD113" s="84" vm="16105">
        <v>17693</v>
      </c>
      <c r="BE113" s="84" vm="16802">
        <v>3032</v>
      </c>
      <c r="BF113" s="84" vm="17042">
        <v>12157</v>
      </c>
      <c r="BG113" s="84" vm="17255">
        <v>515</v>
      </c>
      <c r="BH113" s="84" vm="16721">
        <v>0</v>
      </c>
      <c r="BI113" s="84" vm="16170">
        <v>0</v>
      </c>
      <c r="BJ113" s="84" vm="16436">
        <v>13920</v>
      </c>
      <c r="BK113" s="84" vm="16437">
        <v>0</v>
      </c>
      <c r="BL113" s="84" vm="16803">
        <v>0</v>
      </c>
      <c r="BM113" s="84" vm="15972">
        <v>0</v>
      </c>
      <c r="BN113" s="84" vm="17256">
        <v>0</v>
      </c>
      <c r="BO113" s="84" vm="16106">
        <v>0</v>
      </c>
      <c r="BP113" s="5" vm="17703">
        <f xml:space="preserve"> VfM_Metrics_2023_Entity[[#This Row],[Total social housing units owned and/or managed at period end]]</f>
        <v>12254</v>
      </c>
      <c r="BQ113" s="135" vm="17703">
        <v>12254</v>
      </c>
      <c r="BR113" s="134">
        <f xml:space="preserve"> IFERROR( VfM_Metrics_2023_Entity[[#This Row],[SHL operating surplus / (deficit)]] / VfM_Metrics_2023_Entity[[#This Row],[Turnover from social housing lettings]], "n/a" )</f>
        <v>0.19813283638797924</v>
      </c>
      <c r="BS113" s="5" vm="17997">
        <f xml:space="preserve"> VfM_Metrics_2023_Entity[[#This Row],[Operating surplus/(deficit) (social housing lettings)]]</f>
        <v>10951</v>
      </c>
      <c r="BT113" s="84" vm="17997">
        <v>10951</v>
      </c>
      <c r="BU113" s="5" vm="18172">
        <f xml:space="preserve"> VfM_Metrics_2023_Entity[[#This Row],[Turnover from social housing lettings]]</f>
        <v>55271</v>
      </c>
      <c r="BV113" s="135" vm="18172">
        <v>55271</v>
      </c>
      <c r="BW113" s="134">
        <f xml:space="preserve"> IFERROR( VfM_Metrics_2023_Entity[[#This Row],[Net operating surplus]] / VfM_Metrics_2023_Entity[[#This Row],[Overall turnover]], "n/a" )</f>
        <v>0.21236190839562269</v>
      </c>
      <c r="BX113" s="5">
        <f xml:space="preserve"> SUM( VfM_Metrics_2023_Entity[[#This Row],[Operating surplus/(deficit) (overall)2]], - VfM_Metrics_2023_Entity[[#This Row],[Gain/(loss) on disposal of fixed assets (housing properties)2]], - VfM_Metrics_2023_Entity[[#This Row],[Gain/(loss) on disposal of fixed assets (other)2]] )</f>
        <v>12245</v>
      </c>
      <c r="BY113" s="84" vm="13577">
        <v>13811</v>
      </c>
      <c r="BZ113" s="84" vm="14497">
        <v>1566</v>
      </c>
      <c r="CA113" s="84" vm="14744">
        <v>0</v>
      </c>
      <c r="CB113" s="5" vm="18343">
        <f xml:space="preserve"> VfM_Metrics_2023_Entity[[#This Row],[Turnover (overall)]]</f>
        <v>57661</v>
      </c>
      <c r="CC113" s="135" vm="18343">
        <v>57661</v>
      </c>
      <c r="CD113" s="134">
        <f xml:space="preserve"> IFERROR( VfM_Metrics_2023_Entity[[#This Row],[Operating surplus including from JVs]] / VfM_Metrics_2023_Entity[[#This Row],[Net assets]], "n/a" )</f>
        <v>4.0903423377531105E-2</v>
      </c>
      <c r="CE113" s="5">
        <f xml:space="preserve"> SUM( VfM_Metrics_2023_Entity[[#This Row],[Operating surplus/(deficit) (overall)3]], VfM_Metrics_2023_Entity[[#This Row],[Share of operating surplus/(deficit) in joint ventures or associates]] )</f>
        <v>13811</v>
      </c>
      <c r="CF113" s="84" vm="13577">
        <v>13811</v>
      </c>
      <c r="CG113" s="84" vm="18517">
        <v>0</v>
      </c>
      <c r="CH113" s="5" vm="18721">
        <f xml:space="preserve"> VfM_Metrics_2023_Entity[[#This Row],[Total assets less current liabilities]]</f>
        <v>337649</v>
      </c>
      <c r="CI113" s="135" vm="18721">
        <v>337649</v>
      </c>
      <c r="CJ113" s="140" vm="11330">
        <f xml:space="preserve"> VfM_Metrics_2023_Entity[[#This Row],[Total social housing units owned (Period end)]]</f>
        <v>12254</v>
      </c>
      <c r="CK113" s="141">
        <v>1.6425755584756898E-3</v>
      </c>
      <c r="CL113" s="69">
        <f xml:space="preserve"> -- ( VfM_Metrics_2023_Entity[[#This Row],[% Supported housing (excl. HOP)]] &gt; 0.3 )</f>
        <v>0</v>
      </c>
      <c r="CM113" s="9">
        <v>0.139865308804205</v>
      </c>
      <c r="CN113" s="69">
        <f xml:space="preserve"> -- ( VfM_Metrics_2023_Entity[[#This Row],[% Housing for older people]] &gt; 0.3 )</f>
        <v>0</v>
      </c>
      <c r="CO113" s="9">
        <f xml:space="preserve"> VfM_Metrics_2023_Entity[[#This Row],[% Supported housing (excl. HOP)]] + VfM_Metrics_2023_Entity[[#This Row],[% Housing for older people]]</f>
        <v>0.14150788436268069</v>
      </c>
      <c r="CP113" s="69">
        <f xml:space="preserve"> -- ( VfM_Metrics_2023_Entity[[#This Row],[SH specialist in RSH analysis]] + VfM_Metrics_2023_Entity[[#This Row],[OP specialist in RSH analysis]] &gt; 0 )</f>
        <v>0</v>
      </c>
      <c r="CQ113" s="142">
        <f xml:space="preserve"> -- ( VfM_Metrics_2023_Entity[[#This Row],[% SH and OP]] &gt; 0.3 )</f>
        <v>0</v>
      </c>
      <c r="CR113" s="143" t="s">
        <v>143</v>
      </c>
      <c r="CS113" s="120"/>
      <c r="CT113" s="144" t="s">
        <v>151</v>
      </c>
      <c r="CU11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113" s="146">
        <v>0</v>
      </c>
      <c r="CW113" s="146">
        <v>0</v>
      </c>
      <c r="CX113" s="146">
        <v>0</v>
      </c>
      <c r="CY113" s="146">
        <v>0.41254315304948214</v>
      </c>
      <c r="CZ113" s="146">
        <v>0</v>
      </c>
      <c r="DA113" s="146">
        <v>0</v>
      </c>
      <c r="DB113" s="146">
        <v>0</v>
      </c>
      <c r="DC113" s="146">
        <v>0</v>
      </c>
      <c r="DD113" s="146">
        <v>0.58745684695051781</v>
      </c>
      <c r="DE113" s="126">
        <v>0.94366013752208233</v>
      </c>
    </row>
    <row r="114" spans="1:109" x14ac:dyDescent="0.25">
      <c r="A114" s="4" t="s" vm="256">
        <v>324</v>
      </c>
      <c r="B114" s="4" t="s" vm="9349">
        <v>325</v>
      </c>
      <c r="C114" s="121" vm="18760">
        <v>45016</v>
      </c>
      <c r="D114" s="68">
        <f>IFERROR( VfM_Metrics_2023_Entity[[#This Row],[Reinvestment Spend]] / VfM_Metrics_2023_Entity[[#This Row],[Net Book Value of Housing Properties]], "n/a" )</f>
        <v>5.8039497619903492E-2</v>
      </c>
      <c r="E11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133205</v>
      </c>
      <c r="F114" s="84" vm="9443">
        <v>36106</v>
      </c>
      <c r="G114" s="84" vm="10690">
        <v>69611</v>
      </c>
      <c r="H114" s="84" vm="9813">
        <v>24241</v>
      </c>
      <c r="I114" s="84" vm="10621">
        <v>3247</v>
      </c>
      <c r="J114" s="84" vm="10608">
        <v>0</v>
      </c>
      <c r="K114" s="5">
        <f xml:space="preserve"> SUM( VfM_Metrics_2023_Entity[[#This Row],[Tangible fixed assets: Housing properties at cost (Current period)]],VfM_Metrics_2023_Entity[[#This Row],[Tangible fixed assets Housing properties at valuation (Current period)]] )</f>
        <v>2295075</v>
      </c>
      <c r="L114" s="84" vm="9977">
        <v>2295075</v>
      </c>
      <c r="M114" s="84" vm="10875">
        <v>0</v>
      </c>
      <c r="N114" s="134">
        <f xml:space="preserve"> IFERROR( VfM_Metrics_2023_Entity[[#This Row],[Total social units developed or newly built units acquired in-year]] / VfM_Metrics_2023_Entity[[#This Row],[Social housing units owned (period end)]], "n/a" )</f>
        <v>2.5166053613485406E-2</v>
      </c>
      <c r="O114" s="5">
        <f xml:space="preserve"> SUM( VfM_Metrics_2023_Entity[[#This Row],[Total social units developed or newly built units acquired in-year (owned)]], VfM_Metrics_2023_Entity[[#This Row],[Total social leasehold units developed or newly built units acquired in-year (owned)]] )</f>
        <v>951</v>
      </c>
      <c r="P114" s="84" vm="11069">
        <v>951</v>
      </c>
      <c r="Q114" s="84" vm="11192">
        <v>0</v>
      </c>
      <c r="R114" s="5">
        <f xml:space="preserve"> SUM( VfM_Metrics_2023_Entity[[#This Row],[Total social housing units owned (Period end)]], VfM_Metrics_2023_Entity[[#This Row],[Total social leasehold units owned (Period end)]] )</f>
        <v>37789</v>
      </c>
      <c r="S114" s="84" vm="11376">
        <v>36983</v>
      </c>
      <c r="T114" s="135" vm="11488">
        <v>806</v>
      </c>
      <c r="U114" s="136">
        <f xml:space="preserve"> IFERROR( VfM_Metrics_2023_Entity[[#This Row],[Total non-social housing units developed or newly built units acquired (owned)]] / VfM_Metrics_2023_Entity[[#This Row],[Total social and non-social housing units owned (Period end)]], "n/a" )</f>
        <v>0</v>
      </c>
      <c r="V11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4" s="84" vm="11670">
        <v>0</v>
      </c>
      <c r="X114" s="84" vm="11798">
        <v>0</v>
      </c>
      <c r="Y114" s="84" vm="11841">
        <v>0</v>
      </c>
      <c r="Z11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37931</v>
      </c>
      <c r="AA114" s="84" vm="12049">
        <v>36983</v>
      </c>
      <c r="AB114" s="84" vm="11425">
        <v>806</v>
      </c>
      <c r="AC114" s="84" vm="12111">
        <v>80</v>
      </c>
      <c r="AD114" s="135" vm="12269">
        <v>62</v>
      </c>
      <c r="AE114" s="134">
        <f xml:space="preserve"> IFERROR( VfM_Metrics_2023_Entity[[#This Row],[Total Net Debt]] / VfM_Metrics_2023_Entity[[#This Row],[Net Book Value of Housing Properties2]], "n/a" )</f>
        <v>0.40854481879677135</v>
      </c>
      <c r="AF11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937641</v>
      </c>
      <c r="AG114" s="84" vm="12691">
        <v>9622</v>
      </c>
      <c r="AH114" s="84" vm="13210">
        <v>951173</v>
      </c>
      <c r="AI114" s="84" vm="13124">
        <v>23154</v>
      </c>
      <c r="AJ114" s="84" vm="12763">
        <v>0</v>
      </c>
      <c r="AK114" s="84" vm="12942">
        <v>0</v>
      </c>
      <c r="AL114" s="5">
        <f xml:space="preserve"> SUM( VfM_Metrics_2023_Entity[[#This Row],[Tangible fixed assets: Housing properties at cost (Current period)2]], VfM_Metrics_2023_Entity[[#This Row],[Tangible fixed assets Housing properties at valuation (Current period)2]] )</f>
        <v>2295075</v>
      </c>
      <c r="AM114" s="84" vm="9977">
        <v>2295075</v>
      </c>
      <c r="AN114" s="135" vm="13416">
        <v>0</v>
      </c>
      <c r="AO114" s="137">
        <f xml:space="preserve"> IFERROR( VfM_Metrics_2023_Entity[[#This Row],[EBITDA MRI]] / VfM_Metrics_2023_Entity[[#This Row],[Total interest]], "n/a" )</f>
        <v>2.0377721457143729</v>
      </c>
      <c r="AP11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66735</v>
      </c>
      <c r="AQ114" s="84" vm="13608">
        <v>74810</v>
      </c>
      <c r="AR114" s="84" vm="14745">
        <v>15670</v>
      </c>
      <c r="AS114" s="84" vm="14989">
        <v>54</v>
      </c>
      <c r="AT114" s="84" vm="13754">
        <v>8082</v>
      </c>
      <c r="AU114" s="84" vm="14008">
        <v>0</v>
      </c>
      <c r="AV114" s="84" vm="14254">
        <v>3501</v>
      </c>
      <c r="AW114" s="84" vm="14499">
        <v>24241</v>
      </c>
      <c r="AX114" s="84" vm="14746">
        <v>36471</v>
      </c>
      <c r="AY114" s="5">
        <f xml:space="preserve"> - SUM( VfM_Metrics_2023_Entity[[#This Row],[Interest capitalised]], VfM_Metrics_2023_Entity[[#This Row],[Interest payable and financing costs]] )</f>
        <v>32749</v>
      </c>
      <c r="AZ114" s="84" vm="15279">
        <v>-3247</v>
      </c>
      <c r="BA114" s="135" vm="15460">
        <v>-29502</v>
      </c>
      <c r="BB114" s="138">
        <f xml:space="preserve"> IFERROR( ( VfM_Metrics_2023_Entity[[#This Row],[Total Costs]] / VfM_Metrics_2023_Entity[[#This Row],[Total units for costs]] ) * 1000, "n/a" )</f>
        <v>4185.0309601708896</v>
      </c>
      <c r="BC11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154775</v>
      </c>
      <c r="BD114" s="84" vm="15908">
        <v>41300</v>
      </c>
      <c r="BE114" s="84" vm="17568">
        <v>16929</v>
      </c>
      <c r="BF114" s="84" vm="16323">
        <v>29537</v>
      </c>
      <c r="BG114" s="84" vm="16632">
        <v>12210</v>
      </c>
      <c r="BH114" s="84" vm="16804">
        <v>23194</v>
      </c>
      <c r="BI114" s="84" vm="16876">
        <v>0</v>
      </c>
      <c r="BJ114" s="84" vm="14499">
        <v>24241</v>
      </c>
      <c r="BK114" s="84" vm="15910">
        <v>0</v>
      </c>
      <c r="BL114" s="84" vm="16324">
        <v>2827</v>
      </c>
      <c r="BM114" s="84" vm="16439">
        <v>0</v>
      </c>
      <c r="BN114" s="84" vm="15974">
        <v>7</v>
      </c>
      <c r="BO114" s="84" vm="17498">
        <v>4530</v>
      </c>
      <c r="BP114" s="5" vm="17738">
        <f xml:space="preserve"> VfM_Metrics_2023_Entity[[#This Row],[Total social housing units owned and/or managed at period end]]</f>
        <v>36983</v>
      </c>
      <c r="BQ114" s="135" vm="17738">
        <v>36983</v>
      </c>
      <c r="BR114" s="134">
        <f xml:space="preserve"> IFERROR( VfM_Metrics_2023_Entity[[#This Row],[SHL operating surplus / (deficit)]] / VfM_Metrics_2023_Entity[[#This Row],[Turnover from social housing lettings]], "n/a" )</f>
        <v>0.2316127980556914</v>
      </c>
      <c r="BS114" s="5" vm="18021">
        <f xml:space="preserve"> VfM_Metrics_2023_Entity[[#This Row],[Operating surplus/(deficit) (social housing lettings)]]</f>
        <v>46887</v>
      </c>
      <c r="BT114" s="84" vm="18021">
        <v>46887</v>
      </c>
      <c r="BU114" s="5" vm="18198">
        <f xml:space="preserve"> VfM_Metrics_2023_Entity[[#This Row],[Turnover from social housing lettings]]</f>
        <v>202437</v>
      </c>
      <c r="BV114" s="135" vm="18198">
        <v>202437</v>
      </c>
      <c r="BW114" s="134">
        <f xml:space="preserve"> IFERROR( VfM_Metrics_2023_Entity[[#This Row],[Net operating surplus]] / VfM_Metrics_2023_Entity[[#This Row],[Overall turnover]], "n/a" )</f>
        <v>0.23673508636267113</v>
      </c>
      <c r="BX114" s="5">
        <f xml:space="preserve"> SUM( VfM_Metrics_2023_Entity[[#This Row],[Operating surplus/(deficit) (overall)2]], - VfM_Metrics_2023_Entity[[#This Row],[Gain/(loss) on disposal of fixed assets (housing properties)2]], - VfM_Metrics_2023_Entity[[#This Row],[Gain/(loss) on disposal of fixed assets (other)2]] )</f>
        <v>59086</v>
      </c>
      <c r="BY114" s="84" vm="13608">
        <v>74810</v>
      </c>
      <c r="BZ114" s="84" vm="14745">
        <v>15670</v>
      </c>
      <c r="CA114" s="84" vm="14989">
        <v>54</v>
      </c>
      <c r="CB114" s="5" vm="18373">
        <f xml:space="preserve"> VfM_Metrics_2023_Entity[[#This Row],[Turnover (overall)]]</f>
        <v>249587</v>
      </c>
      <c r="CC114" s="135" vm="18373">
        <v>249587</v>
      </c>
      <c r="CD114" s="134">
        <f xml:space="preserve"> IFERROR( VfM_Metrics_2023_Entity[[#This Row],[Operating surplus including from JVs]] / VfM_Metrics_2023_Entity[[#This Row],[Net assets]], "n/a" )</f>
        <v>3.091194578736416E-2</v>
      </c>
      <c r="CE114" s="5">
        <f xml:space="preserve"> SUM( VfM_Metrics_2023_Entity[[#This Row],[Operating surplus/(deficit) (overall)3]], VfM_Metrics_2023_Entity[[#This Row],[Share of operating surplus/(deficit) in joint ventures or associates]] )</f>
        <v>74810</v>
      </c>
      <c r="CF114" s="84" vm="13622">
        <v>74810</v>
      </c>
      <c r="CG114" s="84" vm="18538">
        <v>0</v>
      </c>
      <c r="CH114" s="5" vm="18743">
        <f xml:space="preserve"> VfM_Metrics_2023_Entity[[#This Row],[Total assets less current liabilities]]</f>
        <v>2420100</v>
      </c>
      <c r="CI114" s="135" vm="18743">
        <v>2420100</v>
      </c>
      <c r="CJ114" s="140" vm="11376">
        <f xml:space="preserve"> VfM_Metrics_2023_Entity[[#This Row],[Total social housing units owned (Period end)]]</f>
        <v>36983</v>
      </c>
      <c r="CK114" s="141">
        <v>3.6951438359889066E-2</v>
      </c>
      <c r="CL114" s="69">
        <f xml:space="preserve"> -- ( VfM_Metrics_2023_Entity[[#This Row],[% Supported housing (excl. HOP)]] &gt; 0.3 )</f>
        <v>0</v>
      </c>
      <c r="CM114" s="9">
        <v>4.9921148512697806E-2</v>
      </c>
      <c r="CN114" s="69">
        <f xml:space="preserve"> -- ( VfM_Metrics_2023_Entity[[#This Row],[% Housing for older people]] &gt; 0.3 )</f>
        <v>0</v>
      </c>
      <c r="CO114" s="9">
        <f xml:space="preserve"> VfM_Metrics_2023_Entity[[#This Row],[% Supported housing (excl. HOP)]] + VfM_Metrics_2023_Entity[[#This Row],[% Housing for older people]]</f>
        <v>8.6872586872586866E-2</v>
      </c>
      <c r="CP114" s="69">
        <f xml:space="preserve"> -- ( VfM_Metrics_2023_Entity[[#This Row],[SH specialist in RSH analysis]] + VfM_Metrics_2023_Entity[[#This Row],[OP specialist in RSH analysis]] &gt; 0 )</f>
        <v>0</v>
      </c>
      <c r="CQ114" s="142">
        <f xml:space="preserve"> -- ( VfM_Metrics_2023_Entity[[#This Row],[% SH and OP]] &gt; 0.3 )</f>
        <v>0</v>
      </c>
      <c r="CR114" s="143" t="s">
        <v>143</v>
      </c>
      <c r="CS114" s="120"/>
      <c r="CT114" s="144" t="s">
        <v>151</v>
      </c>
      <c r="CU11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14" s="146">
        <v>0</v>
      </c>
      <c r="CW114" s="146">
        <v>5.4177050601365261E-5</v>
      </c>
      <c r="CX114" s="146">
        <v>0.99986455737349655</v>
      </c>
      <c r="CY114" s="146">
        <v>8.1265575902047895E-5</v>
      </c>
      <c r="CZ114" s="146">
        <v>0</v>
      </c>
      <c r="DA114" s="146">
        <v>0</v>
      </c>
      <c r="DB114" s="146">
        <v>0</v>
      </c>
      <c r="DC114" s="146">
        <v>0</v>
      </c>
      <c r="DD114" s="146">
        <v>0</v>
      </c>
      <c r="DE114" s="126">
        <v>0.97511953730526235</v>
      </c>
    </row>
    <row r="115" spans="1:109" x14ac:dyDescent="0.25">
      <c r="A115" s="4" t="s" vm="381">
        <v>326</v>
      </c>
      <c r="B115" s="4" t="s" vm="9368">
        <v>327</v>
      </c>
      <c r="C115" s="121" vm="18931">
        <v>45016</v>
      </c>
      <c r="D115" s="68">
        <f>IFERROR( VfM_Metrics_2023_Entity[[#This Row],[Reinvestment Spend]] / VfM_Metrics_2023_Entity[[#This Row],[Net Book Value of Housing Properties]], "n/a" )</f>
        <v>0.1452192385632752</v>
      </c>
      <c r="E11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29668</v>
      </c>
      <c r="F115" s="84" vm="10273">
        <v>7193</v>
      </c>
      <c r="G115" s="84" vm="9615">
        <v>9827</v>
      </c>
      <c r="H115" s="84" vm="9676">
        <v>12648</v>
      </c>
      <c r="I115" s="84" vm="10760">
        <v>0</v>
      </c>
      <c r="J115" s="84" vm="9781">
        <v>0</v>
      </c>
      <c r="K115" s="5">
        <f xml:space="preserve"> SUM( VfM_Metrics_2023_Entity[[#This Row],[Tangible fixed assets: Housing properties at cost (Current period)]],VfM_Metrics_2023_Entity[[#This Row],[Tangible fixed assets Housing properties at valuation (Current period)]] )</f>
        <v>204298</v>
      </c>
      <c r="L115" s="84" vm="9991">
        <v>204298</v>
      </c>
      <c r="M115" s="84">
        <v>0</v>
      </c>
      <c r="N115" s="134">
        <f xml:space="preserve"> IFERROR( VfM_Metrics_2023_Entity[[#This Row],[Total social units developed or newly built units acquired in-year]] / VfM_Metrics_2023_Entity[[#This Row],[Social housing units owned (period end)]], "n/a" )</f>
        <v>1.2706043956043956E-2</v>
      </c>
      <c r="O115" s="5">
        <f xml:space="preserve"> SUM( VfM_Metrics_2023_Entity[[#This Row],[Total social units developed or newly built units acquired in-year (owned)]], VfM_Metrics_2023_Entity[[#This Row],[Total social leasehold units developed or newly built units acquired in-year (owned)]] )</f>
        <v>111</v>
      </c>
      <c r="P115" s="84" vm="11090">
        <v>111</v>
      </c>
      <c r="Q115" s="84">
        <v>0</v>
      </c>
      <c r="R115" s="5">
        <f xml:space="preserve"> SUM( VfM_Metrics_2023_Entity[[#This Row],[Total social housing units owned (Period end)]], VfM_Metrics_2023_Entity[[#This Row],[Total social leasehold units owned (Period end)]] )</f>
        <v>8736</v>
      </c>
      <c r="S115" s="84" vm="11298">
        <v>8670</v>
      </c>
      <c r="T115" s="135" vm="11497">
        <v>66</v>
      </c>
      <c r="U115" s="136">
        <f xml:space="preserve"> IFERROR( VfM_Metrics_2023_Entity[[#This Row],[Total non-social housing units developed or newly built units acquired (owned)]] / VfM_Metrics_2023_Entity[[#This Row],[Total social and non-social housing units owned (Period end)]], "n/a" )</f>
        <v>0</v>
      </c>
      <c r="V11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5" s="84">
        <v>0</v>
      </c>
      <c r="X115" s="84">
        <v>0</v>
      </c>
      <c r="Y115" s="84">
        <v>0</v>
      </c>
      <c r="Z11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8736</v>
      </c>
      <c r="AA115" s="84" vm="11954">
        <v>8670</v>
      </c>
      <c r="AB115" s="84" vm="12444">
        <v>66</v>
      </c>
      <c r="AC115" s="84" vm="12367">
        <v>0</v>
      </c>
      <c r="AD115" s="135" vm="12508">
        <v>0</v>
      </c>
      <c r="AE115" s="134">
        <f xml:space="preserve"> IFERROR( VfM_Metrics_2023_Entity[[#This Row],[Total Net Debt]] / VfM_Metrics_2023_Entity[[#This Row],[Net Book Value of Housing Properties2]], "n/a" )</f>
        <v>0.53748445897659303</v>
      </c>
      <c r="AF11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109807</v>
      </c>
      <c r="AG115" s="84">
        <v>0</v>
      </c>
      <c r="AH115" s="84" vm="12986">
        <v>116485</v>
      </c>
      <c r="AI115" s="84" vm="13078">
        <v>6678</v>
      </c>
      <c r="AJ115" s="84">
        <v>0</v>
      </c>
      <c r="AK115" s="84">
        <v>0</v>
      </c>
      <c r="AL115" s="5">
        <f xml:space="preserve"> SUM( VfM_Metrics_2023_Entity[[#This Row],[Tangible fixed assets: Housing properties at cost (Current period)2]], VfM_Metrics_2023_Entity[[#This Row],[Tangible fixed assets Housing properties at valuation (Current period)2]] )</f>
        <v>204298</v>
      </c>
      <c r="AM115" s="84" vm="9991">
        <v>204298</v>
      </c>
      <c r="AN115" s="135">
        <v>0</v>
      </c>
      <c r="AO115" s="137">
        <f xml:space="preserve"> IFERROR( VfM_Metrics_2023_Entity[[#This Row],[EBITDA MRI]] / VfM_Metrics_2023_Entity[[#This Row],[Total interest]], "n/a" )</f>
        <v>0.6942040388145817</v>
      </c>
      <c r="AP11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2647</v>
      </c>
      <c r="AQ115" s="84" vm="13446">
        <v>9265</v>
      </c>
      <c r="AR115" s="84" vm="14990">
        <v>1283</v>
      </c>
      <c r="AS115" s="84" vm="13755">
        <v>5</v>
      </c>
      <c r="AT115" s="84" vm="14009">
        <v>546</v>
      </c>
      <c r="AU115" s="84" vm="14255">
        <v>0</v>
      </c>
      <c r="AV115" s="84" vm="14500">
        <v>57</v>
      </c>
      <c r="AW115" s="84" vm="14747">
        <v>12648</v>
      </c>
      <c r="AX115" s="84" vm="14991">
        <v>7807</v>
      </c>
      <c r="AY115" s="5">
        <f xml:space="preserve"> - SUM( VfM_Metrics_2023_Entity[[#This Row],[Interest capitalised]], VfM_Metrics_2023_Entity[[#This Row],[Interest payable and financing costs]] )</f>
        <v>3813</v>
      </c>
      <c r="AZ115" s="84" vm="15303">
        <v>0</v>
      </c>
      <c r="BA115" s="135" vm="15490">
        <v>-3813</v>
      </c>
      <c r="BB115" s="138">
        <f xml:space="preserve"> IFERROR( ( VfM_Metrics_2023_Entity[[#This Row],[Total Costs]] / VfM_Metrics_2023_Entity[[#This Row],[Total units for costs]] ) * 1000, "n/a" )</f>
        <v>4158.246828143022</v>
      </c>
      <c r="BC11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36052</v>
      </c>
      <c r="BD115" s="84" vm="16877">
        <v>10766</v>
      </c>
      <c r="BE115" s="84" vm="17043">
        <v>182</v>
      </c>
      <c r="BF115" s="84" vm="16440">
        <v>9746</v>
      </c>
      <c r="BG115" s="84" vm="17257">
        <v>801</v>
      </c>
      <c r="BH115" s="84" vm="16326">
        <v>947</v>
      </c>
      <c r="BI115" s="84" vm="17569">
        <v>0</v>
      </c>
      <c r="BJ115" s="84" vm="16438">
        <v>12648</v>
      </c>
      <c r="BK115" s="84" vm="16441">
        <v>796</v>
      </c>
      <c r="BL115" s="84">
        <v>0</v>
      </c>
      <c r="BM115" s="84">
        <v>0</v>
      </c>
      <c r="BN115" s="84" vm="16328">
        <v>166</v>
      </c>
      <c r="BO115" s="84">
        <v>0</v>
      </c>
      <c r="BP115" s="5" vm="17771">
        <f xml:space="preserve"> VfM_Metrics_2023_Entity[[#This Row],[Total social housing units owned and/or managed at period end]]</f>
        <v>8670</v>
      </c>
      <c r="BQ115" s="135" vm="17771">
        <v>8670</v>
      </c>
      <c r="BR115" s="134">
        <f xml:space="preserve"> IFERROR( VfM_Metrics_2023_Entity[[#This Row],[SHL operating surplus / (deficit)]] / VfM_Metrics_2023_Entity[[#This Row],[Turnover from social housing lettings]], "n/a" )</f>
        <v>0.18346103038309114</v>
      </c>
      <c r="BS115" s="5" vm="17849">
        <f xml:space="preserve"> VfM_Metrics_2023_Entity[[#This Row],[Operating surplus/(deficit) (social housing lettings)]]</f>
        <v>6944</v>
      </c>
      <c r="BT115" s="84" vm="17849">
        <v>6944</v>
      </c>
      <c r="BU115" s="5" vm="18059">
        <f xml:space="preserve"> VfM_Metrics_2023_Entity[[#This Row],[Turnover from social housing lettings]]</f>
        <v>37850</v>
      </c>
      <c r="BV115" s="135" vm="18059">
        <v>37850</v>
      </c>
      <c r="BW115" s="134">
        <f xml:space="preserve"> IFERROR( VfM_Metrics_2023_Entity[[#This Row],[Net operating surplus]] / VfM_Metrics_2023_Entity[[#This Row],[Overall turnover]], "n/a" )</f>
        <v>0.20290997888739093</v>
      </c>
      <c r="BX115" s="5">
        <f xml:space="preserve"> SUM( VfM_Metrics_2023_Entity[[#This Row],[Operating surplus/(deficit) (overall)2]], - VfM_Metrics_2023_Entity[[#This Row],[Gain/(loss) on disposal of fixed assets (housing properties)2]], - VfM_Metrics_2023_Entity[[#This Row],[Gain/(loss) on disposal of fixed assets (other)2]] )</f>
        <v>7977</v>
      </c>
      <c r="BY115" s="84" vm="13519">
        <v>9265</v>
      </c>
      <c r="BZ115" s="84" vm="14990">
        <v>1283</v>
      </c>
      <c r="CA115" s="84" vm="13755">
        <v>5</v>
      </c>
      <c r="CB115" s="5" vm="18367">
        <f xml:space="preserve"> VfM_Metrics_2023_Entity[[#This Row],[Turnover (overall)]]</f>
        <v>39313</v>
      </c>
      <c r="CC115" s="135" vm="18367">
        <v>39313</v>
      </c>
      <c r="CD115" s="134">
        <f xml:space="preserve"> IFERROR( VfM_Metrics_2023_Entity[[#This Row],[Operating surplus including from JVs]] / VfM_Metrics_2023_Entity[[#This Row],[Net assets]], "n/a" )</f>
        <v>4.2480123978688868E-2</v>
      </c>
      <c r="CE115" s="5">
        <f xml:space="preserve"> SUM( VfM_Metrics_2023_Entity[[#This Row],[Operating surplus/(deficit) (overall)3]], VfM_Metrics_2023_Entity[[#This Row],[Share of operating surplus/(deficit) in joint ventures or associates]] )</f>
        <v>9265</v>
      </c>
      <c r="CF115" s="84" vm="13446">
        <v>9265</v>
      </c>
      <c r="CG115" s="84">
        <v>0</v>
      </c>
      <c r="CH115" s="5" vm="18586">
        <f xml:space="preserve"> VfM_Metrics_2023_Entity[[#This Row],[Total assets less current liabilities]]</f>
        <v>218102</v>
      </c>
      <c r="CI115" s="135" vm="18586">
        <v>218102</v>
      </c>
      <c r="CJ115" s="140" vm="11298">
        <f xml:space="preserve"> VfM_Metrics_2023_Entity[[#This Row],[Total social housing units owned (Period end)]]</f>
        <v>8670</v>
      </c>
      <c r="CK115" s="141">
        <v>0</v>
      </c>
      <c r="CL115" s="69">
        <f xml:space="preserve"> -- ( VfM_Metrics_2023_Entity[[#This Row],[% Supported housing (excl. HOP)]] &gt; 0.3 )</f>
        <v>0</v>
      </c>
      <c r="CM115" s="9">
        <v>0</v>
      </c>
      <c r="CN115" s="69">
        <f xml:space="preserve"> -- ( VfM_Metrics_2023_Entity[[#This Row],[% Housing for older people]] &gt; 0.3 )</f>
        <v>0</v>
      </c>
      <c r="CO115" s="9">
        <f xml:space="preserve"> VfM_Metrics_2023_Entity[[#This Row],[% Supported housing (excl. HOP)]] + VfM_Metrics_2023_Entity[[#This Row],[% Housing for older people]]</f>
        <v>0</v>
      </c>
      <c r="CP115" s="69">
        <f xml:space="preserve"> -- ( VfM_Metrics_2023_Entity[[#This Row],[SH specialist in RSH analysis]] + VfM_Metrics_2023_Entity[[#This Row],[OP specialist in RSH analysis]] &gt; 0 )</f>
        <v>0</v>
      </c>
      <c r="CQ115" s="142">
        <f xml:space="preserve"> -- ( VfM_Metrics_2023_Entity[[#This Row],[% SH and OP]] &gt; 0.3 )</f>
        <v>0</v>
      </c>
      <c r="CR115" s="143" t="s">
        <v>143</v>
      </c>
      <c r="CS115" s="120"/>
      <c r="CT115" s="144" t="s">
        <v>151</v>
      </c>
      <c r="CU11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115" s="146">
        <v>0</v>
      </c>
      <c r="CW115" s="146">
        <v>0</v>
      </c>
      <c r="CX115" s="146">
        <v>0</v>
      </c>
      <c r="CY115" s="146">
        <v>0</v>
      </c>
      <c r="CZ115" s="146">
        <v>0</v>
      </c>
      <c r="DA115" s="146">
        <v>0</v>
      </c>
      <c r="DB115" s="146">
        <v>1</v>
      </c>
      <c r="DC115" s="146">
        <v>0</v>
      </c>
      <c r="DD115" s="146">
        <v>0</v>
      </c>
      <c r="DE115" s="126">
        <v>0.90654753410084521</v>
      </c>
    </row>
    <row r="116" spans="1:109" x14ac:dyDescent="0.25">
      <c r="A116" s="4" t="s" vm="295">
        <v>328</v>
      </c>
      <c r="B116" s="4" t="s" vm="10424">
        <v>329</v>
      </c>
      <c r="C116" s="121" vm="18838">
        <v>45016</v>
      </c>
      <c r="D116" s="68">
        <f>IFERROR( VfM_Metrics_2023_Entity[[#This Row],[Reinvestment Spend]] / VfM_Metrics_2023_Entity[[#This Row],[Net Book Value of Housing Properties]], "n/a" )</f>
        <v>0.12266093621189805</v>
      </c>
      <c r="E11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35561</v>
      </c>
      <c r="F116" s="84" vm="9405">
        <v>23206</v>
      </c>
      <c r="G116" s="84" vm="10662">
        <v>0</v>
      </c>
      <c r="H116" s="84" vm="10552">
        <v>12355</v>
      </c>
      <c r="I116" s="84" vm="9789">
        <v>0</v>
      </c>
      <c r="J116" s="84" vm="9722">
        <v>0</v>
      </c>
      <c r="K116" s="5">
        <f xml:space="preserve"> SUM( VfM_Metrics_2023_Entity[[#This Row],[Tangible fixed assets: Housing properties at cost (Current period)]],VfM_Metrics_2023_Entity[[#This Row],[Tangible fixed assets Housing properties at valuation (Current period)]] )</f>
        <v>289913</v>
      </c>
      <c r="L116" s="84" vm="10590">
        <v>289913</v>
      </c>
      <c r="M116" s="84">
        <v>0</v>
      </c>
      <c r="N116" s="134">
        <f xml:space="preserve"> IFERROR( VfM_Metrics_2023_Entity[[#This Row],[Total social units developed or newly built units acquired in-year]] / VfM_Metrics_2023_Entity[[#This Row],[Social housing units owned (period end)]], "n/a" )</f>
        <v>9.7971148653860987E-3</v>
      </c>
      <c r="O116" s="5">
        <f xml:space="preserve"> SUM( VfM_Metrics_2023_Entity[[#This Row],[Total social units developed or newly built units acquired in-year (owned)]], VfM_Metrics_2023_Entity[[#This Row],[Total social leasehold units developed or newly built units acquired in-year (owned)]] )</f>
        <v>127</v>
      </c>
      <c r="P116" s="84" vm="11012">
        <v>127</v>
      </c>
      <c r="Q116" s="84">
        <v>0</v>
      </c>
      <c r="R116" s="5">
        <f xml:space="preserve"> SUM( VfM_Metrics_2023_Entity[[#This Row],[Total social housing units owned (Period end)]], VfM_Metrics_2023_Entity[[#This Row],[Total social leasehold units owned (Period end)]] )</f>
        <v>12963</v>
      </c>
      <c r="S116" s="84" vm="11345">
        <v>12963</v>
      </c>
      <c r="T116" s="135" vm="11425">
        <v>0</v>
      </c>
      <c r="U116" s="136">
        <f xml:space="preserve"> IFERROR( VfM_Metrics_2023_Entity[[#This Row],[Total non-social housing units developed or newly built units acquired (owned)]] / VfM_Metrics_2023_Entity[[#This Row],[Total social and non-social housing units owned (Period end)]], "n/a" )</f>
        <v>0</v>
      </c>
      <c r="V11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6" s="84">
        <v>0</v>
      </c>
      <c r="X116" s="84">
        <v>0</v>
      </c>
      <c r="Y116" s="84">
        <v>0</v>
      </c>
      <c r="Z11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12963</v>
      </c>
      <c r="AA116" s="84" vm="11345">
        <v>12963</v>
      </c>
      <c r="AB116" s="84" vm="11425">
        <v>0</v>
      </c>
      <c r="AC116" s="84" vm="12112">
        <v>0</v>
      </c>
      <c r="AD116" s="135" vm="12270">
        <v>0</v>
      </c>
      <c r="AE116" s="134">
        <f xml:space="preserve"> IFERROR( VfM_Metrics_2023_Entity[[#This Row],[Total Net Debt]] / VfM_Metrics_2023_Entity[[#This Row],[Net Book Value of Housing Properties2]], "n/a" )</f>
        <v>0.45460534712137779</v>
      </c>
      <c r="AF11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131796</v>
      </c>
      <c r="AG116" s="84">
        <v>0</v>
      </c>
      <c r="AH116" s="84" vm="12764">
        <v>165918</v>
      </c>
      <c r="AI116" s="84" vm="12904">
        <v>34122</v>
      </c>
      <c r="AJ116" s="84">
        <v>0</v>
      </c>
      <c r="AK116" s="84">
        <v>0</v>
      </c>
      <c r="AL116" s="5">
        <f xml:space="preserve"> SUM( VfM_Metrics_2023_Entity[[#This Row],[Tangible fixed assets: Housing properties at cost (Current period)2]], VfM_Metrics_2023_Entity[[#This Row],[Tangible fixed assets Housing properties at valuation (Current period)2]] )</f>
        <v>289913</v>
      </c>
      <c r="AM116" s="84" vm="13373">
        <v>289913</v>
      </c>
      <c r="AN116" s="135">
        <v>0</v>
      </c>
      <c r="AO116" s="137">
        <f xml:space="preserve"> IFERROR( VfM_Metrics_2023_Entity[[#This Row],[EBITDA MRI]] / VfM_Metrics_2023_Entity[[#This Row],[Total interest]], "n/a" )</f>
        <v>1.3206960845245495</v>
      </c>
      <c r="AP11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10625</v>
      </c>
      <c r="AQ116" s="84" vm="13483">
        <v>20752</v>
      </c>
      <c r="AR116" s="84" vm="13756">
        <v>5202</v>
      </c>
      <c r="AS116" s="84">
        <v>0</v>
      </c>
      <c r="AT116" s="84" vm="14256">
        <v>510</v>
      </c>
      <c r="AU116" s="84" vm="14501">
        <v>360</v>
      </c>
      <c r="AV116" s="84" vm="14748">
        <v>351</v>
      </c>
      <c r="AW116" s="84" vm="14992">
        <v>12355</v>
      </c>
      <c r="AX116" s="84" vm="13757">
        <v>7949</v>
      </c>
      <c r="AY116" s="5">
        <f xml:space="preserve"> - SUM( VfM_Metrics_2023_Entity[[#This Row],[Interest capitalised]], VfM_Metrics_2023_Entity[[#This Row],[Interest payable and financing costs]] )</f>
        <v>8045</v>
      </c>
      <c r="AZ116" s="84" vm="15303">
        <v>0</v>
      </c>
      <c r="BA116" s="135" vm="15328">
        <v>-8045</v>
      </c>
      <c r="BB116" s="138">
        <f xml:space="preserve"> IFERROR( ( VfM_Metrics_2023_Entity[[#This Row],[Total Costs]] / VfM_Metrics_2023_Entity[[#This Row],[Total units for costs]] ) * 1000, "n/a" )</f>
        <v>4084.7797577721208</v>
      </c>
      <c r="BC11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52951</v>
      </c>
      <c r="BD116" s="84" vm="15976">
        <v>17623</v>
      </c>
      <c r="BE116" s="84" vm="17499">
        <v>3415</v>
      </c>
      <c r="BF116" s="84" vm="16440">
        <v>15029</v>
      </c>
      <c r="BG116" s="84" vm="16443">
        <v>0</v>
      </c>
      <c r="BH116" s="84" vm="16721">
        <v>3499</v>
      </c>
      <c r="BI116" s="84" vm="16805">
        <v>0</v>
      </c>
      <c r="BJ116" s="84" vm="14992">
        <v>12355</v>
      </c>
      <c r="BK116" s="84" vm="15977">
        <v>138</v>
      </c>
      <c r="BL116" s="84">
        <v>0</v>
      </c>
      <c r="BM116" s="84" vm="16444">
        <v>655</v>
      </c>
      <c r="BN116" s="84" vm="16172">
        <v>68</v>
      </c>
      <c r="BO116" s="84" vm="17337">
        <v>169</v>
      </c>
      <c r="BP116" s="5" vm="17633">
        <f xml:space="preserve"> VfM_Metrics_2023_Entity[[#This Row],[Total social housing units owned and/or managed at period end]]</f>
        <v>12963</v>
      </c>
      <c r="BQ116" s="135" vm="17633">
        <v>12963</v>
      </c>
      <c r="BR116" s="134">
        <f xml:space="preserve"> IFERROR( VfM_Metrics_2023_Entity[[#This Row],[SHL operating surplus / (deficit)]] / VfM_Metrics_2023_Entity[[#This Row],[Turnover from social housing lettings]], "n/a" )</f>
        <v>0.24412862246923384</v>
      </c>
      <c r="BS116" s="5" vm="17887">
        <f xml:space="preserve"> VfM_Metrics_2023_Entity[[#This Row],[Operating surplus/(deficit) (social housing lettings)]]</f>
        <v>15374</v>
      </c>
      <c r="BT116" s="84" vm="17887">
        <v>15374</v>
      </c>
      <c r="BU116" s="5" vm="18086">
        <f xml:space="preserve"> VfM_Metrics_2023_Entity[[#This Row],[Turnover from social housing lettings]]</f>
        <v>62975</v>
      </c>
      <c r="BV116" s="135" vm="18086">
        <v>62975</v>
      </c>
      <c r="BW116" s="134">
        <f xml:space="preserve"> IFERROR( VfM_Metrics_2023_Entity[[#This Row],[Net operating surplus]] / VfM_Metrics_2023_Entity[[#This Row],[Overall turnover]], "n/a" )</f>
        <v>0.22699073060360558</v>
      </c>
      <c r="BX116" s="5">
        <f xml:space="preserve"> SUM( VfM_Metrics_2023_Entity[[#This Row],[Operating surplus/(deficit) (overall)2]], - VfM_Metrics_2023_Entity[[#This Row],[Gain/(loss) on disposal of fixed assets (housing properties)2]], - VfM_Metrics_2023_Entity[[#This Row],[Gain/(loss) on disposal of fixed assets (other)2]] )</f>
        <v>15550</v>
      </c>
      <c r="BY116" s="84" vm="13483">
        <v>20752</v>
      </c>
      <c r="BZ116" s="84" vm="13756">
        <v>5202</v>
      </c>
      <c r="CA116" s="84">
        <v>0</v>
      </c>
      <c r="CB116" s="5" vm="18405">
        <f xml:space="preserve"> VfM_Metrics_2023_Entity[[#This Row],[Turnover (overall)]]</f>
        <v>68505</v>
      </c>
      <c r="CC116" s="135" vm="18405">
        <v>68505</v>
      </c>
      <c r="CD116" s="134">
        <f xml:space="preserve"> IFERROR( VfM_Metrics_2023_Entity[[#This Row],[Operating surplus including from JVs]] / VfM_Metrics_2023_Entity[[#This Row],[Net assets]], "n/a" )</f>
        <v>6.3991908501931913E-2</v>
      </c>
      <c r="CE116" s="5">
        <f xml:space="preserve"> SUM( VfM_Metrics_2023_Entity[[#This Row],[Operating surplus/(deficit) (overall)3]], VfM_Metrics_2023_Entity[[#This Row],[Share of operating surplus/(deficit) in joint ventures or associates]] )</f>
        <v>20752</v>
      </c>
      <c r="CF116" s="84" vm="15132">
        <v>20752</v>
      </c>
      <c r="CG116" s="84">
        <v>0</v>
      </c>
      <c r="CH116" s="5" vm="18623">
        <f xml:space="preserve"> VfM_Metrics_2023_Entity[[#This Row],[Total assets less current liabilities]]</f>
        <v>324291</v>
      </c>
      <c r="CI116" s="135" vm="18623">
        <v>324291</v>
      </c>
      <c r="CJ116" s="140" vm="11345">
        <f xml:space="preserve"> VfM_Metrics_2023_Entity[[#This Row],[Total social housing units owned (Period end)]]</f>
        <v>12963</v>
      </c>
      <c r="CK116" s="141">
        <v>1.0066594393681276E-3</v>
      </c>
      <c r="CL116" s="69">
        <f xml:space="preserve"> -- ( VfM_Metrics_2023_Entity[[#This Row],[% Supported housing (excl. HOP)]] &gt; 0.3 )</f>
        <v>0</v>
      </c>
      <c r="CM116" s="9">
        <v>4.4447886015177324E-2</v>
      </c>
      <c r="CN116" s="69">
        <f xml:space="preserve"> -- ( VfM_Metrics_2023_Entity[[#This Row],[% Housing for older people]] &gt; 0.3 )</f>
        <v>0</v>
      </c>
      <c r="CO116" s="9">
        <f xml:space="preserve"> VfM_Metrics_2023_Entity[[#This Row],[% Supported housing (excl. HOP)]] + VfM_Metrics_2023_Entity[[#This Row],[% Housing for older people]]</f>
        <v>4.5454545454545449E-2</v>
      </c>
      <c r="CP116" s="69">
        <f xml:space="preserve"> -- ( VfM_Metrics_2023_Entity[[#This Row],[SH specialist in RSH analysis]] + VfM_Metrics_2023_Entity[[#This Row],[OP specialist in RSH analysis]] &gt; 0 )</f>
        <v>0</v>
      </c>
      <c r="CQ116" s="142">
        <f xml:space="preserve"> -- ( VfM_Metrics_2023_Entity[[#This Row],[% SH and OP]] &gt; 0.3 )</f>
        <v>0</v>
      </c>
      <c r="CR116" s="143" t="s">
        <v>143</v>
      </c>
      <c r="CS116" s="120"/>
      <c r="CT116" s="144" t="s">
        <v>151</v>
      </c>
      <c r="CU11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16" s="146">
        <v>0</v>
      </c>
      <c r="CW116" s="146">
        <v>0</v>
      </c>
      <c r="CX116" s="146">
        <v>0</v>
      </c>
      <c r="CY116" s="146">
        <v>0</v>
      </c>
      <c r="CZ116" s="146">
        <v>0</v>
      </c>
      <c r="DA116" s="146">
        <v>0</v>
      </c>
      <c r="DB116" s="146">
        <v>0</v>
      </c>
      <c r="DC116" s="146">
        <v>1</v>
      </c>
      <c r="DD116" s="146">
        <v>0</v>
      </c>
      <c r="DE116" s="126">
        <v>0.96105917141044694</v>
      </c>
    </row>
    <row r="117" spans="1:109" x14ac:dyDescent="0.25">
      <c r="A117" s="4" t="s" vm="212">
        <v>330</v>
      </c>
      <c r="B117" s="4" t="s" vm="9268">
        <v>331</v>
      </c>
      <c r="C117" s="121" vm="18794">
        <v>45016</v>
      </c>
      <c r="D117" s="68">
        <f>IFERROR( VfM_Metrics_2023_Entity[[#This Row],[Reinvestment Spend]] / VfM_Metrics_2023_Entity[[#This Row],[Net Book Value of Housing Properties]], "n/a" )</f>
        <v>3.15702969097615E-2</v>
      </c>
      <c r="E11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19285</v>
      </c>
      <c r="F117" s="84" vm="9445">
        <v>0</v>
      </c>
      <c r="G117" s="84" vm="10933">
        <v>15957</v>
      </c>
      <c r="H117" s="84" vm="9616">
        <v>3328</v>
      </c>
      <c r="I117" s="84" vm="9616">
        <v>0</v>
      </c>
      <c r="J117" s="84" vm="9677">
        <v>0</v>
      </c>
      <c r="K117" s="5">
        <f xml:space="preserve"> SUM( VfM_Metrics_2023_Entity[[#This Row],[Tangible fixed assets: Housing properties at cost (Current period)]],VfM_Metrics_2023_Entity[[#This Row],[Tangible fixed assets Housing properties at valuation (Current period)]] )</f>
        <v>610859</v>
      </c>
      <c r="L117" s="84" vm="9983">
        <v>610859</v>
      </c>
      <c r="M117" s="84" vm="10859">
        <v>0</v>
      </c>
      <c r="N117" s="134">
        <f xml:space="preserve"> IFERROR( VfM_Metrics_2023_Entity[[#This Row],[Total social units developed or newly built units acquired in-year]] / VfM_Metrics_2023_Entity[[#This Row],[Social housing units owned (period end)]], "n/a" )</f>
        <v>3.3333333333333333E-2</v>
      </c>
      <c r="O117" s="5">
        <f xml:space="preserve"> SUM( VfM_Metrics_2023_Entity[[#This Row],[Total social units developed or newly built units acquired in-year (owned)]], VfM_Metrics_2023_Entity[[#This Row],[Total social leasehold units developed or newly built units acquired in-year (owned)]] )</f>
        <v>45</v>
      </c>
      <c r="P117" s="84" vm="10968">
        <v>45</v>
      </c>
      <c r="Q117" s="84" vm="11142">
        <v>0</v>
      </c>
      <c r="R117" s="5">
        <f xml:space="preserve"> SUM( VfM_Metrics_2023_Entity[[#This Row],[Total social housing units owned (Period end)]], VfM_Metrics_2023_Entity[[#This Row],[Total social leasehold units owned (Period end)]] )</f>
        <v>1350</v>
      </c>
      <c r="S117" s="84" vm="11251">
        <v>1350</v>
      </c>
      <c r="T117" s="135" vm="11509">
        <v>0</v>
      </c>
      <c r="U117" s="136">
        <f xml:space="preserve"> IFERROR( VfM_Metrics_2023_Entity[[#This Row],[Total non-social housing units developed or newly built units acquired (owned)]] / VfM_Metrics_2023_Entity[[#This Row],[Total social and non-social housing units owned (Period end)]], "n/a" )</f>
        <v>0</v>
      </c>
      <c r="V11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7" s="84" vm="11622">
        <v>0</v>
      </c>
      <c r="X117" s="84" vm="11799">
        <v>0</v>
      </c>
      <c r="Y117" s="84" vm="11842">
        <v>0</v>
      </c>
      <c r="Z11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2800</v>
      </c>
      <c r="AA117" s="84" vm="11968">
        <v>1350</v>
      </c>
      <c r="AB117" s="84" vm="12445">
        <v>0</v>
      </c>
      <c r="AC117" s="84" vm="12368">
        <v>1448</v>
      </c>
      <c r="AD117" s="135" vm="12508">
        <v>2</v>
      </c>
      <c r="AE117" s="134">
        <f xml:space="preserve"> IFERROR( VfM_Metrics_2023_Entity[[#This Row],[Total Net Debt]] / VfM_Metrics_2023_Entity[[#This Row],[Net Book Value of Housing Properties2]], "n/a" )</f>
        <v>0.604859713943807</v>
      </c>
      <c r="AF11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369484</v>
      </c>
      <c r="AG117" s="84" vm="12615">
        <v>21107</v>
      </c>
      <c r="AH117" s="84" vm="13123">
        <v>355436</v>
      </c>
      <c r="AI117" s="84" vm="13037">
        <v>7059</v>
      </c>
      <c r="AJ117" s="84" vm="12765">
        <v>0</v>
      </c>
      <c r="AK117" s="84" vm="12863">
        <v>0</v>
      </c>
      <c r="AL117" s="5">
        <f xml:space="preserve"> SUM( VfM_Metrics_2023_Entity[[#This Row],[Tangible fixed assets: Housing properties at cost (Current period)2]], VfM_Metrics_2023_Entity[[#This Row],[Tangible fixed assets Housing properties at valuation (Current period)2]] )</f>
        <v>610859</v>
      </c>
      <c r="AM117" s="84" vm="9923">
        <v>610859</v>
      </c>
      <c r="AN117" s="135" vm="13402">
        <v>0</v>
      </c>
      <c r="AO117" s="137">
        <f xml:space="preserve"> IFERROR( VfM_Metrics_2023_Entity[[#This Row],[EBITDA MRI]] / VfM_Metrics_2023_Entity[[#This Row],[Total interest]], "n/a" )</f>
        <v>1.9005235602094241</v>
      </c>
      <c r="AP11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24684</v>
      </c>
      <c r="AQ117" s="84" vm="13516">
        <v>21553</v>
      </c>
      <c r="AR117" s="84" vm="14010">
        <v>0</v>
      </c>
      <c r="AS117" s="84" vm="14257">
        <v>0</v>
      </c>
      <c r="AT117" s="84" vm="14502">
        <v>826</v>
      </c>
      <c r="AU117" s="84" vm="14749">
        <v>0</v>
      </c>
      <c r="AV117" s="84" vm="14993">
        <v>0</v>
      </c>
      <c r="AW117" s="84" vm="13758">
        <v>3328</v>
      </c>
      <c r="AX117" s="84" vm="14011">
        <v>7285</v>
      </c>
      <c r="AY117" s="5">
        <f xml:space="preserve"> - SUM( VfM_Metrics_2023_Entity[[#This Row],[Interest capitalised]], VfM_Metrics_2023_Entity[[#This Row],[Interest payable and financing costs]] )</f>
        <v>12988</v>
      </c>
      <c r="AZ117" s="84" vm="15199">
        <v>0</v>
      </c>
      <c r="BA117" s="135" vm="15365">
        <v>-12988</v>
      </c>
      <c r="BB117" s="138">
        <f xml:space="preserve"> IFERROR( ( VfM_Metrics_2023_Entity[[#This Row],[Total Costs]] / VfM_Metrics_2023_Entity[[#This Row],[Total units for costs]] ) * 1000, "n/a" )</f>
        <v>7632.5925925925922</v>
      </c>
      <c r="BC11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10304</v>
      </c>
      <c r="BD117" s="84" vm="16878">
        <v>2829</v>
      </c>
      <c r="BE117" s="84" vm="16330">
        <v>1573</v>
      </c>
      <c r="BF117" s="84" vm="16108">
        <v>2074</v>
      </c>
      <c r="BG117" s="84" vm="17339">
        <v>364</v>
      </c>
      <c r="BH117" s="84" vm="17500">
        <v>0</v>
      </c>
      <c r="BI117" s="84" vm="16442">
        <v>0</v>
      </c>
      <c r="BJ117" s="84" vm="13758">
        <v>3328</v>
      </c>
      <c r="BK117" s="84" vm="16173">
        <v>136</v>
      </c>
      <c r="BL117" s="84" vm="16110">
        <v>0</v>
      </c>
      <c r="BM117" s="84" vm="15914">
        <v>0</v>
      </c>
      <c r="BN117" s="84" vm="17570">
        <v>0</v>
      </c>
      <c r="BO117" s="84" vm="15978">
        <v>0</v>
      </c>
      <c r="BP117" s="5" vm="17669">
        <f xml:space="preserve"> VfM_Metrics_2023_Entity[[#This Row],[Total social housing units owned and/or managed at period end]]</f>
        <v>1350</v>
      </c>
      <c r="BQ117" s="135" vm="17669">
        <v>1350</v>
      </c>
      <c r="BR117" s="134">
        <f xml:space="preserve"> IFERROR( VfM_Metrics_2023_Entity[[#This Row],[SHL operating surplus / (deficit)]] / VfM_Metrics_2023_Entity[[#This Row],[Turnover from social housing lettings]], "n/a" )</f>
        <v>0.35274407856730211</v>
      </c>
      <c r="BS117" s="5" vm="17924">
        <f xml:space="preserve"> VfM_Metrics_2023_Entity[[#This Row],[Operating surplus/(deficit) (social housing lettings)]]</f>
        <v>6106</v>
      </c>
      <c r="BT117" s="84" vm="17924">
        <v>6106</v>
      </c>
      <c r="BU117" s="5" vm="18124">
        <f xml:space="preserve"> VfM_Metrics_2023_Entity[[#This Row],[Turnover from social housing lettings]]</f>
        <v>17310</v>
      </c>
      <c r="BV117" s="135" vm="18124">
        <v>17310</v>
      </c>
      <c r="BW117" s="134">
        <f xml:space="preserve"> IFERROR( VfM_Metrics_2023_Entity[[#This Row],[Net operating surplus]] / VfM_Metrics_2023_Entity[[#This Row],[Overall turnover]], "n/a" )</f>
        <v>0.54421270578729419</v>
      </c>
      <c r="BX117" s="5">
        <f xml:space="preserve"> SUM( VfM_Metrics_2023_Entity[[#This Row],[Operating surplus/(deficit) (overall)2]], - VfM_Metrics_2023_Entity[[#This Row],[Gain/(loss) on disposal of fixed assets (housing properties)2]], - VfM_Metrics_2023_Entity[[#This Row],[Gain/(loss) on disposal of fixed assets (other)2]] )</f>
        <v>21553</v>
      </c>
      <c r="BY117" s="84" vm="13516">
        <v>21553</v>
      </c>
      <c r="BZ117" s="84" vm="14010">
        <v>0</v>
      </c>
      <c r="CA117" s="84" vm="14257">
        <v>0</v>
      </c>
      <c r="CB117" s="5" vm="18274">
        <f xml:space="preserve"> VfM_Metrics_2023_Entity[[#This Row],[Turnover (overall)]]</f>
        <v>39604</v>
      </c>
      <c r="CC117" s="135" vm="18274">
        <v>39604</v>
      </c>
      <c r="CD117" s="134">
        <f xml:space="preserve"> IFERROR( VfM_Metrics_2023_Entity[[#This Row],[Operating surplus including from JVs]] / VfM_Metrics_2023_Entity[[#This Row],[Net assets]], "n/a" )</f>
        <v>3.6257593268297444E-2</v>
      </c>
      <c r="CE117" s="5">
        <f xml:space="preserve"> SUM( VfM_Metrics_2023_Entity[[#This Row],[Operating surplus/(deficit) (overall)3]], VfM_Metrics_2023_Entity[[#This Row],[Share of operating surplus/(deficit) in joint ventures or associates]] )</f>
        <v>21553</v>
      </c>
      <c r="CF117" s="84" vm="13516">
        <v>21553</v>
      </c>
      <c r="CG117" s="84" vm="18481">
        <v>0</v>
      </c>
      <c r="CH117" s="5" vm="18660">
        <f xml:space="preserve"> VfM_Metrics_2023_Entity[[#This Row],[Total assets less current liabilities]]</f>
        <v>594441</v>
      </c>
      <c r="CI117" s="135" vm="18660">
        <v>594441</v>
      </c>
      <c r="CJ117" s="140" vm="11251">
        <f xml:space="preserve"> VfM_Metrics_2023_Entity[[#This Row],[Total social housing units owned (Period end)]]</f>
        <v>1350</v>
      </c>
      <c r="CK117" s="141">
        <v>0</v>
      </c>
      <c r="CL117" s="69">
        <f xml:space="preserve"> -- ( VfM_Metrics_2023_Entity[[#This Row],[% Supported housing (excl. HOP)]] &gt; 0.3 )</f>
        <v>0</v>
      </c>
      <c r="CM117" s="9">
        <v>0</v>
      </c>
      <c r="CN117" s="69">
        <f xml:space="preserve"> -- ( VfM_Metrics_2023_Entity[[#This Row],[% Housing for older people]] &gt; 0.3 )</f>
        <v>0</v>
      </c>
      <c r="CO117" s="9">
        <f xml:space="preserve"> VfM_Metrics_2023_Entity[[#This Row],[% Supported housing (excl. HOP)]] + VfM_Metrics_2023_Entity[[#This Row],[% Housing for older people]]</f>
        <v>0</v>
      </c>
      <c r="CP117" s="69">
        <f xml:space="preserve"> -- ( VfM_Metrics_2023_Entity[[#This Row],[SH specialist in RSH analysis]] + VfM_Metrics_2023_Entity[[#This Row],[OP specialist in RSH analysis]] &gt; 0 )</f>
        <v>0</v>
      </c>
      <c r="CQ117" s="142">
        <f xml:space="preserve"> -- ( VfM_Metrics_2023_Entity[[#This Row],[% SH and OP]] &gt; 0.3 )</f>
        <v>0</v>
      </c>
      <c r="CR117" s="143" t="s">
        <v>143</v>
      </c>
      <c r="CS117" s="120"/>
      <c r="CT117" s="144" t="s">
        <v>144</v>
      </c>
      <c r="CU11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17" s="146">
        <v>0.83851851851851855</v>
      </c>
      <c r="CW117" s="146">
        <v>3.7037037037037038E-3</v>
      </c>
      <c r="CX117" s="146">
        <v>0</v>
      </c>
      <c r="CY117" s="146">
        <v>0</v>
      </c>
      <c r="CZ117" s="146">
        <v>0</v>
      </c>
      <c r="DA117" s="146">
        <v>0.15777777777777777</v>
      </c>
      <c r="DB117" s="146">
        <v>0</v>
      </c>
      <c r="DC117" s="146">
        <v>0</v>
      </c>
      <c r="DD117" s="146">
        <v>0</v>
      </c>
      <c r="DE117" s="126">
        <v>1.1363920676863624</v>
      </c>
    </row>
    <row r="118" spans="1:109" x14ac:dyDescent="0.25">
      <c r="A118" s="4" t="s" vm="240">
        <v>332</v>
      </c>
      <c r="B118" s="4" t="s" vm="9309">
        <v>333</v>
      </c>
      <c r="C118" s="121" vm="18762">
        <v>45016</v>
      </c>
      <c r="D118" s="68">
        <f>IFERROR( VfM_Metrics_2023_Entity[[#This Row],[Reinvestment Spend]] / VfM_Metrics_2023_Entity[[#This Row],[Net Book Value of Housing Properties]], "n/a" )</f>
        <v>5.8598187285631605E-2</v>
      </c>
      <c r="E11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637544</v>
      </c>
      <c r="F118" s="84" vm="10253">
        <v>497269</v>
      </c>
      <c r="G118" s="84" vm="10853">
        <v>0</v>
      </c>
      <c r="H118" s="84" vm="9501">
        <v>117747</v>
      </c>
      <c r="I118" s="84" vm="9565">
        <v>22528</v>
      </c>
      <c r="J118" s="84" vm="10744">
        <v>0</v>
      </c>
      <c r="K118" s="5">
        <f xml:space="preserve"> SUM( VfM_Metrics_2023_Entity[[#This Row],[Tangible fixed assets: Housing properties at cost (Current period)]],VfM_Metrics_2023_Entity[[#This Row],[Tangible fixed assets Housing properties at valuation (Current period)]] )</f>
        <v>10879927</v>
      </c>
      <c r="L118" s="84" vm="10736">
        <v>10879927</v>
      </c>
      <c r="M118" s="84" vm="10604">
        <v>0</v>
      </c>
      <c r="N118" s="134">
        <f xml:space="preserve"> IFERROR( VfM_Metrics_2023_Entity[[#This Row],[Total social units developed or newly built units acquired in-year]] / VfM_Metrics_2023_Entity[[#This Row],[Social housing units owned (period end)]], "n/a" )</f>
        <v>3.1223420923049375E-2</v>
      </c>
      <c r="O118" s="5">
        <f xml:space="preserve"> SUM( VfM_Metrics_2023_Entity[[#This Row],[Total social units developed or newly built units acquired in-year (owned)]], VfM_Metrics_2023_Entity[[#This Row],[Total social leasehold units developed or newly built units acquired in-year (owned)]] )</f>
        <v>2790</v>
      </c>
      <c r="P118" s="84" vm="11021">
        <v>2790</v>
      </c>
      <c r="Q118" s="84" vm="11153">
        <v>0</v>
      </c>
      <c r="R118" s="5">
        <f xml:space="preserve"> SUM( VfM_Metrics_2023_Entity[[#This Row],[Total social housing units owned (Period end)]], VfM_Metrics_2023_Entity[[#This Row],[Total social leasehold units owned (Period end)]] )</f>
        <v>89356</v>
      </c>
      <c r="S118" s="84" vm="11348">
        <v>88743</v>
      </c>
      <c r="T118" s="135" vm="11517">
        <v>613</v>
      </c>
      <c r="U118" s="136">
        <f xml:space="preserve"> IFERROR( VfM_Metrics_2023_Entity[[#This Row],[Total non-social housing units developed or newly built units acquired (owned)]] / VfM_Metrics_2023_Entity[[#This Row],[Total social and non-social housing units owned (Period end)]], "n/a" )</f>
        <v>2.5720367377507982E-3</v>
      </c>
      <c r="V11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261</v>
      </c>
      <c r="W118" s="84" vm="11639">
        <v>0</v>
      </c>
      <c r="X118" s="84" vm="11886">
        <v>241</v>
      </c>
      <c r="Y118" s="84" vm="11925">
        <v>20</v>
      </c>
      <c r="Z11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101476</v>
      </c>
      <c r="AA118" s="84" vm="12002">
        <v>88743</v>
      </c>
      <c r="AB118" s="84" vm="11489">
        <v>613</v>
      </c>
      <c r="AC118" s="84" vm="12113">
        <v>1051</v>
      </c>
      <c r="AD118" s="135" vm="12271">
        <v>11069</v>
      </c>
      <c r="AE118" s="134">
        <f xml:space="preserve"> IFERROR( VfM_Metrics_2023_Entity[[#This Row],[Total Net Debt]] / VfM_Metrics_2023_Entity[[#This Row],[Net Book Value of Housing Properties2]], "n/a" )</f>
        <v>0.4586826731466121</v>
      </c>
      <c r="AF11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4990434</v>
      </c>
      <c r="AG118" s="84" vm="12643">
        <v>316220</v>
      </c>
      <c r="AH118" s="84" vm="12905">
        <v>4743093</v>
      </c>
      <c r="AI118" s="84" vm="12987">
        <v>68879</v>
      </c>
      <c r="AJ118" s="84" vm="13079">
        <v>0</v>
      </c>
      <c r="AK118" s="84" vm="13163">
        <v>0</v>
      </c>
      <c r="AL118" s="5">
        <f xml:space="preserve"> SUM( VfM_Metrics_2023_Entity[[#This Row],[Tangible fixed assets: Housing properties at cost (Current period)2]], VfM_Metrics_2023_Entity[[#This Row],[Tangible fixed assets Housing properties at valuation (Current period)2]] )</f>
        <v>10879927</v>
      </c>
      <c r="AM118" s="84" vm="13372">
        <v>10879927</v>
      </c>
      <c r="AN118" s="135" vm="13407">
        <v>0</v>
      </c>
      <c r="AO118" s="137">
        <f xml:space="preserve"> IFERROR( VfM_Metrics_2023_Entity[[#This Row],[EBITDA MRI]] / VfM_Metrics_2023_Entity[[#This Row],[Total interest]], "n/a" )</f>
        <v>0.5813989476942123</v>
      </c>
      <c r="AP11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112710</v>
      </c>
      <c r="AQ118" s="84" vm="13551">
        <v>258936</v>
      </c>
      <c r="AR118" s="84" vm="14258">
        <v>153200</v>
      </c>
      <c r="AS118" s="84" vm="14503">
        <v>0</v>
      </c>
      <c r="AT118" s="84" vm="14750">
        <v>25875</v>
      </c>
      <c r="AU118" s="84" vm="14994">
        <v>0</v>
      </c>
      <c r="AV118" s="84" vm="13759">
        <v>51786</v>
      </c>
      <c r="AW118" s="84" vm="14012">
        <v>117747</v>
      </c>
      <c r="AX118" s="84" vm="14259">
        <v>98810</v>
      </c>
      <c r="AY118" s="5">
        <f xml:space="preserve"> - SUM( VfM_Metrics_2023_Entity[[#This Row],[Interest capitalised]], VfM_Metrics_2023_Entity[[#This Row],[Interest payable and financing costs]] )</f>
        <v>193860</v>
      </c>
      <c r="AZ118" s="84" vm="15221">
        <v>-30837</v>
      </c>
      <c r="BA118" s="135" vm="15393">
        <v>-163023</v>
      </c>
      <c r="BB118" s="138">
        <f xml:space="preserve"> IFERROR( ( VfM_Metrics_2023_Entity[[#This Row],[Total Costs]] / VfM_Metrics_2023_Entity[[#This Row],[Total units for costs]] ) * 1000, "n/a" )</f>
        <v>6752.436625259963</v>
      </c>
      <c r="BC11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600663</v>
      </c>
      <c r="BD118" s="84" vm="15580">
        <v>73757</v>
      </c>
      <c r="BE118" s="84" vm="16633">
        <v>90274</v>
      </c>
      <c r="BF118" s="84" vm="16722">
        <v>173723</v>
      </c>
      <c r="BG118" s="84" vm="16806">
        <v>55720</v>
      </c>
      <c r="BH118" s="84" vm="16112">
        <v>0</v>
      </c>
      <c r="BI118" s="84" vm="16634">
        <v>0</v>
      </c>
      <c r="BJ118" s="84" vm="17258">
        <v>117747</v>
      </c>
      <c r="BK118" s="84" vm="17338">
        <v>643</v>
      </c>
      <c r="BL118" s="84" vm="15979">
        <v>75600</v>
      </c>
      <c r="BM118" s="84" vm="16723">
        <v>10444</v>
      </c>
      <c r="BN118" s="84" vm="15916">
        <v>1537</v>
      </c>
      <c r="BO118" s="84" vm="17571">
        <v>1218</v>
      </c>
      <c r="BP118" s="5" vm="17804">
        <f xml:space="preserve"> VfM_Metrics_2023_Entity[[#This Row],[Total social housing units owned and/or managed at period end]]</f>
        <v>88955</v>
      </c>
      <c r="BQ118" s="135" vm="17804">
        <v>88955</v>
      </c>
      <c r="BR118" s="134">
        <f xml:space="preserve"> IFERROR( VfM_Metrics_2023_Entity[[#This Row],[SHL operating surplus / (deficit)]] / VfM_Metrics_2023_Entity[[#This Row],[Turnover from social housing lettings]], "n/a" )</f>
        <v>0.25172448002083325</v>
      </c>
      <c r="BS118" s="5" vm="17961">
        <f xml:space="preserve"> VfM_Metrics_2023_Entity[[#This Row],[Operating surplus/(deficit) (social housing lettings)]]</f>
        <v>162393</v>
      </c>
      <c r="BT118" s="84" vm="17961">
        <v>162393</v>
      </c>
      <c r="BU118" s="5" vm="18135">
        <f xml:space="preserve"> VfM_Metrics_2023_Entity[[#This Row],[Turnover from social housing lettings]]</f>
        <v>645122</v>
      </c>
      <c r="BV118" s="135" vm="18135">
        <v>645122</v>
      </c>
      <c r="BW118" s="134">
        <f xml:space="preserve"> IFERROR( VfM_Metrics_2023_Entity[[#This Row],[Net operating surplus]] / VfM_Metrics_2023_Entity[[#This Row],[Overall turnover]], "n/a" )</f>
        <v>0.11905853050497635</v>
      </c>
      <c r="BX118" s="5">
        <f xml:space="preserve"> SUM( VfM_Metrics_2023_Entity[[#This Row],[Operating surplus/(deficit) (overall)2]], - VfM_Metrics_2023_Entity[[#This Row],[Gain/(loss) on disposal of fixed assets (housing properties)2]], - VfM_Metrics_2023_Entity[[#This Row],[Gain/(loss) on disposal of fixed assets (other)2]] )</f>
        <v>105736</v>
      </c>
      <c r="BY118" s="84" vm="15135">
        <v>258936</v>
      </c>
      <c r="BZ118" s="84" vm="14258">
        <v>153200</v>
      </c>
      <c r="CA118" s="84" vm="14503">
        <v>0</v>
      </c>
      <c r="CB118" s="5" vm="18307">
        <f xml:space="preserve"> VfM_Metrics_2023_Entity[[#This Row],[Turnover (overall)]]</f>
        <v>888101</v>
      </c>
      <c r="CC118" s="135" vm="18307">
        <v>888101</v>
      </c>
      <c r="CD118" s="134">
        <f xml:space="preserve"> IFERROR( VfM_Metrics_2023_Entity[[#This Row],[Operating surplus including from JVs]] / VfM_Metrics_2023_Entity[[#This Row],[Net assets]], "n/a" )</f>
        <v>2.0429660689921577E-2</v>
      </c>
      <c r="CE118" s="5">
        <f xml:space="preserve"> SUM( VfM_Metrics_2023_Entity[[#This Row],[Operating surplus/(deficit) (overall)3]], VfM_Metrics_2023_Entity[[#This Row],[Share of operating surplus/(deficit) in joint ventures or associates]] )</f>
        <v>258936</v>
      </c>
      <c r="CF118" s="84" vm="15135">
        <v>258936</v>
      </c>
      <c r="CG118" s="84" vm="18499">
        <v>0</v>
      </c>
      <c r="CH118" s="5" vm="18694">
        <f xml:space="preserve"> VfM_Metrics_2023_Entity[[#This Row],[Total assets less current liabilities]]</f>
        <v>12674513</v>
      </c>
      <c r="CI118" s="135" vm="18694">
        <v>12674513</v>
      </c>
      <c r="CJ118" s="140" vm="11348">
        <f xml:space="preserve"> VfM_Metrics_2023_Entity[[#This Row],[Total social housing units owned (Period end)]]</f>
        <v>88743</v>
      </c>
      <c r="CK118" s="141">
        <v>2.7788560337938122E-2</v>
      </c>
      <c r="CL118" s="69">
        <f xml:space="preserve"> -- ( VfM_Metrics_2023_Entity[[#This Row],[% Supported housing (excl. HOP)]] &gt; 0.3 )</f>
        <v>0</v>
      </c>
      <c r="CM118" s="9">
        <v>5.6935723256079464E-2</v>
      </c>
      <c r="CN118" s="69">
        <f xml:space="preserve"> -- ( VfM_Metrics_2023_Entity[[#This Row],[% Housing for older people]] &gt; 0.3 )</f>
        <v>0</v>
      </c>
      <c r="CO118" s="9">
        <f xml:space="preserve"> VfM_Metrics_2023_Entity[[#This Row],[% Supported housing (excl. HOP)]] + VfM_Metrics_2023_Entity[[#This Row],[% Housing for older people]]</f>
        <v>8.4724283594017583E-2</v>
      </c>
      <c r="CP118" s="69">
        <f xml:space="preserve"> -- ( VfM_Metrics_2023_Entity[[#This Row],[SH specialist in RSH analysis]] + VfM_Metrics_2023_Entity[[#This Row],[OP specialist in RSH analysis]] &gt; 0 )</f>
        <v>0</v>
      </c>
      <c r="CQ118" s="142">
        <f xml:space="preserve"> -- ( VfM_Metrics_2023_Entity[[#This Row],[% SH and OP]] &gt; 0.3 )</f>
        <v>0</v>
      </c>
      <c r="CR118" s="143" t="s">
        <v>143</v>
      </c>
      <c r="CS118" s="120"/>
      <c r="CT118" s="144" t="s">
        <v>151</v>
      </c>
      <c r="CU11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18" s="146">
        <v>0.76900419807700993</v>
      </c>
      <c r="CW118" s="146">
        <v>8.4221098722520649E-2</v>
      </c>
      <c r="CX118" s="146">
        <v>7.8996072766668166E-5</v>
      </c>
      <c r="CY118" s="146">
        <v>3.3855459757143503E-5</v>
      </c>
      <c r="CZ118" s="146">
        <v>2.7648625468333862E-3</v>
      </c>
      <c r="DA118" s="146">
        <v>3.7534419717419762E-2</v>
      </c>
      <c r="DB118" s="146">
        <v>1.1285153252381168E-5</v>
      </c>
      <c r="DC118" s="146">
        <v>0.10635128425044012</v>
      </c>
      <c r="DD118" s="146">
        <v>0</v>
      </c>
      <c r="DE118" s="126">
        <v>1.1223470353341685</v>
      </c>
    </row>
    <row r="119" spans="1:109" x14ac:dyDescent="0.25">
      <c r="A119" s="4" t="s" vm="341">
        <v>334</v>
      </c>
      <c r="B119" s="4" t="s" vm="10541">
        <v>335</v>
      </c>
      <c r="C119" s="121" vm="18925">
        <v>45016</v>
      </c>
      <c r="D119" s="68">
        <f>IFERROR( VfM_Metrics_2023_Entity[[#This Row],[Reinvestment Spend]] / VfM_Metrics_2023_Entity[[#This Row],[Net Book Value of Housing Properties]], "n/a" )</f>
        <v>6.8496888413143178E-2</v>
      </c>
      <c r="E11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91378</v>
      </c>
      <c r="F119" s="84" vm="9432">
        <v>76542</v>
      </c>
      <c r="G119" s="84" vm="9723">
        <v>0</v>
      </c>
      <c r="H119" s="84" vm="10640">
        <v>11936</v>
      </c>
      <c r="I119" s="84" vm="9502">
        <v>2900</v>
      </c>
      <c r="J119" s="84" vm="9566">
        <v>0</v>
      </c>
      <c r="K119" s="5">
        <f xml:space="preserve"> SUM( VfM_Metrics_2023_Entity[[#This Row],[Tangible fixed assets: Housing properties at cost (Current period)]],VfM_Metrics_2023_Entity[[#This Row],[Tangible fixed assets Housing properties at valuation (Current period)]] )</f>
        <v>1334046</v>
      </c>
      <c r="L119" s="84" vm="10072">
        <v>1334046</v>
      </c>
      <c r="M119" s="84">
        <v>0</v>
      </c>
      <c r="N119" s="134">
        <f xml:space="preserve"> IFERROR( VfM_Metrics_2023_Entity[[#This Row],[Total social units developed or newly built units acquired in-year]] / VfM_Metrics_2023_Entity[[#This Row],[Social housing units owned (period end)]], "n/a" )</f>
        <v>2.5318008916520102E-2</v>
      </c>
      <c r="O119" s="5">
        <f xml:space="preserve"> SUM( VfM_Metrics_2023_Entity[[#This Row],[Total social units developed or newly built units acquired in-year (owned)]], VfM_Metrics_2023_Entity[[#This Row],[Total social leasehold units developed or newly built units acquired in-year (owned)]] )</f>
        <v>619</v>
      </c>
      <c r="P119" s="84" vm="11051">
        <v>619</v>
      </c>
      <c r="Q119" s="84" vm="11176">
        <v>0</v>
      </c>
      <c r="R119" s="5">
        <f xml:space="preserve"> SUM( VfM_Metrics_2023_Entity[[#This Row],[Total social housing units owned (Period end)]], VfM_Metrics_2023_Entity[[#This Row],[Total social leasehold units owned (Period end)]] )</f>
        <v>24449</v>
      </c>
      <c r="S119" s="84" vm="11332">
        <v>22545</v>
      </c>
      <c r="T119" s="135" vm="11470">
        <v>1904</v>
      </c>
      <c r="U119" s="136">
        <f xml:space="preserve"> IFERROR( VfM_Metrics_2023_Entity[[#This Row],[Total non-social housing units developed or newly built units acquired (owned)]] / VfM_Metrics_2023_Entity[[#This Row],[Total social and non-social housing units owned (Period end)]], "n/a" )</f>
        <v>0</v>
      </c>
      <c r="V11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19" s="84" vm="11655">
        <v>0</v>
      </c>
      <c r="X119" s="84">
        <v>0</v>
      </c>
      <c r="Y119" s="84" vm="11746">
        <v>0</v>
      </c>
      <c r="Z11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24527</v>
      </c>
      <c r="AA119" s="84" vm="11332">
        <v>22545</v>
      </c>
      <c r="AB119" s="84" vm="12445">
        <v>1904</v>
      </c>
      <c r="AC119" s="84" vm="12368">
        <v>78</v>
      </c>
      <c r="AD119" s="135" vm="12509">
        <v>0</v>
      </c>
      <c r="AE119" s="134">
        <f xml:space="preserve"> IFERROR( VfM_Metrics_2023_Entity[[#This Row],[Total Net Debt]] / VfM_Metrics_2023_Entity[[#This Row],[Net Book Value of Housing Properties2]], "n/a" )</f>
        <v>0.5048746445025134</v>
      </c>
      <c r="AF11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673526</v>
      </c>
      <c r="AG119" s="84" vm="12668">
        <v>14969</v>
      </c>
      <c r="AH119" s="84" vm="12766">
        <v>701942</v>
      </c>
      <c r="AI119" s="84" vm="13335">
        <v>43385</v>
      </c>
      <c r="AJ119" s="84">
        <v>0</v>
      </c>
      <c r="AK119" s="84">
        <v>0</v>
      </c>
      <c r="AL119" s="5">
        <f xml:space="preserve"> SUM( VfM_Metrics_2023_Entity[[#This Row],[Tangible fixed assets: Housing properties at cost (Current period)2]], VfM_Metrics_2023_Entity[[#This Row],[Tangible fixed assets Housing properties at valuation (Current period)2]] )</f>
        <v>1334046</v>
      </c>
      <c r="AM119" s="84" vm="10029">
        <v>1334046</v>
      </c>
      <c r="AN119" s="135">
        <v>0</v>
      </c>
      <c r="AO119" s="137">
        <f xml:space="preserve"> IFERROR( VfM_Metrics_2023_Entity[[#This Row],[EBITDA MRI]] / VfM_Metrics_2023_Entity[[#This Row],[Total interest]], "n/a" )</f>
        <v>1.2161022056164879</v>
      </c>
      <c r="AP11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40360</v>
      </c>
      <c r="AQ119" s="84" vm="13578">
        <v>37674</v>
      </c>
      <c r="AR119" s="84" vm="14504">
        <v>4454</v>
      </c>
      <c r="AS119" s="84" vm="14751">
        <v>-267</v>
      </c>
      <c r="AT119" s="84" vm="14995">
        <v>3036</v>
      </c>
      <c r="AU119" s="84" vm="13760">
        <v>0</v>
      </c>
      <c r="AV119" s="84" vm="14013">
        <v>1394</v>
      </c>
      <c r="AW119" s="84" vm="14260">
        <v>11936</v>
      </c>
      <c r="AX119" s="84" vm="14505">
        <v>20451</v>
      </c>
      <c r="AY119" s="5">
        <f xml:space="preserve"> - SUM( VfM_Metrics_2023_Entity[[#This Row],[Interest capitalised]], VfM_Metrics_2023_Entity[[#This Row],[Interest payable and financing costs]] )</f>
        <v>33188</v>
      </c>
      <c r="AZ119" s="84" vm="15250">
        <v>-2900</v>
      </c>
      <c r="BA119" s="135" vm="15424">
        <v>-30288</v>
      </c>
      <c r="BB119" s="138">
        <f xml:space="preserve"> IFERROR( ( VfM_Metrics_2023_Entity[[#This Row],[Total Costs]] / VfM_Metrics_2023_Entity[[#This Row],[Total units for costs]] ) * 1000, "n/a" )</f>
        <v>4401.485345475443</v>
      </c>
      <c r="BC11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99566</v>
      </c>
      <c r="BD119" s="84" vm="17044">
        <v>23506</v>
      </c>
      <c r="BE119" s="84" vm="17115">
        <v>12266</v>
      </c>
      <c r="BF119" s="84" vm="16807">
        <v>20421</v>
      </c>
      <c r="BG119" s="84" vm="17572">
        <v>10156</v>
      </c>
      <c r="BH119" s="84" vm="16175">
        <v>1016</v>
      </c>
      <c r="BI119" s="84" vm="16634">
        <v>227</v>
      </c>
      <c r="BJ119" s="84" vm="16332">
        <v>11936</v>
      </c>
      <c r="BK119" s="84" vm="16114">
        <v>9851</v>
      </c>
      <c r="BL119" s="84" vm="17259">
        <v>1076</v>
      </c>
      <c r="BM119" s="84">
        <v>0</v>
      </c>
      <c r="BN119" s="84" vm="16176">
        <v>6318</v>
      </c>
      <c r="BO119" s="84" vm="17045">
        <v>2793</v>
      </c>
      <c r="BP119" s="5" vm="17704">
        <f xml:space="preserve"> VfM_Metrics_2023_Entity[[#This Row],[Total social housing units owned and/or managed at period end]]</f>
        <v>22621</v>
      </c>
      <c r="BQ119" s="135" vm="17704">
        <v>22621</v>
      </c>
      <c r="BR119" s="134">
        <f xml:space="preserve"> IFERROR( VfM_Metrics_2023_Entity[[#This Row],[SHL operating surplus / (deficit)]] / VfM_Metrics_2023_Entity[[#This Row],[Turnover from social housing lettings]], "n/a" )</f>
        <v>0.23405829971112757</v>
      </c>
      <c r="BS119" s="5" vm="17997">
        <f xml:space="preserve"> VfM_Metrics_2023_Entity[[#This Row],[Operating surplus/(deficit) (social housing lettings)]]</f>
        <v>29412</v>
      </c>
      <c r="BT119" s="84" vm="17997">
        <v>29412</v>
      </c>
      <c r="BU119" s="5" vm="18173">
        <f xml:space="preserve"> VfM_Metrics_2023_Entity[[#This Row],[Turnover from social housing lettings]]</f>
        <v>125661</v>
      </c>
      <c r="BV119" s="135" vm="18173">
        <v>125661</v>
      </c>
      <c r="BW119" s="134">
        <f xml:space="preserve"> IFERROR( VfM_Metrics_2023_Entity[[#This Row],[Net operating surplus]] / VfM_Metrics_2023_Entity[[#This Row],[Overall turnover]], "n/a" )</f>
        <v>0.21458597664910864</v>
      </c>
      <c r="BX119" s="5">
        <f xml:space="preserve"> SUM( VfM_Metrics_2023_Entity[[#This Row],[Operating surplus/(deficit) (overall)2]], - VfM_Metrics_2023_Entity[[#This Row],[Gain/(loss) on disposal of fixed assets (housing properties)2]], - VfM_Metrics_2023_Entity[[#This Row],[Gain/(loss) on disposal of fixed assets (other)2]] )</f>
        <v>33487</v>
      </c>
      <c r="BY119" s="84" vm="13578">
        <v>37674</v>
      </c>
      <c r="BZ119" s="84" vm="14504">
        <v>4454</v>
      </c>
      <c r="CA119" s="84" vm="14751">
        <v>-267</v>
      </c>
      <c r="CB119" s="5" vm="18346">
        <f xml:space="preserve"> VfM_Metrics_2023_Entity[[#This Row],[Turnover (overall)]]</f>
        <v>156054</v>
      </c>
      <c r="CC119" s="135" vm="18346">
        <v>156054</v>
      </c>
      <c r="CD119" s="134">
        <f xml:space="preserve"> IFERROR( VfM_Metrics_2023_Entity[[#This Row],[Operating surplus including from JVs]] / VfM_Metrics_2023_Entity[[#This Row],[Net assets]], "n/a" )</f>
        <v>2.7485727834825908E-2</v>
      </c>
      <c r="CE119" s="5">
        <f xml:space="preserve"> SUM( VfM_Metrics_2023_Entity[[#This Row],[Operating surplus/(deficit) (overall)3]], VfM_Metrics_2023_Entity[[#This Row],[Share of operating surplus/(deficit) in joint ventures or associates]] )</f>
        <v>37674</v>
      </c>
      <c r="CF119" s="84" vm="13579">
        <v>37674</v>
      </c>
      <c r="CG119" s="84" vm="18517">
        <v>0</v>
      </c>
      <c r="CH119" s="5" vm="18722">
        <f xml:space="preserve"> VfM_Metrics_2023_Entity[[#This Row],[Total assets less current liabilities]]</f>
        <v>1370675</v>
      </c>
      <c r="CI119" s="135" vm="18722">
        <v>1370675</v>
      </c>
      <c r="CJ119" s="140" vm="11332">
        <f xml:space="preserve"> VfM_Metrics_2023_Entity[[#This Row],[Total social housing units owned (Period end)]]</f>
        <v>22545</v>
      </c>
      <c r="CK119" s="141">
        <v>2.2470404288586106E-2</v>
      </c>
      <c r="CL119" s="69">
        <f xml:space="preserve"> -- ( VfM_Metrics_2023_Entity[[#This Row],[% Supported housing (excl. HOP)]] &gt; 0.3 )</f>
        <v>0</v>
      </c>
      <c r="CM119" s="9">
        <v>5.2669198123743578E-2</v>
      </c>
      <c r="CN119" s="69">
        <f xml:space="preserve"> -- ( VfM_Metrics_2023_Entity[[#This Row],[% Housing for older people]] &gt; 0.3 )</f>
        <v>0</v>
      </c>
      <c r="CO119" s="9">
        <f xml:space="preserve"> VfM_Metrics_2023_Entity[[#This Row],[% Supported housing (excl. HOP)]] + VfM_Metrics_2023_Entity[[#This Row],[% Housing for older people]]</f>
        <v>7.5139602412329684E-2</v>
      </c>
      <c r="CP119" s="69">
        <f xml:space="preserve"> -- ( VfM_Metrics_2023_Entity[[#This Row],[SH specialist in RSH analysis]] + VfM_Metrics_2023_Entity[[#This Row],[OP specialist in RSH analysis]] &gt; 0 )</f>
        <v>0</v>
      </c>
      <c r="CQ119" s="142">
        <f xml:space="preserve"> -- ( VfM_Metrics_2023_Entity[[#This Row],[% SH and OP]] &gt; 0.3 )</f>
        <v>0</v>
      </c>
      <c r="CR119" s="143" t="s">
        <v>143</v>
      </c>
      <c r="CS119" s="120"/>
      <c r="CT119" s="144" t="s">
        <v>151</v>
      </c>
      <c r="CU11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119" s="146">
        <v>4.4499822000712E-5</v>
      </c>
      <c r="CW119" s="146">
        <v>0</v>
      </c>
      <c r="CX119" s="146">
        <v>0</v>
      </c>
      <c r="CY119" s="146">
        <v>0.625</v>
      </c>
      <c r="CZ119" s="146">
        <v>0.1242435030259879</v>
      </c>
      <c r="DA119" s="146">
        <v>0.16300284798860804</v>
      </c>
      <c r="DB119" s="146">
        <v>0</v>
      </c>
      <c r="DC119" s="146">
        <v>0</v>
      </c>
      <c r="DD119" s="146">
        <v>8.7709149163403347E-2</v>
      </c>
      <c r="DE119" s="126">
        <v>0.9565601555265284</v>
      </c>
    </row>
    <row r="120" spans="1:109" x14ac:dyDescent="0.25">
      <c r="A120" s="4" t="s" vm="199">
        <v>336</v>
      </c>
      <c r="B120" s="4" t="s" vm="9827">
        <v>337</v>
      </c>
      <c r="C120" s="121" vm="18831">
        <v>45016</v>
      </c>
      <c r="D120" s="68">
        <f>IFERROR( VfM_Metrics_2023_Entity[[#This Row],[Reinvestment Spend]] / VfM_Metrics_2023_Entity[[#This Row],[Net Book Value of Housing Properties]], "n/a" )</f>
        <v>4.0450779330496588E-2</v>
      </c>
      <c r="E12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5219</v>
      </c>
      <c r="F120" s="84" vm="10553">
        <v>0</v>
      </c>
      <c r="G120" s="84" vm="10636">
        <v>858</v>
      </c>
      <c r="H120" s="84" vm="9806">
        <v>4361</v>
      </c>
      <c r="I120" s="84" vm="10858">
        <v>0</v>
      </c>
      <c r="J120" s="84" vm="9503">
        <v>0</v>
      </c>
      <c r="K120" s="5">
        <f xml:space="preserve"> SUM( VfM_Metrics_2023_Entity[[#This Row],[Tangible fixed assets: Housing properties at cost (Current period)]],VfM_Metrics_2023_Entity[[#This Row],[Tangible fixed assets Housing properties at valuation (Current period)]] )</f>
        <v>129021</v>
      </c>
      <c r="L120" s="84" vm="10077">
        <v>129021</v>
      </c>
      <c r="M120" s="84">
        <v>0</v>
      </c>
      <c r="N120" s="134">
        <f xml:space="preserve"> IFERROR( VfM_Metrics_2023_Entity[[#This Row],[Total social units developed or newly built units acquired in-year]] / VfM_Metrics_2023_Entity[[#This Row],[Social housing units owned (period end)]], "n/a" )</f>
        <v>5.0209205020920501E-3</v>
      </c>
      <c r="O120" s="5">
        <f xml:space="preserve"> SUM( VfM_Metrics_2023_Entity[[#This Row],[Total social units developed or newly built units acquired in-year (owned)]], VfM_Metrics_2023_Entity[[#This Row],[Total social leasehold units developed or newly built units acquired in-year (owned)]] )</f>
        <v>6</v>
      </c>
      <c r="P120" s="84" vm="11070">
        <v>6</v>
      </c>
      <c r="Q120" s="84">
        <v>0</v>
      </c>
      <c r="R120" s="5">
        <f xml:space="preserve"> SUM( VfM_Metrics_2023_Entity[[#This Row],[Total social housing units owned (Period end)]], VfM_Metrics_2023_Entity[[#This Row],[Total social leasehold units owned (Period end)]] )</f>
        <v>1195</v>
      </c>
      <c r="S120" s="84" vm="11377">
        <v>1195</v>
      </c>
      <c r="T120" s="135" vm="11489">
        <v>0</v>
      </c>
      <c r="U120" s="136">
        <f xml:space="preserve"> IFERROR( VfM_Metrics_2023_Entity[[#This Row],[Total non-social housing units developed or newly built units acquired (owned)]] / VfM_Metrics_2023_Entity[[#This Row],[Total social and non-social housing units owned (Period end)]], "n/a" )</f>
        <v>0</v>
      </c>
      <c r="V12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20" s="84">
        <v>0</v>
      </c>
      <c r="X120" s="84">
        <v>0</v>
      </c>
      <c r="Y120" s="84" vm="11843">
        <v>0</v>
      </c>
      <c r="Z12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1222</v>
      </c>
      <c r="AA120" s="84" vm="12050">
        <v>1195</v>
      </c>
      <c r="AB120" s="84" vm="11489">
        <v>0</v>
      </c>
      <c r="AC120" s="84" vm="12114">
        <v>27</v>
      </c>
      <c r="AD120" s="135" vm="12272">
        <v>0</v>
      </c>
      <c r="AE120" s="134">
        <f xml:space="preserve"> IFERROR( VfM_Metrics_2023_Entity[[#This Row],[Total Net Debt]] / VfM_Metrics_2023_Entity[[#This Row],[Net Book Value of Housing Properties2]], "n/a" )</f>
        <v>0.17063113756675269</v>
      </c>
      <c r="AF12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22015</v>
      </c>
      <c r="AG120" s="84" vm="12692">
        <v>21866</v>
      </c>
      <c r="AH120" s="84" vm="13036">
        <v>3134</v>
      </c>
      <c r="AI120" s="84" vm="13124">
        <v>2985</v>
      </c>
      <c r="AJ120" s="84">
        <v>0</v>
      </c>
      <c r="AK120" s="84" vm="13296">
        <v>0</v>
      </c>
      <c r="AL120" s="5">
        <f xml:space="preserve"> SUM( VfM_Metrics_2023_Entity[[#This Row],[Tangible fixed assets: Housing properties at cost (Current period)2]], VfM_Metrics_2023_Entity[[#This Row],[Tangible fixed assets Housing properties at valuation (Current period)2]] )</f>
        <v>129021</v>
      </c>
      <c r="AM120" s="84" vm="10033">
        <v>129021</v>
      </c>
      <c r="AN120" s="135">
        <v>0</v>
      </c>
      <c r="AO120" s="137">
        <f xml:space="preserve"> IFERROR( VfM_Metrics_2023_Entity[[#This Row],[EBITDA MRI]] / VfM_Metrics_2023_Entity[[#This Row],[Total interest]], "n/a" )</f>
        <v>-2.9754350051177072</v>
      </c>
      <c r="AP12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-2907</v>
      </c>
      <c r="AQ120" s="84" vm="13622">
        <v>-1499</v>
      </c>
      <c r="AR120" s="84" vm="14752">
        <v>38</v>
      </c>
      <c r="AS120" s="84" vm="14996">
        <v>0</v>
      </c>
      <c r="AT120" s="84" vm="13761">
        <v>888</v>
      </c>
      <c r="AU120" s="84" vm="14014">
        <v>0</v>
      </c>
      <c r="AV120" s="84" vm="14261">
        <v>352</v>
      </c>
      <c r="AW120" s="84" vm="14506">
        <v>4361</v>
      </c>
      <c r="AX120" s="84" vm="14753">
        <v>3527</v>
      </c>
      <c r="AY120" s="5">
        <f xml:space="preserve"> - SUM( VfM_Metrics_2023_Entity[[#This Row],[Interest capitalised]], VfM_Metrics_2023_Entity[[#This Row],[Interest payable and financing costs]] )</f>
        <v>977</v>
      </c>
      <c r="AZ120" s="84" vm="15303">
        <v>0</v>
      </c>
      <c r="BA120" s="135" vm="15459">
        <v>-977</v>
      </c>
      <c r="BB120" s="138">
        <f xml:space="preserve"> IFERROR( ( VfM_Metrics_2023_Entity[[#This Row],[Total Costs]] / VfM_Metrics_2023_Entity[[#This Row],[Total units for costs]] ) * 1000, "n/a" )</f>
        <v>31210.460251046024</v>
      </c>
      <c r="BC12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74593</v>
      </c>
      <c r="BD120" s="84" vm="15918">
        <v>12850</v>
      </c>
      <c r="BE120" s="84" vm="16333">
        <v>12879</v>
      </c>
      <c r="BF120" s="84" vm="16807">
        <v>2268</v>
      </c>
      <c r="BG120" s="84" vm="17046">
        <v>0</v>
      </c>
      <c r="BH120" s="84" vm="17260">
        <v>272</v>
      </c>
      <c r="BI120" s="84" vm="17340">
        <v>0</v>
      </c>
      <c r="BJ120" s="84" vm="16177">
        <v>4361</v>
      </c>
      <c r="BK120" s="84" vm="15920">
        <v>0</v>
      </c>
      <c r="BL120" s="84">
        <v>0</v>
      </c>
      <c r="BM120" s="84">
        <v>0</v>
      </c>
      <c r="BN120" s="84">
        <v>0</v>
      </c>
      <c r="BO120" s="84" vm="16334">
        <v>41963</v>
      </c>
      <c r="BP120" s="5" vm="17739">
        <f xml:space="preserve"> VfM_Metrics_2023_Entity[[#This Row],[Total social housing units owned and/or managed at period end]]</f>
        <v>2390</v>
      </c>
      <c r="BQ120" s="135" vm="17739">
        <v>2390</v>
      </c>
      <c r="BR120" s="134">
        <f xml:space="preserve"> IFERROR( VfM_Metrics_2023_Entity[[#This Row],[SHL operating surplus / (deficit)]] / VfM_Metrics_2023_Entity[[#This Row],[Turnover from social housing lettings]], "n/a" )</f>
        <v>-5.9482583010796494E-2</v>
      </c>
      <c r="BS120" s="5" vm="18022">
        <f xml:space="preserve"> VfM_Metrics_2023_Entity[[#This Row],[Operating surplus/(deficit) (social housing lettings)]]</f>
        <v>-1752</v>
      </c>
      <c r="BT120" s="84" vm="18022">
        <v>-1752</v>
      </c>
      <c r="BU120" s="5" vm="18198">
        <f xml:space="preserve"> VfM_Metrics_2023_Entity[[#This Row],[Turnover from social housing lettings]]</f>
        <v>29454</v>
      </c>
      <c r="BV120" s="135" vm="18198">
        <v>29454</v>
      </c>
      <c r="BW120" s="134">
        <f xml:space="preserve"> IFERROR( VfM_Metrics_2023_Entity[[#This Row],[Net operating surplus]] / VfM_Metrics_2023_Entity[[#This Row],[Overall turnover]], "n/a" )</f>
        <v>-2.1363244655714007E-2</v>
      </c>
      <c r="BX120" s="5">
        <f xml:space="preserve"> SUM( VfM_Metrics_2023_Entity[[#This Row],[Operating surplus/(deficit) (overall)2]], - VfM_Metrics_2023_Entity[[#This Row],[Gain/(loss) on disposal of fixed assets (housing properties)2]], - VfM_Metrics_2023_Entity[[#This Row],[Gain/(loss) on disposal of fixed assets (other)2]] )</f>
        <v>-1537</v>
      </c>
      <c r="BY120" s="84" vm="13622">
        <v>-1499</v>
      </c>
      <c r="BZ120" s="84" vm="14752">
        <v>38</v>
      </c>
      <c r="CA120" s="84" vm="14996">
        <v>0</v>
      </c>
      <c r="CB120" s="5" vm="18373">
        <f xml:space="preserve"> VfM_Metrics_2023_Entity[[#This Row],[Turnover (overall)]]</f>
        <v>71946</v>
      </c>
      <c r="CC120" s="135" vm="18373">
        <v>71946</v>
      </c>
      <c r="CD120" s="134">
        <f xml:space="preserve"> IFERROR( VfM_Metrics_2023_Entity[[#This Row],[Operating surplus including from JVs]] / VfM_Metrics_2023_Entity[[#This Row],[Net assets]], "n/a" )</f>
        <v>-8.8089935181321875E-3</v>
      </c>
      <c r="CE120" s="5">
        <f xml:space="preserve"> SUM( VfM_Metrics_2023_Entity[[#This Row],[Operating surplus/(deficit) (overall)3]], VfM_Metrics_2023_Entity[[#This Row],[Share of operating surplus/(deficit) in joint ventures or associates]] )</f>
        <v>-1499</v>
      </c>
      <c r="CF120" s="84" vm="13622">
        <v>-1499</v>
      </c>
      <c r="CG120" s="84" vm="18538">
        <v>0</v>
      </c>
      <c r="CH120" s="5" vm="18744">
        <f xml:space="preserve"> VfM_Metrics_2023_Entity[[#This Row],[Total assets less current liabilities]]</f>
        <v>170167</v>
      </c>
      <c r="CI120" s="135" vm="18744">
        <v>170167</v>
      </c>
      <c r="CJ120" s="140" vm="11377">
        <f xml:space="preserve"> VfM_Metrics_2023_Entity[[#This Row],[Total social housing units owned (Period end)]]</f>
        <v>1195</v>
      </c>
      <c r="CK120" s="141">
        <v>0.94895397489539746</v>
      </c>
      <c r="CL120" s="69">
        <f xml:space="preserve"> -- ( VfM_Metrics_2023_Entity[[#This Row],[% Supported housing (excl. HOP)]] &gt; 0.3 )</f>
        <v>1</v>
      </c>
      <c r="CM120" s="9">
        <v>0</v>
      </c>
      <c r="CN120" s="69">
        <f xml:space="preserve"> -- ( VfM_Metrics_2023_Entity[[#This Row],[% Housing for older people]] &gt; 0.3 )</f>
        <v>0</v>
      </c>
      <c r="CO120" s="9">
        <f xml:space="preserve"> VfM_Metrics_2023_Entity[[#This Row],[% Supported housing (excl. HOP)]] + VfM_Metrics_2023_Entity[[#This Row],[% Housing for older people]]</f>
        <v>0.94895397489539746</v>
      </c>
      <c r="CP120" s="69">
        <f xml:space="preserve"> -- ( VfM_Metrics_2023_Entity[[#This Row],[SH specialist in RSH analysis]] + VfM_Metrics_2023_Entity[[#This Row],[OP specialist in RSH analysis]] &gt; 0 )</f>
        <v>1</v>
      </c>
      <c r="CQ120" s="142">
        <f xml:space="preserve"> -- ( VfM_Metrics_2023_Entity[[#This Row],[% SH and OP]] &gt; 0.3 )</f>
        <v>1</v>
      </c>
      <c r="CR120" s="143" t="s">
        <v>143</v>
      </c>
      <c r="CS120" s="120"/>
      <c r="CT120" s="144" t="s">
        <v>144</v>
      </c>
      <c r="CU12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20" s="146">
        <v>0.82931034482758625</v>
      </c>
      <c r="CW120" s="146">
        <v>0.16982758620689656</v>
      </c>
      <c r="CX120" s="146">
        <v>0</v>
      </c>
      <c r="CY120" s="146">
        <v>0</v>
      </c>
      <c r="CZ120" s="146">
        <v>0</v>
      </c>
      <c r="DA120" s="146">
        <v>8.6206896551724137E-4</v>
      </c>
      <c r="DB120" s="146">
        <v>0</v>
      </c>
      <c r="DC120" s="146">
        <v>0</v>
      </c>
      <c r="DD120" s="146">
        <v>0</v>
      </c>
      <c r="DE120" s="126">
        <v>1.1387316615063199</v>
      </c>
    </row>
    <row r="121" spans="1:109" x14ac:dyDescent="0.25">
      <c r="A121" s="4" t="s" vm="276">
        <v>338</v>
      </c>
      <c r="B121" s="4" t="s" vm="9369">
        <v>339</v>
      </c>
      <c r="C121" s="121" vm="18928">
        <v>45016</v>
      </c>
      <c r="D121" s="68">
        <f>IFERROR( VfM_Metrics_2023_Entity[[#This Row],[Reinvestment Spend]] / VfM_Metrics_2023_Entity[[#This Row],[Net Book Value of Housing Properties]], "n/a" )</f>
        <v>6.6310396495591895E-2</v>
      </c>
      <c r="E12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15622</v>
      </c>
      <c r="F121" s="84" vm="9491">
        <v>13145</v>
      </c>
      <c r="G121" s="84" vm="9618">
        <v>0</v>
      </c>
      <c r="H121" s="84" vm="9678">
        <v>2477</v>
      </c>
      <c r="I121" s="84" vm="9724">
        <v>0</v>
      </c>
      <c r="J121" s="84" vm="9764">
        <v>0</v>
      </c>
      <c r="K121" s="5">
        <f xml:space="preserve"> SUM( VfM_Metrics_2023_Entity[[#This Row],[Tangible fixed assets: Housing properties at cost (Current period)]],VfM_Metrics_2023_Entity[[#This Row],[Tangible fixed assets Housing properties at valuation (Current period)]] )</f>
        <v>235589</v>
      </c>
      <c r="L121" s="84" vm="10849">
        <v>235589</v>
      </c>
      <c r="M121" s="84">
        <v>0</v>
      </c>
      <c r="N121" s="134">
        <f xml:space="preserve"> IFERROR( VfM_Metrics_2023_Entity[[#This Row],[Total social units developed or newly built units acquired in-year]] / VfM_Metrics_2023_Entity[[#This Row],[Social housing units owned (period end)]], "n/a" )</f>
        <v>2.7420214791682536E-3</v>
      </c>
      <c r="O121" s="5">
        <f xml:space="preserve"> SUM( VfM_Metrics_2023_Entity[[#This Row],[Total social units developed or newly built units acquired in-year (owned)]], VfM_Metrics_2023_Entity[[#This Row],[Total social leasehold units developed or newly built units acquired in-year (owned)]] )</f>
        <v>36</v>
      </c>
      <c r="P121" s="84" vm="11091">
        <v>36</v>
      </c>
      <c r="Q121" s="84">
        <v>0</v>
      </c>
      <c r="R121" s="5">
        <f xml:space="preserve"> SUM( VfM_Metrics_2023_Entity[[#This Row],[Total social housing units owned (Period end)]], VfM_Metrics_2023_Entity[[#This Row],[Total social leasehold units owned (Period end)]] )</f>
        <v>13129</v>
      </c>
      <c r="S121" s="84" vm="11300">
        <v>12634</v>
      </c>
      <c r="T121" s="135" vm="11498">
        <v>495</v>
      </c>
      <c r="U121" s="136">
        <f xml:space="preserve"> IFERROR( VfM_Metrics_2023_Entity[[#This Row],[Total non-social housing units developed or newly built units acquired (owned)]] / VfM_Metrics_2023_Entity[[#This Row],[Total social and non-social housing units owned (Period end)]], "n/a" )</f>
        <v>0</v>
      </c>
      <c r="V12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21" s="84">
        <v>0</v>
      </c>
      <c r="X121" s="84">
        <v>0</v>
      </c>
      <c r="Y121" s="84">
        <v>0</v>
      </c>
      <c r="Z12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13133</v>
      </c>
      <c r="AA121" s="84" vm="11955">
        <v>12634</v>
      </c>
      <c r="AB121" s="84" vm="12446">
        <v>495</v>
      </c>
      <c r="AC121" s="84" vm="12369">
        <v>4</v>
      </c>
      <c r="AD121" s="135" vm="12509">
        <v>0</v>
      </c>
      <c r="AE121" s="134">
        <f xml:space="preserve"> IFERROR( VfM_Metrics_2023_Entity[[#This Row],[Total Net Debt]] / VfM_Metrics_2023_Entity[[#This Row],[Net Book Value of Housing Properties2]], "n/a" )</f>
        <v>0.31932730305744328</v>
      </c>
      <c r="AF12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75230</v>
      </c>
      <c r="AG121" s="84">
        <v>0</v>
      </c>
      <c r="AH121" s="84" vm="13336">
        <v>87391</v>
      </c>
      <c r="AI121" s="84" vm="12906">
        <v>12161</v>
      </c>
      <c r="AJ121" s="84">
        <v>0</v>
      </c>
      <c r="AK121" s="84">
        <v>0</v>
      </c>
      <c r="AL121" s="5">
        <f xml:space="preserve"> SUM( VfM_Metrics_2023_Entity[[#This Row],[Tangible fixed assets: Housing properties at cost (Current period)2]], VfM_Metrics_2023_Entity[[#This Row],[Tangible fixed assets Housing properties at valuation (Current period)2]] )</f>
        <v>235589</v>
      </c>
      <c r="AM121" s="84" vm="9992">
        <v>235589</v>
      </c>
      <c r="AN121" s="135">
        <v>0</v>
      </c>
      <c r="AO121" s="137">
        <f xml:space="preserve"> IFERROR( VfM_Metrics_2023_Entity[[#This Row],[EBITDA MRI]] / VfM_Metrics_2023_Entity[[#This Row],[Total interest]], "n/a" )</f>
        <v>1.4672586015538291</v>
      </c>
      <c r="AP12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5288</v>
      </c>
      <c r="AQ121" s="84" vm="13447">
        <v>1243</v>
      </c>
      <c r="AR121" s="84" vm="14997">
        <v>3388</v>
      </c>
      <c r="AS121" s="84" vm="13762">
        <v>0</v>
      </c>
      <c r="AT121" s="84" vm="14015">
        <v>346</v>
      </c>
      <c r="AU121" s="84" vm="14262">
        <v>0</v>
      </c>
      <c r="AV121" s="84" vm="14507">
        <v>456</v>
      </c>
      <c r="AW121" s="84" vm="14754">
        <v>2477</v>
      </c>
      <c r="AX121" s="84" vm="14998">
        <v>9800</v>
      </c>
      <c r="AY121" s="5">
        <f xml:space="preserve"> - SUM( VfM_Metrics_2023_Entity[[#This Row],[Interest capitalised]], VfM_Metrics_2023_Entity[[#This Row],[Interest payable and financing costs]] )</f>
        <v>3604</v>
      </c>
      <c r="AZ121" s="84" vm="15303">
        <v>0</v>
      </c>
      <c r="BA121" s="135" vm="15491">
        <v>-3604</v>
      </c>
      <c r="BB121" s="138">
        <f xml:space="preserve"> IFERROR( ( VfM_Metrics_2023_Entity[[#This Row],[Total Costs]] / VfM_Metrics_2023_Entity[[#This Row],[Total units for costs]] ) * 1000, "n/a" )</f>
        <v>4952.3057485786476</v>
      </c>
      <c r="BC12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62716</v>
      </c>
      <c r="BD121" s="84" vm="17341">
        <v>24954</v>
      </c>
      <c r="BE121" s="84" vm="16178">
        <v>3762</v>
      </c>
      <c r="BF121" s="84" vm="17573">
        <v>10982</v>
      </c>
      <c r="BG121" s="84" vm="16335">
        <v>7959</v>
      </c>
      <c r="BH121" s="84" vm="16635">
        <v>11678</v>
      </c>
      <c r="BI121" s="84" vm="16808">
        <v>539</v>
      </c>
      <c r="BJ121" s="84" vm="16879">
        <v>2477</v>
      </c>
      <c r="BK121" s="84" vm="17047">
        <v>74</v>
      </c>
      <c r="BL121" s="84" vm="17342">
        <v>291</v>
      </c>
      <c r="BM121" s="84">
        <v>0</v>
      </c>
      <c r="BN121" s="84">
        <v>0</v>
      </c>
      <c r="BO121" s="84">
        <v>0</v>
      </c>
      <c r="BP121" s="5" vm="17772">
        <f xml:space="preserve"> VfM_Metrics_2023_Entity[[#This Row],[Total social housing units owned and/or managed at period end]]</f>
        <v>12664</v>
      </c>
      <c r="BQ121" s="135" vm="17772">
        <v>12664</v>
      </c>
      <c r="BR121" s="134">
        <f xml:space="preserve"> IFERROR( VfM_Metrics_2023_Entity[[#This Row],[SHL operating surplus / (deficit)]] / VfM_Metrics_2023_Entity[[#This Row],[Turnover from social housing lettings]], "n/a" )</f>
        <v>-5.6320533212148756E-2</v>
      </c>
      <c r="BS121" s="5" vm="17850">
        <f xml:space="preserve"> VfM_Metrics_2023_Entity[[#This Row],[Operating surplus/(deficit) (social housing lettings)]]</f>
        <v>-3718</v>
      </c>
      <c r="BT121" s="84" vm="17850">
        <v>-3718</v>
      </c>
      <c r="BU121" s="5" vm="18060">
        <f xml:space="preserve"> VfM_Metrics_2023_Entity[[#This Row],[Turnover from social housing lettings]]</f>
        <v>66015</v>
      </c>
      <c r="BV121" s="135" vm="18060">
        <v>66015</v>
      </c>
      <c r="BW121" s="134">
        <f xml:space="preserve"> IFERROR( VfM_Metrics_2023_Entity[[#This Row],[Net operating surplus]] / VfM_Metrics_2023_Entity[[#This Row],[Overall turnover]], "n/a" )</f>
        <v>-3.0817194414114131E-2</v>
      </c>
      <c r="BX121" s="5">
        <f xml:space="preserve"> SUM( VfM_Metrics_2023_Entity[[#This Row],[Operating surplus/(deficit) (overall)2]], - VfM_Metrics_2023_Entity[[#This Row],[Gain/(loss) on disposal of fixed assets (housing properties)2]], - VfM_Metrics_2023_Entity[[#This Row],[Gain/(loss) on disposal of fixed assets (other)2]] )</f>
        <v>-2145</v>
      </c>
      <c r="BY121" s="84" vm="13520">
        <v>1243</v>
      </c>
      <c r="BZ121" s="84" vm="14997">
        <v>3388</v>
      </c>
      <c r="CA121" s="84" vm="13762">
        <v>0</v>
      </c>
      <c r="CB121" s="5" vm="18368">
        <f xml:space="preserve"> VfM_Metrics_2023_Entity[[#This Row],[Turnover (overall)]]</f>
        <v>69604</v>
      </c>
      <c r="CC121" s="135" vm="18368">
        <v>69604</v>
      </c>
      <c r="CD121" s="134">
        <f xml:space="preserve"> IFERROR( VfM_Metrics_2023_Entity[[#This Row],[Operating surplus including from JVs]] / VfM_Metrics_2023_Entity[[#This Row],[Net assets]], "n/a" )</f>
        <v>4.7201157434656965E-3</v>
      </c>
      <c r="CE121" s="5">
        <f xml:space="preserve"> SUM( VfM_Metrics_2023_Entity[[#This Row],[Operating surplus/(deficit) (overall)3]], VfM_Metrics_2023_Entity[[#This Row],[Share of operating surplus/(deficit) in joint ventures or associates]] )</f>
        <v>1243</v>
      </c>
      <c r="CF121" s="84" vm="13447">
        <v>1243</v>
      </c>
      <c r="CG121" s="84">
        <v>0</v>
      </c>
      <c r="CH121" s="5" vm="18587">
        <f xml:space="preserve"> VfM_Metrics_2023_Entity[[#This Row],[Total assets less current liabilities]]</f>
        <v>263341</v>
      </c>
      <c r="CI121" s="135" vm="18587">
        <v>263341</v>
      </c>
      <c r="CJ121" s="140" vm="11300">
        <f xml:space="preserve"> VfM_Metrics_2023_Entity[[#This Row],[Total social housing units owned (Period end)]]</f>
        <v>12634</v>
      </c>
      <c r="CK121" s="141">
        <v>1.9891788669637173E-3</v>
      </c>
      <c r="CL121" s="69">
        <f xml:space="preserve"> -- ( VfM_Metrics_2023_Entity[[#This Row],[% Supported housing (excl. HOP)]] &gt; 0.3 )</f>
        <v>0</v>
      </c>
      <c r="CM121" s="9">
        <v>0.12866008911521323</v>
      </c>
      <c r="CN121" s="69">
        <f xml:space="preserve"> -- ( VfM_Metrics_2023_Entity[[#This Row],[% Housing for older people]] &gt; 0.3 )</f>
        <v>0</v>
      </c>
      <c r="CO121" s="9">
        <f xml:space="preserve"> VfM_Metrics_2023_Entity[[#This Row],[% Supported housing (excl. HOP)]] + VfM_Metrics_2023_Entity[[#This Row],[% Housing for older people]]</f>
        <v>0.13064926798217696</v>
      </c>
      <c r="CP121" s="69">
        <f xml:space="preserve"> -- ( VfM_Metrics_2023_Entity[[#This Row],[SH specialist in RSH analysis]] + VfM_Metrics_2023_Entity[[#This Row],[OP specialist in RSH analysis]] &gt; 0 )</f>
        <v>0</v>
      </c>
      <c r="CQ121" s="142">
        <f xml:space="preserve"> -- ( VfM_Metrics_2023_Entity[[#This Row],[% SH and OP]] &gt; 0.3 )</f>
        <v>0</v>
      </c>
      <c r="CR121" s="143" t="s">
        <v>143</v>
      </c>
      <c r="CS121" s="120"/>
      <c r="CT121" s="144" t="s">
        <v>151</v>
      </c>
      <c r="CU12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21" s="146">
        <v>0</v>
      </c>
      <c r="CW121" s="146">
        <v>0</v>
      </c>
      <c r="CX121" s="146">
        <v>0</v>
      </c>
      <c r="CY121" s="146">
        <v>0</v>
      </c>
      <c r="CZ121" s="146">
        <v>0</v>
      </c>
      <c r="DA121" s="146">
        <v>0</v>
      </c>
      <c r="DB121" s="146">
        <v>0</v>
      </c>
      <c r="DC121" s="146">
        <v>1</v>
      </c>
      <c r="DD121" s="146">
        <v>0</v>
      </c>
      <c r="DE121" s="126">
        <v>0.96105917141044694</v>
      </c>
    </row>
    <row r="122" spans="1:109" x14ac:dyDescent="0.25">
      <c r="A122" s="4" t="s" vm="368">
        <v>340</v>
      </c>
      <c r="B122" s="4" t="s" vm="9292">
        <v>341</v>
      </c>
      <c r="C122" s="121" vm="18882">
        <v>45016</v>
      </c>
      <c r="D122" s="68">
        <f>IFERROR( VfM_Metrics_2023_Entity[[#This Row],[Reinvestment Spend]] / VfM_Metrics_2023_Entity[[#This Row],[Net Book Value of Housing Properties]], "n/a" )</f>
        <v>5.4986608255128314E-2</v>
      </c>
      <c r="E12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21187</v>
      </c>
      <c r="F122" s="84" vm="10356">
        <v>13473</v>
      </c>
      <c r="G122" s="84" vm="9567">
        <v>111</v>
      </c>
      <c r="H122" s="84" vm="10944">
        <v>7343</v>
      </c>
      <c r="I122" s="84" vm="10869">
        <v>260</v>
      </c>
      <c r="J122" s="84" vm="10773">
        <v>0</v>
      </c>
      <c r="K122" s="5">
        <f xml:space="preserve"> SUM( VfM_Metrics_2023_Entity[[#This Row],[Tangible fixed assets: Housing properties at cost (Current period)]],VfM_Metrics_2023_Entity[[#This Row],[Tangible fixed assets Housing properties at valuation (Current period)]] )</f>
        <v>385312</v>
      </c>
      <c r="L122" s="84" vm="9898">
        <v>385312</v>
      </c>
      <c r="M122" s="84" vm="10742">
        <v>0</v>
      </c>
      <c r="N122" s="134">
        <f xml:space="preserve"> IFERROR( VfM_Metrics_2023_Entity[[#This Row],[Total social units developed or newly built units acquired in-year]] / VfM_Metrics_2023_Entity[[#This Row],[Social housing units owned (period end)]], "n/a" )</f>
        <v>9.6339113680154135E-3</v>
      </c>
      <c r="O122" s="5">
        <f xml:space="preserve"> SUM( VfM_Metrics_2023_Entity[[#This Row],[Total social units developed or newly built units acquired in-year (owned)]], VfM_Metrics_2023_Entity[[#This Row],[Total social leasehold units developed or newly built units acquired in-year (owned)]] )</f>
        <v>85</v>
      </c>
      <c r="P122" s="84" vm="11013">
        <v>85</v>
      </c>
      <c r="Q122" s="84">
        <v>0</v>
      </c>
      <c r="R122" s="5">
        <f xml:space="preserve"> SUM( VfM_Metrics_2023_Entity[[#This Row],[Total social housing units owned (Period end)]], VfM_Metrics_2023_Entity[[#This Row],[Total social leasehold units owned (Period end)]] )</f>
        <v>8823</v>
      </c>
      <c r="S122" s="84" vm="11379">
        <v>8450</v>
      </c>
      <c r="T122" s="135" vm="11426">
        <v>373</v>
      </c>
      <c r="U122" s="136">
        <f xml:space="preserve"> IFERROR( VfM_Metrics_2023_Entity[[#This Row],[Total non-social housing units developed or newly built units acquired (owned)]] / VfM_Metrics_2023_Entity[[#This Row],[Total social and non-social housing units owned (Period end)]], "n/a" )</f>
        <v>0</v>
      </c>
      <c r="V12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22" s="84">
        <v>0</v>
      </c>
      <c r="X122" s="84">
        <v>0</v>
      </c>
      <c r="Y122" s="84" vm="11748">
        <v>0</v>
      </c>
      <c r="Z12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8997</v>
      </c>
      <c r="AA122" s="84" vm="11347">
        <v>8450</v>
      </c>
      <c r="AB122" s="84" vm="11426">
        <v>373</v>
      </c>
      <c r="AC122" s="84" vm="12115">
        <v>62</v>
      </c>
      <c r="AD122" s="135" vm="12273">
        <v>112</v>
      </c>
      <c r="AE122" s="134">
        <f xml:space="preserve"> IFERROR( VfM_Metrics_2023_Entity[[#This Row],[Total Net Debt]] / VfM_Metrics_2023_Entity[[#This Row],[Net Book Value of Housing Properties2]], "n/a" )</f>
        <v>0.262335458018437</v>
      </c>
      <c r="AF12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101081</v>
      </c>
      <c r="AG122" s="84" vm="12594">
        <v>0</v>
      </c>
      <c r="AH122" s="84" vm="12767">
        <v>118612</v>
      </c>
      <c r="AI122" s="84" vm="13245">
        <v>17531</v>
      </c>
      <c r="AJ122" s="84" vm="13297">
        <v>0</v>
      </c>
      <c r="AK122" s="84" vm="12864">
        <v>0</v>
      </c>
      <c r="AL122" s="5">
        <f xml:space="preserve"> SUM( VfM_Metrics_2023_Entity[[#This Row],[Tangible fixed assets: Housing properties at cost (Current period)2]], VfM_Metrics_2023_Entity[[#This Row],[Tangible fixed assets Housing properties at valuation (Current period)2]] )</f>
        <v>385312</v>
      </c>
      <c r="AM122" s="84" vm="13382">
        <v>385312</v>
      </c>
      <c r="AN122" s="135" vm="10093">
        <v>0</v>
      </c>
      <c r="AO122" s="137">
        <f xml:space="preserve"> IFERROR( VfM_Metrics_2023_Entity[[#This Row],[EBITDA MRI]] / VfM_Metrics_2023_Entity[[#This Row],[Total interest]], "n/a" )</f>
        <v>2.5849735957753239</v>
      </c>
      <c r="AP12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10769</v>
      </c>
      <c r="AQ122" s="84" vm="13483">
        <v>9329</v>
      </c>
      <c r="AR122" s="84" vm="13763">
        <v>641</v>
      </c>
      <c r="AS122" s="84" vm="14016">
        <v>114</v>
      </c>
      <c r="AT122" s="84" vm="14263">
        <v>90</v>
      </c>
      <c r="AU122" s="84" vm="14508">
        <v>0</v>
      </c>
      <c r="AV122" s="84" vm="14755">
        <v>213</v>
      </c>
      <c r="AW122" s="84" vm="14999">
        <v>7343</v>
      </c>
      <c r="AX122" s="84" vm="13764">
        <v>9415</v>
      </c>
      <c r="AY122" s="5">
        <f xml:space="preserve"> - SUM( VfM_Metrics_2023_Entity[[#This Row],[Interest capitalised]], VfM_Metrics_2023_Entity[[#This Row],[Interest payable and financing costs]] )</f>
        <v>4166</v>
      </c>
      <c r="AZ122" s="84" vm="15165">
        <v>-260</v>
      </c>
      <c r="BA122" s="135" vm="15329">
        <v>-3906</v>
      </c>
      <c r="BB122" s="138">
        <f xml:space="preserve"> IFERROR( ( VfM_Metrics_2023_Entity[[#This Row],[Total Costs]] / VfM_Metrics_2023_Entity[[#This Row],[Total units for costs]] ) * 1000, "n/a" )</f>
        <v>4582.1513002364072</v>
      </c>
      <c r="BC12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38765</v>
      </c>
      <c r="BD122" s="84" vm="15522">
        <v>12953</v>
      </c>
      <c r="BE122" s="84" vm="16809">
        <v>4311</v>
      </c>
      <c r="BF122" s="84" vm="17048">
        <v>7542</v>
      </c>
      <c r="BG122" s="84" vm="17116">
        <v>3296</v>
      </c>
      <c r="BH122" s="84" vm="17260">
        <v>2001</v>
      </c>
      <c r="BI122" s="84" vm="16338">
        <v>271</v>
      </c>
      <c r="BJ122" s="84" vm="17574">
        <v>7343</v>
      </c>
      <c r="BK122" s="84" vm="15983">
        <v>560</v>
      </c>
      <c r="BL122" s="84" vm="15923">
        <v>180</v>
      </c>
      <c r="BM122" s="84">
        <v>0</v>
      </c>
      <c r="BN122" s="84" vm="16814">
        <v>302</v>
      </c>
      <c r="BO122" s="84" vm="16636">
        <v>6</v>
      </c>
      <c r="BP122" s="5" vm="17634">
        <f xml:space="preserve"> VfM_Metrics_2023_Entity[[#This Row],[Total social housing units owned and/or managed at period end]]</f>
        <v>8460</v>
      </c>
      <c r="BQ122" s="135" vm="17634">
        <v>8460</v>
      </c>
      <c r="BR122" s="134">
        <f xml:space="preserve"> IFERROR( VfM_Metrics_2023_Entity[[#This Row],[SHL operating surplus / (deficit)]] / VfM_Metrics_2023_Entity[[#This Row],[Turnover from social housing lettings]], "n/a" )</f>
        <v>0.16492482388812954</v>
      </c>
      <c r="BS122" s="5" vm="17888">
        <f xml:space="preserve"> VfM_Metrics_2023_Entity[[#This Row],[Operating surplus/(deficit) (social housing lettings)]]</f>
        <v>7843</v>
      </c>
      <c r="BT122" s="84" vm="17888">
        <v>7843</v>
      </c>
      <c r="BU122" s="5" vm="18087">
        <f xml:space="preserve"> VfM_Metrics_2023_Entity[[#This Row],[Turnover from social housing lettings]]</f>
        <v>47555</v>
      </c>
      <c r="BV122" s="135" vm="18087">
        <v>47555</v>
      </c>
      <c r="BW122" s="134">
        <f xml:space="preserve"> IFERROR( VfM_Metrics_2023_Entity[[#This Row],[Net operating surplus]] / VfM_Metrics_2023_Entity[[#This Row],[Overall turnover]], "n/a" )</f>
        <v>0.16125331477685204</v>
      </c>
      <c r="BX122" s="5">
        <f xml:space="preserve"> SUM( VfM_Metrics_2023_Entity[[#This Row],[Operating surplus/(deficit) (overall)2]], - VfM_Metrics_2023_Entity[[#This Row],[Gain/(loss) on disposal of fixed assets (housing properties)2]], - VfM_Metrics_2023_Entity[[#This Row],[Gain/(loss) on disposal of fixed assets (other)2]] )</f>
        <v>8574</v>
      </c>
      <c r="BY122" s="84" vm="15132">
        <v>9329</v>
      </c>
      <c r="BZ122" s="84" vm="13763">
        <v>641</v>
      </c>
      <c r="CA122" s="84" vm="14016">
        <v>114</v>
      </c>
      <c r="CB122" s="5" vm="18406">
        <f xml:space="preserve"> VfM_Metrics_2023_Entity[[#This Row],[Turnover (overall)]]</f>
        <v>53171</v>
      </c>
      <c r="CC122" s="135" vm="18406">
        <v>53171</v>
      </c>
      <c r="CD122" s="134">
        <f xml:space="preserve"> IFERROR( VfM_Metrics_2023_Entity[[#This Row],[Operating surplus including from JVs]] / VfM_Metrics_2023_Entity[[#This Row],[Net assets]], "n/a" )</f>
        <v>2.3557188490334963E-2</v>
      </c>
      <c r="CE122" s="5">
        <f xml:space="preserve"> SUM( VfM_Metrics_2023_Entity[[#This Row],[Operating surplus/(deficit) (overall)3]], VfM_Metrics_2023_Entity[[#This Row],[Share of operating surplus/(deficit) in joint ventures or associates]] )</f>
        <v>9329</v>
      </c>
      <c r="CF122" s="84" vm="15132">
        <v>9329</v>
      </c>
      <c r="CG122" s="84" vm="18456">
        <v>0</v>
      </c>
      <c r="CH122" s="5" vm="18624">
        <f xml:space="preserve"> VfM_Metrics_2023_Entity[[#This Row],[Total assets less current liabilities]]</f>
        <v>396015</v>
      </c>
      <c r="CI122" s="135" vm="18624">
        <v>396015</v>
      </c>
      <c r="CJ122" s="140" vm="11379">
        <f xml:space="preserve"> VfM_Metrics_2023_Entity[[#This Row],[Total social housing units owned (Period end)]]</f>
        <v>8450</v>
      </c>
      <c r="CK122" s="141">
        <v>2.5439847836424157E-2</v>
      </c>
      <c r="CL122" s="69">
        <f xml:space="preserve"> -- ( VfM_Metrics_2023_Entity[[#This Row],[% Supported housing (excl. HOP)]] &gt; 0.3 )</f>
        <v>0</v>
      </c>
      <c r="CM122" s="9">
        <v>0.21944840703756538</v>
      </c>
      <c r="CN122" s="69">
        <f xml:space="preserve"> -- ( VfM_Metrics_2023_Entity[[#This Row],[% Housing for older people]] &gt; 0.3 )</f>
        <v>0</v>
      </c>
      <c r="CO122" s="9">
        <f xml:space="preserve"> VfM_Metrics_2023_Entity[[#This Row],[% Supported housing (excl. HOP)]] + VfM_Metrics_2023_Entity[[#This Row],[% Housing for older people]]</f>
        <v>0.24488825487398955</v>
      </c>
      <c r="CP122" s="69">
        <f xml:space="preserve"> -- ( VfM_Metrics_2023_Entity[[#This Row],[SH specialist in RSH analysis]] + VfM_Metrics_2023_Entity[[#This Row],[OP specialist in RSH analysis]] &gt; 0 )</f>
        <v>0</v>
      </c>
      <c r="CQ122" s="142">
        <f xml:space="preserve"> -- ( VfM_Metrics_2023_Entity[[#This Row],[% SH and OP]] &gt; 0.3 )</f>
        <v>0</v>
      </c>
      <c r="CR122" s="143" t="s">
        <v>143</v>
      </c>
      <c r="CS122" s="120"/>
      <c r="CT122" s="144" t="s">
        <v>151</v>
      </c>
      <c r="CU12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22" s="146">
        <v>0</v>
      </c>
      <c r="CW122" s="146">
        <v>0</v>
      </c>
      <c r="CX122" s="146">
        <v>1</v>
      </c>
      <c r="CY122" s="146">
        <v>0</v>
      </c>
      <c r="CZ122" s="146">
        <v>0</v>
      </c>
      <c r="DA122" s="146">
        <v>0</v>
      </c>
      <c r="DB122" s="146">
        <v>0</v>
      </c>
      <c r="DC122" s="146">
        <v>0</v>
      </c>
      <c r="DD122" s="146">
        <v>0</v>
      </c>
      <c r="DE122" s="126">
        <v>0.97511902715076015</v>
      </c>
    </row>
    <row r="123" spans="1:109" x14ac:dyDescent="0.25">
      <c r="A123" s="4" t="s" vm="232">
        <v>342</v>
      </c>
      <c r="B123" s="4" t="s" vm="9269">
        <v>343</v>
      </c>
      <c r="C123" s="121" vm="18865">
        <v>45016</v>
      </c>
      <c r="D123" s="68">
        <f>IFERROR( VfM_Metrics_2023_Entity[[#This Row],[Reinvestment Spend]] / VfM_Metrics_2023_Entity[[#This Row],[Net Book Value of Housing Properties]], "n/a" )</f>
        <v>1.469493880844578E-2</v>
      </c>
      <c r="E12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1639</v>
      </c>
      <c r="F123" s="84" vm="9451">
        <v>0</v>
      </c>
      <c r="G123" s="84" vm="9504">
        <v>1086</v>
      </c>
      <c r="H123" s="84" vm="9692">
        <v>553</v>
      </c>
      <c r="I123" s="84" vm="10910">
        <v>0</v>
      </c>
      <c r="J123" s="84" vm="10497">
        <v>0</v>
      </c>
      <c r="K123" s="5">
        <f xml:space="preserve"> SUM( VfM_Metrics_2023_Entity[[#This Row],[Tangible fixed assets: Housing properties at cost (Current period)]],VfM_Metrics_2023_Entity[[#This Row],[Tangible fixed assets Housing properties at valuation (Current period)]] )</f>
        <v>111535</v>
      </c>
      <c r="L123" s="84" vm="10529">
        <v>111535</v>
      </c>
      <c r="M123" s="84">
        <v>0</v>
      </c>
      <c r="N123" s="134">
        <f xml:space="preserve"> IFERROR( VfM_Metrics_2023_Entity[[#This Row],[Total social units developed or newly built units acquired in-year]] / VfM_Metrics_2023_Entity[[#This Row],[Social housing units owned (period end)]], "n/a" )</f>
        <v>3.5893754486719309E-3</v>
      </c>
      <c r="O123" s="5">
        <f xml:space="preserve"> SUM( VfM_Metrics_2023_Entity[[#This Row],[Total social units developed or newly built units acquired in-year (owned)]], VfM_Metrics_2023_Entity[[#This Row],[Total social leasehold units developed or newly built units acquired in-year (owned)]] )</f>
        <v>5</v>
      </c>
      <c r="P123" s="84" vm="10969">
        <v>5</v>
      </c>
      <c r="Q123" s="84">
        <v>0</v>
      </c>
      <c r="R123" s="5">
        <f xml:space="preserve"> SUM( VfM_Metrics_2023_Entity[[#This Row],[Total social housing units owned (Period end)]], VfM_Metrics_2023_Entity[[#This Row],[Total social leasehold units owned (Period end)]] )</f>
        <v>1393</v>
      </c>
      <c r="S123" s="84" vm="11253">
        <v>1393</v>
      </c>
      <c r="T123" s="135" vm="11526">
        <v>0</v>
      </c>
      <c r="U123" s="136">
        <f xml:space="preserve"> IFERROR( VfM_Metrics_2023_Entity[[#This Row],[Total non-social housing units developed or newly built units acquired (owned)]] / VfM_Metrics_2023_Entity[[#This Row],[Total social and non-social housing units owned (Period end)]], "n/a" )</f>
        <v>0</v>
      </c>
      <c r="V12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23" s="84">
        <v>0</v>
      </c>
      <c r="X123" s="84">
        <v>0</v>
      </c>
      <c r="Y123" s="84">
        <v>0</v>
      </c>
      <c r="Z12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1394</v>
      </c>
      <c r="AA123" s="84" vm="11969">
        <v>1393</v>
      </c>
      <c r="AB123" s="84" vm="12446">
        <v>0</v>
      </c>
      <c r="AC123" s="84" vm="12369">
        <v>1</v>
      </c>
      <c r="AD123" s="135" vm="12510">
        <v>0</v>
      </c>
      <c r="AE123" s="134">
        <f xml:space="preserve"> IFERROR( VfM_Metrics_2023_Entity[[#This Row],[Total Net Debt]] / VfM_Metrics_2023_Entity[[#This Row],[Net Book Value of Housing Properties2]], "n/a" )</f>
        <v>0.43582731877885866</v>
      </c>
      <c r="AF12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48610</v>
      </c>
      <c r="AG123" s="84" vm="12615">
        <v>1290</v>
      </c>
      <c r="AH123" s="84" vm="12943">
        <v>48949</v>
      </c>
      <c r="AI123" s="84" vm="13037">
        <v>1629</v>
      </c>
      <c r="AJ123" s="84">
        <v>0</v>
      </c>
      <c r="AK123" s="84">
        <v>0</v>
      </c>
      <c r="AL123" s="5">
        <f xml:space="preserve"> SUM( VfM_Metrics_2023_Entity[[#This Row],[Tangible fixed assets: Housing properties at cost (Current period)2]], VfM_Metrics_2023_Entity[[#This Row],[Tangible fixed assets Housing properties at valuation (Current period)2]] )</f>
        <v>111535</v>
      </c>
      <c r="AM123" s="84" vm="10019">
        <v>111535</v>
      </c>
      <c r="AN123" s="135">
        <v>0</v>
      </c>
      <c r="AO123" s="137">
        <f xml:space="preserve"> IFERROR( VfM_Metrics_2023_Entity[[#This Row],[EBITDA MRI]] / VfM_Metrics_2023_Entity[[#This Row],[Total interest]], "n/a" )</f>
        <v>1.7828134196586227</v>
      </c>
      <c r="AP12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3029</v>
      </c>
      <c r="AQ123" s="84" vm="13517">
        <v>2515</v>
      </c>
      <c r="AR123" s="84" vm="14017">
        <v>150</v>
      </c>
      <c r="AS123" s="84">
        <v>0</v>
      </c>
      <c r="AT123" s="84" vm="14509">
        <v>500</v>
      </c>
      <c r="AU123" s="84" vm="14756">
        <v>0</v>
      </c>
      <c r="AV123" s="84" vm="15000">
        <v>22</v>
      </c>
      <c r="AW123" s="84" vm="13765">
        <v>553</v>
      </c>
      <c r="AX123" s="84" vm="14018">
        <v>1695</v>
      </c>
      <c r="AY123" s="5">
        <f xml:space="preserve"> - SUM( VfM_Metrics_2023_Entity[[#This Row],[Interest capitalised]], VfM_Metrics_2023_Entity[[#This Row],[Interest payable and financing costs]] )</f>
        <v>1699</v>
      </c>
      <c r="AZ123" s="84" vm="15303">
        <v>0</v>
      </c>
      <c r="BA123" s="135" vm="15365">
        <v>-1699</v>
      </c>
      <c r="BB123" s="138">
        <f xml:space="preserve"> IFERROR( ( VfM_Metrics_2023_Entity[[#This Row],[Total Costs]] / VfM_Metrics_2023_Entity[[#This Row],[Total units for costs]] ) * 1000, "n/a" )</f>
        <v>3779.6123474515434</v>
      </c>
      <c r="BC12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5265</v>
      </c>
      <c r="BD123" s="84" vm="16116">
        <v>2420</v>
      </c>
      <c r="BE123" s="84" vm="17501">
        <v>301</v>
      </c>
      <c r="BF123" s="84" vm="17575">
        <v>1062</v>
      </c>
      <c r="BG123" s="84" vm="16447">
        <v>707</v>
      </c>
      <c r="BH123" s="84" vm="16637">
        <v>54</v>
      </c>
      <c r="BI123" s="84" vm="16810">
        <v>0</v>
      </c>
      <c r="BJ123" s="84" vm="13765">
        <v>553</v>
      </c>
      <c r="BK123" s="84" vm="17049">
        <v>0</v>
      </c>
      <c r="BL123" s="84" vm="17342">
        <v>11</v>
      </c>
      <c r="BM123" s="84" vm="15925">
        <v>157</v>
      </c>
      <c r="BN123" s="84" vm="16448">
        <v>0</v>
      </c>
      <c r="BO123" s="84">
        <v>0</v>
      </c>
      <c r="BP123" s="5" vm="17670">
        <f xml:space="preserve"> VfM_Metrics_2023_Entity[[#This Row],[Total social housing units owned and/or managed at period end]]</f>
        <v>1393</v>
      </c>
      <c r="BQ123" s="135" vm="17670">
        <v>1393</v>
      </c>
      <c r="BR123" s="134">
        <f xml:space="preserve"> IFERROR( VfM_Metrics_2023_Entity[[#This Row],[SHL operating surplus / (deficit)]] / VfM_Metrics_2023_Entity[[#This Row],[Turnover from social housing lettings]], "n/a" )</f>
        <v>0.27885847408270237</v>
      </c>
      <c r="BS123" s="5" vm="17925">
        <f xml:space="preserve"> VfM_Metrics_2023_Entity[[#This Row],[Operating surplus/(deficit) (social housing lettings)]]</f>
        <v>2394</v>
      </c>
      <c r="BT123" s="84" vm="17925">
        <v>2394</v>
      </c>
      <c r="BU123" s="5" vm="18118">
        <f xml:space="preserve"> VfM_Metrics_2023_Entity[[#This Row],[Turnover from social housing lettings]]</f>
        <v>8585</v>
      </c>
      <c r="BV123" s="135" vm="18118">
        <v>8585</v>
      </c>
      <c r="BW123" s="134">
        <f xml:space="preserve"> IFERROR( VfM_Metrics_2023_Entity[[#This Row],[Net operating surplus]] / VfM_Metrics_2023_Entity[[#This Row],[Overall turnover]], "n/a" )</f>
        <v>0.27096700274977087</v>
      </c>
      <c r="BX123" s="5">
        <f xml:space="preserve"> SUM( VfM_Metrics_2023_Entity[[#This Row],[Operating surplus/(deficit) (overall)2]], - VfM_Metrics_2023_Entity[[#This Row],[Gain/(loss) on disposal of fixed assets (housing properties)2]], - VfM_Metrics_2023_Entity[[#This Row],[Gain/(loss) on disposal of fixed assets (other)2]] )</f>
        <v>2365</v>
      </c>
      <c r="BY123" s="84" vm="13517">
        <v>2515</v>
      </c>
      <c r="BZ123" s="84" vm="14017">
        <v>150</v>
      </c>
      <c r="CA123" s="84">
        <v>0</v>
      </c>
      <c r="CB123" s="5" vm="18275">
        <f xml:space="preserve"> VfM_Metrics_2023_Entity[[#This Row],[Turnover (overall)]]</f>
        <v>8728</v>
      </c>
      <c r="CC123" s="135" vm="18275">
        <v>8728</v>
      </c>
      <c r="CD123" s="134">
        <f xml:space="preserve"> IFERROR( VfM_Metrics_2023_Entity[[#This Row],[Operating surplus including from JVs]] / VfM_Metrics_2023_Entity[[#This Row],[Net assets]], "n/a" )</f>
        <v>2.2253092427754872E-2</v>
      </c>
      <c r="CE123" s="5">
        <f xml:space="preserve"> SUM( VfM_Metrics_2023_Entity[[#This Row],[Operating surplus/(deficit) (overall)3]], VfM_Metrics_2023_Entity[[#This Row],[Share of operating surplus/(deficit) in joint ventures or associates]] )</f>
        <v>2515</v>
      </c>
      <c r="CF123" s="84" vm="13518">
        <v>2515</v>
      </c>
      <c r="CG123" s="84">
        <v>0</v>
      </c>
      <c r="CH123" s="5" vm="18661">
        <f xml:space="preserve"> VfM_Metrics_2023_Entity[[#This Row],[Total assets less current liabilities]]</f>
        <v>113018</v>
      </c>
      <c r="CI123" s="135" vm="18661">
        <v>113018</v>
      </c>
      <c r="CJ123" s="140" vm="11253">
        <f xml:space="preserve"> VfM_Metrics_2023_Entity[[#This Row],[Total social housing units owned (Period end)]]</f>
        <v>1393</v>
      </c>
      <c r="CK123" s="141">
        <v>0</v>
      </c>
      <c r="CL123" s="69">
        <f xml:space="preserve"> -- ( VfM_Metrics_2023_Entity[[#This Row],[% Supported housing (excl. HOP)]] &gt; 0.3 )</f>
        <v>0</v>
      </c>
      <c r="CM123" s="9">
        <v>0</v>
      </c>
      <c r="CN123" s="69">
        <f xml:space="preserve"> -- ( VfM_Metrics_2023_Entity[[#This Row],[% Housing for older people]] &gt; 0.3 )</f>
        <v>0</v>
      </c>
      <c r="CO123" s="9">
        <f xml:space="preserve"> VfM_Metrics_2023_Entity[[#This Row],[% Supported housing (excl. HOP)]] + VfM_Metrics_2023_Entity[[#This Row],[% Housing for older people]]</f>
        <v>0</v>
      </c>
      <c r="CP123" s="69">
        <f xml:space="preserve"> -- ( VfM_Metrics_2023_Entity[[#This Row],[SH specialist in RSH analysis]] + VfM_Metrics_2023_Entity[[#This Row],[OP specialist in RSH analysis]] &gt; 0 )</f>
        <v>0</v>
      </c>
      <c r="CQ123" s="142">
        <f xml:space="preserve"> -- ( VfM_Metrics_2023_Entity[[#This Row],[% SH and OP]] &gt; 0.3 )</f>
        <v>0</v>
      </c>
      <c r="CR123" s="143" t="s">
        <v>143</v>
      </c>
      <c r="CS123" s="120"/>
      <c r="CT123" s="144" t="s">
        <v>144</v>
      </c>
      <c r="CU12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123" s="146">
        <v>0</v>
      </c>
      <c r="CW123" s="146">
        <v>0</v>
      </c>
      <c r="CX123" s="146">
        <v>0</v>
      </c>
      <c r="CY123" s="146">
        <v>0</v>
      </c>
      <c r="CZ123" s="146">
        <v>0</v>
      </c>
      <c r="DA123" s="146">
        <v>0</v>
      </c>
      <c r="DB123" s="146">
        <v>0</v>
      </c>
      <c r="DC123" s="146">
        <v>0</v>
      </c>
      <c r="DD123" s="146">
        <v>1</v>
      </c>
      <c r="DE123" s="126">
        <v>0.94459121441814442</v>
      </c>
    </row>
    <row r="124" spans="1:109" x14ac:dyDescent="0.25">
      <c r="A124" s="4" t="s" vm="9238">
        <v>592</v>
      </c>
      <c r="B124" s="4" t="s" vm="9310">
        <v>593</v>
      </c>
      <c r="C124" s="121" vm="18808">
        <v>45016</v>
      </c>
      <c r="D124" s="68">
        <f>IFERROR( VfM_Metrics_2023_Entity[[#This Row],[Reinvestment Spend]] / VfM_Metrics_2023_Entity[[#This Row],[Net Book Value of Housing Properties]], "n/a" )</f>
        <v>2.3320598840484191E-2</v>
      </c>
      <c r="E12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6086</v>
      </c>
      <c r="F124" s="84" vm="10234">
        <v>0</v>
      </c>
      <c r="G124" s="84" vm="9765">
        <v>0</v>
      </c>
      <c r="H124" s="84" vm="10945">
        <v>6086</v>
      </c>
      <c r="I124" s="84" vm="9568">
        <v>0</v>
      </c>
      <c r="J124" s="84" vm="9825">
        <v>0</v>
      </c>
      <c r="K124" s="5">
        <f xml:space="preserve"> SUM( VfM_Metrics_2023_Entity[[#This Row],[Tangible fixed assets: Housing properties at cost (Current period)]],VfM_Metrics_2023_Entity[[#This Row],[Tangible fixed assets Housing properties at valuation (Current period)]] )</f>
        <v>260971</v>
      </c>
      <c r="L124" s="84" vm="10547">
        <v>260971</v>
      </c>
      <c r="M124" s="84">
        <v>0</v>
      </c>
      <c r="N124" s="134">
        <f xml:space="preserve"> IFERROR( VfM_Metrics_2023_Entity[[#This Row],[Total social units developed or newly built units acquired in-year]] / VfM_Metrics_2023_Entity[[#This Row],[Social housing units owned (period end)]], "n/a" )</f>
        <v>0</v>
      </c>
      <c r="O124" s="5">
        <f xml:space="preserve"> SUM( VfM_Metrics_2023_Entity[[#This Row],[Total social units developed or newly built units acquired in-year (owned)]], VfM_Metrics_2023_Entity[[#This Row],[Total social leasehold units developed or newly built units acquired in-year (owned)]] )</f>
        <v>0</v>
      </c>
      <c r="P124" s="84" vm="11022">
        <v>0</v>
      </c>
      <c r="Q124" s="84">
        <v>0</v>
      </c>
      <c r="R124" s="5">
        <f xml:space="preserve"> SUM( VfM_Metrics_2023_Entity[[#This Row],[Total social housing units owned (Period end)]], VfM_Metrics_2023_Entity[[#This Row],[Total social leasehold units owned (Period end)]] )</f>
        <v>6211</v>
      </c>
      <c r="S124" s="84" vm="11307">
        <v>6211</v>
      </c>
      <c r="T124" s="135" vm="11519">
        <v>0</v>
      </c>
      <c r="U124" s="136">
        <f xml:space="preserve"> IFERROR( VfM_Metrics_2023_Entity[[#This Row],[Total non-social housing units developed or newly built units acquired (owned)]] / VfM_Metrics_2023_Entity[[#This Row],[Total social and non-social housing units owned (Period end)]], "n/a" )</f>
        <v>0</v>
      </c>
      <c r="V12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24" s="84">
        <v>0</v>
      </c>
      <c r="X124" s="84">
        <v>0</v>
      </c>
      <c r="Y124" s="84" vm="11926">
        <v>0</v>
      </c>
      <c r="Z12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6956</v>
      </c>
      <c r="AA124" s="84" vm="11307">
        <v>6211</v>
      </c>
      <c r="AB124" s="84" vm="12195">
        <v>0</v>
      </c>
      <c r="AC124" s="84" vm="12116">
        <v>0</v>
      </c>
      <c r="AD124" s="135" vm="12274">
        <v>745</v>
      </c>
      <c r="AE124" s="134">
        <f xml:space="preserve"> IFERROR( VfM_Metrics_2023_Entity[[#This Row],[Total Net Debt]] / VfM_Metrics_2023_Entity[[#This Row],[Net Book Value of Housing Properties2]], "n/a" )</f>
        <v>1.4946679899299156</v>
      </c>
      <c r="AF12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390065</v>
      </c>
      <c r="AG124" s="84">
        <v>0</v>
      </c>
      <c r="AH124" s="84" vm="13246">
        <v>393753</v>
      </c>
      <c r="AI124" s="84" vm="13337">
        <v>3688</v>
      </c>
      <c r="AJ124" s="84">
        <v>0</v>
      </c>
      <c r="AK124" s="84">
        <v>0</v>
      </c>
      <c r="AL124" s="5">
        <f xml:space="preserve"> SUM( VfM_Metrics_2023_Entity[[#This Row],[Tangible fixed assets: Housing properties at cost (Current period)2]], VfM_Metrics_2023_Entity[[#This Row],[Tangible fixed assets Housing properties at valuation (Current period)2]] )</f>
        <v>260971</v>
      </c>
      <c r="AM124" s="84" vm="9943">
        <v>260971</v>
      </c>
      <c r="AN124" s="135">
        <v>0</v>
      </c>
      <c r="AO124" s="137">
        <f xml:space="preserve"> IFERROR( VfM_Metrics_2023_Entity[[#This Row],[EBITDA MRI]] / VfM_Metrics_2023_Entity[[#This Row],[Total interest]], "n/a" )</f>
        <v>2.7839074721251458</v>
      </c>
      <c r="AP12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33457</v>
      </c>
      <c r="AQ124" s="84" vm="13551">
        <v>24721</v>
      </c>
      <c r="AR124" s="84" vm="14264">
        <v>4309</v>
      </c>
      <c r="AS124" s="84">
        <v>0</v>
      </c>
      <c r="AT124" s="84" vm="14757">
        <v>445</v>
      </c>
      <c r="AU124" s="84" vm="15001">
        <v>166</v>
      </c>
      <c r="AV124" s="84" vm="13766">
        <v>14037</v>
      </c>
      <c r="AW124" s="84" vm="14019">
        <v>5822</v>
      </c>
      <c r="AX124" s="84" vm="14265">
        <v>5441</v>
      </c>
      <c r="AY124" s="5">
        <f xml:space="preserve"> - SUM( VfM_Metrics_2023_Entity[[#This Row],[Interest capitalised]], VfM_Metrics_2023_Entity[[#This Row],[Interest payable and financing costs]] )</f>
        <v>12018</v>
      </c>
      <c r="AZ124" s="84" vm="15303">
        <v>0</v>
      </c>
      <c r="BA124" s="135" vm="15394">
        <v>-12018</v>
      </c>
      <c r="BB124" s="138">
        <f xml:space="preserve"> IFERROR( ( VfM_Metrics_2023_Entity[[#This Row],[Total Costs]] / VfM_Metrics_2023_Entity[[#This Row],[Total units for costs]] ) * 1000, "n/a" )</f>
        <v>6114.6168705730843</v>
      </c>
      <c r="BC12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37984</v>
      </c>
      <c r="BD124" s="84" vm="15581">
        <v>5381</v>
      </c>
      <c r="BE124" s="84" vm="16811">
        <v>3468</v>
      </c>
      <c r="BF124" s="84" vm="16340">
        <v>6238</v>
      </c>
      <c r="BG124" s="84" vm="16118">
        <v>5601</v>
      </c>
      <c r="BH124" s="84" vm="17343">
        <v>14</v>
      </c>
      <c r="BI124" s="84" vm="17502">
        <v>0</v>
      </c>
      <c r="BJ124" s="84" vm="14019">
        <v>5822</v>
      </c>
      <c r="BK124" s="84" vm="16450">
        <v>0</v>
      </c>
      <c r="BL124" s="84">
        <v>0</v>
      </c>
      <c r="BM124" s="84">
        <v>0</v>
      </c>
      <c r="BN124" s="84" vm="15926">
        <v>11460</v>
      </c>
      <c r="BO124" s="84">
        <v>0</v>
      </c>
      <c r="BP124" s="5" vm="17805">
        <f xml:space="preserve"> VfM_Metrics_2023_Entity[[#This Row],[Total social housing units owned and/or managed at period end]]</f>
        <v>6212</v>
      </c>
      <c r="BQ124" s="135" vm="17805">
        <v>6212</v>
      </c>
      <c r="BR124" s="134">
        <f xml:space="preserve"> IFERROR( VfM_Metrics_2023_Entity[[#This Row],[SHL operating surplus / (deficit)]] / VfM_Metrics_2023_Entity[[#This Row],[Turnover from social housing lettings]], "n/a" )</f>
        <v>0.32252224291330439</v>
      </c>
      <c r="BS124" s="5" vm="17962">
        <f xml:space="preserve"> VfM_Metrics_2023_Entity[[#This Row],[Operating surplus/(deficit) (social housing lettings)]]</f>
        <v>12470</v>
      </c>
      <c r="BT124" s="84" vm="17962">
        <v>12470</v>
      </c>
      <c r="BU124" s="5" vm="18136">
        <f xml:space="preserve"> VfM_Metrics_2023_Entity[[#This Row],[Turnover from social housing lettings]]</f>
        <v>38664</v>
      </c>
      <c r="BV124" s="135" vm="18136">
        <v>38664</v>
      </c>
      <c r="BW124" s="134">
        <f xml:space="preserve"> IFERROR( VfM_Metrics_2023_Entity[[#This Row],[Net operating surplus]] / VfM_Metrics_2023_Entity[[#This Row],[Overall turnover]], "n/a" )</f>
        <v>0.34067126191231201</v>
      </c>
      <c r="BX124" s="5">
        <f xml:space="preserve"> SUM( VfM_Metrics_2023_Entity[[#This Row],[Operating surplus/(deficit) (overall)2]], - VfM_Metrics_2023_Entity[[#This Row],[Gain/(loss) on disposal of fixed assets (housing properties)2]], - VfM_Metrics_2023_Entity[[#This Row],[Gain/(loss) on disposal of fixed assets (other)2]] )</f>
        <v>20412</v>
      </c>
      <c r="BY124" s="84" vm="13551">
        <v>24721</v>
      </c>
      <c r="BZ124" s="84" vm="14264">
        <v>4309</v>
      </c>
      <c r="CA124" s="84">
        <v>0</v>
      </c>
      <c r="CB124" s="5" vm="18307">
        <f xml:space="preserve"> VfM_Metrics_2023_Entity[[#This Row],[Turnover (overall)]]</f>
        <v>59917</v>
      </c>
      <c r="CC124" s="135" vm="18307">
        <v>59917</v>
      </c>
      <c r="CD124" s="134">
        <f xml:space="preserve"> IFERROR( VfM_Metrics_2023_Entity[[#This Row],[Operating surplus including from JVs]] / VfM_Metrics_2023_Entity[[#This Row],[Net assets]], "n/a" )</f>
        <v>4.3432504892986779E-2</v>
      </c>
      <c r="CE124" s="5">
        <f xml:space="preserve"> SUM( VfM_Metrics_2023_Entity[[#This Row],[Operating surplus/(deficit) (overall)3]], VfM_Metrics_2023_Entity[[#This Row],[Share of operating surplus/(deficit) in joint ventures or associates]] )</f>
        <v>24721</v>
      </c>
      <c r="CF124" s="84" vm="15138">
        <v>24721</v>
      </c>
      <c r="CG124" s="84">
        <v>0</v>
      </c>
      <c r="CH124" s="5" vm="18695">
        <f xml:space="preserve"> VfM_Metrics_2023_Entity[[#This Row],[Total assets less current liabilities]]</f>
        <v>569182</v>
      </c>
      <c r="CI124" s="135" vm="18695">
        <v>569182</v>
      </c>
      <c r="CJ124" s="140" vm="11307">
        <f xml:space="preserve"> VfM_Metrics_2023_Entity[[#This Row],[Total social housing units owned (Period end)]]</f>
        <v>6211</v>
      </c>
      <c r="CK124" s="141">
        <v>7.8727506426735216E-3</v>
      </c>
      <c r="CL124" s="69">
        <f xml:space="preserve"> -- ( VfM_Metrics_2023_Entity[[#This Row],[% Supported housing (excl. HOP)]] &gt; 0.3 )</f>
        <v>0</v>
      </c>
      <c r="CM124" s="9">
        <v>6.3142673521850906E-2</v>
      </c>
      <c r="CN124" s="69">
        <f xml:space="preserve"> -- ( VfM_Metrics_2023_Entity[[#This Row],[% Housing for older people]] &gt; 0.3 )</f>
        <v>0</v>
      </c>
      <c r="CO124" s="9">
        <f xml:space="preserve"> VfM_Metrics_2023_Entity[[#This Row],[% Supported housing (excl. HOP)]] + VfM_Metrics_2023_Entity[[#This Row],[% Housing for older people]]</f>
        <v>7.1015424164524429E-2</v>
      </c>
      <c r="CP124" s="69">
        <f xml:space="preserve"> -- ( VfM_Metrics_2023_Entity[[#This Row],[SH specialist in RSH analysis]] + VfM_Metrics_2023_Entity[[#This Row],[OP specialist in RSH analysis]] &gt; 0 )</f>
        <v>0</v>
      </c>
      <c r="CQ124" s="142">
        <f xml:space="preserve"> -- ( VfM_Metrics_2023_Entity[[#This Row],[% SH and OP]] &gt; 0.3 )</f>
        <v>0</v>
      </c>
      <c r="CR124" s="143" t="s">
        <v>143</v>
      </c>
      <c r="CS124" s="120"/>
      <c r="CT124" s="144" t="s">
        <v>151</v>
      </c>
      <c r="CU12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24" s="146">
        <v>0</v>
      </c>
      <c r="CW124" s="146">
        <v>1</v>
      </c>
      <c r="CX124" s="146">
        <v>0</v>
      </c>
      <c r="CY124" s="146">
        <v>0</v>
      </c>
      <c r="CZ124" s="146">
        <v>0</v>
      </c>
      <c r="DA124" s="146">
        <v>0</v>
      </c>
      <c r="DB124" s="146">
        <v>0</v>
      </c>
      <c r="DC124" s="146">
        <v>0</v>
      </c>
      <c r="DD124" s="146">
        <v>0</v>
      </c>
      <c r="DE124" s="126">
        <v>1.0337125580623883</v>
      </c>
    </row>
    <row r="125" spans="1:109" x14ac:dyDescent="0.25">
      <c r="A125" s="4" t="s" vm="9239">
        <v>594</v>
      </c>
      <c r="B125" s="4" t="s" vm="9331">
        <v>595</v>
      </c>
      <c r="C125" s="121" vm="18876">
        <v>45016</v>
      </c>
      <c r="D125" s="68">
        <f>IFERROR( VfM_Metrics_2023_Entity[[#This Row],[Reinvestment Spend]] / VfM_Metrics_2023_Entity[[#This Row],[Net Book Value of Housing Properties]], "n/a" )</f>
        <v>9.2562095032397415E-2</v>
      </c>
      <c r="E12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47999</v>
      </c>
      <c r="F125" s="84" vm="10700">
        <v>30510</v>
      </c>
      <c r="G125" s="84" vm="9726">
        <v>0</v>
      </c>
      <c r="H125" s="84" vm="9766">
        <v>17485</v>
      </c>
      <c r="I125" s="84" vm="10465">
        <v>4</v>
      </c>
      <c r="J125" s="84" vm="10441">
        <v>0</v>
      </c>
      <c r="K125" s="5">
        <f xml:space="preserve"> SUM( VfM_Metrics_2023_Entity[[#This Row],[Tangible fixed assets: Housing properties at cost (Current period)]],VfM_Metrics_2023_Entity[[#This Row],[Tangible fixed assets Housing properties at valuation (Current period)]] )</f>
        <v>518560</v>
      </c>
      <c r="L125" s="84" vm="10323">
        <v>518560</v>
      </c>
      <c r="M125" s="84">
        <v>0</v>
      </c>
      <c r="N125" s="134">
        <f xml:space="preserve"> IFERROR( VfM_Metrics_2023_Entity[[#This Row],[Total social units developed or newly built units acquired in-year]] / VfM_Metrics_2023_Entity[[#This Row],[Social housing units owned (period end)]], "n/a" )</f>
        <v>1.5764903956531722E-2</v>
      </c>
      <c r="O125" s="5">
        <f xml:space="preserve"> SUM( VfM_Metrics_2023_Entity[[#This Row],[Total social units developed or newly built units acquired in-year (owned)]], VfM_Metrics_2023_Entity[[#This Row],[Total social leasehold units developed or newly built units acquired in-year (owned)]] )</f>
        <v>206</v>
      </c>
      <c r="P125" s="84" vm="11051">
        <v>206</v>
      </c>
      <c r="Q125" s="84">
        <v>0</v>
      </c>
      <c r="R125" s="5">
        <f xml:space="preserve"> SUM( VfM_Metrics_2023_Entity[[#This Row],[Total social housing units owned (Period end)]], VfM_Metrics_2023_Entity[[#This Row],[Total social leasehold units owned (Period end)]] )</f>
        <v>13067</v>
      </c>
      <c r="S125" s="84" vm="11334">
        <v>12388</v>
      </c>
      <c r="T125" s="135" vm="11473">
        <v>679</v>
      </c>
      <c r="U125" s="136">
        <f xml:space="preserve"> IFERROR( VfM_Metrics_2023_Entity[[#This Row],[Total non-social housing units developed or newly built units acquired (owned)]] / VfM_Metrics_2023_Entity[[#This Row],[Total social and non-social housing units owned (Period end)]], "n/a" )</f>
        <v>0</v>
      </c>
      <c r="V12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25" s="84">
        <v>0</v>
      </c>
      <c r="X125" s="84">
        <v>0</v>
      </c>
      <c r="Y125" s="84" vm="11749">
        <v>0</v>
      </c>
      <c r="Z12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13077</v>
      </c>
      <c r="AA125" s="84" vm="11334">
        <v>12388</v>
      </c>
      <c r="AB125" s="84" vm="11473">
        <v>679</v>
      </c>
      <c r="AC125" s="84" vm="12370">
        <v>10</v>
      </c>
      <c r="AD125" s="135" vm="12510">
        <v>0</v>
      </c>
      <c r="AE125" s="134">
        <f xml:space="preserve"> IFERROR( VfM_Metrics_2023_Entity[[#This Row],[Total Net Debt]] / VfM_Metrics_2023_Entity[[#This Row],[Net Book Value of Housing Properties2]], "n/a" )</f>
        <v>0.37454489355137305</v>
      </c>
      <c r="AF12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194224</v>
      </c>
      <c r="AG125" s="84">
        <v>0</v>
      </c>
      <c r="AH125" s="84" vm="12768">
        <v>162237</v>
      </c>
      <c r="AI125" s="84" vm="13164">
        <v>27113</v>
      </c>
      <c r="AJ125" s="84" vm="13211">
        <v>59100</v>
      </c>
      <c r="AK125" s="84">
        <v>0</v>
      </c>
      <c r="AL125" s="5">
        <f xml:space="preserve"> SUM( VfM_Metrics_2023_Entity[[#This Row],[Tangible fixed assets: Housing properties at cost (Current period)2]], VfM_Metrics_2023_Entity[[#This Row],[Tangible fixed assets Housing properties at valuation (Current period)2]] )</f>
        <v>518560</v>
      </c>
      <c r="AM125" s="84" vm="9962">
        <v>518560</v>
      </c>
      <c r="AN125" s="135">
        <v>0</v>
      </c>
      <c r="AO125" s="137">
        <f xml:space="preserve"> IFERROR( VfM_Metrics_2023_Entity[[#This Row],[EBITDA MRI]] / VfM_Metrics_2023_Entity[[#This Row],[Total interest]], "n/a" )</f>
        <v>3.2195260233586573</v>
      </c>
      <c r="AP12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28393</v>
      </c>
      <c r="AQ125" s="84" vm="13579">
        <v>40805</v>
      </c>
      <c r="AR125" s="84" vm="14510">
        <v>5497</v>
      </c>
      <c r="AS125" s="84">
        <v>0</v>
      </c>
      <c r="AT125" s="84" vm="15002">
        <v>113</v>
      </c>
      <c r="AU125" s="84" vm="13767">
        <v>0</v>
      </c>
      <c r="AV125" s="84" vm="14020">
        <v>65</v>
      </c>
      <c r="AW125" s="84" vm="14266">
        <v>17485</v>
      </c>
      <c r="AX125" s="84" vm="14511">
        <v>10618</v>
      </c>
      <c r="AY125" s="5">
        <f xml:space="preserve"> - SUM( VfM_Metrics_2023_Entity[[#This Row],[Interest capitalised]], VfM_Metrics_2023_Entity[[#This Row],[Interest payable and financing costs]] )</f>
        <v>8819</v>
      </c>
      <c r="AZ125" s="84" vm="15251">
        <v>-4</v>
      </c>
      <c r="BA125" s="135" vm="15425">
        <v>-8815</v>
      </c>
      <c r="BB125" s="138">
        <f xml:space="preserve"> IFERROR( ( VfM_Metrics_2023_Entity[[#This Row],[Total Costs]] / VfM_Metrics_2023_Entity[[#This Row],[Total units for costs]] ) * 1000, "n/a" )</f>
        <v>3580.9022796110312</v>
      </c>
      <c r="BC12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44926</v>
      </c>
      <c r="BD125" s="84" vm="17576">
        <v>7344</v>
      </c>
      <c r="BE125" s="84" vm="16445">
        <v>5786</v>
      </c>
      <c r="BF125" s="84" vm="16638">
        <v>5678</v>
      </c>
      <c r="BG125" s="84" vm="16724">
        <v>2759</v>
      </c>
      <c r="BH125" s="84" vm="16812">
        <v>3686</v>
      </c>
      <c r="BI125" s="84" vm="16120">
        <v>0</v>
      </c>
      <c r="BJ125" s="84" vm="14266">
        <v>17485</v>
      </c>
      <c r="BK125" s="84" vm="17117">
        <v>0</v>
      </c>
      <c r="BL125" s="84" vm="17577">
        <v>606</v>
      </c>
      <c r="BM125" s="84">
        <v>0</v>
      </c>
      <c r="BN125" s="84" vm="16725">
        <v>1025</v>
      </c>
      <c r="BO125" s="84" vm="17344">
        <v>557</v>
      </c>
      <c r="BP125" s="5" vm="17705">
        <f xml:space="preserve"> VfM_Metrics_2023_Entity[[#This Row],[Total social housing units owned and/or managed at period end]]</f>
        <v>12546</v>
      </c>
      <c r="BQ125" s="135" vm="17705">
        <v>12546</v>
      </c>
      <c r="BR125" s="134">
        <f xml:space="preserve"> IFERROR( VfM_Metrics_2023_Entity[[#This Row],[SHL operating surplus / (deficit)]] / VfM_Metrics_2023_Entity[[#This Row],[Turnover from social housing lettings]], "n/a" )</f>
        <v>0.48878664235900104</v>
      </c>
      <c r="BS125" s="5" vm="17998">
        <f xml:space="preserve"> VfM_Metrics_2023_Entity[[#This Row],[Operating surplus/(deficit) (social housing lettings)]]</f>
        <v>33782</v>
      </c>
      <c r="BT125" s="84" vm="17998">
        <v>33782</v>
      </c>
      <c r="BU125" s="5" vm="18176">
        <f xml:space="preserve"> VfM_Metrics_2023_Entity[[#This Row],[Turnover from social housing lettings]]</f>
        <v>69114</v>
      </c>
      <c r="BV125" s="135" vm="18176">
        <v>69114</v>
      </c>
      <c r="BW125" s="134">
        <f xml:space="preserve"> IFERROR( VfM_Metrics_2023_Entity[[#This Row],[Net operating surplus]] / VfM_Metrics_2023_Entity[[#This Row],[Overall turnover]], "n/a" )</f>
        <v>0.46149422282637109</v>
      </c>
      <c r="BX125" s="5">
        <f xml:space="preserve"> SUM( VfM_Metrics_2023_Entity[[#This Row],[Operating surplus/(deficit) (overall)2]], - VfM_Metrics_2023_Entity[[#This Row],[Gain/(loss) on disposal of fixed assets (housing properties)2]], - VfM_Metrics_2023_Entity[[#This Row],[Gain/(loss) on disposal of fixed assets (other)2]] )</f>
        <v>35308</v>
      </c>
      <c r="BY125" s="84" vm="13579">
        <v>40805</v>
      </c>
      <c r="BZ125" s="84" vm="14510">
        <v>5497</v>
      </c>
      <c r="CA125" s="84">
        <v>0</v>
      </c>
      <c r="CB125" s="5" vm="18345">
        <f xml:space="preserve"> VfM_Metrics_2023_Entity[[#This Row],[Turnover (overall)]]</f>
        <v>76508</v>
      </c>
      <c r="CC125" s="135" vm="18345">
        <v>76508</v>
      </c>
      <c r="CD125" s="134">
        <f xml:space="preserve"> IFERROR( VfM_Metrics_2023_Entity[[#This Row],[Operating surplus including from JVs]] / VfM_Metrics_2023_Entity[[#This Row],[Net assets]], "n/a" )</f>
        <v>7.9428573653188825E-2</v>
      </c>
      <c r="CE125" s="5">
        <f xml:space="preserve"> SUM( VfM_Metrics_2023_Entity[[#This Row],[Operating surplus/(deficit) (overall)3]], VfM_Metrics_2023_Entity[[#This Row],[Share of operating surplus/(deficit) in joint ventures or associates]] )</f>
        <v>40805</v>
      </c>
      <c r="CF125" s="84" vm="13579">
        <v>40805</v>
      </c>
      <c r="CG125" s="84">
        <v>0</v>
      </c>
      <c r="CH125" s="5" vm="18723">
        <f xml:space="preserve"> VfM_Metrics_2023_Entity[[#This Row],[Total assets less current liabilities]]</f>
        <v>513732</v>
      </c>
      <c r="CI125" s="135" vm="18723">
        <v>513732</v>
      </c>
      <c r="CJ125" s="140" vm="11334">
        <f xml:space="preserve"> VfM_Metrics_2023_Entity[[#This Row],[Total social housing units owned (Period end)]]</f>
        <v>12388</v>
      </c>
      <c r="CK125" s="141">
        <v>5.9851180847622131E-3</v>
      </c>
      <c r="CL125" s="69">
        <f xml:space="preserve"> -- ( VfM_Metrics_2023_Entity[[#This Row],[% Supported housing (excl. HOP)]] &gt; 0.3 )</f>
        <v>0</v>
      </c>
      <c r="CM125" s="9">
        <v>0.13951795535425429</v>
      </c>
      <c r="CN125" s="69">
        <f xml:space="preserve"> -- ( VfM_Metrics_2023_Entity[[#This Row],[% Housing for older people]] &gt; 0.3 )</f>
        <v>0</v>
      </c>
      <c r="CO125" s="9">
        <f xml:space="preserve"> VfM_Metrics_2023_Entity[[#This Row],[% Supported housing (excl. HOP)]] + VfM_Metrics_2023_Entity[[#This Row],[% Housing for older people]]</f>
        <v>0.1455030734390165</v>
      </c>
      <c r="CP125" s="69">
        <f xml:space="preserve"> -- ( VfM_Metrics_2023_Entity[[#This Row],[SH specialist in RSH analysis]] + VfM_Metrics_2023_Entity[[#This Row],[OP specialist in RSH analysis]] &gt; 0 )</f>
        <v>0</v>
      </c>
      <c r="CQ125" s="142">
        <f xml:space="preserve"> -- ( VfM_Metrics_2023_Entity[[#This Row],[% SH and OP]] &gt; 0.3 )</f>
        <v>0</v>
      </c>
      <c r="CR125" s="143" t="s">
        <v>143</v>
      </c>
      <c r="CS125" s="120"/>
      <c r="CT125" s="144" t="s">
        <v>151</v>
      </c>
      <c r="CU12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25" s="146">
        <v>0</v>
      </c>
      <c r="CW125" s="146">
        <v>0</v>
      </c>
      <c r="CX125" s="146">
        <v>0.99919283235127931</v>
      </c>
      <c r="CY125" s="146">
        <v>0</v>
      </c>
      <c r="CZ125" s="146">
        <v>8.0716764872063929E-4</v>
      </c>
      <c r="DA125" s="146">
        <v>0</v>
      </c>
      <c r="DB125" s="146">
        <v>0</v>
      </c>
      <c r="DC125" s="146">
        <v>0</v>
      </c>
      <c r="DD125" s="146">
        <v>0</v>
      </c>
      <c r="DE125" s="126">
        <v>0.97511052872972959</v>
      </c>
    </row>
    <row r="126" spans="1:109" x14ac:dyDescent="0.25">
      <c r="A126" s="4" t="s" vm="9240">
        <v>596</v>
      </c>
      <c r="B126" s="4" t="s" vm="9350">
        <v>597</v>
      </c>
      <c r="C126" s="121" vm="18776">
        <v>45016</v>
      </c>
      <c r="D126" s="68">
        <f>IFERROR( VfM_Metrics_2023_Entity[[#This Row],[Reinvestment Spend]] / VfM_Metrics_2023_Entity[[#This Row],[Net Book Value of Housing Properties]], "n/a" )</f>
        <v>4.1818589920535477E-2</v>
      </c>
      <c r="E12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191341</v>
      </c>
      <c r="F126" s="84" vm="10710">
        <v>150228</v>
      </c>
      <c r="G126" s="84" vm="10410">
        <v>0</v>
      </c>
      <c r="H126" s="84" vm="10527">
        <v>30509</v>
      </c>
      <c r="I126" s="84" vm="10880">
        <v>10604</v>
      </c>
      <c r="J126" s="84" vm="9505">
        <v>0</v>
      </c>
      <c r="K126" s="5">
        <f xml:space="preserve"> SUM( VfM_Metrics_2023_Entity[[#This Row],[Tangible fixed assets: Housing properties at cost (Current period)]],VfM_Metrics_2023_Entity[[#This Row],[Tangible fixed assets Housing properties at valuation (Current period)]] )</f>
        <v>4575501</v>
      </c>
      <c r="L126" s="84" vm="10713">
        <v>4575501</v>
      </c>
      <c r="M126" s="84" vm="10175">
        <v>0</v>
      </c>
      <c r="N126" s="134">
        <f xml:space="preserve"> IFERROR( VfM_Metrics_2023_Entity[[#This Row],[Total social units developed or newly built units acquired in-year]] / VfM_Metrics_2023_Entity[[#This Row],[Social housing units owned (period end)]], "n/a" )</f>
        <v>1.1209640745793543E-2</v>
      </c>
      <c r="O126" s="5">
        <f xml:space="preserve"> SUM( VfM_Metrics_2023_Entity[[#This Row],[Total social units developed or newly built units acquired in-year (owned)]], VfM_Metrics_2023_Entity[[#This Row],[Total social leasehold units developed or newly built units acquired in-year (owned)]] )</f>
        <v>493</v>
      </c>
      <c r="P126" s="84" vm="11070">
        <v>493</v>
      </c>
      <c r="Q126" s="84" vm="11193">
        <v>0</v>
      </c>
      <c r="R126" s="5">
        <f xml:space="preserve"> SUM( VfM_Metrics_2023_Entity[[#This Row],[Total social housing units owned (Period end)]], VfM_Metrics_2023_Entity[[#This Row],[Total social leasehold units owned (Period end)]] )</f>
        <v>43980</v>
      </c>
      <c r="S126" s="84" vm="11378">
        <v>43980</v>
      </c>
      <c r="T126" s="135" vm="11491">
        <v>0</v>
      </c>
      <c r="U126" s="136">
        <f xml:space="preserve"> IFERROR( VfM_Metrics_2023_Entity[[#This Row],[Total non-social housing units developed or newly built units acquired (owned)]] / VfM_Metrics_2023_Entity[[#This Row],[Total social and non-social housing units owned (Period end)]], "n/a" )</f>
        <v>0</v>
      </c>
      <c r="V12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26" s="84" vm="11671">
        <v>0</v>
      </c>
      <c r="X126" s="84" vm="11800">
        <v>0</v>
      </c>
      <c r="Y126" s="84" vm="11844">
        <v>0</v>
      </c>
      <c r="Z12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51754</v>
      </c>
      <c r="AA126" s="84" vm="12050">
        <v>43980</v>
      </c>
      <c r="AB126" s="84" vm="11490">
        <v>0</v>
      </c>
      <c r="AC126" s="84" vm="12117">
        <v>658</v>
      </c>
      <c r="AD126" s="135" vm="12275">
        <v>7116</v>
      </c>
      <c r="AE126" s="134">
        <f xml:space="preserve"> IFERROR( VfM_Metrics_2023_Entity[[#This Row],[Total Net Debt]] / VfM_Metrics_2023_Entity[[#This Row],[Net Book Value of Housing Properties2]], "n/a" )</f>
        <v>0.36670104541557308</v>
      </c>
      <c r="AF12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1677841</v>
      </c>
      <c r="AG126" s="84" vm="12692">
        <v>73477</v>
      </c>
      <c r="AH126" s="84" vm="12865">
        <v>1285611</v>
      </c>
      <c r="AI126" s="84" vm="12944">
        <v>181920</v>
      </c>
      <c r="AJ126" s="84" vm="12769">
        <v>500250</v>
      </c>
      <c r="AK126" s="84" vm="13080">
        <v>423</v>
      </c>
      <c r="AL126" s="5">
        <f xml:space="preserve"> SUM( VfM_Metrics_2023_Entity[[#This Row],[Tangible fixed assets: Housing properties at cost (Current period)2]], VfM_Metrics_2023_Entity[[#This Row],[Tangible fixed assets Housing properties at valuation (Current period)2]] )</f>
        <v>4575501</v>
      </c>
      <c r="AM126" s="84" vm="9978">
        <v>4575501</v>
      </c>
      <c r="AN126" s="135" vm="10152">
        <v>0</v>
      </c>
      <c r="AO126" s="137">
        <f xml:space="preserve"> IFERROR( VfM_Metrics_2023_Entity[[#This Row],[EBITDA MRI]] / VfM_Metrics_2023_Entity[[#This Row],[Total interest]], "n/a" )</f>
        <v>0.8369543661723553</v>
      </c>
      <c r="AP12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75967</v>
      </c>
      <c r="AQ126" s="84" vm="13609">
        <v>94572</v>
      </c>
      <c r="AR126" s="84" vm="14758">
        <v>32025</v>
      </c>
      <c r="AS126" s="84" vm="15003">
        <v>0</v>
      </c>
      <c r="AT126" s="84" vm="13768">
        <v>5719</v>
      </c>
      <c r="AU126" s="84" vm="14021">
        <v>1304</v>
      </c>
      <c r="AV126" s="84" vm="14267">
        <v>7495</v>
      </c>
      <c r="AW126" s="84" vm="14512">
        <v>30509</v>
      </c>
      <c r="AX126" s="84" vm="14759">
        <v>43457</v>
      </c>
      <c r="AY126" s="5">
        <f xml:space="preserve"> - SUM( VfM_Metrics_2023_Entity[[#This Row],[Interest capitalised]], VfM_Metrics_2023_Entity[[#This Row],[Interest payable and financing costs]] )</f>
        <v>90766</v>
      </c>
      <c r="AZ126" s="84" vm="15280">
        <v>-10604</v>
      </c>
      <c r="BA126" s="135" vm="15461">
        <v>-80162</v>
      </c>
      <c r="BB126" s="138">
        <f xml:space="preserve"> IFERROR( ( VfM_Metrics_2023_Entity[[#This Row],[Total Costs]] / VfM_Metrics_2023_Entity[[#This Row],[Total units for costs]] ) * 1000, "n/a" )</f>
        <v>5471.2863365632502</v>
      </c>
      <c r="BC12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246186</v>
      </c>
      <c r="BD126" s="84" vm="15928">
        <v>64395</v>
      </c>
      <c r="BE126" s="84" vm="16880">
        <v>52190</v>
      </c>
      <c r="BF126" s="84" vm="16182">
        <v>38159</v>
      </c>
      <c r="BG126" s="84" vm="17345">
        <v>22736</v>
      </c>
      <c r="BH126" s="84" vm="17578">
        <v>1383</v>
      </c>
      <c r="BI126" s="84" vm="16183">
        <v>2754</v>
      </c>
      <c r="BJ126" s="84" vm="16639">
        <v>30509</v>
      </c>
      <c r="BK126" s="84" vm="15929">
        <v>1815</v>
      </c>
      <c r="BL126" s="84" vm="17118">
        <v>7831</v>
      </c>
      <c r="BM126" s="84" vm="17346">
        <v>3959</v>
      </c>
      <c r="BN126" s="84" vm="15988">
        <v>5343</v>
      </c>
      <c r="BO126" s="84" vm="16881">
        <v>15112</v>
      </c>
      <c r="BP126" s="5" vm="17740">
        <f xml:space="preserve"> VfM_Metrics_2023_Entity[[#This Row],[Total social housing units owned and/or managed at period end]]</f>
        <v>44996</v>
      </c>
      <c r="BQ126" s="135" vm="17740">
        <v>44996</v>
      </c>
      <c r="BR126" s="134">
        <f xml:space="preserve"> IFERROR( VfM_Metrics_2023_Entity[[#This Row],[SHL operating surplus / (deficit)]] / VfM_Metrics_2023_Entity[[#This Row],[Turnover from social housing lettings]], "n/a" )</f>
        <v>0.26324353350672203</v>
      </c>
      <c r="BS126" s="5" vm="18022">
        <f xml:space="preserve"> VfM_Metrics_2023_Entity[[#This Row],[Operating surplus/(deficit) (social housing lettings)]]</f>
        <v>81377</v>
      </c>
      <c r="BT126" s="84" vm="18022">
        <v>81377</v>
      </c>
      <c r="BU126" s="5" vm="18199">
        <f xml:space="preserve"> VfM_Metrics_2023_Entity[[#This Row],[Turnover from social housing lettings]]</f>
        <v>309132</v>
      </c>
      <c r="BV126" s="135" vm="18199">
        <v>309132</v>
      </c>
      <c r="BW126" s="134">
        <f xml:space="preserve"> IFERROR( VfM_Metrics_2023_Entity[[#This Row],[Net operating surplus]] / VfM_Metrics_2023_Entity[[#This Row],[Overall turnover]], "n/a" )</f>
        <v>0.17092286377163282</v>
      </c>
      <c r="BX126" s="5">
        <f xml:space="preserve"> SUM( VfM_Metrics_2023_Entity[[#This Row],[Operating surplus/(deficit) (overall)2]], - VfM_Metrics_2023_Entity[[#This Row],[Gain/(loss) on disposal of fixed assets (housing properties)2]], - VfM_Metrics_2023_Entity[[#This Row],[Gain/(loss) on disposal of fixed assets (other)2]] )</f>
        <v>62547</v>
      </c>
      <c r="BY126" s="84" vm="13609">
        <v>94572</v>
      </c>
      <c r="BZ126" s="84" vm="14758">
        <v>32025</v>
      </c>
      <c r="CA126" s="84" vm="15003">
        <v>0</v>
      </c>
      <c r="CB126" s="5" vm="18375">
        <f xml:space="preserve"> VfM_Metrics_2023_Entity[[#This Row],[Turnover (overall)]]</f>
        <v>365937</v>
      </c>
      <c r="CC126" s="135" vm="18375">
        <v>365937</v>
      </c>
      <c r="CD126" s="134">
        <f xml:space="preserve"> IFERROR( VfM_Metrics_2023_Entity[[#This Row],[Operating surplus including from JVs]] / VfM_Metrics_2023_Entity[[#This Row],[Net assets]], "n/a" )</f>
        <v>1.9708313952616022E-2</v>
      </c>
      <c r="CE126" s="5">
        <f xml:space="preserve"> SUM( VfM_Metrics_2023_Entity[[#This Row],[Operating surplus/(deficit) (overall)3]], VfM_Metrics_2023_Entity[[#This Row],[Share of operating surplus/(deficit) in joint ventures or associates]] )</f>
        <v>94572</v>
      </c>
      <c r="CF126" s="84" vm="13610">
        <v>94572</v>
      </c>
      <c r="CG126" s="84" vm="18539">
        <v>0</v>
      </c>
      <c r="CH126" s="5" vm="18744">
        <f xml:space="preserve"> VfM_Metrics_2023_Entity[[#This Row],[Total assets less current liabilities]]</f>
        <v>4798584</v>
      </c>
      <c r="CI126" s="135" vm="18744">
        <v>4798584</v>
      </c>
      <c r="CJ126" s="140" vm="11378">
        <f xml:space="preserve"> VfM_Metrics_2023_Entity[[#This Row],[Total social housing units owned (Period end)]]</f>
        <v>43980</v>
      </c>
      <c r="CK126" s="141">
        <v>4.4367669788162561E-2</v>
      </c>
      <c r="CL126" s="69">
        <f xml:space="preserve"> -- ( VfM_Metrics_2023_Entity[[#This Row],[% Supported housing (excl. HOP)]] &gt; 0.3 )</f>
        <v>0</v>
      </c>
      <c r="CM126" s="9">
        <v>7.3802163833075737E-2</v>
      </c>
      <c r="CN126" s="69">
        <f xml:space="preserve"> -- ( VfM_Metrics_2023_Entity[[#This Row],[% Housing for older people]] &gt; 0.3 )</f>
        <v>0</v>
      </c>
      <c r="CO126" s="9">
        <f xml:space="preserve"> VfM_Metrics_2023_Entity[[#This Row],[% Supported housing (excl. HOP)]] + VfM_Metrics_2023_Entity[[#This Row],[% Housing for older people]]</f>
        <v>0.1181698336212383</v>
      </c>
      <c r="CP126" s="69">
        <f xml:space="preserve"> -- ( VfM_Metrics_2023_Entity[[#This Row],[SH specialist in RSH analysis]] + VfM_Metrics_2023_Entity[[#This Row],[OP specialist in RSH analysis]] &gt; 0 )</f>
        <v>0</v>
      </c>
      <c r="CQ126" s="142">
        <f xml:space="preserve"> -- ( VfM_Metrics_2023_Entity[[#This Row],[% SH and OP]] &gt; 0.3 )</f>
        <v>0</v>
      </c>
      <c r="CR126" s="143" t="s">
        <v>143</v>
      </c>
      <c r="CS126" s="120"/>
      <c r="CT126" s="144" t="s">
        <v>151</v>
      </c>
      <c r="CU12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26" s="146">
        <v>0.46304710153199846</v>
      </c>
      <c r="CW126" s="146">
        <v>0.19737893559213682</v>
      </c>
      <c r="CX126" s="146">
        <v>2.2831571497066144E-5</v>
      </c>
      <c r="CY126" s="146">
        <v>0.23342998698600426</v>
      </c>
      <c r="CZ126" s="146">
        <v>1.3242311468298362E-3</v>
      </c>
      <c r="DA126" s="146">
        <v>0.10452293431356881</v>
      </c>
      <c r="DB126" s="146">
        <v>2.2831571497066144E-5</v>
      </c>
      <c r="DC126" s="146">
        <v>0</v>
      </c>
      <c r="DD126" s="146">
        <v>2.5114728646772759E-4</v>
      </c>
      <c r="DE126" s="126">
        <v>1.0685770596736961</v>
      </c>
    </row>
    <row r="127" spans="1:109" x14ac:dyDescent="0.25">
      <c r="A127" s="4" t="s" vm="258">
        <v>344</v>
      </c>
      <c r="B127" s="4" t="s" vm="10678">
        <v>345</v>
      </c>
      <c r="C127" s="121" vm="18900">
        <v>45016</v>
      </c>
      <c r="D127" s="68">
        <f>IFERROR( VfM_Metrics_2023_Entity[[#This Row],[Reinvestment Spend]] / VfM_Metrics_2023_Entity[[#This Row],[Net Book Value of Housing Properties]], "n/a" )</f>
        <v>6.2589431586937333E-2</v>
      </c>
      <c r="E12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109834</v>
      </c>
      <c r="F127" s="84" vm="10641">
        <v>73588</v>
      </c>
      <c r="G127" s="84" vm="9619">
        <v>13710</v>
      </c>
      <c r="H127" s="84" vm="9625">
        <v>20722</v>
      </c>
      <c r="I127" s="84" vm="9727">
        <v>1814</v>
      </c>
      <c r="J127" s="84" vm="10317">
        <v>0</v>
      </c>
      <c r="K127" s="5">
        <f xml:space="preserve"> SUM( VfM_Metrics_2023_Entity[[#This Row],[Tangible fixed assets: Housing properties at cost (Current period)]],VfM_Metrics_2023_Entity[[#This Row],[Tangible fixed assets Housing properties at valuation (Current period)]] )</f>
        <v>1754833</v>
      </c>
      <c r="L127" s="84" vm="10298">
        <v>1754833</v>
      </c>
      <c r="M127" s="84">
        <v>0</v>
      </c>
      <c r="N127" s="134">
        <f xml:space="preserve"> IFERROR( VfM_Metrics_2023_Entity[[#This Row],[Total social units developed or newly built units acquired in-year]] / VfM_Metrics_2023_Entity[[#This Row],[Social housing units owned (period end)]], "n/a" )</f>
        <v>2.0884126780443987E-2</v>
      </c>
      <c r="O127" s="5">
        <f xml:space="preserve"> SUM( VfM_Metrics_2023_Entity[[#This Row],[Total social units developed or newly built units acquired in-year (owned)]], VfM_Metrics_2023_Entity[[#This Row],[Total social leasehold units developed or newly built units acquired in-year (owned)]] )</f>
        <v>651</v>
      </c>
      <c r="P127" s="84" vm="11091">
        <v>651</v>
      </c>
      <c r="Q127" s="84">
        <v>0</v>
      </c>
      <c r="R127" s="5">
        <f xml:space="preserve"> SUM( VfM_Metrics_2023_Entity[[#This Row],[Total social housing units owned (Period end)]], VfM_Metrics_2023_Entity[[#This Row],[Total social leasehold units owned (Period end)]] )</f>
        <v>31172</v>
      </c>
      <c r="S127" s="84" vm="11301">
        <v>31172</v>
      </c>
      <c r="T127" s="135" vm="11500">
        <v>0</v>
      </c>
      <c r="U127" s="136">
        <f xml:space="preserve"> IFERROR( VfM_Metrics_2023_Entity[[#This Row],[Total non-social housing units developed or newly built units acquired (owned)]] / VfM_Metrics_2023_Entity[[#This Row],[Total social and non-social housing units owned (Period end)]], "n/a" )</f>
        <v>6.6615911686334218E-4</v>
      </c>
      <c r="V12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21</v>
      </c>
      <c r="W127" s="84">
        <v>0</v>
      </c>
      <c r="X127" s="84">
        <v>0</v>
      </c>
      <c r="Y127" s="84" vm="11927">
        <v>21</v>
      </c>
      <c r="Z12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31524</v>
      </c>
      <c r="AA127" s="84" vm="11300">
        <v>31172</v>
      </c>
      <c r="AB127" s="84" vm="11473">
        <v>0</v>
      </c>
      <c r="AC127" s="84" vm="12371">
        <v>352</v>
      </c>
      <c r="AD127" s="135" vm="12511">
        <v>0</v>
      </c>
      <c r="AE127" s="134">
        <f xml:space="preserve"> IFERROR( VfM_Metrics_2023_Entity[[#This Row],[Total Net Debt]] / VfM_Metrics_2023_Entity[[#This Row],[Net Book Value of Housing Properties2]], "n/a" )</f>
        <v>0.29337321557094037</v>
      </c>
      <c r="AF12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514821</v>
      </c>
      <c r="AG127" s="84" vm="12565">
        <v>6239</v>
      </c>
      <c r="AH127" s="84" vm="13125">
        <v>173605</v>
      </c>
      <c r="AI127" s="84" vm="13212">
        <v>100324</v>
      </c>
      <c r="AJ127" s="84" vm="13298">
        <v>431908</v>
      </c>
      <c r="AK127" s="84" vm="12866">
        <v>3393</v>
      </c>
      <c r="AL127" s="5">
        <f xml:space="preserve"> SUM( VfM_Metrics_2023_Entity[[#This Row],[Tangible fixed assets: Housing properties at cost (Current period)2]], VfM_Metrics_2023_Entity[[#This Row],[Tangible fixed assets Housing properties at valuation (Current period)2]] )</f>
        <v>1754833</v>
      </c>
      <c r="AM127" s="84" vm="9993">
        <v>1754833</v>
      </c>
      <c r="AN127" s="135">
        <v>0</v>
      </c>
      <c r="AO127" s="137">
        <f xml:space="preserve"> IFERROR( VfM_Metrics_2023_Entity[[#This Row],[EBITDA MRI]] / VfM_Metrics_2023_Entity[[#This Row],[Total interest]], "n/a" )</f>
        <v>2.402622071585534</v>
      </c>
      <c r="AP12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64508</v>
      </c>
      <c r="AQ127" s="84" vm="13448">
        <v>62751</v>
      </c>
      <c r="AR127" s="84" vm="15004">
        <v>3832</v>
      </c>
      <c r="AS127" s="84">
        <v>0</v>
      </c>
      <c r="AT127" s="84" vm="14022">
        <v>8036</v>
      </c>
      <c r="AU127" s="84" vm="14268">
        <v>0</v>
      </c>
      <c r="AV127" s="84" vm="14513">
        <v>2606</v>
      </c>
      <c r="AW127" s="84" vm="14760">
        <v>20722</v>
      </c>
      <c r="AX127" s="84" vm="15005">
        <v>31741</v>
      </c>
      <c r="AY127" s="5">
        <f xml:space="preserve"> - SUM( VfM_Metrics_2023_Entity[[#This Row],[Interest capitalised]], VfM_Metrics_2023_Entity[[#This Row],[Interest payable and financing costs]] )</f>
        <v>26849</v>
      </c>
      <c r="AZ127" s="84" vm="15294">
        <v>-1815</v>
      </c>
      <c r="BA127" s="135" vm="15491">
        <v>-25034</v>
      </c>
      <c r="BB127" s="138">
        <f xml:space="preserve"> IFERROR( ( VfM_Metrics_2023_Entity[[#This Row],[Total Costs]] / VfM_Metrics_2023_Entity[[#This Row],[Total units for costs]] ) * 1000, "n/a" )</f>
        <v>4054.856306951513</v>
      </c>
      <c r="BC12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133052</v>
      </c>
      <c r="BD127" s="84" vm="16452">
        <v>31717</v>
      </c>
      <c r="BE127" s="84" vm="16640">
        <v>28956</v>
      </c>
      <c r="BF127" s="84" vm="16342">
        <v>31381</v>
      </c>
      <c r="BG127" s="84" vm="16813">
        <v>8606</v>
      </c>
      <c r="BH127" s="84" vm="17050">
        <v>8819</v>
      </c>
      <c r="BI127" s="84" vm="17261">
        <v>794</v>
      </c>
      <c r="BJ127" s="84" vm="17347">
        <v>20722</v>
      </c>
      <c r="BK127" s="84" vm="17503">
        <v>0</v>
      </c>
      <c r="BL127" s="84" vm="16344">
        <v>60</v>
      </c>
      <c r="BM127" s="84">
        <v>0</v>
      </c>
      <c r="BN127" s="84" vm="16814">
        <v>1997</v>
      </c>
      <c r="BO127" s="84">
        <v>0</v>
      </c>
      <c r="BP127" s="5" vm="17773">
        <f xml:space="preserve"> VfM_Metrics_2023_Entity[[#This Row],[Total social housing units owned and/or managed at period end]]</f>
        <v>32813</v>
      </c>
      <c r="BQ127" s="135" vm="17773">
        <v>32813</v>
      </c>
      <c r="BR127" s="134">
        <f xml:space="preserve"> IFERROR( VfM_Metrics_2023_Entity[[#This Row],[SHL operating surplus / (deficit)]] / VfM_Metrics_2023_Entity[[#This Row],[Turnover from social housing lettings]], "n/a" )</f>
        <v>0.28180155083882502</v>
      </c>
      <c r="BS127" s="5" vm="17851">
        <f xml:space="preserve"> VfM_Metrics_2023_Entity[[#This Row],[Operating surplus/(deficit) (social housing lettings)]]</f>
        <v>54222</v>
      </c>
      <c r="BT127" s="84" vm="17851">
        <v>54222</v>
      </c>
      <c r="BU127" s="5" vm="18061">
        <f xml:space="preserve"> VfM_Metrics_2023_Entity[[#This Row],[Turnover from social housing lettings]]</f>
        <v>192412</v>
      </c>
      <c r="BV127" s="135" vm="18061">
        <v>192412</v>
      </c>
      <c r="BW127" s="134">
        <f xml:space="preserve"> IFERROR( VfM_Metrics_2023_Entity[[#This Row],[Net operating surplus]] / VfM_Metrics_2023_Entity[[#This Row],[Overall turnover]], "n/a" )</f>
        <v>0.26822084437282057</v>
      </c>
      <c r="BX127" s="5">
        <f xml:space="preserve"> SUM( VfM_Metrics_2023_Entity[[#This Row],[Operating surplus/(deficit) (overall)2]], - VfM_Metrics_2023_Entity[[#This Row],[Gain/(loss) on disposal of fixed assets (housing properties)2]], - VfM_Metrics_2023_Entity[[#This Row],[Gain/(loss) on disposal of fixed assets (other)2]] )</f>
        <v>58919</v>
      </c>
      <c r="BY127" s="84" vm="13521">
        <v>62751</v>
      </c>
      <c r="BZ127" s="84" vm="15004">
        <v>3832</v>
      </c>
      <c r="CA127" s="84">
        <v>0</v>
      </c>
      <c r="CB127" s="5" vm="18369">
        <f xml:space="preserve"> VfM_Metrics_2023_Entity[[#This Row],[Turnover (overall)]]</f>
        <v>219666</v>
      </c>
      <c r="CC127" s="135" vm="18369">
        <v>219666</v>
      </c>
      <c r="CD127" s="134">
        <f xml:space="preserve"> IFERROR( VfM_Metrics_2023_Entity[[#This Row],[Operating surplus including from JVs]] / VfM_Metrics_2023_Entity[[#This Row],[Net assets]], "n/a" )</f>
        <v>3.3093097970884867E-2</v>
      </c>
      <c r="CE127" s="5">
        <f xml:space="preserve"> SUM( VfM_Metrics_2023_Entity[[#This Row],[Operating surplus/(deficit) (overall)3]], VfM_Metrics_2023_Entity[[#This Row],[Share of operating surplus/(deficit) in joint ventures or associates]] )</f>
        <v>62751</v>
      </c>
      <c r="CF127" s="84" vm="13448">
        <v>62751</v>
      </c>
      <c r="CG127" s="84">
        <v>0</v>
      </c>
      <c r="CH127" s="5" vm="18588">
        <f xml:space="preserve"> VfM_Metrics_2023_Entity[[#This Row],[Total assets less current liabilities]]</f>
        <v>1896196</v>
      </c>
      <c r="CI127" s="135" vm="18588">
        <v>1896196</v>
      </c>
      <c r="CJ127" s="140" vm="11301">
        <f xml:space="preserve"> VfM_Metrics_2023_Entity[[#This Row],[Total social housing units owned (Period end)]]</f>
        <v>31172</v>
      </c>
      <c r="CK127" s="141">
        <v>3.2362564384981696E-2</v>
      </c>
      <c r="CL127" s="69">
        <f xml:space="preserve"> -- ( VfM_Metrics_2023_Entity[[#This Row],[% Supported housing (excl. HOP)]] &gt; 0.3 )</f>
        <v>0</v>
      </c>
      <c r="CM127" s="9">
        <v>8.8924163400174935E-2</v>
      </c>
      <c r="CN127" s="69">
        <f xml:space="preserve"> -- ( VfM_Metrics_2023_Entity[[#This Row],[% Housing for older people]] &gt; 0.3 )</f>
        <v>0</v>
      </c>
      <c r="CO127" s="9">
        <f xml:space="preserve"> VfM_Metrics_2023_Entity[[#This Row],[% Supported housing (excl. HOP)]] + VfM_Metrics_2023_Entity[[#This Row],[% Housing for older people]]</f>
        <v>0.12128672778515663</v>
      </c>
      <c r="CP127" s="69">
        <f xml:space="preserve"> -- ( VfM_Metrics_2023_Entity[[#This Row],[SH specialist in RSH analysis]] + VfM_Metrics_2023_Entity[[#This Row],[OP specialist in RSH analysis]] &gt; 0 )</f>
        <v>0</v>
      </c>
      <c r="CQ127" s="142">
        <f xml:space="preserve"> -- ( VfM_Metrics_2023_Entity[[#This Row],[% SH and OP]] &gt; 0.3 )</f>
        <v>0</v>
      </c>
      <c r="CR127" s="143" t="s">
        <v>143</v>
      </c>
      <c r="CS127" s="120"/>
      <c r="CT127" s="144" t="s">
        <v>144</v>
      </c>
      <c r="CU12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127" s="146">
        <v>0</v>
      </c>
      <c r="CW127" s="146">
        <v>3.2345710958726873E-3</v>
      </c>
      <c r="CX127" s="146">
        <v>6.4691421917453741E-4</v>
      </c>
      <c r="CY127" s="146">
        <v>0.10007762970630095</v>
      </c>
      <c r="CZ127" s="146">
        <v>0.89604088497865186</v>
      </c>
      <c r="DA127" s="146">
        <v>0</v>
      </c>
      <c r="DB127" s="146">
        <v>0</v>
      </c>
      <c r="DC127" s="146">
        <v>0</v>
      </c>
      <c r="DD127" s="146">
        <v>0</v>
      </c>
      <c r="DE127" s="126">
        <v>0.96259339362563145</v>
      </c>
    </row>
    <row r="128" spans="1:109" x14ac:dyDescent="0.25">
      <c r="A128" s="4" t="s" vm="300">
        <v>346</v>
      </c>
      <c r="B128" s="4" t="s" vm="9293">
        <v>347</v>
      </c>
      <c r="C128" s="121" vm="18903">
        <v>45016</v>
      </c>
      <c r="D128" s="68">
        <f>IFERROR( VfM_Metrics_2023_Entity[[#This Row],[Reinvestment Spend]] / VfM_Metrics_2023_Entity[[#This Row],[Net Book Value of Housing Properties]], "n/a" )</f>
        <v>5.4527032546724315E-2</v>
      </c>
      <c r="E12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92779</v>
      </c>
      <c r="F128" s="84" vm="10254">
        <v>79603</v>
      </c>
      <c r="G128" s="84" vm="10848">
        <v>0</v>
      </c>
      <c r="H128" s="84" vm="9620">
        <v>9788</v>
      </c>
      <c r="I128" s="84" vm="9819">
        <v>3388</v>
      </c>
      <c r="J128" s="84" vm="10215">
        <v>0</v>
      </c>
      <c r="K128" s="5">
        <f xml:space="preserve"> SUM( VfM_Metrics_2023_Entity[[#This Row],[Tangible fixed assets: Housing properties at cost (Current period)]],VfM_Metrics_2023_Entity[[#This Row],[Tangible fixed assets Housing properties at valuation (Current period)]] )</f>
        <v>1701523</v>
      </c>
      <c r="L128" s="84" vm="9899">
        <v>1701523</v>
      </c>
      <c r="M128" s="84" vm="10094">
        <v>0</v>
      </c>
      <c r="N128" s="134">
        <f xml:space="preserve"> IFERROR( VfM_Metrics_2023_Entity[[#This Row],[Total social units developed or newly built units acquired in-year]] / VfM_Metrics_2023_Entity[[#This Row],[Social housing units owned (period end)]], "n/a" )</f>
        <v>2.2301194890811702E-2</v>
      </c>
      <c r="O128" s="5">
        <f xml:space="preserve"> SUM( VfM_Metrics_2023_Entity[[#This Row],[Total social units developed or newly built units acquired in-year (owned)]], VfM_Metrics_2023_Entity[[#This Row],[Total social leasehold units developed or newly built units acquired in-year (owned)]] )</f>
        <v>433</v>
      </c>
      <c r="P128" s="84" vm="11014">
        <v>433</v>
      </c>
      <c r="Q128" s="84" vm="11117">
        <v>0</v>
      </c>
      <c r="R128" s="5">
        <f xml:space="preserve"> SUM( VfM_Metrics_2023_Entity[[#This Row],[Total social housing units owned (Period end)]], VfM_Metrics_2023_Entity[[#This Row],[Total social leasehold units owned (Period end)]] )</f>
        <v>19416</v>
      </c>
      <c r="S128" s="84" vm="11346">
        <v>18323</v>
      </c>
      <c r="T128" s="135" vm="11427">
        <v>1093</v>
      </c>
      <c r="U128" s="136">
        <f xml:space="preserve"> IFERROR( VfM_Metrics_2023_Entity[[#This Row],[Total non-social housing units developed or newly built units acquired (owned)]] / VfM_Metrics_2023_Entity[[#This Row],[Total social and non-social housing units owned (Period end)]], "n/a" )</f>
        <v>0</v>
      </c>
      <c r="V12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28" s="84" vm="11596">
        <v>0</v>
      </c>
      <c r="X128" s="84" vm="11704">
        <v>0</v>
      </c>
      <c r="Y128" s="84" vm="11750">
        <v>0</v>
      </c>
      <c r="Z12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19463</v>
      </c>
      <c r="AA128" s="84" vm="12012">
        <v>18323</v>
      </c>
      <c r="AB128" s="84" vm="12196">
        <v>1093</v>
      </c>
      <c r="AC128" s="84" vm="12118">
        <v>47</v>
      </c>
      <c r="AD128" s="135" vm="12275">
        <v>0</v>
      </c>
      <c r="AE128" s="134">
        <f xml:space="preserve"> IFERROR( VfM_Metrics_2023_Entity[[#This Row],[Total Net Debt]] / VfM_Metrics_2023_Entity[[#This Row],[Net Book Value of Housing Properties2]], "n/a" )</f>
        <v>0.34142765040496076</v>
      </c>
      <c r="AF12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580947</v>
      </c>
      <c r="AG128" s="84" vm="12595">
        <v>8684</v>
      </c>
      <c r="AH128" s="84" vm="12770">
        <v>246958</v>
      </c>
      <c r="AI128" s="84" vm="12988">
        <v>30220</v>
      </c>
      <c r="AJ128" s="84" vm="13038">
        <v>355486</v>
      </c>
      <c r="AK128" s="84" vm="13126">
        <v>39</v>
      </c>
      <c r="AL128" s="5">
        <f xml:space="preserve"> SUM( VfM_Metrics_2023_Entity[[#This Row],[Tangible fixed assets: Housing properties at cost (Current period)2]], VfM_Metrics_2023_Entity[[#This Row],[Tangible fixed assets Housing properties at valuation (Current period)2]] )</f>
        <v>1701523</v>
      </c>
      <c r="AM128" s="84" vm="13374">
        <v>1701523</v>
      </c>
      <c r="AN128" s="135" vm="10094">
        <v>0</v>
      </c>
      <c r="AO128" s="137">
        <f xml:space="preserve"> IFERROR( VfM_Metrics_2023_Entity[[#This Row],[EBITDA MRI]] / VfM_Metrics_2023_Entity[[#This Row],[Total interest]], "n/a" )</f>
        <v>1.9951421577857278</v>
      </c>
      <c r="AP12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52981</v>
      </c>
      <c r="AQ128" s="84" vm="13484">
        <v>60597</v>
      </c>
      <c r="AR128" s="84" vm="13769">
        <v>15813</v>
      </c>
      <c r="AS128" s="84" vm="14023">
        <v>3</v>
      </c>
      <c r="AT128" s="84" vm="14269">
        <v>5290</v>
      </c>
      <c r="AU128" s="84" vm="14514">
        <v>0</v>
      </c>
      <c r="AV128" s="84" vm="14761">
        <v>1211</v>
      </c>
      <c r="AW128" s="84" vm="15006">
        <v>9788</v>
      </c>
      <c r="AX128" s="84" vm="13770">
        <v>22067</v>
      </c>
      <c r="AY128" s="5">
        <f xml:space="preserve"> - SUM( VfM_Metrics_2023_Entity[[#This Row],[Interest capitalised]], VfM_Metrics_2023_Entity[[#This Row],[Interest payable and financing costs]] )</f>
        <v>26555</v>
      </c>
      <c r="AZ128" s="84" vm="15166">
        <v>-3388</v>
      </c>
      <c r="BA128" s="135" vm="15330">
        <v>-23167</v>
      </c>
      <c r="BB128" s="138">
        <f xml:space="preserve"> IFERROR( ( VfM_Metrics_2023_Entity[[#This Row],[Total Costs]] / VfM_Metrics_2023_Entity[[#This Row],[Total units for costs]] ) * 1000, "n/a" )</f>
        <v>3835.2745424292848</v>
      </c>
      <c r="BC12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71455</v>
      </c>
      <c r="BD128" s="84" vm="15523">
        <v>23435</v>
      </c>
      <c r="BE128" s="84" vm="17119">
        <v>13689</v>
      </c>
      <c r="BF128" s="84" vm="16121">
        <v>13136</v>
      </c>
      <c r="BG128" s="84" vm="17504">
        <v>5065</v>
      </c>
      <c r="BH128" s="84" vm="16346">
        <v>3563</v>
      </c>
      <c r="BI128" s="84" vm="16454">
        <v>0</v>
      </c>
      <c r="BJ128" s="84" vm="16726">
        <v>9788</v>
      </c>
      <c r="BK128" s="84" vm="15990">
        <v>0</v>
      </c>
      <c r="BL128" s="84" vm="15931">
        <v>2384</v>
      </c>
      <c r="BM128" s="84" vm="17504">
        <v>1036</v>
      </c>
      <c r="BN128" s="84" vm="16122">
        <v>-641</v>
      </c>
      <c r="BO128" s="84" vm="17051">
        <v>0</v>
      </c>
      <c r="BP128" s="5" vm="17635">
        <f xml:space="preserve"> VfM_Metrics_2023_Entity[[#This Row],[Total social housing units owned and/or managed at period end]]</f>
        <v>18631</v>
      </c>
      <c r="BQ128" s="135" vm="17635">
        <v>18631</v>
      </c>
      <c r="BR128" s="134">
        <f xml:space="preserve"> IFERROR( VfM_Metrics_2023_Entity[[#This Row],[SHL operating surplus / (deficit)]] / VfM_Metrics_2023_Entity[[#This Row],[Turnover from social housing lettings]], "n/a" )</f>
        <v>0.34568995952281256</v>
      </c>
      <c r="BS128" s="5" vm="17889">
        <f xml:space="preserve"> VfM_Metrics_2023_Entity[[#This Row],[Operating surplus/(deficit) (social housing lettings)]]</f>
        <v>42104</v>
      </c>
      <c r="BT128" s="84" vm="17889">
        <v>42104</v>
      </c>
      <c r="BU128" s="5" vm="18088">
        <f xml:space="preserve"> VfM_Metrics_2023_Entity[[#This Row],[Turnover from social housing lettings]]</f>
        <v>121797</v>
      </c>
      <c r="BV128" s="135" vm="18088">
        <v>121797</v>
      </c>
      <c r="BW128" s="134">
        <f xml:space="preserve"> IFERROR( VfM_Metrics_2023_Entity[[#This Row],[Net operating surplus]] / VfM_Metrics_2023_Entity[[#This Row],[Overall turnover]], "n/a" )</f>
        <v>0.31577499947113452</v>
      </c>
      <c r="BX128" s="5">
        <f xml:space="preserve"> SUM( VfM_Metrics_2023_Entity[[#This Row],[Operating surplus/(deficit) (overall)2]], - VfM_Metrics_2023_Entity[[#This Row],[Gain/(loss) on disposal of fixed assets (housing properties)2]], - VfM_Metrics_2023_Entity[[#This Row],[Gain/(loss) on disposal of fixed assets (other)2]] )</f>
        <v>44781</v>
      </c>
      <c r="BY128" s="84" vm="18234">
        <v>60597</v>
      </c>
      <c r="BZ128" s="84" vm="13769">
        <v>15813</v>
      </c>
      <c r="CA128" s="84" vm="14023">
        <v>3</v>
      </c>
      <c r="CB128" s="5" vm="18407">
        <f xml:space="preserve"> VfM_Metrics_2023_Entity[[#This Row],[Turnover (overall)]]</f>
        <v>141813</v>
      </c>
      <c r="CC128" s="135" vm="18407">
        <v>141813</v>
      </c>
      <c r="CD128" s="134">
        <f xml:space="preserve"> IFERROR( VfM_Metrics_2023_Entity[[#This Row],[Operating surplus including from JVs]] / VfM_Metrics_2023_Entity[[#This Row],[Net assets]], "n/a" )</f>
        <v>3.4800481717643855E-2</v>
      </c>
      <c r="CE128" s="5">
        <f xml:space="preserve"> SUM( VfM_Metrics_2023_Entity[[#This Row],[Operating surplus/(deficit) (overall)3]], VfM_Metrics_2023_Entity[[#This Row],[Share of operating surplus/(deficit) in joint ventures or associates]] )</f>
        <v>60597</v>
      </c>
      <c r="CF128" s="84" vm="13484">
        <v>60597</v>
      </c>
      <c r="CG128" s="84" vm="18457">
        <v>0</v>
      </c>
      <c r="CH128" s="5" vm="18625">
        <f xml:space="preserve"> VfM_Metrics_2023_Entity[[#This Row],[Total assets less current liabilities]]</f>
        <v>1741269</v>
      </c>
      <c r="CI128" s="135" vm="18625">
        <v>1741269</v>
      </c>
      <c r="CJ128" s="140" vm="11346">
        <f xml:space="preserve"> VfM_Metrics_2023_Entity[[#This Row],[Total social housing units owned (Period end)]]</f>
        <v>18323</v>
      </c>
      <c r="CK128" s="141">
        <v>1.1750560201125868E-2</v>
      </c>
      <c r="CL128" s="69">
        <f xml:space="preserve"> -- ( VfM_Metrics_2023_Entity[[#This Row],[% Supported housing (excl. HOP)]] &gt; 0.3 )</f>
        <v>0</v>
      </c>
      <c r="CM128" s="9">
        <v>8.0341039514674542E-2</v>
      </c>
      <c r="CN128" s="69">
        <f xml:space="preserve"> -- ( VfM_Metrics_2023_Entity[[#This Row],[% Housing for older people]] &gt; 0.3 )</f>
        <v>0</v>
      </c>
      <c r="CO128" s="9">
        <f xml:space="preserve"> VfM_Metrics_2023_Entity[[#This Row],[% Supported housing (excl. HOP)]] + VfM_Metrics_2023_Entity[[#This Row],[% Housing for older people]]</f>
        <v>9.2091599715800415E-2</v>
      </c>
      <c r="CP128" s="69">
        <f xml:space="preserve"> -- ( VfM_Metrics_2023_Entity[[#This Row],[SH specialist in RSH analysis]] + VfM_Metrics_2023_Entity[[#This Row],[OP specialist in RSH analysis]] &gt; 0 )</f>
        <v>0</v>
      </c>
      <c r="CQ128" s="142">
        <f xml:space="preserve"> -- ( VfM_Metrics_2023_Entity[[#This Row],[% SH and OP]] &gt; 0.3 )</f>
        <v>0</v>
      </c>
      <c r="CR128" s="143" t="s">
        <v>143</v>
      </c>
      <c r="CS128" s="120"/>
      <c r="CT128" s="144" t="s">
        <v>151</v>
      </c>
      <c r="CU12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28" s="146">
        <v>0.20621823944046774</v>
      </c>
      <c r="CW128" s="146">
        <v>0.56302934265887106</v>
      </c>
      <c r="CX128" s="146">
        <v>3.8249275995847223E-3</v>
      </c>
      <c r="CY128" s="146">
        <v>0</v>
      </c>
      <c r="CZ128" s="146">
        <v>0</v>
      </c>
      <c r="DA128" s="146">
        <v>0.22692749030107645</v>
      </c>
      <c r="DB128" s="146">
        <v>0</v>
      </c>
      <c r="DC128" s="146">
        <v>0</v>
      </c>
      <c r="DD128" s="146">
        <v>0</v>
      </c>
      <c r="DE128" s="126">
        <v>1.0545374148543027</v>
      </c>
    </row>
    <row r="129" spans="1:109" x14ac:dyDescent="0.25">
      <c r="A129" s="4" t="s" vm="369">
        <v>348</v>
      </c>
      <c r="B129" s="4" t="s" vm="9270">
        <v>349</v>
      </c>
      <c r="C129" s="121" vm="18820">
        <v>45016</v>
      </c>
      <c r="D129" s="68">
        <f>IFERROR( VfM_Metrics_2023_Entity[[#This Row],[Reinvestment Spend]] / VfM_Metrics_2023_Entity[[#This Row],[Net Book Value of Housing Properties]], "n/a" )</f>
        <v>5.2812356428712071E-2</v>
      </c>
      <c r="E12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21726</v>
      </c>
      <c r="F129" s="84" vm="9413">
        <v>14798</v>
      </c>
      <c r="G129" s="84" vm="10656">
        <v>0</v>
      </c>
      <c r="H129" s="84" vm="10900">
        <v>6810</v>
      </c>
      <c r="I129" s="84" vm="9621">
        <v>118</v>
      </c>
      <c r="J129" s="84" vm="10701">
        <v>0</v>
      </c>
      <c r="K129" s="5">
        <f xml:space="preserve"> SUM( VfM_Metrics_2023_Entity[[#This Row],[Tangible fixed assets: Housing properties at cost (Current period)]],VfM_Metrics_2023_Entity[[#This Row],[Tangible fixed assets Housing properties at valuation (Current period)]] )</f>
        <v>411381</v>
      </c>
      <c r="L129" s="84" vm="9924">
        <v>411381</v>
      </c>
      <c r="M129" s="84" vm="10340">
        <v>0</v>
      </c>
      <c r="N129" s="134">
        <f xml:space="preserve"> IFERROR( VfM_Metrics_2023_Entity[[#This Row],[Total social units developed or newly built units acquired in-year]] / VfM_Metrics_2023_Entity[[#This Row],[Social housing units owned (period end)]], "n/a" )</f>
        <v>2.000919963201472E-2</v>
      </c>
      <c r="O129" s="5">
        <f xml:space="preserve"> SUM( VfM_Metrics_2023_Entity[[#This Row],[Total social units developed or newly built units acquired in-year (owned)]], VfM_Metrics_2023_Entity[[#This Row],[Total social leasehold units developed or newly built units acquired in-year (owned)]] )</f>
        <v>174</v>
      </c>
      <c r="P129" s="84" vm="10970">
        <v>170</v>
      </c>
      <c r="Q129" s="84" vm="11143">
        <v>4</v>
      </c>
      <c r="R129" s="5">
        <f xml:space="preserve"> SUM( VfM_Metrics_2023_Entity[[#This Row],[Total social housing units owned (Period end)]], VfM_Metrics_2023_Entity[[#This Row],[Total social leasehold units owned (Period end)]] )</f>
        <v>8696</v>
      </c>
      <c r="S129" s="84" vm="11256">
        <v>8558</v>
      </c>
      <c r="T129" s="135" vm="11513">
        <v>138</v>
      </c>
      <c r="U129" s="136">
        <f xml:space="preserve"> IFERROR( VfM_Metrics_2023_Entity[[#This Row],[Total non-social housing units developed or newly built units acquired (owned)]] / VfM_Metrics_2023_Entity[[#This Row],[Total social and non-social housing units owned (Period end)]], "n/a" )</f>
        <v>7.9257246376811599E-4</v>
      </c>
      <c r="V12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7</v>
      </c>
      <c r="W129" s="84" vm="11623">
        <v>7</v>
      </c>
      <c r="X129" s="84" vm="11801">
        <v>0</v>
      </c>
      <c r="Y129" s="84" vm="11844">
        <v>0</v>
      </c>
      <c r="Z12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8832</v>
      </c>
      <c r="AA129" s="84" vm="11256">
        <v>8558</v>
      </c>
      <c r="AB129" s="84" vm="12447">
        <v>138</v>
      </c>
      <c r="AC129" s="84" vm="12372">
        <v>136</v>
      </c>
      <c r="AD129" s="135" vm="12511">
        <v>0</v>
      </c>
      <c r="AE129" s="134">
        <f xml:space="preserve"> IFERROR( VfM_Metrics_2023_Entity[[#This Row],[Total Net Debt]] / VfM_Metrics_2023_Entity[[#This Row],[Net Book Value of Housing Properties2]], "n/a" )</f>
        <v>0.44182643340358452</v>
      </c>
      <c r="AF12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181759</v>
      </c>
      <c r="AG129" s="84" vm="12616">
        <v>1956</v>
      </c>
      <c r="AH129" s="84" vm="13213">
        <v>183520</v>
      </c>
      <c r="AI129" s="84" vm="13299">
        <v>3717</v>
      </c>
      <c r="AJ129" s="84" vm="12771">
        <v>0</v>
      </c>
      <c r="AK129" s="84" vm="12907">
        <v>0</v>
      </c>
      <c r="AL129" s="5">
        <f xml:space="preserve"> SUM( VfM_Metrics_2023_Entity[[#This Row],[Tangible fixed assets: Housing properties at cost (Current period)2]], VfM_Metrics_2023_Entity[[#This Row],[Tangible fixed assets Housing properties at valuation (Current period)2]] )</f>
        <v>411381</v>
      </c>
      <c r="AM129" s="84" vm="9924">
        <v>411381</v>
      </c>
      <c r="AN129" s="135" vm="10107">
        <v>0</v>
      </c>
      <c r="AO129" s="137">
        <f xml:space="preserve"> IFERROR( VfM_Metrics_2023_Entity[[#This Row],[EBITDA MRI]] / VfM_Metrics_2023_Entity[[#This Row],[Total interest]], "n/a" )</f>
        <v>1.1669455528382031</v>
      </c>
      <c r="AP12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9066</v>
      </c>
      <c r="AQ129" s="84" vm="13518">
        <v>9473</v>
      </c>
      <c r="AR129" s="84" vm="14024">
        <v>1379</v>
      </c>
      <c r="AS129" s="84" vm="14270">
        <v>0</v>
      </c>
      <c r="AT129" s="84" vm="14515">
        <v>2223</v>
      </c>
      <c r="AU129" s="84" vm="14762">
        <v>0</v>
      </c>
      <c r="AV129" s="84" vm="15007">
        <v>786</v>
      </c>
      <c r="AW129" s="84" vm="13771">
        <v>6810</v>
      </c>
      <c r="AX129" s="84" vm="14025">
        <v>9219</v>
      </c>
      <c r="AY129" s="5">
        <f xml:space="preserve"> - SUM( VfM_Metrics_2023_Entity[[#This Row],[Interest capitalised]], VfM_Metrics_2023_Entity[[#This Row],[Interest payable and financing costs]] )</f>
        <v>7769</v>
      </c>
      <c r="AZ129" s="84" vm="15200">
        <v>-118</v>
      </c>
      <c r="BA129" s="135" vm="15367">
        <v>-7651</v>
      </c>
      <c r="BB129" s="138">
        <f xml:space="preserve"> IFERROR( ( VfM_Metrics_2023_Entity[[#This Row],[Total Costs]] / VfM_Metrics_2023_Entity[[#This Row],[Total units for costs]] ) * 1000, "n/a" )</f>
        <v>4570.7117852975498</v>
      </c>
      <c r="BC12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39171</v>
      </c>
      <c r="BD129" s="84" vm="16455">
        <v>7175</v>
      </c>
      <c r="BE129" s="84" vm="16641">
        <v>7068</v>
      </c>
      <c r="BF129" s="84" vm="16727">
        <v>14539</v>
      </c>
      <c r="BG129" s="84" vm="16882">
        <v>3019</v>
      </c>
      <c r="BH129" s="84" vm="16817">
        <v>0</v>
      </c>
      <c r="BI129" s="84" vm="17120">
        <v>314</v>
      </c>
      <c r="BJ129" s="84" vm="13771">
        <v>6810</v>
      </c>
      <c r="BK129" s="84" vm="16124">
        <v>0</v>
      </c>
      <c r="BL129" s="84" vm="16642">
        <v>150</v>
      </c>
      <c r="BM129" s="84" vm="15934">
        <v>0</v>
      </c>
      <c r="BN129" s="84" vm="16185">
        <v>30</v>
      </c>
      <c r="BO129" s="84" vm="15991">
        <v>66</v>
      </c>
      <c r="BP129" s="5" vm="17671">
        <f xml:space="preserve"> VfM_Metrics_2023_Entity[[#This Row],[Total social housing units owned and/or managed at period end]]</f>
        <v>8570</v>
      </c>
      <c r="BQ129" s="135" vm="17671">
        <v>8570</v>
      </c>
      <c r="BR129" s="134">
        <f xml:space="preserve"> IFERROR( VfM_Metrics_2023_Entity[[#This Row],[SHL operating surplus / (deficit)]] / VfM_Metrics_2023_Entity[[#This Row],[Turnover from social housing lettings]], "n/a" )</f>
        <v>0.1338320153879034</v>
      </c>
      <c r="BS129" s="5" vm="17926">
        <f xml:space="preserve"> VfM_Metrics_2023_Entity[[#This Row],[Operating surplus/(deficit) (social housing lettings)]]</f>
        <v>6262</v>
      </c>
      <c r="BT129" s="84" vm="17926">
        <v>6262</v>
      </c>
      <c r="BU129" s="5" vm="18119">
        <f xml:space="preserve"> VfM_Metrics_2023_Entity[[#This Row],[Turnover from social housing lettings]]</f>
        <v>46790</v>
      </c>
      <c r="BV129" s="135" vm="18119">
        <v>46790</v>
      </c>
      <c r="BW129" s="134">
        <f xml:space="preserve"> IFERROR( VfM_Metrics_2023_Entity[[#This Row],[Net operating surplus]] / VfM_Metrics_2023_Entity[[#This Row],[Overall turnover]], "n/a" )</f>
        <v>0.15186595868435371</v>
      </c>
      <c r="BX129" s="5">
        <f xml:space="preserve"> SUM( VfM_Metrics_2023_Entity[[#This Row],[Operating surplus/(deficit) (overall)2]], - VfM_Metrics_2023_Entity[[#This Row],[Gain/(loss) on disposal of fixed assets (housing properties)2]], - VfM_Metrics_2023_Entity[[#This Row],[Gain/(loss) on disposal of fixed assets (other)2]] )</f>
        <v>8094</v>
      </c>
      <c r="BY129" s="84" vm="13518">
        <v>9473</v>
      </c>
      <c r="BZ129" s="84" vm="14024">
        <v>1379</v>
      </c>
      <c r="CA129" s="84" vm="14270">
        <v>0</v>
      </c>
      <c r="CB129" s="5" vm="18276">
        <f xml:space="preserve"> VfM_Metrics_2023_Entity[[#This Row],[Turnover (overall)]]</f>
        <v>53297</v>
      </c>
      <c r="CC129" s="135" vm="18276">
        <v>53297</v>
      </c>
      <c r="CD129" s="134">
        <f xml:space="preserve"> IFERROR( VfM_Metrics_2023_Entity[[#This Row],[Operating surplus including from JVs]] / VfM_Metrics_2023_Entity[[#This Row],[Net assets]], "n/a" )</f>
        <v>2.2085291703968963E-2</v>
      </c>
      <c r="CE129" s="5">
        <f xml:space="preserve"> SUM( VfM_Metrics_2023_Entity[[#This Row],[Operating surplus/(deficit) (overall)3]], VfM_Metrics_2023_Entity[[#This Row],[Share of operating surplus/(deficit) in joint ventures or associates]] )</f>
        <v>9473</v>
      </c>
      <c r="CF129" s="84" vm="13518">
        <v>9473</v>
      </c>
      <c r="CG129" s="84" vm="18482">
        <v>0</v>
      </c>
      <c r="CH129" s="5" vm="18662">
        <f xml:space="preserve"> VfM_Metrics_2023_Entity[[#This Row],[Total assets less current liabilities]]</f>
        <v>428928</v>
      </c>
      <c r="CI129" s="135" vm="18662">
        <v>428928</v>
      </c>
      <c r="CJ129" s="140" vm="11256">
        <f xml:space="preserve"> VfM_Metrics_2023_Entity[[#This Row],[Total social housing units owned (Period end)]]</f>
        <v>8558</v>
      </c>
      <c r="CK129" s="141">
        <v>7.6070291307937257E-2</v>
      </c>
      <c r="CL129" s="69">
        <f xml:space="preserve"> -- ( VfM_Metrics_2023_Entity[[#This Row],[% Supported housing (excl. HOP)]] &gt; 0.3 )</f>
        <v>0</v>
      </c>
      <c r="CM129" s="9">
        <v>7.2060384479301798E-2</v>
      </c>
      <c r="CN129" s="69">
        <f xml:space="preserve"> -- ( VfM_Metrics_2023_Entity[[#This Row],[% Housing for older people]] &gt; 0.3 )</f>
        <v>0</v>
      </c>
      <c r="CO129" s="9">
        <f xml:space="preserve"> VfM_Metrics_2023_Entity[[#This Row],[% Supported housing (excl. HOP)]] + VfM_Metrics_2023_Entity[[#This Row],[% Housing for older people]]</f>
        <v>0.14813067578723904</v>
      </c>
      <c r="CP129" s="69">
        <f xml:space="preserve"> -- ( VfM_Metrics_2023_Entity[[#This Row],[SH specialist in RSH analysis]] + VfM_Metrics_2023_Entity[[#This Row],[OP specialist in RSH analysis]] &gt; 0 )</f>
        <v>0</v>
      </c>
      <c r="CQ129" s="142">
        <f xml:space="preserve"> -- ( VfM_Metrics_2023_Entity[[#This Row],[% SH and OP]] &gt; 0.3 )</f>
        <v>0</v>
      </c>
      <c r="CR129" s="143" t="s">
        <v>143</v>
      </c>
      <c r="CS129" s="120"/>
      <c r="CT129" s="144" t="s">
        <v>151</v>
      </c>
      <c r="CU12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29" s="146">
        <v>0</v>
      </c>
      <c r="CW129" s="146">
        <v>0</v>
      </c>
      <c r="CX129" s="146">
        <v>0</v>
      </c>
      <c r="CY129" s="146">
        <v>0</v>
      </c>
      <c r="CZ129" s="146">
        <v>2.3369946249123628E-4</v>
      </c>
      <c r="DA129" s="146">
        <v>0</v>
      </c>
      <c r="DB129" s="146">
        <v>0</v>
      </c>
      <c r="DC129" s="146">
        <v>0.98130404300070107</v>
      </c>
      <c r="DD129" s="146">
        <v>1.8462257536807667E-2</v>
      </c>
      <c r="DE129" s="126">
        <v>0.96075596097799398</v>
      </c>
    </row>
    <row r="130" spans="1:109" x14ac:dyDescent="0.25">
      <c r="A130" s="4" t="s" vm="218">
        <v>350</v>
      </c>
      <c r="B130" s="4" t="s" vm="10464">
        <v>351</v>
      </c>
      <c r="C130" s="121" vm="18936">
        <v>45016</v>
      </c>
      <c r="D130" s="68">
        <f>IFERROR( VfM_Metrics_2023_Entity[[#This Row],[Reinvestment Spend]] / VfM_Metrics_2023_Entity[[#This Row],[Net Book Value of Housing Properties]], "n/a" )</f>
        <v>6.7473304902641404E-2</v>
      </c>
      <c r="E13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8164</v>
      </c>
      <c r="F130" s="84" vm="9421">
        <v>5807</v>
      </c>
      <c r="G130" s="84" vm="10866">
        <v>0</v>
      </c>
      <c r="H130" s="84" vm="9506">
        <v>2186</v>
      </c>
      <c r="I130" s="84" vm="10583">
        <v>171</v>
      </c>
      <c r="J130" s="84" vm="10679">
        <v>0</v>
      </c>
      <c r="K130" s="5">
        <f xml:space="preserve"> SUM( VfM_Metrics_2023_Entity[[#This Row],[Tangible fixed assets: Housing properties at cost (Current period)]],VfM_Metrics_2023_Entity[[#This Row],[Tangible fixed assets Housing properties at valuation (Current period)]] )</f>
        <v>120996</v>
      </c>
      <c r="L130" s="84" vm="10319">
        <v>120996</v>
      </c>
      <c r="M130" s="84" vm="10271">
        <v>0</v>
      </c>
      <c r="N130" s="134">
        <f xml:space="preserve"> IFERROR( VfM_Metrics_2023_Entity[[#This Row],[Total social units developed or newly built units acquired in-year]] / VfM_Metrics_2023_Entity[[#This Row],[Social housing units owned (period end)]], "n/a" )</f>
        <v>2.6378896882494004E-2</v>
      </c>
      <c r="O130" s="5">
        <f xml:space="preserve"> SUM( VfM_Metrics_2023_Entity[[#This Row],[Total social units developed or newly built units acquired in-year (owned)]], VfM_Metrics_2023_Entity[[#This Row],[Total social leasehold units developed or newly built units acquired in-year (owned)]] )</f>
        <v>44</v>
      </c>
      <c r="P130" s="84" vm="11023">
        <v>44</v>
      </c>
      <c r="Q130" s="84" vm="11155">
        <v>0</v>
      </c>
      <c r="R130" s="5">
        <f xml:space="preserve"> SUM( VfM_Metrics_2023_Entity[[#This Row],[Total social housing units owned (Period end)]], VfM_Metrics_2023_Entity[[#This Row],[Total social leasehold units owned (Period end)]] )</f>
        <v>1668</v>
      </c>
      <c r="S130" s="84" vm="11309">
        <v>1579</v>
      </c>
      <c r="T130" s="135" vm="11527">
        <v>89</v>
      </c>
      <c r="U130" s="136">
        <f xml:space="preserve"> IFERROR( VfM_Metrics_2023_Entity[[#This Row],[Total non-social housing units developed or newly built units acquired (owned)]] / VfM_Metrics_2023_Entity[[#This Row],[Total social and non-social housing units owned (Period end)]], "n/a" )</f>
        <v>0</v>
      </c>
      <c r="V13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0" s="84" vm="11640">
        <v>0</v>
      </c>
      <c r="X130" s="84" vm="11887">
        <v>0</v>
      </c>
      <c r="Y130" s="84" vm="11928">
        <v>0</v>
      </c>
      <c r="Z13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1668</v>
      </c>
      <c r="AA130" s="84" vm="11308">
        <v>1579</v>
      </c>
      <c r="AB130" s="84" vm="12196">
        <v>89</v>
      </c>
      <c r="AC130" s="84" vm="12119">
        <v>0</v>
      </c>
      <c r="AD130" s="135" vm="12276">
        <v>0</v>
      </c>
      <c r="AE130" s="134">
        <f xml:space="preserve"> IFERROR( VfM_Metrics_2023_Entity[[#This Row],[Total Net Debt]] / VfM_Metrics_2023_Entity[[#This Row],[Net Book Value of Housing Properties2]], "n/a" )</f>
        <v>0.61582201064497999</v>
      </c>
      <c r="AF13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74512</v>
      </c>
      <c r="AG130" s="84" vm="12644">
        <v>487</v>
      </c>
      <c r="AH130" s="84" vm="12945">
        <v>75461</v>
      </c>
      <c r="AI130" s="84" vm="13039">
        <v>1436</v>
      </c>
      <c r="AJ130" s="84" vm="13127">
        <v>0</v>
      </c>
      <c r="AK130" s="84" vm="13213">
        <v>0</v>
      </c>
      <c r="AL130" s="5">
        <f xml:space="preserve"> SUM( VfM_Metrics_2023_Entity[[#This Row],[Tangible fixed assets: Housing properties at cost (Current period)2]], VfM_Metrics_2023_Entity[[#This Row],[Tangible fixed assets Housing properties at valuation (Current period)2]] )</f>
        <v>120996</v>
      </c>
      <c r="AM130" s="84" vm="9943">
        <v>120996</v>
      </c>
      <c r="AN130" s="135" vm="10122">
        <v>0</v>
      </c>
      <c r="AO130" s="137">
        <f xml:space="preserve"> IFERROR( VfM_Metrics_2023_Entity[[#This Row],[EBITDA MRI]] / VfM_Metrics_2023_Entity[[#This Row],[Total interest]], "n/a" )</f>
        <v>0.89723926380368102</v>
      </c>
      <c r="AP13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3510</v>
      </c>
      <c r="AQ130" s="84" vm="13552">
        <v>4582</v>
      </c>
      <c r="AR130" s="84" vm="14271">
        <v>510</v>
      </c>
      <c r="AS130" s="84" vm="14516">
        <v>0</v>
      </c>
      <c r="AT130" s="84" vm="14763">
        <v>203</v>
      </c>
      <c r="AU130" s="84" vm="15008">
        <v>0</v>
      </c>
      <c r="AV130" s="84" vm="13772">
        <v>7</v>
      </c>
      <c r="AW130" s="84" vm="14026">
        <v>2186</v>
      </c>
      <c r="AX130" s="84" vm="14272">
        <v>1820</v>
      </c>
      <c r="AY130" s="5">
        <f xml:space="preserve"> - SUM( VfM_Metrics_2023_Entity[[#This Row],[Interest capitalised]], VfM_Metrics_2023_Entity[[#This Row],[Interest payable and financing costs]] )</f>
        <v>3912</v>
      </c>
      <c r="AZ130" s="84" vm="15222">
        <v>-171</v>
      </c>
      <c r="BA130" s="135" vm="15394">
        <v>-3741</v>
      </c>
      <c r="BB130" s="138">
        <f xml:space="preserve"> IFERROR( ( VfM_Metrics_2023_Entity[[#This Row],[Total Costs]] / VfM_Metrics_2023_Entity[[#This Row],[Total units for costs]] ) * 1000, "n/a" )</f>
        <v>5720.709309689677</v>
      </c>
      <c r="BC13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9033</v>
      </c>
      <c r="BD130" s="84" vm="17262">
        <v>1467</v>
      </c>
      <c r="BE130" s="84" vm="16348">
        <v>1939</v>
      </c>
      <c r="BF130" s="84" vm="17505">
        <v>1516</v>
      </c>
      <c r="BG130" s="84" vm="17579">
        <v>1272</v>
      </c>
      <c r="BH130" s="84" vm="16457">
        <v>222</v>
      </c>
      <c r="BI130" s="84" vm="16643">
        <v>0</v>
      </c>
      <c r="BJ130" s="84" vm="14026">
        <v>2186</v>
      </c>
      <c r="BK130" s="84" vm="16186">
        <v>110</v>
      </c>
      <c r="BL130" s="84" vm="15993">
        <v>243</v>
      </c>
      <c r="BM130" s="84" vm="17506">
        <v>0</v>
      </c>
      <c r="BN130" s="84" vm="15936">
        <v>11</v>
      </c>
      <c r="BO130" s="84" vm="17121">
        <v>67</v>
      </c>
      <c r="BP130" s="5" vm="17806">
        <f xml:space="preserve"> VfM_Metrics_2023_Entity[[#This Row],[Total social housing units owned and/or managed at period end]]</f>
        <v>1579</v>
      </c>
      <c r="BQ130" s="135" vm="17806">
        <v>1579</v>
      </c>
      <c r="BR130" s="134">
        <f xml:space="preserve"> IFERROR( VfM_Metrics_2023_Entity[[#This Row],[SHL operating surplus / (deficit)]] / VfM_Metrics_2023_Entity[[#This Row],[Turnover from social housing lettings]], "n/a" )</f>
        <v>0.30221959659042957</v>
      </c>
      <c r="BS130" s="5" vm="17963">
        <f xml:space="preserve"> VfM_Metrics_2023_Entity[[#This Row],[Operating surplus/(deficit) (social housing lettings)]]</f>
        <v>3581</v>
      </c>
      <c r="BT130" s="84" vm="17963">
        <v>3581</v>
      </c>
      <c r="BU130" s="5" vm="18210">
        <f xml:space="preserve"> VfM_Metrics_2023_Entity[[#This Row],[Turnover from social housing lettings]]</f>
        <v>11849</v>
      </c>
      <c r="BV130" s="135" vm="18210">
        <v>11849</v>
      </c>
      <c r="BW130" s="134">
        <f xml:space="preserve"> IFERROR( VfM_Metrics_2023_Entity[[#This Row],[Net operating surplus]] / VfM_Metrics_2023_Entity[[#This Row],[Overall turnover]], "n/a" )</f>
        <v>0.29601628380343126</v>
      </c>
      <c r="BX130" s="5">
        <f xml:space="preserve"> SUM( VfM_Metrics_2023_Entity[[#This Row],[Operating surplus/(deficit) (overall)2]], - VfM_Metrics_2023_Entity[[#This Row],[Gain/(loss) on disposal of fixed assets (housing properties)2]], - VfM_Metrics_2023_Entity[[#This Row],[Gain/(loss) on disposal of fixed assets (other)2]] )</f>
        <v>4072</v>
      </c>
      <c r="BY130" s="84" vm="15138">
        <v>4582</v>
      </c>
      <c r="BZ130" s="84" vm="14271">
        <v>510</v>
      </c>
      <c r="CA130" s="84" vm="14516">
        <v>0</v>
      </c>
      <c r="CB130" s="5" vm="18308">
        <f xml:space="preserve"> VfM_Metrics_2023_Entity[[#This Row],[Turnover (overall)]]</f>
        <v>13756</v>
      </c>
      <c r="CC130" s="135" vm="18308">
        <v>13756</v>
      </c>
      <c r="CD130" s="134">
        <f xml:space="preserve"> IFERROR( VfM_Metrics_2023_Entity[[#This Row],[Operating surplus including from JVs]] / VfM_Metrics_2023_Entity[[#This Row],[Net assets]], "n/a" )</f>
        <v>3.7905047112449436E-2</v>
      </c>
      <c r="CE130" s="5">
        <f xml:space="preserve"> SUM( VfM_Metrics_2023_Entity[[#This Row],[Operating surplus/(deficit) (overall)3]], VfM_Metrics_2023_Entity[[#This Row],[Share of operating surplus/(deficit) in joint ventures or associates]] )</f>
        <v>4582</v>
      </c>
      <c r="CF130" s="84" vm="15138">
        <v>4582</v>
      </c>
      <c r="CG130" s="84" vm="18500">
        <v>0</v>
      </c>
      <c r="CH130" s="5" vm="18695">
        <f xml:space="preserve"> VfM_Metrics_2023_Entity[[#This Row],[Total assets less current liabilities]]</f>
        <v>120881</v>
      </c>
      <c r="CI130" s="135" vm="18695">
        <v>120881</v>
      </c>
      <c r="CJ130" s="140" vm="11309">
        <f xml:space="preserve"> VfM_Metrics_2023_Entity[[#This Row],[Total social housing units owned (Period end)]]</f>
        <v>1579</v>
      </c>
      <c r="CK130" s="141">
        <v>3.2092426187419767E-2</v>
      </c>
      <c r="CL130" s="69">
        <f xml:space="preserve"> -- ( VfM_Metrics_2023_Entity[[#This Row],[% Supported housing (excl. HOP)]] &gt; 0.3 )</f>
        <v>0</v>
      </c>
      <c r="CM130" s="9">
        <v>0.18421052631578946</v>
      </c>
      <c r="CN130" s="69">
        <f xml:space="preserve"> -- ( VfM_Metrics_2023_Entity[[#This Row],[% Housing for older people]] &gt; 0.3 )</f>
        <v>0</v>
      </c>
      <c r="CO130" s="9">
        <f xml:space="preserve"> VfM_Metrics_2023_Entity[[#This Row],[% Supported housing (excl. HOP)]] + VfM_Metrics_2023_Entity[[#This Row],[% Housing for older people]]</f>
        <v>0.21630295250320924</v>
      </c>
      <c r="CP130" s="69">
        <f xml:space="preserve"> -- ( VfM_Metrics_2023_Entity[[#This Row],[SH specialist in RSH analysis]] + VfM_Metrics_2023_Entity[[#This Row],[OP specialist in RSH analysis]] &gt; 0 )</f>
        <v>0</v>
      </c>
      <c r="CQ130" s="142">
        <f xml:space="preserve"> -- ( VfM_Metrics_2023_Entity[[#This Row],[% SH and OP]] &gt; 0.3 )</f>
        <v>0</v>
      </c>
      <c r="CR130" s="143" t="s">
        <v>143</v>
      </c>
      <c r="CS130" s="120"/>
      <c r="CT130" s="144" t="s">
        <v>144</v>
      </c>
      <c r="CU13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30" s="146">
        <v>1.8577834721332478E-2</v>
      </c>
      <c r="CW130" s="146">
        <v>0.98142216527866755</v>
      </c>
      <c r="CX130" s="146">
        <v>0</v>
      </c>
      <c r="CY130" s="146">
        <v>0</v>
      </c>
      <c r="CZ130" s="146">
        <v>0</v>
      </c>
      <c r="DA130" s="146">
        <v>0</v>
      </c>
      <c r="DB130" s="146">
        <v>0</v>
      </c>
      <c r="DC130" s="146">
        <v>0</v>
      </c>
      <c r="DD130" s="146">
        <v>0</v>
      </c>
      <c r="DE130" s="126">
        <v>1.0360655799207257</v>
      </c>
    </row>
    <row r="131" spans="1:109" x14ac:dyDescent="0.25">
      <c r="A131" s="4" t="s" vm="367">
        <v>352</v>
      </c>
      <c r="B131" s="4" t="s" vm="9332">
        <v>353</v>
      </c>
      <c r="C131" s="121" vm="18972">
        <v>45016</v>
      </c>
      <c r="D131" s="68">
        <f>IFERROR( VfM_Metrics_2023_Entity[[#This Row],[Reinvestment Spend]] / VfM_Metrics_2023_Entity[[#This Row],[Net Book Value of Housing Properties]], "n/a" )</f>
        <v>4.9794520249451982E-2</v>
      </c>
      <c r="E13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11426</v>
      </c>
      <c r="F131" s="84" vm="9433">
        <v>2936</v>
      </c>
      <c r="G131" s="84" vm="10474">
        <v>3367</v>
      </c>
      <c r="H131" s="84" vm="9715">
        <v>5043</v>
      </c>
      <c r="I131" s="84" vm="9483">
        <v>80</v>
      </c>
      <c r="J131" s="84" vm="9569">
        <v>0</v>
      </c>
      <c r="K131" s="5">
        <f xml:space="preserve"> SUM( VfM_Metrics_2023_Entity[[#This Row],[Tangible fixed assets: Housing properties at cost (Current period)]],VfM_Metrics_2023_Entity[[#This Row],[Tangible fixed assets Housing properties at valuation (Current period)]] )</f>
        <v>229463</v>
      </c>
      <c r="L131" s="84" vm="10068">
        <v>229463</v>
      </c>
      <c r="M131" s="84" vm="10136">
        <v>0</v>
      </c>
      <c r="N131" s="134">
        <f xml:space="preserve"> IFERROR( VfM_Metrics_2023_Entity[[#This Row],[Total social units developed or newly built units acquired in-year]] / VfM_Metrics_2023_Entity[[#This Row],[Social housing units owned (period end)]], "n/a" )</f>
        <v>6.7579583852036282E-3</v>
      </c>
      <c r="O131" s="5">
        <f xml:space="preserve"> SUM( VfM_Metrics_2023_Entity[[#This Row],[Total social units developed or newly built units acquired in-year (owned)]], VfM_Metrics_2023_Entity[[#This Row],[Total social leasehold units developed or newly built units acquired in-year (owned)]] )</f>
        <v>38</v>
      </c>
      <c r="P131" s="84" vm="11052">
        <v>38</v>
      </c>
      <c r="Q131" s="84" vm="11177">
        <v>0</v>
      </c>
      <c r="R131" s="5">
        <f xml:space="preserve"> SUM( VfM_Metrics_2023_Entity[[#This Row],[Total social housing units owned (Period end)]], VfM_Metrics_2023_Entity[[#This Row],[Total social leasehold units owned (Period end)]] )</f>
        <v>5623</v>
      </c>
      <c r="S131" s="84" vm="11336">
        <v>5600</v>
      </c>
      <c r="T131" s="135" vm="11507">
        <v>23</v>
      </c>
      <c r="U131" s="136">
        <f xml:space="preserve"> IFERROR( VfM_Metrics_2023_Entity[[#This Row],[Total non-social housing units developed or newly built units acquired (owned)]] / VfM_Metrics_2023_Entity[[#This Row],[Total social and non-social housing units owned (Period end)]], "n/a" )</f>
        <v>0</v>
      </c>
      <c r="V13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1" s="84" vm="11656">
        <v>0</v>
      </c>
      <c r="X131" s="84" vm="11705">
        <v>0</v>
      </c>
      <c r="Y131" s="84" vm="11752">
        <v>0</v>
      </c>
      <c r="Z13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5782</v>
      </c>
      <c r="AA131" s="84" vm="12029">
        <v>5600</v>
      </c>
      <c r="AB131" s="84" vm="12447">
        <v>23</v>
      </c>
      <c r="AC131" s="84" vm="12373">
        <v>0</v>
      </c>
      <c r="AD131" s="135" vm="12512">
        <v>159</v>
      </c>
      <c r="AE131" s="134">
        <f xml:space="preserve"> IFERROR( VfM_Metrics_2023_Entity[[#This Row],[Total Net Debt]] / VfM_Metrics_2023_Entity[[#This Row],[Net Book Value of Housing Properties2]], "n/a" )</f>
        <v>0.25492998871277722</v>
      </c>
      <c r="AF13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58497</v>
      </c>
      <c r="AG131" s="84" vm="12669">
        <v>441</v>
      </c>
      <c r="AH131" s="84" vm="12772">
        <v>70498</v>
      </c>
      <c r="AI131" s="84" vm="13338">
        <v>12442</v>
      </c>
      <c r="AJ131" s="84" vm="12867">
        <v>0</v>
      </c>
      <c r="AK131" s="84" vm="12946">
        <v>0</v>
      </c>
      <c r="AL131" s="5">
        <f xml:space="preserve"> SUM( VfM_Metrics_2023_Entity[[#This Row],[Tangible fixed assets: Housing properties at cost (Current period)2]], VfM_Metrics_2023_Entity[[#This Row],[Tangible fixed assets Housing properties at valuation (Current period)2]] )</f>
        <v>229463</v>
      </c>
      <c r="AM131" s="84" vm="10068">
        <v>229463</v>
      </c>
      <c r="AN131" s="135" vm="10136">
        <v>0</v>
      </c>
      <c r="AO131" s="137">
        <f xml:space="preserve"> IFERROR( VfM_Metrics_2023_Entity[[#This Row],[EBITDA MRI]] / VfM_Metrics_2023_Entity[[#This Row],[Total interest]], "n/a" )</f>
        <v>1.6555740432612314</v>
      </c>
      <c r="AP13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4975</v>
      </c>
      <c r="AQ131" s="84" vm="13580">
        <v>6233</v>
      </c>
      <c r="AR131" s="84" vm="14517">
        <v>838</v>
      </c>
      <c r="AS131" s="84" vm="14764">
        <v>8</v>
      </c>
      <c r="AT131" s="84" vm="15009">
        <v>1133</v>
      </c>
      <c r="AU131" s="84" vm="13773">
        <v>0</v>
      </c>
      <c r="AV131" s="84" vm="14027">
        <v>168</v>
      </c>
      <c r="AW131" s="84" vm="14273">
        <v>5043</v>
      </c>
      <c r="AX131" s="84" vm="14518">
        <v>5596</v>
      </c>
      <c r="AY131" s="5">
        <f xml:space="preserve"> - SUM( VfM_Metrics_2023_Entity[[#This Row],[Interest capitalised]], VfM_Metrics_2023_Entity[[#This Row],[Interest payable and financing costs]] )</f>
        <v>3005</v>
      </c>
      <c r="AZ131" s="84" vm="15252">
        <v>-80</v>
      </c>
      <c r="BA131" s="135" vm="15426">
        <v>-2925</v>
      </c>
      <c r="BB131" s="138">
        <f xml:space="preserve"> IFERROR( ( VfM_Metrics_2023_Entity[[#This Row],[Total Costs]] / VfM_Metrics_2023_Entity[[#This Row],[Total units for costs]] ) * 1000, "n/a" )</f>
        <v>4628.2142857142862</v>
      </c>
      <c r="BC13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25918</v>
      </c>
      <c r="BD131" s="84" vm="16644">
        <v>6578</v>
      </c>
      <c r="BE131" s="84" vm="16728">
        <v>2533</v>
      </c>
      <c r="BF131" s="84" vm="16815">
        <v>6824</v>
      </c>
      <c r="BG131" s="84" vm="16350">
        <v>2931</v>
      </c>
      <c r="BH131" s="84" vm="16125">
        <v>167</v>
      </c>
      <c r="BI131" s="84" vm="17348">
        <v>4</v>
      </c>
      <c r="BJ131" s="84" vm="17507">
        <v>5043</v>
      </c>
      <c r="BK131" s="84" vm="17580">
        <v>0</v>
      </c>
      <c r="BL131" s="84" vm="16187">
        <v>703</v>
      </c>
      <c r="BM131" s="84" vm="15995">
        <v>0</v>
      </c>
      <c r="BN131" s="84" vm="16126">
        <v>947</v>
      </c>
      <c r="BO131" s="84" vm="16458">
        <v>188</v>
      </c>
      <c r="BP131" s="5" vm="17706">
        <f xml:space="preserve"> VfM_Metrics_2023_Entity[[#This Row],[Total social housing units owned and/or managed at period end]]</f>
        <v>5600</v>
      </c>
      <c r="BQ131" s="135" vm="17706">
        <v>5600</v>
      </c>
      <c r="BR131" s="134">
        <f xml:space="preserve"> IFERROR( VfM_Metrics_2023_Entity[[#This Row],[SHL operating surplus / (deficit)]] / VfM_Metrics_2023_Entity[[#This Row],[Turnover from social housing lettings]], "n/a" )</f>
        <v>0.2026167248523606</v>
      </c>
      <c r="BS131" s="5" vm="17998">
        <f xml:space="preserve"> VfM_Metrics_2023_Entity[[#This Row],[Operating surplus/(deficit) (social housing lettings)]]</f>
        <v>6210</v>
      </c>
      <c r="BT131" s="84" vm="17998">
        <v>6210</v>
      </c>
      <c r="BU131" s="5" vm="18175">
        <f xml:space="preserve"> VfM_Metrics_2023_Entity[[#This Row],[Turnover from social housing lettings]]</f>
        <v>30649</v>
      </c>
      <c r="BV131" s="135" vm="18175">
        <v>30649</v>
      </c>
      <c r="BW131" s="134">
        <f xml:space="preserve"> IFERROR( VfM_Metrics_2023_Entity[[#This Row],[Net operating surplus]] / VfM_Metrics_2023_Entity[[#This Row],[Overall turnover]], "n/a" )</f>
        <v>0.16117643538880411</v>
      </c>
      <c r="BX131" s="5">
        <f xml:space="preserve"> SUM( VfM_Metrics_2023_Entity[[#This Row],[Operating surplus/(deficit) (overall)2]], - VfM_Metrics_2023_Entity[[#This Row],[Gain/(loss) on disposal of fixed assets (housing properties)2]], - VfM_Metrics_2023_Entity[[#This Row],[Gain/(loss) on disposal of fixed assets (other)2]] )</f>
        <v>5387</v>
      </c>
      <c r="BY131" s="84" vm="13580">
        <v>6233</v>
      </c>
      <c r="BZ131" s="84" vm="14517">
        <v>838</v>
      </c>
      <c r="CA131" s="84" vm="14764">
        <v>8</v>
      </c>
      <c r="CB131" s="5" vm="18347">
        <f xml:space="preserve"> VfM_Metrics_2023_Entity[[#This Row],[Turnover (overall)]]</f>
        <v>33423</v>
      </c>
      <c r="CC131" s="135" vm="18347">
        <v>33423</v>
      </c>
      <c r="CD131" s="134">
        <f xml:space="preserve"> IFERROR( VfM_Metrics_2023_Entity[[#This Row],[Operating surplus including from JVs]] / VfM_Metrics_2023_Entity[[#This Row],[Net assets]], "n/a" )</f>
        <v>2.6000191883334932E-2</v>
      </c>
      <c r="CE131" s="5">
        <f xml:space="preserve"> SUM( VfM_Metrics_2023_Entity[[#This Row],[Operating surplus/(deficit) (overall)3]], VfM_Metrics_2023_Entity[[#This Row],[Share of operating surplus/(deficit) in joint ventures or associates]] )</f>
        <v>6233</v>
      </c>
      <c r="CF131" s="84" vm="13581">
        <v>6233</v>
      </c>
      <c r="CG131" s="84" vm="18518">
        <v>0</v>
      </c>
      <c r="CH131" s="5" vm="18723">
        <f xml:space="preserve"> VfM_Metrics_2023_Entity[[#This Row],[Total assets less current liabilities]]</f>
        <v>239729</v>
      </c>
      <c r="CI131" s="135" vm="18723">
        <v>239729</v>
      </c>
      <c r="CJ131" s="140" vm="11336">
        <f xml:space="preserve"> VfM_Metrics_2023_Entity[[#This Row],[Total social housing units owned (Period end)]]</f>
        <v>5600</v>
      </c>
      <c r="CK131" s="141">
        <v>6.5667380442541043E-2</v>
      </c>
      <c r="CL131" s="69">
        <f xml:space="preserve"> -- ( VfM_Metrics_2023_Entity[[#This Row],[% Supported housing (excl. HOP)]] &gt; 0.3 )</f>
        <v>0</v>
      </c>
      <c r="CM131" s="9">
        <v>3.6045681655960025E-2</v>
      </c>
      <c r="CN131" s="69">
        <f xml:space="preserve"> -- ( VfM_Metrics_2023_Entity[[#This Row],[% Housing for older people]] &gt; 0.3 )</f>
        <v>0</v>
      </c>
      <c r="CO131" s="9">
        <f xml:space="preserve"> VfM_Metrics_2023_Entity[[#This Row],[% Supported housing (excl. HOP)]] + VfM_Metrics_2023_Entity[[#This Row],[% Housing for older people]]</f>
        <v>0.10171306209850106</v>
      </c>
      <c r="CP131" s="69">
        <f xml:space="preserve"> -- ( VfM_Metrics_2023_Entity[[#This Row],[SH specialist in RSH analysis]] + VfM_Metrics_2023_Entity[[#This Row],[OP specialist in RSH analysis]] &gt; 0 )</f>
        <v>0</v>
      </c>
      <c r="CQ131" s="142">
        <f xml:space="preserve"> -- ( VfM_Metrics_2023_Entity[[#This Row],[% SH and OP]] &gt; 0.3 )</f>
        <v>0</v>
      </c>
      <c r="CR131" s="143" t="s">
        <v>143</v>
      </c>
      <c r="CS131" s="120"/>
      <c r="CT131" s="144" t="s">
        <v>144</v>
      </c>
      <c r="CU13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31" s="146">
        <v>0</v>
      </c>
      <c r="CW131" s="146">
        <v>1.1380057803468208E-2</v>
      </c>
      <c r="CX131" s="146">
        <v>0</v>
      </c>
      <c r="CY131" s="146">
        <v>6.7015895953757232E-2</v>
      </c>
      <c r="CZ131" s="146">
        <v>1.1199421965317919E-2</v>
      </c>
      <c r="DA131" s="146">
        <v>0.13890895953757226</v>
      </c>
      <c r="DB131" s="146">
        <v>0</v>
      </c>
      <c r="DC131" s="146">
        <v>0.7322976878612717</v>
      </c>
      <c r="DD131" s="146">
        <v>3.919797687861272E-2</v>
      </c>
      <c r="DE131" s="126">
        <v>0.96701378600720767</v>
      </c>
    </row>
    <row r="132" spans="1:109" x14ac:dyDescent="0.25">
      <c r="A132" s="4" t="s" vm="223">
        <v>354</v>
      </c>
      <c r="B132" s="4" t="s" vm="9351">
        <v>355</v>
      </c>
      <c r="C132" s="121" vm="18793">
        <v>45016</v>
      </c>
      <c r="D132" s="68">
        <f>IFERROR( VfM_Metrics_2023_Entity[[#This Row],[Reinvestment Spend]] / VfM_Metrics_2023_Entity[[#This Row],[Net Book Value of Housing Properties]], "n/a" )</f>
        <v>5.9375823333572851E-2</v>
      </c>
      <c r="E13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4958</v>
      </c>
      <c r="F132" s="84" vm="10217">
        <v>0</v>
      </c>
      <c r="G132" s="84" vm="10698">
        <v>3980</v>
      </c>
      <c r="H132" s="84" vm="10554">
        <v>860</v>
      </c>
      <c r="I132" s="84" vm="10825">
        <v>118</v>
      </c>
      <c r="J132" s="84" vm="10459">
        <v>0</v>
      </c>
      <c r="K132" s="5">
        <f xml:space="preserve"> SUM( VfM_Metrics_2023_Entity[[#This Row],[Tangible fixed assets: Housing properties at cost (Current period)]],VfM_Metrics_2023_Entity[[#This Row],[Tangible fixed assets Housing properties at valuation (Current period)]] )</f>
        <v>83502</v>
      </c>
      <c r="L132" s="84" vm="10232">
        <v>83502</v>
      </c>
      <c r="M132" s="84" vm="10229">
        <v>0</v>
      </c>
      <c r="N132" s="134">
        <f xml:space="preserve"> IFERROR( VfM_Metrics_2023_Entity[[#This Row],[Total social units developed or newly built units acquired in-year]] / VfM_Metrics_2023_Entity[[#This Row],[Social housing units owned (period end)]], "n/a" )</f>
        <v>1.7170891251022075E-2</v>
      </c>
      <c r="O132" s="5">
        <f xml:space="preserve"> SUM( VfM_Metrics_2023_Entity[[#This Row],[Total social units developed or newly built units acquired in-year (owned)]], VfM_Metrics_2023_Entity[[#This Row],[Total social leasehold units developed or newly built units acquired in-year (owned)]] )</f>
        <v>21</v>
      </c>
      <c r="P132" s="84" vm="11071">
        <v>21</v>
      </c>
      <c r="Q132" s="84" vm="11194">
        <v>0</v>
      </c>
      <c r="R132" s="5">
        <f xml:space="preserve"> SUM( VfM_Metrics_2023_Entity[[#This Row],[Total social housing units owned (Period end)]], VfM_Metrics_2023_Entity[[#This Row],[Total social leasehold units owned (Period end)]] )</f>
        <v>1223</v>
      </c>
      <c r="S132" s="84" vm="11378">
        <v>1223</v>
      </c>
      <c r="T132" s="135" vm="11497">
        <v>0</v>
      </c>
      <c r="U132" s="136">
        <f xml:space="preserve"> IFERROR( VfM_Metrics_2023_Entity[[#This Row],[Total non-social housing units developed or newly built units acquired (owned)]] / VfM_Metrics_2023_Entity[[#This Row],[Total social and non-social housing units owned (Period end)]], "n/a" )</f>
        <v>0</v>
      </c>
      <c r="V13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2" s="84">
        <v>0</v>
      </c>
      <c r="X132" s="84" vm="11802">
        <v>0</v>
      </c>
      <c r="Y132" s="84" vm="11845">
        <v>0</v>
      </c>
      <c r="Z13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1225</v>
      </c>
      <c r="AA132" s="84" vm="12051">
        <v>1223</v>
      </c>
      <c r="AB132" s="84" vm="12198">
        <v>0</v>
      </c>
      <c r="AC132" s="84" vm="12120">
        <v>2</v>
      </c>
      <c r="AD132" s="135" vm="12277">
        <v>0</v>
      </c>
      <c r="AE132" s="134">
        <f xml:space="preserve"> IFERROR( VfM_Metrics_2023_Entity[[#This Row],[Total Net Debt]] / VfM_Metrics_2023_Entity[[#This Row],[Net Book Value of Housing Properties2]], "n/a" )</f>
        <v>0.37894900720940816</v>
      </c>
      <c r="AF13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31643</v>
      </c>
      <c r="AG132" s="84" vm="12693">
        <v>657</v>
      </c>
      <c r="AH132" s="84" vm="13040">
        <v>32329</v>
      </c>
      <c r="AI132" s="84" vm="13127">
        <v>1343</v>
      </c>
      <c r="AJ132" s="84" vm="12773">
        <v>0</v>
      </c>
      <c r="AK132" s="84" vm="13247">
        <v>0</v>
      </c>
      <c r="AL132" s="5">
        <f xml:space="preserve"> SUM( VfM_Metrics_2023_Entity[[#This Row],[Tangible fixed assets: Housing properties at cost (Current period)2]], VfM_Metrics_2023_Entity[[#This Row],[Tangible fixed assets Housing properties at valuation (Current period)2]] )</f>
        <v>83502</v>
      </c>
      <c r="AM132" s="84" vm="9979">
        <v>83502</v>
      </c>
      <c r="AN132" s="135" vm="10153">
        <v>0</v>
      </c>
      <c r="AO132" s="137">
        <f xml:space="preserve"> IFERROR( VfM_Metrics_2023_Entity[[#This Row],[EBITDA MRI]] / VfM_Metrics_2023_Entity[[#This Row],[Total interest]], "n/a" )</f>
        <v>1.2010008340283569</v>
      </c>
      <c r="AP13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1440</v>
      </c>
      <c r="AQ132" s="84" vm="13610">
        <v>1754</v>
      </c>
      <c r="AR132" s="84" vm="14765">
        <v>67</v>
      </c>
      <c r="AS132" s="84" vm="15010">
        <v>0</v>
      </c>
      <c r="AT132" s="84" vm="13774">
        <v>380</v>
      </c>
      <c r="AU132" s="84" vm="14028">
        <v>0</v>
      </c>
      <c r="AV132" s="84" vm="14274">
        <v>15</v>
      </c>
      <c r="AW132" s="84" vm="14519">
        <v>860</v>
      </c>
      <c r="AX132" s="84" vm="14766">
        <v>978</v>
      </c>
      <c r="AY132" s="5">
        <f xml:space="preserve"> - SUM( VfM_Metrics_2023_Entity[[#This Row],[Interest capitalised]], VfM_Metrics_2023_Entity[[#This Row],[Interest payable and financing costs]] )</f>
        <v>1199</v>
      </c>
      <c r="AZ132" s="84" vm="15281">
        <v>-118</v>
      </c>
      <c r="BA132" s="135" vm="15462">
        <v>-1081</v>
      </c>
      <c r="BB132" s="138">
        <f xml:space="preserve"> IFERROR( ( VfM_Metrics_2023_Entity[[#This Row],[Total Costs]] / VfM_Metrics_2023_Entity[[#This Row],[Total units for costs]] ) * 1000, "n/a" )</f>
        <v>4655.4487179487178</v>
      </c>
      <c r="BC13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5810</v>
      </c>
      <c r="BD132" s="84" vm="15938">
        <v>1095</v>
      </c>
      <c r="BE132" s="84" vm="17508">
        <v>1655</v>
      </c>
      <c r="BF132" s="84" vm="16446">
        <v>1290</v>
      </c>
      <c r="BG132" s="84" vm="16447">
        <v>663</v>
      </c>
      <c r="BH132" s="84" vm="16729">
        <v>0</v>
      </c>
      <c r="BI132" s="84" vm="16816">
        <v>100</v>
      </c>
      <c r="BJ132" s="84" vm="16128">
        <v>860</v>
      </c>
      <c r="BK132" s="84" vm="15940">
        <v>0</v>
      </c>
      <c r="BL132" s="84" vm="17509">
        <v>82</v>
      </c>
      <c r="BM132" s="84">
        <v>0</v>
      </c>
      <c r="BN132" s="84">
        <v>0</v>
      </c>
      <c r="BO132" s="84" vm="17263">
        <v>65</v>
      </c>
      <c r="BP132" s="5" vm="17741">
        <f xml:space="preserve"> VfM_Metrics_2023_Entity[[#This Row],[Total social housing units owned and/or managed at period end]]</f>
        <v>1248</v>
      </c>
      <c r="BQ132" s="135" vm="17741">
        <v>1248</v>
      </c>
      <c r="BR132" s="134">
        <f xml:space="preserve"> IFERROR( VfM_Metrics_2023_Entity[[#This Row],[SHL operating surplus / (deficit)]] / VfM_Metrics_2023_Entity[[#This Row],[Turnover from social housing lettings]], "n/a" )</f>
        <v>0.21699134199134198</v>
      </c>
      <c r="BS132" s="5" vm="18038">
        <f xml:space="preserve"> VfM_Metrics_2023_Entity[[#This Row],[Operating surplus/(deficit) (social housing lettings)]]</f>
        <v>1604</v>
      </c>
      <c r="BT132" s="84" vm="18038">
        <v>1604</v>
      </c>
      <c r="BU132" s="5" vm="18199">
        <f xml:space="preserve"> VfM_Metrics_2023_Entity[[#This Row],[Turnover from social housing lettings]]</f>
        <v>7392</v>
      </c>
      <c r="BV132" s="135" vm="18199">
        <v>7392</v>
      </c>
      <c r="BW132" s="134">
        <f xml:space="preserve"> IFERROR( VfM_Metrics_2023_Entity[[#This Row],[Net operating surplus]] / VfM_Metrics_2023_Entity[[#This Row],[Overall turnover]], "n/a" )</f>
        <v>0.22130394857667585</v>
      </c>
      <c r="BX132" s="5">
        <f xml:space="preserve"> SUM( VfM_Metrics_2023_Entity[[#This Row],[Operating surplus/(deficit) (overall)2]], - VfM_Metrics_2023_Entity[[#This Row],[Gain/(loss) on disposal of fixed assets (housing properties)2]], - VfM_Metrics_2023_Entity[[#This Row],[Gain/(loss) on disposal of fixed assets (other)2]] )</f>
        <v>1687</v>
      </c>
      <c r="BY132" s="84" vm="13610">
        <v>1754</v>
      </c>
      <c r="BZ132" s="84" vm="14765">
        <v>67</v>
      </c>
      <c r="CA132" s="84" vm="15010">
        <v>0</v>
      </c>
      <c r="CB132" s="5" vm="18374">
        <f xml:space="preserve"> VfM_Metrics_2023_Entity[[#This Row],[Turnover (overall)]]</f>
        <v>7623</v>
      </c>
      <c r="CC132" s="135" vm="18374">
        <v>7623</v>
      </c>
      <c r="CD132" s="134">
        <f xml:space="preserve"> IFERROR( VfM_Metrics_2023_Entity[[#This Row],[Operating surplus including from JVs]] / VfM_Metrics_2023_Entity[[#This Row],[Net assets]], "n/a" )</f>
        <v>2.0817261473824133E-2</v>
      </c>
      <c r="CE132" s="5">
        <f xml:space="preserve"> SUM( VfM_Metrics_2023_Entity[[#This Row],[Operating surplus/(deficit) (overall)3]], VfM_Metrics_2023_Entity[[#This Row],[Share of operating surplus/(deficit) in joint ventures or associates]] )</f>
        <v>1754</v>
      </c>
      <c r="CF132" s="84" vm="13610">
        <v>1754</v>
      </c>
      <c r="CG132" s="84" vm="18540">
        <v>0</v>
      </c>
      <c r="CH132" s="5" vm="18745">
        <f xml:space="preserve"> VfM_Metrics_2023_Entity[[#This Row],[Total assets less current liabilities]]</f>
        <v>84257</v>
      </c>
      <c r="CI132" s="135" vm="18745">
        <v>84257</v>
      </c>
      <c r="CJ132" s="140" vm="11378">
        <f xml:space="preserve"> VfM_Metrics_2023_Entity[[#This Row],[Total social housing units owned (Period end)]]</f>
        <v>1223</v>
      </c>
      <c r="CK132" s="141">
        <v>2.8594771241830064E-2</v>
      </c>
      <c r="CL132" s="69">
        <f xml:space="preserve"> -- ( VfM_Metrics_2023_Entity[[#This Row],[% Supported housing (excl. HOP)]] &gt; 0.3 )</f>
        <v>0</v>
      </c>
      <c r="CM132" s="9">
        <v>0.22058823529411764</v>
      </c>
      <c r="CN132" s="69">
        <f xml:space="preserve"> -- ( VfM_Metrics_2023_Entity[[#This Row],[% Housing for older people]] &gt; 0.3 )</f>
        <v>0</v>
      </c>
      <c r="CO132" s="9">
        <f xml:space="preserve"> VfM_Metrics_2023_Entity[[#This Row],[% Supported housing (excl. HOP)]] + VfM_Metrics_2023_Entity[[#This Row],[% Housing for older people]]</f>
        <v>0.24918300653594772</v>
      </c>
      <c r="CP132" s="69">
        <f xml:space="preserve"> -- ( VfM_Metrics_2023_Entity[[#This Row],[SH specialist in RSH analysis]] + VfM_Metrics_2023_Entity[[#This Row],[OP specialist in RSH analysis]] &gt; 0 )</f>
        <v>0</v>
      </c>
      <c r="CQ132" s="142">
        <f xml:space="preserve"> -- ( VfM_Metrics_2023_Entity[[#This Row],[% SH and OP]] &gt; 0.3 )</f>
        <v>0</v>
      </c>
      <c r="CR132" s="143" t="s">
        <v>143</v>
      </c>
      <c r="CS132" s="120"/>
      <c r="CT132" s="144" t="s">
        <v>144</v>
      </c>
      <c r="CU13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132" s="146">
        <v>0</v>
      </c>
      <c r="CW132" s="146">
        <v>0</v>
      </c>
      <c r="CX132" s="146">
        <v>0</v>
      </c>
      <c r="CY132" s="146">
        <v>0</v>
      </c>
      <c r="CZ132" s="146">
        <v>1</v>
      </c>
      <c r="DA132" s="146">
        <v>0</v>
      </c>
      <c r="DB132" s="146">
        <v>0</v>
      </c>
      <c r="DC132" s="146">
        <v>0</v>
      </c>
      <c r="DD132" s="146">
        <v>0</v>
      </c>
      <c r="DE132" s="126">
        <v>0.96459033333600952</v>
      </c>
    </row>
    <row r="133" spans="1:109" x14ac:dyDescent="0.25">
      <c r="A133" s="4" t="s" vm="346">
        <v>356</v>
      </c>
      <c r="B133" s="4" t="s" vm="9370">
        <v>357</v>
      </c>
      <c r="C133" s="121" vm="18870">
        <v>45016</v>
      </c>
      <c r="D133" s="68">
        <f>IFERROR( VfM_Metrics_2023_Entity[[#This Row],[Reinvestment Spend]] / VfM_Metrics_2023_Entity[[#This Row],[Net Book Value of Housing Properties]], "n/a" )</f>
        <v>5.8981698756269504E-2</v>
      </c>
      <c r="E13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71334</v>
      </c>
      <c r="F133" s="84" vm="9391">
        <v>43181</v>
      </c>
      <c r="G133" s="84" vm="9623">
        <v>0</v>
      </c>
      <c r="H133" s="84" vm="10648">
        <v>25662</v>
      </c>
      <c r="I133" s="84" vm="10557">
        <v>2491</v>
      </c>
      <c r="J133" s="84" vm="9804">
        <v>0</v>
      </c>
      <c r="K133" s="5">
        <f xml:space="preserve"> SUM( VfM_Metrics_2023_Entity[[#This Row],[Tangible fixed assets: Housing properties at cost (Current period)]],VfM_Metrics_2023_Entity[[#This Row],[Tangible fixed assets Housing properties at valuation (Current period)]] )</f>
        <v>1209426</v>
      </c>
      <c r="L133" s="84" vm="9994">
        <v>1209426</v>
      </c>
      <c r="M133" s="84" vm="10349">
        <v>0</v>
      </c>
      <c r="N133" s="134">
        <f xml:space="preserve"> IFERROR( VfM_Metrics_2023_Entity[[#This Row],[Total social units developed or newly built units acquired in-year]] / VfM_Metrics_2023_Entity[[#This Row],[Social housing units owned (period end)]], "n/a" )</f>
        <v>6.5395095367847414E-3</v>
      </c>
      <c r="O133" s="5">
        <f xml:space="preserve"> SUM( VfM_Metrics_2023_Entity[[#This Row],[Total social units developed or newly built units acquired in-year (owned)]], VfM_Metrics_2023_Entity[[#This Row],[Total social leasehold units developed or newly built units acquired in-year (owned)]] )</f>
        <v>48</v>
      </c>
      <c r="P133" s="84" vm="11092">
        <v>48</v>
      </c>
      <c r="Q133" s="84" vm="11210">
        <v>0</v>
      </c>
      <c r="R133" s="5">
        <f xml:space="preserve"> SUM( VfM_Metrics_2023_Entity[[#This Row],[Total social housing units owned (Period end)]], VfM_Metrics_2023_Entity[[#This Row],[Total social leasehold units owned (Period end)]] )</f>
        <v>7340</v>
      </c>
      <c r="S133" s="84" vm="11322">
        <v>7340</v>
      </c>
      <c r="T133" s="135" vm="11502">
        <v>0</v>
      </c>
      <c r="U133" s="136">
        <f xml:space="preserve"> IFERROR( VfM_Metrics_2023_Entity[[#This Row],[Total non-social housing units developed or newly built units acquired (owned)]] / VfM_Metrics_2023_Entity[[#This Row],[Total social and non-social housing units owned (Period end)]], "n/a" )</f>
        <v>0</v>
      </c>
      <c r="V13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3" s="84" vm="11572">
        <v>0</v>
      </c>
      <c r="X133" s="84" vm="11888">
        <v>0</v>
      </c>
      <c r="Y133" s="84" vm="11929">
        <v>0</v>
      </c>
      <c r="Z13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8159</v>
      </c>
      <c r="AA133" s="84" vm="11322">
        <v>7340</v>
      </c>
      <c r="AB133" s="84" vm="12448">
        <v>0</v>
      </c>
      <c r="AC133" s="84" vm="12373">
        <v>82</v>
      </c>
      <c r="AD133" s="135" vm="12512">
        <v>737</v>
      </c>
      <c r="AE133" s="134">
        <f xml:space="preserve"> IFERROR( VfM_Metrics_2023_Entity[[#This Row],[Total Net Debt]] / VfM_Metrics_2023_Entity[[#This Row],[Net Book Value of Housing Properties2]], "n/a" )</f>
        <v>0.49055502362277642</v>
      </c>
      <c r="AF13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593290</v>
      </c>
      <c r="AG133" s="84" vm="12566">
        <v>6000</v>
      </c>
      <c r="AH133" s="84" vm="13300">
        <v>620585</v>
      </c>
      <c r="AI133" s="84" vm="12868">
        <v>33295</v>
      </c>
      <c r="AJ133" s="84" vm="12947">
        <v>0</v>
      </c>
      <c r="AK133" s="84" vm="13050">
        <v>0</v>
      </c>
      <c r="AL133" s="5">
        <f xml:space="preserve"> SUM( VfM_Metrics_2023_Entity[[#This Row],[Tangible fixed assets: Housing properties at cost (Current period)2]], VfM_Metrics_2023_Entity[[#This Row],[Tangible fixed assets Housing properties at valuation (Current period)2]] )</f>
        <v>1209426</v>
      </c>
      <c r="AM133" s="84" vm="9994">
        <v>1209426</v>
      </c>
      <c r="AN133" s="135" vm="10168">
        <v>0</v>
      </c>
      <c r="AO133" s="137">
        <f xml:space="preserve"> IFERROR( VfM_Metrics_2023_Entity[[#This Row],[EBITDA MRI]] / VfM_Metrics_2023_Entity[[#This Row],[Total interest]], "n/a" )</f>
        <v>0.31559208426428342</v>
      </c>
      <c r="AP13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7910</v>
      </c>
      <c r="AQ133" s="84" vm="13449">
        <v>31062</v>
      </c>
      <c r="AR133" s="84" vm="15011">
        <v>5168</v>
      </c>
      <c r="AS133" s="84" vm="13775">
        <v>0</v>
      </c>
      <c r="AT133" s="84" vm="14029">
        <v>3749</v>
      </c>
      <c r="AU133" s="84" vm="14275">
        <v>0</v>
      </c>
      <c r="AV133" s="84" vm="14520">
        <v>1416</v>
      </c>
      <c r="AW133" s="84" vm="14767">
        <v>25662</v>
      </c>
      <c r="AX133" s="84" vm="15012">
        <v>10011</v>
      </c>
      <c r="AY133" s="5">
        <f xml:space="preserve"> - SUM( VfM_Metrics_2023_Entity[[#This Row],[Interest capitalised]], VfM_Metrics_2023_Entity[[#This Row],[Interest payable and financing costs]] )</f>
        <v>25064</v>
      </c>
      <c r="AZ133" s="84" vm="15308">
        <v>-2491</v>
      </c>
      <c r="BA133" s="135" vm="15492">
        <v>-22573</v>
      </c>
      <c r="BB133" s="138">
        <f xml:space="preserve"> IFERROR( ( VfM_Metrics_2023_Entity[[#This Row],[Total Costs]] / VfM_Metrics_2023_Entity[[#This Row],[Total units for costs]] ) * 1000, "n/a" )</f>
        <v>9854.632152588556</v>
      </c>
      <c r="BC13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72333</v>
      </c>
      <c r="BD133" s="84" vm="15552">
        <v>8425</v>
      </c>
      <c r="BE133" s="84" vm="16130">
        <v>12801</v>
      </c>
      <c r="BF133" s="84" vm="16883">
        <v>12131</v>
      </c>
      <c r="BG133" s="84" vm="16459">
        <v>9666</v>
      </c>
      <c r="BH133" s="84" vm="17349">
        <v>1620</v>
      </c>
      <c r="BI133" s="84" vm="17581">
        <v>0</v>
      </c>
      <c r="BJ133" s="84" vm="16189">
        <v>25662</v>
      </c>
      <c r="BK133" s="84" vm="16460">
        <v>0</v>
      </c>
      <c r="BL133" s="84" vm="16884">
        <v>1825</v>
      </c>
      <c r="BM133" s="84" vm="17122">
        <v>0</v>
      </c>
      <c r="BN133" s="84" vm="17350">
        <v>203</v>
      </c>
      <c r="BO133" s="84" vm="15942">
        <v>0</v>
      </c>
      <c r="BP133" s="5" vm="17774">
        <f xml:space="preserve"> VfM_Metrics_2023_Entity[[#This Row],[Total social housing units owned and/or managed at period end]]</f>
        <v>7340</v>
      </c>
      <c r="BQ133" s="135" vm="17774">
        <v>7340</v>
      </c>
      <c r="BR133" s="134">
        <f xml:space="preserve"> IFERROR( VfM_Metrics_2023_Entity[[#This Row],[SHL operating surplus / (deficit)]] / VfM_Metrics_2023_Entity[[#This Row],[Turnover from social housing lettings]], "n/a" )</f>
        <v>0.18036211699164345</v>
      </c>
      <c r="BS133" s="5" vm="17852">
        <f xml:space="preserve"> VfM_Metrics_2023_Entity[[#This Row],[Operating surplus/(deficit) (social housing lettings)]]</f>
        <v>11914</v>
      </c>
      <c r="BT133" s="84" vm="17852">
        <v>11914</v>
      </c>
      <c r="BU133" s="5" vm="18062">
        <f xml:space="preserve"> VfM_Metrics_2023_Entity[[#This Row],[Turnover from social housing lettings]]</f>
        <v>66056</v>
      </c>
      <c r="BV133" s="135" vm="18062">
        <v>66056</v>
      </c>
      <c r="BW133" s="134">
        <f xml:space="preserve"> IFERROR( VfM_Metrics_2023_Entity[[#This Row],[Net operating surplus]] / VfM_Metrics_2023_Entity[[#This Row],[Overall turnover]], "n/a" )</f>
        <v>0.2557457357603532</v>
      </c>
      <c r="BX133" s="5">
        <f xml:space="preserve"> SUM( VfM_Metrics_2023_Entity[[#This Row],[Operating surplus/(deficit) (overall)2]], - VfM_Metrics_2023_Entity[[#This Row],[Gain/(loss) on disposal of fixed assets (housing properties)2]], - VfM_Metrics_2023_Entity[[#This Row],[Gain/(loss) on disposal of fixed assets (other)2]] )</f>
        <v>25894</v>
      </c>
      <c r="BY133" s="84" vm="13522">
        <v>31062</v>
      </c>
      <c r="BZ133" s="84" vm="15011">
        <v>5168</v>
      </c>
      <c r="CA133" s="84" vm="13775">
        <v>0</v>
      </c>
      <c r="CB133" s="5" vm="18370">
        <f xml:space="preserve"> VfM_Metrics_2023_Entity[[#This Row],[Turnover (overall)]]</f>
        <v>101249</v>
      </c>
      <c r="CC133" s="135" vm="18370">
        <v>101249</v>
      </c>
      <c r="CD133" s="134">
        <f xml:space="preserve"> IFERROR( VfM_Metrics_2023_Entity[[#This Row],[Operating surplus including from JVs]] / VfM_Metrics_2023_Entity[[#This Row],[Net assets]], "n/a" )</f>
        <v>2.4761330807935869E-2</v>
      </c>
      <c r="CE133" s="5">
        <f xml:space="preserve"> SUM( VfM_Metrics_2023_Entity[[#This Row],[Operating surplus/(deficit) (overall)3]], VfM_Metrics_2023_Entity[[#This Row],[Share of operating surplus/(deficit) in joint ventures or associates]] )</f>
        <v>31062</v>
      </c>
      <c r="CF133" s="84" vm="13449">
        <v>31062</v>
      </c>
      <c r="CG133" s="84" vm="18559">
        <v>0</v>
      </c>
      <c r="CH133" s="5" vm="18589">
        <f xml:space="preserve"> VfM_Metrics_2023_Entity[[#This Row],[Total assets less current liabilities]]</f>
        <v>1254456</v>
      </c>
      <c r="CI133" s="135" vm="18589">
        <v>1254456</v>
      </c>
      <c r="CJ133" s="140" vm="11322">
        <f xml:space="preserve"> VfM_Metrics_2023_Entity[[#This Row],[Total social housing units owned (Period end)]]</f>
        <v>7340</v>
      </c>
      <c r="CK133" s="141">
        <v>5.3031349261151772E-2</v>
      </c>
      <c r="CL133" s="69">
        <f xml:space="preserve"> -- ( VfM_Metrics_2023_Entity[[#This Row],[% Supported housing (excl. HOP)]] &gt; 0.3 )</f>
        <v>0</v>
      </c>
      <c r="CM133" s="9">
        <v>2.6653777102610136E-2</v>
      </c>
      <c r="CN133" s="69">
        <f xml:space="preserve"> -- ( VfM_Metrics_2023_Entity[[#This Row],[% Housing for older people]] &gt; 0.3 )</f>
        <v>0</v>
      </c>
      <c r="CO133" s="9">
        <f xml:space="preserve"> VfM_Metrics_2023_Entity[[#This Row],[% Supported housing (excl. HOP)]] + VfM_Metrics_2023_Entity[[#This Row],[% Housing for older people]]</f>
        <v>7.9685126363761904E-2</v>
      </c>
      <c r="CP133" s="69">
        <f xml:space="preserve"> -- ( VfM_Metrics_2023_Entity[[#This Row],[SH specialist in RSH analysis]] + VfM_Metrics_2023_Entity[[#This Row],[OP specialist in RSH analysis]] &gt; 0 )</f>
        <v>0</v>
      </c>
      <c r="CQ133" s="142">
        <f xml:space="preserve"> -- ( VfM_Metrics_2023_Entity[[#This Row],[% SH and OP]] &gt; 0.3 )</f>
        <v>0</v>
      </c>
      <c r="CR133" s="143" t="s">
        <v>143</v>
      </c>
      <c r="CS133" s="120"/>
      <c r="CT133" s="144" t="s">
        <v>151</v>
      </c>
      <c r="CU13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33" s="146">
        <v>1</v>
      </c>
      <c r="CW133" s="146">
        <v>0</v>
      </c>
      <c r="CX133" s="146">
        <v>0</v>
      </c>
      <c r="CY133" s="146">
        <v>0</v>
      </c>
      <c r="CZ133" s="146">
        <v>0</v>
      </c>
      <c r="DA133" s="146">
        <v>0</v>
      </c>
      <c r="DB133" s="146">
        <v>0</v>
      </c>
      <c r="DC133" s="146">
        <v>0</v>
      </c>
      <c r="DD133" s="146">
        <v>0</v>
      </c>
      <c r="DE133" s="126">
        <v>1.1603700449887588</v>
      </c>
    </row>
    <row r="134" spans="1:109" x14ac:dyDescent="0.25">
      <c r="A134" s="4" t="s" vm="329">
        <v>358</v>
      </c>
      <c r="B134" s="4" t="s" vm="9294">
        <v>359</v>
      </c>
      <c r="C134" s="121" vm="18843">
        <v>45016</v>
      </c>
      <c r="D134" s="68">
        <f>IFERROR( VfM_Metrics_2023_Entity[[#This Row],[Reinvestment Spend]] / VfM_Metrics_2023_Entity[[#This Row],[Net Book Value of Housing Properties]], "n/a" )</f>
        <v>3.2324437896673691E-2</v>
      </c>
      <c r="E13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5200</v>
      </c>
      <c r="F134" s="84" vm="9984">
        <v>660</v>
      </c>
      <c r="G134" s="84" vm="10735">
        <v>942</v>
      </c>
      <c r="H134" s="84" vm="9624">
        <v>3538</v>
      </c>
      <c r="I134" s="84" vm="9679">
        <v>60</v>
      </c>
      <c r="J134" s="84" vm="9637">
        <v>0</v>
      </c>
      <c r="K134" s="5">
        <f xml:space="preserve"> SUM( VfM_Metrics_2023_Entity[[#This Row],[Tangible fixed assets: Housing properties at cost (Current period)]],VfM_Metrics_2023_Entity[[#This Row],[Tangible fixed assets Housing properties at valuation (Current period)]] )</f>
        <v>160869</v>
      </c>
      <c r="L134" s="84" vm="9900">
        <v>160869</v>
      </c>
      <c r="M134" s="84" vm="10770">
        <v>0</v>
      </c>
      <c r="N134" s="134">
        <f xml:space="preserve"> IFERROR( VfM_Metrics_2023_Entity[[#This Row],[Total social units developed or newly built units acquired in-year]] / VfM_Metrics_2023_Entity[[#This Row],[Social housing units owned (period end)]], "n/a" )</f>
        <v>3.3013205282112846E-3</v>
      </c>
      <c r="O134" s="5">
        <f xml:space="preserve"> SUM( VfM_Metrics_2023_Entity[[#This Row],[Total social units developed or newly built units acquired in-year (owned)]], VfM_Metrics_2023_Entity[[#This Row],[Total social leasehold units developed or newly built units acquired in-year (owned)]] )</f>
        <v>11</v>
      </c>
      <c r="P134" s="84" vm="11015">
        <v>11</v>
      </c>
      <c r="Q134" s="84">
        <v>0</v>
      </c>
      <c r="R134" s="5">
        <f xml:space="preserve"> SUM( VfM_Metrics_2023_Entity[[#This Row],[Total social housing units owned (Period end)]], VfM_Metrics_2023_Entity[[#This Row],[Total social leasehold units owned (Period end)]] )</f>
        <v>3332</v>
      </c>
      <c r="S134" s="84" vm="11347">
        <v>3332</v>
      </c>
      <c r="T134" s="135" vm="11428">
        <v>0</v>
      </c>
      <c r="U134" s="136">
        <f xml:space="preserve"> IFERROR( VfM_Metrics_2023_Entity[[#This Row],[Total non-social housing units developed or newly built units acquired (owned)]] / VfM_Metrics_2023_Entity[[#This Row],[Total social and non-social housing units owned (Period end)]], "n/a" )</f>
        <v>0</v>
      </c>
      <c r="V13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4" s="84">
        <v>0</v>
      </c>
      <c r="X134" s="84">
        <v>0</v>
      </c>
      <c r="Y134" s="84" vm="11706">
        <v>0</v>
      </c>
      <c r="Z13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3429</v>
      </c>
      <c r="AA134" s="84" vm="12013">
        <v>3332</v>
      </c>
      <c r="AB134" s="84" vm="12197">
        <v>0</v>
      </c>
      <c r="AC134" s="84" vm="12121">
        <v>8</v>
      </c>
      <c r="AD134" s="135" vm="12278">
        <v>89</v>
      </c>
      <c r="AE134" s="134">
        <f xml:space="preserve"> IFERROR( VfM_Metrics_2023_Entity[[#This Row],[Total Net Debt]] / VfM_Metrics_2023_Entity[[#This Row],[Net Book Value of Housing Properties2]], "n/a" )</f>
        <v>0.5654725273359068</v>
      </c>
      <c r="AF13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90967</v>
      </c>
      <c r="AG134" s="84" vm="12595">
        <v>15000</v>
      </c>
      <c r="AH134" s="84" vm="12774">
        <v>88979</v>
      </c>
      <c r="AI134" s="84" vm="13164">
        <v>13028</v>
      </c>
      <c r="AJ134" s="84" vm="13214">
        <v>0</v>
      </c>
      <c r="AK134" s="84" vm="13300">
        <v>16</v>
      </c>
      <c r="AL134" s="5">
        <f xml:space="preserve"> SUM( VfM_Metrics_2023_Entity[[#This Row],[Tangible fixed assets: Housing properties at cost (Current period)2]], VfM_Metrics_2023_Entity[[#This Row],[Tangible fixed assets Housing properties at valuation (Current period)2]] )</f>
        <v>160869</v>
      </c>
      <c r="AM134" s="84" vm="13375">
        <v>160869</v>
      </c>
      <c r="AN134" s="135" vm="10095">
        <v>0</v>
      </c>
      <c r="AO134" s="137">
        <f xml:space="preserve"> IFERROR( VfM_Metrics_2023_Entity[[#This Row],[EBITDA MRI]] / VfM_Metrics_2023_Entity[[#This Row],[Total interest]], "n/a" )</f>
        <v>0.89952742962810761</v>
      </c>
      <c r="AP13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4378</v>
      </c>
      <c r="AQ134" s="84" vm="13484">
        <v>5024</v>
      </c>
      <c r="AR134" s="84" vm="13776">
        <v>546</v>
      </c>
      <c r="AS134" s="84" vm="14030">
        <v>0</v>
      </c>
      <c r="AT134" s="84" vm="14276">
        <v>156</v>
      </c>
      <c r="AU134" s="84" vm="14521">
        <v>0</v>
      </c>
      <c r="AV134" s="84" vm="14768">
        <v>147</v>
      </c>
      <c r="AW134" s="84" vm="15013">
        <v>3538</v>
      </c>
      <c r="AX134" s="84" vm="13777">
        <v>3447</v>
      </c>
      <c r="AY134" s="5">
        <f xml:space="preserve"> - SUM( VfM_Metrics_2023_Entity[[#This Row],[Interest capitalised]], VfM_Metrics_2023_Entity[[#This Row],[Interest payable and financing costs]] )</f>
        <v>4867</v>
      </c>
      <c r="AZ134" s="84" vm="15167">
        <v>-60</v>
      </c>
      <c r="BA134" s="135" vm="15331">
        <v>-4807</v>
      </c>
      <c r="BB134" s="138">
        <f xml:space="preserve"> IFERROR( ( VfM_Metrics_2023_Entity[[#This Row],[Total Costs]] / VfM_Metrics_2023_Entity[[#This Row],[Total units for costs]] ) * 1000, "n/a" )</f>
        <v>4299.5818399044201</v>
      </c>
      <c r="BC13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14395</v>
      </c>
      <c r="BD134" s="84" vm="15524">
        <v>2094</v>
      </c>
      <c r="BE134" s="84" vm="16191">
        <v>1009</v>
      </c>
      <c r="BF134" s="84" vm="16645">
        <v>3350</v>
      </c>
      <c r="BG134" s="84" vm="16353">
        <v>1051</v>
      </c>
      <c r="BH134" s="84" vm="16817">
        <v>2845</v>
      </c>
      <c r="BI134" s="84" vm="17052">
        <v>0</v>
      </c>
      <c r="BJ134" s="84" vm="17264">
        <v>3538</v>
      </c>
      <c r="BK134" s="84" vm="15997">
        <v>0</v>
      </c>
      <c r="BL134" s="84" vm="15944">
        <v>0</v>
      </c>
      <c r="BM134" s="84" vm="16133">
        <v>0</v>
      </c>
      <c r="BN134" s="84" vm="16885">
        <v>0</v>
      </c>
      <c r="BO134" s="84" vm="16192">
        <v>508</v>
      </c>
      <c r="BP134" s="5" vm="17636">
        <f xml:space="preserve"> VfM_Metrics_2023_Entity[[#This Row],[Total social housing units owned and/or managed at period end]]</f>
        <v>3348</v>
      </c>
      <c r="BQ134" s="135" vm="17636">
        <v>3348</v>
      </c>
      <c r="BR134" s="134">
        <f xml:space="preserve"> IFERROR( VfM_Metrics_2023_Entity[[#This Row],[SHL operating surplus / (deficit)]] / VfM_Metrics_2023_Entity[[#This Row],[Turnover from social housing lettings]], "n/a" )</f>
        <v>0.18834433876537227</v>
      </c>
      <c r="BS134" s="5" vm="17890">
        <f xml:space="preserve"> VfM_Metrics_2023_Entity[[#This Row],[Operating surplus/(deficit) (social housing lettings)]]</f>
        <v>3109</v>
      </c>
      <c r="BT134" s="84" vm="17890">
        <v>3109</v>
      </c>
      <c r="BU134" s="5" vm="18089">
        <f xml:space="preserve"> VfM_Metrics_2023_Entity[[#This Row],[Turnover from social housing lettings]]</f>
        <v>16507</v>
      </c>
      <c r="BV134" s="135" vm="18089">
        <v>16507</v>
      </c>
      <c r="BW134" s="134">
        <f xml:space="preserve"> IFERROR( VfM_Metrics_2023_Entity[[#This Row],[Net operating surplus]] / VfM_Metrics_2023_Entity[[#This Row],[Overall turnover]], "n/a" )</f>
        <v>0.23678087986463622</v>
      </c>
      <c r="BX134" s="5">
        <f xml:space="preserve"> SUM( VfM_Metrics_2023_Entity[[#This Row],[Operating surplus/(deficit) (overall)2]], - VfM_Metrics_2023_Entity[[#This Row],[Gain/(loss) on disposal of fixed assets (housing properties)2]], - VfM_Metrics_2023_Entity[[#This Row],[Gain/(loss) on disposal of fixed assets (other)2]] )</f>
        <v>4478</v>
      </c>
      <c r="BY134" s="84" vm="13484">
        <v>5024</v>
      </c>
      <c r="BZ134" s="84" vm="13776">
        <v>546</v>
      </c>
      <c r="CA134" s="84" vm="14030">
        <v>0</v>
      </c>
      <c r="CB134" s="5" vm="18407">
        <f xml:space="preserve"> VfM_Metrics_2023_Entity[[#This Row],[Turnover (overall)]]</f>
        <v>18912</v>
      </c>
      <c r="CC134" s="135" vm="18407">
        <v>18912</v>
      </c>
      <c r="CD134" s="134">
        <f xml:space="preserve"> IFERROR( VfM_Metrics_2023_Entity[[#This Row],[Operating surplus including from JVs]] / VfM_Metrics_2023_Entity[[#This Row],[Net assets]], "n/a" )</f>
        <v>2.9737488531770693E-2</v>
      </c>
      <c r="CE134" s="5">
        <f xml:space="preserve"> SUM( VfM_Metrics_2023_Entity[[#This Row],[Operating surplus/(deficit) (overall)3]], VfM_Metrics_2023_Entity[[#This Row],[Share of operating surplus/(deficit) in joint ventures or associates]] )</f>
        <v>5024</v>
      </c>
      <c r="CF134" s="84" vm="13484">
        <v>5024</v>
      </c>
      <c r="CG134" s="84" vm="18458">
        <v>0</v>
      </c>
      <c r="CH134" s="5" vm="18626">
        <f xml:space="preserve"> VfM_Metrics_2023_Entity[[#This Row],[Total assets less current liabilities]]</f>
        <v>168945</v>
      </c>
      <c r="CI134" s="135" vm="18626">
        <v>168945</v>
      </c>
      <c r="CJ134" s="140" vm="11347">
        <f xml:space="preserve"> VfM_Metrics_2023_Entity[[#This Row],[Total social housing units owned (Period end)]]</f>
        <v>3332</v>
      </c>
      <c r="CK134" s="141">
        <v>0</v>
      </c>
      <c r="CL134" s="69">
        <f xml:space="preserve"> -- ( VfM_Metrics_2023_Entity[[#This Row],[% Supported housing (excl. HOP)]] &gt; 0.3 )</f>
        <v>0</v>
      </c>
      <c r="CM134" s="9">
        <v>0.15324519230769232</v>
      </c>
      <c r="CN134" s="69">
        <f xml:space="preserve"> -- ( VfM_Metrics_2023_Entity[[#This Row],[% Housing for older people]] &gt; 0.3 )</f>
        <v>0</v>
      </c>
      <c r="CO134" s="9">
        <f xml:space="preserve"> VfM_Metrics_2023_Entity[[#This Row],[% Supported housing (excl. HOP)]] + VfM_Metrics_2023_Entity[[#This Row],[% Housing for older people]]</f>
        <v>0.15324519230769232</v>
      </c>
      <c r="CP134" s="69">
        <f xml:space="preserve"> -- ( VfM_Metrics_2023_Entity[[#This Row],[SH specialist in RSH analysis]] + VfM_Metrics_2023_Entity[[#This Row],[OP specialist in RSH analysis]] &gt; 0 )</f>
        <v>0</v>
      </c>
      <c r="CQ134" s="142">
        <f xml:space="preserve"> -- ( VfM_Metrics_2023_Entity[[#This Row],[% SH and OP]] &gt; 0.3 )</f>
        <v>0</v>
      </c>
      <c r="CR134" s="143" t="s">
        <v>143</v>
      </c>
      <c r="CS134" s="120"/>
      <c r="CT134" s="144" t="s">
        <v>151</v>
      </c>
      <c r="CU13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34" s="146">
        <v>0</v>
      </c>
      <c r="CW134" s="146">
        <v>0</v>
      </c>
      <c r="CX134" s="146">
        <v>1</v>
      </c>
      <c r="CY134" s="146">
        <v>0</v>
      </c>
      <c r="CZ134" s="146">
        <v>0</v>
      </c>
      <c r="DA134" s="146">
        <v>0</v>
      </c>
      <c r="DB134" s="146">
        <v>0</v>
      </c>
      <c r="DC134" s="146">
        <v>0</v>
      </c>
      <c r="DD134" s="146">
        <v>0</v>
      </c>
      <c r="DE134" s="126">
        <v>0.97511902715076015</v>
      </c>
    </row>
    <row r="135" spans="1:109" x14ac:dyDescent="0.25">
      <c r="A135" s="4" t="s" vm="219">
        <v>360</v>
      </c>
      <c r="B135" s="4" t="s" vm="9271">
        <v>361</v>
      </c>
      <c r="C135" s="121" vm="18830">
        <v>45016</v>
      </c>
      <c r="D135" s="68">
        <f>IFERROR( VfM_Metrics_2023_Entity[[#This Row],[Reinvestment Spend]] / VfM_Metrics_2023_Entity[[#This Row],[Net Book Value of Housing Properties]], "n/a" )</f>
        <v>4.1580930493573129E-2</v>
      </c>
      <c r="E13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6224</v>
      </c>
      <c r="F135" s="84" vm="9447">
        <v>5280</v>
      </c>
      <c r="G135" s="84" vm="9507">
        <v>0</v>
      </c>
      <c r="H135" s="84" vm="10376">
        <v>944</v>
      </c>
      <c r="I135" s="84" vm="10422">
        <v>0</v>
      </c>
      <c r="J135" s="84" vm="10519">
        <v>0</v>
      </c>
      <c r="K135" s="5">
        <f xml:space="preserve"> SUM( VfM_Metrics_2023_Entity[[#This Row],[Tangible fixed assets: Housing properties at cost (Current period)]],VfM_Metrics_2023_Entity[[#This Row],[Tangible fixed assets Housing properties at valuation (Current period)]] )</f>
        <v>149684</v>
      </c>
      <c r="L135" s="84" vm="10020">
        <v>149684</v>
      </c>
      <c r="M135" s="84">
        <v>0</v>
      </c>
      <c r="N135" s="134">
        <f xml:space="preserve"> IFERROR( VfM_Metrics_2023_Entity[[#This Row],[Total social units developed or newly built units acquired in-year]] / VfM_Metrics_2023_Entity[[#This Row],[Social housing units owned (period end)]], "n/a" )</f>
        <v>3.7488284910965321E-2</v>
      </c>
      <c r="O135" s="5">
        <f xml:space="preserve"> SUM( VfM_Metrics_2023_Entity[[#This Row],[Total social units developed or newly built units acquired in-year (owned)]], VfM_Metrics_2023_Entity[[#This Row],[Total social leasehold units developed or newly built units acquired in-year (owned)]] )</f>
        <v>40</v>
      </c>
      <c r="P135" s="84" vm="10971">
        <v>40</v>
      </c>
      <c r="Q135" s="84">
        <v>0</v>
      </c>
      <c r="R135" s="5">
        <f xml:space="preserve"> SUM( VfM_Metrics_2023_Entity[[#This Row],[Total social housing units owned (Period end)]], VfM_Metrics_2023_Entity[[#This Row],[Total social leasehold units owned (Period end)]] )</f>
        <v>1067</v>
      </c>
      <c r="S135" s="84" vm="11259">
        <v>1067</v>
      </c>
      <c r="T135" s="135" vm="11510">
        <v>0</v>
      </c>
      <c r="U135" s="136">
        <f xml:space="preserve"> IFERROR( VfM_Metrics_2023_Entity[[#This Row],[Total non-social housing units developed or newly built units acquired (owned)]] / VfM_Metrics_2023_Entity[[#This Row],[Total social and non-social housing units owned (Period end)]], "n/a" )</f>
        <v>0</v>
      </c>
      <c r="V13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5" s="84">
        <v>0</v>
      </c>
      <c r="X135" s="84">
        <v>0</v>
      </c>
      <c r="Y135" s="84" vm="11846">
        <v>0</v>
      </c>
      <c r="Z13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1067</v>
      </c>
      <c r="AA135" s="84" vm="11970">
        <v>1067</v>
      </c>
      <c r="AB135" s="84" vm="12448">
        <v>0</v>
      </c>
      <c r="AC135" s="84" vm="12375">
        <v>0</v>
      </c>
      <c r="AD135" s="135" vm="12513">
        <v>0</v>
      </c>
      <c r="AE135" s="134">
        <f xml:space="preserve"> IFERROR( VfM_Metrics_2023_Entity[[#This Row],[Total Net Debt]] / VfM_Metrics_2023_Entity[[#This Row],[Net Book Value of Housing Properties2]], "n/a" )</f>
        <v>0.4398599716736592</v>
      </c>
      <c r="AF13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65840</v>
      </c>
      <c r="AG135" s="84" vm="12616">
        <v>1715</v>
      </c>
      <c r="AH135" s="84" vm="12869">
        <v>65091</v>
      </c>
      <c r="AI135" s="84" vm="12948">
        <v>966</v>
      </c>
      <c r="AJ135" s="84">
        <v>0</v>
      </c>
      <c r="AK135" s="84">
        <v>0</v>
      </c>
      <c r="AL135" s="5">
        <f xml:space="preserve"> SUM( VfM_Metrics_2023_Entity[[#This Row],[Tangible fixed assets: Housing properties at cost (Current period)2]], VfM_Metrics_2023_Entity[[#This Row],[Tangible fixed assets Housing properties at valuation (Current period)2]] )</f>
        <v>149684</v>
      </c>
      <c r="AM135" s="84" vm="10020">
        <v>149684</v>
      </c>
      <c r="AN135" s="135">
        <v>0</v>
      </c>
      <c r="AO135" s="137">
        <f xml:space="preserve"> IFERROR( VfM_Metrics_2023_Entity[[#This Row],[EBITDA MRI]] / VfM_Metrics_2023_Entity[[#This Row],[Total interest]], "n/a" )</f>
        <v>1.6456665506439263</v>
      </c>
      <c r="AP13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4728</v>
      </c>
      <c r="AQ135" s="84" vm="13519">
        <v>4164</v>
      </c>
      <c r="AR135" s="84" vm="14031">
        <v>71</v>
      </c>
      <c r="AS135" s="84">
        <v>0</v>
      </c>
      <c r="AT135" s="84" vm="14522">
        <v>639</v>
      </c>
      <c r="AU135" s="84" vm="14769">
        <v>0</v>
      </c>
      <c r="AV135" s="84">
        <v>0</v>
      </c>
      <c r="AW135" s="84" vm="13778">
        <v>944</v>
      </c>
      <c r="AX135" s="84" vm="14032">
        <v>2218</v>
      </c>
      <c r="AY135" s="5">
        <f xml:space="preserve"> - SUM( VfM_Metrics_2023_Entity[[#This Row],[Interest capitalised]], VfM_Metrics_2023_Entity[[#This Row],[Interest payable and financing costs]] )</f>
        <v>2873</v>
      </c>
      <c r="AZ135" s="84" vm="15201">
        <v>-88</v>
      </c>
      <c r="BA135" s="135" vm="15366">
        <v>-2785</v>
      </c>
      <c r="BB135" s="138">
        <f xml:space="preserve"> IFERROR( ( VfM_Metrics_2023_Entity[[#This Row],[Total Costs]] / VfM_Metrics_2023_Entity[[#This Row],[Total units for costs]] ) * 1000, "n/a" )</f>
        <v>5455.4826616682285</v>
      </c>
      <c r="BC13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5821</v>
      </c>
      <c r="BD135" s="84" vm="17123">
        <v>1271</v>
      </c>
      <c r="BE135" s="84" vm="17265">
        <v>932</v>
      </c>
      <c r="BF135" s="84" vm="17351">
        <v>1259</v>
      </c>
      <c r="BG135" s="84" vm="16193">
        <v>103</v>
      </c>
      <c r="BH135" s="84" vm="16449">
        <v>557</v>
      </c>
      <c r="BI135" s="84" vm="16354">
        <v>8</v>
      </c>
      <c r="BJ135" s="84" vm="16730">
        <v>944</v>
      </c>
      <c r="BK135" s="84" vm="16450">
        <v>492</v>
      </c>
      <c r="BL135" s="84">
        <v>0</v>
      </c>
      <c r="BM135" s="84">
        <v>0</v>
      </c>
      <c r="BN135" s="84" vm="16451">
        <v>255</v>
      </c>
      <c r="BO135" s="84">
        <v>0</v>
      </c>
      <c r="BP135" s="5" vm="17672">
        <f xml:space="preserve"> VfM_Metrics_2023_Entity[[#This Row],[Total social housing units owned and/or managed at period end]]</f>
        <v>1067</v>
      </c>
      <c r="BQ135" s="135" vm="17672">
        <v>1067</v>
      </c>
      <c r="BR135" s="134">
        <f xml:space="preserve"> IFERROR( VfM_Metrics_2023_Entity[[#This Row],[SHL operating surplus / (deficit)]] / VfM_Metrics_2023_Entity[[#This Row],[Turnover from social housing lettings]], "n/a" )</f>
        <v>0.28240208877284595</v>
      </c>
      <c r="BS135" s="5" vm="17927">
        <f xml:space="preserve"> VfM_Metrics_2023_Entity[[#This Row],[Operating surplus/(deficit) (social housing lettings)]]</f>
        <v>2704</v>
      </c>
      <c r="BT135" s="84" vm="17927">
        <v>2704</v>
      </c>
      <c r="BU135" s="5" vm="18121">
        <f xml:space="preserve"> VfM_Metrics_2023_Entity[[#This Row],[Turnover from social housing lettings]]</f>
        <v>9575</v>
      </c>
      <c r="BV135" s="135" vm="18121">
        <v>9575</v>
      </c>
      <c r="BW135" s="134">
        <f xml:space="preserve"> IFERROR( VfM_Metrics_2023_Entity[[#This Row],[Net operating surplus]] / VfM_Metrics_2023_Entity[[#This Row],[Overall turnover]], "n/a" )</f>
        <v>0.30506074383245135</v>
      </c>
      <c r="BX135" s="5">
        <f xml:space="preserve"> SUM( VfM_Metrics_2023_Entity[[#This Row],[Operating surplus/(deficit) (overall)2]], - VfM_Metrics_2023_Entity[[#This Row],[Gain/(loss) on disposal of fixed assets (housing properties)2]], - VfM_Metrics_2023_Entity[[#This Row],[Gain/(loss) on disposal of fixed assets (other)2]] )</f>
        <v>4093</v>
      </c>
      <c r="BY135" s="84" vm="13519">
        <v>4164</v>
      </c>
      <c r="BZ135" s="84" vm="14031">
        <v>71</v>
      </c>
      <c r="CA135" s="84">
        <v>0</v>
      </c>
      <c r="CB135" s="5" vm="18277">
        <f xml:space="preserve"> VfM_Metrics_2023_Entity[[#This Row],[Turnover (overall)]]</f>
        <v>13417</v>
      </c>
      <c r="CC135" s="135" vm="18277">
        <v>13417</v>
      </c>
      <c r="CD135" s="134">
        <f xml:space="preserve"> IFERROR( VfM_Metrics_2023_Entity[[#This Row],[Operating surplus including from JVs]] / VfM_Metrics_2023_Entity[[#This Row],[Net assets]], "n/a" )</f>
        <v>2.7763331599791975E-2</v>
      </c>
      <c r="CE135" s="5">
        <f xml:space="preserve"> SUM( VfM_Metrics_2023_Entity[[#This Row],[Operating surplus/(deficit) (overall)3]], VfM_Metrics_2023_Entity[[#This Row],[Share of operating surplus/(deficit) in joint ventures or associates]] )</f>
        <v>4164</v>
      </c>
      <c r="CF135" s="84" vm="13519">
        <v>4164</v>
      </c>
      <c r="CG135" s="84">
        <v>0</v>
      </c>
      <c r="CH135" s="5" vm="18663">
        <f xml:space="preserve"> VfM_Metrics_2023_Entity[[#This Row],[Total assets less current liabilities]]</f>
        <v>149982</v>
      </c>
      <c r="CI135" s="135" vm="18663">
        <v>149982</v>
      </c>
      <c r="CJ135" s="140" vm="11259">
        <f xml:space="preserve"> VfM_Metrics_2023_Entity[[#This Row],[Total social housing units owned (Period end)]]</f>
        <v>1067</v>
      </c>
      <c r="CK135" s="141">
        <v>0</v>
      </c>
      <c r="CL135" s="69">
        <f xml:space="preserve"> -- ( VfM_Metrics_2023_Entity[[#This Row],[% Supported housing (excl. HOP)]] &gt; 0.3 )</f>
        <v>0</v>
      </c>
      <c r="CM135" s="9">
        <v>0</v>
      </c>
      <c r="CN135" s="69">
        <f xml:space="preserve"> -- ( VfM_Metrics_2023_Entity[[#This Row],[% Housing for older people]] &gt; 0.3 )</f>
        <v>0</v>
      </c>
      <c r="CO135" s="9">
        <f xml:space="preserve"> VfM_Metrics_2023_Entity[[#This Row],[% Supported housing (excl. HOP)]] + VfM_Metrics_2023_Entity[[#This Row],[% Housing for older people]]</f>
        <v>0</v>
      </c>
      <c r="CP135" s="69">
        <f xml:space="preserve"> -- ( VfM_Metrics_2023_Entity[[#This Row],[SH specialist in RSH analysis]] + VfM_Metrics_2023_Entity[[#This Row],[OP specialist in RSH analysis]] &gt; 0 )</f>
        <v>0</v>
      </c>
      <c r="CQ135" s="142">
        <f xml:space="preserve"> -- ( VfM_Metrics_2023_Entity[[#This Row],[% SH and OP]] &gt; 0.3 )</f>
        <v>0</v>
      </c>
      <c r="CR135" s="143" t="s">
        <v>143</v>
      </c>
      <c r="CS135" s="120"/>
      <c r="CT135" s="144" t="s">
        <v>144</v>
      </c>
      <c r="CU13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35" s="146">
        <v>1</v>
      </c>
      <c r="CW135" s="146">
        <v>0</v>
      </c>
      <c r="CX135" s="146">
        <v>0</v>
      </c>
      <c r="CY135" s="146">
        <v>0</v>
      </c>
      <c r="CZ135" s="146">
        <v>0</v>
      </c>
      <c r="DA135" s="146">
        <v>0</v>
      </c>
      <c r="DB135" s="146">
        <v>0</v>
      </c>
      <c r="DC135" s="146">
        <v>0</v>
      </c>
      <c r="DD135" s="146">
        <v>0</v>
      </c>
      <c r="DE135" s="126">
        <v>1.1603700449887588</v>
      </c>
    </row>
    <row r="136" spans="1:109" x14ac:dyDescent="0.25">
      <c r="A136" s="4" t="s" vm="328">
        <v>362</v>
      </c>
      <c r="B136" s="4" t="s" vm="9311">
        <v>363</v>
      </c>
      <c r="C136" s="121" vm="18929">
        <v>45016</v>
      </c>
      <c r="D136" s="68">
        <f>IFERROR( VfM_Metrics_2023_Entity[[#This Row],[Reinvestment Spend]] / VfM_Metrics_2023_Entity[[#This Row],[Net Book Value of Housing Properties]], "n/a" )</f>
        <v>6.6287638740516755E-2</v>
      </c>
      <c r="E13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14644</v>
      </c>
      <c r="F136" s="84" vm="9454">
        <v>568</v>
      </c>
      <c r="G136" s="84" vm="10370">
        <v>11135</v>
      </c>
      <c r="H136" s="84" vm="9508">
        <v>2834</v>
      </c>
      <c r="I136" s="84" vm="9570">
        <v>107</v>
      </c>
      <c r="J136" s="84" vm="10915">
        <v>0</v>
      </c>
      <c r="K136" s="5">
        <f xml:space="preserve"> SUM( VfM_Metrics_2023_Entity[[#This Row],[Tangible fixed assets: Housing properties at cost (Current period)]],VfM_Metrics_2023_Entity[[#This Row],[Tangible fixed assets Housing properties at valuation (Current period)]] )</f>
        <v>220916</v>
      </c>
      <c r="L136" s="84" vm="9781">
        <v>220916</v>
      </c>
      <c r="M136" s="84" vm="10352">
        <v>0</v>
      </c>
      <c r="N136" s="134">
        <f xml:space="preserve"> IFERROR( VfM_Metrics_2023_Entity[[#This Row],[Total social units developed or newly built units acquired in-year]] / VfM_Metrics_2023_Entity[[#This Row],[Social housing units owned (period end)]], "n/a" )</f>
        <v>1.7703722988804998E-2</v>
      </c>
      <c r="O136" s="5">
        <f xml:space="preserve"> SUM( VfM_Metrics_2023_Entity[[#This Row],[Total social units developed or newly built units acquired in-year (owned)]], VfM_Metrics_2023_Entity[[#This Row],[Total social leasehold units developed or newly built units acquired in-year (owned)]] )</f>
        <v>68</v>
      </c>
      <c r="P136" s="84" vm="11024">
        <v>68</v>
      </c>
      <c r="Q136" s="84" vm="11156">
        <v>0</v>
      </c>
      <c r="R136" s="5">
        <f xml:space="preserve"> SUM( VfM_Metrics_2023_Entity[[#This Row],[Total social housing units owned (Period end)]], VfM_Metrics_2023_Entity[[#This Row],[Total social leasehold units owned (Period end)]] )</f>
        <v>3841</v>
      </c>
      <c r="S136" s="84" vm="11327">
        <v>3827</v>
      </c>
      <c r="T136" s="135" vm="11521">
        <v>14</v>
      </c>
      <c r="U136" s="136">
        <f xml:space="preserve"> IFERROR( VfM_Metrics_2023_Entity[[#This Row],[Total non-social housing units developed or newly built units acquired (owned)]] / VfM_Metrics_2023_Entity[[#This Row],[Total social and non-social housing units owned (Period end)]], "n/a" )</f>
        <v>0</v>
      </c>
      <c r="V13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6" s="84" vm="11640">
        <v>0</v>
      </c>
      <c r="X136" s="84" vm="11889">
        <v>0</v>
      </c>
      <c r="Y136" s="84" vm="11930">
        <v>0</v>
      </c>
      <c r="Z13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3841</v>
      </c>
      <c r="AA136" s="84" vm="12003">
        <v>3827</v>
      </c>
      <c r="AB136" s="84" vm="12199">
        <v>14</v>
      </c>
      <c r="AC136" s="84" vm="12122">
        <v>0</v>
      </c>
      <c r="AD136" s="135" vm="12279">
        <v>0</v>
      </c>
      <c r="AE136" s="134">
        <f xml:space="preserve"> IFERROR( VfM_Metrics_2023_Entity[[#This Row],[Total Net Debt]] / VfM_Metrics_2023_Entity[[#This Row],[Net Book Value of Housing Properties2]], "n/a" )</f>
        <v>0.47177660287167972</v>
      </c>
      <c r="AF13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104223</v>
      </c>
      <c r="AG136" s="84" vm="12645">
        <v>37</v>
      </c>
      <c r="AH136" s="84" vm="13128">
        <v>111241</v>
      </c>
      <c r="AI136" s="84" vm="13214">
        <v>7055</v>
      </c>
      <c r="AJ136" s="84" vm="13301">
        <v>0</v>
      </c>
      <c r="AK136" s="84" vm="12870">
        <v>0</v>
      </c>
      <c r="AL136" s="5">
        <f xml:space="preserve"> SUM( VfM_Metrics_2023_Entity[[#This Row],[Tangible fixed assets: Housing properties at cost (Current period)2]], VfM_Metrics_2023_Entity[[#This Row],[Tangible fixed assets Housing properties at valuation (Current period)2]] )</f>
        <v>220916</v>
      </c>
      <c r="AM136" s="84" vm="9944">
        <v>220916</v>
      </c>
      <c r="AN136" s="135" vm="13408">
        <v>0</v>
      </c>
      <c r="AO136" s="137">
        <f xml:space="preserve"> IFERROR( VfM_Metrics_2023_Entity[[#This Row],[EBITDA MRI]] / VfM_Metrics_2023_Entity[[#This Row],[Total interest]], "n/a" )</f>
        <v>1.6940459110473458</v>
      </c>
      <c r="AP13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4723</v>
      </c>
      <c r="AQ136" s="84" vm="13552">
        <v>5242</v>
      </c>
      <c r="AR136" s="84" vm="14277">
        <v>115</v>
      </c>
      <c r="AS136" s="84" vm="14523">
        <v>0</v>
      </c>
      <c r="AT136" s="84" vm="14770">
        <v>945</v>
      </c>
      <c r="AU136" s="84" vm="15014">
        <v>0</v>
      </c>
      <c r="AV136" s="84" vm="13779">
        <v>25</v>
      </c>
      <c r="AW136" s="84" vm="14033">
        <v>2834</v>
      </c>
      <c r="AX136" s="84" vm="14278">
        <v>3350</v>
      </c>
      <c r="AY136" s="5">
        <f xml:space="preserve"> - SUM( VfM_Metrics_2023_Entity[[#This Row],[Interest capitalised]], VfM_Metrics_2023_Entity[[#This Row],[Interest payable and financing costs]] )</f>
        <v>2788</v>
      </c>
      <c r="AZ136" s="84" vm="15223">
        <v>-107</v>
      </c>
      <c r="BA136" s="135" vm="15396">
        <v>-2681</v>
      </c>
      <c r="BB136" s="138">
        <f xml:space="preserve"> IFERROR( ( VfM_Metrics_2023_Entity[[#This Row],[Total Costs]] / VfM_Metrics_2023_Entity[[#This Row],[Total units for costs]] ) * 1000, "n/a" )</f>
        <v>4330.8251167618055</v>
      </c>
      <c r="BC13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16691</v>
      </c>
      <c r="BD136" s="84" vm="16135">
        <v>4811</v>
      </c>
      <c r="BE136" s="84" vm="16646">
        <v>2006</v>
      </c>
      <c r="BF136" s="84" vm="16818">
        <v>3744</v>
      </c>
      <c r="BG136" s="84" vm="16886">
        <v>1739</v>
      </c>
      <c r="BH136" s="84" vm="17124">
        <v>1294</v>
      </c>
      <c r="BI136" s="84" vm="17266">
        <v>263</v>
      </c>
      <c r="BJ136" s="84" vm="17352">
        <v>2834</v>
      </c>
      <c r="BK136" s="84" vm="17510">
        <v>0</v>
      </c>
      <c r="BL136" s="84" vm="15999">
        <v>0</v>
      </c>
      <c r="BM136" s="84" vm="16731">
        <v>0</v>
      </c>
      <c r="BN136" s="84" vm="15946">
        <v>0</v>
      </c>
      <c r="BO136" s="84" vm="16137">
        <v>0</v>
      </c>
      <c r="BP136" s="5" vm="17807">
        <f xml:space="preserve"> VfM_Metrics_2023_Entity[[#This Row],[Total social housing units owned and/or managed at period end]]</f>
        <v>3854</v>
      </c>
      <c r="BQ136" s="135" vm="17807">
        <v>3854</v>
      </c>
      <c r="BR136" s="134">
        <f xml:space="preserve"> IFERROR( VfM_Metrics_2023_Entity[[#This Row],[SHL operating surplus / (deficit)]] / VfM_Metrics_2023_Entity[[#This Row],[Turnover from social housing lettings]], "n/a" )</f>
        <v>0.21737941096015317</v>
      </c>
      <c r="BS136" s="5" vm="17964">
        <f xml:space="preserve"> VfM_Metrics_2023_Entity[[#This Row],[Operating surplus/(deficit) (social housing lettings)]]</f>
        <v>4768</v>
      </c>
      <c r="BT136" s="84" vm="17964">
        <v>4768</v>
      </c>
      <c r="BU136" s="5" vm="18139">
        <f xml:space="preserve"> VfM_Metrics_2023_Entity[[#This Row],[Turnover from social housing lettings]]</f>
        <v>21934</v>
      </c>
      <c r="BV136" s="135" vm="18139">
        <v>21934</v>
      </c>
      <c r="BW136" s="134">
        <f xml:space="preserve"> IFERROR( VfM_Metrics_2023_Entity[[#This Row],[Net operating surplus]] / VfM_Metrics_2023_Entity[[#This Row],[Overall turnover]], "n/a" )</f>
        <v>0.22907823600375318</v>
      </c>
      <c r="BX136" s="5">
        <f xml:space="preserve"> SUM( VfM_Metrics_2023_Entity[[#This Row],[Operating surplus/(deficit) (overall)2]], - VfM_Metrics_2023_Entity[[#This Row],[Gain/(loss) on disposal of fixed assets (housing properties)2]], - VfM_Metrics_2023_Entity[[#This Row],[Gain/(loss) on disposal of fixed assets (other)2]] )</f>
        <v>5127</v>
      </c>
      <c r="BY136" s="84" vm="13552">
        <v>5242</v>
      </c>
      <c r="BZ136" s="84" vm="14277">
        <v>115</v>
      </c>
      <c r="CA136" s="84" vm="14523">
        <v>0</v>
      </c>
      <c r="CB136" s="5" vm="18308">
        <f xml:space="preserve"> VfM_Metrics_2023_Entity[[#This Row],[Turnover (overall)]]</f>
        <v>22381</v>
      </c>
      <c r="CC136" s="135" vm="18308">
        <v>22381</v>
      </c>
      <c r="CD136" s="134">
        <f xml:space="preserve"> IFERROR( VfM_Metrics_2023_Entity[[#This Row],[Operating surplus including from JVs]] / VfM_Metrics_2023_Entity[[#This Row],[Net assets]], "n/a" )</f>
        <v>2.3087934109978198E-2</v>
      </c>
      <c r="CE136" s="5">
        <f xml:space="preserve"> SUM( VfM_Metrics_2023_Entity[[#This Row],[Operating surplus/(deficit) (overall)3]], VfM_Metrics_2023_Entity[[#This Row],[Share of operating surplus/(deficit) in joint ventures or associates]] )</f>
        <v>5242</v>
      </c>
      <c r="CF136" s="84" vm="18226">
        <v>5242</v>
      </c>
      <c r="CG136" s="84" vm="18501">
        <v>0</v>
      </c>
      <c r="CH136" s="5" vm="18696">
        <f xml:space="preserve"> VfM_Metrics_2023_Entity[[#This Row],[Total assets less current liabilities]]</f>
        <v>227045</v>
      </c>
      <c r="CI136" s="135" vm="18696">
        <v>227045</v>
      </c>
      <c r="CJ136" s="140" vm="11327">
        <f xml:space="preserve"> VfM_Metrics_2023_Entity[[#This Row],[Total social housing units owned (Period end)]]</f>
        <v>3827</v>
      </c>
      <c r="CK136" s="141">
        <v>0.10559330893883952</v>
      </c>
      <c r="CL136" s="69">
        <f xml:space="preserve"> -- ( VfM_Metrics_2023_Entity[[#This Row],[% Supported housing (excl. HOP)]] &gt; 0.3 )</f>
        <v>0</v>
      </c>
      <c r="CM136" s="9">
        <v>5.0444328280188189E-2</v>
      </c>
      <c r="CN136" s="69">
        <f xml:space="preserve"> -- ( VfM_Metrics_2023_Entity[[#This Row],[% Housing for older people]] &gt; 0.3 )</f>
        <v>0</v>
      </c>
      <c r="CO136" s="9">
        <f xml:space="preserve"> VfM_Metrics_2023_Entity[[#This Row],[% Supported housing (excl. HOP)]] + VfM_Metrics_2023_Entity[[#This Row],[% Housing for older people]]</f>
        <v>0.15603763721902769</v>
      </c>
      <c r="CP136" s="69">
        <f xml:space="preserve"> -- ( VfM_Metrics_2023_Entity[[#This Row],[SH specialist in RSH analysis]] + VfM_Metrics_2023_Entity[[#This Row],[OP specialist in RSH analysis]] &gt; 0 )</f>
        <v>0</v>
      </c>
      <c r="CQ136" s="142">
        <f xml:space="preserve"> -- ( VfM_Metrics_2023_Entity[[#This Row],[% SH and OP]] &gt; 0.3 )</f>
        <v>0</v>
      </c>
      <c r="CR136" s="143" t="s">
        <v>143</v>
      </c>
      <c r="CS136" s="120"/>
      <c r="CT136" s="144" t="s">
        <v>151</v>
      </c>
      <c r="CU13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136" s="146">
        <v>0</v>
      </c>
      <c r="CW136" s="146">
        <v>0</v>
      </c>
      <c r="CX136" s="146">
        <v>0</v>
      </c>
      <c r="CY136" s="146">
        <v>0</v>
      </c>
      <c r="CZ136" s="146">
        <v>0</v>
      </c>
      <c r="DA136" s="146">
        <v>0</v>
      </c>
      <c r="DB136" s="146">
        <v>0.97358786610878656</v>
      </c>
      <c r="DC136" s="146">
        <v>0</v>
      </c>
      <c r="DD136" s="146">
        <v>2.6412133891213389E-2</v>
      </c>
      <c r="DE136" s="126">
        <v>0.90755234887910019</v>
      </c>
    </row>
    <row r="137" spans="1:109" x14ac:dyDescent="0.25">
      <c r="A137" s="4" t="s" vm="239">
        <v>364</v>
      </c>
      <c r="B137" s="4" t="s" vm="9377">
        <v>365</v>
      </c>
      <c r="C137" s="121" vm="18948">
        <v>45016</v>
      </c>
      <c r="D137" s="68">
        <f>IFERROR( VfM_Metrics_2023_Entity[[#This Row],[Reinvestment Spend]] / VfM_Metrics_2023_Entity[[#This Row],[Net Book Value of Housing Properties]], "n/a" )</f>
        <v>2.3040723981900452E-2</v>
      </c>
      <c r="E13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127300</v>
      </c>
      <c r="F137" s="84" vm="10453">
        <v>86000</v>
      </c>
      <c r="G137" s="84" vm="9728">
        <v>0</v>
      </c>
      <c r="H137" s="84" vm="10624">
        <v>39400</v>
      </c>
      <c r="I137" s="84" vm="10801">
        <v>1900</v>
      </c>
      <c r="J137" s="84" vm="9571">
        <v>0</v>
      </c>
      <c r="K137" s="5">
        <f xml:space="preserve"> SUM( VfM_Metrics_2023_Entity[[#This Row],[Tangible fixed assets: Housing properties at cost (Current period)]],VfM_Metrics_2023_Entity[[#This Row],[Tangible fixed assets Housing properties at valuation (Current period)]] )</f>
        <v>5525000</v>
      </c>
      <c r="L137" s="84" vm="10467">
        <v>5525000</v>
      </c>
      <c r="M137" s="84">
        <v>0</v>
      </c>
      <c r="N137" s="134">
        <f xml:space="preserve"> IFERROR( VfM_Metrics_2023_Entity[[#This Row],[Total social units developed or newly built units acquired in-year]] / VfM_Metrics_2023_Entity[[#This Row],[Social housing units owned (period end)]], "n/a" )</f>
        <v>5.5955074337427279E-3</v>
      </c>
      <c r="O137" s="5">
        <f xml:space="preserve"> SUM( VfM_Metrics_2023_Entity[[#This Row],[Total social units developed or newly built units acquired in-year (owned)]], VfM_Metrics_2023_Entity[[#This Row],[Total social leasehold units developed or newly built units acquired in-year (owned)]] )</f>
        <v>277</v>
      </c>
      <c r="P137" s="84" vm="11052">
        <v>277</v>
      </c>
      <c r="Q137" s="84">
        <v>0</v>
      </c>
      <c r="R137" s="5">
        <f xml:space="preserve"> SUM( VfM_Metrics_2023_Entity[[#This Row],[Total social housing units owned (Period end)]], VfM_Metrics_2023_Entity[[#This Row],[Total social leasehold units owned (Period end)]] )</f>
        <v>49504</v>
      </c>
      <c r="S137" s="84" vm="11338">
        <v>44881</v>
      </c>
      <c r="T137" s="135" vm="11495">
        <v>4623</v>
      </c>
      <c r="U137" s="136">
        <f xml:space="preserve"> IFERROR( VfM_Metrics_2023_Entity[[#This Row],[Total non-social housing units developed or newly built units acquired (owned)]] / VfM_Metrics_2023_Entity[[#This Row],[Total social and non-social housing units owned (Period end)]], "n/a" )</f>
        <v>3.4268090696213375E-4</v>
      </c>
      <c r="V13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18</v>
      </c>
      <c r="W137" s="84" vm="11656">
        <v>18</v>
      </c>
      <c r="X137" s="84">
        <v>0</v>
      </c>
      <c r="Y137" s="84">
        <v>0</v>
      </c>
      <c r="Z13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52527</v>
      </c>
      <c r="AA137" s="84" vm="11338">
        <v>44881</v>
      </c>
      <c r="AB137" s="84" vm="11503">
        <v>4623</v>
      </c>
      <c r="AC137" s="84" vm="12374">
        <v>3023</v>
      </c>
      <c r="AD137" s="135" vm="12513">
        <v>0</v>
      </c>
      <c r="AE137" s="134">
        <f xml:space="preserve"> IFERROR( VfM_Metrics_2023_Entity[[#This Row],[Total Net Debt]] / VfM_Metrics_2023_Entity[[#This Row],[Net Book Value of Housing Properties2]], "n/a" )</f>
        <v>0.51111312217194571</v>
      </c>
      <c r="AF13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2823900</v>
      </c>
      <c r="AG137" s="84" vm="12670">
        <v>27300</v>
      </c>
      <c r="AH137" s="84" vm="12775">
        <v>2835900</v>
      </c>
      <c r="AI137" s="84" vm="12989">
        <v>39300</v>
      </c>
      <c r="AJ137" s="84">
        <v>0</v>
      </c>
      <c r="AK137" s="84">
        <v>0</v>
      </c>
      <c r="AL137" s="5">
        <f xml:space="preserve"> SUM( VfM_Metrics_2023_Entity[[#This Row],[Tangible fixed assets: Housing properties at cost (Current period)2]], VfM_Metrics_2023_Entity[[#This Row],[Tangible fixed assets Housing properties at valuation (Current period)2]] )</f>
        <v>5525000</v>
      </c>
      <c r="AM137" s="84" vm="9963">
        <v>5525000</v>
      </c>
      <c r="AN137" s="135">
        <v>0</v>
      </c>
      <c r="AO137" s="137">
        <f xml:space="preserve"> IFERROR( VfM_Metrics_2023_Entity[[#This Row],[EBITDA MRI]] / VfM_Metrics_2023_Entity[[#This Row],[Total interest]], "n/a" )</f>
        <v>1.1285310734463276</v>
      </c>
      <c r="AP13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159800</v>
      </c>
      <c r="AQ137" s="84" vm="13581">
        <v>135400</v>
      </c>
      <c r="AR137" s="84" vm="14524">
        <v>21900</v>
      </c>
      <c r="AS137" s="84">
        <v>0</v>
      </c>
      <c r="AT137" s="84" vm="15015">
        <v>11800</v>
      </c>
      <c r="AU137" s="84" vm="13780">
        <v>0</v>
      </c>
      <c r="AV137" s="84" vm="14034">
        <v>33100</v>
      </c>
      <c r="AW137" s="84" vm="14279">
        <v>39400</v>
      </c>
      <c r="AX137" s="84" vm="14525">
        <v>64400</v>
      </c>
      <c r="AY137" s="5">
        <f xml:space="preserve"> - SUM( VfM_Metrics_2023_Entity[[#This Row],[Interest capitalised]], VfM_Metrics_2023_Entity[[#This Row],[Interest payable and financing costs]] )</f>
        <v>141600</v>
      </c>
      <c r="AZ137" s="84" vm="15253">
        <v>-2900</v>
      </c>
      <c r="BA137" s="135" vm="15427">
        <v>-138700</v>
      </c>
      <c r="BB137" s="138">
        <f xml:space="preserve"> IFERROR( ( VfM_Metrics_2023_Entity[[#This Row],[Total Costs]] / VfM_Metrics_2023_Entity[[#This Row],[Total units for costs]] ) * 1000, "n/a" )</f>
        <v>8796.664851049567</v>
      </c>
      <c r="BC13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419900</v>
      </c>
      <c r="BD137" s="84" vm="16194">
        <v>75300</v>
      </c>
      <c r="BE137" s="84" vm="17267">
        <v>56600</v>
      </c>
      <c r="BF137" s="84" vm="16356">
        <v>102400</v>
      </c>
      <c r="BG137" s="84" vm="17582">
        <v>13000</v>
      </c>
      <c r="BH137" s="84" vm="16453">
        <v>65300</v>
      </c>
      <c r="BI137" s="84" vm="16647">
        <v>39500</v>
      </c>
      <c r="BJ137" s="84" vm="16732">
        <v>39400</v>
      </c>
      <c r="BK137" s="84" vm="16819">
        <v>0</v>
      </c>
      <c r="BL137" s="84" vm="17268">
        <v>15900</v>
      </c>
      <c r="BM137" s="84" vm="16000">
        <v>900</v>
      </c>
      <c r="BN137" s="84" vm="15019">
        <v>500</v>
      </c>
      <c r="BO137" s="84" vm="16195">
        <v>11100</v>
      </c>
      <c r="BP137" s="5" vm="17707">
        <f xml:space="preserve"> VfM_Metrics_2023_Entity[[#This Row],[Total social housing units owned and/or managed at period end]]</f>
        <v>47734</v>
      </c>
      <c r="BQ137" s="135" vm="17707">
        <v>47734</v>
      </c>
      <c r="BR137" s="134">
        <f xml:space="preserve"> IFERROR( VfM_Metrics_2023_Entity[[#This Row],[SHL operating surplus / (deficit)]] / VfM_Metrics_2023_Entity[[#This Row],[Turnover from social housing lettings]], "n/a" )</f>
        <v>0.11436571182425156</v>
      </c>
      <c r="BS137" s="5" vm="17999">
        <f xml:space="preserve"> VfM_Metrics_2023_Entity[[#This Row],[Operating surplus/(deficit) (social housing lettings)]]</f>
        <v>53100</v>
      </c>
      <c r="BT137" s="84" vm="17999">
        <v>53100</v>
      </c>
      <c r="BU137" s="5" vm="18177">
        <f xml:space="preserve"> VfM_Metrics_2023_Entity[[#This Row],[Turnover from social housing lettings]]</f>
        <v>464300</v>
      </c>
      <c r="BV137" s="135" vm="18177">
        <v>464300</v>
      </c>
      <c r="BW137" s="134">
        <f xml:space="preserve"> IFERROR( VfM_Metrics_2023_Entity[[#This Row],[Net operating surplus]] / VfM_Metrics_2023_Entity[[#This Row],[Overall turnover]], "n/a" )</f>
        <v>0.19319148936170213</v>
      </c>
      <c r="BX137" s="5">
        <f xml:space="preserve"> SUM( VfM_Metrics_2023_Entity[[#This Row],[Operating surplus/(deficit) (overall)2]], - VfM_Metrics_2023_Entity[[#This Row],[Gain/(loss) on disposal of fixed assets (housing properties)2]], - VfM_Metrics_2023_Entity[[#This Row],[Gain/(loss) on disposal of fixed assets (other)2]] )</f>
        <v>113500</v>
      </c>
      <c r="BY137" s="84" vm="13581">
        <v>135400</v>
      </c>
      <c r="BZ137" s="84" vm="14524">
        <v>21900</v>
      </c>
      <c r="CA137" s="84">
        <v>0</v>
      </c>
      <c r="CB137" s="5" vm="18349">
        <f xml:space="preserve"> VfM_Metrics_2023_Entity[[#This Row],[Turnover (overall)]]</f>
        <v>587500</v>
      </c>
      <c r="CC137" s="135" vm="18349">
        <v>587500</v>
      </c>
      <c r="CD137" s="134">
        <f xml:space="preserve"> IFERROR( VfM_Metrics_2023_Entity[[#This Row],[Operating surplus including from JVs]] / VfM_Metrics_2023_Entity[[#This Row],[Net assets]], "n/a" )</f>
        <v>1.9271826695892284E-2</v>
      </c>
      <c r="CE137" s="5">
        <f xml:space="preserve"> SUM( VfM_Metrics_2023_Entity[[#This Row],[Operating surplus/(deficit) (overall)3]], VfM_Metrics_2023_Entity[[#This Row],[Share of operating surplus/(deficit) in joint ventures or associates]] )</f>
        <v>135400</v>
      </c>
      <c r="CF137" s="84" vm="13581">
        <v>135400</v>
      </c>
      <c r="CG137" s="84">
        <v>0</v>
      </c>
      <c r="CH137" s="5" vm="18724">
        <f xml:space="preserve"> VfM_Metrics_2023_Entity[[#This Row],[Total assets less current liabilities]]</f>
        <v>7025800</v>
      </c>
      <c r="CI137" s="135" vm="18724">
        <v>7025800</v>
      </c>
      <c r="CJ137" s="140" vm="11338">
        <f xml:space="preserve"> VfM_Metrics_2023_Entity[[#This Row],[Total social housing units owned (Period end)]]</f>
        <v>44881</v>
      </c>
      <c r="CK137" s="141">
        <v>5.4198085045220355E-2</v>
      </c>
      <c r="CL137" s="69">
        <f xml:space="preserve"> -- ( VfM_Metrics_2023_Entity[[#This Row],[% Supported housing (excl. HOP)]] &gt; 0.3 )</f>
        <v>0</v>
      </c>
      <c r="CM137" s="9">
        <v>3.7812617473409547E-2</v>
      </c>
      <c r="CN137" s="69">
        <f xml:space="preserve"> -- ( VfM_Metrics_2023_Entity[[#This Row],[% Housing for older people]] &gt; 0.3 )</f>
        <v>0</v>
      </c>
      <c r="CO137" s="9">
        <f xml:space="preserve"> VfM_Metrics_2023_Entity[[#This Row],[% Supported housing (excl. HOP)]] + VfM_Metrics_2023_Entity[[#This Row],[% Housing for older people]]</f>
        <v>9.2010702518629903E-2</v>
      </c>
      <c r="CP137" s="69">
        <f xml:space="preserve"> -- ( VfM_Metrics_2023_Entity[[#This Row],[SH specialist in RSH analysis]] + VfM_Metrics_2023_Entity[[#This Row],[OP specialist in RSH analysis]] &gt; 0 )</f>
        <v>0</v>
      </c>
      <c r="CQ137" s="142">
        <f xml:space="preserve"> -- ( VfM_Metrics_2023_Entity[[#This Row],[% SH and OP]] &gt; 0.3 )</f>
        <v>0</v>
      </c>
      <c r="CR137" s="143" t="s">
        <v>143</v>
      </c>
      <c r="CS137" s="120"/>
      <c r="CT137" s="144" t="s">
        <v>151</v>
      </c>
      <c r="CU13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37" s="146">
        <v>0.88880252287465578</v>
      </c>
      <c r="CW137" s="146">
        <v>2.1764235586746025E-3</v>
      </c>
      <c r="CX137" s="146">
        <v>0</v>
      </c>
      <c r="CY137" s="146">
        <v>0</v>
      </c>
      <c r="CZ137" s="146">
        <v>0</v>
      </c>
      <c r="DA137" s="146">
        <v>0.10902105356666963</v>
      </c>
      <c r="DB137" s="146">
        <v>0</v>
      </c>
      <c r="DC137" s="146">
        <v>0</v>
      </c>
      <c r="DD137" s="146">
        <v>0</v>
      </c>
      <c r="DE137" s="126">
        <v>1.1438502569210451</v>
      </c>
    </row>
    <row r="138" spans="1:109" x14ac:dyDescent="0.25">
      <c r="A138" s="4" t="s" vm="9241">
        <v>598</v>
      </c>
      <c r="B138" s="4" t="s" vm="10652">
        <v>599</v>
      </c>
      <c r="C138" s="121" vm="18857">
        <v>45016</v>
      </c>
      <c r="D138" s="68">
        <f>IFERROR( VfM_Metrics_2023_Entity[[#This Row],[Reinvestment Spend]] / VfM_Metrics_2023_Entity[[#This Row],[Net Book Value of Housing Properties]], "n/a" )</f>
        <v>4.187375745526839E-2</v>
      </c>
      <c r="E13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33700</v>
      </c>
      <c r="F138" s="84" vm="9444">
        <v>31100</v>
      </c>
      <c r="G138" s="84" vm="9680">
        <v>0</v>
      </c>
      <c r="H138" s="84" vm="9797">
        <v>300</v>
      </c>
      <c r="I138" s="84" vm="9784">
        <v>2300</v>
      </c>
      <c r="J138" s="84" vm="9509">
        <v>0</v>
      </c>
      <c r="K138" s="5">
        <f xml:space="preserve"> SUM( VfM_Metrics_2023_Entity[[#This Row],[Tangible fixed assets: Housing properties at cost (Current period)]],VfM_Metrics_2023_Entity[[#This Row],[Tangible fixed assets Housing properties at valuation (Current period)]] )</f>
        <v>804800</v>
      </c>
      <c r="L138" s="84" vm="9980">
        <v>804800</v>
      </c>
      <c r="M138" s="84" vm="10703">
        <v>0</v>
      </c>
      <c r="N138" s="134">
        <f xml:space="preserve"> IFERROR( VfM_Metrics_2023_Entity[[#This Row],[Total social units developed or newly built units acquired in-year]] / VfM_Metrics_2023_Entity[[#This Row],[Social housing units owned (period end)]], "n/a" )</f>
        <v>1.4271844660194174E-2</v>
      </c>
      <c r="O138" s="5">
        <f xml:space="preserve"> SUM( VfM_Metrics_2023_Entity[[#This Row],[Total social units developed or newly built units acquired in-year (owned)]], VfM_Metrics_2023_Entity[[#This Row],[Total social leasehold units developed or newly built units acquired in-year (owned)]] )</f>
        <v>147</v>
      </c>
      <c r="P138" s="84" vm="11071">
        <v>59</v>
      </c>
      <c r="Q138" s="84" vm="11194">
        <v>88</v>
      </c>
      <c r="R138" s="5">
        <f xml:space="preserve"> SUM( VfM_Metrics_2023_Entity[[#This Row],[Total social housing units owned (Period end)]], VfM_Metrics_2023_Entity[[#This Row],[Total social leasehold units owned (Period end)]] )</f>
        <v>10300</v>
      </c>
      <c r="S138" s="84" vm="11381">
        <v>5472</v>
      </c>
      <c r="T138" s="135" vm="11494">
        <v>4828</v>
      </c>
      <c r="U138" s="136">
        <f xml:space="preserve"> IFERROR( VfM_Metrics_2023_Entity[[#This Row],[Total non-social housing units developed or newly built units acquired (owned)]] / VfM_Metrics_2023_Entity[[#This Row],[Total social and non-social housing units owned (Period end)]], "n/a" )</f>
        <v>0</v>
      </c>
      <c r="V13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8" s="84" vm="11672">
        <v>0</v>
      </c>
      <c r="X138" s="84" vm="11803">
        <v>0</v>
      </c>
      <c r="Y138" s="84" vm="11847">
        <v>0</v>
      </c>
      <c r="Z13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10492</v>
      </c>
      <c r="AA138" s="84" vm="12051">
        <v>5472</v>
      </c>
      <c r="AB138" s="84" vm="11429">
        <v>4828</v>
      </c>
      <c r="AC138" s="84" vm="12123">
        <v>192</v>
      </c>
      <c r="AD138" s="135" vm="12549">
        <v>0</v>
      </c>
      <c r="AE138" s="134">
        <f xml:space="preserve"> IFERROR( VfM_Metrics_2023_Entity[[#This Row],[Total Net Debt]] / VfM_Metrics_2023_Entity[[#This Row],[Net Book Value of Housing Properties2]], "n/a" )</f>
        <v>0.60971669980119281</v>
      </c>
      <c r="AF13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490700</v>
      </c>
      <c r="AG138" s="84" vm="12693">
        <v>328300</v>
      </c>
      <c r="AH138" s="84" vm="13215">
        <v>190800</v>
      </c>
      <c r="AI138" s="84" vm="13302">
        <v>28400</v>
      </c>
      <c r="AJ138" s="84" vm="12776">
        <v>0</v>
      </c>
      <c r="AK138" s="84" vm="12908">
        <v>0</v>
      </c>
      <c r="AL138" s="5">
        <f xml:space="preserve"> SUM( VfM_Metrics_2023_Entity[[#This Row],[Tangible fixed assets: Housing properties at cost (Current period)2]], VfM_Metrics_2023_Entity[[#This Row],[Tangible fixed assets Housing properties at valuation (Current period)2]] )</f>
        <v>804800</v>
      </c>
      <c r="AM138" s="84" vm="9980">
        <v>804800</v>
      </c>
      <c r="AN138" s="135" vm="13417">
        <v>0</v>
      </c>
      <c r="AO138" s="137">
        <f xml:space="preserve"> IFERROR( VfM_Metrics_2023_Entity[[#This Row],[EBITDA MRI]] / VfM_Metrics_2023_Entity[[#This Row],[Total interest]], "n/a" )</f>
        <v>1.1405405405405404</v>
      </c>
      <c r="AP13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21100</v>
      </c>
      <c r="AQ138" s="84" vm="13611">
        <v>44000</v>
      </c>
      <c r="AR138" s="84" vm="14771">
        <v>22600</v>
      </c>
      <c r="AS138" s="84" vm="15016">
        <v>0</v>
      </c>
      <c r="AT138" s="84" vm="13781">
        <v>1000</v>
      </c>
      <c r="AU138" s="84" vm="14035">
        <v>0</v>
      </c>
      <c r="AV138" s="84" vm="14280">
        <v>600</v>
      </c>
      <c r="AW138" s="84" vm="14526">
        <v>300</v>
      </c>
      <c r="AX138" s="84" vm="14772">
        <v>400</v>
      </c>
      <c r="AY138" s="5">
        <f xml:space="preserve"> - SUM( VfM_Metrics_2023_Entity[[#This Row],[Interest capitalised]], VfM_Metrics_2023_Entity[[#This Row],[Interest payable and financing costs]] )</f>
        <v>18500</v>
      </c>
      <c r="AZ138" s="84" vm="15283">
        <v>-2300</v>
      </c>
      <c r="BA138" s="135" vm="15462">
        <v>-16200</v>
      </c>
      <c r="BB138" s="138">
        <f xml:space="preserve"> IFERROR( ( VfM_Metrics_2023_Entity[[#This Row],[Total Costs]] / VfM_Metrics_2023_Entity[[#This Row],[Total units for costs]] ) * 1000, "n/a" )</f>
        <v>9576.0233918128652</v>
      </c>
      <c r="BC13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52400</v>
      </c>
      <c r="BD138" s="84" vm="15949">
        <v>13300</v>
      </c>
      <c r="BE138" s="84" vm="16648">
        <v>21900</v>
      </c>
      <c r="BF138" s="84" vm="16820">
        <v>7600</v>
      </c>
      <c r="BG138" s="84" vm="16887">
        <v>0</v>
      </c>
      <c r="BH138" s="84" vm="17125">
        <v>3200</v>
      </c>
      <c r="BI138" s="84" vm="16139">
        <v>0</v>
      </c>
      <c r="BJ138" s="84" vm="14526">
        <v>300</v>
      </c>
      <c r="BK138" s="84" vm="15951">
        <v>0</v>
      </c>
      <c r="BL138" s="84" vm="16733">
        <v>3200</v>
      </c>
      <c r="BM138" s="84" vm="16821">
        <v>0</v>
      </c>
      <c r="BN138" s="84" vm="16001">
        <v>2900</v>
      </c>
      <c r="BO138" s="84" vm="16462">
        <v>0</v>
      </c>
      <c r="BP138" s="5" vm="17742">
        <f xml:space="preserve"> VfM_Metrics_2023_Entity[[#This Row],[Total social housing units owned and/or managed at period end]]</f>
        <v>5472</v>
      </c>
      <c r="BQ138" s="135" vm="17742">
        <v>5472</v>
      </c>
      <c r="BR138" s="134">
        <f xml:space="preserve"> IFERROR( VfM_Metrics_2023_Entity[[#This Row],[SHL operating surplus / (deficit)]] / VfM_Metrics_2023_Entity[[#This Row],[Turnover from social housing lettings]], "n/a" )</f>
        <v>0.21612349914236706</v>
      </c>
      <c r="BS138" s="5" vm="18023">
        <f xml:space="preserve"> VfM_Metrics_2023_Entity[[#This Row],[Operating surplus/(deficit) (social housing lettings)]]</f>
        <v>12600</v>
      </c>
      <c r="BT138" s="84" vm="18023">
        <v>12600</v>
      </c>
      <c r="BU138" s="5" vm="18200">
        <f xml:space="preserve"> VfM_Metrics_2023_Entity[[#This Row],[Turnover from social housing lettings]]</f>
        <v>58300</v>
      </c>
      <c r="BV138" s="135" vm="18200">
        <v>58300</v>
      </c>
      <c r="BW138" s="134">
        <f xml:space="preserve"> IFERROR( VfM_Metrics_2023_Entity[[#This Row],[Net operating surplus]] / VfM_Metrics_2023_Entity[[#This Row],[Overall turnover]], "n/a" )</f>
        <v>0.18755477651183172</v>
      </c>
      <c r="BX138" s="5">
        <f xml:space="preserve"> SUM( VfM_Metrics_2023_Entity[[#This Row],[Operating surplus/(deficit) (overall)2]], - VfM_Metrics_2023_Entity[[#This Row],[Gain/(loss) on disposal of fixed assets (housing properties)2]], - VfM_Metrics_2023_Entity[[#This Row],[Gain/(loss) on disposal of fixed assets (other)2]] )</f>
        <v>21400</v>
      </c>
      <c r="BY138" s="84" vm="13611">
        <v>44000</v>
      </c>
      <c r="BZ138" s="84" vm="14771">
        <v>22600</v>
      </c>
      <c r="CA138" s="84" vm="15016">
        <v>0</v>
      </c>
      <c r="CB138" s="5" vm="18376">
        <f xml:space="preserve"> VfM_Metrics_2023_Entity[[#This Row],[Turnover (overall)]]</f>
        <v>114100</v>
      </c>
      <c r="CC138" s="135" vm="18376">
        <v>114100</v>
      </c>
      <c r="CD138" s="134">
        <f xml:space="preserve"> IFERROR( VfM_Metrics_2023_Entity[[#This Row],[Operating surplus including from JVs]] / VfM_Metrics_2023_Entity[[#This Row],[Net assets]], "n/a" )</f>
        <v>6.9963428207982195E-2</v>
      </c>
      <c r="CE138" s="5">
        <f xml:space="preserve"> SUM( VfM_Metrics_2023_Entity[[#This Row],[Operating surplus/(deficit) (overall)3]], VfM_Metrics_2023_Entity[[#This Row],[Share of operating surplus/(deficit) in joint ventures or associates]] )</f>
        <v>44000</v>
      </c>
      <c r="CF138" s="84" vm="13612">
        <v>44000</v>
      </c>
      <c r="CG138" s="84" vm="18541">
        <v>0</v>
      </c>
      <c r="CH138" s="5" vm="18745">
        <f xml:space="preserve"> VfM_Metrics_2023_Entity[[#This Row],[Total assets less current liabilities]]</f>
        <v>628900</v>
      </c>
      <c r="CI138" s="135" vm="18745">
        <v>628900</v>
      </c>
      <c r="CJ138" s="140" vm="11381">
        <f xml:space="preserve"> VfM_Metrics_2023_Entity[[#This Row],[Total social housing units owned (Period end)]]</f>
        <v>5472</v>
      </c>
      <c r="CK138" s="141">
        <v>0</v>
      </c>
      <c r="CL138" s="69">
        <f xml:space="preserve"> -- ( VfM_Metrics_2023_Entity[[#This Row],[% Supported housing (excl. HOP)]] &gt; 0.3 )</f>
        <v>0</v>
      </c>
      <c r="CM138" s="9">
        <v>0</v>
      </c>
      <c r="CN138" s="69">
        <f xml:space="preserve"> -- ( VfM_Metrics_2023_Entity[[#This Row],[% Housing for older people]] &gt; 0.3 )</f>
        <v>0</v>
      </c>
      <c r="CO138" s="9">
        <f xml:space="preserve"> VfM_Metrics_2023_Entity[[#This Row],[% Supported housing (excl. HOP)]] + VfM_Metrics_2023_Entity[[#This Row],[% Housing for older people]]</f>
        <v>0</v>
      </c>
      <c r="CP138" s="69">
        <f xml:space="preserve"> -- ( VfM_Metrics_2023_Entity[[#This Row],[SH specialist in RSH analysis]] + VfM_Metrics_2023_Entity[[#This Row],[OP specialist in RSH analysis]] &gt; 0 )</f>
        <v>0</v>
      </c>
      <c r="CQ138" s="142">
        <f xml:space="preserve"> -- ( VfM_Metrics_2023_Entity[[#This Row],[% SH and OP]] &gt; 0.3 )</f>
        <v>0</v>
      </c>
      <c r="CR138" s="143" t="s">
        <v>143</v>
      </c>
      <c r="CS138" s="120"/>
      <c r="CT138" s="144" t="s">
        <v>144</v>
      </c>
      <c r="CU13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38" s="146">
        <v>0.95644315922645939</v>
      </c>
      <c r="CW138" s="146">
        <v>2.403759262606181E-2</v>
      </c>
      <c r="CX138" s="146">
        <v>1.4458702331465751E-3</v>
      </c>
      <c r="CY138" s="146">
        <v>0</v>
      </c>
      <c r="CZ138" s="146">
        <v>0</v>
      </c>
      <c r="DA138" s="146">
        <v>1.7711910356045545E-2</v>
      </c>
      <c r="DB138" s="146">
        <v>0</v>
      </c>
      <c r="DC138" s="146">
        <v>1.8073377914332189E-4</v>
      </c>
      <c r="DD138" s="146">
        <v>1.8073377914332189E-4</v>
      </c>
      <c r="DE138" s="126">
        <v>1.1543435611117989</v>
      </c>
    </row>
    <row r="139" spans="1:109" x14ac:dyDescent="0.25">
      <c r="A139" s="4" t="s" vm="270">
        <v>366</v>
      </c>
      <c r="B139" s="4" t="s" vm="10899">
        <v>367</v>
      </c>
      <c r="C139" s="121" vm="18884">
        <v>45016</v>
      </c>
      <c r="D139" s="68">
        <f>IFERROR( VfM_Metrics_2023_Entity[[#This Row],[Reinvestment Spend]] / VfM_Metrics_2023_Entity[[#This Row],[Net Book Value of Housing Properties]], "n/a" )</f>
        <v>8.2524328795086727E-2</v>
      </c>
      <c r="E13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56274</v>
      </c>
      <c r="F139" s="84" vm="9392">
        <v>47258</v>
      </c>
      <c r="G139" s="84" vm="9492">
        <v>0</v>
      </c>
      <c r="H139" s="84" vm="9681">
        <v>7386</v>
      </c>
      <c r="I139" s="84" vm="10372">
        <v>1630</v>
      </c>
      <c r="J139" s="84" vm="10226">
        <v>0</v>
      </c>
      <c r="K139" s="5">
        <f xml:space="preserve"> SUM( VfM_Metrics_2023_Entity[[#This Row],[Tangible fixed assets: Housing properties at cost (Current period)]],VfM_Metrics_2023_Entity[[#This Row],[Tangible fixed assets Housing properties at valuation (Current period)]] )</f>
        <v>681908</v>
      </c>
      <c r="L139" s="84" vm="9716">
        <v>681908</v>
      </c>
      <c r="M139" s="84" vm="10168">
        <v>0</v>
      </c>
      <c r="N139" s="134">
        <f xml:space="preserve"> IFERROR( VfM_Metrics_2023_Entity[[#This Row],[Total social units developed or newly built units acquired in-year]] / VfM_Metrics_2023_Entity[[#This Row],[Social housing units owned (period end)]], "n/a" )</f>
        <v>1.5006002400960384E-2</v>
      </c>
      <c r="O139" s="5">
        <f xml:space="preserve"> SUM( VfM_Metrics_2023_Entity[[#This Row],[Total social units developed or newly built units acquired in-year (owned)]], VfM_Metrics_2023_Entity[[#This Row],[Total social leasehold units developed or newly built units acquired in-year (owned)]] )</f>
        <v>150</v>
      </c>
      <c r="P139" s="84" vm="11092">
        <v>140</v>
      </c>
      <c r="Q139" s="84" vm="11210">
        <v>10</v>
      </c>
      <c r="R139" s="5">
        <f xml:space="preserve"> SUM( VfM_Metrics_2023_Entity[[#This Row],[Total social housing units owned (Period end)]], VfM_Metrics_2023_Entity[[#This Row],[Total social leasehold units owned (Period end)]] )</f>
        <v>9996</v>
      </c>
      <c r="S139" s="84" vm="11303">
        <v>9863</v>
      </c>
      <c r="T139" s="135" vm="11503">
        <v>133</v>
      </c>
      <c r="U139" s="136">
        <f xml:space="preserve"> IFERROR( VfM_Metrics_2023_Entity[[#This Row],[Total non-social housing units developed or newly built units acquired (owned)]] / VfM_Metrics_2023_Entity[[#This Row],[Total social and non-social housing units owned (Period end)]], "n/a" )</f>
        <v>0</v>
      </c>
      <c r="V13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39" s="84" vm="11573">
        <v>0</v>
      </c>
      <c r="X139" s="84" vm="11890">
        <v>0</v>
      </c>
      <c r="Y139" s="84" vm="11930">
        <v>0</v>
      </c>
      <c r="Z13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9996</v>
      </c>
      <c r="AA139" s="84" vm="11956">
        <v>9863</v>
      </c>
      <c r="AB139" s="84" vm="11503">
        <v>133</v>
      </c>
      <c r="AC139" s="84" vm="12376">
        <v>0</v>
      </c>
      <c r="AD139" s="135" vm="12514">
        <v>0</v>
      </c>
      <c r="AE139" s="134">
        <f xml:space="preserve"> IFERROR( VfM_Metrics_2023_Entity[[#This Row],[Total Net Debt]] / VfM_Metrics_2023_Entity[[#This Row],[Net Book Value of Housing Properties2]], "n/a" )</f>
        <v>0.44877314828393272</v>
      </c>
      <c r="AF13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306022</v>
      </c>
      <c r="AG139" s="84" vm="12567">
        <v>16129</v>
      </c>
      <c r="AH139" s="84" vm="12949">
        <v>321849</v>
      </c>
      <c r="AI139" s="84" vm="13041">
        <v>31956</v>
      </c>
      <c r="AJ139" s="84" vm="13129">
        <v>0</v>
      </c>
      <c r="AK139" s="84" vm="13215">
        <v>0</v>
      </c>
      <c r="AL139" s="5">
        <f xml:space="preserve"> SUM( VfM_Metrics_2023_Entity[[#This Row],[Tangible fixed assets: Housing properties at cost (Current period)2]], VfM_Metrics_2023_Entity[[#This Row],[Tangible fixed assets Housing properties at valuation (Current period)2]] )</f>
        <v>681908</v>
      </c>
      <c r="AM139" s="84" vm="9995">
        <v>681908</v>
      </c>
      <c r="AN139" s="135" vm="10168">
        <v>0</v>
      </c>
      <c r="AO139" s="137">
        <f xml:space="preserve"> IFERROR( VfM_Metrics_2023_Entity[[#This Row],[EBITDA MRI]] / VfM_Metrics_2023_Entity[[#This Row],[Total interest]], "n/a" )</f>
        <v>1.3086320409656182</v>
      </c>
      <c r="AP13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17889</v>
      </c>
      <c r="AQ139" s="84" vm="13450">
        <v>21173</v>
      </c>
      <c r="AR139" s="84" vm="15017">
        <v>4622</v>
      </c>
      <c r="AS139" s="84" vm="13782">
        <v>0</v>
      </c>
      <c r="AT139" s="84" vm="14036">
        <v>3276</v>
      </c>
      <c r="AU139" s="84" vm="14281">
        <v>0</v>
      </c>
      <c r="AV139" s="84" vm="14527">
        <v>453</v>
      </c>
      <c r="AW139" s="84" vm="14773">
        <v>7647</v>
      </c>
      <c r="AX139" s="84" vm="15018">
        <v>11808</v>
      </c>
      <c r="AY139" s="5">
        <f xml:space="preserve"> - SUM( VfM_Metrics_2023_Entity[[#This Row],[Interest capitalised]], VfM_Metrics_2023_Entity[[#This Row],[Interest payable and financing costs]] )</f>
        <v>13670</v>
      </c>
      <c r="AZ139" s="84" vm="15291">
        <v>-1630</v>
      </c>
      <c r="BA139" s="135" vm="15493">
        <v>-12040</v>
      </c>
      <c r="BB139" s="138">
        <f xml:space="preserve"> IFERROR( ( VfM_Metrics_2023_Entity[[#This Row],[Total Costs]] / VfM_Metrics_2023_Entity[[#This Row],[Total units for costs]] ) * 1000, "n/a" )</f>
        <v>6449.660346750481</v>
      </c>
      <c r="BC13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63613</v>
      </c>
      <c r="BD139" s="84" vm="17269">
        <v>10581</v>
      </c>
      <c r="BE139" s="84" vm="17353">
        <v>5289</v>
      </c>
      <c r="BF139" s="84" vm="17511">
        <v>10452</v>
      </c>
      <c r="BG139" s="84" vm="16454">
        <v>2668</v>
      </c>
      <c r="BH139" s="84" vm="16649">
        <v>5388</v>
      </c>
      <c r="BI139" s="84" vm="16734">
        <v>39</v>
      </c>
      <c r="BJ139" s="84" vm="16822">
        <v>7647</v>
      </c>
      <c r="BK139" s="84" vm="16888">
        <v>10527</v>
      </c>
      <c r="BL139" s="84" vm="17270">
        <v>792</v>
      </c>
      <c r="BM139" s="84" vm="17514">
        <v>0</v>
      </c>
      <c r="BN139" s="84" vm="16455">
        <v>2197</v>
      </c>
      <c r="BO139" s="84" vm="15953">
        <v>8033</v>
      </c>
      <c r="BP139" s="5" vm="17775">
        <f xml:space="preserve"> VfM_Metrics_2023_Entity[[#This Row],[Total social housing units owned and/or managed at period end]]</f>
        <v>9863</v>
      </c>
      <c r="BQ139" s="135" vm="17775">
        <v>9863</v>
      </c>
      <c r="BR139" s="134">
        <f xml:space="preserve"> IFERROR( VfM_Metrics_2023_Entity[[#This Row],[SHL operating surplus / (deficit)]] / VfM_Metrics_2023_Entity[[#This Row],[Turnover from social housing lettings]], "n/a" )</f>
        <v>0.23373530464469591</v>
      </c>
      <c r="BS139" s="5" vm="17853">
        <f xml:space="preserve"> VfM_Metrics_2023_Entity[[#This Row],[Operating surplus/(deficit) (social housing lettings)]]</f>
        <v>16979</v>
      </c>
      <c r="BT139" s="84" vm="17853">
        <v>16979</v>
      </c>
      <c r="BU139" s="5" vm="18064">
        <f xml:space="preserve"> VfM_Metrics_2023_Entity[[#This Row],[Turnover from social housing lettings]]</f>
        <v>72642</v>
      </c>
      <c r="BV139" s="135" vm="18064">
        <v>72642</v>
      </c>
      <c r="BW139" s="134">
        <f xml:space="preserve"> IFERROR( VfM_Metrics_2023_Entity[[#This Row],[Net operating surplus]] / VfM_Metrics_2023_Entity[[#This Row],[Overall turnover]], "n/a" )</f>
        <v>0.18541421609813477</v>
      </c>
      <c r="BX139" s="5">
        <f xml:space="preserve"> SUM( VfM_Metrics_2023_Entity[[#This Row],[Operating surplus/(deficit) (overall)2]], - VfM_Metrics_2023_Entity[[#This Row],[Gain/(loss) on disposal of fixed assets (housing properties)2]], - VfM_Metrics_2023_Entity[[#This Row],[Gain/(loss) on disposal of fixed assets (other)2]] )</f>
        <v>16551</v>
      </c>
      <c r="BY139" s="84" vm="13523">
        <v>21173</v>
      </c>
      <c r="BZ139" s="84" vm="15017">
        <v>4622</v>
      </c>
      <c r="CA139" s="84" vm="13782">
        <v>0</v>
      </c>
      <c r="CB139" s="5" vm="18372">
        <f xml:space="preserve"> VfM_Metrics_2023_Entity[[#This Row],[Turnover (overall)]]</f>
        <v>89265</v>
      </c>
      <c r="CC139" s="135" vm="18372">
        <v>89265</v>
      </c>
      <c r="CD139" s="134">
        <f xml:space="preserve"> IFERROR( VfM_Metrics_2023_Entity[[#This Row],[Operating surplus including from JVs]] / VfM_Metrics_2023_Entity[[#This Row],[Net assets]], "n/a" )</f>
        <v>2.9450752438697006E-2</v>
      </c>
      <c r="CE139" s="5">
        <f xml:space="preserve"> SUM( VfM_Metrics_2023_Entity[[#This Row],[Operating surplus/(deficit) (overall)3]], VfM_Metrics_2023_Entity[[#This Row],[Share of operating surplus/(deficit) in joint ventures or associates]] )</f>
        <v>21173</v>
      </c>
      <c r="CF139" s="84" vm="13450">
        <v>21173</v>
      </c>
      <c r="CG139" s="84" vm="18560">
        <v>0</v>
      </c>
      <c r="CH139" s="5" vm="18590">
        <f xml:space="preserve"> VfM_Metrics_2023_Entity[[#This Row],[Total assets less current liabilities]]</f>
        <v>718929</v>
      </c>
      <c r="CI139" s="135" vm="18590">
        <v>718929</v>
      </c>
      <c r="CJ139" s="140" vm="11303">
        <f xml:space="preserve"> VfM_Metrics_2023_Entity[[#This Row],[Total social housing units owned (Period end)]]</f>
        <v>9863</v>
      </c>
      <c r="CK139" s="141">
        <v>5.8032128514056223E-2</v>
      </c>
      <c r="CL139" s="69">
        <f xml:space="preserve"> -- ( VfM_Metrics_2023_Entity[[#This Row],[% Supported housing (excl. HOP)]] &gt; 0.3 )</f>
        <v>0</v>
      </c>
      <c r="CM139" s="9">
        <v>3.3333333333333333E-2</v>
      </c>
      <c r="CN139" s="69">
        <f xml:space="preserve"> -- ( VfM_Metrics_2023_Entity[[#This Row],[% Housing for older people]] &gt; 0.3 )</f>
        <v>0</v>
      </c>
      <c r="CO139" s="9">
        <f xml:space="preserve"> VfM_Metrics_2023_Entity[[#This Row],[% Supported housing (excl. HOP)]] + VfM_Metrics_2023_Entity[[#This Row],[% Housing for older people]]</f>
        <v>9.1365461847389556E-2</v>
      </c>
      <c r="CP139" s="69">
        <f xml:space="preserve"> -- ( VfM_Metrics_2023_Entity[[#This Row],[SH specialist in RSH analysis]] + VfM_Metrics_2023_Entity[[#This Row],[OP specialist in RSH analysis]] &gt; 0 )</f>
        <v>0</v>
      </c>
      <c r="CQ139" s="142">
        <f xml:space="preserve"> -- ( VfM_Metrics_2023_Entity[[#This Row],[% SH and OP]] &gt; 0.3 )</f>
        <v>0</v>
      </c>
      <c r="CR139" s="143" t="s">
        <v>143</v>
      </c>
      <c r="CS139" s="120"/>
      <c r="CT139" s="144" t="s">
        <v>144</v>
      </c>
      <c r="CU13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139" s="146">
        <v>0</v>
      </c>
      <c r="CW139" s="146">
        <v>0</v>
      </c>
      <c r="CX139" s="146">
        <v>0</v>
      </c>
      <c r="CY139" s="146">
        <v>1</v>
      </c>
      <c r="CZ139" s="146">
        <v>0</v>
      </c>
      <c r="DA139" s="146">
        <v>0</v>
      </c>
      <c r="DB139" s="146">
        <v>0</v>
      </c>
      <c r="DC139" s="146">
        <v>0</v>
      </c>
      <c r="DD139" s="146">
        <v>0</v>
      </c>
      <c r="DE139" s="126">
        <v>0.94233429441067484</v>
      </c>
    </row>
    <row r="140" spans="1:109" x14ac:dyDescent="0.25">
      <c r="A140" s="4" t="s" vm="362">
        <v>368</v>
      </c>
      <c r="B140" s="4" t="s" vm="10315">
        <v>369</v>
      </c>
      <c r="C140" s="121" vm="18816">
        <v>45016</v>
      </c>
      <c r="D140" s="68">
        <f>IFERROR( VfM_Metrics_2023_Entity[[#This Row],[Reinvestment Spend]] / VfM_Metrics_2023_Entity[[#This Row],[Net Book Value of Housing Properties]], "n/a" )</f>
        <v>0.18089843937784886</v>
      </c>
      <c r="E14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41393</v>
      </c>
      <c r="F140" s="84" vm="10520">
        <v>34856</v>
      </c>
      <c r="G140" s="84" vm="9572">
        <v>0</v>
      </c>
      <c r="H140" s="84" vm="10785">
        <v>6051</v>
      </c>
      <c r="I140" s="84" vm="10742">
        <v>486</v>
      </c>
      <c r="J140" s="84" vm="9801">
        <v>0</v>
      </c>
      <c r="K140" s="5">
        <f xml:space="preserve"> SUM( VfM_Metrics_2023_Entity[[#This Row],[Tangible fixed assets: Housing properties at cost (Current period)]],VfM_Metrics_2023_Entity[[#This Row],[Tangible fixed assets Housing properties at valuation (Current period)]] )</f>
        <v>228819</v>
      </c>
      <c r="L140" s="84" vm="10242">
        <v>228819</v>
      </c>
      <c r="M140" s="84">
        <v>0</v>
      </c>
      <c r="N140" s="134">
        <f xml:space="preserve"> IFERROR( VfM_Metrics_2023_Entity[[#This Row],[Total social units developed or newly built units acquired in-year]] / VfM_Metrics_2023_Entity[[#This Row],[Social housing units owned (period end)]], "n/a" )</f>
        <v>3.875338753387534E-2</v>
      </c>
      <c r="O140" s="5">
        <f xml:space="preserve"> SUM( VfM_Metrics_2023_Entity[[#This Row],[Total social units developed or newly built units acquired in-year (owned)]], VfM_Metrics_2023_Entity[[#This Row],[Total social leasehold units developed or newly built units acquired in-year (owned)]] )</f>
        <v>286</v>
      </c>
      <c r="P140" s="84" vm="11016">
        <v>285</v>
      </c>
      <c r="Q140" s="84" vm="11118">
        <v>1</v>
      </c>
      <c r="R140" s="5">
        <f xml:space="preserve"> SUM( VfM_Metrics_2023_Entity[[#This Row],[Total social housing units owned (Period end)]], VfM_Metrics_2023_Entity[[#This Row],[Total social leasehold units owned (Period end)]] )</f>
        <v>7380</v>
      </c>
      <c r="S140" s="84" vm="11349">
        <v>6868</v>
      </c>
      <c r="T140" s="135" vm="11429">
        <v>512</v>
      </c>
      <c r="U140" s="136">
        <f xml:space="preserve"> IFERROR( VfM_Metrics_2023_Entity[[#This Row],[Total non-social housing units developed or newly built units acquired (owned)]] / VfM_Metrics_2023_Entity[[#This Row],[Total social and non-social housing units owned (Period end)]], "n/a" )</f>
        <v>4.0360554284945513E-4</v>
      </c>
      <c r="V14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3</v>
      </c>
      <c r="W140" s="84">
        <v>0</v>
      </c>
      <c r="X140" s="84" vm="11707">
        <v>3</v>
      </c>
      <c r="Y140" s="84">
        <v>0</v>
      </c>
      <c r="Z14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7433</v>
      </c>
      <c r="AA140" s="84" vm="12014">
        <v>6868</v>
      </c>
      <c r="AB140" s="84" vm="11429">
        <v>512</v>
      </c>
      <c r="AC140" s="84" vm="12124">
        <v>3</v>
      </c>
      <c r="AD140" s="135" vm="12280">
        <v>50</v>
      </c>
      <c r="AE140" s="134">
        <f xml:space="preserve"> IFERROR( VfM_Metrics_2023_Entity[[#This Row],[Total Net Debt]] / VfM_Metrics_2023_Entity[[#This Row],[Net Book Value of Housing Properties2]], "n/a" )</f>
        <v>0.49967878541554678</v>
      </c>
      <c r="AF14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114336</v>
      </c>
      <c r="AG140" s="84">
        <v>0</v>
      </c>
      <c r="AH140" s="84" vm="12777">
        <v>123822</v>
      </c>
      <c r="AI140" s="84" vm="13339">
        <v>9486</v>
      </c>
      <c r="AJ140" s="84">
        <v>0</v>
      </c>
      <c r="AK140" s="84">
        <v>0</v>
      </c>
      <c r="AL140" s="5">
        <f xml:space="preserve"> SUM( VfM_Metrics_2023_Entity[[#This Row],[Tangible fixed assets: Housing properties at cost (Current period)2]], VfM_Metrics_2023_Entity[[#This Row],[Tangible fixed assets Housing properties at valuation (Current period)2]] )</f>
        <v>228819</v>
      </c>
      <c r="AM140" s="84" vm="9901">
        <v>228819</v>
      </c>
      <c r="AN140" s="135">
        <v>0</v>
      </c>
      <c r="AO140" s="137">
        <f xml:space="preserve"> IFERROR( VfM_Metrics_2023_Entity[[#This Row],[EBITDA MRI]] / VfM_Metrics_2023_Entity[[#This Row],[Total interest]], "n/a" )</f>
        <v>1.9821392735300021</v>
      </c>
      <c r="AP14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9877</v>
      </c>
      <c r="AQ140" s="84" vm="13485">
        <v>10176</v>
      </c>
      <c r="AR140" s="84" vm="13783">
        <v>941</v>
      </c>
      <c r="AS140" s="84">
        <v>0</v>
      </c>
      <c r="AT140" s="84" vm="14282">
        <v>206</v>
      </c>
      <c r="AU140" s="84" vm="14528">
        <v>0</v>
      </c>
      <c r="AV140" s="84" vm="14774">
        <v>268</v>
      </c>
      <c r="AW140" s="84" vm="15019">
        <v>6051</v>
      </c>
      <c r="AX140" s="84" vm="13784">
        <v>6631</v>
      </c>
      <c r="AY140" s="5">
        <f xml:space="preserve"> - SUM( VfM_Metrics_2023_Entity[[#This Row],[Interest capitalised]], VfM_Metrics_2023_Entity[[#This Row],[Interest payable and financing costs]] )</f>
        <v>4983</v>
      </c>
      <c r="AZ140" s="84" vm="15168">
        <v>-486</v>
      </c>
      <c r="BA140" s="135" vm="15332">
        <v>-4497</v>
      </c>
      <c r="BB140" s="138">
        <f xml:space="preserve"> IFERROR( ( VfM_Metrics_2023_Entity[[#This Row],[Total Costs]] / VfM_Metrics_2023_Entity[[#This Row],[Total units for costs]] ) * 1000, "n/a" )</f>
        <v>4920.9855564995751</v>
      </c>
      <c r="BC14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34752</v>
      </c>
      <c r="BD140" s="84" vm="15525">
        <v>8796</v>
      </c>
      <c r="BE140" s="84" vm="16649">
        <v>3911</v>
      </c>
      <c r="BF140" s="84" vm="16140">
        <v>8538</v>
      </c>
      <c r="BG140" s="84" vm="16889">
        <v>2406</v>
      </c>
      <c r="BH140" s="84" vm="17126">
        <v>2512</v>
      </c>
      <c r="BI140" s="84" vm="17354">
        <v>0</v>
      </c>
      <c r="BJ140" s="84" vm="15019">
        <v>6051</v>
      </c>
      <c r="BK140" s="84" vm="16003">
        <v>0</v>
      </c>
      <c r="BL140" s="84" vm="15955">
        <v>507</v>
      </c>
      <c r="BM140" s="84" vm="17053">
        <v>492</v>
      </c>
      <c r="BN140" s="84" vm="15960">
        <v>69</v>
      </c>
      <c r="BO140" s="84" vm="16650">
        <v>1470</v>
      </c>
      <c r="BP140" s="5" vm="17637">
        <f xml:space="preserve"> VfM_Metrics_2023_Entity[[#This Row],[Total social housing units owned and/or managed at period end]]</f>
        <v>7062</v>
      </c>
      <c r="BQ140" s="135" vm="17637">
        <v>7062</v>
      </c>
      <c r="BR140" s="134">
        <f xml:space="preserve"> IFERROR( VfM_Metrics_2023_Entity[[#This Row],[SHL operating surplus / (deficit)]] / VfM_Metrics_2023_Entity[[#This Row],[Turnover from social housing lettings]], "n/a" )</f>
        <v>0.16070854325222425</v>
      </c>
      <c r="BS140" s="5" vm="17891">
        <f xml:space="preserve"> VfM_Metrics_2023_Entity[[#This Row],[Operating surplus/(deficit) (social housing lettings)]]</f>
        <v>5997</v>
      </c>
      <c r="BT140" s="84" vm="17891">
        <v>5997</v>
      </c>
      <c r="BU140" s="5" vm="18090">
        <f xml:space="preserve"> VfM_Metrics_2023_Entity[[#This Row],[Turnover from social housing lettings]]</f>
        <v>37316</v>
      </c>
      <c r="BV140" s="135" vm="18090">
        <v>37316</v>
      </c>
      <c r="BW140" s="134">
        <f xml:space="preserve"> IFERROR( VfM_Metrics_2023_Entity[[#This Row],[Net operating surplus]] / VfM_Metrics_2023_Entity[[#This Row],[Overall turnover]], "n/a" )</f>
        <v>0.18739473630811063</v>
      </c>
      <c r="BX140" s="5">
        <f xml:space="preserve"> SUM( VfM_Metrics_2023_Entity[[#This Row],[Operating surplus/(deficit) (overall)2]], - VfM_Metrics_2023_Entity[[#This Row],[Gain/(loss) on disposal of fixed assets (housing properties)2]], - VfM_Metrics_2023_Entity[[#This Row],[Gain/(loss) on disposal of fixed assets (other)2]] )</f>
        <v>9235</v>
      </c>
      <c r="BY140" s="84" vm="15133">
        <v>10176</v>
      </c>
      <c r="BZ140" s="84" vm="13783">
        <v>941</v>
      </c>
      <c r="CA140" s="84">
        <v>0</v>
      </c>
      <c r="CB140" s="5" vm="18408">
        <f xml:space="preserve"> VfM_Metrics_2023_Entity[[#This Row],[Turnover (overall)]]</f>
        <v>49281</v>
      </c>
      <c r="CC140" s="135" vm="18408">
        <v>49281</v>
      </c>
      <c r="CD140" s="134">
        <f xml:space="preserve"> IFERROR( VfM_Metrics_2023_Entity[[#This Row],[Operating surplus including from JVs]] / VfM_Metrics_2023_Entity[[#This Row],[Net assets]], "n/a" )</f>
        <v>3.9742858705076434E-2</v>
      </c>
      <c r="CE140" s="5">
        <f xml:space="preserve"> SUM( VfM_Metrics_2023_Entity[[#This Row],[Operating surplus/(deficit) (overall)3]], VfM_Metrics_2023_Entity[[#This Row],[Share of operating surplus/(deficit) in joint ventures or associates]] )</f>
        <v>10176</v>
      </c>
      <c r="CF140" s="84" vm="13485">
        <v>10176</v>
      </c>
      <c r="CG140" s="84">
        <v>0</v>
      </c>
      <c r="CH140" s="5" vm="18627">
        <f xml:space="preserve"> VfM_Metrics_2023_Entity[[#This Row],[Total assets less current liabilities]]</f>
        <v>256046</v>
      </c>
      <c r="CI140" s="135" vm="18627">
        <v>256046</v>
      </c>
      <c r="CJ140" s="140" vm="11349">
        <f xml:space="preserve"> VfM_Metrics_2023_Entity[[#This Row],[Total social housing units owned (Period end)]]</f>
        <v>6868</v>
      </c>
      <c r="CK140" s="141">
        <v>6.9229636176167328E-3</v>
      </c>
      <c r="CL140" s="69">
        <f xml:space="preserve"> -- ( VfM_Metrics_2023_Entity[[#This Row],[% Supported housing (excl. HOP)]] &gt; 0.3 )</f>
        <v>0</v>
      </c>
      <c r="CM140" s="9">
        <v>0</v>
      </c>
      <c r="CN140" s="69">
        <f xml:space="preserve"> -- ( VfM_Metrics_2023_Entity[[#This Row],[% Housing for older people]] &gt; 0.3 )</f>
        <v>0</v>
      </c>
      <c r="CO140" s="9">
        <f xml:space="preserve"> VfM_Metrics_2023_Entity[[#This Row],[% Supported housing (excl. HOP)]] + VfM_Metrics_2023_Entity[[#This Row],[% Housing for older people]]</f>
        <v>6.9229636176167328E-3</v>
      </c>
      <c r="CP140" s="69">
        <f xml:space="preserve"> -- ( VfM_Metrics_2023_Entity[[#This Row],[SH specialist in RSH analysis]] + VfM_Metrics_2023_Entity[[#This Row],[OP specialist in RSH analysis]] &gt; 0 )</f>
        <v>0</v>
      </c>
      <c r="CQ140" s="142">
        <f xml:space="preserve"> -- ( VfM_Metrics_2023_Entity[[#This Row],[% SH and OP]] &gt; 0.3 )</f>
        <v>0</v>
      </c>
      <c r="CR140" s="143" t="s">
        <v>143</v>
      </c>
      <c r="CS140" s="120"/>
      <c r="CT140" s="144" t="s">
        <v>151</v>
      </c>
      <c r="CU14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40" s="146">
        <v>0</v>
      </c>
      <c r="CW140" s="146">
        <v>0</v>
      </c>
      <c r="CX140" s="146">
        <v>1</v>
      </c>
      <c r="CY140" s="146">
        <v>0</v>
      </c>
      <c r="CZ140" s="146">
        <v>0</v>
      </c>
      <c r="DA140" s="146">
        <v>0</v>
      </c>
      <c r="DB140" s="146">
        <v>0</v>
      </c>
      <c r="DC140" s="146">
        <v>0</v>
      </c>
      <c r="DD140" s="146">
        <v>0</v>
      </c>
      <c r="DE140" s="126">
        <v>0.97511902715076015</v>
      </c>
    </row>
    <row r="141" spans="1:109" x14ac:dyDescent="0.25">
      <c r="A141" s="4" t="s" vm="9242">
        <v>600</v>
      </c>
      <c r="B141" s="4" t="s" vm="9831">
        <v>601</v>
      </c>
      <c r="C141" s="121" vm="18807">
        <v>45016</v>
      </c>
      <c r="D141" s="68">
        <f>IFERROR( VfM_Metrics_2023_Entity[[#This Row],[Reinvestment Spend]] / VfM_Metrics_2023_Entity[[#This Row],[Net Book Value of Housing Properties]], "n/a" )</f>
        <v>7.7883974009133189E-2</v>
      </c>
      <c r="E14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16697</v>
      </c>
      <c r="F141" s="84" vm="10239">
        <v>0</v>
      </c>
      <c r="G141" s="84" vm="9510">
        <v>12885</v>
      </c>
      <c r="H141" s="84" vm="10367">
        <v>3545</v>
      </c>
      <c r="I141" s="84" vm="10515">
        <v>267</v>
      </c>
      <c r="J141" s="84" vm="9815">
        <v>0</v>
      </c>
      <c r="K141" s="5">
        <f xml:space="preserve"> SUM( VfM_Metrics_2023_Entity[[#This Row],[Tangible fixed assets: Housing properties at cost (Current period)]],VfM_Metrics_2023_Entity[[#This Row],[Tangible fixed assets Housing properties at valuation (Current period)]] )</f>
        <v>214383</v>
      </c>
      <c r="L141" s="84" vm="10057">
        <v>214383</v>
      </c>
      <c r="M141" s="84" vm="10108">
        <v>0</v>
      </c>
      <c r="N141" s="134">
        <f xml:space="preserve"> IFERROR( VfM_Metrics_2023_Entity[[#This Row],[Total social units developed or newly built units acquired in-year]] / VfM_Metrics_2023_Entity[[#This Row],[Social housing units owned (period end)]], "n/a" )</f>
        <v>1.7893544733861833E-2</v>
      </c>
      <c r="O141" s="5">
        <f xml:space="preserve"> SUM( VfM_Metrics_2023_Entity[[#This Row],[Total social units developed or newly built units acquired in-year (owned)]], VfM_Metrics_2023_Entity[[#This Row],[Total social leasehold units developed or newly built units acquired in-year (owned)]] )</f>
        <v>79</v>
      </c>
      <c r="P141" s="84" vm="10972">
        <v>75</v>
      </c>
      <c r="Q141" s="84" vm="11145">
        <v>4</v>
      </c>
      <c r="R141" s="5">
        <f xml:space="preserve"> SUM( VfM_Metrics_2023_Entity[[#This Row],[Total social housing units owned (Period end)]], VfM_Metrics_2023_Entity[[#This Row],[Total social leasehold units owned (Period end)]] )</f>
        <v>4415</v>
      </c>
      <c r="S141" s="84" vm="11261">
        <v>4271</v>
      </c>
      <c r="T141" s="135" vm="11511">
        <v>144</v>
      </c>
      <c r="U141" s="136">
        <f xml:space="preserve"> IFERROR( VfM_Metrics_2023_Entity[[#This Row],[Total non-social housing units developed or newly built units acquired (owned)]] / VfM_Metrics_2023_Entity[[#This Row],[Total social and non-social housing units owned (Period end)]], "n/a" )</f>
        <v>0</v>
      </c>
      <c r="V14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41" s="84" vm="11624">
        <v>0</v>
      </c>
      <c r="X141" s="84" vm="11803">
        <v>0</v>
      </c>
      <c r="Y141" s="84" vm="11848">
        <v>0</v>
      </c>
      <c r="Z14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4415</v>
      </c>
      <c r="AA141" s="84" vm="11971">
        <v>4271</v>
      </c>
      <c r="AB141" s="84" vm="12449">
        <v>144</v>
      </c>
      <c r="AC141" s="84" vm="12377">
        <v>0</v>
      </c>
      <c r="AD141" s="135" vm="12514">
        <v>0</v>
      </c>
      <c r="AE141" s="134">
        <f xml:space="preserve"> IFERROR( VfM_Metrics_2023_Entity[[#This Row],[Total Net Debt]] / VfM_Metrics_2023_Entity[[#This Row],[Net Book Value of Housing Properties2]], "n/a" )</f>
        <v>0.53374101491256298</v>
      </c>
      <c r="AF14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114425</v>
      </c>
      <c r="AG141" s="84" vm="12617">
        <v>0</v>
      </c>
      <c r="AH141" s="84" vm="13042">
        <v>119334</v>
      </c>
      <c r="AI141" s="84" vm="13129">
        <v>4909</v>
      </c>
      <c r="AJ141" s="84" vm="12778">
        <v>0</v>
      </c>
      <c r="AK141" s="84" vm="13247">
        <v>0</v>
      </c>
      <c r="AL141" s="5">
        <f xml:space="preserve"> SUM( VfM_Metrics_2023_Entity[[#This Row],[Tangible fixed assets: Housing properties at cost (Current period)2]], VfM_Metrics_2023_Entity[[#This Row],[Tangible fixed assets Housing properties at valuation (Current period)2]] )</f>
        <v>214383</v>
      </c>
      <c r="AM141" s="84" vm="10057">
        <v>214383</v>
      </c>
      <c r="AN141" s="135" vm="10108">
        <v>0</v>
      </c>
      <c r="AO141" s="137">
        <f xml:space="preserve"> IFERROR( VfM_Metrics_2023_Entity[[#This Row],[EBITDA MRI]] / VfM_Metrics_2023_Entity[[#This Row],[Total interest]], "n/a" )</f>
        <v>0.58006061371385276</v>
      </c>
      <c r="AP14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9187</v>
      </c>
      <c r="AQ141" s="84" vm="13520">
        <v>24817</v>
      </c>
      <c r="AR141" s="84" vm="14037">
        <v>16252</v>
      </c>
      <c r="AS141" s="84" vm="14283">
        <v>0</v>
      </c>
      <c r="AT141" s="84" vm="14529">
        <v>650</v>
      </c>
      <c r="AU141" s="84" vm="14775">
        <v>0</v>
      </c>
      <c r="AV141" s="84" vm="15020">
        <v>250</v>
      </c>
      <c r="AW141" s="84" vm="13785">
        <v>3545</v>
      </c>
      <c r="AX141" s="84" vm="14038">
        <v>4567</v>
      </c>
      <c r="AY141" s="5">
        <f xml:space="preserve"> - SUM( VfM_Metrics_2023_Entity[[#This Row],[Interest capitalised]], VfM_Metrics_2023_Entity[[#This Row],[Interest payable and financing costs]] )</f>
        <v>15838</v>
      </c>
      <c r="AZ141" s="84" vm="15201">
        <v>-267</v>
      </c>
      <c r="BA141" s="135" vm="15368">
        <v>-15571</v>
      </c>
      <c r="BB141" s="138">
        <f xml:space="preserve"> IFERROR( ( VfM_Metrics_2023_Entity[[#This Row],[Total Costs]] / VfM_Metrics_2023_Entity[[#This Row],[Total units for costs]] ) * 1000, "n/a" )</f>
        <v>3014.1409877585479</v>
      </c>
      <c r="BC14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14281</v>
      </c>
      <c r="BD141" s="84" vm="15539">
        <v>3699</v>
      </c>
      <c r="BE141" s="84" vm="17583">
        <v>956</v>
      </c>
      <c r="BF141" s="84" vm="16197">
        <v>3221</v>
      </c>
      <c r="BG141" s="84" vm="16651">
        <v>2374</v>
      </c>
      <c r="BH141" s="84" vm="16735">
        <v>486</v>
      </c>
      <c r="BI141" s="84" vm="16823">
        <v>0</v>
      </c>
      <c r="BJ141" s="84" vm="13785">
        <v>3545</v>
      </c>
      <c r="BK141" s="84" vm="17127">
        <v>0</v>
      </c>
      <c r="BL141" s="84" vm="16199">
        <v>0</v>
      </c>
      <c r="BM141" s="84" vm="15957">
        <v>0</v>
      </c>
      <c r="BN141" s="84" vm="16141">
        <v>0</v>
      </c>
      <c r="BO141" s="84" vm="16005">
        <v>0</v>
      </c>
      <c r="BP141" s="5" vm="17673">
        <f xml:space="preserve"> VfM_Metrics_2023_Entity[[#This Row],[Total social housing units owned and/or managed at period end]]</f>
        <v>4738</v>
      </c>
      <c r="BQ141" s="135" vm="17673">
        <v>4738</v>
      </c>
      <c r="BR141" s="134">
        <f xml:space="preserve"> IFERROR( VfM_Metrics_2023_Entity[[#This Row],[SHL operating surplus / (deficit)]] / VfM_Metrics_2023_Entity[[#This Row],[Turnover from social housing lettings]], "n/a" )</f>
        <v>0.3516878449493005</v>
      </c>
      <c r="BS141" s="5" vm="17928">
        <f xml:space="preserve"> VfM_Metrics_2023_Entity[[#This Row],[Operating surplus/(deficit) (social housing lettings)]]</f>
        <v>8220</v>
      </c>
      <c r="BT141" s="84" vm="17928">
        <v>8220</v>
      </c>
      <c r="BU141" s="5" vm="18133">
        <f xml:space="preserve"> VfM_Metrics_2023_Entity[[#This Row],[Turnover from social housing lettings]]</f>
        <v>23373</v>
      </c>
      <c r="BV141" s="135" vm="18133">
        <v>23373</v>
      </c>
      <c r="BW141" s="134">
        <f xml:space="preserve"> IFERROR( VfM_Metrics_2023_Entity[[#This Row],[Net operating surplus]] / VfM_Metrics_2023_Entity[[#This Row],[Overall turnover]], "n/a" )</f>
        <v>0.3250844498424868</v>
      </c>
      <c r="BX141" s="5">
        <f xml:space="preserve"> SUM( VfM_Metrics_2023_Entity[[#This Row],[Operating surplus/(deficit) (overall)2]], - VfM_Metrics_2023_Entity[[#This Row],[Gain/(loss) on disposal of fixed assets (housing properties)2]], - VfM_Metrics_2023_Entity[[#This Row],[Gain/(loss) on disposal of fixed assets (other)2]] )</f>
        <v>8565</v>
      </c>
      <c r="BY141" s="84" vm="13520">
        <v>24817</v>
      </c>
      <c r="BZ141" s="84" vm="14037">
        <v>16252</v>
      </c>
      <c r="CA141" s="84" vm="14283">
        <v>0</v>
      </c>
      <c r="CB141" s="5" vm="18278">
        <f xml:space="preserve"> VfM_Metrics_2023_Entity[[#This Row],[Turnover (overall)]]</f>
        <v>26347</v>
      </c>
      <c r="CC141" s="135" vm="18278">
        <v>26347</v>
      </c>
      <c r="CD141" s="134">
        <f xml:space="preserve"> IFERROR( VfM_Metrics_2023_Entity[[#This Row],[Operating surplus including from JVs]] / VfM_Metrics_2023_Entity[[#This Row],[Net assets]], "n/a" )</f>
        <v>0.10856792877922873</v>
      </c>
      <c r="CE141" s="5">
        <f xml:space="preserve"> SUM( VfM_Metrics_2023_Entity[[#This Row],[Operating surplus/(deficit) (overall)3]], VfM_Metrics_2023_Entity[[#This Row],[Share of operating surplus/(deficit) in joint ventures or associates]] )</f>
        <v>24817</v>
      </c>
      <c r="CF141" s="84" vm="13519">
        <v>24817</v>
      </c>
      <c r="CG141" s="84" vm="18483">
        <v>0</v>
      </c>
      <c r="CH141" s="5" vm="18664">
        <f xml:space="preserve"> VfM_Metrics_2023_Entity[[#This Row],[Total assets less current liabilities]]</f>
        <v>228585</v>
      </c>
      <c r="CI141" s="135" vm="18664">
        <v>228585</v>
      </c>
      <c r="CJ141" s="140" vm="11261">
        <f xml:space="preserve"> VfM_Metrics_2023_Entity[[#This Row],[Total social housing units owned (Period end)]]</f>
        <v>4271</v>
      </c>
      <c r="CK141" s="141">
        <v>2.9635901778154107E-3</v>
      </c>
      <c r="CL141" s="69">
        <f xml:space="preserve"> -- ( VfM_Metrics_2023_Entity[[#This Row],[% Supported housing (excl. HOP)]] &gt; 0.3 )</f>
        <v>0</v>
      </c>
      <c r="CM141" s="9">
        <v>0.13230313293818799</v>
      </c>
      <c r="CN141" s="69">
        <f xml:space="preserve"> -- ( VfM_Metrics_2023_Entity[[#This Row],[% Housing for older people]] &gt; 0.3 )</f>
        <v>0</v>
      </c>
      <c r="CO141" s="9">
        <f xml:space="preserve"> VfM_Metrics_2023_Entity[[#This Row],[% Supported housing (excl. HOP)]] + VfM_Metrics_2023_Entity[[#This Row],[% Housing for older people]]</f>
        <v>0.13526672311600341</v>
      </c>
      <c r="CP141" s="69">
        <f xml:space="preserve"> -- ( VfM_Metrics_2023_Entity[[#This Row],[SH specialist in RSH analysis]] + VfM_Metrics_2023_Entity[[#This Row],[OP specialist in RSH analysis]] &gt; 0 )</f>
        <v>0</v>
      </c>
      <c r="CQ141" s="142">
        <f xml:space="preserve"> -- ( VfM_Metrics_2023_Entity[[#This Row],[% SH and OP]] &gt; 0.3 )</f>
        <v>0</v>
      </c>
      <c r="CR141" s="143" t="s">
        <v>143</v>
      </c>
      <c r="CS141" s="120"/>
      <c r="CT141" s="144" t="s">
        <v>151</v>
      </c>
      <c r="CU14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41" s="146">
        <v>0</v>
      </c>
      <c r="CW141" s="146">
        <v>0</v>
      </c>
      <c r="CX141" s="146">
        <v>1</v>
      </c>
      <c r="CY141" s="146">
        <v>0</v>
      </c>
      <c r="CZ141" s="146">
        <v>0</v>
      </c>
      <c r="DA141" s="146">
        <v>0</v>
      </c>
      <c r="DB141" s="146">
        <v>0</v>
      </c>
      <c r="DC141" s="146">
        <v>0</v>
      </c>
      <c r="DD141" s="146">
        <v>0</v>
      </c>
      <c r="DE141" s="126">
        <v>0.97511902715076015</v>
      </c>
    </row>
    <row r="142" spans="1:109" x14ac:dyDescent="0.25">
      <c r="A142" s="4" t="s" vm="347">
        <v>372</v>
      </c>
      <c r="B142" s="4" t="s" vm="9313">
        <v>373</v>
      </c>
      <c r="C142" s="121" vm="18918">
        <v>45016</v>
      </c>
      <c r="D142" s="68">
        <f>IFERROR( VfM_Metrics_2023_Entity[[#This Row],[Reinvestment Spend]] / VfM_Metrics_2023_Entity[[#This Row],[Net Book Value of Housing Properties]], "n/a" )</f>
        <v>3.7878567131228606E-2</v>
      </c>
      <c r="E14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22099</v>
      </c>
      <c r="F142" s="84" vm="10360">
        <v>14712</v>
      </c>
      <c r="G142" s="84" vm="10466">
        <v>0</v>
      </c>
      <c r="H142" s="84" vm="9511">
        <v>7387</v>
      </c>
      <c r="I142" s="84" vm="9573">
        <v>0</v>
      </c>
      <c r="J142" s="84" vm="10299">
        <v>0</v>
      </c>
      <c r="K142" s="5">
        <f xml:space="preserve"> SUM( VfM_Metrics_2023_Entity[[#This Row],[Tangible fixed assets: Housing properties at cost (Current period)]],VfM_Metrics_2023_Entity[[#This Row],[Tangible fixed assets Housing properties at valuation (Current period)]] )</f>
        <v>583417</v>
      </c>
      <c r="L142" s="84" vm="9945">
        <v>583417</v>
      </c>
      <c r="M142" s="84">
        <v>0</v>
      </c>
      <c r="N142" s="134">
        <f xml:space="preserve"> IFERROR( VfM_Metrics_2023_Entity[[#This Row],[Total social units developed or newly built units acquired in-year]] / VfM_Metrics_2023_Entity[[#This Row],[Social housing units owned (period end)]], "n/a" )</f>
        <v>1.4538676607642124E-2</v>
      </c>
      <c r="O142" s="5">
        <f xml:space="preserve"> SUM( VfM_Metrics_2023_Entity[[#This Row],[Total social units developed or newly built units acquired in-year (owned)]], VfM_Metrics_2023_Entity[[#This Row],[Total social leasehold units developed or newly built units acquired in-year (owned)]] )</f>
        <v>78</v>
      </c>
      <c r="P142" s="84" vm="11025">
        <v>75</v>
      </c>
      <c r="Q142" s="84" vm="11157">
        <v>3</v>
      </c>
      <c r="R142" s="5">
        <f xml:space="preserve"> SUM( VfM_Metrics_2023_Entity[[#This Row],[Total social housing units owned (Period end)]], VfM_Metrics_2023_Entity[[#This Row],[Total social leasehold units owned (Period end)]] )</f>
        <v>5365</v>
      </c>
      <c r="S142" s="84" vm="11312">
        <v>5050</v>
      </c>
      <c r="T142" s="135" vm="11523">
        <v>315</v>
      </c>
      <c r="U142" s="136">
        <f xml:space="preserve"> IFERROR( VfM_Metrics_2023_Entity[[#This Row],[Total non-social housing units developed or newly built units acquired (owned)]] / VfM_Metrics_2023_Entity[[#This Row],[Total social and non-social housing units owned (Period end)]], "n/a" )</f>
        <v>0</v>
      </c>
      <c r="V14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42" s="84">
        <v>0</v>
      </c>
      <c r="X142" s="84">
        <v>0</v>
      </c>
      <c r="Y142" s="84">
        <v>0</v>
      </c>
      <c r="Z14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5365</v>
      </c>
      <c r="AA142" s="84" vm="11312">
        <v>5050</v>
      </c>
      <c r="AB142" s="84" vm="11523">
        <v>315</v>
      </c>
      <c r="AC142" s="84" vm="12125">
        <v>0</v>
      </c>
      <c r="AD142" s="135" vm="12281">
        <v>0</v>
      </c>
      <c r="AE142" s="134">
        <f xml:space="preserve"> IFERROR( VfM_Metrics_2023_Entity[[#This Row],[Total Net Debt]] / VfM_Metrics_2023_Entity[[#This Row],[Net Book Value of Housing Properties2]], "n/a" )</f>
        <v>0.46017685463399249</v>
      </c>
      <c r="AF14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268475</v>
      </c>
      <c r="AG142" s="84" vm="12645">
        <v>20994</v>
      </c>
      <c r="AH142" s="84" vm="13303">
        <v>261085</v>
      </c>
      <c r="AI142" s="84" vm="12871">
        <v>13604</v>
      </c>
      <c r="AJ142" s="84">
        <v>0</v>
      </c>
      <c r="AK142" s="84">
        <v>0</v>
      </c>
      <c r="AL142" s="5">
        <f xml:space="preserve"> SUM( VfM_Metrics_2023_Entity[[#This Row],[Tangible fixed assets: Housing properties at cost (Current period)2]], VfM_Metrics_2023_Entity[[#This Row],[Tangible fixed assets Housing properties at valuation (Current period)2]] )</f>
        <v>583417</v>
      </c>
      <c r="AM142" s="84" vm="9944">
        <v>583417</v>
      </c>
      <c r="AN142" s="135">
        <v>0</v>
      </c>
      <c r="AO142" s="137">
        <f xml:space="preserve"> IFERROR( VfM_Metrics_2023_Entity[[#This Row],[EBITDA MRI]] / VfM_Metrics_2023_Entity[[#This Row],[Total interest]], "n/a" )</f>
        <v>0.21106246090608524</v>
      </c>
      <c r="AP14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2362</v>
      </c>
      <c r="AQ142" s="84" vm="13553">
        <v>11147</v>
      </c>
      <c r="AR142" s="84" vm="14284">
        <v>8332</v>
      </c>
      <c r="AS142" s="84">
        <v>0</v>
      </c>
      <c r="AT142" s="84" vm="14776">
        <v>2074</v>
      </c>
      <c r="AU142" s="84" vm="15021">
        <v>97</v>
      </c>
      <c r="AV142" s="84" vm="13786">
        <v>171</v>
      </c>
      <c r="AW142" s="84" vm="14039">
        <v>7387</v>
      </c>
      <c r="AX142" s="84" vm="14285">
        <v>8934</v>
      </c>
      <c r="AY142" s="5">
        <f xml:space="preserve"> - SUM( VfM_Metrics_2023_Entity[[#This Row],[Interest capitalised]], VfM_Metrics_2023_Entity[[#This Row],[Interest payable and financing costs]] )</f>
        <v>11191</v>
      </c>
      <c r="AZ142" s="84" vm="15224">
        <v>-2273</v>
      </c>
      <c r="BA142" s="135" vm="15395">
        <v>-8918</v>
      </c>
      <c r="BB142" s="138">
        <f xml:space="preserve"> IFERROR( ( VfM_Metrics_2023_Entity[[#This Row],[Total Costs]] / VfM_Metrics_2023_Entity[[#This Row],[Total units for costs]] ) * 1000, "n/a" )</f>
        <v>8988.9108910891082</v>
      </c>
      <c r="BC14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45394</v>
      </c>
      <c r="BD142" s="84" vm="15582">
        <v>9553</v>
      </c>
      <c r="BE142" s="84" vm="17054">
        <v>12542</v>
      </c>
      <c r="BF142" s="84" vm="16142">
        <v>9746</v>
      </c>
      <c r="BG142" s="84" vm="17355">
        <v>2526</v>
      </c>
      <c r="BH142" s="84" vm="16200">
        <v>447</v>
      </c>
      <c r="BI142" s="84" vm="16456">
        <v>0</v>
      </c>
      <c r="BJ142" s="84" vm="16652">
        <v>7387</v>
      </c>
      <c r="BK142" s="84" vm="16143">
        <v>0</v>
      </c>
      <c r="BL142" s="84">
        <v>0</v>
      </c>
      <c r="BM142" s="84">
        <v>0</v>
      </c>
      <c r="BN142" s="84" vm="15960">
        <v>2838</v>
      </c>
      <c r="BO142" s="84" vm="16890">
        <v>355</v>
      </c>
      <c r="BP142" s="5" vm="17808">
        <f xml:space="preserve"> VfM_Metrics_2023_Entity[[#This Row],[Total social housing units owned and/or managed at period end]]</f>
        <v>5050</v>
      </c>
      <c r="BQ142" s="135" vm="17808">
        <v>5050</v>
      </c>
      <c r="BR142" s="134">
        <f xml:space="preserve"> IFERROR( VfM_Metrics_2023_Entity[[#This Row],[SHL operating surplus / (deficit)]] / VfM_Metrics_2023_Entity[[#This Row],[Turnover from social housing lettings]], "n/a" )</f>
        <v>8.3687913384168172E-2</v>
      </c>
      <c r="BS142" s="5" vm="17965">
        <f xml:space="preserve"> VfM_Metrics_2023_Entity[[#This Row],[Operating surplus/(deficit) (social housing lettings)]]</f>
        <v>3973</v>
      </c>
      <c r="BT142" s="84" vm="17965">
        <v>3973</v>
      </c>
      <c r="BU142" s="5" vm="18140">
        <f xml:space="preserve"> VfM_Metrics_2023_Entity[[#This Row],[Turnover from social housing lettings]]</f>
        <v>47474</v>
      </c>
      <c r="BV142" s="135" vm="18140">
        <v>47474</v>
      </c>
      <c r="BW142" s="134">
        <f xml:space="preserve"> IFERROR( VfM_Metrics_2023_Entity[[#This Row],[Net operating surplus]] / VfM_Metrics_2023_Entity[[#This Row],[Overall turnover]], "n/a" )</f>
        <v>5.0138928469649471E-2</v>
      </c>
      <c r="BX142" s="5">
        <f xml:space="preserve"> SUM( VfM_Metrics_2023_Entity[[#This Row],[Operating surplus/(deficit) (overall)2]], - VfM_Metrics_2023_Entity[[#This Row],[Gain/(loss) on disposal of fixed assets (housing properties)2]], - VfM_Metrics_2023_Entity[[#This Row],[Gain/(loss) on disposal of fixed assets (other)2]] )</f>
        <v>2815</v>
      </c>
      <c r="BY142" s="84" vm="18226">
        <v>11147</v>
      </c>
      <c r="BZ142" s="84" vm="14284">
        <v>8332</v>
      </c>
      <c r="CA142" s="84">
        <v>0</v>
      </c>
      <c r="CB142" s="5" vm="18309">
        <f xml:space="preserve"> VfM_Metrics_2023_Entity[[#This Row],[Turnover (overall)]]</f>
        <v>56144</v>
      </c>
      <c r="CC142" s="135" vm="18309">
        <v>56144</v>
      </c>
      <c r="CD142" s="134">
        <f xml:space="preserve"> IFERROR( VfM_Metrics_2023_Entity[[#This Row],[Operating surplus including from JVs]] / VfM_Metrics_2023_Entity[[#This Row],[Net assets]], "n/a" )</f>
        <v>1.8520579991393504E-2</v>
      </c>
      <c r="CE142" s="5">
        <f xml:space="preserve"> SUM( VfM_Metrics_2023_Entity[[#This Row],[Operating surplus/(deficit) (overall)3]], VfM_Metrics_2023_Entity[[#This Row],[Share of operating surplus/(deficit) in joint ventures or associates]] )</f>
        <v>11147</v>
      </c>
      <c r="CF142" s="84" vm="18226">
        <v>11147</v>
      </c>
      <c r="CG142" s="84">
        <v>0</v>
      </c>
      <c r="CH142" s="5" vm="18696">
        <f xml:space="preserve"> VfM_Metrics_2023_Entity[[#This Row],[Total assets less current liabilities]]</f>
        <v>601871</v>
      </c>
      <c r="CI142" s="135" vm="18696">
        <v>601871</v>
      </c>
      <c r="CJ142" s="140" vm="11312">
        <f xml:space="preserve"> VfM_Metrics_2023_Entity[[#This Row],[Total social housing units owned (Period end)]]</f>
        <v>5050</v>
      </c>
      <c r="CK142" s="141">
        <v>5.120359037127703E-2</v>
      </c>
      <c r="CL142" s="69">
        <f xml:space="preserve"> -- ( VfM_Metrics_2023_Entity[[#This Row],[% Supported housing (excl. HOP)]] &gt; 0.3 )</f>
        <v>0</v>
      </c>
      <c r="CM142" s="9">
        <v>2.7947776417788658E-2</v>
      </c>
      <c r="CN142" s="69">
        <f xml:space="preserve"> -- ( VfM_Metrics_2023_Entity[[#This Row],[% Housing for older people]] &gt; 0.3 )</f>
        <v>0</v>
      </c>
      <c r="CO142" s="9">
        <f xml:space="preserve"> VfM_Metrics_2023_Entity[[#This Row],[% Supported housing (excl. HOP)]] + VfM_Metrics_2023_Entity[[#This Row],[% Housing for older people]]</f>
        <v>7.9151366789065689E-2</v>
      </c>
      <c r="CP142" s="69">
        <f xml:space="preserve"> -- ( VfM_Metrics_2023_Entity[[#This Row],[SH specialist in RSH analysis]] + VfM_Metrics_2023_Entity[[#This Row],[OP specialist in RSH analysis]] &gt; 0 )</f>
        <v>0</v>
      </c>
      <c r="CQ142" s="142">
        <f xml:space="preserve"> -- ( VfM_Metrics_2023_Entity[[#This Row],[% SH and OP]] &gt; 0.3 )</f>
        <v>0</v>
      </c>
      <c r="CR142" s="143" t="s">
        <v>143</v>
      </c>
      <c r="CS142" s="120"/>
      <c r="CT142" s="144" t="s">
        <v>144</v>
      </c>
      <c r="CU14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42" s="146">
        <v>1</v>
      </c>
      <c r="CW142" s="146">
        <v>0</v>
      </c>
      <c r="CX142" s="146">
        <v>0</v>
      </c>
      <c r="CY142" s="146">
        <v>0</v>
      </c>
      <c r="CZ142" s="146">
        <v>0</v>
      </c>
      <c r="DA142" s="146">
        <v>0</v>
      </c>
      <c r="DB142" s="146">
        <v>0</v>
      </c>
      <c r="DC142" s="146">
        <v>0</v>
      </c>
      <c r="DD142" s="146">
        <v>0</v>
      </c>
      <c r="DE142" s="126">
        <v>1.1603700449887588</v>
      </c>
    </row>
    <row r="143" spans="1:109" x14ac:dyDescent="0.25">
      <c r="A143" s="4" t="s" vm="275">
        <v>374</v>
      </c>
      <c r="B143" s="4" t="s" vm="10418">
        <v>375</v>
      </c>
      <c r="C143" s="121" vm="18967">
        <v>45016</v>
      </c>
      <c r="D143" s="68">
        <f>IFERROR( VfM_Metrics_2023_Entity[[#This Row],[Reinvestment Spend]] / VfM_Metrics_2023_Entity[[#This Row],[Net Book Value of Housing Properties]], "n/a" )</f>
        <v>0.12748101865938311</v>
      </c>
      <c r="E14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36032</v>
      </c>
      <c r="F143" s="84" vm="9435">
        <v>19667</v>
      </c>
      <c r="G143" s="84" vm="9729">
        <v>0</v>
      </c>
      <c r="H143" s="84" vm="10603">
        <v>15315</v>
      </c>
      <c r="I143" s="84" vm="10568">
        <v>1050</v>
      </c>
      <c r="J143" s="84" vm="10611">
        <v>0</v>
      </c>
      <c r="K143" s="5">
        <f xml:space="preserve"> SUM( VfM_Metrics_2023_Entity[[#This Row],[Tangible fixed assets: Housing properties at cost (Current period)]],VfM_Metrics_2023_Entity[[#This Row],[Tangible fixed assets Housing properties at valuation (Current period)]] )</f>
        <v>282646</v>
      </c>
      <c r="L143" s="84" vm="10069">
        <v>282646</v>
      </c>
      <c r="M143" s="84" vm="10137">
        <v>0</v>
      </c>
      <c r="N143" s="134">
        <f xml:space="preserve"> IFERROR( VfM_Metrics_2023_Entity[[#This Row],[Total social units developed or newly built units acquired in-year]] / VfM_Metrics_2023_Entity[[#This Row],[Social housing units owned (period end)]], "n/a" )</f>
        <v>1.0428931875525653E-2</v>
      </c>
      <c r="O143" s="5">
        <f xml:space="preserve"> SUM( VfM_Metrics_2023_Entity[[#This Row],[Total social units developed or newly built units acquired in-year (owned)]], VfM_Metrics_2023_Entity[[#This Row],[Total social leasehold units developed or newly built units acquired in-year (owned)]] )</f>
        <v>124</v>
      </c>
      <c r="P143" s="84" vm="11053">
        <v>124</v>
      </c>
      <c r="Q143" s="84" vm="11178">
        <v>0</v>
      </c>
      <c r="R143" s="5">
        <f xml:space="preserve"> SUM( VfM_Metrics_2023_Entity[[#This Row],[Total social housing units owned (Period end)]], VfM_Metrics_2023_Entity[[#This Row],[Total social leasehold units owned (Period end)]] )</f>
        <v>11890</v>
      </c>
      <c r="S143" s="84" vm="11340">
        <v>11890</v>
      </c>
      <c r="T143" s="135" vm="11510">
        <v>0</v>
      </c>
      <c r="U143" s="136">
        <f xml:space="preserve"> IFERROR( VfM_Metrics_2023_Entity[[#This Row],[Total non-social housing units developed or newly built units acquired (owned)]] / VfM_Metrics_2023_Entity[[#This Row],[Total social and non-social housing units owned (Period end)]], "n/a" )</f>
        <v>4.8596112311015119E-3</v>
      </c>
      <c r="V14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63</v>
      </c>
      <c r="W143" s="84" vm="11657">
        <v>63</v>
      </c>
      <c r="X143" s="84" vm="11709">
        <v>0</v>
      </c>
      <c r="Y143" s="84" vm="11757">
        <v>0</v>
      </c>
      <c r="Z14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12964</v>
      </c>
      <c r="AA143" s="84" vm="12030">
        <v>11890</v>
      </c>
      <c r="AB143" s="84" vm="12450">
        <v>0</v>
      </c>
      <c r="AC143" s="84" vm="12378">
        <v>310</v>
      </c>
      <c r="AD143" s="135" vm="12515">
        <v>764</v>
      </c>
      <c r="AE143" s="134">
        <f xml:space="preserve"> IFERROR( VfM_Metrics_2023_Entity[[#This Row],[Total Net Debt]] / VfM_Metrics_2023_Entity[[#This Row],[Net Book Value of Housing Properties2]], "n/a" )</f>
        <v>0.52552309249025286</v>
      </c>
      <c r="AF14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148537</v>
      </c>
      <c r="AG143" s="84" vm="12671">
        <v>0</v>
      </c>
      <c r="AH143" s="84" vm="12779">
        <v>0</v>
      </c>
      <c r="AI143" s="84" vm="13165">
        <v>22107</v>
      </c>
      <c r="AJ143" s="84" vm="13216">
        <v>170644</v>
      </c>
      <c r="AK143" s="84" vm="13303">
        <v>0</v>
      </c>
      <c r="AL143" s="5">
        <f xml:space="preserve"> SUM( VfM_Metrics_2023_Entity[[#This Row],[Tangible fixed assets: Housing properties at cost (Current period)2]], VfM_Metrics_2023_Entity[[#This Row],[Tangible fixed assets Housing properties at valuation (Current period)2]] )</f>
        <v>282646</v>
      </c>
      <c r="AM143" s="84" vm="10069">
        <v>282646</v>
      </c>
      <c r="AN143" s="135" vm="10137">
        <v>0</v>
      </c>
      <c r="AO143" s="137">
        <f xml:space="preserve"> IFERROR( VfM_Metrics_2023_Entity[[#This Row],[EBITDA MRI]] / VfM_Metrics_2023_Entity[[#This Row],[Total interest]], "n/a" )</f>
        <v>-0.25860955660783469</v>
      </c>
      <c r="AP14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-2403</v>
      </c>
      <c r="AQ143" s="84" vm="13582">
        <v>21545</v>
      </c>
      <c r="AR143" s="84" vm="14530">
        <v>15636</v>
      </c>
      <c r="AS143" s="84" vm="14777">
        <v>0</v>
      </c>
      <c r="AT143" s="84" vm="15022">
        <v>3829</v>
      </c>
      <c r="AU143" s="84" vm="13787">
        <v>0</v>
      </c>
      <c r="AV143" s="84" vm="14040">
        <v>984</v>
      </c>
      <c r="AW143" s="84" vm="14286">
        <v>15315</v>
      </c>
      <c r="AX143" s="84" vm="14531">
        <v>9848</v>
      </c>
      <c r="AY143" s="5">
        <f xml:space="preserve"> - SUM( VfM_Metrics_2023_Entity[[#This Row],[Interest capitalised]], VfM_Metrics_2023_Entity[[#This Row],[Interest payable and financing costs]] )</f>
        <v>9292</v>
      </c>
      <c r="AZ143" s="84" vm="15254">
        <v>-1223</v>
      </c>
      <c r="BA143" s="135" vm="15428">
        <v>-8069</v>
      </c>
      <c r="BB143" s="138">
        <f xml:space="preserve"> IFERROR( ( VfM_Metrics_2023_Entity[[#This Row],[Total Costs]] / VfM_Metrics_2023_Entity[[#This Row],[Total units for costs]] ) * 1000, "n/a" )</f>
        <v>4993.0193439865434</v>
      </c>
      <c r="BC14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59367</v>
      </c>
      <c r="BD143" s="84" vm="16464">
        <v>20233</v>
      </c>
      <c r="BE143" s="84" vm="16652">
        <v>4709</v>
      </c>
      <c r="BF143" s="84" vm="16736">
        <v>10615</v>
      </c>
      <c r="BG143" s="84" vm="16891">
        <v>0</v>
      </c>
      <c r="BH143" s="84" vm="17055">
        <v>6640</v>
      </c>
      <c r="BI143" s="84" vm="17271">
        <v>0</v>
      </c>
      <c r="BJ143" s="84" vm="14286">
        <v>15315</v>
      </c>
      <c r="BK143" s="84" vm="16202">
        <v>1357</v>
      </c>
      <c r="BL143" s="84" vm="16144">
        <v>498</v>
      </c>
      <c r="BM143" s="84" vm="16006">
        <v>0</v>
      </c>
      <c r="BN143" s="84" vm="17056">
        <v>0</v>
      </c>
      <c r="BO143" s="84" vm="16458">
        <v>0</v>
      </c>
      <c r="BP143" s="5" vm="17708">
        <f xml:space="preserve"> VfM_Metrics_2023_Entity[[#This Row],[Total social housing units owned and/or managed at period end]]</f>
        <v>11890</v>
      </c>
      <c r="BQ143" s="135" vm="17708">
        <v>11890</v>
      </c>
      <c r="BR143" s="134">
        <f xml:space="preserve"> IFERROR( VfM_Metrics_2023_Entity[[#This Row],[SHL operating surplus / (deficit)]] / VfM_Metrics_2023_Entity[[#This Row],[Turnover from social housing lettings]], "n/a" )</f>
        <v>8.6576232126957517E-2</v>
      </c>
      <c r="BS143" s="5" vm="17999">
        <f xml:space="preserve"> VfM_Metrics_2023_Entity[[#This Row],[Operating surplus/(deficit) (social housing lettings)]]</f>
        <v>4959</v>
      </c>
      <c r="BT143" s="84" vm="17999">
        <v>4959</v>
      </c>
      <c r="BU143" s="5" vm="18178">
        <f xml:space="preserve"> VfM_Metrics_2023_Entity[[#This Row],[Turnover from social housing lettings]]</f>
        <v>57279</v>
      </c>
      <c r="BV143" s="135" vm="18178">
        <v>57279</v>
      </c>
      <c r="BW143" s="134">
        <f xml:space="preserve"> IFERROR( VfM_Metrics_2023_Entity[[#This Row],[Net operating surplus]] / VfM_Metrics_2023_Entity[[#This Row],[Overall turnover]], "n/a" )</f>
        <v>8.8694425264927504E-2</v>
      </c>
      <c r="BX143" s="5">
        <f xml:space="preserve"> SUM( VfM_Metrics_2023_Entity[[#This Row],[Operating surplus/(deficit) (overall)2]], - VfM_Metrics_2023_Entity[[#This Row],[Gain/(loss) on disposal of fixed assets (housing properties)2]], - VfM_Metrics_2023_Entity[[#This Row],[Gain/(loss) on disposal of fixed assets (other)2]] )</f>
        <v>5909</v>
      </c>
      <c r="BY143" s="84" vm="13582">
        <v>21545</v>
      </c>
      <c r="BZ143" s="84" vm="14530">
        <v>15636</v>
      </c>
      <c r="CA143" s="84" vm="14777">
        <v>0</v>
      </c>
      <c r="CB143" s="5" vm="18350">
        <f xml:space="preserve"> VfM_Metrics_2023_Entity[[#This Row],[Turnover (overall)]]</f>
        <v>66622</v>
      </c>
      <c r="CC143" s="135" vm="18350">
        <v>66622</v>
      </c>
      <c r="CD143" s="134">
        <f xml:space="preserve"> IFERROR( VfM_Metrics_2023_Entity[[#This Row],[Operating surplus including from JVs]] / VfM_Metrics_2023_Entity[[#This Row],[Net assets]], "n/a" )</f>
        <v>6.1353973556138384E-2</v>
      </c>
      <c r="CE143" s="5">
        <f xml:space="preserve"> SUM( VfM_Metrics_2023_Entity[[#This Row],[Operating surplus/(deficit) (overall)3]], VfM_Metrics_2023_Entity[[#This Row],[Share of operating surplus/(deficit) in joint ventures or associates]] )</f>
        <v>21545</v>
      </c>
      <c r="CF143" s="84" vm="13583">
        <v>21545</v>
      </c>
      <c r="CG143" s="84" vm="18519">
        <v>0</v>
      </c>
      <c r="CH143" s="5" vm="18724">
        <f xml:space="preserve"> VfM_Metrics_2023_Entity[[#This Row],[Total assets less current liabilities]]</f>
        <v>351159</v>
      </c>
      <c r="CI143" s="135" vm="18724">
        <v>351159</v>
      </c>
      <c r="CJ143" s="140" vm="11340">
        <f xml:space="preserve"> VfM_Metrics_2023_Entity[[#This Row],[Total social housing units owned (Period end)]]</f>
        <v>11890</v>
      </c>
      <c r="CK143" s="141">
        <v>5.0603019313485704E-4</v>
      </c>
      <c r="CL143" s="69">
        <f xml:space="preserve"> -- ( VfM_Metrics_2023_Entity[[#This Row],[% Supported housing (excl. HOP)]] &gt; 0.3 )</f>
        <v>0</v>
      </c>
      <c r="CM143" s="9">
        <v>2.0241207725394283E-2</v>
      </c>
      <c r="CN143" s="69">
        <f xml:space="preserve"> -- ( VfM_Metrics_2023_Entity[[#This Row],[% Housing for older people]] &gt; 0.3 )</f>
        <v>0</v>
      </c>
      <c r="CO143" s="9">
        <f xml:space="preserve"> VfM_Metrics_2023_Entity[[#This Row],[% Supported housing (excl. HOP)]] + VfM_Metrics_2023_Entity[[#This Row],[% Housing for older people]]</f>
        <v>2.074723791852914E-2</v>
      </c>
      <c r="CP143" s="69">
        <f xml:space="preserve"> -- ( VfM_Metrics_2023_Entity[[#This Row],[SH specialist in RSH analysis]] + VfM_Metrics_2023_Entity[[#This Row],[OP specialist in RSH analysis]] &gt; 0 )</f>
        <v>0</v>
      </c>
      <c r="CQ143" s="142">
        <f xml:space="preserve"> -- ( VfM_Metrics_2023_Entity[[#This Row],[% SH and OP]] &gt; 0.3 )</f>
        <v>0</v>
      </c>
      <c r="CR143" s="143" t="s">
        <v>143</v>
      </c>
      <c r="CS143" s="120"/>
      <c r="CT143" s="144" t="s">
        <v>151</v>
      </c>
      <c r="CU14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43" s="146">
        <v>0</v>
      </c>
      <c r="CW143" s="146">
        <v>0</v>
      </c>
      <c r="CX143" s="146">
        <v>0</v>
      </c>
      <c r="CY143" s="146">
        <v>0</v>
      </c>
      <c r="CZ143" s="146">
        <v>0</v>
      </c>
      <c r="DA143" s="146">
        <v>0</v>
      </c>
      <c r="DB143" s="146">
        <v>0</v>
      </c>
      <c r="DC143" s="146">
        <v>1</v>
      </c>
      <c r="DD143" s="146">
        <v>0</v>
      </c>
      <c r="DE143" s="126">
        <v>0.96105917141044694</v>
      </c>
    </row>
    <row r="144" spans="1:109" x14ac:dyDescent="0.25">
      <c r="A144" s="4" t="s" vm="297">
        <v>376</v>
      </c>
      <c r="B144" s="4" t="s" vm="9352">
        <v>377</v>
      </c>
      <c r="C144" s="121" vm="18817">
        <v>45016</v>
      </c>
      <c r="D144" s="68">
        <f>IFERROR( VfM_Metrics_2023_Entity[[#This Row],[Reinvestment Spend]] / VfM_Metrics_2023_Entity[[#This Row],[Net Book Value of Housing Properties]], "n/a" )</f>
        <v>0.11830470637434977</v>
      </c>
      <c r="E14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39322</v>
      </c>
      <c r="F144" s="84" vm="9463">
        <v>28487</v>
      </c>
      <c r="G144" s="84" vm="10208">
        <v>0</v>
      </c>
      <c r="H144" s="84" vm="10894">
        <v>10180</v>
      </c>
      <c r="I144" s="84" vm="9768">
        <v>655</v>
      </c>
      <c r="J144" s="84" vm="10381">
        <v>0</v>
      </c>
      <c r="K144" s="5">
        <f xml:space="preserve"> SUM( VfM_Metrics_2023_Entity[[#This Row],[Tangible fixed assets: Housing properties at cost (Current period)]],VfM_Metrics_2023_Entity[[#This Row],[Tangible fixed assets Housing properties at valuation (Current period)]] )</f>
        <v>332379</v>
      </c>
      <c r="L144" s="84" vm="9575">
        <v>332379</v>
      </c>
      <c r="M144" s="84">
        <v>0</v>
      </c>
      <c r="N144" s="134">
        <f xml:space="preserve"> IFERROR( VfM_Metrics_2023_Entity[[#This Row],[Total social units developed or newly built units acquired in-year]] / VfM_Metrics_2023_Entity[[#This Row],[Social housing units owned (period end)]], "n/a" )</f>
        <v>1.1963302752293578E-2</v>
      </c>
      <c r="O144" s="5">
        <f xml:space="preserve"> SUM( VfM_Metrics_2023_Entity[[#This Row],[Total social units developed or newly built units acquired in-year (owned)]], VfM_Metrics_2023_Entity[[#This Row],[Total social leasehold units developed or newly built units acquired in-year (owned)]] )</f>
        <v>163</v>
      </c>
      <c r="P144" s="84" vm="11072">
        <v>159</v>
      </c>
      <c r="Q144" s="84" vm="11195">
        <v>4</v>
      </c>
      <c r="R144" s="5">
        <f xml:space="preserve"> SUM( VfM_Metrics_2023_Entity[[#This Row],[Total social housing units owned (Period end)]], VfM_Metrics_2023_Entity[[#This Row],[Total social leasehold units owned (Period end)]] )</f>
        <v>13625</v>
      </c>
      <c r="S144" s="84" vm="11381">
        <v>13007</v>
      </c>
      <c r="T144" s="135" vm="11496">
        <v>618</v>
      </c>
      <c r="U144" s="136">
        <f xml:space="preserve"> IFERROR( VfM_Metrics_2023_Entity[[#This Row],[Total non-social housing units developed or newly built units acquired (owned)]] / VfM_Metrics_2023_Entity[[#This Row],[Total social and non-social housing units owned (Period end)]], "n/a" )</f>
        <v>0</v>
      </c>
      <c r="V14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44" s="84" vm="11673">
        <v>0</v>
      </c>
      <c r="X144" s="84" vm="11804">
        <v>0</v>
      </c>
      <c r="Y144" s="84" vm="11848">
        <v>0</v>
      </c>
      <c r="Z14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13711</v>
      </c>
      <c r="AA144" s="84" vm="12052">
        <v>13007</v>
      </c>
      <c r="AB144" s="84" vm="12200">
        <v>618</v>
      </c>
      <c r="AC144" s="84" vm="12126">
        <v>86</v>
      </c>
      <c r="AD144" s="135" vm="12282">
        <v>0</v>
      </c>
      <c r="AE144" s="134">
        <f xml:space="preserve"> IFERROR( VfM_Metrics_2023_Entity[[#This Row],[Total Net Debt]] / VfM_Metrics_2023_Entity[[#This Row],[Net Book Value of Housing Properties2]], "n/a" )</f>
        <v>0.72343318922073896</v>
      </c>
      <c r="AF14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240454</v>
      </c>
      <c r="AG144" s="84" vm="12694">
        <v>-150</v>
      </c>
      <c r="AH144" s="84" vm="12872">
        <v>246079</v>
      </c>
      <c r="AI144" s="84" vm="12950">
        <v>5475</v>
      </c>
      <c r="AJ144" s="84">
        <v>0</v>
      </c>
      <c r="AK144" s="84">
        <v>0</v>
      </c>
      <c r="AL144" s="5">
        <f xml:space="preserve"> SUM( VfM_Metrics_2023_Entity[[#This Row],[Tangible fixed assets: Housing properties at cost (Current period)2]], VfM_Metrics_2023_Entity[[#This Row],[Tangible fixed assets Housing properties at valuation (Current period)2]] )</f>
        <v>332379</v>
      </c>
      <c r="AM144" s="84" vm="9981">
        <v>332379</v>
      </c>
      <c r="AN144" s="135">
        <v>0</v>
      </c>
      <c r="AO144" s="137">
        <f xml:space="preserve"> IFERROR( VfM_Metrics_2023_Entity[[#This Row],[EBITDA MRI]] / VfM_Metrics_2023_Entity[[#This Row],[Total interest]], "n/a" )</f>
        <v>1.4024241367282875</v>
      </c>
      <c r="AP14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16083</v>
      </c>
      <c r="AQ144" s="84" vm="13612">
        <v>18150</v>
      </c>
      <c r="AR144" s="84" vm="14778">
        <v>1627</v>
      </c>
      <c r="AS144" s="84" vm="15023">
        <v>785</v>
      </c>
      <c r="AT144" s="84" vm="13788">
        <v>434</v>
      </c>
      <c r="AU144" s="84" vm="14041">
        <v>0</v>
      </c>
      <c r="AV144" s="84" vm="14287">
        <v>532</v>
      </c>
      <c r="AW144" s="84" vm="14532">
        <v>10180</v>
      </c>
      <c r="AX144" s="84" vm="14779">
        <v>10427</v>
      </c>
      <c r="AY144" s="5">
        <f xml:space="preserve"> - SUM( VfM_Metrics_2023_Entity[[#This Row],[Interest capitalised]], VfM_Metrics_2023_Entity[[#This Row],[Interest payable and financing costs]] )</f>
        <v>11468</v>
      </c>
      <c r="AZ144" s="84" vm="15282">
        <v>-1890</v>
      </c>
      <c r="BA144" s="135" vm="15507">
        <v>-9578</v>
      </c>
      <c r="BB144" s="138">
        <f xml:space="preserve"> IFERROR( ( VfM_Metrics_2023_Entity[[#This Row],[Total Costs]] / VfM_Metrics_2023_Entity[[#This Row],[Total units for costs]] ) * 1000, "n/a" )</f>
        <v>3995.2333358960559</v>
      </c>
      <c r="BC14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51966</v>
      </c>
      <c r="BD144" s="84" vm="15604">
        <v>11551</v>
      </c>
      <c r="BE144" s="84" vm="17356">
        <v>4598</v>
      </c>
      <c r="BF144" s="84" vm="17512">
        <v>7530</v>
      </c>
      <c r="BG144" s="84" vm="16459">
        <v>10277</v>
      </c>
      <c r="BH144" s="84" vm="16466">
        <v>8144</v>
      </c>
      <c r="BI144" s="84" vm="16653">
        <v>0</v>
      </c>
      <c r="BJ144" s="84" vm="16824">
        <v>10180</v>
      </c>
      <c r="BK144" s="84" vm="15963">
        <v>-314</v>
      </c>
      <c r="BL144" s="84">
        <v>0</v>
      </c>
      <c r="BM144" s="84">
        <v>0</v>
      </c>
      <c r="BN144" s="84">
        <v>0</v>
      </c>
      <c r="BO144" s="84">
        <v>0</v>
      </c>
      <c r="BP144" s="5" vm="17743">
        <f xml:space="preserve"> VfM_Metrics_2023_Entity[[#This Row],[Total social housing units owned and/or managed at period end]]</f>
        <v>13007</v>
      </c>
      <c r="BQ144" s="135" vm="17743">
        <v>13007</v>
      </c>
      <c r="BR144" s="134">
        <f xml:space="preserve"> IFERROR( VfM_Metrics_2023_Entity[[#This Row],[SHL operating surplus / (deficit)]] / VfM_Metrics_2023_Entity[[#This Row],[Turnover from social housing lettings]], "n/a" )</f>
        <v>0.22045451163067581</v>
      </c>
      <c r="BS144" s="5" vm="18024">
        <f xml:space="preserve"> VfM_Metrics_2023_Entity[[#This Row],[Operating surplus/(deficit) (social housing lettings)]]</f>
        <v>14813</v>
      </c>
      <c r="BT144" s="84" vm="18024">
        <v>14813</v>
      </c>
      <c r="BU144" s="5" vm="18200">
        <f xml:space="preserve"> VfM_Metrics_2023_Entity[[#This Row],[Turnover from social housing lettings]]</f>
        <v>67193</v>
      </c>
      <c r="BV144" s="135" vm="18200">
        <v>67193</v>
      </c>
      <c r="BW144" s="134">
        <f xml:space="preserve"> IFERROR( VfM_Metrics_2023_Entity[[#This Row],[Net operating surplus]] / VfM_Metrics_2023_Entity[[#This Row],[Overall turnover]], "n/a" )</f>
        <v>0.22681482122011329</v>
      </c>
      <c r="BX144" s="5">
        <f xml:space="preserve"> SUM( VfM_Metrics_2023_Entity[[#This Row],[Operating surplus/(deficit) (overall)2]], - VfM_Metrics_2023_Entity[[#This Row],[Gain/(loss) on disposal of fixed assets (housing properties)2]], - VfM_Metrics_2023_Entity[[#This Row],[Gain/(loss) on disposal of fixed assets (other)2]] )</f>
        <v>15738</v>
      </c>
      <c r="BY144" s="84" vm="18240">
        <v>18150</v>
      </c>
      <c r="BZ144" s="84" vm="14778">
        <v>1627</v>
      </c>
      <c r="CA144" s="84" vm="15023">
        <v>785</v>
      </c>
      <c r="CB144" s="5" vm="18377">
        <f xml:space="preserve"> VfM_Metrics_2023_Entity[[#This Row],[Turnover (overall)]]</f>
        <v>69387</v>
      </c>
      <c r="CC144" s="135" vm="18377">
        <v>69387</v>
      </c>
      <c r="CD144" s="134">
        <f xml:space="preserve"> IFERROR( VfM_Metrics_2023_Entity[[#This Row],[Operating surplus including from JVs]] / VfM_Metrics_2023_Entity[[#This Row],[Net assets]], "n/a" )</f>
        <v>5.0165421513917792E-2</v>
      </c>
      <c r="CE144" s="5">
        <f xml:space="preserve"> SUM( VfM_Metrics_2023_Entity[[#This Row],[Operating surplus/(deficit) (overall)3]], VfM_Metrics_2023_Entity[[#This Row],[Share of operating surplus/(deficit) in joint ventures or associates]] )</f>
        <v>18150</v>
      </c>
      <c r="CF144" s="84" vm="13612">
        <v>18150</v>
      </c>
      <c r="CG144" s="84">
        <v>0</v>
      </c>
      <c r="CH144" s="5" vm="18746">
        <f xml:space="preserve"> VfM_Metrics_2023_Entity[[#This Row],[Total assets less current liabilities]]</f>
        <v>361803</v>
      </c>
      <c r="CI144" s="135" vm="18746">
        <v>361803</v>
      </c>
      <c r="CJ144" s="140" vm="11381">
        <f xml:space="preserve"> VfM_Metrics_2023_Entity[[#This Row],[Total social housing units owned (Period end)]]</f>
        <v>13007</v>
      </c>
      <c r="CK144" s="141">
        <v>7.5940601677310149E-2</v>
      </c>
      <c r="CL144" s="69">
        <f xml:space="preserve"> -- ( VfM_Metrics_2023_Entity[[#This Row],[% Supported housing (excl. HOP)]] &gt; 0.3 )</f>
        <v>0</v>
      </c>
      <c r="CM144" s="9">
        <v>0</v>
      </c>
      <c r="CN144" s="69">
        <f xml:space="preserve"> -- ( VfM_Metrics_2023_Entity[[#This Row],[% Housing for older people]] &gt; 0.3 )</f>
        <v>0</v>
      </c>
      <c r="CO144" s="9">
        <f xml:space="preserve"> VfM_Metrics_2023_Entity[[#This Row],[% Supported housing (excl. HOP)]] + VfM_Metrics_2023_Entity[[#This Row],[% Housing for older people]]</f>
        <v>7.5940601677310149E-2</v>
      </c>
      <c r="CP144" s="69">
        <f xml:space="preserve"> -- ( VfM_Metrics_2023_Entity[[#This Row],[SH specialist in RSH analysis]] + VfM_Metrics_2023_Entity[[#This Row],[OP specialist in RSH analysis]] &gt; 0 )</f>
        <v>0</v>
      </c>
      <c r="CQ144" s="142">
        <f xml:space="preserve"> -- ( VfM_Metrics_2023_Entity[[#This Row],[% SH and OP]] &gt; 0.3 )</f>
        <v>0</v>
      </c>
      <c r="CR144" s="143" t="s">
        <v>143</v>
      </c>
      <c r="CS144" s="120"/>
      <c r="CT144" s="144" t="s">
        <v>151</v>
      </c>
      <c r="CU14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44" s="146">
        <v>0</v>
      </c>
      <c r="CW144" s="146">
        <v>0</v>
      </c>
      <c r="CX144" s="146">
        <v>0</v>
      </c>
      <c r="CY144" s="146">
        <v>0</v>
      </c>
      <c r="CZ144" s="146">
        <v>0</v>
      </c>
      <c r="DA144" s="146">
        <v>0</v>
      </c>
      <c r="DB144" s="146">
        <v>0</v>
      </c>
      <c r="DC144" s="146">
        <v>1</v>
      </c>
      <c r="DD144" s="146">
        <v>0</v>
      </c>
      <c r="DE144" s="126">
        <v>0.96105917141044694</v>
      </c>
    </row>
    <row r="145" spans="1:109" x14ac:dyDescent="0.25">
      <c r="A145" s="4" t="s" vm="301">
        <v>378</v>
      </c>
      <c r="B145" s="4" t="s" vm="10775">
        <v>379</v>
      </c>
      <c r="C145" s="121" vm="18911">
        <v>45016</v>
      </c>
      <c r="D145" s="68">
        <f>IFERROR( VfM_Metrics_2023_Entity[[#This Row],[Reinvestment Spend]] / VfM_Metrics_2023_Entity[[#This Row],[Net Book Value of Housing Properties]], "n/a" )</f>
        <v>9.5898525978325266E-2</v>
      </c>
      <c r="E14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22016</v>
      </c>
      <c r="F145" s="84" vm="9393">
        <v>15786</v>
      </c>
      <c r="G145" s="84" vm="9575">
        <v>0</v>
      </c>
      <c r="H145" s="84" vm="9684">
        <v>6230</v>
      </c>
      <c r="I145" s="84" vm="9730">
        <v>0</v>
      </c>
      <c r="J145" s="84" vm="9769">
        <v>0</v>
      </c>
      <c r="K145" s="5">
        <f xml:space="preserve"> SUM( VfM_Metrics_2023_Entity[[#This Row],[Tangible fixed assets: Housing properties at cost (Current period)]],VfM_Metrics_2023_Entity[[#This Row],[Tangible fixed assets Housing properties at valuation (Current period)]] )</f>
        <v>229576</v>
      </c>
      <c r="L145" s="84" vm="10035">
        <v>229576</v>
      </c>
      <c r="M145" s="84">
        <v>0</v>
      </c>
      <c r="N145" s="134">
        <f xml:space="preserve"> IFERROR( VfM_Metrics_2023_Entity[[#This Row],[Total social units developed or newly built units acquired in-year]] / VfM_Metrics_2023_Entity[[#This Row],[Social housing units owned (period end)]], "n/a" )</f>
        <v>9.35285781766651E-3</v>
      </c>
      <c r="O145" s="5">
        <f xml:space="preserve"> SUM( VfM_Metrics_2023_Entity[[#This Row],[Total social units developed or newly built units acquired in-year (owned)]], VfM_Metrics_2023_Entity[[#This Row],[Total social leasehold units developed or newly built units acquired in-year (owned)]] )</f>
        <v>99</v>
      </c>
      <c r="P145" s="84" vm="11093">
        <v>94</v>
      </c>
      <c r="Q145" s="84" vm="11211">
        <v>5</v>
      </c>
      <c r="R145" s="5">
        <f xml:space="preserve"> SUM( VfM_Metrics_2023_Entity[[#This Row],[Total social housing units owned (Period end)]], VfM_Metrics_2023_Entity[[#This Row],[Total social leasehold units owned (Period end)]] )</f>
        <v>10585</v>
      </c>
      <c r="S145" s="84" vm="11305">
        <v>10289</v>
      </c>
      <c r="T145" s="135" vm="11505">
        <v>296</v>
      </c>
      <c r="U145" s="136">
        <f xml:space="preserve"> IFERROR( VfM_Metrics_2023_Entity[[#This Row],[Total non-social housing units developed or newly built units acquired (owned)]] / VfM_Metrics_2023_Entity[[#This Row],[Total social and non-social housing units owned (Period end)]], "n/a" )</f>
        <v>0</v>
      </c>
      <c r="V14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45" s="84">
        <v>0</v>
      </c>
      <c r="X145" s="84">
        <v>0</v>
      </c>
      <c r="Y145" s="84">
        <v>0</v>
      </c>
      <c r="Z14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10585</v>
      </c>
      <c r="AA145" s="84" vm="11957">
        <v>10289</v>
      </c>
      <c r="AB145" s="84" vm="12451">
        <v>296</v>
      </c>
      <c r="AC145" s="84" vm="12379">
        <v>0</v>
      </c>
      <c r="AD145" s="135" vm="12515">
        <v>0</v>
      </c>
      <c r="AE145" s="134">
        <f xml:space="preserve"> IFERROR( VfM_Metrics_2023_Entity[[#This Row],[Total Net Debt]] / VfM_Metrics_2023_Entity[[#This Row],[Net Book Value of Housing Properties2]], "n/a" )</f>
        <v>0.17671272258424225</v>
      </c>
      <c r="AF14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40569</v>
      </c>
      <c r="AG145" s="84" vm="12568">
        <v>0</v>
      </c>
      <c r="AH145" s="84" vm="13130">
        <v>98813</v>
      </c>
      <c r="AI145" s="84" vm="13216">
        <v>58244</v>
      </c>
      <c r="AJ145" s="84">
        <v>0</v>
      </c>
      <c r="AK145" s="84">
        <v>0</v>
      </c>
      <c r="AL145" s="5">
        <f xml:space="preserve"> SUM( VfM_Metrics_2023_Entity[[#This Row],[Tangible fixed assets: Housing properties at cost (Current period)2]], VfM_Metrics_2023_Entity[[#This Row],[Tangible fixed assets Housing properties at valuation (Current period)2]] )</f>
        <v>229576</v>
      </c>
      <c r="AM145" s="84" vm="10035">
        <v>229576</v>
      </c>
      <c r="AN145" s="135">
        <v>0</v>
      </c>
      <c r="AO145" s="137">
        <f xml:space="preserve"> IFERROR( VfM_Metrics_2023_Entity[[#This Row],[EBITDA MRI]] / VfM_Metrics_2023_Entity[[#This Row],[Total interest]], "n/a" )</f>
        <v>2.1918918918918919</v>
      </c>
      <c r="AP14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10543</v>
      </c>
      <c r="AQ145" s="84" vm="13451">
        <v>9869</v>
      </c>
      <c r="AR145" s="84" vm="15024">
        <v>3075</v>
      </c>
      <c r="AS145" s="84">
        <v>0</v>
      </c>
      <c r="AT145" s="84" vm="14042">
        <v>3165</v>
      </c>
      <c r="AU145" s="84" vm="14288">
        <v>0</v>
      </c>
      <c r="AV145" s="84" vm="14533">
        <v>1268</v>
      </c>
      <c r="AW145" s="84" vm="14780">
        <v>6230</v>
      </c>
      <c r="AX145" s="84" vm="15025">
        <v>11876</v>
      </c>
      <c r="AY145" s="5">
        <f xml:space="preserve"> - SUM( VfM_Metrics_2023_Entity[[#This Row],[Interest capitalised]], VfM_Metrics_2023_Entity[[#This Row],[Interest payable and financing costs]] )</f>
        <v>4810</v>
      </c>
      <c r="AZ145" s="84" vm="15303">
        <v>0</v>
      </c>
      <c r="BA145" s="135" vm="15494">
        <v>-4810</v>
      </c>
      <c r="BB145" s="138">
        <f xml:space="preserve"> IFERROR( ( VfM_Metrics_2023_Entity[[#This Row],[Total Costs]] / VfM_Metrics_2023_Entity[[#This Row],[Total units for costs]] ) * 1000, "n/a" )</f>
        <v>3808.3867210250437</v>
      </c>
      <c r="BC14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39234</v>
      </c>
      <c r="BD145" s="84" vm="15591">
        <v>16328</v>
      </c>
      <c r="BE145" s="84" vm="16653">
        <v>1770</v>
      </c>
      <c r="BF145" s="84" vm="16736">
        <v>9216</v>
      </c>
      <c r="BG145" s="84" vm="16892">
        <v>3544</v>
      </c>
      <c r="BH145" s="84" vm="17057">
        <v>1360</v>
      </c>
      <c r="BI145" s="84" vm="17272">
        <v>33</v>
      </c>
      <c r="BJ145" s="84" vm="16146">
        <v>6230</v>
      </c>
      <c r="BK145" s="84" vm="17513">
        <v>455</v>
      </c>
      <c r="BL145" s="84">
        <v>0</v>
      </c>
      <c r="BM145" s="84">
        <v>0</v>
      </c>
      <c r="BN145" s="84" vm="16893">
        <v>175</v>
      </c>
      <c r="BO145" s="84" vm="15964">
        <v>123</v>
      </c>
      <c r="BP145" s="5" vm="17776">
        <f xml:space="preserve"> VfM_Metrics_2023_Entity[[#This Row],[Total social housing units owned and/or managed at period end]]</f>
        <v>10302</v>
      </c>
      <c r="BQ145" s="135" vm="17776">
        <v>10302</v>
      </c>
      <c r="BR145" s="134">
        <f xml:space="preserve"> IFERROR( VfM_Metrics_2023_Entity[[#This Row],[SHL operating surplus / (deficit)]] / VfM_Metrics_2023_Entity[[#This Row],[Turnover from social housing lettings]], "n/a" )</f>
        <v>0.11829937226479732</v>
      </c>
      <c r="BS145" s="5" vm="17854">
        <f xml:space="preserve"> VfM_Metrics_2023_Entity[[#This Row],[Operating surplus/(deficit) (social housing lettings)]]</f>
        <v>5974</v>
      </c>
      <c r="BT145" s="84" vm="17854">
        <v>5974</v>
      </c>
      <c r="BU145" s="5" vm="18065">
        <f xml:space="preserve"> VfM_Metrics_2023_Entity[[#This Row],[Turnover from social housing lettings]]</f>
        <v>50499</v>
      </c>
      <c r="BV145" s="135" vm="18065">
        <v>50499</v>
      </c>
      <c r="BW145" s="134">
        <f xml:space="preserve"> IFERROR( VfM_Metrics_2023_Entity[[#This Row],[Net operating surplus]] / VfM_Metrics_2023_Entity[[#This Row],[Overall turnover]], "n/a" )</f>
        <v>0.13070914617722884</v>
      </c>
      <c r="BX145" s="5">
        <f xml:space="preserve"> SUM( VfM_Metrics_2023_Entity[[#This Row],[Operating surplus/(deficit) (overall)2]], - VfM_Metrics_2023_Entity[[#This Row],[Gain/(loss) on disposal of fixed assets (housing properties)2]], - VfM_Metrics_2023_Entity[[#This Row],[Gain/(loss) on disposal of fixed assets (other)2]] )</f>
        <v>6794</v>
      </c>
      <c r="BY145" s="84" vm="13524">
        <v>9869</v>
      </c>
      <c r="BZ145" s="84" vm="15024">
        <v>3075</v>
      </c>
      <c r="CA145" s="84">
        <v>0</v>
      </c>
      <c r="CB145" s="5" vm="18420">
        <f xml:space="preserve"> VfM_Metrics_2023_Entity[[#This Row],[Turnover (overall)]]</f>
        <v>51978</v>
      </c>
      <c r="CC145" s="135" vm="18420">
        <v>51978</v>
      </c>
      <c r="CD145" s="134">
        <f xml:space="preserve"> IFERROR( VfM_Metrics_2023_Entity[[#This Row],[Operating surplus including from JVs]] / VfM_Metrics_2023_Entity[[#This Row],[Net assets]], "n/a" )</f>
        <v>3.4337705716572145E-2</v>
      </c>
      <c r="CE145" s="5">
        <f xml:space="preserve"> SUM( VfM_Metrics_2023_Entity[[#This Row],[Operating surplus/(deficit) (overall)3]], VfM_Metrics_2023_Entity[[#This Row],[Share of operating surplus/(deficit) in joint ventures or associates]] )</f>
        <v>9869</v>
      </c>
      <c r="CF145" s="84" vm="13451">
        <v>9869</v>
      </c>
      <c r="CG145" s="84">
        <v>0</v>
      </c>
      <c r="CH145" s="5" vm="18591">
        <f xml:space="preserve"> VfM_Metrics_2023_Entity[[#This Row],[Total assets less current liabilities]]</f>
        <v>287410</v>
      </c>
      <c r="CI145" s="135" vm="18591">
        <v>287410</v>
      </c>
      <c r="CJ145" s="140" vm="11305">
        <f xml:space="preserve"> VfM_Metrics_2023_Entity[[#This Row],[Total social housing units owned (Period end)]]</f>
        <v>10289</v>
      </c>
      <c r="CK145" s="141">
        <v>3.5005834305717621E-3</v>
      </c>
      <c r="CL145" s="69">
        <f xml:space="preserve"> -- ( VfM_Metrics_2023_Entity[[#This Row],[% Supported housing (excl. HOP)]] &gt; 0.3 )</f>
        <v>0</v>
      </c>
      <c r="CM145" s="9">
        <v>0</v>
      </c>
      <c r="CN145" s="69">
        <f xml:space="preserve"> -- ( VfM_Metrics_2023_Entity[[#This Row],[% Housing for older people]] &gt; 0.3 )</f>
        <v>0</v>
      </c>
      <c r="CO145" s="9">
        <f xml:space="preserve"> VfM_Metrics_2023_Entity[[#This Row],[% Supported housing (excl. HOP)]] + VfM_Metrics_2023_Entity[[#This Row],[% Housing for older people]]</f>
        <v>3.5005834305717621E-3</v>
      </c>
      <c r="CP145" s="69">
        <f xml:space="preserve"> -- ( VfM_Metrics_2023_Entity[[#This Row],[SH specialist in RSH analysis]] + VfM_Metrics_2023_Entity[[#This Row],[OP specialist in RSH analysis]] &gt; 0 )</f>
        <v>0</v>
      </c>
      <c r="CQ145" s="142">
        <f xml:space="preserve"> -- ( VfM_Metrics_2023_Entity[[#This Row],[% SH and OP]] &gt; 0.3 )</f>
        <v>0</v>
      </c>
      <c r="CR145" s="143" t="s">
        <v>143</v>
      </c>
      <c r="CS145" s="120"/>
      <c r="CT145" s="144" t="s">
        <v>151</v>
      </c>
      <c r="CU14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145" s="146">
        <v>0</v>
      </c>
      <c r="CW145" s="146">
        <v>0</v>
      </c>
      <c r="CX145" s="146">
        <v>0</v>
      </c>
      <c r="CY145" s="146">
        <v>2.5269705510739624E-2</v>
      </c>
      <c r="CZ145" s="146">
        <v>0</v>
      </c>
      <c r="DA145" s="146">
        <v>0</v>
      </c>
      <c r="DB145" s="146">
        <v>0</v>
      </c>
      <c r="DC145" s="146">
        <v>0</v>
      </c>
      <c r="DD145" s="146">
        <v>0.97473029448926041</v>
      </c>
      <c r="DE145" s="126">
        <v>0.94453418271419443</v>
      </c>
    </row>
    <row r="146" spans="1:109" x14ac:dyDescent="0.25">
      <c r="A146" s="4" t="s" vm="9243">
        <v>602</v>
      </c>
      <c r="B146" s="4" t="s" vm="10931">
        <v>603</v>
      </c>
      <c r="C146" s="121" vm="18964">
        <v>45016</v>
      </c>
      <c r="D146" s="68">
        <f>IFERROR( VfM_Metrics_2023_Entity[[#This Row],[Reinvestment Spend]] / VfM_Metrics_2023_Entity[[#This Row],[Net Book Value of Housing Properties]], "n/a" )</f>
        <v>7.5821478222284744E-2</v>
      </c>
      <c r="E14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87317</v>
      </c>
      <c r="F146" s="84" vm="9406">
        <v>50838</v>
      </c>
      <c r="G146" s="84" vm="9574">
        <v>5017</v>
      </c>
      <c r="H146" s="84" vm="10814">
        <v>29471</v>
      </c>
      <c r="I146" s="84" vm="10647">
        <v>1991</v>
      </c>
      <c r="J146" s="84" vm="9793">
        <v>0</v>
      </c>
      <c r="K146" s="5">
        <f xml:space="preserve"> SUM( VfM_Metrics_2023_Entity[[#This Row],[Tangible fixed assets: Housing properties at cost (Current period)]],VfM_Metrics_2023_Entity[[#This Row],[Tangible fixed assets Housing properties at valuation (Current period)]] )</f>
        <v>1151613</v>
      </c>
      <c r="L146" s="84" vm="9902">
        <v>1151613</v>
      </c>
      <c r="M146" s="84" vm="10606">
        <v>0</v>
      </c>
      <c r="N146" s="134">
        <f xml:space="preserve"> IFERROR( VfM_Metrics_2023_Entity[[#This Row],[Total social units developed or newly built units acquired in-year]] / VfM_Metrics_2023_Entity[[#This Row],[Social housing units owned (period end)]], "n/a" )</f>
        <v>8.8266176663604149E-3</v>
      </c>
      <c r="O146" s="5">
        <f xml:space="preserve"> SUM( VfM_Metrics_2023_Entity[[#This Row],[Total social units developed or newly built units acquired in-year (owned)]], VfM_Metrics_2023_Entity[[#This Row],[Total social leasehold units developed or newly built units acquired in-year (owned)]] )</f>
        <v>269</v>
      </c>
      <c r="P146" s="84" vm="11017">
        <v>269</v>
      </c>
      <c r="Q146" s="84" vm="11119">
        <v>0</v>
      </c>
      <c r="R146" s="5">
        <f xml:space="preserve"> SUM( VfM_Metrics_2023_Entity[[#This Row],[Total social housing units owned (Period end)]], VfM_Metrics_2023_Entity[[#This Row],[Total social leasehold units owned (Period end)]] )</f>
        <v>30476</v>
      </c>
      <c r="S146" s="84" vm="11350">
        <v>29686</v>
      </c>
      <c r="T146" s="135" vm="11430">
        <v>790</v>
      </c>
      <c r="U146" s="136">
        <f xml:space="preserve"> IFERROR( VfM_Metrics_2023_Entity[[#This Row],[Total non-social housing units developed or newly built units acquired (owned)]] / VfM_Metrics_2023_Entity[[#This Row],[Total social and non-social housing units owned (Period end)]], "n/a" )</f>
        <v>0</v>
      </c>
      <c r="V14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46" s="84" vm="11597">
        <v>0</v>
      </c>
      <c r="X146" s="84" vm="11711">
        <v>0</v>
      </c>
      <c r="Y146" s="84" vm="11758">
        <v>0</v>
      </c>
      <c r="Z14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30800</v>
      </c>
      <c r="AA146" s="84" vm="12015">
        <v>29686</v>
      </c>
      <c r="AB146" s="84" vm="11430">
        <v>790</v>
      </c>
      <c r="AC146" s="84" vm="12127">
        <v>156</v>
      </c>
      <c r="AD146" s="135" vm="12283">
        <v>168</v>
      </c>
      <c r="AE146" s="134">
        <f xml:space="preserve"> IFERROR( VfM_Metrics_2023_Entity[[#This Row],[Total Net Debt]] / VfM_Metrics_2023_Entity[[#This Row],[Net Book Value of Housing Properties2]], "n/a" )</f>
        <v>0.28771731475764861</v>
      </c>
      <c r="AF14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331339</v>
      </c>
      <c r="AG146" s="84" vm="12596">
        <v>5995</v>
      </c>
      <c r="AH146" s="84" vm="12780">
        <v>371805</v>
      </c>
      <c r="AI146" s="84" vm="12990">
        <v>46461</v>
      </c>
      <c r="AJ146" s="84" vm="13043">
        <v>0</v>
      </c>
      <c r="AK146" s="84" vm="13130">
        <v>0</v>
      </c>
      <c r="AL146" s="5">
        <f xml:space="preserve"> SUM( VfM_Metrics_2023_Entity[[#This Row],[Tangible fixed assets: Housing properties at cost (Current period)2]], VfM_Metrics_2023_Entity[[#This Row],[Tangible fixed assets Housing properties at valuation (Current period)2]] )</f>
        <v>1151613</v>
      </c>
      <c r="AM146" s="84" vm="13376">
        <v>1151613</v>
      </c>
      <c r="AN146" s="135" vm="10096">
        <v>0</v>
      </c>
      <c r="AO146" s="137">
        <f xml:space="preserve"> IFERROR( VfM_Metrics_2023_Entity[[#This Row],[EBITDA MRI]] / VfM_Metrics_2023_Entity[[#This Row],[Total interest]], "n/a" )</f>
        <v>0.97145917338709675</v>
      </c>
      <c r="AP14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15419</v>
      </c>
      <c r="AQ146" s="84" vm="13627">
        <v>21615</v>
      </c>
      <c r="AR146" s="84" vm="13789">
        <v>551</v>
      </c>
      <c r="AS146" s="84" vm="14043">
        <v>-46</v>
      </c>
      <c r="AT146" s="84" vm="14289">
        <v>6226</v>
      </c>
      <c r="AU146" s="84" vm="14534">
        <v>0</v>
      </c>
      <c r="AV146" s="84" vm="14781">
        <v>6588</v>
      </c>
      <c r="AW146" s="84" vm="15026">
        <v>29471</v>
      </c>
      <c r="AX146" s="84" vm="13790">
        <v>23418</v>
      </c>
      <c r="AY146" s="5">
        <f xml:space="preserve"> - SUM( VfM_Metrics_2023_Entity[[#This Row],[Interest capitalised]], VfM_Metrics_2023_Entity[[#This Row],[Interest payable and financing costs]] )</f>
        <v>15872</v>
      </c>
      <c r="AZ146" s="84" vm="15170">
        <v>-1991</v>
      </c>
      <c r="BA146" s="135" vm="15333">
        <v>-13881</v>
      </c>
      <c r="BB146" s="138">
        <f xml:space="preserve"> IFERROR( ( VfM_Metrics_2023_Entity[[#This Row],[Total Costs]] / VfM_Metrics_2023_Entity[[#This Row],[Total units for costs]] ) * 1000, "n/a" )</f>
        <v>4683.8545240662679</v>
      </c>
      <c r="BC14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143340</v>
      </c>
      <c r="BD146" s="84" vm="15526">
        <v>30301</v>
      </c>
      <c r="BE146" s="84" vm="16148">
        <v>14338</v>
      </c>
      <c r="BF146" s="84" vm="17515">
        <v>36753</v>
      </c>
      <c r="BG146" s="84" vm="17583">
        <v>20601</v>
      </c>
      <c r="BH146" s="84" vm="16468">
        <v>1252</v>
      </c>
      <c r="BI146" s="84" vm="16207">
        <v>0</v>
      </c>
      <c r="BJ146" s="84" vm="16825">
        <v>29471</v>
      </c>
      <c r="BK146" s="84" vm="16009">
        <v>155</v>
      </c>
      <c r="BL146" s="84" vm="15966">
        <v>1242</v>
      </c>
      <c r="BM146" s="84" vm="15965">
        <v>3028</v>
      </c>
      <c r="BN146" s="84" vm="16008">
        <v>2040</v>
      </c>
      <c r="BO146" s="84" vm="16150">
        <v>4159</v>
      </c>
      <c r="BP146" s="5" vm="17638">
        <f xml:space="preserve"> VfM_Metrics_2023_Entity[[#This Row],[Total social housing units owned and/or managed at period end]]</f>
        <v>30603</v>
      </c>
      <c r="BQ146" s="135" vm="17638">
        <v>30603</v>
      </c>
      <c r="BR146" s="134">
        <f xml:space="preserve"> IFERROR( VfM_Metrics_2023_Entity[[#This Row],[SHL operating surplus / (deficit)]] / VfM_Metrics_2023_Entity[[#This Row],[Turnover from social housing lettings]], "n/a" )</f>
        <v>0.1444947291401317</v>
      </c>
      <c r="BS146" s="5" vm="17892">
        <f xml:space="preserve"> VfM_Metrics_2023_Entity[[#This Row],[Operating surplus/(deficit) (social housing lettings)]]</f>
        <v>21328</v>
      </c>
      <c r="BT146" s="84" vm="17892">
        <v>21328</v>
      </c>
      <c r="BU146" s="5" vm="18091">
        <f xml:space="preserve"> VfM_Metrics_2023_Entity[[#This Row],[Turnover from social housing lettings]]</f>
        <v>147604</v>
      </c>
      <c r="BV146" s="135" vm="18091">
        <v>147604</v>
      </c>
      <c r="BW146" s="134">
        <f xml:space="preserve"> IFERROR( VfM_Metrics_2023_Entity[[#This Row],[Net operating surplus]] / VfM_Metrics_2023_Entity[[#This Row],[Overall turnover]], "n/a" )</f>
        <v>0.12508369527218</v>
      </c>
      <c r="BX146" s="5">
        <f xml:space="preserve"> SUM( VfM_Metrics_2023_Entity[[#This Row],[Operating surplus/(deficit) (overall)2]], - VfM_Metrics_2023_Entity[[#This Row],[Gain/(loss) on disposal of fixed assets (housing properties)2]], - VfM_Metrics_2023_Entity[[#This Row],[Gain/(loss) on disposal of fixed assets (other)2]] )</f>
        <v>21110</v>
      </c>
      <c r="BY146" s="84" vm="13485">
        <v>21615</v>
      </c>
      <c r="BZ146" s="84" vm="13789">
        <v>551</v>
      </c>
      <c r="CA146" s="84" vm="14043">
        <v>-46</v>
      </c>
      <c r="CB146" s="5" vm="18409">
        <f xml:space="preserve"> VfM_Metrics_2023_Entity[[#This Row],[Turnover (overall)]]</f>
        <v>168767</v>
      </c>
      <c r="CC146" s="135" vm="18409">
        <v>168767</v>
      </c>
      <c r="CD146" s="134">
        <f xml:space="preserve"> IFERROR( VfM_Metrics_2023_Entity[[#This Row],[Operating surplus including from JVs]] / VfM_Metrics_2023_Entity[[#This Row],[Net assets]], "n/a" )</f>
        <v>1.6971829824722572E-2</v>
      </c>
      <c r="CE146" s="5">
        <f xml:space="preserve"> SUM( VfM_Metrics_2023_Entity[[#This Row],[Operating surplus/(deficit) (overall)3]], VfM_Metrics_2023_Entity[[#This Row],[Share of operating surplus/(deficit) in joint ventures or associates]] )</f>
        <v>21615</v>
      </c>
      <c r="CF146" s="84" vm="13485">
        <v>21615</v>
      </c>
      <c r="CG146" s="84" vm="18459">
        <v>0</v>
      </c>
      <c r="CH146" s="5" vm="18628">
        <f xml:space="preserve"> VfM_Metrics_2023_Entity[[#This Row],[Total assets less current liabilities]]</f>
        <v>1273581</v>
      </c>
      <c r="CI146" s="135" vm="18628">
        <v>1273581</v>
      </c>
      <c r="CJ146" s="140" vm="11350">
        <f xml:space="preserve"> VfM_Metrics_2023_Entity[[#This Row],[Total social housing units owned (Period end)]]</f>
        <v>29686</v>
      </c>
      <c r="CK146" s="141">
        <v>6.5031875063244177E-2</v>
      </c>
      <c r="CL146" s="69">
        <f xml:space="preserve"> -- ( VfM_Metrics_2023_Entity[[#This Row],[% Supported housing (excl. HOP)]] &gt; 0.3 )</f>
        <v>0</v>
      </c>
      <c r="CM146" s="9">
        <v>0.13067089418828212</v>
      </c>
      <c r="CN146" s="69">
        <f xml:space="preserve"> -- ( VfM_Metrics_2023_Entity[[#This Row],[% Housing for older people]] &gt; 0.3 )</f>
        <v>0</v>
      </c>
      <c r="CO146" s="9">
        <f xml:space="preserve"> VfM_Metrics_2023_Entity[[#This Row],[% Supported housing (excl. HOP)]] + VfM_Metrics_2023_Entity[[#This Row],[% Housing for older people]]</f>
        <v>0.1957027692515263</v>
      </c>
      <c r="CP146" s="69">
        <f xml:space="preserve"> -- ( VfM_Metrics_2023_Entity[[#This Row],[SH specialist in RSH analysis]] + VfM_Metrics_2023_Entity[[#This Row],[OP specialist in RSH analysis]] &gt; 0 )</f>
        <v>0</v>
      </c>
      <c r="CQ146" s="142">
        <f xml:space="preserve"> -- ( VfM_Metrics_2023_Entity[[#This Row],[% SH and OP]] &gt; 0.3 )</f>
        <v>0</v>
      </c>
      <c r="CR146" s="143" t="s">
        <v>143</v>
      </c>
      <c r="CS146" s="120"/>
      <c r="CT146" s="144" t="s">
        <v>151</v>
      </c>
      <c r="CU14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46" s="146">
        <v>0</v>
      </c>
      <c r="CW146" s="146">
        <v>0</v>
      </c>
      <c r="CX146" s="146">
        <v>0</v>
      </c>
      <c r="CY146" s="146">
        <v>1.3507125008441954E-4</v>
      </c>
      <c r="CZ146" s="146">
        <v>0</v>
      </c>
      <c r="DA146" s="146">
        <v>0</v>
      </c>
      <c r="DB146" s="146">
        <v>0</v>
      </c>
      <c r="DC146" s="146">
        <v>0.99986492874991562</v>
      </c>
      <c r="DD146" s="146">
        <v>0</v>
      </c>
      <c r="DE146" s="126">
        <v>0.96105664221790288</v>
      </c>
    </row>
    <row r="147" spans="1:109" x14ac:dyDescent="0.25">
      <c r="A147" s="4" t="s" vm="253">
        <v>382</v>
      </c>
      <c r="B147" s="4" t="s" vm="9279">
        <v>383</v>
      </c>
      <c r="C147" s="121" vm="18954">
        <v>45016</v>
      </c>
      <c r="D147" s="68">
        <f>IFERROR( VfM_Metrics_2023_Entity[[#This Row],[Reinvestment Spend]] / VfM_Metrics_2023_Entity[[#This Row],[Net Book Value of Housing Properties]], "n/a" )</f>
        <v>0.13118187425185368</v>
      </c>
      <c r="E14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68274</v>
      </c>
      <c r="F147" s="84" vm="10623">
        <v>66456</v>
      </c>
      <c r="G147" s="84" vm="9698">
        <v>0</v>
      </c>
      <c r="H147" s="84" vm="10924">
        <v>370</v>
      </c>
      <c r="I147" s="84" vm="10871">
        <v>1448</v>
      </c>
      <c r="J147" s="84" vm="9685">
        <v>0</v>
      </c>
      <c r="K147" s="5">
        <f xml:space="preserve"> SUM( VfM_Metrics_2023_Entity[[#This Row],[Tangible fixed assets: Housing properties at cost (Current period)]],VfM_Metrics_2023_Entity[[#This Row],[Tangible fixed assets Housing properties at valuation (Current period)]] )</f>
        <v>520453</v>
      </c>
      <c r="L147" s="84" vm="9925">
        <v>520453</v>
      </c>
      <c r="M147" s="84" vm="10109">
        <v>0</v>
      </c>
      <c r="N147" s="134">
        <f xml:space="preserve"> IFERROR( VfM_Metrics_2023_Entity[[#This Row],[Total social units developed or newly built units acquired in-year]] / VfM_Metrics_2023_Entity[[#This Row],[Social housing units owned (period end)]], "n/a" )</f>
        <v>6.5477068279014894E-2</v>
      </c>
      <c r="O147" s="5">
        <f xml:space="preserve"> SUM( VfM_Metrics_2023_Entity[[#This Row],[Total social units developed or newly built units acquired in-year (owned)]], VfM_Metrics_2023_Entity[[#This Row],[Total social leasehold units developed or newly built units acquired in-year (owned)]] )</f>
        <v>444</v>
      </c>
      <c r="P147" s="84" vm="10973">
        <v>444</v>
      </c>
      <c r="Q147" s="84" vm="11146">
        <v>0</v>
      </c>
      <c r="R147" s="5">
        <f xml:space="preserve"> SUM( VfM_Metrics_2023_Entity[[#This Row],[Total social housing units owned (Period end)]], VfM_Metrics_2023_Entity[[#This Row],[Total social leasehold units owned (Period end)]] )</f>
        <v>6781</v>
      </c>
      <c r="S147" s="84" vm="11264">
        <v>6104</v>
      </c>
      <c r="T147" s="135" vm="11557">
        <v>677</v>
      </c>
      <c r="U147" s="136">
        <f xml:space="preserve"> IFERROR( VfM_Metrics_2023_Entity[[#This Row],[Total non-social housing units developed or newly built units acquired (owned)]] / VfM_Metrics_2023_Entity[[#This Row],[Total social and non-social housing units owned (Period end)]], "n/a" )</f>
        <v>0</v>
      </c>
      <c r="V14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47" s="84" vm="11625">
        <v>0</v>
      </c>
      <c r="X147" s="84" vm="11804">
        <v>0</v>
      </c>
      <c r="Y147" s="84" vm="11849">
        <v>0</v>
      </c>
      <c r="Z14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7063</v>
      </c>
      <c r="AA147" s="84" vm="11972">
        <v>6104</v>
      </c>
      <c r="AB147" s="84" vm="12452">
        <v>677</v>
      </c>
      <c r="AC147" s="84" vm="12380">
        <v>0</v>
      </c>
      <c r="AD147" s="135" vm="12516">
        <v>282</v>
      </c>
      <c r="AE147" s="134">
        <f xml:space="preserve"> IFERROR( VfM_Metrics_2023_Entity[[#This Row],[Total Net Debt]] / VfM_Metrics_2023_Entity[[#This Row],[Net Book Value of Housing Properties2]], "n/a" )</f>
        <v>0.23593484906418064</v>
      </c>
      <c r="AF14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122793</v>
      </c>
      <c r="AG147" s="84" vm="12618">
        <v>2005</v>
      </c>
      <c r="AH147" s="84" vm="13217">
        <v>180754</v>
      </c>
      <c r="AI147" s="84" vm="13304">
        <v>59966</v>
      </c>
      <c r="AJ147" s="84" vm="12781">
        <v>0</v>
      </c>
      <c r="AK147" s="84" vm="12909">
        <v>0</v>
      </c>
      <c r="AL147" s="5">
        <f xml:space="preserve"> SUM( VfM_Metrics_2023_Entity[[#This Row],[Tangible fixed assets: Housing properties at cost (Current period)2]], VfM_Metrics_2023_Entity[[#This Row],[Tangible fixed assets Housing properties at valuation (Current period)2]] )</f>
        <v>520453</v>
      </c>
      <c r="AM147" s="84" vm="9925">
        <v>520453</v>
      </c>
      <c r="AN147" s="135" vm="13426">
        <v>0</v>
      </c>
      <c r="AO147" s="137">
        <f xml:space="preserve"> IFERROR( VfM_Metrics_2023_Entity[[#This Row],[EBITDA MRI]] / VfM_Metrics_2023_Entity[[#This Row],[Total interest]], "n/a" )</f>
        <v>5.9109414758269718</v>
      </c>
      <c r="AP14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37168</v>
      </c>
      <c r="AQ147" s="84" vm="13521">
        <v>46505</v>
      </c>
      <c r="AR147" s="84" vm="14044">
        <v>22598</v>
      </c>
      <c r="AS147" s="84" vm="14290">
        <v>0</v>
      </c>
      <c r="AT147" s="84" vm="14535">
        <v>938</v>
      </c>
      <c r="AU147" s="84" vm="14782">
        <v>0</v>
      </c>
      <c r="AV147" s="84" vm="15027">
        <v>7152</v>
      </c>
      <c r="AW147" s="84" vm="13791">
        <v>370</v>
      </c>
      <c r="AX147" s="84" vm="14045">
        <v>7417</v>
      </c>
      <c r="AY147" s="5">
        <f xml:space="preserve"> - SUM( VfM_Metrics_2023_Entity[[#This Row],[Interest capitalised]], VfM_Metrics_2023_Entity[[#This Row],[Interest payable and financing costs]] )</f>
        <v>6288</v>
      </c>
      <c r="AZ147" s="84" vm="15202">
        <v>-1448</v>
      </c>
      <c r="BA147" s="135" vm="15369">
        <v>-4840</v>
      </c>
      <c r="BB147" s="138">
        <f xml:space="preserve"> IFERROR( ( VfM_Metrics_2023_Entity[[#This Row],[Total Costs]] / VfM_Metrics_2023_Entity[[#This Row],[Total units for costs]] ) * 1000, "n/a" )</f>
        <v>6518.1847968545217</v>
      </c>
      <c r="BC14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39787</v>
      </c>
      <c r="BD147" s="84" vm="15540">
        <v>3950</v>
      </c>
      <c r="BE147" s="84" vm="16826">
        <v>4532</v>
      </c>
      <c r="BF147" s="84" vm="16894">
        <v>197</v>
      </c>
      <c r="BG147" s="84" vm="16152">
        <v>882</v>
      </c>
      <c r="BH147" s="84" vm="17273">
        <v>0</v>
      </c>
      <c r="BI147" s="84" vm="17516">
        <v>0</v>
      </c>
      <c r="BJ147" s="84" vm="16461">
        <v>370</v>
      </c>
      <c r="BK147" s="84" vm="16470">
        <v>0</v>
      </c>
      <c r="BL147" s="84" vm="16895">
        <v>0</v>
      </c>
      <c r="BM147" s="84" vm="15968">
        <v>0</v>
      </c>
      <c r="BN147" s="84" vm="17357">
        <v>29856</v>
      </c>
      <c r="BO147" s="84" vm="16010">
        <v>0</v>
      </c>
      <c r="BP147" s="5" vm="17674">
        <f xml:space="preserve"> VfM_Metrics_2023_Entity[[#This Row],[Total social housing units owned and/or managed at period end]]</f>
        <v>6104</v>
      </c>
      <c r="BQ147" s="135" vm="17674">
        <v>6104</v>
      </c>
      <c r="BR147" s="134">
        <f xml:space="preserve"> IFERROR( VfM_Metrics_2023_Entity[[#This Row],[SHL operating surplus / (deficit)]] / VfM_Metrics_2023_Entity[[#This Row],[Turnover from social housing lettings]], "n/a" )</f>
        <v>0.5625248257682447</v>
      </c>
      <c r="BS147" s="5" vm="17929">
        <f xml:space="preserve"> VfM_Metrics_2023_Entity[[#This Row],[Operating surplus/(deficit) (social housing lettings)]]</f>
        <v>15578</v>
      </c>
      <c r="BT147" s="84" vm="17929">
        <v>15578</v>
      </c>
      <c r="BU147" s="5" vm="18123">
        <f xml:space="preserve"> VfM_Metrics_2023_Entity[[#This Row],[Turnover from social housing lettings]]</f>
        <v>27693</v>
      </c>
      <c r="BV147" s="135" vm="18123">
        <v>27693</v>
      </c>
      <c r="BW147" s="134">
        <f xml:space="preserve"> IFERROR( VfM_Metrics_2023_Entity[[#This Row],[Net operating surplus]] / VfM_Metrics_2023_Entity[[#This Row],[Overall turnover]], "n/a" )</f>
        <v>0.19475695095028228</v>
      </c>
      <c r="BX147" s="5">
        <f xml:space="preserve"> SUM( VfM_Metrics_2023_Entity[[#This Row],[Operating surplus/(deficit) (overall)2]], - VfM_Metrics_2023_Entity[[#This Row],[Gain/(loss) on disposal of fixed assets (housing properties)2]], - VfM_Metrics_2023_Entity[[#This Row],[Gain/(loss) on disposal of fixed assets (other)2]] )</f>
        <v>23907</v>
      </c>
      <c r="BY147" s="84" vm="13521">
        <v>46505</v>
      </c>
      <c r="BZ147" s="84" vm="14044">
        <v>22598</v>
      </c>
      <c r="CA147" s="84" vm="14290">
        <v>0</v>
      </c>
      <c r="CB147" s="5" vm="18279">
        <f xml:space="preserve"> VfM_Metrics_2023_Entity[[#This Row],[Turnover (overall)]]</f>
        <v>122753</v>
      </c>
      <c r="CC147" s="135" vm="18279">
        <v>122753</v>
      </c>
      <c r="CD147" s="134">
        <f xml:space="preserve"> IFERROR( VfM_Metrics_2023_Entity[[#This Row],[Operating surplus including from JVs]] / VfM_Metrics_2023_Entity[[#This Row],[Net assets]], "n/a" )</f>
        <v>6.6673070416396654E-2</v>
      </c>
      <c r="CE147" s="5">
        <f xml:space="preserve"> SUM( VfM_Metrics_2023_Entity[[#This Row],[Operating surplus/(deficit) (overall)3]], VfM_Metrics_2023_Entity[[#This Row],[Share of operating surplus/(deficit) in joint ventures or associates]] )</f>
        <v>46505</v>
      </c>
      <c r="CF147" s="84" vm="18430">
        <v>46505</v>
      </c>
      <c r="CG147" s="84" vm="18484">
        <v>0</v>
      </c>
      <c r="CH147" s="5" vm="18665">
        <f xml:space="preserve"> VfM_Metrics_2023_Entity[[#This Row],[Total assets less current liabilities]]</f>
        <v>697508</v>
      </c>
      <c r="CI147" s="135" vm="18665">
        <v>697508</v>
      </c>
      <c r="CJ147" s="140" vm="11264">
        <f xml:space="preserve"> VfM_Metrics_2023_Entity[[#This Row],[Total social housing units owned (Period end)]]</f>
        <v>6104</v>
      </c>
      <c r="CK147" s="141">
        <v>0</v>
      </c>
      <c r="CL147" s="69">
        <f xml:space="preserve"> -- ( VfM_Metrics_2023_Entity[[#This Row],[% Supported housing (excl. HOP)]] &gt; 0.3 )</f>
        <v>0</v>
      </c>
      <c r="CM147" s="9">
        <v>0</v>
      </c>
      <c r="CN147" s="69">
        <f xml:space="preserve"> -- ( VfM_Metrics_2023_Entity[[#This Row],[% Housing for older people]] &gt; 0.3 )</f>
        <v>0</v>
      </c>
      <c r="CO147" s="9">
        <f xml:space="preserve"> VfM_Metrics_2023_Entity[[#This Row],[% Supported housing (excl. HOP)]] + VfM_Metrics_2023_Entity[[#This Row],[% Housing for older people]]</f>
        <v>0</v>
      </c>
      <c r="CP147" s="69">
        <f xml:space="preserve"> -- ( VfM_Metrics_2023_Entity[[#This Row],[SH specialist in RSH analysis]] + VfM_Metrics_2023_Entity[[#This Row],[OP specialist in RSH analysis]] &gt; 0 )</f>
        <v>0</v>
      </c>
      <c r="CQ147" s="142">
        <f xml:space="preserve"> -- ( VfM_Metrics_2023_Entity[[#This Row],[% SH and OP]] &gt; 0.3 )</f>
        <v>0</v>
      </c>
      <c r="CR147" s="143" t="s">
        <v>143</v>
      </c>
      <c r="CS147" s="120"/>
      <c r="CT147" s="144" t="s">
        <v>144</v>
      </c>
      <c r="CU14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47" s="146">
        <v>8.9121887287024901E-2</v>
      </c>
      <c r="CW147" s="146">
        <v>0.35878112712975097</v>
      </c>
      <c r="CX147" s="146">
        <v>0</v>
      </c>
      <c r="CY147" s="146">
        <v>0.11664482306684142</v>
      </c>
      <c r="CZ147" s="146">
        <v>0.2447575360419397</v>
      </c>
      <c r="DA147" s="146">
        <v>0.19069462647444299</v>
      </c>
      <c r="DB147" s="146">
        <v>0</v>
      </c>
      <c r="DC147" s="146">
        <v>0</v>
      </c>
      <c r="DD147" s="146">
        <v>0</v>
      </c>
      <c r="DE147" s="126">
        <v>1.0131629445290822</v>
      </c>
    </row>
    <row r="148" spans="1:109" x14ac:dyDescent="0.25">
      <c r="A148" s="4" t="s" vm="9244">
        <v>604</v>
      </c>
      <c r="B148" s="4" t="s" vm="9312">
        <v>605</v>
      </c>
      <c r="C148" s="121" vm="18885">
        <v>45016</v>
      </c>
      <c r="D148" s="68">
        <f>IFERROR( VfM_Metrics_2023_Entity[[#This Row],[Reinvestment Spend]] / VfM_Metrics_2023_Entity[[#This Row],[Net Book Value of Housing Properties]], "n/a" )</f>
        <v>5.5729857005068897E-2</v>
      </c>
      <c r="E14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137112</v>
      </c>
      <c r="F148" s="84" vm="9455">
        <v>87877</v>
      </c>
      <c r="G148" s="84" vm="10827">
        <v>0</v>
      </c>
      <c r="H148" s="84" vm="9467">
        <v>41966</v>
      </c>
      <c r="I148" s="84" vm="10926">
        <v>7269</v>
      </c>
      <c r="J148" s="84" vm="9626">
        <v>0</v>
      </c>
      <c r="K148" s="5">
        <f xml:space="preserve"> SUM( VfM_Metrics_2023_Entity[[#This Row],[Tangible fixed assets: Housing properties at cost (Current period)]],VfM_Metrics_2023_Entity[[#This Row],[Tangible fixed assets Housing properties at valuation (Current period)]] )</f>
        <v>2460297</v>
      </c>
      <c r="L148" s="84" vm="10609">
        <v>2460297</v>
      </c>
      <c r="M148" s="84" vm="10262">
        <v>0</v>
      </c>
      <c r="N148" s="134">
        <f xml:space="preserve"> IFERROR( VfM_Metrics_2023_Entity[[#This Row],[Total social units developed or newly built units acquired in-year]] / VfM_Metrics_2023_Entity[[#This Row],[Social housing units owned (period end)]], "n/a" )</f>
        <v>1.2698059090529365E-2</v>
      </c>
      <c r="O148" s="5">
        <f xml:space="preserve"> SUM( VfM_Metrics_2023_Entity[[#This Row],[Total social units developed or newly built units acquired in-year (owned)]], VfM_Metrics_2023_Entity[[#This Row],[Total social leasehold units developed or newly built units acquired in-year (owned)]] )</f>
        <v>456</v>
      </c>
      <c r="P148" s="84" vm="11026">
        <v>456</v>
      </c>
      <c r="Q148" s="84">
        <v>0</v>
      </c>
      <c r="R148" s="5">
        <f xml:space="preserve"> SUM( VfM_Metrics_2023_Entity[[#This Row],[Total social housing units owned (Period end)]], VfM_Metrics_2023_Entity[[#This Row],[Total social leasehold units owned (Period end)]] )</f>
        <v>35911</v>
      </c>
      <c r="S148" s="84" vm="11313">
        <v>34235</v>
      </c>
      <c r="T148" s="135" vm="11532">
        <v>1676</v>
      </c>
      <c r="U148" s="136">
        <f xml:space="preserve"> IFERROR( VfM_Metrics_2023_Entity[[#This Row],[Total non-social housing units developed or newly built units acquired (owned)]] / VfM_Metrics_2023_Entity[[#This Row],[Total social and non-social housing units owned (Period end)]], "n/a" )</f>
        <v>0</v>
      </c>
      <c r="V14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48" s="84" vm="11641">
        <v>0</v>
      </c>
      <c r="X148" s="84">
        <v>0</v>
      </c>
      <c r="Y148" s="84" vm="11931">
        <v>0</v>
      </c>
      <c r="Z14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37379</v>
      </c>
      <c r="AA148" s="84" vm="11313">
        <v>34235</v>
      </c>
      <c r="AB148" s="84" vm="12201">
        <v>1676</v>
      </c>
      <c r="AC148" s="84" vm="12128">
        <v>194</v>
      </c>
      <c r="AD148" s="135" vm="12284">
        <v>1274</v>
      </c>
      <c r="AE148" s="134">
        <f xml:space="preserve"> IFERROR( VfM_Metrics_2023_Entity[[#This Row],[Total Net Debt]] / VfM_Metrics_2023_Entity[[#This Row],[Net Book Value of Housing Properties2]], "n/a" )</f>
        <v>0.55211261079455043</v>
      </c>
      <c r="AF14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1358361</v>
      </c>
      <c r="AG148" s="84" vm="12646">
        <v>14227</v>
      </c>
      <c r="AH148" s="84" vm="12951">
        <v>99233</v>
      </c>
      <c r="AI148" s="84" vm="13044">
        <v>1387</v>
      </c>
      <c r="AJ148" s="84" vm="13131">
        <v>1246288</v>
      </c>
      <c r="AK148" s="84" vm="13217">
        <v>0</v>
      </c>
      <c r="AL148" s="5">
        <f xml:space="preserve"> SUM( VfM_Metrics_2023_Entity[[#This Row],[Tangible fixed assets: Housing properties at cost (Current period)2]], VfM_Metrics_2023_Entity[[#This Row],[Tangible fixed assets Housing properties at valuation (Current period)2]] )</f>
        <v>2460297</v>
      </c>
      <c r="AM148" s="84" vm="9947">
        <v>2460297</v>
      </c>
      <c r="AN148" s="135" vm="10123">
        <v>0</v>
      </c>
      <c r="AO148" s="137">
        <f xml:space="preserve"> IFERROR( VfM_Metrics_2023_Entity[[#This Row],[EBITDA MRI]] / VfM_Metrics_2023_Entity[[#This Row],[Total interest]], "n/a" )</f>
        <v>1.1267063854149895</v>
      </c>
      <c r="AP14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62975</v>
      </c>
      <c r="AQ148" s="84" vm="13553">
        <v>82500</v>
      </c>
      <c r="AR148" s="84" vm="14291">
        <v>7544</v>
      </c>
      <c r="AS148" s="84" vm="14536">
        <v>-17</v>
      </c>
      <c r="AT148" s="84" vm="14783">
        <v>11416</v>
      </c>
      <c r="AU148" s="84" vm="15028">
        <v>0</v>
      </c>
      <c r="AV148" s="84" vm="13792">
        <v>86</v>
      </c>
      <c r="AW148" s="84" vm="14046">
        <v>41966</v>
      </c>
      <c r="AX148" s="84" vm="14292">
        <v>41298</v>
      </c>
      <c r="AY148" s="5">
        <f xml:space="preserve"> - SUM( VfM_Metrics_2023_Entity[[#This Row],[Interest capitalised]], VfM_Metrics_2023_Entity[[#This Row],[Interest payable and financing costs]] )</f>
        <v>55893</v>
      </c>
      <c r="AZ148" s="84" vm="15225">
        <v>-7269</v>
      </c>
      <c r="BA148" s="135" vm="15397">
        <v>-48624</v>
      </c>
      <c r="BB148" s="138">
        <f xml:space="preserve"> IFERROR( ( VfM_Metrics_2023_Entity[[#This Row],[Total Costs]] / VfM_Metrics_2023_Entity[[#This Row],[Total units for costs]] ) * 1000, "n/a" )</f>
        <v>4142.0424701733318</v>
      </c>
      <c r="BC14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165603</v>
      </c>
      <c r="BD148" s="84" vm="17584">
        <v>28706</v>
      </c>
      <c r="BE148" s="84" vm="16463">
        <v>26993</v>
      </c>
      <c r="BF148" s="84" vm="16654">
        <v>37128</v>
      </c>
      <c r="BG148" s="84" vm="16204">
        <v>20212</v>
      </c>
      <c r="BH148" s="84" vm="16896">
        <v>0</v>
      </c>
      <c r="BI148" s="84" vm="17058">
        <v>0</v>
      </c>
      <c r="BJ148" s="84" vm="17128">
        <v>41966</v>
      </c>
      <c r="BK148" s="84" vm="17274">
        <v>100</v>
      </c>
      <c r="BL148" s="84">
        <v>0</v>
      </c>
      <c r="BM148" s="84" vm="16206">
        <v>3621</v>
      </c>
      <c r="BN148" s="84" vm="15969">
        <v>6837</v>
      </c>
      <c r="BO148" s="84" vm="15973">
        <v>40</v>
      </c>
      <c r="BP148" s="5" vm="17809">
        <f xml:space="preserve"> VfM_Metrics_2023_Entity[[#This Row],[Total social housing units owned and/or managed at period end]]</f>
        <v>39981</v>
      </c>
      <c r="BQ148" s="135" vm="17809">
        <v>39981</v>
      </c>
      <c r="BR148" s="134">
        <f xml:space="preserve"> IFERROR( VfM_Metrics_2023_Entity[[#This Row],[SHL operating surplus / (deficit)]] / VfM_Metrics_2023_Entity[[#This Row],[Turnover from social housing lettings]], "n/a" )</f>
        <v>0.32642411943759964</v>
      </c>
      <c r="BS148" s="5" vm="17966">
        <f xml:space="preserve"> VfM_Metrics_2023_Entity[[#This Row],[Operating surplus/(deficit) (social housing lettings)]]</f>
        <v>74316</v>
      </c>
      <c r="BT148" s="84" vm="17966">
        <v>74316</v>
      </c>
      <c r="BU148" s="5" vm="18141">
        <f xml:space="preserve"> VfM_Metrics_2023_Entity[[#This Row],[Turnover from social housing lettings]]</f>
        <v>227667</v>
      </c>
      <c r="BV148" s="135" vm="18141">
        <v>227667</v>
      </c>
      <c r="BW148" s="134">
        <f xml:space="preserve"> IFERROR( VfM_Metrics_2023_Entity[[#This Row],[Net operating surplus]] / VfM_Metrics_2023_Entity[[#This Row],[Overall turnover]], "n/a" )</f>
        <v>0.30986980781153128</v>
      </c>
      <c r="BX148" s="5">
        <f xml:space="preserve"> SUM( VfM_Metrics_2023_Entity[[#This Row],[Operating surplus/(deficit) (overall)2]], - VfM_Metrics_2023_Entity[[#This Row],[Gain/(loss) on disposal of fixed assets (housing properties)2]], - VfM_Metrics_2023_Entity[[#This Row],[Gain/(loss) on disposal of fixed assets (other)2]] )</f>
        <v>74973</v>
      </c>
      <c r="BY148" s="84" vm="13553">
        <v>82500</v>
      </c>
      <c r="BZ148" s="84" vm="14291">
        <v>7544</v>
      </c>
      <c r="CA148" s="84" vm="14536">
        <v>-17</v>
      </c>
      <c r="CB148" s="5" vm="18309">
        <f xml:space="preserve"> VfM_Metrics_2023_Entity[[#This Row],[Turnover (overall)]]</f>
        <v>241950</v>
      </c>
      <c r="CC148" s="135" vm="18309">
        <v>241950</v>
      </c>
      <c r="CD148" s="134">
        <f xml:space="preserve"> IFERROR( VfM_Metrics_2023_Entity[[#This Row],[Operating surplus including from JVs]] / VfM_Metrics_2023_Entity[[#This Row],[Net assets]], "n/a" )</f>
        <v>3.3715372779638368E-2</v>
      </c>
      <c r="CE148" s="5">
        <f xml:space="preserve"> SUM( VfM_Metrics_2023_Entity[[#This Row],[Operating surplus/(deficit) (overall)3]], VfM_Metrics_2023_Entity[[#This Row],[Share of operating surplus/(deficit) in joint ventures or associates]] )</f>
        <v>82500</v>
      </c>
      <c r="CF148" s="84" vm="15136">
        <v>82500</v>
      </c>
      <c r="CG148" s="84">
        <v>0</v>
      </c>
      <c r="CH148" s="5" vm="18697">
        <f xml:space="preserve"> VfM_Metrics_2023_Entity[[#This Row],[Total assets less current liabilities]]</f>
        <v>2446955</v>
      </c>
      <c r="CI148" s="135" vm="18697">
        <v>2446955</v>
      </c>
      <c r="CJ148" s="140" vm="11313">
        <f xml:space="preserve"> VfM_Metrics_2023_Entity[[#This Row],[Total social housing units owned (Period end)]]</f>
        <v>34235</v>
      </c>
      <c r="CK148" s="141">
        <v>1.8579107268053282E-2</v>
      </c>
      <c r="CL148" s="69">
        <f xml:space="preserve"> -- ( VfM_Metrics_2023_Entity[[#This Row],[% Supported housing (excl. HOP)]] &gt; 0.3 )</f>
        <v>0</v>
      </c>
      <c r="CM148" s="9">
        <v>7.9662304276700166E-2</v>
      </c>
      <c r="CN148" s="69">
        <f xml:space="preserve"> -- ( VfM_Metrics_2023_Entity[[#This Row],[% Housing for older people]] &gt; 0.3 )</f>
        <v>0</v>
      </c>
      <c r="CO148" s="9">
        <f xml:space="preserve"> VfM_Metrics_2023_Entity[[#This Row],[% Supported housing (excl. HOP)]] + VfM_Metrics_2023_Entity[[#This Row],[% Housing for older people]]</f>
        <v>9.8241411544753451E-2</v>
      </c>
      <c r="CP148" s="69">
        <f xml:space="preserve"> -- ( VfM_Metrics_2023_Entity[[#This Row],[SH specialist in RSH analysis]] + VfM_Metrics_2023_Entity[[#This Row],[OP specialist in RSH analysis]] &gt; 0 )</f>
        <v>0</v>
      </c>
      <c r="CQ148" s="142">
        <f xml:space="preserve"> -- ( VfM_Metrics_2023_Entity[[#This Row],[% SH and OP]] &gt; 0.3 )</f>
        <v>0</v>
      </c>
      <c r="CR148" s="143" t="s">
        <v>143</v>
      </c>
      <c r="CS148" s="120"/>
      <c r="CT148" s="144" t="s">
        <v>151</v>
      </c>
      <c r="CU14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48" s="146">
        <v>0.13512170889220071</v>
      </c>
      <c r="CW148" s="146">
        <v>0.25794103036147392</v>
      </c>
      <c r="CX148" s="146">
        <v>0</v>
      </c>
      <c r="CY148" s="146">
        <v>0.10283159463487332</v>
      </c>
      <c r="CZ148" s="146">
        <v>0.35770433359632975</v>
      </c>
      <c r="DA148" s="146">
        <v>0.1464013325151223</v>
      </c>
      <c r="DB148" s="146">
        <v>0</v>
      </c>
      <c r="DC148" s="146">
        <v>0</v>
      </c>
      <c r="DD148" s="146">
        <v>0</v>
      </c>
      <c r="DE148" s="126">
        <v>1.0134338809798917</v>
      </c>
    </row>
    <row r="149" spans="1:109" x14ac:dyDescent="0.25">
      <c r="A149" s="4" t="s" vm="348">
        <v>384</v>
      </c>
      <c r="B149" s="4" t="s" vm="9333">
        <v>385</v>
      </c>
      <c r="C149" s="121" vm="18796">
        <v>45016</v>
      </c>
      <c r="D149" s="68">
        <f>IFERROR( VfM_Metrics_2023_Entity[[#This Row],[Reinvestment Spend]] / VfM_Metrics_2023_Entity[[#This Row],[Net Book Value of Housing Properties]], "n/a" )</f>
        <v>9.0444725193823114E-2</v>
      </c>
      <c r="E14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79608</v>
      </c>
      <c r="F149" s="84" vm="9436">
        <v>70726</v>
      </c>
      <c r="G149" s="84" vm="10806">
        <v>0</v>
      </c>
      <c r="H149" s="84" vm="10574">
        <v>6912</v>
      </c>
      <c r="I149" s="84" vm="10673">
        <v>1970</v>
      </c>
      <c r="J149" s="84" vm="9826">
        <v>0</v>
      </c>
      <c r="K149" s="5">
        <f xml:space="preserve"> SUM( VfM_Metrics_2023_Entity[[#This Row],[Tangible fixed assets: Housing properties at cost (Current period)]],VfM_Metrics_2023_Entity[[#This Row],[Tangible fixed assets Housing properties at valuation (Current period)]] )</f>
        <v>880184</v>
      </c>
      <c r="L149" s="84" vm="10539">
        <v>880184</v>
      </c>
      <c r="M149" s="84">
        <v>0</v>
      </c>
      <c r="N149" s="134">
        <f xml:space="preserve"> IFERROR( VfM_Metrics_2023_Entity[[#This Row],[Total social units developed or newly built units acquired in-year]] / VfM_Metrics_2023_Entity[[#This Row],[Social housing units owned (period end)]], "n/a" )</f>
        <v>1.7915563171833619E-2</v>
      </c>
      <c r="O149" s="5">
        <f xml:space="preserve"> SUM( VfM_Metrics_2023_Entity[[#This Row],[Total social units developed or newly built units acquired in-year (owned)]], VfM_Metrics_2023_Entity[[#This Row],[Total social leasehold units developed or newly built units acquired in-year (owned)]] )</f>
        <v>115</v>
      </c>
      <c r="P149" s="84" vm="11053">
        <v>115</v>
      </c>
      <c r="Q149" s="84">
        <v>0</v>
      </c>
      <c r="R149" s="5">
        <f xml:space="preserve"> SUM( VfM_Metrics_2023_Entity[[#This Row],[Total social housing units owned (Period end)]], VfM_Metrics_2023_Entity[[#This Row],[Total social leasehold units owned (Period end)]] )</f>
        <v>6419</v>
      </c>
      <c r="S149" s="84" vm="11368">
        <v>6164</v>
      </c>
      <c r="T149" s="135" vm="11508">
        <v>255</v>
      </c>
      <c r="U149" s="136">
        <f xml:space="preserve"> IFERROR( VfM_Metrics_2023_Entity[[#This Row],[Total non-social housing units developed or newly built units acquired (owned)]] / VfM_Metrics_2023_Entity[[#This Row],[Total social and non-social housing units owned (Period end)]], "n/a" )</f>
        <v>5.5959709009513155E-4</v>
      </c>
      <c r="V14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4</v>
      </c>
      <c r="W149" s="84">
        <v>0</v>
      </c>
      <c r="X149" s="84" vm="11714">
        <v>4</v>
      </c>
      <c r="Y149" s="84">
        <v>0</v>
      </c>
      <c r="Z14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7148</v>
      </c>
      <c r="AA149" s="84" vm="11368">
        <v>6164</v>
      </c>
      <c r="AB149" s="84" vm="11508">
        <v>255</v>
      </c>
      <c r="AC149" s="84" vm="12381">
        <v>174</v>
      </c>
      <c r="AD149" s="135" vm="12516">
        <v>555</v>
      </c>
      <c r="AE149" s="134">
        <f xml:space="preserve"> IFERROR( VfM_Metrics_2023_Entity[[#This Row],[Total Net Debt]] / VfM_Metrics_2023_Entity[[#This Row],[Net Book Value of Housing Properties2]], "n/a" )</f>
        <v>0.52274410805013494</v>
      </c>
      <c r="AF14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460111</v>
      </c>
      <c r="AG149" s="84" vm="12672">
        <v>82608</v>
      </c>
      <c r="AH149" s="84" vm="12782">
        <v>222479</v>
      </c>
      <c r="AI149" s="84" vm="13340">
        <v>4976</v>
      </c>
      <c r="AJ149" s="84" vm="12873">
        <v>160000</v>
      </c>
      <c r="AK149" s="84">
        <v>0</v>
      </c>
      <c r="AL149" s="5">
        <f xml:space="preserve"> SUM( VfM_Metrics_2023_Entity[[#This Row],[Tangible fixed assets: Housing properties at cost (Current period)2]], VfM_Metrics_2023_Entity[[#This Row],[Tangible fixed assets Housing properties at valuation (Current period)2]] )</f>
        <v>880184</v>
      </c>
      <c r="AM149" s="84" vm="9964">
        <v>880184</v>
      </c>
      <c r="AN149" s="135">
        <v>0</v>
      </c>
      <c r="AO149" s="137">
        <f xml:space="preserve"> IFERROR( VfM_Metrics_2023_Entity[[#This Row],[EBITDA MRI]] / VfM_Metrics_2023_Entity[[#This Row],[Total interest]], "n/a" )</f>
        <v>0.44415718717683556</v>
      </c>
      <c r="AP14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6872</v>
      </c>
      <c r="AQ149" s="84" vm="13583">
        <v>9278</v>
      </c>
      <c r="AR149" s="84" vm="14537">
        <v>1312</v>
      </c>
      <c r="AS149" s="84">
        <v>0</v>
      </c>
      <c r="AT149" s="84" vm="15029">
        <v>1833</v>
      </c>
      <c r="AU149" s="84" vm="13793">
        <v>0</v>
      </c>
      <c r="AV149" s="84" vm="14047">
        <v>102</v>
      </c>
      <c r="AW149" s="84" vm="14293">
        <v>6912</v>
      </c>
      <c r="AX149" s="84" vm="14538">
        <v>7549</v>
      </c>
      <c r="AY149" s="5">
        <f xml:space="preserve"> - SUM( VfM_Metrics_2023_Entity[[#This Row],[Interest capitalised]], VfM_Metrics_2023_Entity[[#This Row],[Interest payable and financing costs]] )</f>
        <v>15472</v>
      </c>
      <c r="AZ149" s="84" vm="15255">
        <v>-1970</v>
      </c>
      <c r="BA149" s="135" vm="15429">
        <v>-13502</v>
      </c>
      <c r="BB149" s="138">
        <f xml:space="preserve"> IFERROR( ( VfM_Metrics_2023_Entity[[#This Row],[Total Costs]] / VfM_Metrics_2023_Entity[[#This Row],[Total units for costs]] ) * 1000, "n/a" )</f>
        <v>7738.3268482490275</v>
      </c>
      <c r="BC14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47730</v>
      </c>
      <c r="BD149" s="84" vm="16154">
        <v>10240</v>
      </c>
      <c r="BE149" s="84" vm="17129">
        <v>8332</v>
      </c>
      <c r="BF149" s="84" vm="17358">
        <v>6846</v>
      </c>
      <c r="BG149" s="84" vm="17585">
        <v>3916</v>
      </c>
      <c r="BH149" s="84" vm="16465">
        <v>0</v>
      </c>
      <c r="BI149" s="84" vm="16207">
        <v>0</v>
      </c>
      <c r="BJ149" s="84" vm="14293">
        <v>6912</v>
      </c>
      <c r="BK149" s="84" vm="16827">
        <v>8587</v>
      </c>
      <c r="BL149" s="84">
        <v>0</v>
      </c>
      <c r="BM149" s="84" vm="16012">
        <v>292</v>
      </c>
      <c r="BN149" s="84">
        <v>0</v>
      </c>
      <c r="BO149" s="84" vm="16156">
        <v>2605</v>
      </c>
      <c r="BP149" s="5" vm="17709">
        <f xml:space="preserve"> VfM_Metrics_2023_Entity[[#This Row],[Total social housing units owned and/or managed at period end]]</f>
        <v>6168</v>
      </c>
      <c r="BQ149" s="135" vm="17709">
        <v>6168</v>
      </c>
      <c r="BR149" s="134">
        <f xml:space="preserve"> IFERROR( VfM_Metrics_2023_Entity[[#This Row],[SHL operating surplus / (deficit)]] / VfM_Metrics_2023_Entity[[#This Row],[Turnover from social housing lettings]], "n/a" )</f>
        <v>6.4368098662241621E-2</v>
      </c>
      <c r="BS149" s="5" vm="18000">
        <f xml:space="preserve"> VfM_Metrics_2023_Entity[[#This Row],[Operating surplus/(deficit) (social housing lettings)]]</f>
        <v>3142</v>
      </c>
      <c r="BT149" s="84" vm="18000">
        <v>3142</v>
      </c>
      <c r="BU149" s="5" vm="18178">
        <f xml:space="preserve"> VfM_Metrics_2023_Entity[[#This Row],[Turnover from social housing lettings]]</f>
        <v>48813</v>
      </c>
      <c r="BV149" s="135" vm="18178">
        <v>48813</v>
      </c>
      <c r="BW149" s="134">
        <f xml:space="preserve"> IFERROR( VfM_Metrics_2023_Entity[[#This Row],[Net operating surplus]] / VfM_Metrics_2023_Entity[[#This Row],[Overall turnover]], "n/a" )</f>
        <v>0.12480611653375531</v>
      </c>
      <c r="BX149" s="5">
        <f xml:space="preserve"> SUM( VfM_Metrics_2023_Entity[[#This Row],[Operating surplus/(deficit) (overall)2]], - VfM_Metrics_2023_Entity[[#This Row],[Gain/(loss) on disposal of fixed assets (housing properties)2]], - VfM_Metrics_2023_Entity[[#This Row],[Gain/(loss) on disposal of fixed assets (other)2]] )</f>
        <v>7966</v>
      </c>
      <c r="BY149" s="84" vm="13583">
        <v>9278</v>
      </c>
      <c r="BZ149" s="84" vm="14537">
        <v>1312</v>
      </c>
      <c r="CA149" s="84">
        <v>0</v>
      </c>
      <c r="CB149" s="5" vm="18351">
        <f xml:space="preserve"> VfM_Metrics_2023_Entity[[#This Row],[Turnover (overall)]]</f>
        <v>63827</v>
      </c>
      <c r="CC149" s="135" vm="18351">
        <v>63827</v>
      </c>
      <c r="CD149" s="134">
        <f xml:space="preserve"> IFERROR( VfM_Metrics_2023_Entity[[#This Row],[Operating surplus including from JVs]] / VfM_Metrics_2023_Entity[[#This Row],[Net assets]], "n/a" )</f>
        <v>1.1074916233860022E-2</v>
      </c>
      <c r="CE149" s="5">
        <f xml:space="preserve"> SUM( VfM_Metrics_2023_Entity[[#This Row],[Operating surplus/(deficit) (overall)3]], VfM_Metrics_2023_Entity[[#This Row],[Share of operating surplus/(deficit) in joint ventures or associates]] )</f>
        <v>9278</v>
      </c>
      <c r="CF149" s="84" vm="13583">
        <v>9278</v>
      </c>
      <c r="CG149" s="84" vm="18519">
        <v>0</v>
      </c>
      <c r="CH149" s="5" vm="18725">
        <f xml:space="preserve"> VfM_Metrics_2023_Entity[[#This Row],[Total assets less current liabilities]]</f>
        <v>837749</v>
      </c>
      <c r="CI149" s="135" vm="18725">
        <v>837749</v>
      </c>
      <c r="CJ149" s="140" vm="11368">
        <f xml:space="preserve"> VfM_Metrics_2023_Entity[[#This Row],[Total social housing units owned (Period end)]]</f>
        <v>6164</v>
      </c>
      <c r="CK149" s="141">
        <v>4.6104360257326664E-2</v>
      </c>
      <c r="CL149" s="69">
        <f xml:space="preserve"> -- ( VfM_Metrics_2023_Entity[[#This Row],[% Supported housing (excl. HOP)]] &gt; 0.3 )</f>
        <v>0</v>
      </c>
      <c r="CM149" s="9">
        <v>7.1837026447462468E-2</v>
      </c>
      <c r="CN149" s="69">
        <f xml:space="preserve"> -- ( VfM_Metrics_2023_Entity[[#This Row],[% Housing for older people]] &gt; 0.3 )</f>
        <v>0</v>
      </c>
      <c r="CO149" s="9">
        <f xml:space="preserve"> VfM_Metrics_2023_Entity[[#This Row],[% Supported housing (excl. HOP)]] + VfM_Metrics_2023_Entity[[#This Row],[% Housing for older people]]</f>
        <v>0.11794138670478913</v>
      </c>
      <c r="CP149" s="69">
        <f xml:space="preserve"> -- ( VfM_Metrics_2023_Entity[[#This Row],[SH specialist in RSH analysis]] + VfM_Metrics_2023_Entity[[#This Row],[OP specialist in RSH analysis]] &gt; 0 )</f>
        <v>0</v>
      </c>
      <c r="CQ149" s="142">
        <f xml:space="preserve"> -- ( VfM_Metrics_2023_Entity[[#This Row],[% SH and OP]] &gt; 0.3 )</f>
        <v>0</v>
      </c>
      <c r="CR149" s="143" t="s">
        <v>143</v>
      </c>
      <c r="CS149" s="120"/>
      <c r="CT149" s="144" t="s">
        <v>144</v>
      </c>
      <c r="CU14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49" s="146">
        <v>0.77579435915744377</v>
      </c>
      <c r="CW149" s="146">
        <v>5.355230274901821E-4</v>
      </c>
      <c r="CX149" s="146">
        <v>0</v>
      </c>
      <c r="CY149" s="146">
        <v>0</v>
      </c>
      <c r="CZ149" s="146">
        <v>0</v>
      </c>
      <c r="DA149" s="146">
        <v>0.22367011781506604</v>
      </c>
      <c r="DB149" s="146">
        <v>0</v>
      </c>
      <c r="DC149" s="146">
        <v>0</v>
      </c>
      <c r="DD149" s="146">
        <v>0</v>
      </c>
      <c r="DE149" s="126">
        <v>1.1269753884153848</v>
      </c>
    </row>
    <row r="150" spans="1:109" x14ac:dyDescent="0.25">
      <c r="A150" s="4" t="s" vm="308">
        <v>386</v>
      </c>
      <c r="B150" s="4" t="s" vm="9353">
        <v>387</v>
      </c>
      <c r="C150" s="121" vm="18833">
        <v>44926</v>
      </c>
      <c r="D150" s="68">
        <f>IFERROR( VfM_Metrics_2023_Entity[[#This Row],[Reinvestment Spend]] / VfM_Metrics_2023_Entity[[#This Row],[Net Book Value of Housing Properties]], "n/a" )</f>
        <v>3.7370851628507194E-2</v>
      </c>
      <c r="E15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9209</v>
      </c>
      <c r="F150" s="84" vm="9445">
        <v>6922</v>
      </c>
      <c r="G150" s="84" vm="10798">
        <v>0</v>
      </c>
      <c r="H150" s="84" vm="9731">
        <v>2287</v>
      </c>
      <c r="I150" s="84" vm="10768">
        <v>0</v>
      </c>
      <c r="J150" s="84" vm="10661">
        <v>0</v>
      </c>
      <c r="K150" s="5">
        <f xml:space="preserve"> SUM( VfM_Metrics_2023_Entity[[#This Row],[Tangible fixed assets: Housing properties at cost (Current period)]],VfM_Metrics_2023_Entity[[#This Row],[Tangible fixed assets Housing properties at valuation (Current period)]] )</f>
        <v>246422</v>
      </c>
      <c r="L150" s="84" vm="9981">
        <v>246422</v>
      </c>
      <c r="M150" s="84">
        <v>0</v>
      </c>
      <c r="N150" s="134">
        <f xml:space="preserve"> IFERROR( VfM_Metrics_2023_Entity[[#This Row],[Total social units developed or newly built units acquired in-year]] / VfM_Metrics_2023_Entity[[#This Row],[Social housing units owned (period end)]], "n/a" )</f>
        <v>9.3579412529243566E-3</v>
      </c>
      <c r="O150" s="5">
        <f xml:space="preserve"> SUM( VfM_Metrics_2023_Entity[[#This Row],[Total social units developed or newly built units acquired in-year (owned)]], VfM_Metrics_2023_Entity[[#This Row],[Total social leasehold units developed or newly built units acquired in-year (owned)]] )</f>
        <v>36</v>
      </c>
      <c r="P150" s="84" vm="11072">
        <v>36</v>
      </c>
      <c r="Q150" s="84">
        <v>0</v>
      </c>
      <c r="R150" s="5">
        <f xml:space="preserve"> SUM( VfM_Metrics_2023_Entity[[#This Row],[Total social housing units owned (Period end)]], VfM_Metrics_2023_Entity[[#This Row],[Total social leasehold units owned (Period end)]] )</f>
        <v>3847</v>
      </c>
      <c r="S150" s="84" vm="11382">
        <v>3847</v>
      </c>
      <c r="T150" s="135" vm="11497">
        <v>0</v>
      </c>
      <c r="U150" s="136">
        <f xml:space="preserve"> IFERROR( VfM_Metrics_2023_Entity[[#This Row],[Total non-social housing units developed or newly built units acquired (owned)]] / VfM_Metrics_2023_Entity[[#This Row],[Total social and non-social housing units owned (Period end)]], "n/a" )</f>
        <v>3.2202130294773347E-2</v>
      </c>
      <c r="V15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130</v>
      </c>
      <c r="W150" s="84" vm="11673">
        <v>130</v>
      </c>
      <c r="X150" s="84">
        <v>0</v>
      </c>
      <c r="Y150" s="84">
        <v>0</v>
      </c>
      <c r="Z15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4037</v>
      </c>
      <c r="AA150" s="84" vm="12052">
        <v>3847</v>
      </c>
      <c r="AB150" s="84" vm="12201">
        <v>0</v>
      </c>
      <c r="AC150" s="84" vm="12129">
        <v>190</v>
      </c>
      <c r="AD150" s="135" vm="12285">
        <v>0</v>
      </c>
      <c r="AE150" s="134">
        <f xml:space="preserve"> IFERROR( VfM_Metrics_2023_Entity[[#This Row],[Total Net Debt]] / VfM_Metrics_2023_Entity[[#This Row],[Net Book Value of Housing Properties2]], "n/a" )</f>
        <v>0.42716559398105691</v>
      </c>
      <c r="AF15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105263</v>
      </c>
      <c r="AG150" s="84" vm="12694">
        <v>1615</v>
      </c>
      <c r="AH150" s="84" vm="13045">
        <v>107887</v>
      </c>
      <c r="AI150" s="84" vm="13132">
        <v>4239</v>
      </c>
      <c r="AJ150" s="84">
        <v>0</v>
      </c>
      <c r="AK150" s="84">
        <v>0</v>
      </c>
      <c r="AL150" s="5">
        <f xml:space="preserve"> SUM( VfM_Metrics_2023_Entity[[#This Row],[Tangible fixed assets: Housing properties at cost (Current period)2]], VfM_Metrics_2023_Entity[[#This Row],[Tangible fixed assets Housing properties at valuation (Current period)2]] )</f>
        <v>246422</v>
      </c>
      <c r="AM150" s="84" vm="9981">
        <v>246422</v>
      </c>
      <c r="AN150" s="135">
        <v>0</v>
      </c>
      <c r="AO150" s="137">
        <f xml:space="preserve"> IFERROR( VfM_Metrics_2023_Entity[[#This Row],[EBITDA MRI]] / VfM_Metrics_2023_Entity[[#This Row],[Total interest]], "n/a" )</f>
        <v>1.5021276595744681</v>
      </c>
      <c r="AP15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5295</v>
      </c>
      <c r="AQ150" s="84" vm="13613">
        <v>5254</v>
      </c>
      <c r="AR150" s="84" vm="14784">
        <v>426</v>
      </c>
      <c r="AS150" s="84">
        <v>0</v>
      </c>
      <c r="AT150" s="84" vm="13794">
        <v>911</v>
      </c>
      <c r="AU150" s="84" vm="14048">
        <v>176</v>
      </c>
      <c r="AV150" s="84" vm="14294">
        <v>117</v>
      </c>
      <c r="AW150" s="84" vm="14539">
        <v>2287</v>
      </c>
      <c r="AX150" s="84" vm="14785">
        <v>3724</v>
      </c>
      <c r="AY150" s="5">
        <f xml:space="preserve"> - SUM( VfM_Metrics_2023_Entity[[#This Row],[Interest capitalised]], VfM_Metrics_2023_Entity[[#This Row],[Interest payable and financing costs]] )</f>
        <v>3525</v>
      </c>
      <c r="AZ150" s="84" vm="15303">
        <v>0</v>
      </c>
      <c r="BA150" s="135" vm="15463">
        <v>-3525</v>
      </c>
      <c r="BB150" s="138">
        <f xml:space="preserve"> IFERROR( ( VfM_Metrics_2023_Entity[[#This Row],[Total Costs]] / VfM_Metrics_2023_Entity[[#This Row],[Total units for costs]] ) * 1000, "n/a" )</f>
        <v>10012.856775520699</v>
      </c>
      <c r="BC15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38940</v>
      </c>
      <c r="BD150" s="84" vm="15610">
        <v>6548</v>
      </c>
      <c r="BE150" s="84" vm="16737">
        <v>2570</v>
      </c>
      <c r="BF150" s="84" vm="16897">
        <v>3390</v>
      </c>
      <c r="BG150" s="84" vm="17059">
        <v>1447</v>
      </c>
      <c r="BH150" s="84" vm="17275">
        <v>0</v>
      </c>
      <c r="BI150" s="84" vm="17359">
        <v>361</v>
      </c>
      <c r="BJ150" s="84" vm="14539">
        <v>2287</v>
      </c>
      <c r="BK150" s="84" vm="15971">
        <v>0</v>
      </c>
      <c r="BL150" s="84" vm="16828">
        <v>8865</v>
      </c>
      <c r="BM150" s="84" vm="16898">
        <v>49</v>
      </c>
      <c r="BN150" s="84" vm="16014">
        <v>9386</v>
      </c>
      <c r="BO150" s="84" vm="16655">
        <v>4037</v>
      </c>
      <c r="BP150" s="5" vm="17744">
        <f xml:space="preserve"> VfM_Metrics_2023_Entity[[#This Row],[Total social housing units owned and/or managed at period end]]</f>
        <v>3889</v>
      </c>
      <c r="BQ150" s="135" vm="17744">
        <v>3889</v>
      </c>
      <c r="BR150" s="134">
        <f xml:space="preserve"> IFERROR( VfM_Metrics_2023_Entity[[#This Row],[SHL operating surplus / (deficit)]] / VfM_Metrics_2023_Entity[[#This Row],[Turnover from social housing lettings]], "n/a" )</f>
        <v>0.19595750427658234</v>
      </c>
      <c r="BS150" s="5" vm="18025">
        <f xml:space="preserve"> VfM_Metrics_2023_Entity[[#This Row],[Operating surplus/(deficit) (social housing lettings)]]</f>
        <v>4353</v>
      </c>
      <c r="BT150" s="84" vm="18025">
        <v>4353</v>
      </c>
      <c r="BU150" s="5" vm="18201">
        <f xml:space="preserve"> VfM_Metrics_2023_Entity[[#This Row],[Turnover from social housing lettings]]</f>
        <v>22214</v>
      </c>
      <c r="BV150" s="135" vm="18201">
        <v>22214</v>
      </c>
      <c r="BW150" s="134">
        <f xml:space="preserve"> IFERROR( VfM_Metrics_2023_Entity[[#This Row],[Net operating surplus]] / VfM_Metrics_2023_Entity[[#This Row],[Overall turnover]], "n/a" )</f>
        <v>0.10140939738284778</v>
      </c>
      <c r="BX150" s="5">
        <f xml:space="preserve"> SUM( VfM_Metrics_2023_Entity[[#This Row],[Operating surplus/(deficit) (overall)2]], - VfM_Metrics_2023_Entity[[#This Row],[Gain/(loss) on disposal of fixed assets (housing properties)2]], - VfM_Metrics_2023_Entity[[#This Row],[Gain/(loss) on disposal of fixed assets (other)2]] )</f>
        <v>4828</v>
      </c>
      <c r="BY150" s="84" vm="13613">
        <v>5254</v>
      </c>
      <c r="BZ150" s="84" vm="14784">
        <v>426</v>
      </c>
      <c r="CA150" s="84">
        <v>0</v>
      </c>
      <c r="CB150" s="5" vm="18377">
        <f xml:space="preserve"> VfM_Metrics_2023_Entity[[#This Row],[Turnover (overall)]]</f>
        <v>47609</v>
      </c>
      <c r="CC150" s="135" vm="18377">
        <v>47609</v>
      </c>
      <c r="CD150" s="134">
        <f xml:space="preserve"> IFERROR( VfM_Metrics_2023_Entity[[#This Row],[Operating surplus including from JVs]] / VfM_Metrics_2023_Entity[[#This Row],[Net assets]], "n/a" )</f>
        <v>2.0074582384496647E-2</v>
      </c>
      <c r="CE150" s="5">
        <f xml:space="preserve"> SUM( VfM_Metrics_2023_Entity[[#This Row],[Operating surplus/(deficit) (overall)3]], VfM_Metrics_2023_Entity[[#This Row],[Share of operating surplus/(deficit) in joint ventures or associates]] )</f>
        <v>5254</v>
      </c>
      <c r="CF150" s="84" vm="13614">
        <v>5254</v>
      </c>
      <c r="CG150" s="84">
        <v>0</v>
      </c>
      <c r="CH150" s="5" vm="18746">
        <f xml:space="preserve"> VfM_Metrics_2023_Entity[[#This Row],[Total assets less current liabilities]]</f>
        <v>261724</v>
      </c>
      <c r="CI150" s="135" vm="18746">
        <v>261724</v>
      </c>
      <c r="CJ150" s="140" vm="11382">
        <f xml:space="preserve"> VfM_Metrics_2023_Entity[[#This Row],[Total social housing units owned (Period end)]]</f>
        <v>3847</v>
      </c>
      <c r="CK150" s="141">
        <v>0.10132501948558068</v>
      </c>
      <c r="CL150" s="69">
        <f xml:space="preserve"> -- ( VfM_Metrics_2023_Entity[[#This Row],[% Supported housing (excl. HOP)]] &gt; 0.3 )</f>
        <v>0</v>
      </c>
      <c r="CM150" s="9">
        <v>0.11119771369186801</v>
      </c>
      <c r="CN150" s="69">
        <f xml:space="preserve"> -- ( VfM_Metrics_2023_Entity[[#This Row],[% Housing for older people]] &gt; 0.3 )</f>
        <v>0</v>
      </c>
      <c r="CO150" s="9">
        <f xml:space="preserve"> VfM_Metrics_2023_Entity[[#This Row],[% Supported housing (excl. HOP)]] + VfM_Metrics_2023_Entity[[#This Row],[% Housing for older people]]</f>
        <v>0.21252273317744869</v>
      </c>
      <c r="CP150" s="69">
        <f xml:space="preserve"> -- ( VfM_Metrics_2023_Entity[[#This Row],[SH specialist in RSH analysis]] + VfM_Metrics_2023_Entity[[#This Row],[OP specialist in RSH analysis]] &gt; 0 )</f>
        <v>0</v>
      </c>
      <c r="CQ150" s="142">
        <f xml:space="preserve"> -- ( VfM_Metrics_2023_Entity[[#This Row],[% SH and OP]] &gt; 0.3 )</f>
        <v>0</v>
      </c>
      <c r="CR150" s="143" t="s">
        <v>143</v>
      </c>
      <c r="CS150" s="120"/>
      <c r="CT150" s="144" t="s">
        <v>144</v>
      </c>
      <c r="CU15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150" s="146">
        <v>0</v>
      </c>
      <c r="CW150" s="146">
        <v>0</v>
      </c>
      <c r="CX150" s="146">
        <v>0</v>
      </c>
      <c r="CY150" s="146">
        <v>0</v>
      </c>
      <c r="CZ150" s="146">
        <v>0</v>
      </c>
      <c r="DA150" s="146">
        <v>1</v>
      </c>
      <c r="DB150" s="146">
        <v>0</v>
      </c>
      <c r="DC150" s="146">
        <v>0</v>
      </c>
      <c r="DD150" s="146">
        <v>0</v>
      </c>
      <c r="DE150" s="126">
        <v>1.0113701298544711</v>
      </c>
    </row>
    <row r="151" spans="1:109" x14ac:dyDescent="0.25">
      <c r="A151" s="4" t="s" vm="9245">
        <v>606</v>
      </c>
      <c r="B151" s="4" t="s" vm="9371">
        <v>607</v>
      </c>
      <c r="C151" s="121" vm="18976">
        <v>45016</v>
      </c>
      <c r="D151" s="68">
        <f>IFERROR( VfM_Metrics_2023_Entity[[#This Row],[Reinvestment Spend]] / VfM_Metrics_2023_Entity[[#This Row],[Net Book Value of Housing Properties]], "n/a" )</f>
        <v>6.7824773315194625E-2</v>
      </c>
      <c r="E15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103801</v>
      </c>
      <c r="F151" s="84" vm="10569">
        <v>93569</v>
      </c>
      <c r="G151" s="84" vm="10362">
        <v>0</v>
      </c>
      <c r="H151" s="84" vm="9686">
        <v>8100</v>
      </c>
      <c r="I151" s="84" vm="10535">
        <v>2132</v>
      </c>
      <c r="J151" s="84" vm="9725">
        <v>0</v>
      </c>
      <c r="K151" s="5">
        <f xml:space="preserve"> SUM( VfM_Metrics_2023_Entity[[#This Row],[Tangible fixed assets: Housing properties at cost (Current period)]],VfM_Metrics_2023_Entity[[#This Row],[Tangible fixed assets Housing properties at valuation (Current period)]] )</f>
        <v>1530429</v>
      </c>
      <c r="L151" s="84" vm="10348">
        <v>1530429</v>
      </c>
      <c r="M151" s="84" vm="10169">
        <v>0</v>
      </c>
      <c r="N151" s="134">
        <f xml:space="preserve"> IFERROR( VfM_Metrics_2023_Entity[[#This Row],[Total social units developed or newly built units acquired in-year]] / VfM_Metrics_2023_Entity[[#This Row],[Social housing units owned (period end)]], "n/a" )</f>
        <v>2.9759124574631347E-2</v>
      </c>
      <c r="O151" s="5">
        <f xml:space="preserve"> SUM( VfM_Metrics_2023_Entity[[#This Row],[Total social units developed or newly built units acquired in-year (owned)]], VfM_Metrics_2023_Entity[[#This Row],[Total social leasehold units developed or newly built units acquired in-year (owned)]] )</f>
        <v>446</v>
      </c>
      <c r="P151" s="84" vm="11093">
        <v>446</v>
      </c>
      <c r="Q151" s="84">
        <v>0</v>
      </c>
      <c r="R151" s="5">
        <f xml:space="preserve"> SUM( VfM_Metrics_2023_Entity[[#This Row],[Total social housing units owned (Period end)]], VfM_Metrics_2023_Entity[[#This Row],[Total social leasehold units owned (Period end)]] )</f>
        <v>14987</v>
      </c>
      <c r="S151" s="84" vm="11306">
        <v>14987</v>
      </c>
      <c r="T151" s="135" vm="11507">
        <v>0</v>
      </c>
      <c r="U151" s="136">
        <f xml:space="preserve"> IFERROR( VfM_Metrics_2023_Entity[[#This Row],[Total non-social housing units developed or newly built units acquired (owned)]] / VfM_Metrics_2023_Entity[[#This Row],[Total social and non-social housing units owned (Period end)]], "n/a" )</f>
        <v>0</v>
      </c>
      <c r="V15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51" s="84">
        <v>0</v>
      </c>
      <c r="X151" s="84">
        <v>0</v>
      </c>
      <c r="Y151" s="84" vm="11932">
        <v>0</v>
      </c>
      <c r="Z15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15995</v>
      </c>
      <c r="AA151" s="84" vm="11958">
        <v>14987</v>
      </c>
      <c r="AB151" s="84" vm="11513">
        <v>0</v>
      </c>
      <c r="AC151" s="84" vm="12381">
        <v>285</v>
      </c>
      <c r="AD151" s="135" vm="12517">
        <v>723</v>
      </c>
      <c r="AE151" s="134">
        <f xml:space="preserve"> IFERROR( VfM_Metrics_2023_Entity[[#This Row],[Total Net Debt]] / VfM_Metrics_2023_Entity[[#This Row],[Net Book Value of Housing Properties2]], "n/a" )</f>
        <v>0.55097034883682938</v>
      </c>
      <c r="AF15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843221</v>
      </c>
      <c r="AG151" s="84" vm="12569">
        <v>3839</v>
      </c>
      <c r="AH151" s="84" vm="13305">
        <v>855478</v>
      </c>
      <c r="AI151" s="84" vm="12874">
        <v>16096</v>
      </c>
      <c r="AJ151" s="84">
        <v>0</v>
      </c>
      <c r="AK151" s="84">
        <v>0</v>
      </c>
      <c r="AL151" s="5">
        <f xml:space="preserve"> SUM( VfM_Metrics_2023_Entity[[#This Row],[Tangible fixed assets: Housing properties at cost (Current period)2]], VfM_Metrics_2023_Entity[[#This Row],[Tangible fixed assets Housing properties at valuation (Current period)2]] )</f>
        <v>1530429</v>
      </c>
      <c r="AM151" s="84" vm="9996">
        <v>1530429</v>
      </c>
      <c r="AN151" s="135" vm="10169">
        <v>0</v>
      </c>
      <c r="AO151" s="137">
        <f xml:space="preserve"> IFERROR( VfM_Metrics_2023_Entity[[#This Row],[EBITDA MRI]] / VfM_Metrics_2023_Entity[[#This Row],[Total interest]], "n/a" )</f>
        <v>1.439770919503659</v>
      </c>
      <c r="AP15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45252</v>
      </c>
      <c r="AQ151" s="84" vm="13452">
        <v>47599</v>
      </c>
      <c r="AR151" s="84" vm="15030">
        <v>6840</v>
      </c>
      <c r="AS151" s="84">
        <v>0</v>
      </c>
      <c r="AT151" s="84" vm="14049">
        <v>400</v>
      </c>
      <c r="AU151" s="84" vm="14295">
        <v>0</v>
      </c>
      <c r="AV151" s="84" vm="14540">
        <v>1077</v>
      </c>
      <c r="AW151" s="84" vm="14786">
        <v>8100</v>
      </c>
      <c r="AX151" s="84" vm="15031">
        <v>11916</v>
      </c>
      <c r="AY151" s="5">
        <f xml:space="preserve"> - SUM( VfM_Metrics_2023_Entity[[#This Row],[Interest capitalised]], VfM_Metrics_2023_Entity[[#This Row],[Interest payable and financing costs]] )</f>
        <v>31430</v>
      </c>
      <c r="AZ151" s="84" vm="15292">
        <v>-2179</v>
      </c>
      <c r="BA151" s="135" vm="15495">
        <v>-29251</v>
      </c>
      <c r="BB151" s="138">
        <f xml:space="preserve"> IFERROR( ( VfM_Metrics_2023_Entity[[#This Row],[Total Costs]] / VfM_Metrics_2023_Entity[[#This Row],[Total units for costs]] ) * 1000, "n/a" )</f>
        <v>4273.5292166876707</v>
      </c>
      <c r="BC15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64432</v>
      </c>
      <c r="BD151" s="84" vm="15592">
        <v>11227</v>
      </c>
      <c r="BE151" s="84" vm="17517">
        <v>8014</v>
      </c>
      <c r="BF151" s="84" vm="17586">
        <v>20578</v>
      </c>
      <c r="BG151" s="84" vm="16467">
        <v>9869</v>
      </c>
      <c r="BH151" s="84" vm="16656">
        <v>0</v>
      </c>
      <c r="BI151" s="84" vm="16738">
        <v>2651</v>
      </c>
      <c r="BJ151" s="84" vm="16829">
        <v>8100</v>
      </c>
      <c r="BK151" s="84" vm="16899">
        <v>3012</v>
      </c>
      <c r="BL151" s="84">
        <v>0</v>
      </c>
      <c r="BM151" s="84">
        <v>0</v>
      </c>
      <c r="BN151" s="84" vm="16469">
        <v>972</v>
      </c>
      <c r="BO151" s="84" vm="15973">
        <v>9</v>
      </c>
      <c r="BP151" s="5" vm="17777">
        <f xml:space="preserve"> VfM_Metrics_2023_Entity[[#This Row],[Total social housing units owned and/or managed at period end]]</f>
        <v>15077</v>
      </c>
      <c r="BQ151" s="135" vm="17777">
        <v>15077</v>
      </c>
      <c r="BR151" s="134">
        <f xml:space="preserve"> IFERROR( VfM_Metrics_2023_Entity[[#This Row],[SHL operating surplus / (deficit)]] / VfM_Metrics_2023_Entity[[#This Row],[Turnover from social housing lettings]], "n/a" )</f>
        <v>0.35449787892003332</v>
      </c>
      <c r="BS151" s="5" vm="17855">
        <f xml:space="preserve"> VfM_Metrics_2023_Entity[[#This Row],[Operating surplus/(deficit) (social housing lettings)]]</f>
        <v>35766</v>
      </c>
      <c r="BT151" s="84" vm="17855">
        <v>35766</v>
      </c>
      <c r="BU151" s="5" vm="18066">
        <f xml:space="preserve"> VfM_Metrics_2023_Entity[[#This Row],[Turnover from social housing lettings]]</f>
        <v>100892</v>
      </c>
      <c r="BV151" s="135" vm="18066">
        <v>100892</v>
      </c>
      <c r="BW151" s="134">
        <f xml:space="preserve"> IFERROR( VfM_Metrics_2023_Entity[[#This Row],[Net operating surplus]] / VfM_Metrics_2023_Entity[[#This Row],[Overall turnover]], "n/a" )</f>
        <v>0.3353132326930196</v>
      </c>
      <c r="BX151" s="5">
        <f xml:space="preserve"> SUM( VfM_Metrics_2023_Entity[[#This Row],[Operating surplus/(deficit) (overall)2]], - VfM_Metrics_2023_Entity[[#This Row],[Gain/(loss) on disposal of fixed assets (housing properties)2]], - VfM_Metrics_2023_Entity[[#This Row],[Gain/(loss) on disposal of fixed assets (other)2]] )</f>
        <v>40759</v>
      </c>
      <c r="BY151" s="84" vm="13525">
        <v>47599</v>
      </c>
      <c r="BZ151" s="84" vm="15030">
        <v>6840</v>
      </c>
      <c r="CA151" s="84">
        <v>0</v>
      </c>
      <c r="CB151" s="5" vm="18388">
        <f xml:space="preserve"> VfM_Metrics_2023_Entity[[#This Row],[Turnover (overall)]]</f>
        <v>121555</v>
      </c>
      <c r="CC151" s="135" vm="18388">
        <v>121555</v>
      </c>
      <c r="CD151" s="134">
        <f xml:space="preserve"> IFERROR( VfM_Metrics_2023_Entity[[#This Row],[Operating surplus including from JVs]] / VfM_Metrics_2023_Entity[[#This Row],[Net assets]], "n/a" )</f>
        <v>2.9666956486510913E-2</v>
      </c>
      <c r="CE151" s="5">
        <f xml:space="preserve"> SUM( VfM_Metrics_2023_Entity[[#This Row],[Operating surplus/(deficit) (overall)3]], VfM_Metrics_2023_Entity[[#This Row],[Share of operating surplus/(deficit) in joint ventures or associates]] )</f>
        <v>47599</v>
      </c>
      <c r="CF151" s="84" vm="13452">
        <v>47599</v>
      </c>
      <c r="CG151" s="84">
        <v>0</v>
      </c>
      <c r="CH151" s="5" vm="18592">
        <f xml:space="preserve"> VfM_Metrics_2023_Entity[[#This Row],[Total assets less current liabilities]]</f>
        <v>1604445</v>
      </c>
      <c r="CI151" s="135" vm="18592">
        <v>1604445</v>
      </c>
      <c r="CJ151" s="140" vm="11306">
        <f xml:space="preserve"> VfM_Metrics_2023_Entity[[#This Row],[Total social housing units owned (Period end)]]</f>
        <v>14987</v>
      </c>
      <c r="CK151" s="141">
        <v>9.1662735054256258E-3</v>
      </c>
      <c r="CL151" s="69">
        <f xml:space="preserve"> -- ( VfM_Metrics_2023_Entity[[#This Row],[% Supported housing (excl. HOP)]] &gt; 0.3 )</f>
        <v>0</v>
      </c>
      <c r="CM151" s="9">
        <v>1.684976747320887E-3</v>
      </c>
      <c r="CN151" s="69">
        <f xml:space="preserve"> -- ( VfM_Metrics_2023_Entity[[#This Row],[% Housing for older people]] &gt; 0.3 )</f>
        <v>0</v>
      </c>
      <c r="CO151" s="9">
        <f xml:space="preserve"> VfM_Metrics_2023_Entity[[#This Row],[% Supported housing (excl. HOP)]] + VfM_Metrics_2023_Entity[[#This Row],[% Housing for older people]]</f>
        <v>1.0851250252746513E-2</v>
      </c>
      <c r="CP151" s="69">
        <f xml:space="preserve"> -- ( VfM_Metrics_2023_Entity[[#This Row],[SH specialist in RSH analysis]] + VfM_Metrics_2023_Entity[[#This Row],[OP specialist in RSH analysis]] &gt; 0 )</f>
        <v>0</v>
      </c>
      <c r="CQ151" s="142">
        <f xml:space="preserve"> -- ( VfM_Metrics_2023_Entity[[#This Row],[% SH and OP]] &gt; 0.3 )</f>
        <v>0</v>
      </c>
      <c r="CR151" s="143" t="s">
        <v>143</v>
      </c>
      <c r="CS151" s="120"/>
      <c r="CT151" s="144" t="s">
        <v>151</v>
      </c>
      <c r="CU15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51" s="146">
        <v>5.5157641073699713E-2</v>
      </c>
      <c r="CW151" s="146">
        <v>0.68458397483097932</v>
      </c>
      <c r="CX151" s="146">
        <v>0</v>
      </c>
      <c r="CY151" s="146">
        <v>0</v>
      </c>
      <c r="CZ151" s="146">
        <v>0</v>
      </c>
      <c r="DA151" s="146">
        <v>0.26025838409532098</v>
      </c>
      <c r="DB151" s="146">
        <v>0</v>
      </c>
      <c r="DC151" s="146">
        <v>0</v>
      </c>
      <c r="DD151" s="146">
        <v>0</v>
      </c>
      <c r="DE151" s="126">
        <v>1.0348838820034116</v>
      </c>
    </row>
    <row r="152" spans="1:109" x14ac:dyDescent="0.25">
      <c r="A152" s="4" t="s" vm="337">
        <v>390</v>
      </c>
      <c r="B152" s="4" t="s" vm="10651">
        <v>391</v>
      </c>
      <c r="C152" s="121" vm="18871">
        <v>45016</v>
      </c>
      <c r="D152" s="68">
        <f>IFERROR( VfM_Metrics_2023_Entity[[#This Row],[Reinvestment Spend]] / VfM_Metrics_2023_Entity[[#This Row],[Net Book Value of Housing Properties]], "n/a" )</f>
        <v>7.1244742953989082E-2</v>
      </c>
      <c r="E15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150955</v>
      </c>
      <c r="F152" s="84" vm="9407">
        <v>128923</v>
      </c>
      <c r="G152" s="84" vm="10379">
        <v>0</v>
      </c>
      <c r="H152" s="84" vm="10431">
        <v>16695</v>
      </c>
      <c r="I152" s="84" vm="10187">
        <v>5337</v>
      </c>
      <c r="J152" s="84" vm="10499">
        <v>0</v>
      </c>
      <c r="K152" s="5">
        <f xml:space="preserve"> SUM( VfM_Metrics_2023_Entity[[#This Row],[Tangible fixed assets: Housing properties at cost (Current period)]],VfM_Metrics_2023_Entity[[#This Row],[Tangible fixed assets Housing properties at valuation (Current period)]] )</f>
        <v>2118823</v>
      </c>
      <c r="L152" s="84" vm="9903">
        <v>2118823</v>
      </c>
      <c r="M152" s="84">
        <v>0</v>
      </c>
      <c r="N152" s="134">
        <f xml:space="preserve"> IFERROR( VfM_Metrics_2023_Entity[[#This Row],[Total social units developed or newly built units acquired in-year]] / VfM_Metrics_2023_Entity[[#This Row],[Social housing units owned (period end)]], "n/a" )</f>
        <v>1.2201409176834507E-2</v>
      </c>
      <c r="O152" s="5">
        <f xml:space="preserve"> SUM( VfM_Metrics_2023_Entity[[#This Row],[Total social units developed or newly built units acquired in-year (owned)]], VfM_Metrics_2023_Entity[[#This Row],[Total social leasehold units developed or newly built units acquired in-year (owned)]] )</f>
        <v>284</v>
      </c>
      <c r="P152" s="84" vm="11018">
        <v>284</v>
      </c>
      <c r="Q152" s="84" vm="11120">
        <v>0</v>
      </c>
      <c r="R152" s="5">
        <f xml:space="preserve"> SUM( VfM_Metrics_2023_Entity[[#This Row],[Total social housing units owned (Period end)]], VfM_Metrics_2023_Entity[[#This Row],[Total social leasehold units owned (Period end)]] )</f>
        <v>23276</v>
      </c>
      <c r="S152" s="84" vm="11352">
        <v>21692</v>
      </c>
      <c r="T152" s="135" vm="11431">
        <v>1584</v>
      </c>
      <c r="U152" s="136">
        <f xml:space="preserve"> IFERROR( VfM_Metrics_2023_Entity[[#This Row],[Total non-social housing units developed or newly built units acquired (owned)]] / VfM_Metrics_2023_Entity[[#This Row],[Total social and non-social housing units owned (Period end)]], "n/a" )</f>
        <v>0</v>
      </c>
      <c r="V15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52" s="84">
        <v>0</v>
      </c>
      <c r="X152" s="84">
        <v>0</v>
      </c>
      <c r="Y152" s="84">
        <v>0</v>
      </c>
      <c r="Z15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23642</v>
      </c>
      <c r="AA152" s="84" vm="11352">
        <v>21692</v>
      </c>
      <c r="AB152" s="84" vm="12202">
        <v>1584</v>
      </c>
      <c r="AC152" s="84" vm="12130">
        <v>366</v>
      </c>
      <c r="AD152" s="135" vm="12286">
        <v>0</v>
      </c>
      <c r="AE152" s="134">
        <f xml:space="preserve"> IFERROR( VfM_Metrics_2023_Entity[[#This Row],[Total Net Debt]] / VfM_Metrics_2023_Entity[[#This Row],[Net Book Value of Housing Properties2]], "n/a" )</f>
        <v>0.49713638184973452</v>
      </c>
      <c r="AF15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1053344</v>
      </c>
      <c r="AG152" s="84" vm="12597">
        <v>32270</v>
      </c>
      <c r="AH152" s="84" vm="12783">
        <v>1048514</v>
      </c>
      <c r="AI152" s="84" vm="13165">
        <v>27440</v>
      </c>
      <c r="AJ152" s="84">
        <v>0</v>
      </c>
      <c r="AK152" s="84">
        <v>0</v>
      </c>
      <c r="AL152" s="5">
        <f xml:space="preserve"> SUM( VfM_Metrics_2023_Entity[[#This Row],[Tangible fixed assets: Housing properties at cost (Current period)2]], VfM_Metrics_2023_Entity[[#This Row],[Tangible fixed assets Housing properties at valuation (Current period)2]] )</f>
        <v>2118823</v>
      </c>
      <c r="AM152" s="84" vm="9903">
        <v>2118823</v>
      </c>
      <c r="AN152" s="135">
        <v>0</v>
      </c>
      <c r="AO152" s="137">
        <f xml:space="preserve"> IFERROR( VfM_Metrics_2023_Entity[[#This Row],[EBITDA MRI]] / VfM_Metrics_2023_Entity[[#This Row],[Total interest]], "n/a" )</f>
        <v>0.91129564049334477</v>
      </c>
      <c r="AP15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37313</v>
      </c>
      <c r="AQ152" s="84" vm="13629">
        <v>40723</v>
      </c>
      <c r="AR152" s="84" vm="13795">
        <v>5445</v>
      </c>
      <c r="AS152" s="84" vm="14050">
        <v>-21</v>
      </c>
      <c r="AT152" s="84" vm="14296">
        <v>5502</v>
      </c>
      <c r="AU152" s="84" vm="14541">
        <v>0</v>
      </c>
      <c r="AV152" s="84" vm="14787">
        <v>405</v>
      </c>
      <c r="AW152" s="84" vm="15032">
        <v>16695</v>
      </c>
      <c r="AX152" s="84" vm="13796">
        <v>23806</v>
      </c>
      <c r="AY152" s="5">
        <f xml:space="preserve"> - SUM( VfM_Metrics_2023_Entity[[#This Row],[Interest capitalised]], VfM_Metrics_2023_Entity[[#This Row],[Interest payable and financing costs]] )</f>
        <v>40945</v>
      </c>
      <c r="AZ152" s="84" vm="15172">
        <v>-6743</v>
      </c>
      <c r="BA152" s="135" vm="15334">
        <v>-34202</v>
      </c>
      <c r="BB152" s="138">
        <f xml:space="preserve"> IFERROR( ( VfM_Metrics_2023_Entity[[#This Row],[Total Costs]] / VfM_Metrics_2023_Entity[[#This Row],[Total units for costs]] ) * 1000, "n/a" )</f>
        <v>5538.856338284053</v>
      </c>
      <c r="BC15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121949</v>
      </c>
      <c r="BD152" s="84" vm="15527">
        <v>37577</v>
      </c>
      <c r="BE152" s="84" vm="16657">
        <v>22553</v>
      </c>
      <c r="BF152" s="84" vm="16829">
        <v>21287</v>
      </c>
      <c r="BG152" s="84" vm="16900">
        <v>19627</v>
      </c>
      <c r="BH152" s="84" vm="17130">
        <v>852</v>
      </c>
      <c r="BI152" s="84" vm="17276">
        <v>394</v>
      </c>
      <c r="BJ152" s="84" vm="17518">
        <v>16695</v>
      </c>
      <c r="BK152" s="84" vm="16015">
        <v>-2</v>
      </c>
      <c r="BL152" s="84" vm="15975">
        <v>2006</v>
      </c>
      <c r="BM152" s="84" vm="16900">
        <v>288</v>
      </c>
      <c r="BN152" s="84" vm="15974">
        <v>672</v>
      </c>
      <c r="BO152" s="84">
        <v>0</v>
      </c>
      <c r="BP152" s="5" vm="17639">
        <f xml:space="preserve"> VfM_Metrics_2023_Entity[[#This Row],[Total social housing units owned and/or managed at period end]]</f>
        <v>22017</v>
      </c>
      <c r="BQ152" s="135" vm="17639">
        <v>22017</v>
      </c>
      <c r="BR152" s="134">
        <f xml:space="preserve"> IFERROR( VfM_Metrics_2023_Entity[[#This Row],[SHL operating surplus / (deficit)]] / VfM_Metrics_2023_Entity[[#This Row],[Turnover from social housing lettings]], "n/a" )</f>
        <v>0.1871762537588515</v>
      </c>
      <c r="BS152" s="5" vm="17893">
        <f xml:space="preserve"> VfM_Metrics_2023_Entity[[#This Row],[Operating surplus/(deficit) (social housing lettings)]]</f>
        <v>28944</v>
      </c>
      <c r="BT152" s="84" vm="17893">
        <v>28944</v>
      </c>
      <c r="BU152" s="5" vm="18092">
        <f xml:space="preserve"> VfM_Metrics_2023_Entity[[#This Row],[Turnover from social housing lettings]]</f>
        <v>154635</v>
      </c>
      <c r="BV152" s="135" vm="18092">
        <v>154635</v>
      </c>
      <c r="BW152" s="134">
        <f xml:space="preserve"> IFERROR( VfM_Metrics_2023_Entity[[#This Row],[Net operating surplus]] / VfM_Metrics_2023_Entity[[#This Row],[Overall turnover]], "n/a" )</f>
        <v>0.19365580956456382</v>
      </c>
      <c r="BX152" s="5">
        <f xml:space="preserve"> SUM( VfM_Metrics_2023_Entity[[#This Row],[Operating surplus/(deficit) (overall)2]], - VfM_Metrics_2023_Entity[[#This Row],[Gain/(loss) on disposal of fixed assets (housing properties)2]], - VfM_Metrics_2023_Entity[[#This Row],[Gain/(loss) on disposal of fixed assets (other)2]] )</f>
        <v>35299</v>
      </c>
      <c r="BY152" s="84" vm="13629">
        <v>40723</v>
      </c>
      <c r="BZ152" s="84" vm="13795">
        <v>5445</v>
      </c>
      <c r="CA152" s="84" vm="14050">
        <v>-21</v>
      </c>
      <c r="CB152" s="5" vm="18409">
        <f xml:space="preserve"> VfM_Metrics_2023_Entity[[#This Row],[Turnover (overall)]]</f>
        <v>182277</v>
      </c>
      <c r="CC152" s="135" vm="18409">
        <v>182277</v>
      </c>
      <c r="CD152" s="134">
        <f xml:space="preserve"> IFERROR( VfM_Metrics_2023_Entity[[#This Row],[Operating surplus including from JVs]] / VfM_Metrics_2023_Entity[[#This Row],[Net assets]], "n/a" )</f>
        <v>1.8868527742383876E-2</v>
      </c>
      <c r="CE152" s="5">
        <f xml:space="preserve"> SUM( VfM_Metrics_2023_Entity[[#This Row],[Operating surplus/(deficit) (overall)3]], VfM_Metrics_2023_Entity[[#This Row],[Share of operating surplus/(deficit) in joint ventures or associates]] )</f>
        <v>40723</v>
      </c>
      <c r="CF152" s="84" vm="13486">
        <v>40723</v>
      </c>
      <c r="CG152" s="84">
        <v>0</v>
      </c>
      <c r="CH152" s="5" vm="18629">
        <f xml:space="preserve"> VfM_Metrics_2023_Entity[[#This Row],[Total assets less current liabilities]]</f>
        <v>2158250</v>
      </c>
      <c r="CI152" s="135" vm="18629">
        <v>2158250</v>
      </c>
      <c r="CJ152" s="140" vm="11352">
        <f xml:space="preserve"> VfM_Metrics_2023_Entity[[#This Row],[Total social housing units owned (Period end)]]</f>
        <v>21692</v>
      </c>
      <c r="CK152" s="141">
        <v>2.8043870609468276E-2</v>
      </c>
      <c r="CL152" s="69">
        <f xml:space="preserve"> -- ( VfM_Metrics_2023_Entity[[#This Row],[% Supported housing (excl. HOP)]] &gt; 0.3 )</f>
        <v>0</v>
      </c>
      <c r="CM152" s="9">
        <v>0.10532648433523069</v>
      </c>
      <c r="CN152" s="69">
        <f xml:space="preserve"> -- ( VfM_Metrics_2023_Entity[[#This Row],[% Housing for older people]] &gt; 0.3 )</f>
        <v>0</v>
      </c>
      <c r="CO152" s="9">
        <f xml:space="preserve"> VfM_Metrics_2023_Entity[[#This Row],[% Supported housing (excl. HOP)]] + VfM_Metrics_2023_Entity[[#This Row],[% Housing for older people]]</f>
        <v>0.13337035494469895</v>
      </c>
      <c r="CP152" s="69">
        <f xml:space="preserve"> -- ( VfM_Metrics_2023_Entity[[#This Row],[SH specialist in RSH analysis]] + VfM_Metrics_2023_Entity[[#This Row],[OP specialist in RSH analysis]] &gt; 0 )</f>
        <v>0</v>
      </c>
      <c r="CQ152" s="142">
        <f xml:space="preserve"> -- ( VfM_Metrics_2023_Entity[[#This Row],[% SH and OP]] &gt; 0.3 )</f>
        <v>0</v>
      </c>
      <c r="CR152" s="143" t="s">
        <v>143</v>
      </c>
      <c r="CS152" s="120"/>
      <c r="CT152" s="144" t="s">
        <v>151</v>
      </c>
      <c r="CU15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52" s="146">
        <v>0.35583815028901733</v>
      </c>
      <c r="CW152" s="146">
        <v>0.26053179190751447</v>
      </c>
      <c r="CX152" s="146">
        <v>0</v>
      </c>
      <c r="CY152" s="146">
        <v>0.36763005780346819</v>
      </c>
      <c r="CZ152" s="146">
        <v>1.3364161849710983E-2</v>
      </c>
      <c r="DA152" s="146">
        <v>2.5895953757225434E-3</v>
      </c>
      <c r="DB152" s="146">
        <v>4.6242774566473991E-5</v>
      </c>
      <c r="DC152" s="146">
        <v>0</v>
      </c>
      <c r="DD152" s="146">
        <v>0</v>
      </c>
      <c r="DE152" s="126">
        <v>1.0442012286713025</v>
      </c>
    </row>
    <row r="153" spans="1:109" x14ac:dyDescent="0.25">
      <c r="A153" s="4" t="s" vm="242">
        <v>392</v>
      </c>
      <c r="B153" s="4" t="s" vm="10575">
        <v>393</v>
      </c>
      <c r="C153" s="121" vm="18889">
        <v>45016</v>
      </c>
      <c r="D153" s="68">
        <f>IFERROR( VfM_Metrics_2023_Entity[[#This Row],[Reinvestment Spend]] / VfM_Metrics_2023_Entity[[#This Row],[Net Book Value of Housing Properties]], "n/a" )</f>
        <v>4.1682448885554634E-2</v>
      </c>
      <c r="E15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261249</v>
      </c>
      <c r="F153" s="84" vm="10224">
        <v>139788</v>
      </c>
      <c r="G153" s="84" vm="9512">
        <v>0</v>
      </c>
      <c r="H153" s="84" vm="10709">
        <v>110464</v>
      </c>
      <c r="I153" s="84" vm="9627">
        <v>10997</v>
      </c>
      <c r="J153" s="84" vm="9687">
        <v>0</v>
      </c>
      <c r="K153" s="5">
        <f xml:space="preserve"> SUM( VfM_Metrics_2023_Entity[[#This Row],[Tangible fixed assets: Housing properties at cost (Current period)]],VfM_Metrics_2023_Entity[[#This Row],[Tangible fixed assets Housing properties at valuation (Current period)]] )</f>
        <v>6267602</v>
      </c>
      <c r="L153" s="84" vm="10300">
        <v>6267602</v>
      </c>
      <c r="M153" s="84">
        <v>0</v>
      </c>
      <c r="N153" s="134">
        <f xml:space="preserve"> IFERROR( VfM_Metrics_2023_Entity[[#This Row],[Total social units developed or newly built units acquired in-year]] / VfM_Metrics_2023_Entity[[#This Row],[Social housing units owned (period end)]], "n/a" )</f>
        <v>2.6596614976275745E-2</v>
      </c>
      <c r="O153" s="5">
        <f xml:space="preserve"> SUM( VfM_Metrics_2023_Entity[[#This Row],[Total social units developed or newly built units acquired in-year (owned)]], VfM_Metrics_2023_Entity[[#This Row],[Total social leasehold units developed or newly built units acquired in-year (owned)]] )</f>
        <v>1463</v>
      </c>
      <c r="P153" s="84" vm="10974">
        <v>1270</v>
      </c>
      <c r="Q153" s="84" vm="11147">
        <v>193</v>
      </c>
      <c r="R153" s="5">
        <f xml:space="preserve"> SUM( VfM_Metrics_2023_Entity[[#This Row],[Total social housing units owned (Period end)]], VfM_Metrics_2023_Entity[[#This Row],[Total social leasehold units owned (Period end)]] )</f>
        <v>55007</v>
      </c>
      <c r="S153" s="84" vm="11266">
        <v>51574</v>
      </c>
      <c r="T153" s="135" vm="11513">
        <v>3433</v>
      </c>
      <c r="U153" s="136">
        <f xml:space="preserve"> IFERROR( VfM_Metrics_2023_Entity[[#This Row],[Total non-social housing units developed or newly built units acquired (owned)]] / VfM_Metrics_2023_Entity[[#This Row],[Total social and non-social housing units owned (Period end)]], "n/a" )</f>
        <v>4.793685209025002E-3</v>
      </c>
      <c r="V15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283</v>
      </c>
      <c r="W153" s="84">
        <v>0</v>
      </c>
      <c r="X153" s="84" vm="11805">
        <v>283</v>
      </c>
      <c r="Y153" s="84" vm="11850">
        <v>0</v>
      </c>
      <c r="Z15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59036</v>
      </c>
      <c r="AA153" s="84" vm="11973">
        <v>51574</v>
      </c>
      <c r="AB153" s="84" vm="11513">
        <v>3433</v>
      </c>
      <c r="AC153" s="84" vm="12382">
        <v>566</v>
      </c>
      <c r="AD153" s="135" vm="12517">
        <v>3463</v>
      </c>
      <c r="AE153" s="134">
        <f xml:space="preserve"> IFERROR( VfM_Metrics_2023_Entity[[#This Row],[Total Net Debt]] / VfM_Metrics_2023_Entity[[#This Row],[Net Book Value of Housing Properties2]], "n/a" )</f>
        <v>0.48195019402955069</v>
      </c>
      <c r="AF15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3020672</v>
      </c>
      <c r="AG153" s="84" vm="12619">
        <v>19000</v>
      </c>
      <c r="AH153" s="84" vm="12875">
        <v>1802334</v>
      </c>
      <c r="AI153" s="84" vm="12952">
        <v>54547</v>
      </c>
      <c r="AJ153" s="84" vm="12784">
        <v>1253885</v>
      </c>
      <c r="AK153" s="84">
        <v>0</v>
      </c>
      <c r="AL153" s="5">
        <f xml:space="preserve"> SUM( VfM_Metrics_2023_Entity[[#This Row],[Tangible fixed assets: Housing properties at cost (Current period)2]], VfM_Metrics_2023_Entity[[#This Row],[Tangible fixed assets Housing properties at valuation (Current period)2]] )</f>
        <v>6267602</v>
      </c>
      <c r="AM153" s="84" vm="10058">
        <v>6267602</v>
      </c>
      <c r="AN153" s="135">
        <v>0</v>
      </c>
      <c r="AO153" s="137">
        <f xml:space="preserve"> IFERROR( VfM_Metrics_2023_Entity[[#This Row],[EBITDA MRI]] / VfM_Metrics_2023_Entity[[#This Row],[Total interest]], "n/a" )</f>
        <v>0.60576789386255703</v>
      </c>
      <c r="AP15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82780</v>
      </c>
      <c r="AQ153" s="84" vm="13522">
        <v>116237</v>
      </c>
      <c r="AR153" s="84" vm="14051">
        <v>50351</v>
      </c>
      <c r="AS153" s="84">
        <v>0</v>
      </c>
      <c r="AT153" s="84" vm="14542">
        <v>13451</v>
      </c>
      <c r="AU153" s="84" vm="14788">
        <v>0</v>
      </c>
      <c r="AV153" s="84" vm="15033">
        <v>62659</v>
      </c>
      <c r="AW153" s="84" vm="13797">
        <v>110464</v>
      </c>
      <c r="AX153" s="84" vm="14052">
        <v>78150</v>
      </c>
      <c r="AY153" s="5">
        <f xml:space="preserve"> - SUM( VfM_Metrics_2023_Entity[[#This Row],[Interest capitalised]], VfM_Metrics_2023_Entity[[#This Row],[Interest payable and financing costs]] )</f>
        <v>136653</v>
      </c>
      <c r="AZ153" s="84" vm="15202">
        <v>-10997</v>
      </c>
      <c r="BA153" s="135" vm="15370">
        <v>-125656</v>
      </c>
      <c r="BB153" s="138">
        <f xml:space="preserve"> IFERROR( ( VfM_Metrics_2023_Entity[[#This Row],[Total Costs]] / VfM_Metrics_2023_Entity[[#This Row],[Total units for costs]] ) * 1000, "n/a" )</f>
        <v>7540.9934402755471</v>
      </c>
      <c r="BC15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389711</v>
      </c>
      <c r="BD153" s="84" vm="17360">
        <v>95319</v>
      </c>
      <c r="BE153" s="84" vm="17519">
        <v>45064</v>
      </c>
      <c r="BF153" s="84" vm="16158">
        <v>52511</v>
      </c>
      <c r="BG153" s="84" vm="16474">
        <v>51360</v>
      </c>
      <c r="BH153" s="84" vm="16657">
        <v>0</v>
      </c>
      <c r="BI153" s="84" vm="16830">
        <v>0</v>
      </c>
      <c r="BJ153" s="84" vm="13797">
        <v>110464</v>
      </c>
      <c r="BK153" s="84" vm="16209">
        <v>0</v>
      </c>
      <c r="BL153" s="84">
        <v>0</v>
      </c>
      <c r="BM153" s="84">
        <v>0</v>
      </c>
      <c r="BN153" s="84" vm="16739">
        <v>11522</v>
      </c>
      <c r="BO153" s="84" vm="16017">
        <v>23471</v>
      </c>
      <c r="BP153" s="5" vm="17675">
        <f xml:space="preserve"> VfM_Metrics_2023_Entity[[#This Row],[Total social housing units owned and/or managed at period end]]</f>
        <v>51679</v>
      </c>
      <c r="BQ153" s="135" vm="17675">
        <v>51679</v>
      </c>
      <c r="BR153" s="134">
        <f xml:space="preserve"> IFERROR( VfM_Metrics_2023_Entity[[#This Row],[SHL operating surplus / (deficit)]] / VfM_Metrics_2023_Entity[[#This Row],[Turnover from social housing lettings]], "n/a" )</f>
        <v>0.21337296351750004</v>
      </c>
      <c r="BS153" s="5" vm="17930">
        <f xml:space="preserve"> VfM_Metrics_2023_Entity[[#This Row],[Operating surplus/(deficit) (social housing lettings)]]</f>
        <v>86361</v>
      </c>
      <c r="BT153" s="84" vm="17930">
        <v>86361</v>
      </c>
      <c r="BU153" s="5" vm="18128">
        <f xml:space="preserve"> VfM_Metrics_2023_Entity[[#This Row],[Turnover from social housing lettings]]</f>
        <v>404742</v>
      </c>
      <c r="BV153" s="135" vm="18128">
        <v>404742</v>
      </c>
      <c r="BW153" s="134">
        <f xml:space="preserve"> IFERROR( VfM_Metrics_2023_Entity[[#This Row],[Net operating surplus]] / VfM_Metrics_2023_Entity[[#This Row],[Overall turnover]], "n/a" )</f>
        <v>0.1429597436158925</v>
      </c>
      <c r="BX153" s="5">
        <f xml:space="preserve"> SUM( VfM_Metrics_2023_Entity[[#This Row],[Operating surplus/(deficit) (overall)2]], - VfM_Metrics_2023_Entity[[#This Row],[Gain/(loss) on disposal of fixed assets (housing properties)2]], - VfM_Metrics_2023_Entity[[#This Row],[Gain/(loss) on disposal of fixed assets (other)2]] )</f>
        <v>65886</v>
      </c>
      <c r="BY153" s="84" vm="13522">
        <v>116237</v>
      </c>
      <c r="BZ153" s="84" vm="14051">
        <v>50351</v>
      </c>
      <c r="CA153" s="84">
        <v>0</v>
      </c>
      <c r="CB153" s="5" vm="18280">
        <f xml:space="preserve"> VfM_Metrics_2023_Entity[[#This Row],[Turnover (overall)]]</f>
        <v>460871</v>
      </c>
      <c r="CC153" s="135" vm="18280">
        <v>460871</v>
      </c>
      <c r="CD153" s="134">
        <f xml:space="preserve"> IFERROR( VfM_Metrics_2023_Entity[[#This Row],[Operating surplus including from JVs]] / VfM_Metrics_2023_Entity[[#This Row],[Net assets]], "n/a" )</f>
        <v>1.4929276123343355E-2</v>
      </c>
      <c r="CE153" s="5">
        <f xml:space="preserve"> SUM( VfM_Metrics_2023_Entity[[#This Row],[Operating surplus/(deficit) (overall)3]], VfM_Metrics_2023_Entity[[#This Row],[Share of operating surplus/(deficit) in joint ventures or associates]] )</f>
        <v>116237</v>
      </c>
      <c r="CF153" s="84" vm="13522">
        <v>116237</v>
      </c>
      <c r="CG153" s="84">
        <v>0</v>
      </c>
      <c r="CH153" s="5" vm="18666">
        <f xml:space="preserve"> VfM_Metrics_2023_Entity[[#This Row],[Total assets less current liabilities]]</f>
        <v>7785843</v>
      </c>
      <c r="CI153" s="135" vm="18666">
        <v>7785843</v>
      </c>
      <c r="CJ153" s="140" vm="11266">
        <f xml:space="preserve"> VfM_Metrics_2023_Entity[[#This Row],[Total social housing units owned (Period end)]]</f>
        <v>51574</v>
      </c>
      <c r="CK153" s="141">
        <v>5.777539937368692E-2</v>
      </c>
      <c r="CL153" s="69">
        <f xml:space="preserve"> -- ( VfM_Metrics_2023_Entity[[#This Row],[% Supported housing (excl. HOP)]] &gt; 0.3 )</f>
        <v>0</v>
      </c>
      <c r="CM153" s="9">
        <v>2.2277718317675506E-2</v>
      </c>
      <c r="CN153" s="69">
        <f xml:space="preserve"> -- ( VfM_Metrics_2023_Entity[[#This Row],[% Housing for older people]] &gt; 0.3 )</f>
        <v>0</v>
      </c>
      <c r="CO153" s="9">
        <f xml:space="preserve"> VfM_Metrics_2023_Entity[[#This Row],[% Supported housing (excl. HOP)]] + VfM_Metrics_2023_Entity[[#This Row],[% Housing for older people]]</f>
        <v>8.0053117691362419E-2</v>
      </c>
      <c r="CP153" s="69">
        <f xml:space="preserve"> -- ( VfM_Metrics_2023_Entity[[#This Row],[SH specialist in RSH analysis]] + VfM_Metrics_2023_Entity[[#This Row],[OP specialist in RSH analysis]] &gt; 0 )</f>
        <v>0</v>
      </c>
      <c r="CQ153" s="142">
        <f xml:space="preserve"> -- ( VfM_Metrics_2023_Entity[[#This Row],[% SH and OP]] &gt; 0.3 )</f>
        <v>0</v>
      </c>
      <c r="CR153" s="143" t="s">
        <v>143</v>
      </c>
      <c r="CS153" s="120"/>
      <c r="CT153" s="144" t="s">
        <v>151</v>
      </c>
      <c r="CU15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53" s="146">
        <v>0.96262327416173565</v>
      </c>
      <c r="CW153" s="146">
        <v>1.6962524654832347E-3</v>
      </c>
      <c r="CX153" s="146">
        <v>0</v>
      </c>
      <c r="CY153" s="146">
        <v>0</v>
      </c>
      <c r="CZ153" s="146">
        <v>0</v>
      </c>
      <c r="DA153" s="146">
        <v>3.5680473372781067E-2</v>
      </c>
      <c r="DB153" s="146">
        <v>0</v>
      </c>
      <c r="DC153" s="146">
        <v>0</v>
      </c>
      <c r="DD153" s="146">
        <v>0</v>
      </c>
      <c r="DE153" s="126">
        <v>1.1548388144097925</v>
      </c>
    </row>
    <row r="154" spans="1:109" x14ac:dyDescent="0.25">
      <c r="A154" s="4" t="s" vm="357">
        <v>394</v>
      </c>
      <c r="B154" s="4" t="s" vm="9315">
        <v>395</v>
      </c>
      <c r="C154" s="121" vm="18966">
        <v>45016</v>
      </c>
      <c r="D154" s="68">
        <f>IFERROR( VfM_Metrics_2023_Entity[[#This Row],[Reinvestment Spend]] / VfM_Metrics_2023_Entity[[#This Row],[Net Book Value of Housing Properties]], "n/a" )</f>
        <v>3.3053470462078377E-2</v>
      </c>
      <c r="E15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10850</v>
      </c>
      <c r="F154" s="84" vm="9420">
        <v>4875</v>
      </c>
      <c r="G154" s="84" vm="10571">
        <v>0</v>
      </c>
      <c r="H154" s="84" vm="9513">
        <v>5335</v>
      </c>
      <c r="I154" s="84" vm="10525">
        <v>640</v>
      </c>
      <c r="J154" s="84" vm="9602">
        <v>0</v>
      </c>
      <c r="K154" s="5">
        <f xml:space="preserve"> SUM( VfM_Metrics_2023_Entity[[#This Row],[Tangible fixed assets: Housing properties at cost (Current period)]],VfM_Metrics_2023_Entity[[#This Row],[Tangible fixed assets Housing properties at valuation (Current period)]] )</f>
        <v>328256</v>
      </c>
      <c r="L154" s="84" vm="9947">
        <v>328256</v>
      </c>
      <c r="M154" s="84">
        <v>0</v>
      </c>
      <c r="N154" s="134">
        <f xml:space="preserve"> IFERROR( VfM_Metrics_2023_Entity[[#This Row],[Total social units developed or newly built units acquired in-year]] / VfM_Metrics_2023_Entity[[#This Row],[Social housing units owned (period end)]], "n/a" )</f>
        <v>1.17096018735363E-3</v>
      </c>
      <c r="O154" s="5">
        <f xml:space="preserve"> SUM( VfM_Metrics_2023_Entity[[#This Row],[Total social units developed or newly built units acquired in-year (owned)]], VfM_Metrics_2023_Entity[[#This Row],[Total social leasehold units developed or newly built units acquired in-year (owned)]] )</f>
        <v>9</v>
      </c>
      <c r="P154" s="84" vm="11027">
        <v>3</v>
      </c>
      <c r="Q154" s="84" vm="11159">
        <v>6</v>
      </c>
      <c r="R154" s="5">
        <f xml:space="preserve"> SUM( VfM_Metrics_2023_Entity[[#This Row],[Total social housing units owned (Period end)]], VfM_Metrics_2023_Entity[[#This Row],[Total social leasehold units owned (Period end)]] )</f>
        <v>7686</v>
      </c>
      <c r="S154" s="84" vm="11315">
        <v>6498</v>
      </c>
      <c r="T154" s="135" vm="11529">
        <v>1188</v>
      </c>
      <c r="U154" s="136">
        <f xml:space="preserve"> IFERROR( VfM_Metrics_2023_Entity[[#This Row],[Total non-social housing units developed or newly built units acquired (owned)]] / VfM_Metrics_2023_Entity[[#This Row],[Total social and non-social housing units owned (Period end)]], "n/a" )</f>
        <v>0</v>
      </c>
      <c r="V15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54" s="84">
        <v>0</v>
      </c>
      <c r="X154" s="84">
        <v>0</v>
      </c>
      <c r="Y154" s="84">
        <v>0</v>
      </c>
      <c r="Z15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7690</v>
      </c>
      <c r="AA154" s="84" vm="12004">
        <v>6498</v>
      </c>
      <c r="AB154" s="84" vm="12202">
        <v>1188</v>
      </c>
      <c r="AC154" s="84" vm="12131">
        <v>4</v>
      </c>
      <c r="AD154" s="135" vm="12287">
        <v>0</v>
      </c>
      <c r="AE154" s="134">
        <f xml:space="preserve"> IFERROR( VfM_Metrics_2023_Entity[[#This Row],[Total Net Debt]] / VfM_Metrics_2023_Entity[[#This Row],[Net Book Value of Housing Properties2]], "n/a" )</f>
        <v>0.46680334860596606</v>
      </c>
      <c r="AF15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153231</v>
      </c>
      <c r="AG154" s="84">
        <v>0</v>
      </c>
      <c r="AH154" s="84" vm="13133">
        <v>169132</v>
      </c>
      <c r="AI154" s="84" vm="13218">
        <v>15901</v>
      </c>
      <c r="AJ154" s="84">
        <v>0</v>
      </c>
      <c r="AK154" s="84">
        <v>0</v>
      </c>
      <c r="AL154" s="5">
        <f xml:space="preserve"> SUM( VfM_Metrics_2023_Entity[[#This Row],[Tangible fixed assets: Housing properties at cost (Current period)2]], VfM_Metrics_2023_Entity[[#This Row],[Tangible fixed assets Housing properties at valuation (Current period)2]] )</f>
        <v>328256</v>
      </c>
      <c r="AM154" s="84" vm="9947">
        <v>328256</v>
      </c>
      <c r="AN154" s="135">
        <v>0</v>
      </c>
      <c r="AO154" s="137">
        <f xml:space="preserve"> IFERROR( VfM_Metrics_2023_Entity[[#This Row],[EBITDA MRI]] / VfM_Metrics_2023_Entity[[#This Row],[Total interest]], "n/a" )</f>
        <v>1.2437365783822476</v>
      </c>
      <c r="AP15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6950</v>
      </c>
      <c r="AQ154" s="84" vm="13554">
        <v>8872</v>
      </c>
      <c r="AR154" s="84" vm="14297">
        <v>3606</v>
      </c>
      <c r="AS154" s="84">
        <v>0</v>
      </c>
      <c r="AT154" s="84" vm="14789">
        <v>137</v>
      </c>
      <c r="AU154" s="84" vm="15034">
        <v>0</v>
      </c>
      <c r="AV154" s="84" vm="13798">
        <v>295</v>
      </c>
      <c r="AW154" s="84" vm="14053">
        <v>5335</v>
      </c>
      <c r="AX154" s="84" vm="14298">
        <v>6861</v>
      </c>
      <c r="AY154" s="5">
        <f xml:space="preserve"> - SUM( VfM_Metrics_2023_Entity[[#This Row],[Interest capitalised]], VfM_Metrics_2023_Entity[[#This Row],[Interest payable and financing costs]] )</f>
        <v>5588</v>
      </c>
      <c r="AZ154" s="84" vm="15305">
        <v>-640</v>
      </c>
      <c r="BA154" s="135" vm="15398">
        <v>-4948</v>
      </c>
      <c r="BB154" s="138">
        <f xml:space="preserve"> IFERROR( ( VfM_Metrics_2023_Entity[[#This Row],[Total Costs]] / VfM_Metrics_2023_Entity[[#This Row],[Total units for costs]] ) * 1000, "n/a" )</f>
        <v>5507.386888273315</v>
      </c>
      <c r="BC15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35787</v>
      </c>
      <c r="BD154" s="84" vm="16901">
        <v>7037</v>
      </c>
      <c r="BE154" s="84" vm="17060">
        <v>3368</v>
      </c>
      <c r="BF154" s="84" vm="17131">
        <v>10670</v>
      </c>
      <c r="BG154" s="84" vm="17277">
        <v>4465</v>
      </c>
      <c r="BH154" s="84" vm="16161">
        <v>2173</v>
      </c>
      <c r="BI154" s="84" vm="17587">
        <v>0</v>
      </c>
      <c r="BJ154" s="84" vm="14053">
        <v>5335</v>
      </c>
      <c r="BK154" s="84" vm="16658">
        <v>1284</v>
      </c>
      <c r="BL154" s="84" vm="16019">
        <v>665</v>
      </c>
      <c r="BM154" s="84">
        <v>0</v>
      </c>
      <c r="BN154" s="84" vm="15978">
        <v>790</v>
      </c>
      <c r="BO154" s="84">
        <v>0</v>
      </c>
      <c r="BP154" s="5" vm="17810">
        <f xml:space="preserve"> VfM_Metrics_2023_Entity[[#This Row],[Total social housing units owned and/or managed at period end]]</f>
        <v>6498</v>
      </c>
      <c r="BQ154" s="135" vm="17810">
        <v>6498</v>
      </c>
      <c r="BR154" s="134">
        <f xml:space="preserve"> IFERROR( VfM_Metrics_2023_Entity[[#This Row],[SHL operating surplus / (deficit)]] / VfM_Metrics_2023_Entity[[#This Row],[Turnover from social housing lettings]], "n/a" )</f>
        <v>0.13019191141786043</v>
      </c>
      <c r="BS154" s="5" vm="17967">
        <f xml:space="preserve"> VfM_Metrics_2023_Entity[[#This Row],[Operating surplus/(deficit) (social housing lettings)]]</f>
        <v>5244</v>
      </c>
      <c r="BT154" s="84" vm="17967">
        <v>5244</v>
      </c>
      <c r="BU154" s="5" vm="18142">
        <f xml:space="preserve"> VfM_Metrics_2023_Entity[[#This Row],[Turnover from social housing lettings]]</f>
        <v>40279</v>
      </c>
      <c r="BV154" s="135" vm="18142">
        <v>40279</v>
      </c>
      <c r="BW154" s="134">
        <f xml:space="preserve"> IFERROR( VfM_Metrics_2023_Entity[[#This Row],[Net operating surplus]] / VfM_Metrics_2023_Entity[[#This Row],[Overall turnover]], "n/a" )</f>
        <v>0.12138395223935643</v>
      </c>
      <c r="BX154" s="5">
        <f xml:space="preserve"> SUM( VfM_Metrics_2023_Entity[[#This Row],[Operating surplus/(deficit) (overall)2]], - VfM_Metrics_2023_Entity[[#This Row],[Gain/(loss) on disposal of fixed assets (housing properties)2]], - VfM_Metrics_2023_Entity[[#This Row],[Gain/(loss) on disposal of fixed assets (other)2]] )</f>
        <v>5266</v>
      </c>
      <c r="BY154" s="84" vm="15136">
        <v>8872</v>
      </c>
      <c r="BZ154" s="84" vm="14297">
        <v>3606</v>
      </c>
      <c r="CA154" s="84">
        <v>0</v>
      </c>
      <c r="CB154" s="5" vm="18310">
        <f xml:space="preserve"> VfM_Metrics_2023_Entity[[#This Row],[Turnover (overall)]]</f>
        <v>43383</v>
      </c>
      <c r="CC154" s="135" vm="18310">
        <v>43383</v>
      </c>
      <c r="CD154" s="134">
        <f xml:space="preserve"> IFERROR( VfM_Metrics_2023_Entity[[#This Row],[Operating surplus including from JVs]] / VfM_Metrics_2023_Entity[[#This Row],[Net assets]], "n/a" )</f>
        <v>2.5910382551962409E-2</v>
      </c>
      <c r="CE154" s="5">
        <f xml:space="preserve"> SUM( VfM_Metrics_2023_Entity[[#This Row],[Operating surplus/(deficit) (overall)3]], VfM_Metrics_2023_Entity[[#This Row],[Share of operating surplus/(deficit) in joint ventures or associates]] )</f>
        <v>8872</v>
      </c>
      <c r="CF154" s="84" vm="15136">
        <v>8872</v>
      </c>
      <c r="CG154" s="84">
        <v>0</v>
      </c>
      <c r="CH154" s="5" vm="18697">
        <f xml:space="preserve"> VfM_Metrics_2023_Entity[[#This Row],[Total assets less current liabilities]]</f>
        <v>342411</v>
      </c>
      <c r="CI154" s="135" vm="18697">
        <v>342411</v>
      </c>
      <c r="CJ154" s="140" vm="11315">
        <f xml:space="preserve"> VfM_Metrics_2023_Entity[[#This Row],[Total social housing units owned (Period end)]]</f>
        <v>6498</v>
      </c>
      <c r="CK154" s="141">
        <v>0</v>
      </c>
      <c r="CL154" s="69">
        <f xml:space="preserve"> -- ( VfM_Metrics_2023_Entity[[#This Row],[% Supported housing (excl. HOP)]] &gt; 0.3 )</f>
        <v>0</v>
      </c>
      <c r="CM154" s="9">
        <v>0</v>
      </c>
      <c r="CN154" s="69">
        <f xml:space="preserve"> -- ( VfM_Metrics_2023_Entity[[#This Row],[% Housing for older people]] &gt; 0.3 )</f>
        <v>0</v>
      </c>
      <c r="CO154" s="9">
        <f xml:space="preserve"> VfM_Metrics_2023_Entity[[#This Row],[% Supported housing (excl. HOP)]] + VfM_Metrics_2023_Entity[[#This Row],[% Housing for older people]]</f>
        <v>0</v>
      </c>
      <c r="CP154" s="69">
        <f xml:space="preserve"> -- ( VfM_Metrics_2023_Entity[[#This Row],[SH specialist in RSH analysis]] + VfM_Metrics_2023_Entity[[#This Row],[OP specialist in RSH analysis]] &gt; 0 )</f>
        <v>0</v>
      </c>
      <c r="CQ154" s="142">
        <f xml:space="preserve"> -- ( VfM_Metrics_2023_Entity[[#This Row],[% SH and OP]] &gt; 0.3 )</f>
        <v>0</v>
      </c>
      <c r="CR154" s="143" t="s">
        <v>143</v>
      </c>
      <c r="CS154" s="120"/>
      <c r="CT154" s="144" t="s">
        <v>151</v>
      </c>
      <c r="CU15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54" s="146">
        <v>1</v>
      </c>
      <c r="CW154" s="146">
        <v>0</v>
      </c>
      <c r="CX154" s="146">
        <v>0</v>
      </c>
      <c r="CY154" s="146">
        <v>0</v>
      </c>
      <c r="CZ154" s="146">
        <v>0</v>
      </c>
      <c r="DA154" s="146">
        <v>0</v>
      </c>
      <c r="DB154" s="146">
        <v>0</v>
      </c>
      <c r="DC154" s="146">
        <v>0</v>
      </c>
      <c r="DD154" s="146">
        <v>0</v>
      </c>
      <c r="DE154" s="126">
        <v>1.1603700449887588</v>
      </c>
    </row>
    <row r="155" spans="1:109" x14ac:dyDescent="0.25">
      <c r="A155" s="4" t="s" vm="220">
        <v>396</v>
      </c>
      <c r="B155" s="4" t="s" vm="9335">
        <v>397</v>
      </c>
      <c r="C155" s="121" vm="18866">
        <v>45016</v>
      </c>
      <c r="D155" s="68">
        <f>IFERROR( VfM_Metrics_2023_Entity[[#This Row],[Reinvestment Spend]] / VfM_Metrics_2023_Entity[[#This Row],[Net Book Value of Housing Properties]], "n/a" )</f>
        <v>3.5333643719092499E-2</v>
      </c>
      <c r="E15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2808</v>
      </c>
      <c r="F155" s="84" vm="10328">
        <v>1754</v>
      </c>
      <c r="G155" s="84" vm="9471">
        <v>0</v>
      </c>
      <c r="H155" s="84" vm="10533">
        <v>1054</v>
      </c>
      <c r="I155" s="84" vm="9821">
        <v>0</v>
      </c>
      <c r="J155" s="84" vm="9965">
        <v>0</v>
      </c>
      <c r="K155" s="5">
        <f xml:space="preserve"> SUM( VfM_Metrics_2023_Entity[[#This Row],[Tangible fixed assets: Housing properties at cost (Current period)]],VfM_Metrics_2023_Entity[[#This Row],[Tangible fixed assets Housing properties at valuation (Current period)]] )</f>
        <v>79471</v>
      </c>
      <c r="L155" s="84" vm="10301">
        <v>79471</v>
      </c>
      <c r="M155" s="84">
        <v>0</v>
      </c>
      <c r="N155" s="134">
        <f xml:space="preserve"> IFERROR( VfM_Metrics_2023_Entity[[#This Row],[Total social units developed or newly built units acquired in-year]] / VfM_Metrics_2023_Entity[[#This Row],[Social housing units owned (period end)]], "n/a" )</f>
        <v>2.5892232330300909E-2</v>
      </c>
      <c r="O155" s="5">
        <f xml:space="preserve"> SUM( VfM_Metrics_2023_Entity[[#This Row],[Total social units developed or newly built units acquired in-year (owned)]], VfM_Metrics_2023_Entity[[#This Row],[Total social leasehold units developed or newly built units acquired in-year (owned)]] )</f>
        <v>37</v>
      </c>
      <c r="P155" s="84" vm="11054">
        <v>37</v>
      </c>
      <c r="Q155" s="84" vm="11179">
        <v>0</v>
      </c>
      <c r="R155" s="5">
        <f xml:space="preserve"> SUM( VfM_Metrics_2023_Entity[[#This Row],[Total social housing units owned (Period end)]], VfM_Metrics_2023_Entity[[#This Row],[Total social leasehold units owned (Period end)]] )</f>
        <v>1429</v>
      </c>
      <c r="S155" s="84" vm="11363">
        <v>1429</v>
      </c>
      <c r="T155" s="135" vm="11509">
        <v>0</v>
      </c>
      <c r="U155" s="136">
        <f xml:space="preserve"> IFERROR( VfM_Metrics_2023_Entity[[#This Row],[Total non-social housing units developed or newly built units acquired (owned)]] / VfM_Metrics_2023_Entity[[#This Row],[Total social and non-social housing units owned (Period end)]], "n/a" )</f>
        <v>0</v>
      </c>
      <c r="V15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55" s="84" vm="11658">
        <v>0</v>
      </c>
      <c r="X155" s="84" vm="11686">
        <v>0</v>
      </c>
      <c r="Y155" s="84" vm="11760">
        <v>0</v>
      </c>
      <c r="Z15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1429</v>
      </c>
      <c r="AA155" s="84" vm="12031">
        <v>1429</v>
      </c>
      <c r="AB155" s="84" vm="12453">
        <v>0</v>
      </c>
      <c r="AC155" s="84" vm="12382">
        <v>0</v>
      </c>
      <c r="AD155" s="135" vm="12518">
        <v>0</v>
      </c>
      <c r="AE155" s="134">
        <f xml:space="preserve"> IFERROR( VfM_Metrics_2023_Entity[[#This Row],[Total Net Debt]] / VfM_Metrics_2023_Entity[[#This Row],[Net Book Value of Housing Properties2]], "n/a" )</f>
        <v>0.15102364384492456</v>
      </c>
      <c r="AF15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12002</v>
      </c>
      <c r="AG155" s="84" vm="12673">
        <v>457</v>
      </c>
      <c r="AH155" s="84" vm="12785">
        <v>17014</v>
      </c>
      <c r="AI155" s="84" vm="12991">
        <v>5469</v>
      </c>
      <c r="AJ155" s="84" vm="13046">
        <v>0</v>
      </c>
      <c r="AK155" s="84" vm="13133">
        <v>0</v>
      </c>
      <c r="AL155" s="5">
        <f xml:space="preserve"> SUM( VfM_Metrics_2023_Entity[[#This Row],[Tangible fixed assets: Housing properties at cost (Current period)2]], VfM_Metrics_2023_Entity[[#This Row],[Tangible fixed assets Housing properties at valuation (Current period)2]] )</f>
        <v>79471</v>
      </c>
      <c r="AM155" s="84" vm="10070">
        <v>79471</v>
      </c>
      <c r="AN155" s="135">
        <v>0</v>
      </c>
      <c r="AO155" s="137">
        <f xml:space="preserve"> IFERROR( VfM_Metrics_2023_Entity[[#This Row],[EBITDA MRI]] / VfM_Metrics_2023_Entity[[#This Row],[Total interest]], "n/a" )</f>
        <v>3.1987041036717061</v>
      </c>
      <c r="AP15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1481</v>
      </c>
      <c r="AQ155" s="84" vm="13584">
        <v>1354</v>
      </c>
      <c r="AR155" s="84">
        <v>0</v>
      </c>
      <c r="AS155" s="84" vm="14790">
        <v>318</v>
      </c>
      <c r="AT155" s="84" vm="15035">
        <v>373</v>
      </c>
      <c r="AU155" s="84" vm="13799">
        <v>0</v>
      </c>
      <c r="AV155" s="84" vm="14054">
        <v>128</v>
      </c>
      <c r="AW155" s="84" vm="14299">
        <v>1054</v>
      </c>
      <c r="AX155" s="84" vm="14543">
        <v>1744</v>
      </c>
      <c r="AY155" s="5">
        <f xml:space="preserve"> - SUM( VfM_Metrics_2023_Entity[[#This Row],[Interest capitalised]], VfM_Metrics_2023_Entity[[#This Row],[Interest payable and financing costs]] )</f>
        <v>463</v>
      </c>
      <c r="AZ155" s="84" vm="15267">
        <v>0</v>
      </c>
      <c r="BA155" s="135" vm="15430">
        <v>-463</v>
      </c>
      <c r="BB155" s="138">
        <f xml:space="preserve"> IFERROR( ( VfM_Metrics_2023_Entity[[#This Row],[Total Costs]] / VfM_Metrics_2023_Entity[[#This Row],[Total units for costs]] ) * 1000, "n/a" )</f>
        <v>5125.2624212736182</v>
      </c>
      <c r="BC15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7324</v>
      </c>
      <c r="BD155" s="84" vm="15566">
        <v>2530</v>
      </c>
      <c r="BE155" s="84" vm="16477">
        <v>1388</v>
      </c>
      <c r="BF155" s="84" vm="16739">
        <v>1121</v>
      </c>
      <c r="BG155" s="84" vm="16901">
        <v>363</v>
      </c>
      <c r="BH155" s="84" vm="16211">
        <v>586</v>
      </c>
      <c r="BI155" s="84" vm="17278">
        <v>11</v>
      </c>
      <c r="BJ155" s="84" vm="17361">
        <v>1054</v>
      </c>
      <c r="BK155" s="84" vm="16163">
        <v>271</v>
      </c>
      <c r="BL155" s="84" vm="16658">
        <v>0</v>
      </c>
      <c r="BM155" s="84" vm="16020">
        <v>0</v>
      </c>
      <c r="BN155" s="84" vm="16212">
        <v>0</v>
      </c>
      <c r="BO155" s="84" vm="16471">
        <v>0</v>
      </c>
      <c r="BP155" s="5" vm="17710">
        <f xml:space="preserve"> VfM_Metrics_2023_Entity[[#This Row],[Total social housing units owned and/or managed at period end]]</f>
        <v>1429</v>
      </c>
      <c r="BQ155" s="135" vm="17710">
        <v>1429</v>
      </c>
      <c r="BR155" s="134">
        <f xml:space="preserve"> IFERROR( VfM_Metrics_2023_Entity[[#This Row],[SHL operating surplus / (deficit)]] / VfM_Metrics_2023_Entity[[#This Row],[Turnover from social housing lettings]], "n/a" )</f>
        <v>0.11012816150618124</v>
      </c>
      <c r="BS155" s="5" vm="18000">
        <f xml:space="preserve"> VfM_Metrics_2023_Entity[[#This Row],[Operating surplus/(deficit) (social housing lettings)]]</f>
        <v>971</v>
      </c>
      <c r="BT155" s="84" vm="18000">
        <v>971</v>
      </c>
      <c r="BU155" s="5" vm="18179">
        <f xml:space="preserve"> VfM_Metrics_2023_Entity[[#This Row],[Turnover from social housing lettings]]</f>
        <v>8817</v>
      </c>
      <c r="BV155" s="135" vm="18179">
        <v>8817</v>
      </c>
      <c r="BW155" s="134">
        <f xml:space="preserve"> IFERROR( VfM_Metrics_2023_Entity[[#This Row],[Net operating surplus]] / VfM_Metrics_2023_Entity[[#This Row],[Overall turnover]], "n/a" )</f>
        <v>0.11662726556343578</v>
      </c>
      <c r="BX155" s="5">
        <f xml:space="preserve"> SUM( VfM_Metrics_2023_Entity[[#This Row],[Operating surplus/(deficit) (overall)2]], - VfM_Metrics_2023_Entity[[#This Row],[Gain/(loss) on disposal of fixed assets (housing properties)2]], - VfM_Metrics_2023_Entity[[#This Row],[Gain/(loss) on disposal of fixed assets (other)2]] )</f>
        <v>1036</v>
      </c>
      <c r="BY155" s="84" vm="18235">
        <v>1354</v>
      </c>
      <c r="BZ155" s="84">
        <v>0</v>
      </c>
      <c r="CA155" s="84" vm="14790">
        <v>318</v>
      </c>
      <c r="CB155" s="5" vm="18352">
        <f xml:space="preserve"> VfM_Metrics_2023_Entity[[#This Row],[Turnover (overall)]]</f>
        <v>8883</v>
      </c>
      <c r="CC155" s="135" vm="18352">
        <v>8883</v>
      </c>
      <c r="CD155" s="134">
        <f xml:space="preserve"> IFERROR( VfM_Metrics_2023_Entity[[#This Row],[Operating surplus including from JVs]] / VfM_Metrics_2023_Entity[[#This Row],[Net assets]], "n/a" )</f>
        <v>1.5729553903345725E-2</v>
      </c>
      <c r="CE155" s="5">
        <f xml:space="preserve"> SUM( VfM_Metrics_2023_Entity[[#This Row],[Operating surplus/(deficit) (overall)3]], VfM_Metrics_2023_Entity[[#This Row],[Share of operating surplus/(deficit) in joint ventures or associates]] )</f>
        <v>1354</v>
      </c>
      <c r="CF155" s="84" vm="13585">
        <v>1354</v>
      </c>
      <c r="CG155" s="84">
        <v>0</v>
      </c>
      <c r="CH155" s="5" vm="18725">
        <f xml:space="preserve"> VfM_Metrics_2023_Entity[[#This Row],[Total assets less current liabilities]]</f>
        <v>86080</v>
      </c>
      <c r="CI155" s="135" vm="18725">
        <v>86080</v>
      </c>
      <c r="CJ155" s="140" vm="11363">
        <f xml:space="preserve"> VfM_Metrics_2023_Entity[[#This Row],[Total social housing units owned (Period end)]]</f>
        <v>1429</v>
      </c>
      <c r="CK155" s="141">
        <v>0</v>
      </c>
      <c r="CL155" s="69">
        <f xml:space="preserve"> -- ( VfM_Metrics_2023_Entity[[#This Row],[% Supported housing (excl. HOP)]] &gt; 0.3 )</f>
        <v>0</v>
      </c>
      <c r="CM155" s="9">
        <v>0.13365990202939118</v>
      </c>
      <c r="CN155" s="69">
        <f xml:space="preserve"> -- ( VfM_Metrics_2023_Entity[[#This Row],[% Housing for older people]] &gt; 0.3 )</f>
        <v>0</v>
      </c>
      <c r="CO155" s="9">
        <f xml:space="preserve"> VfM_Metrics_2023_Entity[[#This Row],[% Supported housing (excl. HOP)]] + VfM_Metrics_2023_Entity[[#This Row],[% Housing for older people]]</f>
        <v>0.13365990202939118</v>
      </c>
      <c r="CP155" s="69">
        <f xml:space="preserve"> -- ( VfM_Metrics_2023_Entity[[#This Row],[SH specialist in RSH analysis]] + VfM_Metrics_2023_Entity[[#This Row],[OP specialist in RSH analysis]] &gt; 0 )</f>
        <v>0</v>
      </c>
      <c r="CQ155" s="142">
        <f xml:space="preserve"> -- ( VfM_Metrics_2023_Entity[[#This Row],[% SH and OP]] &gt; 0.3 )</f>
        <v>0</v>
      </c>
      <c r="CR155" s="143" t="s">
        <v>143</v>
      </c>
      <c r="CS155" s="120"/>
      <c r="CT155" s="144" t="s">
        <v>144</v>
      </c>
      <c r="CU15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155" s="146">
        <v>0</v>
      </c>
      <c r="CW155" s="146">
        <v>0</v>
      </c>
      <c r="CX155" s="146">
        <v>0</v>
      </c>
      <c r="CY155" s="146">
        <v>0</v>
      </c>
      <c r="CZ155" s="146">
        <v>0</v>
      </c>
      <c r="DA155" s="146">
        <v>0</v>
      </c>
      <c r="DB155" s="146">
        <v>0</v>
      </c>
      <c r="DC155" s="146">
        <v>0</v>
      </c>
      <c r="DD155" s="146">
        <v>1</v>
      </c>
      <c r="DE155" s="126">
        <v>0.94459121441814442</v>
      </c>
    </row>
    <row r="156" spans="1:109" x14ac:dyDescent="0.25">
      <c r="A156" s="4" t="s" vm="9246">
        <v>608</v>
      </c>
      <c r="B156" s="4" t="s" vm="9355">
        <v>609</v>
      </c>
      <c r="C156" s="121" vm="18901">
        <v>45016</v>
      </c>
      <c r="D156" s="68">
        <f>IFERROR( VfM_Metrics_2023_Entity[[#This Row],[Reinvestment Spend]] / VfM_Metrics_2023_Entity[[#This Row],[Net Book Value of Housing Properties]], "n/a" )</f>
        <v>0.15279736930139162</v>
      </c>
      <c r="E15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373168</v>
      </c>
      <c r="F156" s="84" vm="9628">
        <v>328248</v>
      </c>
      <c r="G156" s="84" vm="9688">
        <v>0</v>
      </c>
      <c r="H156" s="84" vm="10729">
        <v>40823</v>
      </c>
      <c r="I156" s="84" vm="10627">
        <v>4097</v>
      </c>
      <c r="J156" s="84" vm="9514">
        <v>0</v>
      </c>
      <c r="K156" s="5">
        <f xml:space="preserve"> SUM( VfM_Metrics_2023_Entity[[#This Row],[Tangible fixed assets: Housing properties at cost (Current period)]],VfM_Metrics_2023_Entity[[#This Row],[Tangible fixed assets Housing properties at valuation (Current period)]] )</f>
        <v>2442241</v>
      </c>
      <c r="L156" s="84" vm="9928">
        <v>2442241</v>
      </c>
      <c r="M156" s="84" vm="10287">
        <v>0</v>
      </c>
      <c r="N156" s="134">
        <f xml:space="preserve"> IFERROR( VfM_Metrics_2023_Entity[[#This Row],[Total social units developed or newly built units acquired in-year]] / VfM_Metrics_2023_Entity[[#This Row],[Social housing units owned (period end)]], "n/a" )</f>
        <v>2.9704541847123647E-2</v>
      </c>
      <c r="O156" s="5">
        <f xml:space="preserve"> SUM( VfM_Metrics_2023_Entity[[#This Row],[Total social units developed or newly built units acquired in-year (owned)]], VfM_Metrics_2023_Entity[[#This Row],[Total social leasehold units developed or newly built units acquired in-year (owned)]] )</f>
        <v>1310</v>
      </c>
      <c r="P156" s="84" vm="11073">
        <v>1310</v>
      </c>
      <c r="Q156" s="84" vm="11196">
        <v>0</v>
      </c>
      <c r="R156" s="5">
        <f xml:space="preserve"> SUM( VfM_Metrics_2023_Entity[[#This Row],[Total social housing units owned (Period end)]], VfM_Metrics_2023_Entity[[#This Row],[Total social leasehold units owned (Period end)]] )</f>
        <v>44101</v>
      </c>
      <c r="S156" s="84" vm="11382">
        <v>39864</v>
      </c>
      <c r="T156" s="135" vm="11499">
        <v>4237</v>
      </c>
      <c r="U156" s="136">
        <f xml:space="preserve"> IFERROR( VfM_Metrics_2023_Entity[[#This Row],[Total non-social housing units developed or newly built units acquired (owned)]] / VfM_Metrics_2023_Entity[[#This Row],[Total social and non-social housing units owned (Period end)]], "n/a" )</f>
        <v>3.7920410229892489E-3</v>
      </c>
      <c r="V15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176</v>
      </c>
      <c r="W156" s="84" vm="11674">
        <v>0</v>
      </c>
      <c r="X156" s="84" vm="11806">
        <v>0</v>
      </c>
      <c r="Y156" s="84" vm="11851">
        <v>176</v>
      </c>
      <c r="Z15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46413</v>
      </c>
      <c r="AA156" s="84" vm="12053">
        <v>39864</v>
      </c>
      <c r="AB156" s="84" vm="12203">
        <v>4237</v>
      </c>
      <c r="AC156" s="84" vm="12132">
        <v>1805</v>
      </c>
      <c r="AD156" s="135" vm="12297">
        <v>507</v>
      </c>
      <c r="AE156" s="134">
        <f xml:space="preserve"> IFERROR( VfM_Metrics_2023_Entity[[#This Row],[Total Net Debt]] / VfM_Metrics_2023_Entity[[#This Row],[Net Book Value of Housing Properties2]], "n/a" )</f>
        <v>1.0210916940629529</v>
      </c>
      <c r="AF15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2493752</v>
      </c>
      <c r="AG156" s="84" vm="12695">
        <v>12949</v>
      </c>
      <c r="AH156" s="84" vm="13219">
        <v>867635</v>
      </c>
      <c r="AI156" s="84" vm="13306">
        <v>11484</v>
      </c>
      <c r="AJ156" s="84" vm="12786">
        <v>1473152</v>
      </c>
      <c r="AK156" s="84" vm="12910">
        <v>151500</v>
      </c>
      <c r="AL156" s="5">
        <f xml:space="preserve"> SUM( VfM_Metrics_2023_Entity[[#This Row],[Tangible fixed assets: Housing properties at cost (Current period)2]], VfM_Metrics_2023_Entity[[#This Row],[Tangible fixed assets Housing properties at valuation (Current period)2]] )</f>
        <v>2442241</v>
      </c>
      <c r="AM156" s="84" vm="9982">
        <v>2442241</v>
      </c>
      <c r="AN156" s="135" vm="10287">
        <v>0</v>
      </c>
      <c r="AO156" s="137">
        <f xml:space="preserve"> IFERROR( VfM_Metrics_2023_Entity[[#This Row],[EBITDA MRI]] / VfM_Metrics_2023_Entity[[#This Row],[Total interest]], "n/a" )</f>
        <v>0.46935101930252271</v>
      </c>
      <c r="AP15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53713</v>
      </c>
      <c r="AQ156" s="84" vm="13614">
        <v>76483</v>
      </c>
      <c r="AR156" s="84" vm="14791">
        <v>7646</v>
      </c>
      <c r="AS156" s="84" vm="15036">
        <v>0</v>
      </c>
      <c r="AT156" s="84" vm="13800">
        <v>13180</v>
      </c>
      <c r="AU156" s="84" vm="14055">
        <v>0</v>
      </c>
      <c r="AV156" s="84" vm="14300">
        <v>12750</v>
      </c>
      <c r="AW156" s="84" vm="14544">
        <v>40823</v>
      </c>
      <c r="AX156" s="84" vm="14792">
        <v>26129</v>
      </c>
      <c r="AY156" s="5">
        <f xml:space="preserve"> - SUM( VfM_Metrics_2023_Entity[[#This Row],[Interest capitalised]], VfM_Metrics_2023_Entity[[#This Row],[Interest payable and financing costs]] )</f>
        <v>114441</v>
      </c>
      <c r="AZ156" s="84" vm="15284">
        <v>-4097</v>
      </c>
      <c r="BA156" s="135" vm="15464">
        <v>-110344</v>
      </c>
      <c r="BB156" s="138">
        <f xml:space="preserve"> IFERROR( ( VfM_Metrics_2023_Entity[[#This Row],[Total Costs]] / VfM_Metrics_2023_Entity[[#This Row],[Total units for costs]] ) * 1000, "n/a" )</f>
        <v>3055.4064146297155</v>
      </c>
      <c r="BC15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151374</v>
      </c>
      <c r="BD156" s="84" vm="15605">
        <v>36649</v>
      </c>
      <c r="BE156" s="84" vm="17362">
        <v>18874</v>
      </c>
      <c r="BF156" s="84" vm="17520">
        <v>35279</v>
      </c>
      <c r="BG156" s="84" vm="16472">
        <v>10982</v>
      </c>
      <c r="BH156" s="84" vm="16659">
        <v>2735</v>
      </c>
      <c r="BI156" s="84" vm="16740">
        <v>0</v>
      </c>
      <c r="BJ156" s="84" vm="16213">
        <v>40823</v>
      </c>
      <c r="BK156" s="84" vm="15981">
        <v>6032</v>
      </c>
      <c r="BL156" s="84" vm="17363">
        <v>0</v>
      </c>
      <c r="BM156" s="84" vm="15980">
        <v>0</v>
      </c>
      <c r="BN156" s="84" vm="16021">
        <v>0</v>
      </c>
      <c r="BO156" s="84" vm="17279">
        <v>0</v>
      </c>
      <c r="BP156" s="5" vm="17745">
        <f xml:space="preserve"> VfM_Metrics_2023_Entity[[#This Row],[Total social housing units owned and/or managed at period end]]</f>
        <v>49543</v>
      </c>
      <c r="BQ156" s="135" vm="17745">
        <v>49543</v>
      </c>
      <c r="BR156" s="134">
        <f xml:space="preserve"> IFERROR( VfM_Metrics_2023_Entity[[#This Row],[SHL operating surplus / (deficit)]] / VfM_Metrics_2023_Entity[[#This Row],[Turnover from social housing lettings]], "n/a" )</f>
        <v>0.42646190936601414</v>
      </c>
      <c r="BS156" s="5" vm="18026">
        <f xml:space="preserve"> VfM_Metrics_2023_Entity[[#This Row],[Operating surplus/(deficit) (social housing lettings)]]</f>
        <v>101889</v>
      </c>
      <c r="BT156" s="84" vm="18026">
        <v>101889</v>
      </c>
      <c r="BU156" s="5" vm="18201">
        <f xml:space="preserve"> VfM_Metrics_2023_Entity[[#This Row],[Turnover from social housing lettings]]</f>
        <v>238917</v>
      </c>
      <c r="BV156" s="135" vm="18201">
        <v>238917</v>
      </c>
      <c r="BW156" s="134">
        <f xml:space="preserve"> IFERROR( VfM_Metrics_2023_Entity[[#This Row],[Net operating surplus]] / VfM_Metrics_2023_Entity[[#This Row],[Overall turnover]], "n/a" )</f>
        <v>0.21045085036977251</v>
      </c>
      <c r="BX156" s="5">
        <f xml:space="preserve"> SUM( VfM_Metrics_2023_Entity[[#This Row],[Operating surplus/(deficit) (overall)2]], - VfM_Metrics_2023_Entity[[#This Row],[Gain/(loss) on disposal of fixed assets (housing properties)2]], - VfM_Metrics_2023_Entity[[#This Row],[Gain/(loss) on disposal of fixed assets (other)2]] )</f>
        <v>68837</v>
      </c>
      <c r="BY156" s="84" vm="13614">
        <v>76483</v>
      </c>
      <c r="BZ156" s="84" vm="14791">
        <v>7646</v>
      </c>
      <c r="CA156" s="84" vm="15036">
        <v>0</v>
      </c>
      <c r="CB156" s="5" vm="18379">
        <f xml:space="preserve"> VfM_Metrics_2023_Entity[[#This Row],[Turnover (overall)]]</f>
        <v>327093</v>
      </c>
      <c r="CC156" s="135" vm="18379">
        <v>327093</v>
      </c>
      <c r="CD156" s="134">
        <f xml:space="preserve"> IFERROR( VfM_Metrics_2023_Entity[[#This Row],[Operating surplus including from JVs]] / VfM_Metrics_2023_Entity[[#This Row],[Net assets]], "n/a" )</f>
        <v>2.1021925657094938E-2</v>
      </c>
      <c r="CE156" s="5">
        <f xml:space="preserve"> SUM( VfM_Metrics_2023_Entity[[#This Row],[Operating surplus/(deficit) (overall)3]], VfM_Metrics_2023_Entity[[#This Row],[Share of operating surplus/(deficit) in joint ventures or associates]] )</f>
        <v>76483</v>
      </c>
      <c r="CF156" s="84" vm="13614">
        <v>76483</v>
      </c>
      <c r="CG156" s="84" vm="18542">
        <v>0</v>
      </c>
      <c r="CH156" s="5" vm="18747">
        <f xml:space="preserve"> VfM_Metrics_2023_Entity[[#This Row],[Total assets less current liabilities]]</f>
        <v>3638249</v>
      </c>
      <c r="CI156" s="135" vm="18747">
        <v>3638249</v>
      </c>
      <c r="CJ156" s="140" vm="11382">
        <f xml:space="preserve"> VfM_Metrics_2023_Entity[[#This Row],[Total social housing units owned (Period end)]]</f>
        <v>39864</v>
      </c>
      <c r="CK156" s="141">
        <v>1.10767061903683E-2</v>
      </c>
      <c r="CL156" s="69">
        <f xml:space="preserve"> -- ( VfM_Metrics_2023_Entity[[#This Row],[% Supported housing (excl. HOP)]] &gt; 0.3 )</f>
        <v>0</v>
      </c>
      <c r="CM156" s="9">
        <v>5.7019862548145908E-2</v>
      </c>
      <c r="CN156" s="69">
        <f xml:space="preserve"> -- ( VfM_Metrics_2023_Entity[[#This Row],[% Housing for older people]] &gt; 0.3 )</f>
        <v>0</v>
      </c>
      <c r="CO156" s="9">
        <f xml:space="preserve"> VfM_Metrics_2023_Entity[[#This Row],[% Supported housing (excl. HOP)]] + VfM_Metrics_2023_Entity[[#This Row],[% Housing for older people]]</f>
        <v>6.8096568738514204E-2</v>
      </c>
      <c r="CP156" s="69">
        <f xml:space="preserve"> -- ( VfM_Metrics_2023_Entity[[#This Row],[SH specialist in RSH analysis]] + VfM_Metrics_2023_Entity[[#This Row],[OP specialist in RSH analysis]] &gt; 0 )</f>
        <v>0</v>
      </c>
      <c r="CQ156" s="142">
        <f xml:space="preserve"> -- ( VfM_Metrics_2023_Entity[[#This Row],[% SH and OP]] &gt; 0.3 )</f>
        <v>0</v>
      </c>
      <c r="CR156" s="143" t="s">
        <v>143</v>
      </c>
      <c r="CS156" s="120"/>
      <c r="CT156" s="144" t="s">
        <v>144</v>
      </c>
      <c r="CU15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56" s="146">
        <v>4.4257590252253162E-2</v>
      </c>
      <c r="CW156" s="146">
        <v>0.14075323498313277</v>
      </c>
      <c r="CX156" s="146">
        <v>2.1373546145712703E-2</v>
      </c>
      <c r="CY156" s="146">
        <v>7.5273148381249683E-2</v>
      </c>
      <c r="CZ156" s="146">
        <v>2.4923216353657921E-3</v>
      </c>
      <c r="DA156" s="146">
        <v>7.6909521172146417E-2</v>
      </c>
      <c r="DB156" s="146">
        <v>0.12199788530285484</v>
      </c>
      <c r="DC156" s="146">
        <v>0.28628971350888677</v>
      </c>
      <c r="DD156" s="146">
        <v>0.23065303861839787</v>
      </c>
      <c r="DE156" s="126">
        <v>0.97242692183910617</v>
      </c>
    </row>
    <row r="157" spans="1:109" x14ac:dyDescent="0.25">
      <c r="A157" s="4" t="s" vm="9247">
        <v>610</v>
      </c>
      <c r="B157" s="4" t="s" vm="9372">
        <v>611</v>
      </c>
      <c r="C157" s="121" vm="18937">
        <v>45016</v>
      </c>
      <c r="D157" s="68">
        <f>IFERROR( VfM_Metrics_2023_Entity[[#This Row],[Reinvestment Spend]] / VfM_Metrics_2023_Entity[[#This Row],[Net Book Value of Housing Properties]], "n/a" )</f>
        <v>2.879536378675179E-2</v>
      </c>
      <c r="E15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40575</v>
      </c>
      <c r="F157" s="84" vm="9394">
        <v>21841</v>
      </c>
      <c r="G157" s="84" vm="9629">
        <v>0</v>
      </c>
      <c r="H157" s="84" vm="10913">
        <v>18044</v>
      </c>
      <c r="I157" s="84" vm="9866">
        <v>690</v>
      </c>
      <c r="J157" s="84" vm="9770">
        <v>0</v>
      </c>
      <c r="K157" s="5">
        <f xml:space="preserve"> SUM( VfM_Metrics_2023_Entity[[#This Row],[Tangible fixed assets: Housing properties at cost (Current period)]],VfM_Metrics_2023_Entity[[#This Row],[Tangible fixed assets Housing properties at valuation (Current period)]] )</f>
        <v>1409081</v>
      </c>
      <c r="L157" s="84" vm="10050">
        <v>1409081</v>
      </c>
      <c r="M157" s="84" vm="10532">
        <v>0</v>
      </c>
      <c r="N157" s="134">
        <f xml:space="preserve"> IFERROR( VfM_Metrics_2023_Entity[[#This Row],[Total social units developed or newly built units acquired in-year]] / VfM_Metrics_2023_Entity[[#This Row],[Social housing units owned (period end)]], "n/a" )</f>
        <v>2.1693856299895868E-3</v>
      </c>
      <c r="O157" s="5">
        <f xml:space="preserve"> SUM( VfM_Metrics_2023_Entity[[#This Row],[Total social units developed or newly built units acquired in-year (owned)]], VfM_Metrics_2023_Entity[[#This Row],[Total social leasehold units developed or newly built units acquired in-year (owned)]] )</f>
        <v>50</v>
      </c>
      <c r="P157" s="84" vm="11094">
        <v>50</v>
      </c>
      <c r="Q157" s="84" vm="11212">
        <v>0</v>
      </c>
      <c r="R157" s="5">
        <f xml:space="preserve"> SUM( VfM_Metrics_2023_Entity[[#This Row],[Total social housing units owned (Period end)]], VfM_Metrics_2023_Entity[[#This Row],[Total social leasehold units owned (Period end)]] )</f>
        <v>23048</v>
      </c>
      <c r="S157" s="84" vm="11307">
        <v>22025</v>
      </c>
      <c r="T157" s="135" vm="11508">
        <v>1023</v>
      </c>
      <c r="U157" s="136">
        <f xml:space="preserve"> IFERROR( VfM_Metrics_2023_Entity[[#This Row],[Total non-social housing units developed or newly built units acquired (owned)]] / VfM_Metrics_2023_Entity[[#This Row],[Total social and non-social housing units owned (Period end)]], "n/a" )</f>
        <v>0</v>
      </c>
      <c r="V15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57" s="84" vm="11574">
        <v>0</v>
      </c>
      <c r="X157" s="84" vm="11891">
        <v>0</v>
      </c>
      <c r="Y157" s="84" vm="11933">
        <v>0</v>
      </c>
      <c r="Z15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24465</v>
      </c>
      <c r="AA157" s="84" vm="11959">
        <v>22025</v>
      </c>
      <c r="AB157" s="84" vm="12453">
        <v>1023</v>
      </c>
      <c r="AC157" s="84" vm="12383">
        <v>1245</v>
      </c>
      <c r="AD157" s="135" vm="12518">
        <v>172</v>
      </c>
      <c r="AE157" s="134">
        <f xml:space="preserve"> IFERROR( VfM_Metrics_2023_Entity[[#This Row],[Total Net Debt]] / VfM_Metrics_2023_Entity[[#This Row],[Net Book Value of Housing Properties2]], "n/a" )</f>
        <v>0.48461514987427978</v>
      </c>
      <c r="AF15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682862</v>
      </c>
      <c r="AG157" s="84" vm="12570">
        <v>7932</v>
      </c>
      <c r="AH157" s="84" vm="12953">
        <v>353839</v>
      </c>
      <c r="AI157" s="84" vm="13047">
        <v>4255</v>
      </c>
      <c r="AJ157" s="84" vm="13134">
        <v>266241</v>
      </c>
      <c r="AK157" s="84" vm="13219">
        <v>59105</v>
      </c>
      <c r="AL157" s="5">
        <f xml:space="preserve"> SUM( VfM_Metrics_2023_Entity[[#This Row],[Tangible fixed assets: Housing properties at cost (Current period)2]], VfM_Metrics_2023_Entity[[#This Row],[Tangible fixed assets Housing properties at valuation (Current period)2]] )</f>
        <v>1409081</v>
      </c>
      <c r="AM157" s="84" vm="10050">
        <v>1409081</v>
      </c>
      <c r="AN157" s="135" vm="13423">
        <v>0</v>
      </c>
      <c r="AO157" s="137">
        <f xml:space="preserve"> IFERROR( VfM_Metrics_2023_Entity[[#This Row],[EBITDA MRI]] / VfM_Metrics_2023_Entity[[#This Row],[Total interest]], "n/a" )</f>
        <v>1.7955977382875605</v>
      </c>
      <c r="AP15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44459</v>
      </c>
      <c r="AQ157" s="84" vm="13453">
        <v>58107</v>
      </c>
      <c r="AR157" s="84" vm="15037">
        <v>4019</v>
      </c>
      <c r="AS157" s="84" vm="13801">
        <v>112</v>
      </c>
      <c r="AT157" s="84" vm="14056">
        <v>4548</v>
      </c>
      <c r="AU157" s="84" vm="14301">
        <v>0</v>
      </c>
      <c r="AV157" s="84" vm="14545">
        <v>525</v>
      </c>
      <c r="AW157" s="84" vm="14793">
        <v>18044</v>
      </c>
      <c r="AX157" s="84" vm="15038">
        <v>12550</v>
      </c>
      <c r="AY157" s="5">
        <f xml:space="preserve"> - SUM( VfM_Metrics_2023_Entity[[#This Row],[Interest capitalised]], VfM_Metrics_2023_Entity[[#This Row],[Interest payable and financing costs]] )</f>
        <v>24760</v>
      </c>
      <c r="AZ157" s="84" vm="15293">
        <v>-690</v>
      </c>
      <c r="BA157" s="135" vm="15495">
        <v>-24070</v>
      </c>
      <c r="BB157" s="138">
        <f xml:space="preserve"> IFERROR( ( VfM_Metrics_2023_Entity[[#This Row],[Total Costs]] / VfM_Metrics_2023_Entity[[#This Row],[Total units for costs]] ) * 1000, "n/a" )</f>
        <v>3409.2515869094227</v>
      </c>
      <c r="BC15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89694</v>
      </c>
      <c r="BD157" s="84" vm="15593">
        <v>19691</v>
      </c>
      <c r="BE157" s="84" vm="16214">
        <v>20553</v>
      </c>
      <c r="BF157" s="84" vm="15039">
        <v>15751</v>
      </c>
      <c r="BG157" s="84" vm="17132">
        <v>5358</v>
      </c>
      <c r="BH157" s="84" vm="17280">
        <v>1649</v>
      </c>
      <c r="BI157" s="84" vm="17614">
        <v>0</v>
      </c>
      <c r="BJ157" s="84" vm="17588">
        <v>18044</v>
      </c>
      <c r="BK157" s="84" vm="16473">
        <v>6227</v>
      </c>
      <c r="BL157" s="84" vm="16831">
        <v>0</v>
      </c>
      <c r="BM157" s="84" vm="17061">
        <v>0</v>
      </c>
      <c r="BN157" s="84" vm="17133">
        <v>2</v>
      </c>
      <c r="BO157" s="84" vm="15982">
        <v>2419</v>
      </c>
      <c r="BP157" s="5" vm="17778">
        <f xml:space="preserve"> VfM_Metrics_2023_Entity[[#This Row],[Total social housing units owned and/or managed at period end]]</f>
        <v>26309</v>
      </c>
      <c r="BQ157" s="135" vm="17778">
        <v>26309</v>
      </c>
      <c r="BR157" s="134">
        <f xml:space="preserve"> IFERROR( VfM_Metrics_2023_Entity[[#This Row],[SHL operating surplus / (deficit)]] / VfM_Metrics_2023_Entity[[#This Row],[Turnover from social housing lettings]], "n/a" )</f>
        <v>0.38579093885675547</v>
      </c>
      <c r="BS157" s="5" vm="17856">
        <f xml:space="preserve"> VfM_Metrics_2023_Entity[[#This Row],[Operating surplus/(deficit) (social housing lettings)]]</f>
        <v>53493</v>
      </c>
      <c r="BT157" s="84" vm="17856">
        <v>53493</v>
      </c>
      <c r="BU157" s="5" vm="18067">
        <f xml:space="preserve"> VfM_Metrics_2023_Entity[[#This Row],[Turnover from social housing lettings]]</f>
        <v>138658</v>
      </c>
      <c r="BV157" s="135" vm="18067">
        <v>138658</v>
      </c>
      <c r="BW157" s="134">
        <f xml:space="preserve"> IFERROR( VfM_Metrics_2023_Entity[[#This Row],[Net operating surplus]] / VfM_Metrics_2023_Entity[[#This Row],[Overall turnover]], "n/a" )</f>
        <v>0.33790754745329793</v>
      </c>
      <c r="BX157" s="5">
        <f xml:space="preserve"> SUM( VfM_Metrics_2023_Entity[[#This Row],[Operating surplus/(deficit) (overall)2]], - VfM_Metrics_2023_Entity[[#This Row],[Gain/(loss) on disposal of fixed assets (housing properties)2]], - VfM_Metrics_2023_Entity[[#This Row],[Gain/(loss) on disposal of fixed assets (other)2]] )</f>
        <v>53976</v>
      </c>
      <c r="BY157" s="84" vm="13526">
        <v>58107</v>
      </c>
      <c r="BZ157" s="84" vm="15037">
        <v>4019</v>
      </c>
      <c r="CA157" s="84" vm="13801">
        <v>112</v>
      </c>
      <c r="CB157" s="5" vm="18389">
        <f xml:space="preserve"> VfM_Metrics_2023_Entity[[#This Row],[Turnover (overall)]]</f>
        <v>159736</v>
      </c>
      <c r="CC157" s="135" vm="18389">
        <v>159736</v>
      </c>
      <c r="CD157" s="134">
        <f xml:space="preserve"> IFERROR( VfM_Metrics_2023_Entity[[#This Row],[Operating surplus including from JVs]] / VfM_Metrics_2023_Entity[[#This Row],[Net assets]], "n/a" )</f>
        <v>3.7556109242149555E-2</v>
      </c>
      <c r="CE157" s="5">
        <f xml:space="preserve"> SUM( VfM_Metrics_2023_Entity[[#This Row],[Operating surplus/(deficit) (overall)3]], VfM_Metrics_2023_Entity[[#This Row],[Share of operating surplus/(deficit) in joint ventures or associates]] )</f>
        <v>58107</v>
      </c>
      <c r="CF157" s="84" vm="13453">
        <v>58107</v>
      </c>
      <c r="CG157" s="84" vm="18561">
        <v>0</v>
      </c>
      <c r="CH157" s="5" vm="18593">
        <f xml:space="preserve"> VfM_Metrics_2023_Entity[[#This Row],[Total assets less current liabilities]]</f>
        <v>1547205</v>
      </c>
      <c r="CI157" s="135" vm="18593">
        <v>1547205</v>
      </c>
      <c r="CJ157" s="140" vm="11307">
        <f xml:space="preserve"> VfM_Metrics_2023_Entity[[#This Row],[Total social housing units owned (Period end)]]</f>
        <v>22025</v>
      </c>
      <c r="CK157" s="141">
        <v>0.1226243040890766</v>
      </c>
      <c r="CL157" s="69">
        <f xml:space="preserve"> -- ( VfM_Metrics_2023_Entity[[#This Row],[% Supported housing (excl. HOP)]] &gt; 0.3 )</f>
        <v>0</v>
      </c>
      <c r="CM157" s="9">
        <v>8.326934152428489E-2</v>
      </c>
      <c r="CN157" s="69">
        <f xml:space="preserve"> -- ( VfM_Metrics_2023_Entity[[#This Row],[% Housing for older people]] &gt; 0.3 )</f>
        <v>0</v>
      </c>
      <c r="CO157" s="9">
        <f xml:space="preserve"> VfM_Metrics_2023_Entity[[#This Row],[% Supported housing (excl. HOP)]] + VfM_Metrics_2023_Entity[[#This Row],[% Housing for older people]]</f>
        <v>0.20589364561336149</v>
      </c>
      <c r="CP157" s="69">
        <f xml:space="preserve"> -- ( VfM_Metrics_2023_Entity[[#This Row],[SH specialist in RSH analysis]] + VfM_Metrics_2023_Entity[[#This Row],[OP specialist in RSH analysis]] &gt; 0 )</f>
        <v>0</v>
      </c>
      <c r="CQ157" s="142">
        <f xml:space="preserve"> -- ( VfM_Metrics_2023_Entity[[#This Row],[% SH and OP]] &gt; 0.3 )</f>
        <v>0</v>
      </c>
      <c r="CR157" s="143" t="s">
        <v>143</v>
      </c>
      <c r="CS157" s="120"/>
      <c r="CT157" s="144" t="s">
        <v>144</v>
      </c>
      <c r="CU15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57" s="146">
        <v>3.4758016694795418E-2</v>
      </c>
      <c r="CW157" s="146">
        <v>1.4733385029421156E-2</v>
      </c>
      <c r="CX157" s="146">
        <v>0.10431966427952379</v>
      </c>
      <c r="CY157" s="146">
        <v>0.35136614514436892</v>
      </c>
      <c r="CZ157" s="146">
        <v>9.9895087351183683E-3</v>
      </c>
      <c r="DA157" s="146">
        <v>0.38753820188842769</v>
      </c>
      <c r="DB157" s="146">
        <v>6.8877434657665468E-3</v>
      </c>
      <c r="DC157" s="146">
        <v>5.1042284358892485E-2</v>
      </c>
      <c r="DD157" s="146">
        <v>3.9365050403685625E-2</v>
      </c>
      <c r="DE157" s="126">
        <v>0.98245365279475227</v>
      </c>
    </row>
    <row r="158" spans="1:109" x14ac:dyDescent="0.25">
      <c r="A158" s="4" t="s" vm="9248">
        <v>612</v>
      </c>
      <c r="B158" s="4" t="s" vm="9295">
        <v>613</v>
      </c>
      <c r="C158" s="121" vm="18841">
        <v>45016</v>
      </c>
      <c r="D158" s="68">
        <f>IFERROR( VfM_Metrics_2023_Entity[[#This Row],[Reinvestment Spend]] / VfM_Metrics_2023_Entity[[#This Row],[Net Book Value of Housing Properties]], "n/a" )</f>
        <v>9.1755087454340509E-2</v>
      </c>
      <c r="E15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268049</v>
      </c>
      <c r="F158" s="84" vm="9458">
        <v>239561</v>
      </c>
      <c r="G158" s="84" vm="9575">
        <v>0</v>
      </c>
      <c r="H158" s="84" vm="10681">
        <v>24377</v>
      </c>
      <c r="I158" s="84" vm="10556">
        <v>4111</v>
      </c>
      <c r="J158" s="84" vm="9732">
        <v>0</v>
      </c>
      <c r="K158" s="5">
        <f xml:space="preserve"> SUM( VfM_Metrics_2023_Entity[[#This Row],[Tangible fixed assets: Housing properties at cost (Current period)]],VfM_Metrics_2023_Entity[[#This Row],[Tangible fixed assets Housing properties at valuation (Current period)]] )</f>
        <v>2921353</v>
      </c>
      <c r="L158" s="84" vm="9904">
        <v>2921353</v>
      </c>
      <c r="M158" s="84" vm="10134">
        <v>0</v>
      </c>
      <c r="N158" s="134">
        <f xml:space="preserve"> IFERROR( VfM_Metrics_2023_Entity[[#This Row],[Total social units developed or newly built units acquired in-year]] / VfM_Metrics_2023_Entity[[#This Row],[Social housing units owned (period end)]], "n/a" )</f>
        <v>2.2442369173817936E-2</v>
      </c>
      <c r="O158" s="5">
        <f xml:space="preserve"> SUM( VfM_Metrics_2023_Entity[[#This Row],[Total social units developed or newly built units acquired in-year (owned)]], VfM_Metrics_2023_Entity[[#This Row],[Total social leasehold units developed or newly built units acquired in-year (owned)]] )</f>
        <v>1067</v>
      </c>
      <c r="P158" s="84" vm="11019">
        <v>1067</v>
      </c>
      <c r="Q158" s="84">
        <v>0</v>
      </c>
      <c r="R158" s="5">
        <f xml:space="preserve"> SUM( VfM_Metrics_2023_Entity[[#This Row],[Total social housing units owned (Period end)]], VfM_Metrics_2023_Entity[[#This Row],[Total social leasehold units owned (Period end)]] )</f>
        <v>47544</v>
      </c>
      <c r="S158" s="84" vm="11353">
        <v>46399</v>
      </c>
      <c r="T158" s="135" vm="11432">
        <v>1145</v>
      </c>
      <c r="U158" s="136">
        <f xml:space="preserve"> IFERROR( VfM_Metrics_2023_Entity[[#This Row],[Total non-social housing units developed or newly built units acquired (owned)]] / VfM_Metrics_2023_Entity[[#This Row],[Total social and non-social housing units owned (Period end)]], "n/a" )</f>
        <v>0</v>
      </c>
      <c r="V15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58" s="84" vm="11599">
        <v>0</v>
      </c>
      <c r="X158" s="84">
        <v>0</v>
      </c>
      <c r="Y158" s="84" vm="11761">
        <v>0</v>
      </c>
      <c r="Z15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48080</v>
      </c>
      <c r="AA158" s="84" vm="11353">
        <v>46399</v>
      </c>
      <c r="AB158" s="84" vm="11432">
        <v>1145</v>
      </c>
      <c r="AC158" s="84" vm="12133">
        <v>111</v>
      </c>
      <c r="AD158" s="135" vm="12288">
        <v>425</v>
      </c>
      <c r="AE158" s="134">
        <f xml:space="preserve"> IFERROR( VfM_Metrics_2023_Entity[[#This Row],[Total Net Debt]] / VfM_Metrics_2023_Entity[[#This Row],[Net Book Value of Housing Properties2]], "n/a" )</f>
        <v>0.43771533258733197</v>
      </c>
      <c r="AF15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1278721</v>
      </c>
      <c r="AG158" s="84" vm="12597">
        <v>14073</v>
      </c>
      <c r="AH158" s="84" vm="12787">
        <v>1378934</v>
      </c>
      <c r="AI158" s="84" vm="13341">
        <v>114286</v>
      </c>
      <c r="AJ158" s="84">
        <v>0</v>
      </c>
      <c r="AK158" s="84">
        <v>0</v>
      </c>
      <c r="AL158" s="5">
        <f xml:space="preserve"> SUM( VfM_Metrics_2023_Entity[[#This Row],[Tangible fixed assets: Housing properties at cost (Current period)2]], VfM_Metrics_2023_Entity[[#This Row],[Tangible fixed assets Housing properties at valuation (Current period)2]] )</f>
        <v>2921353</v>
      </c>
      <c r="AM158" s="84" vm="13383">
        <v>2921353</v>
      </c>
      <c r="AN158" s="135" vm="10097">
        <v>0</v>
      </c>
      <c r="AO158" s="137">
        <f xml:space="preserve"> IFERROR( VfM_Metrics_2023_Entity[[#This Row],[EBITDA MRI]] / VfM_Metrics_2023_Entity[[#This Row],[Total interest]], "n/a" )</f>
        <v>1.8817011195598181</v>
      </c>
      <c r="AP15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98492</v>
      </c>
      <c r="AQ158" s="84" vm="13486">
        <v>92897</v>
      </c>
      <c r="AR158" s="84" vm="13802">
        <v>10749</v>
      </c>
      <c r="AS158" s="84" vm="14057">
        <v>0</v>
      </c>
      <c r="AT158" s="84" vm="14302">
        <v>5082</v>
      </c>
      <c r="AU158" s="84" vm="14546">
        <v>0</v>
      </c>
      <c r="AV158" s="84" vm="14794">
        <v>4778</v>
      </c>
      <c r="AW158" s="84" vm="15039">
        <v>24377</v>
      </c>
      <c r="AX158" s="84" vm="13803">
        <v>41025</v>
      </c>
      <c r="AY158" s="5">
        <f xml:space="preserve"> - SUM( VfM_Metrics_2023_Entity[[#This Row],[Interest capitalised]], VfM_Metrics_2023_Entity[[#This Row],[Interest payable and financing costs]] )</f>
        <v>52342</v>
      </c>
      <c r="AZ158" s="84" vm="15173">
        <v>-4111</v>
      </c>
      <c r="BA158" s="135" vm="15335">
        <v>-48231</v>
      </c>
      <c r="BB158" s="138">
        <f xml:space="preserve"> IFERROR( ( VfM_Metrics_2023_Entity[[#This Row],[Total Costs]] / VfM_Metrics_2023_Entity[[#This Row],[Total units for costs]] ) * 1000, "n/a" )</f>
        <v>3435.3483562411134</v>
      </c>
      <c r="BC15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159462</v>
      </c>
      <c r="BD158" s="84" vm="16022">
        <v>30195</v>
      </c>
      <c r="BE158" s="84" vm="17521">
        <v>27474</v>
      </c>
      <c r="BF158" s="84" vm="16475">
        <v>52173</v>
      </c>
      <c r="BG158" s="84" vm="16479">
        <v>7492</v>
      </c>
      <c r="BH158" s="84" vm="16659">
        <v>12009</v>
      </c>
      <c r="BI158" s="84" vm="16831">
        <v>0</v>
      </c>
      <c r="BJ158" s="84" vm="15039">
        <v>24377</v>
      </c>
      <c r="BK158" s="84" vm="16023">
        <v>0</v>
      </c>
      <c r="BL158" s="84" vm="15984">
        <v>4336</v>
      </c>
      <c r="BM158" s="84">
        <v>0</v>
      </c>
      <c r="BN158" s="84" vm="16660">
        <v>856</v>
      </c>
      <c r="BO158" s="84" vm="17281">
        <v>550</v>
      </c>
      <c r="BP158" s="5" vm="17640">
        <f xml:space="preserve"> VfM_Metrics_2023_Entity[[#This Row],[Total social housing units owned and/or managed at period end]]</f>
        <v>46418</v>
      </c>
      <c r="BQ158" s="135" vm="17640">
        <v>46418</v>
      </c>
      <c r="BR158" s="134">
        <f xml:space="preserve"> IFERROR( VfM_Metrics_2023_Entity[[#This Row],[SHL operating surplus / (deficit)]] / VfM_Metrics_2023_Entity[[#This Row],[Turnover from social housing lettings]], "n/a" )</f>
        <v>0.32062296006769553</v>
      </c>
      <c r="BS158" s="5" vm="17894">
        <f xml:space="preserve"> VfM_Metrics_2023_Entity[[#This Row],[Operating surplus/(deficit) (social housing lettings)]]</f>
        <v>79569</v>
      </c>
      <c r="BT158" s="84" vm="17894">
        <v>79569</v>
      </c>
      <c r="BU158" s="5" vm="18093">
        <f xml:space="preserve"> VfM_Metrics_2023_Entity[[#This Row],[Turnover from social housing lettings]]</f>
        <v>248170</v>
      </c>
      <c r="BV158" s="135" vm="18093">
        <v>248170</v>
      </c>
      <c r="BW158" s="134">
        <f xml:space="preserve"> IFERROR( VfM_Metrics_2023_Entity[[#This Row],[Net operating surplus]] / VfM_Metrics_2023_Entity[[#This Row],[Overall turnover]], "n/a" )</f>
        <v>0.28775899816095979</v>
      </c>
      <c r="BX158" s="5">
        <f xml:space="preserve"> SUM( VfM_Metrics_2023_Entity[[#This Row],[Operating surplus/(deficit) (overall)2]], - VfM_Metrics_2023_Entity[[#This Row],[Gain/(loss) on disposal of fixed assets (housing properties)2]], - VfM_Metrics_2023_Entity[[#This Row],[Gain/(loss) on disposal of fixed assets (other)2]] )</f>
        <v>82148</v>
      </c>
      <c r="BY158" s="84" vm="13486">
        <v>92897</v>
      </c>
      <c r="BZ158" s="84" vm="13802">
        <v>10749</v>
      </c>
      <c r="CA158" s="84" vm="14057">
        <v>0</v>
      </c>
      <c r="CB158" s="5" vm="18410">
        <f xml:space="preserve"> VfM_Metrics_2023_Entity[[#This Row],[Turnover (overall)]]</f>
        <v>285475</v>
      </c>
      <c r="CC158" s="135" vm="18410">
        <v>285475</v>
      </c>
      <c r="CD158" s="134">
        <f xml:space="preserve"> IFERROR( VfM_Metrics_2023_Entity[[#This Row],[Operating surplus including from JVs]] / VfM_Metrics_2023_Entity[[#This Row],[Net assets]], "n/a" )</f>
        <v>3.0538283390615008E-2</v>
      </c>
      <c r="CE158" s="5">
        <f xml:space="preserve"> SUM( VfM_Metrics_2023_Entity[[#This Row],[Operating surplus/(deficit) (overall)3]], VfM_Metrics_2023_Entity[[#This Row],[Share of operating surplus/(deficit) in joint ventures or associates]] )</f>
        <v>92897</v>
      </c>
      <c r="CF158" s="84" vm="13486">
        <v>92897</v>
      </c>
      <c r="CG158" s="84">
        <v>0</v>
      </c>
      <c r="CH158" s="5" vm="18630">
        <f xml:space="preserve"> VfM_Metrics_2023_Entity[[#This Row],[Total assets less current liabilities]]</f>
        <v>3041985</v>
      </c>
      <c r="CI158" s="135" vm="18630">
        <v>3041985</v>
      </c>
      <c r="CJ158" s="140" vm="11353">
        <f xml:space="preserve"> VfM_Metrics_2023_Entity[[#This Row],[Total social housing units owned (Period end)]]</f>
        <v>46399</v>
      </c>
      <c r="CK158" s="141">
        <v>7.2226439648628129E-3</v>
      </c>
      <c r="CL158" s="69">
        <f xml:space="preserve"> -- ( VfM_Metrics_2023_Entity[[#This Row],[% Supported housing (excl. HOP)]] &gt; 0.3 )</f>
        <v>0</v>
      </c>
      <c r="CM158" s="9">
        <v>6.4548313631927118E-2</v>
      </c>
      <c r="CN158" s="69">
        <f xml:space="preserve"> -- ( VfM_Metrics_2023_Entity[[#This Row],[% Housing for older people]] &gt; 0.3 )</f>
        <v>0</v>
      </c>
      <c r="CO158" s="9">
        <f xml:space="preserve"> VfM_Metrics_2023_Entity[[#This Row],[% Supported housing (excl. HOP)]] + VfM_Metrics_2023_Entity[[#This Row],[% Housing for older people]]</f>
        <v>7.1770957596789933E-2</v>
      </c>
      <c r="CP158" s="69">
        <f xml:space="preserve"> -- ( VfM_Metrics_2023_Entity[[#This Row],[SH specialist in RSH analysis]] + VfM_Metrics_2023_Entity[[#This Row],[OP specialist in RSH analysis]] &gt; 0 )</f>
        <v>0</v>
      </c>
      <c r="CQ158" s="142">
        <f xml:space="preserve"> -- ( VfM_Metrics_2023_Entity[[#This Row],[% SH and OP]] &gt; 0.3 )</f>
        <v>0</v>
      </c>
      <c r="CR158" s="143" t="s">
        <v>143</v>
      </c>
      <c r="CS158" s="120"/>
      <c r="CT158" s="144" t="s">
        <v>151</v>
      </c>
      <c r="CU15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158" s="146">
        <v>0</v>
      </c>
      <c r="CW158" s="146">
        <v>7.3708485096661567E-3</v>
      </c>
      <c r="CX158" s="146">
        <v>7.8018922821612531E-3</v>
      </c>
      <c r="CY158" s="146">
        <v>0.44447078600831913</v>
      </c>
      <c r="CZ158" s="146">
        <v>0.53925731157999091</v>
      </c>
      <c r="DA158" s="146">
        <v>8.620875449901938E-4</v>
      </c>
      <c r="DB158" s="146">
        <v>0</v>
      </c>
      <c r="DC158" s="146">
        <v>2.3707407487230328E-4</v>
      </c>
      <c r="DD158" s="146">
        <v>0</v>
      </c>
      <c r="DE158" s="126">
        <v>0.95532929853654691</v>
      </c>
    </row>
    <row r="159" spans="1:109" x14ac:dyDescent="0.25">
      <c r="A159" s="4" t="s" vm="274">
        <v>402</v>
      </c>
      <c r="B159" s="4" t="s" vm="9272">
        <v>403</v>
      </c>
      <c r="C159" s="121" vm="18869">
        <v>45016</v>
      </c>
      <c r="D159" s="68">
        <f>IFERROR( VfM_Metrics_2023_Entity[[#This Row],[Reinvestment Spend]] / VfM_Metrics_2023_Entity[[#This Row],[Net Book Value of Housing Properties]], "n/a" )</f>
        <v>6.4523326634433983E-2</v>
      </c>
      <c r="E15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41931</v>
      </c>
      <c r="F159" s="84" vm="9456">
        <v>11517</v>
      </c>
      <c r="G159" s="84" vm="10625">
        <v>19297</v>
      </c>
      <c r="H159" s="84" vm="9576">
        <v>10865</v>
      </c>
      <c r="I159" s="84" vm="10585">
        <v>252</v>
      </c>
      <c r="J159" s="84" vm="9617">
        <v>0</v>
      </c>
      <c r="K159" s="5">
        <f xml:space="preserve"> SUM( VfM_Metrics_2023_Entity[[#This Row],[Tangible fixed assets: Housing properties at cost (Current period)]],VfM_Metrics_2023_Entity[[#This Row],[Tangible fixed assets Housing properties at valuation (Current period)]] )</f>
        <v>649858</v>
      </c>
      <c r="L159" s="84" vm="9646">
        <v>649858</v>
      </c>
      <c r="M159" s="84">
        <v>0</v>
      </c>
      <c r="N159" s="134">
        <f xml:space="preserve"> IFERROR( VfM_Metrics_2023_Entity[[#This Row],[Total social units developed or newly built units acquired in-year]] / VfM_Metrics_2023_Entity[[#This Row],[Social housing units owned (period end)]], "n/a" )</f>
        <v>1.0665685913938948E-2</v>
      </c>
      <c r="O159" s="5">
        <f xml:space="preserve"> SUM( VfM_Metrics_2023_Entity[[#This Row],[Total social units developed or newly built units acquired in-year (owned)]], VfM_Metrics_2023_Entity[[#This Row],[Total social leasehold units developed or newly built units acquired in-year (owned)]] )</f>
        <v>145</v>
      </c>
      <c r="P159" s="84" vm="10975">
        <v>145</v>
      </c>
      <c r="Q159" s="84">
        <v>0</v>
      </c>
      <c r="R159" s="5">
        <f xml:space="preserve"> SUM( VfM_Metrics_2023_Entity[[#This Row],[Total social housing units owned (Period end)]], VfM_Metrics_2023_Entity[[#This Row],[Total social leasehold units owned (Period end)]] )</f>
        <v>13595</v>
      </c>
      <c r="S159" s="84" vm="11269">
        <v>13355</v>
      </c>
      <c r="T159" s="135" vm="11514">
        <v>240</v>
      </c>
      <c r="U159" s="136">
        <f xml:space="preserve"> IFERROR( VfM_Metrics_2023_Entity[[#This Row],[Total non-social housing units developed or newly built units acquired (owned)]] / VfM_Metrics_2023_Entity[[#This Row],[Total social and non-social housing units owned (Period end)]], "n/a" )</f>
        <v>0</v>
      </c>
      <c r="V15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59" s="84">
        <v>0</v>
      </c>
      <c r="X159" s="84">
        <v>0</v>
      </c>
      <c r="Y159" s="84" vm="11851">
        <v>0</v>
      </c>
      <c r="Z15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13616</v>
      </c>
      <c r="AA159" s="84" vm="11974">
        <v>13355</v>
      </c>
      <c r="AB159" s="84" vm="12454">
        <v>240</v>
      </c>
      <c r="AC159" s="84" vm="12384">
        <v>21</v>
      </c>
      <c r="AD159" s="135" vm="12519">
        <v>0</v>
      </c>
      <c r="AE159" s="134">
        <f xml:space="preserve"> IFERROR( VfM_Metrics_2023_Entity[[#This Row],[Total Net Debt]] / VfM_Metrics_2023_Entity[[#This Row],[Net Book Value of Housing Properties2]], "n/a" )</f>
        <v>0.50312375934434905</v>
      </c>
      <c r="AF15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326959</v>
      </c>
      <c r="AG159" s="84" vm="12620">
        <v>1655</v>
      </c>
      <c r="AH159" s="84" vm="13048">
        <v>372620</v>
      </c>
      <c r="AI159" s="84" vm="13146">
        <v>47316</v>
      </c>
      <c r="AJ159" s="84">
        <v>0</v>
      </c>
      <c r="AK159" s="84">
        <v>0</v>
      </c>
      <c r="AL159" s="5">
        <f xml:space="preserve"> SUM( VfM_Metrics_2023_Entity[[#This Row],[Tangible fixed assets: Housing properties at cost (Current period)2]], VfM_Metrics_2023_Entity[[#This Row],[Tangible fixed assets Housing properties at valuation (Current period)2]] )</f>
        <v>649858</v>
      </c>
      <c r="AM159" s="84" vm="9926">
        <v>649858</v>
      </c>
      <c r="AN159" s="135">
        <v>0</v>
      </c>
      <c r="AO159" s="137">
        <f xml:space="preserve"> IFERROR( VfM_Metrics_2023_Entity[[#This Row],[EBITDA MRI]] / VfM_Metrics_2023_Entity[[#This Row],[Total interest]], "n/a" )</f>
        <v>0.42902967121090618</v>
      </c>
      <c r="AP15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5885</v>
      </c>
      <c r="AQ159" s="84" vm="13523">
        <v>8675</v>
      </c>
      <c r="AR159" s="84" vm="14058">
        <v>1742</v>
      </c>
      <c r="AS159" s="84">
        <v>0</v>
      </c>
      <c r="AT159" s="84" vm="14547">
        <v>3875</v>
      </c>
      <c r="AU159" s="84" vm="14795">
        <v>0</v>
      </c>
      <c r="AV159" s="84" vm="15040">
        <v>373</v>
      </c>
      <c r="AW159" s="84" vm="13804">
        <v>10865</v>
      </c>
      <c r="AX159" s="84" vm="14059">
        <v>13319</v>
      </c>
      <c r="AY159" s="5">
        <f xml:space="preserve"> - SUM( VfM_Metrics_2023_Entity[[#This Row],[Interest capitalised]], VfM_Metrics_2023_Entity[[#This Row],[Interest payable and financing costs]] )</f>
        <v>13717</v>
      </c>
      <c r="AZ159" s="84" vm="15203">
        <v>-252</v>
      </c>
      <c r="BA159" s="135" vm="15371">
        <v>-13465</v>
      </c>
      <c r="BB159" s="138">
        <f xml:space="preserve"> IFERROR( ( VfM_Metrics_2023_Entity[[#This Row],[Total Costs]] / VfM_Metrics_2023_Entity[[#This Row],[Total units for costs]] ) * 1000, "n/a" )</f>
        <v>5048.7457880943466</v>
      </c>
      <c r="BC15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67426</v>
      </c>
      <c r="BD159" s="84" vm="16164">
        <v>16096</v>
      </c>
      <c r="BE159" s="84" vm="16902">
        <v>5779</v>
      </c>
      <c r="BF159" s="84" vm="17062">
        <v>19921</v>
      </c>
      <c r="BG159" s="84" vm="17282">
        <v>0</v>
      </c>
      <c r="BH159" s="84" vm="16480">
        <v>4675</v>
      </c>
      <c r="BI159" s="84" vm="17589">
        <v>0</v>
      </c>
      <c r="BJ159" s="84" vm="16476">
        <v>10865</v>
      </c>
      <c r="BK159" s="84" vm="16481">
        <v>44</v>
      </c>
      <c r="BL159" s="84">
        <v>0</v>
      </c>
      <c r="BM159" s="84" vm="15985">
        <v>1583</v>
      </c>
      <c r="BN159" s="84" vm="17364">
        <v>2171</v>
      </c>
      <c r="BO159" s="84" vm="16024">
        <v>6292</v>
      </c>
      <c r="BP159" s="5" vm="17676">
        <f xml:space="preserve"> VfM_Metrics_2023_Entity[[#This Row],[Total social housing units owned and/or managed at period end]]</f>
        <v>13355</v>
      </c>
      <c r="BQ159" s="135" vm="17676">
        <v>13355</v>
      </c>
      <c r="BR159" s="134">
        <f xml:space="preserve"> IFERROR( VfM_Metrics_2023_Entity[[#This Row],[SHL operating surplus / (deficit)]] / VfM_Metrics_2023_Entity[[#This Row],[Turnover from social housing lettings]], "n/a" )</f>
        <v>0.18190194856229167</v>
      </c>
      <c r="BS159" s="5" vm="17931">
        <f xml:space="preserve"> VfM_Metrics_2023_Entity[[#This Row],[Operating surplus/(deficit) (social housing lettings)]]</f>
        <v>13424</v>
      </c>
      <c r="BT159" s="84" vm="17931">
        <v>13424</v>
      </c>
      <c r="BU159" s="5" vm="18125">
        <f xml:space="preserve"> VfM_Metrics_2023_Entity[[#This Row],[Turnover from social housing lettings]]</f>
        <v>73798</v>
      </c>
      <c r="BV159" s="135" vm="18125">
        <v>73798</v>
      </c>
      <c r="BW159" s="134">
        <f xml:space="preserve"> IFERROR( VfM_Metrics_2023_Entity[[#This Row],[Net operating surplus]] / VfM_Metrics_2023_Entity[[#This Row],[Overall turnover]], "n/a" )</f>
        <v>8.1870032946400106E-2</v>
      </c>
      <c r="BX159" s="5">
        <f xml:space="preserve"> SUM( VfM_Metrics_2023_Entity[[#This Row],[Operating surplus/(deficit) (overall)2]], - VfM_Metrics_2023_Entity[[#This Row],[Gain/(loss) on disposal of fixed assets (housing properties)2]], - VfM_Metrics_2023_Entity[[#This Row],[Gain/(loss) on disposal of fixed assets (other)2]] )</f>
        <v>6933</v>
      </c>
      <c r="BY159" s="84" vm="13523">
        <v>8675</v>
      </c>
      <c r="BZ159" s="84" vm="14058">
        <v>1742</v>
      </c>
      <c r="CA159" s="84">
        <v>0</v>
      </c>
      <c r="CB159" s="5" vm="18281">
        <f xml:space="preserve"> VfM_Metrics_2023_Entity[[#This Row],[Turnover (overall)]]</f>
        <v>84683</v>
      </c>
      <c r="CC159" s="135" vm="18281">
        <v>84683</v>
      </c>
      <c r="CD159" s="134">
        <f xml:space="preserve"> IFERROR( VfM_Metrics_2023_Entity[[#This Row],[Operating surplus including from JVs]] / VfM_Metrics_2023_Entity[[#This Row],[Net assets]], "n/a" )</f>
        <v>1.2525520296396404E-2</v>
      </c>
      <c r="CE159" s="5">
        <f xml:space="preserve"> SUM( VfM_Metrics_2023_Entity[[#This Row],[Operating surplus/(deficit) (overall)3]], VfM_Metrics_2023_Entity[[#This Row],[Share of operating surplus/(deficit) in joint ventures or associates]] )</f>
        <v>8675</v>
      </c>
      <c r="CF159" s="84" vm="18431">
        <v>8675</v>
      </c>
      <c r="CG159" s="84">
        <v>0</v>
      </c>
      <c r="CH159" s="5" vm="18667">
        <f xml:space="preserve"> VfM_Metrics_2023_Entity[[#This Row],[Total assets less current liabilities]]</f>
        <v>692586</v>
      </c>
      <c r="CI159" s="135" vm="18667">
        <v>692586</v>
      </c>
      <c r="CJ159" s="140" vm="11269">
        <f xml:space="preserve"> VfM_Metrics_2023_Entity[[#This Row],[Total social housing units owned (Period end)]]</f>
        <v>13355</v>
      </c>
      <c r="CK159" s="141">
        <v>1.9192537085181219E-2</v>
      </c>
      <c r="CL159" s="69">
        <f xml:space="preserve"> -- ( VfM_Metrics_2023_Entity[[#This Row],[% Supported housing (excl. HOP)]] &gt; 0.3 )</f>
        <v>0</v>
      </c>
      <c r="CM159" s="9">
        <v>2.8750573482183819E-2</v>
      </c>
      <c r="CN159" s="69">
        <f xml:space="preserve"> -- ( VfM_Metrics_2023_Entity[[#This Row],[% Housing for older people]] &gt; 0.3 )</f>
        <v>0</v>
      </c>
      <c r="CO159" s="9">
        <f xml:space="preserve"> VfM_Metrics_2023_Entity[[#This Row],[% Supported housing (excl. HOP)]] + VfM_Metrics_2023_Entity[[#This Row],[% Housing for older people]]</f>
        <v>4.7943110567365041E-2</v>
      </c>
      <c r="CP159" s="69">
        <f xml:space="preserve"> -- ( VfM_Metrics_2023_Entity[[#This Row],[SH specialist in RSH analysis]] + VfM_Metrics_2023_Entity[[#This Row],[OP specialist in RSH analysis]] &gt; 0 )</f>
        <v>0</v>
      </c>
      <c r="CQ159" s="142">
        <f xml:space="preserve"> -- ( VfM_Metrics_2023_Entity[[#This Row],[% SH and OP]] &gt; 0.3 )</f>
        <v>0</v>
      </c>
      <c r="CR159" s="143" t="s">
        <v>143</v>
      </c>
      <c r="CS159" s="120"/>
      <c r="CT159" s="144" t="s">
        <v>151</v>
      </c>
      <c r="CU15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59" s="146">
        <v>0</v>
      </c>
      <c r="CW159" s="146">
        <v>0</v>
      </c>
      <c r="CX159" s="146">
        <v>0</v>
      </c>
      <c r="CY159" s="146">
        <v>0</v>
      </c>
      <c r="CZ159" s="146">
        <v>1.4487228364468167E-3</v>
      </c>
      <c r="DA159" s="146">
        <v>0</v>
      </c>
      <c r="DB159" s="146">
        <v>0</v>
      </c>
      <c r="DC159" s="146">
        <v>0.99855127716355319</v>
      </c>
      <c r="DD159" s="146">
        <v>0</v>
      </c>
      <c r="DE159" s="126">
        <v>0.96106428708536762</v>
      </c>
    </row>
    <row r="160" spans="1:109" x14ac:dyDescent="0.25">
      <c r="A160" s="4" t="s" vm="286">
        <v>404</v>
      </c>
      <c r="B160" s="4" t="s" vm="9314">
        <v>405</v>
      </c>
      <c r="C160" s="121" vm="18783">
        <v>45016</v>
      </c>
      <c r="D160" s="68">
        <f>IFERROR( VfM_Metrics_2023_Entity[[#This Row],[Reinvestment Spend]] / VfM_Metrics_2023_Entity[[#This Row],[Net Book Value of Housing Properties]], "n/a" )</f>
        <v>3.3533717377865778E-2</v>
      </c>
      <c r="E16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18715</v>
      </c>
      <c r="F160" s="84" vm="9422">
        <v>10752</v>
      </c>
      <c r="G160" s="84" vm="9682">
        <v>0</v>
      </c>
      <c r="H160" s="84" vm="9516">
        <v>7775</v>
      </c>
      <c r="I160" s="84" vm="10383">
        <v>188</v>
      </c>
      <c r="J160" s="84" vm="10312">
        <v>0</v>
      </c>
      <c r="K160" s="5">
        <f xml:space="preserve"> SUM( VfM_Metrics_2023_Entity[[#This Row],[Tangible fixed assets: Housing properties at cost (Current period)]],VfM_Metrics_2023_Entity[[#This Row],[Tangible fixed assets Housing properties at valuation (Current period)]] )</f>
        <v>558095</v>
      </c>
      <c r="L160" s="84" vm="9948">
        <v>558095</v>
      </c>
      <c r="M160" s="84">
        <v>0</v>
      </c>
      <c r="N160" s="134">
        <f xml:space="preserve"> IFERROR( VfM_Metrics_2023_Entity[[#This Row],[Total social units developed or newly built units acquired in-year]] / VfM_Metrics_2023_Entity[[#This Row],[Social housing units owned (period end)]], "n/a" )</f>
        <v>7.5302245250431776E-3</v>
      </c>
      <c r="O160" s="5">
        <f xml:space="preserve"> SUM( VfM_Metrics_2023_Entity[[#This Row],[Total social units developed or newly built units acquired in-year (owned)]], VfM_Metrics_2023_Entity[[#This Row],[Total social leasehold units developed or newly built units acquired in-year (owned)]] )</f>
        <v>109</v>
      </c>
      <c r="P160" s="84" vm="11028">
        <v>109</v>
      </c>
      <c r="Q160" s="84">
        <v>0</v>
      </c>
      <c r="R160" s="5">
        <f xml:space="preserve"> SUM( VfM_Metrics_2023_Entity[[#This Row],[Total social housing units owned (Period end)]], VfM_Metrics_2023_Entity[[#This Row],[Total social leasehold units owned (Period end)]] )</f>
        <v>14475</v>
      </c>
      <c r="S160" s="84" vm="11317">
        <v>14475</v>
      </c>
      <c r="T160" s="135" vm="11554">
        <v>0</v>
      </c>
      <c r="U160" s="136">
        <f xml:space="preserve"> IFERROR( VfM_Metrics_2023_Entity[[#This Row],[Total non-social housing units developed or newly built units acquired (owned)]] / VfM_Metrics_2023_Entity[[#This Row],[Total social and non-social housing units owned (Period end)]], "n/a" )</f>
        <v>0</v>
      </c>
      <c r="V16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60" s="84">
        <v>0</v>
      </c>
      <c r="X160" s="84">
        <v>0</v>
      </c>
      <c r="Y160" s="84">
        <v>0</v>
      </c>
      <c r="Z16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16180</v>
      </c>
      <c r="AA160" s="84" vm="12005">
        <v>14475</v>
      </c>
      <c r="AB160" s="84" vm="12204">
        <v>0</v>
      </c>
      <c r="AC160" s="84" vm="12134">
        <v>9</v>
      </c>
      <c r="AD160" s="135" vm="12289">
        <v>1696</v>
      </c>
      <c r="AE160" s="134">
        <f xml:space="preserve"> IFERROR( VfM_Metrics_2023_Entity[[#This Row],[Total Net Debt]] / VfM_Metrics_2023_Entity[[#This Row],[Net Book Value of Housing Properties2]], "n/a" )</f>
        <v>0.17530348775746066</v>
      </c>
      <c r="AF16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97836</v>
      </c>
      <c r="AG160" s="84">
        <v>0</v>
      </c>
      <c r="AH160" s="84" vm="12788">
        <v>121784</v>
      </c>
      <c r="AI160" s="84" vm="12876">
        <v>23948</v>
      </c>
      <c r="AJ160" s="84">
        <v>0</v>
      </c>
      <c r="AK160" s="84">
        <v>0</v>
      </c>
      <c r="AL160" s="5">
        <f xml:space="preserve"> SUM( VfM_Metrics_2023_Entity[[#This Row],[Tangible fixed assets: Housing properties at cost (Current period)2]], VfM_Metrics_2023_Entity[[#This Row],[Tangible fixed assets Housing properties at valuation (Current period)2]] )</f>
        <v>558095</v>
      </c>
      <c r="AM160" s="84" vm="10065">
        <v>558095</v>
      </c>
      <c r="AN160" s="135">
        <v>0</v>
      </c>
      <c r="AO160" s="137">
        <f xml:space="preserve"> IFERROR( VfM_Metrics_2023_Entity[[#This Row],[EBITDA MRI]] / VfM_Metrics_2023_Entity[[#This Row],[Total interest]], "n/a" )</f>
        <v>2.0694894651539708</v>
      </c>
      <c r="AP16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10215</v>
      </c>
      <c r="AQ160" s="84" vm="13554">
        <v>5314</v>
      </c>
      <c r="AR160" s="84" vm="14303">
        <v>757</v>
      </c>
      <c r="AS160" s="84" vm="14548">
        <v>27</v>
      </c>
      <c r="AT160" s="84" vm="14796">
        <v>457</v>
      </c>
      <c r="AU160" s="84" vm="15041">
        <v>0</v>
      </c>
      <c r="AV160" s="84" vm="13805">
        <v>303</v>
      </c>
      <c r="AW160" s="84" vm="14060">
        <v>7775</v>
      </c>
      <c r="AX160" s="84" vm="14304">
        <v>13614</v>
      </c>
      <c r="AY160" s="5">
        <f xml:space="preserve"> - SUM( VfM_Metrics_2023_Entity[[#This Row],[Interest capitalised]], VfM_Metrics_2023_Entity[[#This Row],[Interest payable and financing costs]] )</f>
        <v>4936</v>
      </c>
      <c r="AZ160" s="84" vm="15307">
        <v>-188</v>
      </c>
      <c r="BA160" s="135" vm="15399">
        <v>-4748</v>
      </c>
      <c r="BB160" s="138">
        <f xml:space="preserve"> IFERROR( ( VfM_Metrics_2023_Entity[[#This Row],[Total Costs]] / VfM_Metrics_2023_Entity[[#This Row],[Total units for costs]] ) * 1000, "n/a" )</f>
        <v>4309.6373056994817</v>
      </c>
      <c r="BC16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62382</v>
      </c>
      <c r="BD160" s="84" vm="15583">
        <v>11591</v>
      </c>
      <c r="BE160" s="84" vm="16478">
        <v>6988</v>
      </c>
      <c r="BF160" s="84" vm="16660">
        <v>16654</v>
      </c>
      <c r="BG160" s="84" vm="16166">
        <v>4400</v>
      </c>
      <c r="BH160" s="84" vm="16903">
        <v>9937</v>
      </c>
      <c r="BI160" s="84" vm="17063">
        <v>0</v>
      </c>
      <c r="BJ160" s="84" vm="17283">
        <v>7775</v>
      </c>
      <c r="BK160" s="84" vm="17365">
        <v>2415</v>
      </c>
      <c r="BL160" s="84" vm="16026">
        <v>1078</v>
      </c>
      <c r="BM160" s="84" vm="16167">
        <v>812</v>
      </c>
      <c r="BN160" s="84" vm="15986">
        <v>732</v>
      </c>
      <c r="BO160" s="84">
        <v>0</v>
      </c>
      <c r="BP160" s="5" vm="17811">
        <f xml:space="preserve"> VfM_Metrics_2023_Entity[[#This Row],[Total social housing units owned and/or managed at period end]]</f>
        <v>14475</v>
      </c>
      <c r="BQ160" s="135" vm="17811">
        <v>14475</v>
      </c>
      <c r="BR160" s="134">
        <f xml:space="preserve"> IFERROR( VfM_Metrics_2023_Entity[[#This Row],[SHL operating surplus / (deficit)]] / VfM_Metrics_2023_Entity[[#This Row],[Turnover from social housing lettings]], "n/a" )</f>
        <v>4.2896555815954196E-2</v>
      </c>
      <c r="BS160" s="5" vm="17968">
        <f xml:space="preserve"> VfM_Metrics_2023_Entity[[#This Row],[Operating surplus/(deficit) (social housing lettings)]]</f>
        <v>2892</v>
      </c>
      <c r="BT160" s="84" vm="17968">
        <v>2892</v>
      </c>
      <c r="BU160" s="5" vm="18143">
        <f xml:space="preserve"> VfM_Metrics_2023_Entity[[#This Row],[Turnover from social housing lettings]]</f>
        <v>67418</v>
      </c>
      <c r="BV160" s="135" vm="18143">
        <v>67418</v>
      </c>
      <c r="BW160" s="134">
        <f xml:space="preserve"> IFERROR( VfM_Metrics_2023_Entity[[#This Row],[Net operating surplus]] / VfM_Metrics_2023_Entity[[#This Row],[Overall turnover]], "n/a" )</f>
        <v>6.0250578565158405E-2</v>
      </c>
      <c r="BX160" s="5">
        <f xml:space="preserve"> SUM( VfM_Metrics_2023_Entity[[#This Row],[Operating surplus/(deficit) (overall)2]], - VfM_Metrics_2023_Entity[[#This Row],[Gain/(loss) on disposal of fixed assets (housing properties)2]], - VfM_Metrics_2023_Entity[[#This Row],[Gain/(loss) on disposal of fixed assets (other)2]] )</f>
        <v>4530</v>
      </c>
      <c r="BY160" s="84" vm="13554">
        <v>5314</v>
      </c>
      <c r="BZ160" s="84" vm="14303">
        <v>757</v>
      </c>
      <c r="CA160" s="84" vm="14548">
        <v>27</v>
      </c>
      <c r="CB160" s="5" vm="18310">
        <f xml:space="preserve"> VfM_Metrics_2023_Entity[[#This Row],[Turnover (overall)]]</f>
        <v>75186</v>
      </c>
      <c r="CC160" s="135" vm="18310">
        <v>75186</v>
      </c>
      <c r="CD160" s="134">
        <f xml:space="preserve"> IFERROR( VfM_Metrics_2023_Entity[[#This Row],[Operating surplus including from JVs]] / VfM_Metrics_2023_Entity[[#This Row],[Net assets]], "n/a" )</f>
        <v>8.5522355872138123E-3</v>
      </c>
      <c r="CE160" s="5">
        <f xml:space="preserve"> SUM( VfM_Metrics_2023_Entity[[#This Row],[Operating surplus/(deficit) (overall)3]], VfM_Metrics_2023_Entity[[#This Row],[Share of operating surplus/(deficit) in joint ventures or associates]] )</f>
        <v>5314</v>
      </c>
      <c r="CF160" s="84" vm="15137">
        <v>5314</v>
      </c>
      <c r="CG160" s="84">
        <v>0</v>
      </c>
      <c r="CH160" s="5" vm="18698">
        <f xml:space="preserve"> VfM_Metrics_2023_Entity[[#This Row],[Total assets less current liabilities]]</f>
        <v>621358</v>
      </c>
      <c r="CI160" s="135" vm="18698">
        <v>621358</v>
      </c>
      <c r="CJ160" s="140" vm="11317">
        <f xml:space="preserve"> VfM_Metrics_2023_Entity[[#This Row],[Total social housing units owned (Period end)]]</f>
        <v>14475</v>
      </c>
      <c r="CK160" s="141">
        <v>9.2487548422800228E-2</v>
      </c>
      <c r="CL160" s="69">
        <f xml:space="preserve"> -- ( VfM_Metrics_2023_Entity[[#This Row],[% Supported housing (excl. HOP)]] &gt; 0.3 )</f>
        <v>0</v>
      </c>
      <c r="CM160" s="9">
        <v>0</v>
      </c>
      <c r="CN160" s="69">
        <f xml:space="preserve"> -- ( VfM_Metrics_2023_Entity[[#This Row],[% Housing for older people]] &gt; 0.3 )</f>
        <v>0</v>
      </c>
      <c r="CO160" s="9">
        <f xml:space="preserve"> VfM_Metrics_2023_Entity[[#This Row],[% Supported housing (excl. HOP)]] + VfM_Metrics_2023_Entity[[#This Row],[% Housing for older people]]</f>
        <v>9.2487548422800228E-2</v>
      </c>
      <c r="CP160" s="69">
        <f xml:space="preserve"> -- ( VfM_Metrics_2023_Entity[[#This Row],[SH specialist in RSH analysis]] + VfM_Metrics_2023_Entity[[#This Row],[OP specialist in RSH analysis]] &gt; 0 )</f>
        <v>0</v>
      </c>
      <c r="CQ160" s="142">
        <f xml:space="preserve"> -- ( VfM_Metrics_2023_Entity[[#This Row],[% SH and OP]] &gt; 0.3 )</f>
        <v>0</v>
      </c>
      <c r="CR160" s="143" t="s">
        <v>143</v>
      </c>
      <c r="CS160" s="120"/>
      <c r="CT160" s="144" t="s">
        <v>151</v>
      </c>
      <c r="CU16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60" s="146">
        <v>0</v>
      </c>
      <c r="CW160" s="146">
        <v>0</v>
      </c>
      <c r="CX160" s="146">
        <v>1</v>
      </c>
      <c r="CY160" s="146">
        <v>0</v>
      </c>
      <c r="CZ160" s="146">
        <v>0</v>
      </c>
      <c r="DA160" s="146">
        <v>0</v>
      </c>
      <c r="DB160" s="146">
        <v>0</v>
      </c>
      <c r="DC160" s="146">
        <v>0</v>
      </c>
      <c r="DD160" s="146">
        <v>0</v>
      </c>
      <c r="DE160" s="126">
        <v>0.97511902715076015</v>
      </c>
    </row>
    <row r="161" spans="1:109" x14ac:dyDescent="0.25">
      <c r="A161" s="4" t="s" vm="350">
        <v>406</v>
      </c>
      <c r="B161" s="4" t="s" vm="9334">
        <v>407</v>
      </c>
      <c r="C161" s="121" vm="18769">
        <v>45016</v>
      </c>
      <c r="D161" s="68">
        <f>IFERROR( VfM_Metrics_2023_Entity[[#This Row],[Reinvestment Spend]] / VfM_Metrics_2023_Entity[[#This Row],[Net Book Value of Housing Properties]], "n/a" )</f>
        <v>5.4476524103917352E-2</v>
      </c>
      <c r="E16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28365</v>
      </c>
      <c r="F161" s="84" vm="10330">
        <v>24192</v>
      </c>
      <c r="G161" s="84" vm="10576">
        <v>0</v>
      </c>
      <c r="H161" s="84" vm="10790">
        <v>4173</v>
      </c>
      <c r="I161" s="84" vm="10471">
        <v>0</v>
      </c>
      <c r="J161" s="84" vm="9577">
        <v>0</v>
      </c>
      <c r="K161" s="5">
        <f xml:space="preserve"> SUM( VfM_Metrics_2023_Entity[[#This Row],[Tangible fixed assets: Housing properties at cost (Current period)]],VfM_Metrics_2023_Entity[[#This Row],[Tangible fixed assets Housing properties at valuation (Current period)]] )</f>
        <v>520683</v>
      </c>
      <c r="L161" s="84" vm="10324">
        <v>520683</v>
      </c>
      <c r="M161" s="84" vm="10304">
        <v>0</v>
      </c>
      <c r="N161" s="134">
        <f xml:space="preserve"> IFERROR( VfM_Metrics_2023_Entity[[#This Row],[Total social units developed or newly built units acquired in-year]] / VfM_Metrics_2023_Entity[[#This Row],[Social housing units owned (period end)]], "n/a" )</f>
        <v>5.6412185031966908E-3</v>
      </c>
      <c r="O161" s="5">
        <f xml:space="preserve"> SUM( VfM_Metrics_2023_Entity[[#This Row],[Total social units developed or newly built units acquired in-year (owned)]], VfM_Metrics_2023_Entity[[#This Row],[Total social leasehold units developed or newly built units acquired in-year (owned)]] )</f>
        <v>30</v>
      </c>
      <c r="P161" s="84" vm="11054">
        <v>30</v>
      </c>
      <c r="Q161" s="84">
        <v>0</v>
      </c>
      <c r="R161" s="5">
        <f xml:space="preserve"> SUM( VfM_Metrics_2023_Entity[[#This Row],[Total social housing units owned (Period end)]], VfM_Metrics_2023_Entity[[#This Row],[Total social leasehold units owned (Period end)]] )</f>
        <v>5318</v>
      </c>
      <c r="S161" s="84" vm="11364">
        <v>5318</v>
      </c>
      <c r="T161" s="135" vm="11551">
        <v>0</v>
      </c>
      <c r="U161" s="136">
        <f xml:space="preserve"> IFERROR( VfM_Metrics_2023_Entity[[#This Row],[Total non-social housing units developed or newly built units acquired (owned)]] / VfM_Metrics_2023_Entity[[#This Row],[Total social and non-social housing units owned (Period end)]], "n/a" )</f>
        <v>1.1179487179487179E-2</v>
      </c>
      <c r="V16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109</v>
      </c>
      <c r="W161" s="84">
        <v>0</v>
      </c>
      <c r="X161" s="84" vm="11719">
        <v>109</v>
      </c>
      <c r="Y161" s="84">
        <v>0</v>
      </c>
      <c r="Z16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9750</v>
      </c>
      <c r="AA161" s="84" vm="12031">
        <v>5318</v>
      </c>
      <c r="AB161" s="84" vm="12454">
        <v>0</v>
      </c>
      <c r="AC161" s="84" vm="12385">
        <v>257</v>
      </c>
      <c r="AD161" s="135" vm="12519">
        <v>4175</v>
      </c>
      <c r="AE161" s="134">
        <f xml:space="preserve"> IFERROR( VfM_Metrics_2023_Entity[[#This Row],[Total Net Debt]] / VfM_Metrics_2023_Entity[[#This Row],[Net Book Value of Housing Properties2]], "n/a" )</f>
        <v>0.5890724298661566</v>
      </c>
      <c r="AF16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306720</v>
      </c>
      <c r="AG161" s="84" vm="12674">
        <v>0</v>
      </c>
      <c r="AH161" s="84" vm="12788">
        <v>-644</v>
      </c>
      <c r="AI161" s="84" vm="13166">
        <v>21647</v>
      </c>
      <c r="AJ161" s="84" vm="13220">
        <v>275370</v>
      </c>
      <c r="AK161" s="84" vm="13307">
        <v>53641</v>
      </c>
      <c r="AL161" s="5">
        <f xml:space="preserve"> SUM( VfM_Metrics_2023_Entity[[#This Row],[Tangible fixed assets: Housing properties at cost (Current period)2]], VfM_Metrics_2023_Entity[[#This Row],[Tangible fixed assets Housing properties at valuation (Current period)2]] )</f>
        <v>520683</v>
      </c>
      <c r="AM161" s="84" vm="9965">
        <v>520683</v>
      </c>
      <c r="AN161" s="135" vm="13428">
        <v>0</v>
      </c>
      <c r="AO161" s="137">
        <f xml:space="preserve"> IFERROR( VfM_Metrics_2023_Entity[[#This Row],[EBITDA MRI]] / VfM_Metrics_2023_Entity[[#This Row],[Total interest]], "n/a" )</f>
        <v>1.6291475972540046</v>
      </c>
      <c r="AP16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22782</v>
      </c>
      <c r="AQ161" s="84" vm="13585">
        <v>20409</v>
      </c>
      <c r="AR161" s="84" vm="14549">
        <v>3719</v>
      </c>
      <c r="AS161" s="84" vm="14797">
        <v>0</v>
      </c>
      <c r="AT161" s="84" vm="15042">
        <v>3189</v>
      </c>
      <c r="AU161" s="84" vm="13806">
        <v>0</v>
      </c>
      <c r="AV161" s="84" vm="14061">
        <v>1959</v>
      </c>
      <c r="AW161" s="84" vm="14305">
        <v>4173</v>
      </c>
      <c r="AX161" s="84" vm="14550">
        <v>11495</v>
      </c>
      <c r="AY161" s="5">
        <f xml:space="preserve"> - SUM( VfM_Metrics_2023_Entity[[#This Row],[Interest capitalised]], VfM_Metrics_2023_Entity[[#This Row],[Interest payable and financing costs]] )</f>
        <v>13984</v>
      </c>
      <c r="AZ161" s="84" vm="15256">
        <v>-1742</v>
      </c>
      <c r="BA161" s="135" vm="15431">
        <v>-12242</v>
      </c>
      <c r="BB161" s="138">
        <f xml:space="preserve"> IFERROR( ( VfM_Metrics_2023_Entity[[#This Row],[Total Costs]] / VfM_Metrics_2023_Entity[[#This Row],[Total units for costs]] ) * 1000, "n/a" )</f>
        <v>6499.7285067873308</v>
      </c>
      <c r="BC16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35911</v>
      </c>
      <c r="BD161" s="84" vm="17134">
        <v>10422</v>
      </c>
      <c r="BE161" s="84" vm="17284">
        <v>8364</v>
      </c>
      <c r="BF161" s="84" vm="17522">
        <v>7852</v>
      </c>
      <c r="BG161" s="84" vm="17590">
        <v>621</v>
      </c>
      <c r="BH161" s="84" vm="16480">
        <v>0</v>
      </c>
      <c r="BI161" s="84" vm="16168">
        <v>1665</v>
      </c>
      <c r="BJ161" s="84" vm="14305">
        <v>4173</v>
      </c>
      <c r="BK161" s="84" vm="16832">
        <v>2814</v>
      </c>
      <c r="BL161" s="84">
        <v>0</v>
      </c>
      <c r="BM161" s="84">
        <v>0</v>
      </c>
      <c r="BN161" s="84">
        <v>0</v>
      </c>
      <c r="BO161" s="84">
        <v>0</v>
      </c>
      <c r="BP161" s="5" vm="17711">
        <f xml:space="preserve"> VfM_Metrics_2023_Entity[[#This Row],[Total social housing units owned and/or managed at period end]]</f>
        <v>5525</v>
      </c>
      <c r="BQ161" s="135" vm="17711">
        <v>5525</v>
      </c>
      <c r="BR161" s="134">
        <f xml:space="preserve"> IFERROR( VfM_Metrics_2023_Entity[[#This Row],[SHL operating surplus / (deficit)]] / VfM_Metrics_2023_Entity[[#This Row],[Turnover from social housing lettings]], "n/a" )</f>
        <v>0.11371875596260256</v>
      </c>
      <c r="BS161" s="5" vm="18001">
        <f xml:space="preserve"> VfM_Metrics_2023_Entity[[#This Row],[Operating surplus/(deficit) (social housing lettings)]]</f>
        <v>5364</v>
      </c>
      <c r="BT161" s="84" vm="18001">
        <v>5364</v>
      </c>
      <c r="BU161" s="5" vm="18180">
        <f xml:space="preserve"> VfM_Metrics_2023_Entity[[#This Row],[Turnover from social housing lettings]]</f>
        <v>47169</v>
      </c>
      <c r="BV161" s="135" vm="18180">
        <v>47169</v>
      </c>
      <c r="BW161" s="134">
        <f xml:space="preserve"> IFERROR( VfM_Metrics_2023_Entity[[#This Row],[Net operating surplus]] / VfM_Metrics_2023_Entity[[#This Row],[Overall turnover]], "n/a" )</f>
        <v>0.18830883099592693</v>
      </c>
      <c r="BX161" s="5">
        <f xml:space="preserve"> SUM( VfM_Metrics_2023_Entity[[#This Row],[Operating surplus/(deficit) (overall)2]], - VfM_Metrics_2023_Entity[[#This Row],[Gain/(loss) on disposal of fixed assets (housing properties)2]], - VfM_Metrics_2023_Entity[[#This Row],[Gain/(loss) on disposal of fixed assets (other)2]] )</f>
        <v>16690</v>
      </c>
      <c r="BY161" s="84" vm="13585">
        <v>20409</v>
      </c>
      <c r="BZ161" s="84" vm="14549">
        <v>3719</v>
      </c>
      <c r="CA161" s="84" vm="14797">
        <v>0</v>
      </c>
      <c r="CB161" s="5" vm="18354">
        <f xml:space="preserve"> VfM_Metrics_2023_Entity[[#This Row],[Turnover (overall)]]</f>
        <v>88631</v>
      </c>
      <c r="CC161" s="135" vm="18354">
        <v>88631</v>
      </c>
      <c r="CD161" s="134">
        <f xml:space="preserve"> IFERROR( VfM_Metrics_2023_Entity[[#This Row],[Operating surplus including from JVs]] / VfM_Metrics_2023_Entity[[#This Row],[Net assets]], "n/a" )</f>
        <v>3.1136578958208424E-2</v>
      </c>
      <c r="CE161" s="5">
        <f xml:space="preserve"> SUM( VfM_Metrics_2023_Entity[[#This Row],[Operating surplus/(deficit) (overall)3]], VfM_Metrics_2023_Entity[[#This Row],[Share of operating surplus/(deficit) in joint ventures or associates]] )</f>
        <v>20409</v>
      </c>
      <c r="CF161" s="84" vm="13585">
        <v>20409</v>
      </c>
      <c r="CG161" s="84" vm="18520">
        <v>0</v>
      </c>
      <c r="CH161" s="5" vm="18726">
        <f xml:space="preserve"> VfM_Metrics_2023_Entity[[#This Row],[Total assets less current liabilities]]</f>
        <v>655467</v>
      </c>
      <c r="CI161" s="135" vm="18726">
        <v>655467</v>
      </c>
      <c r="CJ161" s="140" vm="11364">
        <f xml:space="preserve"> VfM_Metrics_2023_Entity[[#This Row],[Total social housing units owned (Period end)]]</f>
        <v>5318</v>
      </c>
      <c r="CK161" s="141">
        <v>0</v>
      </c>
      <c r="CL161" s="69">
        <f xml:space="preserve"> -- ( VfM_Metrics_2023_Entity[[#This Row],[% Supported housing (excl. HOP)]] &gt; 0.3 )</f>
        <v>0</v>
      </c>
      <c r="CM161" s="9">
        <v>0</v>
      </c>
      <c r="CN161" s="69">
        <f xml:space="preserve"> -- ( VfM_Metrics_2023_Entity[[#This Row],[% Housing for older people]] &gt; 0.3 )</f>
        <v>0</v>
      </c>
      <c r="CO161" s="9">
        <f xml:space="preserve"> VfM_Metrics_2023_Entity[[#This Row],[% Supported housing (excl. HOP)]] + VfM_Metrics_2023_Entity[[#This Row],[% Housing for older people]]</f>
        <v>0</v>
      </c>
      <c r="CP161" s="69">
        <f xml:space="preserve"> -- ( VfM_Metrics_2023_Entity[[#This Row],[SH specialist in RSH analysis]] + VfM_Metrics_2023_Entity[[#This Row],[OP specialist in RSH analysis]] &gt; 0 )</f>
        <v>0</v>
      </c>
      <c r="CQ161" s="142">
        <f xml:space="preserve"> -- ( VfM_Metrics_2023_Entity[[#This Row],[% SH and OP]] &gt; 0.3 )</f>
        <v>0</v>
      </c>
      <c r="CR161" s="143" t="s">
        <v>143</v>
      </c>
      <c r="CS161" s="120"/>
      <c r="CT161" s="144" t="s">
        <v>151</v>
      </c>
      <c r="CU16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61" s="146">
        <v>1</v>
      </c>
      <c r="CW161" s="146">
        <v>0</v>
      </c>
      <c r="CX161" s="146">
        <v>0</v>
      </c>
      <c r="CY161" s="146">
        <v>0</v>
      </c>
      <c r="CZ161" s="146">
        <v>0</v>
      </c>
      <c r="DA161" s="146">
        <v>0</v>
      </c>
      <c r="DB161" s="146">
        <v>0</v>
      </c>
      <c r="DC161" s="146">
        <v>0</v>
      </c>
      <c r="DD161" s="146">
        <v>0</v>
      </c>
      <c r="DE161" s="126">
        <v>1.1603700449887588</v>
      </c>
    </row>
    <row r="162" spans="1:109" x14ac:dyDescent="0.25">
      <c r="A162" s="4" t="s" vm="317">
        <v>408</v>
      </c>
      <c r="B162" s="4" t="s" vm="9354">
        <v>409</v>
      </c>
      <c r="C162" s="121" vm="18805">
        <v>45016</v>
      </c>
      <c r="D162" s="68">
        <f>IFERROR( VfM_Metrics_2023_Entity[[#This Row],[Reinvestment Spend]] / VfM_Metrics_2023_Entity[[#This Row],[Net Book Value of Housing Properties]], "n/a" )</f>
        <v>8.8851576238686156E-2</v>
      </c>
      <c r="E16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8943</v>
      </c>
      <c r="F162" s="84" vm="9446">
        <v>3979</v>
      </c>
      <c r="G162" s="84" vm="9689">
        <v>0</v>
      </c>
      <c r="H162" s="84" vm="10204">
        <v>4964</v>
      </c>
      <c r="I162" s="84" vm="9771">
        <v>0</v>
      </c>
      <c r="J162" s="84" vm="9517">
        <v>0</v>
      </c>
      <c r="K162" s="5">
        <f xml:space="preserve"> SUM( VfM_Metrics_2023_Entity[[#This Row],[Tangible fixed assets: Housing properties at cost (Current period)]],VfM_Metrics_2023_Entity[[#This Row],[Tangible fixed assets Housing properties at valuation (Current period)]] )</f>
        <v>100651</v>
      </c>
      <c r="L162" s="84" vm="10708">
        <v>100651</v>
      </c>
      <c r="M162" s="84">
        <v>0</v>
      </c>
      <c r="N162" s="134">
        <f xml:space="preserve"> IFERROR( VfM_Metrics_2023_Entity[[#This Row],[Total social units developed or newly built units acquired in-year]] / VfM_Metrics_2023_Entity[[#This Row],[Social housing units owned (period end)]], "n/a" )</f>
        <v>7.4189769621241701E-3</v>
      </c>
      <c r="O162" s="5">
        <f xml:space="preserve"> SUM( VfM_Metrics_2023_Entity[[#This Row],[Total social units developed or newly built units acquired in-year (owned)]], VfM_Metrics_2023_Entity[[#This Row],[Total social leasehold units developed or newly built units acquired in-year (owned)]] )</f>
        <v>19</v>
      </c>
      <c r="P162" s="84" vm="11073">
        <v>19</v>
      </c>
      <c r="Q162" s="84">
        <v>0</v>
      </c>
      <c r="R162" s="5">
        <f xml:space="preserve"> SUM( VfM_Metrics_2023_Entity[[#This Row],[Total social housing units owned (Period end)]], VfM_Metrics_2023_Entity[[#This Row],[Total social leasehold units owned (Period end)]] )</f>
        <v>2561</v>
      </c>
      <c r="S162" s="84" vm="11382">
        <v>2561</v>
      </c>
      <c r="T162" s="135" vm="11500">
        <v>0</v>
      </c>
      <c r="U162" s="136">
        <f xml:space="preserve"> IFERROR( VfM_Metrics_2023_Entity[[#This Row],[Total non-social housing units developed or newly built units acquired (owned)]] / VfM_Metrics_2023_Entity[[#This Row],[Total social and non-social housing units owned (Period end)]], "n/a" )</f>
        <v>0</v>
      </c>
      <c r="V16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62" s="84">
        <v>0</v>
      </c>
      <c r="X162" s="84">
        <v>0</v>
      </c>
      <c r="Y162" s="84">
        <v>0</v>
      </c>
      <c r="Z16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2566</v>
      </c>
      <c r="AA162" s="84" vm="12053">
        <v>2561</v>
      </c>
      <c r="AB162" s="84" vm="12205">
        <v>0</v>
      </c>
      <c r="AC162" s="84" vm="12135">
        <v>5</v>
      </c>
      <c r="AD162" s="135" vm="12290">
        <v>0</v>
      </c>
      <c r="AE162" s="134">
        <f xml:space="preserve"> IFERROR( VfM_Metrics_2023_Entity[[#This Row],[Total Net Debt]] / VfM_Metrics_2023_Entity[[#This Row],[Net Book Value of Housing Properties2]], "n/a" )</f>
        <v>3.2687206287071169E-3</v>
      </c>
      <c r="AF16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329</v>
      </c>
      <c r="AG162" s="84" vm="12695">
        <v>1086</v>
      </c>
      <c r="AH162" s="84" vm="12877">
        <v>9332</v>
      </c>
      <c r="AI162" s="84" vm="12954">
        <v>10089</v>
      </c>
      <c r="AJ162" s="84">
        <v>0</v>
      </c>
      <c r="AK162" s="84">
        <v>0</v>
      </c>
      <c r="AL162" s="5">
        <f xml:space="preserve"> SUM( VfM_Metrics_2023_Entity[[#This Row],[Tangible fixed assets: Housing properties at cost (Current period)2]], VfM_Metrics_2023_Entity[[#This Row],[Tangible fixed assets Housing properties at valuation (Current period)2]] )</f>
        <v>100651</v>
      </c>
      <c r="AM162" s="84" vm="13392">
        <v>100651</v>
      </c>
      <c r="AN162" s="135">
        <v>0</v>
      </c>
      <c r="AO162" s="137">
        <f xml:space="preserve"> IFERROR( VfM_Metrics_2023_Entity[[#This Row],[EBITDA MRI]] / VfM_Metrics_2023_Entity[[#This Row],[Total interest]], "n/a" )</f>
        <v>-0.20271940667490729</v>
      </c>
      <c r="AP16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-164</v>
      </c>
      <c r="AQ162" s="84" vm="13615">
        <v>3462</v>
      </c>
      <c r="AR162" s="84" vm="14798">
        <v>132</v>
      </c>
      <c r="AS162" s="84">
        <v>0</v>
      </c>
      <c r="AT162" s="84" vm="13807">
        <v>0</v>
      </c>
      <c r="AU162" s="84" vm="14062">
        <v>631</v>
      </c>
      <c r="AV162" s="84" vm="14306">
        <v>248</v>
      </c>
      <c r="AW162" s="84" vm="14551">
        <v>4964</v>
      </c>
      <c r="AX162" s="84" vm="14799">
        <v>1853</v>
      </c>
      <c r="AY162" s="5">
        <f xml:space="preserve"> - SUM( VfM_Metrics_2023_Entity[[#This Row],[Interest capitalised]], VfM_Metrics_2023_Entity[[#This Row],[Interest payable and financing costs]] )</f>
        <v>809</v>
      </c>
      <c r="AZ162" s="84" vm="15303">
        <v>0</v>
      </c>
      <c r="BA162" s="135" vm="15465">
        <v>-809</v>
      </c>
      <c r="BB162" s="138">
        <f xml:space="preserve"> IFERROR( ( VfM_Metrics_2023_Entity[[#This Row],[Total Costs]] / VfM_Metrics_2023_Entity[[#This Row],[Total units for costs]] ) * 1000, "n/a" )</f>
        <v>5372.120265521281</v>
      </c>
      <c r="BC16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13758</v>
      </c>
      <c r="BD162" s="84" vm="15987">
        <v>2881</v>
      </c>
      <c r="BE162" s="84" vm="16741">
        <v>1084</v>
      </c>
      <c r="BF162" s="84" vm="16904">
        <v>2450</v>
      </c>
      <c r="BG162" s="84" vm="17135">
        <v>1263</v>
      </c>
      <c r="BH162" s="84" vm="17366">
        <v>735</v>
      </c>
      <c r="BI162" s="84" vm="16216">
        <v>0</v>
      </c>
      <c r="BJ162" s="84" vm="14551">
        <v>4964</v>
      </c>
      <c r="BK162" s="84" vm="15989">
        <v>197</v>
      </c>
      <c r="BL162" s="84">
        <v>0</v>
      </c>
      <c r="BM162" s="84">
        <v>0</v>
      </c>
      <c r="BN162" s="84" vm="16029">
        <v>184</v>
      </c>
      <c r="BO162" s="84">
        <v>0</v>
      </c>
      <c r="BP162" s="5" vm="17746">
        <f xml:space="preserve"> VfM_Metrics_2023_Entity[[#This Row],[Total social housing units owned and/or managed at period end]]</f>
        <v>2561</v>
      </c>
      <c r="BQ162" s="135" vm="17746">
        <v>2561</v>
      </c>
      <c r="BR162" s="134">
        <f xml:space="preserve"> IFERROR( VfM_Metrics_2023_Entity[[#This Row],[SHL operating surplus / (deficit)]] / VfM_Metrics_2023_Entity[[#This Row],[Turnover from social housing lettings]], "n/a" )</f>
        <v>0.23861633372502938</v>
      </c>
      <c r="BS162" s="5" vm="18027">
        <f xml:space="preserve"> VfM_Metrics_2023_Entity[[#This Row],[Operating surplus/(deficit) (social housing lettings)]]</f>
        <v>3249</v>
      </c>
      <c r="BT162" s="84" vm="18027">
        <v>3249</v>
      </c>
      <c r="BU162" s="5" vm="18202">
        <f xml:space="preserve"> VfM_Metrics_2023_Entity[[#This Row],[Turnover from social housing lettings]]</f>
        <v>13616</v>
      </c>
      <c r="BV162" s="135" vm="18202">
        <v>13616</v>
      </c>
      <c r="BW162" s="134">
        <f xml:space="preserve"> IFERROR( VfM_Metrics_2023_Entity[[#This Row],[Net operating surplus]] / VfM_Metrics_2023_Entity[[#This Row],[Overall turnover]], "n/a" )</f>
        <v>0.23882952018934231</v>
      </c>
      <c r="BX162" s="5">
        <f xml:space="preserve"> SUM( VfM_Metrics_2023_Entity[[#This Row],[Operating surplus/(deficit) (overall)2]], - VfM_Metrics_2023_Entity[[#This Row],[Gain/(loss) on disposal of fixed assets (housing properties)2]], - VfM_Metrics_2023_Entity[[#This Row],[Gain/(loss) on disposal of fixed assets (other)2]] )</f>
        <v>3330</v>
      </c>
      <c r="BY162" s="84" vm="13615">
        <v>3462</v>
      </c>
      <c r="BZ162" s="84" vm="14798">
        <v>132</v>
      </c>
      <c r="CA162" s="84">
        <v>0</v>
      </c>
      <c r="CB162" s="5" vm="18379">
        <f xml:space="preserve"> VfM_Metrics_2023_Entity[[#This Row],[Turnover (overall)]]</f>
        <v>13943</v>
      </c>
      <c r="CC162" s="135" vm="18379">
        <v>13943</v>
      </c>
      <c r="CD162" s="134">
        <f xml:space="preserve"> IFERROR( VfM_Metrics_2023_Entity[[#This Row],[Operating surplus including from JVs]] / VfM_Metrics_2023_Entity[[#This Row],[Net assets]], "n/a" )</f>
        <v>3.1109593472556703E-2</v>
      </c>
      <c r="CE162" s="5">
        <f xml:space="preserve"> SUM( VfM_Metrics_2023_Entity[[#This Row],[Operating surplus/(deficit) (overall)3]], VfM_Metrics_2023_Entity[[#This Row],[Share of operating surplus/(deficit) in joint ventures or associates]] )</f>
        <v>3462</v>
      </c>
      <c r="CF162" s="84" vm="13616">
        <v>3462</v>
      </c>
      <c r="CG162" s="84" vm="18542">
        <v>0</v>
      </c>
      <c r="CH162" s="5" vm="18747">
        <f xml:space="preserve"> VfM_Metrics_2023_Entity[[#This Row],[Total assets less current liabilities]]</f>
        <v>111284</v>
      </c>
      <c r="CI162" s="135" vm="18747">
        <v>111284</v>
      </c>
      <c r="CJ162" s="140" vm="11382">
        <f xml:space="preserve"> VfM_Metrics_2023_Entity[[#This Row],[Total social housing units owned (Period end)]]</f>
        <v>2561</v>
      </c>
      <c r="CK162" s="141">
        <v>1.9140625000000001E-2</v>
      </c>
      <c r="CL162" s="69">
        <f xml:space="preserve"> -- ( VfM_Metrics_2023_Entity[[#This Row],[% Supported housing (excl. HOP)]] &gt; 0.3 )</f>
        <v>0</v>
      </c>
      <c r="CM162" s="9">
        <v>7.7734374999999994E-2</v>
      </c>
      <c r="CN162" s="69">
        <f xml:space="preserve"> -- ( VfM_Metrics_2023_Entity[[#This Row],[% Housing for older people]] &gt; 0.3 )</f>
        <v>0</v>
      </c>
      <c r="CO162" s="9">
        <f xml:space="preserve"> VfM_Metrics_2023_Entity[[#This Row],[% Supported housing (excl. HOP)]] + VfM_Metrics_2023_Entity[[#This Row],[% Housing for older people]]</f>
        <v>9.6874999999999989E-2</v>
      </c>
      <c r="CP162" s="69">
        <f xml:space="preserve"> -- ( VfM_Metrics_2023_Entity[[#This Row],[SH specialist in RSH analysis]] + VfM_Metrics_2023_Entity[[#This Row],[OP specialist in RSH analysis]] &gt; 0 )</f>
        <v>0</v>
      </c>
      <c r="CQ162" s="142">
        <f xml:space="preserve"> -- ( VfM_Metrics_2023_Entity[[#This Row],[% SH and OP]] &gt; 0.3 )</f>
        <v>0</v>
      </c>
      <c r="CR162" s="143" t="s">
        <v>143</v>
      </c>
      <c r="CS162" s="120"/>
      <c r="CT162" s="144" t="s">
        <v>151</v>
      </c>
      <c r="CU16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62" s="146">
        <v>0</v>
      </c>
      <c r="CW162" s="146">
        <v>0</v>
      </c>
      <c r="CX162" s="146">
        <v>0</v>
      </c>
      <c r="CY162" s="146">
        <v>0</v>
      </c>
      <c r="CZ162" s="146">
        <v>0</v>
      </c>
      <c r="DA162" s="146">
        <v>0</v>
      </c>
      <c r="DB162" s="146">
        <v>0</v>
      </c>
      <c r="DC162" s="146">
        <v>1</v>
      </c>
      <c r="DD162" s="146">
        <v>0</v>
      </c>
      <c r="DE162" s="126">
        <v>0.96105917141044694</v>
      </c>
    </row>
    <row r="163" spans="1:109" x14ac:dyDescent="0.25">
      <c r="A163" s="4" t="s" vm="9249">
        <v>614</v>
      </c>
      <c r="B163" s="4" t="s" vm="10925">
        <v>615</v>
      </c>
      <c r="C163" s="121" vm="18761">
        <v>45016</v>
      </c>
      <c r="D163" s="68">
        <f>IFERROR( VfM_Metrics_2023_Entity[[#This Row],[Reinvestment Spend]] / VfM_Metrics_2023_Entity[[#This Row],[Net Book Value of Housing Properties]], "n/a" )</f>
        <v>6.4228253869072036E-2</v>
      </c>
      <c r="E16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36799</v>
      </c>
      <c r="F163" s="84" vm="9422">
        <v>5275</v>
      </c>
      <c r="G163" s="84" vm="10772">
        <v>21695</v>
      </c>
      <c r="H163" s="84" vm="10949">
        <v>9264</v>
      </c>
      <c r="I163" s="84" vm="10213">
        <v>565</v>
      </c>
      <c r="J163" s="84" vm="10737">
        <v>0</v>
      </c>
      <c r="K163" s="5">
        <f xml:space="preserve"> SUM( VfM_Metrics_2023_Entity[[#This Row],[Tangible fixed assets: Housing properties at cost (Current period)]],VfM_Metrics_2023_Entity[[#This Row],[Tangible fixed assets Housing properties at valuation (Current period)]] )</f>
        <v>572941</v>
      </c>
      <c r="L163" s="84" vm="10741">
        <v>572941</v>
      </c>
      <c r="M163" s="84">
        <v>0</v>
      </c>
      <c r="N163" s="134">
        <f xml:space="preserve"> IFERROR( VfM_Metrics_2023_Entity[[#This Row],[Total social units developed or newly built units acquired in-year]] / VfM_Metrics_2023_Entity[[#This Row],[Social housing units owned (period end)]], "n/a" )</f>
        <v>1.4409512293430068E-2</v>
      </c>
      <c r="O163" s="5">
        <f xml:space="preserve"> SUM( VfM_Metrics_2023_Entity[[#This Row],[Total social units developed or newly built units acquired in-year (owned)]], VfM_Metrics_2023_Entity[[#This Row],[Total social leasehold units developed or newly built units acquired in-year (owned)]] )</f>
        <v>143</v>
      </c>
      <c r="P163" s="84" vm="11094">
        <v>143</v>
      </c>
      <c r="Q163" s="84" vm="11212">
        <v>0</v>
      </c>
      <c r="R163" s="5">
        <f xml:space="preserve"> SUM( VfM_Metrics_2023_Entity[[#This Row],[Total social housing units owned (Period end)]], VfM_Metrics_2023_Entity[[#This Row],[Total social leasehold units owned (Period end)]] )</f>
        <v>9924</v>
      </c>
      <c r="S163" s="84" vm="11308">
        <v>9725</v>
      </c>
      <c r="T163" s="135" vm="11529">
        <v>199</v>
      </c>
      <c r="U163" s="136">
        <f xml:space="preserve"> IFERROR( VfM_Metrics_2023_Entity[[#This Row],[Total non-social housing units developed or newly built units acquired (owned)]] / VfM_Metrics_2023_Entity[[#This Row],[Total social and non-social housing units owned (Period end)]], "n/a" )</f>
        <v>0</v>
      </c>
      <c r="V16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63" s="84" vm="11575">
        <v>0</v>
      </c>
      <c r="X163" s="84" vm="11892">
        <v>0</v>
      </c>
      <c r="Y163" s="84" vm="11934">
        <v>0</v>
      </c>
      <c r="Z16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10561</v>
      </c>
      <c r="AA163" s="84" vm="11960">
        <v>9725</v>
      </c>
      <c r="AB163" s="84" vm="12455">
        <v>199</v>
      </c>
      <c r="AC163" s="84" vm="12386">
        <v>637</v>
      </c>
      <c r="AD163" s="135" vm="12520">
        <v>0</v>
      </c>
      <c r="AE163" s="134">
        <f xml:space="preserve"> IFERROR( VfM_Metrics_2023_Entity[[#This Row],[Total Net Debt]] / VfM_Metrics_2023_Entity[[#This Row],[Net Book Value of Housing Properties2]], "n/a" )</f>
        <v>0.45543956533046159</v>
      </c>
      <c r="AF16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260940</v>
      </c>
      <c r="AG163" s="84" vm="12571">
        <v>7999</v>
      </c>
      <c r="AH163" s="84" vm="13135">
        <v>256838</v>
      </c>
      <c r="AI163" s="84" vm="13221">
        <v>3897</v>
      </c>
      <c r="AJ163" s="84" vm="13308">
        <v>0</v>
      </c>
      <c r="AK163" s="84" vm="12878">
        <v>0</v>
      </c>
      <c r="AL163" s="5">
        <f xml:space="preserve"> SUM( VfM_Metrics_2023_Entity[[#This Row],[Tangible fixed assets: Housing properties at cost (Current period)2]], VfM_Metrics_2023_Entity[[#This Row],[Tangible fixed assets Housing properties at valuation (Current period)2]] )</f>
        <v>572941</v>
      </c>
      <c r="AM163" s="84" vm="9997">
        <v>572941</v>
      </c>
      <c r="AN163" s="135">
        <v>0</v>
      </c>
      <c r="AO163" s="137">
        <f xml:space="preserve"> IFERROR( VfM_Metrics_2023_Entity[[#This Row],[EBITDA MRI]] / VfM_Metrics_2023_Entity[[#This Row],[Total interest]], "n/a" )</f>
        <v>1.9457682826622844</v>
      </c>
      <c r="AP16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16576</v>
      </c>
      <c r="AQ163" s="84" vm="13454">
        <v>15105</v>
      </c>
      <c r="AR163" s="84" vm="15043">
        <v>676</v>
      </c>
      <c r="AS163" s="84" vm="13808">
        <v>0</v>
      </c>
      <c r="AT163" s="84" vm="14063">
        <v>308</v>
      </c>
      <c r="AU163" s="84" vm="14307">
        <v>0</v>
      </c>
      <c r="AV163" s="84" vm="14552">
        <v>781</v>
      </c>
      <c r="AW163" s="84" vm="14800">
        <v>9264</v>
      </c>
      <c r="AX163" s="84" vm="15044">
        <v>10938</v>
      </c>
      <c r="AY163" s="5">
        <f xml:space="preserve"> - SUM( VfM_Metrics_2023_Entity[[#This Row],[Interest capitalised]], VfM_Metrics_2023_Entity[[#This Row],[Interest payable and financing costs]] )</f>
        <v>8519</v>
      </c>
      <c r="AZ163" s="84" vm="15294">
        <v>-565</v>
      </c>
      <c r="BA163" s="135" vm="15496">
        <v>-7954</v>
      </c>
      <c r="BB163" s="138">
        <f xml:space="preserve"> IFERROR( ( VfM_Metrics_2023_Entity[[#This Row],[Total Costs]] / VfM_Metrics_2023_Entity[[#This Row],[Total units for costs]] ) * 1000, "n/a" )</f>
        <v>6104.4576828266227</v>
      </c>
      <c r="BC16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59433</v>
      </c>
      <c r="BD163" s="84" vm="15594">
        <v>11101</v>
      </c>
      <c r="BE163" s="84" vm="16483">
        <v>11198</v>
      </c>
      <c r="BF163" s="84" vm="16482">
        <v>11419</v>
      </c>
      <c r="BG163" s="84" vm="16661">
        <v>3009</v>
      </c>
      <c r="BH163" s="84" vm="16832">
        <v>5625</v>
      </c>
      <c r="BI163" s="84" vm="17064">
        <v>3376</v>
      </c>
      <c r="BJ163" s="84" vm="17136">
        <v>9264</v>
      </c>
      <c r="BK163" s="84" vm="17285">
        <v>4070</v>
      </c>
      <c r="BL163" s="84" vm="17591">
        <v>0</v>
      </c>
      <c r="BM163" s="84" vm="16485">
        <v>0</v>
      </c>
      <c r="BN163" s="84" vm="16662">
        <v>0</v>
      </c>
      <c r="BO163" s="84" vm="15990">
        <v>371</v>
      </c>
      <c r="BP163" s="5" vm="17779">
        <f xml:space="preserve"> VfM_Metrics_2023_Entity[[#This Row],[Total social housing units owned and/or managed at period end]]</f>
        <v>9736</v>
      </c>
      <c r="BQ163" s="135" vm="17779">
        <v>9736</v>
      </c>
      <c r="BR163" s="134">
        <f xml:space="preserve"> IFERROR( VfM_Metrics_2023_Entity[[#This Row],[SHL operating surplus / (deficit)]] / VfM_Metrics_2023_Entity[[#This Row],[Turnover from social housing lettings]], "n/a" )</f>
        <v>0.18702761381369157</v>
      </c>
      <c r="BS163" s="5" vm="17857">
        <f xml:space="preserve"> VfM_Metrics_2023_Entity[[#This Row],[Operating surplus/(deficit) (social housing lettings)]]</f>
        <v>13783</v>
      </c>
      <c r="BT163" s="84" vm="17857">
        <v>13783</v>
      </c>
      <c r="BU163" s="5" vm="18069">
        <f xml:space="preserve"> VfM_Metrics_2023_Entity[[#This Row],[Turnover from social housing lettings]]</f>
        <v>73695</v>
      </c>
      <c r="BV163" s="135" vm="18069">
        <v>73695</v>
      </c>
      <c r="BW163" s="134">
        <f xml:space="preserve"> IFERROR( VfM_Metrics_2023_Entity[[#This Row],[Net operating surplus]] / VfM_Metrics_2023_Entity[[#This Row],[Overall turnover]], "n/a" )</f>
        <v>0.1622895319933865</v>
      </c>
      <c r="BX163" s="5">
        <f xml:space="preserve"> SUM( VfM_Metrics_2023_Entity[[#This Row],[Operating surplus/(deficit) (overall)2]], - VfM_Metrics_2023_Entity[[#This Row],[Gain/(loss) on disposal of fixed assets (housing properties)2]], - VfM_Metrics_2023_Entity[[#This Row],[Gain/(loss) on disposal of fixed assets (other)2]] )</f>
        <v>14429</v>
      </c>
      <c r="BY163" s="84" vm="18216">
        <v>15105</v>
      </c>
      <c r="BZ163" s="84" vm="15043">
        <v>676</v>
      </c>
      <c r="CA163" s="84" vm="13808">
        <v>0</v>
      </c>
      <c r="CB163" s="5" vm="18423">
        <f xml:space="preserve"> VfM_Metrics_2023_Entity[[#This Row],[Turnover (overall)]]</f>
        <v>88909</v>
      </c>
      <c r="CC163" s="135" vm="18423">
        <v>88909</v>
      </c>
      <c r="CD163" s="134">
        <f xml:space="preserve"> IFERROR( VfM_Metrics_2023_Entity[[#This Row],[Operating surplus including from JVs]] / VfM_Metrics_2023_Entity[[#This Row],[Net assets]], "n/a" )</f>
        <v>2.5781950074674632E-2</v>
      </c>
      <c r="CE163" s="5">
        <f xml:space="preserve"> SUM( VfM_Metrics_2023_Entity[[#This Row],[Operating surplus/(deficit) (overall)3]], VfM_Metrics_2023_Entity[[#This Row],[Share of operating surplus/(deficit) in joint ventures or associates]] )</f>
        <v>15105</v>
      </c>
      <c r="CF163" s="84" vm="13454">
        <v>15105</v>
      </c>
      <c r="CG163" s="84" vm="18562">
        <v>0</v>
      </c>
      <c r="CH163" s="5" vm="18594">
        <f xml:space="preserve"> VfM_Metrics_2023_Entity[[#This Row],[Total assets less current liabilities]]</f>
        <v>585875</v>
      </c>
      <c r="CI163" s="135" vm="18594">
        <v>585875</v>
      </c>
      <c r="CJ163" s="140" vm="11308">
        <f xml:space="preserve"> VfM_Metrics_2023_Entity[[#This Row],[Total social housing units owned (Period end)]]</f>
        <v>9725</v>
      </c>
      <c r="CK163" s="141">
        <v>0.31124187054815733</v>
      </c>
      <c r="CL163" s="69">
        <f xml:space="preserve"> -- ( VfM_Metrics_2023_Entity[[#This Row],[% Supported housing (excl. HOP)]] &gt; 0.3 )</f>
        <v>1</v>
      </c>
      <c r="CM163" s="9">
        <v>0.12521936616083409</v>
      </c>
      <c r="CN163" s="69">
        <f xml:space="preserve"> -- ( VfM_Metrics_2023_Entity[[#This Row],[% Housing for older people]] &gt; 0.3 )</f>
        <v>0</v>
      </c>
      <c r="CO163" s="9">
        <f xml:space="preserve"> VfM_Metrics_2023_Entity[[#This Row],[% Supported housing (excl. HOP)]] + VfM_Metrics_2023_Entity[[#This Row],[% Housing for older people]]</f>
        <v>0.4364612367089914</v>
      </c>
      <c r="CP163" s="69">
        <f xml:space="preserve"> -- ( VfM_Metrics_2023_Entity[[#This Row],[SH specialist in RSH analysis]] + VfM_Metrics_2023_Entity[[#This Row],[OP specialist in RSH analysis]] &gt; 0 )</f>
        <v>1</v>
      </c>
      <c r="CQ163" s="142">
        <f xml:space="preserve"> -- ( VfM_Metrics_2023_Entity[[#This Row],[% SH and OP]] &gt; 0.3 )</f>
        <v>1</v>
      </c>
      <c r="CR163" s="143" t="s">
        <v>143</v>
      </c>
      <c r="CS163" s="120"/>
      <c r="CT163" s="144" t="s">
        <v>151</v>
      </c>
      <c r="CU16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63" s="146">
        <v>3.9468217698379725E-3</v>
      </c>
      <c r="CW163" s="146">
        <v>5.8163689239717487E-3</v>
      </c>
      <c r="CX163" s="146">
        <v>9.3477357706688823E-3</v>
      </c>
      <c r="CY163" s="146">
        <v>6.7823016202742004E-2</v>
      </c>
      <c r="CZ163" s="146">
        <v>1.038637307852098E-3</v>
      </c>
      <c r="DA163" s="146">
        <v>1.8176152887411715E-2</v>
      </c>
      <c r="DB163" s="146">
        <v>5.5047777316161199E-3</v>
      </c>
      <c r="DC163" s="146">
        <v>0.80369754881595346</v>
      </c>
      <c r="DD163" s="146">
        <v>8.4648940589945987E-2</v>
      </c>
      <c r="DE163" s="126">
        <v>0.96035390269473098</v>
      </c>
    </row>
    <row r="164" spans="1:109" x14ac:dyDescent="0.25">
      <c r="A164" s="4" t="s" vm="230">
        <v>412</v>
      </c>
      <c r="B164" s="4" t="s" vm="9868">
        <v>413</v>
      </c>
      <c r="C164" s="121" vm="18973">
        <v>45016</v>
      </c>
      <c r="D164" s="68">
        <f>IFERROR( VfM_Metrics_2023_Entity[[#This Row],[Reinvestment Spend]] / VfM_Metrics_2023_Entity[[#This Row],[Net Book Value of Housing Properties]], "n/a" )</f>
        <v>7.9024356466494708E-2</v>
      </c>
      <c r="E16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4565</v>
      </c>
      <c r="F164" s="84" vm="9517">
        <v>3283</v>
      </c>
      <c r="G164" s="84" vm="9656">
        <v>0</v>
      </c>
      <c r="H164" s="84" vm="10809">
        <v>1282</v>
      </c>
      <c r="I164" s="84" vm="10462">
        <v>0</v>
      </c>
      <c r="J164" s="84" vm="9733">
        <v>0</v>
      </c>
      <c r="K164" s="5">
        <f xml:space="preserve"> SUM( VfM_Metrics_2023_Entity[[#This Row],[Tangible fixed assets: Housing properties at cost (Current period)]],VfM_Metrics_2023_Entity[[#This Row],[Tangible fixed assets Housing properties at valuation (Current period)]] )</f>
        <v>57767</v>
      </c>
      <c r="L164" s="84" vm="9905">
        <v>57767</v>
      </c>
      <c r="M164" s="84" vm="10275">
        <v>0</v>
      </c>
      <c r="N164" s="134">
        <f xml:space="preserve"> IFERROR( VfM_Metrics_2023_Entity[[#This Row],[Total social units developed or newly built units acquired in-year]] / VfM_Metrics_2023_Entity[[#This Row],[Social housing units owned (period end)]], "n/a" )</f>
        <v>1.7283950617283949E-2</v>
      </c>
      <c r="O164" s="5">
        <f xml:space="preserve"> SUM( VfM_Metrics_2023_Entity[[#This Row],[Total social units developed or newly built units acquired in-year (owned)]], VfM_Metrics_2023_Entity[[#This Row],[Total social leasehold units developed or newly built units acquired in-year (owned)]] )</f>
        <v>28</v>
      </c>
      <c r="P164" s="84" vm="11020">
        <v>28</v>
      </c>
      <c r="Q164" s="84" vm="11121">
        <v>0</v>
      </c>
      <c r="R164" s="5">
        <f xml:space="preserve"> SUM( VfM_Metrics_2023_Entity[[#This Row],[Total social housing units owned (Period end)]], VfM_Metrics_2023_Entity[[#This Row],[Total social leasehold units owned (Period end)]] )</f>
        <v>1620</v>
      </c>
      <c r="S164" s="84" vm="11354">
        <v>1547</v>
      </c>
      <c r="T164" s="135" vm="11433">
        <v>73</v>
      </c>
      <c r="U164" s="136">
        <f xml:space="preserve"> IFERROR( VfM_Metrics_2023_Entity[[#This Row],[Total non-social housing units developed or newly built units acquired (owned)]] / VfM_Metrics_2023_Entity[[#This Row],[Total social and non-social housing units owned (Period end)]], "n/a" )</f>
        <v>0</v>
      </c>
      <c r="V16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64" s="84" vm="11600">
        <v>0</v>
      </c>
      <c r="X164" s="84" vm="11721">
        <v>0</v>
      </c>
      <c r="Y164" s="84" vm="11720">
        <v>0</v>
      </c>
      <c r="Z16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1620</v>
      </c>
      <c r="AA164" s="84" vm="11354">
        <v>1547</v>
      </c>
      <c r="AB164" s="84" vm="12206">
        <v>73</v>
      </c>
      <c r="AC164" s="84" vm="12136">
        <v>0</v>
      </c>
      <c r="AD164" s="135" vm="12291">
        <v>0</v>
      </c>
      <c r="AE164" s="134">
        <f xml:space="preserve"> IFERROR( VfM_Metrics_2023_Entity[[#This Row],[Total Net Debt]] / VfM_Metrics_2023_Entity[[#This Row],[Net Book Value of Housing Properties2]], "n/a" )</f>
        <v>0.17120501324285492</v>
      </c>
      <c r="AF16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9890</v>
      </c>
      <c r="AG164" s="84" vm="12598">
        <v>397</v>
      </c>
      <c r="AH164" s="84" vm="12789">
        <v>17079</v>
      </c>
      <c r="AI164" s="84" vm="12992">
        <v>7586</v>
      </c>
      <c r="AJ164" s="84" vm="13049">
        <v>0</v>
      </c>
      <c r="AK164" s="84" vm="13136">
        <v>0</v>
      </c>
      <c r="AL164" s="5">
        <f xml:space="preserve"> SUM( VfM_Metrics_2023_Entity[[#This Row],[Tangible fixed assets: Housing properties at cost (Current period)2]], VfM_Metrics_2023_Entity[[#This Row],[Tangible fixed assets Housing properties at valuation (Current period)2]] )</f>
        <v>57767</v>
      </c>
      <c r="AM164" s="84" vm="13388">
        <v>57767</v>
      </c>
      <c r="AN164" s="135" vm="10098">
        <v>0</v>
      </c>
      <c r="AO164" s="137">
        <f xml:space="preserve"> IFERROR( VfM_Metrics_2023_Entity[[#This Row],[EBITDA MRI]] / VfM_Metrics_2023_Entity[[#This Row],[Total interest]], "n/a" )</f>
        <v>2.3929961089494163</v>
      </c>
      <c r="AP16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1845</v>
      </c>
      <c r="AQ164" s="84" vm="13487">
        <v>1340</v>
      </c>
      <c r="AR164" s="84" vm="13809">
        <v>0</v>
      </c>
      <c r="AS164" s="84" vm="14064">
        <v>0</v>
      </c>
      <c r="AT164" s="84" vm="14308">
        <v>336</v>
      </c>
      <c r="AU164" s="84" vm="14553">
        <v>0</v>
      </c>
      <c r="AV164" s="84" vm="14801">
        <v>88</v>
      </c>
      <c r="AW164" s="84" vm="15045">
        <v>1282</v>
      </c>
      <c r="AX164" s="84" vm="13810">
        <v>2035</v>
      </c>
      <c r="AY164" s="5">
        <f xml:space="preserve"> - SUM( VfM_Metrics_2023_Entity[[#This Row],[Interest capitalised]], VfM_Metrics_2023_Entity[[#This Row],[Interest payable and financing costs]] )</f>
        <v>771</v>
      </c>
      <c r="AZ164" s="84" vm="15174">
        <v>0</v>
      </c>
      <c r="BA164" s="135" vm="15336">
        <v>-771</v>
      </c>
      <c r="BB164" s="138">
        <f xml:space="preserve"> IFERROR( ( VfM_Metrics_2023_Entity[[#This Row],[Total Costs]] / VfM_Metrics_2023_Entity[[#This Row],[Total units for costs]] ) * 1000, "n/a" )</f>
        <v>3837.7504848093085</v>
      </c>
      <c r="BC16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5937</v>
      </c>
      <c r="BD164" s="84" vm="15991">
        <v>1039</v>
      </c>
      <c r="BE164" s="84" vm="16905">
        <v>1141</v>
      </c>
      <c r="BF164" s="84" vm="16217">
        <v>2267</v>
      </c>
      <c r="BG164" s="84" vm="17286">
        <v>42</v>
      </c>
      <c r="BH164" s="84" vm="17523">
        <v>0</v>
      </c>
      <c r="BI164" s="84" vm="17592">
        <v>33</v>
      </c>
      <c r="BJ164" s="84" vm="15045">
        <v>1282</v>
      </c>
      <c r="BK164" s="84" vm="16663">
        <v>27</v>
      </c>
      <c r="BL164" s="84" vm="15992">
        <v>0</v>
      </c>
      <c r="BM164" s="84" vm="17287">
        <v>0</v>
      </c>
      <c r="BN164" s="84" vm="16169">
        <v>106</v>
      </c>
      <c r="BO164" s="84" vm="15991">
        <v>0</v>
      </c>
      <c r="BP164" s="5" vm="17641">
        <f xml:space="preserve"> VfM_Metrics_2023_Entity[[#This Row],[Total social housing units owned and/or managed at period end]]</f>
        <v>1547</v>
      </c>
      <c r="BQ164" s="135" vm="17641">
        <v>1547</v>
      </c>
      <c r="BR164" s="134">
        <f xml:space="preserve"> IFERROR( VfM_Metrics_2023_Entity[[#This Row],[SHL operating surplus / (deficit)]] / VfM_Metrics_2023_Entity[[#This Row],[Turnover from social housing lettings]], "n/a" )</f>
        <v>0.16506471869793668</v>
      </c>
      <c r="BS164" s="5" vm="17895">
        <f xml:space="preserve"> VfM_Metrics_2023_Entity[[#This Row],[Operating surplus/(deficit) (social housing lettings)]]</f>
        <v>1288</v>
      </c>
      <c r="BT164" s="84" vm="17895">
        <v>1288</v>
      </c>
      <c r="BU164" s="5" vm="18094">
        <f xml:space="preserve"> VfM_Metrics_2023_Entity[[#This Row],[Turnover from social housing lettings]]</f>
        <v>7803</v>
      </c>
      <c r="BV164" s="135" vm="18094">
        <v>7803</v>
      </c>
      <c r="BW164" s="134">
        <f xml:space="preserve"> IFERROR( VfM_Metrics_2023_Entity[[#This Row],[Net operating surplus]] / VfM_Metrics_2023_Entity[[#This Row],[Overall turnover]], "n/a" )</f>
        <v>0.16829942225571465</v>
      </c>
      <c r="BX164" s="5">
        <f xml:space="preserve"> SUM( VfM_Metrics_2023_Entity[[#This Row],[Operating surplus/(deficit) (overall)2]], - VfM_Metrics_2023_Entity[[#This Row],[Gain/(loss) on disposal of fixed assets (housing properties)2]], - VfM_Metrics_2023_Entity[[#This Row],[Gain/(loss) on disposal of fixed assets (other)2]] )</f>
        <v>1340</v>
      </c>
      <c r="BY164" s="84" vm="13487">
        <v>1340</v>
      </c>
      <c r="BZ164" s="84" vm="13809">
        <v>0</v>
      </c>
      <c r="CA164" s="84" vm="14064">
        <v>0</v>
      </c>
      <c r="CB164" s="5" vm="18411">
        <f xml:space="preserve"> VfM_Metrics_2023_Entity[[#This Row],[Turnover (overall)]]</f>
        <v>7962</v>
      </c>
      <c r="CC164" s="135" vm="18411">
        <v>7962</v>
      </c>
      <c r="CD164" s="134">
        <f xml:space="preserve"> IFERROR( VfM_Metrics_2023_Entity[[#This Row],[Operating surplus including from JVs]] / VfM_Metrics_2023_Entity[[#This Row],[Net assets]], "n/a" )</f>
        <v>2.0918216019606924E-2</v>
      </c>
      <c r="CE164" s="5">
        <f xml:space="preserve"> SUM( VfM_Metrics_2023_Entity[[#This Row],[Operating surplus/(deficit) (overall)3]], VfM_Metrics_2023_Entity[[#This Row],[Share of operating surplus/(deficit) in joint ventures or associates]] )</f>
        <v>1340</v>
      </c>
      <c r="CF164" s="84" vm="13488">
        <v>1340</v>
      </c>
      <c r="CG164" s="84" vm="18460">
        <v>0</v>
      </c>
      <c r="CH164" s="5" vm="18631">
        <f xml:space="preserve"> VfM_Metrics_2023_Entity[[#This Row],[Total assets less current liabilities]]</f>
        <v>64059</v>
      </c>
      <c r="CI164" s="135" vm="18631">
        <v>64059</v>
      </c>
      <c r="CJ164" s="140" vm="11354">
        <f xml:space="preserve"> VfM_Metrics_2023_Entity[[#This Row],[Total social housing units owned (Period end)]]</f>
        <v>1547</v>
      </c>
      <c r="CK164" s="141">
        <v>0.30389129092032119</v>
      </c>
      <c r="CL164" s="69">
        <f xml:space="preserve"> -- ( VfM_Metrics_2023_Entity[[#This Row],[% Supported housing (excl. HOP)]] &gt; 0.3 )</f>
        <v>1</v>
      </c>
      <c r="CM164" s="9">
        <v>0.26436071649166154</v>
      </c>
      <c r="CN164" s="69">
        <f xml:space="preserve"> -- ( VfM_Metrics_2023_Entity[[#This Row],[% Housing for older people]] &gt; 0.3 )</f>
        <v>0</v>
      </c>
      <c r="CO164" s="9">
        <f xml:space="preserve"> VfM_Metrics_2023_Entity[[#This Row],[% Supported housing (excl. HOP)]] + VfM_Metrics_2023_Entity[[#This Row],[% Housing for older people]]</f>
        <v>0.56825200741198278</v>
      </c>
      <c r="CP164" s="69">
        <f xml:space="preserve"> -- ( VfM_Metrics_2023_Entity[[#This Row],[SH specialist in RSH analysis]] + VfM_Metrics_2023_Entity[[#This Row],[OP specialist in RSH analysis]] &gt; 0 )</f>
        <v>1</v>
      </c>
      <c r="CQ164" s="142">
        <f xml:space="preserve"> -- ( VfM_Metrics_2023_Entity[[#This Row],[% SH and OP]] &gt; 0.3 )</f>
        <v>1</v>
      </c>
      <c r="CR164" s="143" t="s">
        <v>143</v>
      </c>
      <c r="CS164" s="120"/>
      <c r="CT164" s="144" t="s">
        <v>144</v>
      </c>
      <c r="CU16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164" s="146">
        <v>1.3588634959851761E-2</v>
      </c>
      <c r="CW164" s="146">
        <v>0</v>
      </c>
      <c r="CX164" s="146">
        <v>0</v>
      </c>
      <c r="CY164" s="146">
        <v>0</v>
      </c>
      <c r="CZ164" s="146">
        <v>1.8529956763434219E-2</v>
      </c>
      <c r="DA164" s="146">
        <v>0</v>
      </c>
      <c r="DB164" s="146">
        <v>0.58307597282273005</v>
      </c>
      <c r="DC164" s="146">
        <v>1.2353304508956147E-3</v>
      </c>
      <c r="DD164" s="146">
        <v>0.3835701050030883</v>
      </c>
      <c r="DE164" s="126">
        <v>0.92573192444565744</v>
      </c>
    </row>
    <row r="165" spans="1:109" x14ac:dyDescent="0.25">
      <c r="A165" s="4" t="s" vm="359">
        <v>414</v>
      </c>
      <c r="B165" s="4" t="s" vm="9273">
        <v>415</v>
      </c>
      <c r="C165" s="121" vm="18926">
        <v>45016</v>
      </c>
      <c r="D165" s="68">
        <f>IFERROR( VfM_Metrics_2023_Entity[[#This Row],[Reinvestment Spend]] / VfM_Metrics_2023_Entity[[#This Row],[Net Book Value of Housing Properties]], "n/a" )</f>
        <v>2.3262923689231343E-2</v>
      </c>
      <c r="E16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8218</v>
      </c>
      <c r="F165" s="84" vm="10220">
        <v>5446</v>
      </c>
      <c r="G165" s="84" vm="10879">
        <v>0</v>
      </c>
      <c r="H165" s="84" vm="10409">
        <v>2715</v>
      </c>
      <c r="I165" s="84" vm="10930">
        <v>57</v>
      </c>
      <c r="J165" s="84" vm="9690">
        <v>0</v>
      </c>
      <c r="K165" s="5">
        <f xml:space="preserve"> SUM( VfM_Metrics_2023_Entity[[#This Row],[Tangible fixed assets: Housing properties at cost (Current period)]],VfM_Metrics_2023_Entity[[#This Row],[Tangible fixed assets Housing properties at valuation (Current period)]] )</f>
        <v>353266</v>
      </c>
      <c r="L165" s="84" vm="10059">
        <v>353266</v>
      </c>
      <c r="M165" s="84">
        <v>0</v>
      </c>
      <c r="N165" s="134">
        <f xml:space="preserve"> IFERROR( VfM_Metrics_2023_Entity[[#This Row],[Total social units developed or newly built units acquired in-year]] / VfM_Metrics_2023_Entity[[#This Row],[Social housing units owned (period end)]], "n/a" )</f>
        <v>2.6407227241139679E-3</v>
      </c>
      <c r="O165" s="5">
        <f xml:space="preserve"> SUM( VfM_Metrics_2023_Entity[[#This Row],[Total social units developed or newly built units acquired in-year (owned)]], VfM_Metrics_2023_Entity[[#This Row],[Total social leasehold units developed or newly built units acquired in-year (owned)]] )</f>
        <v>19</v>
      </c>
      <c r="P165" s="84" vm="10976">
        <v>19</v>
      </c>
      <c r="Q165" s="84" vm="11148">
        <v>0</v>
      </c>
      <c r="R165" s="5">
        <f xml:space="preserve"> SUM( VfM_Metrics_2023_Entity[[#This Row],[Total social housing units owned (Period end)]], VfM_Metrics_2023_Entity[[#This Row],[Total social leasehold units owned (Period end)]] )</f>
        <v>7195</v>
      </c>
      <c r="S165" s="84" vm="11271">
        <v>6337</v>
      </c>
      <c r="T165" s="135" vm="11515">
        <v>858</v>
      </c>
      <c r="U165" s="136">
        <f xml:space="preserve"> IFERROR( VfM_Metrics_2023_Entity[[#This Row],[Total non-social housing units developed or newly built units acquired (owned)]] / VfM_Metrics_2023_Entity[[#This Row],[Total social and non-social housing units owned (Period end)]], "n/a" )</f>
        <v>0</v>
      </c>
      <c r="V16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65" s="84">
        <v>0</v>
      </c>
      <c r="X165" s="84" vm="11807">
        <v>0</v>
      </c>
      <c r="Y165" s="84" vm="11852">
        <v>0</v>
      </c>
      <c r="Z16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7195</v>
      </c>
      <c r="AA165" s="84" vm="11271">
        <v>6337</v>
      </c>
      <c r="AB165" s="84" vm="11515">
        <v>858</v>
      </c>
      <c r="AC165" s="84" vm="12386">
        <v>0</v>
      </c>
      <c r="AD165" s="135" vm="12521">
        <v>0</v>
      </c>
      <c r="AE165" s="134">
        <f xml:space="preserve"> IFERROR( VfM_Metrics_2023_Entity[[#This Row],[Total Net Debt]] / VfM_Metrics_2023_Entity[[#This Row],[Net Book Value of Housing Properties2]], "n/a" )</f>
        <v>0.57516998522359919</v>
      </c>
      <c r="AF16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203188</v>
      </c>
      <c r="AG165" s="84" vm="12621">
        <v>350</v>
      </c>
      <c r="AH165" s="84" vm="12955">
        <v>211360</v>
      </c>
      <c r="AI165" s="84" vm="13308">
        <v>8522</v>
      </c>
      <c r="AJ165" s="84" vm="12790">
        <v>0</v>
      </c>
      <c r="AK165" s="84" vm="12911">
        <v>0</v>
      </c>
      <c r="AL165" s="5">
        <f xml:space="preserve"> SUM( VfM_Metrics_2023_Entity[[#This Row],[Tangible fixed assets: Housing properties at cost (Current period)2]], VfM_Metrics_2023_Entity[[#This Row],[Tangible fixed assets Housing properties at valuation (Current period)2]] )</f>
        <v>353266</v>
      </c>
      <c r="AM165" s="84" vm="10059">
        <v>353266</v>
      </c>
      <c r="AN165" s="135">
        <v>0</v>
      </c>
      <c r="AO165" s="137">
        <f xml:space="preserve"> IFERROR( VfM_Metrics_2023_Entity[[#This Row],[EBITDA MRI]] / VfM_Metrics_2023_Entity[[#This Row],[Total interest]], "n/a" )</f>
        <v>1.6469722455845248</v>
      </c>
      <c r="AP16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15666</v>
      </c>
      <c r="AQ165" s="84" vm="13524">
        <v>17432</v>
      </c>
      <c r="AR165" s="84" vm="14065">
        <v>4028</v>
      </c>
      <c r="AS165" s="84" vm="14309">
        <v>0</v>
      </c>
      <c r="AT165" s="84" vm="14554">
        <v>478</v>
      </c>
      <c r="AU165" s="84" vm="14802">
        <v>0</v>
      </c>
      <c r="AV165" s="84" vm="15046">
        <v>244</v>
      </c>
      <c r="AW165" s="84" vm="13811">
        <v>2715</v>
      </c>
      <c r="AX165" s="84" vm="14066">
        <v>5211</v>
      </c>
      <c r="AY165" s="5">
        <f xml:space="preserve"> - SUM( VfM_Metrics_2023_Entity[[#This Row],[Interest capitalised]], VfM_Metrics_2023_Entity[[#This Row],[Interest payable and financing costs]] )</f>
        <v>9512</v>
      </c>
      <c r="AZ165" s="84" vm="15203">
        <v>-57</v>
      </c>
      <c r="BA165" s="135" vm="15371">
        <v>-9455</v>
      </c>
      <c r="BB165" s="138">
        <f xml:space="preserve"> IFERROR( ( VfM_Metrics_2023_Entity[[#This Row],[Total Costs]] / VfM_Metrics_2023_Entity[[#This Row],[Total units for costs]] ) * 1000, "n/a" )</f>
        <v>5109.3073593073595</v>
      </c>
      <c r="BC16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33047</v>
      </c>
      <c r="BD165" s="84" vm="15542">
        <v>6727</v>
      </c>
      <c r="BE165" s="84" vm="16484">
        <v>3293</v>
      </c>
      <c r="BF165" s="84" vm="16742">
        <v>7478</v>
      </c>
      <c r="BG165" s="84" vm="16906">
        <v>1524</v>
      </c>
      <c r="BH165" s="84" vm="15547">
        <v>6576</v>
      </c>
      <c r="BI165" s="84" vm="17288">
        <v>0</v>
      </c>
      <c r="BJ165" s="84" vm="16171">
        <v>2715</v>
      </c>
      <c r="BK165" s="84" vm="17593">
        <v>1004</v>
      </c>
      <c r="BL165" s="84" vm="15993">
        <v>1797</v>
      </c>
      <c r="BM165" s="84" vm="15994">
        <v>1423</v>
      </c>
      <c r="BN165" s="84" vm="17137">
        <v>0</v>
      </c>
      <c r="BO165" s="84" vm="16486">
        <v>510</v>
      </c>
      <c r="BP165" s="5" vm="17677">
        <f xml:space="preserve"> VfM_Metrics_2023_Entity[[#This Row],[Total social housing units owned and/or managed at period end]]</f>
        <v>6468</v>
      </c>
      <c r="BQ165" s="135" vm="17677">
        <v>6468</v>
      </c>
      <c r="BR165" s="134">
        <f xml:space="preserve"> IFERROR( VfM_Metrics_2023_Entity[[#This Row],[SHL operating surplus / (deficit)]] / VfM_Metrics_2023_Entity[[#This Row],[Turnover from social housing lettings]], "n/a" )</f>
        <v>0.32282954029695909</v>
      </c>
      <c r="BS165" s="5" vm="17932">
        <f xml:space="preserve"> VfM_Metrics_2023_Entity[[#This Row],[Operating surplus/(deficit) (social housing lettings)]]</f>
        <v>14937</v>
      </c>
      <c r="BT165" s="84" vm="17932">
        <v>14937</v>
      </c>
      <c r="BU165" s="5" vm="18131">
        <f xml:space="preserve"> VfM_Metrics_2023_Entity[[#This Row],[Turnover from social housing lettings]]</f>
        <v>46269</v>
      </c>
      <c r="BV165" s="135" vm="18131">
        <v>46269</v>
      </c>
      <c r="BW165" s="134">
        <f xml:space="preserve"> IFERROR( VfM_Metrics_2023_Entity[[#This Row],[Net operating surplus]] / VfM_Metrics_2023_Entity[[#This Row],[Overall turnover]], "n/a" )</f>
        <v>0.24958569965552554</v>
      </c>
      <c r="BX165" s="5">
        <f xml:space="preserve"> SUM( VfM_Metrics_2023_Entity[[#This Row],[Operating surplus/(deficit) (overall)2]], - VfM_Metrics_2023_Entity[[#This Row],[Gain/(loss) on disposal of fixed assets (housing properties)2]], - VfM_Metrics_2023_Entity[[#This Row],[Gain/(loss) on disposal of fixed assets (other)2]] )</f>
        <v>13404</v>
      </c>
      <c r="BY165" s="84" vm="13524">
        <v>17432</v>
      </c>
      <c r="BZ165" s="84" vm="14065">
        <v>4028</v>
      </c>
      <c r="CA165" s="84" vm="14309">
        <v>0</v>
      </c>
      <c r="CB165" s="5" vm="18282">
        <f xml:space="preserve"> VfM_Metrics_2023_Entity[[#This Row],[Turnover (overall)]]</f>
        <v>53705</v>
      </c>
      <c r="CC165" s="135" vm="18282">
        <v>53705</v>
      </c>
      <c r="CD165" s="134">
        <f xml:space="preserve"> IFERROR( VfM_Metrics_2023_Entity[[#This Row],[Operating surplus including from JVs]] / VfM_Metrics_2023_Entity[[#This Row],[Net assets]], "n/a" )</f>
        <v>4.6479879694115891E-2</v>
      </c>
      <c r="CE165" s="5">
        <f xml:space="preserve"> SUM( VfM_Metrics_2023_Entity[[#This Row],[Operating surplus/(deficit) (overall)3]], VfM_Metrics_2023_Entity[[#This Row],[Share of operating surplus/(deficit) in joint ventures or associates]] )</f>
        <v>17432</v>
      </c>
      <c r="CF165" s="84" vm="13524">
        <v>17432</v>
      </c>
      <c r="CG165" s="84" vm="18485">
        <v>0</v>
      </c>
      <c r="CH165" s="5" vm="18668">
        <f xml:space="preserve"> VfM_Metrics_2023_Entity[[#This Row],[Total assets less current liabilities]]</f>
        <v>375044</v>
      </c>
      <c r="CI165" s="135" vm="18668">
        <v>375044</v>
      </c>
      <c r="CJ165" s="140" vm="11271">
        <f xml:space="preserve"> VfM_Metrics_2023_Entity[[#This Row],[Total social housing units owned (Period end)]]</f>
        <v>6337</v>
      </c>
      <c r="CK165" s="141">
        <v>0</v>
      </c>
      <c r="CL165" s="69">
        <f xml:space="preserve"> -- ( VfM_Metrics_2023_Entity[[#This Row],[% Supported housing (excl. HOP)]] &gt; 0.3 )</f>
        <v>0</v>
      </c>
      <c r="CM165" s="9">
        <v>5.4199683042789222E-2</v>
      </c>
      <c r="CN165" s="69">
        <f xml:space="preserve"> -- ( VfM_Metrics_2023_Entity[[#This Row],[% Housing for older people]] &gt; 0.3 )</f>
        <v>0</v>
      </c>
      <c r="CO165" s="9">
        <f xml:space="preserve"> VfM_Metrics_2023_Entity[[#This Row],[% Supported housing (excl. HOP)]] + VfM_Metrics_2023_Entity[[#This Row],[% Housing for older people]]</f>
        <v>5.4199683042789222E-2</v>
      </c>
      <c r="CP165" s="69">
        <f xml:space="preserve"> -- ( VfM_Metrics_2023_Entity[[#This Row],[SH specialist in RSH analysis]] + VfM_Metrics_2023_Entity[[#This Row],[OP specialist in RSH analysis]] &gt; 0 )</f>
        <v>0</v>
      </c>
      <c r="CQ165" s="142">
        <f xml:space="preserve"> -- ( VfM_Metrics_2023_Entity[[#This Row],[% SH and OP]] &gt; 0.3 )</f>
        <v>0</v>
      </c>
      <c r="CR165" s="143" t="s">
        <v>143</v>
      </c>
      <c r="CS165" s="120"/>
      <c r="CT165" s="144" t="s">
        <v>151</v>
      </c>
      <c r="CU16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65" s="146">
        <v>1.266624445851805E-3</v>
      </c>
      <c r="CW165" s="146">
        <v>0.99873337555414821</v>
      </c>
      <c r="CX165" s="146">
        <v>0</v>
      </c>
      <c r="CY165" s="146">
        <v>0</v>
      </c>
      <c r="CZ165" s="146">
        <v>0</v>
      </c>
      <c r="DA165" s="146">
        <v>0</v>
      </c>
      <c r="DB165" s="146">
        <v>0</v>
      </c>
      <c r="DC165" s="146">
        <v>0</v>
      </c>
      <c r="DD165" s="146">
        <v>0</v>
      </c>
      <c r="DE165" s="126">
        <v>1.0338729855315794</v>
      </c>
    </row>
    <row r="166" spans="1:109" x14ac:dyDescent="0.25">
      <c r="A166" s="4" t="s" vm="356">
        <v>416</v>
      </c>
      <c r="B166" s="4" t="s" vm="9316">
        <v>417</v>
      </c>
      <c r="C166" s="121" vm="18878">
        <v>45016</v>
      </c>
      <c r="D166" s="68">
        <f>IFERROR( VfM_Metrics_2023_Entity[[#This Row],[Reinvestment Spend]] / VfM_Metrics_2023_Entity[[#This Row],[Net Book Value of Housing Properties]], "n/a" )</f>
        <v>0.101191767048479</v>
      </c>
      <c r="E16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20531</v>
      </c>
      <c r="F166" s="84" vm="10667">
        <v>14991</v>
      </c>
      <c r="G166" s="84" vm="9790">
        <v>0</v>
      </c>
      <c r="H166" s="84" vm="9518">
        <v>5199</v>
      </c>
      <c r="I166" s="84" vm="10939">
        <v>341</v>
      </c>
      <c r="J166" s="84" vm="10432">
        <v>0</v>
      </c>
      <c r="K166" s="5">
        <f xml:space="preserve"> SUM( VfM_Metrics_2023_Entity[[#This Row],[Tangible fixed assets: Housing properties at cost (Current period)]],VfM_Metrics_2023_Entity[[#This Row],[Tangible fixed assets Housing properties at valuation (Current period)]] )</f>
        <v>202892</v>
      </c>
      <c r="L166" s="84" vm="10065">
        <v>202892</v>
      </c>
      <c r="M166" s="84" vm="10124">
        <v>0</v>
      </c>
      <c r="N166" s="134">
        <f xml:space="preserve"> IFERROR( VfM_Metrics_2023_Entity[[#This Row],[Total social units developed or newly built units acquired in-year]] / VfM_Metrics_2023_Entity[[#This Row],[Social housing units owned (period end)]], "n/a" )</f>
        <v>1.4479638009049773E-3</v>
      </c>
      <c r="O166" s="5">
        <f xml:space="preserve"> SUM( VfM_Metrics_2023_Entity[[#This Row],[Total social units developed or newly built units acquired in-year (owned)]], VfM_Metrics_2023_Entity[[#This Row],[Total social leasehold units developed or newly built units acquired in-year (owned)]] )</f>
        <v>8</v>
      </c>
      <c r="P166" s="84" vm="11029">
        <v>8</v>
      </c>
      <c r="Q166" s="84" vm="11160">
        <v>0</v>
      </c>
      <c r="R166" s="5">
        <f xml:space="preserve"> SUM( VfM_Metrics_2023_Entity[[#This Row],[Total social housing units owned (Period end)]], VfM_Metrics_2023_Entity[[#This Row],[Total social leasehold units owned (Period end)]] )</f>
        <v>5525</v>
      </c>
      <c r="S166" s="84" vm="11318">
        <v>5525</v>
      </c>
      <c r="T166" s="135" vm="11535">
        <v>0</v>
      </c>
      <c r="U166" s="136">
        <f xml:space="preserve"> IFERROR( VfM_Metrics_2023_Entity[[#This Row],[Total non-social housing units developed or newly built units acquired (owned)]] / VfM_Metrics_2023_Entity[[#This Row],[Total social and non-social housing units owned (Period end)]], "n/a" )</f>
        <v>0</v>
      </c>
      <c r="V16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66" s="84" vm="11642">
        <v>0</v>
      </c>
      <c r="X166" s="84" vm="11893">
        <v>0</v>
      </c>
      <c r="Y166" s="84" vm="11935">
        <v>0</v>
      </c>
      <c r="Z16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6189</v>
      </c>
      <c r="AA166" s="84" vm="11318">
        <v>5525</v>
      </c>
      <c r="AB166" s="84" vm="12207">
        <v>0</v>
      </c>
      <c r="AC166" s="84" vm="12137">
        <v>0</v>
      </c>
      <c r="AD166" s="135" vm="12292">
        <v>664</v>
      </c>
      <c r="AE166" s="134">
        <f xml:space="preserve"> IFERROR( VfM_Metrics_2023_Entity[[#This Row],[Total Net Debt]] / VfM_Metrics_2023_Entity[[#This Row],[Net Book Value of Housing Properties2]], "n/a" )</f>
        <v>0.36826488969501014</v>
      </c>
      <c r="AF16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74718</v>
      </c>
      <c r="AG166" s="84" vm="12647">
        <v>0</v>
      </c>
      <c r="AH166" s="84" vm="12955">
        <v>79504</v>
      </c>
      <c r="AI166" s="84" vm="13051">
        <v>4786</v>
      </c>
      <c r="AJ166" s="84" vm="13137">
        <v>0</v>
      </c>
      <c r="AK166" s="84" vm="13222">
        <v>0</v>
      </c>
      <c r="AL166" s="5">
        <f xml:space="preserve"> SUM( VfM_Metrics_2023_Entity[[#This Row],[Tangible fixed assets: Housing properties at cost (Current period)2]], VfM_Metrics_2023_Entity[[#This Row],[Tangible fixed assets Housing properties at valuation (Current period)2]] )</f>
        <v>202892</v>
      </c>
      <c r="AM166" s="84" vm="10065">
        <v>202892</v>
      </c>
      <c r="AN166" s="135" vm="10124">
        <v>0</v>
      </c>
      <c r="AO166" s="137">
        <f xml:space="preserve"> IFERROR( VfM_Metrics_2023_Entity[[#This Row],[EBITDA MRI]] / VfM_Metrics_2023_Entity[[#This Row],[Total interest]], "n/a" )</f>
        <v>1.6625324488029998</v>
      </c>
      <c r="AP16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5764</v>
      </c>
      <c r="AQ166" s="84" vm="13555">
        <v>8534</v>
      </c>
      <c r="AR166" s="84" vm="14310">
        <v>1313</v>
      </c>
      <c r="AS166" s="84" vm="14555">
        <v>0</v>
      </c>
      <c r="AT166" s="84" vm="14803">
        <v>0</v>
      </c>
      <c r="AU166" s="84" vm="15047">
        <v>0</v>
      </c>
      <c r="AV166" s="84" vm="13812">
        <v>124</v>
      </c>
      <c r="AW166" s="84" vm="14067">
        <v>5199</v>
      </c>
      <c r="AX166" s="84" vm="14311">
        <v>3618</v>
      </c>
      <c r="AY166" s="5">
        <f xml:space="preserve"> - SUM( VfM_Metrics_2023_Entity[[#This Row],[Interest capitalised]], VfM_Metrics_2023_Entity[[#This Row],[Interest payable and financing costs]] )</f>
        <v>3467</v>
      </c>
      <c r="AZ166" s="84" vm="15227">
        <v>-341</v>
      </c>
      <c r="BA166" s="135" vm="15400">
        <v>-3126</v>
      </c>
      <c r="BB166" s="138">
        <f xml:space="preserve"> IFERROR( ( VfM_Metrics_2023_Entity[[#This Row],[Total Costs]] / VfM_Metrics_2023_Entity[[#This Row],[Total units for costs]] ) * 1000, "n/a" )</f>
        <v>5147.5113122171952</v>
      </c>
      <c r="BC16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28440</v>
      </c>
      <c r="BD166" s="84" vm="17367">
        <v>8090</v>
      </c>
      <c r="BE166" s="84" vm="16173">
        <v>2296</v>
      </c>
      <c r="BF166" s="84" vm="16488">
        <v>4515</v>
      </c>
      <c r="BG166" s="84" vm="16664">
        <v>2555</v>
      </c>
      <c r="BH166" s="84" vm="16833">
        <v>8436</v>
      </c>
      <c r="BI166" s="84" vm="16907">
        <v>0</v>
      </c>
      <c r="BJ166" s="84" vm="14067">
        <v>5199</v>
      </c>
      <c r="BK166" s="84" vm="17138">
        <v>-4687</v>
      </c>
      <c r="BL166" s="84" vm="17594">
        <v>2036</v>
      </c>
      <c r="BM166" s="84" vm="16487">
        <v>0</v>
      </c>
      <c r="BN166" s="84" vm="15996">
        <v>0</v>
      </c>
      <c r="BO166" s="84" vm="16174">
        <v>0</v>
      </c>
      <c r="BP166" s="5" vm="17811">
        <f xml:space="preserve"> VfM_Metrics_2023_Entity[[#This Row],[Total social housing units owned and/or managed at period end]]</f>
        <v>5525</v>
      </c>
      <c r="BQ166" s="135" vm="17811">
        <v>5525</v>
      </c>
      <c r="BR166" s="134">
        <f xml:space="preserve"> IFERROR( VfM_Metrics_2023_Entity[[#This Row],[SHL operating surplus / (deficit)]] / VfM_Metrics_2023_Entity[[#This Row],[Turnover from social housing lettings]], "n/a" )</f>
        <v>0.2345011186949503</v>
      </c>
      <c r="BS166" s="5" vm="17969">
        <f xml:space="preserve"> VfM_Metrics_2023_Entity[[#This Row],[Operating surplus/(deficit) (social housing lettings)]]</f>
        <v>8280</v>
      </c>
      <c r="BT166" s="84" vm="17969">
        <v>8280</v>
      </c>
      <c r="BU166" s="5" vm="18144">
        <f xml:space="preserve"> VfM_Metrics_2023_Entity[[#This Row],[Turnover from social housing lettings]]</f>
        <v>35309</v>
      </c>
      <c r="BV166" s="135" vm="18144">
        <v>35309</v>
      </c>
      <c r="BW166" s="134">
        <f xml:space="preserve"> IFERROR( VfM_Metrics_2023_Entity[[#This Row],[Net operating surplus]] / VfM_Metrics_2023_Entity[[#This Row],[Overall turnover]], "n/a" )</f>
        <v>0.18452457005596301</v>
      </c>
      <c r="BX166" s="5">
        <f xml:space="preserve"> SUM( VfM_Metrics_2023_Entity[[#This Row],[Operating surplus/(deficit) (overall)2]], - VfM_Metrics_2023_Entity[[#This Row],[Gain/(loss) on disposal of fixed assets (housing properties)2]], - VfM_Metrics_2023_Entity[[#This Row],[Gain/(loss) on disposal of fixed assets (other)2]] )</f>
        <v>7221</v>
      </c>
      <c r="BY166" s="84" vm="15137">
        <v>8534</v>
      </c>
      <c r="BZ166" s="84" vm="14310">
        <v>1313</v>
      </c>
      <c r="CA166" s="84" vm="14555">
        <v>0</v>
      </c>
      <c r="CB166" s="5" vm="18311">
        <f xml:space="preserve"> VfM_Metrics_2023_Entity[[#This Row],[Turnover (overall)]]</f>
        <v>39133</v>
      </c>
      <c r="CC166" s="135" vm="18311">
        <v>39133</v>
      </c>
      <c r="CD166" s="134">
        <f xml:space="preserve"> IFERROR( VfM_Metrics_2023_Entity[[#This Row],[Operating surplus including from JVs]] / VfM_Metrics_2023_Entity[[#This Row],[Net assets]], "n/a" )</f>
        <v>2.7534450327322473E-2</v>
      </c>
      <c r="CE166" s="5">
        <f xml:space="preserve"> SUM( VfM_Metrics_2023_Entity[[#This Row],[Operating surplus/(deficit) (overall)3]], VfM_Metrics_2023_Entity[[#This Row],[Share of operating surplus/(deficit) in joint ventures or associates]] )</f>
        <v>8534</v>
      </c>
      <c r="CF166" s="84" vm="15137">
        <v>8534</v>
      </c>
      <c r="CG166" s="84" vm="18502">
        <v>0</v>
      </c>
      <c r="CH166" s="5" vm="18698">
        <f xml:space="preserve"> VfM_Metrics_2023_Entity[[#This Row],[Total assets less current liabilities]]</f>
        <v>309939</v>
      </c>
      <c r="CI166" s="135" vm="18698">
        <v>309939</v>
      </c>
      <c r="CJ166" s="140" vm="11318">
        <f xml:space="preserve"> VfM_Metrics_2023_Entity[[#This Row],[Total social housing units owned (Period end)]]</f>
        <v>5525</v>
      </c>
      <c r="CK166" s="141">
        <v>0</v>
      </c>
      <c r="CL166" s="69">
        <f xml:space="preserve"> -- ( VfM_Metrics_2023_Entity[[#This Row],[% Supported housing (excl. HOP)]] &gt; 0.3 )</f>
        <v>0</v>
      </c>
      <c r="CM166" s="9">
        <v>0.31312217194570136</v>
      </c>
      <c r="CN166" s="69">
        <f xml:space="preserve"> -- ( VfM_Metrics_2023_Entity[[#This Row],[% Housing for older people]] &gt; 0.3 )</f>
        <v>1</v>
      </c>
      <c r="CO166" s="9">
        <f xml:space="preserve"> VfM_Metrics_2023_Entity[[#This Row],[% Supported housing (excl. HOP)]] + VfM_Metrics_2023_Entity[[#This Row],[% Housing for older people]]</f>
        <v>0.31312217194570136</v>
      </c>
      <c r="CP166" s="69">
        <f xml:space="preserve"> -- ( VfM_Metrics_2023_Entity[[#This Row],[SH specialist in RSH analysis]] + VfM_Metrics_2023_Entity[[#This Row],[OP specialist in RSH analysis]] &gt; 0 )</f>
        <v>1</v>
      </c>
      <c r="CQ166" s="142">
        <f xml:space="preserve"> -- ( VfM_Metrics_2023_Entity[[#This Row],[% SH and OP]] &gt; 0.3 )</f>
        <v>1</v>
      </c>
      <c r="CR166" s="143" t="s">
        <v>143</v>
      </c>
      <c r="CS166" s="120"/>
      <c r="CT166" s="144" t="s">
        <v>151</v>
      </c>
      <c r="CU16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66" s="146">
        <v>0</v>
      </c>
      <c r="CW166" s="146">
        <v>1</v>
      </c>
      <c r="CX166" s="146">
        <v>0</v>
      </c>
      <c r="CY166" s="146">
        <v>0</v>
      </c>
      <c r="CZ166" s="146">
        <v>0</v>
      </c>
      <c r="DA166" s="146">
        <v>0</v>
      </c>
      <c r="DB166" s="146">
        <v>0</v>
      </c>
      <c r="DC166" s="146">
        <v>0</v>
      </c>
      <c r="DD166" s="146">
        <v>0</v>
      </c>
      <c r="DE166" s="126">
        <v>1.0337125580623883</v>
      </c>
    </row>
    <row r="167" spans="1:109" x14ac:dyDescent="0.25">
      <c r="A167" s="4" t="s" vm="9250">
        <v>616</v>
      </c>
      <c r="B167" s="4" t="s" vm="10714">
        <v>617</v>
      </c>
      <c r="C167" s="121" vm="18968">
        <v>45016</v>
      </c>
      <c r="D167" s="68">
        <f>IFERROR( VfM_Metrics_2023_Entity[[#This Row],[Reinvestment Spend]] / VfM_Metrics_2023_Entity[[#This Row],[Net Book Value of Housing Properties]], "n/a" )</f>
        <v>2.3941741761713165E-3</v>
      </c>
      <c r="E16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72</v>
      </c>
      <c r="F167" s="84" vm="10482">
        <v>0</v>
      </c>
      <c r="G167" s="84" vm="10666">
        <v>0</v>
      </c>
      <c r="H167" s="84" vm="10547">
        <v>72</v>
      </c>
      <c r="I167" s="84" vm="10582">
        <v>0</v>
      </c>
      <c r="J167" s="84" vm="10342">
        <v>0</v>
      </c>
      <c r="K167" s="5">
        <f xml:space="preserve"> SUM( VfM_Metrics_2023_Entity[[#This Row],[Tangible fixed assets: Housing properties at cost (Current period)]],VfM_Metrics_2023_Entity[[#This Row],[Tangible fixed assets Housing properties at valuation (Current period)]] )</f>
        <v>30073</v>
      </c>
      <c r="L167" s="84" vm="10071">
        <v>30073</v>
      </c>
      <c r="M167" s="84">
        <v>0</v>
      </c>
      <c r="N167" s="134">
        <f xml:space="preserve"> IFERROR( VfM_Metrics_2023_Entity[[#This Row],[Total social units developed or newly built units acquired in-year]] / VfM_Metrics_2023_Entity[[#This Row],[Social housing units owned (period end)]], "n/a" )</f>
        <v>0</v>
      </c>
      <c r="O167" s="5">
        <f xml:space="preserve"> SUM( VfM_Metrics_2023_Entity[[#This Row],[Total social units developed or newly built units acquired in-year (owned)]], VfM_Metrics_2023_Entity[[#This Row],[Total social leasehold units developed or newly built units acquired in-year (owned)]] )</f>
        <v>0</v>
      </c>
      <c r="P167" s="84" vm="11055">
        <v>0</v>
      </c>
      <c r="Q167" s="84">
        <v>0</v>
      </c>
      <c r="R167" s="5">
        <f xml:space="preserve"> SUM( VfM_Metrics_2023_Entity[[#This Row],[Total social housing units owned (Period end)]], VfM_Metrics_2023_Entity[[#This Row],[Total social leasehold units owned (Period end)]] )</f>
        <v>1055</v>
      </c>
      <c r="S167" s="84" vm="11365">
        <v>816</v>
      </c>
      <c r="T167" s="135" vm="11534">
        <v>239</v>
      </c>
      <c r="U167" s="136">
        <f xml:space="preserve"> IFERROR( VfM_Metrics_2023_Entity[[#This Row],[Total non-social housing units developed or newly built units acquired (owned)]] / VfM_Metrics_2023_Entity[[#This Row],[Total social and non-social housing units owned (Period end)]], "n/a" )</f>
        <v>2.5974025974025974E-3</v>
      </c>
      <c r="V16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3</v>
      </c>
      <c r="W167" s="84" vm="11659">
        <v>3</v>
      </c>
      <c r="X167" s="84">
        <v>0</v>
      </c>
      <c r="Y167" s="84" vm="11762">
        <v>0</v>
      </c>
      <c r="Z16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1155</v>
      </c>
      <c r="AA167" s="84" vm="12032">
        <v>816</v>
      </c>
      <c r="AB167" s="84" vm="11534">
        <v>239</v>
      </c>
      <c r="AC167" s="84" vm="12387">
        <v>64</v>
      </c>
      <c r="AD167" s="135" vm="12522">
        <v>36</v>
      </c>
      <c r="AE167" s="134">
        <f xml:space="preserve"> IFERROR( VfM_Metrics_2023_Entity[[#This Row],[Total Net Debt]] / VfM_Metrics_2023_Entity[[#This Row],[Net Book Value of Housing Properties2]], "n/a" )</f>
        <v>-0.10208492667841586</v>
      </c>
      <c r="AF16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-3070</v>
      </c>
      <c r="AG167" s="84">
        <v>0</v>
      </c>
      <c r="AH167" s="84">
        <v>0</v>
      </c>
      <c r="AI167" s="84" vm="13342">
        <v>3070</v>
      </c>
      <c r="AJ167" s="84">
        <v>0</v>
      </c>
      <c r="AK167" s="84">
        <v>0</v>
      </c>
      <c r="AL167" s="5">
        <f xml:space="preserve"> SUM( VfM_Metrics_2023_Entity[[#This Row],[Tangible fixed assets: Housing properties at cost (Current period)2]], VfM_Metrics_2023_Entity[[#This Row],[Tangible fixed assets Housing properties at valuation (Current period)2]] )</f>
        <v>30073</v>
      </c>
      <c r="AM167" s="84" vm="10071">
        <v>30073</v>
      </c>
      <c r="AN167" s="135">
        <v>0</v>
      </c>
      <c r="AO167" s="137" t="str">
        <f xml:space="preserve"> IFERROR( VfM_Metrics_2023_Entity[[#This Row],[EBITDA MRI]] / VfM_Metrics_2023_Entity[[#This Row],[Total interest]], "n/a" )</f>
        <v>n/a</v>
      </c>
      <c r="AP16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-1397</v>
      </c>
      <c r="AQ167" s="84" vm="13586">
        <v>-1499</v>
      </c>
      <c r="AR167" s="84" vm="14556">
        <v>569</v>
      </c>
      <c r="AS167" s="84">
        <v>0</v>
      </c>
      <c r="AT167" s="84" vm="15048">
        <v>221</v>
      </c>
      <c r="AU167" s="84" vm="13813">
        <v>0</v>
      </c>
      <c r="AV167" s="84" vm="14068">
        <v>328</v>
      </c>
      <c r="AW167" s="84" vm="14312">
        <v>72</v>
      </c>
      <c r="AX167" s="84" vm="14557">
        <v>636</v>
      </c>
      <c r="AY167" s="5">
        <f xml:space="preserve"> - SUM( VfM_Metrics_2023_Entity[[#This Row],[Interest capitalised]], VfM_Metrics_2023_Entity[[#This Row],[Interest payable and financing costs]] )</f>
        <v>0</v>
      </c>
      <c r="AZ167" s="84" vm="15303">
        <v>0</v>
      </c>
      <c r="BA167" s="135" vm="15432">
        <v>0</v>
      </c>
      <c r="BB167" s="138">
        <f xml:space="preserve"> IFERROR( ( VfM_Metrics_2023_Entity[[#This Row],[Total Costs]] / VfM_Metrics_2023_Entity[[#This Row],[Total units for costs]] ) * 1000, "n/a" )</f>
        <v>2442.5634824667472</v>
      </c>
      <c r="BC16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2020</v>
      </c>
      <c r="BD167" s="84" vm="15568">
        <v>501</v>
      </c>
      <c r="BE167" s="84" vm="17065">
        <v>793</v>
      </c>
      <c r="BF167" s="84" vm="17289">
        <v>128</v>
      </c>
      <c r="BG167" s="84" vm="17368">
        <v>438</v>
      </c>
      <c r="BH167" s="84" vm="16492">
        <v>0</v>
      </c>
      <c r="BI167" s="84" vm="16489">
        <v>0</v>
      </c>
      <c r="BJ167" s="84" vm="16665">
        <v>72</v>
      </c>
      <c r="BK167" s="84" vm="16743">
        <v>62</v>
      </c>
      <c r="BL167" s="84">
        <v>0</v>
      </c>
      <c r="BM167" s="84">
        <v>0</v>
      </c>
      <c r="BN167" s="84" vm="17369">
        <v>26</v>
      </c>
      <c r="BO167" s="84">
        <v>0</v>
      </c>
      <c r="BP167" s="5" vm="17712">
        <f xml:space="preserve"> VfM_Metrics_2023_Entity[[#This Row],[Total social housing units owned and/or managed at period end]]</f>
        <v>827</v>
      </c>
      <c r="BQ167" s="135" vm="17712">
        <v>827</v>
      </c>
      <c r="BR167" s="134">
        <f xml:space="preserve"> IFERROR( VfM_Metrics_2023_Entity[[#This Row],[SHL operating surplus / (deficit)]] / VfM_Metrics_2023_Entity[[#This Row],[Turnover from social housing lettings]], "n/a" )</f>
        <v>0.22368009996875976</v>
      </c>
      <c r="BS167" s="5" vm="18001">
        <f xml:space="preserve"> VfM_Metrics_2023_Entity[[#This Row],[Operating surplus/(deficit) (social housing lettings)]]</f>
        <v>716</v>
      </c>
      <c r="BT167" s="84" vm="18001">
        <v>716</v>
      </c>
      <c r="BU167" s="5" vm="18182">
        <f xml:space="preserve"> VfM_Metrics_2023_Entity[[#This Row],[Turnover from social housing lettings]]</f>
        <v>3201</v>
      </c>
      <c r="BV167" s="135" vm="18182">
        <v>3201</v>
      </c>
      <c r="BW167" s="134">
        <f xml:space="preserve"> IFERROR( VfM_Metrics_2023_Entity[[#This Row],[Net operating surplus]] / VfM_Metrics_2023_Entity[[#This Row],[Overall turnover]], "n/a" )</f>
        <v>-0.44694186297817162</v>
      </c>
      <c r="BX167" s="5">
        <f xml:space="preserve"> SUM( VfM_Metrics_2023_Entity[[#This Row],[Operating surplus/(deficit) (overall)2]], - VfM_Metrics_2023_Entity[[#This Row],[Gain/(loss) on disposal of fixed assets (housing properties)2]], - VfM_Metrics_2023_Entity[[#This Row],[Gain/(loss) on disposal of fixed assets (other)2]] )</f>
        <v>-2068</v>
      </c>
      <c r="BY167" s="84" vm="18236">
        <v>-1499</v>
      </c>
      <c r="BZ167" s="84" vm="14556">
        <v>569</v>
      </c>
      <c r="CA167" s="84">
        <v>0</v>
      </c>
      <c r="CB167" s="5" vm="18354">
        <f xml:space="preserve"> VfM_Metrics_2023_Entity[[#This Row],[Turnover (overall)]]</f>
        <v>4627</v>
      </c>
      <c r="CC167" s="135" vm="18354">
        <v>4627</v>
      </c>
      <c r="CD167" s="134">
        <f xml:space="preserve"> IFERROR( VfM_Metrics_2023_Entity[[#This Row],[Operating surplus including from JVs]] / VfM_Metrics_2023_Entity[[#This Row],[Net assets]], "n/a" )</f>
        <v>-2.3571406107494419E-2</v>
      </c>
      <c r="CE167" s="5">
        <f xml:space="preserve"> SUM( VfM_Metrics_2023_Entity[[#This Row],[Operating surplus/(deficit) (overall)3]], VfM_Metrics_2023_Entity[[#This Row],[Share of operating surplus/(deficit) in joint ventures or associates]] )</f>
        <v>-1499</v>
      </c>
      <c r="CF167" s="84" vm="13586">
        <v>-1499</v>
      </c>
      <c r="CG167" s="84">
        <v>0</v>
      </c>
      <c r="CH167" s="5" vm="18726">
        <f xml:space="preserve"> VfM_Metrics_2023_Entity[[#This Row],[Total assets less current liabilities]]</f>
        <v>63594</v>
      </c>
      <c r="CI167" s="135" vm="18726">
        <v>63594</v>
      </c>
      <c r="CJ167" s="140" vm="11365">
        <f xml:space="preserve"> VfM_Metrics_2023_Entity[[#This Row],[Total social housing units owned (Period end)]]</f>
        <v>816</v>
      </c>
      <c r="CK167" s="141">
        <v>0.33333333333333331</v>
      </c>
      <c r="CL167" s="69">
        <f xml:space="preserve"> -- ( VfM_Metrics_2023_Entity[[#This Row],[% Supported housing (excl. HOP)]] &gt; 0.3 )</f>
        <v>1</v>
      </c>
      <c r="CM167" s="9">
        <v>0</v>
      </c>
      <c r="CN167" s="69">
        <f xml:space="preserve"> -- ( VfM_Metrics_2023_Entity[[#This Row],[% Housing for older people]] &gt; 0.3 )</f>
        <v>0</v>
      </c>
      <c r="CO167" s="9">
        <f xml:space="preserve"> VfM_Metrics_2023_Entity[[#This Row],[% Supported housing (excl. HOP)]] + VfM_Metrics_2023_Entity[[#This Row],[% Housing for older people]]</f>
        <v>0.33333333333333331</v>
      </c>
      <c r="CP167" s="69">
        <f xml:space="preserve"> -- ( VfM_Metrics_2023_Entity[[#This Row],[SH specialist in RSH analysis]] + VfM_Metrics_2023_Entity[[#This Row],[OP specialist in RSH analysis]] &gt; 0 )</f>
        <v>1</v>
      </c>
      <c r="CQ167" s="142">
        <f xml:space="preserve"> -- ( VfM_Metrics_2023_Entity[[#This Row],[% SH and OP]] &gt; 0.3 )</f>
        <v>1</v>
      </c>
      <c r="CR167" s="143" t="s">
        <v>143</v>
      </c>
      <c r="CS167" s="120"/>
      <c r="CT167" s="144" t="s">
        <v>144</v>
      </c>
      <c r="CU16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67" s="146">
        <v>0</v>
      </c>
      <c r="CW167" s="146">
        <v>0</v>
      </c>
      <c r="CX167" s="146">
        <v>0</v>
      </c>
      <c r="CY167" s="146">
        <v>0</v>
      </c>
      <c r="CZ167" s="146">
        <v>0</v>
      </c>
      <c r="DA167" s="146">
        <v>0</v>
      </c>
      <c r="DB167" s="146">
        <v>0</v>
      </c>
      <c r="DC167" s="146">
        <v>1</v>
      </c>
      <c r="DD167" s="146">
        <v>0</v>
      </c>
      <c r="DE167" s="126">
        <v>0.96105917141044694</v>
      </c>
    </row>
    <row r="168" spans="1:109" x14ac:dyDescent="0.25">
      <c r="A168" s="4" t="s" vm="283">
        <v>418</v>
      </c>
      <c r="B168" s="4" t="s" vm="10544">
        <v>419</v>
      </c>
      <c r="C168" s="121" vm="18839">
        <v>45016</v>
      </c>
      <c r="D168" s="68">
        <f>IFERROR( VfM_Metrics_2023_Entity[[#This Row],[Reinvestment Spend]] / VfM_Metrics_2023_Entity[[#This Row],[Net Book Value of Housing Properties]], "n/a" )</f>
        <v>3.1304077878437649E-2</v>
      </c>
      <c r="E16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14924</v>
      </c>
      <c r="F168" s="84" vm="9820">
        <v>3809</v>
      </c>
      <c r="G168" s="84" vm="10863">
        <v>814</v>
      </c>
      <c r="H168" s="84" vm="10660">
        <v>10098</v>
      </c>
      <c r="I168" s="84" vm="10223">
        <v>203</v>
      </c>
      <c r="J168" s="84" vm="9519">
        <v>0</v>
      </c>
      <c r="K168" s="5">
        <f xml:space="preserve"> SUM( VfM_Metrics_2023_Entity[[#This Row],[Tangible fixed assets: Housing properties at cost (Current period)]],VfM_Metrics_2023_Entity[[#This Row],[Tangible fixed assets Housing properties at valuation (Current period)]] )</f>
        <v>476743</v>
      </c>
      <c r="L168" s="84" vm="9983">
        <v>476743</v>
      </c>
      <c r="M168" s="84">
        <v>0</v>
      </c>
      <c r="N168" s="134">
        <f xml:space="preserve"> IFERROR( VfM_Metrics_2023_Entity[[#This Row],[Total social units developed or newly built units acquired in-year]] / VfM_Metrics_2023_Entity[[#This Row],[Social housing units owned (period end)]], "n/a" )</f>
        <v>1.7204301075268816E-4</v>
      </c>
      <c r="O168" s="5">
        <f xml:space="preserve"> SUM( VfM_Metrics_2023_Entity[[#This Row],[Total social units developed or newly built units acquired in-year (owned)]], VfM_Metrics_2023_Entity[[#This Row],[Total social leasehold units developed or newly built units acquired in-year (owned)]] )</f>
        <v>2</v>
      </c>
      <c r="P168" s="84" vm="11074">
        <v>2</v>
      </c>
      <c r="Q168" s="84">
        <v>0</v>
      </c>
      <c r="R168" s="5">
        <f xml:space="preserve"> SUM( VfM_Metrics_2023_Entity[[#This Row],[Total social housing units owned (Period end)]], VfM_Metrics_2023_Entity[[#This Row],[Total social leasehold units owned (Period end)]] )</f>
        <v>11625</v>
      </c>
      <c r="S168" s="84" vm="11384">
        <v>11317</v>
      </c>
      <c r="T168" s="135" vm="11501">
        <v>308</v>
      </c>
      <c r="U168" s="136">
        <f xml:space="preserve"> IFERROR( VfM_Metrics_2023_Entity[[#This Row],[Total non-social housing units developed or newly built units acquired (owned)]] / VfM_Metrics_2023_Entity[[#This Row],[Total social and non-social housing units owned (Period end)]], "n/a" )</f>
        <v>0</v>
      </c>
      <c r="V16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68" s="84">
        <v>0</v>
      </c>
      <c r="X168" s="84">
        <v>0</v>
      </c>
      <c r="Y168" s="84" vm="11853">
        <v>0</v>
      </c>
      <c r="Z16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11759</v>
      </c>
      <c r="AA168" s="84" vm="12054">
        <v>11317</v>
      </c>
      <c r="AB168" s="84" vm="12207">
        <v>308</v>
      </c>
      <c r="AC168" s="84" vm="12138">
        <v>129</v>
      </c>
      <c r="AD168" s="135" vm="12293">
        <v>5</v>
      </c>
      <c r="AE168" s="134">
        <f xml:space="preserve"> IFERROR( VfM_Metrics_2023_Entity[[#This Row],[Total Net Debt]] / VfM_Metrics_2023_Entity[[#This Row],[Net Book Value of Housing Properties2]], "n/a" )</f>
        <v>0.4417684161067913</v>
      </c>
      <c r="AF16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210610</v>
      </c>
      <c r="AG168" s="84" vm="12696">
        <v>8239</v>
      </c>
      <c r="AH168" s="84" vm="13052">
        <v>206901</v>
      </c>
      <c r="AI168" s="84" vm="13138">
        <v>4530</v>
      </c>
      <c r="AJ168" s="84">
        <v>0</v>
      </c>
      <c r="AK168" s="84">
        <v>0</v>
      </c>
      <c r="AL168" s="5">
        <f xml:space="preserve"> SUM( VfM_Metrics_2023_Entity[[#This Row],[Tangible fixed assets: Housing properties at cost (Current period)2]], VfM_Metrics_2023_Entity[[#This Row],[Tangible fixed assets Housing properties at valuation (Current period)2]] )</f>
        <v>476743</v>
      </c>
      <c r="AM168" s="84" vm="9983">
        <v>476743</v>
      </c>
      <c r="AN168" s="135">
        <v>0</v>
      </c>
      <c r="AO168" s="137">
        <f xml:space="preserve"> IFERROR( VfM_Metrics_2023_Entity[[#This Row],[EBITDA MRI]] / VfM_Metrics_2023_Entity[[#This Row],[Total interest]], "n/a" )</f>
        <v>0.75105900896463407</v>
      </c>
      <c r="AP16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7624</v>
      </c>
      <c r="AQ168" s="84" vm="13616">
        <v>13003</v>
      </c>
      <c r="AR168" s="84" vm="14804">
        <v>1832</v>
      </c>
      <c r="AS168" s="84">
        <v>0</v>
      </c>
      <c r="AT168" s="84" vm="13814">
        <v>2358</v>
      </c>
      <c r="AU168" s="84" vm="14069">
        <v>0</v>
      </c>
      <c r="AV168" s="84" vm="14313">
        <v>16</v>
      </c>
      <c r="AW168" s="84" vm="14558">
        <v>10098</v>
      </c>
      <c r="AX168" s="84" vm="14805">
        <v>8893</v>
      </c>
      <c r="AY168" s="5">
        <f xml:space="preserve"> - SUM( VfM_Metrics_2023_Entity[[#This Row],[Interest capitalised]], VfM_Metrics_2023_Entity[[#This Row],[Interest payable and financing costs]] )</f>
        <v>10151</v>
      </c>
      <c r="AZ168" s="84" vm="15285">
        <v>-203</v>
      </c>
      <c r="BA168" s="135" vm="15466">
        <v>-9948</v>
      </c>
      <c r="BB168" s="138">
        <f xml:space="preserve"> IFERROR( ( VfM_Metrics_2023_Entity[[#This Row],[Total Costs]] / VfM_Metrics_2023_Entity[[#This Row],[Total units for costs]] ) * 1000, "n/a" )</f>
        <v>4273.7474595740914</v>
      </c>
      <c r="BC16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48366</v>
      </c>
      <c r="BD168" s="84" vm="15524">
        <v>11708</v>
      </c>
      <c r="BE168" s="84" vm="16490">
        <v>5683</v>
      </c>
      <c r="BF168" s="84" vm="16219">
        <v>8701</v>
      </c>
      <c r="BG168" s="84" vm="16835">
        <v>8219</v>
      </c>
      <c r="BH168" s="84" vm="16176">
        <v>1619</v>
      </c>
      <c r="BI168" s="84" vm="17290">
        <v>0</v>
      </c>
      <c r="BJ168" s="84" vm="17524">
        <v>10098</v>
      </c>
      <c r="BK168" s="84" vm="15997">
        <v>1015</v>
      </c>
      <c r="BL168" s="84" vm="16666">
        <v>3</v>
      </c>
      <c r="BM168" s="84" vm="16834">
        <v>113</v>
      </c>
      <c r="BN168" s="84" vm="16908">
        <v>678</v>
      </c>
      <c r="BO168" s="84" vm="16491">
        <v>529</v>
      </c>
      <c r="BP168" s="5" vm="17747">
        <f xml:space="preserve"> VfM_Metrics_2023_Entity[[#This Row],[Total social housing units owned and/or managed at period end]]</f>
        <v>11317</v>
      </c>
      <c r="BQ168" s="135" vm="17747">
        <v>11317</v>
      </c>
      <c r="BR168" s="134">
        <f xml:space="preserve"> IFERROR( VfM_Metrics_2023_Entity[[#This Row],[SHL operating surplus / (deficit)]] / VfM_Metrics_2023_Entity[[#This Row],[Turnover from social housing lettings]], "n/a" )</f>
        <v>0.18085161468491637</v>
      </c>
      <c r="BS168" s="5" vm="18028">
        <f xml:space="preserve"> VfM_Metrics_2023_Entity[[#This Row],[Operating surplus/(deficit) (social housing lettings)]]</f>
        <v>10478</v>
      </c>
      <c r="BT168" s="84" vm="18028">
        <v>10478</v>
      </c>
      <c r="BU168" s="5" vm="18202">
        <f xml:space="preserve"> VfM_Metrics_2023_Entity[[#This Row],[Turnover from social housing lettings]]</f>
        <v>57937</v>
      </c>
      <c r="BV168" s="135" vm="18202">
        <v>57937</v>
      </c>
      <c r="BW168" s="134">
        <f xml:space="preserve"> IFERROR( VfM_Metrics_2023_Entity[[#This Row],[Net operating surplus]] / VfM_Metrics_2023_Entity[[#This Row],[Overall turnover]], "n/a" )</f>
        <v>0.18299914815542886</v>
      </c>
      <c r="BX168" s="5">
        <f xml:space="preserve"> SUM( VfM_Metrics_2023_Entity[[#This Row],[Operating surplus/(deficit) (overall)2]], - VfM_Metrics_2023_Entity[[#This Row],[Gain/(loss) on disposal of fixed assets (housing properties)2]], - VfM_Metrics_2023_Entity[[#This Row],[Gain/(loss) on disposal of fixed assets (other)2]] )</f>
        <v>11171</v>
      </c>
      <c r="BY168" s="84" vm="13616">
        <v>13003</v>
      </c>
      <c r="BZ168" s="84" vm="14804">
        <v>1832</v>
      </c>
      <c r="CA168" s="84">
        <v>0</v>
      </c>
      <c r="CB168" s="5" vm="18422">
        <f xml:space="preserve"> VfM_Metrics_2023_Entity[[#This Row],[Turnover (overall)]]</f>
        <v>61044</v>
      </c>
      <c r="CC168" s="135" vm="18422">
        <v>61044</v>
      </c>
      <c r="CD168" s="134">
        <f xml:space="preserve"> IFERROR( VfM_Metrics_2023_Entity[[#This Row],[Operating surplus including from JVs]] / VfM_Metrics_2023_Entity[[#This Row],[Net assets]], "n/a" )</f>
        <v>2.7073903031161119E-2</v>
      </c>
      <c r="CE168" s="5">
        <f xml:space="preserve"> SUM( VfM_Metrics_2023_Entity[[#This Row],[Operating surplus/(deficit) (overall)3]], VfM_Metrics_2023_Entity[[#This Row],[Share of operating surplus/(deficit) in joint ventures or associates]] )</f>
        <v>13003</v>
      </c>
      <c r="CF168" s="84" vm="13616">
        <v>13003</v>
      </c>
      <c r="CG168" s="84">
        <v>0</v>
      </c>
      <c r="CH168" s="5" vm="18748">
        <f xml:space="preserve"> VfM_Metrics_2023_Entity[[#This Row],[Total assets less current liabilities]]</f>
        <v>480278</v>
      </c>
      <c r="CI168" s="135" vm="18748">
        <v>480278</v>
      </c>
      <c r="CJ168" s="140" vm="11384">
        <f xml:space="preserve"> VfM_Metrics_2023_Entity[[#This Row],[Total social housing units owned (Period end)]]</f>
        <v>11317</v>
      </c>
      <c r="CK168" s="141">
        <v>6.6531189256052309E-2</v>
      </c>
      <c r="CL168" s="69">
        <f xml:space="preserve"> -- ( VfM_Metrics_2023_Entity[[#This Row],[% Supported housing (excl. HOP)]] &gt; 0.3 )</f>
        <v>0</v>
      </c>
      <c r="CM168" s="9">
        <v>8.3760381692878597E-2</v>
      </c>
      <c r="CN168" s="69">
        <f xml:space="preserve"> -- ( VfM_Metrics_2023_Entity[[#This Row],[% Housing for older people]] &gt; 0.3 )</f>
        <v>0</v>
      </c>
      <c r="CO168" s="9">
        <f xml:space="preserve"> VfM_Metrics_2023_Entity[[#This Row],[% Supported housing (excl. HOP)]] + VfM_Metrics_2023_Entity[[#This Row],[% Housing for older people]]</f>
        <v>0.15029157094893092</v>
      </c>
      <c r="CP168" s="69">
        <f xml:space="preserve"> -- ( VfM_Metrics_2023_Entity[[#This Row],[SH specialist in RSH analysis]] + VfM_Metrics_2023_Entity[[#This Row],[OP specialist in RSH analysis]] &gt; 0 )</f>
        <v>0</v>
      </c>
      <c r="CQ168" s="142">
        <f xml:space="preserve"> -- ( VfM_Metrics_2023_Entity[[#This Row],[% SH and OP]] &gt; 0.3 )</f>
        <v>0</v>
      </c>
      <c r="CR168" s="143" t="s">
        <v>143</v>
      </c>
      <c r="CS168" s="120"/>
      <c r="CT168" s="144" t="s">
        <v>151</v>
      </c>
      <c r="CU16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68" s="146">
        <v>0</v>
      </c>
      <c r="CW168" s="146">
        <v>0</v>
      </c>
      <c r="CX168" s="146">
        <v>0</v>
      </c>
      <c r="CY168" s="146">
        <v>0</v>
      </c>
      <c r="CZ168" s="146">
        <v>0</v>
      </c>
      <c r="DA168" s="146">
        <v>0</v>
      </c>
      <c r="DB168" s="146">
        <v>0</v>
      </c>
      <c r="DC168" s="146">
        <v>1</v>
      </c>
      <c r="DD168" s="146">
        <v>0</v>
      </c>
      <c r="DE168" s="126">
        <v>0.96105917141044694</v>
      </c>
    </row>
    <row r="169" spans="1:109" x14ac:dyDescent="0.25">
      <c r="A169" s="4" t="s" vm="9251">
        <v>618</v>
      </c>
      <c r="B169" s="4" t="s" vm="9873">
        <v>619</v>
      </c>
      <c r="C169" s="121" vm="18795">
        <v>45016</v>
      </c>
      <c r="D169" s="68">
        <f>IFERROR( VfM_Metrics_2023_Entity[[#This Row],[Reinvestment Spend]] / VfM_Metrics_2023_Entity[[#This Row],[Net Book Value of Housing Properties]], "n/a" )</f>
        <v>0.10804046303055584</v>
      </c>
      <c r="E16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2072</v>
      </c>
      <c r="F169" s="84" vm="9395">
        <v>23</v>
      </c>
      <c r="G169" s="84" vm="9632">
        <v>1904</v>
      </c>
      <c r="H169" s="84" vm="10436">
        <v>111</v>
      </c>
      <c r="I169" s="84" vm="9734">
        <v>34</v>
      </c>
      <c r="J169" s="84" vm="10333">
        <v>0</v>
      </c>
      <c r="K169" s="5">
        <f xml:space="preserve"> SUM( VfM_Metrics_2023_Entity[[#This Row],[Tangible fixed assets: Housing properties at cost (Current period)]],VfM_Metrics_2023_Entity[[#This Row],[Tangible fixed assets Housing properties at valuation (Current period)]] )</f>
        <v>19178</v>
      </c>
      <c r="L169" s="84">
        <v>0</v>
      </c>
      <c r="M169" s="84" vm="10170">
        <v>19178</v>
      </c>
      <c r="N169" s="134">
        <f xml:space="preserve"> IFERROR( VfM_Metrics_2023_Entity[[#This Row],[Total social units developed or newly built units acquired in-year]] / VfM_Metrics_2023_Entity[[#This Row],[Social housing units owned (period end)]], "n/a" )</f>
        <v>7.8431372549019605E-4</v>
      </c>
      <c r="O169" s="5">
        <f xml:space="preserve"> SUM( VfM_Metrics_2023_Entity[[#This Row],[Total social units developed or newly built units acquired in-year (owned)]], VfM_Metrics_2023_Entity[[#This Row],[Total social leasehold units developed or newly built units acquired in-year (owned)]] )</f>
        <v>1</v>
      </c>
      <c r="P169" s="84" vm="11095">
        <v>1</v>
      </c>
      <c r="Q169" s="84" vm="11213">
        <v>0</v>
      </c>
      <c r="R169" s="5">
        <f xml:space="preserve"> SUM( VfM_Metrics_2023_Entity[[#This Row],[Total social housing units owned (Period end)]], VfM_Metrics_2023_Entity[[#This Row],[Total social leasehold units owned (Period end)]] )</f>
        <v>1275</v>
      </c>
      <c r="S169" s="84" vm="11311">
        <v>1275</v>
      </c>
      <c r="T169" s="135" vm="11524">
        <v>0</v>
      </c>
      <c r="U169" s="136">
        <f xml:space="preserve"> IFERROR( VfM_Metrics_2023_Entity[[#This Row],[Total non-social housing units developed or newly built units acquired (owned)]] / VfM_Metrics_2023_Entity[[#This Row],[Total social and non-social housing units owned (Period end)]], "n/a" )</f>
        <v>0</v>
      </c>
      <c r="V16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69" s="84" vm="11576">
        <v>0</v>
      </c>
      <c r="X169" s="84" vm="11894">
        <v>0</v>
      </c>
      <c r="Y169" s="84" vm="11935">
        <v>0</v>
      </c>
      <c r="Z16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1275</v>
      </c>
      <c r="AA169" s="84" vm="11310">
        <v>1275</v>
      </c>
      <c r="AB169" s="84" vm="12456">
        <v>0</v>
      </c>
      <c r="AC169" s="84" vm="12388">
        <v>0</v>
      </c>
      <c r="AD169" s="135" vm="12523">
        <v>0</v>
      </c>
      <c r="AE169" s="134">
        <f xml:space="preserve"> IFERROR( VfM_Metrics_2023_Entity[[#This Row],[Total Net Debt]] / VfM_Metrics_2023_Entity[[#This Row],[Net Book Value of Housing Properties2]], "n/a" )</f>
        <v>-9.9280425487537807E-2</v>
      </c>
      <c r="AF16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-1904</v>
      </c>
      <c r="AG169" s="84" vm="12572">
        <v>0</v>
      </c>
      <c r="AH169" s="84" vm="13309">
        <v>0</v>
      </c>
      <c r="AI169" s="84" vm="12879">
        <v>1904</v>
      </c>
      <c r="AJ169" s="84">
        <v>0</v>
      </c>
      <c r="AK169" s="84">
        <v>0</v>
      </c>
      <c r="AL169" s="5">
        <f xml:space="preserve"> SUM( VfM_Metrics_2023_Entity[[#This Row],[Tangible fixed assets: Housing properties at cost (Current period)2]], VfM_Metrics_2023_Entity[[#This Row],[Tangible fixed assets Housing properties at valuation (Current period)2]] )</f>
        <v>19178</v>
      </c>
      <c r="AM169" s="84">
        <v>0</v>
      </c>
      <c r="AN169" s="135" vm="10170">
        <v>19178</v>
      </c>
      <c r="AO169" s="137">
        <f xml:space="preserve"> IFERROR( VfM_Metrics_2023_Entity[[#This Row],[EBITDA MRI]] / VfM_Metrics_2023_Entity[[#This Row],[Total interest]], "n/a" )</f>
        <v>0.71212121212121215</v>
      </c>
      <c r="AP16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47</v>
      </c>
      <c r="AQ169" s="84" vm="13455">
        <v>1028</v>
      </c>
      <c r="AR169" s="84">
        <v>0</v>
      </c>
      <c r="AS169" s="84" vm="13815">
        <v>1</v>
      </c>
      <c r="AT169" s="84" vm="14070">
        <v>0</v>
      </c>
      <c r="AU169" s="84" vm="14314">
        <v>1342</v>
      </c>
      <c r="AV169" s="84" vm="14559">
        <v>5</v>
      </c>
      <c r="AW169" s="84" vm="14806">
        <v>111</v>
      </c>
      <c r="AX169" s="84" vm="15049">
        <v>468</v>
      </c>
      <c r="AY169" s="5">
        <f xml:space="preserve"> - SUM( VfM_Metrics_2023_Entity[[#This Row],[Interest capitalised]], VfM_Metrics_2023_Entity[[#This Row],[Interest payable and financing costs]] )</f>
        <v>66</v>
      </c>
      <c r="AZ169" s="84" vm="15295">
        <v>-34</v>
      </c>
      <c r="BA169" s="135" vm="15497">
        <v>-32</v>
      </c>
      <c r="BB169" s="138">
        <f xml:space="preserve"> IFERROR( ( VfM_Metrics_2023_Entity[[#This Row],[Total Costs]] / VfM_Metrics_2023_Entity[[#This Row],[Total units for costs]] ) * 1000, "n/a" )</f>
        <v>12444.705882352942</v>
      </c>
      <c r="BC16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15867</v>
      </c>
      <c r="BD169" s="84" vm="13818">
        <v>2054</v>
      </c>
      <c r="BE169" s="84" vm="17291">
        <v>2016</v>
      </c>
      <c r="BF169" s="84" vm="17370">
        <v>386</v>
      </c>
      <c r="BG169" s="84" vm="17595">
        <v>231</v>
      </c>
      <c r="BH169" s="84" vm="16492">
        <v>808</v>
      </c>
      <c r="BI169" s="84" vm="16667">
        <v>9745</v>
      </c>
      <c r="BJ169" s="84" vm="14806">
        <v>111</v>
      </c>
      <c r="BK169" s="84" vm="16224">
        <v>298</v>
      </c>
      <c r="BL169" s="84">
        <v>0</v>
      </c>
      <c r="BM169" s="84">
        <v>0</v>
      </c>
      <c r="BN169" s="84">
        <v>0</v>
      </c>
      <c r="BO169" s="84" vm="15998">
        <v>218</v>
      </c>
      <c r="BP169" s="5" vm="17790">
        <f xml:space="preserve"> VfM_Metrics_2023_Entity[[#This Row],[Total social housing units owned and/or managed at period end]]</f>
        <v>1275</v>
      </c>
      <c r="BQ169" s="135" vm="17790">
        <v>1275</v>
      </c>
      <c r="BR169" s="134">
        <f xml:space="preserve"> IFERROR( VfM_Metrics_2023_Entity[[#This Row],[SHL operating surplus / (deficit)]] / VfM_Metrics_2023_Entity[[#This Row],[Turnover from social housing lettings]], "n/a" )</f>
        <v>5.7444586282929096E-2</v>
      </c>
      <c r="BS169" s="5" vm="17858">
        <f xml:space="preserve"> VfM_Metrics_2023_Entity[[#This Row],[Operating surplus/(deficit) (social housing lettings)]]</f>
        <v>990</v>
      </c>
      <c r="BT169" s="84" vm="17858">
        <v>990</v>
      </c>
      <c r="BU169" s="5" vm="18070">
        <f xml:space="preserve"> VfM_Metrics_2023_Entity[[#This Row],[Turnover from social housing lettings]]</f>
        <v>17234</v>
      </c>
      <c r="BV169" s="135" vm="18070">
        <v>17234</v>
      </c>
      <c r="BW169" s="134">
        <f xml:space="preserve"> IFERROR( VfM_Metrics_2023_Entity[[#This Row],[Net operating surplus]] / VfM_Metrics_2023_Entity[[#This Row],[Overall turnover]], "n/a" )</f>
        <v>5.8622067469604432E-2</v>
      </c>
      <c r="BX169" s="5">
        <f xml:space="preserve"> SUM( VfM_Metrics_2023_Entity[[#This Row],[Operating surplus/(deficit) (overall)2]], - VfM_Metrics_2023_Entity[[#This Row],[Gain/(loss) on disposal of fixed assets (housing properties)2]], - VfM_Metrics_2023_Entity[[#This Row],[Gain/(loss) on disposal of fixed assets (other)2]] )</f>
        <v>1027</v>
      </c>
      <c r="BY169" s="84" vm="18217">
        <v>1028</v>
      </c>
      <c r="BZ169" s="84">
        <v>0</v>
      </c>
      <c r="CA169" s="84" vm="13815">
        <v>1</v>
      </c>
      <c r="CB169" s="5" vm="18426">
        <f xml:space="preserve"> VfM_Metrics_2023_Entity[[#This Row],[Turnover (overall)]]</f>
        <v>17519</v>
      </c>
      <c r="CC169" s="135" vm="18426">
        <v>17519</v>
      </c>
      <c r="CD169" s="134">
        <f xml:space="preserve"> IFERROR( VfM_Metrics_2023_Entity[[#This Row],[Operating surplus including from JVs]] / VfM_Metrics_2023_Entity[[#This Row],[Net assets]], "n/a" )</f>
        <v>4.4981184912925527E-2</v>
      </c>
      <c r="CE169" s="5">
        <f xml:space="preserve"> SUM( VfM_Metrics_2023_Entity[[#This Row],[Operating surplus/(deficit) (overall)3]], VfM_Metrics_2023_Entity[[#This Row],[Share of operating surplus/(deficit) in joint ventures or associates]] )</f>
        <v>1028</v>
      </c>
      <c r="CF169" s="84" vm="13455">
        <v>1028</v>
      </c>
      <c r="CG169" s="84">
        <v>0</v>
      </c>
      <c r="CH169" s="5" vm="18595">
        <f xml:space="preserve"> VfM_Metrics_2023_Entity[[#This Row],[Total assets less current liabilities]]</f>
        <v>22854</v>
      </c>
      <c r="CI169" s="135" vm="18595">
        <v>22854</v>
      </c>
      <c r="CJ169" s="140" vm="11311">
        <f xml:space="preserve"> VfM_Metrics_2023_Entity[[#This Row],[Total social housing units owned (Period end)]]</f>
        <v>1275</v>
      </c>
      <c r="CK169" s="141">
        <v>1</v>
      </c>
      <c r="CL169" s="69">
        <f xml:space="preserve"> -- ( VfM_Metrics_2023_Entity[[#This Row],[% Supported housing (excl. HOP)]] &gt; 0.3 )</f>
        <v>1</v>
      </c>
      <c r="CM169" s="9">
        <v>0</v>
      </c>
      <c r="CN169" s="69">
        <f xml:space="preserve"> -- ( VfM_Metrics_2023_Entity[[#This Row],[% Housing for older people]] &gt; 0.3 )</f>
        <v>0</v>
      </c>
      <c r="CO169" s="9">
        <f xml:space="preserve"> VfM_Metrics_2023_Entity[[#This Row],[% Supported housing (excl. HOP)]] + VfM_Metrics_2023_Entity[[#This Row],[% Housing for older people]]</f>
        <v>1</v>
      </c>
      <c r="CP169" s="69">
        <f xml:space="preserve"> -- ( VfM_Metrics_2023_Entity[[#This Row],[SH specialist in RSH analysis]] + VfM_Metrics_2023_Entity[[#This Row],[OP specialist in RSH analysis]] &gt; 0 )</f>
        <v>1</v>
      </c>
      <c r="CQ169" s="142">
        <f xml:space="preserve"> -- ( VfM_Metrics_2023_Entity[[#This Row],[% SH and OP]] &gt; 0.3 )</f>
        <v>1</v>
      </c>
      <c r="CR169" s="143" t="s">
        <v>143</v>
      </c>
      <c r="CS169" s="120"/>
      <c r="CT169" s="144" t="s">
        <v>144</v>
      </c>
      <c r="CU16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69" s="146">
        <v>0.13241267262388301</v>
      </c>
      <c r="CW169" s="146">
        <v>0.23476848090982941</v>
      </c>
      <c r="CX169" s="146">
        <v>3.0869212022745736E-2</v>
      </c>
      <c r="CY169" s="146">
        <v>5.3614947197400488E-2</v>
      </c>
      <c r="CZ169" s="146">
        <v>3.4930950446791224E-2</v>
      </c>
      <c r="DA169" s="146">
        <v>0.15190901705930138</v>
      </c>
      <c r="DB169" s="146">
        <v>0.16165718927701056</v>
      </c>
      <c r="DC169" s="146">
        <v>0.1437855402112104</v>
      </c>
      <c r="DD169" s="146">
        <v>5.6051990251827784E-2</v>
      </c>
      <c r="DE169" s="126">
        <v>1.0019680407090457</v>
      </c>
    </row>
    <row r="170" spans="1:109" x14ac:dyDescent="0.25">
      <c r="A170" s="4" t="s" vm="360">
        <v>420</v>
      </c>
      <c r="B170" s="4" t="s" vm="9296">
        <v>421</v>
      </c>
      <c r="C170" s="121" vm="18773">
        <v>45016</v>
      </c>
      <c r="D170" s="68">
        <f>IFERROR( VfM_Metrics_2023_Entity[[#This Row],[Reinvestment Spend]] / VfM_Metrics_2023_Entity[[#This Row],[Net Book Value of Housing Properties]], "n/a" )</f>
        <v>5.9247444934852005E-2</v>
      </c>
      <c r="E17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25223</v>
      </c>
      <c r="F170" s="84" vm="9408">
        <v>13302</v>
      </c>
      <c r="G170" s="84" vm="9578">
        <v>0</v>
      </c>
      <c r="H170" s="84" vm="10833">
        <v>11921</v>
      </c>
      <c r="I170" s="84" vm="9691">
        <v>0</v>
      </c>
      <c r="J170" s="84" vm="9735">
        <v>0</v>
      </c>
      <c r="K170" s="5">
        <f xml:space="preserve"> SUM( VfM_Metrics_2023_Entity[[#This Row],[Tangible fixed assets: Housing properties at cost (Current period)]],VfM_Metrics_2023_Entity[[#This Row],[Tangible fixed assets Housing properties at valuation (Current period)]] )</f>
        <v>425723</v>
      </c>
      <c r="L170" s="84" vm="9568">
        <v>425723</v>
      </c>
      <c r="M170" s="84">
        <v>0</v>
      </c>
      <c r="N170" s="134">
        <f xml:space="preserve"> IFERROR( VfM_Metrics_2023_Entity[[#This Row],[Total social units developed or newly built units acquired in-year]] / VfM_Metrics_2023_Entity[[#This Row],[Social housing units owned (period end)]], "n/a" )</f>
        <v>3.8918918918918917E-3</v>
      </c>
      <c r="O170" s="5">
        <f xml:space="preserve"> SUM( VfM_Metrics_2023_Entity[[#This Row],[Total social units developed or newly built units acquired in-year (owned)]], VfM_Metrics_2023_Entity[[#This Row],[Total social leasehold units developed or newly built units acquired in-year (owned)]] )</f>
        <v>36</v>
      </c>
      <c r="P170" s="84" vm="11021">
        <v>36</v>
      </c>
      <c r="Q170" s="84">
        <v>0</v>
      </c>
      <c r="R170" s="5">
        <f xml:space="preserve"> SUM( VfM_Metrics_2023_Entity[[#This Row],[Total social housing units owned (Period end)]], VfM_Metrics_2023_Entity[[#This Row],[Total social leasehold units owned (Period end)]] )</f>
        <v>9250</v>
      </c>
      <c r="S170" s="84" vm="11355">
        <v>7288</v>
      </c>
      <c r="T170" s="135" vm="11435">
        <v>1962</v>
      </c>
      <c r="U170" s="136">
        <f xml:space="preserve"> IFERROR( VfM_Metrics_2023_Entity[[#This Row],[Total non-social housing units developed or newly built units acquired (owned)]] / VfM_Metrics_2023_Entity[[#This Row],[Total social and non-social housing units owned (Period end)]], "n/a" )</f>
        <v>0</v>
      </c>
      <c r="V17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70" s="84">
        <v>0</v>
      </c>
      <c r="X170" s="84">
        <v>0</v>
      </c>
      <c r="Y170" s="84" vm="11763">
        <v>0</v>
      </c>
      <c r="Z17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9259</v>
      </c>
      <c r="AA170" s="84" vm="11355">
        <v>7288</v>
      </c>
      <c r="AB170" s="84" vm="11435">
        <v>1962</v>
      </c>
      <c r="AC170" s="84" vm="12139">
        <v>9</v>
      </c>
      <c r="AD170" s="135" vm="12294">
        <v>0</v>
      </c>
      <c r="AE170" s="134">
        <f xml:space="preserve"> IFERROR( VfM_Metrics_2023_Entity[[#This Row],[Total Net Debt]] / VfM_Metrics_2023_Entity[[#This Row],[Net Book Value of Housing Properties2]], "n/a" )</f>
        <v>0.59782299758293533</v>
      </c>
      <c r="AF17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254507</v>
      </c>
      <c r="AG170" s="84">
        <v>0</v>
      </c>
      <c r="AH170" s="84" vm="12791">
        <v>21663</v>
      </c>
      <c r="AI170" s="84" vm="13166">
        <v>38775</v>
      </c>
      <c r="AJ170" s="84" vm="13248">
        <v>271619</v>
      </c>
      <c r="AK170" s="84">
        <v>0</v>
      </c>
      <c r="AL170" s="5">
        <f xml:space="preserve"> SUM( VfM_Metrics_2023_Entity[[#This Row],[Tangible fixed assets: Housing properties at cost (Current period)2]], VfM_Metrics_2023_Entity[[#This Row],[Tangible fixed assets Housing properties at valuation (Current period)2]] )</f>
        <v>425723</v>
      </c>
      <c r="AM170" s="84" vm="13390">
        <v>425723</v>
      </c>
      <c r="AN170" s="135">
        <v>0</v>
      </c>
      <c r="AO170" s="137">
        <f xml:space="preserve"> IFERROR( VfM_Metrics_2023_Entity[[#This Row],[EBITDA MRI]] / VfM_Metrics_2023_Entity[[#This Row],[Total interest]], "n/a" )</f>
        <v>1.3050241991242222</v>
      </c>
      <c r="AP17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11325</v>
      </c>
      <c r="AQ170" s="84" vm="13488">
        <v>17967</v>
      </c>
      <c r="AR170" s="84" vm="13816">
        <v>1854</v>
      </c>
      <c r="AS170" s="84">
        <v>0</v>
      </c>
      <c r="AT170" s="84" vm="14315">
        <v>312</v>
      </c>
      <c r="AU170" s="84" vm="14560">
        <v>0</v>
      </c>
      <c r="AV170" s="84" vm="14807">
        <v>691</v>
      </c>
      <c r="AW170" s="84" vm="15050">
        <v>11921</v>
      </c>
      <c r="AX170" s="84" vm="13817">
        <v>6754</v>
      </c>
      <c r="AY170" s="5">
        <f xml:space="preserve"> - SUM( VfM_Metrics_2023_Entity[[#This Row],[Interest capitalised]], VfM_Metrics_2023_Entity[[#This Row],[Interest payable and financing costs]] )</f>
        <v>8678</v>
      </c>
      <c r="AZ170" s="84" vm="15175">
        <v>-1544</v>
      </c>
      <c r="BA170" s="135" vm="15337">
        <v>-7134</v>
      </c>
      <c r="BB170" s="138">
        <f xml:space="preserve"> IFERROR( ( VfM_Metrics_2023_Entity[[#This Row],[Total Costs]] / VfM_Metrics_2023_Entity[[#This Row],[Total units for costs]] ) * 1000, "n/a" )</f>
        <v>6113.3432876340439</v>
      </c>
      <c r="BC17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45037</v>
      </c>
      <c r="BD170" s="84" vm="15528">
        <v>9978</v>
      </c>
      <c r="BE170" s="84" vm="16744">
        <v>8830</v>
      </c>
      <c r="BF170" s="84" vm="16909">
        <v>4723</v>
      </c>
      <c r="BG170" s="84" vm="17066">
        <v>5946</v>
      </c>
      <c r="BH170" s="84" vm="17292">
        <v>2971</v>
      </c>
      <c r="BI170" s="84" vm="16222">
        <v>0</v>
      </c>
      <c r="BJ170" s="84" vm="15050">
        <v>11921</v>
      </c>
      <c r="BK170" s="84" vm="16493">
        <v>0</v>
      </c>
      <c r="BL170" s="84" vm="15999">
        <v>409</v>
      </c>
      <c r="BM170" s="84">
        <v>0</v>
      </c>
      <c r="BN170" s="84" vm="17293">
        <v>259</v>
      </c>
      <c r="BO170" s="84">
        <v>0</v>
      </c>
      <c r="BP170" s="5" vm="17642">
        <f xml:space="preserve"> VfM_Metrics_2023_Entity[[#This Row],[Total social housing units owned and/or managed at period end]]</f>
        <v>7367</v>
      </c>
      <c r="BQ170" s="135" vm="17642">
        <v>7367</v>
      </c>
      <c r="BR170" s="134">
        <f xml:space="preserve"> IFERROR( VfM_Metrics_2023_Entity[[#This Row],[SHL operating surplus / (deficit)]] / VfM_Metrics_2023_Entity[[#This Row],[Turnover from social housing lettings]], "n/a" )</f>
        <v>0.28197870825192189</v>
      </c>
      <c r="BS170" s="5" vm="17896">
        <f xml:space="preserve"> VfM_Metrics_2023_Entity[[#This Row],[Operating surplus/(deficit) (social housing lettings)]]</f>
        <v>15442</v>
      </c>
      <c r="BT170" s="84" vm="17896">
        <v>15442</v>
      </c>
      <c r="BU170" s="5" vm="18095">
        <f xml:space="preserve"> VfM_Metrics_2023_Entity[[#This Row],[Turnover from social housing lettings]]</f>
        <v>54763</v>
      </c>
      <c r="BV170" s="135" vm="18095">
        <v>54763</v>
      </c>
      <c r="BW170" s="134">
        <f xml:space="preserve"> IFERROR( VfM_Metrics_2023_Entity[[#This Row],[Net operating surplus]] / VfM_Metrics_2023_Entity[[#This Row],[Overall turnover]], "n/a" )</f>
        <v>0.25376401663096887</v>
      </c>
      <c r="BX170" s="5">
        <f xml:space="preserve"> SUM( VfM_Metrics_2023_Entity[[#This Row],[Operating surplus/(deficit) (overall)2]], - VfM_Metrics_2023_Entity[[#This Row],[Gain/(loss) on disposal of fixed assets (housing properties)2]], - VfM_Metrics_2023_Entity[[#This Row],[Gain/(loss) on disposal of fixed assets (other)2]] )</f>
        <v>16113</v>
      </c>
      <c r="BY170" s="84" vm="13488">
        <v>17967</v>
      </c>
      <c r="BZ170" s="84" vm="13816">
        <v>1854</v>
      </c>
      <c r="CA170" s="84">
        <v>0</v>
      </c>
      <c r="CB170" s="5" vm="18412">
        <f xml:space="preserve"> VfM_Metrics_2023_Entity[[#This Row],[Turnover (overall)]]</f>
        <v>63496</v>
      </c>
      <c r="CC170" s="135" vm="18412">
        <v>63496</v>
      </c>
      <c r="CD170" s="134">
        <f xml:space="preserve"> IFERROR( VfM_Metrics_2023_Entity[[#This Row],[Operating surplus including from JVs]] / VfM_Metrics_2023_Entity[[#This Row],[Net assets]], "n/a" )</f>
        <v>3.7575602941299489E-2</v>
      </c>
      <c r="CE170" s="5">
        <f xml:space="preserve"> SUM( VfM_Metrics_2023_Entity[[#This Row],[Operating surplus/(deficit) (overall)3]], VfM_Metrics_2023_Entity[[#This Row],[Share of operating surplus/(deficit) in joint ventures or associates]] )</f>
        <v>17967</v>
      </c>
      <c r="CF170" s="84" vm="13488">
        <v>17967</v>
      </c>
      <c r="CG170" s="84">
        <v>0</v>
      </c>
      <c r="CH170" s="5" vm="18632">
        <f xml:space="preserve"> VfM_Metrics_2023_Entity[[#This Row],[Total assets less current liabilities]]</f>
        <v>478156</v>
      </c>
      <c r="CI170" s="135" vm="18632">
        <v>478156</v>
      </c>
      <c r="CJ170" s="140" vm="11355">
        <f xml:space="preserve"> VfM_Metrics_2023_Entity[[#This Row],[Total social housing units owned (Period end)]]</f>
        <v>7288</v>
      </c>
      <c r="CK170" s="141">
        <v>0</v>
      </c>
      <c r="CL170" s="69">
        <f xml:space="preserve"> -- ( VfM_Metrics_2023_Entity[[#This Row],[% Supported housing (excl. HOP)]] &gt; 0.3 )</f>
        <v>0</v>
      </c>
      <c r="CM170" s="9">
        <v>5.3904630269523149E-2</v>
      </c>
      <c r="CN170" s="69">
        <f xml:space="preserve"> -- ( VfM_Metrics_2023_Entity[[#This Row],[% Housing for older people]] &gt; 0.3 )</f>
        <v>0</v>
      </c>
      <c r="CO170" s="9">
        <f xml:space="preserve"> VfM_Metrics_2023_Entity[[#This Row],[% Supported housing (excl. HOP)]] + VfM_Metrics_2023_Entity[[#This Row],[% Housing for older people]]</f>
        <v>5.3904630269523149E-2</v>
      </c>
      <c r="CP170" s="69">
        <f xml:space="preserve"> -- ( VfM_Metrics_2023_Entity[[#This Row],[SH specialist in RSH analysis]] + VfM_Metrics_2023_Entity[[#This Row],[OP specialist in RSH analysis]] &gt; 0 )</f>
        <v>0</v>
      </c>
      <c r="CQ170" s="142">
        <f xml:space="preserve"> -- ( VfM_Metrics_2023_Entity[[#This Row],[% SH and OP]] &gt; 0.3 )</f>
        <v>0</v>
      </c>
      <c r="CR170" s="143" t="s">
        <v>143</v>
      </c>
      <c r="CS170" s="120"/>
      <c r="CT170" s="144" t="s">
        <v>151</v>
      </c>
      <c r="CU17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70" s="146">
        <v>1</v>
      </c>
      <c r="CW170" s="146">
        <v>0</v>
      </c>
      <c r="CX170" s="146">
        <v>0</v>
      </c>
      <c r="CY170" s="146">
        <v>0</v>
      </c>
      <c r="CZ170" s="146">
        <v>0</v>
      </c>
      <c r="DA170" s="146">
        <v>0</v>
      </c>
      <c r="DB170" s="146">
        <v>0</v>
      </c>
      <c r="DC170" s="146">
        <v>0</v>
      </c>
      <c r="DD170" s="146">
        <v>0</v>
      </c>
      <c r="DE170" s="126">
        <v>1.1603700449887588</v>
      </c>
    </row>
    <row r="171" spans="1:109" x14ac:dyDescent="0.25">
      <c r="A171" s="4" t="s" vm="273">
        <v>422</v>
      </c>
      <c r="B171" s="4" t="s" vm="10433">
        <v>423</v>
      </c>
      <c r="C171" s="121" vm="18949">
        <v>45016</v>
      </c>
      <c r="D171" s="68">
        <f>IFERROR( VfM_Metrics_2023_Entity[[#This Row],[Reinvestment Spend]] / VfM_Metrics_2023_Entity[[#This Row],[Net Book Value of Housing Properties]], "n/a" )</f>
        <v>9.2484764211921394E-2</v>
      </c>
      <c r="E17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17027</v>
      </c>
      <c r="F171" s="84" vm="10526">
        <v>4687</v>
      </c>
      <c r="G171" s="84" vm="9520">
        <v>0</v>
      </c>
      <c r="H171" s="84" vm="10141">
        <v>12340</v>
      </c>
      <c r="I171" s="84" vm="9633">
        <v>0</v>
      </c>
      <c r="J171" s="84" vm="10820">
        <v>0</v>
      </c>
      <c r="K171" s="5">
        <f xml:space="preserve"> SUM( VfM_Metrics_2023_Entity[[#This Row],[Tangible fixed assets: Housing properties at cost (Current period)]],VfM_Metrics_2023_Entity[[#This Row],[Tangible fixed assets Housing properties at valuation (Current period)]] )</f>
        <v>184106</v>
      </c>
      <c r="L171" s="84" vm="9927">
        <v>184106</v>
      </c>
      <c r="M171" s="84" vm="10110">
        <v>0</v>
      </c>
      <c r="N171" s="134">
        <f xml:space="preserve"> IFERROR( VfM_Metrics_2023_Entity[[#This Row],[Total social units developed or newly built units acquired in-year]] / VfM_Metrics_2023_Entity[[#This Row],[Social housing units owned (period end)]], "n/a" )</f>
        <v>5.0734107156583906E-3</v>
      </c>
      <c r="O171" s="5">
        <f xml:space="preserve"> SUM( VfM_Metrics_2023_Entity[[#This Row],[Total social units developed or newly built units acquired in-year (owned)]], VfM_Metrics_2023_Entity[[#This Row],[Total social leasehold units developed or newly built units acquired in-year (owned)]] )</f>
        <v>66</v>
      </c>
      <c r="P171" s="84" vm="10977">
        <v>66</v>
      </c>
      <c r="Q171" s="84" vm="11149">
        <v>0</v>
      </c>
      <c r="R171" s="5">
        <f xml:space="preserve"> SUM( VfM_Metrics_2023_Entity[[#This Row],[Total social housing units owned (Period end)]], VfM_Metrics_2023_Entity[[#This Row],[Total social leasehold units owned (Period end)]] )</f>
        <v>13009</v>
      </c>
      <c r="S171" s="84" vm="11272">
        <v>12381</v>
      </c>
      <c r="T171" s="135" vm="11516">
        <v>628</v>
      </c>
      <c r="U171" s="136">
        <f xml:space="preserve"> IFERROR( VfM_Metrics_2023_Entity[[#This Row],[Total non-social housing units developed or newly built units acquired (owned)]] / VfM_Metrics_2023_Entity[[#This Row],[Total social and non-social housing units owned (Period end)]], "n/a" )</f>
        <v>0</v>
      </c>
      <c r="V17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71" s="84" vm="11626">
        <v>0</v>
      </c>
      <c r="X171" s="84" vm="11950">
        <v>0</v>
      </c>
      <c r="Y171" s="84" vm="11854">
        <v>0</v>
      </c>
      <c r="Z17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13010</v>
      </c>
      <c r="AA171" s="84" vm="11975">
        <v>12381</v>
      </c>
      <c r="AB171" s="84" vm="11516">
        <v>628</v>
      </c>
      <c r="AC171" s="84" vm="12389">
        <v>1</v>
      </c>
      <c r="AD171" s="135" vm="12524">
        <v>0</v>
      </c>
      <c r="AE171" s="134">
        <f xml:space="preserve"> IFERROR( VfM_Metrics_2023_Entity[[#This Row],[Total Net Debt]] / VfM_Metrics_2023_Entity[[#This Row],[Net Book Value of Housing Properties2]], "n/a" )</f>
        <v>5.2165600252028724E-2</v>
      </c>
      <c r="AF17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9604</v>
      </c>
      <c r="AG171" s="84" vm="12622">
        <v>732</v>
      </c>
      <c r="AH171" s="84" vm="12912">
        <v>44641</v>
      </c>
      <c r="AI171" s="84" vm="12993">
        <v>35769</v>
      </c>
      <c r="AJ171" s="84" vm="12792">
        <v>0</v>
      </c>
      <c r="AK171" s="84" vm="13139">
        <v>0</v>
      </c>
      <c r="AL171" s="5">
        <f xml:space="preserve"> SUM( VfM_Metrics_2023_Entity[[#This Row],[Tangible fixed assets: Housing properties at cost (Current period)2]], VfM_Metrics_2023_Entity[[#This Row],[Tangible fixed assets Housing properties at valuation (Current period)2]] )</f>
        <v>184106</v>
      </c>
      <c r="AM171" s="84" vm="9927">
        <v>184106</v>
      </c>
      <c r="AN171" s="135" vm="10110">
        <v>0</v>
      </c>
      <c r="AO171" s="137">
        <f xml:space="preserve"> IFERROR( VfM_Metrics_2023_Entity[[#This Row],[EBITDA MRI]] / VfM_Metrics_2023_Entity[[#This Row],[Total interest]], "n/a" )</f>
        <v>-3.4876673713883015</v>
      </c>
      <c r="AP17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-4949</v>
      </c>
      <c r="AQ171" s="84" vm="13525">
        <v>5214</v>
      </c>
      <c r="AR171" s="84" vm="14071">
        <v>4532</v>
      </c>
      <c r="AS171" s="84" vm="14316">
        <v>0</v>
      </c>
      <c r="AT171" s="84" vm="14561">
        <v>159</v>
      </c>
      <c r="AU171" s="84" vm="14808">
        <v>0</v>
      </c>
      <c r="AV171" s="84" vm="15051">
        <v>775</v>
      </c>
      <c r="AW171" s="84" vm="13818">
        <v>12340</v>
      </c>
      <c r="AX171" s="84" vm="14072">
        <v>6093</v>
      </c>
      <c r="AY171" s="5">
        <f xml:space="preserve"> - SUM( VfM_Metrics_2023_Entity[[#This Row],[Interest capitalised]], VfM_Metrics_2023_Entity[[#This Row],[Interest payable and financing costs]] )</f>
        <v>1419</v>
      </c>
      <c r="AZ171" s="84" vm="15204">
        <v>0</v>
      </c>
      <c r="BA171" s="135" vm="15372">
        <v>-1419</v>
      </c>
      <c r="BB171" s="138">
        <f xml:space="preserve"> IFERROR( ( VfM_Metrics_2023_Entity[[#This Row],[Total Costs]] / VfM_Metrics_2023_Entity[[#This Row],[Total units for costs]] ) * 1000, "n/a" )</f>
        <v>5093.6894770819881</v>
      </c>
      <c r="BC17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63121</v>
      </c>
      <c r="BD171" s="84" vm="17372">
        <v>14780</v>
      </c>
      <c r="BE171" s="84" vm="17525">
        <v>6497</v>
      </c>
      <c r="BF171" s="84" vm="16179">
        <v>12957</v>
      </c>
      <c r="BG171" s="84" vm="16668">
        <v>2833</v>
      </c>
      <c r="BH171" s="84" vm="16745">
        <v>3273</v>
      </c>
      <c r="BI171" s="84" vm="16910">
        <v>780</v>
      </c>
      <c r="BJ171" s="84" vm="13818">
        <v>12340</v>
      </c>
      <c r="BK171" s="84" vm="16224">
        <v>1172</v>
      </c>
      <c r="BL171" s="84" vm="16180">
        <v>0</v>
      </c>
      <c r="BM171" s="84" vm="16000">
        <v>0</v>
      </c>
      <c r="BN171" s="84" vm="16836">
        <v>8488</v>
      </c>
      <c r="BO171" s="84" vm="17526">
        <v>1</v>
      </c>
      <c r="BP171" s="5" vm="17678">
        <f xml:space="preserve"> VfM_Metrics_2023_Entity[[#This Row],[Total social housing units owned and/or managed at period end]]</f>
        <v>12392</v>
      </c>
      <c r="BQ171" s="135" vm="17678">
        <v>12392</v>
      </c>
      <c r="BR171" s="134">
        <f xml:space="preserve"> IFERROR( VfM_Metrics_2023_Entity[[#This Row],[SHL operating surplus / (deficit)]] / VfM_Metrics_2023_Entity[[#This Row],[Turnover from social housing lettings]], "n/a" )</f>
        <v>0.1022786897533918</v>
      </c>
      <c r="BS171" s="5" vm="17933">
        <f xml:space="preserve"> VfM_Metrics_2023_Entity[[#This Row],[Operating surplus/(deficit) (social housing lettings)]]</f>
        <v>5458</v>
      </c>
      <c r="BT171" s="84" vm="17933">
        <v>5458</v>
      </c>
      <c r="BU171" s="5" vm="18126">
        <f xml:space="preserve"> VfM_Metrics_2023_Entity[[#This Row],[Turnover from social housing lettings]]</f>
        <v>53364</v>
      </c>
      <c r="BV171" s="135" vm="18126">
        <v>53364</v>
      </c>
      <c r="BW171" s="134">
        <f xml:space="preserve"> IFERROR( VfM_Metrics_2023_Entity[[#This Row],[Net operating surplus]] / VfM_Metrics_2023_Entity[[#This Row],[Overall turnover]], "n/a" )</f>
        <v>1.188774620881994E-2</v>
      </c>
      <c r="BX171" s="5">
        <f xml:space="preserve"> SUM( VfM_Metrics_2023_Entity[[#This Row],[Operating surplus/(deficit) (overall)2]], - VfM_Metrics_2023_Entity[[#This Row],[Gain/(loss) on disposal of fixed assets (housing properties)2]], - VfM_Metrics_2023_Entity[[#This Row],[Gain/(loss) on disposal of fixed assets (other)2]] )</f>
        <v>682</v>
      </c>
      <c r="BY171" s="84" vm="13525">
        <v>5214</v>
      </c>
      <c r="BZ171" s="84" vm="14071">
        <v>4532</v>
      </c>
      <c r="CA171" s="84" vm="14316">
        <v>0</v>
      </c>
      <c r="CB171" s="5" vm="18283">
        <f xml:space="preserve"> VfM_Metrics_2023_Entity[[#This Row],[Turnover (overall)]]</f>
        <v>57370</v>
      </c>
      <c r="CC171" s="135" vm="18283">
        <v>57370</v>
      </c>
      <c r="CD171" s="134">
        <f xml:space="preserve"> IFERROR( VfM_Metrics_2023_Entity[[#This Row],[Operating surplus including from JVs]] / VfM_Metrics_2023_Entity[[#This Row],[Net assets]], "n/a" )</f>
        <v>2.1434737923946557E-2</v>
      </c>
      <c r="CE171" s="5">
        <f xml:space="preserve"> SUM( VfM_Metrics_2023_Entity[[#This Row],[Operating surplus/(deficit) (overall)3]], VfM_Metrics_2023_Entity[[#This Row],[Share of operating surplus/(deficit) in joint ventures or associates]] )</f>
        <v>5214</v>
      </c>
      <c r="CF171" s="84" vm="13525">
        <v>5214</v>
      </c>
      <c r="CG171" s="84" vm="18486">
        <v>0</v>
      </c>
      <c r="CH171" s="5" vm="18669">
        <f xml:space="preserve"> VfM_Metrics_2023_Entity[[#This Row],[Total assets less current liabilities]]</f>
        <v>243250</v>
      </c>
      <c r="CI171" s="135" vm="18669">
        <v>243250</v>
      </c>
      <c r="CJ171" s="140" vm="11272">
        <f xml:space="preserve"> VfM_Metrics_2023_Entity[[#This Row],[Total social housing units owned (Period end)]]</f>
        <v>12381</v>
      </c>
      <c r="CK171" s="141">
        <v>0</v>
      </c>
      <c r="CL171" s="69">
        <f xml:space="preserve"> -- ( VfM_Metrics_2023_Entity[[#This Row],[% Supported housing (excl. HOP)]] &gt; 0.3 )</f>
        <v>0</v>
      </c>
      <c r="CM171" s="9">
        <v>7.5512841221127447E-2</v>
      </c>
      <c r="CN171" s="69">
        <f xml:space="preserve"> -- ( VfM_Metrics_2023_Entity[[#This Row],[% Housing for older people]] &gt; 0.3 )</f>
        <v>0</v>
      </c>
      <c r="CO171" s="9">
        <f xml:space="preserve"> VfM_Metrics_2023_Entity[[#This Row],[% Supported housing (excl. HOP)]] + VfM_Metrics_2023_Entity[[#This Row],[% Housing for older people]]</f>
        <v>7.5512841221127447E-2</v>
      </c>
      <c r="CP171" s="69">
        <f xml:space="preserve"> -- ( VfM_Metrics_2023_Entity[[#This Row],[SH specialist in RSH analysis]] + VfM_Metrics_2023_Entity[[#This Row],[OP specialist in RSH analysis]] &gt; 0 )</f>
        <v>0</v>
      </c>
      <c r="CQ171" s="142">
        <f xml:space="preserve"> -- ( VfM_Metrics_2023_Entity[[#This Row],[% SH and OP]] &gt; 0.3 )</f>
        <v>0</v>
      </c>
      <c r="CR171" s="143" t="s">
        <v>168</v>
      </c>
      <c r="CS171" s="120">
        <v>40994</v>
      </c>
      <c r="CT171" s="144" t="s">
        <v>169</v>
      </c>
      <c r="CU17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71" s="146">
        <v>0</v>
      </c>
      <c r="CW171" s="146">
        <v>0</v>
      </c>
      <c r="CX171" s="146">
        <v>0</v>
      </c>
      <c r="CY171" s="146">
        <v>0</v>
      </c>
      <c r="CZ171" s="146">
        <v>0</v>
      </c>
      <c r="DA171" s="146">
        <v>0</v>
      </c>
      <c r="DB171" s="146">
        <v>0</v>
      </c>
      <c r="DC171" s="146">
        <v>1</v>
      </c>
      <c r="DD171" s="146">
        <v>0</v>
      </c>
      <c r="DE171" s="126">
        <v>0.96105917141044694</v>
      </c>
    </row>
    <row r="172" spans="1:109" x14ac:dyDescent="0.25">
      <c r="A172" s="4" t="s" vm="9252">
        <v>620</v>
      </c>
      <c r="B172" s="4" t="s" vm="10196">
        <v>621</v>
      </c>
      <c r="C172" s="121" vm="18868">
        <v>45016</v>
      </c>
      <c r="D172" s="68">
        <f>IFERROR( VfM_Metrics_2023_Entity[[#This Row],[Reinvestment Spend]] / VfM_Metrics_2023_Entity[[#This Row],[Net Book Value of Housing Properties]], "n/a" )</f>
        <v>6.4042536513991583E-2</v>
      </c>
      <c r="E17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24511</v>
      </c>
      <c r="F172" s="84" vm="9396">
        <v>14626</v>
      </c>
      <c r="G172" s="84" vm="9772">
        <v>3481</v>
      </c>
      <c r="H172" s="84" vm="10659">
        <v>5803</v>
      </c>
      <c r="I172" s="84" vm="9870">
        <v>601</v>
      </c>
      <c r="J172" s="84" vm="9634">
        <v>0</v>
      </c>
      <c r="K172" s="5">
        <f xml:space="preserve"> SUM( VfM_Metrics_2023_Entity[[#This Row],[Tangible fixed assets: Housing properties at cost (Current period)]],VfM_Metrics_2023_Entity[[#This Row],[Tangible fixed assets Housing properties at valuation (Current period)]] )</f>
        <v>382730</v>
      </c>
      <c r="L172" s="84" vm="10580">
        <v>382730</v>
      </c>
      <c r="M172" s="84">
        <v>0</v>
      </c>
      <c r="N172" s="134">
        <f xml:space="preserve"> IFERROR( VfM_Metrics_2023_Entity[[#This Row],[Total social units developed or newly built units acquired in-year]] / VfM_Metrics_2023_Entity[[#This Row],[Social housing units owned (period end)]], "n/a" )</f>
        <v>2.7159394479073909E-2</v>
      </c>
      <c r="O172" s="5">
        <f xml:space="preserve"> SUM( VfM_Metrics_2023_Entity[[#This Row],[Total social units developed or newly built units acquired in-year (owned)]], VfM_Metrics_2023_Entity[[#This Row],[Total social leasehold units developed or newly built units acquired in-year (owned)]] )</f>
        <v>183</v>
      </c>
      <c r="P172" s="84" vm="11030">
        <v>178</v>
      </c>
      <c r="Q172" s="84" vm="11161">
        <v>5</v>
      </c>
      <c r="R172" s="5">
        <f xml:space="preserve"> SUM( VfM_Metrics_2023_Entity[[#This Row],[Total social housing units owned (Period end)]], VfM_Metrics_2023_Entity[[#This Row],[Total social leasehold units owned (Period end)]] )</f>
        <v>6738</v>
      </c>
      <c r="S172" s="84" vm="11369">
        <v>6609</v>
      </c>
      <c r="T172" s="135" vm="11556">
        <v>129</v>
      </c>
      <c r="U172" s="136">
        <f xml:space="preserve"> IFERROR( VfM_Metrics_2023_Entity[[#This Row],[Total non-social housing units developed or newly built units acquired (owned)]] / VfM_Metrics_2023_Entity[[#This Row],[Total social and non-social housing units owned (Period end)]], "n/a" )</f>
        <v>1.4760147601476016E-4</v>
      </c>
      <c r="V17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v>
      </c>
      <c r="W172" s="84" vm="11642">
        <v>1</v>
      </c>
      <c r="X172" s="84">
        <v>0</v>
      </c>
      <c r="Y172" s="84">
        <v>0</v>
      </c>
      <c r="Z17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6775</v>
      </c>
      <c r="AA172" s="84" vm="11320">
        <v>6609</v>
      </c>
      <c r="AB172" s="84" vm="11435">
        <v>129</v>
      </c>
      <c r="AC172" s="84" vm="12140">
        <v>36</v>
      </c>
      <c r="AD172" s="135" vm="12295">
        <v>1</v>
      </c>
      <c r="AE172" s="134">
        <f xml:space="preserve"> IFERROR( VfM_Metrics_2023_Entity[[#This Row],[Total Net Debt]] / VfM_Metrics_2023_Entity[[#This Row],[Net Book Value of Housing Properties2]], "n/a" )</f>
        <v>0.56857837117550236</v>
      </c>
      <c r="AF17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217612</v>
      </c>
      <c r="AG172" s="84" vm="12648">
        <v>6032</v>
      </c>
      <c r="AH172" s="84" vm="13223">
        <v>227601</v>
      </c>
      <c r="AI172" s="84" vm="13309">
        <v>16021</v>
      </c>
      <c r="AJ172" s="84">
        <v>0</v>
      </c>
      <c r="AK172" s="84">
        <v>0</v>
      </c>
      <c r="AL172" s="5">
        <f xml:space="preserve"> SUM( VfM_Metrics_2023_Entity[[#This Row],[Tangible fixed assets: Housing properties at cost (Current period)2]], VfM_Metrics_2023_Entity[[#This Row],[Tangible fixed assets Housing properties at valuation (Current period)2]] )</f>
        <v>382730</v>
      </c>
      <c r="AM172" s="84" vm="9949">
        <v>382730</v>
      </c>
      <c r="AN172" s="135">
        <v>0</v>
      </c>
      <c r="AO172" s="137">
        <f xml:space="preserve"> IFERROR( VfM_Metrics_2023_Entity[[#This Row],[EBITDA MRI]] / VfM_Metrics_2023_Entity[[#This Row],[Total interest]], "n/a" )</f>
        <v>1.0120978582310243</v>
      </c>
      <c r="AP17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11294</v>
      </c>
      <c r="AQ172" s="84" vm="13555">
        <v>13469</v>
      </c>
      <c r="AR172" s="84" vm="14317">
        <v>644</v>
      </c>
      <c r="AS172" s="84" vm="14562">
        <v>0</v>
      </c>
      <c r="AT172" s="84" vm="14809">
        <v>795</v>
      </c>
      <c r="AU172" s="84" vm="15052">
        <v>0</v>
      </c>
      <c r="AV172" s="84" vm="13819">
        <v>454</v>
      </c>
      <c r="AW172" s="84" vm="14073">
        <v>6014</v>
      </c>
      <c r="AX172" s="84" vm="14318">
        <v>4824</v>
      </c>
      <c r="AY172" s="5">
        <f xml:space="preserve"> - SUM( VfM_Metrics_2023_Entity[[#This Row],[Interest capitalised]], VfM_Metrics_2023_Entity[[#This Row],[Interest payable and financing costs]] )</f>
        <v>11159</v>
      </c>
      <c r="AZ172" s="84" vm="15306">
        <v>-601</v>
      </c>
      <c r="BA172" s="135" vm="15400">
        <v>-10558</v>
      </c>
      <c r="BB172" s="138">
        <f xml:space="preserve"> IFERROR( ( VfM_Metrics_2023_Entity[[#This Row],[Total Costs]] / VfM_Metrics_2023_Entity[[#This Row],[Total units for costs]] ) * 1000, "n/a" )</f>
        <v>4661.4874038316493</v>
      </c>
      <c r="BC17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30901</v>
      </c>
      <c r="BD172" s="84" vm="15584">
        <v>5758</v>
      </c>
      <c r="BE172" s="84" vm="17139">
        <v>5172</v>
      </c>
      <c r="BF172" s="84" vm="17294">
        <v>10065</v>
      </c>
      <c r="BG172" s="84" vm="17527">
        <v>929</v>
      </c>
      <c r="BH172" s="84" vm="17596">
        <v>0</v>
      </c>
      <c r="BI172" s="84" vm="16495">
        <v>0</v>
      </c>
      <c r="BJ172" s="84" vm="14073">
        <v>6014</v>
      </c>
      <c r="BK172" s="84" vm="16746">
        <v>0</v>
      </c>
      <c r="BL172" s="84">
        <v>0</v>
      </c>
      <c r="BM172" s="84">
        <v>0</v>
      </c>
      <c r="BN172" s="84" vm="16002">
        <v>1776</v>
      </c>
      <c r="BO172" s="84" vm="16911">
        <v>1187</v>
      </c>
      <c r="BP172" s="5" vm="17812">
        <f xml:space="preserve"> VfM_Metrics_2023_Entity[[#This Row],[Total social housing units owned and/or managed at period end]]</f>
        <v>6629</v>
      </c>
      <c r="BQ172" s="135" vm="17812">
        <v>6629</v>
      </c>
      <c r="BR172" s="134">
        <f xml:space="preserve"> IFERROR( VfM_Metrics_2023_Entity[[#This Row],[SHL operating surplus / (deficit)]] / VfM_Metrics_2023_Entity[[#This Row],[Turnover from social housing lettings]], "n/a" )</f>
        <v>0.31751198586929091</v>
      </c>
      <c r="BS172" s="5" vm="17970">
        <f xml:space="preserve"> VfM_Metrics_2023_Entity[[#This Row],[Operating surplus/(deficit) (social housing lettings)]]</f>
        <v>12583</v>
      </c>
      <c r="BT172" s="84" vm="17970">
        <v>12583</v>
      </c>
      <c r="BU172" s="5" vm="18145">
        <f xml:space="preserve"> VfM_Metrics_2023_Entity[[#This Row],[Turnover from social housing lettings]]</f>
        <v>39630</v>
      </c>
      <c r="BV172" s="135" vm="18145">
        <v>39630</v>
      </c>
      <c r="BW172" s="134">
        <f xml:space="preserve"> IFERROR( VfM_Metrics_2023_Entity[[#This Row],[Net operating surplus]] / VfM_Metrics_2023_Entity[[#This Row],[Overall turnover]], "n/a" )</f>
        <v>0.26928568429009364</v>
      </c>
      <c r="BX172" s="5">
        <f xml:space="preserve"> SUM( VfM_Metrics_2023_Entity[[#This Row],[Operating surplus/(deficit) (overall)2]], - VfM_Metrics_2023_Entity[[#This Row],[Gain/(loss) on disposal of fixed assets (housing properties)2]], - VfM_Metrics_2023_Entity[[#This Row],[Gain/(loss) on disposal of fixed assets (other)2]] )</f>
        <v>12825</v>
      </c>
      <c r="BY172" s="84" vm="13555">
        <v>13469</v>
      </c>
      <c r="BZ172" s="84" vm="14317">
        <v>644</v>
      </c>
      <c r="CA172" s="84" vm="14562">
        <v>0</v>
      </c>
      <c r="CB172" s="5" vm="18311">
        <f xml:space="preserve"> VfM_Metrics_2023_Entity[[#This Row],[Turnover (overall)]]</f>
        <v>47626</v>
      </c>
      <c r="CC172" s="135" vm="18311">
        <v>47626</v>
      </c>
      <c r="CD172" s="134">
        <f xml:space="preserve"> IFERROR( VfM_Metrics_2023_Entity[[#This Row],[Operating surplus including from JVs]] / VfM_Metrics_2023_Entity[[#This Row],[Net assets]], "n/a" )</f>
        <v>3.5141594351880356E-2</v>
      </c>
      <c r="CE172" s="5">
        <f xml:space="preserve"> SUM( VfM_Metrics_2023_Entity[[#This Row],[Operating surplus/(deficit) (overall)3]], VfM_Metrics_2023_Entity[[#This Row],[Share of operating surplus/(deficit) in joint ventures or associates]] )</f>
        <v>13469</v>
      </c>
      <c r="CF172" s="84" vm="13555">
        <v>13469</v>
      </c>
      <c r="CG172" s="84">
        <v>0</v>
      </c>
      <c r="CH172" s="5" vm="18699">
        <f xml:space="preserve"> VfM_Metrics_2023_Entity[[#This Row],[Total assets less current liabilities]]</f>
        <v>383278</v>
      </c>
      <c r="CI172" s="135" vm="18699">
        <v>383278</v>
      </c>
      <c r="CJ172" s="140" vm="11369">
        <f xml:space="preserve"> VfM_Metrics_2023_Entity[[#This Row],[Total social housing units owned (Period end)]]</f>
        <v>6609</v>
      </c>
      <c r="CK172" s="141">
        <v>1.8569254185692542E-2</v>
      </c>
      <c r="CL172" s="69">
        <f xml:space="preserve"> -- ( VfM_Metrics_2023_Entity[[#This Row],[% Supported housing (excl. HOP)]] &gt; 0.3 )</f>
        <v>0</v>
      </c>
      <c r="CM172" s="9">
        <v>6.5296803652968041E-2</v>
      </c>
      <c r="CN172" s="69">
        <f xml:space="preserve"> -- ( VfM_Metrics_2023_Entity[[#This Row],[% Housing for older people]] &gt; 0.3 )</f>
        <v>0</v>
      </c>
      <c r="CO172" s="9">
        <f xml:space="preserve"> VfM_Metrics_2023_Entity[[#This Row],[% Supported housing (excl. HOP)]] + VfM_Metrics_2023_Entity[[#This Row],[% Housing for older people]]</f>
        <v>8.3866057838660579E-2</v>
      </c>
      <c r="CP172" s="69">
        <f xml:space="preserve"> -- ( VfM_Metrics_2023_Entity[[#This Row],[SH specialist in RSH analysis]] + VfM_Metrics_2023_Entity[[#This Row],[OP specialist in RSH analysis]] &gt; 0 )</f>
        <v>0</v>
      </c>
      <c r="CQ172" s="142">
        <f xml:space="preserve"> -- ( VfM_Metrics_2023_Entity[[#This Row],[% SH and OP]] &gt; 0.3 )</f>
        <v>0</v>
      </c>
      <c r="CR172" s="143" t="s">
        <v>143</v>
      </c>
      <c r="CS172" s="120"/>
      <c r="CT172" s="144" t="s">
        <v>151</v>
      </c>
      <c r="CU17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172" s="146">
        <v>0</v>
      </c>
      <c r="CW172" s="146">
        <v>0</v>
      </c>
      <c r="CX172" s="146">
        <v>0.19815179518254811</v>
      </c>
      <c r="CY172" s="146">
        <v>0</v>
      </c>
      <c r="CZ172" s="146">
        <v>0.80184820481745189</v>
      </c>
      <c r="DA172" s="146">
        <v>0</v>
      </c>
      <c r="DB172" s="146">
        <v>0</v>
      </c>
      <c r="DC172" s="146">
        <v>0</v>
      </c>
      <c r="DD172" s="146">
        <v>0</v>
      </c>
      <c r="DE172" s="126">
        <v>0.96667661291632978</v>
      </c>
    </row>
    <row r="173" spans="1:109" x14ac:dyDescent="0.25">
      <c r="A173" s="4" t="s" vm="9253">
        <v>622</v>
      </c>
      <c r="B173" s="4" t="s" vm="9336">
        <v>623</v>
      </c>
      <c r="C173" s="121" vm="18920">
        <v>45016</v>
      </c>
      <c r="D173" s="68">
        <f>IFERROR( VfM_Metrics_2023_Entity[[#This Row],[Reinvestment Spend]] / VfM_Metrics_2023_Entity[[#This Row],[Net Book Value of Housing Properties]], "n/a" )</f>
        <v>3.4887730186541697E-2</v>
      </c>
      <c r="E17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4958</v>
      </c>
      <c r="F173" s="84" vm="10563">
        <v>3117</v>
      </c>
      <c r="G173" s="84" vm="9736">
        <v>0</v>
      </c>
      <c r="H173" s="84" vm="10904">
        <v>1712</v>
      </c>
      <c r="I173" s="84" vm="9521">
        <v>129</v>
      </c>
      <c r="J173" s="84" vm="9579">
        <v>0</v>
      </c>
      <c r="K173" s="5">
        <f xml:space="preserve"> SUM( VfM_Metrics_2023_Entity[[#This Row],[Tangible fixed assets: Housing properties at cost (Current period)]],VfM_Metrics_2023_Entity[[#This Row],[Tangible fixed assets Housing properties at valuation (Current period)]] )</f>
        <v>142113</v>
      </c>
      <c r="L173" s="84" vm="9966">
        <v>142113</v>
      </c>
      <c r="M173" s="84">
        <v>0</v>
      </c>
      <c r="N173" s="134">
        <f xml:space="preserve"> IFERROR( VfM_Metrics_2023_Entity[[#This Row],[Total social units developed or newly built units acquired in-year]] / VfM_Metrics_2023_Entity[[#This Row],[Social housing units owned (period end)]], "n/a" )</f>
        <v>9.8039215686274508E-3</v>
      </c>
      <c r="O173" s="5">
        <f xml:space="preserve"> SUM( VfM_Metrics_2023_Entity[[#This Row],[Total social units developed or newly built units acquired in-year (owned)]], VfM_Metrics_2023_Entity[[#This Row],[Total social leasehold units developed or newly built units acquired in-year (owned)]] )</f>
        <v>27</v>
      </c>
      <c r="P173" s="84" vm="11055">
        <v>24</v>
      </c>
      <c r="Q173" s="84" vm="11180">
        <v>3</v>
      </c>
      <c r="R173" s="5">
        <f xml:space="preserve"> SUM( VfM_Metrics_2023_Entity[[#This Row],[Total social housing units owned (Period end)]], VfM_Metrics_2023_Entity[[#This Row],[Total social leasehold units owned (Period end)]] )</f>
        <v>2754</v>
      </c>
      <c r="S173" s="84" vm="11366">
        <v>2305</v>
      </c>
      <c r="T173" s="135" vm="11535">
        <v>449</v>
      </c>
      <c r="U173" s="136">
        <f xml:space="preserve"> IFERROR( VfM_Metrics_2023_Entity[[#This Row],[Total non-social housing units developed or newly built units acquired (owned)]] / VfM_Metrics_2023_Entity[[#This Row],[Total social and non-social housing units owned (Period end)]], "n/a" )</f>
        <v>0</v>
      </c>
      <c r="V17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73" s="84">
        <v>0</v>
      </c>
      <c r="X173" s="84">
        <v>0</v>
      </c>
      <c r="Y173" s="84" vm="11764">
        <v>0</v>
      </c>
      <c r="Z17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2760</v>
      </c>
      <c r="AA173" s="84" vm="12032">
        <v>2305</v>
      </c>
      <c r="AB173" s="84" vm="12457">
        <v>449</v>
      </c>
      <c r="AC173" s="84" vm="12390">
        <v>6</v>
      </c>
      <c r="AD173" s="135" vm="12525">
        <v>0</v>
      </c>
      <c r="AE173" s="134">
        <f xml:space="preserve"> IFERROR( VfM_Metrics_2023_Entity[[#This Row],[Total Net Debt]] / VfM_Metrics_2023_Entity[[#This Row],[Net Book Value of Housing Properties2]], "n/a" )</f>
        <v>0.54435554804979136</v>
      </c>
      <c r="AF17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77360</v>
      </c>
      <c r="AG173" s="84" vm="12675">
        <v>0</v>
      </c>
      <c r="AH173" s="84" vm="12793">
        <v>41754</v>
      </c>
      <c r="AI173" s="84" vm="13081">
        <v>1844</v>
      </c>
      <c r="AJ173" s="84" vm="13167">
        <v>37450</v>
      </c>
      <c r="AK173" s="84">
        <v>0</v>
      </c>
      <c r="AL173" s="5">
        <f xml:space="preserve"> SUM( VfM_Metrics_2023_Entity[[#This Row],[Tangible fixed assets: Housing properties at cost (Current period)2]], VfM_Metrics_2023_Entity[[#This Row],[Tangible fixed assets Housing properties at valuation (Current period)2]] )</f>
        <v>142113</v>
      </c>
      <c r="AM173" s="84" vm="9966">
        <v>142113</v>
      </c>
      <c r="AN173" s="135">
        <v>0</v>
      </c>
      <c r="AO173" s="137">
        <f xml:space="preserve"> IFERROR( VfM_Metrics_2023_Entity[[#This Row],[EBITDA MRI]] / VfM_Metrics_2023_Entity[[#This Row],[Total interest]], "n/a" )</f>
        <v>1.2343878389482335</v>
      </c>
      <c r="AP17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6009</v>
      </c>
      <c r="AQ173" s="84" vm="13586">
        <v>5564</v>
      </c>
      <c r="AR173" s="84" vm="14563">
        <v>40</v>
      </c>
      <c r="AS173" s="84">
        <v>0</v>
      </c>
      <c r="AT173" s="84" vm="15053">
        <v>323</v>
      </c>
      <c r="AU173" s="84" vm="13820">
        <v>0</v>
      </c>
      <c r="AV173" s="84" vm="14074">
        <v>23</v>
      </c>
      <c r="AW173" s="84" vm="14319">
        <v>1712</v>
      </c>
      <c r="AX173" s="84" vm="14564">
        <v>2497</v>
      </c>
      <c r="AY173" s="5">
        <f xml:space="preserve"> - SUM( VfM_Metrics_2023_Entity[[#This Row],[Interest capitalised]], VfM_Metrics_2023_Entity[[#This Row],[Interest payable and financing costs]] )</f>
        <v>4868</v>
      </c>
      <c r="AZ173" s="84" vm="15257">
        <v>-129</v>
      </c>
      <c r="BA173" s="135" vm="15433">
        <v>-4739</v>
      </c>
      <c r="BB173" s="138">
        <f xml:space="preserve"> IFERROR( ( VfM_Metrics_2023_Entity[[#This Row],[Total Costs]] / VfM_Metrics_2023_Entity[[#This Row],[Total units for costs]] ) * 1000, "n/a" )</f>
        <v>4892.2532441997637</v>
      </c>
      <c r="BC17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12441</v>
      </c>
      <c r="BD173" s="84" vm="17596">
        <v>5326</v>
      </c>
      <c r="BE173" s="84" vm="16496">
        <v>1686</v>
      </c>
      <c r="BF173" s="84" vm="16669">
        <v>1500</v>
      </c>
      <c r="BG173" s="84" vm="16225">
        <v>1787</v>
      </c>
      <c r="BH173" s="84" vm="17067">
        <v>0</v>
      </c>
      <c r="BI173" s="84" vm="16181">
        <v>224</v>
      </c>
      <c r="BJ173" s="84" vm="17371">
        <v>1712</v>
      </c>
      <c r="BK173" s="84" vm="17528">
        <v>164</v>
      </c>
      <c r="BL173" s="84">
        <v>0</v>
      </c>
      <c r="BM173" s="84">
        <v>0</v>
      </c>
      <c r="BN173" s="84" vm="17068">
        <v>42</v>
      </c>
      <c r="BO173" s="84">
        <v>0</v>
      </c>
      <c r="BP173" s="5" vm="17713">
        <f xml:space="preserve"> VfM_Metrics_2023_Entity[[#This Row],[Total social housing units owned and/or managed at period end]]</f>
        <v>2543</v>
      </c>
      <c r="BQ173" s="135" vm="17713">
        <v>2543</v>
      </c>
      <c r="BR173" s="134">
        <f xml:space="preserve"> IFERROR( VfM_Metrics_2023_Entity[[#This Row],[SHL operating surplus / (deficit)]] / VfM_Metrics_2023_Entity[[#This Row],[Turnover from social housing lettings]], "n/a" )</f>
        <v>0.28874325366229758</v>
      </c>
      <c r="BS173" s="5" vm="18002">
        <f xml:space="preserve"> VfM_Metrics_2023_Entity[[#This Row],[Operating surplus/(deficit) (social housing lettings)]]</f>
        <v>5243</v>
      </c>
      <c r="BT173" s="84" vm="18002">
        <v>5243</v>
      </c>
      <c r="BU173" s="5" vm="18181">
        <f xml:space="preserve"> VfM_Metrics_2023_Entity[[#This Row],[Turnover from social housing lettings]]</f>
        <v>18158</v>
      </c>
      <c r="BV173" s="135" vm="18181">
        <v>18158</v>
      </c>
      <c r="BW173" s="134">
        <f xml:space="preserve"> IFERROR( VfM_Metrics_2023_Entity[[#This Row],[Net operating surplus]] / VfM_Metrics_2023_Entity[[#This Row],[Overall turnover]], "n/a" )</f>
        <v>0.29601843416751517</v>
      </c>
      <c r="BX173" s="5">
        <f xml:space="preserve"> SUM( VfM_Metrics_2023_Entity[[#This Row],[Operating surplus/(deficit) (overall)2]], - VfM_Metrics_2023_Entity[[#This Row],[Gain/(loss) on disposal of fixed assets (housing properties)2]], - VfM_Metrics_2023_Entity[[#This Row],[Gain/(loss) on disposal of fixed assets (other)2]] )</f>
        <v>5524</v>
      </c>
      <c r="BY173" s="84" vm="13586">
        <v>5564</v>
      </c>
      <c r="BZ173" s="84" vm="14563">
        <v>40</v>
      </c>
      <c r="CA173" s="84">
        <v>0</v>
      </c>
      <c r="CB173" s="5" vm="18355">
        <f xml:space="preserve"> VfM_Metrics_2023_Entity[[#This Row],[Turnover (overall)]]</f>
        <v>18661</v>
      </c>
      <c r="CC173" s="135" vm="18355">
        <v>18661</v>
      </c>
      <c r="CD173" s="134">
        <f xml:space="preserve"> IFERROR( VfM_Metrics_2023_Entity[[#This Row],[Operating surplus including from JVs]] / VfM_Metrics_2023_Entity[[#This Row],[Net assets]], "n/a" )</f>
        <v>3.8353898118149855E-2</v>
      </c>
      <c r="CE173" s="5">
        <f xml:space="preserve"> SUM( VfM_Metrics_2023_Entity[[#This Row],[Operating surplus/(deficit) (overall)3]], VfM_Metrics_2023_Entity[[#This Row],[Share of operating surplus/(deficit) in joint ventures or associates]] )</f>
        <v>5564</v>
      </c>
      <c r="CF173" s="84" vm="13586">
        <v>5564</v>
      </c>
      <c r="CG173" s="84">
        <v>0</v>
      </c>
      <c r="CH173" s="5" vm="18727">
        <f xml:space="preserve"> VfM_Metrics_2023_Entity[[#This Row],[Total assets less current liabilities]]</f>
        <v>145070</v>
      </c>
      <c r="CI173" s="135" vm="18727">
        <v>145070</v>
      </c>
      <c r="CJ173" s="140" vm="11366">
        <f xml:space="preserve"> VfM_Metrics_2023_Entity[[#This Row],[Total social housing units owned (Period end)]]</f>
        <v>2305</v>
      </c>
      <c r="CK173" s="141">
        <v>2.6052974381241857E-3</v>
      </c>
      <c r="CL173" s="69">
        <f xml:space="preserve"> -- ( VfM_Metrics_2023_Entity[[#This Row],[% Supported housing (excl. HOP)]] &gt; 0.3 )</f>
        <v>0</v>
      </c>
      <c r="CM173" s="9">
        <v>8.0330004342162392E-2</v>
      </c>
      <c r="CN173" s="69">
        <f xml:space="preserve"> -- ( VfM_Metrics_2023_Entity[[#This Row],[% Housing for older people]] &gt; 0.3 )</f>
        <v>0</v>
      </c>
      <c r="CO173" s="9">
        <f xml:space="preserve"> VfM_Metrics_2023_Entity[[#This Row],[% Supported housing (excl. HOP)]] + VfM_Metrics_2023_Entity[[#This Row],[% Housing for older people]]</f>
        <v>8.2935301780286574E-2</v>
      </c>
      <c r="CP173" s="69">
        <f xml:space="preserve"> -- ( VfM_Metrics_2023_Entity[[#This Row],[SH specialist in RSH analysis]] + VfM_Metrics_2023_Entity[[#This Row],[OP specialist in RSH analysis]] &gt; 0 )</f>
        <v>0</v>
      </c>
      <c r="CQ173" s="142">
        <f xml:space="preserve"> -- ( VfM_Metrics_2023_Entity[[#This Row],[% SH and OP]] &gt; 0.3 )</f>
        <v>0</v>
      </c>
      <c r="CR173" s="143" t="s">
        <v>143</v>
      </c>
      <c r="CS173" s="120"/>
      <c r="CT173" s="144" t="s">
        <v>151</v>
      </c>
      <c r="CU17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73" s="146">
        <v>0</v>
      </c>
      <c r="CW173" s="146">
        <v>1</v>
      </c>
      <c r="CX173" s="146">
        <v>0</v>
      </c>
      <c r="CY173" s="146">
        <v>0</v>
      </c>
      <c r="CZ173" s="146">
        <v>0</v>
      </c>
      <c r="DA173" s="146">
        <v>0</v>
      </c>
      <c r="DB173" s="146">
        <v>0</v>
      </c>
      <c r="DC173" s="146">
        <v>0</v>
      </c>
      <c r="DD173" s="146">
        <v>0</v>
      </c>
      <c r="DE173" s="126">
        <v>1.0337125580623883</v>
      </c>
    </row>
    <row r="174" spans="1:109" x14ac:dyDescent="0.25">
      <c r="A174" s="4" t="s" vm="384">
        <v>426</v>
      </c>
      <c r="B174" s="4" t="s" vm="9356">
        <v>427</v>
      </c>
      <c r="C174" s="121" vm="18778">
        <v>45016</v>
      </c>
      <c r="D174" s="68">
        <f>IFERROR( VfM_Metrics_2023_Entity[[#This Row],[Reinvestment Spend]] / VfM_Metrics_2023_Entity[[#This Row],[Net Book Value of Housing Properties]], "n/a" )</f>
        <v>0.11856464539146631</v>
      </c>
      <c r="E17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36157</v>
      </c>
      <c r="F174" s="84" vm="10228">
        <v>29189</v>
      </c>
      <c r="G174" s="84" vm="9692">
        <v>0</v>
      </c>
      <c r="H174" s="84" vm="10677">
        <v>6968</v>
      </c>
      <c r="I174" s="84" vm="9773">
        <v>0</v>
      </c>
      <c r="J174" s="84" vm="9522">
        <v>0</v>
      </c>
      <c r="K174" s="5">
        <f xml:space="preserve"> SUM( VfM_Metrics_2023_Entity[[#This Row],[Tangible fixed assets: Housing properties at cost (Current period)]],VfM_Metrics_2023_Entity[[#This Row],[Tangible fixed assets Housing properties at valuation (Current period)]] )</f>
        <v>304956</v>
      </c>
      <c r="L174" s="84" vm="10225">
        <v>304956</v>
      </c>
      <c r="M174" s="84" vm="10154">
        <v>0</v>
      </c>
      <c r="N174" s="134">
        <f xml:space="preserve"> IFERROR( VfM_Metrics_2023_Entity[[#This Row],[Total social units developed or newly built units acquired in-year]] / VfM_Metrics_2023_Entity[[#This Row],[Social housing units owned (period end)]], "n/a" )</f>
        <v>1.5544823422879566E-2</v>
      </c>
      <c r="O174" s="5">
        <f xml:space="preserve"> SUM( VfM_Metrics_2023_Entity[[#This Row],[Total social units developed or newly built units acquired in-year (owned)]], VfM_Metrics_2023_Entity[[#This Row],[Total social leasehold units developed or newly built units acquired in-year (owned)]] )</f>
        <v>103</v>
      </c>
      <c r="P174" s="84" vm="11074">
        <v>103</v>
      </c>
      <c r="Q174" s="84" vm="11197">
        <v>0</v>
      </c>
      <c r="R174" s="5">
        <f xml:space="preserve"> SUM( VfM_Metrics_2023_Entity[[#This Row],[Total social housing units owned (Period end)]], VfM_Metrics_2023_Entity[[#This Row],[Total social leasehold units owned (Period end)]] )</f>
        <v>6626</v>
      </c>
      <c r="S174" s="84" vm="11383">
        <v>6626</v>
      </c>
      <c r="T174" s="135" vm="11502">
        <v>0</v>
      </c>
      <c r="U174" s="136">
        <f xml:space="preserve"> IFERROR( VfM_Metrics_2023_Entity[[#This Row],[Total non-social housing units developed or newly built units acquired (owned)]] / VfM_Metrics_2023_Entity[[#This Row],[Total social and non-social housing units owned (Period end)]], "n/a" )</f>
        <v>5.9461870075813879E-4</v>
      </c>
      <c r="V17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4</v>
      </c>
      <c r="W174" s="84" vm="11675">
        <v>0</v>
      </c>
      <c r="X174" s="84" vm="11808">
        <v>4</v>
      </c>
      <c r="Y174" s="84" vm="11855">
        <v>0</v>
      </c>
      <c r="Z17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6727</v>
      </c>
      <c r="AA174" s="84" vm="12054">
        <v>6626</v>
      </c>
      <c r="AB174" s="84" vm="11502">
        <v>0</v>
      </c>
      <c r="AC174" s="84" vm="12141">
        <v>0</v>
      </c>
      <c r="AD174" s="135" vm="12296">
        <v>101</v>
      </c>
      <c r="AE174" s="134">
        <f xml:space="preserve"> IFERROR( VfM_Metrics_2023_Entity[[#This Row],[Total Net Debt]] / VfM_Metrics_2023_Entity[[#This Row],[Net Book Value of Housing Properties2]], "n/a" )</f>
        <v>0.62769711040281218</v>
      </c>
      <c r="AF17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191420</v>
      </c>
      <c r="AG174" s="84" vm="12696">
        <v>0</v>
      </c>
      <c r="AH174" s="84" vm="13343">
        <v>201373</v>
      </c>
      <c r="AI174" s="84" vm="12913">
        <v>9953</v>
      </c>
      <c r="AJ174" s="84" vm="12794">
        <v>0</v>
      </c>
      <c r="AK174" s="84" vm="13053">
        <v>0</v>
      </c>
      <c r="AL174" s="5">
        <f xml:space="preserve"> SUM( VfM_Metrics_2023_Entity[[#This Row],[Tangible fixed assets: Housing properties at cost (Current period)2]], VfM_Metrics_2023_Entity[[#This Row],[Tangible fixed assets Housing properties at valuation (Current period)2]] )</f>
        <v>304956</v>
      </c>
      <c r="AM174" s="84" vm="13393">
        <v>304956</v>
      </c>
      <c r="AN174" s="135" vm="10155">
        <v>0</v>
      </c>
      <c r="AO174" s="137">
        <f xml:space="preserve"> IFERROR( VfM_Metrics_2023_Entity[[#This Row],[EBITDA MRI]] / VfM_Metrics_2023_Entity[[#This Row],[Total interest]], "n/a" )</f>
        <v>0.4538187866746754</v>
      </c>
      <c r="AP17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9822</v>
      </c>
      <c r="AQ174" s="84" vm="13617">
        <v>12128</v>
      </c>
      <c r="AR174" s="84" vm="14810">
        <v>1666</v>
      </c>
      <c r="AS174" s="84" vm="15054">
        <v>31</v>
      </c>
      <c r="AT174" s="84" vm="13821">
        <v>461</v>
      </c>
      <c r="AU174" s="84" vm="14075">
        <v>0</v>
      </c>
      <c r="AV174" s="84" vm="14320">
        <v>681</v>
      </c>
      <c r="AW174" s="84" vm="14565">
        <v>6968</v>
      </c>
      <c r="AX174" s="84" vm="14811">
        <v>6139</v>
      </c>
      <c r="AY174" s="5">
        <f xml:space="preserve"> - SUM( VfM_Metrics_2023_Entity[[#This Row],[Interest capitalised]], VfM_Metrics_2023_Entity[[#This Row],[Interest payable and financing costs]] )</f>
        <v>21643</v>
      </c>
      <c r="AZ174" s="84" vm="15286">
        <v>0</v>
      </c>
      <c r="BA174" s="135" vm="15467">
        <v>-21643</v>
      </c>
      <c r="BB174" s="138">
        <f xml:space="preserve"> IFERROR( ( VfM_Metrics_2023_Entity[[#This Row],[Total Costs]] / VfM_Metrics_2023_Entity[[#This Row],[Total units for costs]] ) * 1000, "n/a" )</f>
        <v>4068.970721400543</v>
      </c>
      <c r="BC17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26961</v>
      </c>
      <c r="BD174" s="84" vm="15525">
        <v>5458</v>
      </c>
      <c r="BE174" s="84" vm="17070">
        <v>1596</v>
      </c>
      <c r="BF174" s="84" vm="17597">
        <v>7483</v>
      </c>
      <c r="BG174" s="84" vm="15050">
        <v>243</v>
      </c>
      <c r="BH174" s="84" vm="16747">
        <v>263</v>
      </c>
      <c r="BI174" s="84" vm="16837">
        <v>25</v>
      </c>
      <c r="BJ174" s="84" vm="17069">
        <v>6968</v>
      </c>
      <c r="BK174" s="84" vm="16004">
        <v>4925</v>
      </c>
      <c r="BL174" s="84" vm="17597">
        <v>0</v>
      </c>
      <c r="BM174" s="84" vm="16494">
        <v>0</v>
      </c>
      <c r="BN174" s="84" vm="16226">
        <v>0</v>
      </c>
      <c r="BO174" s="84" vm="17373">
        <v>0</v>
      </c>
      <c r="BP174" s="5" vm="17768">
        <f xml:space="preserve"> VfM_Metrics_2023_Entity[[#This Row],[Total social housing units owned and/or managed at period end]]</f>
        <v>6626</v>
      </c>
      <c r="BQ174" s="135" vm="17768">
        <v>6626</v>
      </c>
      <c r="BR174" s="134">
        <f xml:space="preserve"> IFERROR( VfM_Metrics_2023_Entity[[#This Row],[SHL operating surplus / (deficit)]] / VfM_Metrics_2023_Entity[[#This Row],[Turnover from social housing lettings]], "n/a" )</f>
        <v>0.26149595421353861</v>
      </c>
      <c r="BS174" s="5" vm="18029">
        <f xml:space="preserve"> VfM_Metrics_2023_Entity[[#This Row],[Operating surplus/(deficit) (social housing lettings)]]</f>
        <v>9275</v>
      </c>
      <c r="BT174" s="84" vm="18029">
        <v>9275</v>
      </c>
      <c r="BU174" s="5" vm="18203">
        <f xml:space="preserve"> VfM_Metrics_2023_Entity[[#This Row],[Turnover from social housing lettings]]</f>
        <v>35469</v>
      </c>
      <c r="BV174" s="135" vm="18203">
        <v>35469</v>
      </c>
      <c r="BW174" s="134">
        <f xml:space="preserve"> IFERROR( VfM_Metrics_2023_Entity[[#This Row],[Net operating surplus]] / VfM_Metrics_2023_Entity[[#This Row],[Overall turnover]], "n/a" )</f>
        <v>0.27116749421582137</v>
      </c>
      <c r="BX174" s="5">
        <f xml:space="preserve"> SUM( VfM_Metrics_2023_Entity[[#This Row],[Operating surplus/(deficit) (overall)2]], - VfM_Metrics_2023_Entity[[#This Row],[Gain/(loss) on disposal of fixed assets (housing properties)2]], - VfM_Metrics_2023_Entity[[#This Row],[Gain/(loss) on disposal of fixed assets (other)2]] )</f>
        <v>10431</v>
      </c>
      <c r="BY174" s="84" vm="13617">
        <v>12128</v>
      </c>
      <c r="BZ174" s="84" vm="14810">
        <v>1666</v>
      </c>
      <c r="CA174" s="84" vm="15054">
        <v>31</v>
      </c>
      <c r="CB174" s="5" vm="18380">
        <f xml:space="preserve"> VfM_Metrics_2023_Entity[[#This Row],[Turnover (overall)]]</f>
        <v>38467</v>
      </c>
      <c r="CC174" s="135" vm="18380">
        <v>38467</v>
      </c>
      <c r="CD174" s="134">
        <f xml:space="preserve"> IFERROR( VfM_Metrics_2023_Entity[[#This Row],[Operating surplus including from JVs]] / VfM_Metrics_2023_Entity[[#This Row],[Net assets]], "n/a" )</f>
        <v>3.724198075257789E-2</v>
      </c>
      <c r="CE174" s="5">
        <f xml:space="preserve"> SUM( VfM_Metrics_2023_Entity[[#This Row],[Operating surplus/(deficit) (overall)3]], VfM_Metrics_2023_Entity[[#This Row],[Share of operating surplus/(deficit) in joint ventures or associates]] )</f>
        <v>12128</v>
      </c>
      <c r="CF174" s="84" vm="13618">
        <v>12128</v>
      </c>
      <c r="CG174" s="84" vm="18543">
        <v>0</v>
      </c>
      <c r="CH174" s="5" vm="18748">
        <f xml:space="preserve"> VfM_Metrics_2023_Entity[[#This Row],[Total assets less current liabilities]]</f>
        <v>325654</v>
      </c>
      <c r="CI174" s="135" vm="18748">
        <v>325654</v>
      </c>
      <c r="CJ174" s="140" vm="11383">
        <f xml:space="preserve"> VfM_Metrics_2023_Entity[[#This Row],[Total social housing units owned (Period end)]]</f>
        <v>6626</v>
      </c>
      <c r="CK174" s="141">
        <v>1.9461310913903161E-2</v>
      </c>
      <c r="CL174" s="69">
        <f xml:space="preserve"> -- ( VfM_Metrics_2023_Entity[[#This Row],[% Supported housing (excl. HOP)]] &gt; 0.3 )</f>
        <v>0</v>
      </c>
      <c r="CM174" s="9">
        <v>9.5905340183714771E-2</v>
      </c>
      <c r="CN174" s="69">
        <f xml:space="preserve"> -- ( VfM_Metrics_2023_Entity[[#This Row],[% Housing for older people]] &gt; 0.3 )</f>
        <v>0</v>
      </c>
      <c r="CO174" s="9">
        <f xml:space="preserve"> VfM_Metrics_2023_Entity[[#This Row],[% Supported housing (excl. HOP)]] + VfM_Metrics_2023_Entity[[#This Row],[% Housing for older people]]</f>
        <v>0.11536665109761793</v>
      </c>
      <c r="CP174" s="69">
        <f xml:space="preserve"> -- ( VfM_Metrics_2023_Entity[[#This Row],[SH specialist in RSH analysis]] + VfM_Metrics_2023_Entity[[#This Row],[OP specialist in RSH analysis]] &gt; 0 )</f>
        <v>0</v>
      </c>
      <c r="CQ174" s="142">
        <f xml:space="preserve"> -- ( VfM_Metrics_2023_Entity[[#This Row],[% SH and OP]] &gt; 0.3 )</f>
        <v>0</v>
      </c>
      <c r="CR174" s="143" t="s">
        <v>143</v>
      </c>
      <c r="CS174" s="120"/>
      <c r="CT174" s="144" t="s">
        <v>151</v>
      </c>
      <c r="CU17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174" s="146">
        <v>0</v>
      </c>
      <c r="CW174" s="146">
        <v>0</v>
      </c>
      <c r="CX174" s="146">
        <v>0</v>
      </c>
      <c r="CY174" s="146">
        <v>0</v>
      </c>
      <c r="CZ174" s="146">
        <v>0</v>
      </c>
      <c r="DA174" s="146">
        <v>1</v>
      </c>
      <c r="DB174" s="146">
        <v>0</v>
      </c>
      <c r="DC174" s="146">
        <v>0</v>
      </c>
      <c r="DD174" s="146">
        <v>0</v>
      </c>
      <c r="DE174" s="126">
        <v>1.0113701298544711</v>
      </c>
    </row>
    <row r="175" spans="1:109" x14ac:dyDescent="0.25">
      <c r="A175" s="4" t="s" vm="383">
        <v>428</v>
      </c>
      <c r="B175" s="4" t="s" vm="9274">
        <v>429</v>
      </c>
      <c r="C175" s="121" vm="18823">
        <v>45016</v>
      </c>
      <c r="D175" s="68">
        <f>IFERROR( VfM_Metrics_2023_Entity[[#This Row],[Reinvestment Spend]] / VfM_Metrics_2023_Entity[[#This Row],[Net Book Value of Housing Properties]], "n/a" )</f>
        <v>0.12328191462102188</v>
      </c>
      <c r="E17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24056</v>
      </c>
      <c r="F175" s="84" vm="10501">
        <v>18271</v>
      </c>
      <c r="G175" s="84" vm="9760">
        <v>0</v>
      </c>
      <c r="H175" s="84" vm="10564">
        <v>5500</v>
      </c>
      <c r="I175" s="84" vm="9810">
        <v>285</v>
      </c>
      <c r="J175" s="84" vm="9693">
        <v>0</v>
      </c>
      <c r="K175" s="5">
        <f xml:space="preserve"> SUM( VfM_Metrics_2023_Entity[[#This Row],[Tangible fixed assets: Housing properties at cost (Current period)]],VfM_Metrics_2023_Entity[[#This Row],[Tangible fixed assets Housing properties at valuation (Current period)]] )</f>
        <v>195130</v>
      </c>
      <c r="L175" s="84" vm="9946">
        <v>195130</v>
      </c>
      <c r="M175" s="84" vm="10726">
        <v>0</v>
      </c>
      <c r="N175" s="134">
        <f xml:space="preserve"> IFERROR( VfM_Metrics_2023_Entity[[#This Row],[Total social units developed or newly built units acquired in-year]] / VfM_Metrics_2023_Entity[[#This Row],[Social housing units owned (period end)]], "n/a" )</f>
        <v>0</v>
      </c>
      <c r="O175" s="5">
        <f xml:space="preserve"> SUM( VfM_Metrics_2023_Entity[[#This Row],[Total social units developed or newly built units acquired in-year (owned)]], VfM_Metrics_2023_Entity[[#This Row],[Total social leasehold units developed or newly built units acquired in-year (owned)]] )</f>
        <v>0</v>
      </c>
      <c r="P175" s="84" vm="10978">
        <v>0</v>
      </c>
      <c r="Q175" s="84" vm="11150">
        <v>0</v>
      </c>
      <c r="R175" s="5">
        <f xml:space="preserve"> SUM( VfM_Metrics_2023_Entity[[#This Row],[Total social housing units owned (Period end)]], VfM_Metrics_2023_Entity[[#This Row],[Total social leasehold units owned (Period end)]] )</f>
        <v>7876</v>
      </c>
      <c r="S175" s="84" vm="11274">
        <v>7876</v>
      </c>
      <c r="T175" s="135" vm="11536">
        <v>0</v>
      </c>
      <c r="U175" s="136">
        <f xml:space="preserve"> IFERROR( VfM_Metrics_2023_Entity[[#This Row],[Total non-social housing units developed or newly built units acquired (owned)]] / VfM_Metrics_2023_Entity[[#This Row],[Total social and non-social housing units owned (Period end)]], "n/a" )</f>
        <v>1.2661433274246644E-4</v>
      </c>
      <c r="V17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v>
      </c>
      <c r="W175" s="84" vm="11626">
        <v>1</v>
      </c>
      <c r="X175" s="84" vm="11809">
        <v>0</v>
      </c>
      <c r="Y175" s="84" vm="11856">
        <v>0</v>
      </c>
      <c r="Z17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7898</v>
      </c>
      <c r="AA175" s="84" vm="11274">
        <v>7876</v>
      </c>
      <c r="AB175" s="84" vm="11536">
        <v>0</v>
      </c>
      <c r="AC175" s="84" vm="12391">
        <v>22</v>
      </c>
      <c r="AD175" s="135" vm="12526">
        <v>0</v>
      </c>
      <c r="AE175" s="134">
        <f xml:space="preserve"> IFERROR( VfM_Metrics_2023_Entity[[#This Row],[Total Net Debt]] / VfM_Metrics_2023_Entity[[#This Row],[Net Book Value of Housing Properties2]], "n/a" )</f>
        <v>0.39577204940296212</v>
      </c>
      <c r="AF17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77227</v>
      </c>
      <c r="AG175" s="84" vm="12623">
        <v>0</v>
      </c>
      <c r="AH175" s="84" vm="13249">
        <v>79438</v>
      </c>
      <c r="AI175" s="84" vm="13344">
        <v>2211</v>
      </c>
      <c r="AJ175" s="84" vm="12795">
        <v>0</v>
      </c>
      <c r="AK175" s="84" vm="12956">
        <v>0</v>
      </c>
      <c r="AL175" s="5">
        <f xml:space="preserve"> SUM( VfM_Metrics_2023_Entity[[#This Row],[Tangible fixed assets: Housing properties at cost (Current period)2]], VfM_Metrics_2023_Entity[[#This Row],[Tangible fixed assets Housing properties at valuation (Current period)2]] )</f>
        <v>195130</v>
      </c>
      <c r="AM175" s="84" vm="10060">
        <v>195130</v>
      </c>
      <c r="AN175" s="135" vm="10111">
        <v>0</v>
      </c>
      <c r="AO175" s="137">
        <f xml:space="preserve"> IFERROR( VfM_Metrics_2023_Entity[[#This Row],[EBITDA MRI]] / VfM_Metrics_2023_Entity[[#This Row],[Total interest]], "n/a" )</f>
        <v>1.1963230466185162</v>
      </c>
      <c r="AP17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3644</v>
      </c>
      <c r="AQ175" s="84" vm="13526">
        <v>7297</v>
      </c>
      <c r="AR175" s="84" vm="14076">
        <v>3152</v>
      </c>
      <c r="AS175" s="84">
        <v>0</v>
      </c>
      <c r="AT175" s="84" vm="14566">
        <v>314</v>
      </c>
      <c r="AU175" s="84" vm="14812">
        <v>320</v>
      </c>
      <c r="AV175" s="84" vm="15055">
        <v>44</v>
      </c>
      <c r="AW175" s="84" vm="13822">
        <v>5500</v>
      </c>
      <c r="AX175" s="84" vm="14077">
        <v>5589</v>
      </c>
      <c r="AY175" s="5">
        <f xml:space="preserve"> - SUM( VfM_Metrics_2023_Entity[[#This Row],[Interest capitalised]], VfM_Metrics_2023_Entity[[#This Row],[Interest payable and financing costs]] )</f>
        <v>3046</v>
      </c>
      <c r="AZ175" s="84" vm="15204">
        <v>-285</v>
      </c>
      <c r="BA175" s="135" vm="15372">
        <v>-2761</v>
      </c>
      <c r="BB175" s="138">
        <f xml:space="preserve"> IFERROR( ( VfM_Metrics_2023_Entity[[#This Row],[Total Costs]] / VfM_Metrics_2023_Entity[[#This Row],[Total units for costs]] ) * 1000, "n/a" )</f>
        <v>4100.6856272219393</v>
      </c>
      <c r="BC17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32297</v>
      </c>
      <c r="BD175" s="84" vm="15544">
        <v>10690</v>
      </c>
      <c r="BE175" s="84" vm="17598">
        <v>4375</v>
      </c>
      <c r="BF175" s="84" vm="16497">
        <v>9511</v>
      </c>
      <c r="BG175" s="84" vm="16670">
        <v>1874</v>
      </c>
      <c r="BH175" s="84" vm="16748">
        <v>262</v>
      </c>
      <c r="BI175" s="84" vm="16184">
        <v>0</v>
      </c>
      <c r="BJ175" s="84" vm="17140">
        <v>5500</v>
      </c>
      <c r="BK175" s="84" vm="17295">
        <v>7</v>
      </c>
      <c r="BL175" s="84" vm="16500">
        <v>70</v>
      </c>
      <c r="BM175" s="84" vm="16007">
        <v>0</v>
      </c>
      <c r="BN175" s="84" vm="16749">
        <v>8</v>
      </c>
      <c r="BO175" s="84" vm="17529">
        <v>0</v>
      </c>
      <c r="BP175" s="5" vm="17679">
        <f xml:space="preserve"> VfM_Metrics_2023_Entity[[#This Row],[Total social housing units owned and/or managed at period end]]</f>
        <v>7876</v>
      </c>
      <c r="BQ175" s="135" vm="17679">
        <v>7876</v>
      </c>
      <c r="BR175" s="134">
        <f xml:space="preserve"> IFERROR( VfM_Metrics_2023_Entity[[#This Row],[SHL operating surplus / (deficit)]] / VfM_Metrics_2023_Entity[[#This Row],[Turnover from social housing lettings]], "n/a" )</f>
        <v>0.12386282185587473</v>
      </c>
      <c r="BS175" s="5" vm="17934">
        <f xml:space="preserve"> VfM_Metrics_2023_Entity[[#This Row],[Operating surplus/(deficit) (social housing lettings)]]</f>
        <v>4493</v>
      </c>
      <c r="BT175" s="84" vm="17934">
        <v>4493</v>
      </c>
      <c r="BU175" s="5" vm="18129">
        <f xml:space="preserve"> VfM_Metrics_2023_Entity[[#This Row],[Turnover from social housing lettings]]</f>
        <v>36274</v>
      </c>
      <c r="BV175" s="135" vm="18129">
        <v>36274</v>
      </c>
      <c r="BW175" s="134">
        <f xml:space="preserve"> IFERROR( VfM_Metrics_2023_Entity[[#This Row],[Net operating surplus]] / VfM_Metrics_2023_Entity[[#This Row],[Overall turnover]], "n/a" )</f>
        <v>0.10611064178378517</v>
      </c>
      <c r="BX175" s="5">
        <f xml:space="preserve"> SUM( VfM_Metrics_2023_Entity[[#This Row],[Operating surplus/(deficit) (overall)2]], - VfM_Metrics_2023_Entity[[#This Row],[Gain/(loss) on disposal of fixed assets (housing properties)2]], - VfM_Metrics_2023_Entity[[#This Row],[Gain/(loss) on disposal of fixed assets (other)2]] )</f>
        <v>4145</v>
      </c>
      <c r="BY175" s="84" vm="13526">
        <v>7297</v>
      </c>
      <c r="BZ175" s="84" vm="14076">
        <v>3152</v>
      </c>
      <c r="CA175" s="84">
        <v>0</v>
      </c>
      <c r="CB175" s="5" vm="18284">
        <f xml:space="preserve"> VfM_Metrics_2023_Entity[[#This Row],[Turnover (overall)]]</f>
        <v>39063</v>
      </c>
      <c r="CC175" s="135" vm="18284">
        <v>39063</v>
      </c>
      <c r="CD175" s="134">
        <f xml:space="preserve"> IFERROR( VfM_Metrics_2023_Entity[[#This Row],[Operating surplus including from JVs]] / VfM_Metrics_2023_Entity[[#This Row],[Net assets]], "n/a" )</f>
        <v>3.0059608405320678E-2</v>
      </c>
      <c r="CE175" s="5">
        <f xml:space="preserve"> SUM( VfM_Metrics_2023_Entity[[#This Row],[Operating surplus/(deficit) (overall)3]], VfM_Metrics_2023_Entity[[#This Row],[Share of operating surplus/(deficit) in joint ventures or associates]] )</f>
        <v>7297</v>
      </c>
      <c r="CF175" s="84" vm="13526">
        <v>7297</v>
      </c>
      <c r="CG175" s="84" vm="18486">
        <v>0</v>
      </c>
      <c r="CH175" s="5" vm="18670">
        <f xml:space="preserve"> VfM_Metrics_2023_Entity[[#This Row],[Total assets less current liabilities]]</f>
        <v>242751</v>
      </c>
      <c r="CI175" s="135" vm="18670">
        <v>242751</v>
      </c>
      <c r="CJ175" s="140" vm="11274">
        <f xml:space="preserve"> VfM_Metrics_2023_Entity[[#This Row],[Total social housing units owned (Period end)]]</f>
        <v>7876</v>
      </c>
      <c r="CK175" s="141">
        <v>0</v>
      </c>
      <c r="CL175" s="69">
        <f xml:space="preserve"> -- ( VfM_Metrics_2023_Entity[[#This Row],[% Supported housing (excl. HOP)]] &gt; 0.3 )</f>
        <v>0</v>
      </c>
      <c r="CM175" s="9">
        <v>3.7709497206703912E-2</v>
      </c>
      <c r="CN175" s="69">
        <f xml:space="preserve"> -- ( VfM_Metrics_2023_Entity[[#This Row],[% Housing for older people]] &gt; 0.3 )</f>
        <v>0</v>
      </c>
      <c r="CO175" s="9">
        <f xml:space="preserve"> VfM_Metrics_2023_Entity[[#This Row],[% Supported housing (excl. HOP)]] + VfM_Metrics_2023_Entity[[#This Row],[% Housing for older people]]</f>
        <v>3.7709497206703912E-2</v>
      </c>
      <c r="CP175" s="69">
        <f xml:space="preserve"> -- ( VfM_Metrics_2023_Entity[[#This Row],[SH specialist in RSH analysis]] + VfM_Metrics_2023_Entity[[#This Row],[OP specialist in RSH analysis]] &gt; 0 )</f>
        <v>0</v>
      </c>
      <c r="CQ175" s="142">
        <f xml:space="preserve"> -- ( VfM_Metrics_2023_Entity[[#This Row],[% SH and OP]] &gt; 0.3 )</f>
        <v>0</v>
      </c>
      <c r="CR175" s="143" t="s">
        <v>168</v>
      </c>
      <c r="CS175" s="120">
        <v>42086</v>
      </c>
      <c r="CT175" s="144" t="s">
        <v>169</v>
      </c>
      <c r="CU17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75" s="146">
        <v>0</v>
      </c>
      <c r="CW175" s="146">
        <v>0</v>
      </c>
      <c r="CX175" s="146">
        <v>0</v>
      </c>
      <c r="CY175" s="146">
        <v>0</v>
      </c>
      <c r="CZ175" s="146">
        <v>0</v>
      </c>
      <c r="DA175" s="146">
        <v>0</v>
      </c>
      <c r="DB175" s="146">
        <v>0</v>
      </c>
      <c r="DC175" s="146">
        <v>1</v>
      </c>
      <c r="DD175" s="146">
        <v>0</v>
      </c>
      <c r="DE175" s="126">
        <v>0.96105917141044694</v>
      </c>
    </row>
    <row r="176" spans="1:109" x14ac:dyDescent="0.25">
      <c r="A176" s="4" t="s" vm="310">
        <v>430</v>
      </c>
      <c r="B176" s="4" t="s" vm="9317">
        <v>431</v>
      </c>
      <c r="C176" s="121" vm="18832">
        <v>45016</v>
      </c>
      <c r="D176" s="68">
        <f>IFERROR( VfM_Metrics_2023_Entity[[#This Row],[Reinvestment Spend]] / VfM_Metrics_2023_Entity[[#This Row],[Net Book Value of Housing Properties]], "n/a" )</f>
        <v>2.2490946005267777E-2</v>
      </c>
      <c r="E17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3279</v>
      </c>
      <c r="F176" s="84" vm="10243">
        <v>0</v>
      </c>
      <c r="G176" s="84" vm="10831">
        <v>348</v>
      </c>
      <c r="H176" s="84" vm="9523">
        <v>2931</v>
      </c>
      <c r="I176" s="84" vm="9580">
        <v>0</v>
      </c>
      <c r="J176" s="84" vm="9635">
        <v>0</v>
      </c>
      <c r="K176" s="5">
        <f xml:space="preserve"> SUM( VfM_Metrics_2023_Entity[[#This Row],[Tangible fixed assets: Housing properties at cost (Current period)]],VfM_Metrics_2023_Entity[[#This Row],[Tangible fixed assets Housing properties at valuation (Current period)]] )</f>
        <v>145792</v>
      </c>
      <c r="L176" s="84" vm="9949">
        <v>145792</v>
      </c>
      <c r="M176" s="84" vm="10663">
        <v>0</v>
      </c>
      <c r="N176" s="134">
        <f xml:space="preserve"> IFERROR( VfM_Metrics_2023_Entity[[#This Row],[Total social units developed or newly built units acquired in-year]] / VfM_Metrics_2023_Entity[[#This Row],[Social housing units owned (period end)]], "n/a" )</f>
        <v>2.768549280177187E-4</v>
      </c>
      <c r="O176" s="5">
        <f xml:space="preserve"> SUM( VfM_Metrics_2023_Entity[[#This Row],[Total social units developed or newly built units acquired in-year (owned)]], VfM_Metrics_2023_Entity[[#This Row],[Total social leasehold units developed or newly built units acquired in-year (owned)]] )</f>
        <v>1</v>
      </c>
      <c r="P176" s="84" vm="11031">
        <v>1</v>
      </c>
      <c r="Q176" s="84" vm="11162">
        <v>0</v>
      </c>
      <c r="R176" s="5">
        <f xml:space="preserve"> SUM( VfM_Metrics_2023_Entity[[#This Row],[Total social housing units owned (Period end)]], VfM_Metrics_2023_Entity[[#This Row],[Total social leasehold units owned (Period end)]] )</f>
        <v>3612</v>
      </c>
      <c r="S176" s="84" vm="11322">
        <v>3612</v>
      </c>
      <c r="T176" s="135" vm="11546">
        <v>0</v>
      </c>
      <c r="U176" s="136">
        <f xml:space="preserve"> IFERROR( VfM_Metrics_2023_Entity[[#This Row],[Total non-social housing units developed or newly built units acquired (owned)]] / VfM_Metrics_2023_Entity[[#This Row],[Total social and non-social housing units owned (Period end)]], "n/a" )</f>
        <v>0</v>
      </c>
      <c r="V17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76" s="84" vm="11643">
        <v>0</v>
      </c>
      <c r="X176" s="84" vm="11895">
        <v>0</v>
      </c>
      <c r="Y176" s="84" vm="11936">
        <v>0</v>
      </c>
      <c r="Z17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3771</v>
      </c>
      <c r="AA176" s="84" vm="12006">
        <v>3612</v>
      </c>
      <c r="AB176" s="84" vm="11546">
        <v>0</v>
      </c>
      <c r="AC176" s="84" vm="12142">
        <v>159</v>
      </c>
      <c r="AD176" s="135" vm="12298">
        <v>0</v>
      </c>
      <c r="AE176" s="134">
        <f xml:space="preserve"> IFERROR( VfM_Metrics_2023_Entity[[#This Row],[Total Net Debt]] / VfM_Metrics_2023_Entity[[#This Row],[Net Book Value of Housing Properties2]], "n/a" )</f>
        <v>9.9648814749780504E-2</v>
      </c>
      <c r="AF17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14528</v>
      </c>
      <c r="AG176" s="84" vm="12648">
        <v>2516</v>
      </c>
      <c r="AH176" s="84" vm="13054">
        <v>17221</v>
      </c>
      <c r="AI176" s="84" vm="13140">
        <v>5209</v>
      </c>
      <c r="AJ176" s="84" vm="13224">
        <v>0</v>
      </c>
      <c r="AK176" s="84" vm="13310">
        <v>0</v>
      </c>
      <c r="AL176" s="5">
        <f xml:space="preserve"> SUM( VfM_Metrics_2023_Entity[[#This Row],[Tangible fixed assets: Housing properties at cost (Current period)2]], VfM_Metrics_2023_Entity[[#This Row],[Tangible fixed assets Housing properties at valuation (Current period)2]] )</f>
        <v>145792</v>
      </c>
      <c r="AM176" s="84" vm="9949">
        <v>145792</v>
      </c>
      <c r="AN176" s="135" vm="13409">
        <v>0</v>
      </c>
      <c r="AO176" s="137">
        <f xml:space="preserve"> IFERROR( VfM_Metrics_2023_Entity[[#This Row],[EBITDA MRI]] / VfM_Metrics_2023_Entity[[#This Row],[Total interest]], "n/a" )</f>
        <v>2.0579119086460032</v>
      </c>
      <c r="AP17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2523</v>
      </c>
      <c r="AQ176" s="84" vm="13556">
        <v>3524</v>
      </c>
      <c r="AR176" s="84" vm="14321">
        <v>0</v>
      </c>
      <c r="AS176" s="84" vm="14567">
        <v>0</v>
      </c>
      <c r="AT176" s="84" vm="14813">
        <v>2465</v>
      </c>
      <c r="AU176" s="84" vm="15056">
        <v>0</v>
      </c>
      <c r="AV176" s="84" vm="13823">
        <v>64</v>
      </c>
      <c r="AW176" s="84" vm="14078">
        <v>2931</v>
      </c>
      <c r="AX176" s="84" vm="14322">
        <v>4331</v>
      </c>
      <c r="AY176" s="5">
        <f xml:space="preserve"> - SUM( VfM_Metrics_2023_Entity[[#This Row],[Interest capitalised]], VfM_Metrics_2023_Entity[[#This Row],[Interest payable and financing costs]] )</f>
        <v>1226</v>
      </c>
      <c r="AZ176" s="84" vm="15228">
        <v>0</v>
      </c>
      <c r="BA176" s="135" vm="15401">
        <v>-1226</v>
      </c>
      <c r="BB176" s="138">
        <f xml:space="preserve"> IFERROR( ( VfM_Metrics_2023_Entity[[#This Row],[Total Costs]] / VfM_Metrics_2023_Entity[[#This Row],[Total units for costs]] ) * 1000, "n/a" )</f>
        <v>7795.4168967421319</v>
      </c>
      <c r="BC17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28235</v>
      </c>
      <c r="BD176" s="84" vm="15585">
        <v>7049</v>
      </c>
      <c r="BE176" s="84" vm="16912">
        <v>10310</v>
      </c>
      <c r="BF176" s="84" vm="17141">
        <v>4482</v>
      </c>
      <c r="BG176" s="84" vm="17375">
        <v>0</v>
      </c>
      <c r="BH176" s="84" vm="16227">
        <v>257</v>
      </c>
      <c r="BI176" s="84" vm="16502">
        <v>0</v>
      </c>
      <c r="BJ176" s="84" vm="14078">
        <v>2931</v>
      </c>
      <c r="BK176" s="84" vm="16186">
        <v>249</v>
      </c>
      <c r="BL176" s="84" vm="17142">
        <v>0</v>
      </c>
      <c r="BM176" s="84" vm="17374">
        <v>0</v>
      </c>
      <c r="BN176" s="84" vm="16008">
        <v>426</v>
      </c>
      <c r="BO176" s="84" vm="16913">
        <v>2531</v>
      </c>
      <c r="BP176" s="5" vm="17812">
        <f xml:space="preserve"> VfM_Metrics_2023_Entity[[#This Row],[Total social housing units owned and/or managed at period end]]</f>
        <v>3622</v>
      </c>
      <c r="BQ176" s="135" vm="17812">
        <v>3622</v>
      </c>
      <c r="BR176" s="134">
        <f xml:space="preserve"> IFERROR( VfM_Metrics_2023_Entity[[#This Row],[SHL operating surplus / (deficit)]] / VfM_Metrics_2023_Entity[[#This Row],[Turnover from social housing lettings]], "n/a" )</f>
        <v>5.2166224580017684E-2</v>
      </c>
      <c r="BS176" s="5" vm="17971">
        <f xml:space="preserve"> VfM_Metrics_2023_Entity[[#This Row],[Operating surplus/(deficit) (social housing lettings)]]</f>
        <v>1475</v>
      </c>
      <c r="BT176" s="84" vm="17971">
        <v>1475</v>
      </c>
      <c r="BU176" s="5" vm="18146">
        <f xml:space="preserve"> VfM_Metrics_2023_Entity[[#This Row],[Turnover from social housing lettings]]</f>
        <v>28275</v>
      </c>
      <c r="BV176" s="135" vm="18146">
        <v>28275</v>
      </c>
      <c r="BW176" s="134">
        <f xml:space="preserve"> IFERROR( VfM_Metrics_2023_Entity[[#This Row],[Net operating surplus]] / VfM_Metrics_2023_Entity[[#This Row],[Overall turnover]], "n/a" )</f>
        <v>0.10489656198839113</v>
      </c>
      <c r="BX176" s="5">
        <f xml:space="preserve"> SUM( VfM_Metrics_2023_Entity[[#This Row],[Operating surplus/(deficit) (overall)2]], - VfM_Metrics_2023_Entity[[#This Row],[Gain/(loss) on disposal of fixed assets (housing properties)2]], - VfM_Metrics_2023_Entity[[#This Row],[Gain/(loss) on disposal of fixed assets (other)2]] )</f>
        <v>3524</v>
      </c>
      <c r="BY176" s="84" vm="18227">
        <v>3524</v>
      </c>
      <c r="BZ176" s="84" vm="14321">
        <v>0</v>
      </c>
      <c r="CA176" s="84" vm="14567">
        <v>0</v>
      </c>
      <c r="CB176" s="5" vm="18312">
        <f xml:space="preserve"> VfM_Metrics_2023_Entity[[#This Row],[Turnover (overall)]]</f>
        <v>33595</v>
      </c>
      <c r="CC176" s="135" vm="18312">
        <v>33595</v>
      </c>
      <c r="CD176" s="134">
        <f xml:space="preserve"> IFERROR( VfM_Metrics_2023_Entity[[#This Row],[Operating surplus including from JVs]] / VfM_Metrics_2023_Entity[[#This Row],[Net assets]], "n/a" )</f>
        <v>1.9991944222248696E-2</v>
      </c>
      <c r="CE176" s="5">
        <f xml:space="preserve"> SUM( VfM_Metrics_2023_Entity[[#This Row],[Operating surplus/(deficit) (overall)3]], VfM_Metrics_2023_Entity[[#This Row],[Share of operating surplus/(deficit) in joint ventures or associates]] )</f>
        <v>3524</v>
      </c>
      <c r="CF176" s="84" vm="13555">
        <v>3524</v>
      </c>
      <c r="CG176" s="84" vm="18503">
        <v>0</v>
      </c>
      <c r="CH176" s="5" vm="18699">
        <f xml:space="preserve"> VfM_Metrics_2023_Entity[[#This Row],[Total assets less current liabilities]]</f>
        <v>176271</v>
      </c>
      <c r="CI176" s="135" vm="18699">
        <v>176271</v>
      </c>
      <c r="CJ176" s="140" vm="11322">
        <f xml:space="preserve"> VfM_Metrics_2023_Entity[[#This Row],[Total social housing units owned (Period end)]]</f>
        <v>3612</v>
      </c>
      <c r="CK176" s="141">
        <v>0.54872226902555465</v>
      </c>
      <c r="CL176" s="69">
        <f xml:space="preserve"> -- ( VfM_Metrics_2023_Entity[[#This Row],[% Supported housing (excl. HOP)]] &gt; 0.3 )</f>
        <v>1</v>
      </c>
      <c r="CM176" s="9">
        <v>8.1156978376860436E-2</v>
      </c>
      <c r="CN176" s="69">
        <f xml:space="preserve"> -- ( VfM_Metrics_2023_Entity[[#This Row],[% Housing for older people]] &gt; 0.3 )</f>
        <v>0</v>
      </c>
      <c r="CO176" s="9">
        <f xml:space="preserve"> VfM_Metrics_2023_Entity[[#This Row],[% Supported housing (excl. HOP)]] + VfM_Metrics_2023_Entity[[#This Row],[% Housing for older people]]</f>
        <v>0.62987924740241508</v>
      </c>
      <c r="CP176" s="69">
        <f xml:space="preserve"> -- ( VfM_Metrics_2023_Entity[[#This Row],[SH specialist in RSH analysis]] + VfM_Metrics_2023_Entity[[#This Row],[OP specialist in RSH analysis]] &gt; 0 )</f>
        <v>1</v>
      </c>
      <c r="CQ176" s="142">
        <f xml:space="preserve"> -- ( VfM_Metrics_2023_Entity[[#This Row],[% SH and OP]] &gt; 0.3 )</f>
        <v>1</v>
      </c>
      <c r="CR176" s="143" t="s">
        <v>143</v>
      </c>
      <c r="CS176" s="120"/>
      <c r="CT176" s="144" t="s">
        <v>144</v>
      </c>
      <c r="CU17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76" s="146">
        <v>0.19681002563372257</v>
      </c>
      <c r="CW176" s="146">
        <v>9.6268869268014812E-2</v>
      </c>
      <c r="CX176" s="146">
        <v>0.13101680432925092</v>
      </c>
      <c r="CY176" s="146">
        <v>4.8704072913699797E-2</v>
      </c>
      <c r="CZ176" s="146">
        <v>5.8103104528624321E-2</v>
      </c>
      <c r="DA176" s="146">
        <v>0.11478211335801766</v>
      </c>
      <c r="DB176" s="146">
        <v>3.7880945599544288E-2</v>
      </c>
      <c r="DC176" s="146">
        <v>0.23241241811449728</v>
      </c>
      <c r="DD176" s="146">
        <v>8.402164625462831E-2</v>
      </c>
      <c r="DE176" s="126">
        <v>1.0107412609050077</v>
      </c>
    </row>
    <row r="177" spans="1:109" x14ac:dyDescent="0.25">
      <c r="A177" s="4" t="s" vm="9254">
        <v>624</v>
      </c>
      <c r="B177" s="4" t="s" vm="9338">
        <v>625</v>
      </c>
      <c r="C177" s="121" vm="18860">
        <v>45016</v>
      </c>
      <c r="D177" s="68">
        <f>IFERROR( VfM_Metrics_2023_Entity[[#This Row],[Reinvestment Spend]] / VfM_Metrics_2023_Entity[[#This Row],[Net Book Value of Housing Properties]], "n/a" )</f>
        <v>3.6080117949279233E-2</v>
      </c>
      <c r="E17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33624</v>
      </c>
      <c r="F177" s="84" vm="10537">
        <v>25831</v>
      </c>
      <c r="G177" s="84" vm="10829">
        <v>0</v>
      </c>
      <c r="H177" s="84" vm="10546">
        <v>2772</v>
      </c>
      <c r="I177" s="84" vm="10851">
        <v>5021</v>
      </c>
      <c r="J177" s="84" vm="9554">
        <v>0</v>
      </c>
      <c r="K177" s="5">
        <f xml:space="preserve"> SUM( VfM_Metrics_2023_Entity[[#This Row],[Tangible fixed assets: Housing properties at cost (Current period)]],VfM_Metrics_2023_Entity[[#This Row],[Tangible fixed assets Housing properties at valuation (Current period)]] )</f>
        <v>931926</v>
      </c>
      <c r="L177" s="84" vm="10347">
        <v>931926</v>
      </c>
      <c r="M177" s="84" vm="10847">
        <v>0</v>
      </c>
      <c r="N177" s="134">
        <f xml:space="preserve"> IFERROR( VfM_Metrics_2023_Entity[[#This Row],[Total social units developed or newly built units acquired in-year]] / VfM_Metrics_2023_Entity[[#This Row],[Social housing units owned (period end)]], "n/a" )</f>
        <v>6.3944286166508393E-2</v>
      </c>
      <c r="O177" s="5">
        <f xml:space="preserve"> SUM( VfM_Metrics_2023_Entity[[#This Row],[Total social units developed or newly built units acquired in-year (owned)]], VfM_Metrics_2023_Entity[[#This Row],[Total social leasehold units developed or newly built units acquired in-year (owned)]] )</f>
        <v>404</v>
      </c>
      <c r="P177" s="84" vm="11056">
        <v>404</v>
      </c>
      <c r="Q177" s="84">
        <v>0</v>
      </c>
      <c r="R177" s="5">
        <f xml:space="preserve"> SUM( VfM_Metrics_2023_Entity[[#This Row],[Total social housing units owned (Period end)]], VfM_Metrics_2023_Entity[[#This Row],[Total social leasehold units owned (Period end)]] )</f>
        <v>6318</v>
      </c>
      <c r="S177" s="84" vm="11366">
        <v>6224</v>
      </c>
      <c r="T177" s="135" vm="11536">
        <v>94</v>
      </c>
      <c r="U177" s="136">
        <f xml:space="preserve"> IFERROR( VfM_Metrics_2023_Entity[[#This Row],[Total non-social housing units developed or newly built units acquired (owned)]] / VfM_Metrics_2023_Entity[[#This Row],[Total social and non-social housing units owned (Period end)]], "n/a" )</f>
        <v>0.12123734221112498</v>
      </c>
      <c r="V17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874</v>
      </c>
      <c r="W177" s="84" vm="11660">
        <v>478</v>
      </c>
      <c r="X177" s="84" vm="11726">
        <v>159</v>
      </c>
      <c r="Y177" s="84" vm="11765">
        <v>237</v>
      </c>
      <c r="Z17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7209</v>
      </c>
      <c r="AA177" s="84" vm="11366">
        <v>6224</v>
      </c>
      <c r="AB177" s="84" vm="11536">
        <v>94</v>
      </c>
      <c r="AC177" s="84" vm="12392">
        <v>550</v>
      </c>
      <c r="AD177" s="135" vm="12526">
        <v>341</v>
      </c>
      <c r="AE177" s="134">
        <f xml:space="preserve"> IFERROR( VfM_Metrics_2023_Entity[[#This Row],[Total Net Debt]] / VfM_Metrics_2023_Entity[[#This Row],[Net Book Value of Housing Properties2]], "n/a" )</f>
        <v>0.98721357704367085</v>
      </c>
      <c r="AF17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920010</v>
      </c>
      <c r="AG177" s="84" vm="12676">
        <v>39658</v>
      </c>
      <c r="AH177" s="84" vm="12796">
        <v>0</v>
      </c>
      <c r="AI177" s="84" vm="12914">
        <v>4872</v>
      </c>
      <c r="AJ177" s="84" vm="12994">
        <v>884486</v>
      </c>
      <c r="AK177" s="84" vm="13082">
        <v>738</v>
      </c>
      <c r="AL177" s="5">
        <f xml:space="preserve"> SUM( VfM_Metrics_2023_Entity[[#This Row],[Tangible fixed assets: Housing properties at cost (Current period)2]], VfM_Metrics_2023_Entity[[#This Row],[Tangible fixed assets Housing properties at valuation (Current period)2]] )</f>
        <v>931926</v>
      </c>
      <c r="AM177" s="84" vm="10072">
        <v>931926</v>
      </c>
      <c r="AN177" s="135" vm="10140">
        <v>0</v>
      </c>
      <c r="AO177" s="137">
        <f xml:space="preserve"> IFERROR( VfM_Metrics_2023_Entity[[#This Row],[EBITDA MRI]] / VfM_Metrics_2023_Entity[[#This Row],[Total interest]], "n/a" )</f>
        <v>1.0082065711187316</v>
      </c>
      <c r="AP17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34399</v>
      </c>
      <c r="AQ177" s="84" vm="13587">
        <v>26523</v>
      </c>
      <c r="AR177" s="84" vm="14568">
        <v>3399</v>
      </c>
      <c r="AS177" s="84" vm="14814">
        <v>0</v>
      </c>
      <c r="AT177" s="84" vm="15057">
        <v>0</v>
      </c>
      <c r="AU177" s="84" vm="13824">
        <v>0</v>
      </c>
      <c r="AV177" s="84" vm="14079">
        <v>8739</v>
      </c>
      <c r="AW177" s="84" vm="14323">
        <v>2772</v>
      </c>
      <c r="AX177" s="84" vm="14569">
        <v>5308</v>
      </c>
      <c r="AY177" s="5">
        <f xml:space="preserve"> - SUM( VfM_Metrics_2023_Entity[[#This Row],[Interest capitalised]], VfM_Metrics_2023_Entity[[#This Row],[Interest payable and financing costs]] )</f>
        <v>34119</v>
      </c>
      <c r="AZ177" s="84" vm="15258">
        <v>-5021</v>
      </c>
      <c r="BA177" s="135" vm="15434">
        <v>-29098</v>
      </c>
      <c r="BB177" s="138">
        <f xml:space="preserve"> IFERROR( ( VfM_Metrics_2023_Entity[[#This Row],[Total Costs]] / VfM_Metrics_2023_Entity[[#This Row],[Total units for costs]] ) * 1000, "n/a" )</f>
        <v>4171.2724935732649</v>
      </c>
      <c r="BC17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25962</v>
      </c>
      <c r="BD177" s="84" vm="15571">
        <v>4662</v>
      </c>
      <c r="BE177" s="84" vm="16671">
        <v>7039</v>
      </c>
      <c r="BF177" s="84" vm="16750">
        <v>4574</v>
      </c>
      <c r="BG177" s="84" vm="16914">
        <v>1403</v>
      </c>
      <c r="BH177" s="84" vm="17143">
        <v>0</v>
      </c>
      <c r="BI177" s="84" vm="17376">
        <v>0</v>
      </c>
      <c r="BJ177" s="84" vm="14323">
        <v>2772</v>
      </c>
      <c r="BK177" s="84" vm="16011">
        <v>0</v>
      </c>
      <c r="BL177" s="84" vm="16672">
        <v>1115</v>
      </c>
      <c r="BM177" s="84" vm="15585">
        <v>0</v>
      </c>
      <c r="BN177" s="84" vm="16498">
        <v>1797</v>
      </c>
      <c r="BO177" s="84" vm="16499">
        <v>2600</v>
      </c>
      <c r="BP177" s="5" vm="17714">
        <f xml:space="preserve"> VfM_Metrics_2023_Entity[[#This Row],[Total social housing units owned and/or managed at period end]]</f>
        <v>6224</v>
      </c>
      <c r="BQ177" s="135" vm="17714">
        <v>6224</v>
      </c>
      <c r="BR177" s="134">
        <f xml:space="preserve"> IFERROR( VfM_Metrics_2023_Entity[[#This Row],[SHL operating surplus / (deficit)]] / VfM_Metrics_2023_Entity[[#This Row],[Turnover from social housing lettings]], "n/a" )</f>
        <v>0.46846038863976086</v>
      </c>
      <c r="BS177" s="5" vm="18002">
        <f xml:space="preserve"> VfM_Metrics_2023_Entity[[#This Row],[Operating surplus/(deficit) (social housing lettings)]]</f>
        <v>20371</v>
      </c>
      <c r="BT177" s="84" vm="18002">
        <v>20371</v>
      </c>
      <c r="BU177" s="5" vm="18183">
        <f xml:space="preserve"> VfM_Metrics_2023_Entity[[#This Row],[Turnover from social housing lettings]]</f>
        <v>43485</v>
      </c>
      <c r="BV177" s="135" vm="18183">
        <v>43485</v>
      </c>
      <c r="BW177" s="134">
        <f xml:space="preserve"> IFERROR( VfM_Metrics_2023_Entity[[#This Row],[Net operating surplus]] / VfM_Metrics_2023_Entity[[#This Row],[Overall turnover]], "n/a" )</f>
        <v>0.34474841595229222</v>
      </c>
      <c r="BX177" s="5">
        <f xml:space="preserve"> SUM( VfM_Metrics_2023_Entity[[#This Row],[Operating surplus/(deficit) (overall)2]], - VfM_Metrics_2023_Entity[[#This Row],[Gain/(loss) on disposal of fixed assets (housing properties)2]], - VfM_Metrics_2023_Entity[[#This Row],[Gain/(loss) on disposal of fixed assets (other)2]] )</f>
        <v>23124</v>
      </c>
      <c r="BY177" s="84" vm="13587">
        <v>26523</v>
      </c>
      <c r="BZ177" s="84" vm="14568">
        <v>3399</v>
      </c>
      <c r="CA177" s="84" vm="14814">
        <v>0</v>
      </c>
      <c r="CB177" s="5" vm="18355">
        <f xml:space="preserve"> VfM_Metrics_2023_Entity[[#This Row],[Turnover (overall)]]</f>
        <v>67075</v>
      </c>
      <c r="CC177" s="135" vm="18355">
        <v>67075</v>
      </c>
      <c r="CD177" s="134">
        <f xml:space="preserve"> IFERROR( VfM_Metrics_2023_Entity[[#This Row],[Operating surplus including from JVs]] / VfM_Metrics_2023_Entity[[#This Row],[Net assets]], "n/a" )</f>
        <v>2.3970609500397658E-2</v>
      </c>
      <c r="CE177" s="5">
        <f xml:space="preserve"> SUM( VfM_Metrics_2023_Entity[[#This Row],[Operating surplus/(deficit) (overall)3]], VfM_Metrics_2023_Entity[[#This Row],[Share of operating surplus/(deficit) in joint ventures or associates]] )</f>
        <v>26523</v>
      </c>
      <c r="CF177" s="84" vm="18435">
        <v>26523</v>
      </c>
      <c r="CG177" s="84" vm="18521">
        <v>0</v>
      </c>
      <c r="CH177" s="5" vm="18727">
        <f xml:space="preserve"> VfM_Metrics_2023_Entity[[#This Row],[Total assets less current liabilities]]</f>
        <v>1106480</v>
      </c>
      <c r="CI177" s="135" vm="18727">
        <v>1106480</v>
      </c>
      <c r="CJ177" s="140" vm="11366">
        <f xml:space="preserve"> VfM_Metrics_2023_Entity[[#This Row],[Total social housing units owned (Period end)]]</f>
        <v>6224</v>
      </c>
      <c r="CK177" s="141">
        <v>0.1305197979468796</v>
      </c>
      <c r="CL177" s="69">
        <f xml:space="preserve"> -- ( VfM_Metrics_2023_Entity[[#This Row],[% Supported housing (excl. HOP)]] &gt; 0.3 )</f>
        <v>0</v>
      </c>
      <c r="CM177" s="9">
        <v>7.4955189832165555E-3</v>
      </c>
      <c r="CN177" s="69">
        <f xml:space="preserve"> -- ( VfM_Metrics_2023_Entity[[#This Row],[% Housing for older people]] &gt; 0.3 )</f>
        <v>0</v>
      </c>
      <c r="CO177" s="9">
        <f xml:space="preserve"> VfM_Metrics_2023_Entity[[#This Row],[% Supported housing (excl. HOP)]] + VfM_Metrics_2023_Entity[[#This Row],[% Housing for older people]]</f>
        <v>0.13801531693009614</v>
      </c>
      <c r="CP177" s="69">
        <f xml:space="preserve"> -- ( VfM_Metrics_2023_Entity[[#This Row],[SH specialist in RSH analysis]] + VfM_Metrics_2023_Entity[[#This Row],[OP specialist in RSH analysis]] &gt; 0 )</f>
        <v>0</v>
      </c>
      <c r="CQ177" s="142">
        <f xml:space="preserve"> -- ( VfM_Metrics_2023_Entity[[#This Row],[% SH and OP]] &gt; 0.3 )</f>
        <v>0</v>
      </c>
      <c r="CR177" s="143" t="s">
        <v>143</v>
      </c>
      <c r="CS177" s="120"/>
      <c r="CT177" s="144" t="s">
        <v>144</v>
      </c>
      <c r="CU17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77" s="146">
        <v>8.7954729183508482E-2</v>
      </c>
      <c r="CW177" s="146">
        <v>9.3451899757477766E-2</v>
      </c>
      <c r="CX177" s="146">
        <v>0.19692805173807598</v>
      </c>
      <c r="CY177" s="146">
        <v>1.7784963621665321E-2</v>
      </c>
      <c r="CZ177" s="146">
        <v>0.16960388035569926</v>
      </c>
      <c r="DA177" s="146">
        <v>0.22651576394502829</v>
      </c>
      <c r="DB177" s="146">
        <v>4.850444624090542E-3</v>
      </c>
      <c r="DC177" s="146">
        <v>5.3031527890056586E-2</v>
      </c>
      <c r="DD177" s="146">
        <v>0.14987873888439773</v>
      </c>
      <c r="DE177" s="126">
        <v>0.99707738271553836</v>
      </c>
    </row>
    <row r="178" spans="1:109" x14ac:dyDescent="0.25">
      <c r="A178" s="4" t="s" vm="251">
        <v>432</v>
      </c>
      <c r="B178" s="4" t="s" vm="9357">
        <v>433</v>
      </c>
      <c r="C178" s="121" vm="18845">
        <v>45016</v>
      </c>
      <c r="D178" s="68">
        <f>IFERROR( VfM_Metrics_2023_Entity[[#This Row],[Reinvestment Spend]] / VfM_Metrics_2023_Entity[[#This Row],[Net Book Value of Housing Properties]], "n/a" )</f>
        <v>2.269192524412942E-2</v>
      </c>
      <c r="E17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89000</v>
      </c>
      <c r="F178" s="84" vm="10484">
        <v>7000</v>
      </c>
      <c r="G178" s="84" vm="9604">
        <v>0</v>
      </c>
      <c r="H178" s="84" vm="9737">
        <v>81500</v>
      </c>
      <c r="I178" s="84" vm="9627">
        <v>500</v>
      </c>
      <c r="J178" s="84" vm="10006">
        <v>0</v>
      </c>
      <c r="K178" s="5">
        <f xml:space="preserve"> SUM( VfM_Metrics_2023_Entity[[#This Row],[Tangible fixed assets: Housing properties at cost (Current period)]],VfM_Metrics_2023_Entity[[#This Row],[Tangible fixed assets Housing properties at valuation (Current period)]] )</f>
        <v>3922100</v>
      </c>
      <c r="L178" s="84" vm="9984">
        <v>3922100</v>
      </c>
      <c r="M178" s="84" vm="10720">
        <v>0</v>
      </c>
      <c r="N178" s="134">
        <f xml:space="preserve"> IFERROR( VfM_Metrics_2023_Entity[[#This Row],[Total social units developed or newly built units acquired in-year]] / VfM_Metrics_2023_Entity[[#This Row],[Social housing units owned (period end)]], "n/a" )</f>
        <v>4.3192190851893975E-4</v>
      </c>
      <c r="O178" s="5">
        <f xml:space="preserve"> SUM( VfM_Metrics_2023_Entity[[#This Row],[Total social units developed or newly built units acquired in-year (owned)]], VfM_Metrics_2023_Entity[[#This Row],[Total social leasehold units developed or newly built units acquired in-year (owned)]] )</f>
        <v>30</v>
      </c>
      <c r="P178" s="84" vm="11075">
        <v>29</v>
      </c>
      <c r="Q178" s="84" vm="11198">
        <v>1</v>
      </c>
      <c r="R178" s="5">
        <f xml:space="preserve"> SUM( VfM_Metrics_2023_Entity[[#This Row],[Total social housing units owned (Period end)]], VfM_Metrics_2023_Entity[[#This Row],[Total social leasehold units owned (Period end)]] )</f>
        <v>69457</v>
      </c>
      <c r="S178" s="84" vm="11384">
        <v>65741</v>
      </c>
      <c r="T178" s="135" vm="11503">
        <v>3716</v>
      </c>
      <c r="U178" s="136">
        <f xml:space="preserve"> IFERROR( VfM_Metrics_2023_Entity[[#This Row],[Total non-social housing units developed or newly built units acquired (owned)]] / VfM_Metrics_2023_Entity[[#This Row],[Total social and non-social housing units owned (Period end)]], "n/a" )</f>
        <v>0</v>
      </c>
      <c r="V17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78" s="84">
        <v>0</v>
      </c>
      <c r="X178" s="84">
        <v>0</v>
      </c>
      <c r="Y178" s="84" vm="11856">
        <v>0</v>
      </c>
      <c r="Z17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73496</v>
      </c>
      <c r="AA178" s="84" vm="12055">
        <v>65741</v>
      </c>
      <c r="AB178" s="84" vm="12208">
        <v>3716</v>
      </c>
      <c r="AC178" s="84" vm="12143">
        <v>3977</v>
      </c>
      <c r="AD178" s="135" vm="12298">
        <v>62</v>
      </c>
      <c r="AE178" s="134">
        <f xml:space="preserve"> IFERROR( VfM_Metrics_2023_Entity[[#This Row],[Total Net Debt]] / VfM_Metrics_2023_Entity[[#This Row],[Net Book Value of Housing Properties2]], "n/a" )</f>
        <v>0.42885189056882794</v>
      </c>
      <c r="AF17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1682000</v>
      </c>
      <c r="AG178" s="84" vm="12697">
        <v>76900</v>
      </c>
      <c r="AH178" s="84" vm="13168">
        <v>839400</v>
      </c>
      <c r="AI178" s="84" vm="13250">
        <v>4900</v>
      </c>
      <c r="AJ178" s="84" vm="12797">
        <v>725900</v>
      </c>
      <c r="AK178" s="84" vm="12880">
        <v>44700</v>
      </c>
      <c r="AL178" s="5">
        <f xml:space="preserve"> SUM( VfM_Metrics_2023_Entity[[#This Row],[Tangible fixed assets: Housing properties at cost (Current period)2]], VfM_Metrics_2023_Entity[[#This Row],[Tangible fixed assets Housing properties at valuation (Current period)2]] )</f>
        <v>3922100</v>
      </c>
      <c r="AM178" s="84" vm="13393">
        <v>3922100</v>
      </c>
      <c r="AN178" s="135" vm="10155">
        <v>0</v>
      </c>
      <c r="AO178" s="137">
        <f xml:space="preserve"> IFERROR( VfM_Metrics_2023_Entity[[#This Row],[EBITDA MRI]] / VfM_Metrics_2023_Entity[[#This Row],[Total interest]], "n/a" )</f>
        <v>1.1517553793884485</v>
      </c>
      <c r="AP17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101700</v>
      </c>
      <c r="AQ178" s="84" vm="13618">
        <v>112000</v>
      </c>
      <c r="AR178" s="84" vm="14815">
        <v>6300</v>
      </c>
      <c r="AS178" s="84" vm="15058">
        <v>1200</v>
      </c>
      <c r="AT178" s="84" vm="13825">
        <v>0</v>
      </c>
      <c r="AU178" s="84" vm="14080">
        <v>0</v>
      </c>
      <c r="AV178" s="84" vm="14324">
        <v>8500</v>
      </c>
      <c r="AW178" s="84" vm="14570">
        <v>72900</v>
      </c>
      <c r="AX178" s="84" vm="14816">
        <v>61600</v>
      </c>
      <c r="AY178" s="5">
        <f xml:space="preserve"> - SUM( VfM_Metrics_2023_Entity[[#This Row],[Interest capitalised]], VfM_Metrics_2023_Entity[[#This Row],[Interest payable and financing costs]] )</f>
        <v>88300</v>
      </c>
      <c r="AZ178" s="84" vm="15287">
        <v>-500</v>
      </c>
      <c r="BA178" s="135" vm="15468">
        <v>-87800</v>
      </c>
      <c r="BB178" s="138">
        <f xml:space="preserve"> IFERROR( ( VfM_Metrics_2023_Entity[[#This Row],[Total Costs]] / VfM_Metrics_2023_Entity[[#This Row],[Total units for costs]] ) * 1000, "n/a" )</f>
        <v>4880.7967285169834</v>
      </c>
      <c r="BC17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350900</v>
      </c>
      <c r="BD178" s="84" vm="15606">
        <v>66400</v>
      </c>
      <c r="BE178" s="84" vm="15587">
        <v>64700</v>
      </c>
      <c r="BF178" s="84" vm="17599">
        <v>87600</v>
      </c>
      <c r="BG178" s="84" vm="16188">
        <v>31100</v>
      </c>
      <c r="BH178" s="84" vm="16751">
        <v>0</v>
      </c>
      <c r="BI178" s="84" vm="16915">
        <v>0</v>
      </c>
      <c r="BJ178" s="84" vm="14570">
        <v>72900</v>
      </c>
      <c r="BK178" s="84" vm="16011">
        <v>0</v>
      </c>
      <c r="BL178" s="84" vm="16503">
        <v>2200</v>
      </c>
      <c r="BM178" s="84" vm="16501">
        <v>1400</v>
      </c>
      <c r="BN178" s="84" vm="16752">
        <v>10500</v>
      </c>
      <c r="BO178" s="84" vm="17530">
        <v>14100</v>
      </c>
      <c r="BP178" s="5" vm="17748">
        <f xml:space="preserve"> VfM_Metrics_2023_Entity[[#This Row],[Total social housing units owned and/or managed at period end]]</f>
        <v>71894</v>
      </c>
      <c r="BQ178" s="135" vm="17748">
        <v>71894</v>
      </c>
      <c r="BR178" s="134">
        <f xml:space="preserve"> IFERROR( VfM_Metrics_2023_Entity[[#This Row],[SHL operating surplus / (deficit)]] / VfM_Metrics_2023_Entity[[#This Row],[Turnover from social housing lettings]], "n/a" )</f>
        <v>0.25013276686139141</v>
      </c>
      <c r="BS178" s="5" vm="18030">
        <f xml:space="preserve"> VfM_Metrics_2023_Entity[[#This Row],[Operating surplus/(deficit) (social housing lettings)]]</f>
        <v>94200</v>
      </c>
      <c r="BT178" s="84" vm="18030">
        <v>94200</v>
      </c>
      <c r="BU178" s="5" vm="18203">
        <f xml:space="preserve"> VfM_Metrics_2023_Entity[[#This Row],[Turnover from social housing lettings]]</f>
        <v>376600</v>
      </c>
      <c r="BV178" s="135" vm="18203">
        <v>376600</v>
      </c>
      <c r="BW178" s="134">
        <f xml:space="preserve"> IFERROR( VfM_Metrics_2023_Entity[[#This Row],[Net operating surplus]] / VfM_Metrics_2023_Entity[[#This Row],[Overall turnover]], "n/a" )</f>
        <v>0.21550835223757475</v>
      </c>
      <c r="BX178" s="5">
        <f xml:space="preserve"> SUM( VfM_Metrics_2023_Entity[[#This Row],[Operating surplus/(deficit) (overall)2]], - VfM_Metrics_2023_Entity[[#This Row],[Gain/(loss) on disposal of fixed assets (housing properties)2]], - VfM_Metrics_2023_Entity[[#This Row],[Gain/(loss) on disposal of fixed assets (other)2]] )</f>
        <v>104500</v>
      </c>
      <c r="BY178" s="84" vm="18241">
        <v>112000</v>
      </c>
      <c r="BZ178" s="84" vm="14815">
        <v>6300</v>
      </c>
      <c r="CA178" s="84" vm="15058">
        <v>1200</v>
      </c>
      <c r="CB178" s="5" vm="18381">
        <f xml:space="preserve"> VfM_Metrics_2023_Entity[[#This Row],[Turnover (overall)]]</f>
        <v>484900</v>
      </c>
      <c r="CC178" s="135" vm="18381">
        <v>484900</v>
      </c>
      <c r="CD178" s="134">
        <f xml:space="preserve"> IFERROR( VfM_Metrics_2023_Entity[[#This Row],[Operating surplus including from JVs]] / VfM_Metrics_2023_Entity[[#This Row],[Net assets]], "n/a" )</f>
        <v>2.6093236726230692E-2</v>
      </c>
      <c r="CE178" s="5">
        <f xml:space="preserve"> SUM( VfM_Metrics_2023_Entity[[#This Row],[Operating surplus/(deficit) (overall)3]], VfM_Metrics_2023_Entity[[#This Row],[Share of operating surplus/(deficit) in joint ventures or associates]] )</f>
        <v>112000</v>
      </c>
      <c r="CF178" s="84" vm="13618">
        <v>112000</v>
      </c>
      <c r="CG178" s="84" vm="18544">
        <v>0</v>
      </c>
      <c r="CH178" s="5" vm="18758">
        <f xml:space="preserve"> VfM_Metrics_2023_Entity[[#This Row],[Total assets less current liabilities]]</f>
        <v>4292300</v>
      </c>
      <c r="CI178" s="135" vm="18758">
        <v>4292300</v>
      </c>
      <c r="CJ178" s="140" vm="11384">
        <f xml:space="preserve"> VfM_Metrics_2023_Entity[[#This Row],[Total social housing units owned (Period end)]]</f>
        <v>65741</v>
      </c>
      <c r="CK178" s="141">
        <v>5.1989906053327657E-2</v>
      </c>
      <c r="CL178" s="69">
        <f xml:space="preserve"> -- ( VfM_Metrics_2023_Entity[[#This Row],[% Supported housing (excl. HOP)]] &gt; 0.3 )</f>
        <v>0</v>
      </c>
      <c r="CM178" s="9">
        <v>0.15604572679456385</v>
      </c>
      <c r="CN178" s="69">
        <f xml:space="preserve"> -- ( VfM_Metrics_2023_Entity[[#This Row],[% Housing for older people]] &gt; 0.3 )</f>
        <v>0</v>
      </c>
      <c r="CO178" s="9">
        <f xml:space="preserve"> VfM_Metrics_2023_Entity[[#This Row],[% Supported housing (excl. HOP)]] + VfM_Metrics_2023_Entity[[#This Row],[% Housing for older people]]</f>
        <v>0.20803563284789151</v>
      </c>
      <c r="CP178" s="69">
        <f xml:space="preserve"> -- ( VfM_Metrics_2023_Entity[[#This Row],[SH specialist in RSH analysis]] + VfM_Metrics_2023_Entity[[#This Row],[OP specialist in RSH analysis]] &gt; 0 )</f>
        <v>0</v>
      </c>
      <c r="CQ178" s="142">
        <f xml:space="preserve"> -- ( VfM_Metrics_2023_Entity[[#This Row],[% SH and OP]] &gt; 0.3 )</f>
        <v>0</v>
      </c>
      <c r="CR178" s="143" t="s">
        <v>143</v>
      </c>
      <c r="CS178" s="120"/>
      <c r="CT178" s="144" t="s">
        <v>151</v>
      </c>
      <c r="CU17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78" s="146">
        <v>0.10475260813861266</v>
      </c>
      <c r="CW178" s="146">
        <v>0.15378866451101214</v>
      </c>
      <c r="CX178" s="146">
        <v>0.14204441461777806</v>
      </c>
      <c r="CY178" s="146">
        <v>1.572509303886279E-2</v>
      </c>
      <c r="CZ178" s="146">
        <v>0.13571472149350253</v>
      </c>
      <c r="DA178" s="146">
        <v>0.17627051430663168</v>
      </c>
      <c r="DB178" s="146">
        <v>8.8463181013971083E-4</v>
      </c>
      <c r="DC178" s="146">
        <v>0.14755048502226831</v>
      </c>
      <c r="DD178" s="146">
        <v>0.12326886706119211</v>
      </c>
      <c r="DE178" s="126">
        <v>1.0020828061466687</v>
      </c>
    </row>
    <row r="179" spans="1:109" x14ac:dyDescent="0.25">
      <c r="A179" s="4" t="s" vm="358">
        <v>434</v>
      </c>
      <c r="B179" s="4" t="s" vm="10460">
        <v>435</v>
      </c>
      <c r="C179" s="121" vm="18890">
        <v>45016</v>
      </c>
      <c r="D179" s="68">
        <f>IFERROR( VfM_Metrics_2023_Entity[[#This Row],[Reinvestment Spend]] / VfM_Metrics_2023_Entity[[#This Row],[Net Book Value of Housing Properties]], "n/a" )</f>
        <v>7.4152056594804686E-2</v>
      </c>
      <c r="E17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26519</v>
      </c>
      <c r="F179" s="84" vm="10237">
        <v>20616</v>
      </c>
      <c r="G179" s="84" vm="9636">
        <v>0</v>
      </c>
      <c r="H179" s="84" vm="9808">
        <v>4895</v>
      </c>
      <c r="I179" s="84" vm="10336">
        <v>1008</v>
      </c>
      <c r="J179" s="84" vm="10331">
        <v>0</v>
      </c>
      <c r="K179" s="5">
        <f xml:space="preserve"> SUM( VfM_Metrics_2023_Entity[[#This Row],[Tangible fixed assets: Housing properties at cost (Current period)]],VfM_Metrics_2023_Entity[[#This Row],[Tangible fixed assets Housing properties at valuation (Current period)]] )</f>
        <v>357630</v>
      </c>
      <c r="L179" s="84" vm="10378">
        <v>357630</v>
      </c>
      <c r="M179" s="84" vm="10171">
        <v>0</v>
      </c>
      <c r="N179" s="134">
        <f xml:space="preserve"> IFERROR( VfM_Metrics_2023_Entity[[#This Row],[Total social units developed or newly built units acquired in-year]] / VfM_Metrics_2023_Entity[[#This Row],[Social housing units owned (period end)]], "n/a" )</f>
        <v>1.5074626865671641E-2</v>
      </c>
      <c r="O179" s="5">
        <f xml:space="preserve"> SUM( VfM_Metrics_2023_Entity[[#This Row],[Total social units developed or newly built units acquired in-year (owned)]], VfM_Metrics_2023_Entity[[#This Row],[Total social leasehold units developed or newly built units acquired in-year (owned)]] )</f>
        <v>101</v>
      </c>
      <c r="P179" s="84" vm="11096">
        <v>101</v>
      </c>
      <c r="Q179" s="84" vm="11214">
        <v>0</v>
      </c>
      <c r="R179" s="5">
        <f xml:space="preserve"> SUM( VfM_Metrics_2023_Entity[[#This Row],[Total social housing units owned (Period end)]], VfM_Metrics_2023_Entity[[#This Row],[Total social leasehold units owned (Period end)]] )</f>
        <v>6700</v>
      </c>
      <c r="S179" s="84" vm="11314">
        <v>6164</v>
      </c>
      <c r="T179" s="135" vm="11527">
        <v>536</v>
      </c>
      <c r="U179" s="136">
        <f xml:space="preserve"> IFERROR( VfM_Metrics_2023_Entity[[#This Row],[Total non-social housing units developed or newly built units acquired (owned)]] / VfM_Metrics_2023_Entity[[#This Row],[Total social and non-social housing units owned (Period end)]], "n/a" )</f>
        <v>0</v>
      </c>
      <c r="V17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79" s="84" vm="11577">
        <v>0</v>
      </c>
      <c r="X179" s="84" vm="11896">
        <v>0</v>
      </c>
      <c r="Y179" s="84" vm="11937">
        <v>0</v>
      </c>
      <c r="Z17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6808</v>
      </c>
      <c r="AA179" s="84" vm="11314">
        <v>6164</v>
      </c>
      <c r="AB179" s="84" vm="12458">
        <v>536</v>
      </c>
      <c r="AC179" s="84" vm="12393">
        <v>108</v>
      </c>
      <c r="AD179" s="135" vm="12527">
        <v>0</v>
      </c>
      <c r="AE179" s="134">
        <f xml:space="preserve"> IFERROR( VfM_Metrics_2023_Entity[[#This Row],[Total Net Debt]] / VfM_Metrics_2023_Entity[[#This Row],[Net Book Value of Housing Properties2]], "n/a" )</f>
        <v>0.67097279311019764</v>
      </c>
      <c r="AF17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239960</v>
      </c>
      <c r="AG179" s="84" vm="12573">
        <v>0</v>
      </c>
      <c r="AH179" s="84" vm="12957">
        <v>260527</v>
      </c>
      <c r="AI179" s="84" vm="13055">
        <v>20605</v>
      </c>
      <c r="AJ179" s="84" vm="13141">
        <v>38</v>
      </c>
      <c r="AK179" s="84" vm="13224">
        <v>0</v>
      </c>
      <c r="AL179" s="5">
        <f xml:space="preserve"> SUM( VfM_Metrics_2023_Entity[[#This Row],[Tangible fixed assets: Housing properties at cost (Current period)2]], VfM_Metrics_2023_Entity[[#This Row],[Tangible fixed assets Housing properties at valuation (Current period)2]] )</f>
        <v>357630</v>
      </c>
      <c r="AM179" s="84" vm="10051">
        <v>357630</v>
      </c>
      <c r="AN179" s="135" vm="10171">
        <v>0</v>
      </c>
      <c r="AO179" s="137">
        <f xml:space="preserve"> IFERROR( VfM_Metrics_2023_Entity[[#This Row],[EBITDA MRI]] / VfM_Metrics_2023_Entity[[#This Row],[Total interest]], "n/a" )</f>
        <v>1.4890007661157929</v>
      </c>
      <c r="AP17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13605</v>
      </c>
      <c r="AQ179" s="84" vm="13456">
        <v>14689</v>
      </c>
      <c r="AR179" s="84" vm="15059">
        <v>3471</v>
      </c>
      <c r="AS179" s="84" vm="13826">
        <v>0</v>
      </c>
      <c r="AT179" s="84" vm="14081">
        <v>678</v>
      </c>
      <c r="AU179" s="84" vm="14325">
        <v>0</v>
      </c>
      <c r="AV179" s="84" vm="14571">
        <v>114</v>
      </c>
      <c r="AW179" s="84" vm="14817">
        <v>4895</v>
      </c>
      <c r="AX179" s="84" vm="15060">
        <v>7846</v>
      </c>
      <c r="AY179" s="5">
        <f xml:space="preserve"> - SUM( VfM_Metrics_2023_Entity[[#This Row],[Interest capitalised]], VfM_Metrics_2023_Entity[[#This Row],[Interest payable and financing costs]] )</f>
        <v>9137</v>
      </c>
      <c r="AZ179" s="84" vm="15296">
        <v>-1008</v>
      </c>
      <c r="BA179" s="135" vm="15498">
        <v>-8129</v>
      </c>
      <c r="BB179" s="138">
        <f xml:space="preserve"> IFERROR( ( VfM_Metrics_2023_Entity[[#This Row],[Total Costs]] / VfM_Metrics_2023_Entity[[#This Row],[Total units for costs]] ) * 1000, "n/a" )</f>
        <v>5392.6390228222435</v>
      </c>
      <c r="BC17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33553</v>
      </c>
      <c r="BD179" s="84" vm="15595">
        <v>4433</v>
      </c>
      <c r="BE179" s="84" vm="17071">
        <v>9224</v>
      </c>
      <c r="BF179" s="84" vm="17144">
        <v>6121</v>
      </c>
      <c r="BG179" s="84" vm="17296">
        <v>5260</v>
      </c>
      <c r="BH179" s="84" vm="17531">
        <v>1930</v>
      </c>
      <c r="BI179" s="84" vm="16502">
        <v>0</v>
      </c>
      <c r="BJ179" s="84" vm="14817">
        <v>4895</v>
      </c>
      <c r="BK179" s="84" vm="16673">
        <v>1690</v>
      </c>
      <c r="BL179" s="84" vm="14105">
        <v>0</v>
      </c>
      <c r="BM179" s="84" vm="17297">
        <v>0</v>
      </c>
      <c r="BN179" s="84" vm="16190">
        <v>0</v>
      </c>
      <c r="BO179" s="84" vm="16013">
        <v>0</v>
      </c>
      <c r="BP179" s="5" vm="17780">
        <f xml:space="preserve"> VfM_Metrics_2023_Entity[[#This Row],[Total social housing units owned and/or managed at period end]]</f>
        <v>6222</v>
      </c>
      <c r="BQ179" s="135" vm="17780">
        <v>6222</v>
      </c>
      <c r="BR179" s="134">
        <f xml:space="preserve"> IFERROR( VfM_Metrics_2023_Entity[[#This Row],[SHL operating surplus / (deficit)]] / VfM_Metrics_2023_Entity[[#This Row],[Turnover from social housing lettings]], "n/a" )</f>
        <v>0.20007025401216272</v>
      </c>
      <c r="BS179" s="5" vm="17859">
        <f xml:space="preserve"> VfM_Metrics_2023_Entity[[#This Row],[Operating surplus/(deficit) (social housing lettings)]]</f>
        <v>9113</v>
      </c>
      <c r="BT179" s="84" vm="17859">
        <v>9113</v>
      </c>
      <c r="BU179" s="5" vm="18072">
        <f xml:space="preserve"> VfM_Metrics_2023_Entity[[#This Row],[Turnover from social housing lettings]]</f>
        <v>45549</v>
      </c>
      <c r="BV179" s="135" vm="18072">
        <v>45549</v>
      </c>
      <c r="BW179" s="134">
        <f xml:space="preserve"> IFERROR( VfM_Metrics_2023_Entity[[#This Row],[Net operating surplus]] / VfM_Metrics_2023_Entity[[#This Row],[Overall turnover]], "n/a" )</f>
        <v>0.22320824545346016</v>
      </c>
      <c r="BX179" s="5">
        <f xml:space="preserve"> SUM( VfM_Metrics_2023_Entity[[#This Row],[Operating surplus/(deficit) (overall)2]], - VfM_Metrics_2023_Entity[[#This Row],[Gain/(loss) on disposal of fixed assets (housing properties)2]], - VfM_Metrics_2023_Entity[[#This Row],[Gain/(loss) on disposal of fixed assets (other)2]] )</f>
        <v>11218</v>
      </c>
      <c r="BY179" s="84" vm="18218">
        <v>14689</v>
      </c>
      <c r="BZ179" s="84" vm="15059">
        <v>3471</v>
      </c>
      <c r="CA179" s="84" vm="13826">
        <v>0</v>
      </c>
      <c r="CB179" s="5" vm="18390">
        <f xml:space="preserve"> VfM_Metrics_2023_Entity[[#This Row],[Turnover (overall)]]</f>
        <v>50258</v>
      </c>
      <c r="CC179" s="135" vm="18390">
        <v>50258</v>
      </c>
      <c r="CD179" s="134">
        <f xml:space="preserve"> IFERROR( VfM_Metrics_2023_Entity[[#This Row],[Operating surplus including from JVs]] / VfM_Metrics_2023_Entity[[#This Row],[Net assets]], "n/a" )</f>
        <v>3.5866369753972671E-2</v>
      </c>
      <c r="CE179" s="5">
        <f xml:space="preserve"> SUM( VfM_Metrics_2023_Entity[[#This Row],[Operating surplus/(deficit) (overall)3]], VfM_Metrics_2023_Entity[[#This Row],[Share of operating surplus/(deficit) in joint ventures or associates]] )</f>
        <v>14689</v>
      </c>
      <c r="CF179" s="84" vm="13456">
        <v>14689</v>
      </c>
      <c r="CG179" s="84" vm="18563">
        <v>0</v>
      </c>
      <c r="CH179" s="5" vm="18596">
        <f xml:space="preserve"> VfM_Metrics_2023_Entity[[#This Row],[Total assets less current liabilities]]</f>
        <v>409548</v>
      </c>
      <c r="CI179" s="135" vm="18596">
        <v>409548</v>
      </c>
      <c r="CJ179" s="140" vm="11314">
        <f xml:space="preserve"> VfM_Metrics_2023_Entity[[#This Row],[Total social housing units owned (Period end)]]</f>
        <v>6164</v>
      </c>
      <c r="CK179" s="141">
        <v>3.114754098360656E-3</v>
      </c>
      <c r="CL179" s="69">
        <f xml:space="preserve"> -- ( VfM_Metrics_2023_Entity[[#This Row],[% Supported housing (excl. HOP)]] &gt; 0.3 )</f>
        <v>0</v>
      </c>
      <c r="CM179" s="9">
        <v>0.20885245901639343</v>
      </c>
      <c r="CN179" s="69">
        <f xml:space="preserve"> -- ( VfM_Metrics_2023_Entity[[#This Row],[% Housing for older people]] &gt; 0.3 )</f>
        <v>0</v>
      </c>
      <c r="CO179" s="9">
        <f xml:space="preserve"> VfM_Metrics_2023_Entity[[#This Row],[% Supported housing (excl. HOP)]] + VfM_Metrics_2023_Entity[[#This Row],[% Housing for older people]]</f>
        <v>0.21196721311475408</v>
      </c>
      <c r="CP179" s="69">
        <f xml:space="preserve"> -- ( VfM_Metrics_2023_Entity[[#This Row],[SH specialist in RSH analysis]] + VfM_Metrics_2023_Entity[[#This Row],[OP specialist in RSH analysis]] &gt; 0 )</f>
        <v>0</v>
      </c>
      <c r="CQ179" s="142">
        <f xml:space="preserve"> -- ( VfM_Metrics_2023_Entity[[#This Row],[% SH and OP]] &gt; 0.3 )</f>
        <v>0</v>
      </c>
      <c r="CR179" s="143" t="s">
        <v>143</v>
      </c>
      <c r="CS179" s="120"/>
      <c r="CT179" s="144" t="s">
        <v>151</v>
      </c>
      <c r="CU17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79" s="146">
        <v>0</v>
      </c>
      <c r="CW179" s="146">
        <v>1</v>
      </c>
      <c r="CX179" s="146">
        <v>0</v>
      </c>
      <c r="CY179" s="146">
        <v>0</v>
      </c>
      <c r="CZ179" s="146">
        <v>0</v>
      </c>
      <c r="DA179" s="146">
        <v>0</v>
      </c>
      <c r="DB179" s="146">
        <v>0</v>
      </c>
      <c r="DC179" s="146">
        <v>0</v>
      </c>
      <c r="DD179" s="146">
        <v>0</v>
      </c>
      <c r="DE179" s="126">
        <v>1.0337125580623883</v>
      </c>
    </row>
    <row r="180" spans="1:109" x14ac:dyDescent="0.25">
      <c r="A180" s="4" t="s" vm="375">
        <v>436</v>
      </c>
      <c r="B180" s="4" t="s" vm="9297">
        <v>437</v>
      </c>
      <c r="C180" s="121" vm="18907">
        <v>45016</v>
      </c>
      <c r="D180" s="68">
        <f>IFERROR( VfM_Metrics_2023_Entity[[#This Row],[Reinvestment Spend]] / VfM_Metrics_2023_Entity[[#This Row],[Net Book Value of Housing Properties]], "n/a" )</f>
        <v>7.0172724710589163E-2</v>
      </c>
      <c r="E18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33115</v>
      </c>
      <c r="F180" s="84" vm="10341">
        <v>3473</v>
      </c>
      <c r="G180" s="84" vm="10016">
        <v>24092</v>
      </c>
      <c r="H180" s="84" vm="10581">
        <v>4906</v>
      </c>
      <c r="I180" s="84" vm="9822">
        <v>644</v>
      </c>
      <c r="J180" s="84" vm="10694">
        <v>0</v>
      </c>
      <c r="K180" s="5">
        <f xml:space="preserve"> SUM( VfM_Metrics_2023_Entity[[#This Row],[Tangible fixed assets: Housing properties at cost (Current period)]],VfM_Metrics_2023_Entity[[#This Row],[Tangible fixed assets Housing properties at valuation (Current period)]] )</f>
        <v>471907</v>
      </c>
      <c r="L180" s="84" vm="10280">
        <v>471907</v>
      </c>
      <c r="M180" s="84" vm="10476">
        <v>0</v>
      </c>
      <c r="N180" s="134">
        <f xml:space="preserve"> IFERROR( VfM_Metrics_2023_Entity[[#This Row],[Total social units developed or newly built units acquired in-year]] / VfM_Metrics_2023_Entity[[#This Row],[Social housing units owned (period end)]], "n/a" )</f>
        <v>2.2266915673035483E-2</v>
      </c>
      <c r="O180" s="5">
        <f xml:space="preserve"> SUM( VfM_Metrics_2023_Entity[[#This Row],[Total social units developed or newly built units acquired in-year (owned)]], VfM_Metrics_2023_Entity[[#This Row],[Total social leasehold units developed or newly built units acquired in-year (owned)]] )</f>
        <v>155</v>
      </c>
      <c r="P180" s="84" vm="11023">
        <v>155</v>
      </c>
      <c r="Q180" s="84" vm="11122">
        <v>0</v>
      </c>
      <c r="R180" s="5">
        <f xml:space="preserve"> SUM( VfM_Metrics_2023_Entity[[#This Row],[Total social housing units owned (Period end)]], VfM_Metrics_2023_Entity[[#This Row],[Total social leasehold units owned (Period end)]] )</f>
        <v>6961</v>
      </c>
      <c r="S180" s="84" vm="11356">
        <v>6961</v>
      </c>
      <c r="T180" s="135" vm="11444">
        <v>0</v>
      </c>
      <c r="U180" s="136">
        <f xml:space="preserve"> IFERROR( VfM_Metrics_2023_Entity[[#This Row],[Total non-social housing units developed or newly built units acquired (owned)]] / VfM_Metrics_2023_Entity[[#This Row],[Total social and non-social housing units owned (Period end)]], "n/a" )</f>
        <v>0</v>
      </c>
      <c r="V18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80" s="84" vm="11601">
        <v>0</v>
      </c>
      <c r="X180" s="84" vm="11729">
        <v>0</v>
      </c>
      <c r="Y180" s="84" vm="11766">
        <v>0</v>
      </c>
      <c r="Z18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7053</v>
      </c>
      <c r="AA180" s="84" vm="11356">
        <v>6961</v>
      </c>
      <c r="AB180" s="84" vm="12209">
        <v>0</v>
      </c>
      <c r="AC180" s="84" vm="12144">
        <v>2</v>
      </c>
      <c r="AD180" s="135" vm="12299">
        <v>90</v>
      </c>
      <c r="AE180" s="134">
        <f xml:space="preserve"> IFERROR( VfM_Metrics_2023_Entity[[#This Row],[Total Net Debt]] / VfM_Metrics_2023_Entity[[#This Row],[Net Book Value of Housing Properties2]], "n/a" )</f>
        <v>0.33960293023837324</v>
      </c>
      <c r="AF18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160261</v>
      </c>
      <c r="AG180" s="84" vm="12599">
        <v>6849</v>
      </c>
      <c r="AH180" s="84" vm="12798">
        <v>160100</v>
      </c>
      <c r="AI180" s="84" vm="13345">
        <v>6688</v>
      </c>
      <c r="AJ180" s="84" vm="12915">
        <v>0</v>
      </c>
      <c r="AK180" s="84" vm="12995">
        <v>0</v>
      </c>
      <c r="AL180" s="5">
        <f xml:space="preserve"> SUM( VfM_Metrics_2023_Entity[[#This Row],[Tangible fixed assets: Housing properties at cost (Current period)2]], VfM_Metrics_2023_Entity[[#This Row],[Tangible fixed assets Housing properties at valuation (Current period)2]] )</f>
        <v>471907</v>
      </c>
      <c r="AM180" s="84" vm="13385">
        <v>471907</v>
      </c>
      <c r="AN180" s="135" vm="10100">
        <v>0</v>
      </c>
      <c r="AO180" s="137">
        <f xml:space="preserve"> IFERROR( VfM_Metrics_2023_Entity[[#This Row],[EBITDA MRI]] / VfM_Metrics_2023_Entity[[#This Row],[Total interest]], "n/a" )</f>
        <v>2.5333333333333332</v>
      </c>
      <c r="AP18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11666</v>
      </c>
      <c r="AQ180" s="84" vm="13489">
        <v>9993</v>
      </c>
      <c r="AR180" s="84" vm="13827">
        <v>1662</v>
      </c>
      <c r="AS180" s="84" vm="14082">
        <v>-10</v>
      </c>
      <c r="AT180" s="84" vm="14326">
        <v>385</v>
      </c>
      <c r="AU180" s="84" vm="14572">
        <v>0</v>
      </c>
      <c r="AV180" s="84" vm="14818">
        <v>49</v>
      </c>
      <c r="AW180" s="84" vm="15061">
        <v>4906</v>
      </c>
      <c r="AX180" s="84" vm="13828">
        <v>8567</v>
      </c>
      <c r="AY180" s="5">
        <f xml:space="preserve"> - SUM( VfM_Metrics_2023_Entity[[#This Row],[Interest capitalised]], VfM_Metrics_2023_Entity[[#This Row],[Interest payable and financing costs]] )</f>
        <v>4605</v>
      </c>
      <c r="AZ180" s="84" vm="15177">
        <v>-644</v>
      </c>
      <c r="BA180" s="135" vm="15338">
        <v>-3961</v>
      </c>
      <c r="BB180" s="138">
        <f xml:space="preserve"> IFERROR( ( VfM_Metrics_2023_Entity[[#This Row],[Total Costs]] / VfM_Metrics_2023_Entity[[#This Row],[Total units for costs]] ) * 1000, "n/a" )</f>
        <v>4325.9589139491454</v>
      </c>
      <c r="BC18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30113</v>
      </c>
      <c r="BD180" s="84" vm="15529">
        <v>6523</v>
      </c>
      <c r="BE180" s="84" vm="16504">
        <v>2241</v>
      </c>
      <c r="BF180" s="84" vm="16753">
        <v>6448</v>
      </c>
      <c r="BG180" s="84" vm="16838">
        <v>5536</v>
      </c>
      <c r="BH180" s="84" vm="15575">
        <v>3721</v>
      </c>
      <c r="BI180" s="84" vm="17297">
        <v>0</v>
      </c>
      <c r="BJ180" s="84" vm="15061">
        <v>4906</v>
      </c>
      <c r="BK180" s="84" vm="17600">
        <v>0</v>
      </c>
      <c r="BL180" s="84" vm="15527">
        <v>734</v>
      </c>
      <c r="BM180" s="84" vm="16916">
        <v>0</v>
      </c>
      <c r="BN180" s="84" vm="17072">
        <v>0</v>
      </c>
      <c r="BO180" s="84" vm="15529">
        <v>4</v>
      </c>
      <c r="BP180" s="5" vm="17643">
        <f xml:space="preserve"> VfM_Metrics_2023_Entity[[#This Row],[Total social housing units owned and/or managed at period end]]</f>
        <v>6961</v>
      </c>
      <c r="BQ180" s="135" vm="17643">
        <v>6961</v>
      </c>
      <c r="BR180" s="134">
        <f xml:space="preserve"> IFERROR( VfM_Metrics_2023_Entity[[#This Row],[SHL operating surplus / (deficit)]] / VfM_Metrics_2023_Entity[[#This Row],[Turnover from social housing lettings]], "n/a" )</f>
        <v>0.190048495645289</v>
      </c>
      <c r="BS180" s="5" vm="17897">
        <f xml:space="preserve"> VfM_Metrics_2023_Entity[[#This Row],[Operating surplus/(deficit) (social housing lettings)]]</f>
        <v>7681</v>
      </c>
      <c r="BT180" s="84" vm="17897">
        <v>7681</v>
      </c>
      <c r="BU180" s="5" vm="18096">
        <f xml:space="preserve"> VfM_Metrics_2023_Entity[[#This Row],[Turnover from social housing lettings]]</f>
        <v>40416</v>
      </c>
      <c r="BV180" s="135" vm="18096">
        <v>40416</v>
      </c>
      <c r="BW180" s="134">
        <f xml:space="preserve"> IFERROR( VfM_Metrics_2023_Entity[[#This Row],[Net operating surplus]] / VfM_Metrics_2023_Entity[[#This Row],[Overall turnover]], "n/a" )</f>
        <v>0.18151944462579706</v>
      </c>
      <c r="BX180" s="5">
        <f xml:space="preserve"> SUM( VfM_Metrics_2023_Entity[[#This Row],[Operating surplus/(deficit) (overall)2]], - VfM_Metrics_2023_Entity[[#This Row],[Gain/(loss) on disposal of fixed assets (housing properties)2]], - VfM_Metrics_2023_Entity[[#This Row],[Gain/(loss) on disposal of fixed assets (other)2]] )</f>
        <v>8341</v>
      </c>
      <c r="BY180" s="84" vm="13489">
        <v>9993</v>
      </c>
      <c r="BZ180" s="84" vm="13827">
        <v>1662</v>
      </c>
      <c r="CA180" s="84" vm="14082">
        <v>-10</v>
      </c>
      <c r="CB180" s="5" vm="18413">
        <f xml:space="preserve"> VfM_Metrics_2023_Entity[[#This Row],[Turnover (overall)]]</f>
        <v>45951</v>
      </c>
      <c r="CC180" s="135" vm="18413">
        <v>45951</v>
      </c>
      <c r="CD180" s="134">
        <f xml:space="preserve"> IFERROR( VfM_Metrics_2023_Entity[[#This Row],[Operating surplus including from JVs]] / VfM_Metrics_2023_Entity[[#This Row],[Net assets]], "n/a" )</f>
        <v>2.106308174828005E-2</v>
      </c>
      <c r="CE180" s="5">
        <f xml:space="preserve"> SUM( VfM_Metrics_2023_Entity[[#This Row],[Operating surplus/(deficit) (overall)3]], VfM_Metrics_2023_Entity[[#This Row],[Share of operating surplus/(deficit) in joint ventures or associates]] )</f>
        <v>9993</v>
      </c>
      <c r="CF180" s="84" vm="13489">
        <v>9993</v>
      </c>
      <c r="CG180" s="84" vm="18461">
        <v>0</v>
      </c>
      <c r="CH180" s="5" vm="18633">
        <f xml:space="preserve"> VfM_Metrics_2023_Entity[[#This Row],[Total assets less current liabilities]]</f>
        <v>474432</v>
      </c>
      <c r="CI180" s="135" vm="18633">
        <v>474432</v>
      </c>
      <c r="CJ180" s="140" vm="11356">
        <f xml:space="preserve"> VfM_Metrics_2023_Entity[[#This Row],[Total social housing units owned (Period end)]]</f>
        <v>6961</v>
      </c>
      <c r="CK180" s="141">
        <v>1.1590843233845263E-2</v>
      </c>
      <c r="CL180" s="69">
        <f xml:space="preserve"> -- ( VfM_Metrics_2023_Entity[[#This Row],[% Supported housing (excl. HOP)]] &gt; 0.3 )</f>
        <v>0</v>
      </c>
      <c r="CM180" s="9">
        <v>0.20501303969863807</v>
      </c>
      <c r="CN180" s="69">
        <f xml:space="preserve"> -- ( VfM_Metrics_2023_Entity[[#This Row],[% Housing for older people]] &gt; 0.3 )</f>
        <v>0</v>
      </c>
      <c r="CO180" s="9">
        <f xml:space="preserve"> VfM_Metrics_2023_Entity[[#This Row],[% Supported housing (excl. HOP)]] + VfM_Metrics_2023_Entity[[#This Row],[% Housing for older people]]</f>
        <v>0.21660388293248334</v>
      </c>
      <c r="CP180" s="69">
        <f xml:space="preserve"> -- ( VfM_Metrics_2023_Entity[[#This Row],[SH specialist in RSH analysis]] + VfM_Metrics_2023_Entity[[#This Row],[OP specialist in RSH analysis]] &gt; 0 )</f>
        <v>0</v>
      </c>
      <c r="CQ180" s="142">
        <f xml:space="preserve"> -- ( VfM_Metrics_2023_Entity[[#This Row],[% SH and OP]] &gt; 0.3 )</f>
        <v>0</v>
      </c>
      <c r="CR180" s="143" t="s">
        <v>143</v>
      </c>
      <c r="CS180" s="120"/>
      <c r="CT180" s="144" t="s">
        <v>151</v>
      </c>
      <c r="CU18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80" s="146">
        <v>0</v>
      </c>
      <c r="CW180" s="146">
        <v>0</v>
      </c>
      <c r="CX180" s="146">
        <v>1</v>
      </c>
      <c r="CY180" s="146">
        <v>0</v>
      </c>
      <c r="CZ180" s="146">
        <v>0</v>
      </c>
      <c r="DA180" s="146">
        <v>0</v>
      </c>
      <c r="DB180" s="146">
        <v>0</v>
      </c>
      <c r="DC180" s="146">
        <v>0</v>
      </c>
      <c r="DD180" s="146">
        <v>0</v>
      </c>
      <c r="DE180" s="126">
        <v>0.97511902715076015</v>
      </c>
    </row>
    <row r="181" spans="1:109" x14ac:dyDescent="0.25">
      <c r="A181" s="4" t="s" vm="353">
        <v>438</v>
      </c>
      <c r="B181" s="4" t="s" vm="9275">
        <v>439</v>
      </c>
      <c r="C181" s="121" vm="18813">
        <v>45016</v>
      </c>
      <c r="D181" s="68">
        <f>IFERROR( VfM_Metrics_2023_Entity[[#This Row],[Reinvestment Spend]] / VfM_Metrics_2023_Entity[[#This Row],[Net Book Value of Housing Properties]], "n/a" )</f>
        <v>0.14149031528898243</v>
      </c>
      <c r="E18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79871</v>
      </c>
      <c r="F181" s="84" vm="9452">
        <v>62607</v>
      </c>
      <c r="G181" s="84" vm="10398">
        <v>0</v>
      </c>
      <c r="H181" s="84" vm="10792">
        <v>14161</v>
      </c>
      <c r="I181" s="84" vm="9637">
        <v>3103</v>
      </c>
      <c r="J181" s="84" vm="10251">
        <v>0</v>
      </c>
      <c r="K181" s="5">
        <f xml:space="preserve"> SUM( VfM_Metrics_2023_Entity[[#This Row],[Tangible fixed assets: Housing properties at cost (Current period)]],VfM_Metrics_2023_Entity[[#This Row],[Tangible fixed assets Housing properties at valuation (Current period)]] )</f>
        <v>564498</v>
      </c>
      <c r="L181" s="84" vm="10725">
        <v>564498</v>
      </c>
      <c r="M181" s="84" vm="10738">
        <v>0</v>
      </c>
      <c r="N181" s="134">
        <f xml:space="preserve"> IFERROR( VfM_Metrics_2023_Entity[[#This Row],[Total social units developed or newly built units acquired in-year]] / VfM_Metrics_2023_Entity[[#This Row],[Social housing units owned (period end)]], "n/a" )</f>
        <v>3.0002158428663932E-2</v>
      </c>
      <c r="O181" s="5">
        <f xml:space="preserve"> SUM( VfM_Metrics_2023_Entity[[#This Row],[Total social units developed or newly built units acquired in-year (owned)]], VfM_Metrics_2023_Entity[[#This Row],[Total social leasehold units developed or newly built units acquired in-year (owned)]] )</f>
        <v>278</v>
      </c>
      <c r="P181" s="84" vm="10979">
        <v>278</v>
      </c>
      <c r="Q181" s="84" vm="11151">
        <v>0</v>
      </c>
      <c r="R181" s="5">
        <f xml:space="preserve"> SUM( VfM_Metrics_2023_Entity[[#This Row],[Total social housing units owned (Period end)]], VfM_Metrics_2023_Entity[[#This Row],[Total social leasehold units owned (Period end)]] )</f>
        <v>9266</v>
      </c>
      <c r="S181" s="84" vm="11276">
        <v>9266</v>
      </c>
      <c r="T181" s="135" vm="11517">
        <v>0</v>
      </c>
      <c r="U181" s="136">
        <f xml:space="preserve"> IFERROR( VfM_Metrics_2023_Entity[[#This Row],[Total non-social housing units developed or newly built units acquired (owned)]] / VfM_Metrics_2023_Entity[[#This Row],[Total social and non-social housing units owned (Period end)]], "n/a" )</f>
        <v>0</v>
      </c>
      <c r="V18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81" s="84" vm="11627">
        <v>0</v>
      </c>
      <c r="X181" s="84" vm="11810">
        <v>0</v>
      </c>
      <c r="Y181" s="84" vm="11857">
        <v>0</v>
      </c>
      <c r="Z18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10101</v>
      </c>
      <c r="AA181" s="84" vm="11276">
        <v>9266</v>
      </c>
      <c r="AB181" s="84" vm="12458">
        <v>0</v>
      </c>
      <c r="AC181" s="84" vm="12393">
        <v>1</v>
      </c>
      <c r="AD181" s="135" vm="12527">
        <v>834</v>
      </c>
      <c r="AE181" s="134">
        <f xml:space="preserve"> IFERROR( VfM_Metrics_2023_Entity[[#This Row],[Total Net Debt]] / VfM_Metrics_2023_Entity[[#This Row],[Net Book Value of Housing Properties2]], "n/a" )</f>
        <v>0.6052900098848889</v>
      </c>
      <c r="AF18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341685</v>
      </c>
      <c r="AG181" s="84" vm="12624">
        <v>3600</v>
      </c>
      <c r="AH181" s="84" vm="13082">
        <v>350417</v>
      </c>
      <c r="AI181" s="84" vm="13168">
        <v>12332</v>
      </c>
      <c r="AJ181" s="84" vm="12799">
        <v>0</v>
      </c>
      <c r="AK181" s="84" vm="13311">
        <v>0</v>
      </c>
      <c r="AL181" s="5">
        <f xml:space="preserve"> SUM( VfM_Metrics_2023_Entity[[#This Row],[Tangible fixed assets: Housing properties at cost (Current period)2]], VfM_Metrics_2023_Entity[[#This Row],[Tangible fixed assets Housing properties at valuation (Current period)2]] )</f>
        <v>564498</v>
      </c>
      <c r="AM181" s="84" vm="9928">
        <v>564498</v>
      </c>
      <c r="AN181" s="135" vm="10112">
        <v>0</v>
      </c>
      <c r="AO181" s="137">
        <f xml:space="preserve"> IFERROR( VfM_Metrics_2023_Entity[[#This Row],[EBITDA MRI]] / VfM_Metrics_2023_Entity[[#This Row],[Total interest]], "n/a" )</f>
        <v>0.69103116982368029</v>
      </c>
      <c r="AP18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12659</v>
      </c>
      <c r="AQ181" s="84" vm="13527">
        <v>21756</v>
      </c>
      <c r="AR181" s="84" vm="14083">
        <v>4794</v>
      </c>
      <c r="AS181" s="84" vm="14327">
        <v>0</v>
      </c>
      <c r="AT181" s="84" vm="14573">
        <v>1008</v>
      </c>
      <c r="AU181" s="84" vm="14819">
        <v>76</v>
      </c>
      <c r="AV181" s="84" vm="15062">
        <v>772</v>
      </c>
      <c r="AW181" s="84" vm="13829">
        <v>14161</v>
      </c>
      <c r="AX181" s="84" vm="14084">
        <v>10170</v>
      </c>
      <c r="AY181" s="5">
        <f xml:space="preserve"> - SUM( VfM_Metrics_2023_Entity[[#This Row],[Interest capitalised]], VfM_Metrics_2023_Entity[[#This Row],[Interest payable and financing costs]] )</f>
        <v>18319</v>
      </c>
      <c r="AZ181" s="84" vm="15205">
        <v>-4030</v>
      </c>
      <c r="BA181" s="135" vm="15373">
        <v>-14289</v>
      </c>
      <c r="BB181" s="138">
        <f xml:space="preserve"> IFERROR( ( VfM_Metrics_2023_Entity[[#This Row],[Total Costs]] / VfM_Metrics_2023_Entity[[#This Row],[Total units for costs]] ) * 1000, "n/a" )</f>
        <v>5570.041010144615</v>
      </c>
      <c r="BC18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51612</v>
      </c>
      <c r="BD181" s="84" vm="15545">
        <v>11835</v>
      </c>
      <c r="BE181" s="84" vm="16193">
        <v>2438</v>
      </c>
      <c r="BF181" s="84" vm="17601">
        <v>11708</v>
      </c>
      <c r="BG181" s="84" vm="16505">
        <v>5063</v>
      </c>
      <c r="BH181" s="84" vm="16674">
        <v>0</v>
      </c>
      <c r="BI181" s="84" vm="16839">
        <v>0</v>
      </c>
      <c r="BJ181" s="84" vm="13829">
        <v>14161</v>
      </c>
      <c r="BK181" s="84" vm="16015">
        <v>5673</v>
      </c>
      <c r="BL181" s="84" vm="17532">
        <v>0</v>
      </c>
      <c r="BM181" s="84" vm="16016">
        <v>644</v>
      </c>
      <c r="BN181" s="84" vm="16675">
        <v>0</v>
      </c>
      <c r="BO181" s="84" vm="16194">
        <v>90</v>
      </c>
      <c r="BP181" s="5" vm="17680">
        <f xml:space="preserve"> VfM_Metrics_2023_Entity[[#This Row],[Total social housing units owned and/or managed at period end]]</f>
        <v>9266</v>
      </c>
      <c r="BQ181" s="135" vm="17680">
        <v>9266</v>
      </c>
      <c r="BR181" s="134">
        <f xml:space="preserve"> IFERROR( VfM_Metrics_2023_Entity[[#This Row],[SHL operating surplus / (deficit)]] / VfM_Metrics_2023_Entity[[#This Row],[Turnover from social housing lettings]], "n/a" )</f>
        <v>0.23868629894405458</v>
      </c>
      <c r="BS181" s="5" vm="17935">
        <f xml:space="preserve"> VfM_Metrics_2023_Entity[[#This Row],[Operating surplus/(deficit) (social housing lettings)]]</f>
        <v>14557</v>
      </c>
      <c r="BT181" s="84" vm="17935">
        <v>14557</v>
      </c>
      <c r="BU181" s="5" vm="18210">
        <f xml:space="preserve"> VfM_Metrics_2023_Entity[[#This Row],[Turnover from social housing lettings]]</f>
        <v>60988</v>
      </c>
      <c r="BV181" s="135" vm="18210">
        <v>60988</v>
      </c>
      <c r="BW181" s="134">
        <f xml:space="preserve"> IFERROR( VfM_Metrics_2023_Entity[[#This Row],[Net operating surplus]] / VfM_Metrics_2023_Entity[[#This Row],[Overall turnover]], "n/a" )</f>
        <v>0.21614802354920101</v>
      </c>
      <c r="BX181" s="5">
        <f xml:space="preserve"> SUM( VfM_Metrics_2023_Entity[[#This Row],[Operating surplus/(deficit) (overall)2]], - VfM_Metrics_2023_Entity[[#This Row],[Gain/(loss) on disposal of fixed assets (housing properties)2]], - VfM_Metrics_2023_Entity[[#This Row],[Gain/(loss) on disposal of fixed assets (other)2]] )</f>
        <v>16962</v>
      </c>
      <c r="BY181" s="84" vm="13527">
        <v>21756</v>
      </c>
      <c r="BZ181" s="84" vm="14083">
        <v>4794</v>
      </c>
      <c r="CA181" s="84" vm="14327">
        <v>0</v>
      </c>
      <c r="CB181" s="5" vm="18285">
        <f xml:space="preserve"> VfM_Metrics_2023_Entity[[#This Row],[Turnover (overall)]]</f>
        <v>78474</v>
      </c>
      <c r="CC181" s="135" vm="18285">
        <v>78474</v>
      </c>
      <c r="CD181" s="134">
        <f xml:space="preserve"> IFERROR( VfM_Metrics_2023_Entity[[#This Row],[Operating surplus including from JVs]] / VfM_Metrics_2023_Entity[[#This Row],[Net assets]], "n/a" )</f>
        <v>3.6804460654617302E-2</v>
      </c>
      <c r="CE181" s="5">
        <f xml:space="preserve"> SUM( VfM_Metrics_2023_Entity[[#This Row],[Operating surplus/(deficit) (overall)3]], VfM_Metrics_2023_Entity[[#This Row],[Share of operating surplus/(deficit) in joint ventures or associates]] )</f>
        <v>21756</v>
      </c>
      <c r="CF181" s="84" vm="13527">
        <v>21756</v>
      </c>
      <c r="CG181" s="84" vm="18487">
        <v>0</v>
      </c>
      <c r="CH181" s="5" vm="18671">
        <f xml:space="preserve"> VfM_Metrics_2023_Entity[[#This Row],[Total assets less current liabilities]]</f>
        <v>591124</v>
      </c>
      <c r="CI181" s="135" vm="18671">
        <v>591124</v>
      </c>
      <c r="CJ181" s="140" vm="11276">
        <f xml:space="preserve"> VfM_Metrics_2023_Entity[[#This Row],[Total social housing units owned (Period end)]]</f>
        <v>9266</v>
      </c>
      <c r="CK181" s="141">
        <v>1.1504327818560315E-2</v>
      </c>
      <c r="CL181" s="69">
        <f xml:space="preserve"> -- ( VfM_Metrics_2023_Entity[[#This Row],[% Supported housing (excl. HOP)]] &gt; 0.3 )</f>
        <v>0</v>
      </c>
      <c r="CM181" s="9">
        <v>8.4803330776816038E-2</v>
      </c>
      <c r="CN181" s="69">
        <f xml:space="preserve"> -- ( VfM_Metrics_2023_Entity[[#This Row],[% Housing for older people]] &gt; 0.3 )</f>
        <v>0</v>
      </c>
      <c r="CO181" s="9">
        <f xml:space="preserve"> VfM_Metrics_2023_Entity[[#This Row],[% Supported housing (excl. HOP)]] + VfM_Metrics_2023_Entity[[#This Row],[% Housing for older people]]</f>
        <v>9.630765859537635E-2</v>
      </c>
      <c r="CP181" s="69">
        <f xml:space="preserve"> -- ( VfM_Metrics_2023_Entity[[#This Row],[SH specialist in RSH analysis]] + VfM_Metrics_2023_Entity[[#This Row],[OP specialist in RSH analysis]] &gt; 0 )</f>
        <v>0</v>
      </c>
      <c r="CQ181" s="142">
        <f xml:space="preserve"> -- ( VfM_Metrics_2023_Entity[[#This Row],[% SH and OP]] &gt; 0.3 )</f>
        <v>0</v>
      </c>
      <c r="CR181" s="143" t="s">
        <v>143</v>
      </c>
      <c r="CS181" s="120"/>
      <c r="CT181" s="144" t="s">
        <v>151</v>
      </c>
      <c r="CU18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181" s="146">
        <v>0</v>
      </c>
      <c r="CW181" s="146">
        <v>6.5111231687466087E-4</v>
      </c>
      <c r="CX181" s="146">
        <v>0</v>
      </c>
      <c r="CY181" s="146">
        <v>0</v>
      </c>
      <c r="CZ181" s="146">
        <v>0</v>
      </c>
      <c r="DA181" s="146">
        <v>0.99934888768312535</v>
      </c>
      <c r="DB181" s="146">
        <v>0</v>
      </c>
      <c r="DC181" s="146">
        <v>0</v>
      </c>
      <c r="DD181" s="146">
        <v>0</v>
      </c>
      <c r="DE181" s="126">
        <v>1.0113846772846662</v>
      </c>
    </row>
    <row r="182" spans="1:109" x14ac:dyDescent="0.25">
      <c r="A182" s="4" t="s" vm="306">
        <v>440</v>
      </c>
      <c r="B182" s="4" t="s" vm="9319">
        <v>441</v>
      </c>
      <c r="C182" s="121" vm="18886">
        <v>45016</v>
      </c>
      <c r="D182" s="68">
        <f>IFERROR( VfM_Metrics_2023_Entity[[#This Row],[Reinvestment Spend]] / VfM_Metrics_2023_Entity[[#This Row],[Net Book Value of Housing Properties]], "n/a" )</f>
        <v>6.028720241233157E-2</v>
      </c>
      <c r="E18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34308</v>
      </c>
      <c r="F182" s="84" vm="9423">
        <v>13625</v>
      </c>
      <c r="G182" s="84" vm="9775">
        <v>0</v>
      </c>
      <c r="H182" s="84" vm="10889">
        <v>17509</v>
      </c>
      <c r="I182" s="84" vm="9587">
        <v>3174</v>
      </c>
      <c r="J182" s="84" vm="9638">
        <v>0</v>
      </c>
      <c r="K182" s="5">
        <f xml:space="preserve"> SUM( VfM_Metrics_2023_Entity[[#This Row],[Tangible fixed assets: Housing properties at cost (Current period)]],VfM_Metrics_2023_Entity[[#This Row],[Tangible fixed assets Housing properties at valuation (Current period)]] )</f>
        <v>569076</v>
      </c>
      <c r="L182" s="84" vm="9950">
        <v>569076</v>
      </c>
      <c r="M182" s="84" vm="10125">
        <v>0</v>
      </c>
      <c r="N182" s="134">
        <f xml:space="preserve"> IFERROR( VfM_Metrics_2023_Entity[[#This Row],[Total social units developed or newly built units acquired in-year]] / VfM_Metrics_2023_Entity[[#This Row],[Social housing units owned (period end)]], "n/a" )</f>
        <v>1.3558614935335837E-2</v>
      </c>
      <c r="O182" s="5">
        <f xml:space="preserve"> SUM( VfM_Metrics_2023_Entity[[#This Row],[Total social units developed or newly built units acquired in-year (owned)]], VfM_Metrics_2023_Entity[[#This Row],[Total social leasehold units developed or newly built units acquired in-year (owned)]] )</f>
        <v>65</v>
      </c>
      <c r="P182" s="84" vm="11032">
        <v>65</v>
      </c>
      <c r="Q182" s="84" vm="11163">
        <v>0</v>
      </c>
      <c r="R182" s="5">
        <f xml:space="preserve"> SUM( VfM_Metrics_2023_Entity[[#This Row],[Total social housing units owned (Period end)]], VfM_Metrics_2023_Entity[[#This Row],[Total social leasehold units owned (Period end)]] )</f>
        <v>4794</v>
      </c>
      <c r="S182" s="84" vm="11324">
        <v>4616</v>
      </c>
      <c r="T182" s="135" vm="11549">
        <v>178</v>
      </c>
      <c r="U182" s="136">
        <f xml:space="preserve"> IFERROR( VfM_Metrics_2023_Entity[[#This Row],[Total non-social housing units developed or newly built units acquired (owned)]] / VfM_Metrics_2023_Entity[[#This Row],[Total social and non-social housing units owned (Period end)]], "n/a" )</f>
        <v>0</v>
      </c>
      <c r="V18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82" s="84" vm="11643">
        <v>0</v>
      </c>
      <c r="X182" s="84" vm="11897">
        <v>0</v>
      </c>
      <c r="Y182" s="84" vm="11937">
        <v>0</v>
      </c>
      <c r="Z18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5140</v>
      </c>
      <c r="AA182" s="84" vm="12007">
        <v>4616</v>
      </c>
      <c r="AB182" s="84" vm="12210">
        <v>178</v>
      </c>
      <c r="AC182" s="84" vm="12145">
        <v>202</v>
      </c>
      <c r="AD182" s="135" vm="12300">
        <v>144</v>
      </c>
      <c r="AE182" s="134">
        <f xml:space="preserve"> IFERROR( VfM_Metrics_2023_Entity[[#This Row],[Total Net Debt]] / VfM_Metrics_2023_Entity[[#This Row],[Net Book Value of Housing Properties2]], "n/a" )</f>
        <v>0.51670251425117208</v>
      </c>
      <c r="AF18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294043</v>
      </c>
      <c r="AG182" s="84" vm="12649">
        <v>8118</v>
      </c>
      <c r="AH182" s="84" vm="12881">
        <v>298517</v>
      </c>
      <c r="AI182" s="84" vm="12958">
        <v>12592</v>
      </c>
      <c r="AJ182" s="84" vm="13055">
        <v>0</v>
      </c>
      <c r="AK182" s="84" vm="13142">
        <v>0</v>
      </c>
      <c r="AL182" s="5">
        <f xml:space="preserve"> SUM( VfM_Metrics_2023_Entity[[#This Row],[Tangible fixed assets: Housing properties at cost (Current period)2]], VfM_Metrics_2023_Entity[[#This Row],[Tangible fixed assets Housing properties at valuation (Current period)2]] )</f>
        <v>569076</v>
      </c>
      <c r="AM182" s="84" vm="13377">
        <v>569076</v>
      </c>
      <c r="AN182" s="135" vm="10125">
        <v>0</v>
      </c>
      <c r="AO182" s="137">
        <f xml:space="preserve"> IFERROR( VfM_Metrics_2023_Entity[[#This Row],[EBITDA MRI]] / VfM_Metrics_2023_Entity[[#This Row],[Total interest]], "n/a" )</f>
        <v>-0.91302648294732724</v>
      </c>
      <c r="AP18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-9343</v>
      </c>
      <c r="AQ182" s="84" vm="13556">
        <v>16877</v>
      </c>
      <c r="AR182" s="84" vm="14328">
        <v>12143</v>
      </c>
      <c r="AS182" s="84" vm="14574">
        <v>0</v>
      </c>
      <c r="AT182" s="84" vm="14820">
        <v>1856</v>
      </c>
      <c r="AU182" s="84" vm="15063">
        <v>0</v>
      </c>
      <c r="AV182" s="84" vm="13830">
        <v>48</v>
      </c>
      <c r="AW182" s="84" vm="14085">
        <v>18080</v>
      </c>
      <c r="AX182" s="84" vm="14329">
        <v>5811</v>
      </c>
      <c r="AY182" s="5">
        <f xml:space="preserve"> - SUM( VfM_Metrics_2023_Entity[[#This Row],[Interest capitalised]], VfM_Metrics_2023_Entity[[#This Row],[Interest payable and financing costs]] )</f>
        <v>10233</v>
      </c>
      <c r="AZ182" s="84" vm="15230">
        <v>-3174</v>
      </c>
      <c r="BA182" s="135" vm="15401">
        <v>-7059</v>
      </c>
      <c r="BB182" s="138">
        <f xml:space="preserve"> IFERROR( ( VfM_Metrics_2023_Entity[[#This Row],[Total Costs]] / VfM_Metrics_2023_Entity[[#This Row],[Total units for costs]] ) * 1000, "n/a" )</f>
        <v>11124.133448873483</v>
      </c>
      <c r="BC18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51349</v>
      </c>
      <c r="BD182" s="84" vm="15586">
        <v>13976</v>
      </c>
      <c r="BE182" s="84" vm="16917">
        <v>3898</v>
      </c>
      <c r="BF182" s="84" vm="16230">
        <v>6750</v>
      </c>
      <c r="BG182" s="84" vm="15545">
        <v>4716</v>
      </c>
      <c r="BH182" s="84" vm="17533">
        <v>0</v>
      </c>
      <c r="BI182" s="84" vm="17602">
        <v>2749</v>
      </c>
      <c r="BJ182" s="84" vm="14085">
        <v>18080</v>
      </c>
      <c r="BK182" s="84" vm="16676">
        <v>0</v>
      </c>
      <c r="BL182" s="84" vm="16918">
        <v>990</v>
      </c>
      <c r="BM182" s="84" vm="17073">
        <v>190</v>
      </c>
      <c r="BN182" s="84" vm="16018">
        <v>0</v>
      </c>
      <c r="BO182" s="84" vm="16754">
        <v>0</v>
      </c>
      <c r="BP182" s="5" vm="17813">
        <f xml:space="preserve"> VfM_Metrics_2023_Entity[[#This Row],[Total social housing units owned and/or managed at period end]]</f>
        <v>4616</v>
      </c>
      <c r="BQ182" s="135" vm="17813">
        <v>4616</v>
      </c>
      <c r="BR182" s="134">
        <f xml:space="preserve"> IFERROR( VfM_Metrics_2023_Entity[[#This Row],[SHL operating surplus / (deficit)]] / VfM_Metrics_2023_Entity[[#This Row],[Turnover from social housing lettings]], "n/a" )</f>
        <v>9.33120030562785E-2</v>
      </c>
      <c r="BS182" s="5" vm="17972">
        <f xml:space="preserve"> VfM_Metrics_2023_Entity[[#This Row],[Operating surplus/(deficit) (social housing lettings)]]</f>
        <v>3908</v>
      </c>
      <c r="BT182" s="84" vm="17972">
        <v>3908</v>
      </c>
      <c r="BU182" s="5" vm="18147">
        <f xml:space="preserve"> VfM_Metrics_2023_Entity[[#This Row],[Turnover from social housing lettings]]</f>
        <v>41881</v>
      </c>
      <c r="BV182" s="135" vm="18147">
        <v>41881</v>
      </c>
      <c r="BW182" s="134">
        <f xml:space="preserve"> IFERROR( VfM_Metrics_2023_Entity[[#This Row],[Net operating surplus]] / VfM_Metrics_2023_Entity[[#This Row],[Overall turnover]], "n/a" )</f>
        <v>9.6910888656881411E-2</v>
      </c>
      <c r="BX182" s="5">
        <f xml:space="preserve"> SUM( VfM_Metrics_2023_Entity[[#This Row],[Operating surplus/(deficit) (overall)2]], - VfM_Metrics_2023_Entity[[#This Row],[Gain/(loss) on disposal of fixed assets (housing properties)2]], - VfM_Metrics_2023_Entity[[#This Row],[Gain/(loss) on disposal of fixed assets (other)2]] )</f>
        <v>4734</v>
      </c>
      <c r="BY182" s="84" vm="13556">
        <v>16877</v>
      </c>
      <c r="BZ182" s="84" vm="14328">
        <v>12143</v>
      </c>
      <c r="CA182" s="84" vm="14574">
        <v>0</v>
      </c>
      <c r="CB182" s="5" vm="18312">
        <f xml:space="preserve"> VfM_Metrics_2023_Entity[[#This Row],[Turnover (overall)]]</f>
        <v>48849</v>
      </c>
      <c r="CC182" s="135" vm="18312">
        <v>48849</v>
      </c>
      <c r="CD182" s="134">
        <f xml:space="preserve"> IFERROR( VfM_Metrics_2023_Entity[[#This Row],[Operating surplus including from JVs]] / VfM_Metrics_2023_Entity[[#This Row],[Net assets]], "n/a" )</f>
        <v>2.7658507486168288E-2</v>
      </c>
      <c r="CE182" s="5">
        <f xml:space="preserve"> SUM( VfM_Metrics_2023_Entity[[#This Row],[Operating surplus/(deficit) (overall)3]], VfM_Metrics_2023_Entity[[#This Row],[Share of operating surplus/(deficit) in joint ventures or associates]] )</f>
        <v>16877</v>
      </c>
      <c r="CF182" s="84" vm="18228">
        <v>16877</v>
      </c>
      <c r="CG182" s="84" vm="18504">
        <v>0</v>
      </c>
      <c r="CH182" s="5" vm="18700">
        <f xml:space="preserve"> VfM_Metrics_2023_Entity[[#This Row],[Total assets less current liabilities]]</f>
        <v>610192</v>
      </c>
      <c r="CI182" s="135" vm="18700">
        <v>610192</v>
      </c>
      <c r="CJ182" s="140" vm="11324">
        <f xml:space="preserve"> VfM_Metrics_2023_Entity[[#This Row],[Total social housing units owned (Period end)]]</f>
        <v>4616</v>
      </c>
      <c r="CK182" s="141">
        <v>4.5840787119856889E-2</v>
      </c>
      <c r="CL182" s="69">
        <f xml:space="preserve"> -- ( VfM_Metrics_2023_Entity[[#This Row],[% Supported housing (excl. HOP)]] &gt; 0.3 )</f>
        <v>0</v>
      </c>
      <c r="CM182" s="9">
        <v>1.6323792486583184E-2</v>
      </c>
      <c r="CN182" s="69">
        <f xml:space="preserve"> -- ( VfM_Metrics_2023_Entity[[#This Row],[% Housing for older people]] &gt; 0.3 )</f>
        <v>0</v>
      </c>
      <c r="CO182" s="9">
        <f xml:space="preserve"> VfM_Metrics_2023_Entity[[#This Row],[% Supported housing (excl. HOP)]] + VfM_Metrics_2023_Entity[[#This Row],[% Housing for older people]]</f>
        <v>6.2164579606440076E-2</v>
      </c>
      <c r="CP182" s="69">
        <f xml:space="preserve"> -- ( VfM_Metrics_2023_Entity[[#This Row],[SH specialist in RSH analysis]] + VfM_Metrics_2023_Entity[[#This Row],[OP specialist in RSH analysis]] &gt; 0 )</f>
        <v>0</v>
      </c>
      <c r="CQ182" s="142">
        <f xml:space="preserve"> -- ( VfM_Metrics_2023_Entity[[#This Row],[% SH and OP]] &gt; 0.3 )</f>
        <v>0</v>
      </c>
      <c r="CR182" s="143" t="s">
        <v>143</v>
      </c>
      <c r="CS182" s="120"/>
      <c r="CT182" s="144" t="s">
        <v>144</v>
      </c>
      <c r="CU18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82" s="146">
        <v>0.99549954995499546</v>
      </c>
      <c r="CW182" s="146">
        <v>2.7002700270027003E-3</v>
      </c>
      <c r="CX182" s="146">
        <v>4.5004500450045003E-4</v>
      </c>
      <c r="CY182" s="146">
        <v>0</v>
      </c>
      <c r="CZ182" s="146">
        <v>0</v>
      </c>
      <c r="DA182" s="146">
        <v>1.3501350135013501E-3</v>
      </c>
      <c r="DB182" s="146">
        <v>0</v>
      </c>
      <c r="DC182" s="146">
        <v>0</v>
      </c>
      <c r="DD182" s="146">
        <v>0</v>
      </c>
      <c r="DE182" s="126">
        <v>1.1597434942755278</v>
      </c>
    </row>
    <row r="183" spans="1:109" x14ac:dyDescent="0.25">
      <c r="A183" s="4" t="s" vm="365">
        <v>442</v>
      </c>
      <c r="B183" s="4" t="s" vm="9337">
        <v>443</v>
      </c>
      <c r="C183" s="121" vm="18846">
        <v>45016</v>
      </c>
      <c r="D183" s="68">
        <f>IFERROR( VfM_Metrics_2023_Entity[[#This Row],[Reinvestment Spend]] / VfM_Metrics_2023_Entity[[#This Row],[Net Book Value of Housing Properties]], "n/a" )</f>
        <v>0.10153079697599832</v>
      </c>
      <c r="E18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51316</v>
      </c>
      <c r="F183" s="84" vm="9788">
        <v>43392</v>
      </c>
      <c r="G183" s="84" vm="9738">
        <v>0</v>
      </c>
      <c r="H183" s="84" vm="10483">
        <v>7229</v>
      </c>
      <c r="I183" s="84" vm="9524">
        <v>695</v>
      </c>
      <c r="J183" s="84" vm="10503">
        <v>0</v>
      </c>
      <c r="K183" s="5">
        <f xml:space="preserve"> SUM( VfM_Metrics_2023_Entity[[#This Row],[Tangible fixed assets: Housing properties at cost (Current period)]],VfM_Metrics_2023_Entity[[#This Row],[Tangible fixed assets Housing properties at valuation (Current period)]] )</f>
        <v>505423</v>
      </c>
      <c r="L183" s="84" vm="9967">
        <v>505423</v>
      </c>
      <c r="M183" s="84" vm="10343">
        <v>0</v>
      </c>
      <c r="N183" s="134">
        <f xml:space="preserve"> IFERROR( VfM_Metrics_2023_Entity[[#This Row],[Total social units developed or newly built units acquired in-year]] / VfM_Metrics_2023_Entity[[#This Row],[Social housing units owned (period end)]], "n/a" )</f>
        <v>2.6160701451775192E-2</v>
      </c>
      <c r="O183" s="5">
        <f xml:space="preserve"> SUM( VfM_Metrics_2023_Entity[[#This Row],[Total social units developed or newly built units acquired in-year (owned)]], VfM_Metrics_2023_Entity[[#This Row],[Total social leasehold units developed or newly built units acquired in-year (owned)]] )</f>
        <v>182</v>
      </c>
      <c r="P183" s="84" vm="11056">
        <v>182</v>
      </c>
      <c r="Q183" s="84" vm="11181">
        <v>0</v>
      </c>
      <c r="R183" s="5">
        <f xml:space="preserve"> SUM( VfM_Metrics_2023_Entity[[#This Row],[Total social housing units owned (Period end)]], VfM_Metrics_2023_Entity[[#This Row],[Total social leasehold units owned (Period end)]] )</f>
        <v>6957</v>
      </c>
      <c r="S183" s="84" vm="11369">
        <v>6957</v>
      </c>
      <c r="T183" s="135" vm="11537">
        <v>0</v>
      </c>
      <c r="U183" s="136">
        <f xml:space="preserve"> IFERROR( VfM_Metrics_2023_Entity[[#This Row],[Total non-social housing units developed or newly built units acquired (owned)]] / VfM_Metrics_2023_Entity[[#This Row],[Total social and non-social housing units owned (Period end)]], "n/a" )</f>
        <v>1.244090569793481E-4</v>
      </c>
      <c r="V18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v>
      </c>
      <c r="W183" s="84" vm="11660">
        <v>0</v>
      </c>
      <c r="X183" s="84" vm="11695">
        <v>1</v>
      </c>
      <c r="Y183" s="84" vm="11767">
        <v>0</v>
      </c>
      <c r="Z18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8038</v>
      </c>
      <c r="AA183" s="84" vm="11366">
        <v>6957</v>
      </c>
      <c r="AB183" s="84" vm="12459">
        <v>0</v>
      </c>
      <c r="AC183" s="84" vm="12394">
        <v>0</v>
      </c>
      <c r="AD183" s="135" vm="12528">
        <v>1081</v>
      </c>
      <c r="AE183" s="134">
        <f xml:space="preserve"> IFERROR( VfM_Metrics_2023_Entity[[#This Row],[Total Net Debt]] / VfM_Metrics_2023_Entity[[#This Row],[Net Book Value of Housing Properties2]], "n/a" )</f>
        <v>0.41588728649072165</v>
      </c>
      <c r="AF18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210199</v>
      </c>
      <c r="AG183" s="84" vm="12677">
        <v>0</v>
      </c>
      <c r="AH183" s="84" vm="12800">
        <v>219994</v>
      </c>
      <c r="AI183" s="84" vm="13250">
        <v>9795</v>
      </c>
      <c r="AJ183" s="84" vm="13346">
        <v>0</v>
      </c>
      <c r="AK183" s="84" vm="12916">
        <v>0</v>
      </c>
      <c r="AL183" s="5">
        <f xml:space="preserve"> SUM( VfM_Metrics_2023_Entity[[#This Row],[Tangible fixed assets: Housing properties at cost (Current period)2]], VfM_Metrics_2023_Entity[[#This Row],[Tangible fixed assets Housing properties at valuation (Current period)2]] )</f>
        <v>505423</v>
      </c>
      <c r="AM183" s="84" vm="9967">
        <v>505423</v>
      </c>
      <c r="AN183" s="135" vm="10343">
        <v>0</v>
      </c>
      <c r="AO183" s="137">
        <f xml:space="preserve"> IFERROR( VfM_Metrics_2023_Entity[[#This Row],[EBITDA MRI]] / VfM_Metrics_2023_Entity[[#This Row],[Total interest]], "n/a" )</f>
        <v>2.8075666848121936</v>
      </c>
      <c r="AP18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20630</v>
      </c>
      <c r="AQ183" s="84" vm="13587">
        <v>20396</v>
      </c>
      <c r="AR183" s="84" vm="14575">
        <v>763</v>
      </c>
      <c r="AS183" s="84" vm="14821">
        <v>0</v>
      </c>
      <c r="AT183" s="84" vm="15064">
        <v>82</v>
      </c>
      <c r="AU183" s="84" vm="13831">
        <v>0</v>
      </c>
      <c r="AV183" s="84" vm="14086">
        <v>335</v>
      </c>
      <c r="AW183" s="84" vm="14330">
        <v>7229</v>
      </c>
      <c r="AX183" s="84" vm="14576">
        <v>7973</v>
      </c>
      <c r="AY183" s="5">
        <f xml:space="preserve"> - SUM( VfM_Metrics_2023_Entity[[#This Row],[Interest capitalised]], VfM_Metrics_2023_Entity[[#This Row],[Interest payable and financing costs]] )</f>
        <v>7348</v>
      </c>
      <c r="AZ183" s="84" vm="15260">
        <v>-695</v>
      </c>
      <c r="BA183" s="135" vm="15443">
        <v>-6653</v>
      </c>
      <c r="BB183" s="138">
        <f xml:space="preserve"> IFERROR( ( VfM_Metrics_2023_Entity[[#This Row],[Total Costs]] / VfM_Metrics_2023_Entity[[#This Row],[Total units for costs]] ) * 1000, "n/a" )</f>
        <v>4589.3344832542771</v>
      </c>
      <c r="BC18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31928</v>
      </c>
      <c r="BD183" s="84" vm="15572">
        <v>9579</v>
      </c>
      <c r="BE183" s="84" vm="17603">
        <v>3655</v>
      </c>
      <c r="BF183" s="84" vm="16230">
        <v>5383</v>
      </c>
      <c r="BG183" s="84" vm="16755">
        <v>490</v>
      </c>
      <c r="BH183" s="84" vm="16196">
        <v>3670</v>
      </c>
      <c r="BI183" s="84" vm="17145">
        <v>985</v>
      </c>
      <c r="BJ183" s="84" vm="17298">
        <v>7229</v>
      </c>
      <c r="BK183" s="84" vm="17377">
        <v>0</v>
      </c>
      <c r="BL183" s="84" vm="16232">
        <v>0</v>
      </c>
      <c r="BM183" s="84" vm="16756">
        <v>109</v>
      </c>
      <c r="BN183" s="84" vm="16198">
        <v>818</v>
      </c>
      <c r="BO183" s="84" vm="16195">
        <v>10</v>
      </c>
      <c r="BP183" s="5" vm="17715">
        <f xml:space="preserve"> VfM_Metrics_2023_Entity[[#This Row],[Total social housing units owned and/or managed at period end]]</f>
        <v>6957</v>
      </c>
      <c r="BQ183" s="135" vm="17715">
        <v>6957</v>
      </c>
      <c r="BR183" s="134">
        <f xml:space="preserve"> IFERROR( VfM_Metrics_2023_Entity[[#This Row],[SHL operating surplus / (deficit)]] / VfM_Metrics_2023_Entity[[#This Row],[Turnover from social housing lettings]], "n/a" )</f>
        <v>0.30818974870882337</v>
      </c>
      <c r="BS183" s="5" vm="18003">
        <f xml:space="preserve"> VfM_Metrics_2023_Entity[[#This Row],[Operating surplus/(deficit) (social housing lettings)]]</f>
        <v>14202</v>
      </c>
      <c r="BT183" s="84" vm="18003">
        <v>14202</v>
      </c>
      <c r="BU183" s="5" vm="18184">
        <f xml:space="preserve"> VfM_Metrics_2023_Entity[[#This Row],[Turnover from social housing lettings]]</f>
        <v>46082</v>
      </c>
      <c r="BV183" s="135" vm="18184">
        <v>46082</v>
      </c>
      <c r="BW183" s="134">
        <f xml:space="preserve"> IFERROR( VfM_Metrics_2023_Entity[[#This Row],[Net operating surplus]] / VfM_Metrics_2023_Entity[[#This Row],[Overall turnover]], "n/a" )</f>
        <v>0.32046552624706187</v>
      </c>
      <c r="BX183" s="5">
        <f xml:space="preserve"> SUM( VfM_Metrics_2023_Entity[[#This Row],[Operating surplus/(deficit) (overall)2]], - VfM_Metrics_2023_Entity[[#This Row],[Gain/(loss) on disposal of fixed assets (housing properties)2]], - VfM_Metrics_2023_Entity[[#This Row],[Gain/(loss) on disposal of fixed assets (other)2]] )</f>
        <v>19633</v>
      </c>
      <c r="BY183" s="84" vm="18237">
        <v>20396</v>
      </c>
      <c r="BZ183" s="84" vm="14575">
        <v>763</v>
      </c>
      <c r="CA183" s="84" vm="14821">
        <v>0</v>
      </c>
      <c r="CB183" s="5" vm="18356">
        <f xml:space="preserve"> VfM_Metrics_2023_Entity[[#This Row],[Turnover (overall)]]</f>
        <v>61264</v>
      </c>
      <c r="CC183" s="135" vm="18356">
        <v>61264</v>
      </c>
      <c r="CD183" s="134">
        <f xml:space="preserve"> IFERROR( VfM_Metrics_2023_Entity[[#This Row],[Operating surplus including from JVs]] / VfM_Metrics_2023_Entity[[#This Row],[Net assets]], "n/a" )</f>
        <v>3.7823182740344852E-2</v>
      </c>
      <c r="CE183" s="5">
        <f xml:space="preserve"> SUM( VfM_Metrics_2023_Entity[[#This Row],[Operating surplus/(deficit) (overall)3]], VfM_Metrics_2023_Entity[[#This Row],[Share of operating surplus/(deficit) in joint ventures or associates]] )</f>
        <v>20396</v>
      </c>
      <c r="CF183" s="84" vm="18237">
        <v>20396</v>
      </c>
      <c r="CG183" s="84" vm="18522">
        <v>0</v>
      </c>
      <c r="CH183" s="5" vm="18728">
        <f xml:space="preserve"> VfM_Metrics_2023_Entity[[#This Row],[Total assets less current liabilities]]</f>
        <v>539246</v>
      </c>
      <c r="CI183" s="135" vm="18728">
        <v>539246</v>
      </c>
      <c r="CJ183" s="140" vm="11369">
        <f xml:space="preserve"> VfM_Metrics_2023_Entity[[#This Row],[Total social housing units owned (Period end)]]</f>
        <v>6957</v>
      </c>
      <c r="CK183" s="141">
        <v>6.7171644990710305E-3</v>
      </c>
      <c r="CL183" s="69">
        <f xml:space="preserve"> -- ( VfM_Metrics_2023_Entity[[#This Row],[% Supported housing (excl. HOP)]] &gt; 0.3 )</f>
        <v>0</v>
      </c>
      <c r="CM183" s="9">
        <v>5.002143775903959E-2</v>
      </c>
      <c r="CN183" s="69">
        <f xml:space="preserve"> -- ( VfM_Metrics_2023_Entity[[#This Row],[% Housing for older people]] &gt; 0.3 )</f>
        <v>0</v>
      </c>
      <c r="CO183" s="9">
        <f xml:space="preserve"> VfM_Metrics_2023_Entity[[#This Row],[% Supported housing (excl. HOP)]] + VfM_Metrics_2023_Entity[[#This Row],[% Housing for older people]]</f>
        <v>5.6738602258110622E-2</v>
      </c>
      <c r="CP183" s="69">
        <f xml:space="preserve"> -- ( VfM_Metrics_2023_Entity[[#This Row],[SH specialist in RSH analysis]] + VfM_Metrics_2023_Entity[[#This Row],[OP specialist in RSH analysis]] &gt; 0 )</f>
        <v>0</v>
      </c>
      <c r="CQ183" s="142">
        <f xml:space="preserve"> -- ( VfM_Metrics_2023_Entity[[#This Row],[% SH and OP]] &gt; 0.3 )</f>
        <v>0</v>
      </c>
      <c r="CR183" s="143" t="s">
        <v>143</v>
      </c>
      <c r="CS183" s="120"/>
      <c r="CT183" s="144" t="s">
        <v>151</v>
      </c>
      <c r="CU18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83" s="146">
        <v>0</v>
      </c>
      <c r="CW183" s="146">
        <v>1</v>
      </c>
      <c r="CX183" s="146">
        <v>0</v>
      </c>
      <c r="CY183" s="146">
        <v>0</v>
      </c>
      <c r="CZ183" s="146">
        <v>0</v>
      </c>
      <c r="DA183" s="146">
        <v>0</v>
      </c>
      <c r="DB183" s="146">
        <v>0</v>
      </c>
      <c r="DC183" s="146">
        <v>0</v>
      </c>
      <c r="DD183" s="146">
        <v>0</v>
      </c>
      <c r="DE183" s="126">
        <v>1.0337125580623883</v>
      </c>
    </row>
    <row r="184" spans="1:109" x14ac:dyDescent="0.25">
      <c r="A184" s="4" t="s" vm="380">
        <v>444</v>
      </c>
      <c r="B184" s="4" t="s" vm="10942">
        <v>445</v>
      </c>
      <c r="C184" s="121" vm="18763">
        <v>45016</v>
      </c>
      <c r="D184" s="68">
        <f>IFERROR( VfM_Metrics_2023_Entity[[#This Row],[Reinvestment Spend]] / VfM_Metrics_2023_Entity[[#This Row],[Net Book Value of Housing Properties]], "n/a" )</f>
        <v>7.5318958880602721E-2</v>
      </c>
      <c r="E18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51266</v>
      </c>
      <c r="F184" s="84" vm="9464">
        <v>0</v>
      </c>
      <c r="G184" s="84" vm="10902">
        <v>44220</v>
      </c>
      <c r="H184" s="84" vm="9739">
        <v>4747</v>
      </c>
      <c r="I184" s="84" vm="9776">
        <v>2299</v>
      </c>
      <c r="J184" s="84" vm="10874">
        <v>0</v>
      </c>
      <c r="K184" s="5">
        <f xml:space="preserve"> SUM( VfM_Metrics_2023_Entity[[#This Row],[Tangible fixed assets: Housing properties at cost (Current period)]],VfM_Metrics_2023_Entity[[#This Row],[Tangible fixed assets Housing properties at valuation (Current period)]] )</f>
        <v>680652</v>
      </c>
      <c r="L184" s="84" vm="9932">
        <v>680652</v>
      </c>
      <c r="M184" s="84" vm="10355">
        <v>0</v>
      </c>
      <c r="N184" s="134">
        <f xml:space="preserve"> IFERROR( VfM_Metrics_2023_Entity[[#This Row],[Total social units developed or newly built units acquired in-year]] / VfM_Metrics_2023_Entity[[#This Row],[Social housing units owned (period end)]], "n/a" )</f>
        <v>4.1423332880619314E-2</v>
      </c>
      <c r="O184" s="5">
        <f xml:space="preserve"> SUM( VfM_Metrics_2023_Entity[[#This Row],[Total social units developed or newly built units acquired in-year (owned)]], VfM_Metrics_2023_Entity[[#This Row],[Total social leasehold units developed or newly built units acquired in-year (owned)]] )</f>
        <v>305</v>
      </c>
      <c r="P184" s="84" vm="11075">
        <v>305</v>
      </c>
      <c r="Q184" s="84">
        <v>0</v>
      </c>
      <c r="R184" s="5">
        <f xml:space="preserve"> SUM( VfM_Metrics_2023_Entity[[#This Row],[Total social housing units owned (Period end)]], VfM_Metrics_2023_Entity[[#This Row],[Total social leasehold units owned (Period end)]] )</f>
        <v>7363</v>
      </c>
      <c r="S184" s="84" vm="11391">
        <v>7363</v>
      </c>
      <c r="T184" s="135" vm="11503">
        <v>0</v>
      </c>
      <c r="U184" s="136">
        <f xml:space="preserve"> IFERROR( VfM_Metrics_2023_Entity[[#This Row],[Total non-social housing units developed or newly built units acquired (owned)]] / VfM_Metrics_2023_Entity[[#This Row],[Total social and non-social housing units owned (Period end)]], "n/a" )</f>
        <v>0</v>
      </c>
      <c r="V18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84" s="84">
        <v>0</v>
      </c>
      <c r="X184" s="84">
        <v>0</v>
      </c>
      <c r="Y184" s="84">
        <v>0</v>
      </c>
      <c r="Z18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7365</v>
      </c>
      <c r="AA184" s="84" vm="12055">
        <v>7363</v>
      </c>
      <c r="AB184" s="84" vm="12210">
        <v>0</v>
      </c>
      <c r="AC184" s="84" vm="12146">
        <v>2</v>
      </c>
      <c r="AD184" s="135" vm="12301">
        <v>0</v>
      </c>
      <c r="AE184" s="134">
        <f xml:space="preserve"> IFERROR( VfM_Metrics_2023_Entity[[#This Row],[Total Net Debt]] / VfM_Metrics_2023_Entity[[#This Row],[Net Book Value of Housing Properties2]], "n/a" )</f>
        <v>0.45191669164271903</v>
      </c>
      <c r="AF18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307598</v>
      </c>
      <c r="AG184" s="84" vm="12697">
        <v>5174</v>
      </c>
      <c r="AH184" s="84" vm="12996">
        <v>309297</v>
      </c>
      <c r="AI184" s="84" vm="13083">
        <v>6873</v>
      </c>
      <c r="AJ184" s="84" vm="12801">
        <v>0</v>
      </c>
      <c r="AK184" s="84" vm="13225">
        <v>0</v>
      </c>
      <c r="AL184" s="5">
        <f xml:space="preserve"> SUM( VfM_Metrics_2023_Entity[[#This Row],[Tangible fixed assets: Housing properties at cost (Current period)2]], VfM_Metrics_2023_Entity[[#This Row],[Tangible fixed assets Housing properties at valuation (Current period)2]] )</f>
        <v>680652</v>
      </c>
      <c r="AM184" s="84" vm="9985">
        <v>680652</v>
      </c>
      <c r="AN184" s="135" vm="13418">
        <v>0</v>
      </c>
      <c r="AO184" s="137">
        <f xml:space="preserve"> IFERROR( VfM_Metrics_2023_Entity[[#This Row],[EBITDA MRI]] / VfM_Metrics_2023_Entity[[#This Row],[Total interest]], "n/a" )</f>
        <v>1.5725575269233749</v>
      </c>
      <c r="AP18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20297</v>
      </c>
      <c r="AQ184" s="84" vm="13619">
        <v>20221</v>
      </c>
      <c r="AR184" s="84" vm="14822">
        <v>1775</v>
      </c>
      <c r="AS184" s="84" vm="15065">
        <v>0</v>
      </c>
      <c r="AT184" s="84" vm="13832">
        <v>645</v>
      </c>
      <c r="AU184" s="84" vm="14087">
        <v>0</v>
      </c>
      <c r="AV184" s="84" vm="14331">
        <v>8</v>
      </c>
      <c r="AW184" s="84" vm="14577">
        <v>4747</v>
      </c>
      <c r="AX184" s="84" vm="14823">
        <v>7235</v>
      </c>
      <c r="AY184" s="5">
        <f xml:space="preserve"> - SUM( VfM_Metrics_2023_Entity[[#This Row],[Interest capitalised]], VfM_Metrics_2023_Entity[[#This Row],[Interest payable and financing costs]] )</f>
        <v>12907</v>
      </c>
      <c r="AZ184" s="84" vm="15287">
        <v>-2299</v>
      </c>
      <c r="BA184" s="135" vm="15469">
        <v>-10608</v>
      </c>
      <c r="BB184" s="138">
        <f xml:space="preserve"> IFERROR( ( VfM_Metrics_2023_Entity[[#This Row],[Total Costs]] / VfM_Metrics_2023_Entity[[#This Row],[Total units for costs]] ) * 1000, "n/a" )</f>
        <v>4153.4700529675401</v>
      </c>
      <c r="BC18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30582</v>
      </c>
      <c r="BD184" s="84" vm="15566">
        <v>3684</v>
      </c>
      <c r="BE184" s="84" vm="17299">
        <v>1690</v>
      </c>
      <c r="BF184" s="84" vm="17534">
        <v>12210</v>
      </c>
      <c r="BG184" s="84" vm="16506">
        <v>7861</v>
      </c>
      <c r="BH184" s="84" vm="16507">
        <v>0</v>
      </c>
      <c r="BI184" s="84" vm="16757">
        <v>0</v>
      </c>
      <c r="BJ184" s="84" vm="14577">
        <v>4747</v>
      </c>
      <c r="BK184" s="84" vm="16021">
        <v>0</v>
      </c>
      <c r="BL184" s="84" vm="17378">
        <v>124</v>
      </c>
      <c r="BM184" s="84">
        <v>0</v>
      </c>
      <c r="BN184" s="84" vm="16508">
        <v>266</v>
      </c>
      <c r="BO184" s="84">
        <v>0</v>
      </c>
      <c r="BP184" s="5" vm="17749">
        <f xml:space="preserve"> VfM_Metrics_2023_Entity[[#This Row],[Total social housing units owned and/or managed at period end]]</f>
        <v>7363</v>
      </c>
      <c r="BQ184" s="135" vm="17749">
        <v>7363</v>
      </c>
      <c r="BR184" s="134">
        <f xml:space="preserve"> IFERROR( VfM_Metrics_2023_Entity[[#This Row],[SHL operating surplus / (deficit)]] / VfM_Metrics_2023_Entity[[#This Row],[Turnover from social housing lettings]], "n/a" )</f>
        <v>0.3086016686938523</v>
      </c>
      <c r="BS184" s="5" vm="18031">
        <f xml:space="preserve"> VfM_Metrics_2023_Entity[[#This Row],[Operating surplus/(deficit) (social housing lettings)]]</f>
        <v>14462</v>
      </c>
      <c r="BT184" s="84" vm="18031">
        <v>14462</v>
      </c>
      <c r="BU184" s="5" vm="18204">
        <f xml:space="preserve"> VfM_Metrics_2023_Entity[[#This Row],[Turnover from social housing lettings]]</f>
        <v>46863</v>
      </c>
      <c r="BV184" s="135" vm="18204">
        <v>46863</v>
      </c>
      <c r="BW184" s="134">
        <f xml:space="preserve"> IFERROR( VfM_Metrics_2023_Entity[[#This Row],[Net operating surplus]] / VfM_Metrics_2023_Entity[[#This Row],[Overall turnover]], "n/a" )</f>
        <v>0.32264045336878194</v>
      </c>
      <c r="BX184" s="5">
        <f xml:space="preserve"> SUM( VfM_Metrics_2023_Entity[[#This Row],[Operating surplus/(deficit) (overall)2]], - VfM_Metrics_2023_Entity[[#This Row],[Gain/(loss) on disposal of fixed assets (housing properties)2]], - VfM_Metrics_2023_Entity[[#This Row],[Gain/(loss) on disposal of fixed assets (other)2]] )</f>
        <v>18446</v>
      </c>
      <c r="BY184" s="84" vm="13619">
        <v>20221</v>
      </c>
      <c r="BZ184" s="84" vm="14822">
        <v>1775</v>
      </c>
      <c r="CA184" s="84" vm="15065">
        <v>0</v>
      </c>
      <c r="CB184" s="5" vm="18382">
        <f xml:space="preserve"> VfM_Metrics_2023_Entity[[#This Row],[Turnover (overall)]]</f>
        <v>57172</v>
      </c>
      <c r="CC184" s="135" vm="18382">
        <v>57172</v>
      </c>
      <c r="CD184" s="134">
        <f xml:space="preserve"> IFERROR( VfM_Metrics_2023_Entity[[#This Row],[Operating surplus including from JVs]] / VfM_Metrics_2023_Entity[[#This Row],[Net assets]], "n/a" )</f>
        <v>2.9333600252993416E-2</v>
      </c>
      <c r="CE184" s="5">
        <f xml:space="preserve"> SUM( VfM_Metrics_2023_Entity[[#This Row],[Operating surplus/(deficit) (overall)3]], VfM_Metrics_2023_Entity[[#This Row],[Share of operating surplus/(deficit) in joint ventures or associates]] )</f>
        <v>20221</v>
      </c>
      <c r="CF184" s="84" vm="13620">
        <v>20221</v>
      </c>
      <c r="CG184" s="84" vm="18545">
        <v>0</v>
      </c>
      <c r="CH184" s="5" vm="18749">
        <f xml:space="preserve"> VfM_Metrics_2023_Entity[[#This Row],[Total assets less current liabilities]]</f>
        <v>689346</v>
      </c>
      <c r="CI184" s="135" vm="18749">
        <v>689346</v>
      </c>
      <c r="CJ184" s="140" vm="11391">
        <f xml:space="preserve"> VfM_Metrics_2023_Entity[[#This Row],[Total social housing units owned (Period end)]]</f>
        <v>7363</v>
      </c>
      <c r="CK184" s="141">
        <v>1.3331500824628917E-2</v>
      </c>
      <c r="CL184" s="69">
        <f xml:space="preserve"> -- ( VfM_Metrics_2023_Entity[[#This Row],[% Supported housing (excl. HOP)]] &gt; 0.3 )</f>
        <v>0</v>
      </c>
      <c r="CM184" s="9">
        <v>7.6140736668499173E-2</v>
      </c>
      <c r="CN184" s="69">
        <f xml:space="preserve"> -- ( VfM_Metrics_2023_Entity[[#This Row],[% Housing for older people]] &gt; 0.3 )</f>
        <v>0</v>
      </c>
      <c r="CO184" s="9">
        <f xml:space="preserve"> VfM_Metrics_2023_Entity[[#This Row],[% Supported housing (excl. HOP)]] + VfM_Metrics_2023_Entity[[#This Row],[% Housing for older people]]</f>
        <v>8.947223749312809E-2</v>
      </c>
      <c r="CP184" s="69">
        <f xml:space="preserve"> -- ( VfM_Metrics_2023_Entity[[#This Row],[SH specialist in RSH analysis]] + VfM_Metrics_2023_Entity[[#This Row],[OP specialist in RSH analysis]] &gt; 0 )</f>
        <v>0</v>
      </c>
      <c r="CQ184" s="142">
        <f xml:space="preserve"> -- ( VfM_Metrics_2023_Entity[[#This Row],[% SH and OP]] &gt; 0.3 )</f>
        <v>0</v>
      </c>
      <c r="CR184" s="143" t="s">
        <v>143</v>
      </c>
      <c r="CS184" s="120"/>
      <c r="CT184" s="144" t="s">
        <v>151</v>
      </c>
      <c r="CU18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84" s="146">
        <v>0</v>
      </c>
      <c r="CW184" s="146">
        <v>0.9683552899633302</v>
      </c>
      <c r="CX184" s="146">
        <v>3.1644710036669833E-2</v>
      </c>
      <c r="CY184" s="146">
        <v>0</v>
      </c>
      <c r="CZ184" s="146">
        <v>0</v>
      </c>
      <c r="DA184" s="146">
        <v>0</v>
      </c>
      <c r="DB184" s="146">
        <v>0</v>
      </c>
      <c r="DC184" s="146">
        <v>0</v>
      </c>
      <c r="DD184" s="146">
        <v>0</v>
      </c>
      <c r="DE184" s="126">
        <v>1.0318583827666652</v>
      </c>
    </row>
    <row r="185" spans="1:109" x14ac:dyDescent="0.25">
      <c r="A185" s="4" t="s" vm="320">
        <v>446</v>
      </c>
      <c r="B185" s="4" t="s" vm="10363">
        <v>447</v>
      </c>
      <c r="C185" s="121" vm="18913">
        <v>45016</v>
      </c>
      <c r="D185" s="68">
        <f>IFERROR( VfM_Metrics_2023_Entity[[#This Row],[Reinvestment Spend]] / VfM_Metrics_2023_Entity[[#This Row],[Net Book Value of Housing Properties]], "n/a" )</f>
        <v>0.10198426885949231</v>
      </c>
      <c r="E18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12551</v>
      </c>
      <c r="F185" s="84" vm="9382">
        <v>8924</v>
      </c>
      <c r="G185" s="84" vm="9639">
        <v>0</v>
      </c>
      <c r="H185" s="84" vm="10197">
        <v>3496</v>
      </c>
      <c r="I185" s="84" vm="9740">
        <v>131</v>
      </c>
      <c r="J185" s="84" vm="9777">
        <v>0</v>
      </c>
      <c r="K185" s="5">
        <f xml:space="preserve"> SUM( VfM_Metrics_2023_Entity[[#This Row],[Tangible fixed assets: Housing properties at cost (Current period)]],VfM_Metrics_2023_Entity[[#This Row],[Tangible fixed assets Housing properties at valuation (Current period)]] )</f>
        <v>123068</v>
      </c>
      <c r="L185" s="84" vm="9998">
        <v>123068</v>
      </c>
      <c r="M185" s="84" vm="9760">
        <v>0</v>
      </c>
      <c r="N185" s="134">
        <f xml:space="preserve"> IFERROR( VfM_Metrics_2023_Entity[[#This Row],[Total social units developed or newly built units acquired in-year]] / VfM_Metrics_2023_Entity[[#This Row],[Social housing units owned (period end)]], "n/a" )</f>
        <v>2.3939393939393941E-2</v>
      </c>
      <c r="O185" s="5">
        <f xml:space="preserve"> SUM( VfM_Metrics_2023_Entity[[#This Row],[Total social units developed or newly built units acquired in-year (owned)]], VfM_Metrics_2023_Entity[[#This Row],[Total social leasehold units developed or newly built units acquired in-year (owned)]] )</f>
        <v>79</v>
      </c>
      <c r="P185" s="84" vm="11096">
        <v>79</v>
      </c>
      <c r="Q185" s="84" vm="11214">
        <v>0</v>
      </c>
      <c r="R185" s="5">
        <f xml:space="preserve"> SUM( VfM_Metrics_2023_Entity[[#This Row],[Total social housing units owned (Period end)]], VfM_Metrics_2023_Entity[[#This Row],[Total social leasehold units owned (Period end)]] )</f>
        <v>3300</v>
      </c>
      <c r="S185" s="84" vm="11316">
        <v>3300</v>
      </c>
      <c r="T185" s="135" vm="11529">
        <v>0</v>
      </c>
      <c r="U185" s="136">
        <f xml:space="preserve"> IFERROR( VfM_Metrics_2023_Entity[[#This Row],[Total non-social housing units developed or newly built units acquired (owned)]] / VfM_Metrics_2023_Entity[[#This Row],[Total social and non-social housing units owned (Period end)]], "n/a" )</f>
        <v>0</v>
      </c>
      <c r="V18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85" s="84" vm="11578">
        <v>0</v>
      </c>
      <c r="X185" s="84" vm="11897">
        <v>0</v>
      </c>
      <c r="Y185" s="84" vm="11938">
        <v>0</v>
      </c>
      <c r="Z18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3575</v>
      </c>
      <c r="AA185" s="84" vm="11316">
        <v>3300</v>
      </c>
      <c r="AB185" s="84" vm="12459">
        <v>0</v>
      </c>
      <c r="AC185" s="84" vm="12395">
        <v>0</v>
      </c>
      <c r="AD185" s="135" vm="12529">
        <v>275</v>
      </c>
      <c r="AE185" s="134">
        <f xml:space="preserve"> IFERROR( VfM_Metrics_2023_Entity[[#This Row],[Total Net Debt]] / VfM_Metrics_2023_Entity[[#This Row],[Net Book Value of Housing Properties2]], "n/a" )</f>
        <v>0.33383170279845287</v>
      </c>
      <c r="AF18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41084</v>
      </c>
      <c r="AG185" s="84" vm="12574">
        <v>0</v>
      </c>
      <c r="AH185" s="84" vm="13312">
        <v>54115</v>
      </c>
      <c r="AI185" s="84" vm="12882">
        <v>13031</v>
      </c>
      <c r="AJ185" s="84" vm="12959">
        <v>0</v>
      </c>
      <c r="AK185" s="84" vm="13056">
        <v>0</v>
      </c>
      <c r="AL185" s="5">
        <f xml:space="preserve"> SUM( VfM_Metrics_2023_Entity[[#This Row],[Tangible fixed assets: Housing properties at cost (Current period)2]], VfM_Metrics_2023_Entity[[#This Row],[Tangible fixed assets Housing properties at valuation (Current period)2]] )</f>
        <v>123068</v>
      </c>
      <c r="AM185" s="84" vm="9998">
        <v>123068</v>
      </c>
      <c r="AN185" s="135" vm="10172">
        <v>0</v>
      </c>
      <c r="AO185" s="137">
        <f xml:space="preserve"> IFERROR( VfM_Metrics_2023_Entity[[#This Row],[EBITDA MRI]] / VfM_Metrics_2023_Entity[[#This Row],[Total interest]], "n/a" )</f>
        <v>1.5220550077841204</v>
      </c>
      <c r="AP18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2933</v>
      </c>
      <c r="AQ185" s="84" vm="13457">
        <v>5173</v>
      </c>
      <c r="AR185" s="84" vm="15120">
        <v>421</v>
      </c>
      <c r="AS185" s="84" vm="13833">
        <v>0</v>
      </c>
      <c r="AT185" s="84" vm="14088">
        <v>274</v>
      </c>
      <c r="AU185" s="84" vm="14332">
        <v>0</v>
      </c>
      <c r="AV185" s="84" vm="14578">
        <v>166</v>
      </c>
      <c r="AW185" s="84" vm="14824">
        <v>3496</v>
      </c>
      <c r="AX185" s="84" vm="15121">
        <v>1785</v>
      </c>
      <c r="AY185" s="5">
        <f xml:space="preserve"> - SUM( VfM_Metrics_2023_Entity[[#This Row],[Interest capitalised]], VfM_Metrics_2023_Entity[[#This Row],[Interest payable and financing costs]] )</f>
        <v>1927</v>
      </c>
      <c r="AZ185" s="84" vm="15296">
        <v>-131</v>
      </c>
      <c r="BA185" s="135" vm="15498">
        <v>-1796</v>
      </c>
      <c r="BB185" s="138">
        <f xml:space="preserve"> IFERROR( ( VfM_Metrics_2023_Entity[[#This Row],[Total Costs]] / VfM_Metrics_2023_Entity[[#This Row],[Total units for costs]] ) * 1000, "n/a" )</f>
        <v>4614.3695014662753</v>
      </c>
      <c r="BC18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15735</v>
      </c>
      <c r="BD185" s="84" vm="15596">
        <v>4590</v>
      </c>
      <c r="BE185" s="84" vm="16022">
        <v>966</v>
      </c>
      <c r="BF185" s="84" vm="17146">
        <v>2718</v>
      </c>
      <c r="BG185" s="84" vm="17381">
        <v>1101</v>
      </c>
      <c r="BH185" s="84" vm="16234">
        <v>2085</v>
      </c>
      <c r="BI185" s="84" vm="16509">
        <v>0</v>
      </c>
      <c r="BJ185" s="84" vm="16201">
        <v>3496</v>
      </c>
      <c r="BK185" s="84" vm="16023">
        <v>0</v>
      </c>
      <c r="BL185" s="84" vm="17379">
        <v>481</v>
      </c>
      <c r="BM185" s="84" vm="16235">
        <v>0</v>
      </c>
      <c r="BN185" s="84" vm="16510">
        <v>298</v>
      </c>
      <c r="BO185" s="84" vm="17147">
        <v>0</v>
      </c>
      <c r="BP185" s="5" vm="17781">
        <f xml:space="preserve"> VfM_Metrics_2023_Entity[[#This Row],[Total social housing units owned and/or managed at period end]]</f>
        <v>3410</v>
      </c>
      <c r="BQ185" s="135" vm="17781">
        <v>3410</v>
      </c>
      <c r="BR185" s="134">
        <f xml:space="preserve"> IFERROR( VfM_Metrics_2023_Entity[[#This Row],[SHL operating surplus / (deficit)]] / VfM_Metrics_2023_Entity[[#This Row],[Turnover from social housing lettings]], "n/a" )</f>
        <v>0.19124437781109446</v>
      </c>
      <c r="BS185" s="5" vm="17860">
        <f xml:space="preserve"> VfM_Metrics_2023_Entity[[#This Row],[Operating surplus/(deficit) (social housing lettings)]]</f>
        <v>3189</v>
      </c>
      <c r="BT185" s="84" vm="17860">
        <v>3189</v>
      </c>
      <c r="BU185" s="5" vm="18073">
        <f xml:space="preserve"> VfM_Metrics_2023_Entity[[#This Row],[Turnover from social housing lettings]]</f>
        <v>16675</v>
      </c>
      <c r="BV185" s="135" vm="18073">
        <v>16675</v>
      </c>
      <c r="BW185" s="134">
        <f xml:space="preserve"> IFERROR( VfM_Metrics_2023_Entity[[#This Row],[Net operating surplus]] / VfM_Metrics_2023_Entity[[#This Row],[Overall turnover]], "n/a" )</f>
        <v>0.22185909706335497</v>
      </c>
      <c r="BX185" s="5">
        <f xml:space="preserve"> SUM( VfM_Metrics_2023_Entity[[#This Row],[Operating surplus/(deficit) (overall)2]], - VfM_Metrics_2023_Entity[[#This Row],[Gain/(loss) on disposal of fixed assets (housing properties)2]], - VfM_Metrics_2023_Entity[[#This Row],[Gain/(loss) on disposal of fixed assets (other)2]] )</f>
        <v>4752</v>
      </c>
      <c r="BY185" s="84" vm="18219">
        <v>5173</v>
      </c>
      <c r="BZ185" s="84" vm="15120">
        <v>421</v>
      </c>
      <c r="CA185" s="84" vm="13833">
        <v>0</v>
      </c>
      <c r="CB185" s="5" vm="18390">
        <f xml:space="preserve"> VfM_Metrics_2023_Entity[[#This Row],[Turnover (overall)]]</f>
        <v>21419</v>
      </c>
      <c r="CC185" s="135" vm="18390">
        <v>21419</v>
      </c>
      <c r="CD185" s="134">
        <f xml:space="preserve"> IFERROR( VfM_Metrics_2023_Entity[[#This Row],[Operating surplus including from JVs]] / VfM_Metrics_2023_Entity[[#This Row],[Net assets]], "n/a" )</f>
        <v>3.1747687813380304E-2</v>
      </c>
      <c r="CE185" s="5">
        <f xml:space="preserve"> SUM( VfM_Metrics_2023_Entity[[#This Row],[Operating surplus/(deficit) (overall)3]], VfM_Metrics_2023_Entity[[#This Row],[Share of operating surplus/(deficit) in joint ventures or associates]] )</f>
        <v>5173</v>
      </c>
      <c r="CF185" s="84" vm="13457">
        <v>5173</v>
      </c>
      <c r="CG185" s="84" vm="18564">
        <v>0</v>
      </c>
      <c r="CH185" s="5" vm="18597">
        <f xml:space="preserve"> VfM_Metrics_2023_Entity[[#This Row],[Total assets less current liabilities]]</f>
        <v>162941</v>
      </c>
      <c r="CI185" s="135" vm="18597">
        <v>162941</v>
      </c>
      <c r="CJ185" s="140" vm="11316">
        <f xml:space="preserve"> VfM_Metrics_2023_Entity[[#This Row],[Total social housing units owned (Period end)]]</f>
        <v>3300</v>
      </c>
      <c r="CK185" s="141">
        <v>0</v>
      </c>
      <c r="CL185" s="69">
        <f xml:space="preserve"> -- ( VfM_Metrics_2023_Entity[[#This Row],[% Supported housing (excl. HOP)]] &gt; 0.3 )</f>
        <v>0</v>
      </c>
      <c r="CM185" s="9">
        <v>0.12855831037649221</v>
      </c>
      <c r="CN185" s="69">
        <f xml:space="preserve"> -- ( VfM_Metrics_2023_Entity[[#This Row],[% Housing for older people]] &gt; 0.3 )</f>
        <v>0</v>
      </c>
      <c r="CO185" s="9">
        <f xml:space="preserve"> VfM_Metrics_2023_Entity[[#This Row],[% Supported housing (excl. HOP)]] + VfM_Metrics_2023_Entity[[#This Row],[% Housing for older people]]</f>
        <v>0.12855831037649221</v>
      </c>
      <c r="CP185" s="69">
        <f xml:space="preserve"> -- ( VfM_Metrics_2023_Entity[[#This Row],[SH specialist in RSH analysis]] + VfM_Metrics_2023_Entity[[#This Row],[OP specialist in RSH analysis]] &gt; 0 )</f>
        <v>0</v>
      </c>
      <c r="CQ185" s="142">
        <f xml:space="preserve"> -- ( VfM_Metrics_2023_Entity[[#This Row],[% SH and OP]] &gt; 0.3 )</f>
        <v>0</v>
      </c>
      <c r="CR185" s="143" t="s">
        <v>168</v>
      </c>
      <c r="CS185" s="120">
        <v>40973</v>
      </c>
      <c r="CT185" s="144" t="s">
        <v>169</v>
      </c>
      <c r="CU18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85" s="146">
        <v>0</v>
      </c>
      <c r="CW185" s="146">
        <v>0</v>
      </c>
      <c r="CX185" s="146">
        <v>0</v>
      </c>
      <c r="CY185" s="146">
        <v>0</v>
      </c>
      <c r="CZ185" s="146">
        <v>0</v>
      </c>
      <c r="DA185" s="146">
        <v>0</v>
      </c>
      <c r="DB185" s="146">
        <v>0</v>
      </c>
      <c r="DC185" s="146">
        <v>1</v>
      </c>
      <c r="DD185" s="146">
        <v>0</v>
      </c>
      <c r="DE185" s="126">
        <v>0.96105917141044694</v>
      </c>
    </row>
    <row r="186" spans="1:109" x14ac:dyDescent="0.25">
      <c r="A186" s="4" t="s" vm="331">
        <v>448</v>
      </c>
      <c r="B186" s="4" t="s" vm="9298">
        <v>449</v>
      </c>
      <c r="C186" s="121" vm="18905">
        <v>45016</v>
      </c>
      <c r="D186" s="68">
        <f>IFERROR( VfM_Metrics_2023_Entity[[#This Row],[Reinvestment Spend]] / VfM_Metrics_2023_Entity[[#This Row],[Net Book Value of Housing Properties]], "n/a" )</f>
        <v>5.2739617874624979E-2</v>
      </c>
      <c r="E18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5678</v>
      </c>
      <c r="F186" s="84" vm="10314">
        <v>1346</v>
      </c>
      <c r="G186" s="84" vm="10769">
        <v>0</v>
      </c>
      <c r="H186" s="84" vm="10834">
        <v>4307</v>
      </c>
      <c r="I186" s="84" vm="10655">
        <v>25</v>
      </c>
      <c r="J186" s="84" vm="9741">
        <v>0</v>
      </c>
      <c r="K186" s="5">
        <f xml:space="preserve"> SUM( VfM_Metrics_2023_Entity[[#This Row],[Tangible fixed assets: Housing properties at cost (Current period)]],VfM_Metrics_2023_Entity[[#This Row],[Tangible fixed assets Housing properties at valuation (Current period)]] )</f>
        <v>107661</v>
      </c>
      <c r="L186" s="84" vm="9906">
        <v>107661</v>
      </c>
      <c r="M186" s="84" vm="10252">
        <v>0</v>
      </c>
      <c r="N186" s="134">
        <f xml:space="preserve"> IFERROR( VfM_Metrics_2023_Entity[[#This Row],[Total social units developed or newly built units acquired in-year]] / VfM_Metrics_2023_Entity[[#This Row],[Social housing units owned (period end)]], "n/a" )</f>
        <v>5.2002080083203327E-3</v>
      </c>
      <c r="O186" s="5">
        <f xml:space="preserve"> SUM( VfM_Metrics_2023_Entity[[#This Row],[Total social units developed or newly built units acquired in-year (owned)]], VfM_Metrics_2023_Entity[[#This Row],[Total social leasehold units developed or newly built units acquired in-year (owned)]] )</f>
        <v>20</v>
      </c>
      <c r="P186" s="84" vm="11024">
        <v>20</v>
      </c>
      <c r="Q186" s="84" vm="11123">
        <v>0</v>
      </c>
      <c r="R186" s="5">
        <f xml:space="preserve"> SUM( VfM_Metrics_2023_Entity[[#This Row],[Total social housing units owned (Period end)]], VfM_Metrics_2023_Entity[[#This Row],[Total social leasehold units owned (Period end)]] )</f>
        <v>3846</v>
      </c>
      <c r="S186" s="84" vm="11357">
        <v>3830</v>
      </c>
      <c r="T186" s="135" vm="11449">
        <v>16</v>
      </c>
      <c r="U186" s="136">
        <f xml:space="preserve"> IFERROR( VfM_Metrics_2023_Entity[[#This Row],[Total non-social housing units developed or newly built units acquired (owned)]] / VfM_Metrics_2023_Entity[[#This Row],[Total social and non-social housing units owned (Period end)]], "n/a" )</f>
        <v>0</v>
      </c>
      <c r="V18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86" s="84" vm="11602">
        <v>0</v>
      </c>
      <c r="X186" s="84" vm="11732">
        <v>0</v>
      </c>
      <c r="Y186" s="84" vm="11768">
        <v>0</v>
      </c>
      <c r="Z18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3846</v>
      </c>
      <c r="AA186" s="84" vm="11357">
        <v>3830</v>
      </c>
      <c r="AB186" s="84" vm="11437">
        <v>16</v>
      </c>
      <c r="AC186" s="84" vm="12147">
        <v>0</v>
      </c>
      <c r="AD186" s="135" vm="12302">
        <v>0</v>
      </c>
      <c r="AE186" s="134">
        <f xml:space="preserve"> IFERROR( VfM_Metrics_2023_Entity[[#This Row],[Total Net Debt]] / VfM_Metrics_2023_Entity[[#This Row],[Net Book Value of Housing Properties2]], "n/a" )</f>
        <v>0.23707749324267841</v>
      </c>
      <c r="AF18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25524</v>
      </c>
      <c r="AG186" s="84" vm="12600">
        <v>0</v>
      </c>
      <c r="AH186" s="84" vm="12802">
        <v>28261</v>
      </c>
      <c r="AI186" s="84" vm="13169">
        <v>2737</v>
      </c>
      <c r="AJ186" s="84" vm="13251">
        <v>0</v>
      </c>
      <c r="AK186" s="84" vm="13347">
        <v>0</v>
      </c>
      <c r="AL186" s="5">
        <f xml:space="preserve"> SUM( VfM_Metrics_2023_Entity[[#This Row],[Tangible fixed assets: Housing properties at cost (Current period)2]], VfM_Metrics_2023_Entity[[#This Row],[Tangible fixed assets Housing properties at valuation (Current period)2]] )</f>
        <v>107661</v>
      </c>
      <c r="AM186" s="84" vm="9906">
        <v>107661</v>
      </c>
      <c r="AN186" s="135" vm="10177">
        <v>0</v>
      </c>
      <c r="AO186" s="137">
        <f xml:space="preserve"> IFERROR( VfM_Metrics_2023_Entity[[#This Row],[EBITDA MRI]] / VfM_Metrics_2023_Entity[[#This Row],[Total interest]], "n/a" )</f>
        <v>2.8243451463790445</v>
      </c>
      <c r="AP18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3666</v>
      </c>
      <c r="AQ186" s="84" vm="13490">
        <v>4808</v>
      </c>
      <c r="AR186" s="84" vm="13834">
        <v>905</v>
      </c>
      <c r="AS186" s="84" vm="14089">
        <v>0</v>
      </c>
      <c r="AT186" s="84" vm="14333">
        <v>690</v>
      </c>
      <c r="AU186" s="84" vm="14579">
        <v>0</v>
      </c>
      <c r="AV186" s="84" vm="14825">
        <v>147</v>
      </c>
      <c r="AW186" s="84" vm="15122">
        <v>4307</v>
      </c>
      <c r="AX186" s="84" vm="13835">
        <v>4613</v>
      </c>
      <c r="AY186" s="5">
        <f xml:space="preserve"> - SUM( VfM_Metrics_2023_Entity[[#This Row],[Interest capitalised]], VfM_Metrics_2023_Entity[[#This Row],[Interest payable and financing costs]] )</f>
        <v>1298</v>
      </c>
      <c r="AZ186" s="84" vm="15178">
        <v>-25</v>
      </c>
      <c r="BA186" s="135" vm="15339">
        <v>-1273</v>
      </c>
      <c r="BB186" s="138">
        <f xml:space="preserve"> IFERROR( ( VfM_Metrics_2023_Entity[[#This Row],[Total Costs]] / VfM_Metrics_2023_Entity[[#This Row],[Total units for costs]] ) * 1000, "n/a" )</f>
        <v>4253.7859007832894</v>
      </c>
      <c r="BC18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16292</v>
      </c>
      <c r="BD186" s="84" vm="16203">
        <v>4793</v>
      </c>
      <c r="BE186" s="84" vm="16025">
        <v>654</v>
      </c>
      <c r="BF186" s="84" vm="17148">
        <v>2983</v>
      </c>
      <c r="BG186" s="84" vm="17380">
        <v>2136</v>
      </c>
      <c r="BH186" s="84" vm="16236">
        <v>691</v>
      </c>
      <c r="BI186" s="84" vm="16511">
        <v>0</v>
      </c>
      <c r="BJ186" s="84" vm="15122">
        <v>4307</v>
      </c>
      <c r="BK186" s="84" vm="16027">
        <v>0</v>
      </c>
      <c r="BL186" s="84" vm="17382">
        <v>176</v>
      </c>
      <c r="BM186" s="84" vm="16237">
        <v>454</v>
      </c>
      <c r="BN186" s="84" vm="16512">
        <v>98</v>
      </c>
      <c r="BO186" s="84" vm="17148">
        <v>0</v>
      </c>
      <c r="BP186" s="5" vm="17644">
        <f xml:space="preserve"> VfM_Metrics_2023_Entity[[#This Row],[Total social housing units owned and/or managed at period end]]</f>
        <v>3830</v>
      </c>
      <c r="BQ186" s="135" vm="17644">
        <v>3830</v>
      </c>
      <c r="BR186" s="134">
        <f xml:space="preserve"> IFERROR( VfM_Metrics_2023_Entity[[#This Row],[SHL operating surplus / (deficit)]] / VfM_Metrics_2023_Entity[[#This Row],[Turnover from social housing lettings]], "n/a" )</f>
        <v>0.22679235921607541</v>
      </c>
      <c r="BS186" s="5" vm="17898">
        <f xml:space="preserve"> VfM_Metrics_2023_Entity[[#This Row],[Operating surplus/(deficit) (social housing lettings)]]</f>
        <v>4571</v>
      </c>
      <c r="BT186" s="84" vm="17898">
        <v>4571</v>
      </c>
      <c r="BU186" s="5" vm="18097">
        <f xml:space="preserve"> VfM_Metrics_2023_Entity[[#This Row],[Turnover from social housing lettings]]</f>
        <v>20155</v>
      </c>
      <c r="BV186" s="135" vm="18097">
        <v>20155</v>
      </c>
      <c r="BW186" s="134">
        <f xml:space="preserve"> IFERROR( VfM_Metrics_2023_Entity[[#This Row],[Net operating surplus]] / VfM_Metrics_2023_Entity[[#This Row],[Overall turnover]], "n/a" )</f>
        <v>0.18852340240544849</v>
      </c>
      <c r="BX186" s="5">
        <f xml:space="preserve"> SUM( VfM_Metrics_2023_Entity[[#This Row],[Operating surplus/(deficit) (overall)2]], - VfM_Metrics_2023_Entity[[#This Row],[Gain/(loss) on disposal of fixed assets (housing properties)2]], - VfM_Metrics_2023_Entity[[#This Row],[Gain/(loss) on disposal of fixed assets (other)2]] )</f>
        <v>3903</v>
      </c>
      <c r="BY186" s="84" vm="13490">
        <v>4808</v>
      </c>
      <c r="BZ186" s="84" vm="13834">
        <v>905</v>
      </c>
      <c r="CA186" s="84" vm="14089">
        <v>0</v>
      </c>
      <c r="CB186" s="5" vm="18414">
        <f xml:space="preserve"> VfM_Metrics_2023_Entity[[#This Row],[Turnover (overall)]]</f>
        <v>20703</v>
      </c>
      <c r="CC186" s="135" vm="18414">
        <v>20703</v>
      </c>
      <c r="CD186" s="134">
        <f xml:space="preserve"> IFERROR( VfM_Metrics_2023_Entity[[#This Row],[Operating surplus including from JVs]] / VfM_Metrics_2023_Entity[[#This Row],[Net assets]], "n/a" )</f>
        <v>4.3420149550265505E-2</v>
      </c>
      <c r="CE186" s="5">
        <f xml:space="preserve"> SUM( VfM_Metrics_2023_Entity[[#This Row],[Operating surplus/(deficit) (overall)3]], VfM_Metrics_2023_Entity[[#This Row],[Share of operating surplus/(deficit) in joint ventures or associates]] )</f>
        <v>4808</v>
      </c>
      <c r="CF186" s="84" vm="13491">
        <v>4808</v>
      </c>
      <c r="CG186" s="84" vm="18462">
        <v>0</v>
      </c>
      <c r="CH186" s="5" vm="18634">
        <f xml:space="preserve"> VfM_Metrics_2023_Entity[[#This Row],[Total assets less current liabilities]]</f>
        <v>110732</v>
      </c>
      <c r="CI186" s="135" vm="18634">
        <v>110732</v>
      </c>
      <c r="CJ186" s="140" vm="11357">
        <f xml:space="preserve"> VfM_Metrics_2023_Entity[[#This Row],[Total social housing units owned (Period end)]]</f>
        <v>3830</v>
      </c>
      <c r="CK186" s="141">
        <v>7.8308535630383712E-4</v>
      </c>
      <c r="CL186" s="69">
        <f xml:space="preserve"> -- ( VfM_Metrics_2023_Entity[[#This Row],[% Supported housing (excl. HOP)]] &gt; 0.3 )</f>
        <v>0</v>
      </c>
      <c r="CM186" s="9">
        <v>3.0801357347950926E-2</v>
      </c>
      <c r="CN186" s="69">
        <f xml:space="preserve"> -- ( VfM_Metrics_2023_Entity[[#This Row],[% Housing for older people]] &gt; 0.3 )</f>
        <v>0</v>
      </c>
      <c r="CO186" s="9">
        <f xml:space="preserve"> VfM_Metrics_2023_Entity[[#This Row],[% Supported housing (excl. HOP)]] + VfM_Metrics_2023_Entity[[#This Row],[% Housing for older people]]</f>
        <v>3.1584442704254763E-2</v>
      </c>
      <c r="CP186" s="69">
        <f xml:space="preserve"> -- ( VfM_Metrics_2023_Entity[[#This Row],[SH specialist in RSH analysis]] + VfM_Metrics_2023_Entity[[#This Row],[OP specialist in RSH analysis]] &gt; 0 )</f>
        <v>0</v>
      </c>
      <c r="CQ186" s="142">
        <f xml:space="preserve"> -- ( VfM_Metrics_2023_Entity[[#This Row],[% SH and OP]] &gt; 0.3 )</f>
        <v>0</v>
      </c>
      <c r="CR186" s="143" t="s">
        <v>143</v>
      </c>
      <c r="CS186" s="120"/>
      <c r="CT186" s="144" t="s">
        <v>151</v>
      </c>
      <c r="CU18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86" s="146">
        <v>0</v>
      </c>
      <c r="CW186" s="146">
        <v>0</v>
      </c>
      <c r="CX186" s="146">
        <v>0</v>
      </c>
      <c r="CY186" s="146">
        <v>0</v>
      </c>
      <c r="CZ186" s="146">
        <v>0</v>
      </c>
      <c r="DA186" s="146">
        <v>0</v>
      </c>
      <c r="DB186" s="146">
        <v>0</v>
      </c>
      <c r="DC186" s="146">
        <v>1</v>
      </c>
      <c r="DD186" s="146">
        <v>0</v>
      </c>
      <c r="DE186" s="126">
        <v>0.96105917141044694</v>
      </c>
    </row>
    <row r="187" spans="1:109" x14ac:dyDescent="0.25">
      <c r="A187" s="4" t="s" vm="354">
        <v>450</v>
      </c>
      <c r="B187" s="4" t="s" vm="10803">
        <v>451</v>
      </c>
      <c r="C187" s="121" vm="18919">
        <v>45016</v>
      </c>
      <c r="D187" s="68">
        <f>IFERROR( VfM_Metrics_2023_Entity[[#This Row],[Reinvestment Spend]] / VfM_Metrics_2023_Entity[[#This Row],[Net Book Value of Housing Properties]], "n/a" )</f>
        <v>2.7819691320851745E-2</v>
      </c>
      <c r="E18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8223</v>
      </c>
      <c r="F187" s="84" vm="9414">
        <v>2744</v>
      </c>
      <c r="G187" s="84" vm="9796">
        <v>804</v>
      </c>
      <c r="H187" s="84" vm="9657">
        <v>4628</v>
      </c>
      <c r="I187" s="84" vm="9639">
        <v>47</v>
      </c>
      <c r="J187" s="84" vm="9694">
        <v>0</v>
      </c>
      <c r="K187" s="5">
        <f xml:space="preserve"> SUM( VfM_Metrics_2023_Entity[[#This Row],[Tangible fixed assets: Housing properties at cost (Current period)]],VfM_Metrics_2023_Entity[[#This Row],[Tangible fixed assets Housing properties at valuation (Current period)]] )</f>
        <v>295582</v>
      </c>
      <c r="L187" s="84" vm="10061">
        <v>295582</v>
      </c>
      <c r="M187" s="84">
        <v>0</v>
      </c>
      <c r="N187" s="134">
        <f xml:space="preserve"> IFERROR( VfM_Metrics_2023_Entity[[#This Row],[Total social units developed or newly built units acquired in-year]] / VfM_Metrics_2023_Entity[[#This Row],[Social housing units owned (period end)]], "n/a" )</f>
        <v>3.0668966839179604E-3</v>
      </c>
      <c r="O187" s="5">
        <f xml:space="preserve"> SUM( VfM_Metrics_2023_Entity[[#This Row],[Total social units developed or newly built units acquired in-year (owned)]], VfM_Metrics_2023_Entity[[#This Row],[Total social leasehold units developed or newly built units acquired in-year (owned)]] )</f>
        <v>16</v>
      </c>
      <c r="P187" s="84" vm="10980">
        <v>16</v>
      </c>
      <c r="Q187" s="84">
        <v>0</v>
      </c>
      <c r="R187" s="5">
        <f xml:space="preserve"> SUM( VfM_Metrics_2023_Entity[[#This Row],[Total social housing units owned (Period end)]], VfM_Metrics_2023_Entity[[#This Row],[Total social leasehold units owned (Period end)]] )</f>
        <v>5217</v>
      </c>
      <c r="S187" s="84" vm="11277">
        <v>5164</v>
      </c>
      <c r="T187" s="135" vm="11518">
        <v>53</v>
      </c>
      <c r="U187" s="136">
        <f xml:space="preserve"> IFERROR( VfM_Metrics_2023_Entity[[#This Row],[Total non-social housing units developed or newly built units acquired (owned)]] / VfM_Metrics_2023_Entity[[#This Row],[Total social and non-social housing units owned (Period end)]], "n/a" )</f>
        <v>0</v>
      </c>
      <c r="V18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87" s="84">
        <v>0</v>
      </c>
      <c r="X187" s="84">
        <v>0</v>
      </c>
      <c r="Y187" s="84">
        <v>0</v>
      </c>
      <c r="Z18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5257</v>
      </c>
      <c r="AA187" s="84" vm="11277">
        <v>5164</v>
      </c>
      <c r="AB187" s="84" vm="11538">
        <v>53</v>
      </c>
      <c r="AC187" s="84" vm="12396">
        <v>40</v>
      </c>
      <c r="AD187" s="135" vm="12530">
        <v>0</v>
      </c>
      <c r="AE187" s="134">
        <f xml:space="preserve"> IFERROR( VfM_Metrics_2023_Entity[[#This Row],[Total Net Debt]] / VfM_Metrics_2023_Entity[[#This Row],[Net Book Value of Housing Properties2]], "n/a" )</f>
        <v>0.4351212184774445</v>
      </c>
      <c r="AF18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128614</v>
      </c>
      <c r="AG187" s="84" vm="12625">
        <v>98433</v>
      </c>
      <c r="AH187" s="84" vm="12917">
        <v>34484</v>
      </c>
      <c r="AI187" s="84" vm="12997">
        <v>4303</v>
      </c>
      <c r="AJ187" s="84">
        <v>0</v>
      </c>
      <c r="AK187" s="84">
        <v>0</v>
      </c>
      <c r="AL187" s="5">
        <f xml:space="preserve"> SUM( VfM_Metrics_2023_Entity[[#This Row],[Tangible fixed assets: Housing properties at cost (Current period)2]], VfM_Metrics_2023_Entity[[#This Row],[Tangible fixed assets Housing properties at valuation (Current period)2]] )</f>
        <v>295582</v>
      </c>
      <c r="AM187" s="84" vm="10061">
        <v>295582</v>
      </c>
      <c r="AN187" s="135">
        <v>0</v>
      </c>
      <c r="AO187" s="137">
        <f xml:space="preserve"> IFERROR( VfM_Metrics_2023_Entity[[#This Row],[EBITDA MRI]] / VfM_Metrics_2023_Entity[[#This Row],[Total interest]], "n/a" )</f>
        <v>0.94499247617455273</v>
      </c>
      <c r="AP18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5652</v>
      </c>
      <c r="AQ187" s="84" vm="13528">
        <v>6702</v>
      </c>
      <c r="AR187" s="84" vm="14090">
        <v>1904</v>
      </c>
      <c r="AS187" s="84">
        <v>0</v>
      </c>
      <c r="AT187" s="84" vm="14580">
        <v>1570</v>
      </c>
      <c r="AU187" s="84" vm="14826">
        <v>0</v>
      </c>
      <c r="AV187" s="84" vm="15123">
        <v>136</v>
      </c>
      <c r="AW187" s="84" vm="13836">
        <v>4628</v>
      </c>
      <c r="AX187" s="84" vm="14091">
        <v>6916</v>
      </c>
      <c r="AY187" s="5">
        <f xml:space="preserve"> - SUM( VfM_Metrics_2023_Entity[[#This Row],[Interest capitalised]], VfM_Metrics_2023_Entity[[#This Row],[Interest payable and financing costs]] )</f>
        <v>5981</v>
      </c>
      <c r="AZ187" s="84" vm="15205">
        <v>-47</v>
      </c>
      <c r="BA187" s="135" vm="15373">
        <v>-5934</v>
      </c>
      <c r="BB187" s="138">
        <f xml:space="preserve"> IFERROR( ( VfM_Metrics_2023_Entity[[#This Row],[Total Costs]] / VfM_Metrics_2023_Entity[[#This Row],[Total units for costs]] ) * 1000, "n/a" )</f>
        <v>5698.9619377162626</v>
      </c>
      <c r="BC18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29646</v>
      </c>
      <c r="BD187" s="84" vm="16205">
        <v>8305</v>
      </c>
      <c r="BE187" s="84" vm="16028">
        <v>2993</v>
      </c>
      <c r="BF187" s="84" vm="17149">
        <v>7275</v>
      </c>
      <c r="BG187" s="84" vm="17383">
        <v>1147</v>
      </c>
      <c r="BH187" s="84" vm="16239">
        <v>0</v>
      </c>
      <c r="BI187" s="84" vm="16513">
        <v>22</v>
      </c>
      <c r="BJ187" s="84" vm="14293">
        <v>4628</v>
      </c>
      <c r="BK187" s="84" vm="16030">
        <v>2039</v>
      </c>
      <c r="BL187" s="84" vm="17614">
        <v>422</v>
      </c>
      <c r="BM187" s="84">
        <v>0</v>
      </c>
      <c r="BN187" s="84" vm="16514">
        <v>689</v>
      </c>
      <c r="BO187" s="84" vm="17149">
        <v>2126</v>
      </c>
      <c r="BP187" s="5" vm="17681">
        <f xml:space="preserve"> VfM_Metrics_2023_Entity[[#This Row],[Total social housing units owned and/or managed at period end]]</f>
        <v>5202</v>
      </c>
      <c r="BQ187" s="135" vm="17681">
        <v>5202</v>
      </c>
      <c r="BR187" s="134">
        <f xml:space="preserve"> IFERROR( VfM_Metrics_2023_Entity[[#This Row],[SHL operating surplus / (deficit)]] / VfM_Metrics_2023_Entity[[#This Row],[Turnover from social housing lettings]], "n/a" )</f>
        <v>0.10751388435151911</v>
      </c>
      <c r="BS187" s="5" vm="17944">
        <f xml:space="preserve"> VfM_Metrics_2023_Entity[[#This Row],[Operating surplus/(deficit) (social housing lettings)]]</f>
        <v>3291</v>
      </c>
      <c r="BT187" s="84" vm="17944">
        <v>3291</v>
      </c>
      <c r="BU187" s="5" vm="18131">
        <f xml:space="preserve"> VfM_Metrics_2023_Entity[[#This Row],[Turnover from social housing lettings]]</f>
        <v>30610</v>
      </c>
      <c r="BV187" s="135" vm="18131">
        <v>30610</v>
      </c>
      <c r="BW187" s="134">
        <f xml:space="preserve"> IFERROR( VfM_Metrics_2023_Entity[[#This Row],[Net operating surplus]] / VfM_Metrics_2023_Entity[[#This Row],[Overall turnover]], "n/a" )</f>
        <v>9.7348185119808472E-2</v>
      </c>
      <c r="BX187" s="5">
        <f xml:space="preserve"> SUM( VfM_Metrics_2023_Entity[[#This Row],[Operating surplus/(deficit) (overall)2]], - VfM_Metrics_2023_Entity[[#This Row],[Gain/(loss) on disposal of fixed assets (housing properties)2]], - VfM_Metrics_2023_Entity[[#This Row],[Gain/(loss) on disposal of fixed assets (other)2]] )</f>
        <v>4798</v>
      </c>
      <c r="BY187" s="84" vm="13528">
        <v>6702</v>
      </c>
      <c r="BZ187" s="84" vm="14090">
        <v>1904</v>
      </c>
      <c r="CA187" s="84">
        <v>0</v>
      </c>
      <c r="CB187" s="5" vm="18286">
        <f xml:space="preserve"> VfM_Metrics_2023_Entity[[#This Row],[Turnover (overall)]]</f>
        <v>49287</v>
      </c>
      <c r="CC187" s="135" vm="18286">
        <v>49287</v>
      </c>
      <c r="CD187" s="134">
        <f xml:space="preserve"> IFERROR( VfM_Metrics_2023_Entity[[#This Row],[Operating surplus including from JVs]] / VfM_Metrics_2023_Entity[[#This Row],[Net assets]], "n/a" )</f>
        <v>3.1619620960855264E-2</v>
      </c>
      <c r="CE187" s="5">
        <f xml:space="preserve"> SUM( VfM_Metrics_2023_Entity[[#This Row],[Operating surplus/(deficit) (overall)3]], VfM_Metrics_2023_Entity[[#This Row],[Share of operating surplus/(deficit) in joint ventures or associates]] )</f>
        <v>6702</v>
      </c>
      <c r="CF187" s="84" vm="13528">
        <v>6702</v>
      </c>
      <c r="CG187" s="84">
        <v>0</v>
      </c>
      <c r="CH187" s="5" vm="18672">
        <f xml:space="preserve"> VfM_Metrics_2023_Entity[[#This Row],[Total assets less current liabilities]]</f>
        <v>211957</v>
      </c>
      <c r="CI187" s="135" vm="18672">
        <v>211957</v>
      </c>
      <c r="CJ187" s="140" vm="11277">
        <f xml:space="preserve"> VfM_Metrics_2023_Entity[[#This Row],[Total social housing units owned (Period end)]]</f>
        <v>5164</v>
      </c>
      <c r="CK187" s="141">
        <v>0.19128751210067763</v>
      </c>
      <c r="CL187" s="69">
        <f xml:space="preserve"> -- ( VfM_Metrics_2023_Entity[[#This Row],[% Supported housing (excl. HOP)]] &gt; 0.3 )</f>
        <v>0</v>
      </c>
      <c r="CM187" s="9">
        <v>6.0600193610842207E-2</v>
      </c>
      <c r="CN187" s="69">
        <f xml:space="preserve"> -- ( VfM_Metrics_2023_Entity[[#This Row],[% Housing for older people]] &gt; 0.3 )</f>
        <v>0</v>
      </c>
      <c r="CO187" s="9">
        <f xml:space="preserve"> VfM_Metrics_2023_Entity[[#This Row],[% Supported housing (excl. HOP)]] + VfM_Metrics_2023_Entity[[#This Row],[% Housing for older people]]</f>
        <v>0.25188770571151986</v>
      </c>
      <c r="CP187" s="69">
        <f xml:space="preserve"> -- ( VfM_Metrics_2023_Entity[[#This Row],[SH specialist in RSH analysis]] + VfM_Metrics_2023_Entity[[#This Row],[OP specialist in RSH analysis]] &gt; 0 )</f>
        <v>0</v>
      </c>
      <c r="CQ187" s="142">
        <f xml:space="preserve"> -- ( VfM_Metrics_2023_Entity[[#This Row],[% SH and OP]] &gt; 0.3 )</f>
        <v>0</v>
      </c>
      <c r="CR187" s="143" t="s">
        <v>143</v>
      </c>
      <c r="CS187" s="120"/>
      <c r="CT187" s="144" t="s">
        <v>144</v>
      </c>
      <c r="CU18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187" s="146">
        <v>0</v>
      </c>
      <c r="CW187" s="146">
        <v>0</v>
      </c>
      <c r="CX187" s="146">
        <v>0</v>
      </c>
      <c r="CY187" s="146">
        <v>0.10697583787996882</v>
      </c>
      <c r="CZ187" s="146">
        <v>0</v>
      </c>
      <c r="DA187" s="146">
        <v>0</v>
      </c>
      <c r="DB187" s="146">
        <v>0</v>
      </c>
      <c r="DC187" s="146">
        <v>0</v>
      </c>
      <c r="DD187" s="146">
        <v>0.89302416212003122</v>
      </c>
      <c r="DE187" s="126">
        <v>0.94434977850931734</v>
      </c>
    </row>
    <row r="188" spans="1:109" x14ac:dyDescent="0.25">
      <c r="A188" s="4" t="s" vm="244">
        <v>452</v>
      </c>
      <c r="B188" s="4" t="s" vm="9318">
        <v>453</v>
      </c>
      <c r="C188" s="121" vm="18978">
        <v>45016</v>
      </c>
      <c r="D188" s="68">
        <f>IFERROR( VfM_Metrics_2023_Entity[[#This Row],[Reinvestment Spend]] / VfM_Metrics_2023_Entity[[#This Row],[Net Book Value of Housing Properties]], "n/a" )</f>
        <v>4.7870108546930586E-2</v>
      </c>
      <c r="E18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262400</v>
      </c>
      <c r="F188" s="84" vm="10922">
        <v>190038</v>
      </c>
      <c r="G188" s="84" vm="10265">
        <v>0</v>
      </c>
      <c r="H188" s="84" vm="10600">
        <v>57600</v>
      </c>
      <c r="I188" s="84" vm="10201">
        <v>14762</v>
      </c>
      <c r="J188" s="84" vm="9640">
        <v>0</v>
      </c>
      <c r="K188" s="5">
        <f xml:space="preserve"> SUM( VfM_Metrics_2023_Entity[[#This Row],[Tangible fixed assets: Housing properties at cost (Current period)]],VfM_Metrics_2023_Entity[[#This Row],[Tangible fixed assets Housing properties at valuation (Current period)]] )</f>
        <v>5481500</v>
      </c>
      <c r="L188" s="84" vm="10605">
        <v>5481500</v>
      </c>
      <c r="M188" s="84">
        <v>0</v>
      </c>
      <c r="N188" s="134">
        <f xml:space="preserve"> IFERROR( VfM_Metrics_2023_Entity[[#This Row],[Total social units developed or newly built units acquired in-year]] / VfM_Metrics_2023_Entity[[#This Row],[Social housing units owned (period end)]], "n/a" )</f>
        <v>2.1815892480770809E-2</v>
      </c>
      <c r="O188" s="5">
        <f xml:space="preserve"> SUM( VfM_Metrics_2023_Entity[[#This Row],[Total social units developed or newly built units acquired in-year (owned)]], VfM_Metrics_2023_Entity[[#This Row],[Total social leasehold units developed or newly built units acquired in-year (owned)]] )</f>
        <v>1594</v>
      </c>
      <c r="P188" s="84" vm="11033">
        <v>1594</v>
      </c>
      <c r="Q188" s="84">
        <v>0</v>
      </c>
      <c r="R188" s="5">
        <f xml:space="preserve"> SUM( VfM_Metrics_2023_Entity[[#This Row],[Total social housing units owned (Period end)]], VfM_Metrics_2023_Entity[[#This Row],[Total social leasehold units owned (Period end)]] )</f>
        <v>73066</v>
      </c>
      <c r="S188" s="84" vm="11351">
        <v>67480</v>
      </c>
      <c r="T188" s="135" vm="11556">
        <v>5586</v>
      </c>
      <c r="U188" s="136">
        <f xml:space="preserve"> IFERROR( VfM_Metrics_2023_Entity[[#This Row],[Total non-social housing units developed or newly built units acquired (owned)]] / VfM_Metrics_2023_Entity[[#This Row],[Total social and non-social housing units owned (Period end)]], "n/a" )</f>
        <v>2.6721534884963792E-5</v>
      </c>
      <c r="V18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v>
      </c>
      <c r="W188" s="84" vm="11644">
        <v>2</v>
      </c>
      <c r="X188" s="84">
        <v>0</v>
      </c>
      <c r="Y188" s="84" vm="11938">
        <v>0</v>
      </c>
      <c r="Z18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74846</v>
      </c>
      <c r="AA188" s="84" vm="12008">
        <v>67480</v>
      </c>
      <c r="AB188" s="84" vm="11551">
        <v>5586</v>
      </c>
      <c r="AC188" s="84" vm="12148">
        <v>1760</v>
      </c>
      <c r="AD188" s="135" vm="12303">
        <v>20</v>
      </c>
      <c r="AE188" s="134">
        <f xml:space="preserve"> IFERROR( VfM_Metrics_2023_Entity[[#This Row],[Total Net Debt]] / VfM_Metrics_2023_Entity[[#This Row],[Net Book Value of Housing Properties2]], "n/a" )</f>
        <v>0.50951381921007022</v>
      </c>
      <c r="AF18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2792900</v>
      </c>
      <c r="AG188" s="84" vm="12649">
        <v>67400</v>
      </c>
      <c r="AH188" s="84" vm="13226">
        <v>2852800</v>
      </c>
      <c r="AI188" s="84" vm="13313">
        <v>127300</v>
      </c>
      <c r="AJ188" s="84">
        <v>0</v>
      </c>
      <c r="AK188" s="84">
        <v>0</v>
      </c>
      <c r="AL188" s="5">
        <f xml:space="preserve"> SUM( VfM_Metrics_2023_Entity[[#This Row],[Tangible fixed assets: Housing properties at cost (Current period)2]], VfM_Metrics_2023_Entity[[#This Row],[Tangible fixed assets Housing properties at valuation (Current period)2]] )</f>
        <v>5481500</v>
      </c>
      <c r="AM188" s="84" vm="9904">
        <v>5481500</v>
      </c>
      <c r="AN188" s="135">
        <v>0</v>
      </c>
      <c r="AO188" s="137">
        <f xml:space="preserve"> IFERROR( VfM_Metrics_2023_Entity[[#This Row],[EBITDA MRI]] / VfM_Metrics_2023_Entity[[#This Row],[Total interest]], "n/a" )</f>
        <v>0.85223642172523961</v>
      </c>
      <c r="AP18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106700</v>
      </c>
      <c r="AQ188" s="84" vm="13557">
        <v>131700</v>
      </c>
      <c r="AR188" s="84" vm="14334">
        <v>43800</v>
      </c>
      <c r="AS188" s="84">
        <v>0</v>
      </c>
      <c r="AT188" s="84" vm="14827">
        <v>19200</v>
      </c>
      <c r="AU188" s="84" vm="15124">
        <v>0</v>
      </c>
      <c r="AV188" s="84" vm="13837">
        <v>21800</v>
      </c>
      <c r="AW188" s="84" vm="14092">
        <v>57600</v>
      </c>
      <c r="AX188" s="84" vm="14335">
        <v>73800</v>
      </c>
      <c r="AY188" s="5">
        <f xml:space="preserve"> - SUM( VfM_Metrics_2023_Entity[[#This Row],[Interest capitalised]], VfM_Metrics_2023_Entity[[#This Row],[Interest payable and financing costs]] )</f>
        <v>125200</v>
      </c>
      <c r="AZ188" s="84" vm="15232">
        <v>-15100</v>
      </c>
      <c r="BA188" s="135" vm="15402">
        <v>-110100</v>
      </c>
      <c r="BB188" s="138">
        <f xml:space="preserve"> IFERROR( ( VfM_Metrics_2023_Entity[[#This Row],[Total Costs]] / VfM_Metrics_2023_Entity[[#This Row],[Total units for costs]] ) * 1000, "n/a" )</f>
        <v>5774.5343459629166</v>
      </c>
      <c r="BC18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408300</v>
      </c>
      <c r="BD188" s="84" vm="15527">
        <v>112800</v>
      </c>
      <c r="BE188" s="84" vm="16919">
        <v>61000</v>
      </c>
      <c r="BF188" s="84" vm="17150">
        <v>70600</v>
      </c>
      <c r="BG188" s="84" vm="17384">
        <v>67000</v>
      </c>
      <c r="BH188" s="84" vm="16240">
        <v>7600</v>
      </c>
      <c r="BI188" s="84" vm="16515">
        <v>0</v>
      </c>
      <c r="BJ188" s="84" vm="16208">
        <v>57600</v>
      </c>
      <c r="BK188" s="84" vm="16920">
        <v>400</v>
      </c>
      <c r="BL188" s="84">
        <v>0</v>
      </c>
      <c r="BM188" s="84">
        <v>0</v>
      </c>
      <c r="BN188" s="84" vm="16516">
        <v>22200</v>
      </c>
      <c r="BO188" s="84" vm="17150">
        <v>9100</v>
      </c>
      <c r="BP188" s="5" vm="17829">
        <f xml:space="preserve"> VfM_Metrics_2023_Entity[[#This Row],[Total social housing units owned and/or managed at period end]]</f>
        <v>70707</v>
      </c>
      <c r="BQ188" s="135" vm="17829">
        <v>70707</v>
      </c>
      <c r="BR188" s="134">
        <f xml:space="preserve"> IFERROR( VfM_Metrics_2023_Entity[[#This Row],[SHL operating surplus / (deficit)]] / VfM_Metrics_2023_Entity[[#This Row],[Turnover from social housing lettings]], "n/a" )</f>
        <v>0.18097251585623678</v>
      </c>
      <c r="BS188" s="5" vm="17973">
        <f xml:space="preserve"> VfM_Metrics_2023_Entity[[#This Row],[Operating surplus/(deficit) (social housing lettings)]]</f>
        <v>85600</v>
      </c>
      <c r="BT188" s="84" vm="17973">
        <v>85600</v>
      </c>
      <c r="BU188" s="5" vm="18148">
        <f xml:space="preserve"> VfM_Metrics_2023_Entity[[#This Row],[Turnover from social housing lettings]]</f>
        <v>473000</v>
      </c>
      <c r="BV188" s="135" vm="18148">
        <v>473000</v>
      </c>
      <c r="BW188" s="134">
        <f xml:space="preserve"> IFERROR( VfM_Metrics_2023_Entity[[#This Row],[Net operating surplus]] / VfM_Metrics_2023_Entity[[#This Row],[Overall turnover]], "n/a" )</f>
        <v>0.15554769067421695</v>
      </c>
      <c r="BX188" s="5">
        <f xml:space="preserve"> SUM( VfM_Metrics_2023_Entity[[#This Row],[Operating surplus/(deficit) (overall)2]], - VfM_Metrics_2023_Entity[[#This Row],[Gain/(loss) on disposal of fixed assets (housing properties)2]], - VfM_Metrics_2023_Entity[[#This Row],[Gain/(loss) on disposal of fixed assets (other)2]] )</f>
        <v>87900</v>
      </c>
      <c r="BY188" s="84" vm="18228">
        <v>131700</v>
      </c>
      <c r="BZ188" s="84" vm="14334">
        <v>43800</v>
      </c>
      <c r="CA188" s="84">
        <v>0</v>
      </c>
      <c r="CB188" s="5" vm="18313">
        <f xml:space="preserve"> VfM_Metrics_2023_Entity[[#This Row],[Turnover (overall)]]</f>
        <v>565100</v>
      </c>
      <c r="CC188" s="135" vm="18313">
        <v>565100</v>
      </c>
      <c r="CD188" s="134">
        <f xml:space="preserve"> IFERROR( VfM_Metrics_2023_Entity[[#This Row],[Operating surplus including from JVs]] / VfM_Metrics_2023_Entity[[#This Row],[Net assets]], "n/a" )</f>
        <v>2.1345564757937731E-2</v>
      </c>
      <c r="CE188" s="5">
        <f xml:space="preserve"> SUM( VfM_Metrics_2023_Entity[[#This Row],[Operating surplus/(deficit) (overall)3]], VfM_Metrics_2023_Entity[[#This Row],[Share of operating surplus/(deficit) in joint ventures or associates]] )</f>
        <v>131700</v>
      </c>
      <c r="CF188" s="84" vm="18228">
        <v>131700</v>
      </c>
      <c r="CG188" s="84" vm="18504">
        <v>0</v>
      </c>
      <c r="CH188" s="5" vm="18700">
        <f xml:space="preserve"> VfM_Metrics_2023_Entity[[#This Row],[Total assets less current liabilities]]</f>
        <v>6169900</v>
      </c>
      <c r="CI188" s="135" vm="18700">
        <v>6169900</v>
      </c>
      <c r="CJ188" s="140" vm="11351">
        <f xml:space="preserve"> VfM_Metrics_2023_Entity[[#This Row],[Total social housing units owned (Period end)]]</f>
        <v>67480</v>
      </c>
      <c r="CK188" s="141">
        <v>2.4295140971805639E-2</v>
      </c>
      <c r="CL188" s="69">
        <f xml:space="preserve"> -- ( VfM_Metrics_2023_Entity[[#This Row],[% Supported housing (excl. HOP)]] &gt; 0.3 )</f>
        <v>0</v>
      </c>
      <c r="CM188" s="9">
        <v>9.5064320469239488E-2</v>
      </c>
      <c r="CN188" s="69">
        <f xml:space="preserve"> -- ( VfM_Metrics_2023_Entity[[#This Row],[% Housing for older people]] &gt; 0.3 )</f>
        <v>0</v>
      </c>
      <c r="CO188" s="9">
        <f xml:space="preserve"> VfM_Metrics_2023_Entity[[#This Row],[% Supported housing (excl. HOP)]] + VfM_Metrics_2023_Entity[[#This Row],[% Housing for older people]]</f>
        <v>0.11935946144104513</v>
      </c>
      <c r="CP188" s="69">
        <f xml:space="preserve"> -- ( VfM_Metrics_2023_Entity[[#This Row],[SH specialist in RSH analysis]] + VfM_Metrics_2023_Entity[[#This Row],[OP specialist in RSH analysis]] &gt; 0 )</f>
        <v>0</v>
      </c>
      <c r="CQ188" s="142">
        <f xml:space="preserve"> -- ( VfM_Metrics_2023_Entity[[#This Row],[% SH and OP]] &gt; 0.3 )</f>
        <v>0</v>
      </c>
      <c r="CR188" s="143" t="s">
        <v>143</v>
      </c>
      <c r="CS188" s="120"/>
      <c r="CT188" s="144" t="s">
        <v>151</v>
      </c>
      <c r="CU18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88" s="146">
        <v>0.42459834288599174</v>
      </c>
      <c r="CW188" s="146">
        <v>0.529192528138271</v>
      </c>
      <c r="CX188" s="146">
        <v>4.4546075490749262E-5</v>
      </c>
      <c r="CY188" s="146">
        <v>1.1181064948178065E-2</v>
      </c>
      <c r="CZ188" s="146">
        <v>2.5420960413387581E-2</v>
      </c>
      <c r="DA188" s="146">
        <v>9.5477088468505916E-3</v>
      </c>
      <c r="DB188" s="146">
        <v>0</v>
      </c>
      <c r="DC188" s="146">
        <v>0</v>
      </c>
      <c r="DD188" s="146">
        <v>1.4848691830249754E-5</v>
      </c>
      <c r="DE188" s="126">
        <v>1.0844950050395537</v>
      </c>
    </row>
    <row r="189" spans="1:109" x14ac:dyDescent="0.25">
      <c r="A189" s="4" t="s" vm="382">
        <v>454</v>
      </c>
      <c r="B189" s="4" t="s" vm="9378">
        <v>455</v>
      </c>
      <c r="C189" s="121" vm="18930">
        <v>45016</v>
      </c>
      <c r="D189" s="68">
        <f>IFERROR( VfM_Metrics_2023_Entity[[#This Row],[Reinvestment Spend]] / VfM_Metrics_2023_Entity[[#This Row],[Net Book Value of Housing Properties]], "n/a" )</f>
        <v>0.11711160538157617</v>
      </c>
      <c r="E18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20482</v>
      </c>
      <c r="F189" s="84" vm="10594">
        <v>16752</v>
      </c>
      <c r="G189" s="84" vm="10399">
        <v>0</v>
      </c>
      <c r="H189" s="84" vm="9604">
        <v>2831</v>
      </c>
      <c r="I189" s="84" vm="9525">
        <v>899</v>
      </c>
      <c r="J189" s="84" vm="9582">
        <v>0</v>
      </c>
      <c r="K189" s="5">
        <f xml:space="preserve"> SUM( VfM_Metrics_2023_Entity[[#This Row],[Tangible fixed assets: Housing properties at cost (Current period)]],VfM_Metrics_2023_Entity[[#This Row],[Tangible fixed assets Housing properties at valuation (Current period)]] )</f>
        <v>174893</v>
      </c>
      <c r="L189" s="84" vm="10764">
        <v>174893</v>
      </c>
      <c r="M189" s="84">
        <v>0</v>
      </c>
      <c r="N189" s="134">
        <f xml:space="preserve"> IFERROR( VfM_Metrics_2023_Entity[[#This Row],[Total social units developed or newly built units acquired in-year]] / VfM_Metrics_2023_Entity[[#This Row],[Social housing units owned (period end)]], "n/a" )</f>
        <v>1.780185758513932E-2</v>
      </c>
      <c r="O189" s="5">
        <f xml:space="preserve"> SUM( VfM_Metrics_2023_Entity[[#This Row],[Total social units developed or newly built units acquired in-year (owned)]], VfM_Metrics_2023_Entity[[#This Row],[Total social leasehold units developed or newly built units acquired in-year (owned)]] )</f>
        <v>115</v>
      </c>
      <c r="P189" s="84" vm="11057">
        <v>115</v>
      </c>
      <c r="Q189" s="84">
        <v>0</v>
      </c>
      <c r="R189" s="5">
        <f xml:space="preserve"> SUM( VfM_Metrics_2023_Entity[[#This Row],[Total social housing units owned (Period end)]], VfM_Metrics_2023_Entity[[#This Row],[Total social leasehold units owned (Period end)]] )</f>
        <v>6460</v>
      </c>
      <c r="S189" s="84" vm="11369">
        <v>6164</v>
      </c>
      <c r="T189" s="135" vm="11538">
        <v>296</v>
      </c>
      <c r="U189" s="136">
        <f xml:space="preserve"> IFERROR( VfM_Metrics_2023_Entity[[#This Row],[Total non-social housing units developed or newly built units acquired (owned)]] / VfM_Metrics_2023_Entity[[#This Row],[Total social and non-social housing units owned (Period end)]], "n/a" )</f>
        <v>7.7101002313030066E-4</v>
      </c>
      <c r="V18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5</v>
      </c>
      <c r="W189" s="84">
        <v>0</v>
      </c>
      <c r="X189" s="84">
        <v>0</v>
      </c>
      <c r="Y189" s="84" vm="11769">
        <v>5</v>
      </c>
      <c r="Z18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6485</v>
      </c>
      <c r="AA189" s="84" vm="12033">
        <v>6164</v>
      </c>
      <c r="AB189" s="84" vm="11538">
        <v>296</v>
      </c>
      <c r="AC189" s="84" vm="12397">
        <v>25</v>
      </c>
      <c r="AD189" s="135" vm="12531">
        <v>0</v>
      </c>
      <c r="AE189" s="134">
        <f xml:space="preserve"> IFERROR( VfM_Metrics_2023_Entity[[#This Row],[Total Net Debt]] / VfM_Metrics_2023_Entity[[#This Row],[Net Book Value of Housing Properties2]], "n/a" )</f>
        <v>0.37895741967946117</v>
      </c>
      <c r="AF18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66277</v>
      </c>
      <c r="AG189" s="84" vm="12678">
        <v>0</v>
      </c>
      <c r="AH189" s="84" vm="12803">
        <v>84527</v>
      </c>
      <c r="AI189" s="84" vm="13083">
        <v>18250</v>
      </c>
      <c r="AJ189" s="84">
        <v>0</v>
      </c>
      <c r="AK189" s="84">
        <v>0</v>
      </c>
      <c r="AL189" s="5">
        <f xml:space="preserve"> SUM( VfM_Metrics_2023_Entity[[#This Row],[Tangible fixed assets: Housing properties at cost (Current period)2]], VfM_Metrics_2023_Entity[[#This Row],[Tangible fixed assets Housing properties at valuation (Current period)2]] )</f>
        <v>174893</v>
      </c>
      <c r="AM189" s="84" vm="10030">
        <v>174893</v>
      </c>
      <c r="AN189" s="135">
        <v>0</v>
      </c>
      <c r="AO189" s="137">
        <f xml:space="preserve"> IFERROR( VfM_Metrics_2023_Entity[[#This Row],[EBITDA MRI]] / VfM_Metrics_2023_Entity[[#This Row],[Total interest]], "n/a" )</f>
        <v>4.2849740932642488</v>
      </c>
      <c r="AP18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9924</v>
      </c>
      <c r="AQ189" s="84" vm="13588">
        <v>12719</v>
      </c>
      <c r="AR189" s="84" vm="14581">
        <v>5308</v>
      </c>
      <c r="AS189" s="84">
        <v>0</v>
      </c>
      <c r="AT189" s="84" vm="15125">
        <v>1448</v>
      </c>
      <c r="AU189" s="84" vm="13838">
        <v>604</v>
      </c>
      <c r="AV189" s="84" vm="14093">
        <v>1141</v>
      </c>
      <c r="AW189" s="84" vm="14336">
        <v>2831</v>
      </c>
      <c r="AX189" s="84" vm="14582">
        <v>6255</v>
      </c>
      <c r="AY189" s="5">
        <f xml:space="preserve"> - SUM( VfM_Metrics_2023_Entity[[#This Row],[Interest capitalised]], VfM_Metrics_2023_Entity[[#This Row],[Interest payable and financing costs]] )</f>
        <v>2316</v>
      </c>
      <c r="AZ189" s="84" vm="15261">
        <v>-899</v>
      </c>
      <c r="BA189" s="135" vm="15435">
        <v>-1417</v>
      </c>
      <c r="BB189" s="138">
        <f xml:space="preserve"> IFERROR( ( VfM_Metrics_2023_Entity[[#This Row],[Total Costs]] / VfM_Metrics_2023_Entity[[#This Row],[Total units for costs]] ) * 1000, "n/a" )</f>
        <v>4193.5431537962359</v>
      </c>
      <c r="BC18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25849</v>
      </c>
      <c r="BD189" s="84" vm="16210">
        <v>7717</v>
      </c>
      <c r="BE189" s="84" vm="16921">
        <v>1289</v>
      </c>
      <c r="BF189" s="84" vm="17151">
        <v>5066</v>
      </c>
      <c r="BG189" s="84" vm="17385">
        <v>1799</v>
      </c>
      <c r="BH189" s="84" vm="16241">
        <v>3543</v>
      </c>
      <c r="BI189" s="84" vm="16517">
        <v>0</v>
      </c>
      <c r="BJ189" s="84" vm="14336">
        <v>2831</v>
      </c>
      <c r="BK189" s="84" vm="16922">
        <v>1212</v>
      </c>
      <c r="BL189" s="84" vm="17386">
        <v>659</v>
      </c>
      <c r="BM189" s="84" vm="16242">
        <v>1733</v>
      </c>
      <c r="BN189" s="84">
        <v>0</v>
      </c>
      <c r="BO189" s="84">
        <v>0</v>
      </c>
      <c r="BP189" s="5" vm="17716">
        <f xml:space="preserve"> VfM_Metrics_2023_Entity[[#This Row],[Total social housing units owned and/or managed at period end]]</f>
        <v>6164</v>
      </c>
      <c r="BQ189" s="135" vm="17716">
        <v>6164</v>
      </c>
      <c r="BR189" s="134">
        <f xml:space="preserve"> IFERROR( VfM_Metrics_2023_Entity[[#This Row],[SHL operating surplus / (deficit)]] / VfM_Metrics_2023_Entity[[#This Row],[Turnover from social housing lettings]], "n/a" )</f>
        <v>0.18083850931677017</v>
      </c>
      <c r="BS189" s="5" vm="18003">
        <f xml:space="preserve"> VfM_Metrics_2023_Entity[[#This Row],[Operating surplus/(deficit) (social housing lettings)]]</f>
        <v>5823</v>
      </c>
      <c r="BT189" s="84" vm="18003">
        <v>5823</v>
      </c>
      <c r="BU189" s="5" vm="18187">
        <f xml:space="preserve"> VfM_Metrics_2023_Entity[[#This Row],[Turnover from social housing lettings]]</f>
        <v>32200</v>
      </c>
      <c r="BV189" s="135" vm="18187">
        <v>32200</v>
      </c>
      <c r="BW189" s="134">
        <f xml:space="preserve"> IFERROR( VfM_Metrics_2023_Entity[[#This Row],[Net operating surplus]] / VfM_Metrics_2023_Entity[[#This Row],[Overall turnover]], "n/a" )</f>
        <v>0.1627789492180636</v>
      </c>
      <c r="BX189" s="5">
        <f xml:space="preserve"> SUM( VfM_Metrics_2023_Entity[[#This Row],[Operating surplus/(deficit) (overall)2]], - VfM_Metrics_2023_Entity[[#This Row],[Gain/(loss) on disposal of fixed assets (housing properties)2]], - VfM_Metrics_2023_Entity[[#This Row],[Gain/(loss) on disposal of fixed assets (other)2]] )</f>
        <v>7411</v>
      </c>
      <c r="BY189" s="84" vm="15141">
        <v>12719</v>
      </c>
      <c r="BZ189" s="84" vm="14581">
        <v>5308</v>
      </c>
      <c r="CA189" s="84">
        <v>0</v>
      </c>
      <c r="CB189" s="5" vm="18357">
        <f xml:space="preserve"> VfM_Metrics_2023_Entity[[#This Row],[Turnover (overall)]]</f>
        <v>45528</v>
      </c>
      <c r="CC189" s="135" vm="18357">
        <v>45528</v>
      </c>
      <c r="CD189" s="134">
        <f xml:space="preserve"> IFERROR( VfM_Metrics_2023_Entity[[#This Row],[Operating surplus including from JVs]] / VfM_Metrics_2023_Entity[[#This Row],[Net assets]], "n/a" )</f>
        <v>5.5632586112629855E-2</v>
      </c>
      <c r="CE189" s="5">
        <f xml:space="preserve"> SUM( VfM_Metrics_2023_Entity[[#This Row],[Operating surplus/(deficit) (overall)3]], VfM_Metrics_2023_Entity[[#This Row],[Share of operating surplus/(deficit) in joint ventures or associates]] )</f>
        <v>12719</v>
      </c>
      <c r="CF189" s="84" vm="18436">
        <v>12719</v>
      </c>
      <c r="CG189" s="84">
        <v>0</v>
      </c>
      <c r="CH189" s="5" vm="18728">
        <f xml:space="preserve"> VfM_Metrics_2023_Entity[[#This Row],[Total assets less current liabilities]]</f>
        <v>228625</v>
      </c>
      <c r="CI189" s="135" vm="18728">
        <v>228625</v>
      </c>
      <c r="CJ189" s="140" vm="11369">
        <f xml:space="preserve"> VfM_Metrics_2023_Entity[[#This Row],[Total social housing units owned (Period end)]]</f>
        <v>6164</v>
      </c>
      <c r="CK189" s="141">
        <v>0</v>
      </c>
      <c r="CL189" s="69">
        <f xml:space="preserve"> -- ( VfM_Metrics_2023_Entity[[#This Row],[% Supported housing (excl. HOP)]] &gt; 0.3 )</f>
        <v>0</v>
      </c>
      <c r="CM189" s="9">
        <v>3.6073134574205239E-2</v>
      </c>
      <c r="CN189" s="69">
        <f xml:space="preserve"> -- ( VfM_Metrics_2023_Entity[[#This Row],[% Housing for older people]] &gt; 0.3 )</f>
        <v>0</v>
      </c>
      <c r="CO189" s="9">
        <f xml:space="preserve"> VfM_Metrics_2023_Entity[[#This Row],[% Supported housing (excl. HOP)]] + VfM_Metrics_2023_Entity[[#This Row],[% Housing for older people]]</f>
        <v>3.6073134574205239E-2</v>
      </c>
      <c r="CP189" s="69">
        <f xml:space="preserve"> -- ( VfM_Metrics_2023_Entity[[#This Row],[SH specialist in RSH analysis]] + VfM_Metrics_2023_Entity[[#This Row],[OP specialist in RSH analysis]] &gt; 0 )</f>
        <v>0</v>
      </c>
      <c r="CQ189" s="142">
        <f xml:space="preserve"> -- ( VfM_Metrics_2023_Entity[[#This Row],[% SH and OP]] &gt; 0.3 )</f>
        <v>0</v>
      </c>
      <c r="CR189" s="143" t="s">
        <v>143</v>
      </c>
      <c r="CS189" s="120"/>
      <c r="CT189" s="144" t="s">
        <v>151</v>
      </c>
      <c r="CU18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189" s="146">
        <v>0</v>
      </c>
      <c r="CW189" s="146">
        <v>0</v>
      </c>
      <c r="CX189" s="146">
        <v>0</v>
      </c>
      <c r="CY189" s="146">
        <v>0</v>
      </c>
      <c r="CZ189" s="146">
        <v>0</v>
      </c>
      <c r="DA189" s="146">
        <v>0</v>
      </c>
      <c r="DB189" s="146">
        <v>0</v>
      </c>
      <c r="DC189" s="146">
        <v>1</v>
      </c>
      <c r="DD189" s="146">
        <v>0</v>
      </c>
      <c r="DE189" s="126">
        <v>0.96105917141044694</v>
      </c>
    </row>
    <row r="190" spans="1:109" x14ac:dyDescent="0.25">
      <c r="A190" s="4" t="s" vm="252">
        <v>456</v>
      </c>
      <c r="B190" s="4" t="s" vm="9380">
        <v>457</v>
      </c>
      <c r="C190" s="121" vm="18977">
        <v>45016</v>
      </c>
      <c r="D190" s="68">
        <f>IFERROR( VfM_Metrics_2023_Entity[[#This Row],[Reinvestment Spend]] / VfM_Metrics_2023_Entity[[#This Row],[Net Book Value of Housing Properties]], "n/a" )</f>
        <v>6.6354883552910512E-2</v>
      </c>
      <c r="E19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294080</v>
      </c>
      <c r="F190" s="84" vm="10444">
        <v>244017</v>
      </c>
      <c r="G190" s="84" vm="10637">
        <v>0</v>
      </c>
      <c r="H190" s="84" vm="9742">
        <v>40858</v>
      </c>
      <c r="I190" s="84" vm="9696">
        <v>9205</v>
      </c>
      <c r="J190" s="84" vm="10274">
        <v>0</v>
      </c>
      <c r="K190" s="5">
        <f xml:space="preserve"> SUM( VfM_Metrics_2023_Entity[[#This Row],[Tangible fixed assets: Housing properties at cost (Current period)]],VfM_Metrics_2023_Entity[[#This Row],[Tangible fixed assets Housing properties at valuation (Current period)]] )</f>
        <v>4431927</v>
      </c>
      <c r="L190" s="84" vm="10702">
        <v>4431927</v>
      </c>
      <c r="M190" s="84" vm="10187">
        <v>0</v>
      </c>
      <c r="N190" s="134">
        <f xml:space="preserve"> IFERROR( VfM_Metrics_2023_Entity[[#This Row],[Total social units developed or newly built units acquired in-year]] / VfM_Metrics_2023_Entity[[#This Row],[Social housing units owned (period end)]], "n/a" )</f>
        <v>2.6727564915842002E-2</v>
      </c>
      <c r="O190" s="5">
        <f xml:space="preserve"> SUM( VfM_Metrics_2023_Entity[[#This Row],[Total social units developed or newly built units acquired in-year (owned)]], VfM_Metrics_2023_Entity[[#This Row],[Total social leasehold units developed or newly built units acquired in-year (owned)]] )</f>
        <v>1580</v>
      </c>
      <c r="P190" s="84" vm="11076">
        <v>1580</v>
      </c>
      <c r="Q190" s="84" vm="11199">
        <v>0</v>
      </c>
      <c r="R190" s="5">
        <f xml:space="preserve"> SUM( VfM_Metrics_2023_Entity[[#This Row],[Total social housing units owned (Period end)]], VfM_Metrics_2023_Entity[[#This Row],[Total social leasehold units owned (Period end)]] )</f>
        <v>59115</v>
      </c>
      <c r="S190" s="84" vm="11385">
        <v>57573</v>
      </c>
      <c r="T190" s="135" vm="11504">
        <v>1542</v>
      </c>
      <c r="U190" s="136">
        <f xml:space="preserve"> IFERROR( VfM_Metrics_2023_Entity[[#This Row],[Total non-social housing units developed or newly built units acquired (owned)]] / VfM_Metrics_2023_Entity[[#This Row],[Total social and non-social housing units owned (Period end)]], "n/a" )</f>
        <v>2.9241191091183778E-4</v>
      </c>
      <c r="V19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18</v>
      </c>
      <c r="W190" s="84" vm="11676">
        <v>18</v>
      </c>
      <c r="X190" s="84" vm="11811">
        <v>0</v>
      </c>
      <c r="Y190" s="84" vm="11858">
        <v>0</v>
      </c>
      <c r="Z19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61557</v>
      </c>
      <c r="AA190" s="84" vm="12056">
        <v>57573</v>
      </c>
      <c r="AB190" s="84" vm="12211">
        <v>1542</v>
      </c>
      <c r="AC190" s="84" vm="12149">
        <v>488</v>
      </c>
      <c r="AD190" s="135" vm="12304">
        <v>1954</v>
      </c>
      <c r="AE190" s="134">
        <f xml:space="preserve"> IFERROR( VfM_Metrics_2023_Entity[[#This Row],[Total Net Debt]] / VfM_Metrics_2023_Entity[[#This Row],[Net Book Value of Housing Properties2]], "n/a" )</f>
        <v>0.48556666208626631</v>
      </c>
      <c r="AF19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2151996</v>
      </c>
      <c r="AG190" s="84" vm="12698">
        <v>38361</v>
      </c>
      <c r="AH190" s="84" vm="13348">
        <v>2180518</v>
      </c>
      <c r="AI190" s="84" vm="12918">
        <v>69504</v>
      </c>
      <c r="AJ190" s="84" vm="12804">
        <v>0</v>
      </c>
      <c r="AK190" s="84" vm="13056">
        <v>2621</v>
      </c>
      <c r="AL190" s="5">
        <f xml:space="preserve"> SUM( VfM_Metrics_2023_Entity[[#This Row],[Tangible fixed assets: Housing properties at cost (Current period)2]], VfM_Metrics_2023_Entity[[#This Row],[Tangible fixed assets Housing properties at valuation (Current period)2]] )</f>
        <v>4431927</v>
      </c>
      <c r="AM190" s="84" vm="9986">
        <v>4431927</v>
      </c>
      <c r="AN190" s="135" vm="10187">
        <v>0</v>
      </c>
      <c r="AO190" s="137">
        <f xml:space="preserve"> IFERROR( VfM_Metrics_2023_Entity[[#This Row],[EBITDA MRI]] / VfM_Metrics_2023_Entity[[#This Row],[Total interest]], "n/a" )</f>
        <v>1.4873801555147337</v>
      </c>
      <c r="AP19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118214</v>
      </c>
      <c r="AQ190" s="84" vm="13620">
        <v>124028</v>
      </c>
      <c r="AR190" s="84" vm="14828">
        <v>20614</v>
      </c>
      <c r="AS190" s="84" vm="15126">
        <v>894</v>
      </c>
      <c r="AT190" s="84" vm="13839">
        <v>2901</v>
      </c>
      <c r="AU190" s="84" vm="14094">
        <v>260</v>
      </c>
      <c r="AV190" s="84" vm="14337">
        <v>8905</v>
      </c>
      <c r="AW190" s="84" vm="14583">
        <v>40858</v>
      </c>
      <c r="AX190" s="84" vm="14829">
        <v>50808</v>
      </c>
      <c r="AY190" s="5">
        <f xml:space="preserve"> - SUM( VfM_Metrics_2023_Entity[[#This Row],[Interest capitalised]], VfM_Metrics_2023_Entity[[#This Row],[Interest payable and financing costs]] )</f>
        <v>79478</v>
      </c>
      <c r="AZ190" s="84" vm="15288">
        <v>-9205</v>
      </c>
      <c r="BA190" s="135" vm="15470">
        <v>-70273</v>
      </c>
      <c r="BB190" s="138">
        <f xml:space="preserve"> IFERROR( ( VfM_Metrics_2023_Entity[[#This Row],[Total Costs]] / VfM_Metrics_2023_Entity[[#This Row],[Total units for costs]] ) * 1000, "n/a" )</f>
        <v>4685.5932350540879</v>
      </c>
      <c r="BC19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269848</v>
      </c>
      <c r="BD190" s="84" vm="15607">
        <v>91177</v>
      </c>
      <c r="BE190" s="84" vm="16923">
        <v>24057</v>
      </c>
      <c r="BF190" s="84" vm="17152">
        <v>45904</v>
      </c>
      <c r="BG190" s="84" vm="17387">
        <v>41202</v>
      </c>
      <c r="BH190" s="84" vm="16243">
        <v>7564</v>
      </c>
      <c r="BI190" s="84" vm="16518">
        <v>6766</v>
      </c>
      <c r="BJ190" s="84" vm="14583">
        <v>40858</v>
      </c>
      <c r="BK190" s="84" vm="16924">
        <v>7797</v>
      </c>
      <c r="BL190" s="84" vm="17388">
        <v>0</v>
      </c>
      <c r="BM190" s="84" vm="16244">
        <v>3460</v>
      </c>
      <c r="BN190" s="84" vm="16519">
        <v>1063</v>
      </c>
      <c r="BO190" s="84" vm="17152">
        <v>0</v>
      </c>
      <c r="BP190" s="5" vm="17750">
        <f xml:space="preserve"> VfM_Metrics_2023_Entity[[#This Row],[Total social housing units owned and/or managed at period end]]</f>
        <v>57591</v>
      </c>
      <c r="BQ190" s="135" vm="17750">
        <v>57591</v>
      </c>
      <c r="BR190" s="134">
        <f xml:space="preserve"> IFERROR( VfM_Metrics_2023_Entity[[#This Row],[SHL operating surplus / (deficit)]] / VfM_Metrics_2023_Entity[[#This Row],[Turnover from social housing lettings]], "n/a" )</f>
        <v>0.24197983244989579</v>
      </c>
      <c r="BS190" s="5" vm="18032">
        <f xml:space="preserve"> VfM_Metrics_2023_Entity[[#This Row],[Operating surplus/(deficit) (social housing lettings)]]</f>
        <v>86509</v>
      </c>
      <c r="BT190" s="84" vm="18032">
        <v>86509</v>
      </c>
      <c r="BU190" s="5" vm="18204">
        <f xml:space="preserve"> VfM_Metrics_2023_Entity[[#This Row],[Turnover from social housing lettings]]</f>
        <v>357505</v>
      </c>
      <c r="BV190" s="135" vm="18204">
        <v>357505</v>
      </c>
      <c r="BW190" s="134">
        <f xml:space="preserve"> IFERROR( VfM_Metrics_2023_Entity[[#This Row],[Net operating surplus]] / VfM_Metrics_2023_Entity[[#This Row],[Overall turnover]], "n/a" )</f>
        <v>0.23317859360464718</v>
      </c>
      <c r="BX190" s="5">
        <f xml:space="preserve"> SUM( VfM_Metrics_2023_Entity[[#This Row],[Operating surplus/(deficit) (overall)2]], - VfM_Metrics_2023_Entity[[#This Row],[Gain/(loss) on disposal of fixed assets (housing properties)2]], - VfM_Metrics_2023_Entity[[#This Row],[Gain/(loss) on disposal of fixed assets (other)2]] )</f>
        <v>102520</v>
      </c>
      <c r="BY190" s="84" vm="13621">
        <v>124028</v>
      </c>
      <c r="BZ190" s="84" vm="14828">
        <v>20614</v>
      </c>
      <c r="CA190" s="84" vm="15126">
        <v>894</v>
      </c>
      <c r="CB190" s="5" vm="18383">
        <f xml:space="preserve"> VfM_Metrics_2023_Entity[[#This Row],[Turnover (overall)]]</f>
        <v>439663</v>
      </c>
      <c r="CC190" s="135" vm="18383">
        <v>439663</v>
      </c>
      <c r="CD190" s="134">
        <f xml:space="preserve"> IFERROR( VfM_Metrics_2023_Entity[[#This Row],[Operating surplus including from JVs]] / VfM_Metrics_2023_Entity[[#This Row],[Net assets]], "n/a" )</f>
        <v>2.6198860649090779E-2</v>
      </c>
      <c r="CE190" s="5">
        <f xml:space="preserve"> SUM( VfM_Metrics_2023_Entity[[#This Row],[Operating surplus/(deficit) (overall)3]], VfM_Metrics_2023_Entity[[#This Row],[Share of operating surplus/(deficit) in joint ventures or associates]] )</f>
        <v>124028</v>
      </c>
      <c r="CF190" s="84" vm="13620">
        <v>124028</v>
      </c>
      <c r="CG190" s="84" vm="18546">
        <v>0</v>
      </c>
      <c r="CH190" s="5" vm="18750">
        <f xml:space="preserve"> VfM_Metrics_2023_Entity[[#This Row],[Total assets less current liabilities]]</f>
        <v>4734099</v>
      </c>
      <c r="CI190" s="135" vm="18750">
        <v>4734099</v>
      </c>
      <c r="CJ190" s="140" vm="11385">
        <f xml:space="preserve"> VfM_Metrics_2023_Entity[[#This Row],[Total social housing units owned (Period end)]]</f>
        <v>57573</v>
      </c>
      <c r="CK190" s="141">
        <v>1.9688828995957228E-2</v>
      </c>
      <c r="CL190" s="69">
        <f xml:space="preserve"> -- ( VfM_Metrics_2023_Entity[[#This Row],[% Supported housing (excl. HOP)]] &gt; 0.3 )</f>
        <v>0</v>
      </c>
      <c r="CM190" s="9">
        <v>3.9010133183989916E-2</v>
      </c>
      <c r="CN190" s="69">
        <f xml:space="preserve"> -- ( VfM_Metrics_2023_Entity[[#This Row],[% Housing for older people]] &gt; 0.3 )</f>
        <v>0</v>
      </c>
      <c r="CO190" s="9">
        <f xml:space="preserve"> VfM_Metrics_2023_Entity[[#This Row],[% Supported housing (excl. HOP)]] + VfM_Metrics_2023_Entity[[#This Row],[% Housing for older people]]</f>
        <v>5.8698962179947148E-2</v>
      </c>
      <c r="CP190" s="69">
        <f xml:space="preserve"> -- ( VfM_Metrics_2023_Entity[[#This Row],[SH specialist in RSH analysis]] + VfM_Metrics_2023_Entity[[#This Row],[OP specialist in RSH analysis]] &gt; 0 )</f>
        <v>0</v>
      </c>
      <c r="CQ190" s="142">
        <f xml:space="preserve"> -- ( VfM_Metrics_2023_Entity[[#This Row],[% SH and OP]] &gt; 0.3 )</f>
        <v>0</v>
      </c>
      <c r="CR190" s="143" t="s">
        <v>143</v>
      </c>
      <c r="CS190" s="120"/>
      <c r="CT190" s="144" t="s">
        <v>151</v>
      </c>
      <c r="CU19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190" s="146">
        <v>0</v>
      </c>
      <c r="CW190" s="146">
        <v>0.57340479214881068</v>
      </c>
      <c r="CX190" s="146">
        <v>0.42656040648001531</v>
      </c>
      <c r="CY190" s="146">
        <v>1.7400685587012128E-5</v>
      </c>
      <c r="CZ190" s="146">
        <v>0</v>
      </c>
      <c r="DA190" s="146">
        <v>1.7400685587012128E-5</v>
      </c>
      <c r="DB190" s="146">
        <v>0</v>
      </c>
      <c r="DC190" s="146">
        <v>0</v>
      </c>
      <c r="DD190" s="146">
        <v>0</v>
      </c>
      <c r="DE190" s="126">
        <v>1.0087168988816211</v>
      </c>
    </row>
    <row r="191" spans="1:109" x14ac:dyDescent="0.25">
      <c r="A191" s="4" t="s" vm="271">
        <v>458</v>
      </c>
      <c r="B191" s="4" t="s" vm="9373">
        <v>459</v>
      </c>
      <c r="C191" s="121" vm="18848">
        <v>45016</v>
      </c>
      <c r="D191" s="68">
        <f>IFERROR( VfM_Metrics_2023_Entity[[#This Row],[Reinvestment Spend]] / VfM_Metrics_2023_Entity[[#This Row],[Net Book Value of Housing Properties]], "n/a" )</f>
        <v>7.420219207944774E-2</v>
      </c>
      <c r="E19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166651</v>
      </c>
      <c r="F191" s="84" vm="9397">
        <v>135655</v>
      </c>
      <c r="G191" s="84" vm="10830">
        <v>0</v>
      </c>
      <c r="H191" s="84" vm="9695">
        <v>19136</v>
      </c>
      <c r="I191" s="84" vm="9870">
        <v>11860</v>
      </c>
      <c r="J191" s="84" vm="10699">
        <v>0</v>
      </c>
      <c r="K191" s="5">
        <f xml:space="preserve"> SUM( VfM_Metrics_2023_Entity[[#This Row],[Tangible fixed assets: Housing properties at cost (Current period)]],VfM_Metrics_2023_Entity[[#This Row],[Tangible fixed assets Housing properties at valuation (Current period)]] )</f>
        <v>2245904</v>
      </c>
      <c r="L191" s="84" vm="9999">
        <v>2245904</v>
      </c>
      <c r="M191" s="84" vm="10173">
        <v>0</v>
      </c>
      <c r="N191" s="134">
        <f xml:space="preserve"> IFERROR( VfM_Metrics_2023_Entity[[#This Row],[Total social units developed or newly built units acquired in-year]] / VfM_Metrics_2023_Entity[[#This Row],[Social housing units owned (period end)]], "n/a" )</f>
        <v>9.7030855812148264E-3</v>
      </c>
      <c r="O191" s="5">
        <f xml:space="preserve"> SUM( VfM_Metrics_2023_Entity[[#This Row],[Total social units developed or newly built units acquired in-year (owned)]], VfM_Metrics_2023_Entity[[#This Row],[Total social leasehold units developed or newly built units acquired in-year (owned)]] )</f>
        <v>200</v>
      </c>
      <c r="P191" s="84" vm="11097">
        <v>200</v>
      </c>
      <c r="Q191" s="84" vm="11215">
        <v>0</v>
      </c>
      <c r="R191" s="5">
        <f xml:space="preserve"> SUM( VfM_Metrics_2023_Entity[[#This Row],[Total social housing units owned (Period end)]], VfM_Metrics_2023_Entity[[#This Row],[Total social leasehold units owned (Period end)]] )</f>
        <v>20612</v>
      </c>
      <c r="S191" s="84" vm="11318">
        <v>18043</v>
      </c>
      <c r="T191" s="135" vm="11530">
        <v>2569</v>
      </c>
      <c r="U191" s="136">
        <f xml:space="preserve"> IFERROR( VfM_Metrics_2023_Entity[[#This Row],[Total non-social housing units developed or newly built units acquired (owned)]] / VfM_Metrics_2023_Entity[[#This Row],[Total social and non-social housing units owned (Period end)]], "n/a" )</f>
        <v>0</v>
      </c>
      <c r="V19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91" s="84" vm="11579">
        <v>0</v>
      </c>
      <c r="X191" s="84" vm="11898">
        <v>0</v>
      </c>
      <c r="Y191" s="84" vm="11939">
        <v>0</v>
      </c>
      <c r="Z19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21169</v>
      </c>
      <c r="AA191" s="84" vm="11961">
        <v>18043</v>
      </c>
      <c r="AB191" s="84" vm="11530">
        <v>2569</v>
      </c>
      <c r="AC191" s="84" vm="12397">
        <v>53</v>
      </c>
      <c r="AD191" s="135" vm="12532">
        <v>504</v>
      </c>
      <c r="AE191" s="134">
        <f xml:space="preserve"> IFERROR( VfM_Metrics_2023_Entity[[#This Row],[Total Net Debt]] / VfM_Metrics_2023_Entity[[#This Row],[Net Book Value of Housing Properties2]], "n/a" )</f>
        <v>0.51357448938155859</v>
      </c>
      <c r="AF19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1153439</v>
      </c>
      <c r="AG191" s="84" vm="12575">
        <v>21310</v>
      </c>
      <c r="AH191" s="84" vm="13143">
        <v>827924</v>
      </c>
      <c r="AI191" s="84" vm="13144">
        <v>64738</v>
      </c>
      <c r="AJ191" s="84" vm="13313">
        <v>368943</v>
      </c>
      <c r="AK191" s="84" vm="12883">
        <v>0</v>
      </c>
      <c r="AL191" s="5">
        <f xml:space="preserve"> SUM( VfM_Metrics_2023_Entity[[#This Row],[Tangible fixed assets: Housing properties at cost (Current period)2]], VfM_Metrics_2023_Entity[[#This Row],[Tangible fixed assets Housing properties at valuation (Current period)2]] )</f>
        <v>2245904</v>
      </c>
      <c r="AM191" s="84" vm="9999">
        <v>2245904</v>
      </c>
      <c r="AN191" s="135" vm="10173">
        <v>0</v>
      </c>
      <c r="AO191" s="137">
        <f xml:space="preserve"> IFERROR( VfM_Metrics_2023_Entity[[#This Row],[EBITDA MRI]] / VfM_Metrics_2023_Entity[[#This Row],[Total interest]], "n/a" )</f>
        <v>0.76686459848117627</v>
      </c>
      <c r="AP19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37969</v>
      </c>
      <c r="AQ191" s="84" vm="13458">
        <v>38241</v>
      </c>
      <c r="AR191" s="84" vm="15127">
        <v>8675</v>
      </c>
      <c r="AS191" s="84" vm="13840">
        <v>0</v>
      </c>
      <c r="AT191" s="84" vm="14095">
        <v>8227</v>
      </c>
      <c r="AU191" s="84" vm="14338">
        <v>0</v>
      </c>
      <c r="AV191" s="84" vm="14584">
        <v>1393</v>
      </c>
      <c r="AW191" s="84" vm="14830">
        <v>19122</v>
      </c>
      <c r="AX191" s="84" vm="15128">
        <v>34359</v>
      </c>
      <c r="AY191" s="5">
        <f xml:space="preserve"> - SUM( VfM_Metrics_2023_Entity[[#This Row],[Interest capitalised]], VfM_Metrics_2023_Entity[[#This Row],[Interest payable and financing costs]] )</f>
        <v>49512</v>
      </c>
      <c r="AZ191" s="84" vm="15297">
        <v>-11860</v>
      </c>
      <c r="BA191" s="135" vm="15499">
        <v>-37652</v>
      </c>
      <c r="BB191" s="138">
        <f xml:space="preserve"> IFERROR( ( VfM_Metrics_2023_Entity[[#This Row],[Total Costs]] / VfM_Metrics_2023_Entity[[#This Row],[Total units for costs]] ) * 1000, "n/a" )</f>
        <v>5642.880886426592</v>
      </c>
      <c r="BC19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101854</v>
      </c>
      <c r="BD191" s="84" vm="15597">
        <v>23167</v>
      </c>
      <c r="BE191" s="84" vm="16925">
        <v>23886</v>
      </c>
      <c r="BF191" s="84" vm="17153">
        <v>22655</v>
      </c>
      <c r="BG191" s="84" vm="17389">
        <v>7259</v>
      </c>
      <c r="BH191" s="84" vm="16245">
        <v>768</v>
      </c>
      <c r="BI191" s="84" vm="16520">
        <v>2585</v>
      </c>
      <c r="BJ191" s="84" vm="16215">
        <v>19122</v>
      </c>
      <c r="BK191" s="84" vm="16926">
        <v>0</v>
      </c>
      <c r="BL191" s="84" vm="17390">
        <v>0</v>
      </c>
      <c r="BM191" s="84" vm="16246">
        <v>419</v>
      </c>
      <c r="BN191" s="84" vm="16521">
        <v>1993</v>
      </c>
      <c r="BO191" s="84" vm="17153">
        <v>0</v>
      </c>
      <c r="BP191" s="5" vm="17782">
        <f xml:space="preserve"> VfM_Metrics_2023_Entity[[#This Row],[Total social housing units owned and/or managed at period end]]</f>
        <v>18050</v>
      </c>
      <c r="BQ191" s="135" vm="17782">
        <v>18050</v>
      </c>
      <c r="BR191" s="134">
        <f xml:space="preserve"> IFERROR( VfM_Metrics_2023_Entity[[#This Row],[SHL operating surplus / (deficit)]] / VfM_Metrics_2023_Entity[[#This Row],[Turnover from social housing lettings]], "n/a" )</f>
        <v>0.16971813111807763</v>
      </c>
      <c r="BS191" s="5" vm="17861">
        <f xml:space="preserve"> VfM_Metrics_2023_Entity[[#This Row],[Operating surplus/(deficit) (social housing lettings)]]</f>
        <v>24741</v>
      </c>
      <c r="BT191" s="84" vm="17861">
        <v>24741</v>
      </c>
      <c r="BU191" s="5" vm="18075">
        <f xml:space="preserve"> VfM_Metrics_2023_Entity[[#This Row],[Turnover from social housing lettings]]</f>
        <v>145777</v>
      </c>
      <c r="BV191" s="135" vm="18075">
        <v>145777</v>
      </c>
      <c r="BW191" s="134">
        <f xml:space="preserve"> IFERROR( VfM_Metrics_2023_Entity[[#This Row],[Net operating surplus]] / VfM_Metrics_2023_Entity[[#This Row],[Overall turnover]], "n/a" )</f>
        <v>0.14581987305000568</v>
      </c>
      <c r="BX191" s="5">
        <f xml:space="preserve"> SUM( VfM_Metrics_2023_Entity[[#This Row],[Operating surplus/(deficit) (overall)2]], - VfM_Metrics_2023_Entity[[#This Row],[Gain/(loss) on disposal of fixed assets (housing properties)2]], - VfM_Metrics_2023_Entity[[#This Row],[Gain/(loss) on disposal of fixed assets (other)2]] )</f>
        <v>29566</v>
      </c>
      <c r="BY191" s="84" vm="18220">
        <v>38241</v>
      </c>
      <c r="BZ191" s="84" vm="15127">
        <v>8675</v>
      </c>
      <c r="CA191" s="84" vm="13840">
        <v>0</v>
      </c>
      <c r="CB191" s="5" vm="18391">
        <f xml:space="preserve"> VfM_Metrics_2023_Entity[[#This Row],[Turnover (overall)]]</f>
        <v>202757</v>
      </c>
      <c r="CC191" s="135" vm="18391">
        <v>202757</v>
      </c>
      <c r="CD191" s="134">
        <f xml:space="preserve"> IFERROR( VfM_Metrics_2023_Entity[[#This Row],[Operating surplus including from JVs]] / VfM_Metrics_2023_Entity[[#This Row],[Net assets]], "n/a" )</f>
        <v>1.5843206077268412E-2</v>
      </c>
      <c r="CE191" s="5">
        <f xml:space="preserve"> SUM( VfM_Metrics_2023_Entity[[#This Row],[Operating surplus/(deficit) (overall)3]], VfM_Metrics_2023_Entity[[#This Row],[Share of operating surplus/(deficit) in joint ventures or associates]] )</f>
        <v>38241</v>
      </c>
      <c r="CF191" s="84" vm="13458">
        <v>38241</v>
      </c>
      <c r="CG191" s="84" vm="18564">
        <v>0</v>
      </c>
      <c r="CH191" s="5" vm="18598">
        <f xml:space="preserve"> VfM_Metrics_2023_Entity[[#This Row],[Total assets less current liabilities]]</f>
        <v>2413716</v>
      </c>
      <c r="CI191" s="135" vm="18598">
        <v>2413716</v>
      </c>
      <c r="CJ191" s="140" vm="11318">
        <f xml:space="preserve"> VfM_Metrics_2023_Entity[[#This Row],[Total social housing units owned (Period end)]]</f>
        <v>18043</v>
      </c>
      <c r="CK191" s="141">
        <v>1.883969634842356E-2</v>
      </c>
      <c r="CL191" s="69">
        <f xml:space="preserve"> -- ( VfM_Metrics_2023_Entity[[#This Row],[% Supported housing (excl. HOP)]] &gt; 0.3 )</f>
        <v>0</v>
      </c>
      <c r="CM191" s="9">
        <v>7.9348368149830997E-2</v>
      </c>
      <c r="CN191" s="69">
        <f xml:space="preserve"> -- ( VfM_Metrics_2023_Entity[[#This Row],[% Housing for older people]] &gt; 0.3 )</f>
        <v>0</v>
      </c>
      <c r="CO191" s="9">
        <f xml:space="preserve"> VfM_Metrics_2023_Entity[[#This Row],[% Supported housing (excl. HOP)]] + VfM_Metrics_2023_Entity[[#This Row],[% Housing for older people]]</f>
        <v>9.8188064498254554E-2</v>
      </c>
      <c r="CP191" s="69">
        <f xml:space="preserve"> -- ( VfM_Metrics_2023_Entity[[#This Row],[SH specialist in RSH analysis]] + VfM_Metrics_2023_Entity[[#This Row],[OP specialist in RSH analysis]] &gt; 0 )</f>
        <v>0</v>
      </c>
      <c r="CQ191" s="142">
        <f xml:space="preserve"> -- ( VfM_Metrics_2023_Entity[[#This Row],[% SH and OP]] &gt; 0.3 )</f>
        <v>0</v>
      </c>
      <c r="CR191" s="143" t="s">
        <v>143</v>
      </c>
      <c r="CS191" s="120"/>
      <c r="CT191" s="144" t="s">
        <v>151</v>
      </c>
      <c r="CU19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91" s="146">
        <v>0.73707254891093499</v>
      </c>
      <c r="CW191" s="146">
        <v>1.7679986698442611E-2</v>
      </c>
      <c r="CX191" s="146">
        <v>0</v>
      </c>
      <c r="CY191" s="146">
        <v>0</v>
      </c>
      <c r="CZ191" s="146">
        <v>0</v>
      </c>
      <c r="DA191" s="146">
        <v>0.24524746439062239</v>
      </c>
      <c r="DB191" s="146">
        <v>0</v>
      </c>
      <c r="DC191" s="146">
        <v>0</v>
      </c>
      <c r="DD191" s="146">
        <v>0</v>
      </c>
      <c r="DE191" s="126">
        <v>1.1215888909235403</v>
      </c>
    </row>
    <row r="192" spans="1:109" x14ac:dyDescent="0.25">
      <c r="A192" s="4" t="s" vm="202">
        <v>460</v>
      </c>
      <c r="B192" s="4" t="s" vm="9299">
        <v>461</v>
      </c>
      <c r="C192" s="121" vm="18955">
        <v>45016</v>
      </c>
      <c r="D192" s="68">
        <f>IFERROR( VfM_Metrics_2023_Entity[[#This Row],[Reinvestment Spend]] / VfM_Metrics_2023_Entity[[#This Row],[Net Book Value of Housing Properties]], "n/a" )</f>
        <v>6.4695210449927432E-2</v>
      </c>
      <c r="E19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5349</v>
      </c>
      <c r="F192" s="84" vm="9409">
        <v>0</v>
      </c>
      <c r="G192" s="84" vm="10517">
        <v>1950</v>
      </c>
      <c r="H192" s="84" vm="10911">
        <v>3399</v>
      </c>
      <c r="I192" s="84" vm="10664">
        <v>0</v>
      </c>
      <c r="J192" s="84" vm="10508">
        <v>0</v>
      </c>
      <c r="K192" s="5">
        <f xml:space="preserve"> SUM( VfM_Metrics_2023_Entity[[#This Row],[Tangible fixed assets: Housing properties at cost (Current period)]],VfM_Metrics_2023_Entity[[#This Row],[Tangible fixed assets Housing properties at valuation (Current period)]] )</f>
        <v>82680</v>
      </c>
      <c r="L192" s="84" vm="10614">
        <v>82680</v>
      </c>
      <c r="M192" s="84" vm="10178">
        <v>0</v>
      </c>
      <c r="N192" s="134">
        <f xml:space="preserve"> IFERROR( VfM_Metrics_2023_Entity[[#This Row],[Total social units developed or newly built units acquired in-year]] / VfM_Metrics_2023_Entity[[#This Row],[Social housing units owned (period end)]], "n/a" )</f>
        <v>2.858776443682104E-3</v>
      </c>
      <c r="O192" s="5">
        <f xml:space="preserve"> SUM( VfM_Metrics_2023_Entity[[#This Row],[Total social units developed or newly built units acquired in-year (owned)]], VfM_Metrics_2023_Entity[[#This Row],[Total social leasehold units developed or newly built units acquired in-year (owned)]] )</f>
        <v>5</v>
      </c>
      <c r="P192" s="84" vm="11025">
        <v>5</v>
      </c>
      <c r="Q192" s="84" vm="11124">
        <v>0</v>
      </c>
      <c r="R192" s="5">
        <f xml:space="preserve"> SUM( VfM_Metrics_2023_Entity[[#This Row],[Total social housing units owned (Period end)]], VfM_Metrics_2023_Entity[[#This Row],[Total social leasehold units owned (Period end)]] )</f>
        <v>1749</v>
      </c>
      <c r="S192" s="84" vm="11358">
        <v>1749</v>
      </c>
      <c r="T192" s="135" vm="11447">
        <v>0</v>
      </c>
      <c r="U192" s="136">
        <f xml:space="preserve"> IFERROR( VfM_Metrics_2023_Entity[[#This Row],[Total non-social housing units developed or newly built units acquired (owned)]] / VfM_Metrics_2023_Entity[[#This Row],[Total social and non-social housing units owned (Period end)]], "n/a" )</f>
        <v>0</v>
      </c>
      <c r="V19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92" s="84" vm="11603">
        <v>0</v>
      </c>
      <c r="X192" s="84" vm="11736">
        <v>0</v>
      </c>
      <c r="Y192" s="84" vm="11770">
        <v>0</v>
      </c>
      <c r="Z19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2399</v>
      </c>
      <c r="AA192" s="84" vm="12016">
        <v>1749</v>
      </c>
      <c r="AB192" s="84" vm="12212">
        <v>0</v>
      </c>
      <c r="AC192" s="84" vm="12150">
        <v>0</v>
      </c>
      <c r="AD192" s="135" vm="12305">
        <v>650</v>
      </c>
      <c r="AE192" s="134">
        <f xml:space="preserve"> IFERROR( VfM_Metrics_2023_Entity[[#This Row],[Total Net Debt]] / VfM_Metrics_2023_Entity[[#This Row],[Net Book Value of Housing Properties2]], "n/a" )</f>
        <v>-0.19456942428640542</v>
      </c>
      <c r="AF19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-16087</v>
      </c>
      <c r="AG192" s="84" vm="12600">
        <v>0</v>
      </c>
      <c r="AH192" s="84" vm="12805">
        <v>0</v>
      </c>
      <c r="AI192" s="84" vm="12998">
        <v>16087</v>
      </c>
      <c r="AJ192" s="84" vm="13084">
        <v>0</v>
      </c>
      <c r="AK192" s="84" vm="13170">
        <v>0</v>
      </c>
      <c r="AL192" s="5">
        <f xml:space="preserve"> SUM( VfM_Metrics_2023_Entity[[#This Row],[Tangible fixed assets: Housing properties at cost (Current period)2]], VfM_Metrics_2023_Entity[[#This Row],[Tangible fixed assets Housing properties at valuation (Current period)2]] )</f>
        <v>82680</v>
      </c>
      <c r="AM192" s="84" vm="10039">
        <v>82680</v>
      </c>
      <c r="AN192" s="135" vm="10178">
        <v>0</v>
      </c>
      <c r="AO192" s="137">
        <f xml:space="preserve"> IFERROR( VfM_Metrics_2023_Entity[[#This Row],[EBITDA MRI]] / VfM_Metrics_2023_Entity[[#This Row],[Total interest]], "n/a" )</f>
        <v>-37.616113744075832</v>
      </c>
      <c r="AP19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-7937</v>
      </c>
      <c r="AQ192" s="84" vm="13491">
        <v>-2719</v>
      </c>
      <c r="AR192" s="84" vm="13841">
        <v>389</v>
      </c>
      <c r="AS192" s="84" vm="14096">
        <v>0</v>
      </c>
      <c r="AT192" s="84" vm="14339">
        <v>1644</v>
      </c>
      <c r="AU192" s="84" vm="14585">
        <v>4445</v>
      </c>
      <c r="AV192" s="84" vm="14831">
        <v>144</v>
      </c>
      <c r="AW192" s="84" vm="15129">
        <v>3400</v>
      </c>
      <c r="AX192" s="84" vm="13842">
        <v>4516</v>
      </c>
      <c r="AY192" s="5">
        <f xml:space="preserve"> - SUM( VfM_Metrics_2023_Entity[[#This Row],[Interest capitalised]], VfM_Metrics_2023_Entity[[#This Row],[Interest payable and financing costs]] )</f>
        <v>211</v>
      </c>
      <c r="AZ192" s="84" vm="15179">
        <v>0</v>
      </c>
      <c r="BA192" s="135" vm="15340">
        <v>-211</v>
      </c>
      <c r="BB192" s="138">
        <f xml:space="preserve"> IFERROR( ( VfM_Metrics_2023_Entity[[#This Row],[Total Costs]] / VfM_Metrics_2023_Entity[[#This Row],[Total units for costs]] ) * 1000, "n/a" )</f>
        <v>25629.585798816566</v>
      </c>
      <c r="BC19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64971</v>
      </c>
      <c r="BD192" s="84" vm="16216">
        <v>9766</v>
      </c>
      <c r="BE192" s="84" vm="16927">
        <v>16051</v>
      </c>
      <c r="BF192" s="84" vm="17154">
        <v>3365</v>
      </c>
      <c r="BG192" s="84" vm="17391">
        <v>1010</v>
      </c>
      <c r="BH192" s="84" vm="16248">
        <v>0</v>
      </c>
      <c r="BI192" s="84" vm="16522">
        <v>6142</v>
      </c>
      <c r="BJ192" s="84" vm="16217">
        <v>3400</v>
      </c>
      <c r="BK192" s="84" vm="16928">
        <v>810</v>
      </c>
      <c r="BL192" s="84" vm="17392">
        <v>0</v>
      </c>
      <c r="BM192" s="84" vm="16249">
        <v>0</v>
      </c>
      <c r="BN192" s="84" vm="16523">
        <v>0</v>
      </c>
      <c r="BO192" s="84" vm="17155">
        <v>24427</v>
      </c>
      <c r="BP192" s="5" vm="17645">
        <f xml:space="preserve"> VfM_Metrics_2023_Entity[[#This Row],[Total social housing units owned and/or managed at period end]]</f>
        <v>2535</v>
      </c>
      <c r="BQ192" s="135" vm="17645">
        <v>2535</v>
      </c>
      <c r="BR192" s="134">
        <f xml:space="preserve"> IFERROR( VfM_Metrics_2023_Entity[[#This Row],[SHL operating surplus / (deficit)]] / VfM_Metrics_2023_Entity[[#This Row],[Turnover from social housing lettings]], "n/a" )</f>
        <v>-4.6824134132909069E-2</v>
      </c>
      <c r="BS192" s="5" vm="17899">
        <f xml:space="preserve"> VfM_Metrics_2023_Entity[[#This Row],[Operating surplus/(deficit) (social housing lettings)]]</f>
        <v>-1913</v>
      </c>
      <c r="BT192" s="84" vm="17899">
        <v>-1913</v>
      </c>
      <c r="BU192" s="5" vm="18098">
        <f xml:space="preserve"> VfM_Metrics_2023_Entity[[#This Row],[Turnover from social housing lettings]]</f>
        <v>40855</v>
      </c>
      <c r="BV192" s="135" vm="18098">
        <v>40855</v>
      </c>
      <c r="BW192" s="134">
        <f xml:space="preserve"> IFERROR( VfM_Metrics_2023_Entity[[#This Row],[Net operating surplus]] / VfM_Metrics_2023_Entity[[#This Row],[Overall turnover]], "n/a" )</f>
        <v>-2.5284943743440803E-2</v>
      </c>
      <c r="BX192" s="5">
        <f xml:space="preserve"> SUM( VfM_Metrics_2023_Entity[[#This Row],[Operating surplus/(deficit) (overall)2]], - VfM_Metrics_2023_Entity[[#This Row],[Gain/(loss) on disposal of fixed assets (housing properties)2]], - VfM_Metrics_2023_Entity[[#This Row],[Gain/(loss) on disposal of fixed assets (other)2]] )</f>
        <v>-3108</v>
      </c>
      <c r="BY192" s="84" vm="13491">
        <v>-2719</v>
      </c>
      <c r="BZ192" s="84" vm="13841">
        <v>389</v>
      </c>
      <c r="CA192" s="84" vm="14096">
        <v>0</v>
      </c>
      <c r="CB192" s="5" vm="18415">
        <f xml:space="preserve"> VfM_Metrics_2023_Entity[[#This Row],[Turnover (overall)]]</f>
        <v>122919</v>
      </c>
      <c r="CC192" s="135" vm="18415">
        <v>122919</v>
      </c>
      <c r="CD192" s="134">
        <f xml:space="preserve"> IFERROR( VfM_Metrics_2023_Entity[[#This Row],[Operating surplus including from JVs]] / VfM_Metrics_2023_Entity[[#This Row],[Net assets]], "n/a" )</f>
        <v>-2.8558224537596235E-2</v>
      </c>
      <c r="CE192" s="5">
        <f xml:space="preserve"> SUM( VfM_Metrics_2023_Entity[[#This Row],[Operating surplus/(deficit) (overall)3]], VfM_Metrics_2023_Entity[[#This Row],[Share of operating surplus/(deficit) in joint ventures or associates]] )</f>
        <v>-2719</v>
      </c>
      <c r="CF192" s="84" vm="13491">
        <v>-2719</v>
      </c>
      <c r="CG192" s="84" vm="18463">
        <v>0</v>
      </c>
      <c r="CH192" s="5" vm="18635">
        <f xml:space="preserve"> VfM_Metrics_2023_Entity[[#This Row],[Total assets less current liabilities]]</f>
        <v>95209</v>
      </c>
      <c r="CI192" s="135" vm="18635">
        <v>95209</v>
      </c>
      <c r="CJ192" s="140" vm="11358">
        <f xml:space="preserve"> VfM_Metrics_2023_Entity[[#This Row],[Total social housing units owned (Period end)]]</f>
        <v>1749</v>
      </c>
      <c r="CK192" s="141">
        <v>0.82561463693539161</v>
      </c>
      <c r="CL192" s="69">
        <f xml:space="preserve"> -- ( VfM_Metrics_2023_Entity[[#This Row],[% Supported housing (excl. HOP)]] &gt; 0.3 )</f>
        <v>1</v>
      </c>
      <c r="CM192" s="9">
        <v>0</v>
      </c>
      <c r="CN192" s="69">
        <f xml:space="preserve"> -- ( VfM_Metrics_2023_Entity[[#This Row],[% Housing for older people]] &gt; 0.3 )</f>
        <v>0</v>
      </c>
      <c r="CO192" s="9">
        <f xml:space="preserve"> VfM_Metrics_2023_Entity[[#This Row],[% Supported housing (excl. HOP)]] + VfM_Metrics_2023_Entity[[#This Row],[% Housing for older people]]</f>
        <v>0.82561463693539161</v>
      </c>
      <c r="CP192" s="69">
        <f xml:space="preserve"> -- ( VfM_Metrics_2023_Entity[[#This Row],[SH specialist in RSH analysis]] + VfM_Metrics_2023_Entity[[#This Row],[OP specialist in RSH analysis]] &gt; 0 )</f>
        <v>1</v>
      </c>
      <c r="CQ192" s="142">
        <f xml:space="preserve"> -- ( VfM_Metrics_2023_Entity[[#This Row],[% SH and OP]] &gt; 0.3 )</f>
        <v>1</v>
      </c>
      <c r="CR192" s="143" t="s">
        <v>143</v>
      </c>
      <c r="CS192" s="120"/>
      <c r="CT192" s="144" t="s">
        <v>144</v>
      </c>
      <c r="CU19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92" s="146">
        <v>0.88193624557260919</v>
      </c>
      <c r="CW192" s="146">
        <v>5.5489964580873671E-2</v>
      </c>
      <c r="CX192" s="146">
        <v>5.9622195985832349E-2</v>
      </c>
      <c r="CY192" s="146">
        <v>0</v>
      </c>
      <c r="CZ192" s="146">
        <v>0</v>
      </c>
      <c r="DA192" s="146">
        <v>2.9515938606847697E-3</v>
      </c>
      <c r="DB192" s="146">
        <v>0</v>
      </c>
      <c r="DC192" s="146">
        <v>0</v>
      </c>
      <c r="DD192" s="146">
        <v>0</v>
      </c>
      <c r="DE192" s="126">
        <v>1.141856965798447</v>
      </c>
    </row>
    <row r="193" spans="1:109" x14ac:dyDescent="0.25">
      <c r="A193" s="4" t="s" vm="9255">
        <v>626</v>
      </c>
      <c r="B193" s="4" t="s" vm="9276">
        <v>627</v>
      </c>
      <c r="C193" s="121" vm="18798">
        <v>45016</v>
      </c>
      <c r="D193" s="68">
        <f>IFERROR( VfM_Metrics_2023_Entity[[#This Row],[Reinvestment Spend]] / VfM_Metrics_2023_Entity[[#This Row],[Net Book Value of Housing Properties]], "n/a" )</f>
        <v>8.9100332393389936E-2</v>
      </c>
      <c r="E19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5656</v>
      </c>
      <c r="F193" s="84" vm="10649">
        <v>521</v>
      </c>
      <c r="G193" s="84" vm="9526">
        <v>0</v>
      </c>
      <c r="H193" s="84" vm="9583">
        <v>5112</v>
      </c>
      <c r="I193" s="84" vm="9555">
        <v>23</v>
      </c>
      <c r="J193" s="84" vm="10344">
        <v>0</v>
      </c>
      <c r="K193" s="5">
        <f xml:space="preserve"> SUM( VfM_Metrics_2023_Entity[[#This Row],[Tangible fixed assets: Housing properties at cost (Current period)]],VfM_Metrics_2023_Entity[[#This Row],[Tangible fixed assets Housing properties at valuation (Current period)]] )</f>
        <v>63479</v>
      </c>
      <c r="L193" s="84" vm="10516">
        <v>63479</v>
      </c>
      <c r="M193" s="84">
        <v>0</v>
      </c>
      <c r="N193" s="134">
        <f xml:space="preserve"> IFERROR( VfM_Metrics_2023_Entity[[#This Row],[Total social units developed or newly built units acquired in-year]] / VfM_Metrics_2023_Entity[[#This Row],[Social housing units owned (period end)]], "n/a" )</f>
        <v>3.885003885003885E-3</v>
      </c>
      <c r="O193" s="5">
        <f xml:space="preserve"> SUM( VfM_Metrics_2023_Entity[[#This Row],[Total social units developed or newly built units acquired in-year (owned)]], VfM_Metrics_2023_Entity[[#This Row],[Total social leasehold units developed or newly built units acquired in-year (owned)]] )</f>
        <v>5</v>
      </c>
      <c r="P193" s="84" vm="10981">
        <v>5</v>
      </c>
      <c r="Q193" s="84">
        <v>0</v>
      </c>
      <c r="R193" s="5">
        <f xml:space="preserve"> SUM( VfM_Metrics_2023_Entity[[#This Row],[Total social housing units owned (Period end)]], VfM_Metrics_2023_Entity[[#This Row],[Total social leasehold units owned (Period end)]] )</f>
        <v>1287</v>
      </c>
      <c r="S193" s="84" vm="11279">
        <v>1287</v>
      </c>
      <c r="T193" s="135" vm="11519">
        <v>0</v>
      </c>
      <c r="U193" s="136">
        <f xml:space="preserve"> IFERROR( VfM_Metrics_2023_Entity[[#This Row],[Total non-social housing units developed or newly built units acquired (owned)]] / VfM_Metrics_2023_Entity[[#This Row],[Total social and non-social housing units owned (Period end)]], "n/a" )</f>
        <v>0</v>
      </c>
      <c r="V19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93" s="84">
        <v>0</v>
      </c>
      <c r="X193" s="84">
        <v>0</v>
      </c>
      <c r="Y193" s="84">
        <v>0</v>
      </c>
      <c r="Z19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1287</v>
      </c>
      <c r="AA193" s="84" vm="11976">
        <v>1287</v>
      </c>
      <c r="AB193" s="84" vm="11530">
        <v>0</v>
      </c>
      <c r="AC193" s="84" vm="12398">
        <v>0</v>
      </c>
      <c r="AD193" s="135" vm="12533">
        <v>0</v>
      </c>
      <c r="AE193" s="134">
        <f xml:space="preserve"> IFERROR( VfM_Metrics_2023_Entity[[#This Row],[Total Net Debt]] / VfM_Metrics_2023_Entity[[#This Row],[Net Book Value of Housing Properties2]], "n/a" )</f>
        <v>0.80585705508908456</v>
      </c>
      <c r="AF19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51155</v>
      </c>
      <c r="AG193" s="84" vm="12626">
        <v>144</v>
      </c>
      <c r="AH193" s="84" vm="13252">
        <v>77767</v>
      </c>
      <c r="AI193" s="84" vm="13349">
        <v>26756</v>
      </c>
      <c r="AJ193" s="84">
        <v>0</v>
      </c>
      <c r="AK193" s="84">
        <v>0</v>
      </c>
      <c r="AL193" s="5">
        <f xml:space="preserve"> SUM( VfM_Metrics_2023_Entity[[#This Row],[Tangible fixed assets: Housing properties at cost (Current period)2]], VfM_Metrics_2023_Entity[[#This Row],[Tangible fixed assets Housing properties at valuation (Current period)2]] )</f>
        <v>63479</v>
      </c>
      <c r="AM193" s="84" vm="10021">
        <v>63479</v>
      </c>
      <c r="AN193" s="135">
        <v>0</v>
      </c>
      <c r="AO193" s="137">
        <f xml:space="preserve"> IFERROR( VfM_Metrics_2023_Entity[[#This Row],[EBITDA MRI]] / VfM_Metrics_2023_Entity[[#This Row],[Total interest]], "n/a" )</f>
        <v>-0.20150053590568059</v>
      </c>
      <c r="AP19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-564</v>
      </c>
      <c r="AQ193" s="84" vm="13529">
        <v>1919</v>
      </c>
      <c r="AR193" s="84" vm="14097">
        <v>164</v>
      </c>
      <c r="AS193" s="84">
        <v>0</v>
      </c>
      <c r="AT193" s="84" vm="14586">
        <v>181</v>
      </c>
      <c r="AU193" s="84" vm="14832">
        <v>0</v>
      </c>
      <c r="AV193" s="84" vm="15073">
        <v>1610</v>
      </c>
      <c r="AW193" s="84" vm="13843">
        <v>5135</v>
      </c>
      <c r="AX193" s="84" vm="14098">
        <v>1387</v>
      </c>
      <c r="AY193" s="5">
        <f xml:space="preserve"> - SUM( VfM_Metrics_2023_Entity[[#This Row],[Interest capitalised]], VfM_Metrics_2023_Entity[[#This Row],[Interest payable and financing costs]] )</f>
        <v>2799</v>
      </c>
      <c r="AZ193" s="84" vm="15206">
        <v>-23</v>
      </c>
      <c r="BA193" s="135" vm="15374">
        <v>-2776</v>
      </c>
      <c r="BB193" s="138">
        <f xml:space="preserve"> IFERROR( ( VfM_Metrics_2023_Entity[[#This Row],[Total Costs]] / VfM_Metrics_2023_Entity[[#This Row],[Total units for costs]] ) * 1000, "n/a" )</f>
        <v>8002.9917726252806</v>
      </c>
      <c r="BC19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10700</v>
      </c>
      <c r="BD193" s="84" vm="15547">
        <v>1458</v>
      </c>
      <c r="BE193" s="84" vm="16929">
        <v>1290</v>
      </c>
      <c r="BF193" s="84" vm="17156">
        <v>1406</v>
      </c>
      <c r="BG193" s="84" vm="17393">
        <v>249</v>
      </c>
      <c r="BH193" s="84" vm="16251">
        <v>1162</v>
      </c>
      <c r="BI193" s="84" vm="16524">
        <v>0</v>
      </c>
      <c r="BJ193" s="84" vm="15568">
        <v>5135</v>
      </c>
      <c r="BK193" s="84" vm="16930">
        <v>0</v>
      </c>
      <c r="BL193" s="84">
        <v>0</v>
      </c>
      <c r="BM193" s="84">
        <v>0</v>
      </c>
      <c r="BN193" s="84">
        <v>0</v>
      </c>
      <c r="BO193" s="84">
        <v>0</v>
      </c>
      <c r="BP193" s="5" vm="17682">
        <f xml:space="preserve"> VfM_Metrics_2023_Entity[[#This Row],[Total social housing units owned and/or managed at period end]]</f>
        <v>1337</v>
      </c>
      <c r="BQ193" s="135" vm="17682">
        <v>1337</v>
      </c>
      <c r="BR193" s="134">
        <f xml:space="preserve"> IFERROR( VfM_Metrics_2023_Entity[[#This Row],[SHL operating surplus / (deficit)]] / VfM_Metrics_2023_Entity[[#This Row],[Turnover from social housing lettings]], "n/a" )</f>
        <v>-0.10878334417696812</v>
      </c>
      <c r="BS193" s="5" vm="17936">
        <f xml:space="preserve"> VfM_Metrics_2023_Entity[[#This Row],[Operating surplus/(deficit) (social housing lettings)]]</f>
        <v>-836</v>
      </c>
      <c r="BT193" s="84" vm="17936">
        <v>-836</v>
      </c>
      <c r="BU193" s="5" vm="18130">
        <f xml:space="preserve"> VfM_Metrics_2023_Entity[[#This Row],[Turnover from social housing lettings]]</f>
        <v>7685</v>
      </c>
      <c r="BV193" s="135" vm="18130">
        <v>7685</v>
      </c>
      <c r="BW193" s="134">
        <f xml:space="preserve"> IFERROR( VfM_Metrics_2023_Entity[[#This Row],[Net operating surplus]] / VfM_Metrics_2023_Entity[[#This Row],[Overall turnover]], "n/a" )</f>
        <v>0.17078629817049434</v>
      </c>
      <c r="BX193" s="5">
        <f xml:space="preserve"> SUM( VfM_Metrics_2023_Entity[[#This Row],[Operating surplus/(deficit) (overall)2]], - VfM_Metrics_2023_Entity[[#This Row],[Gain/(loss) on disposal of fixed assets (housing properties)2]], - VfM_Metrics_2023_Entity[[#This Row],[Gain/(loss) on disposal of fixed assets (other)2]] )</f>
        <v>1755</v>
      </c>
      <c r="BY193" s="84" vm="13529">
        <v>1919</v>
      </c>
      <c r="BZ193" s="84" vm="14097">
        <v>164</v>
      </c>
      <c r="CA193" s="84">
        <v>0</v>
      </c>
      <c r="CB193" s="5" vm="18287">
        <f xml:space="preserve"> VfM_Metrics_2023_Entity[[#This Row],[Turnover (overall)]]</f>
        <v>10276</v>
      </c>
      <c r="CC193" s="135" vm="18287">
        <v>10276</v>
      </c>
      <c r="CD193" s="134">
        <f xml:space="preserve"> IFERROR( VfM_Metrics_2023_Entity[[#This Row],[Operating surplus including from JVs]] / VfM_Metrics_2023_Entity[[#This Row],[Net assets]], "n/a" )</f>
        <v>1.8572285775119525E-2</v>
      </c>
      <c r="CE193" s="5">
        <f xml:space="preserve"> SUM( VfM_Metrics_2023_Entity[[#This Row],[Operating surplus/(deficit) (overall)3]], VfM_Metrics_2023_Entity[[#This Row],[Share of operating surplus/(deficit) in joint ventures or associates]] )</f>
        <v>1919</v>
      </c>
      <c r="CF193" s="84" vm="13529">
        <v>1919</v>
      </c>
      <c r="CG193" s="84">
        <v>0</v>
      </c>
      <c r="CH193" s="5" vm="18673">
        <f xml:space="preserve"> VfM_Metrics_2023_Entity[[#This Row],[Total assets less current liabilities]]</f>
        <v>103326</v>
      </c>
      <c r="CI193" s="135" vm="18673">
        <v>103326</v>
      </c>
      <c r="CJ193" s="140" vm="11279">
        <f xml:space="preserve"> VfM_Metrics_2023_Entity[[#This Row],[Total social housing units owned (Period end)]]</f>
        <v>1287</v>
      </c>
      <c r="CK193" s="141">
        <v>6.2111801242236021E-3</v>
      </c>
      <c r="CL193" s="69">
        <f xml:space="preserve"> -- ( VfM_Metrics_2023_Entity[[#This Row],[% Supported housing (excl. HOP)]] &gt; 0.3 )</f>
        <v>0</v>
      </c>
      <c r="CM193" s="9">
        <v>0.10326086956521739</v>
      </c>
      <c r="CN193" s="69">
        <f xml:space="preserve"> -- ( VfM_Metrics_2023_Entity[[#This Row],[% Housing for older people]] &gt; 0.3 )</f>
        <v>0</v>
      </c>
      <c r="CO193" s="9">
        <f xml:space="preserve"> VfM_Metrics_2023_Entity[[#This Row],[% Supported housing (excl. HOP)]] + VfM_Metrics_2023_Entity[[#This Row],[% Housing for older people]]</f>
        <v>0.10947204968944099</v>
      </c>
      <c r="CP193" s="69">
        <f xml:space="preserve"> -- ( VfM_Metrics_2023_Entity[[#This Row],[SH specialist in RSH analysis]] + VfM_Metrics_2023_Entity[[#This Row],[OP specialist in RSH analysis]] &gt; 0 )</f>
        <v>0</v>
      </c>
      <c r="CQ193" s="142">
        <f xml:space="preserve"> -- ( VfM_Metrics_2023_Entity[[#This Row],[% SH and OP]] &gt; 0.3 )</f>
        <v>0</v>
      </c>
      <c r="CR193" s="143" t="s">
        <v>143</v>
      </c>
      <c r="CS193" s="120"/>
      <c r="CT193" s="144" t="s">
        <v>144</v>
      </c>
      <c r="CU19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93" s="146">
        <v>0</v>
      </c>
      <c r="CW193" s="146">
        <v>0.11888111888111888</v>
      </c>
      <c r="CX193" s="146">
        <v>0.57031857031857036</v>
      </c>
      <c r="CY193" s="146">
        <v>0.21678321678321677</v>
      </c>
      <c r="CZ193" s="146">
        <v>1.6317016317016316E-2</v>
      </c>
      <c r="DA193" s="146">
        <v>7.7700077700077697E-2</v>
      </c>
      <c r="DB193" s="146">
        <v>0</v>
      </c>
      <c r="DC193" s="146">
        <v>0</v>
      </c>
      <c r="DD193" s="146">
        <v>0</v>
      </c>
      <c r="DE193" s="126">
        <v>0.97762242846797598</v>
      </c>
    </row>
    <row r="194" spans="1:109" x14ac:dyDescent="0.25">
      <c r="A194" s="4" t="s" vm="261">
        <v>462</v>
      </c>
      <c r="B194" s="4" t="s" vm="9320">
        <v>463</v>
      </c>
      <c r="C194" s="121" vm="18957">
        <v>45016</v>
      </c>
      <c r="D194" s="68">
        <f>IFERROR( VfM_Metrics_2023_Entity[[#This Row],[Reinvestment Spend]] / VfM_Metrics_2023_Entity[[#This Row],[Net Book Value of Housing Properties]], "n/a" )</f>
        <v>9.4563911956940444E-2</v>
      </c>
      <c r="E19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225111</v>
      </c>
      <c r="F194" s="84" vm="9424">
        <v>198123</v>
      </c>
      <c r="G194" s="84" vm="9778">
        <v>0</v>
      </c>
      <c r="H194" s="84" vm="10634">
        <v>21504</v>
      </c>
      <c r="I194" s="84" vm="9584">
        <v>5484</v>
      </c>
      <c r="J194" s="84" vm="9641">
        <v>0</v>
      </c>
      <c r="K194" s="5">
        <f xml:space="preserve"> SUM( VfM_Metrics_2023_Entity[[#This Row],[Tangible fixed assets: Housing properties at cost (Current period)]],VfM_Metrics_2023_Entity[[#This Row],[Tangible fixed assets Housing properties at valuation (Current period)]] )</f>
        <v>2380517</v>
      </c>
      <c r="L194" s="84" vm="9931">
        <v>2380517</v>
      </c>
      <c r="M194" s="84" vm="10712">
        <v>0</v>
      </c>
      <c r="N194" s="134">
        <f xml:space="preserve"> IFERROR( VfM_Metrics_2023_Entity[[#This Row],[Total social units developed or newly built units acquired in-year]] / VfM_Metrics_2023_Entity[[#This Row],[Social housing units owned (period end)]], "n/a" )</f>
        <v>4.2081273672722602E-2</v>
      </c>
      <c r="O194" s="5">
        <f xml:space="preserve"> SUM( VfM_Metrics_2023_Entity[[#This Row],[Total social units developed or newly built units acquired in-year (owned)]], VfM_Metrics_2023_Entity[[#This Row],[Total social leasehold units developed or newly built units acquired in-year (owned)]] )</f>
        <v>1311</v>
      </c>
      <c r="P194" s="84" vm="11034">
        <v>1311</v>
      </c>
      <c r="Q194" s="84" vm="11164">
        <v>0</v>
      </c>
      <c r="R194" s="5">
        <f xml:space="preserve"> SUM( VfM_Metrics_2023_Entity[[#This Row],[Total social housing units owned (Period end)]], VfM_Metrics_2023_Entity[[#This Row],[Total social leasehold units owned (Period end)]] )</f>
        <v>31154</v>
      </c>
      <c r="S194" s="84" vm="11329">
        <v>31154</v>
      </c>
      <c r="T194" s="135" vm="11547">
        <v>0</v>
      </c>
      <c r="U194" s="136">
        <f xml:space="preserve"> IFERROR( VfM_Metrics_2023_Entity[[#This Row],[Total non-social housing units developed or newly built units acquired (owned)]] / VfM_Metrics_2023_Entity[[#This Row],[Total social and non-social housing units owned (Period end)]], "n/a" )</f>
        <v>0</v>
      </c>
      <c r="V19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94" s="84" vm="11644">
        <v>0</v>
      </c>
      <c r="X194" s="84" vm="11899">
        <v>0</v>
      </c>
      <c r="Y194" s="84">
        <v>0</v>
      </c>
      <c r="Z19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31154</v>
      </c>
      <c r="AA194" s="84" vm="12009">
        <v>31154</v>
      </c>
      <c r="AB194" s="84" vm="12212">
        <v>0</v>
      </c>
      <c r="AC194" s="84" vm="12151">
        <v>0</v>
      </c>
      <c r="AD194" s="135" vm="12306">
        <v>0</v>
      </c>
      <c r="AE194" s="134">
        <f xml:space="preserve"> IFERROR( VfM_Metrics_2023_Entity[[#This Row],[Total Net Debt]] / VfM_Metrics_2023_Entity[[#This Row],[Net Book Value of Housing Properties2]], "n/a" )</f>
        <v>0.53024658088978149</v>
      </c>
      <c r="AF19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1262261</v>
      </c>
      <c r="AG194" s="84" vm="12650">
        <v>15073</v>
      </c>
      <c r="AH194" s="84" vm="13057">
        <v>611500</v>
      </c>
      <c r="AI194" s="84" vm="13144">
        <v>30836</v>
      </c>
      <c r="AJ194" s="84" vm="13227">
        <v>666524</v>
      </c>
      <c r="AK194" s="84" vm="13314">
        <v>0</v>
      </c>
      <c r="AL194" s="5">
        <f xml:space="preserve"> SUM( VfM_Metrics_2023_Entity[[#This Row],[Tangible fixed assets: Housing properties at cost (Current period)2]], VfM_Metrics_2023_Entity[[#This Row],[Tangible fixed assets Housing properties at valuation (Current period)2]] )</f>
        <v>2380517</v>
      </c>
      <c r="AM194" s="84" vm="13379">
        <v>2380517</v>
      </c>
      <c r="AN194" s="135" vm="13410">
        <v>0</v>
      </c>
      <c r="AO194" s="137">
        <f xml:space="preserve"> IFERROR( VfM_Metrics_2023_Entity[[#This Row],[EBITDA MRI]] / VfM_Metrics_2023_Entity[[#This Row],[Total interest]], "n/a" )</f>
        <v>1.2261503436802241</v>
      </c>
      <c r="AP19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56013</v>
      </c>
      <c r="AQ194" s="84" vm="13557">
        <v>66601</v>
      </c>
      <c r="AR194" s="84" vm="14340">
        <v>14045</v>
      </c>
      <c r="AS194" s="84">
        <v>0</v>
      </c>
      <c r="AT194" s="84" vm="14833">
        <v>7103</v>
      </c>
      <c r="AU194" s="84" vm="15074">
        <v>0</v>
      </c>
      <c r="AV194" s="84" vm="13844">
        <v>518</v>
      </c>
      <c r="AW194" s="84" vm="14099">
        <v>26988</v>
      </c>
      <c r="AX194" s="84" vm="14341">
        <v>37030</v>
      </c>
      <c r="AY194" s="5">
        <f xml:space="preserve"> - SUM( VfM_Metrics_2023_Entity[[#This Row],[Interest capitalised]], VfM_Metrics_2023_Entity[[#This Row],[Interest payable and financing costs]] )</f>
        <v>45682</v>
      </c>
      <c r="AZ194" s="84" vm="15233">
        <v>-5484</v>
      </c>
      <c r="BA194" s="135" vm="15403">
        <v>-40198</v>
      </c>
      <c r="BB194" s="138">
        <f xml:space="preserve"> IFERROR( ( VfM_Metrics_2023_Entity[[#This Row],[Total Costs]] / VfM_Metrics_2023_Entity[[#This Row],[Total units for costs]] ) * 1000, "n/a" )</f>
        <v>3923.4555957089606</v>
      </c>
      <c r="BC19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137882</v>
      </c>
      <c r="BD194" s="84" vm="16218">
        <v>40517</v>
      </c>
      <c r="BE194" s="84" vm="16931">
        <v>23404</v>
      </c>
      <c r="BF194" s="84" vm="17157">
        <v>30975</v>
      </c>
      <c r="BG194" s="84" vm="17394">
        <v>6639</v>
      </c>
      <c r="BH194" s="84" vm="16253">
        <v>8599</v>
      </c>
      <c r="BI194" s="84" vm="16525">
        <v>0</v>
      </c>
      <c r="BJ194" s="84" vm="16220">
        <v>26988</v>
      </c>
      <c r="BK194" s="84" vm="16932">
        <v>0</v>
      </c>
      <c r="BL194" s="84" vm="17395">
        <v>760</v>
      </c>
      <c r="BM194" s="84">
        <v>0</v>
      </c>
      <c r="BN194" s="84">
        <v>0</v>
      </c>
      <c r="BO194" s="84">
        <v>0</v>
      </c>
      <c r="BP194" s="5" vm="17815">
        <f xml:space="preserve"> VfM_Metrics_2023_Entity[[#This Row],[Total social housing units owned and/or managed at period end]]</f>
        <v>35143</v>
      </c>
      <c r="BQ194" s="135" vm="17815">
        <v>35143</v>
      </c>
      <c r="BR194" s="134">
        <f xml:space="preserve"> IFERROR( VfM_Metrics_2023_Entity[[#This Row],[SHL operating surplus / (deficit)]] / VfM_Metrics_2023_Entity[[#This Row],[Turnover from social housing lettings]], "n/a" )</f>
        <v>0.24445268715035542</v>
      </c>
      <c r="BS194" s="5" vm="17974">
        <f xml:space="preserve"> VfM_Metrics_2023_Entity[[#This Row],[Operating surplus/(deficit) (social housing lettings)]]</f>
        <v>48110</v>
      </c>
      <c r="BT194" s="84" vm="17974">
        <v>48110</v>
      </c>
      <c r="BU194" s="5" vm="18149">
        <f xml:space="preserve"> VfM_Metrics_2023_Entity[[#This Row],[Turnover from social housing lettings]]</f>
        <v>196807</v>
      </c>
      <c r="BV194" s="135" vm="18149">
        <v>196807</v>
      </c>
      <c r="BW194" s="134">
        <f xml:space="preserve"> IFERROR( VfM_Metrics_2023_Entity[[#This Row],[Net operating surplus]] / VfM_Metrics_2023_Entity[[#This Row],[Overall turnover]], "n/a" )</f>
        <v>0.2275762325819051</v>
      </c>
      <c r="BX194" s="5">
        <f xml:space="preserve"> SUM( VfM_Metrics_2023_Entity[[#This Row],[Operating surplus/(deficit) (overall)2]], - VfM_Metrics_2023_Entity[[#This Row],[Gain/(loss) on disposal of fixed assets (housing properties)2]], - VfM_Metrics_2023_Entity[[#This Row],[Gain/(loss) on disposal of fixed assets (other)2]] )</f>
        <v>52556</v>
      </c>
      <c r="BY194" s="84" vm="13557">
        <v>66601</v>
      </c>
      <c r="BZ194" s="84" vm="14340">
        <v>14045</v>
      </c>
      <c r="CA194" s="84">
        <v>0</v>
      </c>
      <c r="CB194" s="5" vm="18313">
        <f xml:space="preserve"> VfM_Metrics_2023_Entity[[#This Row],[Turnover (overall)]]</f>
        <v>230938</v>
      </c>
      <c r="CC194" s="135" vm="18313">
        <v>230938</v>
      </c>
      <c r="CD194" s="134">
        <f xml:space="preserve"> IFERROR( VfM_Metrics_2023_Entity[[#This Row],[Operating surplus including from JVs]] / VfM_Metrics_2023_Entity[[#This Row],[Net assets]], "n/a" )</f>
        <v>2.6868318572789256E-2</v>
      </c>
      <c r="CE194" s="5">
        <f xml:space="preserve"> SUM( VfM_Metrics_2023_Entity[[#This Row],[Operating surplus/(deficit) (overall)3]], VfM_Metrics_2023_Entity[[#This Row],[Share of operating surplus/(deficit) in joint ventures or associates]] )</f>
        <v>66601</v>
      </c>
      <c r="CF194" s="84" vm="13558">
        <v>66601</v>
      </c>
      <c r="CG194" s="84">
        <v>0</v>
      </c>
      <c r="CH194" s="5" vm="18701">
        <f xml:space="preserve"> VfM_Metrics_2023_Entity[[#This Row],[Total assets less current liabilities]]</f>
        <v>2478793</v>
      </c>
      <c r="CI194" s="135" vm="18701">
        <v>2478793</v>
      </c>
      <c r="CJ194" s="140" vm="11329">
        <f xml:space="preserve"> VfM_Metrics_2023_Entity[[#This Row],[Total social housing units owned (Period end)]]</f>
        <v>31154</v>
      </c>
      <c r="CK194" s="141">
        <v>2.0210597826086956E-2</v>
      </c>
      <c r="CL194" s="69">
        <f xml:space="preserve"> -- ( VfM_Metrics_2023_Entity[[#This Row],[% Supported housing (excl. HOP)]] &gt; 0.3 )</f>
        <v>0</v>
      </c>
      <c r="CM194" s="9">
        <v>7.1501358695652176E-2</v>
      </c>
      <c r="CN194" s="69">
        <f xml:space="preserve"> -- ( VfM_Metrics_2023_Entity[[#This Row],[% Housing for older people]] &gt; 0.3 )</f>
        <v>0</v>
      </c>
      <c r="CO194" s="9">
        <f xml:space="preserve"> VfM_Metrics_2023_Entity[[#This Row],[% Supported housing (excl. HOP)]] + VfM_Metrics_2023_Entity[[#This Row],[% Housing for older people]]</f>
        <v>9.1711956521739135E-2</v>
      </c>
      <c r="CP194" s="69">
        <f xml:space="preserve"> -- ( VfM_Metrics_2023_Entity[[#This Row],[SH specialist in RSH analysis]] + VfM_Metrics_2023_Entity[[#This Row],[OP specialist in RSH analysis]] &gt; 0 )</f>
        <v>0</v>
      </c>
      <c r="CQ194" s="142">
        <f xml:space="preserve"> -- ( VfM_Metrics_2023_Entity[[#This Row],[% SH and OP]] &gt; 0.3 )</f>
        <v>0</v>
      </c>
      <c r="CR194" s="143" t="s">
        <v>143</v>
      </c>
      <c r="CS194" s="120"/>
      <c r="CT194" s="144" t="s">
        <v>151</v>
      </c>
      <c r="CU19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94" s="146">
        <v>3.241070849808777E-5</v>
      </c>
      <c r="CW194" s="146">
        <v>0.22350424580281325</v>
      </c>
      <c r="CX194" s="146">
        <v>0.27844039670707199</v>
      </c>
      <c r="CY194" s="146">
        <v>4.9620794710572375E-2</v>
      </c>
      <c r="CZ194" s="146">
        <v>0.26505477409736178</v>
      </c>
      <c r="DA194" s="146">
        <v>0.12526738834510923</v>
      </c>
      <c r="DB194" s="146">
        <v>0</v>
      </c>
      <c r="DC194" s="146">
        <v>0</v>
      </c>
      <c r="DD194" s="146">
        <v>5.8079989628573282E-2</v>
      </c>
      <c r="DE194" s="126">
        <v>0.9865714750627107</v>
      </c>
    </row>
    <row r="195" spans="1:109" x14ac:dyDescent="0.25">
      <c r="A195" s="4" t="s" vm="209">
        <v>464</v>
      </c>
      <c r="B195" s="4" t="s" vm="10411">
        <v>465</v>
      </c>
      <c r="C195" s="121" vm="18896">
        <v>45016</v>
      </c>
      <c r="D195" s="68" t="str">
        <f>IFERROR( VfM_Metrics_2023_Entity[[#This Row],[Reinvestment Spend]] / VfM_Metrics_2023_Entity[[#This Row],[Net Book Value of Housing Properties]], "n/a" )</f>
        <v>n/a</v>
      </c>
      <c r="E19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0</v>
      </c>
      <c r="F195" s="84" vm="9437">
        <v>0</v>
      </c>
      <c r="G195" s="84" vm="10593">
        <v>0</v>
      </c>
      <c r="H195" s="84" vm="9780">
        <v>0</v>
      </c>
      <c r="I195" s="84" vm="10812">
        <v>0</v>
      </c>
      <c r="J195" s="84" vm="9748">
        <v>0</v>
      </c>
      <c r="K195" s="5">
        <f xml:space="preserve"> SUM( VfM_Metrics_2023_Entity[[#This Row],[Tangible fixed assets: Housing properties at cost (Current period)]],VfM_Metrics_2023_Entity[[#This Row],[Tangible fixed assets Housing properties at valuation (Current period)]] )</f>
        <v>0</v>
      </c>
      <c r="L195" s="84">
        <v>0</v>
      </c>
      <c r="M195" s="84">
        <v>0</v>
      </c>
      <c r="N195" s="134">
        <f xml:space="preserve"> IFERROR( VfM_Metrics_2023_Entity[[#This Row],[Total social units developed or newly built units acquired in-year]] / VfM_Metrics_2023_Entity[[#This Row],[Social housing units owned (period end)]], "n/a" )</f>
        <v>0</v>
      </c>
      <c r="O195" s="5">
        <f xml:space="preserve"> SUM( VfM_Metrics_2023_Entity[[#This Row],[Total social units developed or newly built units acquired in-year (owned)]], VfM_Metrics_2023_Entity[[#This Row],[Total social leasehold units developed or newly built units acquired in-year (owned)]] )</f>
        <v>0</v>
      </c>
      <c r="P195" s="84" vm="11057">
        <v>0</v>
      </c>
      <c r="Q195" s="84">
        <v>0</v>
      </c>
      <c r="R195" s="5">
        <f xml:space="preserve"> SUM( VfM_Metrics_2023_Entity[[#This Row],[Total social housing units owned (Period end)]], VfM_Metrics_2023_Entity[[#This Row],[Total social leasehold units owned (Period end)]] )</f>
        <v>2038</v>
      </c>
      <c r="S195" s="84" vm="11367">
        <v>2038</v>
      </c>
      <c r="T195" s="135" vm="11539">
        <v>0</v>
      </c>
      <c r="U195" s="136">
        <f xml:space="preserve"> IFERROR( VfM_Metrics_2023_Entity[[#This Row],[Total non-social housing units developed or newly built units acquired (owned)]] / VfM_Metrics_2023_Entity[[#This Row],[Total social and non-social housing units owned (Period end)]], "n/a" )</f>
        <v>0</v>
      </c>
      <c r="V19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95" s="84">
        <v>0</v>
      </c>
      <c r="X195" s="84">
        <v>0</v>
      </c>
      <c r="Y195" s="84">
        <v>0</v>
      </c>
      <c r="Z19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2038</v>
      </c>
      <c r="AA195" s="84" vm="12033">
        <v>2038</v>
      </c>
      <c r="AB195" s="84" vm="12460">
        <v>0</v>
      </c>
      <c r="AC195" s="84" vm="12398">
        <v>0</v>
      </c>
      <c r="AD195" s="135" vm="12533">
        <v>0</v>
      </c>
      <c r="AE195" s="134" t="str">
        <f xml:space="preserve"> IFERROR( VfM_Metrics_2023_Entity[[#This Row],[Total Net Debt]] / VfM_Metrics_2023_Entity[[#This Row],[Net Book Value of Housing Properties2]], "n/a" )</f>
        <v>n/a</v>
      </c>
      <c r="AF19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-3851</v>
      </c>
      <c r="AG195" s="84">
        <v>0</v>
      </c>
      <c r="AH195" s="84">
        <v>0</v>
      </c>
      <c r="AI195" s="84" vm="12919">
        <v>3851</v>
      </c>
      <c r="AJ195" s="84">
        <v>0</v>
      </c>
      <c r="AK195" s="84">
        <v>0</v>
      </c>
      <c r="AL195" s="5">
        <f xml:space="preserve"> SUM( VfM_Metrics_2023_Entity[[#This Row],[Tangible fixed assets: Housing properties at cost (Current period)2]], VfM_Metrics_2023_Entity[[#This Row],[Tangible fixed assets Housing properties at valuation (Current period)2]] )</f>
        <v>0</v>
      </c>
      <c r="AM195" s="84">
        <v>0</v>
      </c>
      <c r="AN195" s="135">
        <v>0</v>
      </c>
      <c r="AO195" s="137" t="str">
        <f xml:space="preserve"> IFERROR( VfM_Metrics_2023_Entity[[#This Row],[EBITDA MRI]] / VfM_Metrics_2023_Entity[[#This Row],[Total interest]], "n/a" )</f>
        <v>n/a</v>
      </c>
      <c r="AP19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836</v>
      </c>
      <c r="AQ195" s="84" vm="13588">
        <v>799</v>
      </c>
      <c r="AR195" s="84">
        <v>0</v>
      </c>
      <c r="AS195" s="84">
        <v>0</v>
      </c>
      <c r="AT195" s="84" vm="15075">
        <v>0</v>
      </c>
      <c r="AU195" s="84" vm="13845">
        <v>0</v>
      </c>
      <c r="AV195" s="84" vm="14100">
        <v>32</v>
      </c>
      <c r="AW195" s="84" vm="14342">
        <v>0</v>
      </c>
      <c r="AX195" s="84" vm="14587">
        <v>5</v>
      </c>
      <c r="AY195" s="5">
        <f xml:space="preserve"> - SUM( VfM_Metrics_2023_Entity[[#This Row],[Interest capitalised]], VfM_Metrics_2023_Entity[[#This Row],[Interest payable and financing costs]] )</f>
        <v>0</v>
      </c>
      <c r="AZ195" s="84" vm="15303">
        <v>0</v>
      </c>
      <c r="BA195" s="135" vm="15436">
        <v>0</v>
      </c>
      <c r="BB195" s="138">
        <f xml:space="preserve"> IFERROR( ( VfM_Metrics_2023_Entity[[#This Row],[Total Costs]] / VfM_Metrics_2023_Entity[[#This Row],[Total units for costs]] ) * 1000, "n/a" )</f>
        <v>8375.85868498528</v>
      </c>
      <c r="BC19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17070</v>
      </c>
      <c r="BD195" s="84" vm="16221">
        <v>1608</v>
      </c>
      <c r="BE195" s="84" vm="16933">
        <v>15462</v>
      </c>
      <c r="BF195" s="84" vm="17158">
        <v>0</v>
      </c>
      <c r="BG195" s="84" vm="17396">
        <v>0</v>
      </c>
      <c r="BH195" s="84" vm="16255">
        <v>0</v>
      </c>
      <c r="BI195" s="84" vm="16526">
        <v>0</v>
      </c>
      <c r="BJ195" s="84" vm="16223">
        <v>0</v>
      </c>
      <c r="BK195" s="84" vm="16933">
        <v>0</v>
      </c>
      <c r="BL195" s="84">
        <v>0</v>
      </c>
      <c r="BM195" s="84">
        <v>0</v>
      </c>
      <c r="BN195" s="84">
        <v>0</v>
      </c>
      <c r="BO195" s="84">
        <v>0</v>
      </c>
      <c r="BP195" s="5" vm="17717">
        <f xml:space="preserve"> VfM_Metrics_2023_Entity[[#This Row],[Total social housing units owned and/or managed at period end]]</f>
        <v>2038</v>
      </c>
      <c r="BQ195" s="135" vm="17717">
        <v>2038</v>
      </c>
      <c r="BR195" s="134">
        <f xml:space="preserve"> IFERROR( VfM_Metrics_2023_Entity[[#This Row],[SHL operating surplus / (deficit)]] / VfM_Metrics_2023_Entity[[#This Row],[Turnover from social housing lettings]], "n/a" )</f>
        <v>4.4714309698360287E-2</v>
      </c>
      <c r="BS195" s="5" vm="18004">
        <f xml:space="preserve"> VfM_Metrics_2023_Entity[[#This Row],[Operating surplus/(deficit) (social housing lettings)]]</f>
        <v>799</v>
      </c>
      <c r="BT195" s="84" vm="18004">
        <v>799</v>
      </c>
      <c r="BU195" s="5" vm="18185">
        <f xml:space="preserve"> VfM_Metrics_2023_Entity[[#This Row],[Turnover from social housing lettings]]</f>
        <v>17869</v>
      </c>
      <c r="BV195" s="135" vm="18185">
        <v>17869</v>
      </c>
      <c r="BW195" s="134">
        <f xml:space="preserve"> IFERROR( VfM_Metrics_2023_Entity[[#This Row],[Net operating surplus]] / VfM_Metrics_2023_Entity[[#This Row],[Overall turnover]], "n/a" )</f>
        <v>4.4714309698360287E-2</v>
      </c>
      <c r="BX195" s="5">
        <f xml:space="preserve"> SUM( VfM_Metrics_2023_Entity[[#This Row],[Operating surplus/(deficit) (overall)2]], - VfM_Metrics_2023_Entity[[#This Row],[Gain/(loss) on disposal of fixed assets (housing properties)2]], - VfM_Metrics_2023_Entity[[#This Row],[Gain/(loss) on disposal of fixed assets (other)2]] )</f>
        <v>799</v>
      </c>
      <c r="BY195" s="84" vm="13588">
        <v>799</v>
      </c>
      <c r="BZ195" s="84">
        <v>0</v>
      </c>
      <c r="CA195" s="84">
        <v>0</v>
      </c>
      <c r="CB195" s="5" vm="18359">
        <f xml:space="preserve"> VfM_Metrics_2023_Entity[[#This Row],[Turnover (overall)]]</f>
        <v>17869</v>
      </c>
      <c r="CC195" s="135" vm="18359">
        <v>17869</v>
      </c>
      <c r="CD195" s="134">
        <f xml:space="preserve"> IFERROR( VfM_Metrics_2023_Entity[[#This Row],[Operating surplus including from JVs]] / VfM_Metrics_2023_Entity[[#This Row],[Net assets]], "n/a" )</f>
        <v>0.22406057206954572</v>
      </c>
      <c r="CE195" s="5">
        <f xml:space="preserve"> SUM( VfM_Metrics_2023_Entity[[#This Row],[Operating surplus/(deficit) (overall)3]], VfM_Metrics_2023_Entity[[#This Row],[Share of operating surplus/(deficit) in joint ventures or associates]] )</f>
        <v>799</v>
      </c>
      <c r="CF195" s="84" vm="13588">
        <v>799</v>
      </c>
      <c r="CG195" s="84">
        <v>0</v>
      </c>
      <c r="CH195" s="5" vm="18729">
        <f xml:space="preserve"> VfM_Metrics_2023_Entity[[#This Row],[Total assets less current liabilities]]</f>
        <v>3566</v>
      </c>
      <c r="CI195" s="135" vm="18729">
        <v>3566</v>
      </c>
      <c r="CJ195" s="140" vm="11367">
        <f xml:space="preserve"> VfM_Metrics_2023_Entity[[#This Row],[Total social housing units owned (Period end)]]</f>
        <v>2038</v>
      </c>
      <c r="CK195" s="141">
        <v>1</v>
      </c>
      <c r="CL195" s="69">
        <f xml:space="preserve"> -- ( VfM_Metrics_2023_Entity[[#This Row],[% Supported housing (excl. HOP)]] &gt; 0.3 )</f>
        <v>1</v>
      </c>
      <c r="CM195" s="9">
        <v>0</v>
      </c>
      <c r="CN195" s="69">
        <f xml:space="preserve"> -- ( VfM_Metrics_2023_Entity[[#This Row],[% Housing for older people]] &gt; 0.3 )</f>
        <v>0</v>
      </c>
      <c r="CO195" s="9">
        <f xml:space="preserve"> VfM_Metrics_2023_Entity[[#This Row],[% Supported housing (excl. HOP)]] + VfM_Metrics_2023_Entity[[#This Row],[% Housing for older people]]</f>
        <v>1</v>
      </c>
      <c r="CP195" s="69">
        <f xml:space="preserve"> -- ( VfM_Metrics_2023_Entity[[#This Row],[SH specialist in RSH analysis]] + VfM_Metrics_2023_Entity[[#This Row],[OP specialist in RSH analysis]] &gt; 0 )</f>
        <v>1</v>
      </c>
      <c r="CQ195" s="142">
        <f xml:space="preserve"> -- ( VfM_Metrics_2023_Entity[[#This Row],[% SH and OP]] &gt; 0.3 )</f>
        <v>1</v>
      </c>
      <c r="CR195" s="143" t="s">
        <v>143</v>
      </c>
      <c r="CS195" s="120"/>
      <c r="CT195" s="144" t="s">
        <v>144</v>
      </c>
      <c r="CU19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195" s="146">
        <v>0</v>
      </c>
      <c r="CW195" s="146">
        <v>0</v>
      </c>
      <c r="CX195" s="146">
        <v>0</v>
      </c>
      <c r="CY195" s="146">
        <v>0</v>
      </c>
      <c r="CZ195" s="146">
        <v>1</v>
      </c>
      <c r="DA195" s="146">
        <v>0</v>
      </c>
      <c r="DB195" s="146">
        <v>0</v>
      </c>
      <c r="DC195" s="146">
        <v>0</v>
      </c>
      <c r="DD195" s="146">
        <v>0</v>
      </c>
      <c r="DE195" s="126">
        <v>0.96459033333600952</v>
      </c>
    </row>
    <row r="196" spans="1:109" x14ac:dyDescent="0.25">
      <c r="A196" s="4" t="s" vm="9256">
        <v>628</v>
      </c>
      <c r="B196" s="4" t="s" vm="9837">
        <v>629</v>
      </c>
      <c r="C196" s="121" vm="18767">
        <v>45016</v>
      </c>
      <c r="D196" s="68">
        <f>IFERROR( VfM_Metrics_2023_Entity[[#This Row],[Reinvestment Spend]] / VfM_Metrics_2023_Entity[[#This Row],[Net Book Value of Housing Properties]], "n/a" )</f>
        <v>8.3551084780483259E-2</v>
      </c>
      <c r="E19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57427</v>
      </c>
      <c r="F196" s="84" vm="9398">
        <v>50601</v>
      </c>
      <c r="G196" s="84" vm="9642">
        <v>0</v>
      </c>
      <c r="H196" s="84" vm="10414">
        <v>4792</v>
      </c>
      <c r="I196" s="84" vm="10686">
        <v>2034</v>
      </c>
      <c r="J196" s="84" vm="9809">
        <v>0</v>
      </c>
      <c r="K196" s="5">
        <f xml:space="preserve"> SUM( VfM_Metrics_2023_Entity[[#This Row],[Tangible fixed assets: Housing properties at cost (Current period)]],VfM_Metrics_2023_Entity[[#This Row],[Tangible fixed assets Housing properties at valuation (Current period)]] )</f>
        <v>687328</v>
      </c>
      <c r="L196" s="84" vm="10036">
        <v>687328</v>
      </c>
      <c r="M196" s="84" vm="10231">
        <v>0</v>
      </c>
      <c r="N196" s="134">
        <f xml:space="preserve"> IFERROR( VfM_Metrics_2023_Entity[[#This Row],[Total social units developed or newly built units acquired in-year]] / VfM_Metrics_2023_Entity[[#This Row],[Social housing units owned (period end)]], "n/a" )</f>
        <v>2.7793374508702975E-2</v>
      </c>
      <c r="O196" s="5">
        <f xml:space="preserve"> SUM( VfM_Metrics_2023_Entity[[#This Row],[Total social units developed or newly built units acquired in-year (owned)]], VfM_Metrics_2023_Entity[[#This Row],[Total social leasehold units developed or newly built units acquired in-year (owned)]] )</f>
        <v>297</v>
      </c>
      <c r="P196" s="84" vm="11097">
        <v>297</v>
      </c>
      <c r="Q196" s="84" vm="11215">
        <v>0</v>
      </c>
      <c r="R196" s="5">
        <f xml:space="preserve"> SUM( VfM_Metrics_2023_Entity[[#This Row],[Total social housing units owned (Period end)]], VfM_Metrics_2023_Entity[[#This Row],[Total social leasehold units owned (Period end)]] )</f>
        <v>10686</v>
      </c>
      <c r="S196" s="84" vm="11320">
        <v>10159</v>
      </c>
      <c r="T196" s="135" vm="11531">
        <v>527</v>
      </c>
      <c r="U196" s="136">
        <f xml:space="preserve"> IFERROR( VfM_Metrics_2023_Entity[[#This Row],[Total non-social housing units developed or newly built units acquired (owned)]] / VfM_Metrics_2023_Entity[[#This Row],[Total social and non-social housing units owned (Period end)]], "n/a" )</f>
        <v>0</v>
      </c>
      <c r="V19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96" s="84" vm="11580">
        <v>0</v>
      </c>
      <c r="X196" s="84" vm="11900">
        <v>0</v>
      </c>
      <c r="Y196" s="84" vm="11940">
        <v>0</v>
      </c>
      <c r="Z19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10774</v>
      </c>
      <c r="AA196" s="84" vm="11962">
        <v>10159</v>
      </c>
      <c r="AB196" s="84" vm="12460">
        <v>527</v>
      </c>
      <c r="AC196" s="84" vm="12399">
        <v>88</v>
      </c>
      <c r="AD196" s="135" vm="12534">
        <v>0</v>
      </c>
      <c r="AE196" s="134">
        <f xml:space="preserve"> IFERROR( VfM_Metrics_2023_Entity[[#This Row],[Total Net Debt]] / VfM_Metrics_2023_Entity[[#This Row],[Net Book Value of Housing Properties2]], "n/a" )</f>
        <v>0.47142412356254948</v>
      </c>
      <c r="AF19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324023</v>
      </c>
      <c r="AG196" s="84" vm="12576">
        <v>1520</v>
      </c>
      <c r="AH196" s="84" vm="12960">
        <v>146225</v>
      </c>
      <c r="AI196" s="84" vm="13057">
        <v>12073</v>
      </c>
      <c r="AJ196" s="84" vm="13145">
        <v>188351</v>
      </c>
      <c r="AK196" s="84" vm="13228">
        <v>0</v>
      </c>
      <c r="AL196" s="5">
        <f xml:space="preserve"> SUM( VfM_Metrics_2023_Entity[[#This Row],[Tangible fixed assets: Housing properties at cost (Current period)2]], VfM_Metrics_2023_Entity[[#This Row],[Tangible fixed assets Housing properties at valuation (Current period)2]] )</f>
        <v>687328</v>
      </c>
      <c r="AM196" s="84" vm="10036">
        <v>687328</v>
      </c>
      <c r="AN196" s="135" vm="10174">
        <v>0</v>
      </c>
      <c r="AO196" s="137">
        <f xml:space="preserve"> IFERROR( VfM_Metrics_2023_Entity[[#This Row],[EBITDA MRI]] / VfM_Metrics_2023_Entity[[#This Row],[Total interest]], "n/a" )</f>
        <v>1.905876575544279</v>
      </c>
      <c r="AP19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23286</v>
      </c>
      <c r="AQ196" s="84" vm="13459">
        <v>24283</v>
      </c>
      <c r="AR196" s="84" vm="15076">
        <v>6577</v>
      </c>
      <c r="AS196" s="84" vm="13846">
        <v>0</v>
      </c>
      <c r="AT196" s="84" vm="14101">
        <v>91</v>
      </c>
      <c r="AU196" s="84" vm="14343">
        <v>0</v>
      </c>
      <c r="AV196" s="84" vm="15066">
        <v>692</v>
      </c>
      <c r="AW196" s="84" vm="14834">
        <v>4792</v>
      </c>
      <c r="AX196" s="84" vm="15077">
        <v>9771</v>
      </c>
      <c r="AY196" s="5">
        <f xml:space="preserve"> - SUM( VfM_Metrics_2023_Entity[[#This Row],[Interest capitalised]], VfM_Metrics_2023_Entity[[#This Row],[Interest payable and financing costs]] )</f>
        <v>12218</v>
      </c>
      <c r="AZ196" s="84" vm="15298">
        <v>-2038</v>
      </c>
      <c r="BA196" s="135" vm="15500">
        <v>-10180</v>
      </c>
      <c r="BB196" s="138">
        <f xml:space="preserve"> IFERROR( ( VfM_Metrics_2023_Entity[[#This Row],[Total Costs]] / VfM_Metrics_2023_Entity[[#This Row],[Total units for costs]] ) * 1000, "n/a" )</f>
        <v>4036.7280311961549</v>
      </c>
      <c r="BC19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44513</v>
      </c>
      <c r="BD196" s="84" vm="16226">
        <v>12152</v>
      </c>
      <c r="BE196" s="84" vm="16934">
        <v>7589</v>
      </c>
      <c r="BF196" s="84" vm="17159">
        <v>6900</v>
      </c>
      <c r="BG196" s="84" vm="17397">
        <v>4127</v>
      </c>
      <c r="BH196" s="84" vm="16258">
        <v>7996</v>
      </c>
      <c r="BI196" s="84" vm="16527">
        <v>0</v>
      </c>
      <c r="BJ196" s="84" vm="14834">
        <v>4792</v>
      </c>
      <c r="BK196" s="84" vm="16935">
        <v>148</v>
      </c>
      <c r="BL196" s="84" vm="17398">
        <v>693</v>
      </c>
      <c r="BM196" s="84" vm="16260">
        <v>114</v>
      </c>
      <c r="BN196" s="84" vm="16528">
        <v>0</v>
      </c>
      <c r="BO196" s="84" vm="17160">
        <v>2</v>
      </c>
      <c r="BP196" s="5" vm="17783">
        <f xml:space="preserve"> VfM_Metrics_2023_Entity[[#This Row],[Total social housing units owned and/or managed at period end]]</f>
        <v>11027</v>
      </c>
      <c r="BQ196" s="135" vm="17783">
        <v>11027</v>
      </c>
      <c r="BR196" s="134">
        <f xml:space="preserve"> IFERROR( VfM_Metrics_2023_Entity[[#This Row],[SHL operating surplus / (deficit)]] / VfM_Metrics_2023_Entity[[#This Row],[Turnover from social housing lettings]], "n/a" )</f>
        <v>0.23943551548412387</v>
      </c>
      <c r="BS196" s="5" vm="17862">
        <f xml:space="preserve"> VfM_Metrics_2023_Entity[[#This Row],[Operating surplus/(deficit) (social housing lettings)]]</f>
        <v>15270</v>
      </c>
      <c r="BT196" s="84" vm="17862">
        <v>15270</v>
      </c>
      <c r="BU196" s="5" vm="18076">
        <f xml:space="preserve"> VfM_Metrics_2023_Entity[[#This Row],[Turnover from social housing lettings]]</f>
        <v>63775</v>
      </c>
      <c r="BV196" s="135" vm="18076">
        <v>63775</v>
      </c>
      <c r="BW196" s="134">
        <f xml:space="preserve"> IFERROR( VfM_Metrics_2023_Entity[[#This Row],[Net operating surplus]] / VfM_Metrics_2023_Entity[[#This Row],[Overall turnover]], "n/a" )</f>
        <v>0.21910925763219444</v>
      </c>
      <c r="BX196" s="5">
        <f xml:space="preserve"> SUM( VfM_Metrics_2023_Entity[[#This Row],[Operating surplus/(deficit) (overall)2]], - VfM_Metrics_2023_Entity[[#This Row],[Gain/(loss) on disposal of fixed assets (housing properties)2]], - VfM_Metrics_2023_Entity[[#This Row],[Gain/(loss) on disposal of fixed assets (other)2]] )</f>
        <v>17706</v>
      </c>
      <c r="BY196" s="84" vm="13533">
        <v>24283</v>
      </c>
      <c r="BZ196" s="84" vm="15076">
        <v>6577</v>
      </c>
      <c r="CA196" s="84" vm="13846">
        <v>0</v>
      </c>
      <c r="CB196" s="5" vm="18391">
        <f xml:space="preserve"> VfM_Metrics_2023_Entity[[#This Row],[Turnover (overall)]]</f>
        <v>80809</v>
      </c>
      <c r="CC196" s="135" vm="18391">
        <v>80809</v>
      </c>
      <c r="CD196" s="134">
        <f xml:space="preserve"> IFERROR( VfM_Metrics_2023_Entity[[#This Row],[Operating surplus including from JVs]] / VfM_Metrics_2023_Entity[[#This Row],[Net assets]], "n/a" )</f>
        <v>3.4637054787681684E-2</v>
      </c>
      <c r="CE196" s="5">
        <f xml:space="preserve"> SUM( VfM_Metrics_2023_Entity[[#This Row],[Operating surplus/(deficit) (overall)3]], VfM_Metrics_2023_Entity[[#This Row],[Share of operating surplus/(deficit) in joint ventures or associates]] )</f>
        <v>24283</v>
      </c>
      <c r="CF196" s="84" vm="13459">
        <v>24283</v>
      </c>
      <c r="CG196" s="84" vm="18565">
        <v>0</v>
      </c>
      <c r="CH196" s="5" vm="18599">
        <f xml:space="preserve"> VfM_Metrics_2023_Entity[[#This Row],[Total assets less current liabilities]]</f>
        <v>701070</v>
      </c>
      <c r="CI196" s="135" vm="18599">
        <v>701070</v>
      </c>
      <c r="CJ196" s="140" vm="11320">
        <f xml:space="preserve"> VfM_Metrics_2023_Entity[[#This Row],[Total social housing units owned (Period end)]]</f>
        <v>10159</v>
      </c>
      <c r="CK196" s="141">
        <v>4.7864945382323734E-2</v>
      </c>
      <c r="CL196" s="69">
        <f xml:space="preserve"> -- ( VfM_Metrics_2023_Entity[[#This Row],[% Supported housing (excl. HOP)]] &gt; 0.3 )</f>
        <v>0</v>
      </c>
      <c r="CM196" s="9">
        <v>0.12889771598808342</v>
      </c>
      <c r="CN196" s="69">
        <f xml:space="preserve"> -- ( VfM_Metrics_2023_Entity[[#This Row],[% Housing for older people]] &gt; 0.3 )</f>
        <v>0</v>
      </c>
      <c r="CO196" s="9">
        <f xml:space="preserve"> VfM_Metrics_2023_Entity[[#This Row],[% Supported housing (excl. HOP)]] + VfM_Metrics_2023_Entity[[#This Row],[% Housing for older people]]</f>
        <v>0.17676266137040714</v>
      </c>
      <c r="CP196" s="69">
        <f xml:space="preserve"> -- ( VfM_Metrics_2023_Entity[[#This Row],[SH specialist in RSH analysis]] + VfM_Metrics_2023_Entity[[#This Row],[OP specialist in RSH analysis]] &gt; 0 )</f>
        <v>0</v>
      </c>
      <c r="CQ196" s="142">
        <f xml:space="preserve"> -- ( VfM_Metrics_2023_Entity[[#This Row],[% SH and OP]] &gt; 0.3 )</f>
        <v>0</v>
      </c>
      <c r="CR196" s="143" t="s">
        <v>143</v>
      </c>
      <c r="CS196" s="120"/>
      <c r="CT196" s="144" t="s">
        <v>151</v>
      </c>
      <c r="CU19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96" s="146">
        <v>0</v>
      </c>
      <c r="CW196" s="146">
        <v>0.12235456245693474</v>
      </c>
      <c r="CX196" s="146">
        <v>0.87764543754306523</v>
      </c>
      <c r="CY196" s="146">
        <v>0</v>
      </c>
      <c r="CZ196" s="146">
        <v>0</v>
      </c>
      <c r="DA196" s="146">
        <v>0</v>
      </c>
      <c r="DB196" s="146">
        <v>0</v>
      </c>
      <c r="DC196" s="146">
        <v>0</v>
      </c>
      <c r="DD196" s="146">
        <v>0</v>
      </c>
      <c r="DE196" s="126">
        <v>0.9822882129882593</v>
      </c>
    </row>
    <row r="197" spans="1:109" x14ac:dyDescent="0.25">
      <c r="A197" s="4" t="s" vm="327">
        <v>466</v>
      </c>
      <c r="B197" s="4" t="s" vm="10219">
        <v>467</v>
      </c>
      <c r="C197" s="121" vm="18909">
        <v>45016</v>
      </c>
      <c r="D197" s="68">
        <f>IFERROR( VfM_Metrics_2023_Entity[[#This Row],[Reinvestment Spend]] / VfM_Metrics_2023_Entity[[#This Row],[Net Book Value of Housing Properties]], "n/a" )</f>
        <v>9.6912834453421928E-2</v>
      </c>
      <c r="E19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15401</v>
      </c>
      <c r="F197" s="84" vm="10218">
        <v>12198</v>
      </c>
      <c r="G197" s="84" vm="9585">
        <v>0</v>
      </c>
      <c r="H197" s="84" vm="9643">
        <v>3203</v>
      </c>
      <c r="I197" s="84" vm="10212">
        <v>391</v>
      </c>
      <c r="J197" s="84" vm="10480">
        <v>-391</v>
      </c>
      <c r="K197" s="5">
        <f xml:space="preserve"> SUM( VfM_Metrics_2023_Entity[[#This Row],[Tangible fixed assets: Housing properties at cost (Current period)]],VfM_Metrics_2023_Entity[[#This Row],[Tangible fixed assets Housing properties at valuation (Current period)]] )</f>
        <v>158916</v>
      </c>
      <c r="L197" s="84" vm="9907">
        <v>158916</v>
      </c>
      <c r="M197" s="84">
        <v>0</v>
      </c>
      <c r="N197" s="134">
        <f xml:space="preserve"> IFERROR( VfM_Metrics_2023_Entity[[#This Row],[Total social units developed or newly built units acquired in-year]] / VfM_Metrics_2023_Entity[[#This Row],[Social housing units owned (period end)]], "n/a" )</f>
        <v>1.2204424103737605E-2</v>
      </c>
      <c r="O197" s="5">
        <f xml:space="preserve"> SUM( VfM_Metrics_2023_Entity[[#This Row],[Total social units developed or newly built units acquired in-year (owned)]], VfM_Metrics_2023_Entity[[#This Row],[Total social leasehold units developed or newly built units acquired in-year (owned)]] )</f>
        <v>48</v>
      </c>
      <c r="P197" s="84" vm="11026">
        <v>48</v>
      </c>
      <c r="Q197" s="84">
        <v>0</v>
      </c>
      <c r="R197" s="5">
        <f xml:space="preserve"> SUM( VfM_Metrics_2023_Entity[[#This Row],[Total social housing units owned (Period end)]], VfM_Metrics_2023_Entity[[#This Row],[Total social leasehold units owned (Period end)]] )</f>
        <v>3933</v>
      </c>
      <c r="S197" s="84" vm="11359">
        <v>3782</v>
      </c>
      <c r="T197" s="135" vm="11451">
        <v>151</v>
      </c>
      <c r="U197" s="136">
        <f xml:space="preserve"> IFERROR( VfM_Metrics_2023_Entity[[#This Row],[Total non-social housing units developed or newly built units acquired (owned)]] / VfM_Metrics_2023_Entity[[#This Row],[Total social and non-social housing units owned (Period end)]], "n/a" )</f>
        <v>0</v>
      </c>
      <c r="V19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97" s="84">
        <v>0</v>
      </c>
      <c r="X197" s="84">
        <v>0</v>
      </c>
      <c r="Y197" s="84">
        <v>0</v>
      </c>
      <c r="Z19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3933</v>
      </c>
      <c r="AA197" s="84" vm="11359">
        <v>3782</v>
      </c>
      <c r="AB197" s="84" vm="12213">
        <v>151</v>
      </c>
      <c r="AC197" s="84" vm="12152">
        <v>0</v>
      </c>
      <c r="AD197" s="135" vm="12307">
        <v>0</v>
      </c>
      <c r="AE197" s="134">
        <f xml:space="preserve"> IFERROR( VfM_Metrics_2023_Entity[[#This Row],[Total Net Debt]] / VfM_Metrics_2023_Entity[[#This Row],[Net Book Value of Housing Properties2]], "n/a" )</f>
        <v>0.3303569181202648</v>
      </c>
      <c r="AF19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52499</v>
      </c>
      <c r="AG197" s="84">
        <v>0</v>
      </c>
      <c r="AH197" s="84" vm="12806">
        <v>57491</v>
      </c>
      <c r="AI197" s="84" vm="13350">
        <v>4992</v>
      </c>
      <c r="AJ197" s="84">
        <v>0</v>
      </c>
      <c r="AK197" s="84">
        <v>0</v>
      </c>
      <c r="AL197" s="5">
        <f xml:space="preserve"> SUM( VfM_Metrics_2023_Entity[[#This Row],[Tangible fixed assets: Housing properties at cost (Current period)2]], VfM_Metrics_2023_Entity[[#This Row],[Tangible fixed assets Housing properties at valuation (Current period)2]] )</f>
        <v>158916</v>
      </c>
      <c r="AM197" s="84" vm="9907">
        <v>158916</v>
      </c>
      <c r="AN197" s="135">
        <v>0</v>
      </c>
      <c r="AO197" s="137">
        <f xml:space="preserve"> IFERROR( VfM_Metrics_2023_Entity[[#This Row],[EBITDA MRI]] / VfM_Metrics_2023_Entity[[#This Row],[Total interest]], "n/a" )</f>
        <v>1.4735952682720743</v>
      </c>
      <c r="AP19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3488</v>
      </c>
      <c r="AQ197" s="84" vm="13492">
        <v>4436</v>
      </c>
      <c r="AR197" s="84" vm="13847">
        <v>139</v>
      </c>
      <c r="AS197" s="84" vm="14102">
        <v>3</v>
      </c>
      <c r="AT197" s="84" vm="14344">
        <v>83</v>
      </c>
      <c r="AU197" s="84" vm="15067">
        <v>0</v>
      </c>
      <c r="AV197" s="84" vm="14835">
        <v>89</v>
      </c>
      <c r="AW197" s="84" vm="15078">
        <v>3203</v>
      </c>
      <c r="AX197" s="84" vm="13848">
        <v>2391</v>
      </c>
      <c r="AY197" s="5">
        <f xml:space="preserve"> - SUM( VfM_Metrics_2023_Entity[[#This Row],[Interest capitalised]], VfM_Metrics_2023_Entity[[#This Row],[Interest payable and financing costs]] )</f>
        <v>2367</v>
      </c>
      <c r="AZ197" s="84" vm="15180">
        <v>-391</v>
      </c>
      <c r="BA197" s="135" vm="15341">
        <v>-1976</v>
      </c>
      <c r="BB197" s="138">
        <f xml:space="preserve"> IFERROR( ( VfM_Metrics_2023_Entity[[#This Row],[Total Costs]] / VfM_Metrics_2023_Entity[[#This Row],[Total units for costs]] ) * 1000, "n/a" )</f>
        <v>4376.0167934925212</v>
      </c>
      <c r="BC19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16677</v>
      </c>
      <c r="BD197" s="84" vm="15530">
        <v>5662</v>
      </c>
      <c r="BE197" s="84" vm="16936">
        <v>631</v>
      </c>
      <c r="BF197" s="84" vm="17161">
        <v>3204</v>
      </c>
      <c r="BG197" s="84" vm="17399">
        <v>664</v>
      </c>
      <c r="BH197" s="84" vm="16261">
        <v>2873</v>
      </c>
      <c r="BI197" s="84" vm="16529">
        <v>0</v>
      </c>
      <c r="BJ197" s="84" vm="15078">
        <v>3203</v>
      </c>
      <c r="BK197" s="84" vm="16937">
        <v>174</v>
      </c>
      <c r="BL197" s="84">
        <v>0</v>
      </c>
      <c r="BM197" s="84">
        <v>0</v>
      </c>
      <c r="BN197" s="84" vm="16530">
        <v>121</v>
      </c>
      <c r="BO197" s="84" vm="17162">
        <v>145</v>
      </c>
      <c r="BP197" s="5" vm="17646">
        <f xml:space="preserve"> VfM_Metrics_2023_Entity[[#This Row],[Total social housing units owned and/or managed at period end]]</f>
        <v>3811</v>
      </c>
      <c r="BQ197" s="135" vm="17646">
        <v>3811</v>
      </c>
      <c r="BR197" s="134">
        <f xml:space="preserve"> IFERROR( VfM_Metrics_2023_Entity[[#This Row],[SHL operating surplus / (deficit)]] / VfM_Metrics_2023_Entity[[#This Row],[Turnover from social housing lettings]], "n/a" )</f>
        <v>0.19510807736063709</v>
      </c>
      <c r="BS197" s="5" vm="17900">
        <f xml:space="preserve"> VfM_Metrics_2023_Entity[[#This Row],[Operating surplus/(deficit) (social housing lettings)]]</f>
        <v>3773</v>
      </c>
      <c r="BT197" s="84" vm="17900">
        <v>3773</v>
      </c>
      <c r="BU197" s="5" vm="18099">
        <f xml:space="preserve"> VfM_Metrics_2023_Entity[[#This Row],[Turnover from social housing lettings]]</f>
        <v>19338</v>
      </c>
      <c r="BV197" s="135" vm="18099">
        <v>19338</v>
      </c>
      <c r="BW197" s="134">
        <f xml:space="preserve"> IFERROR( VfM_Metrics_2023_Entity[[#This Row],[Net operating surplus]] / VfM_Metrics_2023_Entity[[#This Row],[Overall turnover]], "n/a" )</f>
        <v>0.19967449430365031</v>
      </c>
      <c r="BX197" s="5">
        <f xml:space="preserve"> SUM( VfM_Metrics_2023_Entity[[#This Row],[Operating surplus/(deficit) (overall)2]], - VfM_Metrics_2023_Entity[[#This Row],[Gain/(loss) on disposal of fixed assets (housing properties)2]], - VfM_Metrics_2023_Entity[[#This Row],[Gain/(loss) on disposal of fixed assets (other)2]] )</f>
        <v>4294</v>
      </c>
      <c r="BY197" s="84" vm="13492">
        <v>4436</v>
      </c>
      <c r="BZ197" s="84" vm="13847">
        <v>139</v>
      </c>
      <c r="CA197" s="84" vm="14102">
        <v>3</v>
      </c>
      <c r="CB197" s="5" vm="18416">
        <f xml:space="preserve"> VfM_Metrics_2023_Entity[[#This Row],[Turnover (overall)]]</f>
        <v>21505</v>
      </c>
      <c r="CC197" s="135" vm="18416">
        <v>21505</v>
      </c>
      <c r="CD197" s="134">
        <f xml:space="preserve"> IFERROR( VfM_Metrics_2023_Entity[[#This Row],[Operating surplus including from JVs]] / VfM_Metrics_2023_Entity[[#This Row],[Net assets]], "n/a" )</f>
        <v>2.6451997614788312E-2</v>
      </c>
      <c r="CE197" s="5">
        <f xml:space="preserve"> SUM( VfM_Metrics_2023_Entity[[#This Row],[Operating surplus/(deficit) (overall)3]], VfM_Metrics_2023_Entity[[#This Row],[Share of operating surplus/(deficit) in joint ventures or associates]] )</f>
        <v>4436</v>
      </c>
      <c r="CF197" s="84" vm="13493">
        <v>4436</v>
      </c>
      <c r="CG197" s="84">
        <v>0</v>
      </c>
      <c r="CH197" s="5" vm="18636">
        <f xml:space="preserve"> VfM_Metrics_2023_Entity[[#This Row],[Total assets less current liabilities]]</f>
        <v>167700</v>
      </c>
      <c r="CI197" s="135" vm="18636">
        <v>167700</v>
      </c>
      <c r="CJ197" s="140" vm="11359">
        <f xml:space="preserve"> VfM_Metrics_2023_Entity[[#This Row],[Total social housing units owned (Period end)]]</f>
        <v>3782</v>
      </c>
      <c r="CK197" s="141">
        <v>0</v>
      </c>
      <c r="CL197" s="69">
        <f xml:space="preserve"> -- ( VfM_Metrics_2023_Entity[[#This Row],[% Supported housing (excl. HOP)]] &gt; 0.3 )</f>
        <v>0</v>
      </c>
      <c r="CM197" s="9">
        <v>0.26466684364215554</v>
      </c>
      <c r="CN197" s="69">
        <f xml:space="preserve"> -- ( VfM_Metrics_2023_Entity[[#This Row],[% Housing for older people]] &gt; 0.3 )</f>
        <v>0</v>
      </c>
      <c r="CO197" s="9">
        <f xml:space="preserve"> VfM_Metrics_2023_Entity[[#This Row],[% Supported housing (excl. HOP)]] + VfM_Metrics_2023_Entity[[#This Row],[% Housing for older people]]</f>
        <v>0.26466684364215554</v>
      </c>
      <c r="CP197" s="69">
        <f xml:space="preserve"> -- ( VfM_Metrics_2023_Entity[[#This Row],[SH specialist in RSH analysis]] + VfM_Metrics_2023_Entity[[#This Row],[OP specialist in RSH analysis]] &gt; 0 )</f>
        <v>0</v>
      </c>
      <c r="CQ197" s="142">
        <f xml:space="preserve"> -- ( VfM_Metrics_2023_Entity[[#This Row],[% SH and OP]] &gt; 0.3 )</f>
        <v>0</v>
      </c>
      <c r="CR197" s="143" t="s">
        <v>143</v>
      </c>
      <c r="CS197" s="120"/>
      <c r="CT197" s="144" t="s">
        <v>151</v>
      </c>
      <c r="CU19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197" s="146">
        <v>0</v>
      </c>
      <c r="CW197" s="146">
        <v>0</v>
      </c>
      <c r="CX197" s="146">
        <v>1</v>
      </c>
      <c r="CY197" s="146">
        <v>0</v>
      </c>
      <c r="CZ197" s="146">
        <v>0</v>
      </c>
      <c r="DA197" s="146">
        <v>0</v>
      </c>
      <c r="DB197" s="146">
        <v>0</v>
      </c>
      <c r="DC197" s="146">
        <v>0</v>
      </c>
      <c r="DD197" s="146">
        <v>0</v>
      </c>
      <c r="DE197" s="126">
        <v>0.97511902715076015</v>
      </c>
    </row>
    <row r="198" spans="1:109" x14ac:dyDescent="0.25">
      <c r="A198" s="4" t="s" vm="247">
        <v>468</v>
      </c>
      <c r="B198" s="4" t="s" vm="9277">
        <v>469</v>
      </c>
      <c r="C198" s="121" vm="18835">
        <v>45016</v>
      </c>
      <c r="D198" s="68">
        <f>IFERROR( VfM_Metrics_2023_Entity[[#This Row],[Reinvestment Spend]] / VfM_Metrics_2023_Entity[[#This Row],[Net Book Value of Housing Properties]], "n/a" )</f>
        <v>8.1589104716477869E-3</v>
      </c>
      <c r="E19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780</v>
      </c>
      <c r="F198" s="84" vm="10447">
        <v>452</v>
      </c>
      <c r="G198" s="84" vm="9527">
        <v>0</v>
      </c>
      <c r="H198" s="84" vm="9586">
        <v>326</v>
      </c>
      <c r="I198" s="84" vm="9644">
        <v>2</v>
      </c>
      <c r="J198" s="84" vm="9698">
        <v>0</v>
      </c>
      <c r="K198" s="5">
        <f xml:space="preserve"> SUM( VfM_Metrics_2023_Entity[[#This Row],[Tangible fixed assets: Housing properties at cost (Current period)]],VfM_Metrics_2023_Entity[[#This Row],[Tangible fixed assets Housing properties at valuation (Current period)]] )</f>
        <v>95601</v>
      </c>
      <c r="L198" s="84" vm="10050">
        <v>95601</v>
      </c>
      <c r="M198" s="84" vm="10426">
        <v>0</v>
      </c>
      <c r="N198" s="134">
        <f xml:space="preserve"> IFERROR( VfM_Metrics_2023_Entity[[#This Row],[Total social units developed or newly built units acquired in-year]] / VfM_Metrics_2023_Entity[[#This Row],[Social housing units owned (period end)]], "n/a" )</f>
        <v>0</v>
      </c>
      <c r="O198" s="5">
        <f xml:space="preserve"> SUM( VfM_Metrics_2023_Entity[[#This Row],[Total social units developed or newly built units acquired in-year (owned)]], VfM_Metrics_2023_Entity[[#This Row],[Total social leasehold units developed or newly built units acquired in-year (owned)]] )</f>
        <v>0</v>
      </c>
      <c r="P198" s="84" vm="10982">
        <v>0</v>
      </c>
      <c r="Q198" s="84" vm="11152">
        <v>0</v>
      </c>
      <c r="R198" s="5">
        <f xml:space="preserve"> SUM( VfM_Metrics_2023_Entity[[#This Row],[Total social housing units owned (Period end)]], VfM_Metrics_2023_Entity[[#This Row],[Total social leasehold units owned (Period end)]] )</f>
        <v>1426</v>
      </c>
      <c r="S198" s="84" vm="11280">
        <v>1426</v>
      </c>
      <c r="T198" s="135" vm="11520">
        <v>0</v>
      </c>
      <c r="U198" s="136">
        <f xml:space="preserve"> IFERROR( VfM_Metrics_2023_Entity[[#This Row],[Total non-social housing units developed or newly built units acquired (owned)]] / VfM_Metrics_2023_Entity[[#This Row],[Total social and non-social housing units owned (Period end)]], "n/a" )</f>
        <v>0</v>
      </c>
      <c r="V19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198" s="84" vm="11628">
        <v>0</v>
      </c>
      <c r="X198" s="84" vm="11812">
        <v>0</v>
      </c>
      <c r="Y198" s="84" vm="11859">
        <v>0</v>
      </c>
      <c r="Z19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1495</v>
      </c>
      <c r="AA198" s="84" vm="11977">
        <v>1426</v>
      </c>
      <c r="AB198" s="84" vm="11540">
        <v>0</v>
      </c>
      <c r="AC198" s="84" vm="12400">
        <v>0</v>
      </c>
      <c r="AD198" s="135" vm="12534">
        <v>69</v>
      </c>
      <c r="AE198" s="134">
        <f xml:space="preserve"> IFERROR( VfM_Metrics_2023_Entity[[#This Row],[Total Net Debt]] / VfM_Metrics_2023_Entity[[#This Row],[Net Book Value of Housing Properties2]], "n/a" )</f>
        <v>0.66211650505747843</v>
      </c>
      <c r="AF19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63299</v>
      </c>
      <c r="AG198" s="84" vm="12627">
        <v>954</v>
      </c>
      <c r="AH198" s="84" vm="13085">
        <v>44383</v>
      </c>
      <c r="AI198" s="84" vm="13171">
        <v>5766</v>
      </c>
      <c r="AJ198" s="84" vm="12807">
        <v>0</v>
      </c>
      <c r="AK198" s="84" vm="13314">
        <v>23728</v>
      </c>
      <c r="AL198" s="5">
        <f xml:space="preserve"> SUM( VfM_Metrics_2023_Entity[[#This Row],[Tangible fixed assets: Housing properties at cost (Current period)2]], VfM_Metrics_2023_Entity[[#This Row],[Tangible fixed assets Housing properties at valuation (Current period)2]] )</f>
        <v>95601</v>
      </c>
      <c r="AM198" s="84" vm="10062">
        <v>95601</v>
      </c>
      <c r="AN198" s="135" vm="10113">
        <v>0</v>
      </c>
      <c r="AO198" s="137">
        <f xml:space="preserve"> IFERROR( VfM_Metrics_2023_Entity[[#This Row],[EBITDA MRI]] / VfM_Metrics_2023_Entity[[#This Row],[Total interest]], "n/a" )</f>
        <v>4.5569737758180553</v>
      </c>
      <c r="AP19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19636</v>
      </c>
      <c r="AQ198" s="84" vm="13530">
        <v>2172</v>
      </c>
      <c r="AR198" s="84" vm="14103">
        <v>200</v>
      </c>
      <c r="AS198" s="84" vm="14345">
        <v>0</v>
      </c>
      <c r="AT198" s="84" vm="15068">
        <v>155</v>
      </c>
      <c r="AU198" s="84" vm="14836">
        <v>0</v>
      </c>
      <c r="AV198" s="84" vm="15079">
        <v>13108</v>
      </c>
      <c r="AW198" s="84" vm="13849">
        <v>326</v>
      </c>
      <c r="AX198" s="84" vm="14104">
        <v>5037</v>
      </c>
      <c r="AY198" s="5">
        <f xml:space="preserve"> - SUM( VfM_Metrics_2023_Entity[[#This Row],[Interest capitalised]], VfM_Metrics_2023_Entity[[#This Row],[Interest payable and financing costs]] )</f>
        <v>4309</v>
      </c>
      <c r="AZ198" s="84" vm="15206">
        <v>-2</v>
      </c>
      <c r="BA198" s="135" vm="15374">
        <v>-4307</v>
      </c>
      <c r="BB198" s="138">
        <f xml:space="preserve"> IFERROR( ( VfM_Metrics_2023_Entity[[#This Row],[Total Costs]] / VfM_Metrics_2023_Entity[[#This Row],[Total units for costs]] ) * 1000, "n/a" )</f>
        <v>5254.5582047685839</v>
      </c>
      <c r="BC19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7493</v>
      </c>
      <c r="BD198" s="84" vm="16227">
        <v>2870</v>
      </c>
      <c r="BE198" s="84" vm="16938">
        <v>2431</v>
      </c>
      <c r="BF198" s="84" vm="17163">
        <v>904</v>
      </c>
      <c r="BG198" s="84" vm="17400">
        <v>459</v>
      </c>
      <c r="BH198" s="84" vm="16263">
        <v>11</v>
      </c>
      <c r="BI198" s="84" vm="16531">
        <v>118</v>
      </c>
      <c r="BJ198" s="84" vm="14323">
        <v>326</v>
      </c>
      <c r="BK198" s="84" vm="16939">
        <v>0</v>
      </c>
      <c r="BL198" s="84" vm="17401">
        <v>0</v>
      </c>
      <c r="BM198" s="84" vm="16264">
        <v>374</v>
      </c>
      <c r="BN198" s="84" vm="16532">
        <v>0</v>
      </c>
      <c r="BO198" s="84" vm="17164">
        <v>0</v>
      </c>
      <c r="BP198" s="5" vm="17683">
        <f xml:space="preserve"> VfM_Metrics_2023_Entity[[#This Row],[Total social housing units owned and/or managed at period end]]</f>
        <v>1426</v>
      </c>
      <c r="BQ198" s="135" vm="17683">
        <v>1426</v>
      </c>
      <c r="BR198" s="134">
        <f xml:space="preserve"> IFERROR( VfM_Metrics_2023_Entity[[#This Row],[SHL operating surplus / (deficit)]] / VfM_Metrics_2023_Entity[[#This Row],[Turnover from social housing lettings]], "n/a" )</f>
        <v>0.24852307201021875</v>
      </c>
      <c r="BS198" s="5" vm="17937">
        <f xml:space="preserve"> VfM_Metrics_2023_Entity[[#This Row],[Operating surplus/(deficit) (social housing lettings)]]</f>
        <v>3113</v>
      </c>
      <c r="BT198" s="84" vm="17937">
        <v>3113</v>
      </c>
      <c r="BU198" s="5" vm="18136">
        <f xml:space="preserve"> VfM_Metrics_2023_Entity[[#This Row],[Turnover from social housing lettings]]</f>
        <v>12526</v>
      </c>
      <c r="BV198" s="135" vm="18136">
        <v>12526</v>
      </c>
      <c r="BW198" s="134">
        <f xml:space="preserve"> IFERROR( VfM_Metrics_2023_Entity[[#This Row],[Net operating surplus]] / VfM_Metrics_2023_Entity[[#This Row],[Overall turnover]], "n/a" )</f>
        <v>9.6336101612115296E-2</v>
      </c>
      <c r="BX198" s="5">
        <f xml:space="preserve"> SUM( VfM_Metrics_2023_Entity[[#This Row],[Operating surplus/(deficit) (overall)2]], - VfM_Metrics_2023_Entity[[#This Row],[Gain/(loss) on disposal of fixed assets (housing properties)2]], - VfM_Metrics_2023_Entity[[#This Row],[Gain/(loss) on disposal of fixed assets (other)2]] )</f>
        <v>1972</v>
      </c>
      <c r="BY198" s="84" vm="13530">
        <v>2172</v>
      </c>
      <c r="BZ198" s="84" vm="14103">
        <v>200</v>
      </c>
      <c r="CA198" s="84" vm="14345">
        <v>0</v>
      </c>
      <c r="CB198" s="5" vm="18288">
        <f xml:space="preserve"> VfM_Metrics_2023_Entity[[#This Row],[Turnover (overall)]]</f>
        <v>20470</v>
      </c>
      <c r="CC198" s="135" vm="18288">
        <v>20470</v>
      </c>
      <c r="CD198" s="134">
        <f xml:space="preserve"> IFERROR( VfM_Metrics_2023_Entity[[#This Row],[Operating surplus including from JVs]] / VfM_Metrics_2023_Entity[[#This Row],[Net assets]], "n/a" )</f>
        <v>1.4468232504229893E-2</v>
      </c>
      <c r="CE198" s="5">
        <f xml:space="preserve"> SUM( VfM_Metrics_2023_Entity[[#This Row],[Operating surplus/(deficit) (overall)3]], VfM_Metrics_2023_Entity[[#This Row],[Share of operating surplus/(deficit) in joint ventures or associates]] )</f>
        <v>2172</v>
      </c>
      <c r="CF198" s="84" vm="13530">
        <v>2172</v>
      </c>
      <c r="CG198" s="84" vm="18488">
        <v>0</v>
      </c>
      <c r="CH198" s="5" vm="18674">
        <f xml:space="preserve"> VfM_Metrics_2023_Entity[[#This Row],[Total assets less current liabilities]]</f>
        <v>150122</v>
      </c>
      <c r="CI198" s="135" vm="18674">
        <v>150122</v>
      </c>
      <c r="CJ198" s="140" vm="11280">
        <f xml:space="preserve"> VfM_Metrics_2023_Entity[[#This Row],[Total social housing units owned (Period end)]]</f>
        <v>1426</v>
      </c>
      <c r="CK198" s="141">
        <v>0</v>
      </c>
      <c r="CL198" s="69">
        <f xml:space="preserve"> -- ( VfM_Metrics_2023_Entity[[#This Row],[% Supported housing (excl. HOP)]] &gt; 0.3 )</f>
        <v>0</v>
      </c>
      <c r="CM198" s="9">
        <v>0</v>
      </c>
      <c r="CN198" s="69">
        <f xml:space="preserve"> -- ( VfM_Metrics_2023_Entity[[#This Row],[% Housing for older people]] &gt; 0.3 )</f>
        <v>0</v>
      </c>
      <c r="CO198" s="9">
        <f xml:space="preserve"> VfM_Metrics_2023_Entity[[#This Row],[% Supported housing (excl. HOP)]] + VfM_Metrics_2023_Entity[[#This Row],[% Housing for older people]]</f>
        <v>0</v>
      </c>
      <c r="CP198" s="69">
        <f xml:space="preserve"> -- ( VfM_Metrics_2023_Entity[[#This Row],[SH specialist in RSH analysis]] + VfM_Metrics_2023_Entity[[#This Row],[OP specialist in RSH analysis]] &gt; 0 )</f>
        <v>0</v>
      </c>
      <c r="CQ198" s="142">
        <f xml:space="preserve"> -- ( VfM_Metrics_2023_Entity[[#This Row],[% SH and OP]] &gt; 0.3 )</f>
        <v>0</v>
      </c>
      <c r="CR198" s="143" t="s">
        <v>143</v>
      </c>
      <c r="CS198" s="120"/>
      <c r="CT198" s="144" t="s">
        <v>144</v>
      </c>
      <c r="CU19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198" s="146">
        <v>0.84291725105189341</v>
      </c>
      <c r="CW198" s="146">
        <v>0.15708274894810659</v>
      </c>
      <c r="CX198" s="146">
        <v>0</v>
      </c>
      <c r="CY198" s="146">
        <v>0</v>
      </c>
      <c r="CZ198" s="146">
        <v>0</v>
      </c>
      <c r="DA198" s="146">
        <v>0</v>
      </c>
      <c r="DB198" s="146">
        <v>0</v>
      </c>
      <c r="DC198" s="146">
        <v>0</v>
      </c>
      <c r="DD198" s="146">
        <v>0</v>
      </c>
      <c r="DE198" s="126">
        <v>1.1404743387675056</v>
      </c>
    </row>
    <row r="199" spans="1:109" x14ac:dyDescent="0.25">
      <c r="A199" s="4" t="s" vm="201">
        <v>470</v>
      </c>
      <c r="B199" s="4" t="s" vm="9321">
        <v>471</v>
      </c>
      <c r="C199" s="121" vm="18867">
        <v>45016</v>
      </c>
      <c r="D199" s="68">
        <f>IFERROR( VfM_Metrics_2023_Entity[[#This Row],[Reinvestment Spend]] / VfM_Metrics_2023_Entity[[#This Row],[Net Book Value of Housing Properties]], "n/a" )</f>
        <v>2.8027084998107413E-2</v>
      </c>
      <c r="E19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3332</v>
      </c>
      <c r="F199" s="84" vm="10338">
        <v>512</v>
      </c>
      <c r="G199" s="84" vm="10808">
        <v>0</v>
      </c>
      <c r="H199" s="84" vm="9528">
        <v>2820</v>
      </c>
      <c r="I199" s="84" vm="9587">
        <v>0</v>
      </c>
      <c r="J199" s="84" vm="10244">
        <v>0</v>
      </c>
      <c r="K199" s="5">
        <f xml:space="preserve"> SUM( VfM_Metrics_2023_Entity[[#This Row],[Tangible fixed assets: Housing properties at cost (Current period)]],VfM_Metrics_2023_Entity[[#This Row],[Tangible fixed assets Housing properties at valuation (Current period)]] )</f>
        <v>118885</v>
      </c>
      <c r="L199" s="84" vm="10066">
        <v>118885</v>
      </c>
      <c r="M199" s="84">
        <v>0</v>
      </c>
      <c r="N199" s="134">
        <f xml:space="preserve"> IFERROR( VfM_Metrics_2023_Entity[[#This Row],[Total social units developed or newly built units acquired in-year]] / VfM_Metrics_2023_Entity[[#This Row],[Social housing units owned (period end)]], "n/a" )</f>
        <v>4.0302267002518891E-3</v>
      </c>
      <c r="O199" s="5">
        <f xml:space="preserve"> SUM( VfM_Metrics_2023_Entity[[#This Row],[Total social units developed or newly built units acquired in-year (owned)]], VfM_Metrics_2023_Entity[[#This Row],[Total social leasehold units developed or newly built units acquired in-year (owned)]] )</f>
        <v>8</v>
      </c>
      <c r="P199" s="84" vm="11035">
        <v>0</v>
      </c>
      <c r="Q199" s="84" vm="11165">
        <v>8</v>
      </c>
      <c r="R199" s="5">
        <f xml:space="preserve"> SUM( VfM_Metrics_2023_Entity[[#This Row],[Total social housing units owned (Period end)]], VfM_Metrics_2023_Entity[[#This Row],[Total social leasehold units owned (Period end)]] )</f>
        <v>1985</v>
      </c>
      <c r="S199" s="84" vm="11331">
        <v>1873</v>
      </c>
      <c r="T199" s="135" vm="11552">
        <v>112</v>
      </c>
      <c r="U199" s="136">
        <f xml:space="preserve"> IFERROR( VfM_Metrics_2023_Entity[[#This Row],[Total non-social housing units developed or newly built units acquired (owned)]] / VfM_Metrics_2023_Entity[[#This Row],[Total social and non-social housing units owned (Period end)]], "n/a" )</f>
        <v>1.1994002998500749E-2</v>
      </c>
      <c r="V19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24</v>
      </c>
      <c r="W199" s="84" vm="11645">
        <v>16</v>
      </c>
      <c r="X199" s="84">
        <v>0</v>
      </c>
      <c r="Y199" s="84" vm="11941">
        <v>8</v>
      </c>
      <c r="Z19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2001</v>
      </c>
      <c r="AA199" s="84" vm="11331">
        <v>1873</v>
      </c>
      <c r="AB199" s="84" vm="12214">
        <v>112</v>
      </c>
      <c r="AC199" s="84" vm="12153">
        <v>16</v>
      </c>
      <c r="AD199" s="135" vm="12307">
        <v>0</v>
      </c>
      <c r="AE199" s="134">
        <f xml:space="preserve"> IFERROR( VfM_Metrics_2023_Entity[[#This Row],[Total Net Debt]] / VfM_Metrics_2023_Entity[[#This Row],[Net Book Value of Housing Properties2]], "n/a" )</f>
        <v>-0.12930142574757117</v>
      </c>
      <c r="AF19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-15372</v>
      </c>
      <c r="AG199" s="84">
        <v>0</v>
      </c>
      <c r="AH199" s="84">
        <v>0</v>
      </c>
      <c r="AI199" s="84" vm="12961">
        <v>15372</v>
      </c>
      <c r="AJ199" s="84">
        <v>0</v>
      </c>
      <c r="AK199" s="84">
        <v>0</v>
      </c>
      <c r="AL199" s="5">
        <f xml:space="preserve"> SUM( VfM_Metrics_2023_Entity[[#This Row],[Tangible fixed assets: Housing properties at cost (Current period)2]], VfM_Metrics_2023_Entity[[#This Row],[Tangible fixed assets Housing properties at valuation (Current period)2]] )</f>
        <v>118885</v>
      </c>
      <c r="AM199" s="84" vm="10066">
        <v>118885</v>
      </c>
      <c r="AN199" s="135">
        <v>0</v>
      </c>
      <c r="AO199" s="137">
        <f xml:space="preserve"> IFERROR( VfM_Metrics_2023_Entity[[#This Row],[EBITDA MRI]] / VfM_Metrics_2023_Entity[[#This Row],[Total interest]], "n/a" )</f>
        <v>-28.52671755725191</v>
      </c>
      <c r="AP19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-7474</v>
      </c>
      <c r="AQ199" s="84" vm="13558">
        <v>-7507</v>
      </c>
      <c r="AR199" s="84" vm="14346">
        <v>-185</v>
      </c>
      <c r="AS199" s="84" vm="15069">
        <v>0</v>
      </c>
      <c r="AT199" s="84" vm="14837">
        <v>125</v>
      </c>
      <c r="AU199" s="84" vm="15080">
        <v>0</v>
      </c>
      <c r="AV199" s="84" vm="13850">
        <v>264</v>
      </c>
      <c r="AW199" s="84" vm="14105">
        <v>2820</v>
      </c>
      <c r="AX199" s="84" vm="14347">
        <v>2529</v>
      </c>
      <c r="AY199" s="5">
        <f xml:space="preserve"> - SUM( VfM_Metrics_2023_Entity[[#This Row],[Interest capitalised]], VfM_Metrics_2023_Entity[[#This Row],[Interest payable and financing costs]] )</f>
        <v>262</v>
      </c>
      <c r="AZ199" s="84" vm="15303">
        <v>0</v>
      </c>
      <c r="BA199" s="135" vm="15404">
        <v>-262</v>
      </c>
      <c r="BB199" s="138">
        <f xml:space="preserve"> IFERROR( ( VfM_Metrics_2023_Entity[[#This Row],[Total Costs]] / VfM_Metrics_2023_Entity[[#This Row],[Total units for costs]] ) * 1000, "n/a" )</f>
        <v>27800.320341697814</v>
      </c>
      <c r="BC19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52070</v>
      </c>
      <c r="BD199" s="84" vm="15587">
        <v>9418</v>
      </c>
      <c r="BE199" s="84" vm="16940">
        <v>8930</v>
      </c>
      <c r="BF199" s="84" vm="17165">
        <v>3379</v>
      </c>
      <c r="BG199" s="84" vm="17402">
        <v>0</v>
      </c>
      <c r="BH199" s="84" vm="16266">
        <v>589</v>
      </c>
      <c r="BI199" s="84" vm="16533">
        <v>0</v>
      </c>
      <c r="BJ199" s="84" vm="14105">
        <v>2820</v>
      </c>
      <c r="BK199" s="84" vm="16941">
        <v>613</v>
      </c>
      <c r="BL199" s="84">
        <v>0</v>
      </c>
      <c r="BM199" s="84">
        <v>0</v>
      </c>
      <c r="BN199" s="84">
        <v>0</v>
      </c>
      <c r="BO199" s="84" vm="17166">
        <v>26321</v>
      </c>
      <c r="BP199" s="5" vm="17816">
        <f xml:space="preserve"> VfM_Metrics_2023_Entity[[#This Row],[Total social housing units owned and/or managed at period end]]</f>
        <v>1873</v>
      </c>
      <c r="BQ199" s="135" vm="17816">
        <v>1873</v>
      </c>
      <c r="BR199" s="134">
        <f xml:space="preserve"> IFERROR( VfM_Metrics_2023_Entity[[#This Row],[SHL operating surplus / (deficit)]] / VfM_Metrics_2023_Entity[[#This Row],[Turnover from social housing lettings]], "n/a" )</f>
        <v>0.35897679500273139</v>
      </c>
      <c r="BS199" s="5" vm="17975">
        <f xml:space="preserve"> VfM_Metrics_2023_Entity[[#This Row],[Operating surplus/(deficit) (social housing lettings)]]</f>
        <v>15114</v>
      </c>
      <c r="BT199" s="84" vm="17975">
        <v>15114</v>
      </c>
      <c r="BU199" s="5" vm="18150">
        <f xml:space="preserve"> VfM_Metrics_2023_Entity[[#This Row],[Turnover from social housing lettings]]</f>
        <v>42103</v>
      </c>
      <c r="BV199" s="135" vm="18150">
        <v>42103</v>
      </c>
      <c r="BW199" s="134">
        <f xml:space="preserve"> IFERROR( VfM_Metrics_2023_Entity[[#This Row],[Net operating surplus]] / VfM_Metrics_2023_Entity[[#This Row],[Overall turnover]], "n/a" )</f>
        <v>-0.14473788250177907</v>
      </c>
      <c r="BX199" s="5">
        <f xml:space="preserve"> SUM( VfM_Metrics_2023_Entity[[#This Row],[Operating surplus/(deficit) (overall)2]], - VfM_Metrics_2023_Entity[[#This Row],[Gain/(loss) on disposal of fixed assets (housing properties)2]], - VfM_Metrics_2023_Entity[[#This Row],[Gain/(loss) on disposal of fixed assets (other)2]] )</f>
        <v>-7322</v>
      </c>
      <c r="BY199" s="84" vm="13558">
        <v>-7507</v>
      </c>
      <c r="BZ199" s="84" vm="14346">
        <v>-185</v>
      </c>
      <c r="CA199" s="84" vm="15069">
        <v>0</v>
      </c>
      <c r="CB199" s="5" vm="18314">
        <f xml:space="preserve"> VfM_Metrics_2023_Entity[[#This Row],[Turnover (overall)]]</f>
        <v>50588</v>
      </c>
      <c r="CC199" s="135" vm="18314">
        <v>50588</v>
      </c>
      <c r="CD199" s="134">
        <f xml:space="preserve"> IFERROR( VfM_Metrics_2023_Entity[[#This Row],[Operating surplus including from JVs]] / VfM_Metrics_2023_Entity[[#This Row],[Net assets]], "n/a" )</f>
        <v>-5.6331369827036355E-2</v>
      </c>
      <c r="CE199" s="5">
        <f xml:space="preserve"> SUM( VfM_Metrics_2023_Entity[[#This Row],[Operating surplus/(deficit) (overall)3]], VfM_Metrics_2023_Entity[[#This Row],[Share of operating surplus/(deficit) in joint ventures or associates]] )</f>
        <v>-7507</v>
      </c>
      <c r="CF199" s="84" vm="13558">
        <v>-7507</v>
      </c>
      <c r="CG199" s="84" vm="18505">
        <v>0</v>
      </c>
      <c r="CH199" s="5" vm="18701">
        <f xml:space="preserve"> VfM_Metrics_2023_Entity[[#This Row],[Total assets less current liabilities]]</f>
        <v>133265</v>
      </c>
      <c r="CI199" s="135" vm="18701">
        <v>133265</v>
      </c>
      <c r="CJ199" s="140" vm="11331">
        <f xml:space="preserve"> VfM_Metrics_2023_Entity[[#This Row],[Total social housing units owned (Period end)]]</f>
        <v>1873</v>
      </c>
      <c r="CK199" s="141">
        <v>0</v>
      </c>
      <c r="CL199" s="69">
        <f xml:space="preserve"> -- ( VfM_Metrics_2023_Entity[[#This Row],[% Supported housing (excl. HOP)]] &gt; 0.3 )</f>
        <v>0</v>
      </c>
      <c r="CM199" s="9">
        <v>0.60794780545670224</v>
      </c>
      <c r="CN199" s="69">
        <f xml:space="preserve"> -- ( VfM_Metrics_2023_Entity[[#This Row],[% Housing for older people]] &gt; 0.3 )</f>
        <v>1</v>
      </c>
      <c r="CO199" s="9">
        <f xml:space="preserve"> VfM_Metrics_2023_Entity[[#This Row],[% Supported housing (excl. HOP)]] + VfM_Metrics_2023_Entity[[#This Row],[% Housing for older people]]</f>
        <v>0.60794780545670224</v>
      </c>
      <c r="CP199" s="69">
        <f xml:space="preserve"> -- ( VfM_Metrics_2023_Entity[[#This Row],[SH specialist in RSH analysis]] + VfM_Metrics_2023_Entity[[#This Row],[OP specialist in RSH analysis]] &gt; 0 )</f>
        <v>1</v>
      </c>
      <c r="CQ199" s="142">
        <f xml:space="preserve"> -- ( VfM_Metrics_2023_Entity[[#This Row],[% SH and OP]] &gt; 0.3 )</f>
        <v>1</v>
      </c>
      <c r="CR199" s="143" t="s">
        <v>143</v>
      </c>
      <c r="CS199" s="120"/>
      <c r="CT199" s="144" t="s">
        <v>144</v>
      </c>
      <c r="CU19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199" s="146">
        <v>3.7100949094046591E-2</v>
      </c>
      <c r="CW199" s="146">
        <v>0.16134598792062121</v>
      </c>
      <c r="CX199" s="146">
        <v>0.22433132010353754</v>
      </c>
      <c r="CY199" s="146">
        <v>8.8869715271786026E-2</v>
      </c>
      <c r="CZ199" s="146">
        <v>6.9887834339948232E-2</v>
      </c>
      <c r="DA199" s="146">
        <v>7.2476272648835202E-2</v>
      </c>
      <c r="DB199" s="146">
        <v>8.1104400345125102E-2</v>
      </c>
      <c r="DC199" s="146">
        <v>0.16307161345987919</v>
      </c>
      <c r="DD199" s="146">
        <v>0.10181190681622088</v>
      </c>
      <c r="DE199" s="126">
        <v>0.97946148618383755</v>
      </c>
    </row>
    <row r="200" spans="1:109" x14ac:dyDescent="0.25">
      <c r="A200" s="4" t="s" vm="314">
        <v>472</v>
      </c>
      <c r="B200" s="4" t="s" vm="10198">
        <v>473</v>
      </c>
      <c r="C200" s="121" vm="18902">
        <v>45016</v>
      </c>
      <c r="D200" s="68">
        <f>IFERROR( VfM_Metrics_2023_Entity[[#This Row],[Reinvestment Spend]] / VfM_Metrics_2023_Entity[[#This Row],[Net Book Value of Housing Properties]], "n/a" )</f>
        <v>4.0102403103323581E-2</v>
      </c>
      <c r="E20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9759</v>
      </c>
      <c r="F200" s="84" vm="9459">
        <v>7373</v>
      </c>
      <c r="G200" s="84" vm="9600">
        <v>0</v>
      </c>
      <c r="H200" s="84" vm="10565">
        <v>2268</v>
      </c>
      <c r="I200" s="84" vm="9529">
        <v>118</v>
      </c>
      <c r="J200" s="84" vm="9588">
        <v>0</v>
      </c>
      <c r="K200" s="5">
        <f xml:space="preserve"> SUM( VfM_Metrics_2023_Entity[[#This Row],[Tangible fixed assets: Housing properties at cost (Current period)]],VfM_Metrics_2023_Entity[[#This Row],[Tangible fixed assets Housing properties at valuation (Current period)]] )</f>
        <v>243352</v>
      </c>
      <c r="L200" s="84" vm="10592">
        <v>243352</v>
      </c>
      <c r="M200" s="84">
        <v>0</v>
      </c>
      <c r="N200" s="134">
        <f xml:space="preserve"> IFERROR( VfM_Metrics_2023_Entity[[#This Row],[Total social units developed or newly built units acquired in-year]] / VfM_Metrics_2023_Entity[[#This Row],[Social housing units owned (period end)]], "n/a" )</f>
        <v>1.2804097311139564E-2</v>
      </c>
      <c r="O200" s="5">
        <f xml:space="preserve"> SUM( VfM_Metrics_2023_Entity[[#This Row],[Total social units developed or newly built units acquired in-year (owned)]], VfM_Metrics_2023_Entity[[#This Row],[Total social leasehold units developed or newly built units acquired in-year (owned)]] )</f>
        <v>40</v>
      </c>
      <c r="P200" s="84" vm="11058">
        <v>40</v>
      </c>
      <c r="Q200" s="84">
        <v>0</v>
      </c>
      <c r="R200" s="5">
        <f xml:space="preserve"> SUM( VfM_Metrics_2023_Entity[[#This Row],[Total social housing units owned (Period end)]], VfM_Metrics_2023_Entity[[#This Row],[Total social leasehold units owned (Period end)]] )</f>
        <v>3124</v>
      </c>
      <c r="S200" s="84" vm="11392">
        <v>3066</v>
      </c>
      <c r="T200" s="135" vm="11540">
        <v>58</v>
      </c>
      <c r="U200" s="136">
        <f xml:space="preserve"> IFERROR( VfM_Metrics_2023_Entity[[#This Row],[Total non-social housing units developed or newly built units acquired (owned)]] / VfM_Metrics_2023_Entity[[#This Row],[Total social and non-social housing units owned (Period end)]], "n/a" )</f>
        <v>0</v>
      </c>
      <c r="V20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00" s="84">
        <v>0</v>
      </c>
      <c r="X200" s="84">
        <v>0</v>
      </c>
      <c r="Y200" s="84" vm="11771">
        <v>0</v>
      </c>
      <c r="Z20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3125</v>
      </c>
      <c r="AA200" s="84" vm="12034">
        <v>3066</v>
      </c>
      <c r="AB200" s="84" vm="11540">
        <v>58</v>
      </c>
      <c r="AC200" s="84" vm="12401">
        <v>1</v>
      </c>
      <c r="AD200" s="135" vm="12535">
        <v>0</v>
      </c>
      <c r="AE200" s="134">
        <f xml:space="preserve"> IFERROR( VfM_Metrics_2023_Entity[[#This Row],[Total Net Debt]] / VfM_Metrics_2023_Entity[[#This Row],[Net Book Value of Housing Properties2]], "n/a" )</f>
        <v>0.49121437259607481</v>
      </c>
      <c r="AF20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119538</v>
      </c>
      <c r="AG200" s="84" vm="12679">
        <v>1807</v>
      </c>
      <c r="AH200" s="84" vm="12808">
        <v>133020</v>
      </c>
      <c r="AI200" s="84" vm="13253">
        <v>15289</v>
      </c>
      <c r="AJ200" s="84">
        <v>0</v>
      </c>
      <c r="AK200" s="84">
        <v>0</v>
      </c>
      <c r="AL200" s="5">
        <f xml:space="preserve"> SUM( VfM_Metrics_2023_Entity[[#This Row],[Tangible fixed assets: Housing properties at cost (Current period)2]], VfM_Metrics_2023_Entity[[#This Row],[Tangible fixed assets Housing properties at valuation (Current period)2]] )</f>
        <v>243352</v>
      </c>
      <c r="AM200" s="84" vm="13386">
        <v>243352</v>
      </c>
      <c r="AN200" s="135">
        <v>0</v>
      </c>
      <c r="AO200" s="137">
        <f xml:space="preserve"> IFERROR( VfM_Metrics_2023_Entity[[#This Row],[EBITDA MRI]] / VfM_Metrics_2023_Entity[[#This Row],[Total interest]], "n/a" )</f>
        <v>1.3466591326458539</v>
      </c>
      <c r="AP20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9533</v>
      </c>
      <c r="AQ200" s="84" vm="13589">
        <v>11781</v>
      </c>
      <c r="AR200" s="84" vm="15070">
        <v>2037</v>
      </c>
      <c r="AS200" s="84">
        <v>0</v>
      </c>
      <c r="AT200" s="84" vm="15081">
        <v>850</v>
      </c>
      <c r="AU200" s="84" vm="13851">
        <v>0</v>
      </c>
      <c r="AV200" s="84" vm="14106">
        <v>316</v>
      </c>
      <c r="AW200" s="84" vm="14348">
        <v>2268</v>
      </c>
      <c r="AX200" s="84" vm="14594">
        <v>2591</v>
      </c>
      <c r="AY200" s="5">
        <f xml:space="preserve"> - SUM( VfM_Metrics_2023_Entity[[#This Row],[Interest capitalised]], VfM_Metrics_2023_Entity[[#This Row],[Interest payable and financing costs]] )</f>
        <v>7079</v>
      </c>
      <c r="AZ200" s="84" vm="15262">
        <v>-118</v>
      </c>
      <c r="BA200" s="135" vm="15437">
        <v>-6961</v>
      </c>
      <c r="BB200" s="138">
        <f xml:space="preserve"> IFERROR( ( VfM_Metrics_2023_Entity[[#This Row],[Total Costs]] / VfM_Metrics_2023_Entity[[#This Row],[Total units for costs]] ) * 1000, "n/a" )</f>
        <v>6289.3020221787347</v>
      </c>
      <c r="BC20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19283</v>
      </c>
      <c r="BD200" s="84" vm="15575">
        <v>4481</v>
      </c>
      <c r="BE200" s="84" vm="16942">
        <v>1966</v>
      </c>
      <c r="BF200" s="84" vm="17167">
        <v>1706</v>
      </c>
      <c r="BG200" s="84" vm="17403">
        <v>768</v>
      </c>
      <c r="BH200" s="84" vm="16268">
        <v>0</v>
      </c>
      <c r="BI200" s="84" vm="16534">
        <v>0</v>
      </c>
      <c r="BJ200" s="84" vm="16228">
        <v>2268</v>
      </c>
      <c r="BK200" s="84" vm="16943">
        <v>1496</v>
      </c>
      <c r="BL200" s="84">
        <v>0</v>
      </c>
      <c r="BM200" s="84" vm="16270">
        <v>1151</v>
      </c>
      <c r="BN200" s="84" vm="16535">
        <v>745</v>
      </c>
      <c r="BO200" s="84" vm="17168">
        <v>4702</v>
      </c>
      <c r="BP200" s="5" vm="17718">
        <f xml:space="preserve"> VfM_Metrics_2023_Entity[[#This Row],[Total social housing units owned and/or managed at period end]]</f>
        <v>3066</v>
      </c>
      <c r="BQ200" s="135" vm="17718">
        <v>3066</v>
      </c>
      <c r="BR200" s="134">
        <f xml:space="preserve"> IFERROR( VfM_Metrics_2023_Entity[[#This Row],[SHL operating surplus / (deficit)]] / VfM_Metrics_2023_Entity[[#This Row],[Turnover from social housing lettings]], "n/a" )</f>
        <v>0.39044371833120234</v>
      </c>
      <c r="BS200" s="5" vm="18004">
        <f xml:space="preserve"> VfM_Metrics_2023_Entity[[#This Row],[Operating surplus/(deficit) (social housing lettings)]]</f>
        <v>8245</v>
      </c>
      <c r="BT200" s="84" vm="18004">
        <v>8245</v>
      </c>
      <c r="BU200" s="5" vm="18186">
        <f xml:space="preserve"> VfM_Metrics_2023_Entity[[#This Row],[Turnover from social housing lettings]]</f>
        <v>21117</v>
      </c>
      <c r="BV200" s="135" vm="18186">
        <v>21117</v>
      </c>
      <c r="BW200" s="134">
        <f xml:space="preserve"> IFERROR( VfM_Metrics_2023_Entity[[#This Row],[Net operating surplus]] / VfM_Metrics_2023_Entity[[#This Row],[Overall turnover]], "n/a" )</f>
        <v>0.31511545178190287</v>
      </c>
      <c r="BX200" s="5">
        <f xml:space="preserve"> SUM( VfM_Metrics_2023_Entity[[#This Row],[Operating surplus/(deficit) (overall)2]], - VfM_Metrics_2023_Entity[[#This Row],[Gain/(loss) on disposal of fixed assets (housing properties)2]], - VfM_Metrics_2023_Entity[[#This Row],[Gain/(loss) on disposal of fixed assets (other)2]] )</f>
        <v>9744</v>
      </c>
      <c r="BY200" s="84" vm="18238">
        <v>11781</v>
      </c>
      <c r="BZ200" s="84" vm="15070">
        <v>2037</v>
      </c>
      <c r="CA200" s="84">
        <v>0</v>
      </c>
      <c r="CB200" s="5" vm="18359">
        <f xml:space="preserve"> VfM_Metrics_2023_Entity[[#This Row],[Turnover (overall)]]</f>
        <v>30922</v>
      </c>
      <c r="CC200" s="135" vm="18359">
        <v>30922</v>
      </c>
      <c r="CD200" s="134">
        <f xml:space="preserve"> IFERROR( VfM_Metrics_2023_Entity[[#This Row],[Operating surplus including from JVs]] / VfM_Metrics_2023_Entity[[#This Row],[Net assets]], "n/a" )</f>
        <v>4.4913021764573575E-2</v>
      </c>
      <c r="CE200" s="5">
        <f xml:space="preserve"> SUM( VfM_Metrics_2023_Entity[[#This Row],[Operating surplus/(deficit) (overall)3]], VfM_Metrics_2023_Entity[[#This Row],[Share of operating surplus/(deficit) in joint ventures or associates]] )</f>
        <v>11781</v>
      </c>
      <c r="CF200" s="84" vm="13589">
        <v>11781</v>
      </c>
      <c r="CG200" s="84">
        <v>0</v>
      </c>
      <c r="CH200" s="5" vm="18729">
        <f xml:space="preserve"> VfM_Metrics_2023_Entity[[#This Row],[Total assets less current liabilities]]</f>
        <v>262307</v>
      </c>
      <c r="CI200" s="135" vm="18729">
        <v>262307</v>
      </c>
      <c r="CJ200" s="140" vm="11392">
        <f xml:space="preserve"> VfM_Metrics_2023_Entity[[#This Row],[Total social housing units owned (Period end)]]</f>
        <v>3066</v>
      </c>
      <c r="CK200" s="141">
        <v>6.2073448163795904E-2</v>
      </c>
      <c r="CL200" s="69">
        <f xml:space="preserve"> -- ( VfM_Metrics_2023_Entity[[#This Row],[% Supported housing (excl. HOP)]] &gt; 0.3 )</f>
        <v>0</v>
      </c>
      <c r="CM200" s="9">
        <v>6.9873253168670782E-2</v>
      </c>
      <c r="CN200" s="69">
        <f xml:space="preserve"> -- ( VfM_Metrics_2023_Entity[[#This Row],[% Housing for older people]] &gt; 0.3 )</f>
        <v>0</v>
      </c>
      <c r="CO200" s="9">
        <f xml:space="preserve"> VfM_Metrics_2023_Entity[[#This Row],[% Supported housing (excl. HOP)]] + VfM_Metrics_2023_Entity[[#This Row],[% Housing for older people]]</f>
        <v>0.13194670133246669</v>
      </c>
      <c r="CP200" s="69">
        <f xml:space="preserve"> -- ( VfM_Metrics_2023_Entity[[#This Row],[SH specialist in RSH analysis]] + VfM_Metrics_2023_Entity[[#This Row],[OP specialist in RSH analysis]] &gt; 0 )</f>
        <v>0</v>
      </c>
      <c r="CQ200" s="142">
        <f xml:space="preserve"> -- ( VfM_Metrics_2023_Entity[[#This Row],[% SH and OP]] &gt; 0.3 )</f>
        <v>0</v>
      </c>
      <c r="CR200" s="143" t="s">
        <v>143</v>
      </c>
      <c r="CS200" s="120"/>
      <c r="CT200" s="144" t="s">
        <v>144</v>
      </c>
      <c r="CU20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200" s="146">
        <v>0</v>
      </c>
      <c r="CW200" s="146">
        <v>0</v>
      </c>
      <c r="CX200" s="146">
        <v>0</v>
      </c>
      <c r="CY200" s="146">
        <v>0</v>
      </c>
      <c r="CZ200" s="146">
        <v>0</v>
      </c>
      <c r="DA200" s="146">
        <v>1</v>
      </c>
      <c r="DB200" s="146">
        <v>0</v>
      </c>
      <c r="DC200" s="146">
        <v>0</v>
      </c>
      <c r="DD200" s="146">
        <v>0</v>
      </c>
      <c r="DE200" s="126">
        <v>1.0113701298544711</v>
      </c>
    </row>
    <row r="201" spans="1:109" x14ac:dyDescent="0.25">
      <c r="A201" s="4" t="s" vm="378">
        <v>474</v>
      </c>
      <c r="B201" s="4" t="s" vm="9359">
        <v>475</v>
      </c>
      <c r="C201" s="121" vm="18906">
        <v>45016</v>
      </c>
      <c r="D201" s="68">
        <f>IFERROR( VfM_Metrics_2023_Entity[[#This Row],[Reinvestment Spend]] / VfM_Metrics_2023_Entity[[#This Row],[Net Book Value of Housing Properties]], "n/a" )</f>
        <v>6.085748748126759E-2</v>
      </c>
      <c r="E20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14985</v>
      </c>
      <c r="F201" s="84" vm="10542">
        <v>7814</v>
      </c>
      <c r="G201" s="84" vm="9604">
        <v>0</v>
      </c>
      <c r="H201" s="84" vm="10862">
        <v>7007</v>
      </c>
      <c r="I201" s="84" vm="10498">
        <v>164</v>
      </c>
      <c r="J201" s="84" vm="10470">
        <v>0</v>
      </c>
      <c r="K201" s="5">
        <f xml:space="preserve"> SUM( VfM_Metrics_2023_Entity[[#This Row],[Tangible fixed assets: Housing properties at cost (Current period)]],VfM_Metrics_2023_Entity[[#This Row],[Tangible fixed assets Housing properties at valuation (Current period)]] )</f>
        <v>246231</v>
      </c>
      <c r="L201" s="84" vm="9987">
        <v>246231</v>
      </c>
      <c r="M201" s="84" vm="10156">
        <v>0</v>
      </c>
      <c r="N201" s="134">
        <f xml:space="preserve"> IFERROR( VfM_Metrics_2023_Entity[[#This Row],[Total social units developed or newly built units acquired in-year]] / VfM_Metrics_2023_Entity[[#This Row],[Social housing units owned (period end)]], "n/a" )</f>
        <v>1.4518760195758564E-2</v>
      </c>
      <c r="O201" s="5">
        <f xml:space="preserve"> SUM( VfM_Metrics_2023_Entity[[#This Row],[Total social units developed or newly built units acquired in-year (owned)]], VfM_Metrics_2023_Entity[[#This Row],[Total social leasehold units developed or newly built units acquired in-year (owned)]] )</f>
        <v>89</v>
      </c>
      <c r="P201" s="84" vm="11077">
        <v>89</v>
      </c>
      <c r="Q201" s="84" vm="11200">
        <v>0</v>
      </c>
      <c r="R201" s="5">
        <f xml:space="preserve"> SUM( VfM_Metrics_2023_Entity[[#This Row],[Total social housing units owned (Period end)]], VfM_Metrics_2023_Entity[[#This Row],[Total social leasehold units owned (Period end)]] )</f>
        <v>6130</v>
      </c>
      <c r="S201" s="84" vm="11387">
        <v>6040</v>
      </c>
      <c r="T201" s="135" vm="11507">
        <v>90</v>
      </c>
      <c r="U201" s="136">
        <f xml:space="preserve"> IFERROR( VfM_Metrics_2023_Entity[[#This Row],[Total non-social housing units developed or newly built units acquired (owned)]] / VfM_Metrics_2023_Entity[[#This Row],[Total social and non-social housing units owned (Period end)]], "n/a" )</f>
        <v>0</v>
      </c>
      <c r="V20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01" s="84" vm="11677">
        <v>0</v>
      </c>
      <c r="X201" s="84" vm="11813">
        <v>0</v>
      </c>
      <c r="Y201" s="84" vm="11860">
        <v>0</v>
      </c>
      <c r="Z20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6134</v>
      </c>
      <c r="AA201" s="84" vm="11386">
        <v>6040</v>
      </c>
      <c r="AB201" s="84" vm="12214">
        <v>90</v>
      </c>
      <c r="AC201" s="84" vm="12154">
        <v>4</v>
      </c>
      <c r="AD201" s="135" vm="12308">
        <v>0</v>
      </c>
      <c r="AE201" s="134">
        <f xml:space="preserve"> IFERROR( VfM_Metrics_2023_Entity[[#This Row],[Total Net Debt]] / VfM_Metrics_2023_Entity[[#This Row],[Net Book Value of Housing Properties2]], "n/a" )</f>
        <v>0.61566577725794069</v>
      </c>
      <c r="AF20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151596</v>
      </c>
      <c r="AG201" s="84" vm="12699">
        <v>0</v>
      </c>
      <c r="AH201" s="84" vm="12999">
        <v>172537</v>
      </c>
      <c r="AI201" s="84" vm="13085">
        <v>21009</v>
      </c>
      <c r="AJ201" s="84" vm="12809">
        <v>68</v>
      </c>
      <c r="AK201" s="84" vm="13228">
        <v>0</v>
      </c>
      <c r="AL201" s="5">
        <f xml:space="preserve"> SUM( VfM_Metrics_2023_Entity[[#This Row],[Tangible fixed assets: Housing properties at cost (Current period)2]], VfM_Metrics_2023_Entity[[#This Row],[Tangible fixed assets Housing properties at valuation (Current period)2]] )</f>
        <v>246231</v>
      </c>
      <c r="AM201" s="84" vm="9988">
        <v>246231</v>
      </c>
      <c r="AN201" s="135" vm="10156">
        <v>0</v>
      </c>
      <c r="AO201" s="137">
        <f xml:space="preserve"> IFERROR( VfM_Metrics_2023_Entity[[#This Row],[EBITDA MRI]] / VfM_Metrics_2023_Entity[[#This Row],[Total interest]], "n/a" )</f>
        <v>0.93524601152969566</v>
      </c>
      <c r="AP20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6976</v>
      </c>
      <c r="AQ201" s="84" vm="13622">
        <v>8908</v>
      </c>
      <c r="AR201" s="84" vm="14838">
        <v>606</v>
      </c>
      <c r="AS201" s="84" vm="15082">
        <v>-566</v>
      </c>
      <c r="AT201" s="84" vm="13852">
        <v>308</v>
      </c>
      <c r="AU201" s="84" vm="14107">
        <v>0</v>
      </c>
      <c r="AV201" s="84" vm="14349">
        <v>352</v>
      </c>
      <c r="AW201" s="84" vm="14595">
        <v>7007</v>
      </c>
      <c r="AX201" s="84" vm="14839">
        <v>5071</v>
      </c>
      <c r="AY201" s="5">
        <f xml:space="preserve"> - SUM( VfM_Metrics_2023_Entity[[#This Row],[Interest capitalised]], VfM_Metrics_2023_Entity[[#This Row],[Interest payable and financing costs]] )</f>
        <v>7459</v>
      </c>
      <c r="AZ201" s="84" vm="15289">
        <v>-164</v>
      </c>
      <c r="BA201" s="135" vm="15471">
        <v>-7295</v>
      </c>
      <c r="BB201" s="138">
        <f xml:space="preserve"> IFERROR( ( VfM_Metrics_2023_Entity[[#This Row],[Total Costs]] / VfM_Metrics_2023_Entity[[#This Row],[Total units for costs]] ) * 1000, "n/a" )</f>
        <v>4250.8278145695367</v>
      </c>
      <c r="BC20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25675</v>
      </c>
      <c r="BD201" s="84" vm="16229">
        <v>8001</v>
      </c>
      <c r="BE201" s="84" vm="16944">
        <v>2678</v>
      </c>
      <c r="BF201" s="84" vm="17169">
        <v>4232</v>
      </c>
      <c r="BG201" s="84" vm="17404">
        <v>1349</v>
      </c>
      <c r="BH201" s="84" vm="16272">
        <v>659</v>
      </c>
      <c r="BI201" s="84" vm="16536">
        <v>0</v>
      </c>
      <c r="BJ201" s="84" vm="16231">
        <v>7007</v>
      </c>
      <c r="BK201" s="84" vm="16944">
        <v>0</v>
      </c>
      <c r="BL201" s="84" vm="17405">
        <v>0</v>
      </c>
      <c r="BM201" s="84" vm="16273">
        <v>0</v>
      </c>
      <c r="BN201" s="84" vm="16537">
        <v>10</v>
      </c>
      <c r="BO201" s="84" vm="17170">
        <v>1739</v>
      </c>
      <c r="BP201" s="5" vm="17752">
        <f xml:space="preserve"> VfM_Metrics_2023_Entity[[#This Row],[Total social housing units owned and/or managed at period end]]</f>
        <v>6040</v>
      </c>
      <c r="BQ201" s="135" vm="17752">
        <v>6040</v>
      </c>
      <c r="BR201" s="134">
        <f xml:space="preserve"> IFERROR( VfM_Metrics_2023_Entity[[#This Row],[SHL operating surplus / (deficit)]] / VfM_Metrics_2023_Entity[[#This Row],[Turnover from social housing lettings]], "n/a" )</f>
        <v>0.31012534909397932</v>
      </c>
      <c r="BS201" s="5" vm="18033">
        <f xml:space="preserve"> VfM_Metrics_2023_Entity[[#This Row],[Operating surplus/(deficit) (social housing lettings)]]</f>
        <v>9550</v>
      </c>
      <c r="BT201" s="84" vm="18033">
        <v>9550</v>
      </c>
      <c r="BU201" s="5" vm="18205">
        <f xml:space="preserve"> VfM_Metrics_2023_Entity[[#This Row],[Turnover from social housing lettings]]</f>
        <v>30794</v>
      </c>
      <c r="BV201" s="135" vm="18205">
        <v>30794</v>
      </c>
      <c r="BW201" s="134">
        <f xml:space="preserve"> IFERROR( VfM_Metrics_2023_Entity[[#This Row],[Net operating surplus]] / VfM_Metrics_2023_Entity[[#This Row],[Overall turnover]], "n/a" )</f>
        <v>0.24033822971434765</v>
      </c>
      <c r="BX201" s="5">
        <f xml:space="preserve"> SUM( VfM_Metrics_2023_Entity[[#This Row],[Operating surplus/(deficit) (overall)2]], - VfM_Metrics_2023_Entity[[#This Row],[Gain/(loss) on disposal of fixed assets (housing properties)2]], - VfM_Metrics_2023_Entity[[#This Row],[Gain/(loss) on disposal of fixed assets (other)2]] )</f>
        <v>8868</v>
      </c>
      <c r="BY201" s="84" vm="18242">
        <v>8908</v>
      </c>
      <c r="BZ201" s="84" vm="14838">
        <v>606</v>
      </c>
      <c r="CA201" s="84" vm="15082">
        <v>-566</v>
      </c>
      <c r="CB201" s="5" vm="18384">
        <f xml:space="preserve"> VfM_Metrics_2023_Entity[[#This Row],[Turnover (overall)]]</f>
        <v>36898</v>
      </c>
      <c r="CC201" s="135" vm="18384">
        <v>36898</v>
      </c>
      <c r="CD201" s="134">
        <f xml:space="preserve"> IFERROR( VfM_Metrics_2023_Entity[[#This Row],[Operating surplus including from JVs]] / VfM_Metrics_2023_Entity[[#This Row],[Net assets]], "n/a" )</f>
        <v>3.1900302601658041E-2</v>
      </c>
      <c r="CE201" s="5">
        <f xml:space="preserve"> SUM( VfM_Metrics_2023_Entity[[#This Row],[Operating surplus/(deficit) (overall)3]], VfM_Metrics_2023_Entity[[#This Row],[Share of operating surplus/(deficit) in joint ventures or associates]] )</f>
        <v>8908</v>
      </c>
      <c r="CF201" s="84" vm="18439">
        <v>8908</v>
      </c>
      <c r="CG201" s="84" vm="18547">
        <v>0</v>
      </c>
      <c r="CH201" s="5" vm="18751">
        <f xml:space="preserve"> VfM_Metrics_2023_Entity[[#This Row],[Total assets less current liabilities]]</f>
        <v>279245</v>
      </c>
      <c r="CI201" s="135" vm="18751">
        <v>279245</v>
      </c>
      <c r="CJ201" s="140" vm="11387">
        <f xml:space="preserve"> VfM_Metrics_2023_Entity[[#This Row],[Total social housing units owned (Period end)]]</f>
        <v>6040</v>
      </c>
      <c r="CK201" s="141">
        <v>0.31937779248717524</v>
      </c>
      <c r="CL201" s="69">
        <f xml:space="preserve"> -- ( VfM_Metrics_2023_Entity[[#This Row],[% Supported housing (excl. HOP)]] &gt; 0.3 )</f>
        <v>1</v>
      </c>
      <c r="CM201" s="9">
        <v>0</v>
      </c>
      <c r="CN201" s="69">
        <f xml:space="preserve"> -- ( VfM_Metrics_2023_Entity[[#This Row],[% Housing for older people]] &gt; 0.3 )</f>
        <v>0</v>
      </c>
      <c r="CO201" s="9">
        <f xml:space="preserve"> VfM_Metrics_2023_Entity[[#This Row],[% Supported housing (excl. HOP)]] + VfM_Metrics_2023_Entity[[#This Row],[% Housing for older people]]</f>
        <v>0.31937779248717524</v>
      </c>
      <c r="CP201" s="69">
        <f xml:space="preserve"> -- ( VfM_Metrics_2023_Entity[[#This Row],[SH specialist in RSH analysis]] + VfM_Metrics_2023_Entity[[#This Row],[OP specialist in RSH analysis]] &gt; 0 )</f>
        <v>1</v>
      </c>
      <c r="CQ201" s="142">
        <f xml:space="preserve"> -- ( VfM_Metrics_2023_Entity[[#This Row],[% SH and OP]] &gt; 0.3 )</f>
        <v>1</v>
      </c>
      <c r="CR201" s="143" t="s">
        <v>143</v>
      </c>
      <c r="CS201" s="120"/>
      <c r="CT201" s="144" t="s">
        <v>151</v>
      </c>
      <c r="CU20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201" s="146">
        <v>0</v>
      </c>
      <c r="CW201" s="146">
        <v>0</v>
      </c>
      <c r="CX201" s="146">
        <v>0</v>
      </c>
      <c r="CY201" s="146">
        <v>0</v>
      </c>
      <c r="CZ201" s="146">
        <v>1</v>
      </c>
      <c r="DA201" s="146">
        <v>0</v>
      </c>
      <c r="DB201" s="146">
        <v>0</v>
      </c>
      <c r="DC201" s="146">
        <v>0</v>
      </c>
      <c r="DD201" s="146">
        <v>0</v>
      </c>
      <c r="DE201" s="126">
        <v>0.96459033333600952</v>
      </c>
    </row>
    <row r="202" spans="1:109" x14ac:dyDescent="0.25">
      <c r="A202" s="4" t="s" vm="248">
        <v>476</v>
      </c>
      <c r="B202" s="4" t="s" vm="9374">
        <v>477</v>
      </c>
      <c r="C202" s="121" vm="18927">
        <v>45016</v>
      </c>
      <c r="D202" s="68">
        <f>IFERROR( VfM_Metrics_2023_Entity[[#This Row],[Reinvestment Spend]] / VfM_Metrics_2023_Entity[[#This Row],[Net Book Value of Housing Properties]], "n/a" )</f>
        <v>9.2380437719535261E-2</v>
      </c>
      <c r="E20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341900</v>
      </c>
      <c r="F202" s="84" vm="9399">
        <v>260200</v>
      </c>
      <c r="G202" s="84" vm="10937">
        <v>0</v>
      </c>
      <c r="H202" s="84" vm="9699">
        <v>73100</v>
      </c>
      <c r="I202" s="84" vm="10860">
        <v>8600</v>
      </c>
      <c r="J202" s="84" vm="9793">
        <v>0</v>
      </c>
      <c r="K202" s="5">
        <f xml:space="preserve"> SUM( VfM_Metrics_2023_Entity[[#This Row],[Tangible fixed assets: Housing properties at cost (Current period)]],VfM_Metrics_2023_Entity[[#This Row],[Tangible fixed assets Housing properties at valuation (Current period)]] )</f>
        <v>3701000</v>
      </c>
      <c r="L202" s="84" vm="10723">
        <v>3701000</v>
      </c>
      <c r="M202" s="84" vm="10175">
        <v>0</v>
      </c>
      <c r="N202" s="134">
        <f xml:space="preserve"> IFERROR( VfM_Metrics_2023_Entity[[#This Row],[Total social units developed or newly built units acquired in-year]] / VfM_Metrics_2023_Entity[[#This Row],[Social housing units owned (period end)]], "n/a" )</f>
        <v>8.1454820988823649E-3</v>
      </c>
      <c r="O202" s="5">
        <f xml:space="preserve"> SUM( VfM_Metrics_2023_Entity[[#This Row],[Total social units developed or newly built units acquired in-year (owned)]], VfM_Metrics_2023_Entity[[#This Row],[Total social leasehold units developed or newly built units acquired in-year (owned)]] )</f>
        <v>516</v>
      </c>
      <c r="P202" s="84" vm="11098">
        <v>516</v>
      </c>
      <c r="Q202" s="84" vm="11216">
        <v>0</v>
      </c>
      <c r="R202" s="5">
        <f xml:space="preserve"> SUM( VfM_Metrics_2023_Entity[[#This Row],[Total social housing units owned (Period end)]], VfM_Metrics_2023_Entity[[#This Row],[Total social leasehold units owned (Period end)]] )</f>
        <v>63348</v>
      </c>
      <c r="S202" s="84" vm="11321">
        <v>60010</v>
      </c>
      <c r="T202" s="135" vm="11555">
        <v>3338</v>
      </c>
      <c r="U202" s="136">
        <f xml:space="preserve"> IFERROR( VfM_Metrics_2023_Entity[[#This Row],[Total non-social housing units developed or newly built units acquired (owned)]] / VfM_Metrics_2023_Entity[[#This Row],[Total social and non-social housing units owned (Period end)]], "n/a" )</f>
        <v>3.1498543192377354E-4</v>
      </c>
      <c r="V20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20</v>
      </c>
      <c r="W202" s="84" vm="11581">
        <v>0</v>
      </c>
      <c r="X202" s="84" vm="11901">
        <v>10</v>
      </c>
      <c r="Y202" s="84" vm="11941">
        <v>10</v>
      </c>
      <c r="Z20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63495</v>
      </c>
      <c r="AA202" s="84" vm="11963">
        <v>60010</v>
      </c>
      <c r="AB202" s="84" vm="12461">
        <v>3338</v>
      </c>
      <c r="AC202" s="84" vm="12402">
        <v>9</v>
      </c>
      <c r="AD202" s="135" vm="12535">
        <v>138</v>
      </c>
      <c r="AE202" s="134">
        <f xml:space="preserve"> IFERROR( VfM_Metrics_2023_Entity[[#This Row],[Total Net Debt]] / VfM_Metrics_2023_Entity[[#This Row],[Net Book Value of Housing Properties2]], "n/a" )</f>
        <v>0.3946230748446366</v>
      </c>
      <c r="AF20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1460500</v>
      </c>
      <c r="AG202" s="84" vm="12577">
        <v>78500</v>
      </c>
      <c r="AH202" s="84" vm="13229">
        <v>1415500</v>
      </c>
      <c r="AI202" s="84" vm="12884">
        <v>33500</v>
      </c>
      <c r="AJ202" s="84">
        <v>0</v>
      </c>
      <c r="AK202" s="84">
        <v>0</v>
      </c>
      <c r="AL202" s="5">
        <f xml:space="preserve"> SUM( VfM_Metrics_2023_Entity[[#This Row],[Tangible fixed assets: Housing properties at cost (Current period)2]], VfM_Metrics_2023_Entity[[#This Row],[Tangible fixed assets Housing properties at valuation (Current period)2]] )</f>
        <v>3701000</v>
      </c>
      <c r="AM202" s="84" vm="10037">
        <v>3701000</v>
      </c>
      <c r="AN202" s="135" vm="13424">
        <v>0</v>
      </c>
      <c r="AO202" s="137">
        <f xml:space="preserve"> IFERROR( VfM_Metrics_2023_Entity[[#This Row],[EBITDA MRI]] / VfM_Metrics_2023_Entity[[#This Row],[Total interest]], "n/a" )</f>
        <v>1.1819787985865724</v>
      </c>
      <c r="AP20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66900</v>
      </c>
      <c r="AQ202" s="84" vm="13460">
        <v>95100</v>
      </c>
      <c r="AR202" s="84" vm="15083">
        <v>10800</v>
      </c>
      <c r="AS202" s="84" vm="13853">
        <v>0</v>
      </c>
      <c r="AT202" s="84" vm="14108">
        <v>16300</v>
      </c>
      <c r="AU202" s="84" vm="14350">
        <v>0</v>
      </c>
      <c r="AV202" s="84" vm="14596">
        <v>10700</v>
      </c>
      <c r="AW202" s="84" vm="14840">
        <v>73100</v>
      </c>
      <c r="AX202" s="84" vm="15084">
        <v>61300</v>
      </c>
      <c r="AY202" s="5">
        <f xml:space="preserve"> - SUM( VfM_Metrics_2023_Entity[[#This Row],[Interest capitalised]], VfM_Metrics_2023_Entity[[#This Row],[Interest payable and financing costs]] )</f>
        <v>56600</v>
      </c>
      <c r="AZ202" s="84" vm="15299">
        <v>-10100</v>
      </c>
      <c r="BA202" s="135" vm="15501">
        <v>-46500</v>
      </c>
      <c r="BB202" s="138">
        <f xml:space="preserve"> IFERROR( ( VfM_Metrics_2023_Entity[[#This Row],[Total Costs]] / VfM_Metrics_2023_Entity[[#This Row],[Total units for costs]] ) * 1000, "n/a" )</f>
        <v>4943.8609199565371</v>
      </c>
      <c r="BC20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300300</v>
      </c>
      <c r="BD202" s="84" vm="16233">
        <v>85600</v>
      </c>
      <c r="BE202" s="84" vm="16945">
        <v>26700</v>
      </c>
      <c r="BF202" s="84" vm="17171">
        <v>58900</v>
      </c>
      <c r="BG202" s="84" vm="17406">
        <v>40200</v>
      </c>
      <c r="BH202" s="84" vm="16274">
        <v>3000</v>
      </c>
      <c r="BI202" s="84" vm="16538">
        <v>0</v>
      </c>
      <c r="BJ202" s="84" vm="14824">
        <v>73100</v>
      </c>
      <c r="BK202" s="84" vm="16945">
        <v>0</v>
      </c>
      <c r="BL202" s="84" vm="17407">
        <v>1200</v>
      </c>
      <c r="BM202" s="84" vm="16275">
        <v>0</v>
      </c>
      <c r="BN202" s="84" vm="16539">
        <v>7800</v>
      </c>
      <c r="BO202" s="84" vm="17172">
        <v>3800</v>
      </c>
      <c r="BP202" s="5" vm="17784">
        <f xml:space="preserve"> VfM_Metrics_2023_Entity[[#This Row],[Total social housing units owned and/or managed at period end]]</f>
        <v>60742</v>
      </c>
      <c r="BQ202" s="135" vm="17784">
        <v>60742</v>
      </c>
      <c r="BR202" s="134">
        <f xml:space="preserve"> IFERROR( VfM_Metrics_2023_Entity[[#This Row],[SHL operating surplus / (deficit)]] / VfM_Metrics_2023_Entity[[#This Row],[Turnover from social housing lettings]], "n/a" )</f>
        <v>0.22307692307692309</v>
      </c>
      <c r="BS202" s="5" vm="17863">
        <f xml:space="preserve"> VfM_Metrics_2023_Entity[[#This Row],[Operating surplus/(deficit) (social housing lettings)]]</f>
        <v>78300</v>
      </c>
      <c r="BT202" s="84" vm="17863">
        <v>78300</v>
      </c>
      <c r="BU202" s="5" vm="18077">
        <f xml:space="preserve"> VfM_Metrics_2023_Entity[[#This Row],[Turnover from social housing lettings]]</f>
        <v>351000</v>
      </c>
      <c r="BV202" s="135" vm="18077">
        <v>351000</v>
      </c>
      <c r="BW202" s="134">
        <f xml:space="preserve"> IFERROR( VfM_Metrics_2023_Entity[[#This Row],[Net operating surplus]] / VfM_Metrics_2023_Entity[[#This Row],[Overall turnover]], "n/a" )</f>
        <v>0.2065670178877726</v>
      </c>
      <c r="BX202" s="5">
        <f xml:space="preserve"> SUM( VfM_Metrics_2023_Entity[[#This Row],[Operating surplus/(deficit) (overall)2]], - VfM_Metrics_2023_Entity[[#This Row],[Gain/(loss) on disposal of fixed assets (housing properties)2]], - VfM_Metrics_2023_Entity[[#This Row],[Gain/(loss) on disposal of fixed assets (other)2]] )</f>
        <v>84300</v>
      </c>
      <c r="BY202" s="84" vm="13534">
        <v>95100</v>
      </c>
      <c r="BZ202" s="84" vm="15083">
        <v>10800</v>
      </c>
      <c r="CA202" s="84" vm="13853">
        <v>0</v>
      </c>
      <c r="CB202" s="5" vm="18392">
        <f xml:space="preserve"> VfM_Metrics_2023_Entity[[#This Row],[Turnover (overall)]]</f>
        <v>408100</v>
      </c>
      <c r="CC202" s="135" vm="18392">
        <v>408100</v>
      </c>
      <c r="CD202" s="134">
        <f xml:space="preserve"> IFERROR( VfM_Metrics_2023_Entity[[#This Row],[Operating surplus including from JVs]] / VfM_Metrics_2023_Entity[[#This Row],[Net assets]], "n/a" )</f>
        <v>2.4787572329666892E-2</v>
      </c>
      <c r="CE202" s="5">
        <f xml:space="preserve"> SUM( VfM_Metrics_2023_Entity[[#This Row],[Operating surplus/(deficit) (overall)3]], VfM_Metrics_2023_Entity[[#This Row],[Share of operating surplus/(deficit) in joint ventures or associates]] )</f>
        <v>95100</v>
      </c>
      <c r="CF202" s="84" vm="13460">
        <v>95100</v>
      </c>
      <c r="CG202" s="84" vm="18566">
        <v>0</v>
      </c>
      <c r="CH202" s="5" vm="18600">
        <f xml:space="preserve"> VfM_Metrics_2023_Entity[[#This Row],[Total assets less current liabilities]]</f>
        <v>3836600</v>
      </c>
      <c r="CI202" s="135" vm="18600">
        <v>3836600</v>
      </c>
      <c r="CJ202" s="140" vm="11321">
        <f xml:space="preserve"> VfM_Metrics_2023_Entity[[#This Row],[Total social housing units owned (Period end)]]</f>
        <v>60010</v>
      </c>
      <c r="CK202" s="141">
        <v>1.2926698410569377E-2</v>
      </c>
      <c r="CL202" s="69">
        <f xml:space="preserve"> -- ( VfM_Metrics_2023_Entity[[#This Row],[% Supported housing (excl. HOP)]] &gt; 0.3 )</f>
        <v>0</v>
      </c>
      <c r="CM202" s="9">
        <v>0.12157132318422641</v>
      </c>
      <c r="CN202" s="69">
        <f xml:space="preserve"> -- ( VfM_Metrics_2023_Entity[[#This Row],[% Housing for older people]] &gt; 0.3 )</f>
        <v>0</v>
      </c>
      <c r="CO202" s="9">
        <f xml:space="preserve"> VfM_Metrics_2023_Entity[[#This Row],[% Supported housing (excl. HOP)]] + VfM_Metrics_2023_Entity[[#This Row],[% Housing for older people]]</f>
        <v>0.13449802159479579</v>
      </c>
      <c r="CP202" s="69">
        <f xml:space="preserve"> -- ( VfM_Metrics_2023_Entity[[#This Row],[SH specialist in RSH analysis]] + VfM_Metrics_2023_Entity[[#This Row],[OP specialist in RSH analysis]] &gt; 0 )</f>
        <v>0</v>
      </c>
      <c r="CQ202" s="142">
        <f xml:space="preserve"> -- ( VfM_Metrics_2023_Entity[[#This Row],[% SH and OP]] &gt; 0.3 )</f>
        <v>0</v>
      </c>
      <c r="CR202" s="143" t="s">
        <v>143</v>
      </c>
      <c r="CS202" s="120"/>
      <c r="CT202" s="144" t="s">
        <v>151</v>
      </c>
      <c r="CU20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Mixed</v>
      </c>
      <c r="CV202" s="146">
        <v>0.10919281389180804</v>
      </c>
      <c r="CW202" s="146">
        <v>0.21416537390114931</v>
      </c>
      <c r="CX202" s="146">
        <v>0.15955228610986005</v>
      </c>
      <c r="CY202" s="146">
        <v>7.7899547949090056E-2</v>
      </c>
      <c r="CZ202" s="146">
        <v>1.5846803115981919E-3</v>
      </c>
      <c r="DA202" s="146">
        <v>4.9859046856494685E-2</v>
      </c>
      <c r="DB202" s="146">
        <v>1.6680845385244124E-5</v>
      </c>
      <c r="DC202" s="146">
        <v>0.28375786084838778</v>
      </c>
      <c r="DD202" s="146">
        <v>0.10397170928622662</v>
      </c>
      <c r="DE202" s="126">
        <v>0.99996789018535304</v>
      </c>
    </row>
    <row r="203" spans="1:109" x14ac:dyDescent="0.25">
      <c r="A203" s="4" t="s" vm="374">
        <v>478</v>
      </c>
      <c r="B203" s="4" t="s" vm="9301">
        <v>479</v>
      </c>
      <c r="C203" s="121" vm="18962">
        <v>45016</v>
      </c>
      <c r="D203" s="68">
        <f>IFERROR( VfM_Metrics_2023_Entity[[#This Row],[Reinvestment Spend]] / VfM_Metrics_2023_Entity[[#This Row],[Net Book Value of Housing Properties]], "n/a" )</f>
        <v>6.754730154983872E-2</v>
      </c>
      <c r="E20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27475</v>
      </c>
      <c r="F203" s="84" vm="9409">
        <v>4016</v>
      </c>
      <c r="G203" s="84" vm="10826">
        <v>19125</v>
      </c>
      <c r="H203" s="84" vm="10488">
        <v>3544</v>
      </c>
      <c r="I203" s="84" vm="10205">
        <v>790</v>
      </c>
      <c r="J203" s="84" vm="10534">
        <v>0</v>
      </c>
      <c r="K203" s="5">
        <f xml:space="preserve"> SUM( VfM_Metrics_2023_Entity[[#This Row],[Tangible fixed assets: Housing properties at cost (Current period)]],VfM_Metrics_2023_Entity[[#This Row],[Tangible fixed assets Housing properties at valuation (Current period)]] )</f>
        <v>406752</v>
      </c>
      <c r="L203" s="84" vm="10394">
        <v>406752</v>
      </c>
      <c r="M203" s="84" vm="10616">
        <v>0</v>
      </c>
      <c r="N203" s="134">
        <f xml:space="preserve"> IFERROR( VfM_Metrics_2023_Entity[[#This Row],[Total social units developed or newly built units acquired in-year]] / VfM_Metrics_2023_Entity[[#This Row],[Social housing units owned (period end)]], "n/a" )</f>
        <v>2.628755364806867E-2</v>
      </c>
      <c r="O203" s="5">
        <f xml:space="preserve"> SUM( VfM_Metrics_2023_Entity[[#This Row],[Total social units developed or newly built units acquired in-year (owned)]], VfM_Metrics_2023_Entity[[#This Row],[Total social leasehold units developed or newly built units acquired in-year (owned)]] )</f>
        <v>196</v>
      </c>
      <c r="P203" s="84" vm="11102">
        <v>196</v>
      </c>
      <c r="Q203" s="84" vm="11125">
        <v>0</v>
      </c>
      <c r="R203" s="5">
        <f xml:space="preserve"> SUM( VfM_Metrics_2023_Entity[[#This Row],[Total social housing units owned (Period end)]], VfM_Metrics_2023_Entity[[#This Row],[Total social leasehold units owned (Period end)]] )</f>
        <v>7456</v>
      </c>
      <c r="S203" s="84" vm="11360">
        <v>7251</v>
      </c>
      <c r="T203" s="135" vm="11466">
        <v>205</v>
      </c>
      <c r="U203" s="136">
        <f xml:space="preserve"> IFERROR( VfM_Metrics_2023_Entity[[#This Row],[Total non-social housing units developed or newly built units acquired (owned)]] / VfM_Metrics_2023_Entity[[#This Row],[Total social and non-social housing units owned (Period end)]], "n/a" )</f>
        <v>0</v>
      </c>
      <c r="V20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03" s="84" vm="11604">
        <v>0</v>
      </c>
      <c r="X203" s="84" vm="11743">
        <v>0</v>
      </c>
      <c r="Y203" s="84" vm="11772">
        <v>0</v>
      </c>
      <c r="Z20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7456</v>
      </c>
      <c r="AA203" s="84" vm="12017">
        <v>7251</v>
      </c>
      <c r="AB203" s="84" vm="12215">
        <v>205</v>
      </c>
      <c r="AC203" s="84" vm="12155">
        <v>0</v>
      </c>
      <c r="AD203" s="135" vm="12309">
        <v>0</v>
      </c>
      <c r="AE203" s="134">
        <f xml:space="preserve"> IFERROR( VfM_Metrics_2023_Entity[[#This Row],[Total Net Debt]] / VfM_Metrics_2023_Entity[[#This Row],[Net Book Value of Housing Properties2]], "n/a" )</f>
        <v>0.52474972464794267</v>
      </c>
      <c r="AF20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213443</v>
      </c>
      <c r="AG203" s="84" vm="12601">
        <v>0</v>
      </c>
      <c r="AH203" s="84" vm="12810">
        <v>228510</v>
      </c>
      <c r="AI203" s="84" vm="13171">
        <v>15067</v>
      </c>
      <c r="AJ203" s="84" vm="13254">
        <v>0</v>
      </c>
      <c r="AK203" s="84" vm="13351">
        <v>0</v>
      </c>
      <c r="AL203" s="5">
        <f xml:space="preserve"> SUM( VfM_Metrics_2023_Entity[[#This Row],[Tangible fixed assets: Housing properties at cost (Current period)2]], VfM_Metrics_2023_Entity[[#This Row],[Tangible fixed assets Housing properties at valuation (Current period)2]] )</f>
        <v>406752</v>
      </c>
      <c r="AM203" s="84" vm="10054">
        <v>406752</v>
      </c>
      <c r="AN203" s="135" vm="10179">
        <v>0</v>
      </c>
      <c r="AO203" s="137">
        <f xml:space="preserve"> IFERROR( VfM_Metrics_2023_Entity[[#This Row],[EBITDA MRI]] / VfM_Metrics_2023_Entity[[#This Row],[Total interest]], "n/a" )</f>
        <v>1.2907168493549326</v>
      </c>
      <c r="AP20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13306</v>
      </c>
      <c r="AQ203" s="84" vm="13493">
        <v>11574</v>
      </c>
      <c r="AR203" s="84" vm="13854">
        <v>1935</v>
      </c>
      <c r="AS203" s="84" vm="14109">
        <v>0</v>
      </c>
      <c r="AT203" s="84" vm="14351">
        <v>321</v>
      </c>
      <c r="AU203" s="84" vm="14597">
        <v>0</v>
      </c>
      <c r="AV203" s="84" vm="14841">
        <v>156</v>
      </c>
      <c r="AW203" s="84" vm="15085">
        <v>3544</v>
      </c>
      <c r="AX203" s="84" vm="13855">
        <v>7376</v>
      </c>
      <c r="AY203" s="5">
        <f xml:space="preserve"> - SUM( VfM_Metrics_2023_Entity[[#This Row],[Interest capitalised]], VfM_Metrics_2023_Entity[[#This Row],[Interest payable and financing costs]] )</f>
        <v>10309</v>
      </c>
      <c r="AZ203" s="84" vm="15181">
        <v>-780</v>
      </c>
      <c r="BA203" s="135" vm="15342">
        <v>-9529</v>
      </c>
      <c r="BB203" s="138">
        <f xml:space="preserve"> IFERROR( ( VfM_Metrics_2023_Entity[[#This Row],[Total Costs]] / VfM_Metrics_2023_Entity[[#This Row],[Total units for costs]] ) * 1000, "n/a" )</f>
        <v>4382.4300096538409</v>
      </c>
      <c r="BC20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31777</v>
      </c>
      <c r="BD203" s="84" vm="15531">
        <v>7452</v>
      </c>
      <c r="BE203" s="84" vm="16946">
        <v>4672</v>
      </c>
      <c r="BF203" s="84" vm="17173">
        <v>7988</v>
      </c>
      <c r="BG203" s="84" vm="17408">
        <v>3347</v>
      </c>
      <c r="BH203" s="84" vm="16277">
        <v>3800</v>
      </c>
      <c r="BI203" s="84" vm="16540">
        <v>10</v>
      </c>
      <c r="BJ203" s="84" vm="15085">
        <v>3544</v>
      </c>
      <c r="BK203" s="84" vm="16947">
        <v>0</v>
      </c>
      <c r="BL203" s="84" vm="17409">
        <v>766</v>
      </c>
      <c r="BM203" s="84" vm="16279">
        <v>0</v>
      </c>
      <c r="BN203" s="84" vm="16541">
        <v>0</v>
      </c>
      <c r="BO203" s="84" vm="17174">
        <v>198</v>
      </c>
      <c r="BP203" s="5" vm="17647">
        <f xml:space="preserve"> VfM_Metrics_2023_Entity[[#This Row],[Total social housing units owned and/or managed at period end]]</f>
        <v>7251</v>
      </c>
      <c r="BQ203" s="135" vm="17647">
        <v>7251</v>
      </c>
      <c r="BR203" s="134">
        <f xml:space="preserve"> IFERROR( VfM_Metrics_2023_Entity[[#This Row],[SHL operating surplus / (deficit)]] / VfM_Metrics_2023_Entity[[#This Row],[Turnover from social housing lettings]], "n/a" )</f>
        <v>0.1859840181033873</v>
      </c>
      <c r="BS203" s="5" vm="17901">
        <f xml:space="preserve"> VfM_Metrics_2023_Entity[[#This Row],[Operating surplus/(deficit) (social housing lettings)]]</f>
        <v>7890</v>
      </c>
      <c r="BT203" s="84" vm="17901">
        <v>7890</v>
      </c>
      <c r="BU203" s="5" vm="18100">
        <f xml:space="preserve"> VfM_Metrics_2023_Entity[[#This Row],[Turnover from social housing lettings]]</f>
        <v>42423</v>
      </c>
      <c r="BV203" s="135" vm="18100">
        <v>42423</v>
      </c>
      <c r="BW203" s="134">
        <f xml:space="preserve"> IFERROR( VfM_Metrics_2023_Entity[[#This Row],[Net operating surplus]] / VfM_Metrics_2023_Entity[[#This Row],[Overall turnover]], "n/a" )</f>
        <v>0.19160736293881445</v>
      </c>
      <c r="BX203" s="5">
        <f xml:space="preserve"> SUM( VfM_Metrics_2023_Entity[[#This Row],[Operating surplus/(deficit) (overall)2]], - VfM_Metrics_2023_Entity[[#This Row],[Gain/(loss) on disposal of fixed assets (housing properties)2]], - VfM_Metrics_2023_Entity[[#This Row],[Gain/(loss) on disposal of fixed assets (other)2]] )</f>
        <v>9639</v>
      </c>
      <c r="BY203" s="84" vm="13493">
        <v>11574</v>
      </c>
      <c r="BZ203" s="84" vm="13854">
        <v>1935</v>
      </c>
      <c r="CA203" s="84" vm="14109">
        <v>0</v>
      </c>
      <c r="CB203" s="5" vm="18416">
        <f xml:space="preserve"> VfM_Metrics_2023_Entity[[#This Row],[Turnover (overall)]]</f>
        <v>50306</v>
      </c>
      <c r="CC203" s="135" vm="18416">
        <v>50306</v>
      </c>
      <c r="CD203" s="134">
        <f xml:space="preserve"> IFERROR( VfM_Metrics_2023_Entity[[#This Row],[Operating surplus including from JVs]] / VfM_Metrics_2023_Entity[[#This Row],[Net assets]], "n/a" )</f>
        <v>2.7693897962797243E-2</v>
      </c>
      <c r="CE203" s="5">
        <f xml:space="preserve"> SUM( VfM_Metrics_2023_Entity[[#This Row],[Operating surplus/(deficit) (overall)3]], VfM_Metrics_2023_Entity[[#This Row],[Share of operating surplus/(deficit) in joint ventures or associates]] )</f>
        <v>11574</v>
      </c>
      <c r="CF203" s="84" vm="13493">
        <v>11574</v>
      </c>
      <c r="CG203" s="84" vm="18464">
        <v>0</v>
      </c>
      <c r="CH203" s="5" vm="18637">
        <f xml:space="preserve"> VfM_Metrics_2023_Entity[[#This Row],[Total assets less current liabilities]]</f>
        <v>417926</v>
      </c>
      <c r="CI203" s="135" vm="18637">
        <v>417926</v>
      </c>
      <c r="CJ203" s="140" vm="11360">
        <f xml:space="preserve"> VfM_Metrics_2023_Entity[[#This Row],[Total social housing units owned (Period end)]]</f>
        <v>7251</v>
      </c>
      <c r="CK203" s="141">
        <v>1.364522417153996E-2</v>
      </c>
      <c r="CL203" s="69">
        <f xml:space="preserve"> -- ( VfM_Metrics_2023_Entity[[#This Row],[% Supported housing (excl. HOP)]] &gt; 0.3 )</f>
        <v>0</v>
      </c>
      <c r="CM203" s="9">
        <v>3.6758563074352546E-2</v>
      </c>
      <c r="CN203" s="69">
        <f xml:space="preserve"> -- ( VfM_Metrics_2023_Entity[[#This Row],[% Housing for older people]] &gt; 0.3 )</f>
        <v>0</v>
      </c>
      <c r="CO203" s="9">
        <f xml:space="preserve"> VfM_Metrics_2023_Entity[[#This Row],[% Supported housing (excl. HOP)]] + VfM_Metrics_2023_Entity[[#This Row],[% Housing for older people]]</f>
        <v>5.0403787245892506E-2</v>
      </c>
      <c r="CP203" s="69">
        <f xml:space="preserve"> -- ( VfM_Metrics_2023_Entity[[#This Row],[SH specialist in RSH analysis]] + VfM_Metrics_2023_Entity[[#This Row],[OP specialist in RSH analysis]] &gt; 0 )</f>
        <v>0</v>
      </c>
      <c r="CQ203" s="142">
        <f xml:space="preserve"> -- ( VfM_Metrics_2023_Entity[[#This Row],[% SH and OP]] &gt; 0.3 )</f>
        <v>0</v>
      </c>
      <c r="CR203" s="143" t="s">
        <v>143</v>
      </c>
      <c r="CS203" s="120"/>
      <c r="CT203" s="144" t="s">
        <v>151</v>
      </c>
      <c r="CU20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203" s="146">
        <v>0</v>
      </c>
      <c r="CW203" s="146">
        <v>0</v>
      </c>
      <c r="CX203" s="146">
        <v>0</v>
      </c>
      <c r="CY203" s="146">
        <v>0</v>
      </c>
      <c r="CZ203" s="146">
        <v>0</v>
      </c>
      <c r="DA203" s="146">
        <v>1</v>
      </c>
      <c r="DB203" s="146">
        <v>0</v>
      </c>
      <c r="DC203" s="146">
        <v>0</v>
      </c>
      <c r="DD203" s="146">
        <v>0</v>
      </c>
      <c r="DE203" s="126">
        <v>1.0113701298544711</v>
      </c>
    </row>
    <row r="204" spans="1:109" x14ac:dyDescent="0.25">
      <c r="A204" s="4" t="s" vm="208">
        <v>482</v>
      </c>
      <c r="B204" s="4" t="s" vm="10612">
        <v>483</v>
      </c>
      <c r="C204" s="121" vm="18938">
        <v>45016</v>
      </c>
      <c r="D204" s="68">
        <f>IFERROR( VfM_Metrics_2023_Entity[[#This Row],[Reinvestment Spend]] / VfM_Metrics_2023_Entity[[#This Row],[Net Book Value of Housing Properties]], "n/a" )</f>
        <v>0.20296282954724543</v>
      </c>
      <c r="E20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18030</v>
      </c>
      <c r="F204" s="84" vm="10186">
        <v>13342</v>
      </c>
      <c r="G204" s="84" vm="9530">
        <v>0</v>
      </c>
      <c r="H204" s="84" vm="10531">
        <v>4132</v>
      </c>
      <c r="I204" s="84" vm="10727">
        <v>556</v>
      </c>
      <c r="J204" s="84" vm="10457">
        <v>0</v>
      </c>
      <c r="K204" s="5">
        <f xml:space="preserve"> SUM( VfM_Metrics_2023_Entity[[#This Row],[Tangible fixed assets: Housing properties at cost (Current period)]],VfM_Metrics_2023_Entity[[#This Row],[Tangible fixed assets Housing properties at valuation (Current period)]] )</f>
        <v>88834</v>
      </c>
      <c r="L204" s="84" vm="10289">
        <v>88834</v>
      </c>
      <c r="M204" s="84">
        <v>0</v>
      </c>
      <c r="N204" s="134">
        <f xml:space="preserve"> IFERROR( VfM_Metrics_2023_Entity[[#This Row],[Total social units developed or newly built units acquired in-year]] / VfM_Metrics_2023_Entity[[#This Row],[Social housing units owned (period end)]], "n/a" )</f>
        <v>8.4151472650771386E-3</v>
      </c>
      <c r="O204" s="5">
        <f xml:space="preserve"> SUM( VfM_Metrics_2023_Entity[[#This Row],[Total social units developed or newly built units acquired in-year (owned)]], VfM_Metrics_2023_Entity[[#This Row],[Total social leasehold units developed or newly built units acquired in-year (owned)]] )</f>
        <v>12</v>
      </c>
      <c r="P204" s="84" vm="10983">
        <v>12</v>
      </c>
      <c r="Q204" s="84">
        <v>0</v>
      </c>
      <c r="R204" s="5">
        <f xml:space="preserve"> SUM( VfM_Metrics_2023_Entity[[#This Row],[Total social housing units owned (Period end)]], VfM_Metrics_2023_Entity[[#This Row],[Total social leasehold units owned (Period end)]] )</f>
        <v>1426</v>
      </c>
      <c r="S204" s="84" vm="11282">
        <v>1426</v>
      </c>
      <c r="T204" s="135" vm="11521">
        <v>0</v>
      </c>
      <c r="U204" s="136">
        <f xml:space="preserve"> IFERROR( VfM_Metrics_2023_Entity[[#This Row],[Total non-social housing units developed or newly built units acquired (owned)]] / VfM_Metrics_2023_Entity[[#This Row],[Total social and non-social housing units owned (Period end)]], "n/a" )</f>
        <v>0</v>
      </c>
      <c r="V20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04" s="84">
        <v>0</v>
      </c>
      <c r="X204" s="84">
        <v>0</v>
      </c>
      <c r="Y204" s="84">
        <v>0</v>
      </c>
      <c r="Z20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1426</v>
      </c>
      <c r="AA204" s="84" vm="11282">
        <v>1426</v>
      </c>
      <c r="AB204" s="84" vm="11521">
        <v>0</v>
      </c>
      <c r="AC204" s="84" vm="12402">
        <v>0</v>
      </c>
      <c r="AD204" s="135" vm="12536">
        <v>0</v>
      </c>
      <c r="AE204" s="134">
        <f xml:space="preserve"> IFERROR( VfM_Metrics_2023_Entity[[#This Row],[Total Net Debt]] / VfM_Metrics_2023_Entity[[#This Row],[Net Book Value of Housing Properties2]], "n/a" )</f>
        <v>0.34698426278226807</v>
      </c>
      <c r="AF20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30824</v>
      </c>
      <c r="AG204" s="84" vm="12628">
        <v>250</v>
      </c>
      <c r="AH204" s="84" vm="12920">
        <v>31569</v>
      </c>
      <c r="AI204" s="84" vm="13000">
        <v>995</v>
      </c>
      <c r="AJ204" s="84">
        <v>0</v>
      </c>
      <c r="AK204" s="84">
        <v>0</v>
      </c>
      <c r="AL204" s="5">
        <f xml:space="preserve"> SUM( VfM_Metrics_2023_Entity[[#This Row],[Tangible fixed assets: Housing properties at cost (Current period)2]], VfM_Metrics_2023_Entity[[#This Row],[Tangible fixed assets Housing properties at valuation (Current period)2]] )</f>
        <v>88834</v>
      </c>
      <c r="AM204" s="84" vm="9929">
        <v>88834</v>
      </c>
      <c r="AN204" s="135">
        <v>0</v>
      </c>
      <c r="AO204" s="137">
        <f xml:space="preserve"> IFERROR( VfM_Metrics_2023_Entity[[#This Row],[EBITDA MRI]] / VfM_Metrics_2023_Entity[[#This Row],[Total interest]], "n/a" )</f>
        <v>-2.0852211434735706</v>
      </c>
      <c r="AP20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-1933</v>
      </c>
      <c r="AQ204" s="84" vm="13531">
        <v>965</v>
      </c>
      <c r="AR204" s="84">
        <v>0</v>
      </c>
      <c r="AS204" s="84">
        <v>0</v>
      </c>
      <c r="AT204" s="84" vm="14598">
        <v>575</v>
      </c>
      <c r="AU204" s="84" vm="14842">
        <v>0</v>
      </c>
      <c r="AV204" s="84" vm="15086">
        <v>127</v>
      </c>
      <c r="AW204" s="84" vm="13856">
        <v>4132</v>
      </c>
      <c r="AX204" s="84" vm="14110">
        <v>1682</v>
      </c>
      <c r="AY204" s="5">
        <f xml:space="preserve"> - SUM( VfM_Metrics_2023_Entity[[#This Row],[Interest capitalised]], VfM_Metrics_2023_Entity[[#This Row],[Interest payable and financing costs]] )</f>
        <v>927</v>
      </c>
      <c r="AZ204" s="84" vm="15207">
        <v>-556</v>
      </c>
      <c r="BA204" s="135" vm="15375">
        <v>-371</v>
      </c>
      <c r="BB204" s="138">
        <f xml:space="preserve"> IFERROR( ( VfM_Metrics_2023_Entity[[#This Row],[Total Costs]] / VfM_Metrics_2023_Entity[[#This Row],[Total units for costs]] ) * 1000, "n/a" )</f>
        <v>8680.6429070580016</v>
      </c>
      <c r="BC20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12422</v>
      </c>
      <c r="BD204" s="84" vm="16238">
        <v>2405</v>
      </c>
      <c r="BE204" s="84" vm="16948">
        <v>2080</v>
      </c>
      <c r="BF204" s="84" vm="17175">
        <v>2988</v>
      </c>
      <c r="BG204" s="84" vm="17410">
        <v>268</v>
      </c>
      <c r="BH204" s="84" vm="16280">
        <v>233</v>
      </c>
      <c r="BI204" s="84" vm="16542">
        <v>53</v>
      </c>
      <c r="BJ204" s="84" vm="13856">
        <v>4132</v>
      </c>
      <c r="BK204" s="84" vm="16948">
        <v>0</v>
      </c>
      <c r="BL204" s="84" vm="17411">
        <v>133</v>
      </c>
      <c r="BM204" s="84" vm="16282">
        <v>130</v>
      </c>
      <c r="BN204" s="84">
        <v>0</v>
      </c>
      <c r="BO204" s="84">
        <v>0</v>
      </c>
      <c r="BP204" s="5" vm="17684">
        <f xml:space="preserve"> VfM_Metrics_2023_Entity[[#This Row],[Total social housing units owned and/or managed at period end]]</f>
        <v>1431</v>
      </c>
      <c r="BQ204" s="135" vm="17684">
        <v>1431</v>
      </c>
      <c r="BR204" s="134">
        <f xml:space="preserve"> IFERROR( VfM_Metrics_2023_Entity[[#This Row],[SHL operating surplus / (deficit)]] / VfM_Metrics_2023_Entity[[#This Row],[Turnover from social housing lettings]], "n/a" )</f>
        <v>0.10220230717894938</v>
      </c>
      <c r="BS204" s="5" vm="17938">
        <f xml:space="preserve"> VfM_Metrics_2023_Entity[[#This Row],[Operating surplus/(deficit) (social housing lettings)]]</f>
        <v>1072</v>
      </c>
      <c r="BT204" s="84" vm="17938">
        <v>1072</v>
      </c>
      <c r="BU204" s="5" vm="18133">
        <f xml:space="preserve"> VfM_Metrics_2023_Entity[[#This Row],[Turnover from social housing lettings]]</f>
        <v>10489</v>
      </c>
      <c r="BV204" s="135" vm="18133">
        <v>10489</v>
      </c>
      <c r="BW204" s="134">
        <f xml:space="preserve"> IFERROR( VfM_Metrics_2023_Entity[[#This Row],[Net operating surplus]] / VfM_Metrics_2023_Entity[[#This Row],[Overall turnover]], "n/a" )</f>
        <v>8.9625708182409211E-2</v>
      </c>
      <c r="BX204" s="5">
        <f xml:space="preserve"> SUM( VfM_Metrics_2023_Entity[[#This Row],[Operating surplus/(deficit) (overall)2]], - VfM_Metrics_2023_Entity[[#This Row],[Gain/(loss) on disposal of fixed assets (housing properties)2]], - VfM_Metrics_2023_Entity[[#This Row],[Gain/(loss) on disposal of fixed assets (other)2]] )</f>
        <v>965</v>
      </c>
      <c r="BY204" s="84" vm="13531">
        <v>965</v>
      </c>
      <c r="BZ204" s="84">
        <v>0</v>
      </c>
      <c r="CA204" s="84">
        <v>0</v>
      </c>
      <c r="CB204" s="5" vm="18289">
        <f xml:space="preserve"> VfM_Metrics_2023_Entity[[#This Row],[Turnover (overall)]]</f>
        <v>10767</v>
      </c>
      <c r="CC204" s="135" vm="18289">
        <v>10767</v>
      </c>
      <c r="CD204" s="134">
        <f xml:space="preserve"> IFERROR( VfM_Metrics_2023_Entity[[#This Row],[Operating surplus including from JVs]] / VfM_Metrics_2023_Entity[[#This Row],[Net assets]], "n/a" )</f>
        <v>9.7349864315474082E-3</v>
      </c>
      <c r="CE204" s="5">
        <f xml:space="preserve"> SUM( VfM_Metrics_2023_Entity[[#This Row],[Operating surplus/(deficit) (overall)3]], VfM_Metrics_2023_Entity[[#This Row],[Share of operating surplus/(deficit) in joint ventures or associates]] )</f>
        <v>965</v>
      </c>
      <c r="CF204" s="84" vm="13531">
        <v>965</v>
      </c>
      <c r="CG204" s="84">
        <v>0</v>
      </c>
      <c r="CH204" s="5" vm="18675">
        <f xml:space="preserve"> VfM_Metrics_2023_Entity[[#This Row],[Total assets less current liabilities]]</f>
        <v>99127</v>
      </c>
      <c r="CI204" s="135" vm="18675">
        <v>99127</v>
      </c>
      <c r="CJ204" s="140" vm="11282">
        <f xml:space="preserve"> VfM_Metrics_2023_Entity[[#This Row],[Total social housing units owned (Period end)]]</f>
        <v>1426</v>
      </c>
      <c r="CK204" s="141">
        <v>0</v>
      </c>
      <c r="CL204" s="69">
        <f xml:space="preserve"> -- ( VfM_Metrics_2023_Entity[[#This Row],[% Supported housing (excl. HOP)]] &gt; 0.3 )</f>
        <v>0</v>
      </c>
      <c r="CM204" s="9">
        <v>0.13725490196078433</v>
      </c>
      <c r="CN204" s="69">
        <f xml:space="preserve"> -- ( VfM_Metrics_2023_Entity[[#This Row],[% Housing for older people]] &gt; 0.3 )</f>
        <v>0</v>
      </c>
      <c r="CO204" s="9">
        <f xml:space="preserve"> VfM_Metrics_2023_Entity[[#This Row],[% Supported housing (excl. HOP)]] + VfM_Metrics_2023_Entity[[#This Row],[% Housing for older people]]</f>
        <v>0.13725490196078433</v>
      </c>
      <c r="CP204" s="69">
        <f xml:space="preserve"> -- ( VfM_Metrics_2023_Entity[[#This Row],[SH specialist in RSH analysis]] + VfM_Metrics_2023_Entity[[#This Row],[OP specialist in RSH analysis]] &gt; 0 )</f>
        <v>0</v>
      </c>
      <c r="CQ204" s="142">
        <f xml:space="preserve"> -- ( VfM_Metrics_2023_Entity[[#This Row],[% SH and OP]] &gt; 0.3 )</f>
        <v>0</v>
      </c>
      <c r="CR204" s="143" t="s">
        <v>143</v>
      </c>
      <c r="CS204" s="120"/>
      <c r="CT204" s="144" t="s">
        <v>144</v>
      </c>
      <c r="CU20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204" s="146">
        <v>0.99160251924422671</v>
      </c>
      <c r="CW204" s="146">
        <v>0</v>
      </c>
      <c r="CX204" s="146">
        <v>0</v>
      </c>
      <c r="CY204" s="146">
        <v>0</v>
      </c>
      <c r="CZ204" s="146">
        <v>0</v>
      </c>
      <c r="DA204" s="146">
        <v>8.3974807557732675E-3</v>
      </c>
      <c r="DB204" s="146">
        <v>0</v>
      </c>
      <c r="DC204" s="146">
        <v>0</v>
      </c>
      <c r="DD204" s="146">
        <v>0</v>
      </c>
      <c r="DE204" s="126">
        <v>1.1591188210688068</v>
      </c>
    </row>
    <row r="205" spans="1:109" x14ac:dyDescent="0.25">
      <c r="A205" s="4" t="s" vm="235">
        <v>484</v>
      </c>
      <c r="B205" s="4" t="s" vm="10804">
        <v>485</v>
      </c>
      <c r="C205" s="121" vm="18974">
        <v>45016</v>
      </c>
      <c r="D205" s="68">
        <f>IFERROR( VfM_Metrics_2023_Entity[[#This Row],[Reinvestment Spend]] / VfM_Metrics_2023_Entity[[#This Row],[Net Book Value of Housing Properties]], "n/a" )</f>
        <v>7.2797289327304476E-2</v>
      </c>
      <c r="E20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6295</v>
      </c>
      <c r="F205" s="84" vm="10754">
        <v>5072</v>
      </c>
      <c r="G205" s="84" vm="10644">
        <v>0</v>
      </c>
      <c r="H205" s="84" vm="10429">
        <v>1223</v>
      </c>
      <c r="I205" s="84" vm="10674">
        <v>0</v>
      </c>
      <c r="J205" s="84" vm="9645">
        <v>0</v>
      </c>
      <c r="K205" s="5">
        <f xml:space="preserve"> SUM( VfM_Metrics_2023_Entity[[#This Row],[Tangible fixed assets: Housing properties at cost (Current period)]],VfM_Metrics_2023_Entity[[#This Row],[Tangible fixed assets Housing properties at valuation (Current period)]] )</f>
        <v>86473</v>
      </c>
      <c r="L205" s="84" vm="10587">
        <v>86473</v>
      </c>
      <c r="M205" s="84" vm="10185">
        <v>0</v>
      </c>
      <c r="N205" s="134">
        <f xml:space="preserve"> IFERROR( VfM_Metrics_2023_Entity[[#This Row],[Total social units developed or newly built units acquired in-year]] / VfM_Metrics_2023_Entity[[#This Row],[Social housing units owned (period end)]], "n/a" )</f>
        <v>1.4437689969604863E-2</v>
      </c>
      <c r="O205" s="5">
        <f xml:space="preserve"> SUM( VfM_Metrics_2023_Entity[[#This Row],[Total social units developed or newly built units acquired in-year (owned)]], VfM_Metrics_2023_Entity[[#This Row],[Total social leasehold units developed or newly built units acquired in-year (owned)]] )</f>
        <v>38</v>
      </c>
      <c r="P205" s="84" vm="11036">
        <v>38</v>
      </c>
      <c r="Q205" s="84" vm="11166">
        <v>0</v>
      </c>
      <c r="R205" s="5">
        <f xml:space="preserve"> SUM( VfM_Metrics_2023_Entity[[#This Row],[Total social housing units owned (Period end)]], VfM_Metrics_2023_Entity[[#This Row],[Total social leasehold units owned (Period end)]] )</f>
        <v>2632</v>
      </c>
      <c r="S205" s="84" vm="11333">
        <v>2417</v>
      </c>
      <c r="T205" s="135" vm="11548">
        <v>215</v>
      </c>
      <c r="U205" s="136">
        <f xml:space="preserve"> IFERROR( VfM_Metrics_2023_Entity[[#This Row],[Total non-social housing units developed or newly built units acquired (owned)]] / VfM_Metrics_2023_Entity[[#This Row],[Total social and non-social housing units owned (Period end)]], "n/a" )</f>
        <v>0</v>
      </c>
      <c r="V20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05" s="84" vm="11645">
        <v>0</v>
      </c>
      <c r="X205" s="84" vm="11901">
        <v>0</v>
      </c>
      <c r="Y205" s="84" vm="11942">
        <v>0</v>
      </c>
      <c r="Z20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2736</v>
      </c>
      <c r="AA205" s="84" vm="11333">
        <v>2417</v>
      </c>
      <c r="AB205" s="84" vm="12215">
        <v>215</v>
      </c>
      <c r="AC205" s="84" vm="12156">
        <v>100</v>
      </c>
      <c r="AD205" s="135" vm="12310">
        <v>4</v>
      </c>
      <c r="AE205" s="134">
        <f xml:space="preserve"> IFERROR( VfM_Metrics_2023_Entity[[#This Row],[Total Net Debt]] / VfM_Metrics_2023_Entity[[#This Row],[Net Book Value of Housing Properties2]], "n/a" )</f>
        <v>0.32932822962080649</v>
      </c>
      <c r="AF20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28478</v>
      </c>
      <c r="AG205" s="84" vm="12651">
        <v>1488</v>
      </c>
      <c r="AH205" s="84" vm="13229">
        <v>60762</v>
      </c>
      <c r="AI205" s="84" vm="13315">
        <v>33787</v>
      </c>
      <c r="AJ205" s="84" vm="12885">
        <v>0</v>
      </c>
      <c r="AK205" s="84" vm="12962">
        <v>15</v>
      </c>
      <c r="AL205" s="5">
        <f xml:space="preserve"> SUM( VfM_Metrics_2023_Entity[[#This Row],[Tangible fixed assets: Housing properties at cost (Current period)2]], VfM_Metrics_2023_Entity[[#This Row],[Tangible fixed assets Housing properties at valuation (Current period)2]] )</f>
        <v>86473</v>
      </c>
      <c r="AM205" s="84" vm="13380">
        <v>86473</v>
      </c>
      <c r="AN205" s="135" vm="10126">
        <v>0</v>
      </c>
      <c r="AO205" s="137">
        <f xml:space="preserve"> IFERROR( VfM_Metrics_2023_Entity[[#This Row],[EBITDA MRI]] / VfM_Metrics_2023_Entity[[#This Row],[Total interest]], "n/a" )</f>
        <v>2.6801752464403066</v>
      </c>
      <c r="AP20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4894</v>
      </c>
      <c r="AQ205" s="84" vm="13558">
        <v>4198</v>
      </c>
      <c r="AR205" s="84" vm="14352">
        <v>451</v>
      </c>
      <c r="AS205" s="84" vm="14599">
        <v>0</v>
      </c>
      <c r="AT205" s="84" vm="14843">
        <v>257</v>
      </c>
      <c r="AU205" s="84" vm="15087">
        <v>0</v>
      </c>
      <c r="AV205" s="84" vm="13857">
        <v>532</v>
      </c>
      <c r="AW205" s="84" vm="14111">
        <v>1223</v>
      </c>
      <c r="AX205" s="84" vm="14353">
        <v>2095</v>
      </c>
      <c r="AY205" s="5">
        <f xml:space="preserve"> - SUM( VfM_Metrics_2023_Entity[[#This Row],[Interest capitalised]], VfM_Metrics_2023_Entity[[#This Row],[Interest payable and financing costs]] )</f>
        <v>1826</v>
      </c>
      <c r="AZ205" s="84" vm="15234">
        <v>0</v>
      </c>
      <c r="BA205" s="135" vm="15405">
        <v>-1826</v>
      </c>
      <c r="BB205" s="138">
        <f xml:space="preserve"> IFERROR( ( VfM_Metrics_2023_Entity[[#This Row],[Total Costs]] / VfM_Metrics_2023_Entity[[#This Row],[Total units for costs]] ) * 1000, "n/a" )</f>
        <v>3521.7211419114606</v>
      </c>
      <c r="BC20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8512</v>
      </c>
      <c r="BD205" s="84" vm="16357">
        <v>2066</v>
      </c>
      <c r="BE205" s="84" vm="16949">
        <v>1301</v>
      </c>
      <c r="BF205" s="84" vm="17176">
        <v>2287</v>
      </c>
      <c r="BG205" s="84" vm="17412">
        <v>1295</v>
      </c>
      <c r="BH205" s="84" vm="16284">
        <v>340</v>
      </c>
      <c r="BI205" s="84" vm="16283">
        <v>0</v>
      </c>
      <c r="BJ205" s="84" vm="14111">
        <v>1223</v>
      </c>
      <c r="BK205" s="84" vm="16950">
        <v>0</v>
      </c>
      <c r="BL205" s="84" vm="17412">
        <v>0</v>
      </c>
      <c r="BM205" s="84" vm="16285">
        <v>0</v>
      </c>
      <c r="BN205" s="84" vm="16543">
        <v>0</v>
      </c>
      <c r="BO205" s="84" vm="17177">
        <v>0</v>
      </c>
      <c r="BP205" s="5" vm="17817">
        <f xml:space="preserve"> VfM_Metrics_2023_Entity[[#This Row],[Total social housing units owned and/or managed at period end]]</f>
        <v>2417</v>
      </c>
      <c r="BQ205" s="135" vm="17817">
        <v>2417</v>
      </c>
      <c r="BR205" s="134">
        <f xml:space="preserve"> IFERROR( VfM_Metrics_2023_Entity[[#This Row],[SHL operating surplus / (deficit)]] / VfM_Metrics_2023_Entity[[#This Row],[Turnover from social housing lettings]], "n/a" )</f>
        <v>0.32603497235091916</v>
      </c>
      <c r="BS205" s="5" vm="17976">
        <f xml:space="preserve"> VfM_Metrics_2023_Entity[[#This Row],[Operating surplus/(deficit) (social housing lettings)]]</f>
        <v>4363</v>
      </c>
      <c r="BT205" s="84" vm="17976">
        <v>4363</v>
      </c>
      <c r="BU205" s="5" vm="18151">
        <f xml:space="preserve"> VfM_Metrics_2023_Entity[[#This Row],[Turnover from social housing lettings]]</f>
        <v>13382</v>
      </c>
      <c r="BV205" s="135" vm="18151">
        <v>13382</v>
      </c>
      <c r="BW205" s="134">
        <f xml:space="preserve"> IFERROR( VfM_Metrics_2023_Entity[[#This Row],[Net operating surplus]] / VfM_Metrics_2023_Entity[[#This Row],[Overall turnover]], "n/a" )</f>
        <v>0.24275996112730808</v>
      </c>
      <c r="BX205" s="5">
        <f xml:space="preserve"> SUM( VfM_Metrics_2023_Entity[[#This Row],[Operating surplus/(deficit) (overall)2]], - VfM_Metrics_2023_Entity[[#This Row],[Gain/(loss) on disposal of fixed assets (housing properties)2]], - VfM_Metrics_2023_Entity[[#This Row],[Gain/(loss) on disposal of fixed assets (other)2]] )</f>
        <v>3747</v>
      </c>
      <c r="BY205" s="84" vm="15139">
        <v>4198</v>
      </c>
      <c r="BZ205" s="84" vm="14352">
        <v>451</v>
      </c>
      <c r="CA205" s="84" vm="14599">
        <v>0</v>
      </c>
      <c r="CB205" s="5" vm="18314">
        <f xml:space="preserve"> VfM_Metrics_2023_Entity[[#This Row],[Turnover (overall)]]</f>
        <v>15435</v>
      </c>
      <c r="CC205" s="135" vm="18314">
        <v>15435</v>
      </c>
      <c r="CD205" s="134">
        <f xml:space="preserve"> IFERROR( VfM_Metrics_2023_Entity[[#This Row],[Operating surplus including from JVs]] / VfM_Metrics_2023_Entity[[#This Row],[Net assets]], "n/a" )</f>
        <v>3.1297294476377926E-2</v>
      </c>
      <c r="CE205" s="5">
        <f xml:space="preserve"> SUM( VfM_Metrics_2023_Entity[[#This Row],[Operating surplus/(deficit) (overall)3]], VfM_Metrics_2023_Entity[[#This Row],[Share of operating surplus/(deficit) in joint ventures or associates]] )</f>
        <v>4198</v>
      </c>
      <c r="CF205" s="84" vm="15139">
        <v>4198</v>
      </c>
      <c r="CG205" s="84" vm="18506">
        <v>0</v>
      </c>
      <c r="CH205" s="5" vm="18702">
        <f xml:space="preserve"> VfM_Metrics_2023_Entity[[#This Row],[Total assets less current liabilities]]</f>
        <v>134133</v>
      </c>
      <c r="CI205" s="135" vm="18702">
        <v>134133</v>
      </c>
      <c r="CJ205" s="140" vm="11333">
        <f xml:space="preserve"> VfM_Metrics_2023_Entity[[#This Row],[Total social housing units owned (Period end)]]</f>
        <v>2417</v>
      </c>
      <c r="CK205" s="141">
        <v>0</v>
      </c>
      <c r="CL205" s="69">
        <f xml:space="preserve"> -- ( VfM_Metrics_2023_Entity[[#This Row],[% Supported housing (excl. HOP)]] &gt; 0.3 )</f>
        <v>0</v>
      </c>
      <c r="CM205" s="9">
        <v>5.293631100082713E-2</v>
      </c>
      <c r="CN205" s="69">
        <f xml:space="preserve"> -- ( VfM_Metrics_2023_Entity[[#This Row],[% Housing for older people]] &gt; 0.3 )</f>
        <v>0</v>
      </c>
      <c r="CO205" s="9">
        <f xml:space="preserve"> VfM_Metrics_2023_Entity[[#This Row],[% Supported housing (excl. HOP)]] + VfM_Metrics_2023_Entity[[#This Row],[% Housing for older people]]</f>
        <v>5.293631100082713E-2</v>
      </c>
      <c r="CP205" s="69">
        <f xml:space="preserve"> -- ( VfM_Metrics_2023_Entity[[#This Row],[SH specialist in RSH analysis]] + VfM_Metrics_2023_Entity[[#This Row],[OP specialist in RSH analysis]] &gt; 0 )</f>
        <v>0</v>
      </c>
      <c r="CQ205" s="142">
        <f xml:space="preserve"> -- ( VfM_Metrics_2023_Entity[[#This Row],[% SH and OP]] &gt; 0.3 )</f>
        <v>0</v>
      </c>
      <c r="CR205" s="143" t="s">
        <v>143</v>
      </c>
      <c r="CS205" s="120"/>
      <c r="CT205" s="144" t="s">
        <v>144</v>
      </c>
      <c r="CU20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205" s="146">
        <v>0</v>
      </c>
      <c r="CW205" s="146">
        <v>0</v>
      </c>
      <c r="CX205" s="146">
        <v>0</v>
      </c>
      <c r="CY205" s="146">
        <v>0</v>
      </c>
      <c r="CZ205" s="146">
        <v>1</v>
      </c>
      <c r="DA205" s="146">
        <v>0</v>
      </c>
      <c r="DB205" s="146">
        <v>0</v>
      </c>
      <c r="DC205" s="146">
        <v>0</v>
      </c>
      <c r="DD205" s="146">
        <v>0</v>
      </c>
      <c r="DE205" s="126">
        <v>0.96459033333600952</v>
      </c>
    </row>
    <row r="206" spans="1:109" x14ac:dyDescent="0.25">
      <c r="A206" s="4" t="s" vm="241">
        <v>486</v>
      </c>
      <c r="B206" s="4" t="s" vm="9339">
        <v>487</v>
      </c>
      <c r="C206" s="121" vm="18944">
        <v>45016</v>
      </c>
      <c r="D206" s="68">
        <f>IFERROR( VfM_Metrics_2023_Entity[[#This Row],[Reinvestment Spend]] / VfM_Metrics_2023_Entity[[#This Row],[Net Book Value of Housing Properties]], "n/a" )</f>
        <v>5.0140552044363372E-2</v>
      </c>
      <c r="E20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197527</v>
      </c>
      <c r="F206" s="84" vm="9418">
        <v>141211</v>
      </c>
      <c r="G206" s="84" vm="10617">
        <v>0</v>
      </c>
      <c r="H206" s="84" vm="9798">
        <v>56316</v>
      </c>
      <c r="I206" s="84" vm="10865">
        <v>0</v>
      </c>
      <c r="J206" s="84" vm="9589">
        <v>0</v>
      </c>
      <c r="K206" s="5">
        <f xml:space="preserve"> SUM( VfM_Metrics_2023_Entity[[#This Row],[Tangible fixed assets: Housing properties at cost (Current period)]],VfM_Metrics_2023_Entity[[#This Row],[Tangible fixed assets Housing properties at valuation (Current period)]] )</f>
        <v>3939466</v>
      </c>
      <c r="L206" s="84" vm="9968">
        <v>3939466</v>
      </c>
      <c r="M206" s="84" vm="10777">
        <v>0</v>
      </c>
      <c r="N206" s="134">
        <f xml:space="preserve"> IFERROR( VfM_Metrics_2023_Entity[[#This Row],[Total social units developed or newly built units acquired in-year]] / VfM_Metrics_2023_Entity[[#This Row],[Social housing units owned (period end)]], "n/a" )</f>
        <v>9.8292437939446111E-3</v>
      </c>
      <c r="O206" s="5">
        <f xml:space="preserve"> SUM( VfM_Metrics_2023_Entity[[#This Row],[Total social units developed or newly built units acquired in-year (owned)]], VfM_Metrics_2023_Entity[[#This Row],[Total social leasehold units developed or newly built units acquired in-year (owned)]] )</f>
        <v>685</v>
      </c>
      <c r="P206" s="84" vm="11058">
        <v>685</v>
      </c>
      <c r="Q206" s="84">
        <v>0</v>
      </c>
      <c r="R206" s="5">
        <f xml:space="preserve"> SUM( VfM_Metrics_2023_Entity[[#This Row],[Total social housing units owned (Period end)]], VfM_Metrics_2023_Entity[[#This Row],[Total social leasehold units owned (Period end)]] )</f>
        <v>69690</v>
      </c>
      <c r="S206" s="84" vm="11391">
        <v>64501</v>
      </c>
      <c r="T206" s="135" vm="11541">
        <v>5189</v>
      </c>
      <c r="U206" s="136">
        <f xml:space="preserve"> IFERROR( VfM_Metrics_2023_Entity[[#This Row],[Total non-social housing units developed or newly built units acquired (owned)]] / VfM_Metrics_2023_Entity[[#This Row],[Total social and non-social housing units owned (Period end)]], "n/a" )</f>
        <v>0</v>
      </c>
      <c r="V20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06" s="84">
        <v>0</v>
      </c>
      <c r="X206" s="84">
        <v>0</v>
      </c>
      <c r="Y206" s="84">
        <v>0</v>
      </c>
      <c r="Z20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72502</v>
      </c>
      <c r="AA206" s="84" vm="12034">
        <v>64501</v>
      </c>
      <c r="AB206" s="84" vm="11541">
        <v>5189</v>
      </c>
      <c r="AC206" s="84" vm="12403">
        <v>1226</v>
      </c>
      <c r="AD206" s="135" vm="12536">
        <v>1586</v>
      </c>
      <c r="AE206" s="134">
        <f xml:space="preserve"> IFERROR( VfM_Metrics_2023_Entity[[#This Row],[Total Net Debt]] / VfM_Metrics_2023_Entity[[#This Row],[Net Book Value of Housing Properties2]], "n/a" )</f>
        <v>0.54781206386855474</v>
      </c>
      <c r="AF20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2158087</v>
      </c>
      <c r="AG206" s="84" vm="12680">
        <v>165924</v>
      </c>
      <c r="AH206" s="84" vm="12811">
        <v>2014602</v>
      </c>
      <c r="AI206" s="84" vm="13086">
        <v>23762</v>
      </c>
      <c r="AJ206" s="84" vm="13172">
        <v>0</v>
      </c>
      <c r="AK206" s="84" vm="13255">
        <v>1323</v>
      </c>
      <c r="AL206" s="5">
        <f xml:space="preserve"> SUM( VfM_Metrics_2023_Entity[[#This Row],[Tangible fixed assets: Housing properties at cost (Current period)2]], VfM_Metrics_2023_Entity[[#This Row],[Tangible fixed assets Housing properties at valuation (Current period)2]] )</f>
        <v>3939466</v>
      </c>
      <c r="AM206" s="84" vm="9968">
        <v>3939466</v>
      </c>
      <c r="AN206" s="135" vm="10189">
        <v>0</v>
      </c>
      <c r="AO206" s="137">
        <f xml:space="preserve"> IFERROR( VfM_Metrics_2023_Entity[[#This Row],[EBITDA MRI]] / VfM_Metrics_2023_Entity[[#This Row],[Total interest]], "n/a" )</f>
        <v>1.1536617447386286</v>
      </c>
      <c r="AP20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54379</v>
      </c>
      <c r="AQ206" s="84" vm="13589">
        <v>71122</v>
      </c>
      <c r="AR206" s="84" vm="14600">
        <v>12182</v>
      </c>
      <c r="AS206" s="84">
        <v>0</v>
      </c>
      <c r="AT206" s="84" vm="15088">
        <v>11417</v>
      </c>
      <c r="AU206" s="84" vm="13858">
        <v>0</v>
      </c>
      <c r="AV206" s="84" vm="14112">
        <v>3003</v>
      </c>
      <c r="AW206" s="84" vm="14354">
        <v>56316</v>
      </c>
      <c r="AX206" s="84" vm="14601">
        <v>60169</v>
      </c>
      <c r="AY206" s="5">
        <f xml:space="preserve"> - SUM( VfM_Metrics_2023_Entity[[#This Row],[Interest capitalised]], VfM_Metrics_2023_Entity[[#This Row],[Interest payable and financing costs]] )</f>
        <v>47136</v>
      </c>
      <c r="AZ206" s="84" vm="15262">
        <v>0</v>
      </c>
      <c r="BA206" s="135" vm="15438">
        <v>-47136</v>
      </c>
      <c r="BB206" s="138">
        <f xml:space="preserve"> IFERROR( ( VfM_Metrics_2023_Entity[[#This Row],[Total Costs]] / VfM_Metrics_2023_Entity[[#This Row],[Total units for costs]] ) * 1000, "n/a" )</f>
        <v>4613.139348477057</v>
      </c>
      <c r="BC20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305030</v>
      </c>
      <c r="BD206" s="84" vm="16758">
        <v>33926</v>
      </c>
      <c r="BE206" s="84" vm="16951">
        <v>115659</v>
      </c>
      <c r="BF206" s="84" vm="17178">
        <v>63493</v>
      </c>
      <c r="BG206" s="84" vm="17413">
        <v>20868</v>
      </c>
      <c r="BH206" s="84" vm="16287">
        <v>12995</v>
      </c>
      <c r="BI206" s="84" vm="16544">
        <v>0</v>
      </c>
      <c r="BJ206" s="84" vm="14354">
        <v>56316</v>
      </c>
      <c r="BK206" s="84" vm="16952">
        <v>0</v>
      </c>
      <c r="BL206" s="84">
        <v>0</v>
      </c>
      <c r="BM206" s="84">
        <v>0</v>
      </c>
      <c r="BN206" s="84" vm="16545">
        <v>1773</v>
      </c>
      <c r="BO206" s="84">
        <v>0</v>
      </c>
      <c r="BP206" s="5" vm="17719">
        <f xml:space="preserve"> VfM_Metrics_2023_Entity[[#This Row],[Total social housing units owned and/or managed at period end]]</f>
        <v>66122</v>
      </c>
      <c r="BQ206" s="135" vm="17719">
        <v>66122</v>
      </c>
      <c r="BR206" s="134">
        <f xml:space="preserve"> IFERROR( VfM_Metrics_2023_Entity[[#This Row],[SHL operating surplus / (deficit)]] / VfM_Metrics_2023_Entity[[#This Row],[Turnover from social housing lettings]], "n/a" )</f>
        <v>0.10916606833318813</v>
      </c>
      <c r="BS206" s="5" vm="18005">
        <f xml:space="preserve"> VfM_Metrics_2023_Entity[[#This Row],[Operating surplus/(deficit) (social housing lettings)]]</f>
        <v>36338</v>
      </c>
      <c r="BT206" s="84" vm="18005">
        <v>36338</v>
      </c>
      <c r="BU206" s="5" vm="18188">
        <f xml:space="preserve"> VfM_Metrics_2023_Entity[[#This Row],[Turnover from social housing lettings]]</f>
        <v>332869</v>
      </c>
      <c r="BV206" s="135" vm="18188">
        <v>332869</v>
      </c>
      <c r="BW206" s="134">
        <f xml:space="preserve"> IFERROR( VfM_Metrics_2023_Entity[[#This Row],[Net operating surplus]] / VfM_Metrics_2023_Entity[[#This Row],[Overall turnover]], "n/a" )</f>
        <v>0.15863830520244282</v>
      </c>
      <c r="BX206" s="5">
        <f xml:space="preserve"> SUM( VfM_Metrics_2023_Entity[[#This Row],[Operating surplus/(deficit) (overall)2]], - VfM_Metrics_2023_Entity[[#This Row],[Gain/(loss) on disposal of fixed assets (housing properties)2]], - VfM_Metrics_2023_Entity[[#This Row],[Gain/(loss) on disposal of fixed assets (other)2]] )</f>
        <v>58940</v>
      </c>
      <c r="BY206" s="84" vm="13589">
        <v>71122</v>
      </c>
      <c r="BZ206" s="84" vm="14600">
        <v>12182</v>
      </c>
      <c r="CA206" s="84">
        <v>0</v>
      </c>
      <c r="CB206" s="5" vm="18360">
        <f xml:space="preserve"> VfM_Metrics_2023_Entity[[#This Row],[Turnover (overall)]]</f>
        <v>371537</v>
      </c>
      <c r="CC206" s="135" vm="18360">
        <v>371537</v>
      </c>
      <c r="CD206" s="134">
        <f xml:space="preserve"> IFERROR( VfM_Metrics_2023_Entity[[#This Row],[Operating surplus including from JVs]] / VfM_Metrics_2023_Entity[[#This Row],[Net assets]], "n/a" )</f>
        <v>1.6747623797534646E-2</v>
      </c>
      <c r="CE206" s="5">
        <f xml:space="preserve"> SUM( VfM_Metrics_2023_Entity[[#This Row],[Operating surplus/(deficit) (overall)3]], VfM_Metrics_2023_Entity[[#This Row],[Share of operating surplus/(deficit) in joint ventures or associates]] )</f>
        <v>71122</v>
      </c>
      <c r="CF206" s="84" vm="13589">
        <v>71122</v>
      </c>
      <c r="CG206" s="84" vm="18523">
        <v>0</v>
      </c>
      <c r="CH206" s="5" vm="18730">
        <f xml:space="preserve"> VfM_Metrics_2023_Entity[[#This Row],[Total assets less current liabilities]]</f>
        <v>4246692</v>
      </c>
      <c r="CI206" s="135" vm="18730">
        <v>4246692</v>
      </c>
      <c r="CJ206" s="140" vm="11391">
        <f xml:space="preserve"> VfM_Metrics_2023_Entity[[#This Row],[Total social housing units owned (Period end)]]</f>
        <v>64501</v>
      </c>
      <c r="CK206" s="141">
        <v>8.1492503147533479E-2</v>
      </c>
      <c r="CL206" s="69">
        <f xml:space="preserve"> -- ( VfM_Metrics_2023_Entity[[#This Row],[% Supported housing (excl. HOP)]] &gt; 0.3 )</f>
        <v>0</v>
      </c>
      <c r="CM206" s="9">
        <v>9.2899927511350192E-2</v>
      </c>
      <c r="CN206" s="69">
        <f xml:space="preserve"> -- ( VfM_Metrics_2023_Entity[[#This Row],[% Housing for older people]] &gt; 0.3 )</f>
        <v>0</v>
      </c>
      <c r="CO206" s="9">
        <f xml:space="preserve"> VfM_Metrics_2023_Entity[[#This Row],[% Supported housing (excl. HOP)]] + VfM_Metrics_2023_Entity[[#This Row],[% Housing for older people]]</f>
        <v>0.17439243065888366</v>
      </c>
      <c r="CP206" s="69">
        <f xml:space="preserve"> -- ( VfM_Metrics_2023_Entity[[#This Row],[SH specialist in RSH analysis]] + VfM_Metrics_2023_Entity[[#This Row],[OP specialist in RSH analysis]] &gt; 0 )</f>
        <v>0</v>
      </c>
      <c r="CQ206" s="142">
        <f xml:space="preserve"> -- ( VfM_Metrics_2023_Entity[[#This Row],[% SH and OP]] &gt; 0.3 )</f>
        <v>0</v>
      </c>
      <c r="CR206" s="143" t="s">
        <v>143</v>
      </c>
      <c r="CS206" s="120"/>
      <c r="CT206" s="144" t="s">
        <v>151</v>
      </c>
      <c r="CU20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206" s="146">
        <v>5.1191662196336883E-2</v>
      </c>
      <c r="CW206" s="146">
        <v>3.8106368304084606E-2</v>
      </c>
      <c r="CX206" s="146">
        <v>6.3606406621197027E-3</v>
      </c>
      <c r="CY206" s="146">
        <v>8.6539198406008128E-2</v>
      </c>
      <c r="CZ206" s="146">
        <v>1.6093187217411296E-2</v>
      </c>
      <c r="DA206" s="146">
        <v>9.2918997624339035E-3</v>
      </c>
      <c r="DB206" s="146">
        <v>7.8990727258793775E-2</v>
      </c>
      <c r="DC206" s="146">
        <v>0.66556824277722426</v>
      </c>
      <c r="DD206" s="146">
        <v>4.7858073415587399E-2</v>
      </c>
      <c r="DE206" s="126">
        <v>0.96793005034021806</v>
      </c>
    </row>
    <row r="207" spans="1:109" x14ac:dyDescent="0.25">
      <c r="A207" s="4" t="s" vm="9257">
        <v>630</v>
      </c>
      <c r="B207" s="4" t="s" vm="9358">
        <v>631</v>
      </c>
      <c r="C207" s="121" vm="18797">
        <v>45016</v>
      </c>
      <c r="D207" s="68">
        <f>IFERROR( VfM_Metrics_2023_Entity[[#This Row],[Reinvestment Spend]] / VfM_Metrics_2023_Entity[[#This Row],[Net Book Value of Housing Properties]], "n/a" )</f>
        <v>8.2708504256442425E-2</v>
      </c>
      <c r="E20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56555</v>
      </c>
      <c r="F207" s="84" vm="9448">
        <v>51304</v>
      </c>
      <c r="G207" s="84" vm="10423">
        <v>0</v>
      </c>
      <c r="H207" s="84" vm="9653">
        <v>3119</v>
      </c>
      <c r="I207" s="84" vm="10377">
        <v>2132</v>
      </c>
      <c r="J207" s="84" vm="10584">
        <v>0</v>
      </c>
      <c r="K207" s="5">
        <f xml:space="preserve"> SUM( VfM_Metrics_2023_Entity[[#This Row],[Tangible fixed assets: Housing properties at cost (Current period)]],VfM_Metrics_2023_Entity[[#This Row],[Tangible fixed assets Housing properties at valuation (Current period)]] )</f>
        <v>683787</v>
      </c>
      <c r="L207" s="84" vm="9988">
        <v>683787</v>
      </c>
      <c r="M207" s="84">
        <v>0</v>
      </c>
      <c r="N207" s="134">
        <f xml:space="preserve"> IFERROR( VfM_Metrics_2023_Entity[[#This Row],[Total social units developed or newly built units acquired in-year]] / VfM_Metrics_2023_Entity[[#This Row],[Social housing units owned (period end)]], "n/a" )</f>
        <v>3.8605230386052306E-2</v>
      </c>
      <c r="O207" s="5">
        <f xml:space="preserve"> SUM( VfM_Metrics_2023_Entity[[#This Row],[Total social units developed or newly built units acquired in-year (owned)]], VfM_Metrics_2023_Entity[[#This Row],[Total social leasehold units developed or newly built units acquired in-year (owned)]] )</f>
        <v>310</v>
      </c>
      <c r="P207" s="84" vm="11077">
        <v>310</v>
      </c>
      <c r="Q207" s="84" vm="11200">
        <v>0</v>
      </c>
      <c r="R207" s="5">
        <f xml:space="preserve"> SUM( VfM_Metrics_2023_Entity[[#This Row],[Total social housing units owned (Period end)]], VfM_Metrics_2023_Entity[[#This Row],[Total social leasehold units owned (Period end)]] )</f>
        <v>8030</v>
      </c>
      <c r="S207" s="84" vm="11388">
        <v>7533</v>
      </c>
      <c r="T207" s="135" vm="11528">
        <v>497</v>
      </c>
      <c r="U207" s="136">
        <f xml:space="preserve"> IFERROR( VfM_Metrics_2023_Entity[[#This Row],[Total non-social housing units developed or newly built units acquired (owned)]] / VfM_Metrics_2023_Entity[[#This Row],[Total social and non-social housing units owned (Period end)]], "n/a" )</f>
        <v>1.1948858883976581E-3</v>
      </c>
      <c r="V20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10</v>
      </c>
      <c r="W207" s="84">
        <v>0</v>
      </c>
      <c r="X207" s="84">
        <v>0</v>
      </c>
      <c r="Y207" s="84" vm="11861">
        <v>10</v>
      </c>
      <c r="Z20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8369</v>
      </c>
      <c r="AA207" s="84" vm="11386">
        <v>7533</v>
      </c>
      <c r="AB207" s="84" vm="12216">
        <v>497</v>
      </c>
      <c r="AC207" s="84" vm="12157">
        <v>339</v>
      </c>
      <c r="AD207" s="135" vm="12311">
        <v>0</v>
      </c>
      <c r="AE207" s="134">
        <f xml:space="preserve"> IFERROR( VfM_Metrics_2023_Entity[[#This Row],[Total Net Debt]] / VfM_Metrics_2023_Entity[[#This Row],[Net Book Value of Housing Properties2]], "n/a" )</f>
        <v>0.3964436293758144</v>
      </c>
      <c r="AF20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271083</v>
      </c>
      <c r="AG207" s="84" vm="12699">
        <v>17523</v>
      </c>
      <c r="AH207" s="84" vm="13351">
        <v>263141</v>
      </c>
      <c r="AI207" s="84" vm="12921">
        <v>9581</v>
      </c>
      <c r="AJ207" s="84">
        <v>0</v>
      </c>
      <c r="AK207" s="84">
        <v>0</v>
      </c>
      <c r="AL207" s="5">
        <f xml:space="preserve"> SUM( VfM_Metrics_2023_Entity[[#This Row],[Tangible fixed assets: Housing properties at cost (Current period)2]], VfM_Metrics_2023_Entity[[#This Row],[Tangible fixed assets Housing properties at valuation (Current period)2]] )</f>
        <v>683787</v>
      </c>
      <c r="AM207" s="84" vm="9988">
        <v>683787</v>
      </c>
      <c r="AN207" s="135">
        <v>0</v>
      </c>
      <c r="AO207" s="137">
        <f xml:space="preserve"> IFERROR( VfM_Metrics_2023_Entity[[#This Row],[EBITDA MRI]] / VfM_Metrics_2023_Entity[[#This Row],[Total interest]], "n/a" )</f>
        <v>2.002384306925328</v>
      </c>
      <c r="AP20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18476</v>
      </c>
      <c r="AQ207" s="84" vm="13623">
        <v>20319</v>
      </c>
      <c r="AR207" s="84" vm="14844">
        <v>3790</v>
      </c>
      <c r="AS207" s="84" vm="15089">
        <v>1222</v>
      </c>
      <c r="AT207" s="84" vm="13859">
        <v>2281</v>
      </c>
      <c r="AU207" s="84" vm="14113">
        <v>0</v>
      </c>
      <c r="AV207" s="84" vm="14355">
        <v>434</v>
      </c>
      <c r="AW207" s="84" vm="14602">
        <v>3119</v>
      </c>
      <c r="AX207" s="84" vm="14845">
        <v>8135</v>
      </c>
      <c r="AY207" s="5">
        <f xml:space="preserve"> - SUM( VfM_Metrics_2023_Entity[[#This Row],[Interest capitalised]], VfM_Metrics_2023_Entity[[#This Row],[Interest payable and financing costs]] )</f>
        <v>9227</v>
      </c>
      <c r="AZ207" s="84" vm="15289">
        <v>-3032</v>
      </c>
      <c r="BA207" s="135" vm="15472">
        <v>-6195</v>
      </c>
      <c r="BB207" s="138">
        <f xml:space="preserve"> IFERROR( ( VfM_Metrics_2023_Entity[[#This Row],[Total Costs]] / VfM_Metrics_2023_Entity[[#This Row],[Total units for costs]] ) * 1000, "n/a" )</f>
        <v>9452.5421478826502</v>
      </c>
      <c r="BC20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71206</v>
      </c>
      <c r="BD207" s="84" vm="15608">
        <v>12591</v>
      </c>
      <c r="BE207" s="84" vm="16953">
        <v>2639</v>
      </c>
      <c r="BF207" s="84" vm="17179">
        <v>8517</v>
      </c>
      <c r="BG207" s="84" vm="17440">
        <v>2085</v>
      </c>
      <c r="BH207" s="84" vm="16289">
        <v>4454</v>
      </c>
      <c r="BI207" s="84" vm="16546">
        <v>0</v>
      </c>
      <c r="BJ207" s="84" vm="14602">
        <v>3119</v>
      </c>
      <c r="BK207" s="84" vm="16954">
        <v>300</v>
      </c>
      <c r="BL207" s="84" vm="17414">
        <v>616</v>
      </c>
      <c r="BM207" s="84">
        <v>0</v>
      </c>
      <c r="BN207" s="84" vm="16547">
        <v>147</v>
      </c>
      <c r="BO207" s="84" vm="17180">
        <v>36738</v>
      </c>
      <c r="BP207" s="5" vm="17753">
        <f xml:space="preserve"> VfM_Metrics_2023_Entity[[#This Row],[Total social housing units owned and/or managed at period end]]</f>
        <v>7533</v>
      </c>
      <c r="BQ207" s="135" vm="17753">
        <v>7533</v>
      </c>
      <c r="BR207" s="134">
        <f xml:space="preserve"> IFERROR( VfM_Metrics_2023_Entity[[#This Row],[SHL operating surplus / (deficit)]] / VfM_Metrics_2023_Entity[[#This Row],[Turnover from social housing lettings]], "n/a" )</f>
        <v>0.19798181085836636</v>
      </c>
      <c r="BS207" s="5" vm="18034">
        <f xml:space="preserve"> VfM_Metrics_2023_Entity[[#This Row],[Operating surplus/(deficit) (social housing lettings)]]</f>
        <v>9339</v>
      </c>
      <c r="BT207" s="84" vm="18034">
        <v>9339</v>
      </c>
      <c r="BU207" s="5" vm="18206">
        <f xml:space="preserve"> VfM_Metrics_2023_Entity[[#This Row],[Turnover from social housing lettings]]</f>
        <v>47171</v>
      </c>
      <c r="BV207" s="135" vm="18206">
        <v>47171</v>
      </c>
      <c r="BW207" s="134">
        <f xml:space="preserve"> IFERROR( VfM_Metrics_2023_Entity[[#This Row],[Net operating surplus]] / VfM_Metrics_2023_Entity[[#This Row],[Overall turnover]], "n/a" )</f>
        <v>0.132471938311885</v>
      </c>
      <c r="BX207" s="5">
        <f xml:space="preserve"> SUM( VfM_Metrics_2023_Entity[[#This Row],[Operating surplus/(deficit) (overall)2]], - VfM_Metrics_2023_Entity[[#This Row],[Gain/(loss) on disposal of fixed assets (housing properties)2]], - VfM_Metrics_2023_Entity[[#This Row],[Gain/(loss) on disposal of fixed assets (other)2]] )</f>
        <v>15307</v>
      </c>
      <c r="BY207" s="84" vm="18242">
        <v>20319</v>
      </c>
      <c r="BZ207" s="84" vm="14844">
        <v>3790</v>
      </c>
      <c r="CA207" s="84" vm="15089">
        <v>1222</v>
      </c>
      <c r="CB207" s="5" vm="18385">
        <f xml:space="preserve"> VfM_Metrics_2023_Entity[[#This Row],[Turnover (overall)]]</f>
        <v>115549</v>
      </c>
      <c r="CC207" s="135" vm="18385">
        <v>115549</v>
      </c>
      <c r="CD207" s="134">
        <f xml:space="preserve"> IFERROR( VfM_Metrics_2023_Entity[[#This Row],[Operating surplus including from JVs]] / VfM_Metrics_2023_Entity[[#This Row],[Net assets]], "n/a" )</f>
        <v>2.7052827505771641E-2</v>
      </c>
      <c r="CE207" s="5">
        <f xml:space="preserve"> SUM( VfM_Metrics_2023_Entity[[#This Row],[Operating surplus/(deficit) (overall)3]], VfM_Metrics_2023_Entity[[#This Row],[Share of operating surplus/(deficit) in joint ventures or associates]] )</f>
        <v>20319</v>
      </c>
      <c r="CF207" s="84" vm="13624">
        <v>20319</v>
      </c>
      <c r="CG207" s="84">
        <v>0</v>
      </c>
      <c r="CH207" s="5" vm="18752">
        <f xml:space="preserve"> VfM_Metrics_2023_Entity[[#This Row],[Total assets less current liabilities]]</f>
        <v>751086</v>
      </c>
      <c r="CI207" s="135" vm="18752">
        <v>751086</v>
      </c>
      <c r="CJ207" s="140" vm="11388">
        <f xml:space="preserve"> VfM_Metrics_2023_Entity[[#This Row],[Total social housing units owned (Period end)]]</f>
        <v>7533</v>
      </c>
      <c r="CK207" s="141">
        <v>3.4092458748124915E-3</v>
      </c>
      <c r="CL207" s="69">
        <f xml:space="preserve"> -- ( VfM_Metrics_2023_Entity[[#This Row],[% Supported housing (excl. HOP)]] &gt; 0.3 )</f>
        <v>0</v>
      </c>
      <c r="CM207" s="9">
        <v>2.2091913268784943E-2</v>
      </c>
      <c r="CN207" s="69">
        <f xml:space="preserve"> -- ( VfM_Metrics_2023_Entity[[#This Row],[% Housing for older people]] &gt; 0.3 )</f>
        <v>0</v>
      </c>
      <c r="CO207" s="9">
        <f xml:space="preserve"> VfM_Metrics_2023_Entity[[#This Row],[% Supported housing (excl. HOP)]] + VfM_Metrics_2023_Entity[[#This Row],[% Housing for older people]]</f>
        <v>2.5501159143597435E-2</v>
      </c>
      <c r="CP207" s="69">
        <f xml:space="preserve"> -- ( VfM_Metrics_2023_Entity[[#This Row],[SH specialist in RSH analysis]] + VfM_Metrics_2023_Entity[[#This Row],[OP specialist in RSH analysis]] &gt; 0 )</f>
        <v>0</v>
      </c>
      <c r="CQ207" s="142">
        <f xml:space="preserve"> -- ( VfM_Metrics_2023_Entity[[#This Row],[% SH and OP]] &gt; 0.3 )</f>
        <v>0</v>
      </c>
      <c r="CR207" s="143" t="s">
        <v>143</v>
      </c>
      <c r="CS207" s="120"/>
      <c r="CT207" s="144" t="s">
        <v>144</v>
      </c>
      <c r="CU20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207" s="146">
        <v>0</v>
      </c>
      <c r="CW207" s="146">
        <v>0.77738943406371819</v>
      </c>
      <c r="CX207" s="146">
        <v>0.22261056593628176</v>
      </c>
      <c r="CY207" s="146">
        <v>0</v>
      </c>
      <c r="CZ207" s="146">
        <v>0</v>
      </c>
      <c r="DA207" s="146">
        <v>0</v>
      </c>
      <c r="DB207" s="146">
        <v>0</v>
      </c>
      <c r="DC207" s="146">
        <v>0</v>
      </c>
      <c r="DD207" s="146">
        <v>0</v>
      </c>
      <c r="DE207" s="126">
        <v>1.0206690189859458</v>
      </c>
    </row>
    <row r="208" spans="1:109" x14ac:dyDescent="0.25">
      <c r="A208" s="4" t="s" vm="282">
        <v>488</v>
      </c>
      <c r="B208" s="4" t="s" vm="10819">
        <v>489</v>
      </c>
      <c r="C208" s="121" vm="18887">
        <v>45016</v>
      </c>
      <c r="D208" s="68">
        <f>IFERROR( VfM_Metrics_2023_Entity[[#This Row],[Reinvestment Spend]] / VfM_Metrics_2023_Entity[[#This Row],[Net Book Value of Housing Properties]], "n/a" )</f>
        <v>0.10641504344093161</v>
      </c>
      <c r="E20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82051</v>
      </c>
      <c r="F208" s="84" vm="10282">
        <v>54973</v>
      </c>
      <c r="G208" s="84" vm="9862">
        <v>19199</v>
      </c>
      <c r="H208" s="84" vm="10402">
        <v>7879</v>
      </c>
      <c r="I208" s="84" vm="10913">
        <v>0</v>
      </c>
      <c r="J208" s="84" vm="10042">
        <v>0</v>
      </c>
      <c r="K208" s="5">
        <f xml:space="preserve"> SUM( VfM_Metrics_2023_Entity[[#This Row],[Tangible fixed assets: Housing properties at cost (Current period)]],VfM_Metrics_2023_Entity[[#This Row],[Tangible fixed assets Housing properties at valuation (Current period)]] )</f>
        <v>771047</v>
      </c>
      <c r="L208" s="84" vm="10000">
        <v>771047</v>
      </c>
      <c r="M208" s="84">
        <v>0</v>
      </c>
      <c r="N208" s="134">
        <f xml:space="preserve"> IFERROR( VfM_Metrics_2023_Entity[[#This Row],[Total social units developed or newly built units acquired in-year]] / VfM_Metrics_2023_Entity[[#This Row],[Social housing units owned (period end)]], "n/a" )</f>
        <v>3.511215364316083E-2</v>
      </c>
      <c r="O208" s="5">
        <f xml:space="preserve"> SUM( VfM_Metrics_2023_Entity[[#This Row],[Total social units developed or newly built units acquired in-year (owned)]], VfM_Metrics_2023_Entity[[#This Row],[Total social leasehold units developed or newly built units acquired in-year (owned)]] )</f>
        <v>479</v>
      </c>
      <c r="P208" s="84" vm="11098">
        <v>479</v>
      </c>
      <c r="Q208" s="84" vm="11216">
        <v>0</v>
      </c>
      <c r="R208" s="5">
        <f xml:space="preserve"> SUM( VfM_Metrics_2023_Entity[[#This Row],[Total social housing units owned (Period end)]], VfM_Metrics_2023_Entity[[#This Row],[Total social leasehold units owned (Period end)]] )</f>
        <v>13642</v>
      </c>
      <c r="S208" s="84" vm="11323">
        <v>13052</v>
      </c>
      <c r="T208" s="135" vm="11533">
        <v>590</v>
      </c>
      <c r="U208" s="136">
        <f xml:space="preserve"> IFERROR( VfM_Metrics_2023_Entity[[#This Row],[Total non-social housing units developed or newly built units acquired (owned)]] / VfM_Metrics_2023_Entity[[#This Row],[Total social and non-social housing units owned (Period end)]], "n/a" )</f>
        <v>0</v>
      </c>
      <c r="V20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08" s="84">
        <v>0</v>
      </c>
      <c r="X208" s="84" vm="11902">
        <v>0</v>
      </c>
      <c r="Y208" s="84" vm="11943">
        <v>0</v>
      </c>
      <c r="Z20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13774</v>
      </c>
      <c r="AA208" s="84" vm="11323">
        <v>13052</v>
      </c>
      <c r="AB208" s="84" vm="12462">
        <v>590</v>
      </c>
      <c r="AC208" s="84" vm="12403">
        <v>132</v>
      </c>
      <c r="AD208" s="135" vm="12537">
        <v>0</v>
      </c>
      <c r="AE208" s="134">
        <f xml:space="preserve"> IFERROR( VfM_Metrics_2023_Entity[[#This Row],[Total Net Debt]] / VfM_Metrics_2023_Entity[[#This Row],[Net Book Value of Housing Properties2]], "n/a" )</f>
        <v>0.66930809665299262</v>
      </c>
      <c r="AF20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516068</v>
      </c>
      <c r="AG208" s="84">
        <v>0</v>
      </c>
      <c r="AH208" s="84" vm="13147">
        <v>540415</v>
      </c>
      <c r="AI208" s="84" vm="13229">
        <v>24347</v>
      </c>
      <c r="AJ208" s="84">
        <v>0</v>
      </c>
      <c r="AK208" s="84">
        <v>0</v>
      </c>
      <c r="AL208" s="5">
        <f xml:space="preserve"> SUM( VfM_Metrics_2023_Entity[[#This Row],[Tangible fixed assets: Housing properties at cost (Current period)2]], VfM_Metrics_2023_Entity[[#This Row],[Tangible fixed assets Housing properties at valuation (Current period)2]] )</f>
        <v>771047</v>
      </c>
      <c r="AM208" s="84" vm="10000">
        <v>771047</v>
      </c>
      <c r="AN208" s="135">
        <v>0</v>
      </c>
      <c r="AO208" s="137">
        <f xml:space="preserve"> IFERROR( VfM_Metrics_2023_Entity[[#This Row],[EBITDA MRI]] / VfM_Metrics_2023_Entity[[#This Row],[Total interest]], "n/a" )</f>
        <v>1.5909822003002358</v>
      </c>
      <c r="AP20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29675</v>
      </c>
      <c r="AQ208" s="84" vm="13461">
        <v>25658</v>
      </c>
      <c r="AR208" s="84" vm="15090">
        <v>1958</v>
      </c>
      <c r="AS208" s="84" vm="13860">
        <v>0</v>
      </c>
      <c r="AT208" s="84" vm="14114">
        <v>1210</v>
      </c>
      <c r="AU208" s="84" vm="14356">
        <v>0</v>
      </c>
      <c r="AV208" s="84" vm="14603">
        <v>373</v>
      </c>
      <c r="AW208" s="84" vm="14846">
        <v>7879</v>
      </c>
      <c r="AX208" s="84" vm="15091">
        <v>14691</v>
      </c>
      <c r="AY208" s="5">
        <f xml:space="preserve"> - SUM( VfM_Metrics_2023_Entity[[#This Row],[Interest capitalised]], VfM_Metrics_2023_Entity[[#This Row],[Interest payable and financing costs]] )</f>
        <v>18652</v>
      </c>
      <c r="AZ208" s="84" vm="15300">
        <v>0</v>
      </c>
      <c r="BA208" s="135" vm="15502">
        <v>-18652</v>
      </c>
      <c r="BB208" s="138">
        <f xml:space="preserve"> IFERROR( ( VfM_Metrics_2023_Entity[[#This Row],[Total Costs]] / VfM_Metrics_2023_Entity[[#This Row],[Total units for costs]] ) * 1000, "n/a" )</f>
        <v>4438.3938814531548</v>
      </c>
      <c r="BC20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58032</v>
      </c>
      <c r="BD208" s="84" vm="15599">
        <v>10215</v>
      </c>
      <c r="BE208" s="84" vm="16955">
        <v>12718</v>
      </c>
      <c r="BF208" s="84" vm="17181">
        <v>16208</v>
      </c>
      <c r="BG208" s="84" vm="17415">
        <v>0</v>
      </c>
      <c r="BH208" s="84" vm="16292">
        <v>9339</v>
      </c>
      <c r="BI208" s="84" vm="16548">
        <v>0</v>
      </c>
      <c r="BJ208" s="84" vm="16759">
        <v>7879</v>
      </c>
      <c r="BK208" s="84" vm="16956">
        <v>0</v>
      </c>
      <c r="BL208" s="84">
        <v>0</v>
      </c>
      <c r="BM208" s="84">
        <v>0</v>
      </c>
      <c r="BN208" s="84" vm="16549">
        <v>1673</v>
      </c>
      <c r="BO208" s="84">
        <v>0</v>
      </c>
      <c r="BP208" s="5" vm="17785">
        <f xml:space="preserve"> VfM_Metrics_2023_Entity[[#This Row],[Total social housing units owned and/or managed at period end]]</f>
        <v>13075</v>
      </c>
      <c r="BQ208" s="135" vm="17785">
        <v>13075</v>
      </c>
      <c r="BR208" s="134">
        <f xml:space="preserve"> IFERROR( VfM_Metrics_2023_Entity[[#This Row],[SHL operating surplus / (deficit)]] / VfM_Metrics_2023_Entity[[#This Row],[Turnover from social housing lettings]], "n/a" )</f>
        <v>0.18185371446439275</v>
      </c>
      <c r="BS208" s="5" vm="17864">
        <f xml:space="preserve"> VfM_Metrics_2023_Entity[[#This Row],[Operating surplus/(deficit) (social housing lettings)]]</f>
        <v>13958</v>
      </c>
      <c r="BT208" s="84" vm="17864">
        <v>13958</v>
      </c>
      <c r="BU208" s="5" vm="18079">
        <f xml:space="preserve"> VfM_Metrics_2023_Entity[[#This Row],[Turnover from social housing lettings]]</f>
        <v>76754</v>
      </c>
      <c r="BV208" s="135" vm="18079">
        <v>76754</v>
      </c>
      <c r="BW208" s="134">
        <f xml:space="preserve"> IFERROR( VfM_Metrics_2023_Entity[[#This Row],[Net operating surplus]] / VfM_Metrics_2023_Entity[[#This Row],[Overall turnover]], "n/a" )</f>
        <v>0.25824588931385045</v>
      </c>
      <c r="BX208" s="5">
        <f xml:space="preserve"> SUM( VfM_Metrics_2023_Entity[[#This Row],[Operating surplus/(deficit) (overall)2]], - VfM_Metrics_2023_Entity[[#This Row],[Gain/(loss) on disposal of fixed assets (housing properties)2]], - VfM_Metrics_2023_Entity[[#This Row],[Gain/(loss) on disposal of fixed assets (other)2]] )</f>
        <v>23700</v>
      </c>
      <c r="BY208" s="84" vm="13535">
        <v>25658</v>
      </c>
      <c r="BZ208" s="84" vm="15090">
        <v>1958</v>
      </c>
      <c r="CA208" s="84" vm="13860">
        <v>0</v>
      </c>
      <c r="CB208" s="5" vm="18392">
        <f xml:space="preserve"> VfM_Metrics_2023_Entity[[#This Row],[Turnover (overall)]]</f>
        <v>91773</v>
      </c>
      <c r="CC208" s="135" vm="18392">
        <v>91773</v>
      </c>
      <c r="CD208" s="134">
        <f xml:space="preserve"> IFERROR( VfM_Metrics_2023_Entity[[#This Row],[Operating surplus including from JVs]] / VfM_Metrics_2023_Entity[[#This Row],[Net assets]], "n/a" )</f>
        <v>3.20073250842971E-2</v>
      </c>
      <c r="CE208" s="5">
        <f xml:space="preserve"> SUM( VfM_Metrics_2023_Entity[[#This Row],[Operating surplus/(deficit) (overall)3]], VfM_Metrics_2023_Entity[[#This Row],[Share of operating surplus/(deficit) in joint ventures or associates]] )</f>
        <v>25658</v>
      </c>
      <c r="CF208" s="84" vm="13461">
        <v>25658</v>
      </c>
      <c r="CG208" s="84">
        <v>0</v>
      </c>
      <c r="CH208" s="5" vm="18601">
        <f xml:space="preserve"> VfM_Metrics_2023_Entity[[#This Row],[Total assets less current liabilities]]</f>
        <v>801629</v>
      </c>
      <c r="CI208" s="135" vm="18601">
        <v>801629</v>
      </c>
      <c r="CJ208" s="140" vm="11323">
        <f xml:space="preserve"> VfM_Metrics_2023_Entity[[#This Row],[Total social housing units owned (Period end)]]</f>
        <v>13052</v>
      </c>
      <c r="CK208" s="141">
        <v>5.3755183535555218E-3</v>
      </c>
      <c r="CL208" s="69">
        <f xml:space="preserve"> -- ( VfM_Metrics_2023_Entity[[#This Row],[% Supported housing (excl. HOP)]] &gt; 0.3 )</f>
        <v>0</v>
      </c>
      <c r="CM208" s="9">
        <v>0.10036860697281523</v>
      </c>
      <c r="CN208" s="69">
        <f xml:space="preserve"> -- ( VfM_Metrics_2023_Entity[[#This Row],[% Housing for older people]] &gt; 0.3 )</f>
        <v>0</v>
      </c>
      <c r="CO208" s="9">
        <f xml:space="preserve"> VfM_Metrics_2023_Entity[[#This Row],[% Supported housing (excl. HOP)]] + VfM_Metrics_2023_Entity[[#This Row],[% Housing for older people]]</f>
        <v>0.10574412532637076</v>
      </c>
      <c r="CP208" s="69">
        <f xml:space="preserve"> -- ( VfM_Metrics_2023_Entity[[#This Row],[SH specialist in RSH analysis]] + VfM_Metrics_2023_Entity[[#This Row],[OP specialist in RSH analysis]] &gt; 0 )</f>
        <v>0</v>
      </c>
      <c r="CQ208" s="142">
        <f xml:space="preserve"> -- ( VfM_Metrics_2023_Entity[[#This Row],[% SH and OP]] &gt; 0.3 )</f>
        <v>0</v>
      </c>
      <c r="CR208" s="143" t="s">
        <v>143</v>
      </c>
      <c r="CS208" s="120"/>
      <c r="CT208" s="144" t="s">
        <v>151</v>
      </c>
      <c r="CU20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208" s="146">
        <v>0</v>
      </c>
      <c r="CW208" s="146">
        <v>0</v>
      </c>
      <c r="CX208" s="146">
        <v>0</v>
      </c>
      <c r="CY208" s="146">
        <v>0</v>
      </c>
      <c r="CZ208" s="146">
        <v>1</v>
      </c>
      <c r="DA208" s="146">
        <v>0</v>
      </c>
      <c r="DB208" s="146">
        <v>0</v>
      </c>
      <c r="DC208" s="146">
        <v>0</v>
      </c>
      <c r="DD208" s="146">
        <v>0</v>
      </c>
      <c r="DE208" s="126">
        <v>0.96459033333600952</v>
      </c>
    </row>
    <row r="209" spans="1:109" x14ac:dyDescent="0.25">
      <c r="A209" s="4" t="s" vm="260">
        <v>490</v>
      </c>
      <c r="B209" s="4" t="s" vm="9848">
        <v>491</v>
      </c>
      <c r="C209" s="121" vm="18893">
        <v>45016</v>
      </c>
      <c r="D209" s="68">
        <f>IFERROR( VfM_Metrics_2023_Entity[[#This Row],[Reinvestment Spend]] / VfM_Metrics_2023_Entity[[#This Row],[Net Book Value of Housing Properties]], "n/a" )</f>
        <v>8.0893243048552083E-2</v>
      </c>
      <c r="E20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98259</v>
      </c>
      <c r="F209" s="84" vm="10492">
        <v>64302</v>
      </c>
      <c r="G209" s="84" vm="10838">
        <v>10915</v>
      </c>
      <c r="H209" s="84" vm="10782">
        <v>22045</v>
      </c>
      <c r="I209" s="84" vm="10657">
        <v>997</v>
      </c>
      <c r="J209" s="84" vm="10046">
        <v>0</v>
      </c>
      <c r="K209" s="5">
        <f xml:space="preserve"> SUM( VfM_Metrics_2023_Entity[[#This Row],[Tangible fixed assets: Housing properties at cost (Current period)]],VfM_Metrics_2023_Entity[[#This Row],[Tangible fixed assets Housing properties at valuation (Current period)]] )</f>
        <v>1214675</v>
      </c>
      <c r="L209" s="84" vm="10354">
        <v>1214675</v>
      </c>
      <c r="M209" s="84" vm="10292">
        <v>0</v>
      </c>
      <c r="N209" s="134">
        <f xml:space="preserve"> IFERROR( VfM_Metrics_2023_Entity[[#This Row],[Total social units developed or newly built units acquired in-year]] / VfM_Metrics_2023_Entity[[#This Row],[Social housing units owned (period end)]], "n/a" )</f>
        <v>1.2349875368230229E-2</v>
      </c>
      <c r="O209" s="5">
        <f xml:space="preserve"> SUM( VfM_Metrics_2023_Entity[[#This Row],[Total social units developed or newly built units acquired in-year (owned)]], VfM_Metrics_2023_Entity[[#This Row],[Total social leasehold units developed or newly built units acquired in-year (owned)]] )</f>
        <v>436</v>
      </c>
      <c r="P209" s="84" vm="11029">
        <v>436</v>
      </c>
      <c r="Q209" s="84" vm="11126">
        <v>0</v>
      </c>
      <c r="R209" s="5">
        <f xml:space="preserve"> SUM( VfM_Metrics_2023_Entity[[#This Row],[Total social housing units owned (Period end)]], VfM_Metrics_2023_Entity[[#This Row],[Total social leasehold units owned (Period end)]] )</f>
        <v>35304</v>
      </c>
      <c r="S209" s="84" vm="11360">
        <v>34579</v>
      </c>
      <c r="T209" s="135" vm="11452">
        <v>725</v>
      </c>
      <c r="U209" s="136">
        <f xml:space="preserve"> IFERROR( VfM_Metrics_2023_Entity[[#This Row],[Total non-social housing units developed or newly built units acquired (owned)]] / VfM_Metrics_2023_Entity[[#This Row],[Total social and non-social housing units owned (Period end)]], "n/a" )</f>
        <v>0</v>
      </c>
      <c r="V20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09" s="84" vm="11605">
        <v>0</v>
      </c>
      <c r="X209" s="84" vm="11747">
        <v>0</v>
      </c>
      <c r="Y209" s="84" vm="11773">
        <v>0</v>
      </c>
      <c r="Z20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35572</v>
      </c>
      <c r="AA209" s="84" vm="11360">
        <v>34579</v>
      </c>
      <c r="AB209" s="84" vm="12216">
        <v>725</v>
      </c>
      <c r="AC209" s="84" vm="12158">
        <v>178</v>
      </c>
      <c r="AD209" s="135" vm="12311">
        <v>90</v>
      </c>
      <c r="AE209" s="134">
        <f xml:space="preserve"> IFERROR( VfM_Metrics_2023_Entity[[#This Row],[Total Net Debt]] / VfM_Metrics_2023_Entity[[#This Row],[Net Book Value of Housing Properties2]], "n/a" )</f>
        <v>0.23018585218268262</v>
      </c>
      <c r="AF20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279601</v>
      </c>
      <c r="AG209" s="84" vm="12602">
        <v>19509</v>
      </c>
      <c r="AH209" s="84" vm="12812">
        <v>310718</v>
      </c>
      <c r="AI209" s="84" vm="13001">
        <v>50626</v>
      </c>
      <c r="AJ209" s="84" vm="13086">
        <v>0</v>
      </c>
      <c r="AK209" s="84" vm="13173">
        <v>0</v>
      </c>
      <c r="AL209" s="5">
        <f xml:space="preserve"> SUM( VfM_Metrics_2023_Entity[[#This Row],[Tangible fixed assets: Housing properties at cost (Current period)2]], VfM_Metrics_2023_Entity[[#This Row],[Tangible fixed assets Housing properties at valuation (Current period)2]] )</f>
        <v>1214675</v>
      </c>
      <c r="AM209" s="84" vm="9908">
        <v>1214675</v>
      </c>
      <c r="AN209" s="135" vm="10180">
        <v>0</v>
      </c>
      <c r="AO209" s="137">
        <f xml:space="preserve"> IFERROR( VfM_Metrics_2023_Entity[[#This Row],[EBITDA MRI]] / VfM_Metrics_2023_Entity[[#This Row],[Total interest]], "n/a" )</f>
        <v>2.5919295758005436</v>
      </c>
      <c r="AP20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43871</v>
      </c>
      <c r="AQ209" s="84" vm="13494">
        <v>44445</v>
      </c>
      <c r="AR209" s="84" vm="13861">
        <v>3187</v>
      </c>
      <c r="AS209" s="84" vm="14115">
        <v>9</v>
      </c>
      <c r="AT209" s="84" vm="14357">
        <v>1317</v>
      </c>
      <c r="AU209" s="84" vm="14604">
        <v>274</v>
      </c>
      <c r="AV209" s="84" vm="14847">
        <v>1580</v>
      </c>
      <c r="AW209" s="84" vm="15092">
        <v>31145</v>
      </c>
      <c r="AX209" s="84" vm="13862">
        <v>33778</v>
      </c>
      <c r="AY209" s="5">
        <f xml:space="preserve"> - SUM( VfM_Metrics_2023_Entity[[#This Row],[Interest capitalised]], VfM_Metrics_2023_Entity[[#This Row],[Interest payable and financing costs]] )</f>
        <v>16926</v>
      </c>
      <c r="AZ209" s="84" vm="15182">
        <v>-1040</v>
      </c>
      <c r="BA209" s="135" vm="15343">
        <v>-15886</v>
      </c>
      <c r="BB209" s="138">
        <f xml:space="preserve"> IFERROR( ( VfM_Metrics_2023_Entity[[#This Row],[Total Costs]] / VfM_Metrics_2023_Entity[[#This Row],[Total units for costs]] ) * 1000, "n/a" )</f>
        <v>3996.3665724666935</v>
      </c>
      <c r="BC20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138586</v>
      </c>
      <c r="BD209" s="84" vm="15532">
        <v>27103</v>
      </c>
      <c r="BE209" s="84" vm="16957">
        <v>14014</v>
      </c>
      <c r="BF209" s="84" vm="17182">
        <v>37957</v>
      </c>
      <c r="BG209" s="84" vm="17416">
        <v>6404</v>
      </c>
      <c r="BH209" s="84" vm="16294">
        <v>12777</v>
      </c>
      <c r="BI209" s="84" vm="16550">
        <v>0</v>
      </c>
      <c r="BJ209" s="84" vm="16760">
        <v>31145</v>
      </c>
      <c r="BK209" s="84" vm="16958">
        <v>0</v>
      </c>
      <c r="BL209" s="84" vm="17417">
        <v>284</v>
      </c>
      <c r="BM209" s="84" vm="16296">
        <v>2086</v>
      </c>
      <c r="BN209" s="84" vm="16551">
        <v>4752</v>
      </c>
      <c r="BO209" s="84" vm="17183">
        <v>2064</v>
      </c>
      <c r="BP209" s="5" vm="17648">
        <f xml:space="preserve"> VfM_Metrics_2023_Entity[[#This Row],[Total social housing units owned and/or managed at period end]]</f>
        <v>34678</v>
      </c>
      <c r="BQ209" s="135" vm="17648">
        <v>34678</v>
      </c>
      <c r="BR209" s="134">
        <f xml:space="preserve"> IFERROR( VfM_Metrics_2023_Entity[[#This Row],[SHL operating surplus / (deficit)]] / VfM_Metrics_2023_Entity[[#This Row],[Turnover from social housing lettings]], "n/a" )</f>
        <v>0.24854140973342187</v>
      </c>
      <c r="BS209" s="5" vm="17902">
        <f xml:space="preserve"> VfM_Metrics_2023_Entity[[#This Row],[Operating surplus/(deficit) (social housing lettings)]]</f>
        <v>41918</v>
      </c>
      <c r="BT209" s="84" vm="17902">
        <v>41918</v>
      </c>
      <c r="BU209" s="5" vm="18101">
        <f xml:space="preserve"> VfM_Metrics_2023_Entity[[#This Row],[Turnover from social housing lettings]]</f>
        <v>168656</v>
      </c>
      <c r="BV209" s="135" vm="18101">
        <v>168656</v>
      </c>
      <c r="BW209" s="134">
        <f xml:space="preserve"> IFERROR( VfM_Metrics_2023_Entity[[#This Row],[Net operating surplus]] / VfM_Metrics_2023_Entity[[#This Row],[Overall turnover]], "n/a" )</f>
        <v>0.22171040962327129</v>
      </c>
      <c r="BX209" s="5">
        <f xml:space="preserve"> SUM( VfM_Metrics_2023_Entity[[#This Row],[Operating surplus/(deficit) (overall)2]], - VfM_Metrics_2023_Entity[[#This Row],[Gain/(loss) on disposal of fixed assets (housing properties)2]], - VfM_Metrics_2023_Entity[[#This Row],[Gain/(loss) on disposal of fixed assets (other)2]] )</f>
        <v>41249</v>
      </c>
      <c r="BY209" s="84" vm="13494">
        <v>44445</v>
      </c>
      <c r="BZ209" s="84" vm="13861">
        <v>3187</v>
      </c>
      <c r="CA209" s="84" vm="14115">
        <v>9</v>
      </c>
      <c r="CB209" s="5" vm="18417">
        <f xml:space="preserve"> VfM_Metrics_2023_Entity[[#This Row],[Turnover (overall)]]</f>
        <v>186049</v>
      </c>
      <c r="CC209" s="135" vm="18417">
        <v>186049</v>
      </c>
      <c r="CD209" s="134">
        <f xml:space="preserve"> IFERROR( VfM_Metrics_2023_Entity[[#This Row],[Operating surplus including from JVs]] / VfM_Metrics_2023_Entity[[#This Row],[Net assets]], "n/a" )</f>
        <v>3.5322981356586867E-2</v>
      </c>
      <c r="CE209" s="5">
        <f xml:space="preserve"> SUM( VfM_Metrics_2023_Entity[[#This Row],[Operating surplus/(deficit) (overall)3]], VfM_Metrics_2023_Entity[[#This Row],[Share of operating surplus/(deficit) in joint ventures or associates]] )</f>
        <v>44445</v>
      </c>
      <c r="CF209" s="84" vm="13495">
        <v>44445</v>
      </c>
      <c r="CG209" s="84" vm="18465">
        <v>0</v>
      </c>
      <c r="CH209" s="5" vm="18638">
        <f xml:space="preserve"> VfM_Metrics_2023_Entity[[#This Row],[Total assets less current liabilities]]</f>
        <v>1258246</v>
      </c>
      <c r="CI209" s="135" vm="18638">
        <v>1258246</v>
      </c>
      <c r="CJ209" s="140" vm="11360">
        <f xml:space="preserve"> VfM_Metrics_2023_Entity[[#This Row],[Total social housing units owned (Period end)]]</f>
        <v>34579</v>
      </c>
      <c r="CK209" s="141">
        <v>7.311341282966316E-3</v>
      </c>
      <c r="CL209" s="69">
        <f xml:space="preserve"> -- ( VfM_Metrics_2023_Entity[[#This Row],[% Supported housing (excl. HOP)]] &gt; 0.3 )</f>
        <v>0</v>
      </c>
      <c r="CM209" s="9">
        <v>6.8964516784170371E-2</v>
      </c>
      <c r="CN209" s="69">
        <f xml:space="preserve"> -- ( VfM_Metrics_2023_Entity[[#This Row],[% Housing for older people]] &gt; 0.3 )</f>
        <v>0</v>
      </c>
      <c r="CO209" s="9">
        <f xml:space="preserve"> VfM_Metrics_2023_Entity[[#This Row],[% Supported housing (excl. HOP)]] + VfM_Metrics_2023_Entity[[#This Row],[% Housing for older people]]</f>
        <v>7.6275858067136687E-2</v>
      </c>
      <c r="CP209" s="69">
        <f xml:space="preserve"> -- ( VfM_Metrics_2023_Entity[[#This Row],[SH specialist in RSH analysis]] + VfM_Metrics_2023_Entity[[#This Row],[OP specialist in RSH analysis]] &gt; 0 )</f>
        <v>0</v>
      </c>
      <c r="CQ209" s="142">
        <f xml:space="preserve"> -- ( VfM_Metrics_2023_Entity[[#This Row],[% SH and OP]] &gt; 0.3 )</f>
        <v>0</v>
      </c>
      <c r="CR209" s="143" t="s">
        <v>143</v>
      </c>
      <c r="CS209" s="120"/>
      <c r="CT209" s="144" t="s">
        <v>151</v>
      </c>
      <c r="CU20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East</v>
      </c>
      <c r="CV209" s="146">
        <v>0</v>
      </c>
      <c r="CW209" s="146">
        <v>0</v>
      </c>
      <c r="CX209" s="146">
        <v>0</v>
      </c>
      <c r="CY209" s="146">
        <v>0</v>
      </c>
      <c r="CZ209" s="146">
        <v>0</v>
      </c>
      <c r="DA209" s="146">
        <v>2.8920122621319915E-5</v>
      </c>
      <c r="DB209" s="146">
        <v>0.95390132454161602</v>
      </c>
      <c r="DC209" s="146">
        <v>0</v>
      </c>
      <c r="DD209" s="146">
        <v>4.6069755335762623E-2</v>
      </c>
      <c r="DE209" s="126">
        <v>0.90830322862745783</v>
      </c>
    </row>
    <row r="210" spans="1:109" x14ac:dyDescent="0.25">
      <c r="A210" s="4" t="s" vm="319">
        <v>492</v>
      </c>
      <c r="B210" s="4" t="s" vm="9846">
        <v>493</v>
      </c>
      <c r="C210" s="121" vm="18912">
        <v>45016</v>
      </c>
      <c r="D210" s="68">
        <f>IFERROR( VfM_Metrics_2023_Entity[[#This Row],[Reinvestment Spend]] / VfM_Metrics_2023_Entity[[#This Row],[Net Book Value of Housing Properties]], "n/a" )</f>
        <v>0.18476594999343171</v>
      </c>
      <c r="E21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59073</v>
      </c>
      <c r="F210" s="84" vm="10284">
        <v>52759</v>
      </c>
      <c r="G210" s="84" vm="9863">
        <v>0</v>
      </c>
      <c r="H210" s="84" vm="10813">
        <v>5098</v>
      </c>
      <c r="I210" s="84" vm="10562">
        <v>1216</v>
      </c>
      <c r="J210" s="84" vm="9849">
        <v>0</v>
      </c>
      <c r="K210" s="5">
        <f xml:space="preserve"> SUM( VfM_Metrics_2023_Entity[[#This Row],[Tangible fixed assets: Housing properties at cost (Current period)]],VfM_Metrics_2023_Entity[[#This Row],[Tangible fixed assets Housing properties at valuation (Current period)]] )</f>
        <v>319718</v>
      </c>
      <c r="L210" s="84" vm="9930">
        <v>319718</v>
      </c>
      <c r="M210" s="84" vm="9792">
        <v>0</v>
      </c>
      <c r="N210" s="134">
        <f xml:space="preserve"> IFERROR( VfM_Metrics_2023_Entity[[#This Row],[Total social units developed or newly built units acquired in-year]] / VfM_Metrics_2023_Entity[[#This Row],[Social housing units owned (period end)]], "n/a" )</f>
        <v>1.1534236543390699E-2</v>
      </c>
      <c r="O210" s="5">
        <f xml:space="preserve"> SUM( VfM_Metrics_2023_Entity[[#This Row],[Total social units developed or newly built units acquired in-year (owned)]], VfM_Metrics_2023_Entity[[#This Row],[Total social leasehold units developed or newly built units acquired in-year (owned)]] )</f>
        <v>63</v>
      </c>
      <c r="P210" s="84" vm="10984">
        <v>63</v>
      </c>
      <c r="Q210" s="84" vm="11154">
        <v>0</v>
      </c>
      <c r="R210" s="5">
        <f xml:space="preserve"> SUM( VfM_Metrics_2023_Entity[[#This Row],[Total social housing units owned (Period end)]], VfM_Metrics_2023_Entity[[#This Row],[Total social leasehold units owned (Period end)]] )</f>
        <v>5462</v>
      </c>
      <c r="S210" s="84" vm="11285">
        <v>4831</v>
      </c>
      <c r="T210" s="135" vm="11522">
        <v>631</v>
      </c>
      <c r="U210" s="136">
        <f xml:space="preserve"> IFERROR( VfM_Metrics_2023_Entity[[#This Row],[Total non-social housing units developed or newly built units acquired (owned)]] / VfM_Metrics_2023_Entity[[#This Row],[Total social and non-social housing units owned (Period end)]], "n/a" )</f>
        <v>0</v>
      </c>
      <c r="V21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10" s="84" vm="11629">
        <v>0</v>
      </c>
      <c r="X210" s="84" vm="11814">
        <v>0</v>
      </c>
      <c r="Y210" s="84" vm="11862">
        <v>0</v>
      </c>
      <c r="Z21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5479</v>
      </c>
      <c r="AA210" s="84" vm="11284">
        <v>4831</v>
      </c>
      <c r="AB210" s="84" vm="12463">
        <v>631</v>
      </c>
      <c r="AC210" s="84" vm="12404">
        <v>17</v>
      </c>
      <c r="AD210" s="135" vm="12537">
        <v>0</v>
      </c>
      <c r="AE210" s="134">
        <f xml:space="preserve"> IFERROR( VfM_Metrics_2023_Entity[[#This Row],[Total Net Debt]] / VfM_Metrics_2023_Entity[[#This Row],[Net Book Value of Housing Properties2]], "n/a" )</f>
        <v>0.6929669271045108</v>
      </c>
      <c r="AF21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221554</v>
      </c>
      <c r="AG210" s="84" vm="12629">
        <v>0</v>
      </c>
      <c r="AH210" s="84" vm="13256">
        <v>50000</v>
      </c>
      <c r="AI210" s="84" vm="13352">
        <v>26483</v>
      </c>
      <c r="AJ210" s="84" vm="12813">
        <v>198037</v>
      </c>
      <c r="AK210" s="84" vm="12963">
        <v>0</v>
      </c>
      <c r="AL210" s="5">
        <f xml:space="preserve"> SUM( VfM_Metrics_2023_Entity[[#This Row],[Tangible fixed assets: Housing properties at cost (Current period)2]], VfM_Metrics_2023_Entity[[#This Row],[Tangible fixed assets Housing properties at valuation (Current period)2]] )</f>
        <v>319718</v>
      </c>
      <c r="AM210" s="84" vm="9930">
        <v>319718</v>
      </c>
      <c r="AN210" s="135" vm="10114">
        <v>0</v>
      </c>
      <c r="AO210" s="137">
        <f xml:space="preserve"> IFERROR( VfM_Metrics_2023_Entity[[#This Row],[EBITDA MRI]] / VfM_Metrics_2023_Entity[[#This Row],[Total interest]], "n/a" )</f>
        <v>1.7579661016949153</v>
      </c>
      <c r="AP21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18151</v>
      </c>
      <c r="AQ210" s="84" vm="13532">
        <v>18846</v>
      </c>
      <c r="AR210" s="84" vm="14116">
        <v>1708</v>
      </c>
      <c r="AS210" s="84" vm="14358">
        <v>0</v>
      </c>
      <c r="AT210" s="84" vm="14605">
        <v>172</v>
      </c>
      <c r="AU210" s="84" vm="14848">
        <v>0</v>
      </c>
      <c r="AV210" s="84" vm="15093">
        <v>1234</v>
      </c>
      <c r="AW210" s="84" vm="13863">
        <v>5822</v>
      </c>
      <c r="AX210" s="84" vm="14117">
        <v>5773</v>
      </c>
      <c r="AY210" s="5">
        <f xml:space="preserve"> - SUM( VfM_Metrics_2023_Entity[[#This Row],[Interest capitalised]], VfM_Metrics_2023_Entity[[#This Row],[Interest payable and financing costs]] )</f>
        <v>10325</v>
      </c>
      <c r="AZ210" s="84" vm="15207">
        <v>-1216</v>
      </c>
      <c r="BA210" s="135" vm="15376">
        <v>-9109</v>
      </c>
      <c r="BB210" s="138">
        <f xml:space="preserve"> IFERROR( ( VfM_Metrics_2023_Entity[[#This Row],[Total Costs]] / VfM_Metrics_2023_Entity[[#This Row],[Total units for costs]] ) * 1000, "n/a" )</f>
        <v>4885.9960552268249</v>
      </c>
      <c r="BC21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24772</v>
      </c>
      <c r="BD210" s="84" vm="15548">
        <v>9676</v>
      </c>
      <c r="BE210" s="84" vm="16959">
        <v>1668</v>
      </c>
      <c r="BF210" s="84" vm="17184">
        <v>5516</v>
      </c>
      <c r="BG210" s="84" vm="17417">
        <v>1623</v>
      </c>
      <c r="BH210" s="84" vm="16298">
        <v>0</v>
      </c>
      <c r="BI210" s="84" vm="16552">
        <v>0</v>
      </c>
      <c r="BJ210" s="84" vm="13863">
        <v>5822</v>
      </c>
      <c r="BK210" s="84" vm="16960">
        <v>0</v>
      </c>
      <c r="BL210" s="84" vm="17418">
        <v>467</v>
      </c>
      <c r="BM210" s="84" vm="16300">
        <v>0</v>
      </c>
      <c r="BN210" s="84" vm="16553">
        <v>0</v>
      </c>
      <c r="BO210" s="84" vm="17185">
        <v>0</v>
      </c>
      <c r="BP210" s="5" vm="17685">
        <f xml:space="preserve"> VfM_Metrics_2023_Entity[[#This Row],[Total social housing units owned and/or managed at period end]]</f>
        <v>5070</v>
      </c>
      <c r="BQ210" s="135" vm="17685">
        <v>5070</v>
      </c>
      <c r="BR210" s="134">
        <f xml:space="preserve"> IFERROR( VfM_Metrics_2023_Entity[[#This Row],[SHL operating surplus / (deficit)]] / VfM_Metrics_2023_Entity[[#This Row],[Turnover from social housing lettings]], "n/a" )</f>
        <v>0.22155108369133369</v>
      </c>
      <c r="BS210" s="5" vm="17939">
        <f xml:space="preserve"> VfM_Metrics_2023_Entity[[#This Row],[Operating surplus/(deficit) (social housing lettings)]]</f>
        <v>6859</v>
      </c>
      <c r="BT210" s="84" vm="17939">
        <v>6859</v>
      </c>
      <c r="BU210" s="5" vm="18157">
        <f xml:space="preserve"> VfM_Metrics_2023_Entity[[#This Row],[Turnover from social housing lettings]]</f>
        <v>30959</v>
      </c>
      <c r="BV210" s="135" vm="18157">
        <v>30959</v>
      </c>
      <c r="BW210" s="134">
        <f xml:space="preserve"> IFERROR( VfM_Metrics_2023_Entity[[#This Row],[Net operating surplus]] / VfM_Metrics_2023_Entity[[#This Row],[Overall turnover]], "n/a" )</f>
        <v>0.33400896511401285</v>
      </c>
      <c r="BX210" s="5">
        <f xml:space="preserve"> SUM( VfM_Metrics_2023_Entity[[#This Row],[Operating surplus/(deficit) (overall)2]], - VfM_Metrics_2023_Entity[[#This Row],[Gain/(loss) on disposal of fixed assets (housing properties)2]], - VfM_Metrics_2023_Entity[[#This Row],[Gain/(loss) on disposal of fixed assets (other)2]] )</f>
        <v>17138</v>
      </c>
      <c r="BY210" s="84" vm="13532">
        <v>18846</v>
      </c>
      <c r="BZ210" s="84" vm="14116">
        <v>1708</v>
      </c>
      <c r="CA210" s="84" vm="14358">
        <v>0</v>
      </c>
      <c r="CB210" s="5" vm="18290">
        <f xml:space="preserve"> VfM_Metrics_2023_Entity[[#This Row],[Turnover (overall)]]</f>
        <v>51310</v>
      </c>
      <c r="CC210" s="135" vm="18290">
        <v>51310</v>
      </c>
      <c r="CD210" s="134">
        <f xml:space="preserve"> IFERROR( VfM_Metrics_2023_Entity[[#This Row],[Operating surplus including from JVs]] / VfM_Metrics_2023_Entity[[#This Row],[Net assets]], "n/a" )</f>
        <v>4.9122642394670173E-2</v>
      </c>
      <c r="CE210" s="5">
        <f xml:space="preserve"> SUM( VfM_Metrics_2023_Entity[[#This Row],[Operating surplus/(deficit) (overall)3]], VfM_Metrics_2023_Entity[[#This Row],[Share of operating surplus/(deficit) in joint ventures or associates]] )</f>
        <v>18846</v>
      </c>
      <c r="CF210" s="84" vm="13532">
        <v>18846</v>
      </c>
      <c r="CG210" s="84" vm="18489">
        <v>0</v>
      </c>
      <c r="CH210" s="5" vm="18676">
        <f xml:space="preserve"> VfM_Metrics_2023_Entity[[#This Row],[Total assets less current liabilities]]</f>
        <v>383652</v>
      </c>
      <c r="CI210" s="135" vm="18676">
        <v>383652</v>
      </c>
      <c r="CJ210" s="140" vm="11285">
        <f xml:space="preserve"> VfM_Metrics_2023_Entity[[#This Row],[Total social housing units owned (Period end)]]</f>
        <v>4831</v>
      </c>
      <c r="CK210" s="141">
        <v>0</v>
      </c>
      <c r="CL210" s="69">
        <f xml:space="preserve"> -- ( VfM_Metrics_2023_Entity[[#This Row],[% Supported housing (excl. HOP)]] &gt; 0.3 )</f>
        <v>0</v>
      </c>
      <c r="CM210" s="9">
        <v>0.12084656084656084</v>
      </c>
      <c r="CN210" s="69">
        <f xml:space="preserve"> -- ( VfM_Metrics_2023_Entity[[#This Row],[% Housing for older people]] &gt; 0.3 )</f>
        <v>0</v>
      </c>
      <c r="CO210" s="9">
        <f xml:space="preserve"> VfM_Metrics_2023_Entity[[#This Row],[% Supported housing (excl. HOP)]] + VfM_Metrics_2023_Entity[[#This Row],[% Housing for older people]]</f>
        <v>0.12084656084656084</v>
      </c>
      <c r="CP210" s="69">
        <f xml:space="preserve"> -- ( VfM_Metrics_2023_Entity[[#This Row],[SH specialist in RSH analysis]] + VfM_Metrics_2023_Entity[[#This Row],[OP specialist in RSH analysis]] &gt; 0 )</f>
        <v>0</v>
      </c>
      <c r="CQ210" s="142">
        <f xml:space="preserve"> -- ( VfM_Metrics_2023_Entity[[#This Row],[% SH and OP]] &gt; 0.3 )</f>
        <v>0</v>
      </c>
      <c r="CR210" s="143" t="s">
        <v>143</v>
      </c>
      <c r="CS210" s="120"/>
      <c r="CT210" s="144" t="s">
        <v>151</v>
      </c>
      <c r="CU21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210" s="146">
        <v>0</v>
      </c>
      <c r="CW210" s="146">
        <v>0.14179258952597806</v>
      </c>
      <c r="CX210" s="146">
        <v>0</v>
      </c>
      <c r="CY210" s="146">
        <v>2.0699648105982198E-4</v>
      </c>
      <c r="CZ210" s="146">
        <v>0</v>
      </c>
      <c r="DA210" s="146">
        <v>0.85800041399296212</v>
      </c>
      <c r="DB210" s="146">
        <v>0</v>
      </c>
      <c r="DC210" s="146">
        <v>0</v>
      </c>
      <c r="DD210" s="146">
        <v>0</v>
      </c>
      <c r="DE210" s="126">
        <v>1.014523830431366</v>
      </c>
    </row>
    <row r="211" spans="1:109" x14ac:dyDescent="0.25">
      <c r="A211" s="4" t="s" vm="9828">
        <v>632</v>
      </c>
      <c r="B211" s="4" t="s" vm="10308">
        <v>633</v>
      </c>
      <c r="C211" s="121" vm="18770">
        <v>45016</v>
      </c>
      <c r="D211" s="68">
        <f>IFERROR( VfM_Metrics_2023_Entity[[#This Row],[Reinvestment Spend]] / VfM_Metrics_2023_Entity[[#This Row],[Net Book Value of Housing Properties]], "n/a" )</f>
        <v>9.6714624663817653E-2</v>
      </c>
      <c r="E21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112341</v>
      </c>
      <c r="F211" s="84" vm="10478">
        <v>58823</v>
      </c>
      <c r="G211" s="84" vm="9792">
        <v>0</v>
      </c>
      <c r="H211" s="84" vm="10404">
        <v>50453</v>
      </c>
      <c r="I211" s="84" vm="10524">
        <v>3065</v>
      </c>
      <c r="J211" s="84" vm="10461">
        <v>0</v>
      </c>
      <c r="K211" s="5">
        <f xml:space="preserve"> SUM( VfM_Metrics_2023_Entity[[#This Row],[Tangible fixed assets: Housing properties at cost (Current period)]],VfM_Metrics_2023_Entity[[#This Row],[Tangible fixed assets Housing properties at valuation (Current period)]] )</f>
        <v>1161572</v>
      </c>
      <c r="L211" s="84" vm="10715">
        <v>1161572</v>
      </c>
      <c r="M211" s="84">
        <v>0</v>
      </c>
      <c r="N211" s="134">
        <f xml:space="preserve"> IFERROR( VfM_Metrics_2023_Entity[[#This Row],[Total social units developed or newly built units acquired in-year]] / VfM_Metrics_2023_Entity[[#This Row],[Social housing units owned (period end)]], "n/a" )</f>
        <v>9.2021276595744689E-3</v>
      </c>
      <c r="O211" s="5">
        <f xml:space="preserve"> SUM( VfM_Metrics_2023_Entity[[#This Row],[Total social units developed or newly built units acquired in-year (owned)]], VfM_Metrics_2023_Entity[[#This Row],[Total social leasehold units developed or newly built units acquired in-year (owned)]] )</f>
        <v>346</v>
      </c>
      <c r="P211" s="84" vm="11037">
        <v>346</v>
      </c>
      <c r="Q211" s="84">
        <v>0</v>
      </c>
      <c r="R211" s="5">
        <f xml:space="preserve"> SUM( VfM_Metrics_2023_Entity[[#This Row],[Total social housing units owned (Period end)]], VfM_Metrics_2023_Entity[[#This Row],[Total social leasehold units owned (Period end)]] )</f>
        <v>37600</v>
      </c>
      <c r="S211" s="84" vm="11335">
        <v>35968</v>
      </c>
      <c r="T211" s="135" vm="11556">
        <v>1632</v>
      </c>
      <c r="U211" s="136">
        <f xml:space="preserve"> IFERROR( VfM_Metrics_2023_Entity[[#This Row],[Total non-social housing units developed or newly built units acquired (owned)]] / VfM_Metrics_2023_Entity[[#This Row],[Total social and non-social housing units owned (Period end)]], "n/a" )</f>
        <v>4.4588994387032471E-4</v>
      </c>
      <c r="V21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17</v>
      </c>
      <c r="W211" s="84">
        <v>0</v>
      </c>
      <c r="X211" s="84">
        <v>0</v>
      </c>
      <c r="Y211" s="84" vm="11944">
        <v>17</v>
      </c>
      <c r="Z21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38126</v>
      </c>
      <c r="AA211" s="84" vm="12010">
        <v>35968</v>
      </c>
      <c r="AB211" s="84" vm="12217">
        <v>1632</v>
      </c>
      <c r="AC211" s="84" vm="12159">
        <v>273</v>
      </c>
      <c r="AD211" s="135" vm="12312">
        <v>253</v>
      </c>
      <c r="AE211" s="134">
        <f xml:space="preserve"> IFERROR( VfM_Metrics_2023_Entity[[#This Row],[Total Net Debt]] / VfM_Metrics_2023_Entity[[#This Row],[Net Book Value of Housing Properties2]], "n/a" )</f>
        <v>0.47321991232571031</v>
      </c>
      <c r="AF21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549679</v>
      </c>
      <c r="AG211" s="84" vm="12651">
        <v>205</v>
      </c>
      <c r="AH211" s="84" vm="13058">
        <v>562011</v>
      </c>
      <c r="AI211" s="84" vm="13148">
        <v>12537</v>
      </c>
      <c r="AJ211" s="84">
        <v>0</v>
      </c>
      <c r="AK211" s="84">
        <v>0</v>
      </c>
      <c r="AL211" s="5">
        <f xml:space="preserve"> SUM( VfM_Metrics_2023_Entity[[#This Row],[Tangible fixed assets: Housing properties at cost (Current period)2]], VfM_Metrics_2023_Entity[[#This Row],[Tangible fixed assets Housing properties at valuation (Current period)2]] )</f>
        <v>1161572</v>
      </c>
      <c r="AM211" s="84" vm="9951">
        <v>1161572</v>
      </c>
      <c r="AN211" s="135">
        <v>0</v>
      </c>
      <c r="AO211" s="137">
        <f xml:space="preserve"> IFERROR( VfM_Metrics_2023_Entity[[#This Row],[EBITDA MRI]] / VfM_Metrics_2023_Entity[[#This Row],[Total interest]], "n/a" )</f>
        <v>0.19456560886790189</v>
      </c>
      <c r="AP21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4862</v>
      </c>
      <c r="AQ211" s="84" vm="13559">
        <v>31923</v>
      </c>
      <c r="AR211" s="84" vm="14359">
        <v>7937</v>
      </c>
      <c r="AS211" s="84">
        <v>0</v>
      </c>
      <c r="AT211" s="84" vm="14849">
        <v>6290</v>
      </c>
      <c r="AU211" s="84" vm="15094">
        <v>0</v>
      </c>
      <c r="AV211" s="84" vm="13864">
        <v>2183</v>
      </c>
      <c r="AW211" s="84" vm="14118">
        <v>50453</v>
      </c>
      <c r="AX211" s="84" vm="14360">
        <v>35436</v>
      </c>
      <c r="AY211" s="5">
        <f xml:space="preserve"> - SUM( VfM_Metrics_2023_Entity[[#This Row],[Interest capitalised]], VfM_Metrics_2023_Entity[[#This Row],[Interest payable and financing costs]] )</f>
        <v>24989</v>
      </c>
      <c r="AZ211" s="84" vm="15236">
        <v>-3065</v>
      </c>
      <c r="BA211" s="135" vm="15405">
        <v>-21924</v>
      </c>
      <c r="BB211" s="138">
        <f xml:space="preserve"> IFERROR( ( VfM_Metrics_2023_Entity[[#This Row],[Total Costs]] / VfM_Metrics_2023_Entity[[#This Row],[Total units for costs]] ) * 1000, "n/a" )</f>
        <v>4675.5608155360696</v>
      </c>
      <c r="BC21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173828</v>
      </c>
      <c r="BD211" s="84" vm="15598">
        <v>40077</v>
      </c>
      <c r="BE211" s="84" vm="16961">
        <v>16184</v>
      </c>
      <c r="BF211" s="84" vm="17186">
        <v>39868</v>
      </c>
      <c r="BG211" s="84" vm="17418">
        <v>0</v>
      </c>
      <c r="BH211" s="84" vm="16302">
        <v>9321</v>
      </c>
      <c r="BI211" s="84" vm="16554">
        <v>408</v>
      </c>
      <c r="BJ211" s="84" vm="14118">
        <v>50453</v>
      </c>
      <c r="BK211" s="84" vm="16962">
        <v>8874</v>
      </c>
      <c r="BL211" s="84">
        <v>0</v>
      </c>
      <c r="BM211" s="84">
        <v>0</v>
      </c>
      <c r="BN211" s="84" vm="16555">
        <v>7619</v>
      </c>
      <c r="BO211" s="84" vm="17187">
        <v>1024</v>
      </c>
      <c r="BP211" s="5" vm="17818">
        <f xml:space="preserve"> VfM_Metrics_2023_Entity[[#This Row],[Total social housing units owned and/or managed at period end]]</f>
        <v>37178</v>
      </c>
      <c r="BQ211" s="135" vm="17818">
        <v>37178</v>
      </c>
      <c r="BR211" s="134">
        <f xml:space="preserve"> IFERROR( VfM_Metrics_2023_Entity[[#This Row],[SHL operating surplus / (deficit)]] / VfM_Metrics_2023_Entity[[#This Row],[Turnover from social housing lettings]], "n/a" )</f>
        <v>0.1458918589345444</v>
      </c>
      <c r="BS211" s="5" vm="17977">
        <f xml:space="preserve"> VfM_Metrics_2023_Entity[[#This Row],[Operating surplus/(deficit) (social housing lettings)]]</f>
        <v>25603</v>
      </c>
      <c r="BT211" s="84" vm="17977">
        <v>25603</v>
      </c>
      <c r="BU211" s="5" vm="18152">
        <f xml:space="preserve"> VfM_Metrics_2023_Entity[[#This Row],[Turnover from social housing lettings]]</f>
        <v>175493</v>
      </c>
      <c r="BV211" s="135" vm="18152">
        <v>175493</v>
      </c>
      <c r="BW211" s="134">
        <f xml:space="preserve"> IFERROR( VfM_Metrics_2023_Entity[[#This Row],[Net operating surplus]] / VfM_Metrics_2023_Entity[[#This Row],[Overall turnover]], "n/a" )</f>
        <v>0.12734396568200643</v>
      </c>
      <c r="BX211" s="5">
        <f xml:space="preserve"> SUM( VfM_Metrics_2023_Entity[[#This Row],[Operating surplus/(deficit) (overall)2]], - VfM_Metrics_2023_Entity[[#This Row],[Gain/(loss) on disposal of fixed assets (housing properties)2]], - VfM_Metrics_2023_Entity[[#This Row],[Gain/(loss) on disposal of fixed assets (other)2]] )</f>
        <v>23986</v>
      </c>
      <c r="BY211" s="84" vm="18229">
        <v>31923</v>
      </c>
      <c r="BZ211" s="84" vm="14359">
        <v>7937</v>
      </c>
      <c r="CA211" s="84">
        <v>0</v>
      </c>
      <c r="CB211" s="5" vm="18315">
        <f xml:space="preserve"> VfM_Metrics_2023_Entity[[#This Row],[Turnover (overall)]]</f>
        <v>188356</v>
      </c>
      <c r="CC211" s="135" vm="18315">
        <v>188356</v>
      </c>
      <c r="CD211" s="134">
        <f xml:space="preserve"> IFERROR( VfM_Metrics_2023_Entity[[#This Row],[Operating surplus including from JVs]] / VfM_Metrics_2023_Entity[[#This Row],[Net assets]], "n/a" )</f>
        <v>2.6055465501789922E-2</v>
      </c>
      <c r="CE211" s="5">
        <f xml:space="preserve"> SUM( VfM_Metrics_2023_Entity[[#This Row],[Operating surplus/(deficit) (overall)3]], VfM_Metrics_2023_Entity[[#This Row],[Share of operating surplus/(deficit) in joint ventures or associates]] )</f>
        <v>31923</v>
      </c>
      <c r="CF211" s="84" vm="15139">
        <v>31923</v>
      </c>
      <c r="CG211" s="84">
        <v>0</v>
      </c>
      <c r="CH211" s="5" vm="18702">
        <f xml:space="preserve"> VfM_Metrics_2023_Entity[[#This Row],[Total assets less current liabilities]]</f>
        <v>1225194</v>
      </c>
      <c r="CI211" s="135" vm="18702">
        <v>1225194</v>
      </c>
      <c r="CJ211" s="140" vm="11335">
        <f xml:space="preserve"> VfM_Metrics_2023_Entity[[#This Row],[Total social housing units owned (Period end)]]</f>
        <v>35968</v>
      </c>
      <c r="CK211" s="141">
        <v>1.2511843058574374E-2</v>
      </c>
      <c r="CL211" s="69">
        <f xml:space="preserve"> -- ( VfM_Metrics_2023_Entity[[#This Row],[% Supported housing (excl. HOP)]] &gt; 0.3 )</f>
        <v>0</v>
      </c>
      <c r="CM211" s="9">
        <v>1.3710081926099314E-2</v>
      </c>
      <c r="CN211" s="69">
        <f xml:space="preserve"> -- ( VfM_Metrics_2023_Entity[[#This Row],[% Housing for older people]] &gt; 0.3 )</f>
        <v>0</v>
      </c>
      <c r="CO211" s="9">
        <f xml:space="preserve"> VfM_Metrics_2023_Entity[[#This Row],[% Supported housing (excl. HOP)]] + VfM_Metrics_2023_Entity[[#This Row],[% Housing for older people]]</f>
        <v>2.622192498467369E-2</v>
      </c>
      <c r="CP211" s="69">
        <f xml:space="preserve"> -- ( VfM_Metrics_2023_Entity[[#This Row],[SH specialist in RSH analysis]] + VfM_Metrics_2023_Entity[[#This Row],[OP specialist in RSH analysis]] &gt; 0 )</f>
        <v>0</v>
      </c>
      <c r="CQ211" s="142">
        <f xml:space="preserve"> -- ( VfM_Metrics_2023_Entity[[#This Row],[% SH and OP]] &gt; 0.3 )</f>
        <v>0</v>
      </c>
      <c r="CR211" s="143" t="s">
        <v>143</v>
      </c>
      <c r="CS211" s="120"/>
      <c r="CT211" s="144" t="s">
        <v>151</v>
      </c>
      <c r="CU21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211" s="146">
        <v>0</v>
      </c>
      <c r="CW211" s="146">
        <v>0</v>
      </c>
      <c r="CX211" s="146">
        <v>0</v>
      </c>
      <c r="CY211" s="146">
        <v>9.0120160213618163E-3</v>
      </c>
      <c r="CZ211" s="146">
        <v>0</v>
      </c>
      <c r="DA211" s="146">
        <v>0</v>
      </c>
      <c r="DB211" s="146">
        <v>0</v>
      </c>
      <c r="DC211" s="146">
        <v>0.41722296395193592</v>
      </c>
      <c r="DD211" s="146">
        <v>0.57376502002670227</v>
      </c>
      <c r="DE211" s="126">
        <v>0.95144168484543967</v>
      </c>
    </row>
    <row r="212" spans="1:109" x14ac:dyDescent="0.25">
      <c r="A212" s="4" t="s" vm="259">
        <v>496</v>
      </c>
      <c r="B212" s="4" t="s" vm="9839">
        <v>497</v>
      </c>
      <c r="C212" s="121" vm="18784">
        <v>45016</v>
      </c>
      <c r="D212" s="68">
        <f>IFERROR( VfM_Metrics_2023_Entity[[#This Row],[Reinvestment Spend]] / VfM_Metrics_2023_Entity[[#This Row],[Net Book Value of Housing Properties]], "n/a" )</f>
        <v>0.13334683565161273</v>
      </c>
      <c r="E21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155380</v>
      </c>
      <c r="F212" s="84" vm="10932">
        <v>112302</v>
      </c>
      <c r="G212" s="84" vm="10895">
        <v>5906</v>
      </c>
      <c r="H212" s="84" vm="10184">
        <v>31137</v>
      </c>
      <c r="I212" s="84" vm="9843">
        <v>6035</v>
      </c>
      <c r="J212" s="84" vm="10855">
        <v>0</v>
      </c>
      <c r="K212" s="5">
        <f xml:space="preserve"> SUM( VfM_Metrics_2023_Entity[[#This Row],[Tangible fixed assets: Housing properties at cost (Current period)]],VfM_Metrics_2023_Entity[[#This Row],[Tangible fixed assets Housing properties at valuation (Current period)]] )</f>
        <v>1165232</v>
      </c>
      <c r="L212" s="84" vm="9925">
        <v>1165232</v>
      </c>
      <c r="M212" s="84" vm="10297">
        <v>0</v>
      </c>
      <c r="N212" s="134">
        <f xml:space="preserve"> IFERROR( VfM_Metrics_2023_Entity[[#This Row],[Total social units developed or newly built units acquired in-year]] / VfM_Metrics_2023_Entity[[#This Row],[Social housing units owned (period end)]], "n/a" )</f>
        <v>1.7145165770269928E-2</v>
      </c>
      <c r="O212" s="5">
        <f xml:space="preserve"> SUM( VfM_Metrics_2023_Entity[[#This Row],[Total social units developed or newly built units acquired in-year (owned)]], VfM_Metrics_2023_Entity[[#This Row],[Total social leasehold units developed or newly built units acquired in-year (owned)]] )</f>
        <v>679</v>
      </c>
      <c r="P212" s="84" vm="11059">
        <v>679</v>
      </c>
      <c r="Q212" s="84">
        <v>0</v>
      </c>
      <c r="R212" s="5">
        <f xml:space="preserve"> SUM( VfM_Metrics_2023_Entity[[#This Row],[Total social housing units owned (Period end)]], VfM_Metrics_2023_Entity[[#This Row],[Total social leasehold units owned (Period end)]] )</f>
        <v>39603</v>
      </c>
      <c r="S212" s="84" vm="11393">
        <v>38674</v>
      </c>
      <c r="T212" s="135" vm="11542">
        <v>929</v>
      </c>
      <c r="U212" s="136">
        <f xml:space="preserve"> IFERROR( VfM_Metrics_2023_Entity[[#This Row],[Total non-social housing units developed or newly built units acquired (owned)]] / VfM_Metrics_2023_Entity[[#This Row],[Total social and non-social housing units owned (Period end)]], "n/a" )</f>
        <v>0</v>
      </c>
      <c r="V21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12" s="84" vm="11661">
        <v>0</v>
      </c>
      <c r="X212" s="84">
        <v>0</v>
      </c>
      <c r="Y212" s="84" vm="11774">
        <v>0</v>
      </c>
      <c r="Z21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39951</v>
      </c>
      <c r="AA212" s="84" vm="11370">
        <v>38674</v>
      </c>
      <c r="AB212" s="84" vm="12464">
        <v>929</v>
      </c>
      <c r="AC212" s="84" vm="12405">
        <v>77</v>
      </c>
      <c r="AD212" s="135" vm="12538">
        <v>271</v>
      </c>
      <c r="AE212" s="134">
        <f xml:space="preserve"> IFERROR( VfM_Metrics_2023_Entity[[#This Row],[Total Net Debt]] / VfM_Metrics_2023_Entity[[#This Row],[Net Book Value of Housing Properties2]], "n/a" )</f>
        <v>0.3944321817457811</v>
      </c>
      <c r="AF21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459605</v>
      </c>
      <c r="AG212" s="84" vm="12681">
        <v>394</v>
      </c>
      <c r="AH212" s="84" vm="12814">
        <v>489751</v>
      </c>
      <c r="AI212" s="84" vm="12922">
        <v>30540</v>
      </c>
      <c r="AJ212" s="84" vm="13002">
        <v>0</v>
      </c>
      <c r="AK212" s="84" vm="13087">
        <v>0</v>
      </c>
      <c r="AL212" s="5">
        <f xml:space="preserve"> SUM( VfM_Metrics_2023_Entity[[#This Row],[Tangible fixed assets: Housing properties at cost (Current period)2]], VfM_Metrics_2023_Entity[[#This Row],[Tangible fixed assets Housing properties at valuation (Current period)2]] )</f>
        <v>1165232</v>
      </c>
      <c r="AM212" s="84" vm="13387">
        <v>1165232</v>
      </c>
      <c r="AN212" s="135" vm="10142">
        <v>0</v>
      </c>
      <c r="AO212" s="137">
        <f xml:space="preserve"> IFERROR( VfM_Metrics_2023_Entity[[#This Row],[EBITDA MRI]] / VfM_Metrics_2023_Entity[[#This Row],[Total interest]], "n/a" )</f>
        <v>1.9219850229127082</v>
      </c>
      <c r="AP21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34392</v>
      </c>
      <c r="AQ212" s="84" vm="13590">
        <v>42910</v>
      </c>
      <c r="AR212" s="84" vm="14606">
        <v>8945</v>
      </c>
      <c r="AS212" s="84" vm="14850">
        <v>0</v>
      </c>
      <c r="AT212" s="84" vm="15095">
        <v>1352</v>
      </c>
      <c r="AU212" s="84" vm="13865">
        <v>0</v>
      </c>
      <c r="AV212" s="84" vm="14119">
        <v>3205</v>
      </c>
      <c r="AW212" s="84" vm="14361">
        <v>31137</v>
      </c>
      <c r="AX212" s="84" vm="14607">
        <v>29711</v>
      </c>
      <c r="AY212" s="5">
        <f xml:space="preserve"> - SUM( VfM_Metrics_2023_Entity[[#This Row],[Interest capitalised]], VfM_Metrics_2023_Entity[[#This Row],[Interest payable and financing costs]] )</f>
        <v>17894</v>
      </c>
      <c r="AZ212" s="84" vm="15263">
        <v>-6035</v>
      </c>
      <c r="BA212" s="135" vm="15439">
        <v>-11859</v>
      </c>
      <c r="BB212" s="138">
        <f xml:space="preserve"> IFERROR( ( VfM_Metrics_2023_Entity[[#This Row],[Total Costs]] / VfM_Metrics_2023_Entity[[#This Row],[Total units for costs]] ) * 1000, "n/a" )</f>
        <v>4043.4558216350124</v>
      </c>
      <c r="BC21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156692</v>
      </c>
      <c r="BD212" s="84" vm="15577">
        <v>36634</v>
      </c>
      <c r="BE212" s="84" vm="16963">
        <v>20666</v>
      </c>
      <c r="BF212" s="84" vm="17188">
        <v>32432</v>
      </c>
      <c r="BG212" s="84" vm="17419">
        <v>13434</v>
      </c>
      <c r="BH212" s="84" vm="16305">
        <v>13455</v>
      </c>
      <c r="BI212" s="84" vm="16556">
        <v>0</v>
      </c>
      <c r="BJ212" s="84" vm="14361">
        <v>31137</v>
      </c>
      <c r="BK212" s="84" vm="16964">
        <v>6951</v>
      </c>
      <c r="BL212" s="84" vm="17420">
        <v>0</v>
      </c>
      <c r="BM212" s="84" vm="16307">
        <v>1003</v>
      </c>
      <c r="BN212" s="84" vm="16557">
        <v>980</v>
      </c>
      <c r="BO212" s="84" vm="17189">
        <v>0</v>
      </c>
      <c r="BP212" s="5" vm="17720">
        <f xml:space="preserve"> VfM_Metrics_2023_Entity[[#This Row],[Total social housing units owned and/or managed at period end]]</f>
        <v>38752</v>
      </c>
      <c r="BQ212" s="135" vm="17720">
        <v>38752</v>
      </c>
      <c r="BR212" s="134">
        <f xml:space="preserve"> IFERROR( VfM_Metrics_2023_Entity[[#This Row],[SHL operating surplus / (deficit)]] / VfM_Metrics_2023_Entity[[#This Row],[Turnover from social housing lettings]], "n/a" )</f>
        <v>0.16631383686687137</v>
      </c>
      <c r="BS212" s="5" vm="18005">
        <f xml:space="preserve"> VfM_Metrics_2023_Entity[[#This Row],[Operating surplus/(deficit) (social housing lettings)]]</f>
        <v>31739</v>
      </c>
      <c r="BT212" s="84" vm="18005">
        <v>31739</v>
      </c>
      <c r="BU212" s="5" vm="18189">
        <f xml:space="preserve"> VfM_Metrics_2023_Entity[[#This Row],[Turnover from social housing lettings]]</f>
        <v>190838</v>
      </c>
      <c r="BV212" s="135" vm="18189">
        <v>190838</v>
      </c>
      <c r="BW212" s="134">
        <f xml:space="preserve"> IFERROR( VfM_Metrics_2023_Entity[[#This Row],[Net operating surplus]] / VfM_Metrics_2023_Entity[[#This Row],[Overall turnover]], "n/a" )</f>
        <v>0.15863415363202854</v>
      </c>
      <c r="BX212" s="5">
        <f xml:space="preserve"> SUM( VfM_Metrics_2023_Entity[[#This Row],[Operating surplus/(deficit) (overall)2]], - VfM_Metrics_2023_Entity[[#This Row],[Gain/(loss) on disposal of fixed assets (housing properties)2]], - VfM_Metrics_2023_Entity[[#This Row],[Gain/(loss) on disposal of fixed assets (other)2]] )</f>
        <v>33965</v>
      </c>
      <c r="BY212" s="84" vm="18239">
        <v>42910</v>
      </c>
      <c r="BZ212" s="84" vm="14606">
        <v>8945</v>
      </c>
      <c r="CA212" s="84" vm="14850">
        <v>0</v>
      </c>
      <c r="CB212" s="5" vm="18360">
        <f xml:space="preserve"> VfM_Metrics_2023_Entity[[#This Row],[Turnover (overall)]]</f>
        <v>214109</v>
      </c>
      <c r="CC212" s="135" vm="18360">
        <v>214109</v>
      </c>
      <c r="CD212" s="134">
        <f xml:space="preserve"> IFERROR( VfM_Metrics_2023_Entity[[#This Row],[Operating surplus including from JVs]] / VfM_Metrics_2023_Entity[[#This Row],[Net assets]], "n/a" )</f>
        <v>2.9320424816143449E-2</v>
      </c>
      <c r="CE212" s="5">
        <f xml:space="preserve"> SUM( VfM_Metrics_2023_Entity[[#This Row],[Operating surplus/(deficit) (overall)3]], VfM_Metrics_2023_Entity[[#This Row],[Share of operating surplus/(deficit) in joint ventures or associates]] )</f>
        <v>43090</v>
      </c>
      <c r="CF212" s="84" vm="13590">
        <v>42910</v>
      </c>
      <c r="CG212" s="84" vm="18524">
        <v>180</v>
      </c>
      <c r="CH212" s="5" vm="18730">
        <f xml:space="preserve"> VfM_Metrics_2023_Entity[[#This Row],[Total assets less current liabilities]]</f>
        <v>1469624</v>
      </c>
      <c r="CI212" s="135" vm="18730">
        <v>1469624</v>
      </c>
      <c r="CJ212" s="140" vm="11393">
        <f xml:space="preserve"> VfM_Metrics_2023_Entity[[#This Row],[Total social housing units owned (Period end)]]</f>
        <v>38674</v>
      </c>
      <c r="CK212" s="141">
        <v>4.1829046505585865E-3</v>
      </c>
      <c r="CL212" s="69">
        <f xml:space="preserve"> -- ( VfM_Metrics_2023_Entity[[#This Row],[% Supported housing (excl. HOP)]] &gt; 0.3 )</f>
        <v>0</v>
      </c>
      <c r="CM212" s="9">
        <v>8.791893998441154E-2</v>
      </c>
      <c r="CN212" s="69">
        <f xml:space="preserve"> -- ( VfM_Metrics_2023_Entity[[#This Row],[% Housing for older people]] &gt; 0.3 )</f>
        <v>0</v>
      </c>
      <c r="CO212" s="9">
        <f xml:space="preserve"> VfM_Metrics_2023_Entity[[#This Row],[% Supported housing (excl. HOP)]] + VfM_Metrics_2023_Entity[[#This Row],[% Housing for older people]]</f>
        <v>9.210184463497012E-2</v>
      </c>
      <c r="CP212" s="69">
        <f xml:space="preserve"> -- ( VfM_Metrics_2023_Entity[[#This Row],[SH specialist in RSH analysis]] + VfM_Metrics_2023_Entity[[#This Row],[OP specialist in RSH analysis]] &gt; 0 )</f>
        <v>0</v>
      </c>
      <c r="CQ212" s="142">
        <f xml:space="preserve"> -- ( VfM_Metrics_2023_Entity[[#This Row],[% SH and OP]] &gt; 0.3 )</f>
        <v>0</v>
      </c>
      <c r="CR212" s="143" t="s">
        <v>143</v>
      </c>
      <c r="CS212" s="120"/>
      <c r="CT212" s="144" t="s">
        <v>151</v>
      </c>
      <c r="CU21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212" s="146">
        <v>0</v>
      </c>
      <c r="CW212" s="146">
        <v>0</v>
      </c>
      <c r="CX212" s="146">
        <v>0</v>
      </c>
      <c r="CY212" s="146">
        <v>0</v>
      </c>
      <c r="CZ212" s="146">
        <v>0</v>
      </c>
      <c r="DA212" s="146">
        <v>0</v>
      </c>
      <c r="DB212" s="146">
        <v>0</v>
      </c>
      <c r="DC212" s="146">
        <v>1</v>
      </c>
      <c r="DD212" s="146">
        <v>0</v>
      </c>
      <c r="DE212" s="126">
        <v>0.96105917141044694</v>
      </c>
    </row>
    <row r="213" spans="1:109" x14ac:dyDescent="0.25">
      <c r="A213" s="4" t="s" vm="203">
        <v>498</v>
      </c>
      <c r="B213" s="4" t="s" vm="10358">
        <v>499</v>
      </c>
      <c r="C213" s="121" vm="18942">
        <v>45016</v>
      </c>
      <c r="D213" s="68">
        <f>IFERROR( VfM_Metrics_2023_Entity[[#This Row],[Reinvestment Spend]] / VfM_Metrics_2023_Entity[[#This Row],[Net Book Value of Housing Properties]], "n/a" )</f>
        <v>6.6575476059299227E-2</v>
      </c>
      <c r="E21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10513</v>
      </c>
      <c r="F213" s="84" vm="9857">
        <v>0</v>
      </c>
      <c r="G213" s="84" vm="10935">
        <v>0</v>
      </c>
      <c r="H213" s="84" vm="10329">
        <v>10513</v>
      </c>
      <c r="I213" s="84" vm="10260">
        <v>0</v>
      </c>
      <c r="J213" s="84" vm="10288">
        <v>0</v>
      </c>
      <c r="K213" s="5">
        <f xml:space="preserve"> SUM( VfM_Metrics_2023_Entity[[#This Row],[Tangible fixed assets: Housing properties at cost (Current period)]],VfM_Metrics_2023_Entity[[#This Row],[Tangible fixed assets Housing properties at valuation (Current period)]] )</f>
        <v>157911</v>
      </c>
      <c r="L213" s="84">
        <v>0</v>
      </c>
      <c r="M213" s="84" vm="10157">
        <v>157911</v>
      </c>
      <c r="N213" s="134">
        <f xml:space="preserve"> IFERROR( VfM_Metrics_2023_Entity[[#This Row],[Total social units developed or newly built units acquired in-year]] / VfM_Metrics_2023_Entity[[#This Row],[Social housing units owned (period end)]], "n/a" )</f>
        <v>0</v>
      </c>
      <c r="O213" s="5">
        <f xml:space="preserve"> SUM( VfM_Metrics_2023_Entity[[#This Row],[Total social units developed or newly built units acquired in-year (owned)]], VfM_Metrics_2023_Entity[[#This Row],[Total social leasehold units developed or newly built units acquired in-year (owned)]] )</f>
        <v>0</v>
      </c>
      <c r="P213" s="84" vm="11078">
        <v>0</v>
      </c>
      <c r="Q213" s="84">
        <v>0</v>
      </c>
      <c r="R213" s="5">
        <f xml:space="preserve"> SUM( VfM_Metrics_2023_Entity[[#This Row],[Total social housing units owned (Period end)]], VfM_Metrics_2023_Entity[[#This Row],[Total social leasehold units owned (Period end)]] )</f>
        <v>2057</v>
      </c>
      <c r="S213" s="84" vm="11389">
        <v>2054</v>
      </c>
      <c r="T213" s="135" vm="11508">
        <v>3</v>
      </c>
      <c r="U213" s="136">
        <f xml:space="preserve"> IFERROR( VfM_Metrics_2023_Entity[[#This Row],[Total non-social housing units developed or newly built units acquired (owned)]] / VfM_Metrics_2023_Entity[[#This Row],[Total social and non-social housing units owned (Period end)]], "n/a" )</f>
        <v>0</v>
      </c>
      <c r="V21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13" s="84">
        <v>0</v>
      </c>
      <c r="X213" s="84">
        <v>0</v>
      </c>
      <c r="Y213" s="84">
        <v>0</v>
      </c>
      <c r="Z21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3191</v>
      </c>
      <c r="AA213" s="84" vm="12057">
        <v>2054</v>
      </c>
      <c r="AB213" s="84" vm="12217">
        <v>3</v>
      </c>
      <c r="AC213" s="84" vm="12160">
        <v>0</v>
      </c>
      <c r="AD213" s="135" vm="12312">
        <v>1134</v>
      </c>
      <c r="AE213" s="134">
        <f xml:space="preserve"> IFERROR( VfM_Metrics_2023_Entity[[#This Row],[Total Net Debt]] / VfM_Metrics_2023_Entity[[#This Row],[Net Book Value of Housing Properties2]], "n/a" )</f>
        <v>0.38274724370056551</v>
      </c>
      <c r="AF21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60440</v>
      </c>
      <c r="AG213" s="84">
        <v>0</v>
      </c>
      <c r="AH213" s="84" vm="13174">
        <v>63456</v>
      </c>
      <c r="AI213" s="84" vm="13257">
        <v>3016</v>
      </c>
      <c r="AJ213" s="84">
        <v>0</v>
      </c>
      <c r="AK213" s="84">
        <v>0</v>
      </c>
      <c r="AL213" s="5">
        <f xml:space="preserve"> SUM( VfM_Metrics_2023_Entity[[#This Row],[Tangible fixed assets: Housing properties at cost (Current period)2]], VfM_Metrics_2023_Entity[[#This Row],[Tangible fixed assets Housing properties at valuation (Current period)2]] )</f>
        <v>157911</v>
      </c>
      <c r="AM213" s="84">
        <v>0</v>
      </c>
      <c r="AN213" s="135" vm="10158">
        <v>157911</v>
      </c>
      <c r="AO213" s="137">
        <f xml:space="preserve"> IFERROR( VfM_Metrics_2023_Entity[[#This Row],[EBITDA MRI]] / VfM_Metrics_2023_Entity[[#This Row],[Total interest]], "n/a" )</f>
        <v>-4.3468395461912479</v>
      </c>
      <c r="AP21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-16092</v>
      </c>
      <c r="AQ213" s="84" vm="13624">
        <v>-6981</v>
      </c>
      <c r="AR213" s="84" vm="14851">
        <v>732</v>
      </c>
      <c r="AS213" s="84">
        <v>0</v>
      </c>
      <c r="AT213" s="84" vm="13866">
        <v>52</v>
      </c>
      <c r="AU213" s="84" vm="14588">
        <v>0</v>
      </c>
      <c r="AV213" s="84" vm="14362">
        <v>74</v>
      </c>
      <c r="AW213" s="84" vm="14608">
        <v>10513</v>
      </c>
      <c r="AX213" s="84" vm="14852">
        <v>2112</v>
      </c>
      <c r="AY213" s="5">
        <f xml:space="preserve"> - SUM( VfM_Metrics_2023_Entity[[#This Row],[Interest capitalised]], VfM_Metrics_2023_Entity[[#This Row],[Interest payable and financing costs]] )</f>
        <v>3702</v>
      </c>
      <c r="AZ213" s="84" vm="15303">
        <v>0</v>
      </c>
      <c r="BA213" s="135" vm="15473">
        <v>-3702</v>
      </c>
      <c r="BB213" s="138">
        <f xml:space="preserve"> IFERROR( ( VfM_Metrics_2023_Entity[[#This Row],[Total Costs]] / VfM_Metrics_2023_Entity[[#This Row],[Total units for costs]] ) * 1000, "n/a" )</f>
        <v>16907.010710808179</v>
      </c>
      <c r="BC21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34727</v>
      </c>
      <c r="BD213" s="84" vm="16761">
        <v>3526</v>
      </c>
      <c r="BE213" s="84" vm="16965">
        <v>5015</v>
      </c>
      <c r="BF213" s="84" vm="17190">
        <v>5296</v>
      </c>
      <c r="BG213" s="84" vm="17421">
        <v>1049</v>
      </c>
      <c r="BH213" s="84" vm="16308">
        <v>8616</v>
      </c>
      <c r="BI213" s="84" vm="16558">
        <v>0</v>
      </c>
      <c r="BJ213" s="84" vm="14608">
        <v>10513</v>
      </c>
      <c r="BK213" s="84" vm="16966">
        <v>0</v>
      </c>
      <c r="BL213" s="84" vm="17422">
        <v>207</v>
      </c>
      <c r="BM213" s="84" vm="16310">
        <v>505</v>
      </c>
      <c r="BN213" s="84">
        <v>0</v>
      </c>
      <c r="BO213" s="84">
        <v>0</v>
      </c>
      <c r="BP213" s="5" vm="17754">
        <f xml:space="preserve"> VfM_Metrics_2023_Entity[[#This Row],[Total social housing units owned and/or managed at period end]]</f>
        <v>2054</v>
      </c>
      <c r="BQ213" s="135" vm="17754">
        <v>2054</v>
      </c>
      <c r="BR213" s="134">
        <f xml:space="preserve"> IFERROR( VfM_Metrics_2023_Entity[[#This Row],[SHL operating surplus / (deficit)]] / VfM_Metrics_2023_Entity[[#This Row],[Turnover from social housing lettings]], "n/a" )</f>
        <v>-0.28976519229269054</v>
      </c>
      <c r="BS213" s="5" vm="18035">
        <f xml:space="preserve"> VfM_Metrics_2023_Entity[[#This Row],[Operating surplus/(deficit) (social housing lettings)]]</f>
        <v>-7429</v>
      </c>
      <c r="BT213" s="84" vm="18035">
        <v>-7429</v>
      </c>
      <c r="BU213" s="5" vm="18206">
        <f xml:space="preserve"> VfM_Metrics_2023_Entity[[#This Row],[Turnover from social housing lettings]]</f>
        <v>25638</v>
      </c>
      <c r="BV213" s="135" vm="18206">
        <v>25638</v>
      </c>
      <c r="BW213" s="134">
        <f xml:space="preserve"> IFERROR( VfM_Metrics_2023_Entity[[#This Row],[Net operating surplus]] / VfM_Metrics_2023_Entity[[#This Row],[Overall turnover]], "n/a" )</f>
        <v>-0.29198213204118717</v>
      </c>
      <c r="BX213" s="5">
        <f xml:space="preserve"> SUM( VfM_Metrics_2023_Entity[[#This Row],[Operating surplus/(deficit) (overall)2]], - VfM_Metrics_2023_Entity[[#This Row],[Gain/(loss) on disposal of fixed assets (housing properties)2]], - VfM_Metrics_2023_Entity[[#This Row],[Gain/(loss) on disposal of fixed assets (other)2]] )</f>
        <v>-7713</v>
      </c>
      <c r="BY213" s="84" vm="13625">
        <v>-6981</v>
      </c>
      <c r="BZ213" s="84" vm="14851">
        <v>732</v>
      </c>
      <c r="CA213" s="84">
        <v>0</v>
      </c>
      <c r="CB213" s="5" vm="18386">
        <f xml:space="preserve"> VfM_Metrics_2023_Entity[[#This Row],[Turnover (overall)]]</f>
        <v>26416</v>
      </c>
      <c r="CC213" s="135" vm="18386">
        <v>26416</v>
      </c>
      <c r="CD213" s="134">
        <f xml:space="preserve"> IFERROR( VfM_Metrics_2023_Entity[[#This Row],[Operating surplus including from JVs]] / VfM_Metrics_2023_Entity[[#This Row],[Net assets]], "n/a" )</f>
        <v>-4.0159233287120399E-2</v>
      </c>
      <c r="CE213" s="5">
        <f xml:space="preserve"> SUM( VfM_Metrics_2023_Entity[[#This Row],[Operating surplus/(deficit) (overall)3]], VfM_Metrics_2023_Entity[[#This Row],[Share of operating surplus/(deficit) in joint ventures or associates]] )</f>
        <v>-6981</v>
      </c>
      <c r="CF213" s="84" vm="13624">
        <v>-6981</v>
      </c>
      <c r="CG213" s="84">
        <v>0</v>
      </c>
      <c r="CH213" s="5" vm="18753">
        <f xml:space="preserve"> VfM_Metrics_2023_Entity[[#This Row],[Total assets less current liabilities]]</f>
        <v>173833</v>
      </c>
      <c r="CI213" s="135" vm="18753">
        <v>173833</v>
      </c>
      <c r="CJ213" s="140" vm="11389">
        <f xml:space="preserve"> VfM_Metrics_2023_Entity[[#This Row],[Total social housing units owned (Period end)]]</f>
        <v>2054</v>
      </c>
      <c r="CK213" s="141">
        <v>0</v>
      </c>
      <c r="CL213" s="69">
        <f xml:space="preserve"> -- ( VfM_Metrics_2023_Entity[[#This Row],[% Supported housing (excl. HOP)]] &gt; 0.3 )</f>
        <v>0</v>
      </c>
      <c r="CM213" s="9">
        <v>0</v>
      </c>
      <c r="CN213" s="69">
        <f xml:space="preserve"> -- ( VfM_Metrics_2023_Entity[[#This Row],[% Housing for older people]] &gt; 0.3 )</f>
        <v>0</v>
      </c>
      <c r="CO213" s="9">
        <f xml:space="preserve"> VfM_Metrics_2023_Entity[[#This Row],[% Supported housing (excl. HOP)]] + VfM_Metrics_2023_Entity[[#This Row],[% Housing for older people]]</f>
        <v>0</v>
      </c>
      <c r="CP213" s="69">
        <f xml:space="preserve"> -- ( VfM_Metrics_2023_Entity[[#This Row],[SH specialist in RSH analysis]] + VfM_Metrics_2023_Entity[[#This Row],[OP specialist in RSH analysis]] &gt; 0 )</f>
        <v>0</v>
      </c>
      <c r="CQ213" s="142">
        <f xml:space="preserve"> -- ( VfM_Metrics_2023_Entity[[#This Row],[% SH and OP]] &gt; 0.3 )</f>
        <v>0</v>
      </c>
      <c r="CR213" s="143" t="s">
        <v>143</v>
      </c>
      <c r="CS213" s="120"/>
      <c r="CT213" s="144" t="s">
        <v>151</v>
      </c>
      <c r="CU21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213" s="146">
        <v>1</v>
      </c>
      <c r="CW213" s="146">
        <v>0</v>
      </c>
      <c r="CX213" s="146">
        <v>0</v>
      </c>
      <c r="CY213" s="146">
        <v>0</v>
      </c>
      <c r="CZ213" s="146">
        <v>0</v>
      </c>
      <c r="DA213" s="146">
        <v>0</v>
      </c>
      <c r="DB213" s="146">
        <v>0</v>
      </c>
      <c r="DC213" s="146">
        <v>0</v>
      </c>
      <c r="DD213" s="146">
        <v>0</v>
      </c>
      <c r="DE213" s="126">
        <v>1.1603700449887588</v>
      </c>
    </row>
    <row r="214" spans="1:109" x14ac:dyDescent="0.25">
      <c r="A214" s="4" t="s" vm="9829">
        <v>634</v>
      </c>
      <c r="B214" s="4" t="s" vm="10868">
        <v>635</v>
      </c>
      <c r="C214" s="121" vm="18981">
        <v>45016</v>
      </c>
      <c r="D214" s="68">
        <f>IFERROR( VfM_Metrics_2023_Entity[[#This Row],[Reinvestment Spend]] / VfM_Metrics_2023_Entity[[#This Row],[Net Book Value of Housing Properties]], "n/a" )</f>
        <v>8.3604493766557986E-2</v>
      </c>
      <c r="E21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79367</v>
      </c>
      <c r="F214" s="84" vm="10689">
        <v>67244</v>
      </c>
      <c r="G214" s="84" vm="10598">
        <v>0</v>
      </c>
      <c r="H214" s="84" vm="10818">
        <v>10448</v>
      </c>
      <c r="I214" s="84" vm="10856">
        <v>1675</v>
      </c>
      <c r="J214" s="84" vm="10043">
        <v>0</v>
      </c>
      <c r="K214" s="5">
        <f xml:space="preserve"> SUM( VfM_Metrics_2023_Entity[[#This Row],[Tangible fixed assets: Housing properties at cost (Current period)]],VfM_Metrics_2023_Entity[[#This Row],[Tangible fixed assets Housing properties at valuation (Current period)]] )</f>
        <v>949315</v>
      </c>
      <c r="L214" s="84" vm="10038">
        <v>949315</v>
      </c>
      <c r="M214" s="84" vm="10320">
        <v>0</v>
      </c>
      <c r="N214" s="134">
        <f xml:space="preserve"> IFERROR( VfM_Metrics_2023_Entity[[#This Row],[Total social units developed or newly built units acquired in-year]] / VfM_Metrics_2023_Entity[[#This Row],[Social housing units owned (period end)]], "n/a" )</f>
        <v>3.4212695795548226E-2</v>
      </c>
      <c r="O214" s="5">
        <f xml:space="preserve"> SUM( VfM_Metrics_2023_Entity[[#This Row],[Total social units developed or newly built units acquired in-year (owned)]], VfM_Metrics_2023_Entity[[#This Row],[Total social leasehold units developed or newly built units acquired in-year (owned)]] )</f>
        <v>332</v>
      </c>
      <c r="P214" s="84" vm="11099">
        <v>332</v>
      </c>
      <c r="Q214" s="84">
        <v>0</v>
      </c>
      <c r="R214" s="5">
        <f xml:space="preserve"> SUM( VfM_Metrics_2023_Entity[[#This Row],[Total social housing units owned (Period end)]], VfM_Metrics_2023_Entity[[#This Row],[Total social leasehold units owned (Period end)]] )</f>
        <v>9704</v>
      </c>
      <c r="S214" s="84" vm="11325">
        <v>9704</v>
      </c>
      <c r="T214" s="135" vm="11535">
        <v>0</v>
      </c>
      <c r="U214" s="136">
        <f xml:space="preserve"> IFERROR( VfM_Metrics_2023_Entity[[#This Row],[Total non-social housing units developed or newly built units acquired (owned)]] / VfM_Metrics_2023_Entity[[#This Row],[Total social and non-social housing units owned (Period end)]], "n/a" )</f>
        <v>3.2507110930516049E-3</v>
      </c>
      <c r="V21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32</v>
      </c>
      <c r="W214" s="84">
        <v>0</v>
      </c>
      <c r="X214" s="84">
        <v>0</v>
      </c>
      <c r="Y214" s="84" vm="11945">
        <v>32</v>
      </c>
      <c r="Z21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9844</v>
      </c>
      <c r="AA214" s="84" vm="11964">
        <v>9704</v>
      </c>
      <c r="AB214" s="84" vm="12464">
        <v>0</v>
      </c>
      <c r="AC214" s="84" vm="12406">
        <v>140</v>
      </c>
      <c r="AD214" s="135" vm="12539">
        <v>0</v>
      </c>
      <c r="AE214" s="134">
        <f xml:space="preserve"> IFERROR( VfM_Metrics_2023_Entity[[#This Row],[Total Net Debt]] / VfM_Metrics_2023_Entity[[#This Row],[Net Book Value of Housing Properties2]], "n/a" )</f>
        <v>0.57190816536133948</v>
      </c>
      <c r="AF21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542921</v>
      </c>
      <c r="AG214" s="84" vm="12578">
        <v>794</v>
      </c>
      <c r="AH214" s="84" vm="12964">
        <v>116956</v>
      </c>
      <c r="AI214" s="84" vm="13059">
        <v>7129</v>
      </c>
      <c r="AJ214" s="84" vm="13149">
        <v>432300</v>
      </c>
      <c r="AK214" s="84" vm="13230">
        <v>0</v>
      </c>
      <c r="AL214" s="5">
        <f xml:space="preserve"> SUM( VfM_Metrics_2023_Entity[[#This Row],[Tangible fixed assets: Housing properties at cost (Current period)2]], VfM_Metrics_2023_Entity[[#This Row],[Tangible fixed assets Housing properties at valuation (Current period)2]] )</f>
        <v>949315</v>
      </c>
      <c r="AM214" s="84" vm="10038">
        <v>949315</v>
      </c>
      <c r="AN214" s="135" vm="10320">
        <v>0</v>
      </c>
      <c r="AO214" s="137">
        <f xml:space="preserve"> IFERROR( VfM_Metrics_2023_Entity[[#This Row],[EBITDA MRI]] / VfM_Metrics_2023_Entity[[#This Row],[Total interest]], "n/a" )</f>
        <v>1.3767365661861075</v>
      </c>
      <c r="AP21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21009</v>
      </c>
      <c r="AQ214" s="84" vm="13462">
        <v>24553</v>
      </c>
      <c r="AR214" s="84" vm="15096">
        <v>4817</v>
      </c>
      <c r="AS214" s="84" vm="13867">
        <v>0</v>
      </c>
      <c r="AT214" s="84" vm="14589">
        <v>300</v>
      </c>
      <c r="AU214" s="84" vm="14363">
        <v>0</v>
      </c>
      <c r="AV214" s="84" vm="14609">
        <v>872</v>
      </c>
      <c r="AW214" s="84" vm="14853">
        <v>10448</v>
      </c>
      <c r="AX214" s="84" vm="15097">
        <v>11149</v>
      </c>
      <c r="AY214" s="5">
        <f xml:space="preserve"> - SUM( VfM_Metrics_2023_Entity[[#This Row],[Interest capitalised]], VfM_Metrics_2023_Entity[[#This Row],[Interest payable and financing costs]] )</f>
        <v>15260</v>
      </c>
      <c r="AZ214" s="84" vm="15301">
        <v>-1675</v>
      </c>
      <c r="BA214" s="135" vm="15502">
        <v>-13585</v>
      </c>
      <c r="BB214" s="138">
        <f xml:space="preserve"> IFERROR( ( VfM_Metrics_2023_Entity[[#This Row],[Total Costs]] / VfM_Metrics_2023_Entity[[#This Row],[Total units for costs]] ) * 1000, "n/a" )</f>
        <v>4792.1475680131898</v>
      </c>
      <c r="BC21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46503</v>
      </c>
      <c r="BD214" s="84" vm="15600">
        <v>12654</v>
      </c>
      <c r="BE214" s="84" vm="16967">
        <v>4464</v>
      </c>
      <c r="BF214" s="84" vm="17191">
        <v>10093</v>
      </c>
      <c r="BG214" s="84" vm="17423">
        <v>3695</v>
      </c>
      <c r="BH214" s="84" vm="16312">
        <v>4445</v>
      </c>
      <c r="BI214" s="84" vm="16559">
        <v>0</v>
      </c>
      <c r="BJ214" s="84" vm="14853">
        <v>10448</v>
      </c>
      <c r="BK214" s="84" vm="16968">
        <v>529</v>
      </c>
      <c r="BL214" s="84">
        <v>0</v>
      </c>
      <c r="BM214" s="84">
        <v>0</v>
      </c>
      <c r="BN214" s="84" vm="16560">
        <v>175</v>
      </c>
      <c r="BO214" s="84">
        <v>0</v>
      </c>
      <c r="BP214" s="5" vm="17786">
        <f xml:space="preserve"> VfM_Metrics_2023_Entity[[#This Row],[Total social housing units owned and/or managed at period end]]</f>
        <v>9704</v>
      </c>
      <c r="BQ214" s="135" vm="17786">
        <v>9704</v>
      </c>
      <c r="BR214" s="134">
        <f xml:space="preserve"> IFERROR( VfM_Metrics_2023_Entity[[#This Row],[SHL operating surplus / (deficit)]] / VfM_Metrics_2023_Entity[[#This Row],[Turnover from social housing lettings]], "n/a" )</f>
        <v>0.2465722525657757</v>
      </c>
      <c r="BS214" s="5" vm="17865">
        <f xml:space="preserve"> VfM_Metrics_2023_Entity[[#This Row],[Operating surplus/(deficit) (social housing lettings)]]</f>
        <v>15304</v>
      </c>
      <c r="BT214" s="84" vm="17865">
        <v>15304</v>
      </c>
      <c r="BU214" s="5" vm="18081">
        <f xml:space="preserve"> VfM_Metrics_2023_Entity[[#This Row],[Turnover from social housing lettings]]</f>
        <v>62067</v>
      </c>
      <c r="BV214" s="135" vm="18081">
        <v>62067</v>
      </c>
      <c r="BW214" s="134">
        <f xml:space="preserve"> IFERROR( VfM_Metrics_2023_Entity[[#This Row],[Net operating surplus]] / VfM_Metrics_2023_Entity[[#This Row],[Overall turnover]], "n/a" )</f>
        <v>0.23698082395744527</v>
      </c>
      <c r="BX214" s="5">
        <f xml:space="preserve"> SUM( VfM_Metrics_2023_Entity[[#This Row],[Operating surplus/(deficit) (overall)2]], - VfM_Metrics_2023_Entity[[#This Row],[Gain/(loss) on disposal of fixed assets (housing properties)2]], - VfM_Metrics_2023_Entity[[#This Row],[Gain/(loss) on disposal of fixed assets (other)2]] )</f>
        <v>19736</v>
      </c>
      <c r="BY214" s="84" vm="13536">
        <v>24553</v>
      </c>
      <c r="BZ214" s="84" vm="15096">
        <v>4817</v>
      </c>
      <c r="CA214" s="84" vm="13867">
        <v>0</v>
      </c>
      <c r="CB214" s="5" vm="18393">
        <f xml:space="preserve"> VfM_Metrics_2023_Entity[[#This Row],[Turnover (overall)]]</f>
        <v>83281</v>
      </c>
      <c r="CC214" s="135" vm="18393">
        <v>83281</v>
      </c>
      <c r="CD214" s="134">
        <f xml:space="preserve"> IFERROR( VfM_Metrics_2023_Entity[[#This Row],[Operating surplus including from JVs]] / VfM_Metrics_2023_Entity[[#This Row],[Net assets]], "n/a" )</f>
        <v>2.4571453161324155E-2</v>
      </c>
      <c r="CE214" s="5">
        <f xml:space="preserve"> SUM( VfM_Metrics_2023_Entity[[#This Row],[Operating surplus/(deficit) (overall)3]], VfM_Metrics_2023_Entity[[#This Row],[Share of operating surplus/(deficit) in joint ventures or associates]] )</f>
        <v>24553</v>
      </c>
      <c r="CF214" s="84" vm="13462">
        <v>24553</v>
      </c>
      <c r="CG214" s="84" vm="18567">
        <v>0</v>
      </c>
      <c r="CH214" s="5" vm="18602">
        <f xml:space="preserve"> VfM_Metrics_2023_Entity[[#This Row],[Total assets less current liabilities]]</f>
        <v>999249</v>
      </c>
      <c r="CI214" s="135" vm="18602">
        <v>999249</v>
      </c>
      <c r="CJ214" s="140" vm="11325">
        <f xml:space="preserve"> VfM_Metrics_2023_Entity[[#This Row],[Total social housing units owned (Period end)]]</f>
        <v>9704</v>
      </c>
      <c r="CK214" s="141">
        <v>6.4704654560634525E-3</v>
      </c>
      <c r="CL214" s="69">
        <f xml:space="preserve"> -- ( VfM_Metrics_2023_Entity[[#This Row],[% Supported housing (excl. HOP)]] &gt; 0.3 )</f>
        <v>0</v>
      </c>
      <c r="CM214" s="9">
        <v>3.6109371738676684E-2</v>
      </c>
      <c r="CN214" s="69">
        <f xml:space="preserve"> -- ( VfM_Metrics_2023_Entity[[#This Row],[% Housing for older people]] &gt; 0.3 )</f>
        <v>0</v>
      </c>
      <c r="CO214" s="9">
        <f xml:space="preserve"> VfM_Metrics_2023_Entity[[#This Row],[% Supported housing (excl. HOP)]] + VfM_Metrics_2023_Entity[[#This Row],[% Housing for older people]]</f>
        <v>4.2579837194740136E-2</v>
      </c>
      <c r="CP214" s="69">
        <f xml:space="preserve"> -- ( VfM_Metrics_2023_Entity[[#This Row],[SH specialist in RSH analysis]] + VfM_Metrics_2023_Entity[[#This Row],[OP specialist in RSH analysis]] &gt; 0 )</f>
        <v>0</v>
      </c>
      <c r="CQ214" s="142">
        <f xml:space="preserve"> -- ( VfM_Metrics_2023_Entity[[#This Row],[% SH and OP]] &gt; 0.3 )</f>
        <v>0</v>
      </c>
      <c r="CR214" s="143" t="s">
        <v>143</v>
      </c>
      <c r="CS214" s="120"/>
      <c r="CT214" s="144" t="s">
        <v>151</v>
      </c>
      <c r="CU21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214" s="146">
        <v>0</v>
      </c>
      <c r="CW214" s="146">
        <v>0.99907254740313278</v>
      </c>
      <c r="CX214" s="146">
        <v>6.1830173124484747E-4</v>
      </c>
      <c r="CY214" s="146">
        <v>2.0610057708161583E-4</v>
      </c>
      <c r="CZ214" s="146">
        <v>0</v>
      </c>
      <c r="DA214" s="146">
        <v>0</v>
      </c>
      <c r="DB214" s="146">
        <v>0</v>
      </c>
      <c r="DC214" s="146">
        <v>0</v>
      </c>
      <c r="DD214" s="146">
        <v>1.0305028854080792E-4</v>
      </c>
      <c r="DE214" s="126">
        <v>1.0336483124877371</v>
      </c>
    </row>
    <row r="215" spans="1:109" x14ac:dyDescent="0.25">
      <c r="A215" s="4" t="s" vm="386">
        <v>500</v>
      </c>
      <c r="B215" s="4" t="s" vm="9841">
        <v>501</v>
      </c>
      <c r="C215" s="121" vm="18943">
        <v>45016</v>
      </c>
      <c r="D215" s="68">
        <f>IFERROR( VfM_Metrics_2023_Entity[[#This Row],[Reinvestment Spend]] / VfM_Metrics_2023_Entity[[#This Row],[Net Book Value of Housing Properties]], "n/a" )</f>
        <v>0.10129417956572785</v>
      </c>
      <c r="E21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22518</v>
      </c>
      <c r="F215" s="84" vm="10927">
        <v>6661</v>
      </c>
      <c r="G215" s="84" vm="10487">
        <v>9662</v>
      </c>
      <c r="H215" s="84" vm="10416">
        <v>5889</v>
      </c>
      <c r="I215" s="84" vm="9870">
        <v>306</v>
      </c>
      <c r="J215" s="84" vm="10688">
        <v>0</v>
      </c>
      <c r="K215" s="5">
        <f xml:space="preserve"> SUM( VfM_Metrics_2023_Entity[[#This Row],[Tangible fixed assets: Housing properties at cost (Current period)]],VfM_Metrics_2023_Entity[[#This Row],[Tangible fixed assets Housing properties at valuation (Current period)]] )</f>
        <v>222303</v>
      </c>
      <c r="L215" s="84" vm="10566">
        <v>222303</v>
      </c>
      <c r="M215" s="84" vm="10181">
        <v>0</v>
      </c>
      <c r="N215" s="134">
        <f xml:space="preserve"> IFERROR( VfM_Metrics_2023_Entity[[#This Row],[Total social units developed or newly built units acquired in-year]] / VfM_Metrics_2023_Entity[[#This Row],[Social housing units owned (period end)]], "n/a" )</f>
        <v>1.1423550087873463E-2</v>
      </c>
      <c r="O215" s="5">
        <f xml:space="preserve"> SUM( VfM_Metrics_2023_Entity[[#This Row],[Total social units developed or newly built units acquired in-year (owned)]], VfM_Metrics_2023_Entity[[#This Row],[Total social leasehold units developed or newly built units acquired in-year (owned)]] )</f>
        <v>78</v>
      </c>
      <c r="P215" s="84" vm="11030">
        <v>78</v>
      </c>
      <c r="Q215" s="84" vm="11127">
        <v>0</v>
      </c>
      <c r="R215" s="5">
        <f xml:space="preserve"> SUM( VfM_Metrics_2023_Entity[[#This Row],[Total social housing units owned (Period end)]], VfM_Metrics_2023_Entity[[#This Row],[Total social leasehold units owned (Period end)]] )</f>
        <v>6828</v>
      </c>
      <c r="S215" s="84" vm="11361">
        <v>6529</v>
      </c>
      <c r="T215" s="135" vm="11456">
        <v>299</v>
      </c>
      <c r="U215" s="136">
        <f xml:space="preserve"> IFERROR( VfM_Metrics_2023_Entity[[#This Row],[Total non-social housing units developed or newly built units acquired (owned)]] / VfM_Metrics_2023_Entity[[#This Row],[Total social and non-social housing units owned (Period end)]], "n/a" )</f>
        <v>0</v>
      </c>
      <c r="V21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15" s="84" vm="11606">
        <v>0</v>
      </c>
      <c r="X215" s="84" vm="11751">
        <v>0</v>
      </c>
      <c r="Y215" s="84" vm="11775">
        <v>0</v>
      </c>
      <c r="Z21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6828</v>
      </c>
      <c r="AA215" s="84" vm="12018">
        <v>6529</v>
      </c>
      <c r="AB215" s="84" vm="12218">
        <v>299</v>
      </c>
      <c r="AC215" s="84" vm="12161">
        <v>0</v>
      </c>
      <c r="AD215" s="135" vm="12313">
        <v>0</v>
      </c>
      <c r="AE215" s="134">
        <f xml:space="preserve"> IFERROR( VfM_Metrics_2023_Entity[[#This Row],[Total Net Debt]] / VfM_Metrics_2023_Entity[[#This Row],[Net Book Value of Housing Properties2]], "n/a" )</f>
        <v>0.70812809543730859</v>
      </c>
      <c r="AF21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157419</v>
      </c>
      <c r="AG215" s="84" vm="12602">
        <v>3289</v>
      </c>
      <c r="AH215" s="84" vm="12815">
        <v>166729</v>
      </c>
      <c r="AI215" s="84" vm="13352">
        <v>12599</v>
      </c>
      <c r="AJ215" s="84" vm="12923">
        <v>0</v>
      </c>
      <c r="AK215" s="84" vm="13003">
        <v>0</v>
      </c>
      <c r="AL215" s="5">
        <f xml:space="preserve"> SUM( VfM_Metrics_2023_Entity[[#This Row],[Tangible fixed assets: Housing properties at cost (Current period)2]], VfM_Metrics_2023_Entity[[#This Row],[Tangible fixed assets Housing properties at valuation (Current period)2]] )</f>
        <v>222303</v>
      </c>
      <c r="AM215" s="84" vm="10040">
        <v>222303</v>
      </c>
      <c r="AN215" s="135" vm="10181">
        <v>0</v>
      </c>
      <c r="AO215" s="137">
        <f xml:space="preserve"> IFERROR( VfM_Metrics_2023_Entity[[#This Row],[EBITDA MRI]] / VfM_Metrics_2023_Entity[[#This Row],[Total interest]], "n/a" )</f>
        <v>1.1525782549523667</v>
      </c>
      <c r="AP21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7622</v>
      </c>
      <c r="AQ215" s="84" vm="13495">
        <v>8430</v>
      </c>
      <c r="AR215" s="84" vm="13868">
        <v>1935</v>
      </c>
      <c r="AS215" s="84" vm="14120">
        <v>0</v>
      </c>
      <c r="AT215" s="84" vm="14364">
        <v>518</v>
      </c>
      <c r="AU215" s="84" vm="14610">
        <v>0</v>
      </c>
      <c r="AV215" s="84" vm="14854">
        <v>758</v>
      </c>
      <c r="AW215" s="84" vm="15098">
        <v>5889</v>
      </c>
      <c r="AX215" s="84" vm="13869">
        <v>6776</v>
      </c>
      <c r="AY215" s="5">
        <f xml:space="preserve"> - SUM( VfM_Metrics_2023_Entity[[#This Row],[Interest capitalised]], VfM_Metrics_2023_Entity[[#This Row],[Interest payable and financing costs]] )</f>
        <v>6613</v>
      </c>
      <c r="AZ215" s="84" vm="15183">
        <v>-322</v>
      </c>
      <c r="BA215" s="135" vm="15344">
        <v>-6291</v>
      </c>
      <c r="BB215" s="138">
        <f xml:space="preserve"> IFERROR( ( VfM_Metrics_2023_Entity[[#This Row],[Total Costs]] / VfM_Metrics_2023_Entity[[#This Row],[Total units for costs]] ) * 1000, "n/a" )</f>
        <v>4019.2985143207229</v>
      </c>
      <c r="BC21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26242</v>
      </c>
      <c r="BD215" s="84" vm="15533">
        <v>6744</v>
      </c>
      <c r="BE215" s="84" vm="16969">
        <v>1987</v>
      </c>
      <c r="BF215" s="84" vm="17192">
        <v>3583</v>
      </c>
      <c r="BG215" s="84" vm="17424">
        <v>4772</v>
      </c>
      <c r="BH215" s="84" vm="16314">
        <v>1487</v>
      </c>
      <c r="BI215" s="84" vm="16561">
        <v>0</v>
      </c>
      <c r="BJ215" s="84" vm="15098">
        <v>5889</v>
      </c>
      <c r="BK215" s="84" vm="16970">
        <v>952</v>
      </c>
      <c r="BL215" s="84" vm="17425">
        <v>297</v>
      </c>
      <c r="BM215" s="84" vm="16316">
        <v>0</v>
      </c>
      <c r="BN215" s="84" vm="16562">
        <v>171</v>
      </c>
      <c r="BO215" s="84" vm="17193">
        <v>360</v>
      </c>
      <c r="BP215" s="5" vm="17649">
        <f xml:space="preserve"> VfM_Metrics_2023_Entity[[#This Row],[Total social housing units owned and/or managed at period end]]</f>
        <v>6529</v>
      </c>
      <c r="BQ215" s="135" vm="17649">
        <v>6529</v>
      </c>
      <c r="BR215" s="134">
        <f xml:space="preserve"> IFERROR( VfM_Metrics_2023_Entity[[#This Row],[SHL operating surplus / (deficit)]] / VfM_Metrics_2023_Entity[[#This Row],[Turnover from social housing lettings]], "n/a" )</f>
        <v>0.19933408719688403</v>
      </c>
      <c r="BS215" s="5" vm="17903">
        <f xml:space="preserve"> VfM_Metrics_2023_Entity[[#This Row],[Operating surplus/(deficit) (social housing lettings)]]</f>
        <v>6346</v>
      </c>
      <c r="BT215" s="84" vm="17903">
        <v>6346</v>
      </c>
      <c r="BU215" s="5" vm="18102">
        <f xml:space="preserve"> VfM_Metrics_2023_Entity[[#This Row],[Turnover from social housing lettings]]</f>
        <v>31836</v>
      </c>
      <c r="BV215" s="135" vm="18102">
        <v>31836</v>
      </c>
      <c r="BW215" s="134">
        <f xml:space="preserve"> IFERROR( VfM_Metrics_2023_Entity[[#This Row],[Net operating surplus]] / VfM_Metrics_2023_Entity[[#This Row],[Overall turnover]], "n/a" )</f>
        <v>0.1933323411221908</v>
      </c>
      <c r="BX215" s="5">
        <f xml:space="preserve"> SUM( VfM_Metrics_2023_Entity[[#This Row],[Operating surplus/(deficit) (overall)2]], - VfM_Metrics_2023_Entity[[#This Row],[Gain/(loss) on disposal of fixed assets (housing properties)2]], - VfM_Metrics_2023_Entity[[#This Row],[Gain/(loss) on disposal of fixed assets (other)2]] )</f>
        <v>6495</v>
      </c>
      <c r="BY215" s="84" vm="13495">
        <v>8430</v>
      </c>
      <c r="BZ215" s="84" vm="13868">
        <v>1935</v>
      </c>
      <c r="CA215" s="84" vm="14120">
        <v>0</v>
      </c>
      <c r="CB215" s="5" vm="18418">
        <f xml:space="preserve"> VfM_Metrics_2023_Entity[[#This Row],[Turnover (overall)]]</f>
        <v>33595</v>
      </c>
      <c r="CC215" s="135" vm="18418">
        <v>33595</v>
      </c>
      <c r="CD215" s="134">
        <f xml:space="preserve"> IFERROR( VfM_Metrics_2023_Entity[[#This Row],[Operating surplus including from JVs]] / VfM_Metrics_2023_Entity[[#This Row],[Net assets]], "n/a" )</f>
        <v>3.2171029282124279E-2</v>
      </c>
      <c r="CE215" s="5">
        <f xml:space="preserve"> SUM( VfM_Metrics_2023_Entity[[#This Row],[Operating surplus/(deficit) (overall)3]], VfM_Metrics_2023_Entity[[#This Row],[Share of operating surplus/(deficit) in joint ventures or associates]] )</f>
        <v>8430</v>
      </c>
      <c r="CF215" s="84" vm="13495">
        <v>8430</v>
      </c>
      <c r="CG215" s="84" vm="18466">
        <v>0</v>
      </c>
      <c r="CH215" s="5" vm="18639">
        <f xml:space="preserve"> VfM_Metrics_2023_Entity[[#This Row],[Total assets less current liabilities]]</f>
        <v>262037</v>
      </c>
      <c r="CI215" s="135" vm="18639">
        <v>262037</v>
      </c>
      <c r="CJ215" s="140" vm="11361">
        <f xml:space="preserve"> VfM_Metrics_2023_Entity[[#This Row],[Total social housing units owned (Period end)]]</f>
        <v>6529</v>
      </c>
      <c r="CK215" s="141">
        <v>3.0707815138952864E-4</v>
      </c>
      <c r="CL215" s="69">
        <f xml:space="preserve"> -- ( VfM_Metrics_2023_Entity[[#This Row],[% Supported housing (excl. HOP)]] &gt; 0.3 )</f>
        <v>0</v>
      </c>
      <c r="CM215" s="9">
        <v>2.5333947489636112E-2</v>
      </c>
      <c r="CN215" s="69">
        <f xml:space="preserve"> -- ( VfM_Metrics_2023_Entity[[#This Row],[% Housing for older people]] &gt; 0.3 )</f>
        <v>0</v>
      </c>
      <c r="CO215" s="9">
        <f xml:space="preserve"> VfM_Metrics_2023_Entity[[#This Row],[% Supported housing (excl. HOP)]] + VfM_Metrics_2023_Entity[[#This Row],[% Housing for older people]]</f>
        <v>2.564102564102564E-2</v>
      </c>
      <c r="CP215" s="69">
        <f xml:space="preserve"> -- ( VfM_Metrics_2023_Entity[[#This Row],[SH specialist in RSH analysis]] + VfM_Metrics_2023_Entity[[#This Row],[OP specialist in RSH analysis]] &gt; 0 )</f>
        <v>0</v>
      </c>
      <c r="CQ215" s="142">
        <f xml:space="preserve"> -- ( VfM_Metrics_2023_Entity[[#This Row],[% SH and OP]] &gt; 0.3 )</f>
        <v>0</v>
      </c>
      <c r="CR215" s="143" t="s">
        <v>143</v>
      </c>
      <c r="CS215" s="120"/>
      <c r="CT215" s="144" t="s">
        <v>151</v>
      </c>
      <c r="CU21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215" s="146">
        <v>0</v>
      </c>
      <c r="CW215" s="146">
        <v>0</v>
      </c>
      <c r="CX215" s="146">
        <v>0</v>
      </c>
      <c r="CY215" s="146">
        <v>8.6536988819114716E-2</v>
      </c>
      <c r="CZ215" s="146">
        <v>0.91346301118088524</v>
      </c>
      <c r="DA215" s="146">
        <v>0</v>
      </c>
      <c r="DB215" s="146">
        <v>0</v>
      </c>
      <c r="DC215" s="146">
        <v>0</v>
      </c>
      <c r="DD215" s="146">
        <v>0</v>
      </c>
      <c r="DE215" s="126">
        <v>0.96266436274437006</v>
      </c>
    </row>
    <row r="216" spans="1:109" x14ac:dyDescent="0.25">
      <c r="A216" s="4" t="s" vm="305">
        <v>502</v>
      </c>
      <c r="B216" s="4" t="s" vm="10905">
        <v>503</v>
      </c>
      <c r="C216" s="121" vm="18834">
        <v>45016</v>
      </c>
      <c r="D216" s="68">
        <f>IFERROR( VfM_Metrics_2023_Entity[[#This Row],[Reinvestment Spend]] / VfM_Metrics_2023_Entity[[#This Row],[Net Book Value of Housing Properties]], "n/a" )</f>
        <v>3.2989997541439678E-2</v>
      </c>
      <c r="E21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5099</v>
      </c>
      <c r="F216" s="84" vm="9869">
        <v>2005</v>
      </c>
      <c r="G216" s="84" vm="10366">
        <v>0</v>
      </c>
      <c r="H216" s="84" vm="10192">
        <v>3061</v>
      </c>
      <c r="I216" s="84" vm="10268">
        <v>33</v>
      </c>
      <c r="J216" s="84" vm="9871">
        <v>0</v>
      </c>
      <c r="K216" s="5">
        <f xml:space="preserve"> SUM( VfM_Metrics_2023_Entity[[#This Row],[Tangible fixed assets: Housing properties at cost (Current period)]],VfM_Metrics_2023_Entity[[#This Row],[Tangible fixed assets Housing properties at valuation (Current period)]] )</f>
        <v>154562</v>
      </c>
      <c r="L216" s="84" vm="9931">
        <v>154562</v>
      </c>
      <c r="M216" s="84">
        <v>0</v>
      </c>
      <c r="N216" s="134">
        <f xml:space="preserve"> IFERROR( VfM_Metrics_2023_Entity[[#This Row],[Total social units developed or newly built units acquired in-year]] / VfM_Metrics_2023_Entity[[#This Row],[Social housing units owned (period end)]], "n/a" )</f>
        <v>1.8999366687777073E-3</v>
      </c>
      <c r="O216" s="5">
        <f xml:space="preserve"> SUM( VfM_Metrics_2023_Entity[[#This Row],[Total social units developed or newly built units acquired in-year (owned)]], VfM_Metrics_2023_Entity[[#This Row],[Total social leasehold units developed or newly built units acquired in-year (owned)]] )</f>
        <v>6</v>
      </c>
      <c r="P216" s="84" vm="10985">
        <v>6</v>
      </c>
      <c r="Q216" s="84">
        <v>0</v>
      </c>
      <c r="R216" s="5">
        <f xml:space="preserve"> SUM( VfM_Metrics_2023_Entity[[#This Row],[Total social housing units owned (Period end)]], VfM_Metrics_2023_Entity[[#This Row],[Total social leasehold units owned (Period end)]] )</f>
        <v>3158</v>
      </c>
      <c r="S216" s="84" vm="11286">
        <v>3158</v>
      </c>
      <c r="T216" s="135" vm="11525">
        <v>0</v>
      </c>
      <c r="U216" s="136">
        <f xml:space="preserve"> IFERROR( VfM_Metrics_2023_Entity[[#This Row],[Total non-social housing units developed or newly built units acquired (owned)]] / VfM_Metrics_2023_Entity[[#This Row],[Total social and non-social housing units owned (Period end)]], "n/a" )</f>
        <v>0</v>
      </c>
      <c r="V21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16" s="84">
        <v>0</v>
      </c>
      <c r="X216" s="84">
        <v>0</v>
      </c>
      <c r="Y216" s="84" vm="11863">
        <v>0</v>
      </c>
      <c r="Z21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3458</v>
      </c>
      <c r="AA216" s="84" vm="11978">
        <v>3158</v>
      </c>
      <c r="AB216" s="84" vm="12465">
        <v>0</v>
      </c>
      <c r="AC216" s="84" vm="12407">
        <v>11</v>
      </c>
      <c r="AD216" s="135" vm="12540">
        <v>289</v>
      </c>
      <c r="AE216" s="134">
        <f xml:space="preserve"> IFERROR( VfM_Metrics_2023_Entity[[#This Row],[Total Net Debt]] / VfM_Metrics_2023_Entity[[#This Row],[Net Book Value of Housing Properties2]], "n/a" )</f>
        <v>0.49532226549863484</v>
      </c>
      <c r="AF21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76558</v>
      </c>
      <c r="AG216" s="84" vm="12630">
        <v>93</v>
      </c>
      <c r="AH216" s="84" vm="13088">
        <v>81627</v>
      </c>
      <c r="AI216" s="84" vm="13175">
        <v>5162</v>
      </c>
      <c r="AJ216" s="84">
        <v>0</v>
      </c>
      <c r="AK216" s="84">
        <v>0</v>
      </c>
      <c r="AL216" s="5">
        <f xml:space="preserve"> SUM( VfM_Metrics_2023_Entity[[#This Row],[Tangible fixed assets: Housing properties at cost (Current period)2]], VfM_Metrics_2023_Entity[[#This Row],[Tangible fixed assets Housing properties at valuation (Current period)2]] )</f>
        <v>154562</v>
      </c>
      <c r="AM216" s="84" vm="9931">
        <v>154562</v>
      </c>
      <c r="AN216" s="135">
        <v>0</v>
      </c>
      <c r="AO216" s="137">
        <f xml:space="preserve"> IFERROR( VfM_Metrics_2023_Entity[[#This Row],[EBITDA MRI]] / VfM_Metrics_2023_Entity[[#This Row],[Total interest]], "n/a" )</f>
        <v>1.0822715689843465</v>
      </c>
      <c r="AP21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2973</v>
      </c>
      <c r="AQ216" s="84" vm="13533">
        <v>3221</v>
      </c>
      <c r="AR216" s="84" vm="14121">
        <v>174</v>
      </c>
      <c r="AS216" s="84">
        <v>0</v>
      </c>
      <c r="AT216" s="84" vm="14611">
        <v>909</v>
      </c>
      <c r="AU216" s="84" vm="14855">
        <v>0</v>
      </c>
      <c r="AV216" s="84" vm="15099">
        <v>65</v>
      </c>
      <c r="AW216" s="84" vm="13870">
        <v>3061</v>
      </c>
      <c r="AX216" s="84" vm="14122">
        <v>3831</v>
      </c>
      <c r="AY216" s="5">
        <f xml:space="preserve"> - SUM( VfM_Metrics_2023_Entity[[#This Row],[Interest capitalised]], VfM_Metrics_2023_Entity[[#This Row],[Interest payable and financing costs]] )</f>
        <v>2747</v>
      </c>
      <c r="AZ216" s="84" vm="15208">
        <v>-33</v>
      </c>
      <c r="BA216" s="135" vm="15377">
        <v>-2714</v>
      </c>
      <c r="BB216" s="138">
        <f xml:space="preserve"> IFERROR( ( VfM_Metrics_2023_Entity[[#This Row],[Total Costs]] / VfM_Metrics_2023_Entity[[#This Row],[Total units for costs]] ) * 1000, "n/a" )</f>
        <v>6044.5665445665445</v>
      </c>
      <c r="BC21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19802</v>
      </c>
      <c r="BD216" s="84" vm="15549">
        <v>2128</v>
      </c>
      <c r="BE216" s="84" vm="16318">
        <v>7971</v>
      </c>
      <c r="BF216" s="84" vm="17194">
        <v>3186</v>
      </c>
      <c r="BG216" s="84" vm="17426">
        <v>2215</v>
      </c>
      <c r="BH216" s="84" vm="16317">
        <v>179</v>
      </c>
      <c r="BI216" s="84" vm="16563">
        <v>1062</v>
      </c>
      <c r="BJ216" s="84" vm="13870">
        <v>3061</v>
      </c>
      <c r="BK216" s="84" vm="16971">
        <v>0</v>
      </c>
      <c r="BL216" s="84">
        <v>0</v>
      </c>
      <c r="BM216" s="84">
        <v>0</v>
      </c>
      <c r="BN216" s="84">
        <v>0</v>
      </c>
      <c r="BO216" s="84">
        <v>0</v>
      </c>
      <c r="BP216" s="5" vm="17823">
        <f xml:space="preserve"> VfM_Metrics_2023_Entity[[#This Row],[Total social housing units owned and/or managed at period end]]</f>
        <v>3276</v>
      </c>
      <c r="BQ216" s="135" vm="17823">
        <v>3276</v>
      </c>
      <c r="BR216" s="134">
        <f xml:space="preserve"> IFERROR( VfM_Metrics_2023_Entity[[#This Row],[SHL operating surplus / (deficit)]] / VfM_Metrics_2023_Entity[[#This Row],[Turnover from social housing lettings]], "n/a" )</f>
        <v>0.13408526760440709</v>
      </c>
      <c r="BS216" s="5" vm="17940">
        <f xml:space="preserve"> VfM_Metrics_2023_Entity[[#This Row],[Operating surplus/(deficit) (social housing lettings)]]</f>
        <v>3079</v>
      </c>
      <c r="BT216" s="84" vm="17940">
        <v>3079</v>
      </c>
      <c r="BU216" s="5" vm="18210">
        <f xml:space="preserve"> VfM_Metrics_2023_Entity[[#This Row],[Turnover from social housing lettings]]</f>
        <v>22963</v>
      </c>
      <c r="BV216" s="135" vm="18210">
        <v>22963</v>
      </c>
      <c r="BW216" s="134">
        <f xml:space="preserve"> IFERROR( VfM_Metrics_2023_Entity[[#This Row],[Net operating surplus]] / VfM_Metrics_2023_Entity[[#This Row],[Overall turnover]], "n/a" )</f>
        <v>0.12342028515878159</v>
      </c>
      <c r="BX216" s="5">
        <f xml:space="preserve"> SUM( VfM_Metrics_2023_Entity[[#This Row],[Operating surplus/(deficit) (overall)2]], - VfM_Metrics_2023_Entity[[#This Row],[Gain/(loss) on disposal of fixed assets (housing properties)2]], - VfM_Metrics_2023_Entity[[#This Row],[Gain/(loss) on disposal of fixed assets (other)2]] )</f>
        <v>3047</v>
      </c>
      <c r="BY216" s="84" vm="13533">
        <v>3221</v>
      </c>
      <c r="BZ216" s="84" vm="14121">
        <v>174</v>
      </c>
      <c r="CA216" s="84">
        <v>0</v>
      </c>
      <c r="CB216" s="5" vm="18291">
        <f xml:space="preserve"> VfM_Metrics_2023_Entity[[#This Row],[Turnover (overall)]]</f>
        <v>24688</v>
      </c>
      <c r="CC216" s="135" vm="18291">
        <v>24688</v>
      </c>
      <c r="CD216" s="134">
        <f xml:space="preserve"> IFERROR( VfM_Metrics_2023_Entity[[#This Row],[Operating surplus including from JVs]] / VfM_Metrics_2023_Entity[[#This Row],[Net assets]], "n/a" )</f>
        <v>1.9588763675949181E-2</v>
      </c>
      <c r="CE216" s="5">
        <f xml:space="preserve"> SUM( VfM_Metrics_2023_Entity[[#This Row],[Operating surplus/(deficit) (overall)3]], VfM_Metrics_2023_Entity[[#This Row],[Share of operating surplus/(deficit) in joint ventures or associates]] )</f>
        <v>3221</v>
      </c>
      <c r="CF216" s="84" vm="13533">
        <v>3221</v>
      </c>
      <c r="CG216" s="84">
        <v>0</v>
      </c>
      <c r="CH216" s="5" vm="18677">
        <f xml:space="preserve"> VfM_Metrics_2023_Entity[[#This Row],[Total assets less current liabilities]]</f>
        <v>164431</v>
      </c>
      <c r="CI216" s="135" vm="18677">
        <v>164431</v>
      </c>
      <c r="CJ216" s="140" vm="11286">
        <f xml:space="preserve"> VfM_Metrics_2023_Entity[[#This Row],[Total social housing units owned (Period end)]]</f>
        <v>3158</v>
      </c>
      <c r="CK216" s="141">
        <v>0.18340196388976876</v>
      </c>
      <c r="CL216" s="69">
        <f xml:space="preserve"> -- ( VfM_Metrics_2023_Entity[[#This Row],[% Supported housing (excl. HOP)]] &gt; 0.3 )</f>
        <v>0</v>
      </c>
      <c r="CM216" s="9">
        <v>0.14127336078555591</v>
      </c>
      <c r="CN216" s="69">
        <f xml:space="preserve"> -- ( VfM_Metrics_2023_Entity[[#This Row],[% Housing for older people]] &gt; 0.3 )</f>
        <v>0</v>
      </c>
      <c r="CO216" s="9">
        <f xml:space="preserve"> VfM_Metrics_2023_Entity[[#This Row],[% Supported housing (excl. HOP)]] + VfM_Metrics_2023_Entity[[#This Row],[% Housing for older people]]</f>
        <v>0.32467532467532467</v>
      </c>
      <c r="CP216" s="69">
        <f xml:space="preserve"> -- ( VfM_Metrics_2023_Entity[[#This Row],[SH specialist in RSH analysis]] + VfM_Metrics_2023_Entity[[#This Row],[OP specialist in RSH analysis]] &gt; 0 )</f>
        <v>0</v>
      </c>
      <c r="CQ216" s="142">
        <f xml:space="preserve"> -- ( VfM_Metrics_2023_Entity[[#This Row],[% SH and OP]] &gt; 0.3 )</f>
        <v>1</v>
      </c>
      <c r="CR216" s="143" t="s">
        <v>143</v>
      </c>
      <c r="CS216" s="120"/>
      <c r="CT216" s="144" t="s">
        <v>144</v>
      </c>
      <c r="CU21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216" s="146">
        <v>0</v>
      </c>
      <c r="CW216" s="146">
        <v>0</v>
      </c>
      <c r="CX216" s="146">
        <v>0</v>
      </c>
      <c r="CY216" s="146">
        <v>0.11672025723472669</v>
      </c>
      <c r="CZ216" s="146">
        <v>0.88327974276527332</v>
      </c>
      <c r="DA216" s="146">
        <v>0</v>
      </c>
      <c r="DB216" s="146">
        <v>0</v>
      </c>
      <c r="DC216" s="146">
        <v>0</v>
      </c>
      <c r="DD216" s="146">
        <v>0</v>
      </c>
      <c r="DE216" s="126">
        <v>0.96199260274761833</v>
      </c>
    </row>
    <row r="217" spans="1:109" x14ac:dyDescent="0.25">
      <c r="A217" s="4" t="s" vm="227">
        <v>504</v>
      </c>
      <c r="B217" s="4" t="s" vm="9851">
        <v>505</v>
      </c>
      <c r="C217" s="121" vm="18863">
        <v>45016</v>
      </c>
      <c r="D217" s="68">
        <f>IFERROR( VfM_Metrics_2023_Entity[[#This Row],[Reinvestment Spend]] / VfM_Metrics_2023_Entity[[#This Row],[Net Book Value of Housing Properties]], "n/a" )</f>
        <v>3.9185832960633368E-2</v>
      </c>
      <c r="E21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4118</v>
      </c>
      <c r="F217" s="84" vm="10008">
        <v>2693</v>
      </c>
      <c r="G217" s="84" vm="10724">
        <v>0</v>
      </c>
      <c r="H217" s="84" vm="10628">
        <v>1286</v>
      </c>
      <c r="I217" s="84" vm="10920">
        <v>139</v>
      </c>
      <c r="J217" s="84" vm="9877">
        <v>0</v>
      </c>
      <c r="K217" s="5">
        <f xml:space="preserve"> SUM( VfM_Metrics_2023_Entity[[#This Row],[Tangible fixed assets: Housing properties at cost (Current period)]],VfM_Metrics_2023_Entity[[#This Row],[Tangible fixed assets Housing properties at valuation (Current period)]] )</f>
        <v>105089</v>
      </c>
      <c r="L217" s="84" vm="10530">
        <v>105089</v>
      </c>
      <c r="M217" s="84" vm="10345">
        <v>0</v>
      </c>
      <c r="N217" s="134">
        <f xml:space="preserve"> IFERROR( VfM_Metrics_2023_Entity[[#This Row],[Total social units developed or newly built units acquired in-year]] / VfM_Metrics_2023_Entity[[#This Row],[Social housing units owned (period end)]], "n/a" )</f>
        <v>2.2915340547422024E-2</v>
      </c>
      <c r="O217" s="5">
        <f xml:space="preserve"> SUM( VfM_Metrics_2023_Entity[[#This Row],[Total social units developed or newly built units acquired in-year (owned)]], VfM_Metrics_2023_Entity[[#This Row],[Total social leasehold units developed or newly built units acquired in-year (owned)]] )</f>
        <v>36</v>
      </c>
      <c r="P217" s="84" vm="11038">
        <v>36</v>
      </c>
      <c r="Q217" s="84" vm="11167">
        <v>0</v>
      </c>
      <c r="R217" s="5">
        <f xml:space="preserve"> SUM( VfM_Metrics_2023_Entity[[#This Row],[Total social housing units owned (Period end)]], VfM_Metrics_2023_Entity[[#This Row],[Total social leasehold units owned (Period end)]] )</f>
        <v>1571</v>
      </c>
      <c r="S217" s="84" vm="11337">
        <v>1571</v>
      </c>
      <c r="T217" s="135" vm="11550">
        <v>0</v>
      </c>
      <c r="U217" s="136">
        <f xml:space="preserve"> IFERROR( VfM_Metrics_2023_Entity[[#This Row],[Total non-social housing units developed or newly built units acquired (owned)]] / VfM_Metrics_2023_Entity[[#This Row],[Total social and non-social housing units owned (Period end)]], "n/a" )</f>
        <v>0</v>
      </c>
      <c r="V21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17" s="84" vm="11646">
        <v>0</v>
      </c>
      <c r="X217" s="84" vm="11903">
        <v>0</v>
      </c>
      <c r="Y217" s="84" vm="11945">
        <v>0</v>
      </c>
      <c r="Z21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1571</v>
      </c>
      <c r="AA217" s="84" vm="12011">
        <v>1571</v>
      </c>
      <c r="AB217" s="84" vm="12218">
        <v>0</v>
      </c>
      <c r="AC217" s="84" vm="12162">
        <v>0</v>
      </c>
      <c r="AD217" s="135" vm="12314">
        <v>0</v>
      </c>
      <c r="AE217" s="134">
        <f xml:space="preserve"> IFERROR( VfM_Metrics_2023_Entity[[#This Row],[Total Net Debt]] / VfM_Metrics_2023_Entity[[#This Row],[Net Book Value of Housing Properties2]], "n/a" )</f>
        <v>0.57230537924996905</v>
      </c>
      <c r="AF21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60143</v>
      </c>
      <c r="AG217" s="84" vm="12652">
        <v>58</v>
      </c>
      <c r="AH217" s="84" vm="12886">
        <v>64449</v>
      </c>
      <c r="AI217" s="84" vm="12965">
        <v>4364</v>
      </c>
      <c r="AJ217" s="84" vm="13059">
        <v>0</v>
      </c>
      <c r="AK217" s="84" vm="13150">
        <v>0</v>
      </c>
      <c r="AL217" s="5">
        <f xml:space="preserve"> SUM( VfM_Metrics_2023_Entity[[#This Row],[Tangible fixed assets: Housing properties at cost (Current period)2]], VfM_Metrics_2023_Entity[[#This Row],[Tangible fixed assets Housing properties at valuation (Current period)2]] )</f>
        <v>105089</v>
      </c>
      <c r="AM217" s="84" vm="10029">
        <v>105089</v>
      </c>
      <c r="AN217" s="135" vm="13411">
        <v>0</v>
      </c>
      <c r="AO217" s="137">
        <f xml:space="preserve"> IFERROR( VfM_Metrics_2023_Entity[[#This Row],[EBITDA MRI]] / VfM_Metrics_2023_Entity[[#This Row],[Total interest]], "n/a" )</f>
        <v>1.1783737760749255</v>
      </c>
      <c r="AP21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2768</v>
      </c>
      <c r="AQ217" s="84" vm="13559">
        <v>2794</v>
      </c>
      <c r="AR217" s="84" vm="14365">
        <v>89</v>
      </c>
      <c r="AS217" s="84" vm="14612">
        <v>0</v>
      </c>
      <c r="AT217" s="84" vm="14856">
        <v>504</v>
      </c>
      <c r="AU217" s="84" vm="15100">
        <v>0</v>
      </c>
      <c r="AV217" s="84" vm="13871">
        <v>9</v>
      </c>
      <c r="AW217" s="84" vm="14123">
        <v>1286</v>
      </c>
      <c r="AX217" s="84" vm="14366">
        <v>1844</v>
      </c>
      <c r="AY217" s="5">
        <f xml:space="preserve"> - SUM( VfM_Metrics_2023_Entity[[#This Row],[Interest capitalised]], VfM_Metrics_2023_Entity[[#This Row],[Interest payable and financing costs]] )</f>
        <v>2349</v>
      </c>
      <c r="AZ217" s="84" vm="15237">
        <v>-139</v>
      </c>
      <c r="BA217" s="135" vm="15406">
        <v>-2210</v>
      </c>
      <c r="BB217" s="138">
        <f xml:space="preserve"> IFERROR( ( VfM_Metrics_2023_Entity[[#This Row],[Total Costs]] / VfM_Metrics_2023_Entity[[#This Row],[Total units for costs]] ) * 1000, "n/a" )</f>
        <v>4173.5330836454432</v>
      </c>
      <c r="BC21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6686</v>
      </c>
      <c r="BD217" s="84" vm="15589">
        <v>1638</v>
      </c>
      <c r="BE217" s="84" vm="16972">
        <v>1389</v>
      </c>
      <c r="BF217" s="84" vm="17195">
        <v>1652</v>
      </c>
      <c r="BG217" s="84" vm="17427">
        <v>621</v>
      </c>
      <c r="BH217" s="84" vm="16320">
        <v>0</v>
      </c>
      <c r="BI217" s="84" vm="16564">
        <v>0</v>
      </c>
      <c r="BJ217" s="84" vm="14123">
        <v>1286</v>
      </c>
      <c r="BK217" s="84" vm="16973">
        <v>100</v>
      </c>
      <c r="BL217" s="84" vm="17428">
        <v>0</v>
      </c>
      <c r="BM217" s="84" vm="16321">
        <v>0</v>
      </c>
      <c r="BN217" s="84" vm="16565">
        <v>0</v>
      </c>
      <c r="BO217" s="84" vm="17196">
        <v>0</v>
      </c>
      <c r="BP217" s="5" vm="17819">
        <f xml:space="preserve"> VfM_Metrics_2023_Entity[[#This Row],[Total social housing units owned and/or managed at period end]]</f>
        <v>1602</v>
      </c>
      <c r="BQ217" s="135" vm="17819">
        <v>1602</v>
      </c>
      <c r="BR217" s="134">
        <f xml:space="preserve"> IFERROR( VfM_Metrics_2023_Entity[[#This Row],[SHL operating surplus / (deficit)]] / VfM_Metrics_2023_Entity[[#This Row],[Turnover from social housing lettings]], "n/a" )</f>
        <v>0.27018255578093309</v>
      </c>
      <c r="BS217" s="5" vm="17978">
        <f xml:space="preserve"> VfM_Metrics_2023_Entity[[#This Row],[Operating surplus/(deficit) (social housing lettings)]]</f>
        <v>2664</v>
      </c>
      <c r="BT217" s="84" vm="17978">
        <v>2664</v>
      </c>
      <c r="BU217" s="5" vm="18153">
        <f xml:space="preserve"> VfM_Metrics_2023_Entity[[#This Row],[Turnover from social housing lettings]]</f>
        <v>9860</v>
      </c>
      <c r="BV217" s="135" vm="18153">
        <v>9860</v>
      </c>
      <c r="BW217" s="134">
        <f xml:space="preserve"> IFERROR( VfM_Metrics_2023_Entity[[#This Row],[Net operating surplus]] / VfM_Metrics_2023_Entity[[#This Row],[Overall turnover]], "n/a" )</f>
        <v>0.26308111262400313</v>
      </c>
      <c r="BX217" s="5">
        <f xml:space="preserve"> SUM( VfM_Metrics_2023_Entity[[#This Row],[Operating surplus/(deficit) (overall)2]], - VfM_Metrics_2023_Entity[[#This Row],[Gain/(loss) on disposal of fixed assets (housing properties)2]], - VfM_Metrics_2023_Entity[[#This Row],[Gain/(loss) on disposal of fixed assets (other)2]] )</f>
        <v>2705</v>
      </c>
      <c r="BY217" s="84" vm="13559">
        <v>2794</v>
      </c>
      <c r="BZ217" s="84" vm="14365">
        <v>89</v>
      </c>
      <c r="CA217" s="84" vm="14612">
        <v>0</v>
      </c>
      <c r="CB217" s="5" vm="18315">
        <f xml:space="preserve"> VfM_Metrics_2023_Entity[[#This Row],[Turnover (overall)]]</f>
        <v>10282</v>
      </c>
      <c r="CC217" s="135" vm="18315">
        <v>10282</v>
      </c>
      <c r="CD217" s="134">
        <f xml:space="preserve"> IFERROR( VfM_Metrics_2023_Entity[[#This Row],[Operating surplus including from JVs]] / VfM_Metrics_2023_Entity[[#This Row],[Net assets]], "n/a" )</f>
        <v>2.6137554258344558E-2</v>
      </c>
      <c r="CE217" s="5">
        <f xml:space="preserve"> SUM( VfM_Metrics_2023_Entity[[#This Row],[Operating surplus/(deficit) (overall)3]], VfM_Metrics_2023_Entity[[#This Row],[Share of operating surplus/(deficit) in joint ventures or associates]] )</f>
        <v>2794</v>
      </c>
      <c r="CF217" s="84" vm="18230">
        <v>2794</v>
      </c>
      <c r="CG217" s="84" vm="18507">
        <v>0</v>
      </c>
      <c r="CH217" s="5" vm="18703">
        <f xml:space="preserve"> VfM_Metrics_2023_Entity[[#This Row],[Total assets less current liabilities]]</f>
        <v>106896</v>
      </c>
      <c r="CI217" s="135" vm="18703">
        <v>106896</v>
      </c>
      <c r="CJ217" s="140" vm="11337">
        <f xml:space="preserve"> VfM_Metrics_2023_Entity[[#This Row],[Total social housing units owned (Period end)]]</f>
        <v>1571</v>
      </c>
      <c r="CK217" s="141">
        <v>6.4208518753973293E-2</v>
      </c>
      <c r="CL217" s="69">
        <f xml:space="preserve"> -- ( VfM_Metrics_2023_Entity[[#This Row],[% Supported housing (excl. HOP)]] &gt; 0.3 )</f>
        <v>0</v>
      </c>
      <c r="CM217" s="9">
        <v>5.8486967577876671E-2</v>
      </c>
      <c r="CN217" s="69">
        <f xml:space="preserve"> -- ( VfM_Metrics_2023_Entity[[#This Row],[% Housing for older people]] &gt; 0.3 )</f>
        <v>0</v>
      </c>
      <c r="CO217" s="9">
        <f xml:space="preserve"> VfM_Metrics_2023_Entity[[#This Row],[% Supported housing (excl. HOP)]] + VfM_Metrics_2023_Entity[[#This Row],[% Housing for older people]]</f>
        <v>0.12269548633184996</v>
      </c>
      <c r="CP217" s="69">
        <f xml:space="preserve"> -- ( VfM_Metrics_2023_Entity[[#This Row],[SH specialist in RSH analysis]] + VfM_Metrics_2023_Entity[[#This Row],[OP specialist in RSH analysis]] &gt; 0 )</f>
        <v>0</v>
      </c>
      <c r="CQ217" s="142">
        <f xml:space="preserve"> -- ( VfM_Metrics_2023_Entity[[#This Row],[% SH and OP]] &gt; 0.3 )</f>
        <v>0</v>
      </c>
      <c r="CR217" s="143" t="s">
        <v>143</v>
      </c>
      <c r="CS217" s="120"/>
      <c r="CT217" s="144" t="s">
        <v>144</v>
      </c>
      <c r="CU21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Midlands</v>
      </c>
      <c r="CV217" s="146">
        <v>0</v>
      </c>
      <c r="CW217" s="146">
        <v>0</v>
      </c>
      <c r="CX217" s="146">
        <v>0</v>
      </c>
      <c r="CY217" s="146">
        <v>0.97772119669000634</v>
      </c>
      <c r="CZ217" s="146">
        <v>2.2278803309993635E-2</v>
      </c>
      <c r="DA217" s="146">
        <v>0</v>
      </c>
      <c r="DB217" s="146">
        <v>0</v>
      </c>
      <c r="DC217" s="146">
        <v>0</v>
      </c>
      <c r="DD217" s="146">
        <v>0</v>
      </c>
      <c r="DE217" s="126">
        <v>0.94283013232435187</v>
      </c>
    </row>
    <row r="218" spans="1:109" x14ac:dyDescent="0.25">
      <c r="A218" s="4" t="s" vm="333">
        <v>506</v>
      </c>
      <c r="B218" s="4" t="s" vm="9845">
        <v>507</v>
      </c>
      <c r="C218" s="121" vm="18840">
        <v>45016</v>
      </c>
      <c r="D218" s="68">
        <f>IFERROR( VfM_Metrics_2023_Entity[[#This Row],[Reinvestment Spend]] / VfM_Metrics_2023_Entity[[#This Row],[Net Book Value of Housing Properties]], "n/a" )</f>
        <v>0.11012773623606785</v>
      </c>
      <c r="E21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20295</v>
      </c>
      <c r="F218" s="84" vm="10704">
        <v>16402</v>
      </c>
      <c r="G218" s="84" vm="10191">
        <v>0</v>
      </c>
      <c r="H218" s="84" vm="10456">
        <v>3371</v>
      </c>
      <c r="I218" s="84" vm="10891">
        <v>522</v>
      </c>
      <c r="J218" s="84" vm="9820">
        <v>0</v>
      </c>
      <c r="K218" s="5">
        <f xml:space="preserve"> SUM( VfM_Metrics_2023_Entity[[#This Row],[Tangible fixed assets: Housing properties at cost (Current period)]],VfM_Metrics_2023_Entity[[#This Row],[Tangible fixed assets Housing properties at valuation (Current period)]] )</f>
        <v>184286</v>
      </c>
      <c r="L218" s="84" vm="10458">
        <v>184286</v>
      </c>
      <c r="M218" s="84" vm="10142">
        <v>0</v>
      </c>
      <c r="N218" s="134">
        <f xml:space="preserve"> IFERROR( VfM_Metrics_2023_Entity[[#This Row],[Total social units developed or newly built units acquired in-year]] / VfM_Metrics_2023_Entity[[#This Row],[Social housing units owned (period end)]], "n/a" )</f>
        <v>2.2530723714155668E-2</v>
      </c>
      <c r="O218" s="5">
        <f xml:space="preserve"> SUM( VfM_Metrics_2023_Entity[[#This Row],[Total social units developed or newly built units acquired in-year (owned)]], VfM_Metrics_2023_Entity[[#This Row],[Total social leasehold units developed or newly built units acquired in-year (owned)]] )</f>
        <v>99</v>
      </c>
      <c r="P218" s="84" vm="11059">
        <v>99</v>
      </c>
      <c r="Q218" s="84" vm="11182">
        <v>0</v>
      </c>
      <c r="R218" s="5">
        <f xml:space="preserve"> SUM( VfM_Metrics_2023_Entity[[#This Row],[Total social housing units owned (Period end)]], VfM_Metrics_2023_Entity[[#This Row],[Total social leasehold units owned (Period end)]] )</f>
        <v>4394</v>
      </c>
      <c r="S218" s="84" vm="11370">
        <v>4394</v>
      </c>
      <c r="T218" s="135" vm="11543">
        <v>0</v>
      </c>
      <c r="U218" s="136">
        <f xml:space="preserve"> IFERROR( VfM_Metrics_2023_Entity[[#This Row],[Total non-social housing units developed or newly built units acquired (owned)]] / VfM_Metrics_2023_Entity[[#This Row],[Total social and non-social housing units owned (Period end)]], "n/a" )</f>
        <v>0</v>
      </c>
      <c r="V21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18" s="84" vm="11661">
        <v>0</v>
      </c>
      <c r="X218" s="84" vm="11753">
        <v>0</v>
      </c>
      <c r="Y218" s="84" vm="11776">
        <v>0</v>
      </c>
      <c r="Z21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4440</v>
      </c>
      <c r="AA218" s="84" vm="11370">
        <v>4394</v>
      </c>
      <c r="AB218" s="84" vm="12465">
        <v>0</v>
      </c>
      <c r="AC218" s="84" vm="12408">
        <v>2</v>
      </c>
      <c r="AD218" s="135" vm="12541">
        <v>44</v>
      </c>
      <c r="AE218" s="134">
        <f xml:space="preserve"> IFERROR( VfM_Metrics_2023_Entity[[#This Row],[Total Net Debt]] / VfM_Metrics_2023_Entity[[#This Row],[Net Book Value of Housing Properties2]], "n/a" )</f>
        <v>0.67191756291850713</v>
      </c>
      <c r="AF21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123825</v>
      </c>
      <c r="AG218" s="84" vm="12681">
        <v>10850</v>
      </c>
      <c r="AH218" s="84" vm="12816">
        <v>136741</v>
      </c>
      <c r="AI218" s="84" vm="13258">
        <v>23766</v>
      </c>
      <c r="AJ218" s="84" vm="13259">
        <v>0</v>
      </c>
      <c r="AK218" s="84" vm="12924">
        <v>0</v>
      </c>
      <c r="AL218" s="5">
        <f xml:space="preserve"> SUM( VfM_Metrics_2023_Entity[[#This Row],[Tangible fixed assets: Housing properties at cost (Current period)2]], VfM_Metrics_2023_Entity[[#This Row],[Tangible fixed assets Housing properties at valuation (Current period)2]] )</f>
        <v>184286</v>
      </c>
      <c r="AM218" s="84" vm="9969">
        <v>184286</v>
      </c>
      <c r="AN218" s="135" vm="10142">
        <v>0</v>
      </c>
      <c r="AO218" s="137">
        <f xml:space="preserve"> IFERROR( VfM_Metrics_2023_Entity[[#This Row],[EBITDA MRI]] / VfM_Metrics_2023_Entity[[#This Row],[Total interest]], "n/a" )</f>
        <v>1.5765400221320547</v>
      </c>
      <c r="AP21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8548</v>
      </c>
      <c r="AQ218" s="84" vm="13590">
        <v>6620</v>
      </c>
      <c r="AR218" s="84" vm="14613">
        <v>848</v>
      </c>
      <c r="AS218" s="84" vm="14857">
        <v>18</v>
      </c>
      <c r="AT218" s="84" vm="15101">
        <v>238</v>
      </c>
      <c r="AU218" s="84" vm="13872">
        <v>30</v>
      </c>
      <c r="AV218" s="84" vm="14124">
        <v>915</v>
      </c>
      <c r="AW218" s="84" vm="14367">
        <v>3371</v>
      </c>
      <c r="AX218" s="84" vm="14614">
        <v>5518</v>
      </c>
      <c r="AY218" s="5">
        <f xml:space="preserve"> - SUM( VfM_Metrics_2023_Entity[[#This Row],[Interest capitalised]], VfM_Metrics_2023_Entity[[#This Row],[Interest payable and financing costs]] )</f>
        <v>5422</v>
      </c>
      <c r="AZ218" s="84" vm="15264">
        <v>-522</v>
      </c>
      <c r="BA218" s="135" vm="15440">
        <v>-4900</v>
      </c>
      <c r="BB218" s="138">
        <f xml:space="preserve"> IFERROR( ( VfM_Metrics_2023_Entity[[#This Row],[Total Costs]] / VfM_Metrics_2023_Entity[[#This Row],[Total units for costs]] ) * 1000, "n/a" )</f>
        <v>4011.834319526627</v>
      </c>
      <c r="BC21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17628</v>
      </c>
      <c r="BD218" s="84" vm="16762">
        <v>5094</v>
      </c>
      <c r="BE218" s="84" vm="16974">
        <v>1031</v>
      </c>
      <c r="BF218" s="84" vm="17197">
        <v>4563</v>
      </c>
      <c r="BG218" s="84" vm="17429">
        <v>2081</v>
      </c>
      <c r="BH218" s="84" vm="16322">
        <v>1173</v>
      </c>
      <c r="BI218" s="84" vm="16566">
        <v>0</v>
      </c>
      <c r="BJ218" s="84" vm="14367">
        <v>3371</v>
      </c>
      <c r="BK218" s="84" vm="16975">
        <v>11</v>
      </c>
      <c r="BL218" s="84" vm="17430">
        <v>0</v>
      </c>
      <c r="BM218" s="84" vm="16323">
        <v>0</v>
      </c>
      <c r="BN218" s="84" vm="16567">
        <v>304</v>
      </c>
      <c r="BO218" s="84" vm="17197">
        <v>0</v>
      </c>
      <c r="BP218" s="5" vm="17721">
        <f xml:space="preserve"> VfM_Metrics_2023_Entity[[#This Row],[Total social housing units owned and/or managed at period end]]</f>
        <v>4394</v>
      </c>
      <c r="BQ218" s="135" vm="17721">
        <v>4394</v>
      </c>
      <c r="BR218" s="134">
        <f xml:space="preserve"> IFERROR( VfM_Metrics_2023_Entity[[#This Row],[SHL operating surplus / (deficit)]] / VfM_Metrics_2023_Entity[[#This Row],[Turnover from social housing lettings]], "n/a" )</f>
        <v>0.18476804555350862</v>
      </c>
      <c r="BS218" s="5" vm="18006">
        <f xml:space="preserve"> VfM_Metrics_2023_Entity[[#This Row],[Operating surplus/(deficit) (social housing lettings)]]</f>
        <v>4413</v>
      </c>
      <c r="BT218" s="84" vm="18006">
        <v>4413</v>
      </c>
      <c r="BU218" s="5" vm="18190">
        <f xml:space="preserve"> VfM_Metrics_2023_Entity[[#This Row],[Turnover from social housing lettings]]</f>
        <v>23884</v>
      </c>
      <c r="BV218" s="135" vm="18190">
        <v>23884</v>
      </c>
      <c r="BW218" s="134">
        <f xml:space="preserve"> IFERROR( VfM_Metrics_2023_Entity[[#This Row],[Net operating surplus]] / VfM_Metrics_2023_Entity[[#This Row],[Overall turnover]], "n/a" )</f>
        <v>0.20173193563089437</v>
      </c>
      <c r="BX218" s="5">
        <f xml:space="preserve"> SUM( VfM_Metrics_2023_Entity[[#This Row],[Operating surplus/(deficit) (overall)2]], - VfM_Metrics_2023_Entity[[#This Row],[Gain/(loss) on disposal of fixed assets (housing properties)2]], - VfM_Metrics_2023_Entity[[#This Row],[Gain/(loss) on disposal of fixed assets (other)2]] )</f>
        <v>5754</v>
      </c>
      <c r="BY218" s="84" vm="13590">
        <v>6620</v>
      </c>
      <c r="BZ218" s="84" vm="14613">
        <v>848</v>
      </c>
      <c r="CA218" s="84" vm="14857">
        <v>18</v>
      </c>
      <c r="CB218" s="5" vm="18361">
        <f xml:space="preserve"> VfM_Metrics_2023_Entity[[#This Row],[Turnover (overall)]]</f>
        <v>28523</v>
      </c>
      <c r="CC218" s="135" vm="18361">
        <v>28523</v>
      </c>
      <c r="CD218" s="134">
        <f xml:space="preserve"> IFERROR( VfM_Metrics_2023_Entity[[#This Row],[Operating surplus including from JVs]] / VfM_Metrics_2023_Entity[[#This Row],[Net assets]], "n/a" )</f>
        <v>3.0358338454201099E-2</v>
      </c>
      <c r="CE218" s="5">
        <f xml:space="preserve"> SUM( VfM_Metrics_2023_Entity[[#This Row],[Operating surplus/(deficit) (overall)3]], VfM_Metrics_2023_Entity[[#This Row],[Share of operating surplus/(deficit) in joint ventures or associates]] )</f>
        <v>6620</v>
      </c>
      <c r="CF218" s="84" vm="13590">
        <v>6620</v>
      </c>
      <c r="CG218" s="84" vm="18525">
        <v>0</v>
      </c>
      <c r="CH218" s="5" vm="18731">
        <f xml:space="preserve"> VfM_Metrics_2023_Entity[[#This Row],[Total assets less current liabilities]]</f>
        <v>218062</v>
      </c>
      <c r="CI218" s="135" vm="18731">
        <v>218062</v>
      </c>
      <c r="CJ218" s="140" vm="11370">
        <f xml:space="preserve"> VfM_Metrics_2023_Entity[[#This Row],[Total social housing units owned (Period end)]]</f>
        <v>4394</v>
      </c>
      <c r="CK218" s="141">
        <v>0</v>
      </c>
      <c r="CL218" s="69">
        <f xml:space="preserve"> -- ( VfM_Metrics_2023_Entity[[#This Row],[% Supported housing (excl. HOP)]] &gt; 0.3 )</f>
        <v>0</v>
      </c>
      <c r="CM218" s="9">
        <v>0.13628034814475493</v>
      </c>
      <c r="CN218" s="69">
        <f xml:space="preserve"> -- ( VfM_Metrics_2023_Entity[[#This Row],[% Housing for older people]] &gt; 0.3 )</f>
        <v>0</v>
      </c>
      <c r="CO218" s="9">
        <f xml:space="preserve"> VfM_Metrics_2023_Entity[[#This Row],[% Supported housing (excl. HOP)]] + VfM_Metrics_2023_Entity[[#This Row],[% Housing for older people]]</f>
        <v>0.13628034814475493</v>
      </c>
      <c r="CP218" s="69">
        <f xml:space="preserve"> -- ( VfM_Metrics_2023_Entity[[#This Row],[SH specialist in RSH analysis]] + VfM_Metrics_2023_Entity[[#This Row],[OP specialist in RSH analysis]] &gt; 0 )</f>
        <v>0</v>
      </c>
      <c r="CQ218" s="142">
        <f xml:space="preserve"> -- ( VfM_Metrics_2023_Entity[[#This Row],[% SH and OP]] &gt; 0.3 )</f>
        <v>0</v>
      </c>
      <c r="CR218" s="143" t="s">
        <v>143</v>
      </c>
      <c r="CS218" s="120"/>
      <c r="CT218" s="144" t="s">
        <v>151</v>
      </c>
      <c r="CU21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218" s="146">
        <v>0</v>
      </c>
      <c r="CW218" s="146">
        <v>0</v>
      </c>
      <c r="CX218" s="146">
        <v>0.99248975876194812</v>
      </c>
      <c r="CY218" s="146">
        <v>0</v>
      </c>
      <c r="CZ218" s="146">
        <v>7.5102412380518889E-3</v>
      </c>
      <c r="DA218" s="146">
        <v>0</v>
      </c>
      <c r="DB218" s="146">
        <v>0</v>
      </c>
      <c r="DC218" s="146">
        <v>0</v>
      </c>
      <c r="DD218" s="146">
        <v>0</v>
      </c>
      <c r="DE218" s="126">
        <v>0.97503995412028976</v>
      </c>
    </row>
    <row r="219" spans="1:109" x14ac:dyDescent="0.25">
      <c r="A219" s="4" t="s" vm="229">
        <v>508</v>
      </c>
      <c r="B219" s="4" t="s" vm="9853">
        <v>509</v>
      </c>
      <c r="C219" s="121" vm="18888">
        <v>45016</v>
      </c>
      <c r="D219" s="68">
        <f>IFERROR( VfM_Metrics_2023_Entity[[#This Row],[Reinvestment Spend]] / VfM_Metrics_2023_Entity[[#This Row],[Net Book Value of Housing Properties]], "n/a" )</f>
        <v>1.8357877748638288E-2</v>
      </c>
      <c r="E21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1365</v>
      </c>
      <c r="F219" s="84" vm="10672">
        <v>525</v>
      </c>
      <c r="G219" s="84" vm="10943">
        <v>0</v>
      </c>
      <c r="H219" s="84" vm="9542">
        <v>840</v>
      </c>
      <c r="I219" s="84" vm="10337">
        <v>0</v>
      </c>
      <c r="J219" s="84" vm="10049">
        <v>0</v>
      </c>
      <c r="K219" s="5">
        <f xml:space="preserve"> SUM( VfM_Metrics_2023_Entity[[#This Row],[Tangible fixed assets: Housing properties at cost (Current period)]],VfM_Metrics_2023_Entity[[#This Row],[Tangible fixed assets Housing properties at valuation (Current period)]] )</f>
        <v>74355</v>
      </c>
      <c r="L219" s="84" vm="10555">
        <v>74355</v>
      </c>
      <c r="M219" s="84">
        <v>0</v>
      </c>
      <c r="N219" s="134">
        <f xml:space="preserve"> IFERROR( VfM_Metrics_2023_Entity[[#This Row],[Total social units developed or newly built units acquired in-year]] / VfM_Metrics_2023_Entity[[#This Row],[Social housing units owned (period end)]], "n/a" )</f>
        <v>1.0783608914450037E-2</v>
      </c>
      <c r="O219" s="5">
        <f xml:space="preserve"> SUM( VfM_Metrics_2023_Entity[[#This Row],[Total social units developed or newly built units acquired in-year (owned)]], VfM_Metrics_2023_Entity[[#This Row],[Total social leasehold units developed or newly built units acquired in-year (owned)]] )</f>
        <v>15</v>
      </c>
      <c r="P219" s="84" vm="11078">
        <v>15</v>
      </c>
      <c r="Q219" s="84">
        <v>0</v>
      </c>
      <c r="R219" s="5">
        <f xml:space="preserve"> SUM( VfM_Metrics_2023_Entity[[#This Row],[Total social housing units owned (Period end)]], VfM_Metrics_2023_Entity[[#This Row],[Total social leasehold units owned (Period end)]] )</f>
        <v>1391</v>
      </c>
      <c r="S219" s="84" vm="11390">
        <v>1385</v>
      </c>
      <c r="T219" s="135" vm="11509">
        <v>6</v>
      </c>
      <c r="U219" s="136">
        <f xml:space="preserve"> IFERROR( VfM_Metrics_2023_Entity[[#This Row],[Total non-social housing units developed or newly built units acquired (owned)]] / VfM_Metrics_2023_Entity[[#This Row],[Total social and non-social housing units owned (Period end)]], "n/a" )</f>
        <v>0</v>
      </c>
      <c r="V21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19" s="84">
        <v>0</v>
      </c>
      <c r="X219" s="84">
        <v>0</v>
      </c>
      <c r="Y219" s="84">
        <v>0</v>
      </c>
      <c r="Z21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1391</v>
      </c>
      <c r="AA219" s="84" vm="12057">
        <v>1385</v>
      </c>
      <c r="AB219" s="84" vm="12219">
        <v>6</v>
      </c>
      <c r="AC219" s="84" vm="12163">
        <v>0</v>
      </c>
      <c r="AD219" s="135" vm="12315">
        <v>0</v>
      </c>
      <c r="AE219" s="134">
        <f xml:space="preserve"> IFERROR( VfM_Metrics_2023_Entity[[#This Row],[Total Net Debt]] / VfM_Metrics_2023_Entity[[#This Row],[Net Book Value of Housing Properties2]], "n/a" )</f>
        <v>0.20929325532916415</v>
      </c>
      <c r="AF21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15562</v>
      </c>
      <c r="AG219" s="84" vm="12700">
        <v>1003</v>
      </c>
      <c r="AH219" s="84" vm="13004">
        <v>15619</v>
      </c>
      <c r="AI219" s="84" vm="13089">
        <v>1060</v>
      </c>
      <c r="AJ219" s="84">
        <v>0</v>
      </c>
      <c r="AK219" s="84">
        <v>0</v>
      </c>
      <c r="AL219" s="5">
        <f xml:space="preserve"> SUM( VfM_Metrics_2023_Entity[[#This Row],[Tangible fixed assets: Housing properties at cost (Current period)2]], VfM_Metrics_2023_Entity[[#This Row],[Tangible fixed assets Housing properties at valuation (Current period)2]] )</f>
        <v>74355</v>
      </c>
      <c r="AM219" s="84" vm="13394">
        <v>74355</v>
      </c>
      <c r="AN219" s="135">
        <v>0</v>
      </c>
      <c r="AO219" s="137">
        <f xml:space="preserve"> IFERROR( VfM_Metrics_2023_Entity[[#This Row],[EBITDA MRI]] / VfM_Metrics_2023_Entity[[#This Row],[Total interest]], "n/a" )</f>
        <v>2.5053619302949062</v>
      </c>
      <c r="AP21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1869</v>
      </c>
      <c r="AQ219" s="84" vm="13625">
        <v>1360</v>
      </c>
      <c r="AR219" s="84" vm="14858">
        <v>48</v>
      </c>
      <c r="AS219" s="84">
        <v>0</v>
      </c>
      <c r="AT219" s="84" vm="13873">
        <v>941</v>
      </c>
      <c r="AU219" s="84" vm="14125">
        <v>0</v>
      </c>
      <c r="AV219" s="84" vm="14368">
        <v>96</v>
      </c>
      <c r="AW219" s="84" vm="14615">
        <v>840</v>
      </c>
      <c r="AX219" s="84" vm="14859">
        <v>2242</v>
      </c>
      <c r="AY219" s="5">
        <f xml:space="preserve"> - SUM( VfM_Metrics_2023_Entity[[#This Row],[Interest capitalised]], VfM_Metrics_2023_Entity[[#This Row],[Interest payable and financing costs]] )</f>
        <v>746</v>
      </c>
      <c r="AZ219" s="84" vm="15303">
        <v>0</v>
      </c>
      <c r="BA219" s="135" vm="15474">
        <v>-746</v>
      </c>
      <c r="BB219" s="138">
        <f xml:space="preserve"> IFERROR( ( VfM_Metrics_2023_Entity[[#This Row],[Total Costs]] / VfM_Metrics_2023_Entity[[#This Row],[Total units for costs]] ) * 1000, "n/a" )</f>
        <v>3963.176895306859</v>
      </c>
      <c r="BC21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5489</v>
      </c>
      <c r="BD219" s="84" vm="16763">
        <v>2424</v>
      </c>
      <c r="BE219" s="84" vm="16976">
        <v>418</v>
      </c>
      <c r="BF219" s="84" vm="17198">
        <v>905</v>
      </c>
      <c r="BG219" s="84" vm="17431">
        <v>553</v>
      </c>
      <c r="BH219" s="84" vm="16325">
        <v>121</v>
      </c>
      <c r="BI219" s="84" vm="16568">
        <v>0</v>
      </c>
      <c r="BJ219" s="84" vm="14615">
        <v>840</v>
      </c>
      <c r="BK219" s="84" vm="16977">
        <v>42</v>
      </c>
      <c r="BL219" s="84" vm="17432">
        <v>74</v>
      </c>
      <c r="BM219" s="84" vm="16327">
        <v>112</v>
      </c>
      <c r="BN219" s="84">
        <v>0</v>
      </c>
      <c r="BO219" s="84">
        <v>0</v>
      </c>
      <c r="BP219" s="5" vm="17755">
        <f xml:space="preserve"> VfM_Metrics_2023_Entity[[#This Row],[Total social housing units owned and/or managed at period end]]</f>
        <v>1385</v>
      </c>
      <c r="BQ219" s="135" vm="17755">
        <v>1385</v>
      </c>
      <c r="BR219" s="134">
        <f xml:space="preserve"> IFERROR( VfM_Metrics_2023_Entity[[#This Row],[SHL operating surplus / (deficit)]] / VfM_Metrics_2023_Entity[[#This Row],[Turnover from social housing lettings]], "n/a" )</f>
        <v>0.16843551005119242</v>
      </c>
      <c r="BS219" s="5" vm="18036">
        <f xml:space="preserve"> VfM_Metrics_2023_Entity[[#This Row],[Operating surplus/(deficit) (social housing lettings)]]</f>
        <v>1349</v>
      </c>
      <c r="BT219" s="84" vm="18036">
        <v>1349</v>
      </c>
      <c r="BU219" s="5" vm="18207">
        <f xml:space="preserve"> VfM_Metrics_2023_Entity[[#This Row],[Turnover from social housing lettings]]</f>
        <v>8009</v>
      </c>
      <c r="BV219" s="135" vm="18207">
        <v>8009</v>
      </c>
      <c r="BW219" s="134">
        <f xml:space="preserve"> IFERROR( VfM_Metrics_2023_Entity[[#This Row],[Net operating surplus]] / VfM_Metrics_2023_Entity[[#This Row],[Overall turnover]], "n/a" )</f>
        <v>0.16082373130669281</v>
      </c>
      <c r="BX219" s="5">
        <f xml:space="preserve"> SUM( VfM_Metrics_2023_Entity[[#This Row],[Operating surplus/(deficit) (overall)2]], - VfM_Metrics_2023_Entity[[#This Row],[Gain/(loss) on disposal of fixed assets (housing properties)2]], - VfM_Metrics_2023_Entity[[#This Row],[Gain/(loss) on disposal of fixed assets (other)2]] )</f>
        <v>1312</v>
      </c>
      <c r="BY219" s="84" vm="13625">
        <v>1360</v>
      </c>
      <c r="BZ219" s="84" vm="14858">
        <v>48</v>
      </c>
      <c r="CA219" s="84">
        <v>0</v>
      </c>
      <c r="CB219" s="5" vm="18386">
        <f xml:space="preserve"> VfM_Metrics_2023_Entity[[#This Row],[Turnover (overall)]]</f>
        <v>8158</v>
      </c>
      <c r="CC219" s="135" vm="18386">
        <v>8158</v>
      </c>
      <c r="CD219" s="134">
        <f xml:space="preserve"> IFERROR( VfM_Metrics_2023_Entity[[#This Row],[Operating surplus including from JVs]] / VfM_Metrics_2023_Entity[[#This Row],[Net assets]], "n/a" )</f>
        <v>1.8452938223361963E-2</v>
      </c>
      <c r="CE219" s="5">
        <f xml:space="preserve"> SUM( VfM_Metrics_2023_Entity[[#This Row],[Operating surplus/(deficit) (overall)3]], VfM_Metrics_2023_Entity[[#This Row],[Share of operating surplus/(deficit) in joint ventures or associates]] )</f>
        <v>1360</v>
      </c>
      <c r="CF219" s="84" vm="13626">
        <v>1360</v>
      </c>
      <c r="CG219" s="84">
        <v>0</v>
      </c>
      <c r="CH219" s="5" vm="18754">
        <f xml:space="preserve"> VfM_Metrics_2023_Entity[[#This Row],[Total assets less current liabilities]]</f>
        <v>73701</v>
      </c>
      <c r="CI219" s="135" vm="18754">
        <v>73701</v>
      </c>
      <c r="CJ219" s="140" vm="11390">
        <f xml:space="preserve"> VfM_Metrics_2023_Entity[[#This Row],[Total social housing units owned (Period end)]]</f>
        <v>1385</v>
      </c>
      <c r="CK219" s="141">
        <v>1.3708513708513708E-2</v>
      </c>
      <c r="CL219" s="69">
        <f xml:space="preserve"> -- ( VfM_Metrics_2023_Entity[[#This Row],[% Supported housing (excl. HOP)]] &gt; 0.3 )</f>
        <v>0</v>
      </c>
      <c r="CM219" s="9">
        <v>0</v>
      </c>
      <c r="CN219" s="69">
        <f xml:space="preserve"> -- ( VfM_Metrics_2023_Entity[[#This Row],[% Housing for older people]] &gt; 0.3 )</f>
        <v>0</v>
      </c>
      <c r="CO219" s="9">
        <f xml:space="preserve"> VfM_Metrics_2023_Entity[[#This Row],[% Supported housing (excl. HOP)]] + VfM_Metrics_2023_Entity[[#This Row],[% Housing for older people]]</f>
        <v>1.3708513708513708E-2</v>
      </c>
      <c r="CP219" s="69">
        <f xml:space="preserve"> -- ( VfM_Metrics_2023_Entity[[#This Row],[SH specialist in RSH analysis]] + VfM_Metrics_2023_Entity[[#This Row],[OP specialist in RSH analysis]] &gt; 0 )</f>
        <v>0</v>
      </c>
      <c r="CQ219" s="142">
        <f xml:space="preserve"> -- ( VfM_Metrics_2023_Entity[[#This Row],[% SH and OP]] &gt; 0.3 )</f>
        <v>0</v>
      </c>
      <c r="CR219" s="143" t="s">
        <v>143</v>
      </c>
      <c r="CS219" s="120"/>
      <c r="CT219" s="144" t="s">
        <v>144</v>
      </c>
      <c r="CU21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219" s="146">
        <v>0</v>
      </c>
      <c r="CW219" s="146">
        <v>0</v>
      </c>
      <c r="CX219" s="146">
        <v>0</v>
      </c>
      <c r="CY219" s="146">
        <v>0</v>
      </c>
      <c r="CZ219" s="146">
        <v>0</v>
      </c>
      <c r="DA219" s="146">
        <v>0</v>
      </c>
      <c r="DB219" s="146">
        <v>0</v>
      </c>
      <c r="DC219" s="146">
        <v>0</v>
      </c>
      <c r="DD219" s="146">
        <v>1</v>
      </c>
      <c r="DE219" s="126">
        <v>0.94459121441814442</v>
      </c>
    </row>
    <row r="220" spans="1:109" x14ac:dyDescent="0.25">
      <c r="A220" s="4" t="s" vm="264">
        <v>510</v>
      </c>
      <c r="B220" s="4" t="s" vm="9875">
        <v>511</v>
      </c>
      <c r="C220" s="121" vm="18768">
        <v>45016</v>
      </c>
      <c r="D220" s="68">
        <f>IFERROR( VfM_Metrics_2023_Entity[[#This Row],[Reinvestment Spend]] / VfM_Metrics_2023_Entity[[#This Row],[Net Book Value of Housing Properties]], "n/a" )</f>
        <v>0.10148368664837343</v>
      </c>
      <c r="E22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287477</v>
      </c>
      <c r="F220" s="84" vm="10892">
        <v>237963</v>
      </c>
      <c r="G220" s="84" vm="10417">
        <v>0</v>
      </c>
      <c r="H220" s="84" vm="10873">
        <v>38843</v>
      </c>
      <c r="I220" s="84" vm="10695">
        <v>10671</v>
      </c>
      <c r="J220" s="84" vm="9847">
        <v>0</v>
      </c>
      <c r="K220" s="5">
        <f xml:space="preserve"> SUM( VfM_Metrics_2023_Entity[[#This Row],[Tangible fixed assets: Housing properties at cost (Current period)]],VfM_Metrics_2023_Entity[[#This Row],[Tangible fixed assets Housing properties at valuation (Current period)]] )</f>
        <v>2832741</v>
      </c>
      <c r="L220" s="84" vm="10351">
        <v>2832741</v>
      </c>
      <c r="M220" s="84">
        <v>0</v>
      </c>
      <c r="N220" s="134">
        <f xml:space="preserve"> IFERROR( VfM_Metrics_2023_Entity[[#This Row],[Total social units developed or newly built units acquired in-year]] / VfM_Metrics_2023_Entity[[#This Row],[Social housing units owned (period end)]], "n/a" )</f>
        <v>3.3052060803606786E-2</v>
      </c>
      <c r="O220" s="5">
        <f xml:space="preserve"> SUM( VfM_Metrics_2023_Entity[[#This Row],[Total social units developed or newly built units acquired in-year (owned)]], VfM_Metrics_2023_Entity[[#This Row],[Total social leasehold units developed or newly built units acquired in-year (owned)]] )</f>
        <v>1085</v>
      </c>
      <c r="P220" s="84" vm="11099">
        <v>1085</v>
      </c>
      <c r="Q220" s="84">
        <v>0</v>
      </c>
      <c r="R220" s="5">
        <f xml:space="preserve"> SUM( VfM_Metrics_2023_Entity[[#This Row],[Total social housing units owned (Period end)]], VfM_Metrics_2023_Entity[[#This Row],[Total social leasehold units owned (Period end)]] )</f>
        <v>32827</v>
      </c>
      <c r="S220" s="84" vm="11325">
        <v>31005</v>
      </c>
      <c r="T220" s="135" vm="11536">
        <v>1822</v>
      </c>
      <c r="U220" s="136">
        <f xml:space="preserve"> IFERROR( VfM_Metrics_2023_Entity[[#This Row],[Total non-social housing units developed or newly built units acquired (owned)]] / VfM_Metrics_2023_Entity[[#This Row],[Total social and non-social housing units owned (Period end)]], "n/a" )</f>
        <v>2.3766376518819998E-3</v>
      </c>
      <c r="V22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80</v>
      </c>
      <c r="W220" s="84">
        <v>0</v>
      </c>
      <c r="X220" s="84">
        <v>0</v>
      </c>
      <c r="Y220" s="84" vm="11947">
        <v>80</v>
      </c>
      <c r="Z22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33661</v>
      </c>
      <c r="AA220" s="84" vm="11325">
        <v>31005</v>
      </c>
      <c r="AB220" s="84" vm="12466">
        <v>1822</v>
      </c>
      <c r="AC220" s="84" vm="12409">
        <v>342</v>
      </c>
      <c r="AD220" s="135" vm="12542">
        <v>492</v>
      </c>
      <c r="AE220" s="134">
        <f xml:space="preserve"> IFERROR( VfM_Metrics_2023_Entity[[#This Row],[Total Net Debt]] / VfM_Metrics_2023_Entity[[#This Row],[Net Book Value of Housing Properties2]], "n/a" )</f>
        <v>0.54122314747447786</v>
      </c>
      <c r="AF22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1533145</v>
      </c>
      <c r="AG220" s="84" vm="12579">
        <v>62597</v>
      </c>
      <c r="AH220" s="84" vm="13316">
        <v>1523724</v>
      </c>
      <c r="AI220" s="84" vm="12887">
        <v>53176</v>
      </c>
      <c r="AJ220" s="84">
        <v>0</v>
      </c>
      <c r="AK220" s="84">
        <v>0</v>
      </c>
      <c r="AL220" s="5">
        <f xml:space="preserve"> SUM( VfM_Metrics_2023_Entity[[#This Row],[Tangible fixed assets: Housing properties at cost (Current period)2]], VfM_Metrics_2023_Entity[[#This Row],[Tangible fixed assets Housing properties at valuation (Current period)2]] )</f>
        <v>2832741</v>
      </c>
      <c r="AM220" s="84" vm="10001">
        <v>2832741</v>
      </c>
      <c r="AN220" s="135">
        <v>0</v>
      </c>
      <c r="AO220" s="137">
        <f xml:space="preserve"> IFERROR( VfM_Metrics_2023_Entity[[#This Row],[EBITDA MRI]] / VfM_Metrics_2023_Entity[[#This Row],[Total interest]], "n/a" )</f>
        <v>1.862424924924925</v>
      </c>
      <c r="AP22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99230</v>
      </c>
      <c r="AQ220" s="84" vm="13463">
        <v>113017</v>
      </c>
      <c r="AR220" s="84" vm="15102">
        <v>8119</v>
      </c>
      <c r="AS220" s="84">
        <v>0</v>
      </c>
      <c r="AT220" s="84" vm="14126">
        <v>5912</v>
      </c>
      <c r="AU220" s="84" vm="14369">
        <v>0</v>
      </c>
      <c r="AV220" s="84" vm="14616">
        <v>3419</v>
      </c>
      <c r="AW220" s="84" vm="14860">
        <v>38843</v>
      </c>
      <c r="AX220" s="84" vm="15103">
        <v>35668</v>
      </c>
      <c r="AY220" s="5">
        <f xml:space="preserve"> - SUM( VfM_Metrics_2023_Entity[[#This Row],[Interest capitalised]], VfM_Metrics_2023_Entity[[#This Row],[Interest payable and financing costs]] )</f>
        <v>53280</v>
      </c>
      <c r="AZ220" s="84" vm="15301">
        <v>-10671</v>
      </c>
      <c r="BA220" s="135" vm="15504">
        <v>-42609</v>
      </c>
      <c r="BB220" s="138">
        <f xml:space="preserve"> IFERROR( ( VfM_Metrics_2023_Entity[[#This Row],[Total Costs]] / VfM_Metrics_2023_Entity[[#This Row],[Total units for costs]] ) * 1000, "n/a" )</f>
        <v>3918.8270020533878</v>
      </c>
      <c r="BC22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122142</v>
      </c>
      <c r="BD220" s="84" vm="15601">
        <v>24211</v>
      </c>
      <c r="BE220" s="84" vm="16978">
        <v>18051</v>
      </c>
      <c r="BF220" s="84" vm="17199">
        <v>25647</v>
      </c>
      <c r="BG220" s="84" vm="17433">
        <v>3247</v>
      </c>
      <c r="BH220" s="84" vm="16329">
        <v>10324</v>
      </c>
      <c r="BI220" s="84" vm="16569">
        <v>579</v>
      </c>
      <c r="BJ220" s="84" vm="14860">
        <v>38843</v>
      </c>
      <c r="BK220" s="84" vm="16979">
        <v>0</v>
      </c>
      <c r="BL220" s="84" vm="17434">
        <v>1240</v>
      </c>
      <c r="BM220" s="84">
        <v>0</v>
      </c>
      <c r="BN220" s="84">
        <v>0</v>
      </c>
      <c r="BO220" s="84">
        <v>0</v>
      </c>
      <c r="BP220" s="5" vm="17787">
        <f xml:space="preserve"> VfM_Metrics_2023_Entity[[#This Row],[Total social housing units owned and/or managed at period end]]</f>
        <v>31168</v>
      </c>
      <c r="BQ220" s="135" vm="17787">
        <v>31168</v>
      </c>
      <c r="BR220" s="134">
        <f xml:space="preserve"> IFERROR( VfM_Metrics_2023_Entity[[#This Row],[SHL operating surplus / (deficit)]] / VfM_Metrics_2023_Entity[[#This Row],[Turnover from social housing lettings]], "n/a" )</f>
        <v>0.42938720433366906</v>
      </c>
      <c r="BS220" s="5" vm="17866">
        <f xml:space="preserve"> VfM_Metrics_2023_Entity[[#This Row],[Operating surplus/(deficit) (social housing lettings)]]</f>
        <v>87826</v>
      </c>
      <c r="BT220" s="84" vm="17866">
        <v>87826</v>
      </c>
      <c r="BU220" s="5" vm="18082">
        <f xml:space="preserve"> VfM_Metrics_2023_Entity[[#This Row],[Turnover from social housing lettings]]</f>
        <v>204538</v>
      </c>
      <c r="BV220" s="135" vm="18082">
        <v>204538</v>
      </c>
      <c r="BW220" s="134">
        <f xml:space="preserve"> IFERROR( VfM_Metrics_2023_Entity[[#This Row],[Net operating surplus]] / VfM_Metrics_2023_Entity[[#This Row],[Overall turnover]], "n/a" )</f>
        <v>0.37675766729041782</v>
      </c>
      <c r="BX220" s="5">
        <f xml:space="preserve"> SUM( VfM_Metrics_2023_Entity[[#This Row],[Operating surplus/(deficit) (overall)2]], - VfM_Metrics_2023_Entity[[#This Row],[Gain/(loss) on disposal of fixed assets (housing properties)2]], - VfM_Metrics_2023_Entity[[#This Row],[Gain/(loss) on disposal of fixed assets (other)2]] )</f>
        <v>104898</v>
      </c>
      <c r="BY220" s="84" vm="13463">
        <v>113017</v>
      </c>
      <c r="BZ220" s="84" vm="15102">
        <v>8119</v>
      </c>
      <c r="CA220" s="84">
        <v>0</v>
      </c>
      <c r="CB220" s="5" vm="18393">
        <f xml:space="preserve"> VfM_Metrics_2023_Entity[[#This Row],[Turnover (overall)]]</f>
        <v>278423</v>
      </c>
      <c r="CC220" s="135" vm="18393">
        <v>278423</v>
      </c>
      <c r="CD220" s="134">
        <f xml:space="preserve"> IFERROR( VfM_Metrics_2023_Entity[[#This Row],[Operating surplus including from JVs]] / VfM_Metrics_2023_Entity[[#This Row],[Net assets]], "n/a" )</f>
        <v>3.8028329983125712E-2</v>
      </c>
      <c r="CE220" s="5">
        <f xml:space="preserve"> SUM( VfM_Metrics_2023_Entity[[#This Row],[Operating surplus/(deficit) (overall)3]], VfM_Metrics_2023_Entity[[#This Row],[Share of operating surplus/(deficit) in joint ventures or associates]] )</f>
        <v>113132</v>
      </c>
      <c r="CF220" s="84" vm="13463">
        <v>113017</v>
      </c>
      <c r="CG220" s="84" vm="18567">
        <v>115</v>
      </c>
      <c r="CH220" s="5" vm="18603">
        <f xml:space="preserve"> VfM_Metrics_2023_Entity[[#This Row],[Total assets less current liabilities]]</f>
        <v>2974940</v>
      </c>
      <c r="CI220" s="135" vm="18603">
        <v>2974940</v>
      </c>
      <c r="CJ220" s="140" vm="11325">
        <f xml:space="preserve"> VfM_Metrics_2023_Entity[[#This Row],[Total social housing units owned (Period end)]]</f>
        <v>31005</v>
      </c>
      <c r="CK220" s="141">
        <v>7.7926312357352459E-3</v>
      </c>
      <c r="CL220" s="69">
        <f xml:space="preserve"> -- ( VfM_Metrics_2023_Entity[[#This Row],[% Supported housing (excl. HOP)]] &gt; 0.3 )</f>
        <v>0</v>
      </c>
      <c r="CM220" s="9">
        <v>3.8245842843169224E-2</v>
      </c>
      <c r="CN220" s="69">
        <f xml:space="preserve"> -- ( VfM_Metrics_2023_Entity[[#This Row],[% Housing for older people]] &gt; 0.3 )</f>
        <v>0</v>
      </c>
      <c r="CO220" s="9">
        <f xml:space="preserve"> VfM_Metrics_2023_Entity[[#This Row],[% Supported housing (excl. HOP)]] + VfM_Metrics_2023_Entity[[#This Row],[% Housing for older people]]</f>
        <v>4.6038474078904469E-2</v>
      </c>
      <c r="CP220" s="69">
        <f xml:space="preserve"> -- ( VfM_Metrics_2023_Entity[[#This Row],[SH specialist in RSH analysis]] + VfM_Metrics_2023_Entity[[#This Row],[OP specialist in RSH analysis]] &gt; 0 )</f>
        <v>0</v>
      </c>
      <c r="CQ220" s="142">
        <f xml:space="preserve"> -- ( VfM_Metrics_2023_Entity[[#This Row],[% SH and OP]] &gt; 0.3 )</f>
        <v>0</v>
      </c>
      <c r="CR220" s="143" t="s">
        <v>143</v>
      </c>
      <c r="CS220" s="120"/>
      <c r="CT220" s="144" t="s">
        <v>151</v>
      </c>
      <c r="CU22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220" s="146">
        <v>0</v>
      </c>
      <c r="CW220" s="146">
        <v>0.99922593130140303</v>
      </c>
      <c r="CX220" s="146">
        <v>7.740686985970005E-4</v>
      </c>
      <c r="CY220" s="146">
        <v>0</v>
      </c>
      <c r="CZ220" s="146">
        <v>0</v>
      </c>
      <c r="DA220" s="146">
        <v>0</v>
      </c>
      <c r="DB220" s="146">
        <v>0</v>
      </c>
      <c r="DC220" s="146">
        <v>0</v>
      </c>
      <c r="DD220" s="146">
        <v>0</v>
      </c>
      <c r="DE220" s="126">
        <v>1.0336672026441693</v>
      </c>
    </row>
    <row r="221" spans="1:109" x14ac:dyDescent="0.25">
      <c r="A221" s="4" t="s" vm="257">
        <v>512</v>
      </c>
      <c r="B221" s="4" t="s" vm="9876">
        <v>513</v>
      </c>
      <c r="C221" s="121" vm="18815">
        <v>45016</v>
      </c>
      <c r="D221" s="68">
        <f>IFERROR( VfM_Metrics_2023_Entity[[#This Row],[Reinvestment Spend]] / VfM_Metrics_2023_Entity[[#This Row],[Net Book Value of Housing Properties]], "n/a" )</f>
        <v>6.1459606606553405E-2</v>
      </c>
      <c r="E22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62448</v>
      </c>
      <c r="F221" s="84" vm="9865">
        <v>45566</v>
      </c>
      <c r="G221" s="84" vm="10665">
        <v>0</v>
      </c>
      <c r="H221" s="84" vm="10141">
        <v>16882</v>
      </c>
      <c r="I221" s="84" vm="10797">
        <v>0</v>
      </c>
      <c r="J221" s="84" vm="9774">
        <v>0</v>
      </c>
      <c r="K221" s="5">
        <f xml:space="preserve"> SUM( VfM_Metrics_2023_Entity[[#This Row],[Tangible fixed assets: Housing properties at cost (Current period)]],VfM_Metrics_2023_Entity[[#This Row],[Tangible fixed assets Housing properties at valuation (Current period)]] )</f>
        <v>1016082</v>
      </c>
      <c r="L221" s="84" vm="9909">
        <v>34893</v>
      </c>
      <c r="M221" s="84" vm="10188">
        <v>981189</v>
      </c>
      <c r="N221" s="134">
        <f xml:space="preserve"> IFERROR( VfM_Metrics_2023_Entity[[#This Row],[Total social units developed or newly built units acquired in-year]] / VfM_Metrics_2023_Entity[[#This Row],[Social housing units owned (period end)]], "n/a" )</f>
        <v>1.0567576042646598E-2</v>
      </c>
      <c r="O221" s="5">
        <f xml:space="preserve"> SUM( VfM_Metrics_2023_Entity[[#This Row],[Total social units developed or newly built units acquired in-year (owned)]], VfM_Metrics_2023_Entity[[#This Row],[Total social leasehold units developed or newly built units acquired in-year (owned)]] )</f>
        <v>337</v>
      </c>
      <c r="P221" s="84" vm="11031">
        <v>337</v>
      </c>
      <c r="Q221" s="84" vm="11128">
        <v>0</v>
      </c>
      <c r="R221" s="5">
        <f xml:space="preserve"> SUM( VfM_Metrics_2023_Entity[[#This Row],[Total social housing units owned (Period end)]], VfM_Metrics_2023_Entity[[#This Row],[Total social leasehold units owned (Period end)]] )</f>
        <v>31890</v>
      </c>
      <c r="S221" s="84" vm="11361">
        <v>31890</v>
      </c>
      <c r="T221" s="135" vm="11458">
        <v>0</v>
      </c>
      <c r="U221" s="136">
        <f xml:space="preserve"> IFERROR( VfM_Metrics_2023_Entity[[#This Row],[Total non-social housing units developed or newly built units acquired (owned)]] / VfM_Metrics_2023_Entity[[#This Row],[Total social and non-social housing units owned (Period end)]], "n/a" )</f>
        <v>0</v>
      </c>
      <c r="V22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21" s="84" vm="11607">
        <v>0</v>
      </c>
      <c r="X221" s="84" vm="11755">
        <v>0</v>
      </c>
      <c r="Y221" s="84" vm="11754">
        <v>0</v>
      </c>
      <c r="Z22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31890</v>
      </c>
      <c r="AA221" s="84" vm="11361">
        <v>31890</v>
      </c>
      <c r="AB221" s="84" vm="12220">
        <v>0</v>
      </c>
      <c r="AC221" s="84" vm="12164">
        <v>0</v>
      </c>
      <c r="AD221" s="135" vm="12316">
        <v>0</v>
      </c>
      <c r="AE221" s="134">
        <f xml:space="preserve"> IFERROR( VfM_Metrics_2023_Entity[[#This Row],[Total Net Debt]] / VfM_Metrics_2023_Entity[[#This Row],[Net Book Value of Housing Properties2]], "n/a" )</f>
        <v>0.39499174279241245</v>
      </c>
      <c r="AF22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401344</v>
      </c>
      <c r="AG221" s="84" vm="12603">
        <v>7878</v>
      </c>
      <c r="AH221" s="84" vm="12817">
        <v>468533</v>
      </c>
      <c r="AI221" s="84" vm="13176">
        <v>75067</v>
      </c>
      <c r="AJ221" s="84" vm="13259">
        <v>0</v>
      </c>
      <c r="AK221" s="84" vm="13353">
        <v>0</v>
      </c>
      <c r="AL221" s="5">
        <f xml:space="preserve"> SUM( VfM_Metrics_2023_Entity[[#This Row],[Tangible fixed assets: Housing properties at cost (Current period)2]], VfM_Metrics_2023_Entity[[#This Row],[Tangible fixed assets Housing properties at valuation (Current period)2]] )</f>
        <v>1016082</v>
      </c>
      <c r="AM221" s="84" vm="9909">
        <v>34893</v>
      </c>
      <c r="AN221" s="135" vm="13397">
        <v>981189</v>
      </c>
      <c r="AO221" s="137">
        <f xml:space="preserve"> IFERROR( VfM_Metrics_2023_Entity[[#This Row],[EBITDA MRI]] / VfM_Metrics_2023_Entity[[#This Row],[Total interest]], "n/a" )</f>
        <v>1.2359677968023586</v>
      </c>
      <c r="AP22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21800</v>
      </c>
      <c r="AQ221" s="84" vm="13496">
        <v>24443</v>
      </c>
      <c r="AR221" s="84" vm="13874">
        <v>4585</v>
      </c>
      <c r="AS221" s="84" vm="14127">
        <v>6</v>
      </c>
      <c r="AT221" s="84" vm="14370">
        <v>0</v>
      </c>
      <c r="AU221" s="84" vm="14617">
        <v>12513</v>
      </c>
      <c r="AV221" s="84" vm="14861">
        <v>1161</v>
      </c>
      <c r="AW221" s="84" vm="15104">
        <v>16882</v>
      </c>
      <c r="AX221" s="84" vm="13875">
        <v>30182</v>
      </c>
      <c r="AY221" s="5">
        <f xml:space="preserve"> - SUM( VfM_Metrics_2023_Entity[[#This Row],[Interest capitalised]], VfM_Metrics_2023_Entity[[#This Row],[Interest payable and financing costs]] )</f>
        <v>17638</v>
      </c>
      <c r="AZ221" s="84" vm="15184">
        <v>0</v>
      </c>
      <c r="BA221" s="135" vm="15345">
        <v>-17638</v>
      </c>
      <c r="BB221" s="138">
        <f xml:space="preserve"> IFERROR( ( VfM_Metrics_2023_Entity[[#This Row],[Total Costs]] / VfM_Metrics_2023_Entity[[#This Row],[Total units for costs]] ) * 1000, "n/a" )</f>
        <v>4103.3326018120824</v>
      </c>
      <c r="BC22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130884</v>
      </c>
      <c r="BD221" s="84" vm="15534">
        <v>51007</v>
      </c>
      <c r="BE221" s="84" vm="16980">
        <v>7116</v>
      </c>
      <c r="BF221" s="84" vm="17200">
        <v>24340</v>
      </c>
      <c r="BG221" s="84" vm="17435">
        <v>2855</v>
      </c>
      <c r="BH221" s="84" vm="16331">
        <v>24486</v>
      </c>
      <c r="BI221" s="84" vm="16570">
        <v>0</v>
      </c>
      <c r="BJ221" s="84" vm="15104">
        <v>16882</v>
      </c>
      <c r="BK221" s="84" vm="16981">
        <v>2835</v>
      </c>
      <c r="BL221" s="84" vm="17436">
        <v>1060</v>
      </c>
      <c r="BM221" s="84" vm="16332">
        <v>0</v>
      </c>
      <c r="BN221" s="84" vm="16571">
        <v>303</v>
      </c>
      <c r="BO221" s="84" vm="17201">
        <v>0</v>
      </c>
      <c r="BP221" s="5" vm="17650">
        <f xml:space="preserve"> VfM_Metrics_2023_Entity[[#This Row],[Total social housing units owned and/or managed at period end]]</f>
        <v>31897</v>
      </c>
      <c r="BQ221" s="135" vm="17650">
        <v>31897</v>
      </c>
      <c r="BR221" s="134">
        <f xml:space="preserve"> IFERROR( VfM_Metrics_2023_Entity[[#This Row],[SHL operating surplus / (deficit)]] / VfM_Metrics_2023_Entity[[#This Row],[Turnover from social housing lettings]], "n/a" )</f>
        <v>0.12901906597185647</v>
      </c>
      <c r="BS221" s="5" vm="17904">
        <f xml:space="preserve"> VfM_Metrics_2023_Entity[[#This Row],[Operating surplus/(deficit) (social housing lettings)]]</f>
        <v>20822</v>
      </c>
      <c r="BT221" s="84" vm="17904">
        <v>20822</v>
      </c>
      <c r="BU221" s="5" vm="18103">
        <f xml:space="preserve"> VfM_Metrics_2023_Entity[[#This Row],[Turnover from social housing lettings]]</f>
        <v>161387</v>
      </c>
      <c r="BV221" s="135" vm="18103">
        <v>161387</v>
      </c>
      <c r="BW221" s="134">
        <f xml:space="preserve"> IFERROR( VfM_Metrics_2023_Entity[[#This Row],[Net operating surplus]] / VfM_Metrics_2023_Entity[[#This Row],[Overall turnover]], "n/a" )</f>
        <v>0.1145402408276069</v>
      </c>
      <c r="BX221" s="5">
        <f xml:space="preserve"> SUM( VfM_Metrics_2023_Entity[[#This Row],[Operating surplus/(deficit) (overall)2]], - VfM_Metrics_2023_Entity[[#This Row],[Gain/(loss) on disposal of fixed assets (housing properties)2]], - VfM_Metrics_2023_Entity[[#This Row],[Gain/(loss) on disposal of fixed assets (other)2]] )</f>
        <v>19852</v>
      </c>
      <c r="BY221" s="84" vm="13496">
        <v>24443</v>
      </c>
      <c r="BZ221" s="84" vm="13874">
        <v>4585</v>
      </c>
      <c r="CA221" s="84" vm="14127">
        <v>6</v>
      </c>
      <c r="CB221" s="5" vm="18419">
        <f xml:space="preserve"> VfM_Metrics_2023_Entity[[#This Row],[Turnover (overall)]]</f>
        <v>173319</v>
      </c>
      <c r="CC221" s="135" vm="18419">
        <v>173319</v>
      </c>
      <c r="CD221" s="134">
        <f xml:space="preserve"> IFERROR( VfM_Metrics_2023_Entity[[#This Row],[Operating surplus including from JVs]] / VfM_Metrics_2023_Entity[[#This Row],[Net assets]], "n/a" )</f>
        <v>2.2189682156383561E-2</v>
      </c>
      <c r="CE221" s="5">
        <f xml:space="preserve"> SUM( VfM_Metrics_2023_Entity[[#This Row],[Operating surplus/(deficit) (overall)3]], VfM_Metrics_2023_Entity[[#This Row],[Share of operating surplus/(deficit) in joint ventures or associates]] )</f>
        <v>24443</v>
      </c>
      <c r="CF221" s="84" vm="13497">
        <v>24443</v>
      </c>
      <c r="CG221" s="84" vm="18467">
        <v>0</v>
      </c>
      <c r="CH221" s="5" vm="18640">
        <f xml:space="preserve"> VfM_Metrics_2023_Entity[[#This Row],[Total assets less current liabilities]]</f>
        <v>1101548</v>
      </c>
      <c r="CI221" s="135" vm="18640">
        <v>1101548</v>
      </c>
      <c r="CJ221" s="140" vm="11361">
        <f xml:space="preserve"> VfM_Metrics_2023_Entity[[#This Row],[Total social housing units owned (Period end)]]</f>
        <v>31890</v>
      </c>
      <c r="CK221" s="141">
        <v>4.8646095717884134E-2</v>
      </c>
      <c r="CL221" s="69">
        <f xml:space="preserve"> -- ( VfM_Metrics_2023_Entity[[#This Row],[% Supported housing (excl. HOP)]] &gt; 0.3 )</f>
        <v>0</v>
      </c>
      <c r="CM221" s="9">
        <v>0</v>
      </c>
      <c r="CN221" s="69">
        <f xml:space="preserve"> -- ( VfM_Metrics_2023_Entity[[#This Row],[% Housing for older people]] &gt; 0.3 )</f>
        <v>0</v>
      </c>
      <c r="CO221" s="9">
        <f xml:space="preserve"> VfM_Metrics_2023_Entity[[#This Row],[% Supported housing (excl. HOP)]] + VfM_Metrics_2023_Entity[[#This Row],[% Housing for older people]]</f>
        <v>4.8646095717884134E-2</v>
      </c>
      <c r="CP221" s="69">
        <f xml:space="preserve"> -- ( VfM_Metrics_2023_Entity[[#This Row],[SH specialist in RSH analysis]] + VfM_Metrics_2023_Entity[[#This Row],[OP specialist in RSH analysis]] &gt; 0 )</f>
        <v>0</v>
      </c>
      <c r="CQ221" s="142">
        <f xml:space="preserve"> -- ( VfM_Metrics_2023_Entity[[#This Row],[% SH and OP]] &gt; 0.3 )</f>
        <v>0</v>
      </c>
      <c r="CR221" s="143" t="s">
        <v>143</v>
      </c>
      <c r="CS221" s="120"/>
      <c r="CT221" s="144" t="s">
        <v>151</v>
      </c>
      <c r="CU22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221" s="146">
        <v>0</v>
      </c>
      <c r="CW221" s="146">
        <v>0</v>
      </c>
      <c r="CX221" s="146">
        <v>0</v>
      </c>
      <c r="CY221" s="146">
        <v>0</v>
      </c>
      <c r="CZ221" s="146">
        <v>0</v>
      </c>
      <c r="DA221" s="146">
        <v>0</v>
      </c>
      <c r="DB221" s="146">
        <v>0</v>
      </c>
      <c r="DC221" s="146">
        <v>0</v>
      </c>
      <c r="DD221" s="146">
        <v>1</v>
      </c>
      <c r="DE221" s="126">
        <v>0.94459121441814442</v>
      </c>
    </row>
    <row r="222" spans="1:109" x14ac:dyDescent="0.25">
      <c r="A222" s="4" t="s" vm="343">
        <v>514</v>
      </c>
      <c r="B222" s="4" t="s" vm="9842">
        <v>515</v>
      </c>
      <c r="C222" s="121" vm="18963">
        <v>45016</v>
      </c>
      <c r="D222" s="68">
        <f>IFERROR( VfM_Metrics_2023_Entity[[#This Row],[Reinvestment Spend]] / VfM_Metrics_2023_Entity[[#This Row],[Net Book Value of Housing Properties]], "n/a" )</f>
        <v>0.11436710451032449</v>
      </c>
      <c r="E22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75558</v>
      </c>
      <c r="F222" s="84" vm="10658">
        <v>59232</v>
      </c>
      <c r="G222" s="84" vm="10306">
        <v>0</v>
      </c>
      <c r="H222" s="84" vm="10597">
        <v>15401</v>
      </c>
      <c r="I222" s="84" vm="10538">
        <v>925</v>
      </c>
      <c r="J222" s="84" vm="9909">
        <v>0</v>
      </c>
      <c r="K222" s="5">
        <f xml:space="preserve"> SUM( VfM_Metrics_2023_Entity[[#This Row],[Tangible fixed assets: Housing properties at cost (Current period)]],VfM_Metrics_2023_Entity[[#This Row],[Tangible fixed assets Housing properties at valuation (Current period)]] )</f>
        <v>660662</v>
      </c>
      <c r="L222" s="84" vm="10382">
        <v>660662</v>
      </c>
      <c r="M222" s="84">
        <v>0</v>
      </c>
      <c r="N222" s="134">
        <f xml:space="preserve"> IFERROR( VfM_Metrics_2023_Entity[[#This Row],[Total social units developed or newly built units acquired in-year]] / VfM_Metrics_2023_Entity[[#This Row],[Social housing units owned (period end)]], "n/a" )</f>
        <v>1.2150170648464164E-2</v>
      </c>
      <c r="O222" s="5">
        <f xml:space="preserve"> SUM( VfM_Metrics_2023_Entity[[#This Row],[Total social units developed or newly built units acquired in-year (owned)]], VfM_Metrics_2023_Entity[[#This Row],[Total social leasehold units developed or newly built units acquired in-year (owned)]] )</f>
        <v>267</v>
      </c>
      <c r="P222" s="84" vm="10986">
        <v>255</v>
      </c>
      <c r="Q222" s="84" vm="11156">
        <v>12</v>
      </c>
      <c r="R222" s="5">
        <f xml:space="preserve"> SUM( VfM_Metrics_2023_Entity[[#This Row],[Total social housing units owned (Period end)]], VfM_Metrics_2023_Entity[[#This Row],[Total social leasehold units owned (Period end)]] )</f>
        <v>21975</v>
      </c>
      <c r="S222" s="84" vm="11288">
        <v>21316</v>
      </c>
      <c r="T222" s="135" vm="11527">
        <v>659</v>
      </c>
      <c r="U222" s="136">
        <f xml:space="preserve"> IFERROR( VfM_Metrics_2023_Entity[[#This Row],[Total non-social housing units developed or newly built units acquired (owned)]] / VfM_Metrics_2023_Entity[[#This Row],[Total social and non-social housing units owned (Period end)]], "n/a" )</f>
        <v>1.811922449719152E-4</v>
      </c>
      <c r="V22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4</v>
      </c>
      <c r="W222" s="84" vm="11630">
        <v>0</v>
      </c>
      <c r="X222" s="84">
        <v>0</v>
      </c>
      <c r="Y222" s="84" vm="11864">
        <v>4</v>
      </c>
      <c r="Z22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22076</v>
      </c>
      <c r="AA222" s="84" vm="11979">
        <v>21316</v>
      </c>
      <c r="AB222" s="84" vm="11527">
        <v>659</v>
      </c>
      <c r="AC222" s="84" vm="12410">
        <v>101</v>
      </c>
      <c r="AD222" s="135" vm="12543">
        <v>0</v>
      </c>
      <c r="AE222" s="134">
        <f xml:space="preserve"> IFERROR( VfM_Metrics_2023_Entity[[#This Row],[Total Net Debt]] / VfM_Metrics_2023_Entity[[#This Row],[Net Book Value of Housing Properties2]], "n/a" )</f>
        <v>0.5502193254644584</v>
      </c>
      <c r="AF22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363509</v>
      </c>
      <c r="AG222" s="84" vm="12631">
        <v>0</v>
      </c>
      <c r="AH222" s="84" vm="12925">
        <v>416854</v>
      </c>
      <c r="AI222" s="84" vm="13005">
        <v>53383</v>
      </c>
      <c r="AJ222" s="84" vm="12818">
        <v>38</v>
      </c>
      <c r="AK222" s="84">
        <v>0</v>
      </c>
      <c r="AL222" s="5">
        <f xml:space="preserve"> SUM( VfM_Metrics_2023_Entity[[#This Row],[Tangible fixed assets: Housing properties at cost (Current period)2]], VfM_Metrics_2023_Entity[[#This Row],[Tangible fixed assets Housing properties at valuation (Current period)2]] )</f>
        <v>660662</v>
      </c>
      <c r="AM222" s="84" vm="9932">
        <v>660662</v>
      </c>
      <c r="AN222" s="135">
        <v>0</v>
      </c>
      <c r="AO222" s="137">
        <f xml:space="preserve"> IFERROR( VfM_Metrics_2023_Entity[[#This Row],[EBITDA MRI]] / VfM_Metrics_2023_Entity[[#This Row],[Total interest]], "n/a" )</f>
        <v>1.4106166320950406</v>
      </c>
      <c r="AP22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29922</v>
      </c>
      <c r="AQ222" s="84" vm="13534">
        <v>38148</v>
      </c>
      <c r="AR222" s="84" vm="14128">
        <v>8783</v>
      </c>
      <c r="AS222" s="84" vm="14371">
        <v>507</v>
      </c>
      <c r="AT222" s="84" vm="14618">
        <v>1135</v>
      </c>
      <c r="AU222" s="84" vm="14862">
        <v>0</v>
      </c>
      <c r="AV222" s="84" vm="15105">
        <v>4127</v>
      </c>
      <c r="AW222" s="84" vm="13876">
        <v>15401</v>
      </c>
      <c r="AX222" s="84" vm="14129">
        <v>13473</v>
      </c>
      <c r="AY222" s="5">
        <f xml:space="preserve"> - SUM( VfM_Metrics_2023_Entity[[#This Row],[Interest capitalised]], VfM_Metrics_2023_Entity[[#This Row],[Interest payable and financing costs]] )</f>
        <v>21212</v>
      </c>
      <c r="AZ222" s="84" vm="15208">
        <v>-925</v>
      </c>
      <c r="BA222" s="135" vm="15378">
        <v>-20287</v>
      </c>
      <c r="BB222" s="138">
        <f xml:space="preserve"> IFERROR( ( VfM_Metrics_2023_Entity[[#This Row],[Total Costs]] / VfM_Metrics_2023_Entity[[#This Row],[Total units for costs]] ) * 1000, "n/a" )</f>
        <v>4055.9204353537252</v>
      </c>
      <c r="BC22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86456</v>
      </c>
      <c r="BD222" s="84" vm="15550">
        <v>27003</v>
      </c>
      <c r="BE222" s="84" vm="16982">
        <v>7626</v>
      </c>
      <c r="BF222" s="84" vm="17202">
        <v>12538</v>
      </c>
      <c r="BG222" s="84" vm="17437">
        <v>18329</v>
      </c>
      <c r="BH222" s="84" vm="16333">
        <v>4308</v>
      </c>
      <c r="BI222" s="84" vm="16572">
        <v>0</v>
      </c>
      <c r="BJ222" s="84" vm="13876">
        <v>15401</v>
      </c>
      <c r="BK222" s="84" vm="16982">
        <v>0</v>
      </c>
      <c r="BL222" s="84" vm="17437">
        <v>904</v>
      </c>
      <c r="BM222" s="84" vm="16334">
        <v>337</v>
      </c>
      <c r="BN222" s="84" vm="16573">
        <v>10</v>
      </c>
      <c r="BO222" s="84" vm="17203">
        <v>0</v>
      </c>
      <c r="BP222" s="5" vm="17791">
        <f xml:space="preserve"> VfM_Metrics_2023_Entity[[#This Row],[Total social housing units owned and/or managed at period end]]</f>
        <v>21316</v>
      </c>
      <c r="BQ222" s="135" vm="17791">
        <v>21316</v>
      </c>
      <c r="BR222" s="134">
        <f xml:space="preserve"> IFERROR( VfM_Metrics_2023_Entity[[#This Row],[SHL operating surplus / (deficit)]] / VfM_Metrics_2023_Entity[[#This Row],[Turnover from social housing lettings]], "n/a" )</f>
        <v>0.2453541094578198</v>
      </c>
      <c r="BS222" s="5" vm="17941">
        <f xml:space="preserve"> VfM_Metrics_2023_Entity[[#This Row],[Operating surplus/(deficit) (social housing lettings)]]</f>
        <v>26894</v>
      </c>
      <c r="BT222" s="84" vm="17941">
        <v>26894</v>
      </c>
      <c r="BU222" s="5" vm="18137">
        <f xml:space="preserve"> VfM_Metrics_2023_Entity[[#This Row],[Turnover from social housing lettings]]</f>
        <v>109613</v>
      </c>
      <c r="BV222" s="135" vm="18137">
        <v>109613</v>
      </c>
      <c r="BW222" s="134">
        <f xml:space="preserve"> IFERROR( VfM_Metrics_2023_Entity[[#This Row],[Net operating surplus]] / VfM_Metrics_2023_Entity[[#This Row],[Overall turnover]], "n/a" )</f>
        <v>0.2387425025853154</v>
      </c>
      <c r="BX222" s="5">
        <f xml:space="preserve"> SUM( VfM_Metrics_2023_Entity[[#This Row],[Operating surplus/(deficit) (overall)2]], - VfM_Metrics_2023_Entity[[#This Row],[Gain/(loss) on disposal of fixed assets (housing properties)2]], - VfM_Metrics_2023_Entity[[#This Row],[Gain/(loss) on disposal of fixed assets (other)2]] )</f>
        <v>28858</v>
      </c>
      <c r="BY222" s="84" vm="13534">
        <v>38148</v>
      </c>
      <c r="BZ222" s="84" vm="14128">
        <v>8783</v>
      </c>
      <c r="CA222" s="84" vm="14371">
        <v>507</v>
      </c>
      <c r="CB222" s="5" vm="18292">
        <f xml:space="preserve"> VfM_Metrics_2023_Entity[[#This Row],[Turnover (overall)]]</f>
        <v>120875</v>
      </c>
      <c r="CC222" s="135" vm="18292">
        <v>120875</v>
      </c>
      <c r="CD222" s="134">
        <f xml:space="preserve"> IFERROR( VfM_Metrics_2023_Entity[[#This Row],[Operating surplus including from JVs]] / VfM_Metrics_2023_Entity[[#This Row],[Net assets]], "n/a" )</f>
        <v>4.600956180680519E-2</v>
      </c>
      <c r="CE222" s="5">
        <f xml:space="preserve"> SUM( VfM_Metrics_2023_Entity[[#This Row],[Operating surplus/(deficit) (overall)3]], VfM_Metrics_2023_Entity[[#This Row],[Share of operating surplus/(deficit) in joint ventures or associates]] )</f>
        <v>38148</v>
      </c>
      <c r="CF222" s="84" vm="13534">
        <v>38148</v>
      </c>
      <c r="CG222" s="84">
        <v>0</v>
      </c>
      <c r="CH222" s="5" vm="18678">
        <f xml:space="preserve"> VfM_Metrics_2023_Entity[[#This Row],[Total assets less current liabilities]]</f>
        <v>829132</v>
      </c>
      <c r="CI222" s="135" vm="18678">
        <v>829132</v>
      </c>
      <c r="CJ222" s="140" vm="11288">
        <f xml:space="preserve"> VfM_Metrics_2023_Entity[[#This Row],[Total social housing units owned (Period end)]]</f>
        <v>21316</v>
      </c>
      <c r="CK222" s="141">
        <v>4.1400075272864136E-3</v>
      </c>
      <c r="CL222" s="69">
        <f xml:space="preserve"> -- ( VfM_Metrics_2023_Entity[[#This Row],[% Supported housing (excl. HOP)]] &gt; 0.3 )</f>
        <v>0</v>
      </c>
      <c r="CM222" s="9">
        <v>0</v>
      </c>
      <c r="CN222" s="69">
        <f xml:space="preserve"> -- ( VfM_Metrics_2023_Entity[[#This Row],[% Housing for older people]] &gt; 0.3 )</f>
        <v>0</v>
      </c>
      <c r="CO222" s="9">
        <f xml:space="preserve"> VfM_Metrics_2023_Entity[[#This Row],[% Supported housing (excl. HOP)]] + VfM_Metrics_2023_Entity[[#This Row],[% Housing for older people]]</f>
        <v>4.1400075272864136E-3</v>
      </c>
      <c r="CP222" s="69">
        <f xml:space="preserve"> -- ( VfM_Metrics_2023_Entity[[#This Row],[SH specialist in RSH analysis]] + VfM_Metrics_2023_Entity[[#This Row],[OP specialist in RSH analysis]] &gt; 0 )</f>
        <v>0</v>
      </c>
      <c r="CQ222" s="142">
        <f xml:space="preserve"> -- ( VfM_Metrics_2023_Entity[[#This Row],[% SH and OP]] &gt; 0.3 )</f>
        <v>0</v>
      </c>
      <c r="CR222" s="143" t="s">
        <v>143</v>
      </c>
      <c r="CS222" s="120"/>
      <c r="CT222" s="144" t="s">
        <v>151</v>
      </c>
      <c r="CU22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222" s="146">
        <v>0</v>
      </c>
      <c r="CW222" s="146">
        <v>0</v>
      </c>
      <c r="CX222" s="146">
        <v>0</v>
      </c>
      <c r="CY222" s="146">
        <v>0</v>
      </c>
      <c r="CZ222" s="146">
        <v>1</v>
      </c>
      <c r="DA222" s="146">
        <v>0</v>
      </c>
      <c r="DB222" s="146">
        <v>0</v>
      </c>
      <c r="DC222" s="146">
        <v>0</v>
      </c>
      <c r="DD222" s="146">
        <v>0</v>
      </c>
      <c r="DE222" s="126">
        <v>0.96459033333600952</v>
      </c>
    </row>
    <row r="223" spans="1:109" x14ac:dyDescent="0.25">
      <c r="A223" s="4" t="s" vm="351">
        <v>516</v>
      </c>
      <c r="B223" s="4" t="s" vm="10374">
        <v>517</v>
      </c>
      <c r="C223" s="121" vm="18921">
        <v>45016</v>
      </c>
      <c r="D223" s="68">
        <f>IFERROR( VfM_Metrics_2023_Entity[[#This Row],[Reinvestment Spend]] / VfM_Metrics_2023_Entity[[#This Row],[Net Book Value of Housing Properties]], "n/a" )</f>
        <v>1.616608187134503E-2</v>
      </c>
      <c r="E22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13822</v>
      </c>
      <c r="F223" s="84" vm="10591">
        <v>9012</v>
      </c>
      <c r="G223" s="84" vm="10832">
        <v>0</v>
      </c>
      <c r="H223" s="84" vm="9855">
        <v>4810</v>
      </c>
      <c r="I223" s="84" vm="10766">
        <v>0</v>
      </c>
      <c r="J223" s="84" vm="10048">
        <v>0</v>
      </c>
      <c r="K223" s="5">
        <f xml:space="preserve"> SUM( VfM_Metrics_2023_Entity[[#This Row],[Tangible fixed assets: Housing properties at cost (Current period)]],VfM_Metrics_2023_Entity[[#This Row],[Tangible fixed assets Housing properties at valuation (Current period)]] )</f>
        <v>855000</v>
      </c>
      <c r="L223" s="84" vm="10025">
        <v>855000</v>
      </c>
      <c r="M223" s="84" vm="10759">
        <v>0</v>
      </c>
      <c r="N223" s="134">
        <f xml:space="preserve"> IFERROR( VfM_Metrics_2023_Entity[[#This Row],[Total social units developed or newly built units acquired in-year]] / VfM_Metrics_2023_Entity[[#This Row],[Social housing units owned (period end)]], "n/a" )</f>
        <v>4.4336960902861752E-3</v>
      </c>
      <c r="O223" s="5">
        <f xml:space="preserve"> SUM( VfM_Metrics_2023_Entity[[#This Row],[Total social units developed or newly built units acquired in-year (owned)]], VfM_Metrics_2023_Entity[[#This Row],[Total social leasehold units developed or newly built units acquired in-year (owned)]] )</f>
        <v>33</v>
      </c>
      <c r="P223" s="84" vm="11039">
        <v>33</v>
      </c>
      <c r="Q223" s="84" vm="11168">
        <v>0</v>
      </c>
      <c r="R223" s="5">
        <f xml:space="preserve"> SUM( VfM_Metrics_2023_Entity[[#This Row],[Total social housing units owned (Period end)]], VfM_Metrics_2023_Entity[[#This Row],[Total social leasehold units owned (Period end)]] )</f>
        <v>7443</v>
      </c>
      <c r="S223" s="84" vm="11339">
        <v>6895</v>
      </c>
      <c r="T223" s="135" vm="11552">
        <v>548</v>
      </c>
      <c r="U223" s="136">
        <f xml:space="preserve"> IFERROR( VfM_Metrics_2023_Entity[[#This Row],[Total non-social housing units developed or newly built units acquired (owned)]] / VfM_Metrics_2023_Entity[[#This Row],[Total social and non-social housing units owned (Period end)]], "n/a" )</f>
        <v>0</v>
      </c>
      <c r="V22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23" s="84" vm="11647">
        <v>0</v>
      </c>
      <c r="X223" s="84" vm="11904">
        <v>0</v>
      </c>
      <c r="Y223" s="84" vm="11946">
        <v>0</v>
      </c>
      <c r="Z22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7447</v>
      </c>
      <c r="AA223" s="84" vm="11339">
        <v>6895</v>
      </c>
      <c r="AB223" s="84" vm="12221">
        <v>548</v>
      </c>
      <c r="AC223" s="84" vm="12165">
        <v>4</v>
      </c>
      <c r="AD223" s="135" vm="12317">
        <v>0</v>
      </c>
      <c r="AE223" s="134">
        <f xml:space="preserve"> IFERROR( VfM_Metrics_2023_Entity[[#This Row],[Total Net Debt]] / VfM_Metrics_2023_Entity[[#This Row],[Net Book Value of Housing Properties2]], "n/a" )</f>
        <v>0.29375555555555555</v>
      </c>
      <c r="AF22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251161</v>
      </c>
      <c r="AG223" s="84" vm="12652">
        <v>4335</v>
      </c>
      <c r="AH223" s="84" vm="13231">
        <v>321900</v>
      </c>
      <c r="AI223" s="84" vm="13317">
        <v>75074</v>
      </c>
      <c r="AJ223" s="84" vm="12888">
        <v>0</v>
      </c>
      <c r="AK223" s="84" vm="12966">
        <v>0</v>
      </c>
      <c r="AL223" s="5">
        <f xml:space="preserve"> SUM( VfM_Metrics_2023_Entity[[#This Row],[Tangible fixed assets: Housing properties at cost (Current period)2]], VfM_Metrics_2023_Entity[[#This Row],[Tangible fixed assets Housing properties at valuation (Current period)2]] )</f>
        <v>855000</v>
      </c>
      <c r="AM223" s="84" vm="10025">
        <v>855000</v>
      </c>
      <c r="AN223" s="135" vm="10127">
        <v>0</v>
      </c>
      <c r="AO223" s="137">
        <f xml:space="preserve"> IFERROR( VfM_Metrics_2023_Entity[[#This Row],[EBITDA MRI]] / VfM_Metrics_2023_Entity[[#This Row],[Total interest]], "n/a" )</f>
        <v>0.78981065249965943</v>
      </c>
      <c r="AP22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11596</v>
      </c>
      <c r="AQ223" s="84" vm="13560">
        <v>32314</v>
      </c>
      <c r="AR223" s="84" vm="14372">
        <v>23289</v>
      </c>
      <c r="AS223" s="84" vm="14619">
        <v>0</v>
      </c>
      <c r="AT223" s="84" vm="14863">
        <v>3446</v>
      </c>
      <c r="AU223" s="84" vm="15106">
        <v>0</v>
      </c>
      <c r="AV223" s="84" vm="13877">
        <v>909</v>
      </c>
      <c r="AW223" s="84" vm="14130">
        <v>4810</v>
      </c>
      <c r="AX223" s="84" vm="14373">
        <v>9918</v>
      </c>
      <c r="AY223" s="5">
        <f xml:space="preserve"> - SUM( VfM_Metrics_2023_Entity[[#This Row],[Interest capitalised]], VfM_Metrics_2023_Entity[[#This Row],[Interest payable and financing costs]] )</f>
        <v>14682</v>
      </c>
      <c r="AZ223" s="84" vm="15238">
        <v>-406</v>
      </c>
      <c r="BA223" s="135" vm="15406">
        <v>-14276</v>
      </c>
      <c r="BB223" s="138">
        <f xml:space="preserve"> IFERROR( ( VfM_Metrics_2023_Entity[[#This Row],[Total Costs]] / VfM_Metrics_2023_Entity[[#This Row],[Total units for costs]] ) * 1000, "n/a" )</f>
        <v>6134.0101522842642</v>
      </c>
      <c r="BC22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42294</v>
      </c>
      <c r="BD223" s="84" vm="15590">
        <v>15687</v>
      </c>
      <c r="BE223" s="84" vm="16983">
        <v>5739</v>
      </c>
      <c r="BF223" s="84" vm="17204">
        <v>7410</v>
      </c>
      <c r="BG223" s="84" vm="17439">
        <v>1204</v>
      </c>
      <c r="BH223" s="84" vm="16336">
        <v>4966</v>
      </c>
      <c r="BI223" s="84" vm="16574">
        <v>0</v>
      </c>
      <c r="BJ223" s="84" vm="14130">
        <v>4810</v>
      </c>
      <c r="BK223" s="84" vm="16984">
        <v>0</v>
      </c>
      <c r="BL223" s="84" vm="17438">
        <v>348</v>
      </c>
      <c r="BM223" s="84" vm="16337">
        <v>0</v>
      </c>
      <c r="BN223" s="84" vm="16575">
        <v>2130</v>
      </c>
      <c r="BO223" s="84" vm="17205">
        <v>0</v>
      </c>
      <c r="BP223" s="5" vm="17820">
        <f xml:space="preserve"> VfM_Metrics_2023_Entity[[#This Row],[Total social housing units owned and/or managed at period end]]</f>
        <v>6895</v>
      </c>
      <c r="BQ223" s="135" vm="17820">
        <v>6895</v>
      </c>
      <c r="BR223" s="134">
        <f xml:space="preserve"> IFERROR( VfM_Metrics_2023_Entity[[#This Row],[SHL operating surplus / (deficit)]] / VfM_Metrics_2023_Entity[[#This Row],[Turnover from social housing lettings]], "n/a" )</f>
        <v>0.18890222509463578</v>
      </c>
      <c r="BS223" s="5" vm="17979">
        <f xml:space="preserve"> VfM_Metrics_2023_Entity[[#This Row],[Operating surplus/(deficit) (social housing lettings)]]</f>
        <v>10230</v>
      </c>
      <c r="BT223" s="84" vm="17979">
        <v>10230</v>
      </c>
      <c r="BU223" s="5" vm="18154">
        <f xml:space="preserve"> VfM_Metrics_2023_Entity[[#This Row],[Turnover from social housing lettings]]</f>
        <v>54155</v>
      </c>
      <c r="BV223" s="135" vm="18154">
        <v>54155</v>
      </c>
      <c r="BW223" s="134">
        <f xml:space="preserve"> IFERROR( VfM_Metrics_2023_Entity[[#This Row],[Net operating surplus]] / VfM_Metrics_2023_Entity[[#This Row],[Overall turnover]], "n/a" )</f>
        <v>0.16142880140232888</v>
      </c>
      <c r="BX223" s="5">
        <f xml:space="preserve"> SUM( VfM_Metrics_2023_Entity[[#This Row],[Operating surplus/(deficit) (overall)2]], - VfM_Metrics_2023_Entity[[#This Row],[Gain/(loss) on disposal of fixed assets (housing properties)2]], - VfM_Metrics_2023_Entity[[#This Row],[Gain/(loss) on disposal of fixed assets (other)2]] )</f>
        <v>9025</v>
      </c>
      <c r="BY223" s="84" vm="18230">
        <v>32314</v>
      </c>
      <c r="BZ223" s="84" vm="14372">
        <v>23289</v>
      </c>
      <c r="CA223" s="84" vm="14619">
        <v>0</v>
      </c>
      <c r="CB223" s="5" vm="18316">
        <f xml:space="preserve"> VfM_Metrics_2023_Entity[[#This Row],[Turnover (overall)]]</f>
        <v>55907</v>
      </c>
      <c r="CC223" s="135" vm="18316">
        <v>55907</v>
      </c>
      <c r="CD223" s="134">
        <f xml:space="preserve"> IFERROR( VfM_Metrics_2023_Entity[[#This Row],[Operating surplus including from JVs]] / VfM_Metrics_2023_Entity[[#This Row],[Net assets]], "n/a" )</f>
        <v>3.4758271143342102E-2</v>
      </c>
      <c r="CE223" s="5">
        <f xml:space="preserve"> SUM( VfM_Metrics_2023_Entity[[#This Row],[Operating surplus/(deficit) (overall)3]], VfM_Metrics_2023_Entity[[#This Row],[Share of operating surplus/(deficit) in joint ventures or associates]] )</f>
        <v>32314</v>
      </c>
      <c r="CF223" s="84" vm="18230">
        <v>32314</v>
      </c>
      <c r="CG223" s="84" vm="18508">
        <v>0</v>
      </c>
      <c r="CH223" s="5" vm="18703">
        <f xml:space="preserve"> VfM_Metrics_2023_Entity[[#This Row],[Total assets less current liabilities]]</f>
        <v>929678</v>
      </c>
      <c r="CI223" s="135" vm="18703">
        <v>929678</v>
      </c>
      <c r="CJ223" s="140" vm="11339">
        <f xml:space="preserve"> VfM_Metrics_2023_Entity[[#This Row],[Total social housing units owned (Period end)]]</f>
        <v>6895</v>
      </c>
      <c r="CK223" s="141">
        <v>2.1732788798133021E-2</v>
      </c>
      <c r="CL223" s="69">
        <f xml:space="preserve"> -- ( VfM_Metrics_2023_Entity[[#This Row],[% Supported housing (excl. HOP)]] &gt; 0.3 )</f>
        <v>0</v>
      </c>
      <c r="CM223" s="9">
        <v>6.7094515752625442E-3</v>
      </c>
      <c r="CN223" s="69">
        <f xml:space="preserve"> -- ( VfM_Metrics_2023_Entity[[#This Row],[% Housing for older people]] &gt; 0.3 )</f>
        <v>0</v>
      </c>
      <c r="CO223" s="9">
        <f xml:space="preserve"> VfM_Metrics_2023_Entity[[#This Row],[% Supported housing (excl. HOP)]] + VfM_Metrics_2023_Entity[[#This Row],[% Housing for older people]]</f>
        <v>2.8442240373395565E-2</v>
      </c>
      <c r="CP223" s="69">
        <f xml:space="preserve"> -- ( VfM_Metrics_2023_Entity[[#This Row],[SH specialist in RSH analysis]] + VfM_Metrics_2023_Entity[[#This Row],[OP specialist in RSH analysis]] &gt; 0 )</f>
        <v>0</v>
      </c>
      <c r="CQ223" s="142">
        <f xml:space="preserve"> -- ( VfM_Metrics_2023_Entity[[#This Row],[% SH and OP]] &gt; 0.3 )</f>
        <v>0</v>
      </c>
      <c r="CR223" s="143" t="s">
        <v>143</v>
      </c>
      <c r="CS223" s="120"/>
      <c r="CT223" s="144" t="s">
        <v>144</v>
      </c>
      <c r="CU22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London</v>
      </c>
      <c r="CV223" s="146">
        <v>0.99970687380917489</v>
      </c>
      <c r="CW223" s="146">
        <v>2.9312619082515022E-4</v>
      </c>
      <c r="CX223" s="146">
        <v>0</v>
      </c>
      <c r="CY223" s="146">
        <v>0</v>
      </c>
      <c r="CZ223" s="146">
        <v>0</v>
      </c>
      <c r="DA223" s="146">
        <v>0</v>
      </c>
      <c r="DB223" s="146">
        <v>0</v>
      </c>
      <c r="DC223" s="146">
        <v>0</v>
      </c>
      <c r="DD223" s="146">
        <v>0</v>
      </c>
      <c r="DE223" s="126">
        <v>1.1603329183620767</v>
      </c>
    </row>
    <row r="224" spans="1:109" x14ac:dyDescent="0.25">
      <c r="A224" s="4" t="s" vm="221">
        <v>518</v>
      </c>
      <c r="B224" s="4" t="s" vm="9838">
        <v>519</v>
      </c>
      <c r="C224" s="121" vm="18956">
        <v>45016</v>
      </c>
      <c r="D224" s="68">
        <f>IFERROR( VfM_Metrics_2023_Entity[[#This Row],[Reinvestment Spend]] / VfM_Metrics_2023_Entity[[#This Row],[Net Book Value of Housing Properties]], "n/a" )</f>
        <v>7.7403150924727909E-2</v>
      </c>
      <c r="E22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4068</v>
      </c>
      <c r="F224" s="84" vm="10010">
        <v>2967</v>
      </c>
      <c r="G224" s="84" vm="10947">
        <v>0</v>
      </c>
      <c r="H224" s="84" vm="10913">
        <v>1101</v>
      </c>
      <c r="I224" s="84" vm="9646">
        <v>0</v>
      </c>
      <c r="J224" s="84" vm="9860">
        <v>0</v>
      </c>
      <c r="K224" s="5">
        <f xml:space="preserve"> SUM( VfM_Metrics_2023_Entity[[#This Row],[Tangible fixed assets: Housing properties at cost (Current period)]],VfM_Metrics_2023_Entity[[#This Row],[Tangible fixed assets Housing properties at valuation (Current period)]] )</f>
        <v>52556</v>
      </c>
      <c r="L224" s="84" vm="10073">
        <v>52556</v>
      </c>
      <c r="M224" s="84" vm="10230">
        <v>0</v>
      </c>
      <c r="N224" s="134">
        <f xml:space="preserve"> IFERROR( VfM_Metrics_2023_Entity[[#This Row],[Total social units developed or newly built units acquired in-year]] / VfM_Metrics_2023_Entity[[#This Row],[Social housing units owned (period end)]], "n/a" )</f>
        <v>2.2371364653243849E-2</v>
      </c>
      <c r="O224" s="5">
        <f xml:space="preserve"> SUM( VfM_Metrics_2023_Entity[[#This Row],[Total social units developed or newly built units acquired in-year (owned)]], VfM_Metrics_2023_Entity[[#This Row],[Total social leasehold units developed or newly built units acquired in-year (owned)]] )</f>
        <v>30</v>
      </c>
      <c r="P224" s="84" vm="11060">
        <v>30</v>
      </c>
      <c r="Q224" s="84" vm="11183">
        <v>0</v>
      </c>
      <c r="R224" s="5">
        <f xml:space="preserve"> SUM( VfM_Metrics_2023_Entity[[#This Row],[Total social housing units owned (Period end)]], VfM_Metrics_2023_Entity[[#This Row],[Total social leasehold units owned (Period end)]] )</f>
        <v>1341</v>
      </c>
      <c r="S224" s="84" vm="11372">
        <v>1298</v>
      </c>
      <c r="T224" s="135" vm="11544">
        <v>43</v>
      </c>
      <c r="U224" s="136">
        <f xml:space="preserve"> IFERROR( VfM_Metrics_2023_Entity[[#This Row],[Total non-social housing units developed or newly built units acquired (owned)]] / VfM_Metrics_2023_Entity[[#This Row],[Total social and non-social housing units owned (Period end)]], "n/a" )</f>
        <v>0</v>
      </c>
      <c r="V22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24" s="84" vm="11662">
        <v>0</v>
      </c>
      <c r="X224" s="84" vm="11756">
        <v>0</v>
      </c>
      <c r="Y224" s="84" vm="11777">
        <v>0</v>
      </c>
      <c r="Z22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1341</v>
      </c>
      <c r="AA224" s="84" vm="12035">
        <v>1298</v>
      </c>
      <c r="AB224" s="84" vm="11544">
        <v>43</v>
      </c>
      <c r="AC224" s="84" vm="12411">
        <v>0</v>
      </c>
      <c r="AD224" s="135" vm="12544">
        <v>0</v>
      </c>
      <c r="AE224" s="134">
        <f xml:space="preserve"> IFERROR( VfM_Metrics_2023_Entity[[#This Row],[Total Net Debt]] / VfM_Metrics_2023_Entity[[#This Row],[Net Book Value of Housing Properties2]], "n/a" )</f>
        <v>0.12257401628738869</v>
      </c>
      <c r="AF22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6442</v>
      </c>
      <c r="AG224" s="84" vm="12682">
        <v>437</v>
      </c>
      <c r="AH224" s="84" vm="12819">
        <v>8142</v>
      </c>
      <c r="AI224" s="84" vm="13089">
        <v>2137</v>
      </c>
      <c r="AJ224" s="84" vm="13176">
        <v>0</v>
      </c>
      <c r="AK224" s="84" vm="13260">
        <v>0</v>
      </c>
      <c r="AL224" s="5">
        <f xml:space="preserve"> SUM( VfM_Metrics_2023_Entity[[#This Row],[Tangible fixed assets: Housing properties at cost (Current period)2]], VfM_Metrics_2023_Entity[[#This Row],[Tangible fixed assets Housing properties at valuation (Current period)2]] )</f>
        <v>52556</v>
      </c>
      <c r="AM224" s="84" vm="10073">
        <v>52556</v>
      </c>
      <c r="AN224" s="135" vm="13413">
        <v>0</v>
      </c>
      <c r="AO224" s="137">
        <f xml:space="preserve"> IFERROR( VfM_Metrics_2023_Entity[[#This Row],[EBITDA MRI]] / VfM_Metrics_2023_Entity[[#This Row],[Total interest]], "n/a" )</f>
        <v>3.0208333333333335</v>
      </c>
      <c r="AP22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1160</v>
      </c>
      <c r="AQ224" s="84" vm="13591">
        <v>2279</v>
      </c>
      <c r="AR224" s="84" vm="14620">
        <v>851</v>
      </c>
      <c r="AS224" s="84" vm="14864">
        <v>0</v>
      </c>
      <c r="AT224" s="84" vm="15107">
        <v>286</v>
      </c>
      <c r="AU224" s="84" vm="13878">
        <v>0</v>
      </c>
      <c r="AV224" s="84" vm="14131">
        <v>34</v>
      </c>
      <c r="AW224" s="84" vm="14374">
        <v>1101</v>
      </c>
      <c r="AX224" s="84" vm="14621">
        <v>1085</v>
      </c>
      <c r="AY224" s="5">
        <f xml:space="preserve"> - SUM( VfM_Metrics_2023_Entity[[#This Row],[Interest capitalised]], VfM_Metrics_2023_Entity[[#This Row],[Interest payable and financing costs]] )</f>
        <v>384</v>
      </c>
      <c r="AZ224" s="84" vm="15265">
        <v>0</v>
      </c>
      <c r="BA224" s="135" vm="15441">
        <v>-384</v>
      </c>
      <c r="BB224" s="138">
        <f xml:space="preserve"> IFERROR( ( VfM_Metrics_2023_Entity[[#This Row],[Total Costs]] / VfM_Metrics_2023_Entity[[#This Row],[Total units for costs]] ) * 1000, "n/a" )</f>
        <v>4901.4626635873747</v>
      </c>
      <c r="BC22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6367</v>
      </c>
      <c r="BD224" s="84" vm="15578">
        <v>945</v>
      </c>
      <c r="BE224" s="84" vm="16985">
        <v>1184</v>
      </c>
      <c r="BF224" s="84" vm="17206">
        <v>1217</v>
      </c>
      <c r="BG224" s="84" vm="17441">
        <v>0</v>
      </c>
      <c r="BH224" s="84" vm="16339">
        <v>693</v>
      </c>
      <c r="BI224" s="84" vm="16576">
        <v>0</v>
      </c>
      <c r="BJ224" s="84" vm="14374">
        <v>1101</v>
      </c>
      <c r="BK224" s="84" vm="16986">
        <v>0</v>
      </c>
      <c r="BL224" s="84" vm="17442">
        <v>206</v>
      </c>
      <c r="BM224" s="84" vm="16341">
        <v>678</v>
      </c>
      <c r="BN224" s="84" vm="16577">
        <v>268</v>
      </c>
      <c r="BO224" s="84" vm="17207">
        <v>75</v>
      </c>
      <c r="BP224" s="5" vm="17722">
        <f xml:space="preserve"> VfM_Metrics_2023_Entity[[#This Row],[Total social housing units owned and/or managed at period end]]</f>
        <v>1299</v>
      </c>
      <c r="BQ224" s="135" vm="17722">
        <v>1299</v>
      </c>
      <c r="BR224" s="134">
        <f xml:space="preserve"> IFERROR( VfM_Metrics_2023_Entity[[#This Row],[SHL operating surplus / (deficit)]] / VfM_Metrics_2023_Entity[[#This Row],[Turnover from social housing lettings]], "n/a" )</f>
        <v>0.25846335001471887</v>
      </c>
      <c r="BS224" s="5" vm="18006">
        <f xml:space="preserve"> VfM_Metrics_2023_Entity[[#This Row],[Operating surplus/(deficit) (social housing lettings)]]</f>
        <v>1756</v>
      </c>
      <c r="BT224" s="84" vm="18006">
        <v>1756</v>
      </c>
      <c r="BU224" s="5" vm="18191">
        <f xml:space="preserve"> VfM_Metrics_2023_Entity[[#This Row],[Turnover from social housing lettings]]</f>
        <v>6794</v>
      </c>
      <c r="BV224" s="135" vm="18191">
        <v>6794</v>
      </c>
      <c r="BW224" s="134">
        <f xml:space="preserve"> IFERROR( VfM_Metrics_2023_Entity[[#This Row],[Net operating surplus]] / VfM_Metrics_2023_Entity[[#This Row],[Overall turnover]], "n/a" )</f>
        <v>0.18552682863453293</v>
      </c>
      <c r="BX224" s="5">
        <f xml:space="preserve"> SUM( VfM_Metrics_2023_Entity[[#This Row],[Operating surplus/(deficit) (overall)2]], - VfM_Metrics_2023_Entity[[#This Row],[Gain/(loss) on disposal of fixed assets (housing properties)2]], - VfM_Metrics_2023_Entity[[#This Row],[Gain/(loss) on disposal of fixed assets (other)2]] )</f>
        <v>1428</v>
      </c>
      <c r="BY224" s="84" vm="15142">
        <v>2279</v>
      </c>
      <c r="BZ224" s="84" vm="14620">
        <v>851</v>
      </c>
      <c r="CA224" s="84" vm="14864">
        <v>0</v>
      </c>
      <c r="CB224" s="5" vm="18361">
        <f xml:space="preserve"> VfM_Metrics_2023_Entity[[#This Row],[Turnover (overall)]]</f>
        <v>7697</v>
      </c>
      <c r="CC224" s="135" vm="18361">
        <v>7697</v>
      </c>
      <c r="CD224" s="134">
        <f xml:space="preserve"> IFERROR( VfM_Metrics_2023_Entity[[#This Row],[Operating surplus including from JVs]] / VfM_Metrics_2023_Entity[[#This Row],[Net assets]], "n/a" )</f>
        <v>3.8432351304406483E-2</v>
      </c>
      <c r="CE224" s="5">
        <f xml:space="preserve"> SUM( VfM_Metrics_2023_Entity[[#This Row],[Operating surplus/(deficit) (overall)3]], VfM_Metrics_2023_Entity[[#This Row],[Share of operating surplus/(deficit) in joint ventures or associates]] )</f>
        <v>2279</v>
      </c>
      <c r="CF224" s="84" vm="13591">
        <v>2279</v>
      </c>
      <c r="CG224" s="84" vm="18526">
        <v>0</v>
      </c>
      <c r="CH224" s="5" vm="18731">
        <f xml:space="preserve"> VfM_Metrics_2023_Entity[[#This Row],[Total assets less current liabilities]]</f>
        <v>59299</v>
      </c>
      <c r="CI224" s="135" vm="18731">
        <v>59299</v>
      </c>
      <c r="CJ224" s="140" vm="11372">
        <f xml:space="preserve"> VfM_Metrics_2023_Entity[[#This Row],[Total social housing units owned (Period end)]]</f>
        <v>1298</v>
      </c>
      <c r="CK224" s="141">
        <v>5.5427251732101619E-2</v>
      </c>
      <c r="CL224" s="69">
        <f xml:space="preserve"> -- ( VfM_Metrics_2023_Entity[[#This Row],[% Supported housing (excl. HOP)]] &gt; 0.3 )</f>
        <v>0</v>
      </c>
      <c r="CM224" s="9">
        <v>0.12086220169361046</v>
      </c>
      <c r="CN224" s="69">
        <f xml:space="preserve"> -- ( VfM_Metrics_2023_Entity[[#This Row],[% Housing for older people]] &gt; 0.3 )</f>
        <v>0</v>
      </c>
      <c r="CO224" s="9">
        <f xml:space="preserve"> VfM_Metrics_2023_Entity[[#This Row],[% Supported housing (excl. HOP)]] + VfM_Metrics_2023_Entity[[#This Row],[% Housing for older people]]</f>
        <v>0.17628945342571209</v>
      </c>
      <c r="CP224" s="69">
        <f xml:space="preserve"> -- ( VfM_Metrics_2023_Entity[[#This Row],[SH specialist in RSH analysis]] + VfM_Metrics_2023_Entity[[#This Row],[OP specialist in RSH analysis]] &gt; 0 )</f>
        <v>0</v>
      </c>
      <c r="CQ224" s="142">
        <f xml:space="preserve"> -- ( VfM_Metrics_2023_Entity[[#This Row],[% SH and OP]] &gt; 0.3 )</f>
        <v>0</v>
      </c>
      <c r="CR224" s="143" t="s">
        <v>143</v>
      </c>
      <c r="CS224" s="120"/>
      <c r="CT224" s="144" t="s">
        <v>144</v>
      </c>
      <c r="CU22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224" s="146">
        <v>0</v>
      </c>
      <c r="CW224" s="146">
        <v>0</v>
      </c>
      <c r="CX224" s="146">
        <v>0</v>
      </c>
      <c r="CY224" s="146">
        <v>0</v>
      </c>
      <c r="CZ224" s="146">
        <v>0</v>
      </c>
      <c r="DA224" s="146">
        <v>0</v>
      </c>
      <c r="DB224" s="146">
        <v>0</v>
      </c>
      <c r="DC224" s="146">
        <v>1</v>
      </c>
      <c r="DD224" s="146">
        <v>0</v>
      </c>
      <c r="DE224" s="126">
        <v>0.96105917141044694</v>
      </c>
    </row>
    <row r="225" spans="1:109" x14ac:dyDescent="0.25">
      <c r="A225" s="4" t="s" vm="376">
        <v>520</v>
      </c>
      <c r="B225" s="4" t="s" vm="9852">
        <v>521</v>
      </c>
      <c r="C225" s="121" vm="18818">
        <v>45016</v>
      </c>
      <c r="D225" s="68">
        <f>IFERROR( VfM_Metrics_2023_Entity[[#This Row],[Reinvestment Spend]] / VfM_Metrics_2023_Entity[[#This Row],[Net Book Value of Housing Properties]], "n/a" )</f>
        <v>7.2736339858755814E-2</v>
      </c>
      <c r="E225"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28004</v>
      </c>
      <c r="F225" s="84" vm="10650">
        <v>22715</v>
      </c>
      <c r="G225" s="84" vm="10194">
        <v>0</v>
      </c>
      <c r="H225" s="84" vm="10670">
        <v>4744</v>
      </c>
      <c r="I225" s="84" vm="10898">
        <v>545</v>
      </c>
      <c r="J225" s="84" vm="9594">
        <v>0</v>
      </c>
      <c r="K225" s="5">
        <f xml:space="preserve"> SUM( VfM_Metrics_2023_Entity[[#This Row],[Tangible fixed assets: Housing properties at cost (Current period)]],VfM_Metrics_2023_Entity[[#This Row],[Tangible fixed assets Housing properties at valuation (Current period)]] )</f>
        <v>385007</v>
      </c>
      <c r="L225" s="84" vm="10099">
        <v>385007</v>
      </c>
      <c r="M225" s="84" vm="10159">
        <v>0</v>
      </c>
      <c r="N225" s="134">
        <f xml:space="preserve"> IFERROR( VfM_Metrics_2023_Entity[[#This Row],[Total social units developed or newly built units acquired in-year]] / VfM_Metrics_2023_Entity[[#This Row],[Social housing units owned (period end)]], "n/a" )</f>
        <v>1.4559386973180077E-2</v>
      </c>
      <c r="O225" s="5">
        <f xml:space="preserve"> SUM( VfM_Metrics_2023_Entity[[#This Row],[Total social units developed or newly built units acquired in-year (owned)]], VfM_Metrics_2023_Entity[[#This Row],[Total social leasehold units developed or newly built units acquired in-year (owned)]] )</f>
        <v>76</v>
      </c>
      <c r="P225" s="84" vm="11079">
        <v>76</v>
      </c>
      <c r="Q225" s="84" vm="11201">
        <v>0</v>
      </c>
      <c r="R225" s="5">
        <f xml:space="preserve"> SUM( VfM_Metrics_2023_Entity[[#This Row],[Total social housing units owned (Period end)]], VfM_Metrics_2023_Entity[[#This Row],[Total social leasehold units owned (Period end)]] )</f>
        <v>5220</v>
      </c>
      <c r="S225" s="84" vm="11390">
        <v>5220</v>
      </c>
      <c r="T225" s="135" vm="11510">
        <v>0</v>
      </c>
      <c r="U225" s="136">
        <f xml:space="preserve"> IFERROR( VfM_Metrics_2023_Entity[[#This Row],[Total non-social housing units developed or newly built units acquired (owned)]] / VfM_Metrics_2023_Entity[[#This Row],[Total social and non-social housing units owned (Period end)]], "n/a" )</f>
        <v>0</v>
      </c>
      <c r="V225"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25" s="84" vm="11678">
        <v>0</v>
      </c>
      <c r="X225" s="84" vm="11815">
        <v>0</v>
      </c>
      <c r="Y225" s="84" vm="11865">
        <v>0</v>
      </c>
      <c r="Z225"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5632</v>
      </c>
      <c r="AA225" s="84" vm="12058">
        <v>5220</v>
      </c>
      <c r="AB225" s="84" vm="11510">
        <v>0</v>
      </c>
      <c r="AC225" s="84" vm="12166">
        <v>21</v>
      </c>
      <c r="AD225" s="135" vm="12318">
        <v>391</v>
      </c>
      <c r="AE225" s="134">
        <f xml:space="preserve"> IFERROR( VfM_Metrics_2023_Entity[[#This Row],[Total Net Debt]] / VfM_Metrics_2023_Entity[[#This Row],[Net Book Value of Housing Properties2]], "n/a" )</f>
        <v>0.45373980213346771</v>
      </c>
      <c r="AF225"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174693</v>
      </c>
      <c r="AG225" s="84" vm="12701">
        <v>0</v>
      </c>
      <c r="AH225" s="84" vm="13354">
        <v>203918</v>
      </c>
      <c r="AI225" s="84" vm="12926">
        <v>29236</v>
      </c>
      <c r="AJ225" s="84" vm="12820">
        <v>0</v>
      </c>
      <c r="AK225" s="84" vm="13060">
        <v>11</v>
      </c>
      <c r="AL225" s="5">
        <f xml:space="preserve"> SUM( VfM_Metrics_2023_Entity[[#This Row],[Tangible fixed assets: Housing properties at cost (Current period)2]], VfM_Metrics_2023_Entity[[#This Row],[Tangible fixed assets Housing properties at valuation (Current period)2]] )</f>
        <v>385007</v>
      </c>
      <c r="AM225" s="84" vm="13395">
        <v>385007</v>
      </c>
      <c r="AN225" s="135" vm="13419">
        <v>0</v>
      </c>
      <c r="AO225" s="137">
        <f xml:space="preserve"> IFERROR( VfM_Metrics_2023_Entity[[#This Row],[EBITDA MRI]] / VfM_Metrics_2023_Entity[[#This Row],[Total interest]], "n/a" )</f>
        <v>1.7381163645582456</v>
      </c>
      <c r="AP225"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13712</v>
      </c>
      <c r="AQ225" s="84" vm="13626">
        <v>12897</v>
      </c>
      <c r="AR225" s="84" vm="14865">
        <v>1376</v>
      </c>
      <c r="AS225" s="84" vm="15108">
        <v>0</v>
      </c>
      <c r="AT225" s="84" vm="13879">
        <v>276</v>
      </c>
      <c r="AU225" s="84" vm="14132">
        <v>38</v>
      </c>
      <c r="AV225" s="84" vm="14375">
        <v>450</v>
      </c>
      <c r="AW225" s="84" vm="14622">
        <v>4744</v>
      </c>
      <c r="AX225" s="84" vm="14866">
        <v>6799</v>
      </c>
      <c r="AY225" s="5">
        <f xml:space="preserve"> - SUM( VfM_Metrics_2023_Entity[[#This Row],[Interest capitalised]], VfM_Metrics_2023_Entity[[#This Row],[Interest payable and financing costs]] )</f>
        <v>7889</v>
      </c>
      <c r="AZ225" s="84" vm="15290">
        <v>-545</v>
      </c>
      <c r="BA225" s="135" vm="15475">
        <v>-7344</v>
      </c>
      <c r="BB225" s="138">
        <f xml:space="preserve"> IFERROR( ( VfM_Metrics_2023_Entity[[#This Row],[Total Costs]] / VfM_Metrics_2023_Entity[[#This Row],[Total units for costs]] ) * 1000, "n/a" )</f>
        <v>4371.666666666667</v>
      </c>
      <c r="BC225"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23607</v>
      </c>
      <c r="BD225" s="84" vm="15609">
        <v>10850</v>
      </c>
      <c r="BE225" s="84" vm="16987">
        <v>1267</v>
      </c>
      <c r="BF225" s="84" vm="17208">
        <v>4690</v>
      </c>
      <c r="BG225" s="84" vm="17443">
        <v>600</v>
      </c>
      <c r="BH225" s="84" vm="16343">
        <v>144</v>
      </c>
      <c r="BI225" s="84" vm="16578">
        <v>0</v>
      </c>
      <c r="BJ225" s="84" vm="14622">
        <v>4744</v>
      </c>
      <c r="BK225" s="84" vm="16987">
        <v>0</v>
      </c>
      <c r="BL225" s="84" vm="17443">
        <v>0</v>
      </c>
      <c r="BM225" s="84" vm="16345">
        <v>0</v>
      </c>
      <c r="BN225" s="84" vm="16579">
        <v>916</v>
      </c>
      <c r="BO225" s="84" vm="17209">
        <v>396</v>
      </c>
      <c r="BP225" s="5" vm="17757">
        <f xml:space="preserve"> VfM_Metrics_2023_Entity[[#This Row],[Total social housing units owned and/or managed at period end]]</f>
        <v>5400</v>
      </c>
      <c r="BQ225" s="135" vm="17757">
        <v>5400</v>
      </c>
      <c r="BR225" s="134">
        <f xml:space="preserve"> IFERROR( VfM_Metrics_2023_Entity[[#This Row],[SHL operating surplus / (deficit)]] / VfM_Metrics_2023_Entity[[#This Row],[Turnover from social housing lettings]], "n/a" )</f>
        <v>0.29033745425203883</v>
      </c>
      <c r="BS225" s="5" vm="18037">
        <f xml:space="preserve"> VfM_Metrics_2023_Entity[[#This Row],[Operating surplus/(deficit) (social housing lettings)]]</f>
        <v>10075</v>
      </c>
      <c r="BT225" s="84" vm="18037">
        <v>10075</v>
      </c>
      <c r="BU225" s="5" vm="18207">
        <f xml:space="preserve"> VfM_Metrics_2023_Entity[[#This Row],[Turnover from social housing lettings]]</f>
        <v>34701</v>
      </c>
      <c r="BV225" s="135" vm="18207">
        <v>34701</v>
      </c>
      <c r="BW225" s="134">
        <f xml:space="preserve"> IFERROR( VfM_Metrics_2023_Entity[[#This Row],[Net operating surplus]] / VfM_Metrics_2023_Entity[[#This Row],[Overall turnover]], "n/a" )</f>
        <v>0.2788710575363687</v>
      </c>
      <c r="BX225" s="5">
        <f xml:space="preserve"> SUM( VfM_Metrics_2023_Entity[[#This Row],[Operating surplus/(deficit) (overall)2]], - VfM_Metrics_2023_Entity[[#This Row],[Gain/(loss) on disposal of fixed assets (housing properties)2]], - VfM_Metrics_2023_Entity[[#This Row],[Gain/(loss) on disposal of fixed assets (other)2]] )</f>
        <v>11521</v>
      </c>
      <c r="BY225" s="84" vm="13627">
        <v>12897</v>
      </c>
      <c r="BZ225" s="84" vm="14865">
        <v>1376</v>
      </c>
      <c r="CA225" s="84" vm="15108">
        <v>0</v>
      </c>
      <c r="CB225" s="5" vm="18387">
        <f xml:space="preserve"> VfM_Metrics_2023_Entity[[#This Row],[Turnover (overall)]]</f>
        <v>41313</v>
      </c>
      <c r="CC225" s="135" vm="18387">
        <v>41313</v>
      </c>
      <c r="CD225" s="134">
        <f xml:space="preserve"> IFERROR( VfM_Metrics_2023_Entity[[#This Row],[Operating surplus including from JVs]] / VfM_Metrics_2023_Entity[[#This Row],[Net assets]], "n/a" )</f>
        <v>3.1818910750632208E-2</v>
      </c>
      <c r="CE225" s="5">
        <f xml:space="preserve"> SUM( VfM_Metrics_2023_Entity[[#This Row],[Operating surplus/(deficit) (overall)3]], VfM_Metrics_2023_Entity[[#This Row],[Share of operating surplus/(deficit) in joint ventures or associates]] )</f>
        <v>12897</v>
      </c>
      <c r="CF225" s="84" vm="13626">
        <v>12897</v>
      </c>
      <c r="CG225" s="84" vm="18548">
        <v>0</v>
      </c>
      <c r="CH225" s="5" vm="18755">
        <f xml:space="preserve"> VfM_Metrics_2023_Entity[[#This Row],[Total assets less current liabilities]]</f>
        <v>405325</v>
      </c>
      <c r="CI225" s="135" vm="18755">
        <v>405325</v>
      </c>
      <c r="CJ225" s="140" vm="11390">
        <f xml:space="preserve"> VfM_Metrics_2023_Entity[[#This Row],[Total social housing units owned (Period end)]]</f>
        <v>5220</v>
      </c>
      <c r="CK225" s="141">
        <v>0</v>
      </c>
      <c r="CL225" s="69">
        <f xml:space="preserve"> -- ( VfM_Metrics_2023_Entity[[#This Row],[% Supported housing (excl. HOP)]] &gt; 0.3 )</f>
        <v>0</v>
      </c>
      <c r="CM225" s="9">
        <v>9.0088359585094119E-2</v>
      </c>
      <c r="CN225" s="69">
        <f xml:space="preserve"> -- ( VfM_Metrics_2023_Entity[[#This Row],[% Housing for older people]] &gt; 0.3 )</f>
        <v>0</v>
      </c>
      <c r="CO225" s="9">
        <f xml:space="preserve"> VfM_Metrics_2023_Entity[[#This Row],[% Supported housing (excl. HOP)]] + VfM_Metrics_2023_Entity[[#This Row],[% Housing for older people]]</f>
        <v>9.0088359585094119E-2</v>
      </c>
      <c r="CP225" s="69">
        <f xml:space="preserve"> -- ( VfM_Metrics_2023_Entity[[#This Row],[SH specialist in RSH analysis]] + VfM_Metrics_2023_Entity[[#This Row],[OP specialist in RSH analysis]] &gt; 0 )</f>
        <v>0</v>
      </c>
      <c r="CQ225" s="142">
        <f xml:space="preserve"> -- ( VfM_Metrics_2023_Entity[[#This Row],[% SH and OP]] &gt; 0.3 )</f>
        <v>0</v>
      </c>
      <c r="CR225" s="143" t="s">
        <v>143</v>
      </c>
      <c r="CS225" s="120"/>
      <c r="CT225" s="144" t="s">
        <v>151</v>
      </c>
      <c r="CU225"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East of England</v>
      </c>
      <c r="CV225" s="146">
        <v>0</v>
      </c>
      <c r="CW225" s="146">
        <v>0</v>
      </c>
      <c r="CX225" s="146">
        <v>0</v>
      </c>
      <c r="CY225" s="146">
        <v>0</v>
      </c>
      <c r="CZ225" s="146">
        <v>0</v>
      </c>
      <c r="DA225" s="146">
        <v>1</v>
      </c>
      <c r="DB225" s="146">
        <v>0</v>
      </c>
      <c r="DC225" s="146">
        <v>0</v>
      </c>
      <c r="DD225" s="146">
        <v>0</v>
      </c>
      <c r="DE225" s="126">
        <v>1.0113701298544711</v>
      </c>
    </row>
    <row r="226" spans="1:109" x14ac:dyDescent="0.25">
      <c r="A226" s="4" t="s" vm="307">
        <v>522</v>
      </c>
      <c r="B226" s="4" t="s" vm="9856">
        <v>523</v>
      </c>
      <c r="C226" s="121" vm="18775">
        <v>45016</v>
      </c>
      <c r="D226" s="68">
        <f>IFERROR( VfM_Metrics_2023_Entity[[#This Row],[Reinvestment Spend]] / VfM_Metrics_2023_Entity[[#This Row],[Net Book Value of Housing Properties]], "n/a" )</f>
        <v>0.23221327771078448</v>
      </c>
      <c r="E226"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14250</v>
      </c>
      <c r="F226" s="84" vm="10004">
        <v>0</v>
      </c>
      <c r="G226" s="84" vm="10435">
        <v>0</v>
      </c>
      <c r="H226" s="84" vm="10380">
        <v>14250</v>
      </c>
      <c r="I226" s="84" vm="10327">
        <v>0</v>
      </c>
      <c r="J226" s="84" vm="10044">
        <v>0</v>
      </c>
      <c r="K226" s="5">
        <f xml:space="preserve"> SUM( VfM_Metrics_2023_Entity[[#This Row],[Tangible fixed assets: Housing properties at cost (Current period)]],VfM_Metrics_2023_Entity[[#This Row],[Tangible fixed assets Housing properties at valuation (Current period)]] )</f>
        <v>61366</v>
      </c>
      <c r="L226" s="84" vm="10505">
        <v>61366</v>
      </c>
      <c r="M226" s="84">
        <v>0</v>
      </c>
      <c r="N226" s="134">
        <f xml:space="preserve"> IFERROR( VfM_Metrics_2023_Entity[[#This Row],[Total social units developed or newly built units acquired in-year]] / VfM_Metrics_2023_Entity[[#This Row],[Social housing units owned (period end)]], "n/a" )</f>
        <v>0</v>
      </c>
      <c r="O226" s="5">
        <f xml:space="preserve"> SUM( VfM_Metrics_2023_Entity[[#This Row],[Total social units developed or newly built units acquired in-year (owned)]], VfM_Metrics_2023_Entity[[#This Row],[Total social leasehold units developed or newly built units acquired in-year (owned)]] )</f>
        <v>0</v>
      </c>
      <c r="P226" s="84" vm="11100">
        <v>0</v>
      </c>
      <c r="Q226" s="84">
        <v>0</v>
      </c>
      <c r="R226" s="5">
        <f xml:space="preserve"> SUM( VfM_Metrics_2023_Entity[[#This Row],[Total social housing units owned (Period end)]], VfM_Metrics_2023_Entity[[#This Row],[Total social leasehold units owned (Period end)]] )</f>
        <v>2615</v>
      </c>
      <c r="S226" s="84" vm="11327">
        <v>2615</v>
      </c>
      <c r="T226" s="135" vm="11543">
        <v>0</v>
      </c>
      <c r="U226" s="136">
        <f xml:space="preserve"> IFERROR( VfM_Metrics_2023_Entity[[#This Row],[Total non-social housing units developed or newly built units acquired (owned)]] / VfM_Metrics_2023_Entity[[#This Row],[Total social and non-social housing units owned (Period end)]], "n/a" )</f>
        <v>0</v>
      </c>
      <c r="V226"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26" s="84">
        <v>0</v>
      </c>
      <c r="X226" s="84">
        <v>0</v>
      </c>
      <c r="Y226" s="84">
        <v>0</v>
      </c>
      <c r="Z226"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3005</v>
      </c>
      <c r="AA226" s="84" vm="11965">
        <v>2615</v>
      </c>
      <c r="AB226" s="84" vm="12467">
        <v>0</v>
      </c>
      <c r="AC226" s="84" vm="12412">
        <v>0</v>
      </c>
      <c r="AD226" s="135" vm="12545">
        <v>390</v>
      </c>
      <c r="AE226" s="134">
        <f xml:space="preserve"> IFERROR( VfM_Metrics_2023_Entity[[#This Row],[Total Net Debt]] / VfM_Metrics_2023_Entity[[#This Row],[Net Book Value of Housing Properties2]], "n/a" )</f>
        <v>-4.170061597627351E-2</v>
      </c>
      <c r="AF226"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-2559</v>
      </c>
      <c r="AG226" s="84">
        <v>0</v>
      </c>
      <c r="AH226" s="84" vm="13151">
        <v>880</v>
      </c>
      <c r="AI226" s="84" vm="13232">
        <v>3439</v>
      </c>
      <c r="AJ226" s="84">
        <v>0</v>
      </c>
      <c r="AK226" s="84">
        <v>0</v>
      </c>
      <c r="AL226" s="5">
        <f xml:space="preserve"> SUM( VfM_Metrics_2023_Entity[[#This Row],[Tangible fixed assets: Housing properties at cost (Current period)2]], VfM_Metrics_2023_Entity[[#This Row],[Tangible fixed assets Housing properties at valuation (Current period)2]] )</f>
        <v>61366</v>
      </c>
      <c r="AM226" s="84" vm="10052">
        <v>61366</v>
      </c>
      <c r="AN226" s="135">
        <v>0</v>
      </c>
      <c r="AO226" s="137">
        <f xml:space="preserve"> IFERROR( VfM_Metrics_2023_Entity[[#This Row],[EBITDA MRI]] / VfM_Metrics_2023_Entity[[#This Row],[Total interest]], "n/a" )</f>
        <v>-37.562724014336915</v>
      </c>
      <c r="AP226"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-10480</v>
      </c>
      <c r="AQ226" s="84" vm="13464">
        <v>2539</v>
      </c>
      <c r="AR226" s="84" vm="15109">
        <v>618</v>
      </c>
      <c r="AS226" s="84">
        <v>0</v>
      </c>
      <c r="AT226" s="84" vm="14133">
        <v>534</v>
      </c>
      <c r="AU226" s="84" vm="14376">
        <v>0</v>
      </c>
      <c r="AV226" s="84" vm="14623">
        <v>7</v>
      </c>
      <c r="AW226" s="84" vm="14867">
        <v>14250</v>
      </c>
      <c r="AX226" s="84" vm="15110">
        <v>2376</v>
      </c>
      <c r="AY226" s="5">
        <f xml:space="preserve"> - SUM( VfM_Metrics_2023_Entity[[#This Row],[Interest capitalised]], VfM_Metrics_2023_Entity[[#This Row],[Interest payable and financing costs]] )</f>
        <v>279</v>
      </c>
      <c r="AZ226" s="84" vm="15303">
        <v>0</v>
      </c>
      <c r="BA226" s="135" vm="15503">
        <v>-279</v>
      </c>
      <c r="BB226" s="138">
        <f xml:space="preserve"> IFERROR( ( VfM_Metrics_2023_Entity[[#This Row],[Total Costs]] / VfM_Metrics_2023_Entity[[#This Row],[Total units for costs]] ) * 1000, "n/a" )</f>
        <v>10344.550669216062</v>
      </c>
      <c r="BC226"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27051</v>
      </c>
      <c r="BD226" s="84" vm="15602">
        <v>2721</v>
      </c>
      <c r="BE226" s="84" vm="16988">
        <v>3113</v>
      </c>
      <c r="BF226" s="84" vm="17210">
        <v>3922</v>
      </c>
      <c r="BG226" s="84" vm="17443">
        <v>1309</v>
      </c>
      <c r="BH226" s="84" vm="16347">
        <v>0</v>
      </c>
      <c r="BI226" s="84" vm="16580">
        <v>0</v>
      </c>
      <c r="BJ226" s="84" vm="14867">
        <v>14250</v>
      </c>
      <c r="BK226" s="84" vm="16988">
        <v>0</v>
      </c>
      <c r="BL226" s="84">
        <v>0</v>
      </c>
      <c r="BM226" s="84">
        <v>0</v>
      </c>
      <c r="BN226" s="84" vm="16581">
        <v>1736</v>
      </c>
      <c r="BO226" s="84">
        <v>0</v>
      </c>
      <c r="BP226" s="5" vm="17788">
        <f xml:space="preserve"> VfM_Metrics_2023_Entity[[#This Row],[Total social housing units owned and/or managed at period end]]</f>
        <v>2615</v>
      </c>
      <c r="BQ226" s="135" vm="17788">
        <v>2615</v>
      </c>
      <c r="BR226" s="134">
        <f xml:space="preserve"> IFERROR( VfM_Metrics_2023_Entity[[#This Row],[SHL operating surplus / (deficit)]] / VfM_Metrics_2023_Entity[[#This Row],[Turnover from social housing lettings]], "n/a" )</f>
        <v>0.15531524694871307</v>
      </c>
      <c r="BS226" s="5" vm="17867">
        <f xml:space="preserve"> VfM_Metrics_2023_Entity[[#This Row],[Operating surplus/(deficit) (social housing lettings)]]</f>
        <v>2456</v>
      </c>
      <c r="BT226" s="84" vm="17867">
        <v>2456</v>
      </c>
      <c r="BU226" s="5" vm="18083">
        <f xml:space="preserve"> VfM_Metrics_2023_Entity[[#This Row],[Turnover from social housing lettings]]</f>
        <v>15813</v>
      </c>
      <c r="BV226" s="135" vm="18083">
        <v>15813</v>
      </c>
      <c r="BW226" s="134">
        <f xml:space="preserve"> IFERROR( VfM_Metrics_2023_Entity[[#This Row],[Net operating surplus]] / VfM_Metrics_2023_Entity[[#This Row],[Overall turnover]], "n/a" )</f>
        <v>0.11280756356803101</v>
      </c>
      <c r="BX226" s="5">
        <f xml:space="preserve"> SUM( VfM_Metrics_2023_Entity[[#This Row],[Operating surplus/(deficit) (overall)2]], - VfM_Metrics_2023_Entity[[#This Row],[Gain/(loss) on disposal of fixed assets (housing properties)2]], - VfM_Metrics_2023_Entity[[#This Row],[Gain/(loss) on disposal of fixed assets (other)2]] )</f>
        <v>1921</v>
      </c>
      <c r="BY226" s="84" vm="13464">
        <v>2539</v>
      </c>
      <c r="BZ226" s="84" vm="15109">
        <v>618</v>
      </c>
      <c r="CA226" s="84">
        <v>0</v>
      </c>
      <c r="CB226" s="5" vm="18424">
        <f xml:space="preserve"> VfM_Metrics_2023_Entity[[#This Row],[Turnover (overall)]]</f>
        <v>17029</v>
      </c>
      <c r="CC226" s="135" vm="18424">
        <v>17029</v>
      </c>
      <c r="CD226" s="134">
        <f xml:space="preserve"> IFERROR( VfM_Metrics_2023_Entity[[#This Row],[Operating surplus including from JVs]] / VfM_Metrics_2023_Entity[[#This Row],[Net assets]], "n/a" )</f>
        <v>3.9925777994433351E-2</v>
      </c>
      <c r="CE226" s="5">
        <f xml:space="preserve"> SUM( VfM_Metrics_2023_Entity[[#This Row],[Operating surplus/(deficit) (overall)3]], VfM_Metrics_2023_Entity[[#This Row],[Share of operating surplus/(deficit) in joint ventures or associates]] )</f>
        <v>2539</v>
      </c>
      <c r="CF226" s="84" vm="13464">
        <v>2539</v>
      </c>
      <c r="CG226" s="84">
        <v>0</v>
      </c>
      <c r="CH226" s="5" vm="18604">
        <f xml:space="preserve"> VfM_Metrics_2023_Entity[[#This Row],[Total assets less current liabilities]]</f>
        <v>63593</v>
      </c>
      <c r="CI226" s="135" vm="18604">
        <v>63593</v>
      </c>
      <c r="CJ226" s="140" vm="11327">
        <f xml:space="preserve"> VfM_Metrics_2023_Entity[[#This Row],[Total social housing units owned (Period end)]]</f>
        <v>2615</v>
      </c>
      <c r="CK226" s="141">
        <v>0</v>
      </c>
      <c r="CL226" s="69">
        <f xml:space="preserve"> -- ( VfM_Metrics_2023_Entity[[#This Row],[% Supported housing (excl. HOP)]] &gt; 0.3 )</f>
        <v>0</v>
      </c>
      <c r="CM226" s="9">
        <v>3.2887189292543022E-2</v>
      </c>
      <c r="CN226" s="69">
        <f xml:space="preserve"> -- ( VfM_Metrics_2023_Entity[[#This Row],[% Housing for older people]] &gt; 0.3 )</f>
        <v>0</v>
      </c>
      <c r="CO226" s="9">
        <f xml:space="preserve"> VfM_Metrics_2023_Entity[[#This Row],[% Supported housing (excl. HOP)]] + VfM_Metrics_2023_Entity[[#This Row],[% Housing for older people]]</f>
        <v>3.2887189292543022E-2</v>
      </c>
      <c r="CP226" s="69">
        <f xml:space="preserve"> -- ( VfM_Metrics_2023_Entity[[#This Row],[SH specialist in RSH analysis]] + VfM_Metrics_2023_Entity[[#This Row],[OP specialist in RSH analysis]] &gt; 0 )</f>
        <v>0</v>
      </c>
      <c r="CQ226" s="142">
        <f xml:space="preserve"> -- ( VfM_Metrics_2023_Entity[[#This Row],[% SH and OP]] &gt; 0.3 )</f>
        <v>0</v>
      </c>
      <c r="CR226" s="143" t="s">
        <v>143</v>
      </c>
      <c r="CS226" s="120"/>
      <c r="CT226" s="144" t="s">
        <v>151</v>
      </c>
      <c r="CU226"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West Midlands</v>
      </c>
      <c r="CV226" s="146">
        <v>0.35296367112810706</v>
      </c>
      <c r="CW226" s="146">
        <v>0</v>
      </c>
      <c r="CX226" s="146">
        <v>0</v>
      </c>
      <c r="CY226" s="146">
        <v>0</v>
      </c>
      <c r="CZ226" s="146">
        <v>0.64703632887189289</v>
      </c>
      <c r="DA226" s="146">
        <v>0</v>
      </c>
      <c r="DB226" s="146">
        <v>0</v>
      </c>
      <c r="DC226" s="146">
        <v>0</v>
      </c>
      <c r="DD226" s="146">
        <v>0</v>
      </c>
      <c r="DE226" s="126">
        <v>1.0336934590933662</v>
      </c>
    </row>
    <row r="227" spans="1:109" x14ac:dyDescent="0.25">
      <c r="A227" s="4" t="s" vm="372">
        <v>524</v>
      </c>
      <c r="B227" s="4" t="s" vm="10893">
        <v>525</v>
      </c>
      <c r="C227" s="121" vm="18772">
        <v>45016</v>
      </c>
      <c r="D227" s="68">
        <f>IFERROR( VfM_Metrics_2023_Entity[[#This Row],[Reinvestment Spend]] / VfM_Metrics_2023_Entity[[#This Row],[Net Book Value of Housing Properties]], "n/a" )</f>
        <v>8.426766142045812E-2</v>
      </c>
      <c r="E227"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12063</v>
      </c>
      <c r="F227" s="84" vm="9850">
        <v>3525</v>
      </c>
      <c r="G227" s="84" vm="10202">
        <v>5081</v>
      </c>
      <c r="H227" s="84" vm="10339">
        <v>3160</v>
      </c>
      <c r="I227" s="84" vm="10203">
        <v>297</v>
      </c>
      <c r="J227" s="84" vm="10747">
        <v>0</v>
      </c>
      <c r="K227" s="5">
        <f xml:space="preserve"> SUM( VfM_Metrics_2023_Entity[[#This Row],[Tangible fixed assets: Housing properties at cost (Current period)]],VfM_Metrics_2023_Entity[[#This Row],[Tangible fixed assets Housing properties at valuation (Current period)]] )</f>
        <v>143151</v>
      </c>
      <c r="L227" s="84" vm="10041">
        <v>143151</v>
      </c>
      <c r="M227" s="84" vm="10020">
        <v>0</v>
      </c>
      <c r="N227" s="134">
        <f xml:space="preserve"> IFERROR( VfM_Metrics_2023_Entity[[#This Row],[Total social units developed or newly built units acquired in-year]] / VfM_Metrics_2023_Entity[[#This Row],[Social housing units owned (period end)]], "n/a" )</f>
        <v>2.5925925925925925E-2</v>
      </c>
      <c r="O227" s="5">
        <f xml:space="preserve"> SUM( VfM_Metrics_2023_Entity[[#This Row],[Total social units developed or newly built units acquired in-year (owned)]], VfM_Metrics_2023_Entity[[#This Row],[Total social leasehold units developed or newly built units acquired in-year (owned)]] )</f>
        <v>168</v>
      </c>
      <c r="P227" s="84" vm="11032">
        <v>168</v>
      </c>
      <c r="Q227" s="84" vm="11129">
        <v>0</v>
      </c>
      <c r="R227" s="5">
        <f xml:space="preserve"> SUM( VfM_Metrics_2023_Entity[[#This Row],[Total social housing units owned (Period end)]], VfM_Metrics_2023_Entity[[#This Row],[Total social leasehold units owned (Period end)]] )</f>
        <v>6480</v>
      </c>
      <c r="S227" s="84" vm="11362">
        <v>6345</v>
      </c>
      <c r="T227" s="135" vm="11460">
        <v>135</v>
      </c>
      <c r="U227" s="136">
        <f xml:space="preserve"> IFERROR( VfM_Metrics_2023_Entity[[#This Row],[Total non-social housing units developed or newly built units acquired (owned)]] / VfM_Metrics_2023_Entity[[#This Row],[Total social and non-social housing units owned (Period end)]], "n/a" )</f>
        <v>0</v>
      </c>
      <c r="V227"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27" s="84" vm="11608">
        <v>0</v>
      </c>
      <c r="X227" s="84" vm="11758">
        <v>0</v>
      </c>
      <c r="Y227" s="84" vm="11778">
        <v>0</v>
      </c>
      <c r="Z227"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6480</v>
      </c>
      <c r="AA227" s="84" vm="12019">
        <v>6345</v>
      </c>
      <c r="AB227" s="84" vm="12222">
        <v>135</v>
      </c>
      <c r="AC227" s="84" vm="12167">
        <v>0</v>
      </c>
      <c r="AD227" s="135" vm="12318">
        <v>0</v>
      </c>
      <c r="AE227" s="134">
        <f xml:space="preserve"> IFERROR( VfM_Metrics_2023_Entity[[#This Row],[Total Net Debt]] / VfM_Metrics_2023_Entity[[#This Row],[Net Book Value of Housing Properties2]], "n/a" )</f>
        <v>0.52122583845030768</v>
      </c>
      <c r="AF227"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74614</v>
      </c>
      <c r="AG227" s="84" vm="12603">
        <v>413</v>
      </c>
      <c r="AH227" s="84" vm="12821">
        <v>76705</v>
      </c>
      <c r="AI227" s="84" vm="13006">
        <v>2554</v>
      </c>
      <c r="AJ227" s="84" vm="13090">
        <v>0</v>
      </c>
      <c r="AK227" s="84" vm="13177">
        <v>50</v>
      </c>
      <c r="AL227" s="5">
        <f xml:space="preserve"> SUM( VfM_Metrics_2023_Entity[[#This Row],[Tangible fixed assets: Housing properties at cost (Current period)2]], VfM_Metrics_2023_Entity[[#This Row],[Tangible fixed assets Housing properties at valuation (Current period)2]] )</f>
        <v>143151</v>
      </c>
      <c r="AM227" s="84" vm="10041">
        <v>143151</v>
      </c>
      <c r="AN227" s="135" vm="10182">
        <v>0</v>
      </c>
      <c r="AO227" s="137">
        <f xml:space="preserve"> IFERROR( VfM_Metrics_2023_Entity[[#This Row],[EBITDA MRI]] / VfM_Metrics_2023_Entity[[#This Row],[Total interest]], "n/a" )</f>
        <v>1.8536656041727035</v>
      </c>
      <c r="AP227"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6397</v>
      </c>
      <c r="AQ227" s="84" vm="13497">
        <v>6932</v>
      </c>
      <c r="AR227" s="84" vm="13880">
        <v>1114</v>
      </c>
      <c r="AS227" s="84" vm="14134">
        <v>22</v>
      </c>
      <c r="AT227" s="84" vm="14377">
        <v>171</v>
      </c>
      <c r="AU227" s="84" vm="14624">
        <v>0</v>
      </c>
      <c r="AV227" s="84" vm="14868">
        <v>39</v>
      </c>
      <c r="AW227" s="84" vm="15111">
        <v>3457</v>
      </c>
      <c r="AX227" s="84" vm="13881">
        <v>4190</v>
      </c>
      <c r="AY227" s="5">
        <f xml:space="preserve"> - SUM( VfM_Metrics_2023_Entity[[#This Row],[Interest capitalised]], VfM_Metrics_2023_Entity[[#This Row],[Interest payable and financing costs]] )</f>
        <v>3451</v>
      </c>
      <c r="AZ227" s="84" vm="15185">
        <v>-297</v>
      </c>
      <c r="BA227" s="135" vm="15346">
        <v>-3154</v>
      </c>
      <c r="BB227" s="138">
        <f xml:space="preserve"> IFERROR( ( VfM_Metrics_2023_Entity[[#This Row],[Total Costs]] / VfM_Metrics_2023_Entity[[#This Row],[Total units for costs]] ) * 1000, "n/a" )</f>
        <v>4498.9755713159966</v>
      </c>
      <c r="BC227"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28546</v>
      </c>
      <c r="BD227" s="84" vm="15535">
        <v>5835</v>
      </c>
      <c r="BE227" s="84" vm="16989">
        <v>1140</v>
      </c>
      <c r="BF227" s="84" vm="17211">
        <v>7479</v>
      </c>
      <c r="BG227" s="84" vm="17444">
        <v>1749</v>
      </c>
      <c r="BH227" s="84" vm="16349">
        <v>6446</v>
      </c>
      <c r="BI227" s="84" vm="16582">
        <v>0</v>
      </c>
      <c r="BJ227" s="84" vm="15111">
        <v>3457</v>
      </c>
      <c r="BK227" s="84" vm="16990">
        <v>0</v>
      </c>
      <c r="BL227" s="84" vm="17445">
        <v>0</v>
      </c>
      <c r="BM227" s="84" vm="16351">
        <v>802</v>
      </c>
      <c r="BN227" s="84" vm="16583">
        <v>0</v>
      </c>
      <c r="BO227" s="84" vm="17212">
        <v>1638</v>
      </c>
      <c r="BP227" s="5" vm="17651">
        <f xml:space="preserve"> VfM_Metrics_2023_Entity[[#This Row],[Total social housing units owned and/or managed at period end]]</f>
        <v>6345</v>
      </c>
      <c r="BQ227" s="135" vm="17651">
        <v>6345</v>
      </c>
      <c r="BR227" s="134">
        <f xml:space="preserve"> IFERROR( VfM_Metrics_2023_Entity[[#This Row],[SHL operating surplus / (deficit)]] / VfM_Metrics_2023_Entity[[#This Row],[Turnover from social housing lettings]], "n/a" )</f>
        <v>0.18333129733691669</v>
      </c>
      <c r="BS227" s="5" vm="17905">
        <f xml:space="preserve"> VfM_Metrics_2023_Entity[[#This Row],[Operating surplus/(deficit) (social housing lettings)]]</f>
        <v>6003</v>
      </c>
      <c r="BT227" s="84" vm="17905">
        <v>6003</v>
      </c>
      <c r="BU227" s="5" vm="18104">
        <f xml:space="preserve"> VfM_Metrics_2023_Entity[[#This Row],[Turnover from social housing lettings]]</f>
        <v>32744</v>
      </c>
      <c r="BV227" s="135" vm="18104">
        <v>32744</v>
      </c>
      <c r="BW227" s="134">
        <f xml:space="preserve"> IFERROR( VfM_Metrics_2023_Entity[[#This Row],[Net operating surplus]] / VfM_Metrics_2023_Entity[[#This Row],[Overall turnover]], "n/a" )</f>
        <v>0.15609598448735557</v>
      </c>
      <c r="BX227" s="5">
        <f xml:space="preserve"> SUM( VfM_Metrics_2023_Entity[[#This Row],[Operating surplus/(deficit) (overall)2]], - VfM_Metrics_2023_Entity[[#This Row],[Gain/(loss) on disposal of fixed assets (housing properties)2]], - VfM_Metrics_2023_Entity[[#This Row],[Gain/(loss) on disposal of fixed assets (other)2]] )</f>
        <v>5796</v>
      </c>
      <c r="BY227" s="84" vm="13497">
        <v>6932</v>
      </c>
      <c r="BZ227" s="84" vm="13880">
        <v>1114</v>
      </c>
      <c r="CA227" s="84" vm="14134">
        <v>22</v>
      </c>
      <c r="CB227" s="5" vm="18420">
        <f xml:space="preserve"> VfM_Metrics_2023_Entity[[#This Row],[Turnover (overall)]]</f>
        <v>37131</v>
      </c>
      <c r="CC227" s="135" vm="18420">
        <v>37131</v>
      </c>
      <c r="CD227" s="134">
        <f xml:space="preserve"> IFERROR( VfM_Metrics_2023_Entity[[#This Row],[Operating surplus including from JVs]] / VfM_Metrics_2023_Entity[[#This Row],[Net assets]], "n/a" )</f>
        <v>4.7017010770775115E-2</v>
      </c>
      <c r="CE227" s="5">
        <f xml:space="preserve"> SUM( VfM_Metrics_2023_Entity[[#This Row],[Operating surplus/(deficit) (overall)3]], VfM_Metrics_2023_Entity[[#This Row],[Share of operating surplus/(deficit) in joint ventures or associates]] )</f>
        <v>6932</v>
      </c>
      <c r="CF227" s="84" vm="13497">
        <v>6932</v>
      </c>
      <c r="CG227" s="84" vm="18468">
        <v>0</v>
      </c>
      <c r="CH227" s="5" vm="18641">
        <f xml:space="preserve"> VfM_Metrics_2023_Entity[[#This Row],[Total assets less current liabilities]]</f>
        <v>147436</v>
      </c>
      <c r="CI227" s="135" vm="18641">
        <v>147436</v>
      </c>
      <c r="CJ227" s="140" vm="11362">
        <f xml:space="preserve"> VfM_Metrics_2023_Entity[[#This Row],[Total social housing units owned (Period end)]]</f>
        <v>6345</v>
      </c>
      <c r="CK227" s="141">
        <v>1.420678768745067E-3</v>
      </c>
      <c r="CL227" s="69">
        <f xml:space="preserve"> -- ( VfM_Metrics_2023_Entity[[#This Row],[% Supported housing (excl. HOP)]] &gt; 0.3 )</f>
        <v>0</v>
      </c>
      <c r="CM227" s="9">
        <v>1.7205998421468034E-2</v>
      </c>
      <c r="CN227" s="69">
        <f xml:space="preserve"> -- ( VfM_Metrics_2023_Entity[[#This Row],[% Housing for older people]] &gt; 0.3 )</f>
        <v>0</v>
      </c>
      <c r="CO227" s="9">
        <f xml:space="preserve"> VfM_Metrics_2023_Entity[[#This Row],[% Supported housing (excl. HOP)]] + VfM_Metrics_2023_Entity[[#This Row],[% Housing for older people]]</f>
        <v>1.86266771902131E-2</v>
      </c>
      <c r="CP227" s="69">
        <f xml:space="preserve"> -- ( VfM_Metrics_2023_Entity[[#This Row],[SH specialist in RSH analysis]] + VfM_Metrics_2023_Entity[[#This Row],[OP specialist in RSH analysis]] &gt; 0 )</f>
        <v>0</v>
      </c>
      <c r="CQ227" s="142">
        <f xml:space="preserve"> -- ( VfM_Metrics_2023_Entity[[#This Row],[% SH and OP]] &gt; 0.3 )</f>
        <v>0</v>
      </c>
      <c r="CR227" s="143" t="s">
        <v>143</v>
      </c>
      <c r="CS227" s="120"/>
      <c r="CT227" s="144" t="s">
        <v>151</v>
      </c>
      <c r="CU227"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227" s="146">
        <v>0</v>
      </c>
      <c r="CW227" s="146">
        <v>0</v>
      </c>
      <c r="CX227" s="146">
        <v>0</v>
      </c>
      <c r="CY227" s="146">
        <v>0</v>
      </c>
      <c r="CZ227" s="146">
        <v>0</v>
      </c>
      <c r="DA227" s="146">
        <v>0</v>
      </c>
      <c r="DB227" s="146">
        <v>0</v>
      </c>
      <c r="DC227" s="146">
        <v>1</v>
      </c>
      <c r="DD227" s="146">
        <v>0</v>
      </c>
      <c r="DE227" s="126">
        <v>0.96105917141044694</v>
      </c>
    </row>
    <row r="228" spans="1:109" x14ac:dyDescent="0.25">
      <c r="A228" s="4" t="s" vm="352">
        <v>526</v>
      </c>
      <c r="B228" s="4" t="s" vm="10934">
        <v>527</v>
      </c>
      <c r="C228" s="121" vm="18975">
        <v>44926</v>
      </c>
      <c r="D228" s="68">
        <f>IFERROR( VfM_Metrics_2023_Entity[[#This Row],[Reinvestment Spend]] / VfM_Metrics_2023_Entity[[#This Row],[Net Book Value of Housing Properties]], "n/a" )</f>
        <v>5.971372424505067E-2</v>
      </c>
      <c r="E228"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41751</v>
      </c>
      <c r="F228" s="84" vm="10007">
        <v>31607</v>
      </c>
      <c r="G228" s="84" vm="9859">
        <v>0</v>
      </c>
      <c r="H228" s="84" vm="10781">
        <v>9113</v>
      </c>
      <c r="I228" s="84" vm="10880">
        <v>1031</v>
      </c>
      <c r="J228" s="84" vm="10296">
        <v>0</v>
      </c>
      <c r="K228" s="5">
        <f xml:space="preserve"> SUM( VfM_Metrics_2023_Entity[[#This Row],[Tangible fixed assets: Housing properties at cost (Current period)]],VfM_Metrics_2023_Entity[[#This Row],[Tangible fixed assets Housing properties at valuation (Current period)]] )</f>
        <v>699186</v>
      </c>
      <c r="L228" s="84" vm="9933">
        <v>699186</v>
      </c>
      <c r="M228" s="84" vm="10115">
        <v>0</v>
      </c>
      <c r="N228" s="134">
        <f xml:space="preserve"> IFERROR( VfM_Metrics_2023_Entity[[#This Row],[Total social units developed or newly built units acquired in-year]] / VfM_Metrics_2023_Entity[[#This Row],[Social housing units owned (period end)]], "n/a" )</f>
        <v>1.8048780487804877E-2</v>
      </c>
      <c r="O228" s="5">
        <f xml:space="preserve"> SUM( VfM_Metrics_2023_Entity[[#This Row],[Total social units developed or newly built units acquired in-year (owned)]], VfM_Metrics_2023_Entity[[#This Row],[Total social leasehold units developed or newly built units acquired in-year (owned)]] )</f>
        <v>148</v>
      </c>
      <c r="P228" s="84" vm="10987">
        <v>148</v>
      </c>
      <c r="Q228" s="84">
        <v>0</v>
      </c>
      <c r="R228" s="5">
        <f xml:space="preserve"> SUM( VfM_Metrics_2023_Entity[[#This Row],[Total social housing units owned (Period end)]], VfM_Metrics_2023_Entity[[#This Row],[Total social leasehold units owned (Period end)]] )</f>
        <v>8200</v>
      </c>
      <c r="S228" s="84" vm="11305">
        <v>7954</v>
      </c>
      <c r="T228" s="135" vm="11552">
        <v>246</v>
      </c>
      <c r="U228" s="136">
        <f xml:space="preserve"> IFERROR( VfM_Metrics_2023_Entity[[#This Row],[Total non-social housing units developed or newly built units acquired (owned)]] / VfM_Metrics_2023_Entity[[#This Row],[Total social and non-social housing units owned (Period end)]], "n/a" )</f>
        <v>0</v>
      </c>
      <c r="V228"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28" s="84">
        <v>0</v>
      </c>
      <c r="X228" s="84">
        <v>0</v>
      </c>
      <c r="Y228" s="84" vm="11866">
        <v>0</v>
      </c>
      <c r="Z228"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8201</v>
      </c>
      <c r="AA228" s="84" vm="11980">
        <v>7954</v>
      </c>
      <c r="AB228" s="84" vm="12468">
        <v>246</v>
      </c>
      <c r="AC228" s="84" vm="12413">
        <v>0</v>
      </c>
      <c r="AD228" s="135" vm="12545">
        <v>1</v>
      </c>
      <c r="AE228" s="134">
        <f xml:space="preserve"> IFERROR( VfM_Metrics_2023_Entity[[#This Row],[Total Net Debt]] / VfM_Metrics_2023_Entity[[#This Row],[Net Book Value of Housing Properties2]], "n/a" )</f>
        <v>0.41040009382338893</v>
      </c>
      <c r="AF228"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286946</v>
      </c>
      <c r="AG228" s="84" vm="12632">
        <v>4179</v>
      </c>
      <c r="AH228" s="84" vm="13261">
        <v>267074</v>
      </c>
      <c r="AI228" s="84" vm="13355">
        <v>5669</v>
      </c>
      <c r="AJ228" s="84" vm="12822">
        <v>0</v>
      </c>
      <c r="AK228" s="84" vm="12967">
        <v>21362</v>
      </c>
      <c r="AL228" s="5">
        <f xml:space="preserve"> SUM( VfM_Metrics_2023_Entity[[#This Row],[Tangible fixed assets: Housing properties at cost (Current period)2]], VfM_Metrics_2023_Entity[[#This Row],[Tangible fixed assets Housing properties at valuation (Current period)2]] )</f>
        <v>699186</v>
      </c>
      <c r="AM228" s="84" vm="9933">
        <v>699186</v>
      </c>
      <c r="AN228" s="135" vm="10115">
        <v>0</v>
      </c>
      <c r="AO228" s="137">
        <f xml:space="preserve"> IFERROR( VfM_Metrics_2023_Entity[[#This Row],[EBITDA MRI]] / VfM_Metrics_2023_Entity[[#This Row],[Total interest]], "n/a" )</f>
        <v>1.2865446716899893</v>
      </c>
      <c r="AP228"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11952</v>
      </c>
      <c r="AQ228" s="84" vm="13535">
        <v>17352</v>
      </c>
      <c r="AR228" s="84" vm="14135">
        <v>2667</v>
      </c>
      <c r="AS228" s="84" vm="14378">
        <v>-9</v>
      </c>
      <c r="AT228" s="84" vm="14625">
        <v>1018</v>
      </c>
      <c r="AU228" s="84" vm="14869">
        <v>0</v>
      </c>
      <c r="AV228" s="84" vm="15112">
        <v>66</v>
      </c>
      <c r="AW228" s="84" vm="13882">
        <v>9113</v>
      </c>
      <c r="AX228" s="84" vm="14136">
        <v>7323</v>
      </c>
      <c r="AY228" s="5">
        <f xml:space="preserve"> - SUM( VfM_Metrics_2023_Entity[[#This Row],[Interest capitalised]], VfM_Metrics_2023_Entity[[#This Row],[Interest payable and financing costs]] )</f>
        <v>9290</v>
      </c>
      <c r="AZ228" s="84" vm="15209">
        <v>-1031</v>
      </c>
      <c r="BA228" s="135" vm="15379">
        <v>-8259</v>
      </c>
      <c r="BB228" s="138">
        <f xml:space="preserve"> IFERROR( ( VfM_Metrics_2023_Entity[[#This Row],[Total Costs]] / VfM_Metrics_2023_Entity[[#This Row],[Total units for costs]] ) * 1000, "n/a" )</f>
        <v>5654.2620065375913</v>
      </c>
      <c r="BC228"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44974</v>
      </c>
      <c r="BD228" s="84" vm="15552">
        <v>5572</v>
      </c>
      <c r="BE228" s="84" vm="16991">
        <v>8226</v>
      </c>
      <c r="BF228" s="84" vm="17213">
        <v>6065</v>
      </c>
      <c r="BG228" s="84" vm="17446">
        <v>13055</v>
      </c>
      <c r="BH228" s="84" vm="16352">
        <v>346</v>
      </c>
      <c r="BI228" s="84" vm="16584">
        <v>0</v>
      </c>
      <c r="BJ228" s="84" vm="13882">
        <v>9113</v>
      </c>
      <c r="BK228" s="84" vm="16992">
        <v>53</v>
      </c>
      <c r="BL228" s="84" vm="17447">
        <v>868</v>
      </c>
      <c r="BM228" s="84" vm="16353">
        <v>925</v>
      </c>
      <c r="BN228" s="84" vm="16585">
        <v>133</v>
      </c>
      <c r="BO228" s="84" vm="17214">
        <v>618</v>
      </c>
      <c r="BP228" s="5" vm="17792">
        <f xml:space="preserve"> VfM_Metrics_2023_Entity[[#This Row],[Total social housing units owned and/or managed at period end]]</f>
        <v>7954</v>
      </c>
      <c r="BQ228" s="135" vm="17792">
        <v>7954</v>
      </c>
      <c r="BR228" s="134">
        <f xml:space="preserve"> IFERROR( VfM_Metrics_2023_Entity[[#This Row],[SHL operating surplus / (deficit)]] / VfM_Metrics_2023_Entity[[#This Row],[Turnover from social housing lettings]], "n/a" )</f>
        <v>0.25270624060010771</v>
      </c>
      <c r="BS228" s="5" vm="17942">
        <f xml:space="preserve"> VfM_Metrics_2023_Entity[[#This Row],[Operating surplus/(deficit) (social housing lettings)]]</f>
        <v>13610</v>
      </c>
      <c r="BT228" s="84" vm="17942">
        <v>13610</v>
      </c>
      <c r="BU228" s="5" vm="18137">
        <f xml:space="preserve"> VfM_Metrics_2023_Entity[[#This Row],[Turnover from social housing lettings]]</f>
        <v>53857</v>
      </c>
      <c r="BV228" s="135" vm="18137">
        <v>53857</v>
      </c>
      <c r="BW228" s="134">
        <f xml:space="preserve"> IFERROR( VfM_Metrics_2023_Entity[[#This Row],[Net operating surplus]] / VfM_Metrics_2023_Entity[[#This Row],[Overall turnover]], "n/a" )</f>
        <v>0.22897123445632186</v>
      </c>
      <c r="BX228" s="5">
        <f xml:space="preserve"> SUM( VfM_Metrics_2023_Entity[[#This Row],[Operating surplus/(deficit) (overall)2]], - VfM_Metrics_2023_Entity[[#This Row],[Gain/(loss) on disposal of fixed assets (housing properties)2]], - VfM_Metrics_2023_Entity[[#This Row],[Gain/(loss) on disposal of fixed assets (other)2]] )</f>
        <v>14694</v>
      </c>
      <c r="BY228" s="84" vm="13535">
        <v>17352</v>
      </c>
      <c r="BZ228" s="84" vm="14135">
        <v>2667</v>
      </c>
      <c r="CA228" s="84" vm="14378">
        <v>-9</v>
      </c>
      <c r="CB228" s="5" vm="18293">
        <f xml:space="preserve"> VfM_Metrics_2023_Entity[[#This Row],[Turnover (overall)]]</f>
        <v>64174</v>
      </c>
      <c r="CC228" s="135" vm="18293">
        <v>64174</v>
      </c>
      <c r="CD228" s="134">
        <f xml:space="preserve"> IFERROR( VfM_Metrics_2023_Entity[[#This Row],[Operating surplus including from JVs]] / VfM_Metrics_2023_Entity[[#This Row],[Net assets]], "n/a" )</f>
        <v>2.4181174860608459E-2</v>
      </c>
      <c r="CE228" s="5">
        <f xml:space="preserve"> SUM( VfM_Metrics_2023_Entity[[#This Row],[Operating surplus/(deficit) (overall)3]], VfM_Metrics_2023_Entity[[#This Row],[Share of operating surplus/(deficit) in joint ventures or associates]] )</f>
        <v>17352</v>
      </c>
      <c r="CF228" s="84" vm="13535">
        <v>17352</v>
      </c>
      <c r="CG228" s="84" vm="18490">
        <v>0</v>
      </c>
      <c r="CH228" s="5" vm="18679">
        <f xml:space="preserve"> VfM_Metrics_2023_Entity[[#This Row],[Total assets less current liabilities]]</f>
        <v>717583</v>
      </c>
      <c r="CI228" s="135" vm="18679">
        <v>717583</v>
      </c>
      <c r="CJ228" s="140" vm="11305">
        <f xml:space="preserve"> VfM_Metrics_2023_Entity[[#This Row],[Total social housing units owned (Period end)]]</f>
        <v>7954</v>
      </c>
      <c r="CK228" s="141">
        <v>8.916237598894889E-3</v>
      </c>
      <c r="CL228" s="69">
        <f xml:space="preserve"> -- ( VfM_Metrics_2023_Entity[[#This Row],[% Supported housing (excl. HOP)]] &gt; 0.3 )</f>
        <v>0</v>
      </c>
      <c r="CM228" s="9">
        <v>8.5143790028883587E-2</v>
      </c>
      <c r="CN228" s="69">
        <f xml:space="preserve"> -- ( VfM_Metrics_2023_Entity[[#This Row],[% Housing for older people]] &gt; 0.3 )</f>
        <v>0</v>
      </c>
      <c r="CO228" s="9">
        <f xml:space="preserve"> VfM_Metrics_2023_Entity[[#This Row],[% Supported housing (excl. HOP)]] + VfM_Metrics_2023_Entity[[#This Row],[% Housing for older people]]</f>
        <v>9.4060027627778472E-2</v>
      </c>
      <c r="CP228" s="69">
        <f xml:space="preserve"> -- ( VfM_Metrics_2023_Entity[[#This Row],[SH specialist in RSH analysis]] + VfM_Metrics_2023_Entity[[#This Row],[OP specialist in RSH analysis]] &gt; 0 )</f>
        <v>0</v>
      </c>
      <c r="CQ228" s="142">
        <f xml:space="preserve"> -- ( VfM_Metrics_2023_Entity[[#This Row],[% SH and OP]] &gt; 0.3 )</f>
        <v>0</v>
      </c>
      <c r="CR228" s="143" t="s">
        <v>143</v>
      </c>
      <c r="CS228" s="120"/>
      <c r="CT228" s="144" t="s">
        <v>151</v>
      </c>
      <c r="CU228"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228" s="146">
        <v>0</v>
      </c>
      <c r="CW228" s="146">
        <v>1</v>
      </c>
      <c r="CX228" s="146">
        <v>0</v>
      </c>
      <c r="CY228" s="146">
        <v>0</v>
      </c>
      <c r="CZ228" s="146">
        <v>0</v>
      </c>
      <c r="DA228" s="146">
        <v>0</v>
      </c>
      <c r="DB228" s="146">
        <v>0</v>
      </c>
      <c r="DC228" s="146">
        <v>0</v>
      </c>
      <c r="DD228" s="146">
        <v>0</v>
      </c>
      <c r="DE228" s="126">
        <v>1.0337125580623883</v>
      </c>
    </row>
    <row r="229" spans="1:109" x14ac:dyDescent="0.25">
      <c r="A229" s="4" t="s" vm="379">
        <v>528</v>
      </c>
      <c r="B229" s="4" t="s" vm="10810">
        <v>529</v>
      </c>
      <c r="C229" s="121" vm="18819">
        <v>45016</v>
      </c>
      <c r="D229" s="68">
        <f>IFERROR( VfM_Metrics_2023_Entity[[#This Row],[Reinvestment Spend]] / VfM_Metrics_2023_Entity[[#This Row],[Net Book Value of Housing Properties]], "n/a" )</f>
        <v>3.3719080445428741E-2</v>
      </c>
      <c r="E229"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12972</v>
      </c>
      <c r="F229" s="84" vm="10009">
        <v>4674</v>
      </c>
      <c r="G229" s="84" vm="10401">
        <v>0</v>
      </c>
      <c r="H229" s="84" vm="10207">
        <v>7590</v>
      </c>
      <c r="I229" s="84" vm="10384">
        <v>708</v>
      </c>
      <c r="J229" s="84" vm="10493">
        <v>0</v>
      </c>
      <c r="K229" s="5">
        <f xml:space="preserve"> SUM( VfM_Metrics_2023_Entity[[#This Row],[Tangible fixed assets: Housing properties at cost (Current period)]],VfM_Metrics_2023_Entity[[#This Row],[Tangible fixed assets Housing properties at valuation (Current period)]] )</f>
        <v>384708</v>
      </c>
      <c r="L229" s="84" vm="9952">
        <v>384708</v>
      </c>
      <c r="M229" s="84">
        <v>0</v>
      </c>
      <c r="N229" s="134">
        <f xml:space="preserve"> IFERROR( VfM_Metrics_2023_Entity[[#This Row],[Total social units developed or newly built units acquired in-year]] / VfM_Metrics_2023_Entity[[#This Row],[Social housing units owned (period end)]], "n/a" )</f>
        <v>8.9890568004168843E-3</v>
      </c>
      <c r="O229" s="5">
        <f xml:space="preserve"> SUM( VfM_Metrics_2023_Entity[[#This Row],[Total social units developed or newly built units acquired in-year (owned)]], VfM_Metrics_2023_Entity[[#This Row],[Total social leasehold units developed or newly built units acquired in-year (owned)]] )</f>
        <v>69</v>
      </c>
      <c r="P229" s="84" vm="11040">
        <v>69</v>
      </c>
      <c r="Q229" s="84">
        <v>0</v>
      </c>
      <c r="R229" s="5">
        <f xml:space="preserve"> SUM( VfM_Metrics_2023_Entity[[#This Row],[Total social housing units owned (Period end)]], VfM_Metrics_2023_Entity[[#This Row],[Total social leasehold units owned (Period end)]] )</f>
        <v>7676</v>
      </c>
      <c r="S229" s="84" vm="11391">
        <v>7276</v>
      </c>
      <c r="T229" s="135" vm="11553">
        <v>400</v>
      </c>
      <c r="U229" s="136">
        <f xml:space="preserve"> IFERROR( VfM_Metrics_2023_Entity[[#This Row],[Total non-social housing units developed or newly built units acquired (owned)]] / VfM_Metrics_2023_Entity[[#This Row],[Total social and non-social housing units owned (Period end)]], "n/a" )</f>
        <v>0</v>
      </c>
      <c r="V229"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29" s="84">
        <v>0</v>
      </c>
      <c r="X229" s="84">
        <v>0</v>
      </c>
      <c r="Y229" s="84" vm="11948">
        <v>0</v>
      </c>
      <c r="Z229"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7676</v>
      </c>
      <c r="AA229" s="84" vm="11347">
        <v>7276</v>
      </c>
      <c r="AB229" s="84" vm="11553">
        <v>400</v>
      </c>
      <c r="AC229" s="84" vm="12168">
        <v>0</v>
      </c>
      <c r="AD229" s="135" vm="12319">
        <v>0</v>
      </c>
      <c r="AE229" s="134">
        <f xml:space="preserve"> IFERROR( VfM_Metrics_2023_Entity[[#This Row],[Total Net Debt]] / VfM_Metrics_2023_Entity[[#This Row],[Net Book Value of Housing Properties2]], "n/a" )</f>
        <v>0.29676793828046205</v>
      </c>
      <c r="AF229"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114169</v>
      </c>
      <c r="AG229" s="84" vm="12653">
        <v>3343</v>
      </c>
      <c r="AH229" s="84" vm="13061">
        <v>117457</v>
      </c>
      <c r="AI229" s="84" vm="13061">
        <v>6631</v>
      </c>
      <c r="AJ229" s="84">
        <v>0</v>
      </c>
      <c r="AK229" s="84">
        <v>0</v>
      </c>
      <c r="AL229" s="5">
        <f xml:space="preserve"> SUM( VfM_Metrics_2023_Entity[[#This Row],[Tangible fixed assets: Housing properties at cost (Current period)2]], VfM_Metrics_2023_Entity[[#This Row],[Tangible fixed assets Housing properties at valuation (Current period)2]] )</f>
        <v>384708</v>
      </c>
      <c r="AM229" s="84" vm="9885">
        <v>384708</v>
      </c>
      <c r="AN229" s="135">
        <v>0</v>
      </c>
      <c r="AO229" s="137">
        <f xml:space="preserve"> IFERROR( VfM_Metrics_2023_Entity[[#This Row],[EBITDA MRI]] / VfM_Metrics_2023_Entity[[#This Row],[Total interest]], "n/a" )</f>
        <v>1.3874161073825504</v>
      </c>
      <c r="AP229"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8269</v>
      </c>
      <c r="AQ229" s="84" vm="13560">
        <v>11650</v>
      </c>
      <c r="AR229" s="84" vm="14379">
        <v>1550</v>
      </c>
      <c r="AS229" s="84">
        <v>0</v>
      </c>
      <c r="AT229" s="84" vm="14870">
        <v>2038</v>
      </c>
      <c r="AU229" s="84" vm="15113">
        <v>0</v>
      </c>
      <c r="AV229" s="84" vm="13883">
        <v>35</v>
      </c>
      <c r="AW229" s="84" vm="14137">
        <v>7590</v>
      </c>
      <c r="AX229" s="84" vm="14380">
        <v>7762</v>
      </c>
      <c r="AY229" s="5">
        <f xml:space="preserve"> - SUM( VfM_Metrics_2023_Entity[[#This Row],[Interest capitalised]], VfM_Metrics_2023_Entity[[#This Row],[Interest payable and financing costs]] )</f>
        <v>5960</v>
      </c>
      <c r="AZ229" s="84" vm="15239">
        <v>-708</v>
      </c>
      <c r="BA229" s="135" vm="15407">
        <v>-5252</v>
      </c>
      <c r="BB229" s="138">
        <f xml:space="preserve"> IFERROR( ( VfM_Metrics_2023_Entity[[#This Row],[Total Costs]] / VfM_Metrics_2023_Entity[[#This Row],[Total units for costs]] ) * 1000, "n/a" )</f>
        <v>4214.7849462365593</v>
      </c>
      <c r="BC229"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31358</v>
      </c>
      <c r="BD229" s="84" vm="16764">
        <v>6836</v>
      </c>
      <c r="BE229" s="84" vm="16993">
        <v>5009</v>
      </c>
      <c r="BF229" s="84" vm="17215">
        <v>7308</v>
      </c>
      <c r="BG229" s="84" vm="17448">
        <v>1229</v>
      </c>
      <c r="BH229" s="84" vm="16355">
        <v>2331</v>
      </c>
      <c r="BI229" s="84" vm="16586">
        <v>0</v>
      </c>
      <c r="BJ229" s="84" vm="14137">
        <v>7590</v>
      </c>
      <c r="BK229" s="84" vm="16994">
        <v>932</v>
      </c>
      <c r="BL229" s="84">
        <v>0</v>
      </c>
      <c r="BM229" s="84">
        <v>0</v>
      </c>
      <c r="BN229" s="84">
        <v>0</v>
      </c>
      <c r="BO229" s="84" vm="17216">
        <v>123</v>
      </c>
      <c r="BP229" s="5" vm="17821">
        <f xml:space="preserve"> VfM_Metrics_2023_Entity[[#This Row],[Total social housing units owned and/or managed at period end]]</f>
        <v>7440</v>
      </c>
      <c r="BQ229" s="135" vm="17821">
        <v>7440</v>
      </c>
      <c r="BR229" s="134">
        <f xml:space="preserve"> IFERROR( VfM_Metrics_2023_Entity[[#This Row],[SHL operating surplus / (deficit)]] / VfM_Metrics_2023_Entity[[#This Row],[Turnover from social housing lettings]], "n/a" )</f>
        <v>0.22340451980210327</v>
      </c>
      <c r="BS229" s="5" vm="17980">
        <f xml:space="preserve"> VfM_Metrics_2023_Entity[[#This Row],[Operating surplus/(deficit) (social housing lettings)]]</f>
        <v>8986</v>
      </c>
      <c r="BT229" s="84" vm="17980">
        <v>8986</v>
      </c>
      <c r="BU229" s="5" vm="18155">
        <f xml:space="preserve"> VfM_Metrics_2023_Entity[[#This Row],[Turnover from social housing lettings]]</f>
        <v>40223</v>
      </c>
      <c r="BV229" s="135" vm="18155">
        <v>40223</v>
      </c>
      <c r="BW229" s="134">
        <f xml:space="preserve"> IFERROR( VfM_Metrics_2023_Entity[[#This Row],[Net operating surplus]] / VfM_Metrics_2023_Entity[[#This Row],[Overall turnover]], "n/a" )</f>
        <v>0.22973341825129651</v>
      </c>
      <c r="BX229" s="5">
        <f xml:space="preserve"> SUM( VfM_Metrics_2023_Entity[[#This Row],[Operating surplus/(deficit) (overall)2]], - VfM_Metrics_2023_Entity[[#This Row],[Gain/(loss) on disposal of fixed assets (housing properties)2]], - VfM_Metrics_2023_Entity[[#This Row],[Gain/(loss) on disposal of fixed assets (other)2]] )</f>
        <v>10100</v>
      </c>
      <c r="BY229" s="84" vm="15140">
        <v>11650</v>
      </c>
      <c r="BZ229" s="84" vm="14379">
        <v>1550</v>
      </c>
      <c r="CA229" s="84">
        <v>0</v>
      </c>
      <c r="CB229" s="5" vm="18316">
        <f xml:space="preserve"> VfM_Metrics_2023_Entity[[#This Row],[Turnover (overall)]]</f>
        <v>43964</v>
      </c>
      <c r="CC229" s="135" vm="18316">
        <v>43964</v>
      </c>
      <c r="CD229" s="134">
        <f xml:space="preserve"> IFERROR( VfM_Metrics_2023_Entity[[#This Row],[Operating surplus including from JVs]] / VfM_Metrics_2023_Entity[[#This Row],[Net assets]], "n/a" )</f>
        <v>3.0230295167045087E-2</v>
      </c>
      <c r="CE229" s="5">
        <f xml:space="preserve"> SUM( VfM_Metrics_2023_Entity[[#This Row],[Operating surplus/(deficit) (overall)3]], VfM_Metrics_2023_Entity[[#This Row],[Share of operating surplus/(deficit) in joint ventures or associates]] )</f>
        <v>11650</v>
      </c>
      <c r="CF229" s="84" vm="15140">
        <v>11650</v>
      </c>
      <c r="CG229" s="84">
        <v>0</v>
      </c>
      <c r="CH229" s="5" vm="18704">
        <f xml:space="preserve"> VfM_Metrics_2023_Entity[[#This Row],[Total assets less current liabilities]]</f>
        <v>385375</v>
      </c>
      <c r="CI229" s="135" vm="18704">
        <v>385375</v>
      </c>
      <c r="CJ229" s="140" vm="11391">
        <f xml:space="preserve"> VfM_Metrics_2023_Entity[[#This Row],[Total social housing units owned (Period end)]]</f>
        <v>7276</v>
      </c>
      <c r="CK229" s="141">
        <v>4.5829892650701899E-2</v>
      </c>
      <c r="CL229" s="69">
        <f xml:space="preserve"> -- ( VfM_Metrics_2023_Entity[[#This Row],[% Supported housing (excl. HOP)]] &gt; 0.3 )</f>
        <v>0</v>
      </c>
      <c r="CM229" s="9">
        <v>9.0283512248830161E-2</v>
      </c>
      <c r="CN229" s="69">
        <f xml:space="preserve"> -- ( VfM_Metrics_2023_Entity[[#This Row],[% Housing for older people]] &gt; 0.3 )</f>
        <v>0</v>
      </c>
      <c r="CO229" s="9">
        <f xml:space="preserve"> VfM_Metrics_2023_Entity[[#This Row],[% Supported housing (excl. HOP)]] + VfM_Metrics_2023_Entity[[#This Row],[% Housing for older people]]</f>
        <v>0.13611340489953205</v>
      </c>
      <c r="CP229" s="69">
        <f xml:space="preserve"> -- ( VfM_Metrics_2023_Entity[[#This Row],[SH specialist in RSH analysis]] + VfM_Metrics_2023_Entity[[#This Row],[OP specialist in RSH analysis]] &gt; 0 )</f>
        <v>0</v>
      </c>
      <c r="CQ229" s="142">
        <f xml:space="preserve"> -- ( VfM_Metrics_2023_Entity[[#This Row],[% SH and OP]] &gt; 0.3 )</f>
        <v>0</v>
      </c>
      <c r="CR229" s="143" t="s">
        <v>143</v>
      </c>
      <c r="CS229" s="120"/>
      <c r="CT229" s="144" t="s">
        <v>151</v>
      </c>
      <c r="CU229"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229" s="146">
        <v>0</v>
      </c>
      <c r="CW229" s="146">
        <v>0</v>
      </c>
      <c r="CX229" s="146">
        <v>1</v>
      </c>
      <c r="CY229" s="146">
        <v>0</v>
      </c>
      <c r="CZ229" s="146">
        <v>0</v>
      </c>
      <c r="DA229" s="146">
        <v>0</v>
      </c>
      <c r="DB229" s="146">
        <v>0</v>
      </c>
      <c r="DC229" s="146">
        <v>0</v>
      </c>
      <c r="DD229" s="146">
        <v>0</v>
      </c>
      <c r="DE229" s="126">
        <v>0.97511902715076015</v>
      </c>
    </row>
    <row r="230" spans="1:109" x14ac:dyDescent="0.25">
      <c r="A230" s="4" t="s" vm="222">
        <v>530</v>
      </c>
      <c r="B230" s="4" t="s" vm="10881">
        <v>531</v>
      </c>
      <c r="C230" s="121" vm="18799">
        <v>45016</v>
      </c>
      <c r="D230" s="68">
        <f>IFERROR( VfM_Metrics_2023_Entity[[#This Row],[Reinvestment Spend]] / VfM_Metrics_2023_Entity[[#This Row],[Net Book Value of Housing Properties]], "n/a" )</f>
        <v>2.7291899268080882E-2</v>
      </c>
      <c r="E230"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2420</v>
      </c>
      <c r="F230" s="84" vm="10011">
        <v>1290</v>
      </c>
      <c r="G230" s="84" vm="10882">
        <v>0</v>
      </c>
      <c r="H230" s="84" vm="10367">
        <v>1085</v>
      </c>
      <c r="I230" s="84" vm="10822">
        <v>45</v>
      </c>
      <c r="J230" s="84" vm="10491">
        <v>0</v>
      </c>
      <c r="K230" s="5">
        <f xml:space="preserve"> SUM( VfM_Metrics_2023_Entity[[#This Row],[Tangible fixed assets: Housing properties at cost (Current period)]],VfM_Metrics_2023_Entity[[#This Row],[Tangible fixed assets Housing properties at valuation (Current period)]] )</f>
        <v>88671</v>
      </c>
      <c r="L230" s="84" vm="10048">
        <v>88671</v>
      </c>
      <c r="M230" s="84" vm="10143">
        <v>0</v>
      </c>
      <c r="N230" s="134">
        <f xml:space="preserve"> IFERROR( VfM_Metrics_2023_Entity[[#This Row],[Total social units developed or newly built units acquired in-year]] / VfM_Metrics_2023_Entity[[#This Row],[Social housing units owned (period end)]], "n/a" )</f>
        <v>1.33422281521014E-3</v>
      </c>
      <c r="O230" s="5">
        <f xml:space="preserve"> SUM( VfM_Metrics_2023_Entity[[#This Row],[Total social units developed or newly built units acquired in-year (owned)]], VfM_Metrics_2023_Entity[[#This Row],[Total social leasehold units developed or newly built units acquired in-year (owned)]] )</f>
        <v>2</v>
      </c>
      <c r="P230" s="84" vm="11060">
        <v>2</v>
      </c>
      <c r="Q230" s="84" vm="11183">
        <v>0</v>
      </c>
      <c r="R230" s="5">
        <f xml:space="preserve"> SUM( VfM_Metrics_2023_Entity[[#This Row],[Total social housing units owned (Period end)]], VfM_Metrics_2023_Entity[[#This Row],[Total social leasehold units owned (Period end)]] )</f>
        <v>1499</v>
      </c>
      <c r="S230" s="84" vm="11371">
        <v>1494</v>
      </c>
      <c r="T230" s="135" vm="11545">
        <v>5</v>
      </c>
      <c r="U230" s="136">
        <f xml:space="preserve"> IFERROR( VfM_Metrics_2023_Entity[[#This Row],[Total non-social housing units developed or newly built units acquired (owned)]] / VfM_Metrics_2023_Entity[[#This Row],[Total social and non-social housing units owned (Period end)]], "n/a" )</f>
        <v>0</v>
      </c>
      <c r="V230"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30" s="84" vm="11662">
        <v>0</v>
      </c>
      <c r="X230" s="84" vm="11759">
        <v>0</v>
      </c>
      <c r="Y230" s="84" vm="11779">
        <v>0</v>
      </c>
      <c r="Z230"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1499</v>
      </c>
      <c r="AA230" s="84" vm="12035">
        <v>1494</v>
      </c>
      <c r="AB230" s="84" vm="12469">
        <v>5</v>
      </c>
      <c r="AC230" s="84" vm="12414">
        <v>0</v>
      </c>
      <c r="AD230" s="135" vm="12546">
        <v>0</v>
      </c>
      <c r="AE230" s="134">
        <f xml:space="preserve"> IFERROR( VfM_Metrics_2023_Entity[[#This Row],[Total Net Debt]] / VfM_Metrics_2023_Entity[[#This Row],[Net Book Value of Housing Properties2]], "n/a" )</f>
        <v>0.33370549559607987</v>
      </c>
      <c r="AF230"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29590</v>
      </c>
      <c r="AG230" s="84" vm="12682">
        <v>738</v>
      </c>
      <c r="AH230" s="84" vm="12823">
        <v>33019</v>
      </c>
      <c r="AI230" s="84" vm="12927">
        <v>4167</v>
      </c>
      <c r="AJ230" s="84" vm="13007">
        <v>0</v>
      </c>
      <c r="AK230" s="84" vm="13090">
        <v>0</v>
      </c>
      <c r="AL230" s="5">
        <f xml:space="preserve"> SUM( VfM_Metrics_2023_Entity[[#This Row],[Tangible fixed assets: Housing properties at cost (Current period)2]], VfM_Metrics_2023_Entity[[#This Row],[Tangible fixed assets Housing properties at valuation (Current period)2]] )</f>
        <v>88671</v>
      </c>
      <c r="AM230" s="84" vm="9970">
        <v>88671</v>
      </c>
      <c r="AN230" s="135" vm="10143">
        <v>0</v>
      </c>
      <c r="AO230" s="137">
        <f xml:space="preserve"> IFERROR( VfM_Metrics_2023_Entity[[#This Row],[EBITDA MRI]] / VfM_Metrics_2023_Entity[[#This Row],[Total interest]], "n/a" )</f>
        <v>0.63546423135464236</v>
      </c>
      <c r="AP230"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1670</v>
      </c>
      <c r="AQ230" s="84" vm="13591">
        <v>1942</v>
      </c>
      <c r="AR230" s="84" vm="14626">
        <v>449</v>
      </c>
      <c r="AS230" s="84" vm="14871">
        <v>0</v>
      </c>
      <c r="AT230" s="84" vm="15114">
        <v>268</v>
      </c>
      <c r="AU230" s="84" vm="13884">
        <v>0</v>
      </c>
      <c r="AV230" s="84" vm="14138">
        <v>25</v>
      </c>
      <c r="AW230" s="84" vm="14381">
        <v>1085</v>
      </c>
      <c r="AX230" s="84" vm="14627">
        <v>1505</v>
      </c>
      <c r="AY230" s="5">
        <f xml:space="preserve"> - SUM( VfM_Metrics_2023_Entity[[#This Row],[Interest capitalised]], VfM_Metrics_2023_Entity[[#This Row],[Interest payable and financing costs]] )</f>
        <v>2628</v>
      </c>
      <c r="AZ230" s="84" vm="15266">
        <v>-45</v>
      </c>
      <c r="BA230" s="135" vm="15442">
        <v>-2583</v>
      </c>
      <c r="BB230" s="138">
        <f xml:space="preserve"> IFERROR( ( VfM_Metrics_2023_Entity[[#This Row],[Total Costs]] / VfM_Metrics_2023_Entity[[#This Row],[Total units for costs]] ) * 1000, "n/a" )</f>
        <v>4728.2463186077648</v>
      </c>
      <c r="BC230"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7064</v>
      </c>
      <c r="BD230" s="84" vm="16765">
        <v>1596</v>
      </c>
      <c r="BE230" s="84" vm="16995">
        <v>361</v>
      </c>
      <c r="BF230" s="84" vm="17217">
        <v>1344</v>
      </c>
      <c r="BG230" s="84" vm="17449">
        <v>799</v>
      </c>
      <c r="BH230" s="84" vm="17604">
        <v>0</v>
      </c>
      <c r="BI230" s="84" vm="16587">
        <v>1266</v>
      </c>
      <c r="BJ230" s="84" vm="14381">
        <v>1085</v>
      </c>
      <c r="BK230" s="84" vm="16996">
        <v>470</v>
      </c>
      <c r="BL230" s="84" vm="17450">
        <v>0</v>
      </c>
      <c r="BM230" s="84" vm="17606">
        <v>0</v>
      </c>
      <c r="BN230" s="84" vm="16588">
        <v>143</v>
      </c>
      <c r="BO230" s="84" vm="17218">
        <v>0</v>
      </c>
      <c r="BP230" s="5" vm="17723">
        <f xml:space="preserve"> VfM_Metrics_2023_Entity[[#This Row],[Total social housing units owned and/or managed at period end]]</f>
        <v>1494</v>
      </c>
      <c r="BQ230" s="135" vm="17723">
        <v>1494</v>
      </c>
      <c r="BR230" s="134">
        <f xml:space="preserve"> IFERROR( VfM_Metrics_2023_Entity[[#This Row],[SHL operating surplus / (deficit)]] / VfM_Metrics_2023_Entity[[#This Row],[Turnover from social housing lettings]], "n/a" )</f>
        <v>0.18181818181818182</v>
      </c>
      <c r="BS230" s="5" vm="18007">
        <f xml:space="preserve"> VfM_Metrics_2023_Entity[[#This Row],[Operating surplus/(deficit) (social housing lettings)]]</f>
        <v>1592</v>
      </c>
      <c r="BT230" s="84" vm="18007">
        <v>1592</v>
      </c>
      <c r="BU230" s="5" vm="18191">
        <f xml:space="preserve"> VfM_Metrics_2023_Entity[[#This Row],[Turnover from social housing lettings]]</f>
        <v>8756</v>
      </c>
      <c r="BV230" s="135" vm="18191">
        <v>8756</v>
      </c>
      <c r="BW230" s="134">
        <f xml:space="preserve"> IFERROR( VfM_Metrics_2023_Entity[[#This Row],[Net operating surplus]] / VfM_Metrics_2023_Entity[[#This Row],[Overall turnover]], "n/a" )</f>
        <v>0.16830120617743208</v>
      </c>
      <c r="BX230" s="5">
        <f xml:space="preserve"> SUM( VfM_Metrics_2023_Entity[[#This Row],[Operating surplus/(deficit) (overall)2]], - VfM_Metrics_2023_Entity[[#This Row],[Gain/(loss) on disposal of fixed assets (housing properties)2]], - VfM_Metrics_2023_Entity[[#This Row],[Gain/(loss) on disposal of fixed assets (other)2]] )</f>
        <v>1493</v>
      </c>
      <c r="BY230" s="84" vm="13591">
        <v>1942</v>
      </c>
      <c r="BZ230" s="84" vm="14626">
        <v>449</v>
      </c>
      <c r="CA230" s="84" vm="14871">
        <v>0</v>
      </c>
      <c r="CB230" s="5" vm="18362">
        <f xml:space="preserve"> VfM_Metrics_2023_Entity[[#This Row],[Turnover (overall)]]</f>
        <v>8871</v>
      </c>
      <c r="CC230" s="135" vm="18362">
        <v>8871</v>
      </c>
      <c r="CD230" s="134">
        <f xml:space="preserve"> IFERROR( VfM_Metrics_2023_Entity[[#This Row],[Operating surplus including from JVs]] / VfM_Metrics_2023_Entity[[#This Row],[Net assets]], "n/a" )</f>
        <v>2.1070905441328051E-2</v>
      </c>
      <c r="CE230" s="5">
        <f xml:space="preserve"> SUM( VfM_Metrics_2023_Entity[[#This Row],[Operating surplus/(deficit) (overall)3]], VfM_Metrics_2023_Entity[[#This Row],[Share of operating surplus/(deficit) in joint ventures or associates]] )</f>
        <v>1942</v>
      </c>
      <c r="CF230" s="84" vm="13591">
        <v>1942</v>
      </c>
      <c r="CG230" s="84" vm="18527">
        <v>0</v>
      </c>
      <c r="CH230" s="5" vm="18732">
        <f xml:space="preserve"> VfM_Metrics_2023_Entity[[#This Row],[Total assets less current liabilities]]</f>
        <v>92165</v>
      </c>
      <c r="CI230" s="135" vm="18732">
        <v>92165</v>
      </c>
      <c r="CJ230" s="140" vm="11371">
        <f xml:space="preserve"> VfM_Metrics_2023_Entity[[#This Row],[Total social housing units owned (Period end)]]</f>
        <v>1494</v>
      </c>
      <c r="CK230" s="141">
        <v>0</v>
      </c>
      <c r="CL230" s="69">
        <f xml:space="preserve"> -- ( VfM_Metrics_2023_Entity[[#This Row],[% Supported housing (excl. HOP)]] &gt; 0.3 )</f>
        <v>0</v>
      </c>
      <c r="CM230" s="9">
        <v>4.992076069730586E-2</v>
      </c>
      <c r="CN230" s="69">
        <f xml:space="preserve"> -- ( VfM_Metrics_2023_Entity[[#This Row],[% Housing for older people]] &gt; 0.3 )</f>
        <v>0</v>
      </c>
      <c r="CO230" s="9">
        <f xml:space="preserve"> VfM_Metrics_2023_Entity[[#This Row],[% Supported housing (excl. HOP)]] + VfM_Metrics_2023_Entity[[#This Row],[% Housing for older people]]</f>
        <v>4.992076069730586E-2</v>
      </c>
      <c r="CP230" s="69">
        <f xml:space="preserve"> -- ( VfM_Metrics_2023_Entity[[#This Row],[SH specialist in RSH analysis]] + VfM_Metrics_2023_Entity[[#This Row],[OP specialist in RSH analysis]] &gt; 0 )</f>
        <v>0</v>
      </c>
      <c r="CQ230" s="142">
        <f xml:space="preserve"> -- ( VfM_Metrics_2023_Entity[[#This Row],[% SH and OP]] &gt; 0.3 )</f>
        <v>0</v>
      </c>
      <c r="CR230" s="143" t="s">
        <v>143</v>
      </c>
      <c r="CS230" s="120"/>
      <c r="CT230" s="144" t="s">
        <v>144</v>
      </c>
      <c r="CU230"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West</v>
      </c>
      <c r="CV230" s="146">
        <v>0</v>
      </c>
      <c r="CW230" s="146">
        <v>0</v>
      </c>
      <c r="CX230" s="146">
        <v>1</v>
      </c>
      <c r="CY230" s="146">
        <v>0</v>
      </c>
      <c r="CZ230" s="146">
        <v>0</v>
      </c>
      <c r="DA230" s="146">
        <v>0</v>
      </c>
      <c r="DB230" s="146">
        <v>0</v>
      </c>
      <c r="DC230" s="146">
        <v>0</v>
      </c>
      <c r="DD230" s="146">
        <v>0</v>
      </c>
      <c r="DE230" s="126">
        <v>0.97511902715076015</v>
      </c>
    </row>
    <row r="231" spans="1:109" x14ac:dyDescent="0.25">
      <c r="A231" s="4" t="s" vm="332">
        <v>532</v>
      </c>
      <c r="B231" s="4" t="s" vm="9858">
        <v>533</v>
      </c>
      <c r="C231" s="121" vm="18959">
        <v>45016</v>
      </c>
      <c r="D231" s="68">
        <f>IFERROR( VfM_Metrics_2023_Entity[[#This Row],[Reinvestment Spend]] / VfM_Metrics_2023_Entity[[#This Row],[Net Book Value of Housing Properties]], "n/a" )</f>
        <v>8.4057435397776673E-2</v>
      </c>
      <c r="E231"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20015</v>
      </c>
      <c r="F231" s="84" vm="10227">
        <v>17166</v>
      </c>
      <c r="G231" s="84" vm="10199">
        <v>0</v>
      </c>
      <c r="H231" s="84" vm="10200">
        <v>2651</v>
      </c>
      <c r="I231" s="84" vm="10468">
        <v>198</v>
      </c>
      <c r="J231" s="84" vm="9874">
        <v>0</v>
      </c>
      <c r="K231" s="5">
        <f xml:space="preserve"> SUM( VfM_Metrics_2023_Entity[[#This Row],[Tangible fixed assets: Housing properties at cost (Current period)]],VfM_Metrics_2023_Entity[[#This Row],[Tangible fixed assets Housing properties at valuation (Current period)]] )</f>
        <v>238111</v>
      </c>
      <c r="L231" s="84" vm="10033">
        <v>238111</v>
      </c>
      <c r="M231" s="84">
        <v>0</v>
      </c>
      <c r="N231" s="134">
        <f xml:space="preserve"> IFERROR( VfM_Metrics_2023_Entity[[#This Row],[Total social units developed or newly built units acquired in-year]] / VfM_Metrics_2023_Entity[[#This Row],[Social housing units owned (period end)]], "n/a" )</f>
        <v>1.1398176291793313E-2</v>
      </c>
      <c r="O231" s="5">
        <f xml:space="preserve"> SUM( VfM_Metrics_2023_Entity[[#This Row],[Total social units developed or newly built units acquired in-year (owned)]], VfM_Metrics_2023_Entity[[#This Row],[Total social leasehold units developed or newly built units acquired in-year (owned)]] )</f>
        <v>45</v>
      </c>
      <c r="P231" s="84" vm="11079">
        <v>45</v>
      </c>
      <c r="Q231" s="84">
        <v>0</v>
      </c>
      <c r="R231" s="5">
        <f xml:space="preserve"> SUM( VfM_Metrics_2023_Entity[[#This Row],[Total social housing units owned (Period end)]], VfM_Metrics_2023_Entity[[#This Row],[Total social leasehold units owned (Period end)]] )</f>
        <v>3948</v>
      </c>
      <c r="S231" s="84" vm="11391">
        <v>3690</v>
      </c>
      <c r="T231" s="135" vm="11512">
        <v>258</v>
      </c>
      <c r="U231" s="136">
        <f xml:space="preserve"> IFERROR( VfM_Metrics_2023_Entity[[#This Row],[Total non-social housing units developed or newly built units acquired (owned)]] / VfM_Metrics_2023_Entity[[#This Row],[Total social and non-social housing units owned (Period end)]], "n/a" )</f>
        <v>0</v>
      </c>
      <c r="V231"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31" s="84">
        <v>0</v>
      </c>
      <c r="X231" s="84">
        <v>0</v>
      </c>
      <c r="Y231" s="84">
        <v>0</v>
      </c>
      <c r="Z231"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3948</v>
      </c>
      <c r="AA231" s="84" vm="12058">
        <v>3690</v>
      </c>
      <c r="AB231" s="84" vm="12223">
        <v>258</v>
      </c>
      <c r="AC231" s="84" vm="12169">
        <v>0</v>
      </c>
      <c r="AD231" s="135" vm="12320">
        <v>0</v>
      </c>
      <c r="AE231" s="134">
        <f xml:space="preserve"> IFERROR( VfM_Metrics_2023_Entity[[#This Row],[Total Net Debt]] / VfM_Metrics_2023_Entity[[#This Row],[Net Book Value of Housing Properties2]], "n/a" )</f>
        <v>0.58326158808286888</v>
      </c>
      <c r="AF231"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138881</v>
      </c>
      <c r="AG231" s="84" vm="12701">
        <v>16052</v>
      </c>
      <c r="AH231" s="84" vm="13177">
        <v>124462</v>
      </c>
      <c r="AI231" s="84" vm="13262">
        <v>1633</v>
      </c>
      <c r="AJ231" s="84">
        <v>0</v>
      </c>
      <c r="AK231" s="84">
        <v>0</v>
      </c>
      <c r="AL231" s="5">
        <f xml:space="preserve"> SUM( VfM_Metrics_2023_Entity[[#This Row],[Tangible fixed assets: Housing properties at cost (Current period)2]], VfM_Metrics_2023_Entity[[#This Row],[Tangible fixed assets Housing properties at valuation (Current period)2]] )</f>
        <v>238111</v>
      </c>
      <c r="AM231" s="84" vm="10033">
        <v>238111</v>
      </c>
      <c r="AN231" s="135">
        <v>0</v>
      </c>
      <c r="AO231" s="137">
        <f xml:space="preserve"> IFERROR( VfM_Metrics_2023_Entity[[#This Row],[EBITDA MRI]] / VfM_Metrics_2023_Entity[[#This Row],[Total interest]], "n/a" )</f>
        <v>1.4840154440154441</v>
      </c>
      <c r="AP231"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9609</v>
      </c>
      <c r="AQ231" s="84" vm="13627">
        <v>8832</v>
      </c>
      <c r="AR231" s="84" vm="14872">
        <v>718</v>
      </c>
      <c r="AS231" s="84" vm="15115">
        <v>0</v>
      </c>
      <c r="AT231" s="84" vm="13885">
        <v>462</v>
      </c>
      <c r="AU231" s="84" vm="14139">
        <v>0</v>
      </c>
      <c r="AV231" s="84" vm="14382">
        <v>142</v>
      </c>
      <c r="AW231" s="84" vm="14628">
        <v>2651</v>
      </c>
      <c r="AX231" s="84" vm="14873">
        <v>4466</v>
      </c>
      <c r="AY231" s="5">
        <f xml:space="preserve"> - SUM( VfM_Metrics_2023_Entity[[#This Row],[Interest capitalised]], VfM_Metrics_2023_Entity[[#This Row],[Interest payable and financing costs]] )</f>
        <v>6475</v>
      </c>
      <c r="AZ231" s="84" vm="15290">
        <v>-219</v>
      </c>
      <c r="BA231" s="135" vm="15476">
        <v>-6256</v>
      </c>
      <c r="BB231" s="138">
        <f xml:space="preserve"> IFERROR( ( VfM_Metrics_2023_Entity[[#This Row],[Total Costs]] / VfM_Metrics_2023_Entity[[#This Row],[Total units for costs]] ) * 1000, "n/a" )</f>
        <v>4146.9181721572795</v>
      </c>
      <c r="BC231"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15609</v>
      </c>
      <c r="BD231" s="84" vm="16766">
        <v>5000</v>
      </c>
      <c r="BE231" s="84" vm="16997">
        <v>1333</v>
      </c>
      <c r="BF231" s="84" vm="17219">
        <v>2692</v>
      </c>
      <c r="BG231" s="84" vm="17451">
        <v>1729</v>
      </c>
      <c r="BH231" s="84" vm="17605">
        <v>1235</v>
      </c>
      <c r="BI231" s="84" vm="16589">
        <v>0</v>
      </c>
      <c r="BJ231" s="84" vm="14628">
        <v>2651</v>
      </c>
      <c r="BK231" s="84" vm="16998">
        <v>552</v>
      </c>
      <c r="BL231" s="84" vm="17452">
        <v>339</v>
      </c>
      <c r="BM231" s="84">
        <v>0</v>
      </c>
      <c r="BN231" s="84" vm="16590">
        <v>78</v>
      </c>
      <c r="BO231" s="84">
        <v>0</v>
      </c>
      <c r="BP231" s="5" vm="17758">
        <f xml:space="preserve"> VfM_Metrics_2023_Entity[[#This Row],[Total social housing units owned and/or managed at period end]]</f>
        <v>3764</v>
      </c>
      <c r="BQ231" s="135" vm="17758">
        <v>3764</v>
      </c>
      <c r="BR231" s="134">
        <f xml:space="preserve"> IFERROR( VfM_Metrics_2023_Entity[[#This Row],[SHL operating surplus / (deficit)]] / VfM_Metrics_2023_Entity[[#This Row],[Turnover from social housing lettings]], "n/a" )</f>
        <v>0.30778198775867094</v>
      </c>
      <c r="BS231" s="5" vm="18038">
        <f xml:space="preserve"> VfM_Metrics_2023_Entity[[#This Row],[Operating surplus/(deficit) (social housing lettings)]]</f>
        <v>7392</v>
      </c>
      <c r="BT231" s="84" vm="18038">
        <v>7392</v>
      </c>
      <c r="BU231" s="5" vm="18208">
        <f xml:space="preserve"> VfM_Metrics_2023_Entity[[#This Row],[Turnover from social housing lettings]]</f>
        <v>24017</v>
      </c>
      <c r="BV231" s="135" vm="18208">
        <v>24017</v>
      </c>
      <c r="BW231" s="134">
        <f xml:space="preserve"> IFERROR( VfM_Metrics_2023_Entity[[#This Row],[Net operating surplus]] / VfM_Metrics_2023_Entity[[#This Row],[Overall turnover]], "n/a" )</f>
        <v>0.3048542230237451</v>
      </c>
      <c r="BX231" s="5">
        <f xml:space="preserve"> SUM( VfM_Metrics_2023_Entity[[#This Row],[Operating surplus/(deficit) (overall)2]], - VfM_Metrics_2023_Entity[[#This Row],[Gain/(loss) on disposal of fixed assets (housing properties)2]], - VfM_Metrics_2023_Entity[[#This Row],[Gain/(loss) on disposal of fixed assets (other)2]] )</f>
        <v>8114</v>
      </c>
      <c r="BY231" s="84" vm="13627">
        <v>8832</v>
      </c>
      <c r="BZ231" s="84" vm="14872">
        <v>718</v>
      </c>
      <c r="CA231" s="84" vm="15115">
        <v>0</v>
      </c>
      <c r="CB231" s="5" vm="18387">
        <f xml:space="preserve"> VfM_Metrics_2023_Entity[[#This Row],[Turnover (overall)]]</f>
        <v>26616</v>
      </c>
      <c r="CC231" s="135" vm="18387">
        <v>26616</v>
      </c>
      <c r="CD231" s="134">
        <f xml:space="preserve"> IFERROR( VfM_Metrics_2023_Entity[[#This Row],[Operating surplus including from JVs]] / VfM_Metrics_2023_Entity[[#This Row],[Net assets]], "n/a" )</f>
        <v>3.904561068449184E-2</v>
      </c>
      <c r="CE231" s="5">
        <f xml:space="preserve"> SUM( VfM_Metrics_2023_Entity[[#This Row],[Operating surplus/(deficit) (overall)3]], VfM_Metrics_2023_Entity[[#This Row],[Share of operating surplus/(deficit) in joint ventures or associates]] )</f>
        <v>8832</v>
      </c>
      <c r="CF231" s="84" vm="13627">
        <v>8832</v>
      </c>
      <c r="CG231" s="84">
        <v>0</v>
      </c>
      <c r="CH231" s="5" vm="18756">
        <f xml:space="preserve"> VfM_Metrics_2023_Entity[[#This Row],[Total assets less current liabilities]]</f>
        <v>226197</v>
      </c>
      <c r="CI231" s="135" vm="18756">
        <v>226197</v>
      </c>
      <c r="CJ231" s="140" vm="11391">
        <f xml:space="preserve"> VfM_Metrics_2023_Entity[[#This Row],[Total social housing units owned (Period end)]]</f>
        <v>3690</v>
      </c>
      <c r="CK231" s="141">
        <v>2.989942919271541E-3</v>
      </c>
      <c r="CL231" s="69">
        <f xml:space="preserve"> -- ( VfM_Metrics_2023_Entity[[#This Row],[% Supported housing (excl. HOP)]] &gt; 0.3 )</f>
        <v>0</v>
      </c>
      <c r="CM231" s="9">
        <v>5.8439793422125574E-2</v>
      </c>
      <c r="CN231" s="69">
        <f xml:space="preserve"> -- ( VfM_Metrics_2023_Entity[[#This Row],[% Housing for older people]] &gt; 0.3 )</f>
        <v>0</v>
      </c>
      <c r="CO231" s="9">
        <f xml:space="preserve"> VfM_Metrics_2023_Entity[[#This Row],[% Supported housing (excl. HOP)]] + VfM_Metrics_2023_Entity[[#This Row],[% Housing for older people]]</f>
        <v>6.1429736341397118E-2</v>
      </c>
      <c r="CP231" s="69">
        <f xml:space="preserve"> -- ( VfM_Metrics_2023_Entity[[#This Row],[SH specialist in RSH analysis]] + VfM_Metrics_2023_Entity[[#This Row],[OP specialist in RSH analysis]] &gt; 0 )</f>
        <v>0</v>
      </c>
      <c r="CQ231" s="142">
        <f xml:space="preserve"> -- ( VfM_Metrics_2023_Entity[[#This Row],[% SH and OP]] &gt; 0.3 )</f>
        <v>0</v>
      </c>
      <c r="CR231" s="143" t="s">
        <v>143</v>
      </c>
      <c r="CS231" s="120"/>
      <c r="CT231" s="144" t="s">
        <v>151</v>
      </c>
      <c r="CU231"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South East</v>
      </c>
      <c r="CV231" s="146">
        <v>0</v>
      </c>
      <c r="CW231" s="146">
        <v>1</v>
      </c>
      <c r="CX231" s="146">
        <v>0</v>
      </c>
      <c r="CY231" s="146">
        <v>0</v>
      </c>
      <c r="CZ231" s="146">
        <v>0</v>
      </c>
      <c r="DA231" s="146">
        <v>0</v>
      </c>
      <c r="DB231" s="146">
        <v>0</v>
      </c>
      <c r="DC231" s="146">
        <v>0</v>
      </c>
      <c r="DD231" s="146">
        <v>0</v>
      </c>
      <c r="DE231" s="126">
        <v>1.0337125580623883</v>
      </c>
    </row>
    <row r="232" spans="1:109" x14ac:dyDescent="0.25">
      <c r="A232" s="4" t="s" vm="280">
        <v>534</v>
      </c>
      <c r="B232" s="4" t="s" vm="9840">
        <v>535</v>
      </c>
      <c r="C232" s="121" vm="18765">
        <v>45016</v>
      </c>
      <c r="D232" s="68">
        <f>IFERROR( VfM_Metrics_2023_Entity[[#This Row],[Reinvestment Spend]] / VfM_Metrics_2023_Entity[[#This Row],[Net Book Value of Housing Properties]], "n/a" )</f>
        <v>7.5295367709400013E-2</v>
      </c>
      <c r="E232"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27353</v>
      </c>
      <c r="F232" s="84" vm="10005">
        <v>9767</v>
      </c>
      <c r="G232" s="84" vm="9605">
        <v>1920</v>
      </c>
      <c r="H232" s="84" vm="10390">
        <v>15475</v>
      </c>
      <c r="I232" s="84" vm="10485">
        <v>191</v>
      </c>
      <c r="J232" s="84" vm="10045">
        <v>0</v>
      </c>
      <c r="K232" s="5">
        <f xml:space="preserve"> SUM( VfM_Metrics_2023_Entity[[#This Row],[Tangible fixed assets: Housing properties at cost (Current period)]],VfM_Metrics_2023_Entity[[#This Row],[Tangible fixed assets Housing properties at valuation (Current period)]] )</f>
        <v>363276</v>
      </c>
      <c r="L232" s="84" vm="10313">
        <v>363276</v>
      </c>
      <c r="M232" s="84" vm="10176">
        <v>0</v>
      </c>
      <c r="N232" s="134">
        <f xml:space="preserve"> IFERROR( VfM_Metrics_2023_Entity[[#This Row],[Total social units developed or newly built units acquired in-year]] / VfM_Metrics_2023_Entity[[#This Row],[Social housing units owned (period end)]], "n/a" )</f>
        <v>3.5313228335334414E-3</v>
      </c>
      <c r="O232" s="5">
        <f xml:space="preserve"> SUM( VfM_Metrics_2023_Entity[[#This Row],[Total social units developed or newly built units acquired in-year (owned)]], VfM_Metrics_2023_Entity[[#This Row],[Total social leasehold units developed or newly built units acquired in-year (owned)]] )</f>
        <v>50</v>
      </c>
      <c r="P232" s="84" vm="11100">
        <v>36</v>
      </c>
      <c r="Q232" s="84" vm="11217">
        <v>14</v>
      </c>
      <c r="R232" s="5">
        <f xml:space="preserve"> SUM( VfM_Metrics_2023_Entity[[#This Row],[Total social housing units owned (Period end)]], VfM_Metrics_2023_Entity[[#This Row],[Total social leasehold units owned (Period end)]] )</f>
        <v>14159</v>
      </c>
      <c r="S232" s="84" vm="11327">
        <v>13627</v>
      </c>
      <c r="T232" s="135" vm="11537">
        <v>532</v>
      </c>
      <c r="U232" s="136">
        <f xml:space="preserve"> IFERROR( VfM_Metrics_2023_Entity[[#This Row],[Total non-social housing units developed or newly built units acquired (owned)]] / VfM_Metrics_2023_Entity[[#This Row],[Total social and non-social housing units owned (Period end)]], "n/a" )</f>
        <v>5.5998880022399555E-4</v>
      </c>
      <c r="V232"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8</v>
      </c>
      <c r="W232" s="84" vm="11582">
        <v>8</v>
      </c>
      <c r="X232" s="84" vm="11905">
        <v>0</v>
      </c>
      <c r="Y232" s="84" vm="11949">
        <v>0</v>
      </c>
      <c r="Z232"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14286</v>
      </c>
      <c r="AA232" s="84" vm="11327">
        <v>13627</v>
      </c>
      <c r="AB232" s="84" vm="11537">
        <v>532</v>
      </c>
      <c r="AC232" s="84" vm="12415">
        <v>67</v>
      </c>
      <c r="AD232" s="135" vm="12546">
        <v>60</v>
      </c>
      <c r="AE232" s="134">
        <f xml:space="preserve"> IFERROR( VfM_Metrics_2023_Entity[[#This Row],[Total Net Debt]] / VfM_Metrics_2023_Entity[[#This Row],[Net Book Value of Housing Properties2]], "n/a" )</f>
        <v>0.20692531298516831</v>
      </c>
      <c r="AF232"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75171</v>
      </c>
      <c r="AG232" s="84" vm="12580">
        <v>0</v>
      </c>
      <c r="AH232" s="84" vm="12968">
        <v>110095</v>
      </c>
      <c r="AI232" s="84" vm="13061">
        <v>34924</v>
      </c>
      <c r="AJ232" s="84" vm="13152">
        <v>0</v>
      </c>
      <c r="AK232" s="84" vm="13233">
        <v>0</v>
      </c>
      <c r="AL232" s="5">
        <f xml:space="preserve"> SUM( VfM_Metrics_2023_Entity[[#This Row],[Tangible fixed assets: Housing properties at cost (Current period)2]], VfM_Metrics_2023_Entity[[#This Row],[Tangible fixed assets Housing properties at valuation (Current period)2]] )</f>
        <v>363276</v>
      </c>
      <c r="AM232" s="84" vm="10002">
        <v>363276</v>
      </c>
      <c r="AN232" s="135" vm="10176">
        <v>0</v>
      </c>
      <c r="AO232" s="137">
        <f xml:space="preserve"> IFERROR( VfM_Metrics_2023_Entity[[#This Row],[EBITDA MRI]] / VfM_Metrics_2023_Entity[[#This Row],[Total interest]], "n/a" )</f>
        <v>1.0614979134636504</v>
      </c>
      <c r="AP232"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4833</v>
      </c>
      <c r="AQ232" s="84" vm="13465">
        <v>15883</v>
      </c>
      <c r="AR232" s="84" vm="15116">
        <v>5319</v>
      </c>
      <c r="AS232" s="84" vm="13886">
        <v>0</v>
      </c>
      <c r="AT232" s="84" vm="14140">
        <v>229</v>
      </c>
      <c r="AU232" s="84" vm="14383">
        <v>0</v>
      </c>
      <c r="AV232" s="84" vm="14629">
        <v>638</v>
      </c>
      <c r="AW232" s="84" vm="14874">
        <v>15475</v>
      </c>
      <c r="AX232" s="84" vm="15117">
        <v>9335</v>
      </c>
      <c r="AY232" s="5">
        <f xml:space="preserve"> - SUM( VfM_Metrics_2023_Entity[[#This Row],[Interest capitalised]], VfM_Metrics_2023_Entity[[#This Row],[Interest payable and financing costs]] )</f>
        <v>4553</v>
      </c>
      <c r="AZ232" s="84" vm="15302">
        <v>-193</v>
      </c>
      <c r="BA232" s="135" vm="15505">
        <v>-4360</v>
      </c>
      <c r="BB232" s="138">
        <f xml:space="preserve"> IFERROR( ( VfM_Metrics_2023_Entity[[#This Row],[Total Costs]] / VfM_Metrics_2023_Entity[[#This Row],[Total units for costs]] ) * 1000, "n/a" )</f>
        <v>4568.0634035370958</v>
      </c>
      <c r="BC232"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62249</v>
      </c>
      <c r="BD232" s="84" vm="15603">
        <v>17828</v>
      </c>
      <c r="BE232" s="84" vm="16999">
        <v>5950</v>
      </c>
      <c r="BF232" s="84" vm="17220">
        <v>11254</v>
      </c>
      <c r="BG232" s="84" vm="17454">
        <v>4159</v>
      </c>
      <c r="BH232" s="84" vm="17607">
        <v>6548</v>
      </c>
      <c r="BI232" s="84" vm="16591">
        <v>204</v>
      </c>
      <c r="BJ232" s="84" vm="14874">
        <v>15475</v>
      </c>
      <c r="BK232" s="84" vm="17000">
        <v>719</v>
      </c>
      <c r="BL232" s="84" vm="17453">
        <v>0</v>
      </c>
      <c r="BM232" s="84" vm="17608">
        <v>0</v>
      </c>
      <c r="BN232" s="84" vm="16592">
        <v>112</v>
      </c>
      <c r="BO232" s="84" vm="17221">
        <v>0</v>
      </c>
      <c r="BP232" s="5" vm="17789">
        <f xml:space="preserve"> VfM_Metrics_2023_Entity[[#This Row],[Total social housing units owned and/or managed at period end]]</f>
        <v>13627</v>
      </c>
      <c r="BQ232" s="135" vm="17789">
        <v>13627</v>
      </c>
      <c r="BR232" s="134">
        <f xml:space="preserve"> IFERROR( VfM_Metrics_2023_Entity[[#This Row],[SHL operating surplus / (deficit)]] / VfM_Metrics_2023_Entity[[#This Row],[Turnover from social housing lettings]], "n/a" )</f>
        <v>0.14542956968375786</v>
      </c>
      <c r="BS232" s="5" vm="17868">
        <f xml:space="preserve"> VfM_Metrics_2023_Entity[[#This Row],[Operating surplus/(deficit) (social housing lettings)]]</f>
        <v>9740</v>
      </c>
      <c r="BT232" s="84" vm="17868">
        <v>9740</v>
      </c>
      <c r="BU232" s="5" vm="18085">
        <f xml:space="preserve"> VfM_Metrics_2023_Entity[[#This Row],[Turnover from social housing lettings]]</f>
        <v>66974</v>
      </c>
      <c r="BV232" s="135" vm="18085">
        <v>66974</v>
      </c>
      <c r="BW232" s="134">
        <f xml:space="preserve"> IFERROR( VfM_Metrics_2023_Entity[[#This Row],[Net operating surplus]] / VfM_Metrics_2023_Entity[[#This Row],[Overall turnover]], "n/a" )</f>
        <v>0.15047146967495656</v>
      </c>
      <c r="BX232" s="5">
        <f xml:space="preserve"> SUM( VfM_Metrics_2023_Entity[[#This Row],[Operating surplus/(deficit) (overall)2]], - VfM_Metrics_2023_Entity[[#This Row],[Gain/(loss) on disposal of fixed assets (housing properties)2]], - VfM_Metrics_2023_Entity[[#This Row],[Gain/(loss) on disposal of fixed assets (other)2]] )</f>
        <v>10564</v>
      </c>
      <c r="BY232" s="84" vm="13465">
        <v>15883</v>
      </c>
      <c r="BZ232" s="84" vm="15116">
        <v>5319</v>
      </c>
      <c r="CA232" s="84" vm="13886">
        <v>0</v>
      </c>
      <c r="CB232" s="5" vm="18395">
        <f xml:space="preserve"> VfM_Metrics_2023_Entity[[#This Row],[Turnover (overall)]]</f>
        <v>70206</v>
      </c>
      <c r="CC232" s="135" vm="18395">
        <v>70206</v>
      </c>
      <c r="CD232" s="134">
        <f xml:space="preserve"> IFERROR( VfM_Metrics_2023_Entity[[#This Row],[Operating surplus including from JVs]] / VfM_Metrics_2023_Entity[[#This Row],[Net assets]], "n/a" )</f>
        <v>3.8120358858909312E-2</v>
      </c>
      <c r="CE232" s="5">
        <f xml:space="preserve"> SUM( VfM_Metrics_2023_Entity[[#This Row],[Operating surplus/(deficit) (overall)3]], VfM_Metrics_2023_Entity[[#This Row],[Share of operating surplus/(deficit) in joint ventures or associates]] )</f>
        <v>15883</v>
      </c>
      <c r="CF232" s="84" vm="13465">
        <v>15883</v>
      </c>
      <c r="CG232" s="84" vm="18568">
        <v>0</v>
      </c>
      <c r="CH232" s="5" vm="18605">
        <f xml:space="preserve"> VfM_Metrics_2023_Entity[[#This Row],[Total assets less current liabilities]]</f>
        <v>416654</v>
      </c>
      <c r="CI232" s="135" vm="18605">
        <v>416654</v>
      </c>
      <c r="CJ232" s="140" vm="11327">
        <f xml:space="preserve"> VfM_Metrics_2023_Entity[[#This Row],[Total social housing units owned (Period end)]]</f>
        <v>13627</v>
      </c>
      <c r="CK232" s="141">
        <v>1.1732785803329178E-3</v>
      </c>
      <c r="CL232" s="69">
        <f xml:space="preserve"> -- ( VfM_Metrics_2023_Entity[[#This Row],[% Supported housing (excl. HOP)]] &gt; 0.3 )</f>
        <v>0</v>
      </c>
      <c r="CM232" s="9">
        <v>5.0597638776857081E-3</v>
      </c>
      <c r="CN232" s="69">
        <f xml:space="preserve"> -- ( VfM_Metrics_2023_Entity[[#This Row],[% Housing for older people]] &gt; 0.3 )</f>
        <v>0</v>
      </c>
      <c r="CO232" s="9">
        <f xml:space="preserve"> VfM_Metrics_2023_Entity[[#This Row],[% Supported housing (excl. HOP)]] + VfM_Metrics_2023_Entity[[#This Row],[% Housing for older people]]</f>
        <v>6.2330424580186259E-3</v>
      </c>
      <c r="CP232" s="69">
        <f xml:space="preserve"> -- ( VfM_Metrics_2023_Entity[[#This Row],[SH specialist in RSH analysis]] + VfM_Metrics_2023_Entity[[#This Row],[OP specialist in RSH analysis]] &gt; 0 )</f>
        <v>0</v>
      </c>
      <c r="CQ232" s="142">
        <f xml:space="preserve"> -- ( VfM_Metrics_2023_Entity[[#This Row],[% SH and OP]] &gt; 0.3 )</f>
        <v>0</v>
      </c>
      <c r="CR232" s="143" t="s">
        <v>143</v>
      </c>
      <c r="CS232" s="120"/>
      <c r="CT232" s="144" t="s">
        <v>151</v>
      </c>
      <c r="CU232"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232" s="146">
        <v>0</v>
      </c>
      <c r="CW232" s="146">
        <v>0</v>
      </c>
      <c r="CX232" s="146">
        <v>0</v>
      </c>
      <c r="CY232" s="146">
        <v>0</v>
      </c>
      <c r="CZ232" s="146">
        <v>0</v>
      </c>
      <c r="DA232" s="146">
        <v>0</v>
      </c>
      <c r="DB232" s="146">
        <v>0</v>
      </c>
      <c r="DC232" s="146">
        <v>1</v>
      </c>
      <c r="DD232" s="146">
        <v>0</v>
      </c>
      <c r="DE232" s="126">
        <v>0.96105917141044694</v>
      </c>
    </row>
    <row r="233" spans="1:109" x14ac:dyDescent="0.25">
      <c r="A233" s="4" t="s" vm="281">
        <v>538</v>
      </c>
      <c r="B233" s="4" t="s" vm="9844">
        <v>539</v>
      </c>
      <c r="C233" s="121" vm="18980">
        <v>45016</v>
      </c>
      <c r="D233" s="68">
        <f>IFERROR( VfM_Metrics_2023_Entity[[#This Row],[Reinvestment Spend]] / VfM_Metrics_2023_Entity[[#This Row],[Net Book Value of Housing Properties]], "n/a" )</f>
        <v>7.5930468464395648E-2</v>
      </c>
      <c r="E233"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81627</v>
      </c>
      <c r="F233" s="84" vm="10006">
        <v>62205</v>
      </c>
      <c r="G233" s="84" vm="10817">
        <v>0</v>
      </c>
      <c r="H233" s="84" vm="10443">
        <v>15905</v>
      </c>
      <c r="I233" s="84" vm="10540">
        <v>3517</v>
      </c>
      <c r="J233" s="84" vm="10047">
        <v>0</v>
      </c>
      <c r="K233" s="5">
        <f xml:space="preserve"> SUM( VfM_Metrics_2023_Entity[[#This Row],[Tangible fixed assets: Housing properties at cost (Current period)]],VfM_Metrics_2023_Entity[[#This Row],[Tangible fixed assets Housing properties at valuation (Current period)]] )</f>
        <v>1075023</v>
      </c>
      <c r="L233" s="84" vm="9910">
        <v>1004024</v>
      </c>
      <c r="M233" s="84" vm="10596">
        <v>70999</v>
      </c>
      <c r="N233" s="134">
        <f xml:space="preserve"> IFERROR( VfM_Metrics_2023_Entity[[#This Row],[Total social units developed or newly built units acquired in-year]] / VfM_Metrics_2023_Entity[[#This Row],[Social housing units owned (period end)]], "n/a" )</f>
        <v>2.485753052917232E-2</v>
      </c>
      <c r="O233" s="5">
        <f xml:space="preserve"> SUM( VfM_Metrics_2023_Entity[[#This Row],[Total social units developed or newly built units acquired in-year (owned)]], VfM_Metrics_2023_Entity[[#This Row],[Total social leasehold units developed or newly built units acquired in-year (owned)]] )</f>
        <v>458</v>
      </c>
      <c r="P233" s="84" vm="11033">
        <v>458</v>
      </c>
      <c r="Q233" s="84">
        <v>0</v>
      </c>
      <c r="R233" s="5">
        <f xml:space="preserve"> SUM( VfM_Metrics_2023_Entity[[#This Row],[Total social housing units owned (Period end)]], VfM_Metrics_2023_Entity[[#This Row],[Total social leasehold units owned (Period end)]] )</f>
        <v>18425</v>
      </c>
      <c r="S233" s="84" vm="11362">
        <v>17903</v>
      </c>
      <c r="T233" s="135" vm="11506">
        <v>522</v>
      </c>
      <c r="U233" s="136">
        <f xml:space="preserve"> IFERROR( VfM_Metrics_2023_Entity[[#This Row],[Total non-social housing units developed or newly built units acquired (owned)]] / VfM_Metrics_2023_Entity[[#This Row],[Total social and non-social housing units owned (Period end)]], "n/a" )</f>
        <v>0</v>
      </c>
      <c r="V233"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0</v>
      </c>
      <c r="W233" s="84">
        <v>0</v>
      </c>
      <c r="X233" s="84">
        <v>0</v>
      </c>
      <c r="Y233" s="84">
        <v>0</v>
      </c>
      <c r="Z233"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18480</v>
      </c>
      <c r="AA233" s="84" vm="11362">
        <v>17903</v>
      </c>
      <c r="AB233" s="84" vm="12224">
        <v>522</v>
      </c>
      <c r="AC233" s="84" vm="12170">
        <v>0</v>
      </c>
      <c r="AD233" s="135" vm="12321">
        <v>55</v>
      </c>
      <c r="AE233" s="134">
        <f xml:space="preserve"> IFERROR( VfM_Metrics_2023_Entity[[#This Row],[Total Net Debt]] / VfM_Metrics_2023_Entity[[#This Row],[Net Book Value of Housing Properties2]], "n/a" )</f>
        <v>0.53341463391946031</v>
      </c>
      <c r="AF233"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573433</v>
      </c>
      <c r="AG233" s="84" vm="12604">
        <v>36544</v>
      </c>
      <c r="AH233" s="84" vm="12824">
        <v>300327</v>
      </c>
      <c r="AI233" s="84" vm="13356">
        <v>18438</v>
      </c>
      <c r="AJ233" s="84" vm="12928">
        <v>255000</v>
      </c>
      <c r="AK233" s="84">
        <v>0</v>
      </c>
      <c r="AL233" s="5">
        <f xml:space="preserve"> SUM( VfM_Metrics_2023_Entity[[#This Row],[Tangible fixed assets: Housing properties at cost (Current period)2]], VfM_Metrics_2023_Entity[[#This Row],[Tangible fixed assets Housing properties at valuation (Current period)2]] )</f>
        <v>1075023</v>
      </c>
      <c r="AM233" s="84" vm="9910">
        <v>1004024</v>
      </c>
      <c r="AN233" s="135" vm="10183">
        <v>70999</v>
      </c>
      <c r="AO233" s="137">
        <f xml:space="preserve"> IFERROR( VfM_Metrics_2023_Entity[[#This Row],[EBITDA MRI]] / VfM_Metrics_2023_Entity[[#This Row],[Total interest]], "n/a" )</f>
        <v>1.1780876670959719</v>
      </c>
      <c r="AP233"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26527</v>
      </c>
      <c r="AQ233" s="84" vm="13498">
        <v>29609</v>
      </c>
      <c r="AR233" s="84" vm="13887">
        <v>6442</v>
      </c>
      <c r="AS233" s="84">
        <v>0</v>
      </c>
      <c r="AT233" s="84" vm="14384">
        <v>4169</v>
      </c>
      <c r="AU233" s="84" vm="14630">
        <v>0</v>
      </c>
      <c r="AV233" s="84" vm="14875">
        <v>1003</v>
      </c>
      <c r="AW233" s="84" vm="15118">
        <v>15905</v>
      </c>
      <c r="AX233" s="84" vm="13888">
        <v>22431</v>
      </c>
      <c r="AY233" s="5">
        <f xml:space="preserve"> - SUM( VfM_Metrics_2023_Entity[[#This Row],[Interest capitalised]], VfM_Metrics_2023_Entity[[#This Row],[Interest payable and financing costs]] )</f>
        <v>22517</v>
      </c>
      <c r="AZ233" s="84" vm="15186">
        <v>-3517</v>
      </c>
      <c r="BA233" s="135" vm="15347">
        <v>-19000</v>
      </c>
      <c r="BB233" s="138">
        <f xml:space="preserve"> IFERROR( ( VfM_Metrics_2023_Entity[[#This Row],[Total Costs]] / VfM_Metrics_2023_Entity[[#This Row],[Total units for costs]] ) * 1000, "n/a" )</f>
        <v>4511.3109534714849</v>
      </c>
      <c r="BC233"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80766</v>
      </c>
      <c r="BD233" s="84" vm="16767">
        <v>26910</v>
      </c>
      <c r="BE233" s="84" vm="17001">
        <v>6750</v>
      </c>
      <c r="BF233" s="84" vm="17222">
        <v>16301</v>
      </c>
      <c r="BG233" s="84" vm="17454">
        <v>8476</v>
      </c>
      <c r="BH233" s="84" vm="17609">
        <v>4744</v>
      </c>
      <c r="BI233" s="84" vm="16593">
        <v>83</v>
      </c>
      <c r="BJ233" s="84" vm="15118">
        <v>15905</v>
      </c>
      <c r="BK233" s="84" vm="17001">
        <v>0</v>
      </c>
      <c r="BL233" s="84">
        <v>0</v>
      </c>
      <c r="BM233" s="84">
        <v>0</v>
      </c>
      <c r="BN233" s="84" vm="16594">
        <v>1597</v>
      </c>
      <c r="BO233" s="84">
        <v>0</v>
      </c>
      <c r="BP233" s="5" vm="17652">
        <f xml:space="preserve"> VfM_Metrics_2023_Entity[[#This Row],[Total social housing units owned and/or managed at period end]]</f>
        <v>17903</v>
      </c>
      <c r="BQ233" s="135" vm="17652">
        <v>17903</v>
      </c>
      <c r="BR233" s="134">
        <f xml:space="preserve"> IFERROR( VfM_Metrics_2023_Entity[[#This Row],[SHL operating surplus / (deficit)]] / VfM_Metrics_2023_Entity[[#This Row],[Turnover from social housing lettings]], "n/a" )</f>
        <v>0.13966910350134668</v>
      </c>
      <c r="BS233" s="5" vm="17906">
        <f xml:space="preserve"> VfM_Metrics_2023_Entity[[#This Row],[Operating surplus/(deficit) (social housing lettings)]]</f>
        <v>13431</v>
      </c>
      <c r="BT233" s="84" vm="17906">
        <v>13431</v>
      </c>
      <c r="BU233" s="5" vm="18105">
        <f xml:space="preserve"> VfM_Metrics_2023_Entity[[#This Row],[Turnover from social housing lettings]]</f>
        <v>96163</v>
      </c>
      <c r="BV233" s="135" vm="18105">
        <v>96163</v>
      </c>
      <c r="BW233" s="134">
        <f xml:space="preserve"> IFERROR( VfM_Metrics_2023_Entity[[#This Row],[Net operating surplus]] / VfM_Metrics_2023_Entity[[#This Row],[Overall turnover]], "n/a" )</f>
        <v>0.17422333857249217</v>
      </c>
      <c r="BX233" s="5">
        <f xml:space="preserve"> SUM( VfM_Metrics_2023_Entity[[#This Row],[Operating surplus/(deficit) (overall)2]], - VfM_Metrics_2023_Entity[[#This Row],[Gain/(loss) on disposal of fixed assets (housing properties)2]], - VfM_Metrics_2023_Entity[[#This Row],[Gain/(loss) on disposal of fixed assets (other)2]] )</f>
        <v>23167</v>
      </c>
      <c r="BY233" s="84" vm="13498">
        <v>29609</v>
      </c>
      <c r="BZ233" s="84" vm="13887">
        <v>6442</v>
      </c>
      <c r="CA233" s="84">
        <v>0</v>
      </c>
      <c r="CB233" s="5" vm="18420">
        <f xml:space="preserve"> VfM_Metrics_2023_Entity[[#This Row],[Turnover (overall)]]</f>
        <v>132973</v>
      </c>
      <c r="CC233" s="135" vm="18420">
        <v>132973</v>
      </c>
      <c r="CD233" s="134">
        <f xml:space="preserve"> IFERROR( VfM_Metrics_2023_Entity[[#This Row],[Operating surplus including from JVs]] / VfM_Metrics_2023_Entity[[#This Row],[Net assets]], "n/a" )</f>
        <v>2.6223285398866897E-2</v>
      </c>
      <c r="CE233" s="5">
        <f xml:space="preserve"> SUM( VfM_Metrics_2023_Entity[[#This Row],[Operating surplus/(deficit) (overall)3]], VfM_Metrics_2023_Entity[[#This Row],[Share of operating surplus/(deficit) in joint ventures or associates]] )</f>
        <v>29609</v>
      </c>
      <c r="CF233" s="84" vm="13498">
        <v>29609</v>
      </c>
      <c r="CG233" s="84">
        <v>0</v>
      </c>
      <c r="CH233" s="5" vm="18642">
        <f xml:space="preserve"> VfM_Metrics_2023_Entity[[#This Row],[Total assets less current liabilities]]</f>
        <v>1129111</v>
      </c>
      <c r="CI233" s="135" vm="18642">
        <v>1129111</v>
      </c>
      <c r="CJ233" s="140" vm="11362">
        <f xml:space="preserve"> VfM_Metrics_2023_Entity[[#This Row],[Total social housing units owned (Period end)]]</f>
        <v>17903</v>
      </c>
      <c r="CK233" s="141">
        <v>2.2530916483144165E-2</v>
      </c>
      <c r="CL233" s="69">
        <f xml:space="preserve"> -- ( VfM_Metrics_2023_Entity[[#This Row],[% Supported housing (excl. HOP)]] &gt; 0.3 )</f>
        <v>0</v>
      </c>
      <c r="CM233" s="9">
        <v>4.8845219944660907E-2</v>
      </c>
      <c r="CN233" s="69">
        <f xml:space="preserve"> -- ( VfM_Metrics_2023_Entity[[#This Row],[% Housing for older people]] &gt; 0.3 )</f>
        <v>0</v>
      </c>
      <c r="CO233" s="9">
        <f xml:space="preserve"> VfM_Metrics_2023_Entity[[#This Row],[% Supported housing (excl. HOP)]] + VfM_Metrics_2023_Entity[[#This Row],[% Housing for older people]]</f>
        <v>7.1376136427805076E-2</v>
      </c>
      <c r="CP233" s="69">
        <f xml:space="preserve"> -- ( VfM_Metrics_2023_Entity[[#This Row],[SH specialist in RSH analysis]] + VfM_Metrics_2023_Entity[[#This Row],[OP specialist in RSH analysis]] &gt; 0 )</f>
        <v>0</v>
      </c>
      <c r="CQ233" s="142">
        <f xml:space="preserve"> -- ( VfM_Metrics_2023_Entity[[#This Row],[% SH and OP]] &gt; 0.3 )</f>
        <v>0</v>
      </c>
      <c r="CR233" s="143" t="s">
        <v>143</v>
      </c>
      <c r="CS233" s="120"/>
      <c r="CT233" s="144" t="s">
        <v>151</v>
      </c>
      <c r="CU233"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Yorkshire &amp; the Humber</v>
      </c>
      <c r="CV233" s="146">
        <v>0</v>
      </c>
      <c r="CW233" s="146">
        <v>0</v>
      </c>
      <c r="CX233" s="146">
        <v>0</v>
      </c>
      <c r="CY233" s="146">
        <v>0</v>
      </c>
      <c r="CZ233" s="146">
        <v>0</v>
      </c>
      <c r="DA233" s="146">
        <v>0</v>
      </c>
      <c r="DB233" s="146">
        <v>0</v>
      </c>
      <c r="DC233" s="146">
        <v>1.3405574484723231E-3</v>
      </c>
      <c r="DD233" s="146">
        <v>0.99865944255152772</v>
      </c>
      <c r="DE233" s="126">
        <v>0.94461329066055166</v>
      </c>
    </row>
    <row r="234" spans="1:109" x14ac:dyDescent="0.25">
      <c r="A234" s="4" t="s" vm="9830">
        <v>636</v>
      </c>
      <c r="B234" s="4" t="s" vm="10259">
        <v>637</v>
      </c>
      <c r="C234" s="121" vm="18961">
        <v>45016</v>
      </c>
      <c r="D234" s="68">
        <f>IFERROR( VfM_Metrics_2023_Entity[[#This Row],[Reinvestment Spend]] / VfM_Metrics_2023_Entity[[#This Row],[Net Book Value of Housing Properties]], "n/a" )</f>
        <v>7.1404976385826144E-2</v>
      </c>
      <c r="E234" s="5">
        <f xml:space="preserve"> SUM( VfM_Metrics_2023_Entity[[#This Row],[Development of new properties (Total housing properties)]], VfM_Metrics_2023_Entity[[#This Row],[Newly built properties acquired (Total housing properties)]], VfM_Metrics_2023_Entity[[#This Row],[ Works to Existing (Total housing properties)]], VfM_Metrics_2023_Entity[[#This Row],[Capitalised Interest (Total housing properties)]], VfM_Metrics_2023_Entity[[#This Row],[Schemes completed (Total housing properties)]] )</f>
        <v>71982</v>
      </c>
      <c r="F234" s="84" vm="9861">
        <v>43377</v>
      </c>
      <c r="G234" s="84" vm="9854">
        <v>0</v>
      </c>
      <c r="H234" s="84" vm="10361">
        <v>26281</v>
      </c>
      <c r="I234" s="84" vm="10537">
        <v>2324</v>
      </c>
      <c r="J234" s="84" vm="9867">
        <v>0</v>
      </c>
      <c r="K234" s="5">
        <f xml:space="preserve"> SUM( VfM_Metrics_2023_Entity[[#This Row],[Tangible fixed assets: Housing properties at cost (Current period)]],VfM_Metrics_2023_Entity[[#This Row],[Tangible fixed assets Housing properties at valuation (Current period)]] )</f>
        <v>1008081</v>
      </c>
      <c r="L234" s="84" vm="10567">
        <v>1008081</v>
      </c>
      <c r="M234" s="84" vm="10167">
        <v>0</v>
      </c>
      <c r="N234" s="134">
        <f xml:space="preserve"> IFERROR( VfM_Metrics_2023_Entity[[#This Row],[Total social units developed or newly built units acquired in-year]] / VfM_Metrics_2023_Entity[[#This Row],[Social housing units owned (period end)]], "n/a" )</f>
        <v>1.3028663058729205E-2</v>
      </c>
      <c r="O234" s="5">
        <f xml:space="preserve"> SUM( VfM_Metrics_2023_Entity[[#This Row],[Total social units developed or newly built units acquired in-year (owned)]], VfM_Metrics_2023_Entity[[#This Row],[Total social leasehold units developed or newly built units acquired in-year (owned)]] )</f>
        <v>325</v>
      </c>
      <c r="P234" s="84" vm="10988">
        <v>325</v>
      </c>
      <c r="Q234" s="84" vm="11158">
        <v>0</v>
      </c>
      <c r="R234" s="5">
        <f xml:space="preserve"> SUM( VfM_Metrics_2023_Entity[[#This Row],[Total social housing units owned (Period end)]], VfM_Metrics_2023_Entity[[#This Row],[Total social leasehold units owned (Period end)]] )</f>
        <v>24945</v>
      </c>
      <c r="S234" s="84" vm="11292">
        <v>23925</v>
      </c>
      <c r="T234" s="135" vm="11554">
        <v>1020</v>
      </c>
      <c r="U234" s="136">
        <f xml:space="preserve"> IFERROR( VfM_Metrics_2023_Entity[[#This Row],[Total non-social housing units developed or newly built units acquired (owned)]] / VfM_Metrics_2023_Entity[[#This Row],[Total social and non-social housing units owned (Period end)]], "n/a" )</f>
        <v>2.2940238734009875E-3</v>
      </c>
      <c r="V234" s="5">
        <f xml:space="preserve"> SUM( VfM_Metrics_2023_Entity[[#This Row],[Total non-social units developed or newly built units acquired in-year (owned)]], VfM_Metrics_2023_Entity[[#This Row],[Total non-social leasehold units developed or newly built units acquired in-year (owned)]], VfM_Metrics_2023_Entity[[#This Row],[New outright sale units developed or acquired (owned)]] )</f>
        <v>59</v>
      </c>
      <c r="W234" s="84" vm="11631">
        <v>46</v>
      </c>
      <c r="X234" s="84" vm="11816">
        <v>10</v>
      </c>
      <c r="Y234" s="84" vm="11867">
        <v>3</v>
      </c>
      <c r="Z234" s="5">
        <f xml:space="preserve"> SUM( VfM_Metrics_2023_Entity[[#This Row],[Total social housing units owned (Period end)2]], VfM_Metrics_2023_Entity[[#This Row],[Total social leasehold units owned (Period end)2]], VfM_Metrics_2023_Entity[[#This Row],[Total non-social rental housing units owned (Period end)]], VfM_Metrics_2023_Entity[[#This Row],[Total non-social leasehold units owned (Period end)]] )</f>
        <v>25719</v>
      </c>
      <c r="AA234" s="84" vm="11981">
        <v>23925</v>
      </c>
      <c r="AB234" s="84" vm="11554">
        <v>1020</v>
      </c>
      <c r="AC234" s="84" vm="12416">
        <v>436</v>
      </c>
      <c r="AD234" s="135" vm="12547">
        <v>338</v>
      </c>
      <c r="AE234" s="134">
        <f xml:space="preserve"> IFERROR( VfM_Metrics_2023_Entity[[#This Row],[Total Net Debt]] / VfM_Metrics_2023_Entity[[#This Row],[Net Book Value of Housing Properties2]], "n/a" )</f>
        <v>0.47401548089885637</v>
      </c>
      <c r="AF234" s="5">
        <f xml:space="preserve"> SUM( VfM_Metrics_2023_Entity[[#This Row],[Short-term loans]], VfM_Metrics_2023_Entity[[#This Row],[Long-term loans]], - VfM_Metrics_2023_Entity[[#This Row],[Cash and cash equivalents ]], VfM_Metrics_2023_Entity[[#This Row],[Amounts owed to group undertakings]], VfM_Metrics_2023_Entity[[#This Row],[Finance lease obligations]] )</f>
        <v>477846</v>
      </c>
      <c r="AG234" s="84" vm="12633">
        <v>10720</v>
      </c>
      <c r="AH234" s="84" vm="13091">
        <v>498732</v>
      </c>
      <c r="AI234" s="84" vm="13178">
        <v>32584</v>
      </c>
      <c r="AJ234" s="84" vm="12825">
        <v>0</v>
      </c>
      <c r="AK234" s="84" vm="13318">
        <v>978</v>
      </c>
      <c r="AL234" s="5">
        <f xml:space="preserve"> SUM( VfM_Metrics_2023_Entity[[#This Row],[Tangible fixed assets: Housing properties at cost (Current period)2]], VfM_Metrics_2023_Entity[[#This Row],[Tangible fixed assets Housing properties at valuation (Current period)2]] )</f>
        <v>1008081</v>
      </c>
      <c r="AM234" s="84" vm="9934">
        <v>1008081</v>
      </c>
      <c r="AN234" s="135" vm="10116">
        <v>0</v>
      </c>
      <c r="AO234" s="137">
        <f xml:space="preserve"> IFERROR( VfM_Metrics_2023_Entity[[#This Row],[EBITDA MRI]] / VfM_Metrics_2023_Entity[[#This Row],[Total interest]], "n/a" )</f>
        <v>-0.25732251303272963</v>
      </c>
      <c r="AP234" s="5">
        <f xml:space="preserve"> SUM( VfM_Metrics_2023_Entity[[#This Row],[Operating surplus/(deficit) (overall)]], - VfM_Metrics_2023_Entity[[#This Row],[Gain/(loss) on disposal of fixed assets (housing properties)]], - VfM_Metrics_2023_Entity[[#This Row],[Gain/(loss) on disposal of fixed assets (other)]], - VfM_Metrics_2023_Entity[[#This Row],[Amortised government grant]], - VfM_Metrics_2023_Entity[[#This Row],[Government grants taken to income]], VfM_Metrics_2023_Entity[[#This Row],[Interest receivable]], - VfM_Metrics_2023_Entity[[#This Row],[Capitalised major repairs expenditure for period]], VfM_Metrics_2023_Entity[[#This Row],[Total depreciation charge for period]] )</f>
        <v>-4788</v>
      </c>
      <c r="AQ234" s="84" vm="13536">
        <v>4848</v>
      </c>
      <c r="AR234" s="84" vm="14141">
        <v>4159</v>
      </c>
      <c r="AS234" s="84" vm="14385">
        <v>-2</v>
      </c>
      <c r="AT234" s="84" vm="14631">
        <v>0</v>
      </c>
      <c r="AU234" s="84" vm="14876">
        <v>4774</v>
      </c>
      <c r="AV234" s="84" vm="15119">
        <v>1258</v>
      </c>
      <c r="AW234" s="84" vm="13889">
        <v>26281</v>
      </c>
      <c r="AX234" s="84" vm="14142">
        <v>24318</v>
      </c>
      <c r="AY234" s="5">
        <f xml:space="preserve"> - SUM( VfM_Metrics_2023_Entity[[#This Row],[Interest capitalised]], VfM_Metrics_2023_Entity[[#This Row],[Interest payable and financing costs]] )</f>
        <v>18607</v>
      </c>
      <c r="AZ234" s="84" vm="15209">
        <v>-2324</v>
      </c>
      <c r="BA234" s="135" vm="15380">
        <v>-16283</v>
      </c>
      <c r="BB234" s="138">
        <f xml:space="preserve"> IFERROR( ( VfM_Metrics_2023_Entity[[#This Row],[Total Costs]] / VfM_Metrics_2023_Entity[[#This Row],[Total units for costs]] ) * 1000, "n/a" )</f>
        <v>5808.2517310607618</v>
      </c>
      <c r="BC234" s="5">
        <f xml:space="preserve"> SUM( VfM_Metrics_2023_Entity[[#This Row],[Management costs]], VfM_Metrics_2023_Entity[[#This Row],[Service charge costs]], VfM_Metrics_2023_Entity[[#This Row],[Routine maintenance costs]], VfM_Metrics_2023_Entity[[#This Row],[Planned maintenance costs]], VfM_Metrics_2023_Entity[[#This Row],[Major repairs expenditure]], VfM_Metrics_2023_Entity[[#This Row],[Lease costs]], VfM_Metrics_2023_Entity[[#This Row],[Capitalised major repairs expenditure for period2]], VfM_Metrics_2023_Entity[[#This Row],[Other (social housing letting) costs]], VfM_Metrics_2023_Entity[[#This Row],[Development services]], VfM_Metrics_2023_Entity[[#This Row],[Community/neighbourhood services]], VfM_Metrics_2023_Entity[[#This Row],[Other social housing activities: Other]], VfM_Metrics_2023_Entity[[#This Row],[Other social housing activities: charges for support services]] )</f>
        <v>141762</v>
      </c>
      <c r="BD234" s="84" vm="16768">
        <v>49225</v>
      </c>
      <c r="BE234" s="84" vm="17002">
        <v>20056</v>
      </c>
      <c r="BF234" s="84" vm="17223">
        <v>19604</v>
      </c>
      <c r="BG234" s="84" vm="17456">
        <v>13924</v>
      </c>
      <c r="BH234" s="84" vm="17610">
        <v>1826</v>
      </c>
      <c r="BI234" s="84" vm="16595">
        <v>0</v>
      </c>
      <c r="BJ234" s="84" vm="13889">
        <v>26281</v>
      </c>
      <c r="BK234" s="84" vm="17003">
        <v>7732</v>
      </c>
      <c r="BL234" s="84" vm="17455">
        <v>0</v>
      </c>
      <c r="BM234" s="84" vm="17611">
        <v>89</v>
      </c>
      <c r="BN234" s="84" vm="16596">
        <v>1387</v>
      </c>
      <c r="BO234" s="84" vm="17224">
        <v>1638</v>
      </c>
      <c r="BP234" s="5" vm="17793">
        <f xml:space="preserve"> VfM_Metrics_2023_Entity[[#This Row],[Total social housing units owned and/or managed at period end]]</f>
        <v>24407</v>
      </c>
      <c r="BQ234" s="135" vm="17793">
        <v>24407</v>
      </c>
      <c r="BR234" s="134">
        <f xml:space="preserve"> IFERROR( VfM_Metrics_2023_Entity[[#This Row],[SHL operating surplus / (deficit)]] / VfM_Metrics_2023_Entity[[#This Row],[Turnover from social housing lettings]], "n/a" )</f>
        <v>4.0997197399891418E-2</v>
      </c>
      <c r="BS234" s="5" vm="17943">
        <f xml:space="preserve"> VfM_Metrics_2023_Entity[[#This Row],[Operating surplus/(deficit) (social housing lettings)]]</f>
        <v>5588</v>
      </c>
      <c r="BT234" s="84" vm="17943">
        <v>5588</v>
      </c>
      <c r="BU234" s="5" vm="18138">
        <f xml:space="preserve"> VfM_Metrics_2023_Entity[[#This Row],[Turnover from social housing lettings]]</f>
        <v>136302</v>
      </c>
      <c r="BV234" s="135" vm="18138">
        <v>136302</v>
      </c>
      <c r="BW234" s="134">
        <f xml:space="preserve"> IFERROR( VfM_Metrics_2023_Entity[[#This Row],[Net operating surplus]] / VfM_Metrics_2023_Entity[[#This Row],[Overall turnover]], "n/a" )</f>
        <v>4.0850832387438517E-3</v>
      </c>
      <c r="BX234" s="5">
        <f xml:space="preserve"> SUM( VfM_Metrics_2023_Entity[[#This Row],[Operating surplus/(deficit) (overall)2]], - VfM_Metrics_2023_Entity[[#This Row],[Gain/(loss) on disposal of fixed assets (housing properties)2]], - VfM_Metrics_2023_Entity[[#This Row],[Gain/(loss) on disposal of fixed assets (other)2]] )</f>
        <v>691</v>
      </c>
      <c r="BY234" s="84" vm="13536">
        <v>4848</v>
      </c>
      <c r="BZ234" s="84" vm="14141">
        <v>4159</v>
      </c>
      <c r="CA234" s="84" vm="14385">
        <v>-2</v>
      </c>
      <c r="CB234" s="5" vm="18294">
        <f xml:space="preserve"> VfM_Metrics_2023_Entity[[#This Row],[Turnover (overall)]]</f>
        <v>169152</v>
      </c>
      <c r="CC234" s="135" vm="18294">
        <v>169152</v>
      </c>
      <c r="CD234" s="134">
        <f xml:space="preserve"> IFERROR( VfM_Metrics_2023_Entity[[#This Row],[Operating surplus including from JVs]] / VfM_Metrics_2023_Entity[[#This Row],[Net assets]], "n/a" )</f>
        <v>4.0752749003247274E-3</v>
      </c>
      <c r="CE234" s="5">
        <f xml:space="preserve"> SUM( VfM_Metrics_2023_Entity[[#This Row],[Operating surplus/(deficit) (overall)3]], VfM_Metrics_2023_Entity[[#This Row],[Share of operating surplus/(deficit) in joint ventures or associates]] )</f>
        <v>4848</v>
      </c>
      <c r="CF234" s="84" vm="13536">
        <v>4848</v>
      </c>
      <c r="CG234" s="84" vm="18491">
        <v>0</v>
      </c>
      <c r="CH234" s="5" vm="18680">
        <f xml:space="preserve"> VfM_Metrics_2023_Entity[[#This Row],[Total assets less current liabilities]]</f>
        <v>1189613</v>
      </c>
      <c r="CI234" s="135" vm="18680">
        <v>1189613</v>
      </c>
      <c r="CJ234" s="140" vm="11292">
        <f xml:space="preserve"> VfM_Metrics_2023_Entity[[#This Row],[Total social housing units owned (Period end)]]</f>
        <v>23925</v>
      </c>
      <c r="CK234" s="141">
        <v>3.2676151475492889E-2</v>
      </c>
      <c r="CL234" s="69">
        <f xml:space="preserve"> -- ( VfM_Metrics_2023_Entity[[#This Row],[% Supported housing (excl. HOP)]] &gt; 0.3 )</f>
        <v>0</v>
      </c>
      <c r="CM234" s="9">
        <v>0.12796048465402965</v>
      </c>
      <c r="CN234" s="69">
        <f xml:space="preserve"> -- ( VfM_Metrics_2023_Entity[[#This Row],[% Housing for older people]] &gt; 0.3 )</f>
        <v>0</v>
      </c>
      <c r="CO234" s="9">
        <f xml:space="preserve"> VfM_Metrics_2023_Entity[[#This Row],[% Supported housing (excl. HOP)]] + VfM_Metrics_2023_Entity[[#This Row],[% Housing for older people]]</f>
        <v>0.16063663612952253</v>
      </c>
      <c r="CP234" s="69">
        <f xml:space="preserve"> -- ( VfM_Metrics_2023_Entity[[#This Row],[SH specialist in RSH analysis]] + VfM_Metrics_2023_Entity[[#This Row],[OP specialist in RSH analysis]] &gt; 0 )</f>
        <v>0</v>
      </c>
      <c r="CQ234" s="142">
        <f xml:space="preserve"> -- ( VfM_Metrics_2023_Entity[[#This Row],[% SH and OP]] &gt; 0.3 )</f>
        <v>0</v>
      </c>
      <c r="CR234" s="143" t="s">
        <v>143</v>
      </c>
      <c r="CS234" s="120"/>
      <c r="CT234" s="144" t="s">
        <v>151</v>
      </c>
      <c r="CU234" s="145" t="str">
        <f xml:space="preserve"> IF( MAX( VfM_Metrics_2023_Entity[[#This Row],[London]:[Yorkshire &amp; the Humber]] ) &gt; 0.5,
  INDEX( VfM_Metrics_2023_Entity[[#Headers],[London]:[Yorkshire &amp; the Humber]], 1,
       MATCH( MAX( VfM_Metrics_2023_Entity[[#This Row],[London]:[Yorkshire &amp; the Humber]] ), VfM_Metrics_2023_Entity[[#This Row],[London]:[Yorkshire &amp; the Humber]], 0 ) ),
  "Mixed"  )</f>
        <v>North West</v>
      </c>
      <c r="CV234" s="146">
        <v>4.2101717750084203E-5</v>
      </c>
      <c r="CW234" s="146">
        <v>0</v>
      </c>
      <c r="CX234" s="146">
        <v>0</v>
      </c>
      <c r="CY234" s="146">
        <v>7.2835971707645676E-3</v>
      </c>
      <c r="CZ234" s="146">
        <v>0.13598854833277196</v>
      </c>
      <c r="DA234" s="146">
        <v>0</v>
      </c>
      <c r="DB234" s="146">
        <v>0</v>
      </c>
      <c r="DC234" s="146">
        <v>0.81824688447288652</v>
      </c>
      <c r="DD234" s="146">
        <v>3.8438868305826879E-2</v>
      </c>
      <c r="DE234" s="126">
        <v>0.9607783662335444</v>
      </c>
    </row>
  </sheetData>
  <mergeCells count="19">
    <mergeCell ref="B1:B3"/>
    <mergeCell ref="B4:B6"/>
    <mergeCell ref="CK7:CQ8"/>
    <mergeCell ref="CR7:CT8"/>
    <mergeCell ref="CD9:CI9"/>
    <mergeCell ref="CR9:CT9"/>
    <mergeCell ref="CU9:DE9"/>
    <mergeCell ref="CK9:CQ9"/>
    <mergeCell ref="CJ7:CJ8"/>
    <mergeCell ref="D7:CI8"/>
    <mergeCell ref="A7:C8"/>
    <mergeCell ref="D9:M9"/>
    <mergeCell ref="N9:T9"/>
    <mergeCell ref="U9:AD9"/>
    <mergeCell ref="AE9:AN9"/>
    <mergeCell ref="AO9:BA9"/>
    <mergeCell ref="BB9:BQ9"/>
    <mergeCell ref="BR9:BV9"/>
    <mergeCell ref="BW9:CC9"/>
  </mergeCells>
  <phoneticPr fontId="5" type="noConversion"/>
  <conditionalFormatting sqref="C11:C234">
    <cfRule type="expression" dxfId="51" priority="1">
      <formula xml:space="preserve"> ( MONTH( C11 ) &lt;&gt; 3 )</formula>
    </cfRule>
  </conditionalFormatting>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AAE66-ADF5-41B9-9E9A-EB2662BA2E91}">
  <sheetPr>
    <tabColor theme="7" tint="0.39997558519241921"/>
  </sheetPr>
  <dimension ref="A1:Z270"/>
  <sheetViews>
    <sheetView showGridLines="0" zoomScaleNormal="100" workbookViewId="0">
      <pane ySplit="5" topLeftCell="A6" activePane="bottomLeft" state="frozen"/>
      <selection activeCell="C7" sqref="C7:I7"/>
      <selection pane="bottomLeft" activeCell="A6" sqref="A6"/>
    </sheetView>
  </sheetViews>
  <sheetFormatPr defaultColWidth="0" defaultRowHeight="15" zeroHeight="1" x14ac:dyDescent="0.25"/>
  <cols>
    <col min="1" max="1" width="6.140625" customWidth="1"/>
    <col min="2" max="2" width="9.140625" style="324" customWidth="1"/>
    <col min="3" max="26" width="9.140625" customWidth="1"/>
    <col min="27" max="16384" width="9.140625" hidden="1"/>
  </cols>
  <sheetData>
    <row r="1" spans="2:10" x14ac:dyDescent="0.25"/>
    <row r="2" spans="2:10" ht="23.25" x14ac:dyDescent="0.25">
      <c r="B2" s="323" t="s">
        <v>808</v>
      </c>
    </row>
    <row r="3" spans="2:10" x14ac:dyDescent="0.25"/>
    <row r="4" spans="2:10" ht="23.25" x14ac:dyDescent="0.25">
      <c r="B4" s="323" t="s">
        <v>638</v>
      </c>
    </row>
    <row r="5" spans="2:10" x14ac:dyDescent="0.25"/>
    <row r="6" spans="2:10" x14ac:dyDescent="0.25"/>
    <row r="7" spans="2:10" s="329" customFormat="1" ht="23.25" x14ac:dyDescent="0.35">
      <c r="B7" s="328">
        <v>1</v>
      </c>
      <c r="C7" s="407" t="s">
        <v>786</v>
      </c>
      <c r="D7" s="407"/>
      <c r="E7" s="407"/>
      <c r="F7" s="407"/>
      <c r="G7" s="407"/>
      <c r="H7" s="407"/>
      <c r="I7" s="407"/>
      <c r="J7" s="407"/>
    </row>
    <row r="8" spans="2:10" s="332" customFormat="1" ht="18" x14ac:dyDescent="0.25">
      <c r="B8" s="330"/>
      <c r="C8" s="331"/>
      <c r="D8" s="331"/>
      <c r="E8" s="331"/>
      <c r="F8" s="331"/>
      <c r="G8" s="331"/>
    </row>
    <row r="9" spans="2:10" s="329" customFormat="1" ht="23.25" x14ac:dyDescent="0.35">
      <c r="B9" s="328">
        <v>2</v>
      </c>
      <c r="C9" s="329" t="s">
        <v>778</v>
      </c>
    </row>
    <row r="10" spans="2:10" x14ac:dyDescent="0.25"/>
    <row r="11" spans="2:10" x14ac:dyDescent="0.25"/>
    <row r="12" spans="2:10" x14ac:dyDescent="0.25"/>
    <row r="13" spans="2:10" x14ac:dyDescent="0.25"/>
    <row r="14" spans="2:10" x14ac:dyDescent="0.25"/>
    <row r="15" spans="2:10" x14ac:dyDescent="0.25"/>
    <row r="16" spans="2:10" x14ac:dyDescent="0.25"/>
    <row r="17" spans="2:2" x14ac:dyDescent="0.25"/>
    <row r="18" spans="2:2" x14ac:dyDescent="0.25"/>
    <row r="19" spans="2:2" x14ac:dyDescent="0.25"/>
    <row r="20" spans="2:2" x14ac:dyDescent="0.25"/>
    <row r="21" spans="2:2" x14ac:dyDescent="0.25"/>
    <row r="22" spans="2:2" x14ac:dyDescent="0.25"/>
    <row r="23" spans="2:2" x14ac:dyDescent="0.25"/>
    <row r="24" spans="2:2" x14ac:dyDescent="0.25"/>
    <row r="25" spans="2:2" x14ac:dyDescent="0.25"/>
    <row r="26" spans="2:2" x14ac:dyDescent="0.25"/>
    <row r="27" spans="2:2" x14ac:dyDescent="0.25"/>
    <row r="28" spans="2:2" x14ac:dyDescent="0.25"/>
    <row r="29" spans="2:2" x14ac:dyDescent="0.25"/>
    <row r="30" spans="2:2" x14ac:dyDescent="0.25"/>
    <row r="31" spans="2:2" x14ac:dyDescent="0.25"/>
    <row r="32" spans="2:2" s="334" customFormat="1" ht="12.75" x14ac:dyDescent="0.2">
      <c r="B32" s="333"/>
    </row>
    <row r="33" spans="2:3" x14ac:dyDescent="0.25"/>
    <row r="34" spans="2:3" s="329" customFormat="1" ht="23.25" x14ac:dyDescent="0.35">
      <c r="B34" s="328">
        <v>3</v>
      </c>
      <c r="C34" s="329" t="s">
        <v>779</v>
      </c>
    </row>
    <row r="35" spans="2:3" x14ac:dyDescent="0.25"/>
    <row r="36" spans="2:3" x14ac:dyDescent="0.25"/>
    <row r="37" spans="2:3" x14ac:dyDescent="0.25"/>
    <row r="38" spans="2:3" x14ac:dyDescent="0.25"/>
    <row r="39" spans="2:3" x14ac:dyDescent="0.25"/>
    <row r="40" spans="2:3" x14ac:dyDescent="0.25"/>
    <row r="41" spans="2:3" x14ac:dyDescent="0.25"/>
    <row r="42" spans="2:3" x14ac:dyDescent="0.25"/>
    <row r="43" spans="2:3" x14ac:dyDescent="0.25"/>
    <row r="44" spans="2:3" x14ac:dyDescent="0.25"/>
    <row r="45" spans="2:3" s="334" customFormat="1" ht="12.75" x14ac:dyDescent="0.2">
      <c r="B45" s="333"/>
    </row>
    <row r="46" spans="2:3" x14ac:dyDescent="0.25"/>
    <row r="47" spans="2:3" s="329" customFormat="1" ht="23.25" x14ac:dyDescent="0.35">
      <c r="B47" s="328">
        <v>4</v>
      </c>
      <c r="C47" s="329" t="s">
        <v>780</v>
      </c>
    </row>
    <row r="48" spans="2:3"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2:3" x14ac:dyDescent="0.25"/>
    <row r="66" spans="2:3" x14ac:dyDescent="0.25"/>
    <row r="67" spans="2:3" x14ac:dyDescent="0.25"/>
    <row r="68" spans="2:3" x14ac:dyDescent="0.25"/>
    <row r="69" spans="2:3" x14ac:dyDescent="0.25"/>
    <row r="70" spans="2:3" x14ac:dyDescent="0.25"/>
    <row r="71" spans="2:3" x14ac:dyDescent="0.25"/>
    <row r="72" spans="2:3" x14ac:dyDescent="0.25"/>
    <row r="73" spans="2:3" x14ac:dyDescent="0.25"/>
    <row r="74" spans="2:3" x14ac:dyDescent="0.25"/>
    <row r="75" spans="2:3" ht="14.25" customHeight="1" x14ac:dyDescent="0.25"/>
    <row r="76" spans="2:3" s="334" customFormat="1" ht="12.75" x14ac:dyDescent="0.2">
      <c r="B76" s="333"/>
    </row>
    <row r="77" spans="2:3" x14ac:dyDescent="0.25"/>
    <row r="78" spans="2:3" s="329" customFormat="1" ht="23.25" x14ac:dyDescent="0.35">
      <c r="B78" s="328">
        <v>5</v>
      </c>
      <c r="C78" s="329" t="s">
        <v>781</v>
      </c>
    </row>
    <row r="79" spans="2:3" x14ac:dyDescent="0.25"/>
    <row r="80" spans="2:3" x14ac:dyDescent="0.25"/>
    <row r="81" spans="2:3" x14ac:dyDescent="0.25"/>
    <row r="82" spans="2:3" x14ac:dyDescent="0.25"/>
    <row r="83" spans="2:3" x14ac:dyDescent="0.25"/>
    <row r="84" spans="2:3" x14ac:dyDescent="0.25"/>
    <row r="85" spans="2:3" x14ac:dyDescent="0.25"/>
    <row r="86" spans="2:3" x14ac:dyDescent="0.25"/>
    <row r="87" spans="2:3" x14ac:dyDescent="0.25"/>
    <row r="88" spans="2:3" x14ac:dyDescent="0.25"/>
    <row r="89" spans="2:3" x14ac:dyDescent="0.25"/>
    <row r="90" spans="2:3" s="334" customFormat="1" ht="12.75" x14ac:dyDescent="0.2">
      <c r="B90" s="333"/>
    </row>
    <row r="91" spans="2:3" x14ac:dyDescent="0.25"/>
    <row r="92" spans="2:3" s="329" customFormat="1" ht="23.25" x14ac:dyDescent="0.35">
      <c r="B92" s="328">
        <v>6</v>
      </c>
      <c r="C92" s="329" t="s">
        <v>785</v>
      </c>
    </row>
    <row r="93" spans="2:3" x14ac:dyDescent="0.25"/>
    <row r="94" spans="2:3" x14ac:dyDescent="0.25"/>
    <row r="95" spans="2:3" x14ac:dyDescent="0.25"/>
    <row r="96" spans="2:3"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spans="2:3" x14ac:dyDescent="0.25"/>
    <row r="114" spans="2:3" x14ac:dyDescent="0.25"/>
    <row r="115" spans="2:3" x14ac:dyDescent="0.25"/>
    <row r="116" spans="2:3" x14ac:dyDescent="0.25"/>
    <row r="117" spans="2:3" x14ac:dyDescent="0.25"/>
    <row r="118" spans="2:3" x14ac:dyDescent="0.25"/>
    <row r="119" spans="2:3" x14ac:dyDescent="0.25"/>
    <row r="120" spans="2:3" x14ac:dyDescent="0.25"/>
    <row r="121" spans="2:3" x14ac:dyDescent="0.25"/>
    <row r="122" spans="2:3" x14ac:dyDescent="0.25"/>
    <row r="123" spans="2:3" x14ac:dyDescent="0.25"/>
    <row r="124" spans="2:3" x14ac:dyDescent="0.25"/>
    <row r="125" spans="2:3" x14ac:dyDescent="0.25"/>
    <row r="126" spans="2:3" s="334" customFormat="1" ht="12.75" x14ac:dyDescent="0.2">
      <c r="B126" s="333"/>
    </row>
    <row r="127" spans="2:3" x14ac:dyDescent="0.25"/>
    <row r="128" spans="2:3" s="329" customFormat="1" ht="23.25" x14ac:dyDescent="0.35">
      <c r="B128" s="328">
        <v>7</v>
      </c>
      <c r="C128" s="329" t="s">
        <v>783</v>
      </c>
    </row>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spans="2:3" x14ac:dyDescent="0.25"/>
    <row r="178" spans="2:3" x14ac:dyDescent="0.25"/>
    <row r="179" spans="2:3" x14ac:dyDescent="0.25"/>
    <row r="180" spans="2:3" x14ac:dyDescent="0.25"/>
    <row r="181" spans="2:3" x14ac:dyDescent="0.25"/>
    <row r="182" spans="2:3" x14ac:dyDescent="0.25"/>
    <row r="183" spans="2:3" x14ac:dyDescent="0.25"/>
    <row r="184" spans="2:3" x14ac:dyDescent="0.25"/>
    <row r="185" spans="2:3" x14ac:dyDescent="0.25"/>
    <row r="186" spans="2:3" x14ac:dyDescent="0.25"/>
    <row r="187" spans="2:3" x14ac:dyDescent="0.25"/>
    <row r="188" spans="2:3" x14ac:dyDescent="0.25"/>
    <row r="189" spans="2:3" s="334" customFormat="1" ht="12.75" x14ac:dyDescent="0.2">
      <c r="B189" s="333"/>
    </row>
    <row r="190" spans="2:3" x14ac:dyDescent="0.25"/>
    <row r="191" spans="2:3" s="329" customFormat="1" ht="23.25" x14ac:dyDescent="0.35">
      <c r="B191" s="328">
        <v>8</v>
      </c>
      <c r="C191" s="329" t="s">
        <v>784</v>
      </c>
    </row>
    <row r="192" spans="2:3"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s="324" customFormat="1"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sheetData>
  <sheetProtection algorithmName="SHA-512" hashValue="8+f598U17ZSJmoIIGwvToPjRxrYvw2z2NasvGXXyi+vgydTSbUSywyReAGiZoZoGN3duHCd7x+wROPuEK7I3Fg==" saltValue="Trr18JAZ+SvIkgN4XxIt3w==" spinCount="100000" sheet="1" objects="1" scenarios="1"/>
  <mergeCells count="1">
    <mergeCell ref="C7:J7"/>
  </mergeCells>
  <hyperlinks>
    <hyperlink ref="C7" location="'BYO peer group - selection'!A1" display="Go to the &quot;BYO peer group - selection&quot; tab" xr:uid="{2A212A3D-8026-4AA9-99FA-3436676D3926}"/>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B4DF8-655B-4F7D-94FF-6D1886AA4718}">
  <sheetPr codeName="Sheet6">
    <tabColor theme="7" tint="0.39997558519241921"/>
  </sheetPr>
  <dimension ref="A1:AB214"/>
  <sheetViews>
    <sheetView showGridLines="0" zoomScaleNormal="100" workbookViewId="0">
      <pane xSplit="2" ySplit="15" topLeftCell="C16" activePane="bottomRight" state="frozen"/>
      <selection activeCell="C7" sqref="C7:I7"/>
      <selection pane="topRight" activeCell="C7" sqref="C7:I7"/>
      <selection pane="bottomLeft" activeCell="C7" sqref="C7:I7"/>
      <selection pane="bottomRight" activeCell="C16" sqref="C16"/>
    </sheetView>
  </sheetViews>
  <sheetFormatPr defaultColWidth="0" defaultRowHeight="15" zeroHeight="1" x14ac:dyDescent="0.25"/>
  <cols>
    <col min="1" max="1" width="1.28515625" style="188" customWidth="1"/>
    <col min="2" max="2" width="38.5703125" style="188" customWidth="1"/>
    <col min="3" max="3" width="12.140625" style="188" customWidth="1"/>
    <col min="4" max="4" width="12.42578125" style="188" customWidth="1"/>
    <col min="5" max="5" width="10.5703125" style="188" customWidth="1"/>
    <col min="6" max="6" width="12.5703125" style="188" customWidth="1"/>
    <col min="7" max="7" width="13" style="188" customWidth="1"/>
    <col min="8" max="8" width="12.140625" style="188" customWidth="1"/>
    <col min="9" max="9" width="16.85546875" style="188" customWidth="1"/>
    <col min="10" max="10" width="10.28515625" style="188" customWidth="1"/>
    <col min="11" max="11" width="10" style="188" customWidth="1"/>
    <col min="12" max="12" width="9.7109375" style="188" customWidth="1"/>
    <col min="13" max="13" width="11.7109375" style="188" customWidth="1"/>
    <col min="14" max="14" width="10.42578125" style="188" customWidth="1"/>
    <col min="15" max="15" width="12.42578125" style="188" customWidth="1"/>
    <col min="16" max="16" width="10.5703125" style="188" customWidth="1"/>
    <col min="17" max="17" width="13.85546875" style="188" customWidth="1"/>
    <col min="18" max="18" width="14.42578125" style="188" customWidth="1"/>
    <col min="19" max="19" width="20" style="188" customWidth="1"/>
    <col min="20" max="20" width="14" style="188" customWidth="1"/>
    <col min="21" max="21" width="14.85546875" style="188" customWidth="1"/>
    <col min="22" max="22" width="16.28515625" style="188" customWidth="1"/>
    <col min="23" max="23" width="16.28515625" style="305" hidden="1" customWidth="1"/>
    <col min="24" max="24" width="2.140625" style="202" customWidth="1"/>
    <col min="25" max="25" width="70.7109375" style="202" bestFit="1" customWidth="1"/>
    <col min="26" max="26" width="2.85546875" style="228" customWidth="1"/>
    <col min="27" max="28" width="0" style="188" hidden="1" customWidth="1"/>
    <col min="29" max="16384" width="9.140625" style="188" hidden="1"/>
  </cols>
  <sheetData>
    <row r="1" spans="2:26" s="133" customFormat="1" ht="5.25" x14ac:dyDescent="0.25">
      <c r="W1" s="299"/>
      <c r="X1" s="148"/>
      <c r="Y1" s="148"/>
      <c r="Z1" s="148"/>
    </row>
    <row r="2" spans="2:26" s="177" customFormat="1" ht="23.25" x14ac:dyDescent="0.25">
      <c r="B2" s="176" t="s">
        <v>808</v>
      </c>
      <c r="H2" s="429" t="s">
        <v>639</v>
      </c>
      <c r="I2" s="430"/>
      <c r="J2" s="409" t="s" vm="1">
        <v>142</v>
      </c>
      <c r="K2" s="410"/>
      <c r="L2" s="410"/>
      <c r="M2" s="410"/>
      <c r="N2" s="410"/>
      <c r="O2" s="410"/>
      <c r="P2" s="410"/>
      <c r="Q2" s="410"/>
      <c r="R2" s="411"/>
      <c r="S2" s="178"/>
      <c r="T2" s="178"/>
      <c r="U2" s="178"/>
      <c r="V2" s="178"/>
      <c r="W2" s="300"/>
      <c r="X2" s="179"/>
      <c r="Y2" s="179"/>
      <c r="Z2" s="148"/>
    </row>
    <row r="3" spans="2:26" s="149" customFormat="1" ht="18.75" x14ac:dyDescent="0.25">
      <c r="B3" s="149" t="s">
        <v>640</v>
      </c>
      <c r="V3" s="180"/>
      <c r="W3" s="298"/>
      <c r="X3" s="181"/>
      <c r="Y3" s="181"/>
      <c r="Z3" s="181"/>
    </row>
    <row r="4" spans="2:26" s="182" customFormat="1" ht="5.25" x14ac:dyDescent="0.25">
      <c r="W4" s="301"/>
      <c r="X4" s="183"/>
      <c r="Y4" s="183"/>
      <c r="Z4" s="183"/>
    </row>
    <row r="5" spans="2:26" s="177" customFormat="1" ht="13.5" x14ac:dyDescent="0.25">
      <c r="B5" s="184" t="str" vm="1">
        <f xml:space="preserve"> SelectedProvider</f>
        <v>A2Dominion Housing Group Limited</v>
      </c>
      <c r="C5" s="185" t="s">
        <v>641</v>
      </c>
      <c r="D5" s="186"/>
      <c r="K5" s="187"/>
      <c r="Q5" s="188"/>
      <c r="R5" s="189"/>
      <c r="S5" s="189"/>
      <c r="T5" s="189"/>
      <c r="U5" s="189"/>
      <c r="V5" s="189"/>
      <c r="W5" s="302"/>
      <c r="X5" s="179"/>
      <c r="Y5" s="179"/>
      <c r="Z5" s="179"/>
    </row>
    <row r="6" spans="2:26" s="177" customFormat="1" ht="13.5" x14ac:dyDescent="0.25">
      <c r="B6" s="190" t="str">
        <f xml:space="preserve"> "Size:  " &amp; TEXT( INDEX( tblFilterAll[Total social stock owned], MATCH( SelectedProvider, tblFilterAll[Provider name], 0 ) ), "0,000" ) &amp; " units"</f>
        <v>Size:  28,177 units</v>
      </c>
      <c r="C6" s="172" t="str">
        <f xml:space="preserve"> IF( SizeOnOff = "Min - Max", "Providers with between: " &amp; TEXT( SizeMin, "0,000" ) &amp; " and " &amp; TEXT( SizeMax, "0,000" ) &amp; " units", "Providers of any size" )</f>
        <v>Providers of any size</v>
      </c>
      <c r="D6" s="191"/>
      <c r="J6" s="187"/>
      <c r="K6" s="187"/>
      <c r="P6" s="189"/>
      <c r="Q6" s="188"/>
      <c r="R6" s="189"/>
      <c r="S6" s="189"/>
      <c r="T6" s="189"/>
      <c r="U6" s="189"/>
      <c r="V6" s="189"/>
      <c r="W6" s="302"/>
      <c r="X6" s="179"/>
      <c r="Y6" s="179"/>
      <c r="Z6" s="179"/>
    </row>
    <row r="7" spans="2:26" s="177" customFormat="1" ht="13.5" x14ac:dyDescent="0.25">
      <c r="B7" s="190" t="str">
        <f xml:space="preserve"> "Region: " &amp; INDEX( tblFilterAll[Region with 50%+ of social stock owned], MATCH( SelectedProvider, tblFilterAll[Provider name], 0 ) )</f>
        <v>Region: South East</v>
      </c>
      <c r="C7" s="172" t="str">
        <f xml:space="preserve"> IF( RegionMinimum = 0, "Providers with stock in any region", "Providers with at least " &amp; TEXT( RegionMinimum, "0%" ) &amp; " of their stock in"
&amp; IF( COUNTIF( J14:R14, "Yes" ) &gt; 1, " any of the following regions:   ", ": " )
&amp; IF( RegionLon = "Yes", PeersCritera[[#Headers],[London]] &amp; "   ", "" )  &amp;  IF( RegionSE = "Yes",PeersCritera[[#Headers],[South East]] &amp; "   ", "" )
&amp; IF( RegionSW = "Yes",PeersCritera[[#Headers],[South West]] &amp; "   ", "" )  &amp;   IF( RegionEM = "Yes", PeersCritera[[#Headers],[East Midlands]] &amp; "   ", "" )
&amp; IF( RegionWM = "Yes", PeersCritera[[#Headers],[West Midlands]] &amp; "   ", "" )  &amp;   IF( RegionEE = "Yes", PeersCritera[[#Headers],[East of England]] &amp; "   ", "" )
&amp; IF( RegionNE = "Yes", PeersCritera[[#Headers],[North East]] &amp; "   ", "" )  &amp;   IF( RegionNW = "Yes", PeersCritera[[#Headers],[North West]] &amp; "   ", "" )
&amp; IF( RegionYH = "Yes", PeersCritera[[#Headers],[Yorkshire &amp; the Humber]] &amp; "   ", "" ) )</f>
        <v>Providers with stock in any region</v>
      </c>
      <c r="D7" s="191"/>
      <c r="P7" s="192"/>
      <c r="S7" s="189"/>
      <c r="T7" s="189"/>
      <c r="U7" s="189"/>
      <c r="V7" s="189"/>
      <c r="W7" s="302"/>
      <c r="X7" s="179"/>
      <c r="Y7" s="179"/>
      <c r="Z7" s="179"/>
    </row>
    <row r="8" spans="2:26" s="177" customFormat="1" ht="13.5" x14ac:dyDescent="0.25">
      <c r="B8" s="190" t="str">
        <f xml:space="preserve"> "RP type:  " &amp; INDEX( tblFilterAll[Provider Type], MATCH( SelectedProvider, tblFilterAll[Provider name], 0 ) )</f>
        <v>RP type:  Traditional</v>
      </c>
      <c r="C8" s="172" t="str">
        <f xml:space="preserve"> "Providers of these types:   " &amp; IF( RP_TypeTrad = "Yes", H13 &amp; "   ", "" ) &amp; IF( RP_TypeLSVT = "Yes", I13 &amp; "   ", "" )</f>
        <v xml:space="preserve">Providers of these types:   Traditional   LSVT   </v>
      </c>
      <c r="D8" s="191"/>
      <c r="L8" s="193"/>
      <c r="M8" s="194"/>
      <c r="N8" s="194"/>
      <c r="O8" s="194"/>
      <c r="R8" s="189"/>
      <c r="S8" s="189"/>
      <c r="T8" s="189"/>
      <c r="U8" s="189"/>
      <c r="V8" s="189"/>
      <c r="W8" s="302"/>
      <c r="X8" s="179"/>
      <c r="Y8" s="179"/>
      <c r="Z8" s="179"/>
    </row>
    <row r="9" spans="2:26" s="177" customFormat="1" ht="13.5" x14ac:dyDescent="0.25">
      <c r="B9" s="190" t="str">
        <f xml:space="preserve"> "Supported Housing " &amp; TEXT( INDEX( tblFilterAll[% Supported housing (excl. HOP)], MATCH( SelectedProvider, tblFilterAll[Provider name], 0 ) ), "0.0%" )</f>
        <v>Supported Housing 4.3%</v>
      </c>
      <c r="C9" s="172" t="str">
        <f xml:space="preserve"> IF( PropTypeOnOff = "No - use all", "Providers with stock of any type", "Providers with a " &amp; LOWER( PropTypeMinMax ) &amp; " " &amp; TEXT( PropTypePercent, "0%" ) &amp; " of total stock as " &amp; LOWER( PropTypeType ) )</f>
        <v>Providers with stock of any type</v>
      </c>
      <c r="D9" s="191"/>
      <c r="L9" s="193"/>
      <c r="M9" s="194"/>
      <c r="N9" s="194"/>
      <c r="O9" s="194"/>
      <c r="R9" s="189"/>
      <c r="S9" s="189"/>
      <c r="T9" s="189"/>
      <c r="U9" s="189"/>
      <c r="V9" s="189"/>
      <c r="W9" s="302"/>
      <c r="X9" s="179"/>
      <c r="Y9" s="179"/>
      <c r="Z9" s="179"/>
    </row>
    <row r="10" spans="2:26" s="177" customFormat="1" ht="13.5" x14ac:dyDescent="0.25">
      <c r="B10" s="195" t="str">
        <f xml:space="preserve"> "Housing for older people " &amp; TEXT( INDEX( tblFilterAll[% Housing for older people], MATCH( SelectedProvider, tblFilterAll[Provider name], 0 ) ), "0.0%" )</f>
        <v>Housing for older people 3.6%</v>
      </c>
      <c r="C10" s="173" t="str">
        <f xml:space="preserve"> IF( CriteriaMet = 0, "No peers with this combination of criteria - please review and adjust.",
   IF( CriteriaMet = InitialList, InitialList &amp; " rows (out of " &amp; TotalProviders &amp; ") flagged &amp; selected provider meets peer group criteria.",
   CriteriaMet &amp; " rows (out of " &amp; TotalProviders &amp; ") flagged. Selected provider does not meet peer group criteria." ) ) &amp;
" Manual adjustments: " &amp; SUBSTITUTE( U12, CHAR(10), ", " ) &amp; ". " &amp; COUNTIF( PeersCritera[Included in final peers], 1 ) &amp; " rows in final peer group (including selected provider)."</f>
        <v>198 rows (out of 198) flagged &amp; selected provider meets peer group criteria. Manual adjustments: No changes. 198 rows in final peer group (including selected provider).</v>
      </c>
      <c r="D10" s="191"/>
      <c r="J10" s="196"/>
      <c r="L10" s="193"/>
      <c r="M10" s="194"/>
      <c r="N10" s="194"/>
      <c r="O10" s="194"/>
      <c r="R10" s="189"/>
      <c r="S10" s="189"/>
      <c r="T10" s="189"/>
      <c r="U10" s="189"/>
      <c r="V10" s="189"/>
      <c r="W10" s="302"/>
      <c r="X10" s="179"/>
      <c r="Y10" s="179"/>
      <c r="Z10" s="179"/>
    </row>
    <row r="11" spans="2:26" s="133" customFormat="1" ht="6" thickBot="1" x14ac:dyDescent="0.3">
      <c r="K11" s="182"/>
      <c r="R11" s="197"/>
      <c r="S11" s="197"/>
      <c r="T11" s="197"/>
      <c r="U11" s="197"/>
      <c r="V11" s="197"/>
      <c r="W11" s="303"/>
      <c r="X11" s="148"/>
      <c r="Y11" s="148"/>
      <c r="Z11" s="148"/>
    </row>
    <row r="12" spans="2:26" ht="36.75" thickTop="1" x14ac:dyDescent="0.2">
      <c r="B12" s="198" t="s">
        <v>642</v>
      </c>
      <c r="C12" s="232" t="s">
        <v>811</v>
      </c>
      <c r="D12" s="417" t="s">
        <v>643</v>
      </c>
      <c r="E12" s="418"/>
      <c r="F12" s="419"/>
      <c r="G12" s="234" t="s">
        <v>796</v>
      </c>
      <c r="H12" s="420" t="str">
        <f xml:space="preserve"> IF( COUNTIF( H14:I14, "Yes" )  = 0, "Select at least one", "Include RP types" )</f>
        <v>Include RP types</v>
      </c>
      <c r="I12" s="421"/>
      <c r="J12" s="422" t="str">
        <f>IF( AND( COUNTIF( J14:R14, "Yes" )  = 0, RegionMinimum &gt; 0 ), "Select at least one region or set yellow cell to 0%", "Include based on region" )</f>
        <v>Include based on region</v>
      </c>
      <c r="K12" s="423"/>
      <c r="L12" s="423"/>
      <c r="M12" s="423"/>
      <c r="N12" s="423"/>
      <c r="O12" s="423"/>
      <c r="P12" s="199"/>
      <c r="Q12" s="199"/>
      <c r="R12" s="200" t="s">
        <v>644</v>
      </c>
      <c r="S12" s="201" t="str">
        <f xml:space="preserve"> IF( RegionMinimum &gt; 0, COUNTIF( J14:R14, "Yes" ) &amp; IF( COUNTIF( J14:R14, "Yes" ) = 1, " region selected", " regions selected. Include based on: " ), "" )</f>
        <v/>
      </c>
      <c r="T12" s="416" t="str">
        <f xml:space="preserve"> IF( INDEX( PeersCritera[Meets initial criteria], MATCH( SelectedProvider, PeersCritera[RP_Name], 0 ) ) = 1, COUNTIF( PeersCritera[Meets initial criteria], 1 ) &amp; " (includes selected provider)", COUNTIF( PeersCritera[Meets initial criteria], 1 ) &amp; " (plus selected provider)" )</f>
        <v>198 (includes selected provider)</v>
      </c>
      <c r="U12" s="408" t="str">
        <f xml:space="preserve"> IF( InvalidOverrides = 1, InvalidOverrides &amp; " invalid override (red text) - check and clear",
   IF( InvalidOverrides &gt; 1, InvalidOverrides &amp; " invalid overrides (red text) - check and clear",
   IF( COUNTIF( PeersCritera[Override initial criteria], "Include" ) + COUNTIF( PeersCritera[Override initial criteria], "Exclude" ) =  0, "No changes",
   COUNTIF( PeersCritera[Override initial criteria], "Include" ) &amp; " added" &amp; CHAR(10) &amp; COUNTIF( PeersCritera[Override initial criteria], "Exclude" ) &amp; " removed" ) ) )</f>
        <v>No changes</v>
      </c>
      <c r="V12" s="408" t="str">
        <f xml:space="preserve"> COUNTIF( PeersCritera[Included in final peers], 1 ) &amp; ", including selected provider"</f>
        <v>198, including selected provider</v>
      </c>
      <c r="W12" s="302"/>
      <c r="Z12" s="183"/>
    </row>
    <row r="13" spans="2:26" ht="13.5" customHeight="1" x14ac:dyDescent="0.25">
      <c r="B13" s="203" t="str">
        <f xml:space="preserve"> "Between lower limit (min in data " &amp; TEXT( MIN( PeersCritera[Total social stock owned] ), "#,##0" ) &amp; ")"</f>
        <v>Between lower limit (min in data 1,067)</v>
      </c>
      <c r="C13" s="233">
        <v>1000</v>
      </c>
      <c r="D13" s="204" t="s">
        <v>645</v>
      </c>
      <c r="E13" s="235" t="s">
        <v>664</v>
      </c>
      <c r="F13" s="414" t="s">
        <v>647</v>
      </c>
      <c r="G13" s="412" t="s">
        <v>782</v>
      </c>
      <c r="H13" s="205" t="s">
        <v>143</v>
      </c>
      <c r="I13" s="206" t="s">
        <v>168</v>
      </c>
      <c r="J13" s="424" t="str">
        <f xml:space="preserve"> "Include providers with at least " &amp; TEXT( RegionMinimum, "0%" ) &amp; " of their stock in any of the regions selected (Set % in yellow cell.)"</f>
        <v>Include providers with at least 0% of their stock in any of the regions selected (Set % in yellow cell.)</v>
      </c>
      <c r="K13" s="425"/>
      <c r="L13" s="425"/>
      <c r="M13" s="425"/>
      <c r="N13" s="425"/>
      <c r="O13" s="425"/>
      <c r="P13" s="425"/>
      <c r="Q13" s="426"/>
      <c r="R13" s="240">
        <v>0</v>
      </c>
      <c r="S13" s="427" t="s">
        <v>677</v>
      </c>
      <c r="T13" s="416"/>
      <c r="U13" s="408"/>
      <c r="V13" s="408"/>
      <c r="W13" s="302"/>
      <c r="Z13" s="202"/>
    </row>
    <row r="14" spans="2:26" ht="13.5" customHeight="1" thickBot="1" x14ac:dyDescent="0.3">
      <c r="B14" s="207" t="str">
        <f xml:space="preserve"> "and upper limit (max in data " &amp; TEXT( MAX( PeersCritera[Total social stock owned] ), "#,##0" ) &amp; ")"</f>
        <v>and upper limit (max in data 109,520)</v>
      </c>
      <c r="C14" s="233">
        <v>10000</v>
      </c>
      <c r="D14" s="208" t="s">
        <v>649</v>
      </c>
      <c r="E14" s="236">
        <v>0.2</v>
      </c>
      <c r="F14" s="415"/>
      <c r="G14" s="413"/>
      <c r="H14" s="237" t="s">
        <v>650</v>
      </c>
      <c r="I14" s="238" t="s">
        <v>650</v>
      </c>
      <c r="J14" s="239" t="s">
        <v>809</v>
      </c>
      <c r="K14" s="239" t="s">
        <v>809</v>
      </c>
      <c r="L14" s="239" t="s">
        <v>809</v>
      </c>
      <c r="M14" s="239" t="s">
        <v>809</v>
      </c>
      <c r="N14" s="239" t="s">
        <v>809</v>
      </c>
      <c r="O14" s="239" t="s">
        <v>809</v>
      </c>
      <c r="P14" s="239" t="s">
        <v>809</v>
      </c>
      <c r="Q14" s="239" t="s">
        <v>809</v>
      </c>
      <c r="R14" s="239" t="s">
        <v>809</v>
      </c>
      <c r="S14" s="428"/>
      <c r="T14" s="416"/>
      <c r="U14" s="408"/>
      <c r="V14" s="408"/>
      <c r="W14" s="302"/>
      <c r="Z14" s="202"/>
    </row>
    <row r="15" spans="2:26" s="177" customFormat="1" ht="39.75" thickTop="1" thickBot="1" x14ac:dyDescent="0.3">
      <c r="B15" s="326" t="s">
        <v>39</v>
      </c>
      <c r="C15" s="209" t="s">
        <v>118</v>
      </c>
      <c r="D15" s="210" t="s">
        <v>119</v>
      </c>
      <c r="E15" s="211" t="s">
        <v>121</v>
      </c>
      <c r="F15" s="211" t="s">
        <v>651</v>
      </c>
      <c r="G15" s="212" t="s">
        <v>652</v>
      </c>
      <c r="H15" s="213" t="s">
        <v>126</v>
      </c>
      <c r="I15" s="209" t="s">
        <v>128</v>
      </c>
      <c r="J15" s="214" t="s">
        <v>130</v>
      </c>
      <c r="K15" s="215" t="s">
        <v>131</v>
      </c>
      <c r="L15" s="215" t="s">
        <v>132</v>
      </c>
      <c r="M15" s="215" t="s">
        <v>133</v>
      </c>
      <c r="N15" s="215" t="s">
        <v>134</v>
      </c>
      <c r="O15" s="215" t="s">
        <v>135</v>
      </c>
      <c r="P15" s="215" t="s">
        <v>136</v>
      </c>
      <c r="Q15" s="215" t="s">
        <v>137</v>
      </c>
      <c r="R15" s="215" t="s">
        <v>138</v>
      </c>
      <c r="S15" s="216" t="s">
        <v>129</v>
      </c>
      <c r="T15" s="213" t="s">
        <v>653</v>
      </c>
      <c r="U15" s="217" t="s">
        <v>654</v>
      </c>
      <c r="V15" s="217" t="s">
        <v>655</v>
      </c>
      <c r="W15" s="306" t="s">
        <v>656</v>
      </c>
      <c r="X15" s="179"/>
      <c r="Y15" s="179"/>
      <c r="Z15" s="148"/>
    </row>
    <row r="16" spans="2:26" ht="15.75" thickTop="1" x14ac:dyDescent="0.25">
      <c r="B16" s="327" t="s" vm="1">
        <v>142</v>
      </c>
      <c r="C16" s="218" cm="1" vm="4550">
        <f t="array" ref="C16" xml:space="preserve"> INDEX( tblFilterAll[Total social stock owned], PeersCritera[[#This Row],[Index]] )</f>
        <v>28177</v>
      </c>
      <c r="D16" s="219" cm="1">
        <f t="array" ref="D16" xml:space="preserve"> INDEX( tblFilterAll[% Supported housing (excl. HOP)], PeersCritera[[#This Row],[Index]] )</f>
        <v>4.3164904034469251E-2</v>
      </c>
      <c r="E16" s="220" cm="1">
        <f t="array" ref="E16" xml:space="preserve"> INDEX( tblFilterAll[% Housing for older people], PeersCritera[[#This Row],[Index]] )</f>
        <v>3.6271053662358013E-2</v>
      </c>
      <c r="F16" s="220">
        <f xml:space="preserve"> PeersCritera[[#This Row],[% Supported housing (excl. HOP)]] + PeersCritera[[#This Row],[% Housing for older people]]</f>
        <v>7.9435957696827264E-2</v>
      </c>
      <c r="G16" s="221">
        <f xml:space="preserve"> 1 - PeersCritera[[#This Row],[% Supported &amp; older people]]</f>
        <v>0.92056404230317268</v>
      </c>
      <c r="H16" s="222" t="str" cm="1">
        <f t="array" ref="H16" xml:space="preserve"> INDEX( tblFilterAll[Provider Type], PeersCritera[[#This Row],[Index]] )</f>
        <v>Traditional</v>
      </c>
      <c r="I16" s="223" t="str" cm="1">
        <f t="array" ref="I16" xml:space="preserve"> INDEX( tblFilterAll[LSVT age], PeersCritera[[#This Row],[Index]] )</f>
        <v/>
      </c>
      <c r="J16" s="219" cm="1">
        <f t="array" ref="J16" xml:space="preserve"> INDEX( tblFilterAll[London], PeersCritera[[#This Row],[Index]] )</f>
        <v>0.47504424778761062</v>
      </c>
      <c r="K16" s="220" cm="1">
        <f t="array" ref="K16" xml:space="preserve"> INDEX( tblFilterAll[South East], PeersCritera[[#This Row],[Index]] )</f>
        <v>0.5151622418879056</v>
      </c>
      <c r="L16" s="220" cm="1">
        <f t="array" ref="L16" xml:space="preserve"> INDEX( tblFilterAll[South West], PeersCritera[[#This Row],[Index]] )</f>
        <v>9.7541789577187815E-3</v>
      </c>
      <c r="M16" s="220" cm="1">
        <f t="array" ref="M16" xml:space="preserve"> INDEX( tblFilterAll[East Midlands], PeersCritera[[#This Row],[Index]] )</f>
        <v>0</v>
      </c>
      <c r="N16" s="220" cm="1">
        <f t="array" ref="N16" xml:space="preserve"> INDEX( tblFilterAll[West Midlands], PeersCritera[[#This Row],[Index]] )</f>
        <v>0</v>
      </c>
      <c r="O16" s="220" cm="1">
        <f t="array" ref="O16" xml:space="preserve"> INDEX( tblFilterAll[East of England], PeersCritera[[#This Row],[Index]] )</f>
        <v>3.9331366764995083E-5</v>
      </c>
      <c r="P16" s="220" cm="1">
        <f t="array" ref="P16" xml:space="preserve"> INDEX( tblFilterAll[North East], PeersCritera[[#This Row],[Index]] )</f>
        <v>0</v>
      </c>
      <c r="Q16" s="220" cm="1">
        <f t="array" ref="Q16" xml:space="preserve"> INDEX( tblFilterAll[North West], PeersCritera[[#This Row],[Index]] )</f>
        <v>0</v>
      </c>
      <c r="R16" s="220" cm="1">
        <f t="array" ref="R16" xml:space="preserve"> INDEX( tblFilterAll[Yorkshire &amp; the Humber], PeersCritera[[#This Row],[Index]] )</f>
        <v>0</v>
      </c>
      <c r="S16" s="224" t="str" cm="1">
        <f t="array" ref="S16" xml:space="preserve"> INDEX( tblFilterAll[Region with 50%+ of social stock owned], PeersCritera[[#This Row],[Index]] )</f>
        <v>South East</v>
      </c>
      <c r="T16" s="225" cm="1">
        <f t="array" ref="T16" xml:space="preserve"> INDEX( tblFilterAll[Meets initial criteria], PeersCritera[[#This Row],[Index]] )</f>
        <v>1</v>
      </c>
      <c r="U16" s="241"/>
      <c r="V16" s="226">
        <f>IF( PeersCritera[[#This Row],[RP_Name]] = SelectedProvider, 1, IF( PeersCritera[[#This Row],[Override initial criteria]] = "Include", 1, IF( PeersCritera[[#This Row],[Override initial criteria]] = "Exclude", 0, PeersCritera[[#This Row],[Meets initial criteria]] ) ) )</f>
        <v>1</v>
      </c>
      <c r="W16" s="325">
        <f xml:space="preserve"> MATCH( PeersCritera[[#This Row],[RP_Name]], tblFilterAll[Provider name], 0 )</f>
        <v>1</v>
      </c>
      <c r="Y1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17" spans="2:25" x14ac:dyDescent="0.25">
      <c r="B17" s="327" t="s" vm="2">
        <v>146</v>
      </c>
      <c r="C17" s="218" cm="1" vm="8096">
        <f t="array" ref="C17" xml:space="preserve"> INDEX( tblFilterAll[Total social stock owned], PeersCritera[[#This Row],[Index]] )</f>
        <v>32342</v>
      </c>
      <c r="D17" s="219" cm="1">
        <f t="array" ref="D17" xml:space="preserve"> INDEX( tblFilterAll[% Supported housing (excl. HOP)], PeersCritera[[#This Row],[Index]] )</f>
        <v>5.3901598245064243E-3</v>
      </c>
      <c r="E17" s="220" cm="1">
        <f t="array" ref="E17" xml:space="preserve"> INDEX( tblFilterAll[% Housing for older people], PeersCritera[[#This Row],[Index]] )</f>
        <v>8.9595738013162021E-2</v>
      </c>
      <c r="F17" s="220">
        <f xml:space="preserve"> PeersCritera[[#This Row],[% Supported housing (excl. HOP)]] + PeersCritera[[#This Row],[% Housing for older people]]</f>
        <v>9.4985897837668448E-2</v>
      </c>
      <c r="G17" s="221">
        <f xml:space="preserve"> 1 - PeersCritera[[#This Row],[% Supported &amp; older people]]</f>
        <v>0.90501410216233158</v>
      </c>
      <c r="H17" s="222" t="str" cm="1">
        <f t="array" ref="H17" xml:space="preserve"> INDEX( tblFilterAll[Provider Type], PeersCritera[[#This Row],[Index]] )</f>
        <v>Traditional</v>
      </c>
      <c r="I17" s="223" t="str" cm="1">
        <f t="array" ref="I17" xml:space="preserve"> INDEX( tblFilterAll[LSVT age], PeersCritera[[#This Row],[Index]] )</f>
        <v/>
      </c>
      <c r="J17" s="219" cm="1">
        <f t="array" ref="J17" xml:space="preserve"> INDEX( tblFilterAll[London], PeersCritera[[#This Row],[Index]] )</f>
        <v>0</v>
      </c>
      <c r="K17" s="220" cm="1">
        <f t="array" ref="K17" xml:space="preserve"> INDEX( tblFilterAll[South East], PeersCritera[[#This Row],[Index]] )</f>
        <v>0.58751324070035515</v>
      </c>
      <c r="L17" s="220" cm="1">
        <f t="array" ref="L17" xml:space="preserve"> INDEX( tblFilterAll[South West], PeersCritera[[#This Row],[Index]] )</f>
        <v>0.41248675929964485</v>
      </c>
      <c r="M17" s="220" cm="1">
        <f t="array" ref="M17" xml:space="preserve"> INDEX( tblFilterAll[East Midlands], PeersCritera[[#This Row],[Index]] )</f>
        <v>0</v>
      </c>
      <c r="N17" s="220" cm="1">
        <f t="array" ref="N17" xml:space="preserve"> INDEX( tblFilterAll[West Midlands], PeersCritera[[#This Row],[Index]] )</f>
        <v>0</v>
      </c>
      <c r="O17" s="220" cm="1">
        <f t="array" ref="O17" xml:space="preserve"> INDEX( tblFilterAll[East of England], PeersCritera[[#This Row],[Index]] )</f>
        <v>0</v>
      </c>
      <c r="P17" s="220" cm="1">
        <f t="array" ref="P17" xml:space="preserve"> INDEX( tblFilterAll[North East], PeersCritera[[#This Row],[Index]] )</f>
        <v>0</v>
      </c>
      <c r="Q17" s="220" cm="1">
        <f t="array" ref="Q17" xml:space="preserve"> INDEX( tblFilterAll[North West], PeersCritera[[#This Row],[Index]] )</f>
        <v>0</v>
      </c>
      <c r="R17" s="220" cm="1">
        <f t="array" ref="R17" xml:space="preserve"> INDEX( tblFilterAll[Yorkshire &amp; the Humber], PeersCritera[[#This Row],[Index]] )</f>
        <v>0</v>
      </c>
      <c r="S17" s="224" t="str" cm="1">
        <f t="array" ref="S17" xml:space="preserve"> INDEX( tblFilterAll[Region with 50%+ of social stock owned], PeersCritera[[#This Row],[Index]] )</f>
        <v>South East</v>
      </c>
      <c r="T17" s="229" cm="1">
        <f t="array" ref="T17" xml:space="preserve"> INDEX( tblFilterAll[Meets initial criteria], PeersCritera[[#This Row],[Index]] )</f>
        <v>1</v>
      </c>
      <c r="U17" s="241"/>
      <c r="V17" s="230">
        <f>IF( PeersCritera[[#This Row],[RP_Name]] = SelectedProvider, 1, IF( PeersCritera[[#This Row],[Override initial criteria]] = "Include", 1, IF( PeersCritera[[#This Row],[Override initial criteria]] = "Exclude", 0, PeersCritera[[#This Row],[Meets initial criteria]] ) ) )</f>
        <v>1</v>
      </c>
      <c r="W17" s="325">
        <f xml:space="preserve"> MATCH( PeersCritera[[#This Row],[RP_Name]], tblFilterAll[Provider name], 0 )</f>
        <v>2</v>
      </c>
      <c r="Y1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18" spans="2:25" x14ac:dyDescent="0.25">
      <c r="B18" s="327" t="s" vm="3">
        <v>148</v>
      </c>
      <c r="C18" s="218" cm="1" vm="3275">
        <f t="array" ref="C18" xml:space="preserve"> INDEX( tblFilterAll[Total social stock owned], PeersCritera[[#This Row],[Index]] )</f>
        <v>19024</v>
      </c>
      <c r="D18" s="219" cm="1">
        <f t="array" ref="D18" xml:space="preserve"> INDEX( tblFilterAll[% Supported housing (excl. HOP)], PeersCritera[[#This Row],[Index]] )</f>
        <v>7.8988941548183253E-4</v>
      </c>
      <c r="E18" s="220" cm="1">
        <f t="array" ref="E18" xml:space="preserve"> INDEX( tblFilterAll[% Housing for older people], PeersCritera[[#This Row],[Index]] )</f>
        <v>9.7998946814112697E-2</v>
      </c>
      <c r="F18" s="220">
        <f xml:space="preserve"> PeersCritera[[#This Row],[% Supported housing (excl. HOP)]] + PeersCritera[[#This Row],[% Housing for older people]]</f>
        <v>9.8788836229594529E-2</v>
      </c>
      <c r="G18" s="221">
        <f xml:space="preserve"> 1 - PeersCritera[[#This Row],[% Supported &amp; older people]]</f>
        <v>0.90121116377040544</v>
      </c>
      <c r="H18" s="222" t="str" cm="1">
        <f t="array" ref="H18" xml:space="preserve"> INDEX( tblFilterAll[Provider Type], PeersCritera[[#This Row],[Index]] )</f>
        <v>Traditional</v>
      </c>
      <c r="I18" s="223" t="str" cm="1">
        <f t="array" ref="I18" xml:space="preserve"> INDEX( tblFilterAll[LSVT age], PeersCritera[[#This Row],[Index]] )</f>
        <v/>
      </c>
      <c r="J18" s="219" cm="1">
        <f t="array" ref="J18" xml:space="preserve"> INDEX( tblFilterAll[London], PeersCritera[[#This Row],[Index]] )</f>
        <v>1.9991582491582492E-3</v>
      </c>
      <c r="K18" s="220" cm="1">
        <f t="array" ref="K18" xml:space="preserve"> INDEX( tblFilterAll[South East], PeersCritera[[#This Row],[Index]] )</f>
        <v>0.20533459595959597</v>
      </c>
      <c r="L18" s="220" cm="1">
        <f t="array" ref="L18" xml:space="preserve"> INDEX( tblFilterAll[South West], PeersCritera[[#This Row],[Index]] )</f>
        <v>0</v>
      </c>
      <c r="M18" s="220" cm="1">
        <f t="array" ref="M18" xml:space="preserve"> INDEX( tblFilterAll[East Midlands], PeersCritera[[#This Row],[Index]] )</f>
        <v>5.8922558922558925E-2</v>
      </c>
      <c r="N18" s="220" cm="1">
        <f t="array" ref="N18" xml:space="preserve"> INDEX( tblFilterAll[West Midlands], PeersCritera[[#This Row],[Index]] )</f>
        <v>0</v>
      </c>
      <c r="O18" s="220" cm="1">
        <f t="array" ref="O18" xml:space="preserve"> INDEX( tblFilterAll[East of England], PeersCritera[[#This Row],[Index]] )</f>
        <v>0.16629840067340068</v>
      </c>
      <c r="P18" s="220" cm="1">
        <f t="array" ref="P18" xml:space="preserve"> INDEX( tblFilterAll[North East], PeersCritera[[#This Row],[Index]] )</f>
        <v>0.13604797979797981</v>
      </c>
      <c r="Q18" s="220" cm="1">
        <f t="array" ref="Q18" xml:space="preserve"> INDEX( tblFilterAll[North West], PeersCritera[[#This Row],[Index]] )</f>
        <v>0.21148989898989898</v>
      </c>
      <c r="R18" s="220" cm="1">
        <f t="array" ref="R18" xml:space="preserve"> INDEX( tblFilterAll[Yorkshire &amp; the Humber], PeersCritera[[#This Row],[Index]] )</f>
        <v>0.21990740740740741</v>
      </c>
      <c r="S18" s="224" t="str" cm="1">
        <f t="array" ref="S18" xml:space="preserve"> INDEX( tblFilterAll[Region with 50%+ of social stock owned], PeersCritera[[#This Row],[Index]] )</f>
        <v>Mixed</v>
      </c>
      <c r="T18" s="229" cm="1">
        <f t="array" ref="T18" xml:space="preserve"> INDEX( tblFilterAll[Meets initial criteria], PeersCritera[[#This Row],[Index]] )</f>
        <v>1</v>
      </c>
      <c r="U18" s="241"/>
      <c r="V18" s="230">
        <f>IF( PeersCritera[[#This Row],[RP_Name]] = SelectedProvider, 1, IF( PeersCritera[[#This Row],[Override initial criteria]] = "Include", 1, IF( PeersCritera[[#This Row],[Override initial criteria]] = "Exclude", 0, PeersCritera[[#This Row],[Meets initial criteria]] ) ) )</f>
        <v>1</v>
      </c>
      <c r="W18" s="325">
        <f xml:space="preserve"> MATCH( PeersCritera[[#This Row],[RP_Name]], tblFilterAll[Provider name], 0 )</f>
        <v>3</v>
      </c>
      <c r="Y1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19" spans="2:25" x14ac:dyDescent="0.25">
      <c r="B19" s="327" t="s" vm="4">
        <v>150</v>
      </c>
      <c r="C19" s="218" cm="1" vm="6661">
        <f t="array" ref="C19" xml:space="preserve"> INDEX( tblFilterAll[Total social stock owned], PeersCritera[[#This Row],[Index]] )</f>
        <v>6610</v>
      </c>
      <c r="D19" s="219" cm="1">
        <f t="array" ref="D19" xml:space="preserve"> INDEX( tblFilterAll[% Supported housing (excl. HOP)], PeersCritera[[#This Row],[Index]] )</f>
        <v>9.1130012150668284E-4</v>
      </c>
      <c r="E19" s="220" cm="1">
        <f t="array" ref="E19" xml:space="preserve"> INDEX( tblFilterAll[% Housing for older people], PeersCritera[[#This Row],[Index]] )</f>
        <v>3.8274605103280679E-2</v>
      </c>
      <c r="F19" s="220">
        <f xml:space="preserve"> PeersCritera[[#This Row],[% Supported housing (excl. HOP)]] + PeersCritera[[#This Row],[% Housing for older people]]</f>
        <v>3.9185905224787362E-2</v>
      </c>
      <c r="G19" s="221">
        <f xml:space="preserve"> 1 - PeersCritera[[#This Row],[% Supported &amp; older people]]</f>
        <v>0.96081409477521262</v>
      </c>
      <c r="H19" s="222" t="str" cm="1">
        <f t="array" ref="H19" xml:space="preserve"> INDEX( tblFilterAll[Provider Type], PeersCritera[[#This Row],[Index]] )</f>
        <v>Traditional</v>
      </c>
      <c r="I19" s="223" t="str" cm="1">
        <f t="array" ref="I19" xml:space="preserve"> INDEX( tblFilterAll[LSVT age], PeersCritera[[#This Row],[Index]] )</f>
        <v>&gt;= 12 years</v>
      </c>
      <c r="J19" s="219" cm="1">
        <f t="array" ref="J19" xml:space="preserve"> INDEX( tblFilterAll[London], PeersCritera[[#This Row],[Index]] )</f>
        <v>0</v>
      </c>
      <c r="K19" s="220" cm="1">
        <f t="array" ref="K19" xml:space="preserve"> INDEX( tblFilterAll[South East], PeersCritera[[#This Row],[Index]] )</f>
        <v>0</v>
      </c>
      <c r="L19" s="220" cm="1">
        <f t="array" ref="L19" xml:space="preserve"> INDEX( tblFilterAll[South West], PeersCritera[[#This Row],[Index]] )</f>
        <v>0</v>
      </c>
      <c r="M19" s="220" cm="1">
        <f t="array" ref="M19" xml:space="preserve"> INDEX( tblFilterAll[East Midlands], PeersCritera[[#This Row],[Index]] )</f>
        <v>0.76762481089258694</v>
      </c>
      <c r="N19" s="220" cm="1">
        <f t="array" ref="N19" xml:space="preserve"> INDEX( tblFilterAll[West Midlands], PeersCritera[[#This Row],[Index]] )</f>
        <v>0</v>
      </c>
      <c r="O19" s="220" cm="1">
        <f t="array" ref="O19" xml:space="preserve"> INDEX( tblFilterAll[East of England], PeersCritera[[#This Row],[Index]] )</f>
        <v>0</v>
      </c>
      <c r="P19" s="220" cm="1">
        <f t="array" ref="P19" xml:space="preserve"> INDEX( tblFilterAll[North East], PeersCritera[[#This Row],[Index]] )</f>
        <v>0</v>
      </c>
      <c r="Q19" s="220" cm="1">
        <f t="array" ref="Q19" xml:space="preserve"> INDEX( tblFilterAll[North West], PeersCritera[[#This Row],[Index]] )</f>
        <v>0</v>
      </c>
      <c r="R19" s="220" cm="1">
        <f t="array" ref="R19" xml:space="preserve"> INDEX( tblFilterAll[Yorkshire &amp; the Humber], PeersCritera[[#This Row],[Index]] )</f>
        <v>0.232375189107413</v>
      </c>
      <c r="S19" s="224" t="str" cm="1">
        <f t="array" ref="S19" xml:space="preserve"> INDEX( tblFilterAll[Region with 50%+ of social stock owned], PeersCritera[[#This Row],[Index]] )</f>
        <v>East Midlands</v>
      </c>
      <c r="T19" s="229" cm="1">
        <f t="array" ref="T19" xml:space="preserve"> INDEX( tblFilterAll[Meets initial criteria], PeersCritera[[#This Row],[Index]] )</f>
        <v>1</v>
      </c>
      <c r="U19" s="241"/>
      <c r="V19" s="230">
        <f>IF( PeersCritera[[#This Row],[RP_Name]] = SelectedProvider, 1, IF( PeersCritera[[#This Row],[Override initial criteria]] = "Include", 1, IF( PeersCritera[[#This Row],[Override initial criteria]] = "Exclude", 0, PeersCritera[[#This Row],[Meets initial criteria]] ) ) )</f>
        <v>1</v>
      </c>
      <c r="W19" s="325">
        <f xml:space="preserve"> MATCH( PeersCritera[[#This Row],[RP_Name]], tblFilterAll[Provider name], 0 )</f>
        <v>4</v>
      </c>
      <c r="Y1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0" spans="2:25" x14ac:dyDescent="0.25">
      <c r="B20" s="327" t="s" vm="5">
        <v>153</v>
      </c>
      <c r="C20" s="218" cm="1" vm="700">
        <f t="array" ref="C20" xml:space="preserve"> INDEX( tblFilterAll[Total social stock owned], PeersCritera[[#This Row],[Index]] )</f>
        <v>2243</v>
      </c>
      <c r="D20" s="219" cm="1">
        <f t="array" ref="D20" xml:space="preserve"> INDEX( tblFilterAll[% Supported housing (excl. HOP)], PeersCritera[[#This Row],[Index]] )</f>
        <v>0.62841774988794263</v>
      </c>
      <c r="E20" s="220" cm="1">
        <f t="array" ref="E20" xml:space="preserve"> INDEX( tblFilterAll[% Housing for older people], PeersCritera[[#This Row],[Index]] )</f>
        <v>0</v>
      </c>
      <c r="F20" s="220">
        <f xml:space="preserve"> PeersCritera[[#This Row],[% Supported housing (excl. HOP)]] + PeersCritera[[#This Row],[% Housing for older people]]</f>
        <v>0.62841774988794263</v>
      </c>
      <c r="G20" s="221">
        <f xml:space="preserve"> 1 - PeersCritera[[#This Row],[% Supported &amp; older people]]</f>
        <v>0.37158225011205737</v>
      </c>
      <c r="H20" s="222" t="str" cm="1">
        <f t="array" ref="H20" xml:space="preserve"> INDEX( tblFilterAll[Provider Type], PeersCritera[[#This Row],[Index]] )</f>
        <v>Traditional</v>
      </c>
      <c r="I20" s="223" t="str" cm="1">
        <f t="array" ref="I20" xml:space="preserve"> INDEX( tblFilterAll[LSVT age], PeersCritera[[#This Row],[Index]] )</f>
        <v/>
      </c>
      <c r="J20" s="219" cm="1">
        <f t="array" ref="J20" xml:space="preserve"> INDEX( tblFilterAll[London], PeersCritera[[#This Row],[Index]] )</f>
        <v>2.7089072543617997E-2</v>
      </c>
      <c r="K20" s="220" cm="1">
        <f t="array" ref="K20" xml:space="preserve"> INDEX( tblFilterAll[South East], PeersCritera[[#This Row],[Index]] )</f>
        <v>0.28053259871441688</v>
      </c>
      <c r="L20" s="220" cm="1">
        <f t="array" ref="L20" xml:space="preserve"> INDEX( tblFilterAll[South West], PeersCritera[[#This Row],[Index]] )</f>
        <v>0.32277318640955005</v>
      </c>
      <c r="M20" s="220" cm="1">
        <f t="array" ref="M20" xml:space="preserve"> INDEX( tblFilterAll[East Midlands], PeersCritera[[#This Row],[Index]] )</f>
        <v>0.24793388429752067</v>
      </c>
      <c r="N20" s="220" cm="1">
        <f t="array" ref="N20" xml:space="preserve"> INDEX( tblFilterAll[West Midlands], PeersCritera[[#This Row],[Index]] )</f>
        <v>8.7695133149678597E-2</v>
      </c>
      <c r="O20" s="220" cm="1">
        <f t="array" ref="O20" xml:space="preserve"> INDEX( tblFilterAll[East of England], PeersCritera[[#This Row],[Index]] )</f>
        <v>3.1221303948576674E-2</v>
      </c>
      <c r="P20" s="220" cm="1">
        <f t="array" ref="P20" xml:space="preserve"> INDEX( tblFilterAll[North East], PeersCritera[[#This Row],[Index]] )</f>
        <v>4.591368227731864E-4</v>
      </c>
      <c r="Q20" s="220" cm="1">
        <f t="array" ref="Q20" xml:space="preserve"> INDEX( tblFilterAll[North West], PeersCritera[[#This Row],[Index]] )</f>
        <v>9.1827364554637281E-4</v>
      </c>
      <c r="R20" s="220" cm="1">
        <f t="array" ref="R20" xml:space="preserve"> INDEX( tblFilterAll[Yorkshire &amp; the Humber], PeersCritera[[#This Row],[Index]] )</f>
        <v>1.3774104683195593E-3</v>
      </c>
      <c r="S20" s="224" t="str" cm="1">
        <f t="array" ref="S20" xml:space="preserve"> INDEX( tblFilterAll[Region with 50%+ of social stock owned], PeersCritera[[#This Row],[Index]] )</f>
        <v>Mixed</v>
      </c>
      <c r="T20" s="229" cm="1">
        <f t="array" ref="T20" xml:space="preserve"> INDEX( tblFilterAll[Meets initial criteria], PeersCritera[[#This Row],[Index]] )</f>
        <v>1</v>
      </c>
      <c r="U20" s="241"/>
      <c r="V20" s="230">
        <f>IF( PeersCritera[[#This Row],[RP_Name]] = SelectedProvider, 1, IF( PeersCritera[[#This Row],[Override initial criteria]] = "Include", 1, IF( PeersCritera[[#This Row],[Override initial criteria]] = "Exclude", 0, PeersCritera[[#This Row],[Meets initial criteria]] ) ) )</f>
        <v>1</v>
      </c>
      <c r="W20" s="325">
        <f xml:space="preserve"> MATCH( PeersCritera[[#This Row],[RP_Name]], tblFilterAll[Provider name], 0 )</f>
        <v>5</v>
      </c>
      <c r="Y2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1" spans="2:25" x14ac:dyDescent="0.25">
      <c r="B21" s="327" t="s" vm="6">
        <v>155</v>
      </c>
      <c r="C21" s="218" cm="1" vm="8062">
        <f t="array" ref="C21" xml:space="preserve"> INDEX( tblFilterAll[Total social stock owned], PeersCritera[[#This Row],[Index]] )</f>
        <v>40338</v>
      </c>
      <c r="D21" s="219" cm="1">
        <f t="array" ref="D21" xml:space="preserve"> INDEX( tblFilterAll[% Supported housing (excl. HOP)], PeersCritera[[#This Row],[Index]] )</f>
        <v>0</v>
      </c>
      <c r="E21" s="220" cm="1">
        <f t="array" ref="E21" xml:space="preserve"> INDEX( tblFilterAll[% Housing for older people], PeersCritera[[#This Row],[Index]] )</f>
        <v>0.87535670860319115</v>
      </c>
      <c r="F21" s="220">
        <f xml:space="preserve"> PeersCritera[[#This Row],[% Supported housing (excl. HOP)]] + PeersCritera[[#This Row],[% Housing for older people]]</f>
        <v>0.87535670860319115</v>
      </c>
      <c r="G21" s="221">
        <f xml:space="preserve"> 1 - PeersCritera[[#This Row],[% Supported &amp; older people]]</f>
        <v>0.12464329139680885</v>
      </c>
      <c r="H21" s="222" t="str" cm="1">
        <f t="array" ref="H21" xml:space="preserve"> INDEX( tblFilterAll[Provider Type], PeersCritera[[#This Row],[Index]] )</f>
        <v>Traditional</v>
      </c>
      <c r="I21" s="223" t="str" cm="1">
        <f t="array" ref="I21" xml:space="preserve"> INDEX( tblFilterAll[LSVT age], PeersCritera[[#This Row],[Index]] )</f>
        <v/>
      </c>
      <c r="J21" s="219" cm="1">
        <f t="array" ref="J21" xml:space="preserve"> INDEX( tblFilterAll[London], PeersCritera[[#This Row],[Index]] )</f>
        <v>0.12019956850053938</v>
      </c>
      <c r="K21" s="220" cm="1">
        <f t="array" ref="K21" xml:space="preserve"> INDEX( tblFilterAll[South East], PeersCritera[[#This Row],[Index]] )</f>
        <v>0.13994066882416398</v>
      </c>
      <c r="L21" s="220" cm="1">
        <f t="array" ref="L21" xml:space="preserve"> INDEX( tblFilterAll[South West], PeersCritera[[#This Row],[Index]] )</f>
        <v>7.5862998921251354E-2</v>
      </c>
      <c r="M21" s="220" cm="1">
        <f t="array" ref="M21" xml:space="preserve"> INDEX( tblFilterAll[East Midlands], PeersCritera[[#This Row],[Index]] )</f>
        <v>5.7281553398058252E-2</v>
      </c>
      <c r="N21" s="220" cm="1">
        <f t="array" ref="N21" xml:space="preserve"> INDEX( tblFilterAll[West Midlands], PeersCritera[[#This Row],[Index]] )</f>
        <v>7.1413160733549086E-2</v>
      </c>
      <c r="O21" s="220" cm="1">
        <f t="array" ref="O21" xml:space="preserve"> INDEX( tblFilterAll[East of England], PeersCritera[[#This Row],[Index]] )</f>
        <v>9.6359223300970867E-2</v>
      </c>
      <c r="P21" s="220" cm="1">
        <f t="array" ref="P21" xml:space="preserve"> INDEX( tblFilterAll[North East], PeersCritera[[#This Row],[Index]] )</f>
        <v>0.12704962243797197</v>
      </c>
      <c r="Q21" s="220" cm="1">
        <f t="array" ref="Q21" xml:space="preserve"> INDEX( tblFilterAll[North West], PeersCritera[[#This Row],[Index]] )</f>
        <v>0.17651024811218985</v>
      </c>
      <c r="R21" s="220" cm="1">
        <f t="array" ref="R21" xml:space="preserve"> INDEX( tblFilterAll[Yorkshire &amp; the Humber], PeersCritera[[#This Row],[Index]] )</f>
        <v>0.1353829557713053</v>
      </c>
      <c r="S21" s="224" t="str" cm="1">
        <f t="array" ref="S21" xml:space="preserve"> INDEX( tblFilterAll[Region with 50%+ of social stock owned], PeersCritera[[#This Row],[Index]] )</f>
        <v>Mixed</v>
      </c>
      <c r="T21" s="229" cm="1">
        <f t="array" ref="T21" xml:space="preserve"> INDEX( tblFilterAll[Meets initial criteria], PeersCritera[[#This Row],[Index]] )</f>
        <v>1</v>
      </c>
      <c r="U21" s="241"/>
      <c r="V21" s="230">
        <f>IF( PeersCritera[[#This Row],[RP_Name]] = SelectedProvider, 1, IF( PeersCritera[[#This Row],[Override initial criteria]] = "Include", 1, IF( PeersCritera[[#This Row],[Override initial criteria]] = "Exclude", 0, PeersCritera[[#This Row],[Meets initial criteria]] ) ) )</f>
        <v>1</v>
      </c>
      <c r="W21" s="325">
        <f xml:space="preserve"> MATCH( PeersCritera[[#This Row],[RP_Name]], tblFilterAll[Provider name], 0 )</f>
        <v>6</v>
      </c>
      <c r="Y2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2" spans="2:25" x14ac:dyDescent="0.25">
      <c r="B22" s="327" t="s" vm="7">
        <v>157</v>
      </c>
      <c r="C22" s="218" cm="1" vm="8741">
        <f t="array" ref="C22" xml:space="preserve"> INDEX( tblFilterAll[Total social stock owned], PeersCritera[[#This Row],[Index]] )</f>
        <v>1105</v>
      </c>
      <c r="D22" s="219" cm="1">
        <f t="array" ref="D22" xml:space="preserve"> INDEX( tblFilterAll[% Supported housing (excl. HOP)], PeersCritera[[#This Row],[Index]] )</f>
        <v>0</v>
      </c>
      <c r="E22" s="220" cm="1">
        <f t="array" ref="E22" xml:space="preserve"> INDEX( tblFilterAll[% Housing for older people], PeersCritera[[#This Row],[Index]] )</f>
        <v>0.1330316742081448</v>
      </c>
      <c r="F22" s="220">
        <f xml:space="preserve"> PeersCritera[[#This Row],[% Supported housing (excl. HOP)]] + PeersCritera[[#This Row],[% Housing for older people]]</f>
        <v>0.1330316742081448</v>
      </c>
      <c r="G22" s="221">
        <f xml:space="preserve"> 1 - PeersCritera[[#This Row],[% Supported &amp; older people]]</f>
        <v>0.86696832579185523</v>
      </c>
      <c r="H22" s="222" t="str" cm="1">
        <f t="array" ref="H22" xml:space="preserve"> INDEX( tblFilterAll[Provider Type], PeersCritera[[#This Row],[Index]] )</f>
        <v>Traditional</v>
      </c>
      <c r="I22" s="223" t="str" cm="1">
        <f t="array" ref="I22" xml:space="preserve"> INDEX( tblFilterAll[LSVT age], PeersCritera[[#This Row],[Index]] )</f>
        <v/>
      </c>
      <c r="J22" s="219" cm="1">
        <f t="array" ref="J22" xml:space="preserve"> INDEX( tblFilterAll[London], PeersCritera[[#This Row],[Index]] )</f>
        <v>0</v>
      </c>
      <c r="K22" s="220" cm="1">
        <f t="array" ref="K22" xml:space="preserve"> INDEX( tblFilterAll[South East], PeersCritera[[#This Row],[Index]] )</f>
        <v>0</v>
      </c>
      <c r="L22" s="220" cm="1">
        <f t="array" ref="L22" xml:space="preserve"> INDEX( tblFilterAll[South West], PeersCritera[[#This Row],[Index]] )</f>
        <v>0</v>
      </c>
      <c r="M22" s="220" cm="1">
        <f t="array" ref="M22" xml:space="preserve"> INDEX( tblFilterAll[East Midlands], PeersCritera[[#This Row],[Index]] )</f>
        <v>0</v>
      </c>
      <c r="N22" s="220" cm="1">
        <f t="array" ref="N22" xml:space="preserve"> INDEX( tblFilterAll[West Midlands], PeersCritera[[#This Row],[Index]] )</f>
        <v>0</v>
      </c>
      <c r="O22" s="220" cm="1">
        <f t="array" ref="O22" xml:space="preserve"> INDEX( tblFilterAll[East of England], PeersCritera[[#This Row],[Index]] )</f>
        <v>0</v>
      </c>
      <c r="P22" s="220" cm="1">
        <f t="array" ref="P22" xml:space="preserve"> INDEX( tblFilterAll[North East], PeersCritera[[#This Row],[Index]] )</f>
        <v>0</v>
      </c>
      <c r="Q22" s="220" cm="1">
        <f t="array" ref="Q22" xml:space="preserve"> INDEX( tblFilterAll[North West], PeersCritera[[#This Row],[Index]] )</f>
        <v>1</v>
      </c>
      <c r="R22" s="220" cm="1">
        <f t="array" ref="R22" xml:space="preserve"> INDEX( tblFilterAll[Yorkshire &amp; the Humber], PeersCritera[[#This Row],[Index]] )</f>
        <v>0</v>
      </c>
      <c r="S22" s="224" t="str" cm="1">
        <f t="array" ref="S22" xml:space="preserve"> INDEX( tblFilterAll[Region with 50%+ of social stock owned], PeersCritera[[#This Row],[Index]] )</f>
        <v>North West</v>
      </c>
      <c r="T22" s="229" cm="1">
        <f t="array" ref="T22" xml:space="preserve"> INDEX( tblFilterAll[Meets initial criteria], PeersCritera[[#This Row],[Index]] )</f>
        <v>1</v>
      </c>
      <c r="U22" s="241"/>
      <c r="V22" s="230">
        <f>IF( PeersCritera[[#This Row],[RP_Name]] = SelectedProvider, 1, IF( PeersCritera[[#This Row],[Override initial criteria]] = "Include", 1, IF( PeersCritera[[#This Row],[Override initial criteria]] = "Exclude", 0, PeersCritera[[#This Row],[Meets initial criteria]] ) ) )</f>
        <v>1</v>
      </c>
      <c r="W22" s="325">
        <f xml:space="preserve"> MATCH( PeersCritera[[#This Row],[RP_Name]], tblFilterAll[Provider name], 0 )</f>
        <v>7</v>
      </c>
      <c r="Y2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3" spans="2:25" x14ac:dyDescent="0.25">
      <c r="B23" s="327" t="s" vm="8">
        <v>159</v>
      </c>
      <c r="C23" s="218" cm="1" vm="1301">
        <f t="array" ref="C23" xml:space="preserve"> INDEX( tblFilterAll[Total social stock owned], PeersCritera[[#This Row],[Index]] )</f>
        <v>1316</v>
      </c>
      <c r="D23" s="219" cm="1">
        <f t="array" ref="D23" xml:space="preserve"> INDEX( tblFilterAll[% Supported housing (excl. HOP)], PeersCritera[[#This Row],[Index]] )</f>
        <v>3.3383915022761758E-2</v>
      </c>
      <c r="E23" s="220" cm="1">
        <f t="array" ref="E23" xml:space="preserve"> INDEX( tblFilterAll[% Housing for older people], PeersCritera[[#This Row],[Index]] )</f>
        <v>0</v>
      </c>
      <c r="F23" s="220">
        <f xml:space="preserve"> PeersCritera[[#This Row],[% Supported housing (excl. HOP)]] + PeersCritera[[#This Row],[% Housing for older people]]</f>
        <v>3.3383915022761758E-2</v>
      </c>
      <c r="G23" s="221">
        <f xml:space="preserve"> 1 - PeersCritera[[#This Row],[% Supported &amp; older people]]</f>
        <v>0.96661608497723828</v>
      </c>
      <c r="H23" s="222" t="str" cm="1">
        <f t="array" ref="H23" xml:space="preserve"> INDEX( tblFilterAll[Provider Type], PeersCritera[[#This Row],[Index]] )</f>
        <v>Traditional</v>
      </c>
      <c r="I23" s="223" t="str" cm="1">
        <f t="array" ref="I23" xml:space="preserve"> INDEX( tblFilterAll[LSVT age], PeersCritera[[#This Row],[Index]] )</f>
        <v/>
      </c>
      <c r="J23" s="219" cm="1">
        <f t="array" ref="J23" xml:space="preserve"> INDEX( tblFilterAll[London], PeersCritera[[#This Row],[Index]] )</f>
        <v>0</v>
      </c>
      <c r="K23" s="220" cm="1">
        <f t="array" ref="K23" xml:space="preserve"> INDEX( tblFilterAll[South East], PeersCritera[[#This Row],[Index]] )</f>
        <v>0</v>
      </c>
      <c r="L23" s="220" cm="1">
        <f t="array" ref="L23" xml:space="preserve"> INDEX( tblFilterAll[South West], PeersCritera[[#This Row],[Index]] )</f>
        <v>0</v>
      </c>
      <c r="M23" s="220" cm="1">
        <f t="array" ref="M23" xml:space="preserve"> INDEX( tblFilterAll[East Midlands], PeersCritera[[#This Row],[Index]] )</f>
        <v>9.8784194528875376E-3</v>
      </c>
      <c r="N23" s="220" cm="1">
        <f t="array" ref="N23" xml:space="preserve"> INDEX( tblFilterAll[West Midlands], PeersCritera[[#This Row],[Index]] )</f>
        <v>0</v>
      </c>
      <c r="O23" s="220" cm="1">
        <f t="array" ref="O23" xml:space="preserve"> INDEX( tblFilterAll[East of England], PeersCritera[[#This Row],[Index]] )</f>
        <v>0</v>
      </c>
      <c r="P23" s="220" cm="1">
        <f t="array" ref="P23" xml:space="preserve"> INDEX( tblFilterAll[North East], PeersCritera[[#This Row],[Index]] )</f>
        <v>0</v>
      </c>
      <c r="Q23" s="220" cm="1">
        <f t="array" ref="Q23" xml:space="preserve"> INDEX( tblFilterAll[North West], PeersCritera[[#This Row],[Index]] )</f>
        <v>0</v>
      </c>
      <c r="R23" s="220" cm="1">
        <f t="array" ref="R23" xml:space="preserve"> INDEX( tblFilterAll[Yorkshire &amp; the Humber], PeersCritera[[#This Row],[Index]] )</f>
        <v>0.99012158054711241</v>
      </c>
      <c r="S23" s="224" t="str" cm="1">
        <f t="array" ref="S23" xml:space="preserve"> INDEX( tblFilterAll[Region with 50%+ of social stock owned], PeersCritera[[#This Row],[Index]] )</f>
        <v>Yorkshire &amp; the Humber</v>
      </c>
      <c r="T23" s="229" cm="1">
        <f t="array" ref="T23" xml:space="preserve"> INDEX( tblFilterAll[Meets initial criteria], PeersCritera[[#This Row],[Index]] )</f>
        <v>1</v>
      </c>
      <c r="U23" s="241"/>
      <c r="V23" s="230">
        <f>IF( PeersCritera[[#This Row],[RP_Name]] = SelectedProvider, 1, IF( PeersCritera[[#This Row],[Override initial criteria]] = "Include", 1, IF( PeersCritera[[#This Row],[Override initial criteria]] = "Exclude", 0, PeersCritera[[#This Row],[Meets initial criteria]] ) ) )</f>
        <v>1</v>
      </c>
      <c r="W23" s="325">
        <f xml:space="preserve"> MATCH( PeersCritera[[#This Row],[RP_Name]], tblFilterAll[Provider name], 0 )</f>
        <v>8</v>
      </c>
      <c r="Y2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4" spans="2:25" x14ac:dyDescent="0.25">
      <c r="B24" s="327" t="s" vm="9">
        <v>161</v>
      </c>
      <c r="C24" s="218" cm="1" vm="6375">
        <f t="array" ref="C24" xml:space="preserve"> INDEX( tblFilterAll[Total social stock owned], PeersCritera[[#This Row],[Index]] )</f>
        <v>9300</v>
      </c>
      <c r="D24" s="219" cm="1">
        <f t="array" ref="D24" xml:space="preserve"> INDEX( tblFilterAll[% Supported housing (excl. HOP)], PeersCritera[[#This Row],[Index]] )</f>
        <v>0</v>
      </c>
      <c r="E24" s="220" cm="1">
        <f t="array" ref="E24" xml:space="preserve"> INDEX( tblFilterAll[% Housing for older people], PeersCritera[[#This Row],[Index]] )</f>
        <v>6.8059444324790011E-2</v>
      </c>
      <c r="F24" s="220">
        <f xml:space="preserve"> PeersCritera[[#This Row],[% Supported housing (excl. HOP)]] + PeersCritera[[#This Row],[% Housing for older people]]</f>
        <v>6.8059444324790011E-2</v>
      </c>
      <c r="G24" s="221">
        <f xml:space="preserve"> 1 - PeersCritera[[#This Row],[% Supported &amp; older people]]</f>
        <v>0.93194055567520995</v>
      </c>
      <c r="H24" s="222" t="str" cm="1">
        <f t="array" ref="H24" xml:space="preserve"> INDEX( tblFilterAll[Provider Type], PeersCritera[[#This Row],[Index]] )</f>
        <v>Traditional</v>
      </c>
      <c r="I24" s="223" t="str" cm="1">
        <f t="array" ref="I24" xml:space="preserve"> INDEX( tblFilterAll[LSVT age], PeersCritera[[#This Row],[Index]] )</f>
        <v>&gt;= 12 years</v>
      </c>
      <c r="J24" s="219" cm="1">
        <f t="array" ref="J24" xml:space="preserve"> INDEX( tblFilterAll[London], PeersCritera[[#This Row],[Index]] )</f>
        <v>0</v>
      </c>
      <c r="K24" s="220" cm="1">
        <f t="array" ref="K24" xml:space="preserve"> INDEX( tblFilterAll[South East], PeersCritera[[#This Row],[Index]] )</f>
        <v>0</v>
      </c>
      <c r="L24" s="220" cm="1">
        <f t="array" ref="L24" xml:space="preserve"> INDEX( tblFilterAll[South West], PeersCritera[[#This Row],[Index]] )</f>
        <v>0</v>
      </c>
      <c r="M24" s="220" cm="1">
        <f t="array" ref="M24" xml:space="preserve"> INDEX( tblFilterAll[East Midlands], PeersCritera[[#This Row],[Index]] )</f>
        <v>0</v>
      </c>
      <c r="N24" s="220" cm="1">
        <f t="array" ref="N24" xml:space="preserve"> INDEX( tblFilterAll[West Midlands], PeersCritera[[#This Row],[Index]] )</f>
        <v>0.9043010752688172</v>
      </c>
      <c r="O24" s="220" cm="1">
        <f t="array" ref="O24" xml:space="preserve"> INDEX( tblFilterAll[East of England], PeersCritera[[#This Row],[Index]] )</f>
        <v>0</v>
      </c>
      <c r="P24" s="220" cm="1">
        <f t="array" ref="P24" xml:space="preserve"> INDEX( tblFilterAll[North East], PeersCritera[[#This Row],[Index]] )</f>
        <v>0</v>
      </c>
      <c r="Q24" s="220" cm="1">
        <f t="array" ref="Q24" xml:space="preserve"> INDEX( tblFilterAll[North West], PeersCritera[[#This Row],[Index]] )</f>
        <v>9.56989247311828E-2</v>
      </c>
      <c r="R24" s="220" cm="1">
        <f t="array" ref="R24" xml:space="preserve"> INDEX( tblFilterAll[Yorkshire &amp; the Humber], PeersCritera[[#This Row],[Index]] )</f>
        <v>0</v>
      </c>
      <c r="S24" s="224" t="str" cm="1">
        <f t="array" ref="S24" xml:space="preserve"> INDEX( tblFilterAll[Region with 50%+ of social stock owned], PeersCritera[[#This Row],[Index]] )</f>
        <v>West Midlands</v>
      </c>
      <c r="T24" s="229" cm="1">
        <f t="array" ref="T24" xml:space="preserve"> INDEX( tblFilterAll[Meets initial criteria], PeersCritera[[#This Row],[Index]] )</f>
        <v>1</v>
      </c>
      <c r="U24" s="241"/>
      <c r="V24" s="230">
        <f>IF( PeersCritera[[#This Row],[RP_Name]] = SelectedProvider, 1, IF( PeersCritera[[#This Row],[Override initial criteria]] = "Include", 1, IF( PeersCritera[[#This Row],[Override initial criteria]] = "Exclude", 0, PeersCritera[[#This Row],[Meets initial criteria]] ) ) )</f>
        <v>1</v>
      </c>
      <c r="W24" s="325">
        <f xml:space="preserve"> MATCH( PeersCritera[[#This Row],[RP_Name]], tblFilterAll[Provider name], 0 )</f>
        <v>9</v>
      </c>
      <c r="Y2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5" spans="2:25" x14ac:dyDescent="0.25">
      <c r="B25" s="327" t="s" vm="10">
        <v>163</v>
      </c>
      <c r="C25" s="218" cm="1" vm="1464">
        <f t="array" ref="C25" xml:space="preserve"> INDEX( tblFilterAll[Total social stock owned], PeersCritera[[#This Row],[Index]] )</f>
        <v>34384</v>
      </c>
      <c r="D25" s="219" cm="1">
        <f t="array" ref="D25" xml:space="preserve"> INDEX( tblFilterAll[% Supported housing (excl. HOP)], PeersCritera[[#This Row],[Index]] )</f>
        <v>4.2089084621523366E-2</v>
      </c>
      <c r="E25" s="220" cm="1">
        <f t="array" ref="E25" xml:space="preserve"> INDEX( tblFilterAll[% Housing for older people], PeersCritera[[#This Row],[Index]] )</f>
        <v>0.12088789052108888</v>
      </c>
      <c r="F25" s="220">
        <f xml:space="preserve"> PeersCritera[[#This Row],[% Supported housing (excl. HOP)]] + PeersCritera[[#This Row],[% Housing for older people]]</f>
        <v>0.16297697514261225</v>
      </c>
      <c r="G25" s="221">
        <f xml:space="preserve"> 1 - PeersCritera[[#This Row],[% Supported &amp; older people]]</f>
        <v>0.83702302485738778</v>
      </c>
      <c r="H25" s="222" t="str" cm="1">
        <f t="array" ref="H25" xml:space="preserve"> INDEX( tblFilterAll[Provider Type], PeersCritera[[#This Row],[Index]] )</f>
        <v>Traditional</v>
      </c>
      <c r="I25" s="223" t="str" cm="1">
        <f t="array" ref="I25" xml:space="preserve"> INDEX( tblFilterAll[LSVT age], PeersCritera[[#This Row],[Index]] )</f>
        <v>&gt;= 12 years</v>
      </c>
      <c r="J25" s="219" cm="1">
        <f t="array" ref="J25" xml:space="preserve"> INDEX( tblFilterAll[London], PeersCritera[[#This Row],[Index]] )</f>
        <v>4.81462940604847E-2</v>
      </c>
      <c r="K25" s="220" cm="1">
        <f t="array" ref="K25" xml:space="preserve"> INDEX( tblFilterAll[South East], PeersCritera[[#This Row],[Index]] )</f>
        <v>0.25869430784180925</v>
      </c>
      <c r="L25" s="220" cm="1">
        <f t="array" ref="L25" xml:space="preserve"> INDEX( tblFilterAll[South West], PeersCritera[[#This Row],[Index]] )</f>
        <v>0.6931593980977061</v>
      </c>
      <c r="M25" s="220" cm="1">
        <f t="array" ref="M25" xml:space="preserve"> INDEX( tblFilterAll[East Midlands], PeersCritera[[#This Row],[Index]] )</f>
        <v>0</v>
      </c>
      <c r="N25" s="220" cm="1">
        <f t="array" ref="N25" xml:space="preserve"> INDEX( tblFilterAll[West Midlands], PeersCritera[[#This Row],[Index]] )</f>
        <v>0</v>
      </c>
      <c r="O25" s="220" cm="1">
        <f t="array" ref="O25" xml:space="preserve"> INDEX( tblFilterAll[East of England], PeersCritera[[#This Row],[Index]] )</f>
        <v>0</v>
      </c>
      <c r="P25" s="220" cm="1">
        <f t="array" ref="P25" xml:space="preserve"> INDEX( tblFilterAll[North East], PeersCritera[[#This Row],[Index]] )</f>
        <v>0</v>
      </c>
      <c r="Q25" s="220" cm="1">
        <f t="array" ref="Q25" xml:space="preserve"> INDEX( tblFilterAll[North West], PeersCritera[[#This Row],[Index]] )</f>
        <v>0</v>
      </c>
      <c r="R25" s="220" cm="1">
        <f t="array" ref="R25" xml:space="preserve"> INDEX( tblFilterAll[Yorkshire &amp; the Humber], PeersCritera[[#This Row],[Index]] )</f>
        <v>0</v>
      </c>
      <c r="S25" s="224" t="str" cm="1">
        <f t="array" ref="S25" xml:space="preserve"> INDEX( tblFilterAll[Region with 50%+ of social stock owned], PeersCritera[[#This Row],[Index]] )</f>
        <v>South West</v>
      </c>
      <c r="T25" s="229" cm="1">
        <f t="array" ref="T25" xml:space="preserve"> INDEX( tblFilterAll[Meets initial criteria], PeersCritera[[#This Row],[Index]] )</f>
        <v>1</v>
      </c>
      <c r="U25" s="241"/>
      <c r="V25" s="230">
        <f>IF( PeersCritera[[#This Row],[RP_Name]] = SelectedProvider, 1, IF( PeersCritera[[#This Row],[Override initial criteria]] = "Include", 1, IF( PeersCritera[[#This Row],[Override initial criteria]] = "Exclude", 0, PeersCritera[[#This Row],[Meets initial criteria]] ) ) )</f>
        <v>1</v>
      </c>
      <c r="W25" s="325">
        <f xml:space="preserve"> MATCH( PeersCritera[[#This Row],[RP_Name]], tblFilterAll[Provider name], 0 )</f>
        <v>10</v>
      </c>
      <c r="Y2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6" spans="2:25" x14ac:dyDescent="0.25">
      <c r="B26" s="327" t="s" vm="11">
        <v>165</v>
      </c>
      <c r="C26" s="218" cm="1" vm="4248">
        <f t="array" ref="C26" xml:space="preserve"> INDEX( tblFilterAll[Total social stock owned], PeersCritera[[#This Row],[Index]] )</f>
        <v>4540</v>
      </c>
      <c r="D26" s="219" cm="1">
        <f t="array" ref="D26" xml:space="preserve"> INDEX( tblFilterAll[% Supported housing (excl. HOP)], PeersCritera[[#This Row],[Index]] )</f>
        <v>0</v>
      </c>
      <c r="E26" s="220" cm="1">
        <f t="array" ref="E26" xml:space="preserve"> INDEX( tblFilterAll[% Housing for older people], PeersCritera[[#This Row],[Index]] )</f>
        <v>6.4061790095411172E-2</v>
      </c>
      <c r="F26" s="220">
        <f xml:space="preserve"> PeersCritera[[#This Row],[% Supported housing (excl. HOP)]] + PeersCritera[[#This Row],[% Housing for older people]]</f>
        <v>6.4061790095411172E-2</v>
      </c>
      <c r="G26" s="221">
        <f xml:space="preserve"> 1 - PeersCritera[[#This Row],[% Supported &amp; older people]]</f>
        <v>0.93593820990458887</v>
      </c>
      <c r="H26" s="222" t="str" cm="1">
        <f t="array" ref="H26" xml:space="preserve"> INDEX( tblFilterAll[Provider Type], PeersCritera[[#This Row],[Index]] )</f>
        <v>Traditional</v>
      </c>
      <c r="I26" s="223" t="str" cm="1">
        <f t="array" ref="I26" xml:space="preserve"> INDEX( tblFilterAll[LSVT age], PeersCritera[[#This Row],[Index]] )</f>
        <v>&gt;= 12 years</v>
      </c>
      <c r="J26" s="219" cm="1">
        <f t="array" ref="J26" xml:space="preserve"> INDEX( tblFilterAll[London], PeersCritera[[#This Row],[Index]] )</f>
        <v>0</v>
      </c>
      <c r="K26" s="220" cm="1">
        <f t="array" ref="K26" xml:space="preserve"> INDEX( tblFilterAll[South East], PeersCritera[[#This Row],[Index]] )</f>
        <v>0</v>
      </c>
      <c r="L26" s="220" cm="1">
        <f t="array" ref="L26" xml:space="preserve"> INDEX( tblFilterAll[South West], PeersCritera[[#This Row],[Index]] )</f>
        <v>0</v>
      </c>
      <c r="M26" s="220" cm="1">
        <f t="array" ref="M26" xml:space="preserve"> INDEX( tblFilterAll[East Midlands], PeersCritera[[#This Row],[Index]] )</f>
        <v>0</v>
      </c>
      <c r="N26" s="220" cm="1">
        <f t="array" ref="N26" xml:space="preserve"> INDEX( tblFilterAll[West Midlands], PeersCritera[[#This Row],[Index]] )</f>
        <v>0</v>
      </c>
      <c r="O26" s="220" cm="1">
        <f t="array" ref="O26" xml:space="preserve"> INDEX( tblFilterAll[East of England], PeersCritera[[#This Row],[Index]] )</f>
        <v>1</v>
      </c>
      <c r="P26" s="220" cm="1">
        <f t="array" ref="P26" xml:space="preserve"> INDEX( tblFilterAll[North East], PeersCritera[[#This Row],[Index]] )</f>
        <v>0</v>
      </c>
      <c r="Q26" s="220" cm="1">
        <f t="array" ref="Q26" xml:space="preserve"> INDEX( tblFilterAll[North West], PeersCritera[[#This Row],[Index]] )</f>
        <v>0</v>
      </c>
      <c r="R26" s="220" cm="1">
        <f t="array" ref="R26" xml:space="preserve"> INDEX( tblFilterAll[Yorkshire &amp; the Humber], PeersCritera[[#This Row],[Index]] )</f>
        <v>0</v>
      </c>
      <c r="S26" s="224" t="str" cm="1">
        <f t="array" ref="S26" xml:space="preserve"> INDEX( tblFilterAll[Region with 50%+ of social stock owned], PeersCritera[[#This Row],[Index]] )</f>
        <v>East of England</v>
      </c>
      <c r="T26" s="229" cm="1">
        <f t="array" ref="T26" xml:space="preserve"> INDEX( tblFilterAll[Meets initial criteria], PeersCritera[[#This Row],[Index]] )</f>
        <v>1</v>
      </c>
      <c r="U26" s="241"/>
      <c r="V26" s="230">
        <f>IF( PeersCritera[[#This Row],[RP_Name]] = SelectedProvider, 1, IF( PeersCritera[[#This Row],[Override initial criteria]] = "Include", 1, IF( PeersCritera[[#This Row],[Override initial criteria]] = "Exclude", 0, PeersCritera[[#This Row],[Meets initial criteria]] ) ) )</f>
        <v>1</v>
      </c>
      <c r="W26" s="325">
        <f xml:space="preserve"> MATCH( PeersCritera[[#This Row],[RP_Name]], tblFilterAll[Provider name], 0 )</f>
        <v>11</v>
      </c>
      <c r="Y2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7" spans="2:25" x14ac:dyDescent="0.25">
      <c r="B27" s="327" t="s" vm="12">
        <v>167</v>
      </c>
      <c r="C27" s="218" cm="1" vm="7608">
        <f t="array" ref="C27" xml:space="preserve"> INDEX( tblFilterAll[Total social stock owned], PeersCritera[[#This Row],[Index]] )</f>
        <v>18044</v>
      </c>
      <c r="D27" s="219" cm="1">
        <f t="array" ref="D27" xml:space="preserve"> INDEX( tblFilterAll[% Supported housing (excl. HOP)], PeersCritera[[#This Row],[Index]] )</f>
        <v>0</v>
      </c>
      <c r="E27" s="220" cm="1">
        <f t="array" ref="E27" xml:space="preserve"> INDEX( tblFilterAll[% Housing for older people], PeersCritera[[#This Row],[Index]] )</f>
        <v>0</v>
      </c>
      <c r="F27" s="220">
        <f xml:space="preserve"> PeersCritera[[#This Row],[% Supported housing (excl. HOP)]] + PeersCritera[[#This Row],[% Housing for older people]]</f>
        <v>0</v>
      </c>
      <c r="G27" s="221">
        <f xml:space="preserve"> 1 - PeersCritera[[#This Row],[% Supported &amp; older people]]</f>
        <v>1</v>
      </c>
      <c r="H27" s="222" t="str" cm="1">
        <f t="array" ref="H27" xml:space="preserve"> INDEX( tblFilterAll[Provider Type], PeersCritera[[#This Row],[Index]] )</f>
        <v>LSVT</v>
      </c>
      <c r="I27" s="223" t="str" cm="1">
        <f t="array" ref="I27" xml:space="preserve"> INDEX( tblFilterAll[LSVT age], PeersCritera[[#This Row],[Index]] )</f>
        <v>&lt; 12 years</v>
      </c>
      <c r="J27" s="219" cm="1">
        <f t="array" ref="J27" xml:space="preserve"> INDEX( tblFilterAll[London], PeersCritera[[#This Row],[Index]] )</f>
        <v>0</v>
      </c>
      <c r="K27" s="220" cm="1">
        <f t="array" ref="K27" xml:space="preserve"> INDEX( tblFilterAll[South East], PeersCritera[[#This Row],[Index]] )</f>
        <v>0</v>
      </c>
      <c r="L27" s="220" cm="1">
        <f t="array" ref="L27" xml:space="preserve"> INDEX( tblFilterAll[South West], PeersCritera[[#This Row],[Index]] )</f>
        <v>0</v>
      </c>
      <c r="M27" s="220" cm="1">
        <f t="array" ref="M27" xml:space="preserve"> INDEX( tblFilterAll[East Midlands], PeersCritera[[#This Row],[Index]] )</f>
        <v>0</v>
      </c>
      <c r="N27" s="220" cm="1">
        <f t="array" ref="N27" xml:space="preserve"> INDEX( tblFilterAll[West Midlands], PeersCritera[[#This Row],[Index]] )</f>
        <v>0</v>
      </c>
      <c r="O27" s="220" cm="1">
        <f t="array" ref="O27" xml:space="preserve"> INDEX( tblFilterAll[East of England], PeersCritera[[#This Row],[Index]] )</f>
        <v>0</v>
      </c>
      <c r="P27" s="220" cm="1">
        <f t="array" ref="P27" xml:space="preserve"> INDEX( tblFilterAll[North East], PeersCritera[[#This Row],[Index]] )</f>
        <v>1</v>
      </c>
      <c r="Q27" s="220" cm="1">
        <f t="array" ref="Q27" xml:space="preserve"> INDEX( tblFilterAll[North West], PeersCritera[[#This Row],[Index]] )</f>
        <v>0</v>
      </c>
      <c r="R27" s="220" cm="1">
        <f t="array" ref="R27" xml:space="preserve"> INDEX( tblFilterAll[Yorkshire &amp; the Humber], PeersCritera[[#This Row],[Index]] )</f>
        <v>0</v>
      </c>
      <c r="S27" s="224" t="str" cm="1">
        <f t="array" ref="S27" xml:space="preserve"> INDEX( tblFilterAll[Region with 50%+ of social stock owned], PeersCritera[[#This Row],[Index]] )</f>
        <v>North East</v>
      </c>
      <c r="T27" s="229" cm="1">
        <f t="array" ref="T27" xml:space="preserve"> INDEX( tblFilterAll[Meets initial criteria], PeersCritera[[#This Row],[Index]] )</f>
        <v>1</v>
      </c>
      <c r="U27" s="241"/>
      <c r="V27" s="230">
        <f>IF( PeersCritera[[#This Row],[RP_Name]] = SelectedProvider, 1, IF( PeersCritera[[#This Row],[Override initial criteria]] = "Include", 1, IF( PeersCritera[[#This Row],[Override initial criteria]] = "Exclude", 0, PeersCritera[[#This Row],[Meets initial criteria]] ) ) )</f>
        <v>1</v>
      </c>
      <c r="W27" s="325">
        <f xml:space="preserve"> MATCH( PeersCritera[[#This Row],[RP_Name]], tblFilterAll[Provider name], 0 )</f>
        <v>12</v>
      </c>
      <c r="Y2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8" spans="2:25" x14ac:dyDescent="0.25">
      <c r="B28" s="327" t="s" vm="13">
        <v>171</v>
      </c>
      <c r="C28" s="218" cm="1" vm="3039">
        <f t="array" ref="C28" xml:space="preserve"> INDEX( tblFilterAll[Total social stock owned], PeersCritera[[#This Row],[Index]] )</f>
        <v>13715</v>
      </c>
      <c r="D28" s="219" cm="1">
        <f t="array" ref="D28" xml:space="preserve"> INDEX( tblFilterAll[% Supported housing (excl. HOP)], PeersCritera[[#This Row],[Index]] )</f>
        <v>4.2495808732414896E-2</v>
      </c>
      <c r="E28" s="220" cm="1">
        <f t="array" ref="E28" xml:space="preserve"> INDEX( tblFilterAll[% Housing for older people], PeersCritera[[#This Row],[Index]] )</f>
        <v>0.18667541365988774</v>
      </c>
      <c r="F28" s="220">
        <f xml:space="preserve"> PeersCritera[[#This Row],[% Supported housing (excl. HOP)]] + PeersCritera[[#This Row],[% Housing for older people]]</f>
        <v>0.22917122239230264</v>
      </c>
      <c r="G28" s="221">
        <f xml:space="preserve"> 1 - PeersCritera[[#This Row],[% Supported &amp; older people]]</f>
        <v>0.77082877760769741</v>
      </c>
      <c r="H28" s="222" t="str" cm="1">
        <f t="array" ref="H28" xml:space="preserve"> INDEX( tblFilterAll[Provider Type], PeersCritera[[#This Row],[Index]] )</f>
        <v>Traditional</v>
      </c>
      <c r="I28" s="223" t="str" cm="1">
        <f t="array" ref="I28" xml:space="preserve"> INDEX( tblFilterAll[LSVT age], PeersCritera[[#This Row],[Index]] )</f>
        <v>&gt;= 12 years</v>
      </c>
      <c r="J28" s="219" cm="1">
        <f t="array" ref="J28" xml:space="preserve"> INDEX( tblFilterAll[London], PeersCritera[[#This Row],[Index]] )</f>
        <v>0</v>
      </c>
      <c r="K28" s="220" cm="1">
        <f t="array" ref="K28" xml:space="preserve"> INDEX( tblFilterAll[South East], PeersCritera[[#This Row],[Index]] )</f>
        <v>0</v>
      </c>
      <c r="L28" s="220" cm="1">
        <f t="array" ref="L28" xml:space="preserve"> INDEX( tblFilterAll[South West], PeersCritera[[#This Row],[Index]] )</f>
        <v>0</v>
      </c>
      <c r="M28" s="220" cm="1">
        <f t="array" ref="M28" xml:space="preserve"> INDEX( tblFilterAll[East Midlands], PeersCritera[[#This Row],[Index]] )</f>
        <v>0</v>
      </c>
      <c r="N28" s="220" cm="1">
        <f t="array" ref="N28" xml:space="preserve"> INDEX( tblFilterAll[West Midlands], PeersCritera[[#This Row],[Index]] )</f>
        <v>0</v>
      </c>
      <c r="O28" s="220" cm="1">
        <f t="array" ref="O28" xml:space="preserve"> INDEX( tblFilterAll[East of England], PeersCritera[[#This Row],[Index]] )</f>
        <v>0</v>
      </c>
      <c r="P28" s="220" cm="1">
        <f t="array" ref="P28" xml:space="preserve"> INDEX( tblFilterAll[North East], PeersCritera[[#This Row],[Index]] )</f>
        <v>1</v>
      </c>
      <c r="Q28" s="220" cm="1">
        <f t="array" ref="Q28" xml:space="preserve"> INDEX( tblFilterAll[North West], PeersCritera[[#This Row],[Index]] )</f>
        <v>0</v>
      </c>
      <c r="R28" s="220" cm="1">
        <f t="array" ref="R28" xml:space="preserve"> INDEX( tblFilterAll[Yorkshire &amp; the Humber], PeersCritera[[#This Row],[Index]] )</f>
        <v>0</v>
      </c>
      <c r="S28" s="224" t="str" cm="1">
        <f t="array" ref="S28" xml:space="preserve"> INDEX( tblFilterAll[Region with 50%+ of social stock owned], PeersCritera[[#This Row],[Index]] )</f>
        <v>North East</v>
      </c>
      <c r="T28" s="229" cm="1">
        <f t="array" ref="T28" xml:space="preserve"> INDEX( tblFilterAll[Meets initial criteria], PeersCritera[[#This Row],[Index]] )</f>
        <v>1</v>
      </c>
      <c r="U28" s="241"/>
      <c r="V28" s="230">
        <f>IF( PeersCritera[[#This Row],[RP_Name]] = SelectedProvider, 1, IF( PeersCritera[[#This Row],[Override initial criteria]] = "Include", 1, IF( PeersCritera[[#This Row],[Override initial criteria]] = "Exclude", 0, PeersCritera[[#This Row],[Meets initial criteria]] ) ) )</f>
        <v>1</v>
      </c>
      <c r="W28" s="325">
        <f xml:space="preserve"> MATCH( PeersCritera[[#This Row],[RP_Name]], tblFilterAll[Provider name], 0 )</f>
        <v>13</v>
      </c>
      <c r="Y2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29" spans="2:25" x14ac:dyDescent="0.25">
      <c r="B29" s="327" t="s" vm="14">
        <v>173</v>
      </c>
      <c r="C29" s="218" cm="1" vm="2827">
        <f t="array" ref="C29" xml:space="preserve"> INDEX( tblFilterAll[Total social stock owned], PeersCritera[[#This Row],[Index]] )</f>
        <v>15130</v>
      </c>
      <c r="D29" s="219" cm="1">
        <f t="array" ref="D29" xml:space="preserve"> INDEX( tblFilterAll[% Supported housing (excl. HOP)], PeersCritera[[#This Row],[Index]] )</f>
        <v>9.254974548819991E-4</v>
      </c>
      <c r="E29" s="220" cm="1">
        <f t="array" ref="E29" xml:space="preserve"> INDEX( tblFilterAll[% Housing for older people], PeersCritera[[#This Row],[Index]] )</f>
        <v>1.3551927017914987E-2</v>
      </c>
      <c r="F29" s="220">
        <f xml:space="preserve"> PeersCritera[[#This Row],[% Supported housing (excl. HOP)]] + PeersCritera[[#This Row],[% Housing for older people]]</f>
        <v>1.4477424472796986E-2</v>
      </c>
      <c r="G29" s="221">
        <f xml:space="preserve"> 1 - PeersCritera[[#This Row],[% Supported &amp; older people]]</f>
        <v>0.98552257552720302</v>
      </c>
      <c r="H29" s="222" t="str" cm="1">
        <f t="array" ref="H29" xml:space="preserve"> INDEX( tblFilterAll[Provider Type], PeersCritera[[#This Row],[Index]] )</f>
        <v>Traditional</v>
      </c>
      <c r="I29" s="223" t="str" cm="1">
        <f t="array" ref="I29" xml:space="preserve"> INDEX( tblFilterAll[LSVT age], PeersCritera[[#This Row],[Index]] )</f>
        <v>&gt;= 12 years</v>
      </c>
      <c r="J29" s="219" cm="1">
        <f t="array" ref="J29" xml:space="preserve"> INDEX( tblFilterAll[London], PeersCritera[[#This Row],[Index]] )</f>
        <v>0</v>
      </c>
      <c r="K29" s="220" cm="1">
        <f t="array" ref="K29" xml:space="preserve"> INDEX( tblFilterAll[South East], PeersCritera[[#This Row],[Index]] )</f>
        <v>0</v>
      </c>
      <c r="L29" s="220" cm="1">
        <f t="array" ref="L29" xml:space="preserve"> INDEX( tblFilterAll[South West], PeersCritera[[#This Row],[Index]] )</f>
        <v>0</v>
      </c>
      <c r="M29" s="220" cm="1">
        <f t="array" ref="M29" xml:space="preserve"> INDEX( tblFilterAll[East Midlands], PeersCritera[[#This Row],[Index]] )</f>
        <v>0</v>
      </c>
      <c r="N29" s="220" cm="1">
        <f t="array" ref="N29" xml:space="preserve"> INDEX( tblFilterAll[West Midlands], PeersCritera[[#This Row],[Index]] )</f>
        <v>0</v>
      </c>
      <c r="O29" s="220" cm="1">
        <f t="array" ref="O29" xml:space="preserve"> INDEX( tblFilterAll[East of England], PeersCritera[[#This Row],[Index]] )</f>
        <v>0</v>
      </c>
      <c r="P29" s="220" cm="1">
        <f t="array" ref="P29" xml:space="preserve"> INDEX( tblFilterAll[North East], PeersCritera[[#This Row],[Index]] )</f>
        <v>0.69061467283542632</v>
      </c>
      <c r="Q29" s="220" cm="1">
        <f t="array" ref="Q29" xml:space="preserve"> INDEX( tblFilterAll[North West], PeersCritera[[#This Row],[Index]] )</f>
        <v>0</v>
      </c>
      <c r="R29" s="220" cm="1">
        <f t="array" ref="R29" xml:space="preserve"> INDEX( tblFilterAll[Yorkshire &amp; the Humber], PeersCritera[[#This Row],[Index]] )</f>
        <v>0.30938532716457368</v>
      </c>
      <c r="S29" s="224" t="str" cm="1">
        <f t="array" ref="S29" xml:space="preserve"> INDEX( tblFilterAll[Region with 50%+ of social stock owned], PeersCritera[[#This Row],[Index]] )</f>
        <v>North East</v>
      </c>
      <c r="T29" s="229" cm="1">
        <f t="array" ref="T29" xml:space="preserve"> INDEX( tblFilterAll[Meets initial criteria], PeersCritera[[#This Row],[Index]] )</f>
        <v>1</v>
      </c>
      <c r="U29" s="241"/>
      <c r="V29" s="230">
        <f>IF( PeersCritera[[#This Row],[RP_Name]] = SelectedProvider, 1, IF( PeersCritera[[#This Row],[Override initial criteria]] = "Include", 1, IF( PeersCritera[[#This Row],[Override initial criteria]] = "Exclude", 0, PeersCritera[[#This Row],[Meets initial criteria]] ) ) )</f>
        <v>1</v>
      </c>
      <c r="W29" s="325">
        <f xml:space="preserve"> MATCH( PeersCritera[[#This Row],[RP_Name]], tblFilterAll[Provider name], 0 )</f>
        <v>14</v>
      </c>
      <c r="Y2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0" spans="2:25" x14ac:dyDescent="0.25">
      <c r="B30" s="327" t="s" vm="15">
        <v>175</v>
      </c>
      <c r="C30" s="218" cm="1" vm="8736">
        <f t="array" ref="C30" xml:space="preserve"> INDEX( tblFilterAll[Total social stock owned], PeersCritera[[#This Row],[Index]] )</f>
        <v>2134</v>
      </c>
      <c r="D30" s="219" cm="1">
        <f t="array" ref="D30" xml:space="preserve"> INDEX( tblFilterAll[% Supported housing (excl. HOP)], PeersCritera[[#This Row],[Index]] )</f>
        <v>2.9439252336448597E-2</v>
      </c>
      <c r="E30" s="220" cm="1">
        <f t="array" ref="E30" xml:space="preserve"> INDEX( tblFilterAll[% Housing for older people], PeersCritera[[#This Row],[Index]] )</f>
        <v>0.10700934579439253</v>
      </c>
      <c r="F30" s="220">
        <f xml:space="preserve"> PeersCritera[[#This Row],[% Supported housing (excl. HOP)]] + PeersCritera[[#This Row],[% Housing for older people]]</f>
        <v>0.13644859813084112</v>
      </c>
      <c r="G30" s="221">
        <f xml:space="preserve"> 1 - PeersCritera[[#This Row],[% Supported &amp; older people]]</f>
        <v>0.86355140186915891</v>
      </c>
      <c r="H30" s="222" t="str" cm="1">
        <f t="array" ref="H30" xml:space="preserve"> INDEX( tblFilterAll[Provider Type], PeersCritera[[#This Row],[Index]] )</f>
        <v>Traditional</v>
      </c>
      <c r="I30" s="223" t="str" cm="1">
        <f t="array" ref="I30" xml:space="preserve"> INDEX( tblFilterAll[LSVT age], PeersCritera[[#This Row],[Index]] )</f>
        <v/>
      </c>
      <c r="J30" s="219" cm="1">
        <f t="array" ref="J30" xml:space="preserve"> INDEX( tblFilterAll[London], PeersCritera[[#This Row],[Index]] )</f>
        <v>0</v>
      </c>
      <c r="K30" s="220" cm="1">
        <f t="array" ref="K30" xml:space="preserve"> INDEX( tblFilterAll[South East], PeersCritera[[#This Row],[Index]] )</f>
        <v>0</v>
      </c>
      <c r="L30" s="220" cm="1">
        <f t="array" ref="L30" xml:space="preserve"> INDEX( tblFilterAll[South West], PeersCritera[[#This Row],[Index]] )</f>
        <v>0</v>
      </c>
      <c r="M30" s="220" cm="1">
        <f t="array" ref="M30" xml:space="preserve"> INDEX( tblFilterAll[East Midlands], PeersCritera[[#This Row],[Index]] )</f>
        <v>0</v>
      </c>
      <c r="N30" s="220" cm="1">
        <f t="array" ref="N30" xml:space="preserve"> INDEX( tblFilterAll[West Midlands], PeersCritera[[#This Row],[Index]] )</f>
        <v>1</v>
      </c>
      <c r="O30" s="220" cm="1">
        <f t="array" ref="O30" xml:space="preserve"> INDEX( tblFilterAll[East of England], PeersCritera[[#This Row],[Index]] )</f>
        <v>0</v>
      </c>
      <c r="P30" s="220" cm="1">
        <f t="array" ref="P30" xml:space="preserve"> INDEX( tblFilterAll[North East], PeersCritera[[#This Row],[Index]] )</f>
        <v>0</v>
      </c>
      <c r="Q30" s="220" cm="1">
        <f t="array" ref="Q30" xml:space="preserve"> INDEX( tblFilterAll[North West], PeersCritera[[#This Row],[Index]] )</f>
        <v>0</v>
      </c>
      <c r="R30" s="220" cm="1">
        <f t="array" ref="R30" xml:space="preserve"> INDEX( tblFilterAll[Yorkshire &amp; the Humber], PeersCritera[[#This Row],[Index]] )</f>
        <v>0</v>
      </c>
      <c r="S30" s="224" t="str" cm="1">
        <f t="array" ref="S30" xml:space="preserve"> INDEX( tblFilterAll[Region with 50%+ of social stock owned], PeersCritera[[#This Row],[Index]] )</f>
        <v>West Midlands</v>
      </c>
      <c r="T30" s="229" cm="1">
        <f t="array" ref="T30" xml:space="preserve"> INDEX( tblFilterAll[Meets initial criteria], PeersCritera[[#This Row],[Index]] )</f>
        <v>1</v>
      </c>
      <c r="U30" s="241"/>
      <c r="V30" s="230">
        <f>IF( PeersCritera[[#This Row],[RP_Name]] = SelectedProvider, 1, IF( PeersCritera[[#This Row],[Override initial criteria]] = "Include", 1, IF( PeersCritera[[#This Row],[Override initial criteria]] = "Exclude", 0, PeersCritera[[#This Row],[Meets initial criteria]] ) ) )</f>
        <v>1</v>
      </c>
      <c r="W30" s="325">
        <f xml:space="preserve"> MATCH( PeersCritera[[#This Row],[RP_Name]], tblFilterAll[Provider name], 0 )</f>
        <v>15</v>
      </c>
      <c r="Y3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1" spans="2:25" x14ac:dyDescent="0.25">
      <c r="B31" s="327" t="s" vm="16">
        <v>177</v>
      </c>
      <c r="C31" s="218" cm="1" vm="2601">
        <f t="array" ref="C31" xml:space="preserve"> INDEX( tblFilterAll[Total social stock owned], PeersCritera[[#This Row],[Index]] )</f>
        <v>18912</v>
      </c>
      <c r="D31" s="219" cm="1">
        <f t="array" ref="D31" xml:space="preserve"> INDEX( tblFilterAll[% Supported housing (excl. HOP)], PeersCritera[[#This Row],[Index]] )</f>
        <v>5.9934231462819565E-3</v>
      </c>
      <c r="E31" s="220" cm="1">
        <f t="array" ref="E31" xml:space="preserve"> INDEX( tblFilterAll[% Housing for older people], PeersCritera[[#This Row],[Index]] )</f>
        <v>0.11779993635302853</v>
      </c>
      <c r="F31" s="220">
        <f xml:space="preserve"> PeersCritera[[#This Row],[% Supported housing (excl. HOP)]] + PeersCritera[[#This Row],[% Housing for older people]]</f>
        <v>0.12379335949931049</v>
      </c>
      <c r="G31" s="221">
        <f xml:space="preserve"> 1 - PeersCritera[[#This Row],[% Supported &amp; older people]]</f>
        <v>0.87620664050068953</v>
      </c>
      <c r="H31" s="222" t="str" cm="1">
        <f t="array" ref="H31" xml:space="preserve"> INDEX( tblFilterAll[Provider Type], PeersCritera[[#This Row],[Index]] )</f>
        <v>Traditional</v>
      </c>
      <c r="I31" s="223" t="str" cm="1">
        <f t="array" ref="I31" xml:space="preserve"> INDEX( tblFilterAll[LSVT age], PeersCritera[[#This Row],[Index]] )</f>
        <v>&gt;= 12 years</v>
      </c>
      <c r="J31" s="219" cm="1">
        <f t="array" ref="J31" xml:space="preserve"> INDEX( tblFilterAll[London], PeersCritera[[#This Row],[Index]] )</f>
        <v>0</v>
      </c>
      <c r="K31" s="220" cm="1">
        <f t="array" ref="K31" xml:space="preserve"> INDEX( tblFilterAll[South East], PeersCritera[[#This Row],[Index]] )</f>
        <v>0</v>
      </c>
      <c r="L31" s="220" cm="1">
        <f t="array" ref="L31" xml:space="preserve"> INDEX( tblFilterAll[South West], PeersCritera[[#This Row],[Index]] )</f>
        <v>0</v>
      </c>
      <c r="M31" s="220" cm="1">
        <f t="array" ref="M31" xml:space="preserve"> INDEX( tblFilterAll[East Midlands], PeersCritera[[#This Row],[Index]] )</f>
        <v>1.2713211145248438E-3</v>
      </c>
      <c r="N31" s="220" cm="1">
        <f t="array" ref="N31" xml:space="preserve"> INDEX( tblFilterAll[West Midlands], PeersCritera[[#This Row],[Index]] )</f>
        <v>0</v>
      </c>
      <c r="O31" s="220" cm="1">
        <f t="array" ref="O31" xml:space="preserve"> INDEX( tblFilterAll[East of England], PeersCritera[[#This Row],[Index]] )</f>
        <v>0</v>
      </c>
      <c r="P31" s="220" cm="1">
        <f t="array" ref="P31" xml:space="preserve"> INDEX( tblFilterAll[North East], PeersCritera[[#This Row],[Index]] )</f>
        <v>0</v>
      </c>
      <c r="Q31" s="220" cm="1">
        <f t="array" ref="Q31" xml:space="preserve"> INDEX( tblFilterAll[North West], PeersCritera[[#This Row],[Index]] )</f>
        <v>0.99872867888547512</v>
      </c>
      <c r="R31" s="220" cm="1">
        <f t="array" ref="R31" xml:space="preserve"> INDEX( tblFilterAll[Yorkshire &amp; the Humber], PeersCritera[[#This Row],[Index]] )</f>
        <v>0</v>
      </c>
      <c r="S31" s="224" t="str" cm="1">
        <f t="array" ref="S31" xml:space="preserve"> INDEX( tblFilterAll[Region with 50%+ of social stock owned], PeersCritera[[#This Row],[Index]] )</f>
        <v>North West</v>
      </c>
      <c r="T31" s="229" cm="1">
        <f t="array" ref="T31" xml:space="preserve"> INDEX( tblFilterAll[Meets initial criteria], PeersCritera[[#This Row],[Index]] )</f>
        <v>1</v>
      </c>
      <c r="U31" s="241"/>
      <c r="V31" s="230">
        <f>IF( PeersCritera[[#This Row],[RP_Name]] = SelectedProvider, 1, IF( PeersCritera[[#This Row],[Override initial criteria]] = "Include", 1, IF( PeersCritera[[#This Row],[Override initial criteria]] = "Exclude", 0, PeersCritera[[#This Row],[Meets initial criteria]] ) ) )</f>
        <v>1</v>
      </c>
      <c r="W31" s="325">
        <f xml:space="preserve"> MATCH( PeersCritera[[#This Row],[RP_Name]], tblFilterAll[Provider name], 0 )</f>
        <v>16</v>
      </c>
      <c r="Y3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2" spans="2:25" x14ac:dyDescent="0.25">
      <c r="B32" s="327" t="s" vm="17">
        <v>179</v>
      </c>
      <c r="C32" s="218" cm="1" vm="838">
        <f t="array" ref="C32" xml:space="preserve"> INDEX( tblFilterAll[Total social stock owned], PeersCritera[[#This Row],[Index]] )</f>
        <v>1309</v>
      </c>
      <c r="D32" s="219" cm="1">
        <f t="array" ref="D32" xml:space="preserve"> INDEX( tblFilterAll[% Supported housing (excl. HOP)], PeersCritera[[#This Row],[Index]] )</f>
        <v>0.53098039215686277</v>
      </c>
      <c r="E32" s="220" cm="1">
        <f t="array" ref="E32" xml:space="preserve"> INDEX( tblFilterAll[% Housing for older people], PeersCritera[[#This Row],[Index]] )</f>
        <v>0.04</v>
      </c>
      <c r="F32" s="220">
        <f xml:space="preserve"> PeersCritera[[#This Row],[% Supported housing (excl. HOP)]] + PeersCritera[[#This Row],[% Housing for older people]]</f>
        <v>0.5709803921568628</v>
      </c>
      <c r="G32" s="221">
        <f xml:space="preserve"> 1 - PeersCritera[[#This Row],[% Supported &amp; older people]]</f>
        <v>0.4290196078431372</v>
      </c>
      <c r="H32" s="222" t="str" cm="1">
        <f t="array" ref="H32" xml:space="preserve"> INDEX( tblFilterAll[Provider Type], PeersCritera[[#This Row],[Index]] )</f>
        <v>Traditional</v>
      </c>
      <c r="I32" s="223" t="str" cm="1">
        <f t="array" ref="I32" xml:space="preserve"> INDEX( tblFilterAll[LSVT age], PeersCritera[[#This Row],[Index]] )</f>
        <v/>
      </c>
      <c r="J32" s="219" cm="1">
        <f t="array" ref="J32" xml:space="preserve"> INDEX( tblFilterAll[London], PeersCritera[[#This Row],[Index]] )</f>
        <v>0</v>
      </c>
      <c r="K32" s="220" cm="1">
        <f t="array" ref="K32" xml:space="preserve"> INDEX( tblFilterAll[South East], PeersCritera[[#This Row],[Index]] )</f>
        <v>2.8688524590163935E-2</v>
      </c>
      <c r="L32" s="220" cm="1">
        <f t="array" ref="L32" xml:space="preserve"> INDEX( tblFilterAll[South West], PeersCritera[[#This Row],[Index]] )</f>
        <v>0.97131147540983609</v>
      </c>
      <c r="M32" s="220" cm="1">
        <f t="array" ref="M32" xml:space="preserve"> INDEX( tblFilterAll[East Midlands], PeersCritera[[#This Row],[Index]] )</f>
        <v>0</v>
      </c>
      <c r="N32" s="220" cm="1">
        <f t="array" ref="N32" xml:space="preserve"> INDEX( tblFilterAll[West Midlands], PeersCritera[[#This Row],[Index]] )</f>
        <v>0</v>
      </c>
      <c r="O32" s="220" cm="1">
        <f t="array" ref="O32" xml:space="preserve"> INDEX( tblFilterAll[East of England], PeersCritera[[#This Row],[Index]] )</f>
        <v>0</v>
      </c>
      <c r="P32" s="220" cm="1">
        <f t="array" ref="P32" xml:space="preserve"> INDEX( tblFilterAll[North East], PeersCritera[[#This Row],[Index]] )</f>
        <v>0</v>
      </c>
      <c r="Q32" s="220" cm="1">
        <f t="array" ref="Q32" xml:space="preserve"> INDEX( tblFilterAll[North West], PeersCritera[[#This Row],[Index]] )</f>
        <v>0</v>
      </c>
      <c r="R32" s="220" cm="1">
        <f t="array" ref="R32" xml:space="preserve"> INDEX( tblFilterAll[Yorkshire &amp; the Humber], PeersCritera[[#This Row],[Index]] )</f>
        <v>0</v>
      </c>
      <c r="S32" s="224" t="str" cm="1">
        <f t="array" ref="S32" xml:space="preserve"> INDEX( tblFilterAll[Region with 50%+ of social stock owned], PeersCritera[[#This Row],[Index]] )</f>
        <v>South West</v>
      </c>
      <c r="T32" s="229" cm="1">
        <f t="array" ref="T32" xml:space="preserve"> INDEX( tblFilterAll[Meets initial criteria], PeersCritera[[#This Row],[Index]] )</f>
        <v>1</v>
      </c>
      <c r="U32" s="241"/>
      <c r="V32" s="230">
        <f>IF( PeersCritera[[#This Row],[RP_Name]] = SelectedProvider, 1, IF( PeersCritera[[#This Row],[Override initial criteria]] = "Include", 1, IF( PeersCritera[[#This Row],[Override initial criteria]] = "Exclude", 0, PeersCritera[[#This Row],[Meets initial criteria]] ) ) )</f>
        <v>1</v>
      </c>
      <c r="W32" s="325">
        <f xml:space="preserve"> MATCH( PeersCritera[[#This Row],[RP_Name]], tblFilterAll[Provider name], 0 )</f>
        <v>17</v>
      </c>
      <c r="Y3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3" spans="2:25" x14ac:dyDescent="0.25">
      <c r="B33" s="327" t="s" vm="18">
        <v>181</v>
      </c>
      <c r="C33" s="218" cm="1" vm="4219">
        <f t="array" ref="C33" xml:space="preserve"> INDEX( tblFilterAll[Total social stock owned], PeersCritera[[#This Row],[Index]] )</f>
        <v>3720</v>
      </c>
      <c r="D33" s="219" cm="1">
        <f t="array" ref="D33" xml:space="preserve"> INDEX( tblFilterAll[% Supported housing (excl. HOP)], PeersCritera[[#This Row],[Index]] )</f>
        <v>2.4219590958019376E-3</v>
      </c>
      <c r="E33" s="220" cm="1">
        <f t="array" ref="E33" xml:space="preserve"> INDEX( tblFilterAll[% Housing for older people], PeersCritera[[#This Row],[Index]] )</f>
        <v>7.0505920344456408E-2</v>
      </c>
      <c r="F33" s="220">
        <f xml:space="preserve"> PeersCritera[[#This Row],[% Supported housing (excl. HOP)]] + PeersCritera[[#This Row],[% Housing for older people]]</f>
        <v>7.2927879440258345E-2</v>
      </c>
      <c r="G33" s="221">
        <f xml:space="preserve"> 1 - PeersCritera[[#This Row],[% Supported &amp; older people]]</f>
        <v>0.92707212055974164</v>
      </c>
      <c r="H33" s="222" t="str" cm="1">
        <f t="array" ref="H33" xml:space="preserve"> INDEX( tblFilterAll[Provider Type], PeersCritera[[#This Row],[Index]] )</f>
        <v>Traditional</v>
      </c>
      <c r="I33" s="223" t="str" cm="1">
        <f t="array" ref="I33" xml:space="preserve"> INDEX( tblFilterAll[LSVT age], PeersCritera[[#This Row],[Index]] )</f>
        <v/>
      </c>
      <c r="J33" s="219" cm="1">
        <f t="array" ref="J33" xml:space="preserve"> INDEX( tblFilterAll[London], PeersCritera[[#This Row],[Index]] )</f>
        <v>0</v>
      </c>
      <c r="K33" s="220" cm="1">
        <f t="array" ref="K33" xml:space="preserve"> INDEX( tblFilterAll[South East], PeersCritera[[#This Row],[Index]] )</f>
        <v>0</v>
      </c>
      <c r="L33" s="220" cm="1">
        <f t="array" ref="L33" xml:space="preserve"> INDEX( tblFilterAll[South West], PeersCritera[[#This Row],[Index]] )</f>
        <v>0</v>
      </c>
      <c r="M33" s="220" cm="1">
        <f t="array" ref="M33" xml:space="preserve"> INDEX( tblFilterAll[East Midlands], PeersCritera[[#This Row],[Index]] )</f>
        <v>0</v>
      </c>
      <c r="N33" s="220" cm="1">
        <f t="array" ref="N33" xml:space="preserve"> INDEX( tblFilterAll[West Midlands], PeersCritera[[#This Row],[Index]] )</f>
        <v>1</v>
      </c>
      <c r="O33" s="220" cm="1">
        <f t="array" ref="O33" xml:space="preserve"> INDEX( tblFilterAll[East of England], PeersCritera[[#This Row],[Index]] )</f>
        <v>0</v>
      </c>
      <c r="P33" s="220" cm="1">
        <f t="array" ref="P33" xml:space="preserve"> INDEX( tblFilterAll[North East], PeersCritera[[#This Row],[Index]] )</f>
        <v>0</v>
      </c>
      <c r="Q33" s="220" cm="1">
        <f t="array" ref="Q33" xml:space="preserve"> INDEX( tblFilterAll[North West], PeersCritera[[#This Row],[Index]] )</f>
        <v>0</v>
      </c>
      <c r="R33" s="220" cm="1">
        <f t="array" ref="R33" xml:space="preserve"> INDEX( tblFilterAll[Yorkshire &amp; the Humber], PeersCritera[[#This Row],[Index]] )</f>
        <v>0</v>
      </c>
      <c r="S33" s="224" t="str" cm="1">
        <f t="array" ref="S33" xml:space="preserve"> INDEX( tblFilterAll[Region with 50%+ of social stock owned], PeersCritera[[#This Row],[Index]] )</f>
        <v>West Midlands</v>
      </c>
      <c r="T33" s="229" cm="1">
        <f t="array" ref="T33" xml:space="preserve"> INDEX( tblFilterAll[Meets initial criteria], PeersCritera[[#This Row],[Index]] )</f>
        <v>1</v>
      </c>
      <c r="U33" s="241"/>
      <c r="V33" s="230">
        <f>IF( PeersCritera[[#This Row],[RP_Name]] = SelectedProvider, 1, IF( PeersCritera[[#This Row],[Override initial criteria]] = "Include", 1, IF( PeersCritera[[#This Row],[Override initial criteria]] = "Exclude", 0, PeersCritera[[#This Row],[Meets initial criteria]] ) ) )</f>
        <v>1</v>
      </c>
      <c r="W33" s="325">
        <f xml:space="preserve"> MATCH( PeersCritera[[#This Row],[RP_Name]], tblFilterAll[Provider name], 0 )</f>
        <v>18</v>
      </c>
      <c r="Y3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4" spans="2:25" x14ac:dyDescent="0.25">
      <c r="B34" s="327" t="s" vm="19">
        <v>183</v>
      </c>
      <c r="C34" s="218" cm="1" vm="3145">
        <f t="array" ref="C34" xml:space="preserve"> INDEX( tblFilterAll[Total social stock owned], PeersCritera[[#This Row],[Index]] )</f>
        <v>17363</v>
      </c>
      <c r="D34" s="219" cm="1">
        <f t="array" ref="D34" xml:space="preserve"> INDEX( tblFilterAll[% Supported housing (excl. HOP)], PeersCritera[[#This Row],[Index]] )</f>
        <v>1.1210117849956885E-2</v>
      </c>
      <c r="E34" s="220" cm="1">
        <f t="array" ref="E34" xml:space="preserve"> INDEX( tblFilterAll[% Housing for older people], PeersCritera[[#This Row],[Index]] )</f>
        <v>5.8005173900546131E-2</v>
      </c>
      <c r="F34" s="220">
        <f xml:space="preserve"> PeersCritera[[#This Row],[% Supported housing (excl. HOP)]] + PeersCritera[[#This Row],[% Housing for older people]]</f>
        <v>6.9215291750503019E-2</v>
      </c>
      <c r="G34" s="221">
        <f xml:space="preserve"> 1 - PeersCritera[[#This Row],[% Supported &amp; older people]]</f>
        <v>0.93078470824949699</v>
      </c>
      <c r="H34" s="222" t="str" cm="1">
        <f t="array" ref="H34" xml:space="preserve"> INDEX( tblFilterAll[Provider Type], PeersCritera[[#This Row],[Index]] )</f>
        <v>Traditional</v>
      </c>
      <c r="I34" s="223" t="str" cm="1">
        <f t="array" ref="I34" xml:space="preserve"> INDEX( tblFilterAll[LSVT age], PeersCritera[[#This Row],[Index]] )</f>
        <v/>
      </c>
      <c r="J34" s="219" cm="1">
        <f t="array" ref="J34" xml:space="preserve"> INDEX( tblFilterAll[London], PeersCritera[[#This Row],[Index]] )</f>
        <v>0</v>
      </c>
      <c r="K34" s="220" cm="1">
        <f t="array" ref="K34" xml:space="preserve"> INDEX( tblFilterAll[South East], PeersCritera[[#This Row],[Index]] )</f>
        <v>0.11513653625896679</v>
      </c>
      <c r="L34" s="220" cm="1">
        <f t="array" ref="L34" xml:space="preserve"> INDEX( tblFilterAll[South West], PeersCritera[[#This Row],[Index]] )</f>
        <v>2.7126409066248721E-3</v>
      </c>
      <c r="M34" s="220" cm="1">
        <f t="array" ref="M34" xml:space="preserve"> INDEX( tblFilterAll[East Midlands], PeersCritera[[#This Row],[Index]] )</f>
        <v>6.8659955392127311E-2</v>
      </c>
      <c r="N34" s="220" cm="1">
        <f t="array" ref="N34" xml:space="preserve"> INDEX( tblFilterAll[West Midlands], PeersCritera[[#This Row],[Index]] )</f>
        <v>6.0280909036108268E-5</v>
      </c>
      <c r="O34" s="220" cm="1">
        <f t="array" ref="O34" xml:space="preserve"> INDEX( tblFilterAll[East of England], PeersCritera[[#This Row],[Index]] )</f>
        <v>0.81337030562420887</v>
      </c>
      <c r="P34" s="220" cm="1">
        <f t="array" ref="P34" xml:space="preserve"> INDEX( tblFilterAll[North East], PeersCritera[[#This Row],[Index]] )</f>
        <v>0</v>
      </c>
      <c r="Q34" s="220" cm="1">
        <f t="array" ref="Q34" xml:space="preserve"> INDEX( tblFilterAll[North West], PeersCritera[[#This Row],[Index]] )</f>
        <v>0</v>
      </c>
      <c r="R34" s="220" cm="1">
        <f t="array" ref="R34" xml:space="preserve"> INDEX( tblFilterAll[Yorkshire &amp; the Humber], PeersCritera[[#This Row],[Index]] )</f>
        <v>6.0280909036108268E-5</v>
      </c>
      <c r="S34" s="224" t="str" cm="1">
        <f t="array" ref="S34" xml:space="preserve"> INDEX( tblFilterAll[Region with 50%+ of social stock owned], PeersCritera[[#This Row],[Index]] )</f>
        <v>East of England</v>
      </c>
      <c r="T34" s="229" cm="1">
        <f t="array" ref="T34" xml:space="preserve"> INDEX( tblFilterAll[Meets initial criteria], PeersCritera[[#This Row],[Index]] )</f>
        <v>1</v>
      </c>
      <c r="U34" s="241"/>
      <c r="V34" s="230">
        <f>IF( PeersCritera[[#This Row],[RP_Name]] = SelectedProvider, 1, IF( PeersCritera[[#This Row],[Override initial criteria]] = "Include", 1, IF( PeersCritera[[#This Row],[Override initial criteria]] = "Exclude", 0, PeersCritera[[#This Row],[Meets initial criteria]] ) ) )</f>
        <v>1</v>
      </c>
      <c r="W34" s="325">
        <f xml:space="preserve"> MATCH( PeersCritera[[#This Row],[RP_Name]], tblFilterAll[Provider name], 0 )</f>
        <v>19</v>
      </c>
      <c r="Y3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5" spans="2:25" x14ac:dyDescent="0.25">
      <c r="B35" s="327" t="s" vm="20">
        <v>185</v>
      </c>
      <c r="C35" s="218" cm="1" vm="4184">
        <f t="array" ref="C35" xml:space="preserve"> INDEX( tblFilterAll[Total social stock owned], PeersCritera[[#This Row],[Index]] )</f>
        <v>3195</v>
      </c>
      <c r="D35" s="219" cm="1">
        <f t="array" ref="D35" xml:space="preserve"> INDEX( tblFilterAll[% Supported housing (excl. HOP)], PeersCritera[[#This Row],[Index]] )</f>
        <v>5.284680717206669E-2</v>
      </c>
      <c r="E35" s="220" cm="1">
        <f t="array" ref="E35" xml:space="preserve"> INDEX( tblFilterAll[% Housing for older people], PeersCritera[[#This Row],[Index]] )</f>
        <v>1.1953444479396037E-2</v>
      </c>
      <c r="F35" s="220">
        <f xml:space="preserve"> PeersCritera[[#This Row],[% Supported housing (excl. HOP)]] + PeersCritera[[#This Row],[% Housing for older people]]</f>
        <v>6.480025165146272E-2</v>
      </c>
      <c r="G35" s="221">
        <f xml:space="preserve"> 1 - PeersCritera[[#This Row],[% Supported &amp; older people]]</f>
        <v>0.93519974834853725</v>
      </c>
      <c r="H35" s="222" t="str" cm="1">
        <f t="array" ref="H35" xml:space="preserve"> INDEX( tblFilterAll[Provider Type], PeersCritera[[#This Row],[Index]] )</f>
        <v>Traditional</v>
      </c>
      <c r="I35" s="223" t="str" cm="1">
        <f t="array" ref="I35" xml:space="preserve"> INDEX( tblFilterAll[LSVT age], PeersCritera[[#This Row],[Index]] )</f>
        <v/>
      </c>
      <c r="J35" s="219" cm="1">
        <f t="array" ref="J35" xml:space="preserve"> INDEX( tblFilterAll[London], PeersCritera[[#This Row],[Index]] )</f>
        <v>0</v>
      </c>
      <c r="K35" s="220" cm="1">
        <f t="array" ref="K35" xml:space="preserve"> INDEX( tblFilterAll[South East], PeersCritera[[#This Row],[Index]] )</f>
        <v>0</v>
      </c>
      <c r="L35" s="220" cm="1">
        <f t="array" ref="L35" xml:space="preserve"> INDEX( tblFilterAll[South West], PeersCritera[[#This Row],[Index]] )</f>
        <v>1</v>
      </c>
      <c r="M35" s="220" cm="1">
        <f t="array" ref="M35" xml:space="preserve"> INDEX( tblFilterAll[East Midlands], PeersCritera[[#This Row],[Index]] )</f>
        <v>0</v>
      </c>
      <c r="N35" s="220" cm="1">
        <f t="array" ref="N35" xml:space="preserve"> INDEX( tblFilterAll[West Midlands], PeersCritera[[#This Row],[Index]] )</f>
        <v>0</v>
      </c>
      <c r="O35" s="220" cm="1">
        <f t="array" ref="O35" xml:space="preserve"> INDEX( tblFilterAll[East of England], PeersCritera[[#This Row],[Index]] )</f>
        <v>0</v>
      </c>
      <c r="P35" s="220" cm="1">
        <f t="array" ref="P35" xml:space="preserve"> INDEX( tblFilterAll[North East], PeersCritera[[#This Row],[Index]] )</f>
        <v>0</v>
      </c>
      <c r="Q35" s="220" cm="1">
        <f t="array" ref="Q35" xml:space="preserve"> INDEX( tblFilterAll[North West], PeersCritera[[#This Row],[Index]] )</f>
        <v>0</v>
      </c>
      <c r="R35" s="220" cm="1">
        <f t="array" ref="R35" xml:space="preserve"> INDEX( tblFilterAll[Yorkshire &amp; the Humber], PeersCritera[[#This Row],[Index]] )</f>
        <v>0</v>
      </c>
      <c r="S35" s="224" t="str" cm="1">
        <f t="array" ref="S35" xml:space="preserve"> INDEX( tblFilterAll[Region with 50%+ of social stock owned], PeersCritera[[#This Row],[Index]] )</f>
        <v>South West</v>
      </c>
      <c r="T35" s="229" cm="1">
        <f t="array" ref="T35" xml:space="preserve"> INDEX( tblFilterAll[Meets initial criteria], PeersCritera[[#This Row],[Index]] )</f>
        <v>1</v>
      </c>
      <c r="U35" s="241"/>
      <c r="V35" s="230">
        <f>IF( PeersCritera[[#This Row],[RP_Name]] = SelectedProvider, 1, IF( PeersCritera[[#This Row],[Override initial criteria]] = "Include", 1, IF( PeersCritera[[#This Row],[Override initial criteria]] = "Exclude", 0, PeersCritera[[#This Row],[Meets initial criteria]] ) ) )</f>
        <v>1</v>
      </c>
      <c r="W35" s="325">
        <f xml:space="preserve"> MATCH( PeersCritera[[#This Row],[RP_Name]], tblFilterAll[Provider name], 0 )</f>
        <v>20</v>
      </c>
      <c r="Y3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6" spans="2:25" x14ac:dyDescent="0.25">
      <c r="B36" s="327" t="s" vm="21">
        <v>187</v>
      </c>
      <c r="C36" s="218" cm="1" vm="7248">
        <f t="array" ref="C36" xml:space="preserve"> INDEX( tblFilterAll[Total social stock owned], PeersCritera[[#This Row],[Index]] )</f>
        <v>6656</v>
      </c>
      <c r="D36" s="219" cm="1">
        <f t="array" ref="D36" xml:space="preserve"> INDEX( tblFilterAll[% Supported housing (excl. HOP)], PeersCritera[[#This Row],[Index]] )</f>
        <v>3.896103896103896E-2</v>
      </c>
      <c r="E36" s="220" cm="1">
        <f t="array" ref="E36" xml:space="preserve"> INDEX( tblFilterAll[% Housing for older people], PeersCritera[[#This Row],[Index]] )</f>
        <v>0</v>
      </c>
      <c r="F36" s="220">
        <f xml:space="preserve"> PeersCritera[[#This Row],[% Supported housing (excl. HOP)]] + PeersCritera[[#This Row],[% Housing for older people]]</f>
        <v>3.896103896103896E-2</v>
      </c>
      <c r="G36" s="221">
        <f xml:space="preserve"> 1 - PeersCritera[[#This Row],[% Supported &amp; older people]]</f>
        <v>0.96103896103896103</v>
      </c>
      <c r="H36" s="222" t="str" cm="1">
        <f t="array" ref="H36" xml:space="preserve"> INDEX( tblFilterAll[Provider Type], PeersCritera[[#This Row],[Index]] )</f>
        <v>Traditional</v>
      </c>
      <c r="I36" s="223" t="str" cm="1">
        <f t="array" ref="I36" xml:space="preserve"> INDEX( tblFilterAll[LSVT age], PeersCritera[[#This Row],[Index]] )</f>
        <v>&gt;= 12 years</v>
      </c>
      <c r="J36" s="219" cm="1">
        <f t="array" ref="J36" xml:space="preserve"> INDEX( tblFilterAll[London], PeersCritera[[#This Row],[Index]] )</f>
        <v>0</v>
      </c>
      <c r="K36" s="220" cm="1">
        <f t="array" ref="K36" xml:space="preserve"> INDEX( tblFilterAll[South East], PeersCritera[[#This Row],[Index]] )</f>
        <v>0</v>
      </c>
      <c r="L36" s="220" cm="1">
        <f t="array" ref="L36" xml:space="preserve"> INDEX( tblFilterAll[South West], PeersCritera[[#This Row],[Index]] )</f>
        <v>0</v>
      </c>
      <c r="M36" s="220" cm="1">
        <f t="array" ref="M36" xml:space="preserve"> INDEX( tblFilterAll[East Midlands], PeersCritera[[#This Row],[Index]] )</f>
        <v>0</v>
      </c>
      <c r="N36" s="220" cm="1">
        <f t="array" ref="N36" xml:space="preserve"> INDEX( tblFilterAll[West Midlands], PeersCritera[[#This Row],[Index]] )</f>
        <v>0</v>
      </c>
      <c r="O36" s="220" cm="1">
        <f t="array" ref="O36" xml:space="preserve"> INDEX( tblFilterAll[East of England], PeersCritera[[#This Row],[Index]] )</f>
        <v>0</v>
      </c>
      <c r="P36" s="220" cm="1">
        <f t="array" ref="P36" xml:space="preserve"> INDEX( tblFilterAll[North East], PeersCritera[[#This Row],[Index]] )</f>
        <v>4.9586776859504135E-3</v>
      </c>
      <c r="Q36" s="220" cm="1">
        <f t="array" ref="Q36" xml:space="preserve"> INDEX( tblFilterAll[North West], PeersCritera[[#This Row],[Index]] )</f>
        <v>0</v>
      </c>
      <c r="R36" s="220" cm="1">
        <f t="array" ref="R36" xml:space="preserve"> INDEX( tblFilterAll[Yorkshire &amp; the Humber], PeersCritera[[#This Row],[Index]] )</f>
        <v>0.99504132231404963</v>
      </c>
      <c r="S36" s="224" t="str" cm="1">
        <f t="array" ref="S36" xml:space="preserve"> INDEX( tblFilterAll[Region with 50%+ of social stock owned], PeersCritera[[#This Row],[Index]] )</f>
        <v>Yorkshire &amp; the Humber</v>
      </c>
      <c r="T36" s="229" cm="1">
        <f t="array" ref="T36" xml:space="preserve"> INDEX( tblFilterAll[Meets initial criteria], PeersCritera[[#This Row],[Index]] )</f>
        <v>1</v>
      </c>
      <c r="U36" s="241"/>
      <c r="V36" s="230">
        <f>IF( PeersCritera[[#This Row],[RP_Name]] = SelectedProvider, 1, IF( PeersCritera[[#This Row],[Override initial criteria]] = "Include", 1, IF( PeersCritera[[#This Row],[Override initial criteria]] = "Exclude", 0, PeersCritera[[#This Row],[Meets initial criteria]] ) ) )</f>
        <v>1</v>
      </c>
      <c r="W36" s="325">
        <f xml:space="preserve"> MATCH( PeersCritera[[#This Row],[RP_Name]], tblFilterAll[Provider name], 0 )</f>
        <v>21</v>
      </c>
      <c r="Y3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7" spans="2:25" x14ac:dyDescent="0.25">
      <c r="B37" s="327" t="s" vm="22">
        <v>189</v>
      </c>
      <c r="C37" s="218" cm="1" vm="6624">
        <f t="array" ref="C37" xml:space="preserve"> INDEX( tblFilterAll[Total social stock owned], PeersCritera[[#This Row],[Index]] )</f>
        <v>5548</v>
      </c>
      <c r="D37" s="219" cm="1">
        <f t="array" ref="D37" xml:space="preserve"> INDEX( tblFilterAll[% Supported housing (excl. HOP)], PeersCritera[[#This Row],[Index]] )</f>
        <v>2.6918879592579121E-2</v>
      </c>
      <c r="E37" s="220" cm="1">
        <f t="array" ref="E37" xml:space="preserve"> INDEX( tblFilterAll[% Housing for older people], PeersCritera[[#This Row],[Index]] )</f>
        <v>0.10894870862131684</v>
      </c>
      <c r="F37" s="220">
        <f xml:space="preserve"> PeersCritera[[#This Row],[% Supported housing (excl. HOP)]] + PeersCritera[[#This Row],[% Housing for older people]]</f>
        <v>0.13586758821389597</v>
      </c>
      <c r="G37" s="221">
        <f xml:space="preserve"> 1 - PeersCritera[[#This Row],[% Supported &amp; older people]]</f>
        <v>0.864132411786104</v>
      </c>
      <c r="H37" s="222" t="str" cm="1">
        <f t="array" ref="H37" xml:space="preserve"> INDEX( tblFilterAll[Provider Type], PeersCritera[[#This Row],[Index]] )</f>
        <v>Traditional</v>
      </c>
      <c r="I37" s="223" t="str" cm="1">
        <f t="array" ref="I37" xml:space="preserve"> INDEX( tblFilterAll[LSVT age], PeersCritera[[#This Row],[Index]] )</f>
        <v/>
      </c>
      <c r="J37" s="219" cm="1">
        <f t="array" ref="J37" xml:space="preserve"> INDEX( tblFilterAll[London], PeersCritera[[#This Row],[Index]] )</f>
        <v>0</v>
      </c>
      <c r="K37" s="220" cm="1">
        <f t="array" ref="K37" xml:space="preserve"> INDEX( tblFilterAll[South East], PeersCritera[[#This Row],[Index]] )</f>
        <v>0</v>
      </c>
      <c r="L37" s="220" cm="1">
        <f t="array" ref="L37" xml:space="preserve"> INDEX( tblFilterAll[South West], PeersCritera[[#This Row],[Index]] )</f>
        <v>0</v>
      </c>
      <c r="M37" s="220" cm="1">
        <f t="array" ref="M37" xml:space="preserve"> INDEX( tblFilterAll[East Midlands], PeersCritera[[#This Row],[Index]] )</f>
        <v>0</v>
      </c>
      <c r="N37" s="220" cm="1">
        <f t="array" ref="N37" xml:space="preserve"> INDEX( tblFilterAll[West Midlands], PeersCritera[[#This Row],[Index]] )</f>
        <v>0</v>
      </c>
      <c r="O37" s="220" cm="1">
        <f t="array" ref="O37" xml:space="preserve"> INDEX( tblFilterAll[East of England], PeersCritera[[#This Row],[Index]] )</f>
        <v>1</v>
      </c>
      <c r="P37" s="220" cm="1">
        <f t="array" ref="P37" xml:space="preserve"> INDEX( tblFilterAll[North East], PeersCritera[[#This Row],[Index]] )</f>
        <v>0</v>
      </c>
      <c r="Q37" s="220" cm="1">
        <f t="array" ref="Q37" xml:space="preserve"> INDEX( tblFilterAll[North West], PeersCritera[[#This Row],[Index]] )</f>
        <v>0</v>
      </c>
      <c r="R37" s="220" cm="1">
        <f t="array" ref="R37" xml:space="preserve"> INDEX( tblFilterAll[Yorkshire &amp; the Humber], PeersCritera[[#This Row],[Index]] )</f>
        <v>0</v>
      </c>
      <c r="S37" s="224" t="str" cm="1">
        <f t="array" ref="S37" xml:space="preserve"> INDEX( tblFilterAll[Region with 50%+ of social stock owned], PeersCritera[[#This Row],[Index]] )</f>
        <v>East of England</v>
      </c>
      <c r="T37" s="229" cm="1">
        <f t="array" ref="T37" xml:space="preserve"> INDEX( tblFilterAll[Meets initial criteria], PeersCritera[[#This Row],[Index]] )</f>
        <v>1</v>
      </c>
      <c r="U37" s="241"/>
      <c r="V37" s="230">
        <f>IF( PeersCritera[[#This Row],[RP_Name]] = SelectedProvider, 1, IF( PeersCritera[[#This Row],[Override initial criteria]] = "Include", 1, IF( PeersCritera[[#This Row],[Override initial criteria]] = "Exclude", 0, PeersCritera[[#This Row],[Meets initial criteria]] ) ) )</f>
        <v>1</v>
      </c>
      <c r="W37" s="325">
        <f xml:space="preserve"> MATCH( PeersCritera[[#This Row],[RP_Name]], tblFilterAll[Provider name], 0 )</f>
        <v>22</v>
      </c>
      <c r="Y3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8" spans="2:25" x14ac:dyDescent="0.25">
      <c r="B38" s="327" t="s" vm="23">
        <v>191</v>
      </c>
      <c r="C38" s="218" cm="1" vm="2114">
        <f t="array" ref="C38" xml:space="preserve"> INDEX( tblFilterAll[Total social stock owned], PeersCritera[[#This Row],[Index]] )</f>
        <v>42808</v>
      </c>
      <c r="D38" s="219" cm="1">
        <f t="array" ref="D38" xml:space="preserve"> INDEX( tblFilterAll[% Supported housing (excl. HOP)], PeersCritera[[#This Row],[Index]] )</f>
        <v>1.9520789288231147E-2</v>
      </c>
      <c r="E38" s="220" cm="1">
        <f t="array" ref="E38" xml:space="preserve"> INDEX( tblFilterAll[% Housing for older people], PeersCritera[[#This Row],[Index]] )</f>
        <v>6.0018792576932115E-2</v>
      </c>
      <c r="F38" s="220">
        <f xml:space="preserve"> PeersCritera[[#This Row],[% Supported housing (excl. HOP)]] + PeersCritera[[#This Row],[% Housing for older people]]</f>
        <v>7.9539581865163259E-2</v>
      </c>
      <c r="G38" s="221">
        <f xml:space="preserve"> 1 - PeersCritera[[#This Row],[% Supported &amp; older people]]</f>
        <v>0.9204604181348367</v>
      </c>
      <c r="H38" s="222" t="str" cm="1">
        <f t="array" ref="H38" xml:space="preserve"> INDEX( tblFilterAll[Provider Type], PeersCritera[[#This Row],[Index]] )</f>
        <v>Traditional</v>
      </c>
      <c r="I38" s="223" t="str" cm="1">
        <f t="array" ref="I38" xml:space="preserve"> INDEX( tblFilterAll[LSVT age], PeersCritera[[#This Row],[Index]] )</f>
        <v/>
      </c>
      <c r="J38" s="219" cm="1">
        <f t="array" ref="J38" xml:space="preserve"> INDEX( tblFilterAll[London], PeersCritera[[#This Row],[Index]] )</f>
        <v>0</v>
      </c>
      <c r="K38" s="220" cm="1">
        <f t="array" ref="K38" xml:space="preserve"> INDEX( tblFilterAll[South East], PeersCritera[[#This Row],[Index]] )</f>
        <v>3.6137801734239514E-2</v>
      </c>
      <c r="L38" s="220" cm="1">
        <f t="array" ref="L38" xml:space="preserve"> INDEX( tblFilterAll[South West], PeersCritera[[#This Row],[Index]] )</f>
        <v>0.47932973986407312</v>
      </c>
      <c r="M38" s="220" cm="1">
        <f t="array" ref="M38" xml:space="preserve"> INDEX( tblFilterAll[East Midlands], PeersCritera[[#This Row],[Index]] )</f>
        <v>2.3505976095617529E-2</v>
      </c>
      <c r="N38" s="220" cm="1">
        <f t="array" ref="N38" xml:space="preserve"> INDEX( tblFilterAll[West Midlands], PeersCritera[[#This Row],[Index]] )</f>
        <v>0.46102648230606985</v>
      </c>
      <c r="O38" s="220" cm="1">
        <f t="array" ref="O38" xml:space="preserve"> INDEX( tblFilterAll[East of England], PeersCritera[[#This Row],[Index]] )</f>
        <v>0</v>
      </c>
      <c r="P38" s="220" cm="1">
        <f t="array" ref="P38" xml:space="preserve"> INDEX( tblFilterAll[North East], PeersCritera[[#This Row],[Index]] )</f>
        <v>0</v>
      </c>
      <c r="Q38" s="220" cm="1">
        <f t="array" ref="Q38" xml:space="preserve"> INDEX( tblFilterAll[North West], PeersCritera[[#This Row],[Index]] )</f>
        <v>0</v>
      </c>
      <c r="R38" s="220" cm="1">
        <f t="array" ref="R38" xml:space="preserve"> INDEX( tblFilterAll[Yorkshire &amp; the Humber], PeersCritera[[#This Row],[Index]] )</f>
        <v>0</v>
      </c>
      <c r="S38" s="224" t="str" cm="1">
        <f t="array" ref="S38" xml:space="preserve"> INDEX( tblFilterAll[Region with 50%+ of social stock owned], PeersCritera[[#This Row],[Index]] )</f>
        <v>Mixed</v>
      </c>
      <c r="T38" s="229" cm="1">
        <f t="array" ref="T38" xml:space="preserve"> INDEX( tblFilterAll[Meets initial criteria], PeersCritera[[#This Row],[Index]] )</f>
        <v>1</v>
      </c>
      <c r="U38" s="241"/>
      <c r="V38" s="230">
        <f>IF( PeersCritera[[#This Row],[RP_Name]] = SelectedProvider, 1, IF( PeersCritera[[#This Row],[Override initial criteria]] = "Include", 1, IF( PeersCritera[[#This Row],[Override initial criteria]] = "Exclude", 0, PeersCritera[[#This Row],[Meets initial criteria]] ) ) )</f>
        <v>1</v>
      </c>
      <c r="W38" s="325">
        <f xml:space="preserve"> MATCH( PeersCritera[[#This Row],[RP_Name]], tblFilterAll[Provider name], 0 )</f>
        <v>23</v>
      </c>
      <c r="Y3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39" spans="2:25" x14ac:dyDescent="0.25">
      <c r="B39" s="327" t="s" vm="24">
        <v>193</v>
      </c>
      <c r="C39" s="218" cm="1" vm="4145">
        <f t="array" ref="C39" xml:space="preserve"> INDEX( tblFilterAll[Total social stock owned], PeersCritera[[#This Row],[Index]] )</f>
        <v>4072</v>
      </c>
      <c r="D39" s="219" cm="1">
        <f t="array" ref="D39" xml:space="preserve"> INDEX( tblFilterAll[% Supported housing (excl. HOP)], PeersCritera[[#This Row],[Index]] )</f>
        <v>7.5150300601202404E-4</v>
      </c>
      <c r="E39" s="220" cm="1">
        <f t="array" ref="E39" xml:space="preserve"> INDEX( tblFilterAll[% Housing for older people], PeersCritera[[#This Row],[Index]] )</f>
        <v>0.22870741482965931</v>
      </c>
      <c r="F39" s="220">
        <f xml:space="preserve"> PeersCritera[[#This Row],[% Supported housing (excl. HOP)]] + PeersCritera[[#This Row],[% Housing for older people]]</f>
        <v>0.22945891783567132</v>
      </c>
      <c r="G39" s="221">
        <f xml:space="preserve"> 1 - PeersCritera[[#This Row],[% Supported &amp; older people]]</f>
        <v>0.77054108216432871</v>
      </c>
      <c r="H39" s="222" t="str" cm="1">
        <f t="array" ref="H39" xml:space="preserve"> INDEX( tblFilterAll[Provider Type], PeersCritera[[#This Row],[Index]] )</f>
        <v>Traditional</v>
      </c>
      <c r="I39" s="223" t="str" cm="1">
        <f t="array" ref="I39" xml:space="preserve"> INDEX( tblFilterAll[LSVT age], PeersCritera[[#This Row],[Index]] )</f>
        <v>&gt;= 12 years</v>
      </c>
      <c r="J39" s="219" cm="1">
        <f t="array" ref="J39" xml:space="preserve"> INDEX( tblFilterAll[London], PeersCritera[[#This Row],[Index]] )</f>
        <v>0</v>
      </c>
      <c r="K39" s="220" cm="1">
        <f t="array" ref="K39" xml:space="preserve"> INDEX( tblFilterAll[South East], PeersCritera[[#This Row],[Index]] )</f>
        <v>0</v>
      </c>
      <c r="L39" s="220" cm="1">
        <f t="array" ref="L39" xml:space="preserve"> INDEX( tblFilterAll[South West], PeersCritera[[#This Row],[Index]] )</f>
        <v>0</v>
      </c>
      <c r="M39" s="220" cm="1">
        <f t="array" ref="M39" xml:space="preserve"> INDEX( tblFilterAll[East Midlands], PeersCritera[[#This Row],[Index]] )</f>
        <v>0</v>
      </c>
      <c r="N39" s="220" cm="1">
        <f t="array" ref="N39" xml:space="preserve"> INDEX( tblFilterAll[West Midlands], PeersCritera[[#This Row],[Index]] )</f>
        <v>1</v>
      </c>
      <c r="O39" s="220" cm="1">
        <f t="array" ref="O39" xml:space="preserve"> INDEX( tblFilterAll[East of England], PeersCritera[[#This Row],[Index]] )</f>
        <v>0</v>
      </c>
      <c r="P39" s="220" cm="1">
        <f t="array" ref="P39" xml:space="preserve"> INDEX( tblFilterAll[North East], PeersCritera[[#This Row],[Index]] )</f>
        <v>0</v>
      </c>
      <c r="Q39" s="220" cm="1">
        <f t="array" ref="Q39" xml:space="preserve"> INDEX( tblFilterAll[North West], PeersCritera[[#This Row],[Index]] )</f>
        <v>0</v>
      </c>
      <c r="R39" s="220" cm="1">
        <f t="array" ref="R39" xml:space="preserve"> INDEX( tblFilterAll[Yorkshire &amp; the Humber], PeersCritera[[#This Row],[Index]] )</f>
        <v>0</v>
      </c>
      <c r="S39" s="224" t="str" cm="1">
        <f t="array" ref="S39" xml:space="preserve"> INDEX( tblFilterAll[Region with 50%+ of social stock owned], PeersCritera[[#This Row],[Index]] )</f>
        <v>West Midlands</v>
      </c>
      <c r="T39" s="229" cm="1">
        <f t="array" ref="T39" xml:space="preserve"> INDEX( tblFilterAll[Meets initial criteria], PeersCritera[[#This Row],[Index]] )</f>
        <v>1</v>
      </c>
      <c r="U39" s="241"/>
      <c r="V39" s="230">
        <f>IF( PeersCritera[[#This Row],[RP_Name]] = SelectedProvider, 1, IF( PeersCritera[[#This Row],[Override initial criteria]] = "Include", 1, IF( PeersCritera[[#This Row],[Override initial criteria]] = "Exclude", 0, PeersCritera[[#This Row],[Meets initial criteria]] ) ) )</f>
        <v>1</v>
      </c>
      <c r="W39" s="325">
        <f xml:space="preserve"> MATCH( PeersCritera[[#This Row],[RP_Name]], tblFilterAll[Provider name], 0 )</f>
        <v>24</v>
      </c>
      <c r="Y3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0" spans="2:25" x14ac:dyDescent="0.25">
      <c r="B40" s="327" t="s" vm="25">
        <v>195</v>
      </c>
      <c r="C40" s="218" cm="1" vm="8906">
        <f t="array" ref="C40" xml:space="preserve"> INDEX( tblFilterAll[Total social stock owned], PeersCritera[[#This Row],[Index]] )</f>
        <v>1128</v>
      </c>
      <c r="D40" s="219" cm="1">
        <f t="array" ref="D40" xml:space="preserve"> INDEX( tblFilterAll[% Supported housing (excl. HOP)], PeersCritera[[#This Row],[Index]] )</f>
        <v>0.97539543057996481</v>
      </c>
      <c r="E40" s="220" cm="1">
        <f t="array" ref="E40" xml:space="preserve"> INDEX( tblFilterAll[% Housing for older people], PeersCritera[[#This Row],[Index]] )</f>
        <v>0</v>
      </c>
      <c r="F40" s="220">
        <f xml:space="preserve"> PeersCritera[[#This Row],[% Supported housing (excl. HOP)]] + PeersCritera[[#This Row],[% Housing for older people]]</f>
        <v>0.97539543057996481</v>
      </c>
      <c r="G40" s="221">
        <f xml:space="preserve"> 1 - PeersCritera[[#This Row],[% Supported &amp; older people]]</f>
        <v>2.4604569420035194E-2</v>
      </c>
      <c r="H40" s="222" t="str" cm="1">
        <f t="array" ref="H40" xml:space="preserve"> INDEX( tblFilterAll[Provider Type], PeersCritera[[#This Row],[Index]] )</f>
        <v>Traditional</v>
      </c>
      <c r="I40" s="223" t="str" cm="1">
        <f t="array" ref="I40" xml:space="preserve"> INDEX( tblFilterAll[LSVT age], PeersCritera[[#This Row],[Index]] )</f>
        <v/>
      </c>
      <c r="J40" s="219" cm="1">
        <f t="array" ref="J40" xml:space="preserve"> INDEX( tblFilterAll[London], PeersCritera[[#This Row],[Index]] )</f>
        <v>0</v>
      </c>
      <c r="K40" s="220" cm="1">
        <f t="array" ref="K40" xml:space="preserve"> INDEX( tblFilterAll[South East], PeersCritera[[#This Row],[Index]] )</f>
        <v>0</v>
      </c>
      <c r="L40" s="220" cm="1">
        <f t="array" ref="L40" xml:space="preserve"> INDEX( tblFilterAll[South West], PeersCritera[[#This Row],[Index]] )</f>
        <v>1</v>
      </c>
      <c r="M40" s="220" cm="1">
        <f t="array" ref="M40" xml:space="preserve"> INDEX( tblFilterAll[East Midlands], PeersCritera[[#This Row],[Index]] )</f>
        <v>0</v>
      </c>
      <c r="N40" s="220" cm="1">
        <f t="array" ref="N40" xml:space="preserve"> INDEX( tblFilterAll[West Midlands], PeersCritera[[#This Row],[Index]] )</f>
        <v>0</v>
      </c>
      <c r="O40" s="220" cm="1">
        <f t="array" ref="O40" xml:space="preserve"> INDEX( tblFilterAll[East of England], PeersCritera[[#This Row],[Index]] )</f>
        <v>0</v>
      </c>
      <c r="P40" s="220" cm="1">
        <f t="array" ref="P40" xml:space="preserve"> INDEX( tblFilterAll[North East], PeersCritera[[#This Row],[Index]] )</f>
        <v>0</v>
      </c>
      <c r="Q40" s="220" cm="1">
        <f t="array" ref="Q40" xml:space="preserve"> INDEX( tblFilterAll[North West], PeersCritera[[#This Row],[Index]] )</f>
        <v>0</v>
      </c>
      <c r="R40" s="220" cm="1">
        <f t="array" ref="R40" xml:space="preserve"> INDEX( tblFilterAll[Yorkshire &amp; the Humber], PeersCritera[[#This Row],[Index]] )</f>
        <v>0</v>
      </c>
      <c r="S40" s="224" t="str" cm="1">
        <f t="array" ref="S40" xml:space="preserve"> INDEX( tblFilterAll[Region with 50%+ of social stock owned], PeersCritera[[#This Row],[Index]] )</f>
        <v>South West</v>
      </c>
      <c r="T40" s="229" cm="1">
        <f t="array" ref="T40" xml:space="preserve"> INDEX( tblFilterAll[Meets initial criteria], PeersCritera[[#This Row],[Index]] )</f>
        <v>1</v>
      </c>
      <c r="U40" s="241"/>
      <c r="V40" s="230">
        <f>IF( PeersCritera[[#This Row],[RP_Name]] = SelectedProvider, 1, IF( PeersCritera[[#This Row],[Override initial criteria]] = "Include", 1, IF( PeersCritera[[#This Row],[Override initial criteria]] = "Exclude", 0, PeersCritera[[#This Row],[Meets initial criteria]] ) ) )</f>
        <v>1</v>
      </c>
      <c r="W40" s="325">
        <f xml:space="preserve"> MATCH( PeersCritera[[#This Row],[RP_Name]], tblFilterAll[Provider name], 0 )</f>
        <v>25</v>
      </c>
      <c r="Y4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1" spans="2:25" x14ac:dyDescent="0.25">
      <c r="B41" s="327" t="s" vm="26">
        <v>197</v>
      </c>
      <c r="C41" s="218" cm="1" vm="6701">
        <f t="array" ref="C41" xml:space="preserve"> INDEX( tblFilterAll[Total social stock owned], PeersCritera[[#This Row],[Index]] )</f>
        <v>5293</v>
      </c>
      <c r="D41" s="219" cm="1">
        <f t="array" ref="D41" xml:space="preserve"> INDEX( tblFilterAll[% Supported housing (excl. HOP)], PeersCritera[[#This Row],[Index]] )</f>
        <v>2.7224934284641383E-2</v>
      </c>
      <c r="E41" s="220" cm="1">
        <f t="array" ref="E41" xml:space="preserve"> INDEX( tblFilterAll[% Housing for older people], PeersCritera[[#This Row],[Index]] )</f>
        <v>0.20296657904618851</v>
      </c>
      <c r="F41" s="220">
        <f xml:space="preserve"> PeersCritera[[#This Row],[% Supported housing (excl. HOP)]] + PeersCritera[[#This Row],[% Housing for older people]]</f>
        <v>0.23019151333082988</v>
      </c>
      <c r="G41" s="221">
        <f xml:space="preserve"> 1 - PeersCritera[[#This Row],[% Supported &amp; older people]]</f>
        <v>0.76980848666917012</v>
      </c>
      <c r="H41" s="222" t="str" cm="1">
        <f t="array" ref="H41" xml:space="preserve"> INDEX( tblFilterAll[Provider Type], PeersCritera[[#This Row],[Index]] )</f>
        <v>Traditional</v>
      </c>
      <c r="I41" s="223" t="str" cm="1">
        <f t="array" ref="I41" xml:space="preserve"> INDEX( tblFilterAll[LSVT age], PeersCritera[[#This Row],[Index]] )</f>
        <v>&gt;= 12 years</v>
      </c>
      <c r="J41" s="219" cm="1">
        <f t="array" ref="J41" xml:space="preserve"> INDEX( tblFilterAll[London], PeersCritera[[#This Row],[Index]] )</f>
        <v>0</v>
      </c>
      <c r="K41" s="220" cm="1">
        <f t="array" ref="K41" xml:space="preserve"> INDEX( tblFilterAll[South East], PeersCritera[[#This Row],[Index]] )</f>
        <v>0</v>
      </c>
      <c r="L41" s="220" cm="1">
        <f t="array" ref="L41" xml:space="preserve"> INDEX( tblFilterAll[South West], PeersCritera[[#This Row],[Index]] )</f>
        <v>0</v>
      </c>
      <c r="M41" s="220" cm="1">
        <f t="array" ref="M41" xml:space="preserve"> INDEX( tblFilterAll[East Midlands], PeersCritera[[#This Row],[Index]] )</f>
        <v>0</v>
      </c>
      <c r="N41" s="220" cm="1">
        <f t="array" ref="N41" xml:space="preserve"> INDEX( tblFilterAll[West Midlands], PeersCritera[[#This Row],[Index]] )</f>
        <v>0</v>
      </c>
      <c r="O41" s="220" cm="1">
        <f t="array" ref="O41" xml:space="preserve"> INDEX( tblFilterAll[East of England], PeersCritera[[#This Row],[Index]] )</f>
        <v>0</v>
      </c>
      <c r="P41" s="220" cm="1">
        <f t="array" ref="P41" xml:space="preserve"> INDEX( tblFilterAll[North East], PeersCritera[[#This Row],[Index]] )</f>
        <v>0</v>
      </c>
      <c r="Q41" s="220" cm="1">
        <f t="array" ref="Q41" xml:space="preserve"> INDEX( tblFilterAll[North West], PeersCritera[[#This Row],[Index]] )</f>
        <v>1</v>
      </c>
      <c r="R41" s="220" cm="1">
        <f t="array" ref="R41" xml:space="preserve"> INDEX( tblFilterAll[Yorkshire &amp; the Humber], PeersCritera[[#This Row],[Index]] )</f>
        <v>0</v>
      </c>
      <c r="S41" s="224" t="str" cm="1">
        <f t="array" ref="S41" xml:space="preserve"> INDEX( tblFilterAll[Region with 50%+ of social stock owned], PeersCritera[[#This Row],[Index]] )</f>
        <v>North West</v>
      </c>
      <c r="T41" s="229" cm="1">
        <f t="array" ref="T41" xml:space="preserve"> INDEX( tblFilterAll[Meets initial criteria], PeersCritera[[#This Row],[Index]] )</f>
        <v>1</v>
      </c>
      <c r="U41" s="241"/>
      <c r="V41" s="230">
        <f>IF( PeersCritera[[#This Row],[RP_Name]] = SelectedProvider, 1, IF( PeersCritera[[#This Row],[Override initial criteria]] = "Include", 1, IF( PeersCritera[[#This Row],[Override initial criteria]] = "Exclude", 0, PeersCritera[[#This Row],[Meets initial criteria]] ) ) )</f>
        <v>1</v>
      </c>
      <c r="W41" s="325">
        <f xml:space="preserve"> MATCH( PeersCritera[[#This Row],[RP_Name]], tblFilterAll[Provider name], 0 )</f>
        <v>26</v>
      </c>
      <c r="Y4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2" spans="2:25" x14ac:dyDescent="0.25">
      <c r="B42" s="327" t="s" vm="27">
        <v>199</v>
      </c>
      <c r="C42" s="218" cm="1" vm="5833">
        <f t="array" ref="C42" xml:space="preserve"> INDEX( tblFilterAll[Total social stock owned], PeersCritera[[#This Row],[Index]] )</f>
        <v>6795</v>
      </c>
      <c r="D42" s="219" cm="1">
        <f t="array" ref="D42" xml:space="preserve"> INDEX( tblFilterAll[% Supported housing (excl. HOP)], PeersCritera[[#This Row],[Index]] )</f>
        <v>5.3970701619121047E-3</v>
      </c>
      <c r="E42" s="220" cm="1">
        <f t="array" ref="E42" xml:space="preserve"> INDEX( tblFilterAll[% Housing for older people], PeersCritera[[#This Row],[Index]] )</f>
        <v>9.7455666923670012E-2</v>
      </c>
      <c r="F42" s="220">
        <f xml:space="preserve"> PeersCritera[[#This Row],[% Supported housing (excl. HOP)]] + PeersCritera[[#This Row],[% Housing for older people]]</f>
        <v>0.10285273708558211</v>
      </c>
      <c r="G42" s="221">
        <f xml:space="preserve"> 1 - PeersCritera[[#This Row],[% Supported &amp; older people]]</f>
        <v>0.89714726291441793</v>
      </c>
      <c r="H42" s="222" t="str" cm="1">
        <f t="array" ref="H42" xml:space="preserve"> INDEX( tblFilterAll[Provider Type], PeersCritera[[#This Row],[Index]] )</f>
        <v>Traditional</v>
      </c>
      <c r="I42" s="223" t="str" cm="1">
        <f t="array" ref="I42" xml:space="preserve"> INDEX( tblFilterAll[LSVT age], PeersCritera[[#This Row],[Index]] )</f>
        <v>&gt;= 12 years</v>
      </c>
      <c r="J42" s="219" cm="1">
        <f t="array" ref="J42" xml:space="preserve"> INDEX( tblFilterAll[London], PeersCritera[[#This Row],[Index]] )</f>
        <v>0</v>
      </c>
      <c r="K42" s="220" cm="1">
        <f t="array" ref="K42" xml:space="preserve"> INDEX( tblFilterAll[South East], PeersCritera[[#This Row],[Index]] )</f>
        <v>0</v>
      </c>
      <c r="L42" s="220" cm="1">
        <f t="array" ref="L42" xml:space="preserve"> INDEX( tblFilterAll[South West], PeersCritera[[#This Row],[Index]] )</f>
        <v>0</v>
      </c>
      <c r="M42" s="220" cm="1">
        <f t="array" ref="M42" xml:space="preserve"> INDEX( tblFilterAll[East Midlands], PeersCritera[[#This Row],[Index]] )</f>
        <v>0</v>
      </c>
      <c r="N42" s="220" cm="1">
        <f t="array" ref="N42" xml:space="preserve"> INDEX( tblFilterAll[West Midlands], PeersCritera[[#This Row],[Index]] )</f>
        <v>0</v>
      </c>
      <c r="O42" s="220" cm="1">
        <f t="array" ref="O42" xml:space="preserve"> INDEX( tblFilterAll[East of England], PeersCritera[[#This Row],[Index]] )</f>
        <v>0</v>
      </c>
      <c r="P42" s="220" cm="1">
        <f t="array" ref="P42" xml:space="preserve"> INDEX( tblFilterAll[North East], PeersCritera[[#This Row],[Index]] )</f>
        <v>0.21428571428571427</v>
      </c>
      <c r="Q42" s="220" cm="1">
        <f t="array" ref="Q42" xml:space="preserve"> INDEX( tblFilterAll[North West], PeersCritera[[#This Row],[Index]] )</f>
        <v>0.78509852216748766</v>
      </c>
      <c r="R42" s="220" cm="1">
        <f t="array" ref="R42" xml:space="preserve"> INDEX( tblFilterAll[Yorkshire &amp; the Humber], PeersCritera[[#This Row],[Index]] )</f>
        <v>6.1576354679802956E-4</v>
      </c>
      <c r="S42" s="224" t="str" cm="1">
        <f t="array" ref="S42" xml:space="preserve"> INDEX( tblFilterAll[Region with 50%+ of social stock owned], PeersCritera[[#This Row],[Index]] )</f>
        <v>North West</v>
      </c>
      <c r="T42" s="229" cm="1">
        <f t="array" ref="T42" xml:space="preserve"> INDEX( tblFilterAll[Meets initial criteria], PeersCritera[[#This Row],[Index]] )</f>
        <v>1</v>
      </c>
      <c r="U42" s="241"/>
      <c r="V42" s="230">
        <f>IF( PeersCritera[[#This Row],[RP_Name]] = SelectedProvider, 1, IF( PeersCritera[[#This Row],[Override initial criteria]] = "Include", 1, IF( PeersCritera[[#This Row],[Override initial criteria]] = "Exclude", 0, PeersCritera[[#This Row],[Meets initial criteria]] ) ) )</f>
        <v>1</v>
      </c>
      <c r="W42" s="325">
        <f xml:space="preserve"> MATCH( PeersCritera[[#This Row],[RP_Name]], tblFilterAll[Provider name], 0 )</f>
        <v>27</v>
      </c>
      <c r="Y4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3" spans="2:25" x14ac:dyDescent="0.25">
      <c r="B43" s="327" t="s" vm="28">
        <v>201</v>
      </c>
      <c r="C43" s="218" cm="1" vm="2632">
        <f t="array" ref="C43" xml:space="preserve"> INDEX( tblFilterAll[Total social stock owned], PeersCritera[[#This Row],[Index]] )</f>
        <v>10036</v>
      </c>
      <c r="D43" s="219" cm="1">
        <f t="array" ref="D43" xml:space="preserve"> INDEX( tblFilterAll[% Supported housing (excl. HOP)], PeersCritera[[#This Row],[Index]] )</f>
        <v>2.8050490883590462E-3</v>
      </c>
      <c r="E43" s="220" cm="1">
        <f t="array" ref="E43" xml:space="preserve"> INDEX( tblFilterAll[% Housing for older people], PeersCritera[[#This Row],[Index]] )</f>
        <v>0</v>
      </c>
      <c r="F43" s="220">
        <f xml:space="preserve"> PeersCritera[[#This Row],[% Supported housing (excl. HOP)]] + PeersCritera[[#This Row],[% Housing for older people]]</f>
        <v>2.8050490883590462E-3</v>
      </c>
      <c r="G43" s="221">
        <f xml:space="preserve"> 1 - PeersCritera[[#This Row],[% Supported &amp; older people]]</f>
        <v>0.9971949509116409</v>
      </c>
      <c r="H43" s="222" t="str" cm="1">
        <f t="array" ref="H43" xml:space="preserve"> INDEX( tblFilterAll[Provider Type], PeersCritera[[#This Row],[Index]] )</f>
        <v>Traditional</v>
      </c>
      <c r="I43" s="223" t="str" cm="1">
        <f t="array" ref="I43" xml:space="preserve"> INDEX( tblFilterAll[LSVT age], PeersCritera[[#This Row],[Index]] )</f>
        <v>&gt;= 12 years</v>
      </c>
      <c r="J43" s="219" cm="1">
        <f t="array" ref="J43" xml:space="preserve"> INDEX( tblFilterAll[London], PeersCritera[[#This Row],[Index]] )</f>
        <v>0</v>
      </c>
      <c r="K43" s="220" cm="1">
        <f t="array" ref="K43" xml:space="preserve"> INDEX( tblFilterAll[South East], PeersCritera[[#This Row],[Index]] )</f>
        <v>0</v>
      </c>
      <c r="L43" s="220" cm="1">
        <f t="array" ref="L43" xml:space="preserve"> INDEX( tblFilterAll[South West], PeersCritera[[#This Row],[Index]] )</f>
        <v>0</v>
      </c>
      <c r="M43" s="220" cm="1">
        <f t="array" ref="M43" xml:space="preserve"> INDEX( tblFilterAll[East Midlands], PeersCritera[[#This Row],[Index]] )</f>
        <v>0</v>
      </c>
      <c r="N43" s="220" cm="1">
        <f t="array" ref="N43" xml:space="preserve"> INDEX( tblFilterAll[West Midlands], PeersCritera[[#This Row],[Index]] )</f>
        <v>0</v>
      </c>
      <c r="O43" s="220" cm="1">
        <f t="array" ref="O43" xml:space="preserve"> INDEX( tblFilterAll[East of England], PeersCritera[[#This Row],[Index]] )</f>
        <v>1</v>
      </c>
      <c r="P43" s="220" cm="1">
        <f t="array" ref="P43" xml:space="preserve"> INDEX( tblFilterAll[North East], PeersCritera[[#This Row],[Index]] )</f>
        <v>0</v>
      </c>
      <c r="Q43" s="220" cm="1">
        <f t="array" ref="Q43" xml:space="preserve"> INDEX( tblFilterAll[North West], PeersCritera[[#This Row],[Index]] )</f>
        <v>0</v>
      </c>
      <c r="R43" s="220" cm="1">
        <f t="array" ref="R43" xml:space="preserve"> INDEX( tblFilterAll[Yorkshire &amp; the Humber], PeersCritera[[#This Row],[Index]] )</f>
        <v>0</v>
      </c>
      <c r="S43" s="224" t="str" cm="1">
        <f t="array" ref="S43" xml:space="preserve"> INDEX( tblFilterAll[Region with 50%+ of social stock owned], PeersCritera[[#This Row],[Index]] )</f>
        <v>East of England</v>
      </c>
      <c r="T43" s="229" cm="1">
        <f t="array" ref="T43" xml:space="preserve"> INDEX( tblFilterAll[Meets initial criteria], PeersCritera[[#This Row],[Index]] )</f>
        <v>1</v>
      </c>
      <c r="U43" s="241"/>
      <c r="V43" s="230">
        <f>IF( PeersCritera[[#This Row],[RP_Name]] = SelectedProvider, 1, IF( PeersCritera[[#This Row],[Override initial criteria]] = "Include", 1, IF( PeersCritera[[#This Row],[Override initial criteria]] = "Exclude", 0, PeersCritera[[#This Row],[Meets initial criteria]] ) ) )</f>
        <v>1</v>
      </c>
      <c r="W43" s="325">
        <f xml:space="preserve"> MATCH( PeersCritera[[#This Row],[RP_Name]], tblFilterAll[Provider name], 0 )</f>
        <v>28</v>
      </c>
      <c r="Y4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4" spans="2:25" x14ac:dyDescent="0.25">
      <c r="B44" s="327" t="s" vm="29">
        <v>203</v>
      </c>
      <c r="C44" s="218" cm="1" vm="5803">
        <f t="array" ref="C44" xml:space="preserve"> INDEX( tblFilterAll[Total social stock owned], PeersCritera[[#This Row],[Index]] )</f>
        <v>5239</v>
      </c>
      <c r="D44" s="219" cm="1">
        <f t="array" ref="D44" xml:space="preserve"> INDEX( tblFilterAll[% Supported housing (excl. HOP)], PeersCritera[[#This Row],[Index]] )</f>
        <v>9.5822154082023765E-4</v>
      </c>
      <c r="E44" s="220" cm="1">
        <f t="array" ref="E44" xml:space="preserve"> INDEX( tblFilterAll[% Housing for older people], PeersCritera[[#This Row],[Index]] )</f>
        <v>0.20582598696818705</v>
      </c>
      <c r="F44" s="220">
        <f xml:space="preserve"> PeersCritera[[#This Row],[% Supported housing (excl. HOP)]] + PeersCritera[[#This Row],[% Housing for older people]]</f>
        <v>0.20678420850900728</v>
      </c>
      <c r="G44" s="221">
        <f xml:space="preserve"> 1 - PeersCritera[[#This Row],[% Supported &amp; older people]]</f>
        <v>0.79321579149099275</v>
      </c>
      <c r="H44" s="222" t="str" cm="1">
        <f t="array" ref="H44" xml:space="preserve"> INDEX( tblFilterAll[Provider Type], PeersCritera[[#This Row],[Index]] )</f>
        <v>Traditional</v>
      </c>
      <c r="I44" s="223" t="str" cm="1">
        <f t="array" ref="I44" xml:space="preserve"> INDEX( tblFilterAll[LSVT age], PeersCritera[[#This Row],[Index]] )</f>
        <v>&gt;= 12 years</v>
      </c>
      <c r="J44" s="219" cm="1">
        <f t="array" ref="J44" xml:space="preserve"> INDEX( tblFilterAll[London], PeersCritera[[#This Row],[Index]] )</f>
        <v>0</v>
      </c>
      <c r="K44" s="220" cm="1">
        <f t="array" ref="K44" xml:space="preserve"> INDEX( tblFilterAll[South East], PeersCritera[[#This Row],[Index]] )</f>
        <v>0</v>
      </c>
      <c r="L44" s="220" cm="1">
        <f t="array" ref="L44" xml:space="preserve"> INDEX( tblFilterAll[South West], PeersCritera[[#This Row],[Index]] )</f>
        <v>0</v>
      </c>
      <c r="M44" s="220" cm="1">
        <f t="array" ref="M44" xml:space="preserve"> INDEX( tblFilterAll[East Midlands], PeersCritera[[#This Row],[Index]] )</f>
        <v>3.6571428571428574E-2</v>
      </c>
      <c r="N44" s="220" cm="1">
        <f t="array" ref="N44" xml:space="preserve"> INDEX( tblFilterAll[West Midlands], PeersCritera[[#This Row],[Index]] )</f>
        <v>0</v>
      </c>
      <c r="O44" s="220" cm="1">
        <f t="array" ref="O44" xml:space="preserve"> INDEX( tblFilterAll[East of England], PeersCritera[[#This Row],[Index]] )</f>
        <v>0</v>
      </c>
      <c r="P44" s="220" cm="1">
        <f t="array" ref="P44" xml:space="preserve"> INDEX( tblFilterAll[North East], PeersCritera[[#This Row],[Index]] )</f>
        <v>0</v>
      </c>
      <c r="Q44" s="220" cm="1">
        <f t="array" ref="Q44" xml:space="preserve"> INDEX( tblFilterAll[North West], PeersCritera[[#This Row],[Index]] )</f>
        <v>0.96342857142857141</v>
      </c>
      <c r="R44" s="220" cm="1">
        <f t="array" ref="R44" xml:space="preserve"> INDEX( tblFilterAll[Yorkshire &amp; the Humber], PeersCritera[[#This Row],[Index]] )</f>
        <v>0</v>
      </c>
      <c r="S44" s="224" t="str" cm="1">
        <f t="array" ref="S44" xml:space="preserve"> INDEX( tblFilterAll[Region with 50%+ of social stock owned], PeersCritera[[#This Row],[Index]] )</f>
        <v>North West</v>
      </c>
      <c r="T44" s="229" cm="1">
        <f t="array" ref="T44" xml:space="preserve"> INDEX( tblFilterAll[Meets initial criteria], PeersCritera[[#This Row],[Index]] )</f>
        <v>1</v>
      </c>
      <c r="U44" s="241"/>
      <c r="V44" s="230">
        <f>IF( PeersCritera[[#This Row],[RP_Name]] = SelectedProvider, 1, IF( PeersCritera[[#This Row],[Override initial criteria]] = "Include", 1, IF( PeersCritera[[#This Row],[Override initial criteria]] = "Exclude", 0, PeersCritera[[#This Row],[Meets initial criteria]] ) ) )</f>
        <v>1</v>
      </c>
      <c r="W44" s="325">
        <f xml:space="preserve"> MATCH( PeersCritera[[#This Row],[RP_Name]], tblFilterAll[Provider name], 0 )</f>
        <v>29</v>
      </c>
      <c r="Y4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5" spans="2:25" x14ac:dyDescent="0.25">
      <c r="B45" s="327" t="s" vm="30">
        <v>205</v>
      </c>
      <c r="C45" s="218" cm="1" vm="8698">
        <f t="array" ref="C45" xml:space="preserve"> INDEX( tblFilterAll[Total social stock owned], PeersCritera[[#This Row],[Index]] )</f>
        <v>1358</v>
      </c>
      <c r="D45" s="219" cm="1">
        <f t="array" ref="D45" xml:space="preserve"> INDEX( tblFilterAll[% Supported housing (excl. HOP)], PeersCritera[[#This Row],[Index]] )</f>
        <v>0.13574982231698648</v>
      </c>
      <c r="E45" s="220" cm="1">
        <f t="array" ref="E45" xml:space="preserve"> INDEX( tblFilterAll[% Housing for older people], PeersCritera[[#This Row],[Index]] )</f>
        <v>0.1634683724235963</v>
      </c>
      <c r="F45" s="220">
        <f xml:space="preserve"> PeersCritera[[#This Row],[% Supported housing (excl. HOP)]] + PeersCritera[[#This Row],[% Housing for older people]]</f>
        <v>0.29921819474058275</v>
      </c>
      <c r="G45" s="221">
        <f xml:space="preserve"> 1 - PeersCritera[[#This Row],[% Supported &amp; older people]]</f>
        <v>0.70078180525941725</v>
      </c>
      <c r="H45" s="222" t="str" cm="1">
        <f t="array" ref="H45" xml:space="preserve"> INDEX( tblFilterAll[Provider Type], PeersCritera[[#This Row],[Index]] )</f>
        <v>Traditional</v>
      </c>
      <c r="I45" s="223" t="str" cm="1">
        <f t="array" ref="I45" xml:space="preserve"> INDEX( tblFilterAll[LSVT age], PeersCritera[[#This Row],[Index]] )</f>
        <v/>
      </c>
      <c r="J45" s="219" cm="1">
        <f t="array" ref="J45" xml:space="preserve"> INDEX( tblFilterAll[London], PeersCritera[[#This Row],[Index]] )</f>
        <v>1</v>
      </c>
      <c r="K45" s="220" cm="1">
        <f t="array" ref="K45" xml:space="preserve"> INDEX( tblFilterAll[South East], PeersCritera[[#This Row],[Index]] )</f>
        <v>0</v>
      </c>
      <c r="L45" s="220" cm="1">
        <f t="array" ref="L45" xml:space="preserve"> INDEX( tblFilterAll[South West], PeersCritera[[#This Row],[Index]] )</f>
        <v>0</v>
      </c>
      <c r="M45" s="220" cm="1">
        <f t="array" ref="M45" xml:space="preserve"> INDEX( tblFilterAll[East Midlands], PeersCritera[[#This Row],[Index]] )</f>
        <v>0</v>
      </c>
      <c r="N45" s="220" cm="1">
        <f t="array" ref="N45" xml:space="preserve"> INDEX( tblFilterAll[West Midlands], PeersCritera[[#This Row],[Index]] )</f>
        <v>0</v>
      </c>
      <c r="O45" s="220" cm="1">
        <f t="array" ref="O45" xml:space="preserve"> INDEX( tblFilterAll[East of England], PeersCritera[[#This Row],[Index]] )</f>
        <v>0</v>
      </c>
      <c r="P45" s="220" cm="1">
        <f t="array" ref="P45" xml:space="preserve"> INDEX( tblFilterAll[North East], PeersCritera[[#This Row],[Index]] )</f>
        <v>0</v>
      </c>
      <c r="Q45" s="220" cm="1">
        <f t="array" ref="Q45" xml:space="preserve"> INDEX( tblFilterAll[North West], PeersCritera[[#This Row],[Index]] )</f>
        <v>0</v>
      </c>
      <c r="R45" s="220" cm="1">
        <f t="array" ref="R45" xml:space="preserve"> INDEX( tblFilterAll[Yorkshire &amp; the Humber], PeersCritera[[#This Row],[Index]] )</f>
        <v>0</v>
      </c>
      <c r="S45" s="224" t="str" cm="1">
        <f t="array" ref="S45" xml:space="preserve"> INDEX( tblFilterAll[Region with 50%+ of social stock owned], PeersCritera[[#This Row],[Index]] )</f>
        <v>London</v>
      </c>
      <c r="T45" s="229" cm="1">
        <f t="array" ref="T45" xml:space="preserve"> INDEX( tblFilterAll[Meets initial criteria], PeersCritera[[#This Row],[Index]] )</f>
        <v>1</v>
      </c>
      <c r="U45" s="241"/>
      <c r="V45" s="230">
        <f>IF( PeersCritera[[#This Row],[RP_Name]] = SelectedProvider, 1, IF( PeersCritera[[#This Row],[Override initial criteria]] = "Include", 1, IF( PeersCritera[[#This Row],[Override initial criteria]] = "Exclude", 0, PeersCritera[[#This Row],[Meets initial criteria]] ) ) )</f>
        <v>1</v>
      </c>
      <c r="W45" s="325">
        <f xml:space="preserve"> MATCH( PeersCritera[[#This Row],[RP_Name]], tblFilterAll[Provider name], 0 )</f>
        <v>30</v>
      </c>
      <c r="Y4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6" spans="2:25" x14ac:dyDescent="0.25">
      <c r="B46" s="327" t="s" vm="31">
        <v>207</v>
      </c>
      <c r="C46" s="218" cm="1" vm="7048">
        <f t="array" ref="C46" xml:space="preserve"> INDEX( tblFilterAll[Total social stock owned], PeersCritera[[#This Row],[Index]] )</f>
        <v>29244</v>
      </c>
      <c r="D46" s="219" cm="1">
        <f t="array" ref="D46" xml:space="preserve"> INDEX( tblFilterAll[% Supported housing (excl. HOP)], PeersCritera[[#This Row],[Index]] )</f>
        <v>1.5339313839621995E-2</v>
      </c>
      <c r="E46" s="220" cm="1">
        <f t="array" ref="E46" xml:space="preserve"> INDEX( tblFilterAll[% Housing for older people], PeersCritera[[#This Row],[Index]] )</f>
        <v>2.4378552352256385E-2</v>
      </c>
      <c r="F46" s="220">
        <f xml:space="preserve"> PeersCritera[[#This Row],[% Supported housing (excl. HOP)]] + PeersCritera[[#This Row],[% Housing for older people]]</f>
        <v>3.9717866191878379E-2</v>
      </c>
      <c r="G46" s="221">
        <f xml:space="preserve"> 1 - PeersCritera[[#This Row],[% Supported &amp; older people]]</f>
        <v>0.96028213380812166</v>
      </c>
      <c r="H46" s="222" t="str" cm="1">
        <f t="array" ref="H46" xml:space="preserve"> INDEX( tblFilterAll[Provider Type], PeersCritera[[#This Row],[Index]] )</f>
        <v>Traditional</v>
      </c>
      <c r="I46" s="223" t="str" cm="1">
        <f t="array" ref="I46" xml:space="preserve"> INDEX( tblFilterAll[LSVT age], PeersCritera[[#This Row],[Index]] )</f>
        <v>&gt;= 12 years</v>
      </c>
      <c r="J46" s="219" cm="1">
        <f t="array" ref="J46" xml:space="preserve"> INDEX( tblFilterAll[London], PeersCritera[[#This Row],[Index]] )</f>
        <v>0</v>
      </c>
      <c r="K46" s="220" cm="1">
        <f t="array" ref="K46" xml:space="preserve"> INDEX( tblFilterAll[South East], PeersCritera[[#This Row],[Index]] )</f>
        <v>0</v>
      </c>
      <c r="L46" s="220" cm="1">
        <f t="array" ref="L46" xml:space="preserve"> INDEX( tblFilterAll[South West], PeersCritera[[#This Row],[Index]] )</f>
        <v>8.8907126248119277E-4</v>
      </c>
      <c r="M46" s="220" cm="1">
        <f t="array" ref="M46" xml:space="preserve"> INDEX( tblFilterAll[East Midlands], PeersCritera[[#This Row],[Index]] )</f>
        <v>0</v>
      </c>
      <c r="N46" s="220" cm="1">
        <f t="array" ref="N46" xml:space="preserve"> INDEX( tblFilterAll[West Midlands], PeersCritera[[#This Row],[Index]] )</f>
        <v>0.99911092873751883</v>
      </c>
      <c r="O46" s="220" cm="1">
        <f t="array" ref="O46" xml:space="preserve"> INDEX( tblFilterAll[East of England], PeersCritera[[#This Row],[Index]] )</f>
        <v>0</v>
      </c>
      <c r="P46" s="220" cm="1">
        <f t="array" ref="P46" xml:space="preserve"> INDEX( tblFilterAll[North East], PeersCritera[[#This Row],[Index]] )</f>
        <v>0</v>
      </c>
      <c r="Q46" s="220" cm="1">
        <f t="array" ref="Q46" xml:space="preserve"> INDEX( tblFilterAll[North West], PeersCritera[[#This Row],[Index]] )</f>
        <v>0</v>
      </c>
      <c r="R46" s="220" cm="1">
        <f t="array" ref="R46" xml:space="preserve"> INDEX( tblFilterAll[Yorkshire &amp; the Humber], PeersCritera[[#This Row],[Index]] )</f>
        <v>0</v>
      </c>
      <c r="S46" s="224" t="str" cm="1">
        <f t="array" ref="S46" xml:space="preserve"> INDEX( tblFilterAll[Region with 50%+ of social stock owned], PeersCritera[[#This Row],[Index]] )</f>
        <v>West Midlands</v>
      </c>
      <c r="T46" s="229" cm="1">
        <f t="array" ref="T46" xml:space="preserve"> INDEX( tblFilterAll[Meets initial criteria], PeersCritera[[#This Row],[Index]] )</f>
        <v>1</v>
      </c>
      <c r="U46" s="241"/>
      <c r="V46" s="230">
        <f>IF( PeersCritera[[#This Row],[RP_Name]] = SelectedProvider, 1, IF( PeersCritera[[#This Row],[Override initial criteria]] = "Include", 1, IF( PeersCritera[[#This Row],[Override initial criteria]] = "Exclude", 0, PeersCritera[[#This Row],[Meets initial criteria]] ) ) )</f>
        <v>1</v>
      </c>
      <c r="W46" s="325">
        <f xml:space="preserve"> MATCH( PeersCritera[[#This Row],[RP_Name]], tblFilterAll[Provider name], 0 )</f>
        <v>31</v>
      </c>
      <c r="Y4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7" spans="2:25" x14ac:dyDescent="0.25">
      <c r="B47" s="327" t="s" vm="32">
        <v>209</v>
      </c>
      <c r="C47" s="218" cm="1" vm="1632">
        <f t="array" ref="C47" xml:space="preserve"> INDEX( tblFilterAll[Total social stock owned], PeersCritera[[#This Row],[Index]] )</f>
        <v>109520</v>
      </c>
      <c r="D47" s="219" cm="1">
        <f t="array" ref="D47" xml:space="preserve"> INDEX( tblFilterAll[% Supported housing (excl. HOP)], PeersCritera[[#This Row],[Index]] )</f>
        <v>1.4766073821191932E-2</v>
      </c>
      <c r="E47" s="220" cm="1">
        <f t="array" ref="E47" xml:space="preserve"> INDEX( tblFilterAll[% Housing for older people], PeersCritera[[#This Row],[Index]] )</f>
        <v>6.0055430134170293E-2</v>
      </c>
      <c r="F47" s="220">
        <f xml:space="preserve"> PeersCritera[[#This Row],[% Supported housing (excl. HOP)]] + PeersCritera[[#This Row],[% Housing for older people]]</f>
        <v>7.4821503955362217E-2</v>
      </c>
      <c r="G47" s="221">
        <f xml:space="preserve"> 1 - PeersCritera[[#This Row],[% Supported &amp; older people]]</f>
        <v>0.92517849604463775</v>
      </c>
      <c r="H47" s="222" t="str" cm="1">
        <f t="array" ref="H47" xml:space="preserve"> INDEX( tblFilterAll[Provider Type], PeersCritera[[#This Row],[Index]] )</f>
        <v>Traditional</v>
      </c>
      <c r="I47" s="223" t="str" cm="1">
        <f t="array" ref="I47" xml:space="preserve"> INDEX( tblFilterAll[LSVT age], PeersCritera[[#This Row],[Index]] )</f>
        <v/>
      </c>
      <c r="J47" s="219" cm="1">
        <f t="array" ref="J47" xml:space="preserve"> INDEX( tblFilterAll[London], PeersCritera[[#This Row],[Index]] )</f>
        <v>0.38621370223497375</v>
      </c>
      <c r="K47" s="220" cm="1">
        <f t="array" ref="K47" xml:space="preserve"> INDEX( tblFilterAll[South East], PeersCritera[[#This Row],[Index]] )</f>
        <v>0.25905045594926995</v>
      </c>
      <c r="L47" s="220" cm="1">
        <f t="array" ref="L47" xml:space="preserve"> INDEX( tblFilterAll[South West], PeersCritera[[#This Row],[Index]] )</f>
        <v>2.0385226878163777E-2</v>
      </c>
      <c r="M47" s="220" cm="1">
        <f t="array" ref="M47" xml:space="preserve"> INDEX( tblFilterAll[East Midlands], PeersCritera[[#This Row],[Index]] )</f>
        <v>2.5036092176678056E-3</v>
      </c>
      <c r="N47" s="220" cm="1">
        <f t="array" ref="N47" xml:space="preserve"> INDEX( tblFilterAll[West Midlands], PeersCritera[[#This Row],[Index]] )</f>
        <v>4.8381791268434421E-2</v>
      </c>
      <c r="O47" s="220" cm="1">
        <f t="array" ref="O47" xml:space="preserve"> INDEX( tblFilterAll[East of England], PeersCritera[[#This Row],[Index]] )</f>
        <v>0.24374554558578973</v>
      </c>
      <c r="P47" s="220" cm="1">
        <f t="array" ref="P47" xml:space="preserve"> INDEX( tblFilterAll[North East], PeersCritera[[#This Row],[Index]] )</f>
        <v>0</v>
      </c>
      <c r="Q47" s="220" cm="1">
        <f t="array" ref="Q47" xml:space="preserve"> INDEX( tblFilterAll[North West], PeersCritera[[#This Row],[Index]] )</f>
        <v>2.5136602035781511E-2</v>
      </c>
      <c r="R47" s="220" cm="1">
        <f t="array" ref="R47" xml:space="preserve"> INDEX( tblFilterAll[Yorkshire &amp; the Humber], PeersCritera[[#This Row],[Index]] )</f>
        <v>1.4583066829919044E-2</v>
      </c>
      <c r="S47" s="224" t="str" cm="1">
        <f t="array" ref="S47" xml:space="preserve"> INDEX( tblFilterAll[Region with 50%+ of social stock owned], PeersCritera[[#This Row],[Index]] )</f>
        <v>Mixed</v>
      </c>
      <c r="T47" s="229" cm="1">
        <f t="array" ref="T47" xml:space="preserve"> INDEX( tblFilterAll[Meets initial criteria], PeersCritera[[#This Row],[Index]] )</f>
        <v>1</v>
      </c>
      <c r="U47" s="241"/>
      <c r="V47" s="230">
        <f>IF( PeersCritera[[#This Row],[RP_Name]] = SelectedProvider, 1, IF( PeersCritera[[#This Row],[Override initial criteria]] = "Include", 1, IF( PeersCritera[[#This Row],[Override initial criteria]] = "Exclude", 0, PeersCritera[[#This Row],[Meets initial criteria]] ) ) )</f>
        <v>1</v>
      </c>
      <c r="W47" s="325">
        <f xml:space="preserve"> MATCH( PeersCritera[[#This Row],[RP_Name]], tblFilterAll[Provider name], 0 )</f>
        <v>32</v>
      </c>
      <c r="Y4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8" spans="2:25" x14ac:dyDescent="0.25">
      <c r="B48" s="327" t="s" vm="33">
        <v>211</v>
      </c>
      <c r="C48" s="218" cm="1" vm="5538">
        <f t="array" ref="C48" xml:space="preserve"> INDEX( tblFilterAll[Total social stock owned], PeersCritera[[#This Row],[Index]] )</f>
        <v>5111</v>
      </c>
      <c r="D48" s="219" cm="1">
        <f t="array" ref="D48" xml:space="preserve"> INDEX( tblFilterAll[% Supported housing (excl. HOP)], PeersCritera[[#This Row],[Index]] )</f>
        <v>2.0270270270270271E-2</v>
      </c>
      <c r="E48" s="220" cm="1">
        <f t="array" ref="E48" xml:space="preserve"> INDEX( tblFilterAll[% Housing for older people], PeersCritera[[#This Row],[Index]] )</f>
        <v>0.14169316375198729</v>
      </c>
      <c r="F48" s="220">
        <f xml:space="preserve"> PeersCritera[[#This Row],[% Supported housing (excl. HOP)]] + PeersCritera[[#This Row],[% Housing for older people]]</f>
        <v>0.16196343402225755</v>
      </c>
      <c r="G48" s="221">
        <f xml:space="preserve"> 1 - PeersCritera[[#This Row],[% Supported &amp; older people]]</f>
        <v>0.83803656597774245</v>
      </c>
      <c r="H48" s="222" t="str" cm="1">
        <f t="array" ref="H48" xml:space="preserve"> INDEX( tblFilterAll[Provider Type], PeersCritera[[#This Row],[Index]] )</f>
        <v>Traditional</v>
      </c>
      <c r="I48" s="223" t="str" cm="1">
        <f t="array" ref="I48" xml:space="preserve"> INDEX( tblFilterAll[LSVT age], PeersCritera[[#This Row],[Index]] )</f>
        <v>&gt;= 12 years</v>
      </c>
      <c r="J48" s="219" cm="1">
        <f t="array" ref="J48" xml:space="preserve"> INDEX( tblFilterAll[London], PeersCritera[[#This Row],[Index]] )</f>
        <v>0</v>
      </c>
      <c r="K48" s="220" cm="1">
        <f t="array" ref="K48" xml:space="preserve"> INDEX( tblFilterAll[South East], PeersCritera[[#This Row],[Index]] )</f>
        <v>0</v>
      </c>
      <c r="L48" s="220" cm="1">
        <f t="array" ref="L48" xml:space="preserve"> INDEX( tblFilterAll[South West], PeersCritera[[#This Row],[Index]] )</f>
        <v>1</v>
      </c>
      <c r="M48" s="220" cm="1">
        <f t="array" ref="M48" xml:space="preserve"> INDEX( tblFilterAll[East Midlands], PeersCritera[[#This Row],[Index]] )</f>
        <v>0</v>
      </c>
      <c r="N48" s="220" cm="1">
        <f t="array" ref="N48" xml:space="preserve"> INDEX( tblFilterAll[West Midlands], PeersCritera[[#This Row],[Index]] )</f>
        <v>0</v>
      </c>
      <c r="O48" s="220" cm="1">
        <f t="array" ref="O48" xml:space="preserve"> INDEX( tblFilterAll[East of England], PeersCritera[[#This Row],[Index]] )</f>
        <v>0</v>
      </c>
      <c r="P48" s="220" cm="1">
        <f t="array" ref="P48" xml:space="preserve"> INDEX( tblFilterAll[North East], PeersCritera[[#This Row],[Index]] )</f>
        <v>0</v>
      </c>
      <c r="Q48" s="220" cm="1">
        <f t="array" ref="Q48" xml:space="preserve"> INDEX( tblFilterAll[North West], PeersCritera[[#This Row],[Index]] )</f>
        <v>0</v>
      </c>
      <c r="R48" s="220" cm="1">
        <f t="array" ref="R48" xml:space="preserve"> INDEX( tblFilterAll[Yorkshire &amp; the Humber], PeersCritera[[#This Row],[Index]] )</f>
        <v>0</v>
      </c>
      <c r="S48" s="224" t="str" cm="1">
        <f t="array" ref="S48" xml:space="preserve"> INDEX( tblFilterAll[Region with 50%+ of social stock owned], PeersCritera[[#This Row],[Index]] )</f>
        <v>South West</v>
      </c>
      <c r="T48" s="229" cm="1">
        <f t="array" ref="T48" xml:space="preserve"> INDEX( tblFilterAll[Meets initial criteria], PeersCritera[[#This Row],[Index]] )</f>
        <v>1</v>
      </c>
      <c r="U48" s="241"/>
      <c r="V48" s="230">
        <f>IF( PeersCritera[[#This Row],[RP_Name]] = SelectedProvider, 1, IF( PeersCritera[[#This Row],[Override initial criteria]] = "Include", 1, IF( PeersCritera[[#This Row],[Override initial criteria]] = "Exclude", 0, PeersCritera[[#This Row],[Meets initial criteria]] ) ) )</f>
        <v>1</v>
      </c>
      <c r="W48" s="325">
        <f xml:space="preserve"> MATCH( PeersCritera[[#This Row],[RP_Name]], tblFilterAll[Provider name], 0 )</f>
        <v>33</v>
      </c>
      <c r="Y4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49" spans="2:25" x14ac:dyDescent="0.25">
      <c r="B49" s="327" t="s" vm="34">
        <v>213</v>
      </c>
      <c r="C49" s="218" cm="1" vm="6781">
        <f t="array" ref="C49" xml:space="preserve"> INDEX( tblFilterAll[Total social stock owned], PeersCritera[[#This Row],[Index]] )</f>
        <v>5797</v>
      </c>
      <c r="D49" s="219" cm="1">
        <f t="array" ref="D49" xml:space="preserve"> INDEX( tblFilterAll[% Supported housing (excl. HOP)], PeersCritera[[#This Row],[Index]] )</f>
        <v>0</v>
      </c>
      <c r="E49" s="220" cm="1">
        <f t="array" ref="E49" xml:space="preserve"> INDEX( tblFilterAll[% Housing for older people], PeersCritera[[#This Row],[Index]] )</f>
        <v>0</v>
      </c>
      <c r="F49" s="220">
        <f xml:space="preserve"> PeersCritera[[#This Row],[% Supported housing (excl. HOP)]] + PeersCritera[[#This Row],[% Housing for older people]]</f>
        <v>0</v>
      </c>
      <c r="G49" s="221">
        <f xml:space="preserve"> 1 - PeersCritera[[#This Row],[% Supported &amp; older people]]</f>
        <v>1</v>
      </c>
      <c r="H49" s="222" t="str" cm="1">
        <f t="array" ref="H49" xml:space="preserve"> INDEX( tblFilterAll[Provider Type], PeersCritera[[#This Row],[Index]] )</f>
        <v>Traditional</v>
      </c>
      <c r="I49" s="223" t="str" cm="1">
        <f t="array" ref="I49" xml:space="preserve"> INDEX( tblFilterAll[LSVT age], PeersCritera[[#This Row],[Index]] )</f>
        <v>&gt;= 12 years</v>
      </c>
      <c r="J49" s="219" cm="1">
        <f t="array" ref="J49" xml:space="preserve"> INDEX( tblFilterAll[London], PeersCritera[[#This Row],[Index]] )</f>
        <v>0</v>
      </c>
      <c r="K49" s="220" cm="1">
        <f t="array" ref="K49" xml:space="preserve"> INDEX( tblFilterAll[South East], PeersCritera[[#This Row],[Index]] )</f>
        <v>0</v>
      </c>
      <c r="L49" s="220" cm="1">
        <f t="array" ref="L49" xml:space="preserve"> INDEX( tblFilterAll[South West], PeersCritera[[#This Row],[Index]] )</f>
        <v>0</v>
      </c>
      <c r="M49" s="220" cm="1">
        <f t="array" ref="M49" xml:space="preserve"> INDEX( tblFilterAll[East Midlands], PeersCritera[[#This Row],[Index]] )</f>
        <v>0</v>
      </c>
      <c r="N49" s="220" cm="1">
        <f t="array" ref="N49" xml:space="preserve"> INDEX( tblFilterAll[West Midlands], PeersCritera[[#This Row],[Index]] )</f>
        <v>0</v>
      </c>
      <c r="O49" s="220" cm="1">
        <f t="array" ref="O49" xml:space="preserve"> INDEX( tblFilterAll[East of England], PeersCritera[[#This Row],[Index]] )</f>
        <v>0</v>
      </c>
      <c r="P49" s="220" cm="1">
        <f t="array" ref="P49" xml:space="preserve"> INDEX( tblFilterAll[North East], PeersCritera[[#This Row],[Index]] )</f>
        <v>0</v>
      </c>
      <c r="Q49" s="220" cm="1">
        <f t="array" ref="Q49" xml:space="preserve"> INDEX( tblFilterAll[North West], PeersCritera[[#This Row],[Index]] )</f>
        <v>1</v>
      </c>
      <c r="R49" s="220" cm="1">
        <f t="array" ref="R49" xml:space="preserve"> INDEX( tblFilterAll[Yorkshire &amp; the Humber], PeersCritera[[#This Row],[Index]] )</f>
        <v>0</v>
      </c>
      <c r="S49" s="224" t="str" cm="1">
        <f t="array" ref="S49" xml:space="preserve"> INDEX( tblFilterAll[Region with 50%+ of social stock owned], PeersCritera[[#This Row],[Index]] )</f>
        <v>North West</v>
      </c>
      <c r="T49" s="229" cm="1">
        <f t="array" ref="T49" xml:space="preserve"> INDEX( tblFilterAll[Meets initial criteria], PeersCritera[[#This Row],[Index]] )</f>
        <v>1</v>
      </c>
      <c r="U49" s="241"/>
      <c r="V49" s="230">
        <f>IF( PeersCritera[[#This Row],[RP_Name]] = SelectedProvider, 1, IF( PeersCritera[[#This Row],[Override initial criteria]] = "Include", 1, IF( PeersCritera[[#This Row],[Override initial criteria]] = "Exclude", 0, PeersCritera[[#This Row],[Meets initial criteria]] ) ) )</f>
        <v>1</v>
      </c>
      <c r="W49" s="325">
        <f xml:space="preserve"> MATCH( PeersCritera[[#This Row],[RP_Name]], tblFilterAll[Provider name], 0 )</f>
        <v>34</v>
      </c>
      <c r="Y4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0" spans="2:25" x14ac:dyDescent="0.25">
      <c r="B50" s="327" t="s" vm="35">
        <v>215</v>
      </c>
      <c r="C50" s="218" cm="1" vm="6820">
        <f t="array" ref="C50" xml:space="preserve"> INDEX( tblFilterAll[Total social stock owned], PeersCritera[[#This Row],[Index]] )</f>
        <v>6742</v>
      </c>
      <c r="D50" s="219" cm="1">
        <f t="array" ref="D50" xml:space="preserve"> INDEX( tblFilterAll[% Supported housing (excl. HOP)], PeersCritera[[#This Row],[Index]] )</f>
        <v>1.4151646059883808E-2</v>
      </c>
      <c r="E50" s="220" cm="1">
        <f t="array" ref="E50" xml:space="preserve"> INDEX( tblFilterAll[% Housing for older people], PeersCritera[[#This Row],[Index]] )</f>
        <v>6.3905854312527932E-2</v>
      </c>
      <c r="F50" s="220">
        <f xml:space="preserve"> PeersCritera[[#This Row],[% Supported housing (excl. HOP)]] + PeersCritera[[#This Row],[% Housing for older people]]</f>
        <v>7.8057500372411742E-2</v>
      </c>
      <c r="G50" s="221">
        <f xml:space="preserve"> 1 - PeersCritera[[#This Row],[% Supported &amp; older people]]</f>
        <v>0.92194249962758823</v>
      </c>
      <c r="H50" s="222" t="str" cm="1">
        <f t="array" ref="H50" xml:space="preserve"> INDEX( tblFilterAll[Provider Type], PeersCritera[[#This Row],[Index]] )</f>
        <v>Traditional</v>
      </c>
      <c r="I50" s="223" t="str" cm="1">
        <f t="array" ref="I50" xml:space="preserve"> INDEX( tblFilterAll[LSVT age], PeersCritera[[#This Row],[Index]] )</f>
        <v>&gt;= 12 years</v>
      </c>
      <c r="J50" s="219" cm="1">
        <f t="array" ref="J50" xml:space="preserve"> INDEX( tblFilterAll[London], PeersCritera[[#This Row],[Index]] )</f>
        <v>0</v>
      </c>
      <c r="K50" s="220" cm="1">
        <f t="array" ref="K50" xml:space="preserve"> INDEX( tblFilterAll[South East], PeersCritera[[#This Row],[Index]] )</f>
        <v>0</v>
      </c>
      <c r="L50" s="220" cm="1">
        <f t="array" ref="L50" xml:space="preserve"> INDEX( tblFilterAll[South West], PeersCritera[[#This Row],[Index]] )</f>
        <v>0</v>
      </c>
      <c r="M50" s="220" cm="1">
        <f t="array" ref="M50" xml:space="preserve"> INDEX( tblFilterAll[East Midlands], PeersCritera[[#This Row],[Index]] )</f>
        <v>0</v>
      </c>
      <c r="N50" s="220" cm="1">
        <f t="array" ref="N50" xml:space="preserve"> INDEX( tblFilterAll[West Midlands], PeersCritera[[#This Row],[Index]] )</f>
        <v>0</v>
      </c>
      <c r="O50" s="220" cm="1">
        <f t="array" ref="O50" xml:space="preserve"> INDEX( tblFilterAll[East of England], PeersCritera[[#This Row],[Index]] )</f>
        <v>0</v>
      </c>
      <c r="P50" s="220" cm="1">
        <f t="array" ref="P50" xml:space="preserve"> INDEX( tblFilterAll[North East], PeersCritera[[#This Row],[Index]] )</f>
        <v>0</v>
      </c>
      <c r="Q50" s="220" cm="1">
        <f t="array" ref="Q50" xml:space="preserve"> INDEX( tblFilterAll[North West], PeersCritera[[#This Row],[Index]] )</f>
        <v>1</v>
      </c>
      <c r="R50" s="220" cm="1">
        <f t="array" ref="R50" xml:space="preserve"> INDEX( tblFilterAll[Yorkshire &amp; the Humber], PeersCritera[[#This Row],[Index]] )</f>
        <v>0</v>
      </c>
      <c r="S50" s="224" t="str" cm="1">
        <f t="array" ref="S50" xml:space="preserve"> INDEX( tblFilterAll[Region with 50%+ of social stock owned], PeersCritera[[#This Row],[Index]] )</f>
        <v>North West</v>
      </c>
      <c r="T50" s="229" cm="1">
        <f t="array" ref="T50" xml:space="preserve"> INDEX( tblFilterAll[Meets initial criteria], PeersCritera[[#This Row],[Index]] )</f>
        <v>1</v>
      </c>
      <c r="U50" s="241"/>
      <c r="V50" s="230">
        <f>IF( PeersCritera[[#This Row],[RP_Name]] = SelectedProvider, 1, IF( PeersCritera[[#This Row],[Override initial criteria]] = "Include", 1, IF( PeersCritera[[#This Row],[Override initial criteria]] = "Exclude", 0, PeersCritera[[#This Row],[Meets initial criteria]] ) ) )</f>
        <v>1</v>
      </c>
      <c r="W50" s="325">
        <f xml:space="preserve"> MATCH( PeersCritera[[#This Row],[RP_Name]], tblFilterAll[Provider name], 0 )</f>
        <v>35</v>
      </c>
      <c r="Y5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1" spans="2:25" x14ac:dyDescent="0.25">
      <c r="B51" s="327" t="s" vm="36">
        <v>217</v>
      </c>
      <c r="C51" s="218" cm="1" vm="4069">
        <f t="array" ref="C51" xml:space="preserve"> INDEX( tblFilterAll[Total social stock owned], PeersCritera[[#This Row],[Index]] )</f>
        <v>3412</v>
      </c>
      <c r="D51" s="219" cm="1">
        <f t="array" ref="D51" xml:space="preserve"> INDEX( tblFilterAll[% Supported housing (excl. HOP)], PeersCritera[[#This Row],[Index]] )</f>
        <v>5.2366863905325446E-2</v>
      </c>
      <c r="E51" s="220" cm="1">
        <f t="array" ref="E51" xml:space="preserve"> INDEX( tblFilterAll[% Housing for older people], PeersCritera[[#This Row],[Index]] )</f>
        <v>0.23431952662721894</v>
      </c>
      <c r="F51" s="220">
        <f xml:space="preserve"> PeersCritera[[#This Row],[% Supported housing (excl. HOP)]] + PeersCritera[[#This Row],[% Housing for older people]]</f>
        <v>0.28668639053254441</v>
      </c>
      <c r="G51" s="221">
        <f xml:space="preserve"> 1 - PeersCritera[[#This Row],[% Supported &amp; older people]]</f>
        <v>0.71331360946745559</v>
      </c>
      <c r="H51" s="222" t="str" cm="1">
        <f t="array" ref="H51" xml:space="preserve"> INDEX( tblFilterAll[Provider Type], PeersCritera[[#This Row],[Index]] )</f>
        <v>Traditional</v>
      </c>
      <c r="I51" s="223" t="str" cm="1">
        <f t="array" ref="I51" xml:space="preserve"> INDEX( tblFilterAll[LSVT age], PeersCritera[[#This Row],[Index]] )</f>
        <v/>
      </c>
      <c r="J51" s="219" cm="1">
        <f t="array" ref="J51" xml:space="preserve"> INDEX( tblFilterAll[London], PeersCritera[[#This Row],[Index]] )</f>
        <v>0</v>
      </c>
      <c r="K51" s="220" cm="1">
        <f t="array" ref="K51" xml:space="preserve"> INDEX( tblFilterAll[South East], PeersCritera[[#This Row],[Index]] )</f>
        <v>0</v>
      </c>
      <c r="L51" s="220" cm="1">
        <f t="array" ref="L51" xml:space="preserve"> INDEX( tblFilterAll[South West], PeersCritera[[#This Row],[Index]] )</f>
        <v>0</v>
      </c>
      <c r="M51" s="220" cm="1">
        <f t="array" ref="M51" xml:space="preserve"> INDEX( tblFilterAll[East Midlands], PeersCritera[[#This Row],[Index]] )</f>
        <v>0</v>
      </c>
      <c r="N51" s="220" cm="1">
        <f t="array" ref="N51" xml:space="preserve"> INDEX( tblFilterAll[West Midlands], PeersCritera[[#This Row],[Index]] )</f>
        <v>0</v>
      </c>
      <c r="O51" s="220" cm="1">
        <f t="array" ref="O51" xml:space="preserve"> INDEX( tblFilterAll[East of England], PeersCritera[[#This Row],[Index]] )</f>
        <v>0</v>
      </c>
      <c r="P51" s="220" cm="1">
        <f t="array" ref="P51" xml:space="preserve"> INDEX( tblFilterAll[North East], PeersCritera[[#This Row],[Index]] )</f>
        <v>0</v>
      </c>
      <c r="Q51" s="220" cm="1">
        <f t="array" ref="Q51" xml:space="preserve"> INDEX( tblFilterAll[North West], PeersCritera[[#This Row],[Index]] )</f>
        <v>0</v>
      </c>
      <c r="R51" s="220" cm="1">
        <f t="array" ref="R51" xml:space="preserve"> INDEX( tblFilterAll[Yorkshire &amp; the Humber], PeersCritera[[#This Row],[Index]] )</f>
        <v>1</v>
      </c>
      <c r="S51" s="224" t="str" cm="1">
        <f t="array" ref="S51" xml:space="preserve"> INDEX( tblFilterAll[Region with 50%+ of social stock owned], PeersCritera[[#This Row],[Index]] )</f>
        <v>Yorkshire &amp; the Humber</v>
      </c>
      <c r="T51" s="229" cm="1">
        <f t="array" ref="T51" xml:space="preserve"> INDEX( tblFilterAll[Meets initial criteria], PeersCritera[[#This Row],[Index]] )</f>
        <v>1</v>
      </c>
      <c r="U51" s="241"/>
      <c r="V51" s="230">
        <f>IF( PeersCritera[[#This Row],[RP_Name]] = SelectedProvider, 1, IF( PeersCritera[[#This Row],[Override initial criteria]] = "Include", 1, IF( PeersCritera[[#This Row],[Override initial criteria]] = "Exclude", 0, PeersCritera[[#This Row],[Meets initial criteria]] ) ) )</f>
        <v>1</v>
      </c>
      <c r="W51" s="325">
        <f xml:space="preserve"> MATCH( PeersCritera[[#This Row],[RP_Name]], tblFilterAll[Provider name], 0 )</f>
        <v>36</v>
      </c>
      <c r="Y5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2" spans="2:25" x14ac:dyDescent="0.25">
      <c r="B52" s="327" t="s" vm="37">
        <v>219</v>
      </c>
      <c r="C52" s="218" cm="1" vm="7737">
        <f t="array" ref="C52" xml:space="preserve"> INDEX( tblFilterAll[Total social stock owned], PeersCritera[[#This Row],[Index]] )</f>
        <v>10673</v>
      </c>
      <c r="D52" s="219" cm="1">
        <f t="array" ref="D52" xml:space="preserve"> INDEX( tblFilterAll[% Supported housing (excl. HOP)], PeersCritera[[#This Row],[Index]] )</f>
        <v>9.8094699113374841E-3</v>
      </c>
      <c r="E52" s="220" cm="1">
        <f t="array" ref="E52" xml:space="preserve"> INDEX( tblFilterAll[% Housing for older people], PeersCritera[[#This Row],[Index]] )</f>
        <v>0.13223920015091492</v>
      </c>
      <c r="F52" s="220">
        <f xml:space="preserve"> PeersCritera[[#This Row],[% Supported housing (excl. HOP)]] + PeersCritera[[#This Row],[% Housing for older people]]</f>
        <v>0.14204867006225241</v>
      </c>
      <c r="G52" s="221">
        <f xml:space="preserve"> 1 - PeersCritera[[#This Row],[% Supported &amp; older people]]</f>
        <v>0.85795132993774759</v>
      </c>
      <c r="H52" s="222" t="str" cm="1">
        <f t="array" ref="H52" xml:space="preserve"> INDEX( tblFilterAll[Provider Type], PeersCritera[[#This Row],[Index]] )</f>
        <v>Traditional</v>
      </c>
      <c r="I52" s="223" t="str" cm="1">
        <f t="array" ref="I52" xml:space="preserve"> INDEX( tblFilterAll[LSVT age], PeersCritera[[#This Row],[Index]] )</f>
        <v>&gt;= 12 years</v>
      </c>
      <c r="J52" s="219" cm="1">
        <f t="array" ref="J52" xml:space="preserve"> INDEX( tblFilterAll[London], PeersCritera[[#This Row],[Index]] )</f>
        <v>0</v>
      </c>
      <c r="K52" s="220" cm="1">
        <f t="array" ref="K52" xml:space="preserve"> INDEX( tblFilterAll[South East], PeersCritera[[#This Row],[Index]] )</f>
        <v>0</v>
      </c>
      <c r="L52" s="220" cm="1">
        <f t="array" ref="L52" xml:space="preserve"> INDEX( tblFilterAll[South West], PeersCritera[[#This Row],[Index]] )</f>
        <v>0</v>
      </c>
      <c r="M52" s="220" cm="1">
        <f t="array" ref="M52" xml:space="preserve"> INDEX( tblFilterAll[East Midlands], PeersCritera[[#This Row],[Index]] )</f>
        <v>0</v>
      </c>
      <c r="N52" s="220" cm="1">
        <f t="array" ref="N52" xml:space="preserve"> INDEX( tblFilterAll[West Midlands], PeersCritera[[#This Row],[Index]] )</f>
        <v>1</v>
      </c>
      <c r="O52" s="220" cm="1">
        <f t="array" ref="O52" xml:space="preserve"> INDEX( tblFilterAll[East of England], PeersCritera[[#This Row],[Index]] )</f>
        <v>0</v>
      </c>
      <c r="P52" s="220" cm="1">
        <f t="array" ref="P52" xml:space="preserve"> INDEX( tblFilterAll[North East], PeersCritera[[#This Row],[Index]] )</f>
        <v>0</v>
      </c>
      <c r="Q52" s="220" cm="1">
        <f t="array" ref="Q52" xml:space="preserve"> INDEX( tblFilterAll[North West], PeersCritera[[#This Row],[Index]] )</f>
        <v>0</v>
      </c>
      <c r="R52" s="220" cm="1">
        <f t="array" ref="R52" xml:space="preserve"> INDEX( tblFilterAll[Yorkshire &amp; the Humber], PeersCritera[[#This Row],[Index]] )</f>
        <v>0</v>
      </c>
      <c r="S52" s="224" t="str" cm="1">
        <f t="array" ref="S52" xml:space="preserve"> INDEX( tblFilterAll[Region with 50%+ of social stock owned], PeersCritera[[#This Row],[Index]] )</f>
        <v>West Midlands</v>
      </c>
      <c r="T52" s="229" cm="1">
        <f t="array" ref="T52" xml:space="preserve"> INDEX( tblFilterAll[Meets initial criteria], PeersCritera[[#This Row],[Index]] )</f>
        <v>1</v>
      </c>
      <c r="U52" s="241"/>
      <c r="V52" s="230">
        <f>IF( PeersCritera[[#This Row],[RP_Name]] = SelectedProvider, 1, IF( PeersCritera[[#This Row],[Override initial criteria]] = "Include", 1, IF( PeersCritera[[#This Row],[Override initial criteria]] = "Exclude", 0, PeersCritera[[#This Row],[Meets initial criteria]] ) ) )</f>
        <v>1</v>
      </c>
      <c r="W52" s="325">
        <f xml:space="preserve"> MATCH( PeersCritera[[#This Row],[RP_Name]], tblFilterAll[Provider name], 0 )</f>
        <v>37</v>
      </c>
      <c r="Y5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3" spans="2:25" x14ac:dyDescent="0.25">
      <c r="B53" s="327" t="s" vm="38">
        <v>221</v>
      </c>
      <c r="C53" s="218" cm="1" vm="8485">
        <f t="array" ref="C53" xml:space="preserve"> INDEX( tblFilterAll[Total social stock owned], PeersCritera[[#This Row],[Index]] )</f>
        <v>1381</v>
      </c>
      <c r="D53" s="219" cm="1">
        <f t="array" ref="D53" xml:space="preserve"> INDEX( tblFilterAll[% Supported housing (excl. HOP)], PeersCritera[[#This Row],[Index]] )</f>
        <v>0</v>
      </c>
      <c r="E53" s="220" cm="1">
        <f t="array" ref="E53" xml:space="preserve"> INDEX( tblFilterAll[% Housing for older people], PeersCritera[[#This Row],[Index]] )</f>
        <v>0</v>
      </c>
      <c r="F53" s="220">
        <f xml:space="preserve"> PeersCritera[[#This Row],[% Supported housing (excl. HOP)]] + PeersCritera[[#This Row],[% Housing for older people]]</f>
        <v>0</v>
      </c>
      <c r="G53" s="221">
        <f xml:space="preserve"> 1 - PeersCritera[[#This Row],[% Supported &amp; older people]]</f>
        <v>1</v>
      </c>
      <c r="H53" s="222" t="str" cm="1">
        <f t="array" ref="H53" xml:space="preserve"> INDEX( tblFilterAll[Provider Type], PeersCritera[[#This Row],[Index]] )</f>
        <v>Traditional</v>
      </c>
      <c r="I53" s="223" t="str" cm="1">
        <f t="array" ref="I53" xml:space="preserve"> INDEX( tblFilterAll[LSVT age], PeersCritera[[#This Row],[Index]] )</f>
        <v/>
      </c>
      <c r="J53" s="219" cm="1">
        <f t="array" ref="J53" xml:space="preserve"> INDEX( tblFilterAll[London], PeersCritera[[#This Row],[Index]] )</f>
        <v>0</v>
      </c>
      <c r="K53" s="220" cm="1">
        <f t="array" ref="K53" xml:space="preserve"> INDEX( tblFilterAll[South East], PeersCritera[[#This Row],[Index]] )</f>
        <v>0</v>
      </c>
      <c r="L53" s="220" cm="1">
        <f t="array" ref="L53" xml:space="preserve"> INDEX( tblFilterAll[South West], PeersCritera[[#This Row],[Index]] )</f>
        <v>1</v>
      </c>
      <c r="M53" s="220" cm="1">
        <f t="array" ref="M53" xml:space="preserve"> INDEX( tblFilterAll[East Midlands], PeersCritera[[#This Row],[Index]] )</f>
        <v>0</v>
      </c>
      <c r="N53" s="220" cm="1">
        <f t="array" ref="N53" xml:space="preserve"> INDEX( tblFilterAll[West Midlands], PeersCritera[[#This Row],[Index]] )</f>
        <v>0</v>
      </c>
      <c r="O53" s="220" cm="1">
        <f t="array" ref="O53" xml:space="preserve"> INDEX( tblFilterAll[East of England], PeersCritera[[#This Row],[Index]] )</f>
        <v>0</v>
      </c>
      <c r="P53" s="220" cm="1">
        <f t="array" ref="P53" xml:space="preserve"> INDEX( tblFilterAll[North East], PeersCritera[[#This Row],[Index]] )</f>
        <v>0</v>
      </c>
      <c r="Q53" s="220" cm="1">
        <f t="array" ref="Q53" xml:space="preserve"> INDEX( tblFilterAll[North West], PeersCritera[[#This Row],[Index]] )</f>
        <v>0</v>
      </c>
      <c r="R53" s="220" cm="1">
        <f t="array" ref="R53" xml:space="preserve"> INDEX( tblFilterAll[Yorkshire &amp; the Humber], PeersCritera[[#This Row],[Index]] )</f>
        <v>0</v>
      </c>
      <c r="S53" s="224" t="str" cm="1">
        <f t="array" ref="S53" xml:space="preserve"> INDEX( tblFilterAll[Region with 50%+ of social stock owned], PeersCritera[[#This Row],[Index]] )</f>
        <v>South West</v>
      </c>
      <c r="T53" s="229" cm="1">
        <f t="array" ref="T53" xml:space="preserve"> INDEX( tblFilterAll[Meets initial criteria], PeersCritera[[#This Row],[Index]] )</f>
        <v>1</v>
      </c>
      <c r="U53" s="241"/>
      <c r="V53" s="230">
        <f>IF( PeersCritera[[#This Row],[RP_Name]] = SelectedProvider, 1, IF( PeersCritera[[#This Row],[Override initial criteria]] = "Include", 1, IF( PeersCritera[[#This Row],[Override initial criteria]] = "Exclude", 0, PeersCritera[[#This Row],[Meets initial criteria]] ) ) )</f>
        <v>1</v>
      </c>
      <c r="W53" s="325">
        <f xml:space="preserve"> MATCH( PeersCritera[[#This Row],[RP_Name]], tblFilterAll[Provider name], 0 )</f>
        <v>38</v>
      </c>
      <c r="Y5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4" spans="2:25" x14ac:dyDescent="0.25">
      <c r="B54" s="327" t="s" vm="39">
        <v>223</v>
      </c>
      <c r="C54" s="218" cm="1" vm="6590">
        <f t="array" ref="C54" xml:space="preserve"> INDEX( tblFilterAll[Total social stock owned], PeersCritera[[#This Row],[Index]] )</f>
        <v>5386</v>
      </c>
      <c r="D54" s="219" cm="1">
        <f t="array" ref="D54" xml:space="preserve"> INDEX( tblFilterAll[% Supported housing (excl. HOP)], PeersCritera[[#This Row],[Index]] )</f>
        <v>0</v>
      </c>
      <c r="E54" s="220" cm="1">
        <f t="array" ref="E54" xml:space="preserve"> INDEX( tblFilterAll[% Housing for older people], PeersCritera[[#This Row],[Index]] )</f>
        <v>0</v>
      </c>
      <c r="F54" s="220">
        <f xml:space="preserve"> PeersCritera[[#This Row],[% Supported housing (excl. HOP)]] + PeersCritera[[#This Row],[% Housing for older people]]</f>
        <v>0</v>
      </c>
      <c r="G54" s="221">
        <f xml:space="preserve"> 1 - PeersCritera[[#This Row],[% Supported &amp; older people]]</f>
        <v>1</v>
      </c>
      <c r="H54" s="222" t="str" cm="1">
        <f t="array" ref="H54" xml:space="preserve"> INDEX( tblFilterAll[Provider Type], PeersCritera[[#This Row],[Index]] )</f>
        <v>Traditional</v>
      </c>
      <c r="I54" s="223" t="str" cm="1">
        <f t="array" ref="I54" xml:space="preserve"> INDEX( tblFilterAll[LSVT age], PeersCritera[[#This Row],[Index]] )</f>
        <v>&gt;= 12 years</v>
      </c>
      <c r="J54" s="219" cm="1">
        <f t="array" ref="J54" xml:space="preserve"> INDEX( tblFilterAll[London], PeersCritera[[#This Row],[Index]] )</f>
        <v>0</v>
      </c>
      <c r="K54" s="220" cm="1">
        <f t="array" ref="K54" xml:space="preserve"> INDEX( tblFilterAll[South East], PeersCritera[[#This Row],[Index]] )</f>
        <v>0.80614525139664805</v>
      </c>
      <c r="L54" s="220" cm="1">
        <f t="array" ref="L54" xml:space="preserve"> INDEX( tblFilterAll[South West], PeersCritera[[#This Row],[Index]] )</f>
        <v>0.17746741154562384</v>
      </c>
      <c r="M54" s="220" cm="1">
        <f t="array" ref="M54" xml:space="preserve"> INDEX( tblFilterAll[East Midlands], PeersCritera[[#This Row],[Index]] )</f>
        <v>0</v>
      </c>
      <c r="N54" s="220" cm="1">
        <f t="array" ref="N54" xml:space="preserve"> INDEX( tblFilterAll[West Midlands], PeersCritera[[#This Row],[Index]] )</f>
        <v>1.6387337057728119E-2</v>
      </c>
      <c r="O54" s="220" cm="1">
        <f t="array" ref="O54" xml:space="preserve"> INDEX( tblFilterAll[East of England], PeersCritera[[#This Row],[Index]] )</f>
        <v>0</v>
      </c>
      <c r="P54" s="220" cm="1">
        <f t="array" ref="P54" xml:space="preserve"> INDEX( tblFilterAll[North East], PeersCritera[[#This Row],[Index]] )</f>
        <v>0</v>
      </c>
      <c r="Q54" s="220" cm="1">
        <f t="array" ref="Q54" xml:space="preserve"> INDEX( tblFilterAll[North West], PeersCritera[[#This Row],[Index]] )</f>
        <v>0</v>
      </c>
      <c r="R54" s="220" cm="1">
        <f t="array" ref="R54" xml:space="preserve"> INDEX( tblFilterAll[Yorkshire &amp; the Humber], PeersCritera[[#This Row],[Index]] )</f>
        <v>0</v>
      </c>
      <c r="S54" s="224" t="str" cm="1">
        <f t="array" ref="S54" xml:space="preserve"> INDEX( tblFilterAll[Region with 50%+ of social stock owned], PeersCritera[[#This Row],[Index]] )</f>
        <v>South East</v>
      </c>
      <c r="T54" s="229" cm="1">
        <f t="array" ref="T54" xml:space="preserve"> INDEX( tblFilterAll[Meets initial criteria], PeersCritera[[#This Row],[Index]] )</f>
        <v>1</v>
      </c>
      <c r="U54" s="241"/>
      <c r="V54" s="230">
        <f>IF( PeersCritera[[#This Row],[RP_Name]] = SelectedProvider, 1, IF( PeersCritera[[#This Row],[Override initial criteria]] = "Include", 1, IF( PeersCritera[[#This Row],[Override initial criteria]] = "Exclude", 0, PeersCritera[[#This Row],[Meets initial criteria]] ) ) )</f>
        <v>1</v>
      </c>
      <c r="W54" s="325">
        <f xml:space="preserve"> MATCH( PeersCritera[[#This Row],[RP_Name]], tblFilterAll[Provider name], 0 )</f>
        <v>39</v>
      </c>
      <c r="Y5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5" spans="2:25" x14ac:dyDescent="0.25">
      <c r="B55" s="327" t="s" vm="40">
        <v>225</v>
      </c>
      <c r="C55" s="218" cm="1" vm="3419">
        <f t="array" ref="C55" xml:space="preserve"> INDEX( tblFilterAll[Total social stock owned], PeersCritera[[#This Row],[Index]] )</f>
        <v>12230</v>
      </c>
      <c r="D55" s="219" cm="1">
        <f t="array" ref="D55" xml:space="preserve"> INDEX( tblFilterAll[% Supported housing (excl. HOP)], PeersCritera[[#This Row],[Index]] )</f>
        <v>9.4448094612352169E-3</v>
      </c>
      <c r="E55" s="220" cm="1">
        <f t="array" ref="E55" xml:space="preserve"> INDEX( tblFilterAll[% Housing for older people], PeersCritera[[#This Row],[Index]] )</f>
        <v>9.2723390275952694E-2</v>
      </c>
      <c r="F55" s="220">
        <f xml:space="preserve"> PeersCritera[[#This Row],[% Supported housing (excl. HOP)]] + PeersCritera[[#This Row],[% Housing for older people]]</f>
        <v>0.10216819973718791</v>
      </c>
      <c r="G55" s="221">
        <f xml:space="preserve"> 1 - PeersCritera[[#This Row],[% Supported &amp; older people]]</f>
        <v>0.89783180026281206</v>
      </c>
      <c r="H55" s="222" t="str" cm="1">
        <f t="array" ref="H55" xml:space="preserve"> INDEX( tblFilterAll[Provider Type], PeersCritera[[#This Row],[Index]] )</f>
        <v>Traditional</v>
      </c>
      <c r="I55" s="223" t="str" cm="1">
        <f t="array" ref="I55" xml:space="preserve"> INDEX( tblFilterAll[LSVT age], PeersCritera[[#This Row],[Index]] )</f>
        <v>&gt;= 12 years</v>
      </c>
      <c r="J55" s="219" cm="1">
        <f t="array" ref="J55" xml:space="preserve"> INDEX( tblFilterAll[London], PeersCritera[[#This Row],[Index]] )</f>
        <v>0</v>
      </c>
      <c r="K55" s="220" cm="1">
        <f t="array" ref="K55" xml:space="preserve"> INDEX( tblFilterAll[South East], PeersCritera[[#This Row],[Index]] )</f>
        <v>2.4693376941946035E-2</v>
      </c>
      <c r="L55" s="220" cm="1">
        <f t="array" ref="L55" xml:space="preserve"> INDEX( tblFilterAll[South West], PeersCritera[[#This Row],[Index]] )</f>
        <v>0</v>
      </c>
      <c r="M55" s="220" cm="1">
        <f t="array" ref="M55" xml:space="preserve"> INDEX( tblFilterAll[East Midlands], PeersCritera[[#This Row],[Index]] )</f>
        <v>2.5919869174161898E-2</v>
      </c>
      <c r="N55" s="220" cm="1">
        <f t="array" ref="N55" xml:space="preserve"> INDEX( tblFilterAll[West Midlands], PeersCritera[[#This Row],[Index]] )</f>
        <v>0</v>
      </c>
      <c r="O55" s="220" cm="1">
        <f t="array" ref="O55" xml:space="preserve"> INDEX( tblFilterAll[East of England], PeersCritera[[#This Row],[Index]] )</f>
        <v>0.94938675388389204</v>
      </c>
      <c r="P55" s="220" cm="1">
        <f t="array" ref="P55" xml:space="preserve"> INDEX( tblFilterAll[North East], PeersCritera[[#This Row],[Index]] )</f>
        <v>0</v>
      </c>
      <c r="Q55" s="220" cm="1">
        <f t="array" ref="Q55" xml:space="preserve"> INDEX( tblFilterAll[North West], PeersCritera[[#This Row],[Index]] )</f>
        <v>0</v>
      </c>
      <c r="R55" s="220" cm="1">
        <f t="array" ref="R55" xml:space="preserve"> INDEX( tblFilterAll[Yorkshire &amp; the Humber], PeersCritera[[#This Row],[Index]] )</f>
        <v>0</v>
      </c>
      <c r="S55" s="224" t="str" cm="1">
        <f t="array" ref="S55" xml:space="preserve"> INDEX( tblFilterAll[Region with 50%+ of social stock owned], PeersCritera[[#This Row],[Index]] )</f>
        <v>East of England</v>
      </c>
      <c r="T55" s="229" cm="1">
        <f t="array" ref="T55" xml:space="preserve"> INDEX( tblFilterAll[Meets initial criteria], PeersCritera[[#This Row],[Index]] )</f>
        <v>1</v>
      </c>
      <c r="U55" s="241"/>
      <c r="V55" s="230">
        <f>IF( PeersCritera[[#This Row],[RP_Name]] = SelectedProvider, 1, IF( PeersCritera[[#This Row],[Override initial criteria]] = "Include", 1, IF( PeersCritera[[#This Row],[Override initial criteria]] = "Exclude", 0, PeersCritera[[#This Row],[Meets initial criteria]] ) ) )</f>
        <v>1</v>
      </c>
      <c r="W55" s="325">
        <f xml:space="preserve"> MATCH( PeersCritera[[#This Row],[RP_Name]], tblFilterAll[Provider name], 0 )</f>
        <v>40</v>
      </c>
      <c r="Y5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6" spans="2:25" x14ac:dyDescent="0.25">
      <c r="B56" s="327" t="s" vm="41">
        <v>227</v>
      </c>
      <c r="C56" s="218" cm="1" vm="876">
        <f t="array" ref="C56" xml:space="preserve"> INDEX( tblFilterAll[Total social stock owned], PeersCritera[[#This Row],[Index]] )</f>
        <v>1444</v>
      </c>
      <c r="D56" s="219" cm="1">
        <f t="array" ref="D56" xml:space="preserve"> INDEX( tblFilterAll[% Supported housing (excl. HOP)], PeersCritera[[#This Row],[Index]] )</f>
        <v>9.0845070422535215E-2</v>
      </c>
      <c r="E56" s="220" cm="1">
        <f t="array" ref="E56" xml:space="preserve"> INDEX( tblFilterAll[% Housing for older people], PeersCritera[[#This Row],[Index]] )</f>
        <v>0.22323943661971832</v>
      </c>
      <c r="F56" s="220">
        <f xml:space="preserve"> PeersCritera[[#This Row],[% Supported housing (excl. HOP)]] + PeersCritera[[#This Row],[% Housing for older people]]</f>
        <v>0.31408450704225355</v>
      </c>
      <c r="G56" s="221">
        <f xml:space="preserve"> 1 - PeersCritera[[#This Row],[% Supported &amp; older people]]</f>
        <v>0.68591549295774645</v>
      </c>
      <c r="H56" s="222" t="str" cm="1">
        <f t="array" ref="H56" xml:space="preserve"> INDEX( tblFilterAll[Provider Type], PeersCritera[[#This Row],[Index]] )</f>
        <v>Traditional</v>
      </c>
      <c r="I56" s="223" t="str" cm="1">
        <f t="array" ref="I56" xml:space="preserve"> INDEX( tblFilterAll[LSVT age], PeersCritera[[#This Row],[Index]] )</f>
        <v/>
      </c>
      <c r="J56" s="219" cm="1">
        <f t="array" ref="J56" xml:space="preserve"> INDEX( tblFilterAll[London], PeersCritera[[#This Row],[Index]] )</f>
        <v>1</v>
      </c>
      <c r="K56" s="220" cm="1">
        <f t="array" ref="K56" xml:space="preserve"> INDEX( tblFilterAll[South East], PeersCritera[[#This Row],[Index]] )</f>
        <v>0</v>
      </c>
      <c r="L56" s="220" cm="1">
        <f t="array" ref="L56" xml:space="preserve"> INDEX( tblFilterAll[South West], PeersCritera[[#This Row],[Index]] )</f>
        <v>0</v>
      </c>
      <c r="M56" s="220" cm="1">
        <f t="array" ref="M56" xml:space="preserve"> INDEX( tblFilterAll[East Midlands], PeersCritera[[#This Row],[Index]] )</f>
        <v>0</v>
      </c>
      <c r="N56" s="220" cm="1">
        <f t="array" ref="N56" xml:space="preserve"> INDEX( tblFilterAll[West Midlands], PeersCritera[[#This Row],[Index]] )</f>
        <v>0</v>
      </c>
      <c r="O56" s="220" cm="1">
        <f t="array" ref="O56" xml:space="preserve"> INDEX( tblFilterAll[East of England], PeersCritera[[#This Row],[Index]] )</f>
        <v>0</v>
      </c>
      <c r="P56" s="220" cm="1">
        <f t="array" ref="P56" xml:space="preserve"> INDEX( tblFilterAll[North East], PeersCritera[[#This Row],[Index]] )</f>
        <v>0</v>
      </c>
      <c r="Q56" s="220" cm="1">
        <f t="array" ref="Q56" xml:space="preserve"> INDEX( tblFilterAll[North West], PeersCritera[[#This Row],[Index]] )</f>
        <v>0</v>
      </c>
      <c r="R56" s="220" cm="1">
        <f t="array" ref="R56" xml:space="preserve"> INDEX( tblFilterAll[Yorkshire &amp; the Humber], PeersCritera[[#This Row],[Index]] )</f>
        <v>0</v>
      </c>
      <c r="S56" s="224" t="str" cm="1">
        <f t="array" ref="S56" xml:space="preserve"> INDEX( tblFilterAll[Region with 50%+ of social stock owned], PeersCritera[[#This Row],[Index]] )</f>
        <v>London</v>
      </c>
      <c r="T56" s="229" cm="1">
        <f t="array" ref="T56" xml:space="preserve"> INDEX( tblFilterAll[Meets initial criteria], PeersCritera[[#This Row],[Index]] )</f>
        <v>1</v>
      </c>
      <c r="U56" s="241"/>
      <c r="V56" s="230">
        <f>IF( PeersCritera[[#This Row],[RP_Name]] = SelectedProvider, 1, IF( PeersCritera[[#This Row],[Override initial criteria]] = "Include", 1, IF( PeersCritera[[#This Row],[Override initial criteria]] = "Exclude", 0, PeersCritera[[#This Row],[Meets initial criteria]] ) ) )</f>
        <v>1</v>
      </c>
      <c r="W56" s="325">
        <f xml:space="preserve"> MATCH( PeersCritera[[#This Row],[RP_Name]], tblFilterAll[Provider name], 0 )</f>
        <v>41</v>
      </c>
      <c r="Y5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7" spans="2:25" x14ac:dyDescent="0.25">
      <c r="B57" s="327" t="s" vm="42">
        <v>229</v>
      </c>
      <c r="C57" s="218" cm="1" vm="8041">
        <f t="array" ref="C57" xml:space="preserve"> INDEX( tblFilterAll[Total social stock owned], PeersCritera[[#This Row],[Index]] )</f>
        <v>12773</v>
      </c>
      <c r="D57" s="219" cm="1">
        <f t="array" ref="D57" xml:space="preserve"> INDEX( tblFilterAll[% Supported housing (excl. HOP)], PeersCritera[[#This Row],[Index]] )</f>
        <v>1.7672007540056552E-2</v>
      </c>
      <c r="E57" s="220" cm="1">
        <f t="array" ref="E57" xml:space="preserve"> INDEX( tblFilterAll[% Housing for older people], PeersCritera[[#This Row],[Index]] )</f>
        <v>0.14051209550738297</v>
      </c>
      <c r="F57" s="220">
        <f xml:space="preserve"> PeersCritera[[#This Row],[% Supported housing (excl. HOP)]] + PeersCritera[[#This Row],[% Housing for older people]]</f>
        <v>0.15818410304743952</v>
      </c>
      <c r="G57" s="221">
        <f xml:space="preserve"> 1 - PeersCritera[[#This Row],[% Supported &amp; older people]]</f>
        <v>0.84181589695256043</v>
      </c>
      <c r="H57" s="222" t="str" cm="1">
        <f t="array" ref="H57" xml:space="preserve"> INDEX( tblFilterAll[Provider Type], PeersCritera[[#This Row],[Index]] )</f>
        <v>Traditional</v>
      </c>
      <c r="I57" s="223" t="str" cm="1">
        <f t="array" ref="I57" xml:space="preserve"> INDEX( tblFilterAll[LSVT age], PeersCritera[[#This Row],[Index]] )</f>
        <v>&gt;= 12 years</v>
      </c>
      <c r="J57" s="219" cm="1">
        <f t="array" ref="J57" xml:space="preserve"> INDEX( tblFilterAll[London], PeersCritera[[#This Row],[Index]] )</f>
        <v>0</v>
      </c>
      <c r="K57" s="220" cm="1">
        <f t="array" ref="K57" xml:space="preserve"> INDEX( tblFilterAll[South East], PeersCritera[[#This Row],[Index]] )</f>
        <v>0</v>
      </c>
      <c r="L57" s="220" cm="1">
        <f t="array" ref="L57" xml:space="preserve"> INDEX( tblFilterAll[South West], PeersCritera[[#This Row],[Index]] )</f>
        <v>1</v>
      </c>
      <c r="M57" s="220" cm="1">
        <f t="array" ref="M57" xml:space="preserve"> INDEX( tblFilterAll[East Midlands], PeersCritera[[#This Row],[Index]] )</f>
        <v>0</v>
      </c>
      <c r="N57" s="220" cm="1">
        <f t="array" ref="N57" xml:space="preserve"> INDEX( tblFilterAll[West Midlands], PeersCritera[[#This Row],[Index]] )</f>
        <v>0</v>
      </c>
      <c r="O57" s="220" cm="1">
        <f t="array" ref="O57" xml:space="preserve"> INDEX( tblFilterAll[East of England], PeersCritera[[#This Row],[Index]] )</f>
        <v>0</v>
      </c>
      <c r="P57" s="220" cm="1">
        <f t="array" ref="P57" xml:space="preserve"> INDEX( tblFilterAll[North East], PeersCritera[[#This Row],[Index]] )</f>
        <v>0</v>
      </c>
      <c r="Q57" s="220" cm="1">
        <f t="array" ref="Q57" xml:space="preserve"> INDEX( tblFilterAll[North West], PeersCritera[[#This Row],[Index]] )</f>
        <v>0</v>
      </c>
      <c r="R57" s="220" cm="1">
        <f t="array" ref="R57" xml:space="preserve"> INDEX( tblFilterAll[Yorkshire &amp; the Humber], PeersCritera[[#This Row],[Index]] )</f>
        <v>0</v>
      </c>
      <c r="S57" s="224" t="str" cm="1">
        <f t="array" ref="S57" xml:space="preserve"> INDEX( tblFilterAll[Region with 50%+ of social stock owned], PeersCritera[[#This Row],[Index]] )</f>
        <v>South West</v>
      </c>
      <c r="T57" s="229" cm="1">
        <f t="array" ref="T57" xml:space="preserve"> INDEX( tblFilterAll[Meets initial criteria], PeersCritera[[#This Row],[Index]] )</f>
        <v>1</v>
      </c>
      <c r="U57" s="241"/>
      <c r="V57" s="230">
        <f>IF( PeersCritera[[#This Row],[RP_Name]] = SelectedProvider, 1, IF( PeersCritera[[#This Row],[Override initial criteria]] = "Include", 1, IF( PeersCritera[[#This Row],[Override initial criteria]] = "Exclude", 0, PeersCritera[[#This Row],[Meets initial criteria]] ) ) )</f>
        <v>1</v>
      </c>
      <c r="W57" s="325">
        <f xml:space="preserve"> MATCH( PeersCritera[[#This Row],[RP_Name]], tblFilterAll[Provider name], 0 )</f>
        <v>42</v>
      </c>
      <c r="Y5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8" spans="2:25" x14ac:dyDescent="0.25">
      <c r="B58" s="327" t="s" vm="43">
        <v>231</v>
      </c>
      <c r="C58" s="218" cm="1" vm="1367">
        <f t="array" ref="C58" xml:space="preserve"> INDEX( tblFilterAll[Total social stock owned], PeersCritera[[#This Row],[Index]] )</f>
        <v>1784</v>
      </c>
      <c r="D58" s="219" cm="1">
        <f t="array" ref="D58" xml:space="preserve"> INDEX( tblFilterAll[% Supported housing (excl. HOP)], PeersCritera[[#This Row],[Index]] )</f>
        <v>0</v>
      </c>
      <c r="E58" s="220" cm="1">
        <f t="array" ref="E58" xml:space="preserve"> INDEX( tblFilterAll[% Housing for older people], PeersCritera[[#This Row],[Index]] )</f>
        <v>3.5127478753541073E-2</v>
      </c>
      <c r="F58" s="220">
        <f xml:space="preserve"> PeersCritera[[#This Row],[% Supported housing (excl. HOP)]] + PeersCritera[[#This Row],[% Housing for older people]]</f>
        <v>3.5127478753541073E-2</v>
      </c>
      <c r="G58" s="221">
        <f xml:space="preserve"> 1 - PeersCritera[[#This Row],[% Supported &amp; older people]]</f>
        <v>0.96487252124645895</v>
      </c>
      <c r="H58" s="222" t="str" cm="1">
        <f t="array" ref="H58" xml:space="preserve"> INDEX( tblFilterAll[Provider Type], PeersCritera[[#This Row],[Index]] )</f>
        <v>Traditional</v>
      </c>
      <c r="I58" s="223" t="str" cm="1">
        <f t="array" ref="I58" xml:space="preserve"> INDEX( tblFilterAll[LSVT age], PeersCritera[[#This Row],[Index]] )</f>
        <v/>
      </c>
      <c r="J58" s="219" cm="1">
        <f t="array" ref="J58" xml:space="preserve"> INDEX( tblFilterAll[London], PeersCritera[[#This Row],[Index]] )</f>
        <v>0</v>
      </c>
      <c r="K58" s="220" cm="1">
        <f t="array" ref="K58" xml:space="preserve"> INDEX( tblFilterAll[South East], PeersCritera[[#This Row],[Index]] )</f>
        <v>0</v>
      </c>
      <c r="L58" s="220" cm="1">
        <f t="array" ref="L58" xml:space="preserve"> INDEX( tblFilterAll[South West], PeersCritera[[#This Row],[Index]] )</f>
        <v>0</v>
      </c>
      <c r="M58" s="220" cm="1">
        <f t="array" ref="M58" xml:space="preserve"> INDEX( tblFilterAll[East Midlands], PeersCritera[[#This Row],[Index]] )</f>
        <v>0</v>
      </c>
      <c r="N58" s="220" cm="1">
        <f t="array" ref="N58" xml:space="preserve"> INDEX( tblFilterAll[West Midlands], PeersCritera[[#This Row],[Index]] )</f>
        <v>0</v>
      </c>
      <c r="O58" s="220" cm="1">
        <f t="array" ref="O58" xml:space="preserve"> INDEX( tblFilterAll[East of England], PeersCritera[[#This Row],[Index]] )</f>
        <v>0</v>
      </c>
      <c r="P58" s="220" cm="1">
        <f t="array" ref="P58" xml:space="preserve"> INDEX( tblFilterAll[North East], PeersCritera[[#This Row],[Index]] )</f>
        <v>1</v>
      </c>
      <c r="Q58" s="220" cm="1">
        <f t="array" ref="Q58" xml:space="preserve"> INDEX( tblFilterAll[North West], PeersCritera[[#This Row],[Index]] )</f>
        <v>0</v>
      </c>
      <c r="R58" s="220" cm="1">
        <f t="array" ref="R58" xml:space="preserve"> INDEX( tblFilterAll[Yorkshire &amp; the Humber], PeersCritera[[#This Row],[Index]] )</f>
        <v>0</v>
      </c>
      <c r="S58" s="224" t="str" cm="1">
        <f t="array" ref="S58" xml:space="preserve"> INDEX( tblFilterAll[Region with 50%+ of social stock owned], PeersCritera[[#This Row],[Index]] )</f>
        <v>North East</v>
      </c>
      <c r="T58" s="229" cm="1">
        <f t="array" ref="T58" xml:space="preserve"> INDEX( tblFilterAll[Meets initial criteria], PeersCritera[[#This Row],[Index]] )</f>
        <v>1</v>
      </c>
      <c r="U58" s="241"/>
      <c r="V58" s="230">
        <f>IF( PeersCritera[[#This Row],[RP_Name]] = SelectedProvider, 1, IF( PeersCritera[[#This Row],[Override initial criteria]] = "Include", 1, IF( PeersCritera[[#This Row],[Override initial criteria]] = "Exclude", 0, PeersCritera[[#This Row],[Meets initial criteria]] ) ) )</f>
        <v>1</v>
      </c>
      <c r="W58" s="325">
        <f xml:space="preserve"> MATCH( PeersCritera[[#This Row],[RP_Name]], tblFilterAll[Provider name], 0 )</f>
        <v>43</v>
      </c>
      <c r="Y5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59" spans="2:25" x14ac:dyDescent="0.25">
      <c r="B59" s="327" t="s" vm="44">
        <v>233</v>
      </c>
      <c r="C59" s="218" cm="1" vm="947">
        <f t="array" ref="C59" xml:space="preserve"> INDEX( tblFilterAll[Total social stock owned], PeersCritera[[#This Row],[Index]] )</f>
        <v>2372</v>
      </c>
      <c r="D59" s="219" cm="1">
        <f t="array" ref="D59" xml:space="preserve"> INDEX( tblFilterAll[% Supported housing (excl. HOP)], PeersCritera[[#This Row],[Index]] )</f>
        <v>0</v>
      </c>
      <c r="E59" s="220" cm="1">
        <f t="array" ref="E59" xml:space="preserve"> INDEX( tblFilterAll[% Housing for older people], PeersCritera[[#This Row],[Index]] )</f>
        <v>0</v>
      </c>
      <c r="F59" s="220">
        <f xml:space="preserve"> PeersCritera[[#This Row],[% Supported housing (excl. HOP)]] + PeersCritera[[#This Row],[% Housing for older people]]</f>
        <v>0</v>
      </c>
      <c r="G59" s="221">
        <f xml:space="preserve"> 1 - PeersCritera[[#This Row],[% Supported &amp; older people]]</f>
        <v>1</v>
      </c>
      <c r="H59" s="222" t="str" cm="1">
        <f t="array" ref="H59" xml:space="preserve"> INDEX( tblFilterAll[Provider Type], PeersCritera[[#This Row],[Index]] )</f>
        <v>Traditional</v>
      </c>
      <c r="I59" s="223" t="str" cm="1">
        <f t="array" ref="I59" xml:space="preserve"> INDEX( tblFilterAll[LSVT age], PeersCritera[[#This Row],[Index]] )</f>
        <v>&gt;= 12 years</v>
      </c>
      <c r="J59" s="219" cm="1">
        <f t="array" ref="J59" xml:space="preserve"> INDEX( tblFilterAll[London], PeersCritera[[#This Row],[Index]] )</f>
        <v>1</v>
      </c>
      <c r="K59" s="220" cm="1">
        <f t="array" ref="K59" xml:space="preserve"> INDEX( tblFilterAll[South East], PeersCritera[[#This Row],[Index]] )</f>
        <v>0</v>
      </c>
      <c r="L59" s="220" cm="1">
        <f t="array" ref="L59" xml:space="preserve"> INDEX( tblFilterAll[South West], PeersCritera[[#This Row],[Index]] )</f>
        <v>0</v>
      </c>
      <c r="M59" s="220" cm="1">
        <f t="array" ref="M59" xml:space="preserve"> INDEX( tblFilterAll[East Midlands], PeersCritera[[#This Row],[Index]] )</f>
        <v>0</v>
      </c>
      <c r="N59" s="220" cm="1">
        <f t="array" ref="N59" xml:space="preserve"> INDEX( tblFilterAll[West Midlands], PeersCritera[[#This Row],[Index]] )</f>
        <v>0</v>
      </c>
      <c r="O59" s="220" cm="1">
        <f t="array" ref="O59" xml:space="preserve"> INDEX( tblFilterAll[East of England], PeersCritera[[#This Row],[Index]] )</f>
        <v>0</v>
      </c>
      <c r="P59" s="220" cm="1">
        <f t="array" ref="P59" xml:space="preserve"> INDEX( tblFilterAll[North East], PeersCritera[[#This Row],[Index]] )</f>
        <v>0</v>
      </c>
      <c r="Q59" s="220" cm="1">
        <f t="array" ref="Q59" xml:space="preserve"> INDEX( tblFilterAll[North West], PeersCritera[[#This Row],[Index]] )</f>
        <v>0</v>
      </c>
      <c r="R59" s="220" cm="1">
        <f t="array" ref="R59" xml:space="preserve"> INDEX( tblFilterAll[Yorkshire &amp; the Humber], PeersCritera[[#This Row],[Index]] )</f>
        <v>0</v>
      </c>
      <c r="S59" s="224" t="str" cm="1">
        <f t="array" ref="S59" xml:space="preserve"> INDEX( tblFilterAll[Region with 50%+ of social stock owned], PeersCritera[[#This Row],[Index]] )</f>
        <v>London</v>
      </c>
      <c r="T59" s="229" cm="1">
        <f t="array" ref="T59" xml:space="preserve"> INDEX( tblFilterAll[Meets initial criteria], PeersCritera[[#This Row],[Index]] )</f>
        <v>1</v>
      </c>
      <c r="U59" s="241"/>
      <c r="V59" s="230">
        <f>IF( PeersCritera[[#This Row],[RP_Name]] = SelectedProvider, 1, IF( PeersCritera[[#This Row],[Override initial criteria]] = "Include", 1, IF( PeersCritera[[#This Row],[Override initial criteria]] = "Exclude", 0, PeersCritera[[#This Row],[Meets initial criteria]] ) ) )</f>
        <v>1</v>
      </c>
      <c r="W59" s="325">
        <f xml:space="preserve"> MATCH( PeersCritera[[#This Row],[RP_Name]], tblFilterAll[Provider name], 0 )</f>
        <v>44</v>
      </c>
      <c r="Y5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0" spans="2:25" x14ac:dyDescent="0.25">
      <c r="B60" s="327" t="s" vm="45">
        <v>235</v>
      </c>
      <c r="C60" s="218" cm="1" vm="3455">
        <f t="array" ref="C60" xml:space="preserve"> INDEX( tblFilterAll[Total social stock owned], PeersCritera[[#This Row],[Index]] )</f>
        <v>18583</v>
      </c>
      <c r="D60" s="219" cm="1">
        <f t="array" ref="D60" xml:space="preserve"> INDEX( tblFilterAll[% Supported housing (excl. HOP)], PeersCritera[[#This Row],[Index]] )</f>
        <v>3.0181979582778518E-2</v>
      </c>
      <c r="E60" s="220" cm="1">
        <f t="array" ref="E60" xml:space="preserve"> INDEX( tblFilterAll[% Housing for older people], PeersCritera[[#This Row],[Index]] )</f>
        <v>0.19346426986240567</v>
      </c>
      <c r="F60" s="220">
        <f xml:space="preserve"> PeersCritera[[#This Row],[% Supported housing (excl. HOP)]] + PeersCritera[[#This Row],[% Housing for older people]]</f>
        <v>0.22364624944518419</v>
      </c>
      <c r="G60" s="221">
        <f xml:space="preserve"> 1 - PeersCritera[[#This Row],[% Supported &amp; older people]]</f>
        <v>0.77635375055481581</v>
      </c>
      <c r="H60" s="222" t="str" cm="1">
        <f t="array" ref="H60" xml:space="preserve"> INDEX( tblFilterAll[Provider Type], PeersCritera[[#This Row],[Index]] )</f>
        <v>Traditional</v>
      </c>
      <c r="I60" s="223" t="str" cm="1">
        <f t="array" ref="I60" xml:space="preserve"> INDEX( tblFilterAll[LSVT age], PeersCritera[[#This Row],[Index]] )</f>
        <v/>
      </c>
      <c r="J60" s="219" cm="1">
        <f t="array" ref="J60" xml:space="preserve"> INDEX( tblFilterAll[London], PeersCritera[[#This Row],[Index]] )</f>
        <v>0</v>
      </c>
      <c r="K60" s="220" cm="1">
        <f t="array" ref="K60" xml:space="preserve"> INDEX( tblFilterAll[South East], PeersCritera[[#This Row],[Index]] )</f>
        <v>0</v>
      </c>
      <c r="L60" s="220" cm="1">
        <f t="array" ref="L60" xml:space="preserve"> INDEX( tblFilterAll[South West], PeersCritera[[#This Row],[Index]] )</f>
        <v>0</v>
      </c>
      <c r="M60" s="220" cm="1">
        <f t="array" ref="M60" xml:space="preserve"> INDEX( tblFilterAll[East Midlands], PeersCritera[[#This Row],[Index]] )</f>
        <v>0.99757615821076406</v>
      </c>
      <c r="N60" s="220" cm="1">
        <f t="array" ref="N60" xml:space="preserve"> INDEX( tblFilterAll[West Midlands], PeersCritera[[#This Row],[Index]] )</f>
        <v>2.2585798490607615E-3</v>
      </c>
      <c r="O60" s="220" cm="1">
        <f t="array" ref="O60" xml:space="preserve"> INDEX( tblFilterAll[East of England], PeersCritera[[#This Row],[Index]] )</f>
        <v>5.5087313391725883E-5</v>
      </c>
      <c r="P60" s="220" cm="1">
        <f t="array" ref="P60" xml:space="preserve"> INDEX( tblFilterAll[North East], PeersCritera[[#This Row],[Index]] )</f>
        <v>0</v>
      </c>
      <c r="Q60" s="220" cm="1">
        <f t="array" ref="Q60" xml:space="preserve"> INDEX( tblFilterAll[North West], PeersCritera[[#This Row],[Index]] )</f>
        <v>0</v>
      </c>
      <c r="R60" s="220" cm="1">
        <f t="array" ref="R60" xml:space="preserve"> INDEX( tblFilterAll[Yorkshire &amp; the Humber], PeersCritera[[#This Row],[Index]] )</f>
        <v>1.1017462678345177E-4</v>
      </c>
      <c r="S60" s="224" t="str" cm="1">
        <f t="array" ref="S60" xml:space="preserve"> INDEX( tblFilterAll[Region with 50%+ of social stock owned], PeersCritera[[#This Row],[Index]] )</f>
        <v>East Midlands</v>
      </c>
      <c r="T60" s="229" cm="1">
        <f t="array" ref="T60" xml:space="preserve"> INDEX( tblFilterAll[Meets initial criteria], PeersCritera[[#This Row],[Index]] )</f>
        <v>1</v>
      </c>
      <c r="U60" s="241"/>
      <c r="V60" s="230">
        <f>IF( PeersCritera[[#This Row],[RP_Name]] = SelectedProvider, 1, IF( PeersCritera[[#This Row],[Override initial criteria]] = "Include", 1, IF( PeersCritera[[#This Row],[Override initial criteria]] = "Exclude", 0, PeersCritera[[#This Row],[Meets initial criteria]] ) ) )</f>
        <v>1</v>
      </c>
      <c r="W60" s="325">
        <f xml:space="preserve"> MATCH( PeersCritera[[#This Row],[RP_Name]], tblFilterAll[Provider name], 0 )</f>
        <v>45</v>
      </c>
      <c r="Y6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1" spans="2:25" x14ac:dyDescent="0.25">
      <c r="B61" s="327" t="s" vm="46">
        <v>237</v>
      </c>
      <c r="C61" s="218" cm="1" vm="7753">
        <f t="array" ref="C61" xml:space="preserve"> INDEX( tblFilterAll[Total social stock owned], PeersCritera[[#This Row],[Index]] )</f>
        <v>12450</v>
      </c>
      <c r="D61" s="219" cm="1">
        <f t="array" ref="D61" xml:space="preserve"> INDEX( tblFilterAll[% Supported housing (excl. HOP)], PeersCritera[[#This Row],[Index]] )</f>
        <v>1.2070641607258587E-2</v>
      </c>
      <c r="E61" s="220" cm="1">
        <f t="array" ref="E61" xml:space="preserve"> INDEX( tblFilterAll[% Housing for older people], PeersCritera[[#This Row],[Index]] )</f>
        <v>5.1604018146467923E-2</v>
      </c>
      <c r="F61" s="220">
        <f xml:space="preserve"> PeersCritera[[#This Row],[% Supported housing (excl. HOP)]] + PeersCritera[[#This Row],[% Housing for older people]]</f>
        <v>6.3674659753726506E-2</v>
      </c>
      <c r="G61" s="221">
        <f xml:space="preserve"> 1 - PeersCritera[[#This Row],[% Supported &amp; older people]]</f>
        <v>0.93632534024627345</v>
      </c>
      <c r="H61" s="222" t="str" cm="1">
        <f t="array" ref="H61" xml:space="preserve"> INDEX( tblFilterAll[Provider Type], PeersCritera[[#This Row],[Index]] )</f>
        <v>Traditional</v>
      </c>
      <c r="I61" s="223" t="str" cm="1">
        <f t="array" ref="I61" xml:space="preserve"> INDEX( tblFilterAll[LSVT age], PeersCritera[[#This Row],[Index]] )</f>
        <v>&gt;= 12 years</v>
      </c>
      <c r="J61" s="219" cm="1">
        <f t="array" ref="J61" xml:space="preserve"> INDEX( tblFilterAll[London], PeersCritera[[#This Row],[Index]] )</f>
        <v>0</v>
      </c>
      <c r="K61" s="220" cm="1">
        <f t="array" ref="K61" xml:space="preserve"> INDEX( tblFilterAll[South East], PeersCritera[[#This Row],[Index]] )</f>
        <v>0</v>
      </c>
      <c r="L61" s="220" cm="1">
        <f t="array" ref="L61" xml:space="preserve"> INDEX( tblFilterAll[South West], PeersCritera[[#This Row],[Index]] )</f>
        <v>0</v>
      </c>
      <c r="M61" s="220" cm="1">
        <f t="array" ref="M61" xml:space="preserve"> INDEX( tblFilterAll[East Midlands], PeersCritera[[#This Row],[Index]] )</f>
        <v>0</v>
      </c>
      <c r="N61" s="220" cm="1">
        <f t="array" ref="N61" xml:space="preserve"> INDEX( tblFilterAll[West Midlands], PeersCritera[[#This Row],[Index]] )</f>
        <v>0</v>
      </c>
      <c r="O61" s="220" cm="1">
        <f t="array" ref="O61" xml:space="preserve"> INDEX( tblFilterAll[East of England], PeersCritera[[#This Row],[Index]] )</f>
        <v>1</v>
      </c>
      <c r="P61" s="220" cm="1">
        <f t="array" ref="P61" xml:space="preserve"> INDEX( tblFilterAll[North East], PeersCritera[[#This Row],[Index]] )</f>
        <v>0</v>
      </c>
      <c r="Q61" s="220" cm="1">
        <f t="array" ref="Q61" xml:space="preserve"> INDEX( tblFilterAll[North West], PeersCritera[[#This Row],[Index]] )</f>
        <v>0</v>
      </c>
      <c r="R61" s="220" cm="1">
        <f t="array" ref="R61" xml:space="preserve"> INDEX( tblFilterAll[Yorkshire &amp; the Humber], PeersCritera[[#This Row],[Index]] )</f>
        <v>0</v>
      </c>
      <c r="S61" s="224" t="str" cm="1">
        <f t="array" ref="S61" xml:space="preserve"> INDEX( tblFilterAll[Region with 50%+ of social stock owned], PeersCritera[[#This Row],[Index]] )</f>
        <v>East of England</v>
      </c>
      <c r="T61" s="229" cm="1">
        <f t="array" ref="T61" xml:space="preserve"> INDEX( tblFilterAll[Meets initial criteria], PeersCritera[[#This Row],[Index]] )</f>
        <v>1</v>
      </c>
      <c r="U61" s="241"/>
      <c r="V61" s="230">
        <f>IF( PeersCritera[[#This Row],[RP_Name]] = SelectedProvider, 1, IF( PeersCritera[[#This Row],[Override initial criteria]] = "Include", 1, IF( PeersCritera[[#This Row],[Override initial criteria]] = "Exclude", 0, PeersCritera[[#This Row],[Meets initial criteria]] ) ) )</f>
        <v>1</v>
      </c>
      <c r="W61" s="325">
        <f xml:space="preserve"> MATCH( PeersCritera[[#This Row],[RP_Name]], tblFilterAll[Provider name], 0 )</f>
        <v>46</v>
      </c>
      <c r="Y6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2" spans="2:25" x14ac:dyDescent="0.25">
      <c r="B62" s="327" t="s" vm="47">
        <v>239</v>
      </c>
      <c r="C62" s="218" cm="1" vm="1266">
        <f t="array" ref="C62" xml:space="preserve"> INDEX( tblFilterAll[Total social stock owned], PeersCritera[[#This Row],[Index]] )</f>
        <v>1823</v>
      </c>
      <c r="D62" s="219" cm="1">
        <f t="array" ref="D62" xml:space="preserve"> INDEX( tblFilterAll[% Supported housing (excl. HOP)], PeersCritera[[#This Row],[Index]] )</f>
        <v>4.4628099173553717E-2</v>
      </c>
      <c r="E62" s="220" cm="1">
        <f t="array" ref="E62" xml:space="preserve"> INDEX( tblFilterAll[% Housing for older people], PeersCritera[[#This Row],[Index]] )</f>
        <v>3.7465564738292011E-2</v>
      </c>
      <c r="F62" s="220">
        <f xml:space="preserve"> PeersCritera[[#This Row],[% Supported housing (excl. HOP)]] + PeersCritera[[#This Row],[% Housing for older people]]</f>
        <v>8.2093663911845721E-2</v>
      </c>
      <c r="G62" s="221">
        <f xml:space="preserve"> 1 - PeersCritera[[#This Row],[% Supported &amp; older people]]</f>
        <v>0.91790633608815431</v>
      </c>
      <c r="H62" s="222" t="str" cm="1">
        <f t="array" ref="H62" xml:space="preserve"> INDEX( tblFilterAll[Provider Type], PeersCritera[[#This Row],[Index]] )</f>
        <v>Traditional</v>
      </c>
      <c r="I62" s="223" t="str" cm="1">
        <f t="array" ref="I62" xml:space="preserve"> INDEX( tblFilterAll[LSVT age], PeersCritera[[#This Row],[Index]] )</f>
        <v>&gt;= 12 years</v>
      </c>
      <c r="J62" s="219" cm="1">
        <f t="array" ref="J62" xml:space="preserve"> INDEX( tblFilterAll[London], PeersCritera[[#This Row],[Index]] )</f>
        <v>0</v>
      </c>
      <c r="K62" s="220" cm="1">
        <f t="array" ref="K62" xml:space="preserve"> INDEX( tblFilterAll[South East], PeersCritera[[#This Row],[Index]] )</f>
        <v>0</v>
      </c>
      <c r="L62" s="220" cm="1">
        <f t="array" ref="L62" xml:space="preserve"> INDEX( tblFilterAll[South West], PeersCritera[[#This Row],[Index]] )</f>
        <v>0</v>
      </c>
      <c r="M62" s="220" cm="1">
        <f t="array" ref="M62" xml:space="preserve"> INDEX( tblFilterAll[East Midlands], PeersCritera[[#This Row],[Index]] )</f>
        <v>0</v>
      </c>
      <c r="N62" s="220" cm="1">
        <f t="array" ref="N62" xml:space="preserve"> INDEX( tblFilterAll[West Midlands], PeersCritera[[#This Row],[Index]] )</f>
        <v>0</v>
      </c>
      <c r="O62" s="220" cm="1">
        <f t="array" ref="O62" xml:space="preserve"> INDEX( tblFilterAll[East of England], PeersCritera[[#This Row],[Index]] )</f>
        <v>0</v>
      </c>
      <c r="P62" s="220" cm="1">
        <f t="array" ref="P62" xml:space="preserve"> INDEX( tblFilterAll[North East], PeersCritera[[#This Row],[Index]] )</f>
        <v>0</v>
      </c>
      <c r="Q62" s="220" cm="1">
        <f t="array" ref="Q62" xml:space="preserve"> INDEX( tblFilterAll[North West], PeersCritera[[#This Row],[Index]] )</f>
        <v>1</v>
      </c>
      <c r="R62" s="220" cm="1">
        <f t="array" ref="R62" xml:space="preserve"> INDEX( tblFilterAll[Yorkshire &amp; the Humber], PeersCritera[[#This Row],[Index]] )</f>
        <v>0</v>
      </c>
      <c r="S62" s="224" t="str" cm="1">
        <f t="array" ref="S62" xml:space="preserve"> INDEX( tblFilterAll[Region with 50%+ of social stock owned], PeersCritera[[#This Row],[Index]] )</f>
        <v>North West</v>
      </c>
      <c r="T62" s="229" cm="1">
        <f t="array" ref="T62" xml:space="preserve"> INDEX( tblFilterAll[Meets initial criteria], PeersCritera[[#This Row],[Index]] )</f>
        <v>1</v>
      </c>
      <c r="U62" s="241"/>
      <c r="V62" s="230">
        <f>IF( PeersCritera[[#This Row],[RP_Name]] = SelectedProvider, 1, IF( PeersCritera[[#This Row],[Override initial criteria]] = "Include", 1, IF( PeersCritera[[#This Row],[Override initial criteria]] = "Exclude", 0, PeersCritera[[#This Row],[Meets initial criteria]] ) ) )</f>
        <v>1</v>
      </c>
      <c r="W62" s="325">
        <f xml:space="preserve"> MATCH( PeersCritera[[#This Row],[RP_Name]], tblFilterAll[Provider name], 0 )</f>
        <v>47</v>
      </c>
      <c r="Y6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3" spans="2:25" x14ac:dyDescent="0.25">
      <c r="B63" s="327" t="s" vm="48">
        <v>241</v>
      </c>
      <c r="C63" s="218" cm="1" vm="8435">
        <f t="array" ref="C63" xml:space="preserve"> INDEX( tblFilterAll[Total social stock owned], PeersCritera[[#This Row],[Index]] )</f>
        <v>1387</v>
      </c>
      <c r="D63" s="219" cm="1">
        <f t="array" ref="D63" xml:space="preserve"> INDEX( tblFilterAll[% Supported housing (excl. HOP)], PeersCritera[[#This Row],[Index]] )</f>
        <v>1.4450867052023121E-2</v>
      </c>
      <c r="E63" s="220" cm="1">
        <f t="array" ref="E63" xml:space="preserve"> INDEX( tblFilterAll[% Housing for older people], PeersCritera[[#This Row],[Index]] )</f>
        <v>0</v>
      </c>
      <c r="F63" s="220">
        <f xml:space="preserve"> PeersCritera[[#This Row],[% Supported housing (excl. HOP)]] + PeersCritera[[#This Row],[% Housing for older people]]</f>
        <v>1.4450867052023121E-2</v>
      </c>
      <c r="G63" s="221">
        <f xml:space="preserve"> 1 - PeersCritera[[#This Row],[% Supported &amp; older people]]</f>
        <v>0.98554913294797686</v>
      </c>
      <c r="H63" s="222" t="str" cm="1">
        <f t="array" ref="H63" xml:space="preserve"> INDEX( tblFilterAll[Provider Type], PeersCritera[[#This Row],[Index]] )</f>
        <v>Traditional</v>
      </c>
      <c r="I63" s="223" t="str" cm="1">
        <f t="array" ref="I63" xml:space="preserve"> INDEX( tblFilterAll[LSVT age], PeersCritera[[#This Row],[Index]] )</f>
        <v>&gt;= 12 years</v>
      </c>
      <c r="J63" s="219" cm="1">
        <f t="array" ref="J63" xml:space="preserve"> INDEX( tblFilterAll[London], PeersCritera[[#This Row],[Index]] )</f>
        <v>0</v>
      </c>
      <c r="K63" s="220" cm="1">
        <f t="array" ref="K63" xml:space="preserve"> INDEX( tblFilterAll[South East], PeersCritera[[#This Row],[Index]] )</f>
        <v>0</v>
      </c>
      <c r="L63" s="220" cm="1">
        <f t="array" ref="L63" xml:space="preserve"> INDEX( tblFilterAll[South West], PeersCritera[[#This Row],[Index]] )</f>
        <v>0</v>
      </c>
      <c r="M63" s="220" cm="1">
        <f t="array" ref="M63" xml:space="preserve"> INDEX( tblFilterAll[East Midlands], PeersCritera[[#This Row],[Index]] )</f>
        <v>0</v>
      </c>
      <c r="N63" s="220" cm="1">
        <f t="array" ref="N63" xml:space="preserve"> INDEX( tblFilterAll[West Midlands], PeersCritera[[#This Row],[Index]] )</f>
        <v>1</v>
      </c>
      <c r="O63" s="220" cm="1">
        <f t="array" ref="O63" xml:space="preserve"> INDEX( tblFilterAll[East of England], PeersCritera[[#This Row],[Index]] )</f>
        <v>0</v>
      </c>
      <c r="P63" s="220" cm="1">
        <f t="array" ref="P63" xml:space="preserve"> INDEX( tblFilterAll[North East], PeersCritera[[#This Row],[Index]] )</f>
        <v>0</v>
      </c>
      <c r="Q63" s="220" cm="1">
        <f t="array" ref="Q63" xml:space="preserve"> INDEX( tblFilterAll[North West], PeersCritera[[#This Row],[Index]] )</f>
        <v>0</v>
      </c>
      <c r="R63" s="220" cm="1">
        <f t="array" ref="R63" xml:space="preserve"> INDEX( tblFilterAll[Yorkshire &amp; the Humber], PeersCritera[[#This Row],[Index]] )</f>
        <v>0</v>
      </c>
      <c r="S63" s="224" t="str" cm="1">
        <f t="array" ref="S63" xml:space="preserve"> INDEX( tblFilterAll[Region with 50%+ of social stock owned], PeersCritera[[#This Row],[Index]] )</f>
        <v>West Midlands</v>
      </c>
      <c r="T63" s="229" cm="1">
        <f t="array" ref="T63" xml:space="preserve"> INDEX( tblFilterAll[Meets initial criteria], PeersCritera[[#This Row],[Index]] )</f>
        <v>1</v>
      </c>
      <c r="U63" s="241"/>
      <c r="V63" s="230">
        <f>IF( PeersCritera[[#This Row],[RP_Name]] = SelectedProvider, 1, IF( PeersCritera[[#This Row],[Override initial criteria]] = "Include", 1, IF( PeersCritera[[#This Row],[Override initial criteria]] = "Exclude", 0, PeersCritera[[#This Row],[Meets initial criteria]] ) ) )</f>
        <v>1</v>
      </c>
      <c r="W63" s="325">
        <f xml:space="preserve"> MATCH( PeersCritera[[#This Row],[RP_Name]], tblFilterAll[Provider name], 0 )</f>
        <v>48</v>
      </c>
      <c r="Y6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4" spans="2:25" x14ac:dyDescent="0.25">
      <c r="B64" s="327" t="s" vm="49">
        <v>243</v>
      </c>
      <c r="C64" s="218" cm="1" vm="8419">
        <f t="array" ref="C64" xml:space="preserve"> INDEX( tblFilterAll[Total social stock owned], PeersCritera[[#This Row],[Index]] )</f>
        <v>1343</v>
      </c>
      <c r="D64" s="219" cm="1">
        <f t="array" ref="D64" xml:space="preserve"> INDEX( tblFilterAll[% Supported housing (excl. HOP)], PeersCritera[[#This Row],[Index]] )</f>
        <v>0</v>
      </c>
      <c r="E64" s="220" cm="1">
        <f t="array" ref="E64" xml:space="preserve"> INDEX( tblFilterAll[% Housing for older people], PeersCritera[[#This Row],[Index]] )</f>
        <v>0</v>
      </c>
      <c r="F64" s="220">
        <f xml:space="preserve"> PeersCritera[[#This Row],[% Supported housing (excl. HOP)]] + PeersCritera[[#This Row],[% Housing for older people]]</f>
        <v>0</v>
      </c>
      <c r="G64" s="221">
        <f xml:space="preserve"> 1 - PeersCritera[[#This Row],[% Supported &amp; older people]]</f>
        <v>1</v>
      </c>
      <c r="H64" s="222" t="str" cm="1">
        <f t="array" ref="H64" xml:space="preserve"> INDEX( tblFilterAll[Provider Type], PeersCritera[[#This Row],[Index]] )</f>
        <v>Traditional</v>
      </c>
      <c r="I64" s="223" t="str" cm="1">
        <f t="array" ref="I64" xml:space="preserve"> INDEX( tblFilterAll[LSVT age], PeersCritera[[#This Row],[Index]] )</f>
        <v/>
      </c>
      <c r="J64" s="219" cm="1">
        <f t="array" ref="J64" xml:space="preserve"> INDEX( tblFilterAll[London], PeersCritera[[#This Row],[Index]] )</f>
        <v>0</v>
      </c>
      <c r="K64" s="220" cm="1">
        <f t="array" ref="K64" xml:space="preserve"> INDEX( tblFilterAll[South East], PeersCritera[[#This Row],[Index]] )</f>
        <v>0.68950111690245719</v>
      </c>
      <c r="L64" s="220" cm="1">
        <f t="array" ref="L64" xml:space="preserve"> INDEX( tblFilterAll[South West], PeersCritera[[#This Row],[Index]] )</f>
        <v>7.520476545048399E-2</v>
      </c>
      <c r="M64" s="220" cm="1">
        <f t="array" ref="M64" xml:space="preserve"> INDEX( tblFilterAll[East Midlands], PeersCritera[[#This Row],[Index]] )</f>
        <v>2.3082650781831721E-2</v>
      </c>
      <c r="N64" s="220" cm="1">
        <f t="array" ref="N64" xml:space="preserve"> INDEX( tblFilterAll[West Midlands], PeersCritera[[#This Row],[Index]] )</f>
        <v>0</v>
      </c>
      <c r="O64" s="220" cm="1">
        <f t="array" ref="O64" xml:space="preserve"> INDEX( tblFilterAll[East of England], PeersCritera[[#This Row],[Index]] )</f>
        <v>0.2092330603127327</v>
      </c>
      <c r="P64" s="220" cm="1">
        <f t="array" ref="P64" xml:space="preserve"> INDEX( tblFilterAll[North East], PeersCritera[[#This Row],[Index]] )</f>
        <v>0</v>
      </c>
      <c r="Q64" s="220" cm="1">
        <f t="array" ref="Q64" xml:space="preserve"> INDEX( tblFilterAll[North West], PeersCritera[[#This Row],[Index]] )</f>
        <v>2.9784065524944155E-3</v>
      </c>
      <c r="R64" s="220" cm="1">
        <f t="array" ref="R64" xml:space="preserve"> INDEX( tblFilterAll[Yorkshire &amp; the Humber], PeersCritera[[#This Row],[Index]] )</f>
        <v>0</v>
      </c>
      <c r="S64" s="224" t="str" cm="1">
        <f t="array" ref="S64" xml:space="preserve"> INDEX( tblFilterAll[Region with 50%+ of social stock owned], PeersCritera[[#This Row],[Index]] )</f>
        <v>South East</v>
      </c>
      <c r="T64" s="229" cm="1">
        <f t="array" ref="T64" xml:space="preserve"> INDEX( tblFilterAll[Meets initial criteria], PeersCritera[[#This Row],[Index]] )</f>
        <v>1</v>
      </c>
      <c r="U64" s="241"/>
      <c r="V64" s="230">
        <f>IF( PeersCritera[[#This Row],[RP_Name]] = SelectedProvider, 1, IF( PeersCritera[[#This Row],[Override initial criteria]] = "Include", 1, IF( PeersCritera[[#This Row],[Override initial criteria]] = "Exclude", 0, PeersCritera[[#This Row],[Meets initial criteria]] ) ) )</f>
        <v>1</v>
      </c>
      <c r="W64" s="325">
        <f xml:space="preserve"> MATCH( PeersCritera[[#This Row],[RP_Name]], tblFilterAll[Provider name], 0 )</f>
        <v>49</v>
      </c>
      <c r="Y6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5" spans="2:25" x14ac:dyDescent="0.25">
      <c r="B65" s="327" t="s" vm="50">
        <v>245</v>
      </c>
      <c r="C65" s="218" cm="1" vm="3899">
        <f t="array" ref="C65" xml:space="preserve"> INDEX( tblFilterAll[Total social stock owned], PeersCritera[[#This Row],[Index]] )</f>
        <v>4331</v>
      </c>
      <c r="D65" s="219" cm="1">
        <f t="array" ref="D65" xml:space="preserve"> INDEX( tblFilterAll[% Supported housing (excl. HOP)], PeersCritera[[#This Row],[Index]] )</f>
        <v>2.333641404805915E-2</v>
      </c>
      <c r="E65" s="220" cm="1">
        <f t="array" ref="E65" xml:space="preserve"> INDEX( tblFilterAll[% Housing for older people], PeersCritera[[#This Row],[Index]] )</f>
        <v>1.8022181146025877E-2</v>
      </c>
      <c r="F65" s="220">
        <f xml:space="preserve"> PeersCritera[[#This Row],[% Supported housing (excl. HOP)]] + PeersCritera[[#This Row],[% Housing for older people]]</f>
        <v>4.1358595194085024E-2</v>
      </c>
      <c r="G65" s="221">
        <f xml:space="preserve"> 1 - PeersCritera[[#This Row],[% Supported &amp; older people]]</f>
        <v>0.95864140480591498</v>
      </c>
      <c r="H65" s="222" t="str" cm="1">
        <f t="array" ref="H65" xml:space="preserve"> INDEX( tblFilterAll[Provider Type], PeersCritera[[#This Row],[Index]] )</f>
        <v>Traditional</v>
      </c>
      <c r="I65" s="223" t="str" cm="1">
        <f t="array" ref="I65" xml:space="preserve"> INDEX( tblFilterAll[LSVT age], PeersCritera[[#This Row],[Index]] )</f>
        <v/>
      </c>
      <c r="J65" s="219" cm="1">
        <f t="array" ref="J65" xml:space="preserve"> INDEX( tblFilterAll[London], PeersCritera[[#This Row],[Index]] )</f>
        <v>0.18227964928472543</v>
      </c>
      <c r="K65" s="220" cm="1">
        <f t="array" ref="K65" xml:space="preserve"> INDEX( tblFilterAll[South East], PeersCritera[[#This Row],[Index]] )</f>
        <v>0</v>
      </c>
      <c r="L65" s="220" cm="1">
        <f t="array" ref="L65" xml:space="preserve"> INDEX( tblFilterAll[South West], PeersCritera[[#This Row],[Index]] )</f>
        <v>0</v>
      </c>
      <c r="M65" s="220" cm="1">
        <f t="array" ref="M65" xml:space="preserve"> INDEX( tblFilterAll[East Midlands], PeersCritera[[#This Row],[Index]] )</f>
        <v>0</v>
      </c>
      <c r="N65" s="220" cm="1">
        <f t="array" ref="N65" xml:space="preserve"> INDEX( tblFilterAll[West Midlands], PeersCritera[[#This Row],[Index]] )</f>
        <v>0</v>
      </c>
      <c r="O65" s="220" cm="1">
        <f t="array" ref="O65" xml:space="preserve"> INDEX( tblFilterAll[East of England], PeersCritera[[#This Row],[Index]] )</f>
        <v>0.8177203507152746</v>
      </c>
      <c r="P65" s="220" cm="1">
        <f t="array" ref="P65" xml:space="preserve"> INDEX( tblFilterAll[North East], PeersCritera[[#This Row],[Index]] )</f>
        <v>0</v>
      </c>
      <c r="Q65" s="220" cm="1">
        <f t="array" ref="Q65" xml:space="preserve"> INDEX( tblFilterAll[North West], PeersCritera[[#This Row],[Index]] )</f>
        <v>0</v>
      </c>
      <c r="R65" s="220" cm="1">
        <f t="array" ref="R65" xml:space="preserve"> INDEX( tblFilterAll[Yorkshire &amp; the Humber], PeersCritera[[#This Row],[Index]] )</f>
        <v>0</v>
      </c>
      <c r="S65" s="224" t="str" cm="1">
        <f t="array" ref="S65" xml:space="preserve"> INDEX( tblFilterAll[Region with 50%+ of social stock owned], PeersCritera[[#This Row],[Index]] )</f>
        <v>East of England</v>
      </c>
      <c r="T65" s="229" cm="1">
        <f t="array" ref="T65" xml:space="preserve"> INDEX( tblFilterAll[Meets initial criteria], PeersCritera[[#This Row],[Index]] )</f>
        <v>1</v>
      </c>
      <c r="U65" s="241"/>
      <c r="V65" s="230">
        <f>IF( PeersCritera[[#This Row],[RP_Name]] = SelectedProvider, 1, IF( PeersCritera[[#This Row],[Override initial criteria]] = "Include", 1, IF( PeersCritera[[#This Row],[Override initial criteria]] = "Exclude", 0, PeersCritera[[#This Row],[Meets initial criteria]] ) ) )</f>
        <v>1</v>
      </c>
      <c r="W65" s="325">
        <f xml:space="preserve"> MATCH( PeersCritera[[#This Row],[RP_Name]], tblFilterAll[Provider name], 0 )</f>
        <v>50</v>
      </c>
      <c r="Y6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6" spans="2:25" x14ac:dyDescent="0.25">
      <c r="B66" s="327" t="s" vm="51">
        <v>247</v>
      </c>
      <c r="C66" s="218" cm="1" vm="5270">
        <f t="array" ref="C66" xml:space="preserve"> INDEX( tblFilterAll[Total social stock owned], PeersCritera[[#This Row],[Index]] )</f>
        <v>8564</v>
      </c>
      <c r="D66" s="219" cm="1">
        <f t="array" ref="D66" xml:space="preserve"> INDEX( tblFilterAll[% Supported housing (excl. HOP)], PeersCritera[[#This Row],[Index]] )</f>
        <v>1.2945745557255502E-3</v>
      </c>
      <c r="E66" s="220" cm="1">
        <f t="array" ref="E66" xml:space="preserve"> INDEX( tblFilterAll[% Housing for older people], PeersCritera[[#This Row],[Index]] )</f>
        <v>7.4379192656231607E-2</v>
      </c>
      <c r="F66" s="220">
        <f xml:space="preserve"> PeersCritera[[#This Row],[% Supported housing (excl. HOP)]] + PeersCritera[[#This Row],[% Housing for older people]]</f>
        <v>7.5673767211957163E-2</v>
      </c>
      <c r="G66" s="221">
        <f xml:space="preserve"> 1 - PeersCritera[[#This Row],[% Supported &amp; older people]]</f>
        <v>0.92432623278804282</v>
      </c>
      <c r="H66" s="222" t="str" cm="1">
        <f t="array" ref="H66" xml:space="preserve"> INDEX( tblFilterAll[Provider Type], PeersCritera[[#This Row],[Index]] )</f>
        <v>Traditional</v>
      </c>
      <c r="I66" s="223" t="str" cm="1">
        <f t="array" ref="I66" xml:space="preserve"> INDEX( tblFilterAll[LSVT age], PeersCritera[[#This Row],[Index]] )</f>
        <v>&gt;= 12 years</v>
      </c>
      <c r="J66" s="219" cm="1">
        <f t="array" ref="J66" xml:space="preserve"> INDEX( tblFilterAll[London], PeersCritera[[#This Row],[Index]] )</f>
        <v>0</v>
      </c>
      <c r="K66" s="220" cm="1">
        <f t="array" ref="K66" xml:space="preserve"> INDEX( tblFilterAll[South East], PeersCritera[[#This Row],[Index]] )</f>
        <v>0.99311069593647827</v>
      </c>
      <c r="L66" s="220" cm="1">
        <f t="array" ref="L66" xml:space="preserve"> INDEX( tblFilterAll[South West], PeersCritera[[#This Row],[Index]] )</f>
        <v>0</v>
      </c>
      <c r="M66" s="220" cm="1">
        <f t="array" ref="M66" xml:space="preserve"> INDEX( tblFilterAll[East Midlands], PeersCritera[[#This Row],[Index]] )</f>
        <v>6.3054647361046236E-3</v>
      </c>
      <c r="N66" s="220" cm="1">
        <f t="array" ref="N66" xml:space="preserve"> INDEX( tblFilterAll[West Midlands], PeersCritera[[#This Row],[Index]] )</f>
        <v>0</v>
      </c>
      <c r="O66" s="220" cm="1">
        <f t="array" ref="O66" xml:space="preserve"> INDEX( tblFilterAll[East of England], PeersCritera[[#This Row],[Index]] )</f>
        <v>5.838393274170948E-4</v>
      </c>
      <c r="P66" s="220" cm="1">
        <f t="array" ref="P66" xml:space="preserve"> INDEX( tblFilterAll[North East], PeersCritera[[#This Row],[Index]] )</f>
        <v>0</v>
      </c>
      <c r="Q66" s="220" cm="1">
        <f t="array" ref="Q66" xml:space="preserve"> INDEX( tblFilterAll[North West], PeersCritera[[#This Row],[Index]] )</f>
        <v>0</v>
      </c>
      <c r="R66" s="220" cm="1">
        <f t="array" ref="R66" xml:space="preserve"> INDEX( tblFilterAll[Yorkshire &amp; the Humber], PeersCritera[[#This Row],[Index]] )</f>
        <v>0</v>
      </c>
      <c r="S66" s="224" t="str" cm="1">
        <f t="array" ref="S66" xml:space="preserve"> INDEX( tblFilterAll[Region with 50%+ of social stock owned], PeersCritera[[#This Row],[Index]] )</f>
        <v>South East</v>
      </c>
      <c r="T66" s="229" cm="1">
        <f t="array" ref="T66" xml:space="preserve"> INDEX( tblFilterAll[Meets initial criteria], PeersCritera[[#This Row],[Index]] )</f>
        <v>1</v>
      </c>
      <c r="U66" s="241"/>
      <c r="V66" s="230">
        <f>IF( PeersCritera[[#This Row],[RP_Name]] = SelectedProvider, 1, IF( PeersCritera[[#This Row],[Override initial criteria]] = "Include", 1, IF( PeersCritera[[#This Row],[Override initial criteria]] = "Exclude", 0, PeersCritera[[#This Row],[Meets initial criteria]] ) ) )</f>
        <v>1</v>
      </c>
      <c r="W66" s="325">
        <f xml:space="preserve"> MATCH( PeersCritera[[#This Row],[RP_Name]], tblFilterAll[Provider name], 0 )</f>
        <v>51</v>
      </c>
      <c r="Y6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7" spans="2:25" x14ac:dyDescent="0.25">
      <c r="B67" s="327" t="s" vm="52">
        <v>249</v>
      </c>
      <c r="C67" s="218" cm="1" vm="7851">
        <f t="array" ref="C67" xml:space="preserve"> INDEX( tblFilterAll[Total social stock owned], PeersCritera[[#This Row],[Index]] )</f>
        <v>11426</v>
      </c>
      <c r="D67" s="219" cm="1">
        <f t="array" ref="D67" xml:space="preserve"> INDEX( tblFilterAll[% Supported housing (excl. HOP)], PeersCritera[[#This Row],[Index]] )</f>
        <v>0</v>
      </c>
      <c r="E67" s="220" cm="1">
        <f t="array" ref="E67" xml:space="preserve"> INDEX( tblFilterAll[% Housing for older people], PeersCritera[[#This Row],[Index]] )</f>
        <v>0</v>
      </c>
      <c r="F67" s="220">
        <f xml:space="preserve"> PeersCritera[[#This Row],[% Supported housing (excl. HOP)]] + PeersCritera[[#This Row],[% Housing for older people]]</f>
        <v>0</v>
      </c>
      <c r="G67" s="221">
        <f xml:space="preserve"> 1 - PeersCritera[[#This Row],[% Supported &amp; older people]]</f>
        <v>1</v>
      </c>
      <c r="H67" s="222" t="str" cm="1">
        <f t="array" ref="H67" xml:space="preserve"> INDEX( tblFilterAll[Provider Type], PeersCritera[[#This Row],[Index]] )</f>
        <v>Traditional</v>
      </c>
      <c r="I67" s="223" t="str" cm="1">
        <f t="array" ref="I67" xml:space="preserve"> INDEX( tblFilterAll[LSVT age], PeersCritera[[#This Row],[Index]] )</f>
        <v>&gt;= 12 years</v>
      </c>
      <c r="J67" s="219" cm="1">
        <f t="array" ref="J67" xml:space="preserve"> INDEX( tblFilterAll[London], PeersCritera[[#This Row],[Index]] )</f>
        <v>0</v>
      </c>
      <c r="K67" s="220" cm="1">
        <f t="array" ref="K67" xml:space="preserve"> INDEX( tblFilterAll[South East], PeersCritera[[#This Row],[Index]] )</f>
        <v>0</v>
      </c>
      <c r="L67" s="220" cm="1">
        <f t="array" ref="L67" xml:space="preserve"> INDEX( tblFilterAll[South West], PeersCritera[[#This Row],[Index]] )</f>
        <v>0</v>
      </c>
      <c r="M67" s="220" cm="1">
        <f t="array" ref="M67" xml:space="preserve"> INDEX( tblFilterAll[East Midlands], PeersCritera[[#This Row],[Index]] )</f>
        <v>0</v>
      </c>
      <c r="N67" s="220" cm="1">
        <f t="array" ref="N67" xml:space="preserve"> INDEX( tblFilterAll[West Midlands], PeersCritera[[#This Row],[Index]] )</f>
        <v>0</v>
      </c>
      <c r="O67" s="220" cm="1">
        <f t="array" ref="O67" xml:space="preserve"> INDEX( tblFilterAll[East of England], PeersCritera[[#This Row],[Index]] )</f>
        <v>0</v>
      </c>
      <c r="P67" s="220" cm="1">
        <f t="array" ref="P67" xml:space="preserve"> INDEX( tblFilterAll[North East], PeersCritera[[#This Row],[Index]] )</f>
        <v>0</v>
      </c>
      <c r="Q67" s="220" cm="1">
        <f t="array" ref="Q67" xml:space="preserve"> INDEX( tblFilterAll[North West], PeersCritera[[#This Row],[Index]] )</f>
        <v>1</v>
      </c>
      <c r="R67" s="220" cm="1">
        <f t="array" ref="R67" xml:space="preserve"> INDEX( tblFilterAll[Yorkshire &amp; the Humber], PeersCritera[[#This Row],[Index]] )</f>
        <v>0</v>
      </c>
      <c r="S67" s="224" t="str" cm="1">
        <f t="array" ref="S67" xml:space="preserve"> INDEX( tblFilterAll[Region with 50%+ of social stock owned], PeersCritera[[#This Row],[Index]] )</f>
        <v>North West</v>
      </c>
      <c r="T67" s="229" cm="1">
        <f t="array" ref="T67" xml:space="preserve"> INDEX( tblFilterAll[Meets initial criteria], PeersCritera[[#This Row],[Index]] )</f>
        <v>1</v>
      </c>
      <c r="U67" s="241"/>
      <c r="V67" s="230">
        <f>IF( PeersCritera[[#This Row],[RP_Name]] = SelectedProvider, 1, IF( PeersCritera[[#This Row],[Override initial criteria]] = "Include", 1, IF( PeersCritera[[#This Row],[Override initial criteria]] = "Exclude", 0, PeersCritera[[#This Row],[Meets initial criteria]] ) ) )</f>
        <v>1</v>
      </c>
      <c r="W67" s="325">
        <f xml:space="preserve"> MATCH( PeersCritera[[#This Row],[RP_Name]], tblFilterAll[Provider name], 0 )</f>
        <v>52</v>
      </c>
      <c r="Y6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8" spans="2:25" x14ac:dyDescent="0.25">
      <c r="B68" s="327" t="s" vm="53">
        <v>251</v>
      </c>
      <c r="C68" s="218" cm="1" vm="1301">
        <f t="array" ref="C68" xml:space="preserve"> INDEX( tblFilterAll[Total social stock owned], PeersCritera[[#This Row],[Index]] )</f>
        <v>2276</v>
      </c>
      <c r="D68" s="219" cm="1">
        <f t="array" ref="D68" xml:space="preserve"> INDEX( tblFilterAll[% Supported housing (excl. HOP)], PeersCritera[[#This Row],[Index]] )</f>
        <v>2.0255394099515631E-2</v>
      </c>
      <c r="E68" s="220" cm="1">
        <f t="array" ref="E68" xml:space="preserve"> INDEX( tblFilterAll[% Housing for older people], PeersCritera[[#This Row],[Index]] )</f>
        <v>0.20387494495816821</v>
      </c>
      <c r="F68" s="220">
        <f xml:space="preserve"> PeersCritera[[#This Row],[% Supported housing (excl. HOP)]] + PeersCritera[[#This Row],[% Housing for older people]]</f>
        <v>0.22413033905768384</v>
      </c>
      <c r="G68" s="221">
        <f xml:space="preserve"> 1 - PeersCritera[[#This Row],[% Supported &amp; older people]]</f>
        <v>0.77586966094231613</v>
      </c>
      <c r="H68" s="222" t="str" cm="1">
        <f t="array" ref="H68" xml:space="preserve"> INDEX( tblFilterAll[Provider Type], PeersCritera[[#This Row],[Index]] )</f>
        <v>Traditional</v>
      </c>
      <c r="I68" s="223" t="str" cm="1">
        <f t="array" ref="I68" xml:space="preserve"> INDEX( tblFilterAll[LSVT age], PeersCritera[[#This Row],[Index]] )</f>
        <v/>
      </c>
      <c r="J68" s="219" cm="1">
        <f t="array" ref="J68" xml:space="preserve"> INDEX( tblFilterAll[London], PeersCritera[[#This Row],[Index]] )</f>
        <v>0</v>
      </c>
      <c r="K68" s="220" cm="1">
        <f t="array" ref="K68" xml:space="preserve"> INDEX( tblFilterAll[South East], PeersCritera[[#This Row],[Index]] )</f>
        <v>0</v>
      </c>
      <c r="L68" s="220" cm="1">
        <f t="array" ref="L68" xml:space="preserve"> INDEX( tblFilterAll[South West], PeersCritera[[#This Row],[Index]] )</f>
        <v>0</v>
      </c>
      <c r="M68" s="220" cm="1">
        <f t="array" ref="M68" xml:space="preserve"> INDEX( tblFilterAll[East Midlands], PeersCritera[[#This Row],[Index]] )</f>
        <v>0</v>
      </c>
      <c r="N68" s="220" cm="1">
        <f t="array" ref="N68" xml:space="preserve"> INDEX( tblFilterAll[West Midlands], PeersCritera[[#This Row],[Index]] )</f>
        <v>0</v>
      </c>
      <c r="O68" s="220" cm="1">
        <f t="array" ref="O68" xml:space="preserve"> INDEX( tblFilterAll[East of England], PeersCritera[[#This Row],[Index]] )</f>
        <v>1</v>
      </c>
      <c r="P68" s="220" cm="1">
        <f t="array" ref="P68" xml:space="preserve"> INDEX( tblFilterAll[North East], PeersCritera[[#This Row],[Index]] )</f>
        <v>0</v>
      </c>
      <c r="Q68" s="220" cm="1">
        <f t="array" ref="Q68" xml:space="preserve"> INDEX( tblFilterAll[North West], PeersCritera[[#This Row],[Index]] )</f>
        <v>0</v>
      </c>
      <c r="R68" s="220" cm="1">
        <f t="array" ref="R68" xml:space="preserve"> INDEX( tblFilterAll[Yorkshire &amp; the Humber], PeersCritera[[#This Row],[Index]] )</f>
        <v>0</v>
      </c>
      <c r="S68" s="224" t="str" cm="1">
        <f t="array" ref="S68" xml:space="preserve"> INDEX( tblFilterAll[Region with 50%+ of social stock owned], PeersCritera[[#This Row],[Index]] )</f>
        <v>East of England</v>
      </c>
      <c r="T68" s="229" cm="1">
        <f t="array" ref="T68" xml:space="preserve"> INDEX( tblFilterAll[Meets initial criteria], PeersCritera[[#This Row],[Index]] )</f>
        <v>1</v>
      </c>
      <c r="U68" s="241"/>
      <c r="V68" s="230">
        <f>IF( PeersCritera[[#This Row],[RP_Name]] = SelectedProvider, 1, IF( PeersCritera[[#This Row],[Override initial criteria]] = "Include", 1, IF( PeersCritera[[#This Row],[Override initial criteria]] = "Exclude", 0, PeersCritera[[#This Row],[Meets initial criteria]] ) ) )</f>
        <v>1</v>
      </c>
      <c r="W68" s="325">
        <f xml:space="preserve"> MATCH( PeersCritera[[#This Row],[RP_Name]], tblFilterAll[Provider name], 0 )</f>
        <v>53</v>
      </c>
      <c r="Y6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69" spans="2:25" x14ac:dyDescent="0.25">
      <c r="B69" s="327" t="s" vm="54">
        <v>253</v>
      </c>
      <c r="C69" s="218" cm="1" vm="1889">
        <f t="array" ref="C69" xml:space="preserve"> INDEX( tblFilterAll[Total social stock owned], PeersCritera[[#This Row],[Index]] )</f>
        <v>31550</v>
      </c>
      <c r="D69" s="219" cm="1">
        <f t="array" ref="D69" xml:space="preserve"> INDEX( tblFilterAll[% Supported housing (excl. HOP)], PeersCritera[[#This Row],[Index]] )</f>
        <v>7.7697108648579795E-3</v>
      </c>
      <c r="E69" s="220" cm="1">
        <f t="array" ref="E69" xml:space="preserve"> INDEX( tblFilterAll[% Housing for older people], PeersCritera[[#This Row],[Index]] )</f>
        <v>1.3437778626926506E-2</v>
      </c>
      <c r="F69" s="220">
        <f xml:space="preserve"> PeersCritera[[#This Row],[% Supported housing (excl. HOP)]] + PeersCritera[[#This Row],[% Housing for older people]]</f>
        <v>2.1207489491784484E-2</v>
      </c>
      <c r="G69" s="221">
        <f xml:space="preserve"> 1 - PeersCritera[[#This Row],[% Supported &amp; older people]]</f>
        <v>0.97879251050821547</v>
      </c>
      <c r="H69" s="222" t="str" cm="1">
        <f t="array" ref="H69" xml:space="preserve"> INDEX( tblFilterAll[Provider Type], PeersCritera[[#This Row],[Index]] )</f>
        <v>Traditional</v>
      </c>
      <c r="I69" s="223" t="str" cm="1">
        <f t="array" ref="I69" xml:space="preserve"> INDEX( tblFilterAll[LSVT age], PeersCritera[[#This Row],[Index]] )</f>
        <v>&gt;= 12 years</v>
      </c>
      <c r="J69" s="219" cm="1">
        <f t="array" ref="J69" xml:space="preserve"> INDEX( tblFilterAll[London], PeersCritera[[#This Row],[Index]] )</f>
        <v>0</v>
      </c>
      <c r="K69" s="220" cm="1">
        <f t="array" ref="K69" xml:space="preserve"> INDEX( tblFilterAll[South East], PeersCritera[[#This Row],[Index]] )</f>
        <v>0</v>
      </c>
      <c r="L69" s="220" cm="1">
        <f t="array" ref="L69" xml:space="preserve"> INDEX( tblFilterAll[South West], PeersCritera[[#This Row],[Index]] )</f>
        <v>0</v>
      </c>
      <c r="M69" s="220" cm="1">
        <f t="array" ref="M69" xml:space="preserve"> INDEX( tblFilterAll[East Midlands], PeersCritera[[#This Row],[Index]] )</f>
        <v>0</v>
      </c>
      <c r="N69" s="220" cm="1">
        <f t="array" ref="N69" xml:space="preserve"> INDEX( tblFilterAll[West Midlands], PeersCritera[[#This Row],[Index]] )</f>
        <v>0</v>
      </c>
      <c r="O69" s="220" cm="1">
        <f t="array" ref="O69" xml:space="preserve"> INDEX( tblFilterAll[East of England], PeersCritera[[#This Row],[Index]] )</f>
        <v>1</v>
      </c>
      <c r="P69" s="220" cm="1">
        <f t="array" ref="P69" xml:space="preserve"> INDEX( tblFilterAll[North East], PeersCritera[[#This Row],[Index]] )</f>
        <v>0</v>
      </c>
      <c r="Q69" s="220" cm="1">
        <f t="array" ref="Q69" xml:space="preserve"> INDEX( tblFilterAll[North West], PeersCritera[[#This Row],[Index]] )</f>
        <v>0</v>
      </c>
      <c r="R69" s="220" cm="1">
        <f t="array" ref="R69" xml:space="preserve"> INDEX( tblFilterAll[Yorkshire &amp; the Humber], PeersCritera[[#This Row],[Index]] )</f>
        <v>0</v>
      </c>
      <c r="S69" s="224" t="str" cm="1">
        <f t="array" ref="S69" xml:space="preserve"> INDEX( tblFilterAll[Region with 50%+ of social stock owned], PeersCritera[[#This Row],[Index]] )</f>
        <v>East of England</v>
      </c>
      <c r="T69" s="229" cm="1">
        <f t="array" ref="T69" xml:space="preserve"> INDEX( tblFilterAll[Meets initial criteria], PeersCritera[[#This Row],[Index]] )</f>
        <v>1</v>
      </c>
      <c r="U69" s="241"/>
      <c r="V69" s="230">
        <f>IF( PeersCritera[[#This Row],[RP_Name]] = SelectedProvider, 1, IF( PeersCritera[[#This Row],[Override initial criteria]] = "Include", 1, IF( PeersCritera[[#This Row],[Override initial criteria]] = "Exclude", 0, PeersCritera[[#This Row],[Meets initial criteria]] ) ) )</f>
        <v>1</v>
      </c>
      <c r="W69" s="325">
        <f xml:space="preserve"> MATCH( PeersCritera[[#This Row],[RP_Name]], tblFilterAll[Provider name], 0 )</f>
        <v>54</v>
      </c>
      <c r="Y6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70" spans="2:25" x14ac:dyDescent="0.25">
      <c r="B70" s="327" t="s" vm="55">
        <v>255</v>
      </c>
      <c r="C70" s="218" cm="1" vm="3209">
        <f t="array" ref="C70" xml:space="preserve"> INDEX( tblFilterAll[Total social stock owned], PeersCritera[[#This Row],[Index]] )</f>
        <v>17790</v>
      </c>
      <c r="D70" s="219" cm="1">
        <f t="array" ref="D70" xml:space="preserve"> INDEX( tblFilterAll[% Supported housing (excl. HOP)], PeersCritera[[#This Row],[Index]] )</f>
        <v>7.8816058063052849E-2</v>
      </c>
      <c r="E70" s="220" cm="1">
        <f t="array" ref="E70" xml:space="preserve"> INDEX( tblFilterAll[% Housing for older people], PeersCritera[[#This Row],[Index]] )</f>
        <v>0</v>
      </c>
      <c r="F70" s="220">
        <f xml:space="preserve"> PeersCritera[[#This Row],[% Supported housing (excl. HOP)]] + PeersCritera[[#This Row],[% Housing for older people]]</f>
        <v>7.8816058063052849E-2</v>
      </c>
      <c r="G70" s="221">
        <f xml:space="preserve"> 1 - PeersCritera[[#This Row],[% Supported &amp; older people]]</f>
        <v>0.92118394193694719</v>
      </c>
      <c r="H70" s="222" t="str" cm="1">
        <f t="array" ref="H70" xml:space="preserve"> INDEX( tblFilterAll[Provider Type], PeersCritera[[#This Row],[Index]] )</f>
        <v>Traditional</v>
      </c>
      <c r="I70" s="223" t="str" cm="1">
        <f t="array" ref="I70" xml:space="preserve"> INDEX( tblFilterAll[LSVT age], PeersCritera[[#This Row],[Index]] )</f>
        <v>&gt;= 12 years</v>
      </c>
      <c r="J70" s="219" cm="1">
        <f t="array" ref="J70" xml:space="preserve"> INDEX( tblFilterAll[London], PeersCritera[[#This Row],[Index]] )</f>
        <v>0</v>
      </c>
      <c r="K70" s="220" cm="1">
        <f t="array" ref="K70" xml:space="preserve"> INDEX( tblFilterAll[South East], PeersCritera[[#This Row],[Index]] )</f>
        <v>0</v>
      </c>
      <c r="L70" s="220" cm="1">
        <f t="array" ref="L70" xml:space="preserve"> INDEX( tblFilterAll[South West], PeersCritera[[#This Row],[Index]] )</f>
        <v>0</v>
      </c>
      <c r="M70" s="220" cm="1">
        <f t="array" ref="M70" xml:space="preserve"> INDEX( tblFilterAll[East Midlands], PeersCritera[[#This Row],[Index]] )</f>
        <v>0</v>
      </c>
      <c r="N70" s="220" cm="1">
        <f t="array" ref="N70" xml:space="preserve"> INDEX( tblFilterAll[West Midlands], PeersCritera[[#This Row],[Index]] )</f>
        <v>0</v>
      </c>
      <c r="O70" s="220" cm="1">
        <f t="array" ref="O70" xml:space="preserve"> INDEX( tblFilterAll[East of England], PeersCritera[[#This Row],[Index]] )</f>
        <v>0</v>
      </c>
      <c r="P70" s="220" cm="1">
        <f t="array" ref="P70" xml:space="preserve"> INDEX( tblFilterAll[North East], PeersCritera[[#This Row],[Index]] )</f>
        <v>0</v>
      </c>
      <c r="Q70" s="220" cm="1">
        <f t="array" ref="Q70" xml:space="preserve"> INDEX( tblFilterAll[North West], PeersCritera[[#This Row],[Index]] )</f>
        <v>1</v>
      </c>
      <c r="R70" s="220" cm="1">
        <f t="array" ref="R70" xml:space="preserve"> INDEX( tblFilterAll[Yorkshire &amp; the Humber], PeersCritera[[#This Row],[Index]] )</f>
        <v>0</v>
      </c>
      <c r="S70" s="224" t="str" cm="1">
        <f t="array" ref="S70" xml:space="preserve"> INDEX( tblFilterAll[Region with 50%+ of social stock owned], PeersCritera[[#This Row],[Index]] )</f>
        <v>North West</v>
      </c>
      <c r="T70" s="229" cm="1">
        <f t="array" ref="T70" xml:space="preserve"> INDEX( tblFilterAll[Meets initial criteria], PeersCritera[[#This Row],[Index]] )</f>
        <v>1</v>
      </c>
      <c r="U70" s="241"/>
      <c r="V70" s="230">
        <f>IF( PeersCritera[[#This Row],[RP_Name]] = SelectedProvider, 1, IF( PeersCritera[[#This Row],[Override initial criteria]] = "Include", 1, IF( PeersCritera[[#This Row],[Override initial criteria]] = "Exclude", 0, PeersCritera[[#This Row],[Meets initial criteria]] ) ) )</f>
        <v>1</v>
      </c>
      <c r="W70" s="325">
        <f xml:space="preserve"> MATCH( PeersCritera[[#This Row],[RP_Name]], tblFilterAll[Provider name], 0 )</f>
        <v>55</v>
      </c>
      <c r="Y7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71" spans="2:25" x14ac:dyDescent="0.25">
      <c r="B71" s="327" t="s" vm="56">
        <v>257</v>
      </c>
      <c r="C71" s="218" cm="1" vm="624">
        <f t="array" ref="C71" xml:space="preserve"> INDEX( tblFilterAll[Total social stock owned], PeersCritera[[#This Row],[Index]] )</f>
        <v>1223</v>
      </c>
      <c r="D71" s="219" cm="1">
        <f t="array" ref="D71" xml:space="preserve"> INDEX( tblFilterAll[% Supported housing (excl. HOP)], PeersCritera[[#This Row],[Index]] )</f>
        <v>0.84791496320523307</v>
      </c>
      <c r="E71" s="220" cm="1">
        <f t="array" ref="E71" xml:space="preserve"> INDEX( tblFilterAll[% Housing for older people], PeersCritera[[#This Row],[Index]] )</f>
        <v>0</v>
      </c>
      <c r="F71" s="220">
        <f xml:space="preserve"> PeersCritera[[#This Row],[% Supported housing (excl. HOP)]] + PeersCritera[[#This Row],[% Housing for older people]]</f>
        <v>0.84791496320523307</v>
      </c>
      <c r="G71" s="221">
        <f xml:space="preserve"> 1 - PeersCritera[[#This Row],[% Supported &amp; older people]]</f>
        <v>0.15208503679476693</v>
      </c>
      <c r="H71" s="222" t="str" cm="1">
        <f t="array" ref="H71" xml:space="preserve"> INDEX( tblFilterAll[Provider Type], PeersCritera[[#This Row],[Index]] )</f>
        <v>Traditional</v>
      </c>
      <c r="I71" s="223" t="str" cm="1">
        <f t="array" ref="I71" xml:space="preserve"> INDEX( tblFilterAll[LSVT age], PeersCritera[[#This Row],[Index]] )</f>
        <v/>
      </c>
      <c r="J71" s="219" cm="1">
        <f t="array" ref="J71" xml:space="preserve"> INDEX( tblFilterAll[London], PeersCritera[[#This Row],[Index]] )</f>
        <v>0</v>
      </c>
      <c r="K71" s="220" cm="1">
        <f t="array" ref="K71" xml:space="preserve"> INDEX( tblFilterAll[South East], PeersCritera[[#This Row],[Index]] )</f>
        <v>0</v>
      </c>
      <c r="L71" s="220" cm="1">
        <f t="array" ref="L71" xml:space="preserve"> INDEX( tblFilterAll[South West], PeersCritera[[#This Row],[Index]] )</f>
        <v>0</v>
      </c>
      <c r="M71" s="220" cm="1">
        <f t="array" ref="M71" xml:space="preserve"> INDEX( tblFilterAll[East Midlands], PeersCritera[[#This Row],[Index]] )</f>
        <v>0.97327586206896555</v>
      </c>
      <c r="N71" s="220" cm="1">
        <f t="array" ref="N71" xml:space="preserve"> INDEX( tblFilterAll[West Midlands], PeersCritera[[#This Row],[Index]] )</f>
        <v>2.5862068965517241E-3</v>
      </c>
      <c r="O71" s="220" cm="1">
        <f t="array" ref="O71" xml:space="preserve"> INDEX( tblFilterAll[East of England], PeersCritera[[#This Row],[Index]] )</f>
        <v>0</v>
      </c>
      <c r="P71" s="220" cm="1">
        <f t="array" ref="P71" xml:space="preserve"> INDEX( tblFilterAll[North East], PeersCritera[[#This Row],[Index]] )</f>
        <v>0</v>
      </c>
      <c r="Q71" s="220" cm="1">
        <f t="array" ref="Q71" xml:space="preserve"> INDEX( tblFilterAll[North West], PeersCritera[[#This Row],[Index]] )</f>
        <v>0</v>
      </c>
      <c r="R71" s="220" cm="1">
        <f t="array" ref="R71" xml:space="preserve"> INDEX( tblFilterAll[Yorkshire &amp; the Humber], PeersCritera[[#This Row],[Index]] )</f>
        <v>2.4137931034482758E-2</v>
      </c>
      <c r="S71" s="224" t="str" cm="1">
        <f t="array" ref="S71" xml:space="preserve"> INDEX( tblFilterAll[Region with 50%+ of social stock owned], PeersCritera[[#This Row],[Index]] )</f>
        <v>East Midlands</v>
      </c>
      <c r="T71" s="229" cm="1">
        <f t="array" ref="T71" xml:space="preserve"> INDEX( tblFilterAll[Meets initial criteria], PeersCritera[[#This Row],[Index]] )</f>
        <v>1</v>
      </c>
      <c r="U71" s="241"/>
      <c r="V71" s="230">
        <f>IF( PeersCritera[[#This Row],[RP_Name]] = SelectedProvider, 1, IF( PeersCritera[[#This Row],[Override initial criteria]] = "Include", 1, IF( PeersCritera[[#This Row],[Override initial criteria]] = "Exclude", 0, PeersCritera[[#This Row],[Meets initial criteria]] ) ) )</f>
        <v>1</v>
      </c>
      <c r="W71" s="325">
        <f xml:space="preserve"> MATCH( PeersCritera[[#This Row],[RP_Name]], tblFilterAll[Provider name], 0 )</f>
        <v>56</v>
      </c>
      <c r="Y7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72" spans="2:25" x14ac:dyDescent="0.25">
      <c r="B72" s="327" t="s" vm="57">
        <v>259</v>
      </c>
      <c r="C72" s="218" cm="1" vm="6504">
        <f t="array" ref="C72" xml:space="preserve"> INDEX( tblFilterAll[Total social stock owned], PeersCritera[[#This Row],[Index]] )</f>
        <v>6832</v>
      </c>
      <c r="D72" s="219" cm="1">
        <f t="array" ref="D72" xml:space="preserve"> INDEX( tblFilterAll[% Supported housing (excl. HOP)], PeersCritera[[#This Row],[Index]] )</f>
        <v>4.1049699457557541E-3</v>
      </c>
      <c r="E72" s="220" cm="1">
        <f t="array" ref="E72" xml:space="preserve"> INDEX( tblFilterAll[% Housing for older people], PeersCritera[[#This Row],[Index]] )</f>
        <v>8.5471338513414458E-2</v>
      </c>
      <c r="F72" s="220">
        <f xml:space="preserve"> PeersCritera[[#This Row],[% Supported housing (excl. HOP)]] + PeersCritera[[#This Row],[% Housing for older people]]</f>
        <v>8.9576308459170209E-2</v>
      </c>
      <c r="G72" s="221">
        <f xml:space="preserve"> 1 - PeersCritera[[#This Row],[% Supported &amp; older people]]</f>
        <v>0.9104236915408298</v>
      </c>
      <c r="H72" s="222" t="str" cm="1">
        <f t="array" ref="H72" xml:space="preserve"> INDEX( tblFilterAll[Provider Type], PeersCritera[[#This Row],[Index]] )</f>
        <v>Traditional</v>
      </c>
      <c r="I72" s="223" t="str" cm="1">
        <f t="array" ref="I72" xml:space="preserve"> INDEX( tblFilterAll[LSVT age], PeersCritera[[#This Row],[Index]] )</f>
        <v>&gt;= 12 years</v>
      </c>
      <c r="J72" s="219" cm="1">
        <f t="array" ref="J72" xml:space="preserve"> INDEX( tblFilterAll[London], PeersCritera[[#This Row],[Index]] )</f>
        <v>0</v>
      </c>
      <c r="K72" s="220" cm="1">
        <f t="array" ref="K72" xml:space="preserve"> INDEX( tblFilterAll[South East], PeersCritera[[#This Row],[Index]] )</f>
        <v>0</v>
      </c>
      <c r="L72" s="220" cm="1">
        <f t="array" ref="L72" xml:space="preserve"> INDEX( tblFilterAll[South West], PeersCritera[[#This Row],[Index]] )</f>
        <v>0</v>
      </c>
      <c r="M72" s="220" cm="1">
        <f t="array" ref="M72" xml:space="preserve"> INDEX( tblFilterAll[East Midlands], PeersCritera[[#This Row],[Index]] )</f>
        <v>0</v>
      </c>
      <c r="N72" s="220" cm="1">
        <f t="array" ref="N72" xml:space="preserve"> INDEX( tblFilterAll[West Midlands], PeersCritera[[#This Row],[Index]] )</f>
        <v>0</v>
      </c>
      <c r="O72" s="220" cm="1">
        <f t="array" ref="O72" xml:space="preserve"> INDEX( tblFilterAll[East of England], PeersCritera[[#This Row],[Index]] )</f>
        <v>1</v>
      </c>
      <c r="P72" s="220" cm="1">
        <f t="array" ref="P72" xml:space="preserve"> INDEX( tblFilterAll[North East], PeersCritera[[#This Row],[Index]] )</f>
        <v>0</v>
      </c>
      <c r="Q72" s="220" cm="1">
        <f t="array" ref="Q72" xml:space="preserve"> INDEX( tblFilterAll[North West], PeersCritera[[#This Row],[Index]] )</f>
        <v>0</v>
      </c>
      <c r="R72" s="220" cm="1">
        <f t="array" ref="R72" xml:space="preserve"> INDEX( tblFilterAll[Yorkshire &amp; the Humber], PeersCritera[[#This Row],[Index]] )</f>
        <v>0</v>
      </c>
      <c r="S72" s="224" t="str" cm="1">
        <f t="array" ref="S72" xml:space="preserve"> INDEX( tblFilterAll[Region with 50%+ of social stock owned], PeersCritera[[#This Row],[Index]] )</f>
        <v>East of England</v>
      </c>
      <c r="T72" s="229" cm="1">
        <f t="array" ref="T72" xml:space="preserve"> INDEX( tblFilterAll[Meets initial criteria], PeersCritera[[#This Row],[Index]] )</f>
        <v>1</v>
      </c>
      <c r="U72" s="241"/>
      <c r="V72" s="230">
        <f>IF( PeersCritera[[#This Row],[RP_Name]] = SelectedProvider, 1, IF( PeersCritera[[#This Row],[Override initial criteria]] = "Include", 1, IF( PeersCritera[[#This Row],[Override initial criteria]] = "Exclude", 0, PeersCritera[[#This Row],[Meets initial criteria]] ) ) )</f>
        <v>1</v>
      </c>
      <c r="W72" s="325">
        <f xml:space="preserve"> MATCH( PeersCritera[[#This Row],[RP_Name]], tblFilterAll[Provider name], 0 )</f>
        <v>57</v>
      </c>
      <c r="Y7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override entry",
   IF( AND( PeersCritera[[#This Row],[Meets initial criteria]] = 1, PeersCritera[[#This Row],[Override initial criteria]] = "Include" ), "Provider is already included in results - clear override entry", "" ) ) )</f>
        <v/>
      </c>
    </row>
    <row r="73" spans="2:25" x14ac:dyDescent="0.25">
      <c r="B73" s="327" t="s" vm="58">
        <v>261</v>
      </c>
      <c r="C73" s="218" cm="1" vm="2933">
        <f t="array" ref="C73" xml:space="preserve"> INDEX( tblFilterAll[Total social stock owned], PeersCritera[[#This Row],[Index]] )</f>
        <v>10063</v>
      </c>
      <c r="D73" s="219" cm="1">
        <f t="array" ref="D73" xml:space="preserve"> INDEX( tblFilterAll[% Supported housing (excl. HOP)], PeersCritera[[#This Row],[Index]] )</f>
        <v>2.008838891120932E-3</v>
      </c>
      <c r="E73" s="220" cm="1">
        <f t="array" ref="E73" xml:space="preserve"> INDEX( tblFilterAll[% Housing for older people], PeersCritera[[#This Row],[Index]] )</f>
        <v>0.31106870229007633</v>
      </c>
      <c r="F73" s="220">
        <f xml:space="preserve"> PeersCritera[[#This Row],[% Supported housing (excl. HOP)]] + PeersCritera[[#This Row],[% Housing for older people]]</f>
        <v>0.31307754118119724</v>
      </c>
      <c r="G73" s="221">
        <f xml:space="preserve"> 1 - PeersCritera[[#This Row],[% Supported &amp; older people]]</f>
        <v>0.68692245881880276</v>
      </c>
      <c r="H73" s="222" t="str" cm="1">
        <f t="array" ref="H73" xml:space="preserve"> INDEX( tblFilterAll[Provider Type], PeersCritera[[#This Row],[Index]] )</f>
        <v>Traditional</v>
      </c>
      <c r="I73" s="223" t="str" cm="1">
        <f t="array" ref="I73" xml:space="preserve"> INDEX( tblFilterAll[LSVT age], PeersCritera[[#This Row],[Index]] )</f>
        <v>&gt;= 12 years</v>
      </c>
      <c r="J73" s="219" cm="1">
        <f t="array" ref="J73" xml:space="preserve"> INDEX( tblFilterAll[London], PeersCritera[[#This Row],[Index]] )</f>
        <v>0</v>
      </c>
      <c r="K73" s="220" cm="1">
        <f t="array" ref="K73" xml:space="preserve"> INDEX( tblFilterAll[South East], PeersCritera[[#This Row],[Index]] )</f>
        <v>0</v>
      </c>
      <c r="L73" s="220" cm="1">
        <f t="array" ref="L73" xml:space="preserve"> INDEX( tblFilterAll[South West], PeersCritera[[#This Row],[Index]] )</f>
        <v>0</v>
      </c>
      <c r="M73" s="220" cm="1">
        <f t="array" ref="M73" xml:space="preserve"> INDEX( tblFilterAll[East Midlands], PeersCritera[[#This Row],[Index]] )</f>
        <v>0.99479166666666663</v>
      </c>
      <c r="N73" s="220" cm="1">
        <f t="array" ref="N73" xml:space="preserve"> INDEX( tblFilterAll[West Midlands], PeersCritera[[#This Row],[Index]] )</f>
        <v>0</v>
      </c>
      <c r="O73" s="220" cm="1">
        <f t="array" ref="O73" xml:space="preserve"> INDEX( tblFilterAll[East of England], PeersCritera[[#This Row],[Index]] )</f>
        <v>5.208333333333333E-3</v>
      </c>
      <c r="P73" s="220" cm="1">
        <f t="array" ref="P73" xml:space="preserve"> INDEX( tblFilterAll[North East], PeersCritera[[#This Row],[Index]] )</f>
        <v>0</v>
      </c>
      <c r="Q73" s="220" cm="1">
        <f t="array" ref="Q73" xml:space="preserve"> INDEX( tblFilterAll[North West], PeersCritera[[#This Row],[Index]] )</f>
        <v>0</v>
      </c>
      <c r="R73" s="220" cm="1">
        <f t="array" ref="R73" xml:space="preserve"> INDEX( tblFilterAll[Yorkshire &amp; the Humber], PeersCritera[[#This Row],[Index]] )</f>
        <v>0</v>
      </c>
      <c r="S73" s="224" t="str" cm="1">
        <f t="array" ref="S73" xml:space="preserve"> INDEX( tblFilterAll[Region with 50%+ of social stock owned], PeersCritera[[#This Row],[Index]] )</f>
        <v>East Midlands</v>
      </c>
      <c r="T73" s="229" cm="1">
        <f t="array" ref="T73" xml:space="preserve"> INDEX( tblFilterAll[Meets initial criteria], PeersCritera[[#This Row],[Index]] )</f>
        <v>1</v>
      </c>
      <c r="U73" s="241"/>
      <c r="V73" s="230">
        <f>IF( PeersCritera[[#This Row],[RP_Name]] = SelectedProvider, 1, IF( PeersCritera[[#This Row],[Override initial criteria]] = "Include", 1, IF( PeersCritera[[#This Row],[Override initial criteria]] = "Exclude", 0, PeersCritera[[#This Row],[Meets initial criteria]] ) ) )</f>
        <v>1</v>
      </c>
      <c r="W73" s="325">
        <f xml:space="preserve"> MATCH( PeersCritera[[#This Row],[RP_Name]], tblFilterAll[Provider name], 0 )</f>
        <v>58</v>
      </c>
      <c r="Y7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74" spans="2:25" x14ac:dyDescent="0.25">
      <c r="B74" s="327" t="s" vm="59">
        <v>263</v>
      </c>
      <c r="C74" s="218" cm="1" vm="3747">
        <f t="array" ref="C74" xml:space="preserve"> INDEX( tblFilterAll[Total social stock owned], PeersCritera[[#This Row],[Index]] )</f>
        <v>2803</v>
      </c>
      <c r="D74" s="219" cm="1">
        <f t="array" ref="D74" xml:space="preserve"> INDEX( tblFilterAll[% Supported housing (excl. HOP)], PeersCritera[[#This Row],[Index]] )</f>
        <v>3.6402569593147749E-2</v>
      </c>
      <c r="E74" s="220" cm="1">
        <f t="array" ref="E74" xml:space="preserve"> INDEX( tblFilterAll[% Housing for older people], PeersCritera[[#This Row],[Index]] )</f>
        <v>0.12955032119914348</v>
      </c>
      <c r="F74" s="220">
        <f xml:space="preserve"> PeersCritera[[#This Row],[% Supported housing (excl. HOP)]] + PeersCritera[[#This Row],[% Housing for older people]]</f>
        <v>0.16595289079229122</v>
      </c>
      <c r="G74" s="221">
        <f xml:space="preserve"> 1 - PeersCritera[[#This Row],[% Supported &amp; older people]]</f>
        <v>0.83404710920770875</v>
      </c>
      <c r="H74" s="222" t="str" cm="1">
        <f t="array" ref="H74" xml:space="preserve"> INDEX( tblFilterAll[Provider Type], PeersCritera[[#This Row],[Index]] )</f>
        <v>Traditional</v>
      </c>
      <c r="I74" s="223" t="str" cm="1">
        <f t="array" ref="I74" xml:space="preserve"> INDEX( tblFilterAll[LSVT age], PeersCritera[[#This Row],[Index]] )</f>
        <v/>
      </c>
      <c r="J74" s="219" cm="1">
        <f t="array" ref="J74" xml:space="preserve"> INDEX( tblFilterAll[London], PeersCritera[[#This Row],[Index]] )</f>
        <v>0.99964323938637178</v>
      </c>
      <c r="K74" s="220" cm="1">
        <f t="array" ref="K74" xml:space="preserve"> INDEX( tblFilterAll[South East], PeersCritera[[#This Row],[Index]] )</f>
        <v>0</v>
      </c>
      <c r="L74" s="220" cm="1">
        <f t="array" ref="L74" xml:space="preserve"> INDEX( tblFilterAll[South West], PeersCritera[[#This Row],[Index]] )</f>
        <v>0</v>
      </c>
      <c r="M74" s="220" cm="1">
        <f t="array" ref="M74" xml:space="preserve"> INDEX( tblFilterAll[East Midlands], PeersCritera[[#This Row],[Index]] )</f>
        <v>0</v>
      </c>
      <c r="N74" s="220" cm="1">
        <f t="array" ref="N74" xml:space="preserve"> INDEX( tblFilterAll[West Midlands], PeersCritera[[#This Row],[Index]] )</f>
        <v>0</v>
      </c>
      <c r="O74" s="220" cm="1">
        <f t="array" ref="O74" xml:space="preserve"> INDEX( tblFilterAll[East of England], PeersCritera[[#This Row],[Index]] )</f>
        <v>3.5676061362825543E-4</v>
      </c>
      <c r="P74" s="220" cm="1">
        <f t="array" ref="P74" xml:space="preserve"> INDEX( tblFilterAll[North East], PeersCritera[[#This Row],[Index]] )</f>
        <v>0</v>
      </c>
      <c r="Q74" s="220" cm="1">
        <f t="array" ref="Q74" xml:space="preserve"> INDEX( tblFilterAll[North West], PeersCritera[[#This Row],[Index]] )</f>
        <v>0</v>
      </c>
      <c r="R74" s="220" cm="1">
        <f t="array" ref="R74" xml:space="preserve"> INDEX( tblFilterAll[Yorkshire &amp; the Humber], PeersCritera[[#This Row],[Index]] )</f>
        <v>0</v>
      </c>
      <c r="S74" s="224" t="str" cm="1">
        <f t="array" ref="S74" xml:space="preserve"> INDEX( tblFilterAll[Region with 50%+ of social stock owned], PeersCritera[[#This Row],[Index]] )</f>
        <v>London</v>
      </c>
      <c r="T74" s="229" cm="1">
        <f t="array" ref="T74" xml:space="preserve"> INDEX( tblFilterAll[Meets initial criteria], PeersCritera[[#This Row],[Index]] )</f>
        <v>1</v>
      </c>
      <c r="U74" s="241"/>
      <c r="V74" s="230">
        <f>IF( PeersCritera[[#This Row],[RP_Name]] = SelectedProvider, 1, IF( PeersCritera[[#This Row],[Override initial criteria]] = "Include", 1, IF( PeersCritera[[#This Row],[Override initial criteria]] = "Exclude", 0, PeersCritera[[#This Row],[Meets initial criteria]] ) ) )</f>
        <v>1</v>
      </c>
      <c r="W74" s="325">
        <f xml:space="preserve"> MATCH( PeersCritera[[#This Row],[RP_Name]], tblFilterAll[Provider name], 0 )</f>
        <v>59</v>
      </c>
      <c r="Y7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75" spans="2:25" x14ac:dyDescent="0.25">
      <c r="B75" s="327" t="s" vm="60">
        <v>265</v>
      </c>
      <c r="C75" s="218" cm="1" vm="5642">
        <f t="array" ref="C75" xml:space="preserve"> INDEX( tblFilterAll[Total social stock owned], PeersCritera[[#This Row],[Index]] )</f>
        <v>28701</v>
      </c>
      <c r="D75" s="219" cm="1">
        <f t="array" ref="D75" xml:space="preserve"> INDEX( tblFilterAll[% Supported housing (excl. HOP)], PeersCritera[[#This Row],[Index]] )</f>
        <v>4.6672007244610084E-3</v>
      </c>
      <c r="E75" s="220" cm="1">
        <f t="array" ref="E75" xml:space="preserve"> INDEX( tblFilterAll[% Housing for older people], PeersCritera[[#This Row],[Index]] )</f>
        <v>6.6525025251645709E-3</v>
      </c>
      <c r="F75" s="220">
        <f xml:space="preserve"> PeersCritera[[#This Row],[% Supported housing (excl. HOP)]] + PeersCritera[[#This Row],[% Housing for older people]]</f>
        <v>1.1319703249625579E-2</v>
      </c>
      <c r="G75" s="221">
        <f xml:space="preserve"> 1 - PeersCritera[[#This Row],[% Supported &amp; older people]]</f>
        <v>0.98868029675037439</v>
      </c>
      <c r="H75" s="222" t="str" cm="1">
        <f t="array" ref="H75" xml:space="preserve"> INDEX( tblFilterAll[Provider Type], PeersCritera[[#This Row],[Index]] )</f>
        <v>Traditional</v>
      </c>
      <c r="I75" s="223" t="str" cm="1">
        <f t="array" ref="I75" xml:space="preserve"> INDEX( tblFilterAll[LSVT age], PeersCritera[[#This Row],[Index]] )</f>
        <v>&gt;= 12 years</v>
      </c>
      <c r="J75" s="219" cm="1">
        <f t="array" ref="J75" xml:space="preserve"> INDEX( tblFilterAll[London], PeersCritera[[#This Row],[Index]] )</f>
        <v>0</v>
      </c>
      <c r="K75" s="220" cm="1">
        <f t="array" ref="K75" xml:space="preserve"> INDEX( tblFilterAll[South East], PeersCritera[[#This Row],[Index]] )</f>
        <v>0</v>
      </c>
      <c r="L75" s="220" cm="1">
        <f t="array" ref="L75" xml:space="preserve"> INDEX( tblFilterAll[South West], PeersCritera[[#This Row],[Index]] )</f>
        <v>0</v>
      </c>
      <c r="M75" s="220" cm="1">
        <f t="array" ref="M75" xml:space="preserve"> INDEX( tblFilterAll[East Midlands], PeersCritera[[#This Row],[Index]] )</f>
        <v>0</v>
      </c>
      <c r="N75" s="220" cm="1">
        <f t="array" ref="N75" xml:space="preserve"> INDEX( tblFilterAll[West Midlands], PeersCritera[[#This Row],[Index]] )</f>
        <v>0</v>
      </c>
      <c r="O75" s="220" cm="1">
        <f t="array" ref="O75" xml:space="preserve"> INDEX( tblFilterAll[East of England], PeersCritera[[#This Row],[Index]] )</f>
        <v>0</v>
      </c>
      <c r="P75" s="220" cm="1">
        <f t="array" ref="P75" xml:space="preserve"> INDEX( tblFilterAll[North East], PeersCritera[[#This Row],[Index]] )</f>
        <v>1</v>
      </c>
      <c r="Q75" s="220" cm="1">
        <f t="array" ref="Q75" xml:space="preserve"> INDEX( tblFilterAll[North West], PeersCritera[[#This Row],[Index]] )</f>
        <v>0</v>
      </c>
      <c r="R75" s="220" cm="1">
        <f t="array" ref="R75" xml:space="preserve"> INDEX( tblFilterAll[Yorkshire &amp; the Humber], PeersCritera[[#This Row],[Index]] )</f>
        <v>0</v>
      </c>
      <c r="S75" s="224" t="str" cm="1">
        <f t="array" ref="S75" xml:space="preserve"> INDEX( tblFilterAll[Region with 50%+ of social stock owned], PeersCritera[[#This Row],[Index]] )</f>
        <v>North East</v>
      </c>
      <c r="T75" s="229" cm="1">
        <f t="array" ref="T75" xml:space="preserve"> INDEX( tblFilterAll[Meets initial criteria], PeersCritera[[#This Row],[Index]] )</f>
        <v>1</v>
      </c>
      <c r="U75" s="241"/>
      <c r="V75" s="230">
        <f>IF( PeersCritera[[#This Row],[RP_Name]] = SelectedProvider, 1, IF( PeersCritera[[#This Row],[Override initial criteria]] = "Include", 1, IF( PeersCritera[[#This Row],[Override initial criteria]] = "Exclude", 0, PeersCritera[[#This Row],[Meets initial criteria]] ) ) )</f>
        <v>1</v>
      </c>
      <c r="W75" s="325">
        <f xml:space="preserve"> MATCH( PeersCritera[[#This Row],[RP_Name]], tblFilterAll[Provider name], 0 )</f>
        <v>60</v>
      </c>
      <c r="Y7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76" spans="2:25" x14ac:dyDescent="0.25">
      <c r="B76" s="327" t="s" vm="61">
        <v>267</v>
      </c>
      <c r="C76" s="218" cm="1" vm="4110">
        <f t="array" ref="C76" xml:space="preserve"> INDEX( tblFilterAll[Total social stock owned], PeersCritera[[#This Row],[Index]] )</f>
        <v>4756</v>
      </c>
      <c r="D76" s="219" cm="1">
        <f t="array" ref="D76" xml:space="preserve"> INDEX( tblFilterAll[% Supported housing (excl. HOP)], PeersCritera[[#This Row],[Index]] )</f>
        <v>1.5443198646075735E-2</v>
      </c>
      <c r="E76" s="220" cm="1">
        <f t="array" ref="E76" xml:space="preserve"> INDEX( tblFilterAll[% Housing for older people], PeersCritera[[#This Row],[Index]] )</f>
        <v>6.1349693251533742E-2</v>
      </c>
      <c r="F76" s="220">
        <f xml:space="preserve"> PeersCritera[[#This Row],[% Supported housing (excl. HOP)]] + PeersCritera[[#This Row],[% Housing for older people]]</f>
        <v>7.6792891897609475E-2</v>
      </c>
      <c r="G76" s="221">
        <f xml:space="preserve"> 1 - PeersCritera[[#This Row],[% Supported &amp; older people]]</f>
        <v>0.92320710810239048</v>
      </c>
      <c r="H76" s="222" t="str" cm="1">
        <f t="array" ref="H76" xml:space="preserve"> INDEX( tblFilterAll[Provider Type], PeersCritera[[#This Row],[Index]] )</f>
        <v>LSVT</v>
      </c>
      <c r="I76" s="223" t="str" cm="1">
        <f t="array" ref="I76" xml:space="preserve"> INDEX( tblFilterAll[LSVT age], PeersCritera[[#This Row],[Index]] )</f>
        <v>&lt; 12 years</v>
      </c>
      <c r="J76" s="219" cm="1">
        <f t="array" ref="J76" xml:space="preserve"> INDEX( tblFilterAll[London], PeersCritera[[#This Row],[Index]] )</f>
        <v>0</v>
      </c>
      <c r="K76" s="220" cm="1">
        <f t="array" ref="K76" xml:space="preserve"> INDEX( tblFilterAll[South East], PeersCritera[[#This Row],[Index]] )</f>
        <v>0</v>
      </c>
      <c r="L76" s="220" cm="1">
        <f t="array" ref="L76" xml:space="preserve"> INDEX( tblFilterAll[South West], PeersCritera[[#This Row],[Index]] )</f>
        <v>1</v>
      </c>
      <c r="M76" s="220" cm="1">
        <f t="array" ref="M76" xml:space="preserve"> INDEX( tblFilterAll[East Midlands], PeersCritera[[#This Row],[Index]] )</f>
        <v>0</v>
      </c>
      <c r="N76" s="220" cm="1">
        <f t="array" ref="N76" xml:space="preserve"> INDEX( tblFilterAll[West Midlands], PeersCritera[[#This Row],[Index]] )</f>
        <v>0</v>
      </c>
      <c r="O76" s="220" cm="1">
        <f t="array" ref="O76" xml:space="preserve"> INDEX( tblFilterAll[East of England], PeersCritera[[#This Row],[Index]] )</f>
        <v>0</v>
      </c>
      <c r="P76" s="220" cm="1">
        <f t="array" ref="P76" xml:space="preserve"> INDEX( tblFilterAll[North East], PeersCritera[[#This Row],[Index]] )</f>
        <v>0</v>
      </c>
      <c r="Q76" s="220" cm="1">
        <f t="array" ref="Q76" xml:space="preserve"> INDEX( tblFilterAll[North West], PeersCritera[[#This Row],[Index]] )</f>
        <v>0</v>
      </c>
      <c r="R76" s="220" cm="1">
        <f t="array" ref="R76" xml:space="preserve"> INDEX( tblFilterAll[Yorkshire &amp; the Humber], PeersCritera[[#This Row],[Index]] )</f>
        <v>0</v>
      </c>
      <c r="S76" s="224" t="str" cm="1">
        <f t="array" ref="S76" xml:space="preserve"> INDEX( tblFilterAll[Region with 50%+ of social stock owned], PeersCritera[[#This Row],[Index]] )</f>
        <v>South West</v>
      </c>
      <c r="T76" s="229" cm="1">
        <f t="array" ref="T76" xml:space="preserve"> INDEX( tblFilterAll[Meets initial criteria], PeersCritera[[#This Row],[Index]] )</f>
        <v>1</v>
      </c>
      <c r="U76" s="241"/>
      <c r="V76" s="230">
        <f>IF( PeersCritera[[#This Row],[RP_Name]] = SelectedProvider, 1, IF( PeersCritera[[#This Row],[Override initial criteria]] = "Include", 1, IF( PeersCritera[[#This Row],[Override initial criteria]] = "Exclude", 0, PeersCritera[[#This Row],[Meets initial criteria]] ) ) )</f>
        <v>1</v>
      </c>
      <c r="W76" s="325">
        <f xml:space="preserve"> MATCH( PeersCritera[[#This Row],[RP_Name]], tblFilterAll[Provider name], 0 )</f>
        <v>61</v>
      </c>
      <c r="Y7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77" spans="2:25" x14ac:dyDescent="0.25">
      <c r="B77" s="327" t="s" vm="62">
        <v>269</v>
      </c>
      <c r="C77" s="218" cm="1" vm="3636">
        <f t="array" ref="C77" xml:space="preserve"> INDEX( tblFilterAll[Total social stock owned], PeersCritera[[#This Row],[Index]] )</f>
        <v>2671</v>
      </c>
      <c r="D77" s="219" cm="1">
        <f t="array" ref="D77" xml:space="preserve"> INDEX( tblFilterAll[% Supported housing (excl. HOP)], PeersCritera[[#This Row],[Index]] )</f>
        <v>0.97603893672781727</v>
      </c>
      <c r="E77" s="220" cm="1">
        <f t="array" ref="E77" xml:space="preserve"> INDEX( tblFilterAll[% Housing for older people], PeersCritera[[#This Row],[Index]] )</f>
        <v>0</v>
      </c>
      <c r="F77" s="220">
        <f xml:space="preserve"> PeersCritera[[#This Row],[% Supported housing (excl. HOP)]] + PeersCritera[[#This Row],[% Housing for older people]]</f>
        <v>0.97603893672781727</v>
      </c>
      <c r="G77" s="221">
        <f xml:space="preserve"> 1 - PeersCritera[[#This Row],[% Supported &amp; older people]]</f>
        <v>2.3961063272182725E-2</v>
      </c>
      <c r="H77" s="222" t="str" cm="1">
        <f t="array" ref="H77" xml:space="preserve"> INDEX( tblFilterAll[Provider Type], PeersCritera[[#This Row],[Index]] )</f>
        <v>Traditional</v>
      </c>
      <c r="I77" s="223" t="str" cm="1">
        <f t="array" ref="I77" xml:space="preserve"> INDEX( tblFilterAll[LSVT age], PeersCritera[[#This Row],[Index]] )</f>
        <v/>
      </c>
      <c r="J77" s="219" cm="1">
        <f t="array" ref="J77" xml:space="preserve"> INDEX( tblFilterAll[London], PeersCritera[[#This Row],[Index]] )</f>
        <v>7.9698651863600312E-2</v>
      </c>
      <c r="K77" s="220" cm="1">
        <f t="array" ref="K77" xml:space="preserve"> INDEX( tblFilterAll[South East], PeersCritera[[#This Row],[Index]] )</f>
        <v>0.16613798572561458</v>
      </c>
      <c r="L77" s="220" cm="1">
        <f t="array" ref="L77" xml:space="preserve"> INDEX( tblFilterAll[South West], PeersCritera[[#This Row],[Index]] )</f>
        <v>0.15067406819984139</v>
      </c>
      <c r="M77" s="220" cm="1">
        <f t="array" ref="M77" xml:space="preserve"> INDEX( tblFilterAll[East Midlands], PeersCritera[[#This Row],[Index]] )</f>
        <v>0.15741475019825535</v>
      </c>
      <c r="N77" s="220" cm="1">
        <f t="array" ref="N77" xml:space="preserve"> INDEX( tblFilterAll[West Midlands], PeersCritera[[#This Row],[Index]] )</f>
        <v>7.1371927042030131E-2</v>
      </c>
      <c r="O77" s="220" cm="1">
        <f t="array" ref="O77" xml:space="preserve"> INDEX( tblFilterAll[East of England], PeersCritera[[#This Row],[Index]] )</f>
        <v>7.5337034099920694E-2</v>
      </c>
      <c r="P77" s="220" cm="1">
        <f t="array" ref="P77" xml:space="preserve"> INDEX( tblFilterAll[North East], PeersCritera[[#This Row],[Index]] )</f>
        <v>4.4012688342585253E-2</v>
      </c>
      <c r="Q77" s="220" cm="1">
        <f t="array" ref="Q77" xml:space="preserve"> INDEX( tblFilterAll[North West], PeersCritera[[#This Row],[Index]] )</f>
        <v>7.6526566217287872E-2</v>
      </c>
      <c r="R77" s="220" cm="1">
        <f t="array" ref="R77" xml:space="preserve"> INDEX( tblFilterAll[Yorkshire &amp; the Humber], PeersCritera[[#This Row],[Index]] )</f>
        <v>0.1788263283108644</v>
      </c>
      <c r="S77" s="224" t="str" cm="1">
        <f t="array" ref="S77" xml:space="preserve"> INDEX( tblFilterAll[Region with 50%+ of social stock owned], PeersCritera[[#This Row],[Index]] )</f>
        <v>Mixed</v>
      </c>
      <c r="T77" s="229" cm="1">
        <f t="array" ref="T77" xml:space="preserve"> INDEX( tblFilterAll[Meets initial criteria], PeersCritera[[#This Row],[Index]] )</f>
        <v>1</v>
      </c>
      <c r="U77" s="241"/>
      <c r="V77" s="230">
        <f>IF( PeersCritera[[#This Row],[RP_Name]] = SelectedProvider, 1, IF( PeersCritera[[#This Row],[Override initial criteria]] = "Include", 1, IF( PeersCritera[[#This Row],[Override initial criteria]] = "Exclude", 0, PeersCritera[[#This Row],[Meets initial criteria]] ) ) )</f>
        <v>1</v>
      </c>
      <c r="W77" s="325">
        <f xml:space="preserve"> MATCH( PeersCritera[[#This Row],[RP_Name]], tblFilterAll[Provider name], 0 )</f>
        <v>62</v>
      </c>
      <c r="Y7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78" spans="2:25" x14ac:dyDescent="0.25">
      <c r="B78" s="327" t="s" vm="63">
        <v>271</v>
      </c>
      <c r="C78" s="218" cm="1" vm="5471">
        <f t="array" ref="C78" xml:space="preserve"> INDEX( tblFilterAll[Total social stock owned], PeersCritera[[#This Row],[Index]] )</f>
        <v>7783</v>
      </c>
      <c r="D78" s="219" cm="1">
        <f t="array" ref="D78" xml:space="preserve"> INDEX( tblFilterAll[% Supported housing (excl. HOP)], PeersCritera[[#This Row],[Index]] )</f>
        <v>0</v>
      </c>
      <c r="E78" s="220" cm="1">
        <f t="array" ref="E78" xml:space="preserve"> INDEX( tblFilterAll[% Housing for older people], PeersCritera[[#This Row],[Index]] )</f>
        <v>0.12736773350751143</v>
      </c>
      <c r="F78" s="220">
        <f xml:space="preserve"> PeersCritera[[#This Row],[% Supported housing (excl. HOP)]] + PeersCritera[[#This Row],[% Housing for older people]]</f>
        <v>0.12736773350751143</v>
      </c>
      <c r="G78" s="221">
        <f xml:space="preserve"> 1 - PeersCritera[[#This Row],[% Supported &amp; older people]]</f>
        <v>0.8726322664924886</v>
      </c>
      <c r="H78" s="222" t="str" cm="1">
        <f t="array" ref="H78" xml:space="preserve"> INDEX( tblFilterAll[Provider Type], PeersCritera[[#This Row],[Index]] )</f>
        <v>Traditional</v>
      </c>
      <c r="I78" s="223" t="str" cm="1">
        <f t="array" ref="I78" xml:space="preserve"> INDEX( tblFilterAll[LSVT age], PeersCritera[[#This Row],[Index]] )</f>
        <v>&gt;= 12 years</v>
      </c>
      <c r="J78" s="219" cm="1">
        <f t="array" ref="J78" xml:space="preserve"> INDEX( tblFilterAll[London], PeersCritera[[#This Row],[Index]] )</f>
        <v>3.5971223021582736E-3</v>
      </c>
      <c r="K78" s="220" cm="1">
        <f t="array" ref="K78" xml:space="preserve"> INDEX( tblFilterAll[South East], PeersCritera[[#This Row],[Index]] )</f>
        <v>0.99640287769784175</v>
      </c>
      <c r="L78" s="220" cm="1">
        <f t="array" ref="L78" xml:space="preserve"> INDEX( tblFilterAll[South West], PeersCritera[[#This Row],[Index]] )</f>
        <v>0</v>
      </c>
      <c r="M78" s="220" cm="1">
        <f t="array" ref="M78" xml:space="preserve"> INDEX( tblFilterAll[East Midlands], PeersCritera[[#This Row],[Index]] )</f>
        <v>0</v>
      </c>
      <c r="N78" s="220" cm="1">
        <f t="array" ref="N78" xml:space="preserve"> INDEX( tblFilterAll[West Midlands], PeersCritera[[#This Row],[Index]] )</f>
        <v>0</v>
      </c>
      <c r="O78" s="220" cm="1">
        <f t="array" ref="O78" xml:space="preserve"> INDEX( tblFilterAll[East of England], PeersCritera[[#This Row],[Index]] )</f>
        <v>0</v>
      </c>
      <c r="P78" s="220" cm="1">
        <f t="array" ref="P78" xml:space="preserve"> INDEX( tblFilterAll[North East], PeersCritera[[#This Row],[Index]] )</f>
        <v>0</v>
      </c>
      <c r="Q78" s="220" cm="1">
        <f t="array" ref="Q78" xml:space="preserve"> INDEX( tblFilterAll[North West], PeersCritera[[#This Row],[Index]] )</f>
        <v>0</v>
      </c>
      <c r="R78" s="220" cm="1">
        <f t="array" ref="R78" xml:space="preserve"> INDEX( tblFilterAll[Yorkshire &amp; the Humber], PeersCritera[[#This Row],[Index]] )</f>
        <v>0</v>
      </c>
      <c r="S78" s="224" t="str" cm="1">
        <f t="array" ref="S78" xml:space="preserve"> INDEX( tblFilterAll[Region with 50%+ of social stock owned], PeersCritera[[#This Row],[Index]] )</f>
        <v>South East</v>
      </c>
      <c r="T78" s="229" cm="1">
        <f t="array" ref="T78" xml:space="preserve"> INDEX( tblFilterAll[Meets initial criteria], PeersCritera[[#This Row],[Index]] )</f>
        <v>1</v>
      </c>
      <c r="U78" s="241"/>
      <c r="V78" s="230">
        <f>IF( PeersCritera[[#This Row],[RP_Name]] = SelectedProvider, 1, IF( PeersCritera[[#This Row],[Override initial criteria]] = "Include", 1, IF( PeersCritera[[#This Row],[Override initial criteria]] = "Exclude", 0, PeersCritera[[#This Row],[Meets initial criteria]] ) ) )</f>
        <v>1</v>
      </c>
      <c r="W78" s="325">
        <f xml:space="preserve"> MATCH( PeersCritera[[#This Row],[RP_Name]], tblFilterAll[Provider name], 0 )</f>
        <v>63</v>
      </c>
      <c r="Y7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79" spans="2:25" x14ac:dyDescent="0.25">
      <c r="B79" s="327" t="s" vm="64">
        <v>273</v>
      </c>
      <c r="C79" s="218" cm="1" vm="1916">
        <f t="array" ref="C79" xml:space="preserve"> INDEX( tblFilterAll[Total social stock owned], PeersCritera[[#This Row],[Index]] )</f>
        <v>12266</v>
      </c>
      <c r="D79" s="219" cm="1">
        <f t="array" ref="D79" xml:space="preserve"> INDEX( tblFilterAll[% Supported housing (excl. HOP)], PeersCritera[[#This Row],[Index]] )</f>
        <v>2.9102268990463663E-2</v>
      </c>
      <c r="E79" s="220" cm="1">
        <f t="array" ref="E79" xml:space="preserve"> INDEX( tblFilterAll[% Housing for older people], PeersCritera[[#This Row],[Index]] )</f>
        <v>8.3196317000986522E-2</v>
      </c>
      <c r="F79" s="220">
        <f xml:space="preserve"> PeersCritera[[#This Row],[% Supported housing (excl. HOP)]] + PeersCritera[[#This Row],[% Housing for older people]]</f>
        <v>0.11229858599145018</v>
      </c>
      <c r="G79" s="221">
        <f xml:space="preserve"> 1 - PeersCritera[[#This Row],[% Supported &amp; older people]]</f>
        <v>0.88770141400854985</v>
      </c>
      <c r="H79" s="222" t="str" cm="1">
        <f t="array" ref="H79" xml:space="preserve"> INDEX( tblFilterAll[Provider Type], PeersCritera[[#This Row],[Index]] )</f>
        <v>Traditional</v>
      </c>
      <c r="I79" s="223" t="str" cm="1">
        <f t="array" ref="I79" xml:space="preserve"> INDEX( tblFilterAll[LSVT age], PeersCritera[[#This Row],[Index]] )</f>
        <v>&gt;= 12 years</v>
      </c>
      <c r="J79" s="219" cm="1">
        <f t="array" ref="J79" xml:space="preserve"> INDEX( tblFilterAll[London], PeersCritera[[#This Row],[Index]] )</f>
        <v>0</v>
      </c>
      <c r="K79" s="220" cm="1">
        <f t="array" ref="K79" xml:space="preserve"> INDEX( tblFilterAll[South East], PeersCritera[[#This Row],[Index]] )</f>
        <v>4.984782429875792E-2</v>
      </c>
      <c r="L79" s="220" cm="1">
        <f t="array" ref="L79" xml:space="preserve"> INDEX( tblFilterAll[South West], PeersCritera[[#This Row],[Index]] )</f>
        <v>0</v>
      </c>
      <c r="M79" s="220" cm="1">
        <f t="array" ref="M79" xml:space="preserve"> INDEX( tblFilterAll[East Midlands], PeersCritera[[#This Row],[Index]] )</f>
        <v>0.35954594061034795</v>
      </c>
      <c r="N79" s="220" cm="1">
        <f t="array" ref="N79" xml:space="preserve"> INDEX( tblFilterAll[West Midlands], PeersCritera[[#This Row],[Index]] )</f>
        <v>0</v>
      </c>
      <c r="O79" s="220" cm="1">
        <f t="array" ref="O79" xml:space="preserve"> INDEX( tblFilterAll[East of England], PeersCritera[[#This Row],[Index]] )</f>
        <v>0.59060623509089416</v>
      </c>
      <c r="P79" s="220" cm="1">
        <f t="array" ref="P79" xml:space="preserve"> INDEX( tblFilterAll[North East], PeersCritera[[#This Row],[Index]] )</f>
        <v>0</v>
      </c>
      <c r="Q79" s="220" cm="1">
        <f t="array" ref="Q79" xml:space="preserve"> INDEX( tblFilterAll[North West], PeersCritera[[#This Row],[Index]] )</f>
        <v>0</v>
      </c>
      <c r="R79" s="220" cm="1">
        <f t="array" ref="R79" xml:space="preserve"> INDEX( tblFilterAll[Yorkshire &amp; the Humber], PeersCritera[[#This Row],[Index]] )</f>
        <v>0</v>
      </c>
      <c r="S79" s="224" t="str" cm="1">
        <f t="array" ref="S79" xml:space="preserve"> INDEX( tblFilterAll[Region with 50%+ of social stock owned], PeersCritera[[#This Row],[Index]] )</f>
        <v>East of England</v>
      </c>
      <c r="T79" s="229" cm="1">
        <f t="array" ref="T79" xml:space="preserve"> INDEX( tblFilterAll[Meets initial criteria], PeersCritera[[#This Row],[Index]] )</f>
        <v>1</v>
      </c>
      <c r="U79" s="241"/>
      <c r="V79" s="230">
        <f>IF( PeersCritera[[#This Row],[RP_Name]] = SelectedProvider, 1, IF( PeersCritera[[#This Row],[Override initial criteria]] = "Include", 1, IF( PeersCritera[[#This Row],[Override initial criteria]] = "Exclude", 0, PeersCritera[[#This Row],[Meets initial criteria]] ) ) )</f>
        <v>1</v>
      </c>
      <c r="W79" s="325">
        <f xml:space="preserve"> MATCH( PeersCritera[[#This Row],[RP_Name]], tblFilterAll[Provider name], 0 )</f>
        <v>64</v>
      </c>
      <c r="Y7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0" spans="2:25" x14ac:dyDescent="0.25">
      <c r="B80" s="327" t="s" vm="65">
        <v>275</v>
      </c>
      <c r="C80" s="218" cm="1" vm="4907">
        <f t="array" ref="C80" xml:space="preserve"> INDEX( tblFilterAll[Total social stock owned], PeersCritera[[#This Row],[Index]] )</f>
        <v>21331</v>
      </c>
      <c r="D80" s="219" cm="1">
        <f t="array" ref="D80" xml:space="preserve"> INDEX( tblFilterAll[% Supported housing (excl. HOP)], PeersCritera[[#This Row],[Index]] )</f>
        <v>6.2836453718260202E-2</v>
      </c>
      <c r="E80" s="220" cm="1">
        <f t="array" ref="E80" xml:space="preserve"> INDEX( tblFilterAll[% Housing for older people], PeersCritera[[#This Row],[Index]] )</f>
        <v>2.2771664046496116E-2</v>
      </c>
      <c r="F80" s="220">
        <f xml:space="preserve"> PeersCritera[[#This Row],[% Supported housing (excl. HOP)]] + PeersCritera[[#This Row],[% Housing for older people]]</f>
        <v>8.5608117764756325E-2</v>
      </c>
      <c r="G80" s="221">
        <f xml:space="preserve"> 1 - PeersCritera[[#This Row],[% Supported &amp; older people]]</f>
        <v>0.9143918822352437</v>
      </c>
      <c r="H80" s="222" t="str" cm="1">
        <f t="array" ref="H80" xml:space="preserve"> INDEX( tblFilterAll[Provider Type], PeersCritera[[#This Row],[Index]] )</f>
        <v>Traditional</v>
      </c>
      <c r="I80" s="223" t="str" cm="1">
        <f t="array" ref="I80" xml:space="preserve"> INDEX( tblFilterAll[LSVT age], PeersCritera[[#This Row],[Index]] )</f>
        <v/>
      </c>
      <c r="J80" s="219" cm="1">
        <f t="array" ref="J80" xml:space="preserve"> INDEX( tblFilterAll[London], PeersCritera[[#This Row],[Index]] )</f>
        <v>0</v>
      </c>
      <c r="K80" s="220" cm="1">
        <f t="array" ref="K80" xml:space="preserve"> INDEX( tblFilterAll[South East], PeersCritera[[#This Row],[Index]] )</f>
        <v>4.725451280597297E-5</v>
      </c>
      <c r="L80" s="220" cm="1">
        <f t="array" ref="L80" xml:space="preserve"> INDEX( tblFilterAll[South West], PeersCritera[[#This Row],[Index]] )</f>
        <v>0</v>
      </c>
      <c r="M80" s="220" cm="1">
        <f t="array" ref="M80" xml:space="preserve"> INDEX( tblFilterAll[East Midlands], PeersCritera[[#This Row],[Index]] )</f>
        <v>1.8807296096777244E-2</v>
      </c>
      <c r="N80" s="220" cm="1">
        <f t="array" ref="N80" xml:space="preserve"> INDEX( tblFilterAll[West Midlands], PeersCritera[[#This Row],[Index]] )</f>
        <v>4.1583971269256214E-3</v>
      </c>
      <c r="O80" s="220" cm="1">
        <f t="array" ref="O80" xml:space="preserve"> INDEX( tblFilterAll[East of England], PeersCritera[[#This Row],[Index]] )</f>
        <v>0</v>
      </c>
      <c r="P80" s="220" cm="1">
        <f t="array" ref="P80" xml:space="preserve"> INDEX( tblFilterAll[North East], PeersCritera[[#This Row],[Index]] )</f>
        <v>0</v>
      </c>
      <c r="Q80" s="220" cm="1">
        <f t="array" ref="Q80" xml:space="preserve"> INDEX( tblFilterAll[North West], PeersCritera[[#This Row],[Index]] )</f>
        <v>0.83772800302428885</v>
      </c>
      <c r="R80" s="220" cm="1">
        <f t="array" ref="R80" xml:space="preserve"> INDEX( tblFilterAll[Yorkshire &amp; the Humber], PeersCritera[[#This Row],[Index]] )</f>
        <v>0.13925904923920235</v>
      </c>
      <c r="S80" s="224" t="str" cm="1">
        <f t="array" ref="S80" xml:space="preserve"> INDEX( tblFilterAll[Region with 50%+ of social stock owned], PeersCritera[[#This Row],[Index]] )</f>
        <v>North West</v>
      </c>
      <c r="T80" s="229" cm="1">
        <f t="array" ref="T80" xml:space="preserve"> INDEX( tblFilterAll[Meets initial criteria], PeersCritera[[#This Row],[Index]] )</f>
        <v>1</v>
      </c>
      <c r="U80" s="241"/>
      <c r="V80" s="230">
        <f>IF( PeersCritera[[#This Row],[RP_Name]] = SelectedProvider, 1, IF( PeersCritera[[#This Row],[Override initial criteria]] = "Include", 1, IF( PeersCritera[[#This Row],[Override initial criteria]] = "Exclude", 0, PeersCritera[[#This Row],[Meets initial criteria]] ) ) )</f>
        <v>1</v>
      </c>
      <c r="W80" s="325">
        <f xml:space="preserve"> MATCH( PeersCritera[[#This Row],[RP_Name]], tblFilterAll[Provider name], 0 )</f>
        <v>65</v>
      </c>
      <c r="Y8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1" spans="2:25" x14ac:dyDescent="0.25">
      <c r="B81" s="327" t="s" vm="66">
        <v>277</v>
      </c>
      <c r="C81" s="218" cm="1" vm="5916">
        <f t="array" ref="C81" xml:space="preserve"> INDEX( tblFilterAll[Total social stock owned], PeersCritera[[#This Row],[Index]] )</f>
        <v>5078</v>
      </c>
      <c r="D81" s="219" cm="1">
        <f t="array" ref="D81" xml:space="preserve"> INDEX( tblFilterAll[% Supported housing (excl. HOP)], PeersCritera[[#This Row],[Index]] )</f>
        <v>4.8143053645116916E-2</v>
      </c>
      <c r="E81" s="220" cm="1">
        <f t="array" ref="E81" xml:space="preserve"> INDEX( tblFilterAll[% Housing for older people], PeersCritera[[#This Row],[Index]] )</f>
        <v>0</v>
      </c>
      <c r="F81" s="220">
        <f xml:space="preserve"> PeersCritera[[#This Row],[% Supported housing (excl. HOP)]] + PeersCritera[[#This Row],[% Housing for older people]]</f>
        <v>4.8143053645116916E-2</v>
      </c>
      <c r="G81" s="221">
        <f xml:space="preserve"> 1 - PeersCritera[[#This Row],[% Supported &amp; older people]]</f>
        <v>0.95185694635488305</v>
      </c>
      <c r="H81" s="222" t="str" cm="1">
        <f t="array" ref="H81" xml:space="preserve"> INDEX( tblFilterAll[Provider Type], PeersCritera[[#This Row],[Index]] )</f>
        <v>Traditional</v>
      </c>
      <c r="I81" s="223" t="str" cm="1">
        <f t="array" ref="I81" xml:space="preserve"> INDEX( tblFilterAll[LSVT age], PeersCritera[[#This Row],[Index]] )</f>
        <v>&gt;= 12 years</v>
      </c>
      <c r="J81" s="219" cm="1">
        <f t="array" ref="J81" xml:space="preserve"> INDEX( tblFilterAll[London], PeersCritera[[#This Row],[Index]] )</f>
        <v>0</v>
      </c>
      <c r="K81" s="220" cm="1">
        <f t="array" ref="K81" xml:space="preserve"> INDEX( tblFilterAll[South East], PeersCritera[[#This Row],[Index]] )</f>
        <v>0</v>
      </c>
      <c r="L81" s="220" cm="1">
        <f t="array" ref="L81" xml:space="preserve"> INDEX( tblFilterAll[South West], PeersCritera[[#This Row],[Index]] )</f>
        <v>0</v>
      </c>
      <c r="M81" s="220" cm="1">
        <f t="array" ref="M81" xml:space="preserve"> INDEX( tblFilterAll[East Midlands], PeersCritera[[#This Row],[Index]] )</f>
        <v>1</v>
      </c>
      <c r="N81" s="220" cm="1">
        <f t="array" ref="N81" xml:space="preserve"> INDEX( tblFilterAll[West Midlands], PeersCritera[[#This Row],[Index]] )</f>
        <v>0</v>
      </c>
      <c r="O81" s="220" cm="1">
        <f t="array" ref="O81" xml:space="preserve"> INDEX( tblFilterAll[East of England], PeersCritera[[#This Row],[Index]] )</f>
        <v>0</v>
      </c>
      <c r="P81" s="220" cm="1">
        <f t="array" ref="P81" xml:space="preserve"> INDEX( tblFilterAll[North East], PeersCritera[[#This Row],[Index]] )</f>
        <v>0</v>
      </c>
      <c r="Q81" s="220" cm="1">
        <f t="array" ref="Q81" xml:space="preserve"> INDEX( tblFilterAll[North West], PeersCritera[[#This Row],[Index]] )</f>
        <v>0</v>
      </c>
      <c r="R81" s="220" cm="1">
        <f t="array" ref="R81" xml:space="preserve"> INDEX( tblFilterAll[Yorkshire &amp; the Humber], PeersCritera[[#This Row],[Index]] )</f>
        <v>0</v>
      </c>
      <c r="S81" s="224" t="str" cm="1">
        <f t="array" ref="S81" xml:space="preserve"> INDEX( tblFilterAll[Region with 50%+ of social stock owned], PeersCritera[[#This Row],[Index]] )</f>
        <v>East Midlands</v>
      </c>
      <c r="T81" s="229" cm="1">
        <f t="array" ref="T81" xml:space="preserve"> INDEX( tblFilterAll[Meets initial criteria], PeersCritera[[#This Row],[Index]] )</f>
        <v>1</v>
      </c>
      <c r="U81" s="241"/>
      <c r="V81" s="230">
        <f>IF( PeersCritera[[#This Row],[RP_Name]] = SelectedProvider, 1, IF( PeersCritera[[#This Row],[Override initial criteria]] = "Include", 1, IF( PeersCritera[[#This Row],[Override initial criteria]] = "Exclude", 0, PeersCritera[[#This Row],[Meets initial criteria]] ) ) )</f>
        <v>1</v>
      </c>
      <c r="W81" s="325">
        <f xml:space="preserve"> MATCH( PeersCritera[[#This Row],[RP_Name]], tblFilterAll[Provider name], 0 )</f>
        <v>66</v>
      </c>
      <c r="Y8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2" spans="2:25" x14ac:dyDescent="0.25">
      <c r="B82" s="327" t="s" vm="67">
        <v>279</v>
      </c>
      <c r="C82" s="218" cm="1" vm="4741">
        <f t="array" ref="C82" xml:space="preserve"> INDEX( tblFilterAll[Total social stock owned], PeersCritera[[#This Row],[Index]] )</f>
        <v>25313</v>
      </c>
      <c r="D82" s="219" cm="1">
        <f t="array" ref="D82" xml:space="preserve"> INDEX( tblFilterAll[% Supported housing (excl. HOP)], PeersCritera[[#This Row],[Index]] )</f>
        <v>4.0750501514376744E-2</v>
      </c>
      <c r="E82" s="220" cm="1">
        <f t="array" ref="E82" xml:space="preserve"> INDEX( tblFilterAll[% Housing for older people], PeersCritera[[#This Row],[Index]] )</f>
        <v>7.5246823742280616E-2</v>
      </c>
      <c r="F82" s="220">
        <f xml:space="preserve"> PeersCritera[[#This Row],[% Supported housing (excl. HOP)]] + PeersCritera[[#This Row],[% Housing for older people]]</f>
        <v>0.11599732525665736</v>
      </c>
      <c r="G82" s="221">
        <f xml:space="preserve"> 1 - PeersCritera[[#This Row],[% Supported &amp; older people]]</f>
        <v>0.8840026747433426</v>
      </c>
      <c r="H82" s="222" t="str" cm="1">
        <f t="array" ref="H82" xml:space="preserve"> INDEX( tblFilterAll[Provider Type], PeersCritera[[#This Row],[Index]] )</f>
        <v>Traditional</v>
      </c>
      <c r="I82" s="223" t="str" cm="1">
        <f t="array" ref="I82" xml:space="preserve"> INDEX( tblFilterAll[LSVT age], PeersCritera[[#This Row],[Index]] )</f>
        <v/>
      </c>
      <c r="J82" s="219" cm="1">
        <f t="array" ref="J82" xml:space="preserve"> INDEX( tblFilterAll[London], PeersCritera[[#This Row],[Index]] )</f>
        <v>0</v>
      </c>
      <c r="K82" s="220" cm="1">
        <f t="array" ref="K82" xml:space="preserve"> INDEX( tblFilterAll[South East], PeersCritera[[#This Row],[Index]] )</f>
        <v>0.14541110889906431</v>
      </c>
      <c r="L82" s="220" cm="1">
        <f t="array" ref="L82" xml:space="preserve"> INDEX( tblFilterAll[South West], PeersCritera[[#This Row],[Index]] )</f>
        <v>0.35253832371092975</v>
      </c>
      <c r="M82" s="220" cm="1">
        <f t="array" ref="M82" xml:space="preserve"> INDEX( tblFilterAll[East Midlands], PeersCritera[[#This Row],[Index]] )</f>
        <v>2.0704758112681664E-3</v>
      </c>
      <c r="N82" s="322" cm="1">
        <f t="array" ref="N82" xml:space="preserve"> INDEX( tblFilterAll[West Midlands], PeersCritera[[#This Row],[Index]] )</f>
        <v>0.4999800915787378</v>
      </c>
      <c r="O82" s="220" cm="1">
        <f t="array" ref="O82" xml:space="preserve"> INDEX( tblFilterAll[East of England], PeersCritera[[#This Row],[Index]] )</f>
        <v>0</v>
      </c>
      <c r="P82" s="220" cm="1">
        <f t="array" ref="P82" xml:space="preserve"> INDEX( tblFilterAll[North East], PeersCritera[[#This Row],[Index]] )</f>
        <v>0</v>
      </c>
      <c r="Q82" s="220" cm="1">
        <f t="array" ref="Q82" xml:space="preserve"> INDEX( tblFilterAll[North West], PeersCritera[[#This Row],[Index]] )</f>
        <v>0</v>
      </c>
      <c r="R82" s="220" cm="1">
        <f t="array" ref="R82" xml:space="preserve"> INDEX( tblFilterAll[Yorkshire &amp; the Humber], PeersCritera[[#This Row],[Index]] )</f>
        <v>0</v>
      </c>
      <c r="S82" s="224" t="str" cm="1">
        <f t="array" ref="S82" xml:space="preserve"> INDEX( tblFilterAll[Region with 50%+ of social stock owned], PeersCritera[[#This Row],[Index]] )</f>
        <v>Mixed</v>
      </c>
      <c r="T82" s="229" cm="1">
        <f t="array" ref="T82" xml:space="preserve"> INDEX( tblFilterAll[Meets initial criteria], PeersCritera[[#This Row],[Index]] )</f>
        <v>1</v>
      </c>
      <c r="U82" s="241"/>
      <c r="V82" s="230">
        <f>IF( PeersCritera[[#This Row],[RP_Name]] = SelectedProvider, 1, IF( PeersCritera[[#This Row],[Override initial criteria]] = "Include", 1, IF( PeersCritera[[#This Row],[Override initial criteria]] = "Exclude", 0, PeersCritera[[#This Row],[Meets initial criteria]] ) ) )</f>
        <v>1</v>
      </c>
      <c r="W82" s="325">
        <f xml:space="preserve"> MATCH( PeersCritera[[#This Row],[RP_Name]], tblFilterAll[Provider name], 0 )</f>
        <v>67</v>
      </c>
      <c r="Y8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3" spans="2:25" x14ac:dyDescent="0.25">
      <c r="B83" s="327" t="s" vm="68">
        <v>281</v>
      </c>
      <c r="C83" s="218" cm="1" vm="3705">
        <f t="array" ref="C83" xml:space="preserve"> INDEX( tblFilterAll[Total social stock owned], PeersCritera[[#This Row],[Index]] )</f>
        <v>3320</v>
      </c>
      <c r="D83" s="219" cm="1">
        <f t="array" ref="D83" xml:space="preserve"> INDEX( tblFilterAll[% Supported housing (excl. HOP)], PeersCritera[[#This Row],[Index]] )</f>
        <v>0.39323789217179411</v>
      </c>
      <c r="E83" s="220" cm="1">
        <f t="array" ref="E83" xml:space="preserve"> INDEX( tblFilterAll[% Housing for older people], PeersCritera[[#This Row],[Index]] )</f>
        <v>7.4322266219920802E-2</v>
      </c>
      <c r="F83" s="220">
        <f xml:space="preserve"> PeersCritera[[#This Row],[% Supported housing (excl. HOP)]] + PeersCritera[[#This Row],[% Housing for older people]]</f>
        <v>0.46756015839171494</v>
      </c>
      <c r="G83" s="221">
        <f xml:space="preserve"> 1 - PeersCritera[[#This Row],[% Supported &amp; older people]]</f>
        <v>0.53243984160828506</v>
      </c>
      <c r="H83" s="222" t="str" cm="1">
        <f t="array" ref="H83" xml:space="preserve"> INDEX( tblFilterAll[Provider Type], PeersCritera[[#This Row],[Index]] )</f>
        <v>Traditional</v>
      </c>
      <c r="I83" s="223" t="str" cm="1">
        <f t="array" ref="I83" xml:space="preserve"> INDEX( tblFilterAll[LSVT age], PeersCritera[[#This Row],[Index]] )</f>
        <v/>
      </c>
      <c r="J83" s="219" cm="1">
        <f t="array" ref="J83" xml:space="preserve"> INDEX( tblFilterAll[London], PeersCritera[[#This Row],[Index]] )</f>
        <v>0.2916923076923077</v>
      </c>
      <c r="K83" s="220" cm="1">
        <f t="array" ref="K83" xml:space="preserve"> INDEX( tblFilterAll[South East], PeersCritera[[#This Row],[Index]] )</f>
        <v>0.12553846153846154</v>
      </c>
      <c r="L83" s="220" cm="1">
        <f t="array" ref="L83" xml:space="preserve"> INDEX( tblFilterAll[South West], PeersCritera[[#This Row],[Index]] )</f>
        <v>0.11138461538461539</v>
      </c>
      <c r="M83" s="220" cm="1">
        <f t="array" ref="M83" xml:space="preserve"> INDEX( tblFilterAll[East Midlands], PeersCritera[[#This Row],[Index]] )</f>
        <v>1.0153846153846154E-2</v>
      </c>
      <c r="N83" s="220" cm="1">
        <f t="array" ref="N83" xml:space="preserve"> INDEX( tblFilterAll[West Midlands], PeersCritera[[#This Row],[Index]] )</f>
        <v>4.2769230769230768E-2</v>
      </c>
      <c r="O83" s="220" cm="1">
        <f t="array" ref="O83" xml:space="preserve"> INDEX( tblFilterAll[East of England], PeersCritera[[#This Row],[Index]] )</f>
        <v>9.1692307692307698E-2</v>
      </c>
      <c r="P83" s="220" cm="1">
        <f t="array" ref="P83" xml:space="preserve"> INDEX( tblFilterAll[North East], PeersCritera[[#This Row],[Index]] )</f>
        <v>0.13292307692307692</v>
      </c>
      <c r="Q83" s="220" cm="1">
        <f t="array" ref="Q83" xml:space="preserve"> INDEX( tblFilterAll[North West], PeersCritera[[#This Row],[Index]] )</f>
        <v>1.3846153846153847E-2</v>
      </c>
      <c r="R83" s="220" cm="1">
        <f t="array" ref="R83" xml:space="preserve"> INDEX( tblFilterAll[Yorkshire &amp; the Humber], PeersCritera[[#This Row],[Index]] )</f>
        <v>0.18</v>
      </c>
      <c r="S83" s="224" t="str" cm="1">
        <f t="array" ref="S83" xml:space="preserve"> INDEX( tblFilterAll[Region with 50%+ of social stock owned], PeersCritera[[#This Row],[Index]] )</f>
        <v>Mixed</v>
      </c>
      <c r="T83" s="229" cm="1">
        <f t="array" ref="T83" xml:space="preserve"> INDEX( tblFilterAll[Meets initial criteria], PeersCritera[[#This Row],[Index]] )</f>
        <v>1</v>
      </c>
      <c r="U83" s="241"/>
      <c r="V83" s="230">
        <f>IF( PeersCritera[[#This Row],[RP_Name]] = SelectedProvider, 1, IF( PeersCritera[[#This Row],[Override initial criteria]] = "Include", 1, IF( PeersCritera[[#This Row],[Override initial criteria]] = "Exclude", 0, PeersCritera[[#This Row],[Meets initial criteria]] ) ) )</f>
        <v>1</v>
      </c>
      <c r="W83" s="325">
        <f xml:space="preserve"> MATCH( PeersCritera[[#This Row],[RP_Name]], tblFilterAll[Provider name], 0 )</f>
        <v>68</v>
      </c>
      <c r="Y8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4" spans="2:25" x14ac:dyDescent="0.25">
      <c r="B84" s="327" t="s" vm="69">
        <v>283</v>
      </c>
      <c r="C84" s="218" cm="1" vm="6464">
        <f t="array" ref="C84" xml:space="preserve"> INDEX( tblFilterAll[Total social stock owned], PeersCritera[[#This Row],[Index]] )</f>
        <v>7330</v>
      </c>
      <c r="D84" s="219" cm="1">
        <f t="array" ref="D84" xml:space="preserve"> INDEX( tblFilterAll[% Supported housing (excl. HOP)], PeersCritera[[#This Row],[Index]] )</f>
        <v>1.7662481026631708E-2</v>
      </c>
      <c r="E84" s="220" cm="1">
        <f t="array" ref="E84" xml:space="preserve"> INDEX( tblFilterAll[% Housing for older people], PeersCritera[[#This Row],[Index]] )</f>
        <v>0</v>
      </c>
      <c r="F84" s="220">
        <f xml:space="preserve"> PeersCritera[[#This Row],[% Supported housing (excl. HOP)]] + PeersCritera[[#This Row],[% Housing for older people]]</f>
        <v>1.7662481026631708E-2</v>
      </c>
      <c r="G84" s="221">
        <f xml:space="preserve"> 1 - PeersCritera[[#This Row],[% Supported &amp; older people]]</f>
        <v>0.9823375189733683</v>
      </c>
      <c r="H84" s="222" t="str" cm="1">
        <f t="array" ref="H84" xml:space="preserve"> INDEX( tblFilterAll[Provider Type], PeersCritera[[#This Row],[Index]] )</f>
        <v>Traditional</v>
      </c>
      <c r="I84" s="223" t="str" cm="1">
        <f t="array" ref="I84" xml:space="preserve"> INDEX( tblFilterAll[LSVT age], PeersCritera[[#This Row],[Index]] )</f>
        <v>&gt;= 12 years</v>
      </c>
      <c r="J84" s="219" cm="1">
        <f t="array" ref="J84" xml:space="preserve"> INDEX( tblFilterAll[London], PeersCritera[[#This Row],[Index]] )</f>
        <v>0</v>
      </c>
      <c r="K84" s="220" cm="1">
        <f t="array" ref="K84" xml:space="preserve"> INDEX( tblFilterAll[South East], PeersCritera[[#This Row],[Index]] )</f>
        <v>0</v>
      </c>
      <c r="L84" s="220" cm="1">
        <f t="array" ref="L84" xml:space="preserve"> INDEX( tblFilterAll[South West], PeersCritera[[#This Row],[Index]] )</f>
        <v>0</v>
      </c>
      <c r="M84" s="220" cm="1">
        <f t="array" ref="M84" xml:space="preserve"> INDEX( tblFilterAll[East Midlands], PeersCritera[[#This Row],[Index]] )</f>
        <v>0</v>
      </c>
      <c r="N84" s="220" cm="1">
        <f t="array" ref="N84" xml:space="preserve"> INDEX( tblFilterAll[West Midlands], PeersCritera[[#This Row],[Index]] )</f>
        <v>0</v>
      </c>
      <c r="O84" s="220" cm="1">
        <f t="array" ref="O84" xml:space="preserve"> INDEX( tblFilterAll[East of England], PeersCritera[[#This Row],[Index]] )</f>
        <v>0</v>
      </c>
      <c r="P84" s="220" cm="1">
        <f t="array" ref="P84" xml:space="preserve"> INDEX( tblFilterAll[North East], PeersCritera[[#This Row],[Index]] )</f>
        <v>0</v>
      </c>
      <c r="Q84" s="220" cm="1">
        <f t="array" ref="Q84" xml:space="preserve"> INDEX( tblFilterAll[North West], PeersCritera[[#This Row],[Index]] )</f>
        <v>1</v>
      </c>
      <c r="R84" s="220" cm="1">
        <f t="array" ref="R84" xml:space="preserve"> INDEX( tblFilterAll[Yorkshire &amp; the Humber], PeersCritera[[#This Row],[Index]] )</f>
        <v>0</v>
      </c>
      <c r="S84" s="224" t="str" cm="1">
        <f t="array" ref="S84" xml:space="preserve"> INDEX( tblFilterAll[Region with 50%+ of social stock owned], PeersCritera[[#This Row],[Index]] )</f>
        <v>North West</v>
      </c>
      <c r="T84" s="229" cm="1">
        <f t="array" ref="T84" xml:space="preserve"> INDEX( tblFilterAll[Meets initial criteria], PeersCritera[[#This Row],[Index]] )</f>
        <v>1</v>
      </c>
      <c r="U84" s="241"/>
      <c r="V84" s="230">
        <f>IF( PeersCritera[[#This Row],[RP_Name]] = SelectedProvider, 1, IF( PeersCritera[[#This Row],[Override initial criteria]] = "Include", 1, IF( PeersCritera[[#This Row],[Override initial criteria]] = "Exclude", 0, PeersCritera[[#This Row],[Meets initial criteria]] ) ) )</f>
        <v>1</v>
      </c>
      <c r="W84" s="325">
        <f xml:space="preserve"> MATCH( PeersCritera[[#This Row],[RP_Name]], tblFilterAll[Provider name], 0 )</f>
        <v>69</v>
      </c>
      <c r="Y8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5" spans="2:25" x14ac:dyDescent="0.25">
      <c r="B85" s="327" t="s" vm="70">
        <v>285</v>
      </c>
      <c r="C85" s="218" cm="1" vm="6781">
        <f t="array" ref="C85" xml:space="preserve"> INDEX( tblFilterAll[Total social stock owned], PeersCritera[[#This Row],[Index]] )</f>
        <v>5075</v>
      </c>
      <c r="D85" s="219" cm="1">
        <f t="array" ref="D85" xml:space="preserve"> INDEX( tblFilterAll[% Supported housing (excl. HOP)], PeersCritera[[#This Row],[Index]] )</f>
        <v>0</v>
      </c>
      <c r="E85" s="220" cm="1">
        <f t="array" ref="E85" xml:space="preserve"> INDEX( tblFilterAll[% Housing for older people], PeersCritera[[#This Row],[Index]] )</f>
        <v>0</v>
      </c>
      <c r="F85" s="220">
        <f xml:space="preserve"> PeersCritera[[#This Row],[% Supported housing (excl. HOP)]] + PeersCritera[[#This Row],[% Housing for older people]]</f>
        <v>0</v>
      </c>
      <c r="G85" s="221">
        <f xml:space="preserve"> 1 - PeersCritera[[#This Row],[% Supported &amp; older people]]</f>
        <v>1</v>
      </c>
      <c r="H85" s="222" t="str" cm="1">
        <f t="array" ref="H85" xml:space="preserve"> INDEX( tblFilterAll[Provider Type], PeersCritera[[#This Row],[Index]] )</f>
        <v>Traditional</v>
      </c>
      <c r="I85" s="223" t="str" cm="1">
        <f t="array" ref="I85" xml:space="preserve"> INDEX( tblFilterAll[LSVT age], PeersCritera[[#This Row],[Index]] )</f>
        <v/>
      </c>
      <c r="J85" s="219" cm="1">
        <f t="array" ref="J85" xml:space="preserve"> INDEX( tblFilterAll[London], PeersCritera[[#This Row],[Index]] )</f>
        <v>5.1737756714060029E-2</v>
      </c>
      <c r="K85" s="220" cm="1">
        <f t="array" ref="K85" xml:space="preserve"> INDEX( tblFilterAll[South East], PeersCritera[[#This Row],[Index]] )</f>
        <v>0.26599526066350709</v>
      </c>
      <c r="L85" s="220" cm="1">
        <f t="array" ref="L85" xml:space="preserve"> INDEX( tblFilterAll[South West], PeersCritera[[#This Row],[Index]] )</f>
        <v>0.29601105845181674</v>
      </c>
      <c r="M85" s="220" cm="1">
        <f t="array" ref="M85" xml:space="preserve"> INDEX( tblFilterAll[East Midlands], PeersCritera[[#This Row],[Index]] )</f>
        <v>8.0963665086887827E-3</v>
      </c>
      <c r="N85" s="220" cm="1">
        <f t="array" ref="N85" xml:space="preserve"> INDEX( tblFilterAll[West Midlands], PeersCritera[[#This Row],[Index]] )</f>
        <v>0</v>
      </c>
      <c r="O85" s="220" cm="1">
        <f t="array" ref="O85" xml:space="preserve"> INDEX( tblFilterAll[East of England], PeersCritera[[#This Row],[Index]] )</f>
        <v>0.37815955766192733</v>
      </c>
      <c r="P85" s="220" cm="1">
        <f t="array" ref="P85" xml:space="preserve"> INDEX( tblFilterAll[North East], PeersCritera[[#This Row],[Index]] )</f>
        <v>0</v>
      </c>
      <c r="Q85" s="220" cm="1">
        <f t="array" ref="Q85" xml:space="preserve"> INDEX( tblFilterAll[North West], PeersCritera[[#This Row],[Index]] )</f>
        <v>0</v>
      </c>
      <c r="R85" s="220" cm="1">
        <f t="array" ref="R85" xml:space="preserve"> INDEX( tblFilterAll[Yorkshire &amp; the Humber], PeersCritera[[#This Row],[Index]] )</f>
        <v>0</v>
      </c>
      <c r="S85" s="224" t="str" cm="1">
        <f t="array" ref="S85" xml:space="preserve"> INDEX( tblFilterAll[Region with 50%+ of social stock owned], PeersCritera[[#This Row],[Index]] )</f>
        <v>Mixed</v>
      </c>
      <c r="T85" s="229" cm="1">
        <f t="array" ref="T85" xml:space="preserve"> INDEX( tblFilterAll[Meets initial criteria], PeersCritera[[#This Row],[Index]] )</f>
        <v>1</v>
      </c>
      <c r="U85" s="241"/>
      <c r="V85" s="230">
        <f>IF( PeersCritera[[#This Row],[RP_Name]] = SelectedProvider, 1, IF( PeersCritera[[#This Row],[Override initial criteria]] = "Include", 1, IF( PeersCritera[[#This Row],[Override initial criteria]] = "Exclude", 0, PeersCritera[[#This Row],[Meets initial criteria]] ) ) )</f>
        <v>1</v>
      </c>
      <c r="W85" s="325">
        <f xml:space="preserve"> MATCH( PeersCritera[[#This Row],[RP_Name]], tblFilterAll[Provider name], 0 )</f>
        <v>70</v>
      </c>
      <c r="Y8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6" spans="2:25" x14ac:dyDescent="0.25">
      <c r="B86" s="327" t="s" vm="71">
        <v>287</v>
      </c>
      <c r="C86" s="218" cm="1" vm="3786">
        <f t="array" ref="C86" xml:space="preserve"> INDEX( tblFilterAll[Total social stock owned], PeersCritera[[#This Row],[Index]] )</f>
        <v>4313</v>
      </c>
      <c r="D86" s="219" cm="1">
        <f t="array" ref="D86" xml:space="preserve"> INDEX( tblFilterAll[% Supported housing (excl. HOP)], PeersCritera[[#This Row],[Index]] )</f>
        <v>5.5594324261456156E-2</v>
      </c>
      <c r="E86" s="220" cm="1">
        <f t="array" ref="E86" xml:space="preserve"> INDEX( tblFilterAll[% Housing for older people], PeersCritera[[#This Row],[Index]] )</f>
        <v>0</v>
      </c>
      <c r="F86" s="220">
        <f xml:space="preserve"> PeersCritera[[#This Row],[% Supported housing (excl. HOP)]] + PeersCritera[[#This Row],[% Housing for older people]]</f>
        <v>5.5594324261456156E-2</v>
      </c>
      <c r="G86" s="221">
        <f xml:space="preserve"> 1 - PeersCritera[[#This Row],[% Supported &amp; older people]]</f>
        <v>0.94440567573854384</v>
      </c>
      <c r="H86" s="222" t="str" cm="1">
        <f t="array" ref="H86" xml:space="preserve"> INDEX( tblFilterAll[Provider Type], PeersCritera[[#This Row],[Index]] )</f>
        <v>Traditional</v>
      </c>
      <c r="I86" s="223" t="str" cm="1">
        <f t="array" ref="I86" xml:space="preserve"> INDEX( tblFilterAll[LSVT age], PeersCritera[[#This Row],[Index]] )</f>
        <v/>
      </c>
      <c r="J86" s="219" cm="1">
        <f t="array" ref="J86" xml:space="preserve"> INDEX( tblFilterAll[London], PeersCritera[[#This Row],[Index]] )</f>
        <v>0.99765203099319089</v>
      </c>
      <c r="K86" s="220" cm="1">
        <f t="array" ref="K86" xml:space="preserve"> INDEX( tblFilterAll[South East], PeersCritera[[#This Row],[Index]] )</f>
        <v>2.3479690068091102E-3</v>
      </c>
      <c r="L86" s="220" cm="1">
        <f t="array" ref="L86" xml:space="preserve"> INDEX( tblFilterAll[South West], PeersCritera[[#This Row],[Index]] )</f>
        <v>0</v>
      </c>
      <c r="M86" s="220" cm="1">
        <f t="array" ref="M86" xml:space="preserve"> INDEX( tblFilterAll[East Midlands], PeersCritera[[#This Row],[Index]] )</f>
        <v>0</v>
      </c>
      <c r="N86" s="220" cm="1">
        <f t="array" ref="N86" xml:space="preserve"> INDEX( tblFilterAll[West Midlands], PeersCritera[[#This Row],[Index]] )</f>
        <v>0</v>
      </c>
      <c r="O86" s="220" cm="1">
        <f t="array" ref="O86" xml:space="preserve"> INDEX( tblFilterAll[East of England], PeersCritera[[#This Row],[Index]] )</f>
        <v>0</v>
      </c>
      <c r="P86" s="220" cm="1">
        <f t="array" ref="P86" xml:space="preserve"> INDEX( tblFilterAll[North East], PeersCritera[[#This Row],[Index]] )</f>
        <v>0</v>
      </c>
      <c r="Q86" s="220" cm="1">
        <f t="array" ref="Q86" xml:space="preserve"> INDEX( tblFilterAll[North West], PeersCritera[[#This Row],[Index]] )</f>
        <v>0</v>
      </c>
      <c r="R86" s="220" cm="1">
        <f t="array" ref="R86" xml:space="preserve"> INDEX( tblFilterAll[Yorkshire &amp; the Humber], PeersCritera[[#This Row],[Index]] )</f>
        <v>0</v>
      </c>
      <c r="S86" s="224" t="str" cm="1">
        <f t="array" ref="S86" xml:space="preserve"> INDEX( tblFilterAll[Region with 50%+ of social stock owned], PeersCritera[[#This Row],[Index]] )</f>
        <v>London</v>
      </c>
      <c r="T86" s="229" cm="1">
        <f t="array" ref="T86" xml:space="preserve"> INDEX( tblFilterAll[Meets initial criteria], PeersCritera[[#This Row],[Index]] )</f>
        <v>1</v>
      </c>
      <c r="U86" s="241"/>
      <c r="V86" s="230">
        <f>IF( PeersCritera[[#This Row],[RP_Name]] = SelectedProvider, 1, IF( PeersCritera[[#This Row],[Override initial criteria]] = "Include", 1, IF( PeersCritera[[#This Row],[Override initial criteria]] = "Exclude", 0, PeersCritera[[#This Row],[Meets initial criteria]] ) ) )</f>
        <v>1</v>
      </c>
      <c r="W86" s="325">
        <f xml:space="preserve"> MATCH( PeersCritera[[#This Row],[RP_Name]], tblFilterAll[Provider name], 0 )</f>
        <v>71</v>
      </c>
      <c r="Y8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7" spans="2:25" x14ac:dyDescent="0.25">
      <c r="B87" s="327" t="s" vm="72">
        <v>289</v>
      </c>
      <c r="C87" s="218" cm="1" vm="5050">
        <f t="array" ref="C87" xml:space="preserve"> INDEX( tblFilterAll[Total social stock owned], PeersCritera[[#This Row],[Index]] )</f>
        <v>6980</v>
      </c>
      <c r="D87" s="219" cm="1">
        <f t="array" ref="D87" xml:space="preserve"> INDEX( tblFilterAll[% Supported housing (excl. HOP)], PeersCritera[[#This Row],[Index]] )</f>
        <v>5.5989946942194918E-2</v>
      </c>
      <c r="E87" s="220" cm="1">
        <f t="array" ref="E87" xml:space="preserve"> INDEX( tblFilterAll[% Housing for older people], PeersCritera[[#This Row],[Index]] )</f>
        <v>1.1309690030717677E-2</v>
      </c>
      <c r="F87" s="220">
        <f xml:space="preserve"> PeersCritera[[#This Row],[% Supported housing (excl. HOP)]] + PeersCritera[[#This Row],[% Housing for older people]]</f>
        <v>6.7299636972912594E-2</v>
      </c>
      <c r="G87" s="221">
        <f xml:space="preserve"> 1 - PeersCritera[[#This Row],[% Supported &amp; older people]]</f>
        <v>0.93270036302708736</v>
      </c>
      <c r="H87" s="222" t="str" cm="1">
        <f t="array" ref="H87" xml:space="preserve"> INDEX( tblFilterAll[Provider Type], PeersCritera[[#This Row],[Index]] )</f>
        <v>Traditional</v>
      </c>
      <c r="I87" s="223" t="str" cm="1">
        <f t="array" ref="I87" xml:space="preserve"> INDEX( tblFilterAll[LSVT age], PeersCritera[[#This Row],[Index]] )</f>
        <v/>
      </c>
      <c r="J87" s="219" cm="1">
        <f t="array" ref="J87" xml:space="preserve"> INDEX( tblFilterAll[London], PeersCritera[[#This Row],[Index]] )</f>
        <v>0</v>
      </c>
      <c r="K87" s="220" cm="1">
        <f t="array" ref="K87" xml:space="preserve"> INDEX( tblFilterAll[South East], PeersCritera[[#This Row],[Index]] )</f>
        <v>0.22642551428965899</v>
      </c>
      <c r="L87" s="220" cm="1">
        <f t="array" ref="L87" xml:space="preserve"> INDEX( tblFilterAll[South West], PeersCritera[[#This Row],[Index]] )</f>
        <v>0</v>
      </c>
      <c r="M87" s="220" cm="1">
        <f t="array" ref="M87" xml:space="preserve"> INDEX( tblFilterAll[East Midlands], PeersCritera[[#This Row],[Index]] )</f>
        <v>0</v>
      </c>
      <c r="N87" s="220" cm="1">
        <f t="array" ref="N87" xml:space="preserve"> INDEX( tblFilterAll[West Midlands], PeersCritera[[#This Row],[Index]] )</f>
        <v>0</v>
      </c>
      <c r="O87" s="220" cm="1">
        <f t="array" ref="O87" xml:space="preserve"> INDEX( tblFilterAll[East of England], PeersCritera[[#This Row],[Index]] )</f>
        <v>0.77357448571034104</v>
      </c>
      <c r="P87" s="220" cm="1">
        <f t="array" ref="P87" xml:space="preserve"> INDEX( tblFilterAll[North East], PeersCritera[[#This Row],[Index]] )</f>
        <v>0</v>
      </c>
      <c r="Q87" s="220" cm="1">
        <f t="array" ref="Q87" xml:space="preserve"> INDEX( tblFilterAll[North West], PeersCritera[[#This Row],[Index]] )</f>
        <v>0</v>
      </c>
      <c r="R87" s="220" cm="1">
        <f t="array" ref="R87" xml:space="preserve"> INDEX( tblFilterAll[Yorkshire &amp; the Humber], PeersCritera[[#This Row],[Index]] )</f>
        <v>0</v>
      </c>
      <c r="S87" s="224" t="str" cm="1">
        <f t="array" ref="S87" xml:space="preserve"> INDEX( tblFilterAll[Region with 50%+ of social stock owned], PeersCritera[[#This Row],[Index]] )</f>
        <v>East of England</v>
      </c>
      <c r="T87" s="229" cm="1">
        <f t="array" ref="T87" xml:space="preserve"> INDEX( tblFilterAll[Meets initial criteria], PeersCritera[[#This Row],[Index]] )</f>
        <v>1</v>
      </c>
      <c r="U87" s="241"/>
      <c r="V87" s="230">
        <f>IF( PeersCritera[[#This Row],[RP_Name]] = SelectedProvider, 1, IF( PeersCritera[[#This Row],[Override initial criteria]] = "Include", 1, IF( PeersCritera[[#This Row],[Override initial criteria]] = "Exclude", 0, PeersCritera[[#This Row],[Meets initial criteria]] ) ) )</f>
        <v>1</v>
      </c>
      <c r="W87" s="325">
        <f xml:space="preserve"> MATCH( PeersCritera[[#This Row],[RP_Name]], tblFilterAll[Provider name], 0 )</f>
        <v>72</v>
      </c>
      <c r="Y8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8" spans="2:25" x14ac:dyDescent="0.25">
      <c r="B88" s="327" t="s" vm="73">
        <v>291</v>
      </c>
      <c r="C88" s="218" cm="1" vm="1549">
        <f t="array" ref="C88" xml:space="preserve"> INDEX( tblFilterAll[Total social stock owned], PeersCritera[[#This Row],[Index]] )</f>
        <v>50973</v>
      </c>
      <c r="D88" s="219" cm="1">
        <f t="array" ref="D88" xml:space="preserve"> INDEX( tblFilterAll[% Supported housing (excl. HOP)], PeersCritera[[#This Row],[Index]] )</f>
        <v>8.3588584465240076E-2</v>
      </c>
      <c r="E88" s="220" cm="1">
        <f t="array" ref="E88" xml:space="preserve"> INDEX( tblFilterAll[% Housing for older people], PeersCritera[[#This Row],[Index]] )</f>
        <v>3.2615813599780309E-2</v>
      </c>
      <c r="F88" s="220">
        <f xml:space="preserve"> PeersCritera[[#This Row],[% Supported housing (excl. HOP)]] + PeersCritera[[#This Row],[% Housing for older people]]</f>
        <v>0.11620439806502039</v>
      </c>
      <c r="G88" s="221">
        <f xml:space="preserve"> 1 - PeersCritera[[#This Row],[% Supported &amp; older people]]</f>
        <v>0.88379560193497964</v>
      </c>
      <c r="H88" s="222" t="str" cm="1">
        <f t="array" ref="H88" xml:space="preserve"> INDEX( tblFilterAll[Provider Type], PeersCritera[[#This Row],[Index]] )</f>
        <v>Traditional</v>
      </c>
      <c r="I88" s="223" t="str" cm="1">
        <f t="array" ref="I88" xml:space="preserve"> INDEX( tblFilterAll[LSVT age], PeersCritera[[#This Row],[Index]] )</f>
        <v/>
      </c>
      <c r="J88" s="219" cm="1">
        <f t="array" ref="J88" xml:space="preserve"> INDEX( tblFilterAll[London], PeersCritera[[#This Row],[Index]] )</f>
        <v>8.0234791889007465E-2</v>
      </c>
      <c r="K88" s="220" cm="1">
        <f t="array" ref="K88" xml:space="preserve"> INDEX( tblFilterAll[South East], PeersCritera[[#This Row],[Index]] )</f>
        <v>0.14029882604055496</v>
      </c>
      <c r="L88" s="220" cm="1">
        <f t="array" ref="L88" xml:space="preserve"> INDEX( tblFilterAll[South West], PeersCritera[[#This Row],[Index]] )</f>
        <v>1.1718249733191036E-2</v>
      </c>
      <c r="M88" s="220" cm="1">
        <f t="array" ref="M88" xml:space="preserve"> INDEX( tblFilterAll[East Midlands], PeersCritera[[#This Row],[Index]] )</f>
        <v>2.3991462113127002E-2</v>
      </c>
      <c r="N88" s="220" cm="1">
        <f t="array" ref="N88" xml:space="preserve"> INDEX( tblFilterAll[West Midlands], PeersCritera[[#This Row],[Index]] )</f>
        <v>4.6744930629669156E-3</v>
      </c>
      <c r="O88" s="220" cm="1">
        <f t="array" ref="O88" xml:space="preserve"> INDEX( tblFilterAll[East of England], PeersCritera[[#This Row],[Index]] )</f>
        <v>0.10542155816435432</v>
      </c>
      <c r="P88" s="220" cm="1">
        <f t="array" ref="P88" xml:space="preserve"> INDEX( tblFilterAll[North East], PeersCritera[[#This Row],[Index]] )</f>
        <v>0.31054429028815367</v>
      </c>
      <c r="Q88" s="220" cm="1">
        <f t="array" ref="Q88" xml:space="preserve"> INDEX( tblFilterAll[North West], PeersCritera[[#This Row],[Index]] )</f>
        <v>0.2087086446104589</v>
      </c>
      <c r="R88" s="220" cm="1">
        <f t="array" ref="R88" xml:space="preserve"> INDEX( tblFilterAll[Yorkshire &amp; the Humber], PeersCritera[[#This Row],[Index]] )</f>
        <v>0.11440768409818571</v>
      </c>
      <c r="S88" s="224" t="str" cm="1">
        <f t="array" ref="S88" xml:space="preserve"> INDEX( tblFilterAll[Region with 50%+ of social stock owned], PeersCritera[[#This Row],[Index]] )</f>
        <v>Mixed</v>
      </c>
      <c r="T88" s="229" cm="1">
        <f t="array" ref="T88" xml:space="preserve"> INDEX( tblFilterAll[Meets initial criteria], PeersCritera[[#This Row],[Index]] )</f>
        <v>1</v>
      </c>
      <c r="U88" s="241"/>
      <c r="V88" s="230">
        <f>IF( PeersCritera[[#This Row],[RP_Name]] = SelectedProvider, 1, IF( PeersCritera[[#This Row],[Override initial criteria]] = "Include", 1, IF( PeersCritera[[#This Row],[Override initial criteria]] = "Exclude", 0, PeersCritera[[#This Row],[Meets initial criteria]] ) ) )</f>
        <v>1</v>
      </c>
      <c r="W88" s="325">
        <f xml:space="preserve"> MATCH( PeersCritera[[#This Row],[RP_Name]], tblFilterAll[Provider name], 0 )</f>
        <v>73</v>
      </c>
      <c r="Y8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89" spans="2:25" x14ac:dyDescent="0.25">
      <c r="B89" s="327" t="s" vm="74">
        <v>293</v>
      </c>
      <c r="C89" s="218" cm="1" vm="3857">
        <f t="array" ref="C89" xml:space="preserve"> INDEX( tblFilterAll[Total social stock owned], PeersCritera[[#This Row],[Index]] )</f>
        <v>3121</v>
      </c>
      <c r="D89" s="219" cm="1">
        <f t="array" ref="D89" xml:space="preserve"> INDEX( tblFilterAll[% Supported housing (excl. HOP)], PeersCritera[[#This Row],[Index]] )</f>
        <v>4.6804389928986445E-2</v>
      </c>
      <c r="E89" s="220" cm="1">
        <f t="array" ref="E89" xml:space="preserve"> INDEX( tblFilterAll[% Housing for older people], PeersCritera[[#This Row],[Index]] )</f>
        <v>0.14138153647514526</v>
      </c>
      <c r="F89" s="220">
        <f xml:space="preserve"> PeersCritera[[#This Row],[% Supported housing (excl. HOP)]] + PeersCritera[[#This Row],[% Housing for older people]]</f>
        <v>0.1881859264041317</v>
      </c>
      <c r="G89" s="221">
        <f xml:space="preserve"> 1 - PeersCritera[[#This Row],[% Supported &amp; older people]]</f>
        <v>0.81181407359586832</v>
      </c>
      <c r="H89" s="222" t="str" cm="1">
        <f t="array" ref="H89" xml:space="preserve"> INDEX( tblFilterAll[Provider Type], PeersCritera[[#This Row],[Index]] )</f>
        <v>Traditional</v>
      </c>
      <c r="I89" s="223" t="str" cm="1">
        <f t="array" ref="I89" xml:space="preserve"> INDEX( tblFilterAll[LSVT age], PeersCritera[[#This Row],[Index]] )</f>
        <v/>
      </c>
      <c r="J89" s="219" cm="1">
        <f t="array" ref="J89" xml:space="preserve"> INDEX( tblFilterAll[London], PeersCritera[[#This Row],[Index]] )</f>
        <v>0</v>
      </c>
      <c r="K89" s="220" cm="1">
        <f t="array" ref="K89" xml:space="preserve"> INDEX( tblFilterAll[South East], PeersCritera[[#This Row],[Index]] )</f>
        <v>0</v>
      </c>
      <c r="L89" s="220" cm="1">
        <f t="array" ref="L89" xml:space="preserve"> INDEX( tblFilterAll[South West], PeersCritera[[#This Row],[Index]] )</f>
        <v>0</v>
      </c>
      <c r="M89" s="220" cm="1">
        <f t="array" ref="M89" xml:space="preserve"> INDEX( tblFilterAll[East Midlands], PeersCritera[[#This Row],[Index]] )</f>
        <v>0</v>
      </c>
      <c r="N89" s="220" cm="1">
        <f t="array" ref="N89" xml:space="preserve"> INDEX( tblFilterAll[West Midlands], PeersCritera[[#This Row],[Index]] )</f>
        <v>0.96701502286087526</v>
      </c>
      <c r="O89" s="220" cm="1">
        <f t="array" ref="O89" xml:space="preserve"> INDEX( tblFilterAll[East of England], PeersCritera[[#This Row],[Index]] )</f>
        <v>0</v>
      </c>
      <c r="P89" s="220" cm="1">
        <f t="array" ref="P89" xml:space="preserve"> INDEX( tblFilterAll[North East], PeersCritera[[#This Row],[Index]] )</f>
        <v>0</v>
      </c>
      <c r="Q89" s="220" cm="1">
        <f t="array" ref="Q89" xml:space="preserve"> INDEX( tblFilterAll[North West], PeersCritera[[#This Row],[Index]] )</f>
        <v>3.2984977139124752E-2</v>
      </c>
      <c r="R89" s="220" cm="1">
        <f t="array" ref="R89" xml:space="preserve"> INDEX( tblFilterAll[Yorkshire &amp; the Humber], PeersCritera[[#This Row],[Index]] )</f>
        <v>0</v>
      </c>
      <c r="S89" s="224" t="str" cm="1">
        <f t="array" ref="S89" xml:space="preserve"> INDEX( tblFilterAll[Region with 50%+ of social stock owned], PeersCritera[[#This Row],[Index]] )</f>
        <v>West Midlands</v>
      </c>
      <c r="T89" s="229" cm="1">
        <f t="array" ref="T89" xml:space="preserve"> INDEX( tblFilterAll[Meets initial criteria], PeersCritera[[#This Row],[Index]] )</f>
        <v>1</v>
      </c>
      <c r="U89" s="241"/>
      <c r="V89" s="230">
        <f>IF( PeersCritera[[#This Row],[RP_Name]] = SelectedProvider, 1, IF( PeersCritera[[#This Row],[Override initial criteria]] = "Include", 1, IF( PeersCritera[[#This Row],[Override initial criteria]] = "Exclude", 0, PeersCritera[[#This Row],[Meets initial criteria]] ) ) )</f>
        <v>1</v>
      </c>
      <c r="W89" s="325">
        <f xml:space="preserve"> MATCH( PeersCritera[[#This Row],[RP_Name]], tblFilterAll[Provider name], 0 )</f>
        <v>74</v>
      </c>
      <c r="Y8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0" spans="2:25" x14ac:dyDescent="0.25">
      <c r="B90" s="327" t="s" vm="75">
        <v>295</v>
      </c>
      <c r="C90" s="218" cm="1" vm="2279">
        <f t="array" ref="C90" xml:space="preserve"> INDEX( tblFilterAll[Total social stock owned], PeersCritera[[#This Row],[Index]] )</f>
        <v>19733</v>
      </c>
      <c r="D90" s="219" cm="1">
        <f t="array" ref="D90" xml:space="preserve"> INDEX( tblFilterAll[% Supported housing (excl. HOP)], PeersCritera[[#This Row],[Index]] )</f>
        <v>8.5643101837433819E-3</v>
      </c>
      <c r="E90" s="220" cm="1">
        <f t="array" ref="E90" xml:space="preserve"> INDEX( tblFilterAll[% Housing for older people], PeersCritera[[#This Row],[Index]] )</f>
        <v>0.91363022941970307</v>
      </c>
      <c r="F90" s="220">
        <f xml:space="preserve"> PeersCritera[[#This Row],[% Supported housing (excl. HOP)]] + PeersCritera[[#This Row],[% Housing for older people]]</f>
        <v>0.92219453960344644</v>
      </c>
      <c r="G90" s="221">
        <f xml:space="preserve"> 1 - PeersCritera[[#This Row],[% Supported &amp; older people]]</f>
        <v>7.7805460396553561E-2</v>
      </c>
      <c r="H90" s="222" t="str" cm="1">
        <f t="array" ref="H90" xml:space="preserve"> INDEX( tblFilterAll[Provider Type], PeersCritera[[#This Row],[Index]] )</f>
        <v>Traditional</v>
      </c>
      <c r="I90" s="223" t="str" cm="1">
        <f t="array" ref="I90" xml:space="preserve"> INDEX( tblFilterAll[LSVT age], PeersCritera[[#This Row],[Index]] )</f>
        <v/>
      </c>
      <c r="J90" s="219" cm="1">
        <f t="array" ref="J90" xml:space="preserve"> INDEX( tblFilterAll[London], PeersCritera[[#This Row],[Index]] )</f>
        <v>7.3153078633097238E-2</v>
      </c>
      <c r="K90" s="220" cm="1">
        <f t="array" ref="K90" xml:space="preserve"> INDEX( tblFilterAll[South East], PeersCritera[[#This Row],[Index]] )</f>
        <v>0.17453342294370056</v>
      </c>
      <c r="L90" s="220" cm="1">
        <f t="array" ref="L90" xml:space="preserve"> INDEX( tblFilterAll[South West], PeersCritera[[#This Row],[Index]] )</f>
        <v>8.9334643023315924E-2</v>
      </c>
      <c r="M90" s="220" cm="1">
        <f t="array" ref="M90" xml:space="preserve"> INDEX( tblFilterAll[East Midlands], PeersCritera[[#This Row],[Index]] )</f>
        <v>7.3256475210670524E-2</v>
      </c>
      <c r="N90" s="220" cm="1">
        <f t="array" ref="N90" xml:space="preserve"> INDEX( tblFilterAll[West Midlands], PeersCritera[[#This Row],[Index]] )</f>
        <v>0.1304864808974823</v>
      </c>
      <c r="O90" s="220" cm="1">
        <f t="array" ref="O90" xml:space="preserve"> INDEX( tblFilterAll[East of England], PeersCritera[[#This Row],[Index]] )</f>
        <v>0.10592979372382774</v>
      </c>
      <c r="P90" s="220" cm="1">
        <f t="array" ref="P90" xml:space="preserve"> INDEX( tblFilterAll[North East], PeersCritera[[#This Row],[Index]] )</f>
        <v>8.4681797032518227E-2</v>
      </c>
      <c r="Q90" s="220" cm="1">
        <f t="array" ref="Q90" xml:space="preserve"> INDEX( tblFilterAll[North West], PeersCritera[[#This Row],[Index]] )</f>
        <v>0.13922349170242465</v>
      </c>
      <c r="R90" s="220" cm="1">
        <f t="array" ref="R90" xml:space="preserve"> INDEX( tblFilterAll[Yorkshire &amp; the Humber], PeersCritera[[#This Row],[Index]] )</f>
        <v>0.12940081683296284</v>
      </c>
      <c r="S90" s="224" t="str" cm="1">
        <f t="array" ref="S90" xml:space="preserve"> INDEX( tblFilterAll[Region with 50%+ of social stock owned], PeersCritera[[#This Row],[Index]] )</f>
        <v>Mixed</v>
      </c>
      <c r="T90" s="229" cm="1">
        <f t="array" ref="T90" xml:space="preserve"> INDEX( tblFilterAll[Meets initial criteria], PeersCritera[[#This Row],[Index]] )</f>
        <v>1</v>
      </c>
      <c r="U90" s="241"/>
      <c r="V90" s="230">
        <f>IF( PeersCritera[[#This Row],[RP_Name]] = SelectedProvider, 1, IF( PeersCritera[[#This Row],[Override initial criteria]] = "Include", 1, IF( PeersCritera[[#This Row],[Override initial criteria]] = "Exclude", 0, PeersCritera[[#This Row],[Meets initial criteria]] ) ) )</f>
        <v>1</v>
      </c>
      <c r="W90" s="325">
        <f xml:space="preserve"> MATCH( PeersCritera[[#This Row],[RP_Name]], tblFilterAll[Provider name], 0 )</f>
        <v>75</v>
      </c>
      <c r="Y9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1" spans="2:25" x14ac:dyDescent="0.25">
      <c r="B91" s="327" t="s" vm="76">
        <v>297</v>
      </c>
      <c r="C91" s="218" cm="1" vm="6076">
        <f t="array" ref="C91" xml:space="preserve"> INDEX( tblFilterAll[Total social stock owned], PeersCritera[[#This Row],[Index]] )</f>
        <v>6389</v>
      </c>
      <c r="D91" s="219" cm="1">
        <f t="array" ref="D91" xml:space="preserve"> INDEX( tblFilterAll[% Supported housing (excl. HOP)], PeersCritera[[#This Row],[Index]] )</f>
        <v>4.2976773581924477E-2</v>
      </c>
      <c r="E91" s="220" cm="1">
        <f t="array" ref="E91" xml:space="preserve"> INDEX( tblFilterAll[% Housing for older people], PeersCritera[[#This Row],[Index]] )</f>
        <v>4.7242850371306683E-2</v>
      </c>
      <c r="F91" s="220">
        <f xml:space="preserve"> PeersCritera[[#This Row],[% Supported housing (excl. HOP)]] + PeersCritera[[#This Row],[% Housing for older people]]</f>
        <v>9.0219623953231159E-2</v>
      </c>
      <c r="G91" s="221">
        <f xml:space="preserve"> 1 - PeersCritera[[#This Row],[% Supported &amp; older people]]</f>
        <v>0.90978037604676887</v>
      </c>
      <c r="H91" s="222" t="str" cm="1">
        <f t="array" ref="H91" xml:space="preserve"> INDEX( tblFilterAll[Provider Type], PeersCritera[[#This Row],[Index]] )</f>
        <v>Traditional</v>
      </c>
      <c r="I91" s="223" t="str" cm="1">
        <f t="array" ref="I91" xml:space="preserve"> INDEX( tblFilterAll[LSVT age], PeersCritera[[#This Row],[Index]] )</f>
        <v/>
      </c>
      <c r="J91" s="219" cm="1">
        <f t="array" ref="J91" xml:space="preserve"> INDEX( tblFilterAll[London], PeersCritera[[#This Row],[Index]] )</f>
        <v>0</v>
      </c>
      <c r="K91" s="220" cm="1">
        <f t="array" ref="K91" xml:space="preserve"> INDEX( tblFilterAll[South East], PeersCritera[[#This Row],[Index]] )</f>
        <v>0.99824314827828531</v>
      </c>
      <c r="L91" s="220" cm="1">
        <f t="array" ref="L91" xml:space="preserve"> INDEX( tblFilterAll[South West], PeersCritera[[#This Row],[Index]] )</f>
        <v>0</v>
      </c>
      <c r="M91" s="220" cm="1">
        <f t="array" ref="M91" xml:space="preserve"> INDEX( tblFilterAll[East Midlands], PeersCritera[[#This Row],[Index]] )</f>
        <v>0</v>
      </c>
      <c r="N91" s="220" cm="1">
        <f t="array" ref="N91" xml:space="preserve"> INDEX( tblFilterAll[West Midlands], PeersCritera[[#This Row],[Index]] )</f>
        <v>0</v>
      </c>
      <c r="O91" s="220" cm="1">
        <f t="array" ref="O91" xml:space="preserve"> INDEX( tblFilterAll[East of England], PeersCritera[[#This Row],[Index]] )</f>
        <v>1.7568517217146872E-3</v>
      </c>
      <c r="P91" s="220" cm="1">
        <f t="array" ref="P91" xml:space="preserve"> INDEX( tblFilterAll[North East], PeersCritera[[#This Row],[Index]] )</f>
        <v>0</v>
      </c>
      <c r="Q91" s="220" cm="1">
        <f t="array" ref="Q91" xml:space="preserve"> INDEX( tblFilterAll[North West], PeersCritera[[#This Row],[Index]] )</f>
        <v>0</v>
      </c>
      <c r="R91" s="220" cm="1">
        <f t="array" ref="R91" xml:space="preserve"> INDEX( tblFilterAll[Yorkshire &amp; the Humber], PeersCritera[[#This Row],[Index]] )</f>
        <v>0</v>
      </c>
      <c r="S91" s="224" t="str" cm="1">
        <f t="array" ref="S91" xml:space="preserve"> INDEX( tblFilterAll[Region with 50%+ of social stock owned], PeersCritera[[#This Row],[Index]] )</f>
        <v>South East</v>
      </c>
      <c r="T91" s="229" cm="1">
        <f t="array" ref="T91" xml:space="preserve"> INDEX( tblFilterAll[Meets initial criteria], PeersCritera[[#This Row],[Index]] )</f>
        <v>1</v>
      </c>
      <c r="U91" s="241"/>
      <c r="V91" s="230">
        <f>IF( PeersCritera[[#This Row],[RP_Name]] = SelectedProvider, 1, IF( PeersCritera[[#This Row],[Override initial criteria]] = "Include", 1, IF( PeersCritera[[#This Row],[Override initial criteria]] = "Exclude", 0, PeersCritera[[#This Row],[Meets initial criteria]] ) ) )</f>
        <v>1</v>
      </c>
      <c r="W91" s="325">
        <f xml:space="preserve"> MATCH( PeersCritera[[#This Row],[RP_Name]], tblFilterAll[Provider name], 0 )</f>
        <v>76</v>
      </c>
      <c r="Y9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2" spans="2:25" x14ac:dyDescent="0.25">
      <c r="B92" s="327" t="s" vm="77">
        <v>299</v>
      </c>
      <c r="C92" s="218" cm="1" vm="1133">
        <f t="array" ref="C92" xml:space="preserve"> INDEX( tblFilterAll[Total social stock owned], PeersCritera[[#This Row],[Index]] )</f>
        <v>1368</v>
      </c>
      <c r="D92" s="219" cm="1">
        <f t="array" ref="D92" xml:space="preserve"> INDEX( tblFilterAll[% Supported housing (excl. HOP)], PeersCritera[[#This Row],[Index]] )</f>
        <v>0</v>
      </c>
      <c r="E92" s="220" cm="1">
        <f t="array" ref="E92" xml:space="preserve"> INDEX( tblFilterAll[% Housing for older people], PeersCritera[[#This Row],[Index]] )</f>
        <v>0</v>
      </c>
      <c r="F92" s="220">
        <f xml:space="preserve"> PeersCritera[[#This Row],[% Supported housing (excl. HOP)]] + PeersCritera[[#This Row],[% Housing for older people]]</f>
        <v>0</v>
      </c>
      <c r="G92" s="221">
        <f xml:space="preserve"> 1 - PeersCritera[[#This Row],[% Supported &amp; older people]]</f>
        <v>1</v>
      </c>
      <c r="H92" s="222" t="str" cm="1">
        <f t="array" ref="H92" xml:space="preserve"> INDEX( tblFilterAll[Provider Type], PeersCritera[[#This Row],[Index]] )</f>
        <v>Traditional</v>
      </c>
      <c r="I92" s="223" t="str" cm="1">
        <f t="array" ref="I92" xml:space="preserve"> INDEX( tblFilterAll[LSVT age], PeersCritera[[#This Row],[Index]] )</f>
        <v/>
      </c>
      <c r="J92" s="219" cm="1">
        <f t="array" ref="J92" xml:space="preserve"> INDEX( tblFilterAll[London], PeersCritera[[#This Row],[Index]] )</f>
        <v>0</v>
      </c>
      <c r="K92" s="220" cm="1">
        <f t="array" ref="K92" xml:space="preserve"> INDEX( tblFilterAll[South East], PeersCritera[[#This Row],[Index]] )</f>
        <v>1.827485380116959E-2</v>
      </c>
      <c r="L92" s="220" cm="1">
        <f t="array" ref="L92" xml:space="preserve"> INDEX( tblFilterAll[South West], PeersCritera[[#This Row],[Index]] )</f>
        <v>0</v>
      </c>
      <c r="M92" s="220" cm="1">
        <f t="array" ref="M92" xml:space="preserve"> INDEX( tblFilterAll[East Midlands], PeersCritera[[#This Row],[Index]] )</f>
        <v>0</v>
      </c>
      <c r="N92" s="220" cm="1">
        <f t="array" ref="N92" xml:space="preserve"> INDEX( tblFilterAll[West Midlands], PeersCritera[[#This Row],[Index]] )</f>
        <v>0</v>
      </c>
      <c r="O92" s="220" cm="1">
        <f t="array" ref="O92" xml:space="preserve"> INDEX( tblFilterAll[East of England], PeersCritera[[#This Row],[Index]] )</f>
        <v>0.98172514619883045</v>
      </c>
      <c r="P92" s="220" cm="1">
        <f t="array" ref="P92" xml:space="preserve"> INDEX( tblFilterAll[North East], PeersCritera[[#This Row],[Index]] )</f>
        <v>0</v>
      </c>
      <c r="Q92" s="220" cm="1">
        <f t="array" ref="Q92" xml:space="preserve"> INDEX( tblFilterAll[North West], PeersCritera[[#This Row],[Index]] )</f>
        <v>0</v>
      </c>
      <c r="R92" s="220" cm="1">
        <f t="array" ref="R92" xml:space="preserve"> INDEX( tblFilterAll[Yorkshire &amp; the Humber], PeersCritera[[#This Row],[Index]] )</f>
        <v>0</v>
      </c>
      <c r="S92" s="224" t="str" cm="1">
        <f t="array" ref="S92" xml:space="preserve"> INDEX( tblFilterAll[Region with 50%+ of social stock owned], PeersCritera[[#This Row],[Index]] )</f>
        <v>East of England</v>
      </c>
      <c r="T92" s="229" cm="1">
        <f t="array" ref="T92" xml:space="preserve"> INDEX( tblFilterAll[Meets initial criteria], PeersCritera[[#This Row],[Index]] )</f>
        <v>1</v>
      </c>
      <c r="U92" s="241"/>
      <c r="V92" s="230">
        <f>IF( PeersCritera[[#This Row],[RP_Name]] = SelectedProvider, 1, IF( PeersCritera[[#This Row],[Override initial criteria]] = "Include", 1, IF( PeersCritera[[#This Row],[Override initial criteria]] = "Exclude", 0, PeersCritera[[#This Row],[Meets initial criteria]] ) ) )</f>
        <v>1</v>
      </c>
      <c r="W92" s="325">
        <f xml:space="preserve"> MATCH( PeersCritera[[#This Row],[RP_Name]], tblFilterAll[Provider name], 0 )</f>
        <v>77</v>
      </c>
      <c r="Y9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3" spans="2:25" x14ac:dyDescent="0.25">
      <c r="B93" s="327" t="s" vm="78">
        <v>301</v>
      </c>
      <c r="C93" s="218" cm="1" vm="1601">
        <f t="array" ref="C93" xml:space="preserve"> INDEX( tblFilterAll[Total social stock owned], PeersCritera[[#This Row],[Index]] )</f>
        <v>34455</v>
      </c>
      <c r="D93" s="219" cm="1">
        <f t="array" ref="D93" xml:space="preserve"> INDEX( tblFilterAll[% Supported housing (excl. HOP)], PeersCritera[[#This Row],[Index]] )</f>
        <v>3.4118744896768922E-2</v>
      </c>
      <c r="E93" s="220" cm="1">
        <f t="array" ref="E93" xml:space="preserve"> INDEX( tblFilterAll[% Housing for older people], PeersCritera[[#This Row],[Index]] )</f>
        <v>4.2254753295229208E-2</v>
      </c>
      <c r="F93" s="220">
        <f xml:space="preserve"> PeersCritera[[#This Row],[% Supported housing (excl. HOP)]] + PeersCritera[[#This Row],[% Housing for older people]]</f>
        <v>7.6373498191998124E-2</v>
      </c>
      <c r="G93" s="221">
        <f xml:space="preserve"> 1 - PeersCritera[[#This Row],[% Supported &amp; older people]]</f>
        <v>0.92362650180800188</v>
      </c>
      <c r="H93" s="222" t="str" cm="1">
        <f t="array" ref="H93" xml:space="preserve"> INDEX( tblFilterAll[Provider Type], PeersCritera[[#This Row],[Index]] )</f>
        <v>Traditional</v>
      </c>
      <c r="I93" s="223" t="str" cm="1">
        <f t="array" ref="I93" xml:space="preserve"> INDEX( tblFilterAll[LSVT age], PeersCritera[[#This Row],[Index]] )</f>
        <v/>
      </c>
      <c r="J93" s="219" cm="1">
        <f t="array" ref="J93" xml:space="preserve"> INDEX( tblFilterAll[London], PeersCritera[[#This Row],[Index]] )</f>
        <v>0.4638433064210557</v>
      </c>
      <c r="K93" s="321" cm="1">
        <f t="array" ref="K93" xml:space="preserve"> INDEX( tblFilterAll[South East], PeersCritera[[#This Row],[Index]] )</f>
        <v>0.49672097700311874</v>
      </c>
      <c r="L93" s="220" cm="1">
        <f t="array" ref="L93" xml:space="preserve"> INDEX( tblFilterAll[South West], PeersCritera[[#This Row],[Index]] )</f>
        <v>0</v>
      </c>
      <c r="M93" s="220" cm="1">
        <f t="array" ref="M93" xml:space="preserve"> INDEX( tblFilterAll[East Midlands], PeersCritera[[#This Row],[Index]] )</f>
        <v>5.7710804745110611E-3</v>
      </c>
      <c r="N93" s="220" cm="1">
        <f t="array" ref="N93" xml:space="preserve"> INDEX( tblFilterAll[West Midlands], PeersCritera[[#This Row],[Index]] )</f>
        <v>0</v>
      </c>
      <c r="O93" s="220" cm="1">
        <f t="array" ref="O93" xml:space="preserve"> INDEX( tblFilterAll[East of England], PeersCritera[[#This Row],[Index]] )</f>
        <v>3.3664636101314524E-2</v>
      </c>
      <c r="P93" s="220" cm="1">
        <f t="array" ref="P93" xml:space="preserve"> INDEX( tblFilterAll[North East], PeersCritera[[#This Row],[Index]] )</f>
        <v>0</v>
      </c>
      <c r="Q93" s="220" cm="1">
        <f t="array" ref="Q93" xml:space="preserve"> INDEX( tblFilterAll[North West], PeersCritera[[#This Row],[Index]] )</f>
        <v>0</v>
      </c>
      <c r="R93" s="220" cm="1">
        <f t="array" ref="R93" xml:space="preserve"> INDEX( tblFilterAll[Yorkshire &amp; the Humber], PeersCritera[[#This Row],[Index]] )</f>
        <v>0</v>
      </c>
      <c r="S93" s="224" t="str" cm="1">
        <f t="array" ref="S93" xml:space="preserve"> INDEX( tblFilterAll[Region with 50%+ of social stock owned], PeersCritera[[#This Row],[Index]] )</f>
        <v>Mixed</v>
      </c>
      <c r="T93" s="229" cm="1">
        <f t="array" ref="T93" xml:space="preserve"> INDEX( tblFilterAll[Meets initial criteria], PeersCritera[[#This Row],[Index]] )</f>
        <v>1</v>
      </c>
      <c r="U93" s="241"/>
      <c r="V93" s="230">
        <f>IF( PeersCritera[[#This Row],[RP_Name]] = SelectedProvider, 1, IF( PeersCritera[[#This Row],[Override initial criteria]] = "Include", 1, IF( PeersCritera[[#This Row],[Override initial criteria]] = "Exclude", 0, PeersCritera[[#This Row],[Meets initial criteria]] ) ) )</f>
        <v>1</v>
      </c>
      <c r="W93" s="325">
        <f xml:space="preserve"> MATCH( PeersCritera[[#This Row],[RP_Name]], tblFilterAll[Provider name], 0 )</f>
        <v>78</v>
      </c>
      <c r="Y9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4" spans="2:25" x14ac:dyDescent="0.25">
      <c r="B94" s="327" t="s" vm="79">
        <v>303</v>
      </c>
      <c r="C94" s="218" cm="1" vm="3482">
        <f t="array" ref="C94" xml:space="preserve"> INDEX( tblFilterAll[Total social stock owned], PeersCritera[[#This Row],[Index]] )</f>
        <v>3758</v>
      </c>
      <c r="D94" s="219" cm="1">
        <f t="array" ref="D94" xml:space="preserve"> INDEX( tblFilterAll[% Supported housing (excl. HOP)], PeersCritera[[#This Row],[Index]] )</f>
        <v>0.96487493347525277</v>
      </c>
      <c r="E94" s="220" cm="1">
        <f t="array" ref="E94" xml:space="preserve"> INDEX( tblFilterAll[% Housing for older people], PeersCritera[[#This Row],[Index]] )</f>
        <v>3.3262373602980309E-2</v>
      </c>
      <c r="F94" s="220">
        <f xml:space="preserve"> PeersCritera[[#This Row],[% Supported housing (excl. HOP)]] + PeersCritera[[#This Row],[% Housing for older people]]</f>
        <v>0.99813730707823312</v>
      </c>
      <c r="G94" s="221">
        <f xml:space="preserve"> 1 - PeersCritera[[#This Row],[% Supported &amp; older people]]</f>
        <v>1.8626929217668842E-3</v>
      </c>
      <c r="H94" s="222" t="str" cm="1">
        <f t="array" ref="H94" xml:space="preserve"> INDEX( tblFilterAll[Provider Type], PeersCritera[[#This Row],[Index]] )</f>
        <v>Traditional</v>
      </c>
      <c r="I94" s="223" t="str" cm="1">
        <f t="array" ref="I94" xml:space="preserve"> INDEX( tblFilterAll[LSVT age], PeersCritera[[#This Row],[Index]] )</f>
        <v/>
      </c>
      <c r="J94" s="219" cm="1">
        <f t="array" ref="J94" xml:space="preserve"> INDEX( tblFilterAll[London], PeersCritera[[#This Row],[Index]] )</f>
        <v>2.415591545429591E-2</v>
      </c>
      <c r="K94" s="220" cm="1">
        <f t="array" ref="K94" xml:space="preserve"> INDEX( tblFilterAll[South East], PeersCritera[[#This Row],[Index]] )</f>
        <v>5.9566291517979687E-2</v>
      </c>
      <c r="L94" s="220" cm="1">
        <f t="array" ref="L94" xml:space="preserve"> INDEX( tblFilterAll[South West], PeersCritera[[#This Row],[Index]] )</f>
        <v>5.3252813615152349E-2</v>
      </c>
      <c r="M94" s="220" cm="1">
        <f t="array" ref="M94" xml:space="preserve"> INDEX( tblFilterAll[East Midlands], PeersCritera[[#This Row],[Index]] )</f>
        <v>0.14054350809772165</v>
      </c>
      <c r="N94" s="220" cm="1">
        <f t="array" ref="N94" xml:space="preserve"> INDEX( tblFilterAll[West Midlands], PeersCritera[[#This Row],[Index]] )</f>
        <v>0.2034037880867417</v>
      </c>
      <c r="O94" s="220" cm="1">
        <f t="array" ref="O94" xml:space="preserve"> INDEX( tblFilterAll[East of England], PeersCritera[[#This Row],[Index]] )</f>
        <v>6.0664287674993135E-2</v>
      </c>
      <c r="P94" s="220" cm="1">
        <f t="array" ref="P94" xml:space="preserve"> INDEX( tblFilterAll[North East], PeersCritera[[#This Row],[Index]] )</f>
        <v>7.987922042272852E-2</v>
      </c>
      <c r="Q94" s="220" cm="1">
        <f t="array" ref="Q94" xml:space="preserve"> INDEX( tblFilterAll[North West], PeersCritera[[#This Row],[Index]] )</f>
        <v>0.24348064781773263</v>
      </c>
      <c r="R94" s="220" cm="1">
        <f t="array" ref="R94" xml:space="preserve"> INDEX( tblFilterAll[Yorkshire &amp; the Humber], PeersCritera[[#This Row],[Index]] )</f>
        <v>0.13505352731265441</v>
      </c>
      <c r="S94" s="224" t="str" cm="1">
        <f t="array" ref="S94" xml:space="preserve"> INDEX( tblFilterAll[Region with 50%+ of social stock owned], PeersCritera[[#This Row],[Index]] )</f>
        <v>Mixed</v>
      </c>
      <c r="T94" s="229" cm="1">
        <f t="array" ref="T94" xml:space="preserve"> INDEX( tblFilterAll[Meets initial criteria], PeersCritera[[#This Row],[Index]] )</f>
        <v>1</v>
      </c>
      <c r="U94" s="241"/>
      <c r="V94" s="230">
        <f>IF( PeersCritera[[#This Row],[RP_Name]] = SelectedProvider, 1, IF( PeersCritera[[#This Row],[Override initial criteria]] = "Include", 1, IF( PeersCritera[[#This Row],[Override initial criteria]] = "Exclude", 0, PeersCritera[[#This Row],[Meets initial criteria]] ) ) )</f>
        <v>1</v>
      </c>
      <c r="W94" s="325">
        <f xml:space="preserve"> MATCH( PeersCritera[[#This Row],[RP_Name]], tblFilterAll[Provider name], 0 )</f>
        <v>79</v>
      </c>
      <c r="Y9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5" spans="2:25" x14ac:dyDescent="0.25">
      <c r="B95" s="327" t="s" vm="80">
        <v>305</v>
      </c>
      <c r="C95" s="218" cm="1" vm="4697">
        <f t="array" ref="C95" xml:space="preserve"> INDEX( tblFilterAll[Total social stock owned], PeersCritera[[#This Row],[Index]] )</f>
        <v>21192</v>
      </c>
      <c r="D95" s="219" cm="1">
        <f t="array" ref="D95" xml:space="preserve"> INDEX( tblFilterAll[% Supported housing (excl. HOP)], PeersCritera[[#This Row],[Index]] )</f>
        <v>3.0689329556185078E-3</v>
      </c>
      <c r="E95" s="220" cm="1">
        <f t="array" ref="E95" xml:space="preserve"> INDEX( tblFilterAll[% Housing for older people], PeersCritera[[#This Row],[Index]] )</f>
        <v>3.375826251180359E-2</v>
      </c>
      <c r="F95" s="220">
        <f xml:space="preserve"> PeersCritera[[#This Row],[% Supported housing (excl. HOP)]] + PeersCritera[[#This Row],[% Housing for older people]]</f>
        <v>3.6827195467422094E-2</v>
      </c>
      <c r="G95" s="221">
        <f xml:space="preserve"> 1 - PeersCritera[[#This Row],[% Supported &amp; older people]]</f>
        <v>0.96317280453257792</v>
      </c>
      <c r="H95" s="222" t="str" cm="1">
        <f t="array" ref="H95" xml:space="preserve"> INDEX( tblFilterAll[Provider Type], PeersCritera[[#This Row],[Index]] )</f>
        <v>Traditional</v>
      </c>
      <c r="I95" s="223" t="str" cm="1">
        <f t="array" ref="I95" xml:space="preserve"> INDEX( tblFilterAll[LSVT age], PeersCritera[[#This Row],[Index]] )</f>
        <v>&gt;= 12 years</v>
      </c>
      <c r="J95" s="219" cm="1">
        <f t="array" ref="J95" xml:space="preserve"> INDEX( tblFilterAll[London], PeersCritera[[#This Row],[Index]] )</f>
        <v>0</v>
      </c>
      <c r="K95" s="220" cm="1">
        <f t="array" ref="K95" xml:space="preserve"> INDEX( tblFilterAll[South East], PeersCritera[[#This Row],[Index]] )</f>
        <v>0</v>
      </c>
      <c r="L95" s="220" cm="1">
        <f t="array" ref="L95" xml:space="preserve"> INDEX( tblFilterAll[South West], PeersCritera[[#This Row],[Index]] )</f>
        <v>0</v>
      </c>
      <c r="M95" s="220" cm="1">
        <f t="array" ref="M95" xml:space="preserve"> INDEX( tblFilterAll[East Midlands], PeersCritera[[#This Row],[Index]] )</f>
        <v>0</v>
      </c>
      <c r="N95" s="220" cm="1">
        <f t="array" ref="N95" xml:space="preserve"> INDEX( tblFilterAll[West Midlands], PeersCritera[[#This Row],[Index]] )</f>
        <v>0</v>
      </c>
      <c r="O95" s="220" cm="1">
        <f t="array" ref="O95" xml:space="preserve"> INDEX( tblFilterAll[East of England], PeersCritera[[#This Row],[Index]] )</f>
        <v>0</v>
      </c>
      <c r="P95" s="220" cm="1">
        <f t="array" ref="P95" xml:space="preserve"> INDEX( tblFilterAll[North East], PeersCritera[[#This Row],[Index]] )</f>
        <v>0</v>
      </c>
      <c r="Q95" s="220" cm="1">
        <f t="array" ref="Q95" xml:space="preserve"> INDEX( tblFilterAll[North West], PeersCritera[[#This Row],[Index]] )</f>
        <v>1.8875047187617969E-4</v>
      </c>
      <c r="R95" s="220" cm="1">
        <f t="array" ref="R95" xml:space="preserve"> INDEX( tblFilterAll[Yorkshire &amp; the Humber], PeersCritera[[#This Row],[Index]] )</f>
        <v>0.99981124952812384</v>
      </c>
      <c r="S95" s="224" t="str" cm="1">
        <f t="array" ref="S95" xml:space="preserve"> INDEX( tblFilterAll[Region with 50%+ of social stock owned], PeersCritera[[#This Row],[Index]] )</f>
        <v>Yorkshire &amp; the Humber</v>
      </c>
      <c r="T95" s="229" cm="1">
        <f t="array" ref="T95" xml:space="preserve"> INDEX( tblFilterAll[Meets initial criteria], PeersCritera[[#This Row],[Index]] )</f>
        <v>1</v>
      </c>
      <c r="U95" s="241"/>
      <c r="V95" s="230">
        <f>IF( PeersCritera[[#This Row],[RP_Name]] = SelectedProvider, 1, IF( PeersCritera[[#This Row],[Override initial criteria]] = "Include", 1, IF( PeersCritera[[#This Row],[Override initial criteria]] = "Exclude", 0, PeersCritera[[#This Row],[Meets initial criteria]] ) ) )</f>
        <v>1</v>
      </c>
      <c r="W95" s="325">
        <f xml:space="preserve"> MATCH( PeersCritera[[#This Row],[RP_Name]], tblFilterAll[Provider name], 0 )</f>
        <v>80</v>
      </c>
      <c r="Y9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6" spans="2:25" x14ac:dyDescent="0.25">
      <c r="B96" s="327" t="s" vm="81">
        <v>307</v>
      </c>
      <c r="C96" s="218" cm="1" vm="933">
        <f t="array" ref="C96" xml:space="preserve"> INDEX( tblFilterAll[Total social stock owned], PeersCritera[[#This Row],[Index]] )</f>
        <v>1332</v>
      </c>
      <c r="D96" s="219" cm="1">
        <f t="array" ref="D96" xml:space="preserve"> INDEX( tblFilterAll[% Supported housing (excl. HOP)], PeersCritera[[#This Row],[Index]] )</f>
        <v>0</v>
      </c>
      <c r="E96" s="220" cm="1">
        <f t="array" ref="E96" xml:space="preserve"> INDEX( tblFilterAll[% Housing for older people], PeersCritera[[#This Row],[Index]] )</f>
        <v>0</v>
      </c>
      <c r="F96" s="220">
        <f xml:space="preserve"> PeersCritera[[#This Row],[% Supported housing (excl. HOP)]] + PeersCritera[[#This Row],[% Housing for older people]]</f>
        <v>0</v>
      </c>
      <c r="G96" s="221">
        <f xml:space="preserve"> 1 - PeersCritera[[#This Row],[% Supported &amp; older people]]</f>
        <v>1</v>
      </c>
      <c r="H96" s="222" t="str" cm="1">
        <f t="array" ref="H96" xml:space="preserve"> INDEX( tblFilterAll[Provider Type], PeersCritera[[#This Row],[Index]] )</f>
        <v>Traditional</v>
      </c>
      <c r="I96" s="223" t="str" cm="1">
        <f t="array" ref="I96" xml:space="preserve"> INDEX( tblFilterAll[LSVT age], PeersCritera[[#This Row],[Index]] )</f>
        <v/>
      </c>
      <c r="J96" s="219" cm="1">
        <f t="array" ref="J96" xml:space="preserve"> INDEX( tblFilterAll[London], PeersCritera[[#This Row],[Index]] )</f>
        <v>0.93348450491307633</v>
      </c>
      <c r="K96" s="220" cm="1">
        <f t="array" ref="K96" xml:space="preserve"> INDEX( tblFilterAll[South East], PeersCritera[[#This Row],[Index]] )</f>
        <v>6.6515495086923657E-2</v>
      </c>
      <c r="L96" s="220" cm="1">
        <f t="array" ref="L96" xml:space="preserve"> INDEX( tblFilterAll[South West], PeersCritera[[#This Row],[Index]] )</f>
        <v>0</v>
      </c>
      <c r="M96" s="220" cm="1">
        <f t="array" ref="M96" xml:space="preserve"> INDEX( tblFilterAll[East Midlands], PeersCritera[[#This Row],[Index]] )</f>
        <v>0</v>
      </c>
      <c r="N96" s="220" cm="1">
        <f t="array" ref="N96" xml:space="preserve"> INDEX( tblFilterAll[West Midlands], PeersCritera[[#This Row],[Index]] )</f>
        <v>0</v>
      </c>
      <c r="O96" s="220" cm="1">
        <f t="array" ref="O96" xml:space="preserve"> INDEX( tblFilterAll[East of England], PeersCritera[[#This Row],[Index]] )</f>
        <v>0</v>
      </c>
      <c r="P96" s="220" cm="1">
        <f t="array" ref="P96" xml:space="preserve"> INDEX( tblFilterAll[North East], PeersCritera[[#This Row],[Index]] )</f>
        <v>0</v>
      </c>
      <c r="Q96" s="220" cm="1">
        <f t="array" ref="Q96" xml:space="preserve"> INDEX( tblFilterAll[North West], PeersCritera[[#This Row],[Index]] )</f>
        <v>0</v>
      </c>
      <c r="R96" s="220" cm="1">
        <f t="array" ref="R96" xml:space="preserve"> INDEX( tblFilterAll[Yorkshire &amp; the Humber], PeersCritera[[#This Row],[Index]] )</f>
        <v>0</v>
      </c>
      <c r="S96" s="224" t="str" cm="1">
        <f t="array" ref="S96" xml:space="preserve"> INDEX( tblFilterAll[Region with 50%+ of social stock owned], PeersCritera[[#This Row],[Index]] )</f>
        <v>London</v>
      </c>
      <c r="T96" s="229" cm="1">
        <f t="array" ref="T96" xml:space="preserve"> INDEX( tblFilterAll[Meets initial criteria], PeersCritera[[#This Row],[Index]] )</f>
        <v>1</v>
      </c>
      <c r="U96" s="241"/>
      <c r="V96" s="230">
        <f>IF( PeersCritera[[#This Row],[RP_Name]] = SelectedProvider, 1, IF( PeersCritera[[#This Row],[Override initial criteria]] = "Include", 1, IF( PeersCritera[[#This Row],[Override initial criteria]] = "Exclude", 0, PeersCritera[[#This Row],[Meets initial criteria]] ) ) )</f>
        <v>1</v>
      </c>
      <c r="W96" s="325">
        <f xml:space="preserve"> MATCH( PeersCritera[[#This Row],[RP_Name]], tblFilterAll[Provider name], 0 )</f>
        <v>81</v>
      </c>
      <c r="Y9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7" spans="2:25" x14ac:dyDescent="0.25">
      <c r="B97" s="327" t="s" vm="82">
        <v>309</v>
      </c>
      <c r="C97" s="218" cm="1" vm="6548">
        <f t="array" ref="C97" xml:space="preserve"> INDEX( tblFilterAll[Total social stock owned], PeersCritera[[#This Row],[Index]] )</f>
        <v>7423</v>
      </c>
      <c r="D97" s="219" cm="1">
        <f t="array" ref="D97" xml:space="preserve"> INDEX( tblFilterAll[% Supported housing (excl. HOP)], PeersCritera[[#This Row],[Index]] )</f>
        <v>3.5524703960800326E-2</v>
      </c>
      <c r="E97" s="220" cm="1">
        <f t="array" ref="E97" xml:space="preserve"> INDEX( tblFilterAll[% Housing for older people], PeersCritera[[#This Row],[Index]] )</f>
        <v>6.2202259425615899E-2</v>
      </c>
      <c r="F97" s="220">
        <f xml:space="preserve"> PeersCritera[[#This Row],[% Supported housing (excl. HOP)]] + PeersCritera[[#This Row],[% Housing for older people]]</f>
        <v>9.7726963386416232E-2</v>
      </c>
      <c r="G97" s="221">
        <f xml:space="preserve"> 1 - PeersCritera[[#This Row],[% Supported &amp; older people]]</f>
        <v>0.90227303661358382</v>
      </c>
      <c r="H97" s="222" t="str" cm="1">
        <f t="array" ref="H97" xml:space="preserve"> INDEX( tblFilterAll[Provider Type], PeersCritera[[#This Row],[Index]] )</f>
        <v>Traditional</v>
      </c>
      <c r="I97" s="223" t="str" cm="1">
        <f t="array" ref="I97" xml:space="preserve"> INDEX( tblFilterAll[LSVT age], PeersCritera[[#This Row],[Index]] )</f>
        <v/>
      </c>
      <c r="J97" s="219" cm="1">
        <f t="array" ref="J97" xml:space="preserve"> INDEX( tblFilterAll[London], PeersCritera[[#This Row],[Index]] )</f>
        <v>0</v>
      </c>
      <c r="K97" s="220" cm="1">
        <f t="array" ref="K97" xml:space="preserve"> INDEX( tblFilterAll[South East], PeersCritera[[#This Row],[Index]] )</f>
        <v>0</v>
      </c>
      <c r="L97" s="220" cm="1">
        <f t="array" ref="L97" xml:space="preserve"> INDEX( tblFilterAll[South West], PeersCritera[[#This Row],[Index]] )</f>
        <v>0</v>
      </c>
      <c r="M97" s="220" cm="1">
        <f t="array" ref="M97" xml:space="preserve"> INDEX( tblFilterAll[East Midlands], PeersCritera[[#This Row],[Index]] )</f>
        <v>0</v>
      </c>
      <c r="N97" s="220" cm="1">
        <f t="array" ref="N97" xml:space="preserve"> INDEX( tblFilterAll[West Midlands], PeersCritera[[#This Row],[Index]] )</f>
        <v>0</v>
      </c>
      <c r="O97" s="220" cm="1">
        <f t="array" ref="O97" xml:space="preserve"> INDEX( tblFilterAll[East of England], PeersCritera[[#This Row],[Index]] )</f>
        <v>0</v>
      </c>
      <c r="P97" s="220" cm="1">
        <f t="array" ref="P97" xml:space="preserve"> INDEX( tblFilterAll[North East], PeersCritera[[#This Row],[Index]] )</f>
        <v>0</v>
      </c>
      <c r="Q97" s="220" cm="1">
        <f t="array" ref="Q97" xml:space="preserve"> INDEX( tblFilterAll[North West], PeersCritera[[#This Row],[Index]] )</f>
        <v>1</v>
      </c>
      <c r="R97" s="220" cm="1">
        <f t="array" ref="R97" xml:space="preserve"> INDEX( tblFilterAll[Yorkshire &amp; the Humber], PeersCritera[[#This Row],[Index]] )</f>
        <v>0</v>
      </c>
      <c r="S97" s="224" t="str" cm="1">
        <f t="array" ref="S97" xml:space="preserve"> INDEX( tblFilterAll[Region with 50%+ of social stock owned], PeersCritera[[#This Row],[Index]] )</f>
        <v>North West</v>
      </c>
      <c r="T97" s="229" cm="1">
        <f t="array" ref="T97" xml:space="preserve"> INDEX( tblFilterAll[Meets initial criteria], PeersCritera[[#This Row],[Index]] )</f>
        <v>1</v>
      </c>
      <c r="U97" s="241"/>
      <c r="V97" s="230">
        <f>IF( PeersCritera[[#This Row],[RP_Name]] = SelectedProvider, 1, IF( PeersCritera[[#This Row],[Override initial criteria]] = "Include", 1, IF( PeersCritera[[#This Row],[Override initial criteria]] = "Exclude", 0, PeersCritera[[#This Row],[Meets initial criteria]] ) ) )</f>
        <v>1</v>
      </c>
      <c r="W97" s="325">
        <f xml:space="preserve"> MATCH( PeersCritera[[#This Row],[RP_Name]], tblFilterAll[Provider name], 0 )</f>
        <v>82</v>
      </c>
      <c r="Y9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8" spans="2:25" x14ac:dyDescent="0.25">
      <c r="B98" s="327" t="s" vm="83">
        <v>311</v>
      </c>
      <c r="C98" s="218" cm="1" vm="8995">
        <f t="array" ref="C98" xml:space="preserve"> INDEX( tblFilterAll[Total social stock owned], PeersCritera[[#This Row],[Index]] )</f>
        <v>2403</v>
      </c>
      <c r="D98" s="219" cm="1">
        <f t="array" ref="D98" xml:space="preserve"> INDEX( tblFilterAll[% Supported housing (excl. HOP)], PeersCritera[[#This Row],[Index]] )</f>
        <v>2.9635901778154106E-2</v>
      </c>
      <c r="E98" s="220" cm="1">
        <f t="array" ref="E98" xml:space="preserve"> INDEX( tblFilterAll[% Housing for older people], PeersCritera[[#This Row],[Index]] )</f>
        <v>1.7781541066892465E-2</v>
      </c>
      <c r="F98" s="220">
        <f xml:space="preserve"> PeersCritera[[#This Row],[% Supported housing (excl. HOP)]] + PeersCritera[[#This Row],[% Housing for older people]]</f>
        <v>4.7417442845046572E-2</v>
      </c>
      <c r="G98" s="221">
        <f xml:space="preserve"> 1 - PeersCritera[[#This Row],[% Supported &amp; older people]]</f>
        <v>0.95258255715495344</v>
      </c>
      <c r="H98" s="222" t="str" cm="1">
        <f t="array" ref="H98" xml:space="preserve"> INDEX( tblFilterAll[Provider Type], PeersCritera[[#This Row],[Index]] )</f>
        <v>Traditional</v>
      </c>
      <c r="I98" s="223" t="str" cm="1">
        <f t="array" ref="I98" xml:space="preserve"> INDEX( tblFilterAll[LSVT age], PeersCritera[[#This Row],[Index]] )</f>
        <v/>
      </c>
      <c r="J98" s="219" cm="1">
        <f t="array" ref="J98" xml:space="preserve"> INDEX( tblFilterAll[London], PeersCritera[[#This Row],[Index]] )</f>
        <v>1</v>
      </c>
      <c r="K98" s="220" cm="1">
        <f t="array" ref="K98" xml:space="preserve"> INDEX( tblFilterAll[South East], PeersCritera[[#This Row],[Index]] )</f>
        <v>0</v>
      </c>
      <c r="L98" s="220" cm="1">
        <f t="array" ref="L98" xml:space="preserve"> INDEX( tblFilterAll[South West], PeersCritera[[#This Row],[Index]] )</f>
        <v>0</v>
      </c>
      <c r="M98" s="220" cm="1">
        <f t="array" ref="M98" xml:space="preserve"> INDEX( tblFilterAll[East Midlands], PeersCritera[[#This Row],[Index]] )</f>
        <v>0</v>
      </c>
      <c r="N98" s="220" cm="1">
        <f t="array" ref="N98" xml:space="preserve"> INDEX( tblFilterAll[West Midlands], PeersCritera[[#This Row],[Index]] )</f>
        <v>0</v>
      </c>
      <c r="O98" s="220" cm="1">
        <f t="array" ref="O98" xml:space="preserve"> INDEX( tblFilterAll[East of England], PeersCritera[[#This Row],[Index]] )</f>
        <v>0</v>
      </c>
      <c r="P98" s="220" cm="1">
        <f t="array" ref="P98" xml:space="preserve"> INDEX( tblFilterAll[North East], PeersCritera[[#This Row],[Index]] )</f>
        <v>0</v>
      </c>
      <c r="Q98" s="220" cm="1">
        <f t="array" ref="Q98" xml:space="preserve"> INDEX( tblFilterAll[North West], PeersCritera[[#This Row],[Index]] )</f>
        <v>0</v>
      </c>
      <c r="R98" s="220" cm="1">
        <f t="array" ref="R98" xml:space="preserve"> INDEX( tblFilterAll[Yorkshire &amp; the Humber], PeersCritera[[#This Row],[Index]] )</f>
        <v>0</v>
      </c>
      <c r="S98" s="224" t="str" cm="1">
        <f t="array" ref="S98" xml:space="preserve"> INDEX( tblFilterAll[Region with 50%+ of social stock owned], PeersCritera[[#This Row],[Index]] )</f>
        <v>London</v>
      </c>
      <c r="T98" s="229" cm="1">
        <f t="array" ref="T98" xml:space="preserve"> INDEX( tblFilterAll[Meets initial criteria], PeersCritera[[#This Row],[Index]] )</f>
        <v>1</v>
      </c>
      <c r="U98" s="241"/>
      <c r="V98" s="230">
        <f>IF( PeersCritera[[#This Row],[RP_Name]] = SelectedProvider, 1, IF( PeersCritera[[#This Row],[Override initial criteria]] = "Include", 1, IF( PeersCritera[[#This Row],[Override initial criteria]] = "Exclude", 0, PeersCritera[[#This Row],[Meets initial criteria]] ) ) )</f>
        <v>1</v>
      </c>
      <c r="W98" s="325">
        <f xml:space="preserve"> MATCH( PeersCritera[[#This Row],[RP_Name]], tblFilterAll[Provider name], 0 )</f>
        <v>83</v>
      </c>
      <c r="Y9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99" spans="2:25" x14ac:dyDescent="0.25">
      <c r="B99" s="327" t="s" vm="84">
        <v>313</v>
      </c>
      <c r="C99" s="218" cm="1" vm="7978">
        <f t="array" ref="C99" xml:space="preserve"> INDEX( tblFilterAll[Total social stock owned], PeersCritera[[#This Row],[Index]] )</f>
        <v>33428</v>
      </c>
      <c r="D99" s="219" cm="1">
        <f t="array" ref="D99" xml:space="preserve"> INDEX( tblFilterAll[% Supported housing (excl. HOP)], PeersCritera[[#This Row],[Index]] )</f>
        <v>2.0427724195770682E-2</v>
      </c>
      <c r="E99" s="220" cm="1">
        <f t="array" ref="E99" xml:space="preserve"> INDEX( tblFilterAll[% Housing for older people], PeersCritera[[#This Row],[Index]] )</f>
        <v>9.3092913197148505E-2</v>
      </c>
      <c r="F99" s="220">
        <f xml:space="preserve"> PeersCritera[[#This Row],[% Supported housing (excl. HOP)]] + PeersCritera[[#This Row],[% Housing for older people]]</f>
        <v>0.11352063739291919</v>
      </c>
      <c r="G99" s="221">
        <f xml:space="preserve"> 1 - PeersCritera[[#This Row],[% Supported &amp; older people]]</f>
        <v>0.88647936260708082</v>
      </c>
      <c r="H99" s="222" t="str" cm="1">
        <f t="array" ref="H99" xml:space="preserve"> INDEX( tblFilterAll[Provider Type], PeersCritera[[#This Row],[Index]] )</f>
        <v>Traditional</v>
      </c>
      <c r="I99" s="223" t="str" cm="1">
        <f t="array" ref="I99" xml:space="preserve"> INDEX( tblFilterAll[LSVT age], PeersCritera[[#This Row],[Index]] )</f>
        <v>&gt;= 12 years</v>
      </c>
      <c r="J99" s="219" cm="1">
        <f t="array" ref="J99" xml:space="preserve"> INDEX( tblFilterAll[London], PeersCritera[[#This Row],[Index]] )</f>
        <v>0</v>
      </c>
      <c r="K99" s="220" cm="1">
        <f t="array" ref="K99" xml:space="preserve"> INDEX( tblFilterAll[South East], PeersCritera[[#This Row],[Index]] )</f>
        <v>0</v>
      </c>
      <c r="L99" s="220" cm="1">
        <f t="array" ref="L99" xml:space="preserve"> INDEX( tblFilterAll[South West], PeersCritera[[#This Row],[Index]] )</f>
        <v>0</v>
      </c>
      <c r="M99" s="220" cm="1">
        <f t="array" ref="M99" xml:space="preserve"> INDEX( tblFilterAll[East Midlands], PeersCritera[[#This Row],[Index]] )</f>
        <v>9.7732907195555427E-2</v>
      </c>
      <c r="N99" s="220" cm="1">
        <f t="array" ref="N99" xml:space="preserve"> INDEX( tblFilterAll[West Midlands], PeersCritera[[#This Row],[Index]] )</f>
        <v>8.960841124286867E-5</v>
      </c>
      <c r="O99" s="220" cm="1">
        <f t="array" ref="O99" xml:space="preserve"> INDEX( tblFilterAll[East of England], PeersCritera[[#This Row],[Index]] )</f>
        <v>0</v>
      </c>
      <c r="P99" s="220" cm="1">
        <f t="array" ref="P99" xml:space="preserve"> INDEX( tblFilterAll[North East], PeersCritera[[#This Row],[Index]] )</f>
        <v>0</v>
      </c>
      <c r="Q99" s="220" cm="1">
        <f t="array" ref="Q99" xml:space="preserve"> INDEX( tblFilterAll[North West], PeersCritera[[#This Row],[Index]] )</f>
        <v>0.90158009498491587</v>
      </c>
      <c r="R99" s="220" cm="1">
        <f t="array" ref="R99" xml:space="preserve"> INDEX( tblFilterAll[Yorkshire &amp; the Humber], PeersCritera[[#This Row],[Index]] )</f>
        <v>5.9738940828579106E-4</v>
      </c>
      <c r="S99" s="224" t="str" cm="1">
        <f t="array" ref="S99" xml:space="preserve"> INDEX( tblFilterAll[Region with 50%+ of social stock owned], PeersCritera[[#This Row],[Index]] )</f>
        <v>North West</v>
      </c>
      <c r="T99" s="229" cm="1">
        <f t="array" ref="T99" xml:space="preserve"> INDEX( tblFilterAll[Meets initial criteria], PeersCritera[[#This Row],[Index]] )</f>
        <v>1</v>
      </c>
      <c r="U99" s="241"/>
      <c r="V99" s="230">
        <f>IF( PeersCritera[[#This Row],[RP_Name]] = SelectedProvider, 1, IF( PeersCritera[[#This Row],[Override initial criteria]] = "Include", 1, IF( PeersCritera[[#This Row],[Override initial criteria]] = "Exclude", 0, PeersCritera[[#This Row],[Meets initial criteria]] ) ) )</f>
        <v>1</v>
      </c>
      <c r="W99" s="325">
        <f xml:space="preserve"> MATCH( PeersCritera[[#This Row],[RP_Name]], tblFilterAll[Provider name], 0 )</f>
        <v>84</v>
      </c>
      <c r="Y9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0" spans="2:25" x14ac:dyDescent="0.25">
      <c r="B100" s="327" t="s" vm="85">
        <v>315</v>
      </c>
      <c r="C100" s="218" cm="1" vm="7439">
        <f t="array" ref="C100" xml:space="preserve"> INDEX( tblFilterAll[Total social stock owned], PeersCritera[[#This Row],[Index]] )</f>
        <v>4908</v>
      </c>
      <c r="D100" s="219" cm="1">
        <f t="array" ref="D100" xml:space="preserve"> INDEX( tblFilterAll[% Supported housing (excl. HOP)], PeersCritera[[#This Row],[Index]] )</f>
        <v>1.8207855973813421E-2</v>
      </c>
      <c r="E100" s="220" cm="1">
        <f t="array" ref="E100" xml:space="preserve"> INDEX( tblFilterAll[% Housing for older people], PeersCritera[[#This Row],[Index]] )</f>
        <v>0.49549918166939444</v>
      </c>
      <c r="F100" s="220">
        <f xml:space="preserve"> PeersCritera[[#This Row],[% Supported housing (excl. HOP)]] + PeersCritera[[#This Row],[% Housing for older people]]</f>
        <v>0.51370703764320791</v>
      </c>
      <c r="G100" s="221">
        <f xml:space="preserve"> 1 - PeersCritera[[#This Row],[% Supported &amp; older people]]</f>
        <v>0.48629296235679209</v>
      </c>
      <c r="H100" s="222" t="str" cm="1">
        <f t="array" ref="H100" xml:space="preserve"> INDEX( tblFilterAll[Provider Type], PeersCritera[[#This Row],[Index]] )</f>
        <v>Traditional</v>
      </c>
      <c r="I100" s="223" t="str" cm="1">
        <f t="array" ref="I100" xml:space="preserve"> INDEX( tblFilterAll[LSVT age], PeersCritera[[#This Row],[Index]] )</f>
        <v/>
      </c>
      <c r="J100" s="219" cm="1">
        <f t="array" ref="J100" xml:space="preserve"> INDEX( tblFilterAll[London], PeersCritera[[#This Row],[Index]] )</f>
        <v>0</v>
      </c>
      <c r="K100" s="220" cm="1">
        <f t="array" ref="K100" xml:space="preserve"> INDEX( tblFilterAll[South East], PeersCritera[[#This Row],[Index]] )</f>
        <v>0</v>
      </c>
      <c r="L100" s="220" cm="1">
        <f t="array" ref="L100" xml:space="preserve"> INDEX( tblFilterAll[South West], PeersCritera[[#This Row],[Index]] )</f>
        <v>0</v>
      </c>
      <c r="M100" s="220" cm="1">
        <f t="array" ref="M100" xml:space="preserve"> INDEX( tblFilterAll[East Midlands], PeersCritera[[#This Row],[Index]] )</f>
        <v>6.9981583793738492E-2</v>
      </c>
      <c r="N100" s="220" cm="1">
        <f t="array" ref="N100" xml:space="preserve"> INDEX( tblFilterAll[West Midlands], PeersCritera[[#This Row],[Index]] )</f>
        <v>0</v>
      </c>
      <c r="O100" s="220" cm="1">
        <f t="array" ref="O100" xml:space="preserve"> INDEX( tblFilterAll[East of England], PeersCritera[[#This Row],[Index]] )</f>
        <v>1.0026601186822181E-2</v>
      </c>
      <c r="P100" s="220" cm="1">
        <f t="array" ref="P100" xml:space="preserve"> INDEX( tblFilterAll[North East], PeersCritera[[#This Row],[Index]] )</f>
        <v>0.21424186617556784</v>
      </c>
      <c r="Q100" s="220" cm="1">
        <f t="array" ref="Q100" xml:space="preserve"> INDEX( tblFilterAll[North West], PeersCritera[[#This Row],[Index]] )</f>
        <v>0.45979128299570288</v>
      </c>
      <c r="R100" s="220" cm="1">
        <f t="array" ref="R100" xml:space="preserve"> INDEX( tblFilterAll[Yorkshire &amp; the Humber], PeersCritera[[#This Row],[Index]] )</f>
        <v>0.24595866584816861</v>
      </c>
      <c r="S100" s="224" t="str" cm="1">
        <f t="array" ref="S100" xml:space="preserve"> INDEX( tblFilterAll[Region with 50%+ of social stock owned], PeersCritera[[#This Row],[Index]] )</f>
        <v>Mixed</v>
      </c>
      <c r="T100" s="229" cm="1">
        <f t="array" ref="T100" xml:space="preserve"> INDEX( tblFilterAll[Meets initial criteria], PeersCritera[[#This Row],[Index]] )</f>
        <v>1</v>
      </c>
      <c r="U100" s="241"/>
      <c r="V100" s="230">
        <f>IF( PeersCritera[[#This Row],[RP_Name]] = SelectedProvider, 1, IF( PeersCritera[[#This Row],[Override initial criteria]] = "Include", 1, IF( PeersCritera[[#This Row],[Override initial criteria]] = "Exclude", 0, PeersCritera[[#This Row],[Meets initial criteria]] ) ) )</f>
        <v>1</v>
      </c>
      <c r="W100" s="325">
        <f xml:space="preserve"> MATCH( PeersCritera[[#This Row],[RP_Name]], tblFilterAll[Provider name], 0 )</f>
        <v>85</v>
      </c>
      <c r="Y10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1" spans="2:25" x14ac:dyDescent="0.25">
      <c r="B101" s="327" t="s" vm="86">
        <v>317</v>
      </c>
      <c r="C101" s="218" cm="1" vm="9045">
        <f t="array" ref="C101" xml:space="preserve"> INDEX( tblFilterAll[Total social stock owned], PeersCritera[[#This Row],[Index]] )</f>
        <v>2154</v>
      </c>
      <c r="D101" s="219" cm="1">
        <f t="array" ref="D101" xml:space="preserve"> INDEX( tblFilterAll[% Supported housing (excl. HOP)], PeersCritera[[#This Row],[Index]] )</f>
        <v>2.1561017680034499E-2</v>
      </c>
      <c r="E101" s="220" cm="1">
        <f t="array" ref="E101" xml:space="preserve"> INDEX( tblFilterAll[% Housing for older people], PeersCritera[[#This Row],[Index]] )</f>
        <v>0.13885295385942217</v>
      </c>
      <c r="F101" s="220">
        <f xml:space="preserve"> PeersCritera[[#This Row],[% Supported housing (excl. HOP)]] + PeersCritera[[#This Row],[% Housing for older people]]</f>
        <v>0.16041397153945666</v>
      </c>
      <c r="G101" s="221">
        <f xml:space="preserve"> 1 - PeersCritera[[#This Row],[% Supported &amp; older people]]</f>
        <v>0.83958602846054331</v>
      </c>
      <c r="H101" s="222" t="str" cm="1">
        <f t="array" ref="H101" xml:space="preserve"> INDEX( tblFilterAll[Provider Type], PeersCritera[[#This Row],[Index]] )</f>
        <v>Traditional</v>
      </c>
      <c r="I101" s="223" t="str" cm="1">
        <f t="array" ref="I101" xml:space="preserve"> INDEX( tblFilterAll[LSVT age], PeersCritera[[#This Row],[Index]] )</f>
        <v/>
      </c>
      <c r="J101" s="219" cm="1">
        <f t="array" ref="J101" xml:space="preserve"> INDEX( tblFilterAll[London], PeersCritera[[#This Row],[Index]] )</f>
        <v>0</v>
      </c>
      <c r="K101" s="220" cm="1">
        <f t="array" ref="K101" xml:space="preserve"> INDEX( tblFilterAll[South East], PeersCritera[[#This Row],[Index]] )</f>
        <v>0</v>
      </c>
      <c r="L101" s="220" cm="1">
        <f t="array" ref="L101" xml:space="preserve"> INDEX( tblFilterAll[South West], PeersCritera[[#This Row],[Index]] )</f>
        <v>0</v>
      </c>
      <c r="M101" s="220" cm="1">
        <f t="array" ref="M101" xml:space="preserve"> INDEX( tblFilterAll[East Midlands], PeersCritera[[#This Row],[Index]] )</f>
        <v>0</v>
      </c>
      <c r="N101" s="220" cm="1">
        <f t="array" ref="N101" xml:space="preserve"> INDEX( tblFilterAll[West Midlands], PeersCritera[[#This Row],[Index]] )</f>
        <v>0</v>
      </c>
      <c r="O101" s="220" cm="1">
        <f t="array" ref="O101" xml:space="preserve"> INDEX( tblFilterAll[East of England], PeersCritera[[#This Row],[Index]] )</f>
        <v>0</v>
      </c>
      <c r="P101" s="220" cm="1">
        <f t="array" ref="P101" xml:space="preserve"> INDEX( tblFilterAll[North East], PeersCritera[[#This Row],[Index]] )</f>
        <v>9.3453724604966135E-2</v>
      </c>
      <c r="Q101" s="220" cm="1">
        <f t="array" ref="Q101" xml:space="preserve"> INDEX( tblFilterAll[North West], PeersCritera[[#This Row],[Index]] )</f>
        <v>0</v>
      </c>
      <c r="R101" s="220" cm="1">
        <f t="array" ref="R101" xml:space="preserve"> INDEX( tblFilterAll[Yorkshire &amp; the Humber], PeersCritera[[#This Row],[Index]] )</f>
        <v>0.90654627539503385</v>
      </c>
      <c r="S101" s="224" t="str" cm="1">
        <f t="array" ref="S101" xml:space="preserve"> INDEX( tblFilterAll[Region with 50%+ of social stock owned], PeersCritera[[#This Row],[Index]] )</f>
        <v>Yorkshire &amp; the Humber</v>
      </c>
      <c r="T101" s="229" cm="1">
        <f t="array" ref="T101" xml:space="preserve"> INDEX( tblFilterAll[Meets initial criteria], PeersCritera[[#This Row],[Index]] )</f>
        <v>1</v>
      </c>
      <c r="U101" s="241"/>
      <c r="V101" s="230">
        <f>IF( PeersCritera[[#This Row],[RP_Name]] = SelectedProvider, 1, IF( PeersCritera[[#This Row],[Override initial criteria]] = "Include", 1, IF( PeersCritera[[#This Row],[Override initial criteria]] = "Exclude", 0, PeersCritera[[#This Row],[Meets initial criteria]] ) ) )</f>
        <v>1</v>
      </c>
      <c r="W101" s="325">
        <f xml:space="preserve"> MATCH( PeersCritera[[#This Row],[RP_Name]], tblFilterAll[Provider name], 0 )</f>
        <v>86</v>
      </c>
      <c r="Y10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2" spans="2:25" x14ac:dyDescent="0.25">
      <c r="B102" s="327" t="s" vm="87">
        <v>319</v>
      </c>
      <c r="C102" s="218" cm="1" vm="2172">
        <f t="array" ref="C102" xml:space="preserve"> INDEX( tblFilterAll[Total social stock owned], PeersCritera[[#This Row],[Index]] )</f>
        <v>30403</v>
      </c>
      <c r="D102" s="219" cm="1">
        <f t="array" ref="D102" xml:space="preserve"> INDEX( tblFilterAll[% Supported housing (excl. HOP)], PeersCritera[[#This Row],[Index]] )</f>
        <v>2.133914709477092E-2</v>
      </c>
      <c r="E102" s="220" cm="1">
        <f t="array" ref="E102" xml:space="preserve"> INDEX( tblFilterAll[% Housing for older people], PeersCritera[[#This Row],[Index]] )</f>
        <v>3.2239949790242133E-2</v>
      </c>
      <c r="F102" s="220">
        <f xml:space="preserve"> PeersCritera[[#This Row],[% Supported housing (excl. HOP)]] + PeersCritera[[#This Row],[% Housing for older people]]</f>
        <v>5.3579096885013056E-2</v>
      </c>
      <c r="G102" s="221">
        <f xml:space="preserve"> 1 - PeersCritera[[#This Row],[% Supported &amp; older people]]</f>
        <v>0.94642090311498694</v>
      </c>
      <c r="H102" s="222" t="str" cm="1">
        <f t="array" ref="H102" xml:space="preserve"> INDEX( tblFilterAll[Provider Type], PeersCritera[[#This Row],[Index]] )</f>
        <v>Traditional</v>
      </c>
      <c r="I102" s="223" t="str" cm="1">
        <f t="array" ref="I102" xml:space="preserve"> INDEX( tblFilterAll[LSVT age], PeersCritera[[#This Row],[Index]] )</f>
        <v>&gt;= 12 years</v>
      </c>
      <c r="J102" s="219" cm="1">
        <f t="array" ref="J102" xml:space="preserve"> INDEX( tblFilterAll[London], PeersCritera[[#This Row],[Index]] )</f>
        <v>0</v>
      </c>
      <c r="K102" s="220" cm="1">
        <f t="array" ref="K102" xml:space="preserve"> INDEX( tblFilterAll[South East], PeersCritera[[#This Row],[Index]] )</f>
        <v>0</v>
      </c>
      <c r="L102" s="220" cm="1">
        <f t="array" ref="L102" xml:space="preserve"> INDEX( tblFilterAll[South West], PeersCritera[[#This Row],[Index]] )</f>
        <v>0</v>
      </c>
      <c r="M102" s="220" cm="1">
        <f t="array" ref="M102" xml:space="preserve"> INDEX( tblFilterAll[East Midlands], PeersCritera[[#This Row],[Index]] )</f>
        <v>0</v>
      </c>
      <c r="N102" s="220" cm="1">
        <f t="array" ref="N102" xml:space="preserve"> INDEX( tblFilterAll[West Midlands], PeersCritera[[#This Row],[Index]] )</f>
        <v>0</v>
      </c>
      <c r="O102" s="220" cm="1">
        <f t="array" ref="O102" xml:space="preserve"> INDEX( tblFilterAll[East of England], PeersCritera[[#This Row],[Index]] )</f>
        <v>0</v>
      </c>
      <c r="P102" s="220" cm="1">
        <f t="array" ref="P102" xml:space="preserve"> INDEX( tblFilterAll[North East], PeersCritera[[#This Row],[Index]] )</f>
        <v>0.89318503405837635</v>
      </c>
      <c r="Q102" s="220" cm="1">
        <f t="array" ref="Q102" xml:space="preserve"> INDEX( tblFilterAll[North West], PeersCritera[[#This Row],[Index]] )</f>
        <v>0</v>
      </c>
      <c r="R102" s="220" cm="1">
        <f t="array" ref="R102" xml:space="preserve"> INDEX( tblFilterAll[Yorkshire &amp; the Humber], PeersCritera[[#This Row],[Index]] )</f>
        <v>0.10681496594162361</v>
      </c>
      <c r="S102" s="224" t="str" cm="1">
        <f t="array" ref="S102" xml:space="preserve"> INDEX( tblFilterAll[Region with 50%+ of social stock owned], PeersCritera[[#This Row],[Index]] )</f>
        <v>North East</v>
      </c>
      <c r="T102" s="229" cm="1">
        <f t="array" ref="T102" xml:space="preserve"> INDEX( tblFilterAll[Meets initial criteria], PeersCritera[[#This Row],[Index]] )</f>
        <v>1</v>
      </c>
      <c r="U102" s="241"/>
      <c r="V102" s="230">
        <f>IF( PeersCritera[[#This Row],[RP_Name]] = SelectedProvider, 1, IF( PeersCritera[[#This Row],[Override initial criteria]] = "Include", 1, IF( PeersCritera[[#This Row],[Override initial criteria]] = "Exclude", 0, PeersCritera[[#This Row],[Meets initial criteria]] ) ) )</f>
        <v>1</v>
      </c>
      <c r="W102" s="325">
        <f xml:space="preserve"> MATCH( PeersCritera[[#This Row],[RP_Name]], tblFilterAll[Provider name], 0 )</f>
        <v>87</v>
      </c>
      <c r="Y10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3" spans="2:25" x14ac:dyDescent="0.25">
      <c r="B103" s="327" t="s" vm="88">
        <v>321</v>
      </c>
      <c r="C103" s="218" cm="1" vm="4387">
        <f t="array" ref="C103" xml:space="preserve"> INDEX( tblFilterAll[Total social stock owned], PeersCritera[[#This Row],[Index]] )</f>
        <v>4452</v>
      </c>
      <c r="D103" s="219" cm="1">
        <f t="array" ref="D103" xml:space="preserve"> INDEX( tblFilterAll[% Supported housing (excl. HOP)], PeersCritera[[#This Row],[Index]] )</f>
        <v>4.6741573033707864E-2</v>
      </c>
      <c r="E103" s="220" cm="1">
        <f t="array" ref="E103" xml:space="preserve"> INDEX( tblFilterAll[% Housing for older people], PeersCritera[[#This Row],[Index]] )</f>
        <v>5.7078651685393257E-2</v>
      </c>
      <c r="F103" s="220">
        <f xml:space="preserve"> PeersCritera[[#This Row],[% Supported housing (excl. HOP)]] + PeersCritera[[#This Row],[% Housing for older people]]</f>
        <v>0.10382022471910113</v>
      </c>
      <c r="G103" s="221">
        <f xml:space="preserve"> 1 - PeersCritera[[#This Row],[% Supported &amp; older people]]</f>
        <v>0.89617977528089887</v>
      </c>
      <c r="H103" s="222" t="str" cm="1">
        <f t="array" ref="H103" xml:space="preserve"> INDEX( tblFilterAll[Provider Type], PeersCritera[[#This Row],[Index]] )</f>
        <v>Traditional</v>
      </c>
      <c r="I103" s="223" t="str" cm="1">
        <f t="array" ref="I103" xml:space="preserve"> INDEX( tblFilterAll[LSVT age], PeersCritera[[#This Row],[Index]] )</f>
        <v/>
      </c>
      <c r="J103" s="219" cm="1">
        <f t="array" ref="J103" xml:space="preserve"> INDEX( tblFilterAll[London], PeersCritera[[#This Row],[Index]] )</f>
        <v>0</v>
      </c>
      <c r="K103" s="220" cm="1">
        <f t="array" ref="K103" xml:space="preserve"> INDEX( tblFilterAll[South East], PeersCritera[[#This Row],[Index]] )</f>
        <v>0</v>
      </c>
      <c r="L103" s="220" cm="1">
        <f t="array" ref="L103" xml:space="preserve"> INDEX( tblFilterAll[South West], PeersCritera[[#This Row],[Index]] )</f>
        <v>0</v>
      </c>
      <c r="M103" s="220" cm="1">
        <f t="array" ref="M103" xml:space="preserve"> INDEX( tblFilterAll[East Midlands], PeersCritera[[#This Row],[Index]] )</f>
        <v>2.2386389075442132E-4</v>
      </c>
      <c r="N103" s="220" cm="1">
        <f t="array" ref="N103" xml:space="preserve"> INDEX( tblFilterAll[West Midlands], PeersCritera[[#This Row],[Index]] )</f>
        <v>0</v>
      </c>
      <c r="O103" s="220" cm="1">
        <f t="array" ref="O103" xml:space="preserve"> INDEX( tblFilterAll[East of England], PeersCritera[[#This Row],[Index]] )</f>
        <v>0</v>
      </c>
      <c r="P103" s="220" cm="1">
        <f t="array" ref="P103" xml:space="preserve"> INDEX( tblFilterAll[North East], PeersCritera[[#This Row],[Index]] )</f>
        <v>0</v>
      </c>
      <c r="Q103" s="220" cm="1">
        <f t="array" ref="Q103" xml:space="preserve"> INDEX( tblFilterAll[North West], PeersCritera[[#This Row],[Index]] )</f>
        <v>0</v>
      </c>
      <c r="R103" s="220" cm="1">
        <f t="array" ref="R103" xml:space="preserve"> INDEX( tblFilterAll[Yorkshire &amp; the Humber], PeersCritera[[#This Row],[Index]] )</f>
        <v>0.99977613610924554</v>
      </c>
      <c r="S103" s="224" t="str" cm="1">
        <f t="array" ref="S103" xml:space="preserve"> INDEX( tblFilterAll[Region with 50%+ of social stock owned], PeersCritera[[#This Row],[Index]] )</f>
        <v>Yorkshire &amp; the Humber</v>
      </c>
      <c r="T103" s="229" cm="1">
        <f t="array" ref="T103" xml:space="preserve"> INDEX( tblFilterAll[Meets initial criteria], PeersCritera[[#This Row],[Index]] )</f>
        <v>1</v>
      </c>
      <c r="U103" s="241"/>
      <c r="V103" s="230">
        <f>IF( PeersCritera[[#This Row],[RP_Name]] = SelectedProvider, 1, IF( PeersCritera[[#This Row],[Override initial criteria]] = "Include", 1, IF( PeersCritera[[#This Row],[Override initial criteria]] = "Exclude", 0, PeersCritera[[#This Row],[Meets initial criteria]] ) ) )</f>
        <v>1</v>
      </c>
      <c r="W103" s="325">
        <f xml:space="preserve"> MATCH( PeersCritera[[#This Row],[RP_Name]], tblFilterAll[Provider name], 0 )</f>
        <v>88</v>
      </c>
      <c r="Y10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4" spans="2:25" x14ac:dyDescent="0.25">
      <c r="B104" s="327" t="s" vm="89">
        <v>323</v>
      </c>
      <c r="C104" s="218" cm="1" vm="3311">
        <f t="array" ref="C104" xml:space="preserve"> INDEX( tblFilterAll[Total social stock owned], PeersCritera[[#This Row],[Index]] )</f>
        <v>12245</v>
      </c>
      <c r="D104" s="219" cm="1">
        <f t="array" ref="D104" xml:space="preserve"> INDEX( tblFilterAll[% Supported housing (excl. HOP)], PeersCritera[[#This Row],[Index]] )</f>
        <v>1.6425755584756898E-3</v>
      </c>
      <c r="E104" s="220" cm="1">
        <f t="array" ref="E104" xml:space="preserve"> INDEX( tblFilterAll[% Housing for older people], PeersCritera[[#This Row],[Index]] )</f>
        <v>0.139865308804205</v>
      </c>
      <c r="F104" s="220">
        <f xml:space="preserve"> PeersCritera[[#This Row],[% Supported housing (excl. HOP)]] + PeersCritera[[#This Row],[% Housing for older people]]</f>
        <v>0.14150788436268069</v>
      </c>
      <c r="G104" s="221">
        <f xml:space="preserve"> 1 - PeersCritera[[#This Row],[% Supported &amp; older people]]</f>
        <v>0.85849211563731931</v>
      </c>
      <c r="H104" s="222" t="str" cm="1">
        <f t="array" ref="H104" xml:space="preserve"> INDEX( tblFilterAll[Provider Type], PeersCritera[[#This Row],[Index]] )</f>
        <v>Traditional</v>
      </c>
      <c r="I104" s="223" t="str" cm="1">
        <f t="array" ref="I104" xml:space="preserve"> INDEX( tblFilterAll[LSVT age], PeersCritera[[#This Row],[Index]] )</f>
        <v>&gt;= 12 years</v>
      </c>
      <c r="J104" s="219" cm="1">
        <f t="array" ref="J104" xml:space="preserve"> INDEX( tblFilterAll[London], PeersCritera[[#This Row],[Index]] )</f>
        <v>0</v>
      </c>
      <c r="K104" s="220" cm="1">
        <f t="array" ref="K104" xml:space="preserve"> INDEX( tblFilterAll[South East], PeersCritera[[#This Row],[Index]] )</f>
        <v>0</v>
      </c>
      <c r="L104" s="220" cm="1">
        <f t="array" ref="L104" xml:space="preserve"> INDEX( tblFilterAll[South West], PeersCritera[[#This Row],[Index]] )</f>
        <v>0</v>
      </c>
      <c r="M104" s="220" cm="1">
        <f t="array" ref="M104" xml:space="preserve"> INDEX( tblFilterAll[East Midlands], PeersCritera[[#This Row],[Index]] )</f>
        <v>0.41254315304948214</v>
      </c>
      <c r="N104" s="220" cm="1">
        <f t="array" ref="N104" xml:space="preserve"> INDEX( tblFilterAll[West Midlands], PeersCritera[[#This Row],[Index]] )</f>
        <v>0</v>
      </c>
      <c r="O104" s="220" cm="1">
        <f t="array" ref="O104" xml:space="preserve"> INDEX( tblFilterAll[East of England], PeersCritera[[#This Row],[Index]] )</f>
        <v>0</v>
      </c>
      <c r="P104" s="220" cm="1">
        <f t="array" ref="P104" xml:space="preserve"> INDEX( tblFilterAll[North East], PeersCritera[[#This Row],[Index]] )</f>
        <v>0</v>
      </c>
      <c r="Q104" s="220" cm="1">
        <f t="array" ref="Q104" xml:space="preserve"> INDEX( tblFilterAll[North West], PeersCritera[[#This Row],[Index]] )</f>
        <v>0</v>
      </c>
      <c r="R104" s="220" cm="1">
        <f t="array" ref="R104" xml:space="preserve"> INDEX( tblFilterAll[Yorkshire &amp; the Humber], PeersCritera[[#This Row],[Index]] )</f>
        <v>0.58745684695051781</v>
      </c>
      <c r="S104" s="224" t="str" cm="1">
        <f t="array" ref="S104" xml:space="preserve"> INDEX( tblFilterAll[Region with 50%+ of social stock owned], PeersCritera[[#This Row],[Index]] )</f>
        <v>Yorkshire &amp; the Humber</v>
      </c>
      <c r="T104" s="229" cm="1">
        <f t="array" ref="T104" xml:space="preserve"> INDEX( tblFilterAll[Meets initial criteria], PeersCritera[[#This Row],[Index]] )</f>
        <v>1</v>
      </c>
      <c r="U104" s="241"/>
      <c r="V104" s="230">
        <f>IF( PeersCritera[[#This Row],[RP_Name]] = SelectedProvider, 1, IF( PeersCritera[[#This Row],[Override initial criteria]] = "Include", 1, IF( PeersCritera[[#This Row],[Override initial criteria]] = "Exclude", 0, PeersCritera[[#This Row],[Meets initial criteria]] ) ) )</f>
        <v>1</v>
      </c>
      <c r="W104" s="325">
        <f xml:space="preserve"> MATCH( PeersCritera[[#This Row],[RP_Name]], tblFilterAll[Provider name], 0 )</f>
        <v>89</v>
      </c>
      <c r="Y10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5" spans="2:25" x14ac:dyDescent="0.25">
      <c r="B105" s="327" t="s" vm="90">
        <v>325</v>
      </c>
      <c r="C105" s="218" cm="1" vm="1916">
        <f t="array" ref="C105" xml:space="preserve"> INDEX( tblFilterAll[Total social stock owned], PeersCritera[[#This Row],[Index]] )</f>
        <v>36983</v>
      </c>
      <c r="D105" s="219" cm="1">
        <f t="array" ref="D105" xml:space="preserve"> INDEX( tblFilterAll[% Supported housing (excl. HOP)], PeersCritera[[#This Row],[Index]] )</f>
        <v>3.6951438359889066E-2</v>
      </c>
      <c r="E105" s="220" cm="1">
        <f t="array" ref="E105" xml:space="preserve"> INDEX( tblFilterAll[% Housing for older people], PeersCritera[[#This Row],[Index]] )</f>
        <v>4.9921148512697806E-2</v>
      </c>
      <c r="F105" s="220">
        <f xml:space="preserve"> PeersCritera[[#This Row],[% Supported housing (excl. HOP)]] + PeersCritera[[#This Row],[% Housing for older people]]</f>
        <v>8.6872586872586866E-2</v>
      </c>
      <c r="G105" s="221">
        <f xml:space="preserve"> 1 - PeersCritera[[#This Row],[% Supported &amp; older people]]</f>
        <v>0.91312741312741319</v>
      </c>
      <c r="H105" s="222" t="str" cm="1">
        <f t="array" ref="H105" xml:space="preserve"> INDEX( tblFilterAll[Provider Type], PeersCritera[[#This Row],[Index]] )</f>
        <v>Traditional</v>
      </c>
      <c r="I105" s="223" t="str" cm="1">
        <f t="array" ref="I105" xml:space="preserve"> INDEX( tblFilterAll[LSVT age], PeersCritera[[#This Row],[Index]] )</f>
        <v/>
      </c>
      <c r="J105" s="219" cm="1">
        <f t="array" ref="J105" xml:space="preserve"> INDEX( tblFilterAll[London], PeersCritera[[#This Row],[Index]] )</f>
        <v>0</v>
      </c>
      <c r="K105" s="220" cm="1">
        <f t="array" ref="K105" xml:space="preserve"> INDEX( tblFilterAll[South East], PeersCritera[[#This Row],[Index]] )</f>
        <v>5.4177050601365261E-5</v>
      </c>
      <c r="L105" s="220" cm="1">
        <f t="array" ref="L105" xml:space="preserve"> INDEX( tblFilterAll[South West], PeersCritera[[#This Row],[Index]] )</f>
        <v>0.99986455737349655</v>
      </c>
      <c r="M105" s="220" cm="1">
        <f t="array" ref="M105" xml:space="preserve"> INDEX( tblFilterAll[East Midlands], PeersCritera[[#This Row],[Index]] )</f>
        <v>8.1265575902047895E-5</v>
      </c>
      <c r="N105" s="220" cm="1">
        <f t="array" ref="N105" xml:space="preserve"> INDEX( tblFilterAll[West Midlands], PeersCritera[[#This Row],[Index]] )</f>
        <v>0</v>
      </c>
      <c r="O105" s="220" cm="1">
        <f t="array" ref="O105" xml:space="preserve"> INDEX( tblFilterAll[East of England], PeersCritera[[#This Row],[Index]] )</f>
        <v>0</v>
      </c>
      <c r="P105" s="220" cm="1">
        <f t="array" ref="P105" xml:space="preserve"> INDEX( tblFilterAll[North East], PeersCritera[[#This Row],[Index]] )</f>
        <v>0</v>
      </c>
      <c r="Q105" s="220" cm="1">
        <f t="array" ref="Q105" xml:space="preserve"> INDEX( tblFilterAll[North West], PeersCritera[[#This Row],[Index]] )</f>
        <v>0</v>
      </c>
      <c r="R105" s="220" cm="1">
        <f t="array" ref="R105" xml:space="preserve"> INDEX( tblFilterAll[Yorkshire &amp; the Humber], PeersCritera[[#This Row],[Index]] )</f>
        <v>0</v>
      </c>
      <c r="S105" s="224" t="str" cm="1">
        <f t="array" ref="S105" xml:space="preserve"> INDEX( tblFilterAll[Region with 50%+ of social stock owned], PeersCritera[[#This Row],[Index]] )</f>
        <v>South West</v>
      </c>
      <c r="T105" s="229" cm="1">
        <f t="array" ref="T105" xml:space="preserve"> INDEX( tblFilterAll[Meets initial criteria], PeersCritera[[#This Row],[Index]] )</f>
        <v>1</v>
      </c>
      <c r="U105" s="241"/>
      <c r="V105" s="230">
        <f>IF( PeersCritera[[#This Row],[RP_Name]] = SelectedProvider, 1, IF( PeersCritera[[#This Row],[Override initial criteria]] = "Include", 1, IF( PeersCritera[[#This Row],[Override initial criteria]] = "Exclude", 0, PeersCritera[[#This Row],[Meets initial criteria]] ) ) )</f>
        <v>1</v>
      </c>
      <c r="W105" s="325">
        <f xml:space="preserve"> MATCH( PeersCritera[[#This Row],[RP_Name]], tblFilterAll[Provider name], 0 )</f>
        <v>90</v>
      </c>
      <c r="Y10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6" spans="2:25" x14ac:dyDescent="0.25">
      <c r="B106" s="327" t="s" vm="91">
        <v>327</v>
      </c>
      <c r="C106" s="218" cm="1" vm="6225">
        <f t="array" ref="C106" xml:space="preserve"> INDEX( tblFilterAll[Total social stock owned], PeersCritera[[#This Row],[Index]] )</f>
        <v>8670</v>
      </c>
      <c r="D106" s="219" cm="1">
        <f t="array" ref="D106" xml:space="preserve"> INDEX( tblFilterAll[% Supported housing (excl. HOP)], PeersCritera[[#This Row],[Index]] )</f>
        <v>0</v>
      </c>
      <c r="E106" s="220" cm="1">
        <f t="array" ref="E106" xml:space="preserve"> INDEX( tblFilterAll[% Housing for older people], PeersCritera[[#This Row],[Index]] )</f>
        <v>0</v>
      </c>
      <c r="F106" s="220">
        <f xml:space="preserve"> PeersCritera[[#This Row],[% Supported housing (excl. HOP)]] + PeersCritera[[#This Row],[% Housing for older people]]</f>
        <v>0</v>
      </c>
      <c r="G106" s="221">
        <f xml:space="preserve"> 1 - PeersCritera[[#This Row],[% Supported &amp; older people]]</f>
        <v>1</v>
      </c>
      <c r="H106" s="222" t="str" cm="1">
        <f t="array" ref="H106" xml:space="preserve"> INDEX( tblFilterAll[Provider Type], PeersCritera[[#This Row],[Index]] )</f>
        <v>Traditional</v>
      </c>
      <c r="I106" s="223" t="str" cm="1">
        <f t="array" ref="I106" xml:space="preserve"> INDEX( tblFilterAll[LSVT age], PeersCritera[[#This Row],[Index]] )</f>
        <v>&gt;= 12 years</v>
      </c>
      <c r="J106" s="219" cm="1">
        <f t="array" ref="J106" xml:space="preserve"> INDEX( tblFilterAll[London], PeersCritera[[#This Row],[Index]] )</f>
        <v>0</v>
      </c>
      <c r="K106" s="220" cm="1">
        <f t="array" ref="K106" xml:space="preserve"> INDEX( tblFilterAll[South East], PeersCritera[[#This Row],[Index]] )</f>
        <v>0</v>
      </c>
      <c r="L106" s="220" cm="1">
        <f t="array" ref="L106" xml:space="preserve"> INDEX( tblFilterAll[South West], PeersCritera[[#This Row],[Index]] )</f>
        <v>0</v>
      </c>
      <c r="M106" s="220" cm="1">
        <f t="array" ref="M106" xml:space="preserve"> INDEX( tblFilterAll[East Midlands], PeersCritera[[#This Row],[Index]] )</f>
        <v>0</v>
      </c>
      <c r="N106" s="220" cm="1">
        <f t="array" ref="N106" xml:space="preserve"> INDEX( tblFilterAll[West Midlands], PeersCritera[[#This Row],[Index]] )</f>
        <v>0</v>
      </c>
      <c r="O106" s="220" cm="1">
        <f t="array" ref="O106" xml:space="preserve"> INDEX( tblFilterAll[East of England], PeersCritera[[#This Row],[Index]] )</f>
        <v>0</v>
      </c>
      <c r="P106" s="220" cm="1">
        <f t="array" ref="P106" xml:space="preserve"> INDEX( tblFilterAll[North East], PeersCritera[[#This Row],[Index]] )</f>
        <v>1</v>
      </c>
      <c r="Q106" s="220" cm="1">
        <f t="array" ref="Q106" xml:space="preserve"> INDEX( tblFilterAll[North West], PeersCritera[[#This Row],[Index]] )</f>
        <v>0</v>
      </c>
      <c r="R106" s="220" cm="1">
        <f t="array" ref="R106" xml:space="preserve"> INDEX( tblFilterAll[Yorkshire &amp; the Humber], PeersCritera[[#This Row],[Index]] )</f>
        <v>0</v>
      </c>
      <c r="S106" s="224" t="str" cm="1">
        <f t="array" ref="S106" xml:space="preserve"> INDEX( tblFilterAll[Region with 50%+ of social stock owned], PeersCritera[[#This Row],[Index]] )</f>
        <v>North East</v>
      </c>
      <c r="T106" s="229" cm="1">
        <f t="array" ref="T106" xml:space="preserve"> INDEX( tblFilterAll[Meets initial criteria], PeersCritera[[#This Row],[Index]] )</f>
        <v>1</v>
      </c>
      <c r="U106" s="241"/>
      <c r="V106" s="230">
        <f>IF( PeersCritera[[#This Row],[RP_Name]] = SelectedProvider, 1, IF( PeersCritera[[#This Row],[Override initial criteria]] = "Include", 1, IF( PeersCritera[[#This Row],[Override initial criteria]] = "Exclude", 0, PeersCritera[[#This Row],[Meets initial criteria]] ) ) )</f>
        <v>1</v>
      </c>
      <c r="W106" s="325">
        <f xml:space="preserve"> MATCH( PeersCritera[[#This Row],[RP_Name]], tblFilterAll[Provider name], 0 )</f>
        <v>91</v>
      </c>
      <c r="Y10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7" spans="2:25" x14ac:dyDescent="0.25">
      <c r="B107" s="327" t="s" vm="92">
        <v>329</v>
      </c>
      <c r="C107" s="218" cm="1" vm="3182">
        <f t="array" ref="C107" xml:space="preserve"> INDEX( tblFilterAll[Total social stock owned], PeersCritera[[#This Row],[Index]] )</f>
        <v>12963</v>
      </c>
      <c r="D107" s="219" cm="1">
        <f t="array" ref="D107" xml:space="preserve"> INDEX( tblFilterAll[% Supported housing (excl. HOP)], PeersCritera[[#This Row],[Index]] )</f>
        <v>1.0066594393681276E-3</v>
      </c>
      <c r="E107" s="220" cm="1">
        <f t="array" ref="E107" xml:space="preserve"> INDEX( tblFilterAll[% Housing for older people], PeersCritera[[#This Row],[Index]] )</f>
        <v>4.4447886015177324E-2</v>
      </c>
      <c r="F107" s="220">
        <f xml:space="preserve"> PeersCritera[[#This Row],[% Supported housing (excl. HOP)]] + PeersCritera[[#This Row],[% Housing for older people]]</f>
        <v>4.5454545454545449E-2</v>
      </c>
      <c r="G107" s="221">
        <f xml:space="preserve"> 1 - PeersCritera[[#This Row],[% Supported &amp; older people]]</f>
        <v>0.95454545454545459</v>
      </c>
      <c r="H107" s="222" t="str" cm="1">
        <f t="array" ref="H107" xml:space="preserve"> INDEX( tblFilterAll[Provider Type], PeersCritera[[#This Row],[Index]] )</f>
        <v>Traditional</v>
      </c>
      <c r="I107" s="223" t="str" cm="1">
        <f t="array" ref="I107" xml:space="preserve"> INDEX( tblFilterAll[LSVT age], PeersCritera[[#This Row],[Index]] )</f>
        <v>&gt;= 12 years</v>
      </c>
      <c r="J107" s="219" cm="1">
        <f t="array" ref="J107" xml:space="preserve"> INDEX( tblFilterAll[London], PeersCritera[[#This Row],[Index]] )</f>
        <v>0</v>
      </c>
      <c r="K107" s="220" cm="1">
        <f t="array" ref="K107" xml:space="preserve"> INDEX( tblFilterAll[South East], PeersCritera[[#This Row],[Index]] )</f>
        <v>0</v>
      </c>
      <c r="L107" s="220" cm="1">
        <f t="array" ref="L107" xml:space="preserve"> INDEX( tblFilterAll[South West], PeersCritera[[#This Row],[Index]] )</f>
        <v>0</v>
      </c>
      <c r="M107" s="220" cm="1">
        <f t="array" ref="M107" xml:space="preserve"> INDEX( tblFilterAll[East Midlands], PeersCritera[[#This Row],[Index]] )</f>
        <v>0</v>
      </c>
      <c r="N107" s="220" cm="1">
        <f t="array" ref="N107" xml:space="preserve"> INDEX( tblFilterAll[West Midlands], PeersCritera[[#This Row],[Index]] )</f>
        <v>0</v>
      </c>
      <c r="O107" s="220" cm="1">
        <f t="array" ref="O107" xml:space="preserve"> INDEX( tblFilterAll[East of England], PeersCritera[[#This Row],[Index]] )</f>
        <v>0</v>
      </c>
      <c r="P107" s="220" cm="1">
        <f t="array" ref="P107" xml:space="preserve"> INDEX( tblFilterAll[North East], PeersCritera[[#This Row],[Index]] )</f>
        <v>0</v>
      </c>
      <c r="Q107" s="220" cm="1">
        <f t="array" ref="Q107" xml:space="preserve"> INDEX( tblFilterAll[North West], PeersCritera[[#This Row],[Index]] )</f>
        <v>1</v>
      </c>
      <c r="R107" s="220" cm="1">
        <f t="array" ref="R107" xml:space="preserve"> INDEX( tblFilterAll[Yorkshire &amp; the Humber], PeersCritera[[#This Row],[Index]] )</f>
        <v>0</v>
      </c>
      <c r="S107" s="224" t="str" cm="1">
        <f t="array" ref="S107" xml:space="preserve"> INDEX( tblFilterAll[Region with 50%+ of social stock owned], PeersCritera[[#This Row],[Index]] )</f>
        <v>North West</v>
      </c>
      <c r="T107" s="229" cm="1">
        <f t="array" ref="T107" xml:space="preserve"> INDEX( tblFilterAll[Meets initial criteria], PeersCritera[[#This Row],[Index]] )</f>
        <v>1</v>
      </c>
      <c r="U107" s="241"/>
      <c r="V107" s="230">
        <f>IF( PeersCritera[[#This Row],[RP_Name]] = SelectedProvider, 1, IF( PeersCritera[[#This Row],[Override initial criteria]] = "Include", 1, IF( PeersCritera[[#This Row],[Override initial criteria]] = "Exclude", 0, PeersCritera[[#This Row],[Meets initial criteria]] ) ) )</f>
        <v>1</v>
      </c>
      <c r="W107" s="325">
        <f xml:space="preserve"> MATCH( PeersCritera[[#This Row],[RP_Name]], tblFilterAll[Provider name], 0 )</f>
        <v>92</v>
      </c>
      <c r="Y10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8" spans="2:25" x14ac:dyDescent="0.25">
      <c r="B108" s="327" t="s" vm="93">
        <v>331</v>
      </c>
      <c r="C108" s="218" cm="1" vm="848">
        <f t="array" ref="C108" xml:space="preserve"> INDEX( tblFilterAll[Total social stock owned], PeersCritera[[#This Row],[Index]] )</f>
        <v>1350</v>
      </c>
      <c r="D108" s="219" cm="1">
        <f t="array" ref="D108" xml:space="preserve"> INDEX( tblFilterAll[% Supported housing (excl. HOP)], PeersCritera[[#This Row],[Index]] )</f>
        <v>0</v>
      </c>
      <c r="E108" s="220" cm="1">
        <f t="array" ref="E108" xml:space="preserve"> INDEX( tblFilterAll[% Housing for older people], PeersCritera[[#This Row],[Index]] )</f>
        <v>0</v>
      </c>
      <c r="F108" s="220">
        <f xml:space="preserve"> PeersCritera[[#This Row],[% Supported housing (excl. HOP)]] + PeersCritera[[#This Row],[% Housing for older people]]</f>
        <v>0</v>
      </c>
      <c r="G108" s="221">
        <f xml:space="preserve"> 1 - PeersCritera[[#This Row],[% Supported &amp; older people]]</f>
        <v>1</v>
      </c>
      <c r="H108" s="222" t="str" cm="1">
        <f t="array" ref="H108" xml:space="preserve"> INDEX( tblFilterAll[Provider Type], PeersCritera[[#This Row],[Index]] )</f>
        <v>Traditional</v>
      </c>
      <c r="I108" s="223" t="str" cm="1">
        <f t="array" ref="I108" xml:space="preserve"> INDEX( tblFilterAll[LSVT age], PeersCritera[[#This Row],[Index]] )</f>
        <v/>
      </c>
      <c r="J108" s="219" cm="1">
        <f t="array" ref="J108" xml:space="preserve"> INDEX( tblFilterAll[London], PeersCritera[[#This Row],[Index]] )</f>
        <v>0.83851851851851855</v>
      </c>
      <c r="K108" s="220" cm="1">
        <f t="array" ref="K108" xml:space="preserve"> INDEX( tblFilterAll[South East], PeersCritera[[#This Row],[Index]] )</f>
        <v>3.7037037037037038E-3</v>
      </c>
      <c r="L108" s="220" cm="1">
        <f t="array" ref="L108" xml:space="preserve"> INDEX( tblFilterAll[South West], PeersCritera[[#This Row],[Index]] )</f>
        <v>0</v>
      </c>
      <c r="M108" s="220" cm="1">
        <f t="array" ref="M108" xml:space="preserve"> INDEX( tblFilterAll[East Midlands], PeersCritera[[#This Row],[Index]] )</f>
        <v>0</v>
      </c>
      <c r="N108" s="220" cm="1">
        <f t="array" ref="N108" xml:space="preserve"> INDEX( tblFilterAll[West Midlands], PeersCritera[[#This Row],[Index]] )</f>
        <v>0</v>
      </c>
      <c r="O108" s="220" cm="1">
        <f t="array" ref="O108" xml:space="preserve"> INDEX( tblFilterAll[East of England], PeersCritera[[#This Row],[Index]] )</f>
        <v>0.15777777777777777</v>
      </c>
      <c r="P108" s="220" cm="1">
        <f t="array" ref="P108" xml:space="preserve"> INDEX( tblFilterAll[North East], PeersCritera[[#This Row],[Index]] )</f>
        <v>0</v>
      </c>
      <c r="Q108" s="220" cm="1">
        <f t="array" ref="Q108" xml:space="preserve"> INDEX( tblFilterAll[North West], PeersCritera[[#This Row],[Index]] )</f>
        <v>0</v>
      </c>
      <c r="R108" s="220" cm="1">
        <f t="array" ref="R108" xml:space="preserve"> INDEX( tblFilterAll[Yorkshire &amp; the Humber], PeersCritera[[#This Row],[Index]] )</f>
        <v>0</v>
      </c>
      <c r="S108" s="224" t="str" cm="1">
        <f t="array" ref="S108" xml:space="preserve"> INDEX( tblFilterAll[Region with 50%+ of social stock owned], PeersCritera[[#This Row],[Index]] )</f>
        <v>London</v>
      </c>
      <c r="T108" s="229" cm="1">
        <f t="array" ref="T108" xml:space="preserve"> INDEX( tblFilterAll[Meets initial criteria], PeersCritera[[#This Row],[Index]] )</f>
        <v>1</v>
      </c>
      <c r="U108" s="241"/>
      <c r="V108" s="230">
        <f>IF( PeersCritera[[#This Row],[RP_Name]] = SelectedProvider, 1, IF( PeersCritera[[#This Row],[Override initial criteria]] = "Include", 1, IF( PeersCritera[[#This Row],[Override initial criteria]] = "Exclude", 0, PeersCritera[[#This Row],[Meets initial criteria]] ) ) )</f>
        <v>1</v>
      </c>
      <c r="W108" s="325">
        <f xml:space="preserve"> MATCH( PeersCritera[[#This Row],[RP_Name]], tblFilterAll[Provider name], 0 )</f>
        <v>93</v>
      </c>
      <c r="Y10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09" spans="2:25" x14ac:dyDescent="0.25">
      <c r="B109" s="327" t="s" vm="94">
        <v>333</v>
      </c>
      <c r="C109" s="218" cm="1" vm="1464">
        <f t="array" ref="C109" xml:space="preserve"> INDEX( tblFilterAll[Total social stock owned], PeersCritera[[#This Row],[Index]] )</f>
        <v>88736</v>
      </c>
      <c r="D109" s="219" cm="1">
        <f t="array" ref="D109" xml:space="preserve"> INDEX( tblFilterAll[% Supported housing (excl. HOP)], PeersCritera[[#This Row],[Index]] )</f>
        <v>2.7788560337938122E-2</v>
      </c>
      <c r="E109" s="220" cm="1">
        <f t="array" ref="E109" xml:space="preserve"> INDEX( tblFilterAll[% Housing for older people], PeersCritera[[#This Row],[Index]] )</f>
        <v>5.6935723256079464E-2</v>
      </c>
      <c r="F109" s="220">
        <f xml:space="preserve"> PeersCritera[[#This Row],[% Supported housing (excl. HOP)]] + PeersCritera[[#This Row],[% Housing for older people]]</f>
        <v>8.4724283594017583E-2</v>
      </c>
      <c r="G109" s="221">
        <f xml:space="preserve"> 1 - PeersCritera[[#This Row],[% Supported &amp; older people]]</f>
        <v>0.91527571640598238</v>
      </c>
      <c r="H109" s="222" t="str" cm="1">
        <f t="array" ref="H109" xml:space="preserve"> INDEX( tblFilterAll[Provider Type], PeersCritera[[#This Row],[Index]] )</f>
        <v>Traditional</v>
      </c>
      <c r="I109" s="223" t="str" cm="1">
        <f t="array" ref="I109" xml:space="preserve"> INDEX( tblFilterAll[LSVT age], PeersCritera[[#This Row],[Index]] )</f>
        <v/>
      </c>
      <c r="J109" s="219" cm="1">
        <f t="array" ref="J109" xml:space="preserve"> INDEX( tblFilterAll[London], PeersCritera[[#This Row],[Index]] )</f>
        <v>0.76900419807700993</v>
      </c>
      <c r="K109" s="220" cm="1">
        <f t="array" ref="K109" xml:space="preserve"> INDEX( tblFilterAll[South East], PeersCritera[[#This Row],[Index]] )</f>
        <v>8.4221098722520649E-2</v>
      </c>
      <c r="L109" s="220" cm="1">
        <f t="array" ref="L109" xml:space="preserve"> INDEX( tblFilterAll[South West], PeersCritera[[#This Row],[Index]] )</f>
        <v>7.8996072766668166E-5</v>
      </c>
      <c r="M109" s="220" cm="1">
        <f t="array" ref="M109" xml:space="preserve"> INDEX( tblFilterAll[East Midlands], PeersCritera[[#This Row],[Index]] )</f>
        <v>3.3855459757143503E-5</v>
      </c>
      <c r="N109" s="220" cm="1">
        <f t="array" ref="N109" xml:space="preserve"> INDEX( tblFilterAll[West Midlands], PeersCritera[[#This Row],[Index]] )</f>
        <v>2.7648625468333862E-3</v>
      </c>
      <c r="O109" s="220" cm="1">
        <f t="array" ref="O109" xml:space="preserve"> INDEX( tblFilterAll[East of England], PeersCritera[[#This Row],[Index]] )</f>
        <v>3.7534419717419762E-2</v>
      </c>
      <c r="P109" s="220" cm="1">
        <f t="array" ref="P109" xml:space="preserve"> INDEX( tblFilterAll[North East], PeersCritera[[#This Row],[Index]] )</f>
        <v>1.1285153252381168E-5</v>
      </c>
      <c r="Q109" s="220" cm="1">
        <f t="array" ref="Q109" xml:space="preserve"> INDEX( tblFilterAll[North West], PeersCritera[[#This Row],[Index]] )</f>
        <v>0.10635128425044012</v>
      </c>
      <c r="R109" s="220" cm="1">
        <f t="array" ref="R109" xml:space="preserve"> INDEX( tblFilterAll[Yorkshire &amp; the Humber], PeersCritera[[#This Row],[Index]] )</f>
        <v>0</v>
      </c>
      <c r="S109" s="224" t="str" cm="1">
        <f t="array" ref="S109" xml:space="preserve"> INDEX( tblFilterAll[Region with 50%+ of social stock owned], PeersCritera[[#This Row],[Index]] )</f>
        <v>London</v>
      </c>
      <c r="T109" s="229" cm="1">
        <f t="array" ref="T109" xml:space="preserve"> INDEX( tblFilterAll[Meets initial criteria], PeersCritera[[#This Row],[Index]] )</f>
        <v>1</v>
      </c>
      <c r="U109" s="241"/>
      <c r="V109" s="230">
        <f>IF( PeersCritera[[#This Row],[RP_Name]] = SelectedProvider, 1, IF( PeersCritera[[#This Row],[Override initial criteria]] = "Include", 1, IF( PeersCritera[[#This Row],[Override initial criteria]] = "Exclude", 0, PeersCritera[[#This Row],[Meets initial criteria]] ) ) )</f>
        <v>1</v>
      </c>
      <c r="W109" s="325">
        <f xml:space="preserve"> MATCH( PeersCritera[[#This Row],[RP_Name]], tblFilterAll[Provider name], 0 )</f>
        <v>94</v>
      </c>
      <c r="Y10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0" spans="2:25" x14ac:dyDescent="0.25">
      <c r="B110" s="327" t="s" vm="95">
        <v>335</v>
      </c>
      <c r="C110" s="218" cm="1" vm="4776">
        <f t="array" ref="C110" xml:space="preserve"> INDEX( tblFilterAll[Total social stock owned], PeersCritera[[#This Row],[Index]] )</f>
        <v>22549</v>
      </c>
      <c r="D110" s="219" cm="1">
        <f t="array" ref="D110" xml:space="preserve"> INDEX( tblFilterAll[% Supported housing (excl. HOP)], PeersCritera[[#This Row],[Index]] )</f>
        <v>2.2470404288586106E-2</v>
      </c>
      <c r="E110" s="220" cm="1">
        <f t="array" ref="E110" xml:space="preserve"> INDEX( tblFilterAll[% Housing for older people], PeersCritera[[#This Row],[Index]] )</f>
        <v>5.2669198123743578E-2</v>
      </c>
      <c r="F110" s="220">
        <f xml:space="preserve"> PeersCritera[[#This Row],[% Supported housing (excl. HOP)]] + PeersCritera[[#This Row],[% Housing for older people]]</f>
        <v>7.5139602412329684E-2</v>
      </c>
      <c r="G110" s="221">
        <f xml:space="preserve"> 1 - PeersCritera[[#This Row],[% Supported &amp; older people]]</f>
        <v>0.92486039758767036</v>
      </c>
      <c r="H110" s="222" t="str" cm="1">
        <f t="array" ref="H110" xml:space="preserve"> INDEX( tblFilterAll[Provider Type], PeersCritera[[#This Row],[Index]] )</f>
        <v>Traditional</v>
      </c>
      <c r="I110" s="223" t="str" cm="1">
        <f t="array" ref="I110" xml:space="preserve"> INDEX( tblFilterAll[LSVT age], PeersCritera[[#This Row],[Index]] )</f>
        <v/>
      </c>
      <c r="J110" s="219" cm="1">
        <f t="array" ref="J110" xml:space="preserve"> INDEX( tblFilterAll[London], PeersCritera[[#This Row],[Index]] )</f>
        <v>4.4499822000712E-5</v>
      </c>
      <c r="K110" s="220" cm="1">
        <f t="array" ref="K110" xml:space="preserve"> INDEX( tblFilterAll[South East], PeersCritera[[#This Row],[Index]] )</f>
        <v>0</v>
      </c>
      <c r="L110" s="220" cm="1">
        <f t="array" ref="L110" xml:space="preserve"> INDEX( tblFilterAll[South West], PeersCritera[[#This Row],[Index]] )</f>
        <v>0</v>
      </c>
      <c r="M110" s="220" cm="1">
        <f t="array" ref="M110" xml:space="preserve"> INDEX( tblFilterAll[East Midlands], PeersCritera[[#This Row],[Index]] )</f>
        <v>0.625</v>
      </c>
      <c r="N110" s="220" cm="1">
        <f t="array" ref="N110" xml:space="preserve"> INDEX( tblFilterAll[West Midlands], PeersCritera[[#This Row],[Index]] )</f>
        <v>0.1242435030259879</v>
      </c>
      <c r="O110" s="220" cm="1">
        <f t="array" ref="O110" xml:space="preserve"> INDEX( tblFilterAll[East of England], PeersCritera[[#This Row],[Index]] )</f>
        <v>0.16300284798860804</v>
      </c>
      <c r="P110" s="220" cm="1">
        <f t="array" ref="P110" xml:space="preserve"> INDEX( tblFilterAll[North East], PeersCritera[[#This Row],[Index]] )</f>
        <v>0</v>
      </c>
      <c r="Q110" s="220" cm="1">
        <f t="array" ref="Q110" xml:space="preserve"> INDEX( tblFilterAll[North West], PeersCritera[[#This Row],[Index]] )</f>
        <v>0</v>
      </c>
      <c r="R110" s="220" cm="1">
        <f t="array" ref="R110" xml:space="preserve"> INDEX( tblFilterAll[Yorkshire &amp; the Humber], PeersCritera[[#This Row],[Index]] )</f>
        <v>8.7709149163403347E-2</v>
      </c>
      <c r="S110" s="224" t="str" cm="1">
        <f t="array" ref="S110" xml:space="preserve"> INDEX( tblFilterAll[Region with 50%+ of social stock owned], PeersCritera[[#This Row],[Index]] )</f>
        <v>East Midlands</v>
      </c>
      <c r="T110" s="229" cm="1">
        <f t="array" ref="T110" xml:space="preserve"> INDEX( tblFilterAll[Meets initial criteria], PeersCritera[[#This Row],[Index]] )</f>
        <v>1</v>
      </c>
      <c r="U110" s="241"/>
      <c r="V110" s="230">
        <f>IF( PeersCritera[[#This Row],[RP_Name]] = SelectedProvider, 1, IF( PeersCritera[[#This Row],[Override initial criteria]] = "Include", 1, IF( PeersCritera[[#This Row],[Override initial criteria]] = "Exclude", 0, PeersCritera[[#This Row],[Meets initial criteria]] ) ) )</f>
        <v>1</v>
      </c>
      <c r="W110" s="325">
        <f xml:space="preserve"> MATCH( PeersCritera[[#This Row],[RP_Name]], tblFilterAll[Provider name], 0 )</f>
        <v>95</v>
      </c>
      <c r="Y11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1" spans="2:25" x14ac:dyDescent="0.25">
      <c r="B111" s="327" t="s" vm="96">
        <v>337</v>
      </c>
      <c r="C111" s="218" cm="1" vm="9175">
        <f t="array" ref="C111" xml:space="preserve"> INDEX( tblFilterAll[Total social stock owned], PeersCritera[[#This Row],[Index]] )</f>
        <v>1255</v>
      </c>
      <c r="D111" s="219" cm="1">
        <f t="array" ref="D111" xml:space="preserve"> INDEX( tblFilterAll[% Supported housing (excl. HOP)], PeersCritera[[#This Row],[Index]] )</f>
        <v>0.94895397489539746</v>
      </c>
      <c r="E111" s="220" cm="1">
        <f t="array" ref="E111" xml:space="preserve"> INDEX( tblFilterAll[% Housing for older people], PeersCritera[[#This Row],[Index]] )</f>
        <v>0</v>
      </c>
      <c r="F111" s="220">
        <f xml:space="preserve"> PeersCritera[[#This Row],[% Supported housing (excl. HOP)]] + PeersCritera[[#This Row],[% Housing for older people]]</f>
        <v>0.94895397489539746</v>
      </c>
      <c r="G111" s="221">
        <f xml:space="preserve"> 1 - PeersCritera[[#This Row],[% Supported &amp; older people]]</f>
        <v>5.1046025104602544E-2</v>
      </c>
      <c r="H111" s="222" t="str" cm="1">
        <f t="array" ref="H111" xml:space="preserve"> INDEX( tblFilterAll[Provider Type], PeersCritera[[#This Row],[Index]] )</f>
        <v>Traditional</v>
      </c>
      <c r="I111" s="223" t="str" cm="1">
        <f t="array" ref="I111" xml:space="preserve"> INDEX( tblFilterAll[LSVT age], PeersCritera[[#This Row],[Index]] )</f>
        <v/>
      </c>
      <c r="J111" s="219" cm="1">
        <f t="array" ref="J111" xml:space="preserve"> INDEX( tblFilterAll[London], PeersCritera[[#This Row],[Index]] )</f>
        <v>0.82931034482758625</v>
      </c>
      <c r="K111" s="220" cm="1">
        <f t="array" ref="K111" xml:space="preserve"> INDEX( tblFilterAll[South East], PeersCritera[[#This Row],[Index]] )</f>
        <v>0.16982758620689656</v>
      </c>
      <c r="L111" s="220" cm="1">
        <f t="array" ref="L111" xml:space="preserve"> INDEX( tblFilterAll[South West], PeersCritera[[#This Row],[Index]] )</f>
        <v>0</v>
      </c>
      <c r="M111" s="220" cm="1">
        <f t="array" ref="M111" xml:space="preserve"> INDEX( tblFilterAll[East Midlands], PeersCritera[[#This Row],[Index]] )</f>
        <v>0</v>
      </c>
      <c r="N111" s="220" cm="1">
        <f t="array" ref="N111" xml:space="preserve"> INDEX( tblFilterAll[West Midlands], PeersCritera[[#This Row],[Index]] )</f>
        <v>0</v>
      </c>
      <c r="O111" s="220" cm="1">
        <f t="array" ref="O111" xml:space="preserve"> INDEX( tblFilterAll[East of England], PeersCritera[[#This Row],[Index]] )</f>
        <v>8.6206896551724137E-4</v>
      </c>
      <c r="P111" s="220" cm="1">
        <f t="array" ref="P111" xml:space="preserve"> INDEX( tblFilterAll[North East], PeersCritera[[#This Row],[Index]] )</f>
        <v>0</v>
      </c>
      <c r="Q111" s="220" cm="1">
        <f t="array" ref="Q111" xml:space="preserve"> INDEX( tblFilterAll[North West], PeersCritera[[#This Row],[Index]] )</f>
        <v>0</v>
      </c>
      <c r="R111" s="220" cm="1">
        <f t="array" ref="R111" xml:space="preserve"> INDEX( tblFilterAll[Yorkshire &amp; the Humber], PeersCritera[[#This Row],[Index]] )</f>
        <v>0</v>
      </c>
      <c r="S111" s="224" t="str" cm="1">
        <f t="array" ref="S111" xml:space="preserve"> INDEX( tblFilterAll[Region with 50%+ of social stock owned], PeersCritera[[#This Row],[Index]] )</f>
        <v>London</v>
      </c>
      <c r="T111" s="229" cm="1">
        <f t="array" ref="T111" xml:space="preserve"> INDEX( tblFilterAll[Meets initial criteria], PeersCritera[[#This Row],[Index]] )</f>
        <v>1</v>
      </c>
      <c r="U111" s="241"/>
      <c r="V111" s="230">
        <f>IF( PeersCritera[[#This Row],[RP_Name]] = SelectedProvider, 1, IF( PeersCritera[[#This Row],[Override initial criteria]] = "Include", 1, IF( PeersCritera[[#This Row],[Override initial criteria]] = "Exclude", 0, PeersCritera[[#This Row],[Meets initial criteria]] ) ) )</f>
        <v>1</v>
      </c>
      <c r="W111" s="325">
        <f xml:space="preserve"> MATCH( PeersCritera[[#This Row],[RP_Name]], tblFilterAll[Provider name], 0 )</f>
        <v>96</v>
      </c>
      <c r="Y11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2" spans="2:25" x14ac:dyDescent="0.25">
      <c r="B112" s="327" t="s" vm="97">
        <v>339</v>
      </c>
      <c r="C112" s="218" cm="1" vm="2535">
        <f t="array" ref="C112" xml:space="preserve"> INDEX( tblFilterAll[Total social stock owned], PeersCritera[[#This Row],[Index]] )</f>
        <v>12634</v>
      </c>
      <c r="D112" s="219" cm="1">
        <f t="array" ref="D112" xml:space="preserve"> INDEX( tblFilterAll[% Supported housing (excl. HOP)], PeersCritera[[#This Row],[Index]] )</f>
        <v>1.9891788669637173E-3</v>
      </c>
      <c r="E112" s="220" cm="1">
        <f t="array" ref="E112" xml:space="preserve"> INDEX( tblFilterAll[% Housing for older people], PeersCritera[[#This Row],[Index]] )</f>
        <v>0.12866008911521323</v>
      </c>
      <c r="F112" s="220">
        <f xml:space="preserve"> PeersCritera[[#This Row],[% Supported housing (excl. HOP)]] + PeersCritera[[#This Row],[% Housing for older people]]</f>
        <v>0.13064926798217696</v>
      </c>
      <c r="G112" s="221">
        <f xml:space="preserve"> 1 - PeersCritera[[#This Row],[% Supported &amp; older people]]</f>
        <v>0.86935073201782309</v>
      </c>
      <c r="H112" s="222" t="str" cm="1">
        <f t="array" ref="H112" xml:space="preserve"> INDEX( tblFilterAll[Provider Type], PeersCritera[[#This Row],[Index]] )</f>
        <v>Traditional</v>
      </c>
      <c r="I112" s="223" t="str" cm="1">
        <f t="array" ref="I112" xml:space="preserve"> INDEX( tblFilterAll[LSVT age], PeersCritera[[#This Row],[Index]] )</f>
        <v>&gt;= 12 years</v>
      </c>
      <c r="J112" s="219" cm="1">
        <f t="array" ref="J112" xml:space="preserve"> INDEX( tblFilterAll[London], PeersCritera[[#This Row],[Index]] )</f>
        <v>0</v>
      </c>
      <c r="K112" s="220" cm="1">
        <f t="array" ref="K112" xml:space="preserve"> INDEX( tblFilterAll[South East], PeersCritera[[#This Row],[Index]] )</f>
        <v>0</v>
      </c>
      <c r="L112" s="220" cm="1">
        <f t="array" ref="L112" xml:space="preserve"> INDEX( tblFilterAll[South West], PeersCritera[[#This Row],[Index]] )</f>
        <v>0</v>
      </c>
      <c r="M112" s="220" cm="1">
        <f t="array" ref="M112" xml:space="preserve"> INDEX( tblFilterAll[East Midlands], PeersCritera[[#This Row],[Index]] )</f>
        <v>0</v>
      </c>
      <c r="N112" s="220" cm="1">
        <f t="array" ref="N112" xml:space="preserve"> INDEX( tblFilterAll[West Midlands], PeersCritera[[#This Row],[Index]] )</f>
        <v>0</v>
      </c>
      <c r="O112" s="220" cm="1">
        <f t="array" ref="O112" xml:space="preserve"> INDEX( tblFilterAll[East of England], PeersCritera[[#This Row],[Index]] )</f>
        <v>0</v>
      </c>
      <c r="P112" s="220" cm="1">
        <f t="array" ref="P112" xml:space="preserve"> INDEX( tblFilterAll[North East], PeersCritera[[#This Row],[Index]] )</f>
        <v>0</v>
      </c>
      <c r="Q112" s="220" cm="1">
        <f t="array" ref="Q112" xml:space="preserve"> INDEX( tblFilterAll[North West], PeersCritera[[#This Row],[Index]] )</f>
        <v>1</v>
      </c>
      <c r="R112" s="220" cm="1">
        <f t="array" ref="R112" xml:space="preserve"> INDEX( tblFilterAll[Yorkshire &amp; the Humber], PeersCritera[[#This Row],[Index]] )</f>
        <v>0</v>
      </c>
      <c r="S112" s="224" t="str" cm="1">
        <f t="array" ref="S112" xml:space="preserve"> INDEX( tblFilterAll[Region with 50%+ of social stock owned], PeersCritera[[#This Row],[Index]] )</f>
        <v>North West</v>
      </c>
      <c r="T112" s="229" cm="1">
        <f t="array" ref="T112" xml:space="preserve"> INDEX( tblFilterAll[Meets initial criteria], PeersCritera[[#This Row],[Index]] )</f>
        <v>1</v>
      </c>
      <c r="U112" s="241"/>
      <c r="V112" s="230">
        <f>IF( PeersCritera[[#This Row],[RP_Name]] = SelectedProvider, 1, IF( PeersCritera[[#This Row],[Override initial criteria]] = "Include", 1, IF( PeersCritera[[#This Row],[Override initial criteria]] = "Exclude", 0, PeersCritera[[#This Row],[Meets initial criteria]] ) ) )</f>
        <v>1</v>
      </c>
      <c r="W112" s="325">
        <f xml:space="preserve"> MATCH( PeersCritera[[#This Row],[RP_Name]], tblFilterAll[Provider name], 0 )</f>
        <v>97</v>
      </c>
      <c r="Y11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3" spans="2:25" x14ac:dyDescent="0.25">
      <c r="B113" s="327" t="s" vm="98">
        <v>341</v>
      </c>
      <c r="C113" s="218" cm="1" vm="6908">
        <f t="array" ref="C113" xml:space="preserve"> INDEX( tblFilterAll[Total social stock owned], PeersCritera[[#This Row],[Index]] )</f>
        <v>8450</v>
      </c>
      <c r="D113" s="219" cm="1">
        <f t="array" ref="D113" xml:space="preserve"> INDEX( tblFilterAll[% Supported housing (excl. HOP)], PeersCritera[[#This Row],[Index]] )</f>
        <v>2.5439847836424157E-2</v>
      </c>
      <c r="E113" s="220" cm="1">
        <f t="array" ref="E113" xml:space="preserve"> INDEX( tblFilterAll[% Housing for older people], PeersCritera[[#This Row],[Index]] )</f>
        <v>0.21944840703756538</v>
      </c>
      <c r="F113" s="220">
        <f xml:space="preserve"> PeersCritera[[#This Row],[% Supported housing (excl. HOP)]] + PeersCritera[[#This Row],[% Housing for older people]]</f>
        <v>0.24488825487398955</v>
      </c>
      <c r="G113" s="221">
        <f xml:space="preserve"> 1 - PeersCritera[[#This Row],[% Supported &amp; older people]]</f>
        <v>0.75511174512601043</v>
      </c>
      <c r="H113" s="222" t="str" cm="1">
        <f t="array" ref="H113" xml:space="preserve"> INDEX( tblFilterAll[Provider Type], PeersCritera[[#This Row],[Index]] )</f>
        <v>Traditional</v>
      </c>
      <c r="I113" s="223" t="str" cm="1">
        <f t="array" ref="I113" xml:space="preserve"> INDEX( tblFilterAll[LSVT age], PeersCritera[[#This Row],[Index]] )</f>
        <v>&gt;= 12 years</v>
      </c>
      <c r="J113" s="219" cm="1">
        <f t="array" ref="J113" xml:space="preserve"> INDEX( tblFilterAll[London], PeersCritera[[#This Row],[Index]] )</f>
        <v>0</v>
      </c>
      <c r="K113" s="220" cm="1">
        <f t="array" ref="K113" xml:space="preserve"> INDEX( tblFilterAll[South East], PeersCritera[[#This Row],[Index]] )</f>
        <v>0</v>
      </c>
      <c r="L113" s="220" cm="1">
        <f t="array" ref="L113" xml:space="preserve"> INDEX( tblFilterAll[South West], PeersCritera[[#This Row],[Index]] )</f>
        <v>1</v>
      </c>
      <c r="M113" s="220" cm="1">
        <f t="array" ref="M113" xml:space="preserve"> INDEX( tblFilterAll[East Midlands], PeersCritera[[#This Row],[Index]] )</f>
        <v>0</v>
      </c>
      <c r="N113" s="220" cm="1">
        <f t="array" ref="N113" xml:space="preserve"> INDEX( tblFilterAll[West Midlands], PeersCritera[[#This Row],[Index]] )</f>
        <v>0</v>
      </c>
      <c r="O113" s="220" cm="1">
        <f t="array" ref="O113" xml:space="preserve"> INDEX( tblFilterAll[East of England], PeersCritera[[#This Row],[Index]] )</f>
        <v>0</v>
      </c>
      <c r="P113" s="220" cm="1">
        <f t="array" ref="P113" xml:space="preserve"> INDEX( tblFilterAll[North East], PeersCritera[[#This Row],[Index]] )</f>
        <v>0</v>
      </c>
      <c r="Q113" s="220" cm="1">
        <f t="array" ref="Q113" xml:space="preserve"> INDEX( tblFilterAll[North West], PeersCritera[[#This Row],[Index]] )</f>
        <v>0</v>
      </c>
      <c r="R113" s="220" cm="1">
        <f t="array" ref="R113" xml:space="preserve"> INDEX( tblFilterAll[Yorkshire &amp; the Humber], PeersCritera[[#This Row],[Index]] )</f>
        <v>0</v>
      </c>
      <c r="S113" s="224" t="str" cm="1">
        <f t="array" ref="S113" xml:space="preserve"> INDEX( tblFilterAll[Region with 50%+ of social stock owned], PeersCritera[[#This Row],[Index]] )</f>
        <v>South West</v>
      </c>
      <c r="T113" s="229" cm="1">
        <f t="array" ref="T113" xml:space="preserve"> INDEX( tblFilterAll[Meets initial criteria], PeersCritera[[#This Row],[Index]] )</f>
        <v>1</v>
      </c>
      <c r="U113" s="241"/>
      <c r="V113" s="230">
        <f>IF( PeersCritera[[#This Row],[RP_Name]] = SelectedProvider, 1, IF( PeersCritera[[#This Row],[Override initial criteria]] = "Include", 1, IF( PeersCritera[[#This Row],[Override initial criteria]] = "Exclude", 0, PeersCritera[[#This Row],[Meets initial criteria]] ) ) )</f>
        <v>1</v>
      </c>
      <c r="W113" s="325">
        <f xml:space="preserve"> MATCH( PeersCritera[[#This Row],[RP_Name]], tblFilterAll[Provider name], 0 )</f>
        <v>98</v>
      </c>
      <c r="Y11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4" spans="2:25" x14ac:dyDescent="0.25">
      <c r="B114" s="327" t="s" vm="99">
        <v>343</v>
      </c>
      <c r="C114" s="218" cm="1" vm="8394">
        <f t="array" ref="C114" xml:space="preserve"> INDEX( tblFilterAll[Total social stock owned], PeersCritera[[#This Row],[Index]] )</f>
        <v>1393</v>
      </c>
      <c r="D114" s="219" cm="1">
        <f t="array" ref="D114" xml:space="preserve"> INDEX( tblFilterAll[% Supported housing (excl. HOP)], PeersCritera[[#This Row],[Index]] )</f>
        <v>0</v>
      </c>
      <c r="E114" s="220" cm="1">
        <f t="array" ref="E114" xml:space="preserve"> INDEX( tblFilterAll[% Housing for older people], PeersCritera[[#This Row],[Index]] )</f>
        <v>0</v>
      </c>
      <c r="F114" s="220">
        <f xml:space="preserve"> PeersCritera[[#This Row],[% Supported housing (excl. HOP)]] + PeersCritera[[#This Row],[% Housing for older people]]</f>
        <v>0</v>
      </c>
      <c r="G114" s="221">
        <f xml:space="preserve"> 1 - PeersCritera[[#This Row],[% Supported &amp; older people]]</f>
        <v>1</v>
      </c>
      <c r="H114" s="222" t="str" cm="1">
        <f t="array" ref="H114" xml:space="preserve"> INDEX( tblFilterAll[Provider Type], PeersCritera[[#This Row],[Index]] )</f>
        <v>Traditional</v>
      </c>
      <c r="I114" s="223" t="str" cm="1">
        <f t="array" ref="I114" xml:space="preserve"> INDEX( tblFilterAll[LSVT age], PeersCritera[[#This Row],[Index]] )</f>
        <v/>
      </c>
      <c r="J114" s="219" cm="1">
        <f t="array" ref="J114" xml:space="preserve"> INDEX( tblFilterAll[London], PeersCritera[[#This Row],[Index]] )</f>
        <v>0</v>
      </c>
      <c r="K114" s="220" cm="1">
        <f t="array" ref="K114" xml:space="preserve"> INDEX( tblFilterAll[South East], PeersCritera[[#This Row],[Index]] )</f>
        <v>0</v>
      </c>
      <c r="L114" s="220" cm="1">
        <f t="array" ref="L114" xml:space="preserve"> INDEX( tblFilterAll[South West], PeersCritera[[#This Row],[Index]] )</f>
        <v>0</v>
      </c>
      <c r="M114" s="220" cm="1">
        <f t="array" ref="M114" xml:space="preserve"> INDEX( tblFilterAll[East Midlands], PeersCritera[[#This Row],[Index]] )</f>
        <v>0</v>
      </c>
      <c r="N114" s="220" cm="1">
        <f t="array" ref="N114" xml:space="preserve"> INDEX( tblFilterAll[West Midlands], PeersCritera[[#This Row],[Index]] )</f>
        <v>0</v>
      </c>
      <c r="O114" s="220" cm="1">
        <f t="array" ref="O114" xml:space="preserve"> INDEX( tblFilterAll[East of England], PeersCritera[[#This Row],[Index]] )</f>
        <v>0</v>
      </c>
      <c r="P114" s="220" cm="1">
        <f t="array" ref="P114" xml:space="preserve"> INDEX( tblFilterAll[North East], PeersCritera[[#This Row],[Index]] )</f>
        <v>0</v>
      </c>
      <c r="Q114" s="220" cm="1">
        <f t="array" ref="Q114" xml:space="preserve"> INDEX( tblFilterAll[North West], PeersCritera[[#This Row],[Index]] )</f>
        <v>0</v>
      </c>
      <c r="R114" s="220" cm="1">
        <f t="array" ref="R114" xml:space="preserve"> INDEX( tblFilterAll[Yorkshire &amp; the Humber], PeersCritera[[#This Row],[Index]] )</f>
        <v>1</v>
      </c>
      <c r="S114" s="224" t="str" cm="1">
        <f t="array" ref="S114" xml:space="preserve"> INDEX( tblFilterAll[Region with 50%+ of social stock owned], PeersCritera[[#This Row],[Index]] )</f>
        <v>Yorkshire &amp; the Humber</v>
      </c>
      <c r="T114" s="229" cm="1">
        <f t="array" ref="T114" xml:space="preserve"> INDEX( tblFilterAll[Meets initial criteria], PeersCritera[[#This Row],[Index]] )</f>
        <v>1</v>
      </c>
      <c r="U114" s="241"/>
      <c r="V114" s="230">
        <f>IF( PeersCritera[[#This Row],[RP_Name]] = SelectedProvider, 1, IF( PeersCritera[[#This Row],[Override initial criteria]] = "Include", 1, IF( PeersCritera[[#This Row],[Override initial criteria]] = "Exclude", 0, PeersCritera[[#This Row],[Meets initial criteria]] ) ) )</f>
        <v>1</v>
      </c>
      <c r="W114" s="325">
        <f xml:space="preserve"> MATCH( PeersCritera[[#This Row],[RP_Name]], tblFilterAll[Provider name], 0 )</f>
        <v>99</v>
      </c>
      <c r="Y11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5" spans="2:25" x14ac:dyDescent="0.25">
      <c r="B115" s="327" t="s" vm="100">
        <v>345</v>
      </c>
      <c r="C115" s="218" cm="1" vm="1982">
        <f t="array" ref="C115" xml:space="preserve"> INDEX( tblFilterAll[Total social stock owned], PeersCritera[[#This Row],[Index]] )</f>
        <v>31172</v>
      </c>
      <c r="D115" s="219" cm="1">
        <f t="array" ref="D115" xml:space="preserve"> INDEX( tblFilterAll[% Supported housing (excl. HOP)], PeersCritera[[#This Row],[Index]] )</f>
        <v>3.2362564384981696E-2</v>
      </c>
      <c r="E115" s="220" cm="1">
        <f t="array" ref="E115" xml:space="preserve"> INDEX( tblFilterAll[% Housing for older people], PeersCritera[[#This Row],[Index]] )</f>
        <v>8.8924163400174935E-2</v>
      </c>
      <c r="F115" s="220">
        <f xml:space="preserve"> PeersCritera[[#This Row],[% Supported housing (excl. HOP)]] + PeersCritera[[#This Row],[% Housing for older people]]</f>
        <v>0.12128672778515663</v>
      </c>
      <c r="G115" s="221">
        <f xml:space="preserve"> 1 - PeersCritera[[#This Row],[% Supported &amp; older people]]</f>
        <v>0.87871327221484341</v>
      </c>
      <c r="H115" s="222" t="str" cm="1">
        <f t="array" ref="H115" xml:space="preserve"> INDEX( tblFilterAll[Provider Type], PeersCritera[[#This Row],[Index]] )</f>
        <v>Traditional</v>
      </c>
      <c r="I115" s="223" t="str" cm="1">
        <f t="array" ref="I115" xml:space="preserve"> INDEX( tblFilterAll[LSVT age], PeersCritera[[#This Row],[Index]] )</f>
        <v/>
      </c>
      <c r="J115" s="219" cm="1">
        <f t="array" ref="J115" xml:space="preserve"> INDEX( tblFilterAll[London], PeersCritera[[#This Row],[Index]] )</f>
        <v>0</v>
      </c>
      <c r="K115" s="220" cm="1">
        <f t="array" ref="K115" xml:space="preserve"> INDEX( tblFilterAll[South East], PeersCritera[[#This Row],[Index]] )</f>
        <v>3.2345710958726873E-3</v>
      </c>
      <c r="L115" s="220" cm="1">
        <f t="array" ref="L115" xml:space="preserve"> INDEX( tblFilterAll[South West], PeersCritera[[#This Row],[Index]] )</f>
        <v>6.4691421917453741E-4</v>
      </c>
      <c r="M115" s="220" cm="1">
        <f t="array" ref="M115" xml:space="preserve"> INDEX( tblFilterAll[East Midlands], PeersCritera[[#This Row],[Index]] )</f>
        <v>0.10007762970630095</v>
      </c>
      <c r="N115" s="220" cm="1">
        <f t="array" ref="N115" xml:space="preserve"> INDEX( tblFilterAll[West Midlands], PeersCritera[[#This Row],[Index]] )</f>
        <v>0.89604088497865186</v>
      </c>
      <c r="O115" s="220" cm="1">
        <f t="array" ref="O115" xml:space="preserve"> INDEX( tblFilterAll[East of England], PeersCritera[[#This Row],[Index]] )</f>
        <v>0</v>
      </c>
      <c r="P115" s="220" cm="1">
        <f t="array" ref="P115" xml:space="preserve"> INDEX( tblFilterAll[North East], PeersCritera[[#This Row],[Index]] )</f>
        <v>0</v>
      </c>
      <c r="Q115" s="220" cm="1">
        <f t="array" ref="Q115" xml:space="preserve"> INDEX( tblFilterAll[North West], PeersCritera[[#This Row],[Index]] )</f>
        <v>0</v>
      </c>
      <c r="R115" s="220" cm="1">
        <f t="array" ref="R115" xml:space="preserve"> INDEX( tblFilterAll[Yorkshire &amp; the Humber], PeersCritera[[#This Row],[Index]] )</f>
        <v>0</v>
      </c>
      <c r="S115" s="224" t="str" cm="1">
        <f t="array" ref="S115" xml:space="preserve"> INDEX( tblFilterAll[Region with 50%+ of social stock owned], PeersCritera[[#This Row],[Index]] )</f>
        <v>West Midlands</v>
      </c>
      <c r="T115" s="229" cm="1">
        <f t="array" ref="T115" xml:space="preserve"> INDEX( tblFilterAll[Meets initial criteria], PeersCritera[[#This Row],[Index]] )</f>
        <v>1</v>
      </c>
      <c r="U115" s="241"/>
      <c r="V115" s="230">
        <f>IF( PeersCritera[[#This Row],[RP_Name]] = SelectedProvider, 1, IF( PeersCritera[[#This Row],[Override initial criteria]] = "Include", 1, IF( PeersCritera[[#This Row],[Override initial criteria]] = "Exclude", 0, PeersCritera[[#This Row],[Meets initial criteria]] ) ) )</f>
        <v>1</v>
      </c>
      <c r="W115" s="325">
        <f xml:space="preserve"> MATCH( PeersCritera[[#This Row],[RP_Name]], tblFilterAll[Provider name], 0 )</f>
        <v>100</v>
      </c>
      <c r="Y11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6" spans="2:25" x14ac:dyDescent="0.25">
      <c r="B116" s="327" t="s" vm="101">
        <v>347</v>
      </c>
      <c r="C116" s="218" cm="1" vm="3351">
        <f t="array" ref="C116" xml:space="preserve"> INDEX( tblFilterAll[Total social stock owned], PeersCritera[[#This Row],[Index]] )</f>
        <v>18326</v>
      </c>
      <c r="D116" s="219" cm="1">
        <f t="array" ref="D116" xml:space="preserve"> INDEX( tblFilterAll[% Supported housing (excl. HOP)], PeersCritera[[#This Row],[Index]] )</f>
        <v>1.1748633879781421E-2</v>
      </c>
      <c r="E116" s="220" cm="1">
        <f t="array" ref="E116" xml:space="preserve"> INDEX( tblFilterAll[% Housing for older people], PeersCritera[[#This Row],[Index]] )</f>
        <v>8.0327868852459017E-2</v>
      </c>
      <c r="F116" s="220">
        <f xml:space="preserve"> PeersCritera[[#This Row],[% Supported housing (excl. HOP)]] + PeersCritera[[#This Row],[% Housing for older people]]</f>
        <v>9.2076502732240439E-2</v>
      </c>
      <c r="G116" s="221">
        <f xml:space="preserve"> 1 - PeersCritera[[#This Row],[% Supported &amp; older people]]</f>
        <v>0.90792349726775956</v>
      </c>
      <c r="H116" s="222" t="str" cm="1">
        <f t="array" ref="H116" xml:space="preserve"> INDEX( tblFilterAll[Provider Type], PeersCritera[[#This Row],[Index]] )</f>
        <v>Traditional</v>
      </c>
      <c r="I116" s="223" t="str" cm="1">
        <f t="array" ref="I116" xml:space="preserve"> INDEX( tblFilterAll[LSVT age], PeersCritera[[#This Row],[Index]] )</f>
        <v/>
      </c>
      <c r="J116" s="219" cm="1">
        <f t="array" ref="J116" xml:space="preserve"> INDEX( tblFilterAll[London], PeersCritera[[#This Row],[Index]] )</f>
        <v>0.20618444055944055</v>
      </c>
      <c r="K116" s="220" cm="1">
        <f t="array" ref="K116" xml:space="preserve"> INDEX( tblFilterAll[South East], PeersCritera[[#This Row],[Index]] )</f>
        <v>0.56293706293706292</v>
      </c>
      <c r="L116" s="220" cm="1">
        <f t="array" ref="L116" xml:space="preserve"> INDEX( tblFilterAll[South West], PeersCritera[[#This Row],[Index]] )</f>
        <v>3.8243006993006995E-3</v>
      </c>
      <c r="M116" s="220" cm="1">
        <f t="array" ref="M116" xml:space="preserve"> INDEX( tblFilterAll[East Midlands], PeersCritera[[#This Row],[Index]] )</f>
        <v>0</v>
      </c>
      <c r="N116" s="220" cm="1">
        <f t="array" ref="N116" xml:space="preserve"> INDEX( tblFilterAll[West Midlands], PeersCritera[[#This Row],[Index]] )</f>
        <v>0</v>
      </c>
      <c r="O116" s="220" cm="1">
        <f t="array" ref="O116" xml:space="preserve"> INDEX( tblFilterAll[East of England], PeersCritera[[#This Row],[Index]] )</f>
        <v>0.22705419580419581</v>
      </c>
      <c r="P116" s="220" cm="1">
        <f t="array" ref="P116" xml:space="preserve"> INDEX( tblFilterAll[North East], PeersCritera[[#This Row],[Index]] )</f>
        <v>0</v>
      </c>
      <c r="Q116" s="220" cm="1">
        <f t="array" ref="Q116" xml:space="preserve"> INDEX( tblFilterAll[North West], PeersCritera[[#This Row],[Index]] )</f>
        <v>0</v>
      </c>
      <c r="R116" s="220" cm="1">
        <f t="array" ref="R116" xml:space="preserve"> INDEX( tblFilterAll[Yorkshire &amp; the Humber], PeersCritera[[#This Row],[Index]] )</f>
        <v>0</v>
      </c>
      <c r="S116" s="224" t="str" cm="1">
        <f t="array" ref="S116" xml:space="preserve"> INDEX( tblFilterAll[Region with 50%+ of social stock owned], PeersCritera[[#This Row],[Index]] )</f>
        <v>South East</v>
      </c>
      <c r="T116" s="229" cm="1">
        <f t="array" ref="T116" xml:space="preserve"> INDEX( tblFilterAll[Meets initial criteria], PeersCritera[[#This Row],[Index]] )</f>
        <v>1</v>
      </c>
      <c r="U116" s="241"/>
      <c r="V116" s="230">
        <f>IF( PeersCritera[[#This Row],[RP_Name]] = SelectedProvider, 1, IF( PeersCritera[[#This Row],[Override initial criteria]] = "Include", 1, IF( PeersCritera[[#This Row],[Override initial criteria]] = "Exclude", 0, PeersCritera[[#This Row],[Meets initial criteria]] ) ) )</f>
        <v>1</v>
      </c>
      <c r="W116" s="325">
        <f xml:space="preserve"> MATCH( PeersCritera[[#This Row],[RP_Name]], tblFilterAll[Provider name], 0 )</f>
        <v>101</v>
      </c>
      <c r="Y11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7" spans="2:25" x14ac:dyDescent="0.25">
      <c r="B117" s="327" t="s" vm="102">
        <v>349</v>
      </c>
      <c r="C117" s="218" cm="1" vm="5761">
        <f t="array" ref="C117" xml:space="preserve"> INDEX( tblFilterAll[Total social stock owned], PeersCritera[[#This Row],[Index]] )</f>
        <v>8558</v>
      </c>
      <c r="D117" s="219" cm="1">
        <f t="array" ref="D117" xml:space="preserve"> INDEX( tblFilterAll[% Supported housing (excl. HOP)], PeersCritera[[#This Row],[Index]] )</f>
        <v>7.6070291307937257E-2</v>
      </c>
      <c r="E117" s="220" cm="1">
        <f t="array" ref="E117" xml:space="preserve"> INDEX( tblFilterAll[% Housing for older people], PeersCritera[[#This Row],[Index]] )</f>
        <v>7.2060384479301798E-2</v>
      </c>
      <c r="F117" s="220">
        <f xml:space="preserve"> PeersCritera[[#This Row],[% Supported housing (excl. HOP)]] + PeersCritera[[#This Row],[% Housing for older people]]</f>
        <v>0.14813067578723904</v>
      </c>
      <c r="G117" s="221">
        <f xml:space="preserve"> 1 - PeersCritera[[#This Row],[% Supported &amp; older people]]</f>
        <v>0.85186932421276096</v>
      </c>
      <c r="H117" s="222" t="str" cm="1">
        <f t="array" ref="H117" xml:space="preserve"> INDEX( tblFilterAll[Provider Type], PeersCritera[[#This Row],[Index]] )</f>
        <v>Traditional</v>
      </c>
      <c r="I117" s="223" t="str" cm="1">
        <f t="array" ref="I117" xml:space="preserve"> INDEX( tblFilterAll[LSVT age], PeersCritera[[#This Row],[Index]] )</f>
        <v/>
      </c>
      <c r="J117" s="219" cm="1">
        <f t="array" ref="J117" xml:space="preserve"> INDEX( tblFilterAll[London], PeersCritera[[#This Row],[Index]] )</f>
        <v>0</v>
      </c>
      <c r="K117" s="220" cm="1">
        <f t="array" ref="K117" xml:space="preserve"> INDEX( tblFilterAll[South East], PeersCritera[[#This Row],[Index]] )</f>
        <v>0</v>
      </c>
      <c r="L117" s="220" cm="1">
        <f t="array" ref="L117" xml:space="preserve"> INDEX( tblFilterAll[South West], PeersCritera[[#This Row],[Index]] )</f>
        <v>0</v>
      </c>
      <c r="M117" s="220" cm="1">
        <f t="array" ref="M117" xml:space="preserve"> INDEX( tblFilterAll[East Midlands], PeersCritera[[#This Row],[Index]] )</f>
        <v>0</v>
      </c>
      <c r="N117" s="220" cm="1">
        <f t="array" ref="N117" xml:space="preserve"> INDEX( tblFilterAll[West Midlands], PeersCritera[[#This Row],[Index]] )</f>
        <v>2.3369946249123628E-4</v>
      </c>
      <c r="O117" s="220" cm="1">
        <f t="array" ref="O117" xml:space="preserve"> INDEX( tblFilterAll[East of England], PeersCritera[[#This Row],[Index]] )</f>
        <v>0</v>
      </c>
      <c r="P117" s="220" cm="1">
        <f t="array" ref="P117" xml:space="preserve"> INDEX( tblFilterAll[North East], PeersCritera[[#This Row],[Index]] )</f>
        <v>0</v>
      </c>
      <c r="Q117" s="220" cm="1">
        <f t="array" ref="Q117" xml:space="preserve"> INDEX( tblFilterAll[North West], PeersCritera[[#This Row],[Index]] )</f>
        <v>0.98130404300070107</v>
      </c>
      <c r="R117" s="220" cm="1">
        <f t="array" ref="R117" xml:space="preserve"> INDEX( tblFilterAll[Yorkshire &amp; the Humber], PeersCritera[[#This Row],[Index]] )</f>
        <v>1.8462257536807667E-2</v>
      </c>
      <c r="S117" s="224" t="str" cm="1">
        <f t="array" ref="S117" xml:space="preserve"> INDEX( tblFilterAll[Region with 50%+ of social stock owned], PeersCritera[[#This Row],[Index]] )</f>
        <v>North West</v>
      </c>
      <c r="T117" s="229" cm="1">
        <f t="array" ref="T117" xml:space="preserve"> INDEX( tblFilterAll[Meets initial criteria], PeersCritera[[#This Row],[Index]] )</f>
        <v>1</v>
      </c>
      <c r="U117" s="241"/>
      <c r="V117" s="230">
        <f>IF( PeersCritera[[#This Row],[RP_Name]] = SelectedProvider, 1, IF( PeersCritera[[#This Row],[Override initial criteria]] = "Include", 1, IF( PeersCritera[[#This Row],[Override initial criteria]] = "Exclude", 0, PeersCritera[[#This Row],[Meets initial criteria]] ) ) )</f>
        <v>1</v>
      </c>
      <c r="W117" s="325">
        <f xml:space="preserve"> MATCH( PeersCritera[[#This Row],[RP_Name]], tblFilterAll[Provider name], 0 )</f>
        <v>102</v>
      </c>
      <c r="Y11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8" spans="2:25" x14ac:dyDescent="0.25">
      <c r="B118" s="327" t="s" vm="103">
        <v>351</v>
      </c>
      <c r="C118" s="218" cm="1" vm="1035">
        <f t="array" ref="C118" xml:space="preserve"> INDEX( tblFilterAll[Total social stock owned], PeersCritera[[#This Row],[Index]] )</f>
        <v>1579</v>
      </c>
      <c r="D118" s="219" cm="1">
        <f t="array" ref="D118" xml:space="preserve"> INDEX( tblFilterAll[% Supported housing (excl. HOP)], PeersCritera[[#This Row],[Index]] )</f>
        <v>3.2092426187419767E-2</v>
      </c>
      <c r="E118" s="220" cm="1">
        <f t="array" ref="E118" xml:space="preserve"> INDEX( tblFilterAll[% Housing for older people], PeersCritera[[#This Row],[Index]] )</f>
        <v>0.18421052631578946</v>
      </c>
      <c r="F118" s="220">
        <f xml:space="preserve"> PeersCritera[[#This Row],[% Supported housing (excl. HOP)]] + PeersCritera[[#This Row],[% Housing for older people]]</f>
        <v>0.21630295250320924</v>
      </c>
      <c r="G118" s="221">
        <f xml:space="preserve"> 1 - PeersCritera[[#This Row],[% Supported &amp; older people]]</f>
        <v>0.78369704749679081</v>
      </c>
      <c r="H118" s="222" t="str" cm="1">
        <f t="array" ref="H118" xml:space="preserve"> INDEX( tblFilterAll[Provider Type], PeersCritera[[#This Row],[Index]] )</f>
        <v>Traditional</v>
      </c>
      <c r="I118" s="223" t="str" cm="1">
        <f t="array" ref="I118" xml:space="preserve"> INDEX( tblFilterAll[LSVT age], PeersCritera[[#This Row],[Index]] )</f>
        <v/>
      </c>
      <c r="J118" s="219" cm="1">
        <f t="array" ref="J118" xml:space="preserve"> INDEX( tblFilterAll[London], PeersCritera[[#This Row],[Index]] )</f>
        <v>1.8577834721332478E-2</v>
      </c>
      <c r="K118" s="220" cm="1">
        <f t="array" ref="K118" xml:space="preserve"> INDEX( tblFilterAll[South East], PeersCritera[[#This Row],[Index]] )</f>
        <v>0.98142216527866755</v>
      </c>
      <c r="L118" s="220" cm="1">
        <f t="array" ref="L118" xml:space="preserve"> INDEX( tblFilterAll[South West], PeersCritera[[#This Row],[Index]] )</f>
        <v>0</v>
      </c>
      <c r="M118" s="220" cm="1">
        <f t="array" ref="M118" xml:space="preserve"> INDEX( tblFilterAll[East Midlands], PeersCritera[[#This Row],[Index]] )</f>
        <v>0</v>
      </c>
      <c r="N118" s="220" cm="1">
        <f t="array" ref="N118" xml:space="preserve"> INDEX( tblFilterAll[West Midlands], PeersCritera[[#This Row],[Index]] )</f>
        <v>0</v>
      </c>
      <c r="O118" s="220" cm="1">
        <f t="array" ref="O118" xml:space="preserve"> INDEX( tblFilterAll[East of England], PeersCritera[[#This Row],[Index]] )</f>
        <v>0</v>
      </c>
      <c r="P118" s="220" cm="1">
        <f t="array" ref="P118" xml:space="preserve"> INDEX( tblFilterAll[North East], PeersCritera[[#This Row],[Index]] )</f>
        <v>0</v>
      </c>
      <c r="Q118" s="220" cm="1">
        <f t="array" ref="Q118" xml:space="preserve"> INDEX( tblFilterAll[North West], PeersCritera[[#This Row],[Index]] )</f>
        <v>0</v>
      </c>
      <c r="R118" s="220" cm="1">
        <f t="array" ref="R118" xml:space="preserve"> INDEX( tblFilterAll[Yorkshire &amp; the Humber], PeersCritera[[#This Row],[Index]] )</f>
        <v>0</v>
      </c>
      <c r="S118" s="224" t="str" cm="1">
        <f t="array" ref="S118" xml:space="preserve"> INDEX( tblFilterAll[Region with 50%+ of social stock owned], PeersCritera[[#This Row],[Index]] )</f>
        <v>South East</v>
      </c>
      <c r="T118" s="229" cm="1">
        <f t="array" ref="T118" xml:space="preserve"> INDEX( tblFilterAll[Meets initial criteria], PeersCritera[[#This Row],[Index]] )</f>
        <v>1</v>
      </c>
      <c r="U118" s="241"/>
      <c r="V118" s="230">
        <f>IF( PeersCritera[[#This Row],[RP_Name]] = SelectedProvider, 1, IF( PeersCritera[[#This Row],[Override initial criteria]] = "Include", 1, IF( PeersCritera[[#This Row],[Override initial criteria]] = "Exclude", 0, PeersCritera[[#This Row],[Meets initial criteria]] ) ) )</f>
        <v>1</v>
      </c>
      <c r="W118" s="325">
        <f xml:space="preserve"> MATCH( PeersCritera[[#This Row],[RP_Name]], tblFilterAll[Provider name], 0 )</f>
        <v>103</v>
      </c>
      <c r="Y11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19" spans="2:25" x14ac:dyDescent="0.25">
      <c r="B119" s="327" t="s" vm="104">
        <v>353</v>
      </c>
      <c r="C119" s="218" cm="1" vm="5677">
        <f t="array" ref="C119" xml:space="preserve"> INDEX( tblFilterAll[Total social stock owned], PeersCritera[[#This Row],[Index]] )</f>
        <v>5600</v>
      </c>
      <c r="D119" s="219" cm="1">
        <f t="array" ref="D119" xml:space="preserve"> INDEX( tblFilterAll[% Supported housing (excl. HOP)], PeersCritera[[#This Row],[Index]] )</f>
        <v>6.5667380442541043E-2</v>
      </c>
      <c r="E119" s="220" cm="1">
        <f t="array" ref="E119" xml:space="preserve"> INDEX( tblFilterAll[% Housing for older people], PeersCritera[[#This Row],[Index]] )</f>
        <v>3.6045681655960025E-2</v>
      </c>
      <c r="F119" s="220">
        <f xml:space="preserve"> PeersCritera[[#This Row],[% Supported housing (excl. HOP)]] + PeersCritera[[#This Row],[% Housing for older people]]</f>
        <v>0.10171306209850106</v>
      </c>
      <c r="G119" s="221">
        <f xml:space="preserve"> 1 - PeersCritera[[#This Row],[% Supported &amp; older people]]</f>
        <v>0.89828693790149894</v>
      </c>
      <c r="H119" s="222" t="str" cm="1">
        <f t="array" ref="H119" xml:space="preserve"> INDEX( tblFilterAll[Provider Type], PeersCritera[[#This Row],[Index]] )</f>
        <v>Traditional</v>
      </c>
      <c r="I119" s="223" t="str" cm="1">
        <f t="array" ref="I119" xml:space="preserve"> INDEX( tblFilterAll[LSVT age], PeersCritera[[#This Row],[Index]] )</f>
        <v/>
      </c>
      <c r="J119" s="219" cm="1">
        <f t="array" ref="J119" xml:space="preserve"> INDEX( tblFilterAll[London], PeersCritera[[#This Row],[Index]] )</f>
        <v>0</v>
      </c>
      <c r="K119" s="220" cm="1">
        <f t="array" ref="K119" xml:space="preserve"> INDEX( tblFilterAll[South East], PeersCritera[[#This Row],[Index]] )</f>
        <v>1.1380057803468208E-2</v>
      </c>
      <c r="L119" s="220" cm="1">
        <f t="array" ref="L119" xml:space="preserve"> INDEX( tblFilterAll[South West], PeersCritera[[#This Row],[Index]] )</f>
        <v>0</v>
      </c>
      <c r="M119" s="220" cm="1">
        <f t="array" ref="M119" xml:space="preserve"> INDEX( tblFilterAll[East Midlands], PeersCritera[[#This Row],[Index]] )</f>
        <v>6.7015895953757232E-2</v>
      </c>
      <c r="N119" s="220" cm="1">
        <f t="array" ref="N119" xml:space="preserve"> INDEX( tblFilterAll[West Midlands], PeersCritera[[#This Row],[Index]] )</f>
        <v>1.1199421965317919E-2</v>
      </c>
      <c r="O119" s="220" cm="1">
        <f t="array" ref="O119" xml:space="preserve"> INDEX( tblFilterAll[East of England], PeersCritera[[#This Row],[Index]] )</f>
        <v>0.13890895953757226</v>
      </c>
      <c r="P119" s="220" cm="1">
        <f t="array" ref="P119" xml:space="preserve"> INDEX( tblFilterAll[North East], PeersCritera[[#This Row],[Index]] )</f>
        <v>0</v>
      </c>
      <c r="Q119" s="220" cm="1">
        <f t="array" ref="Q119" xml:space="preserve"> INDEX( tblFilterAll[North West], PeersCritera[[#This Row],[Index]] )</f>
        <v>0.7322976878612717</v>
      </c>
      <c r="R119" s="220" cm="1">
        <f t="array" ref="R119" xml:space="preserve"> INDEX( tblFilterAll[Yorkshire &amp; the Humber], PeersCritera[[#This Row],[Index]] )</f>
        <v>3.919797687861272E-2</v>
      </c>
      <c r="S119" s="224" t="str" cm="1">
        <f t="array" ref="S119" xml:space="preserve"> INDEX( tblFilterAll[Region with 50%+ of social stock owned], PeersCritera[[#This Row],[Index]] )</f>
        <v>North West</v>
      </c>
      <c r="T119" s="229" cm="1">
        <f t="array" ref="T119" xml:space="preserve"> INDEX( tblFilterAll[Meets initial criteria], PeersCritera[[#This Row],[Index]] )</f>
        <v>1</v>
      </c>
      <c r="U119" s="241"/>
      <c r="V119" s="230">
        <f>IF( PeersCritera[[#This Row],[RP_Name]] = SelectedProvider, 1, IF( PeersCritera[[#This Row],[Override initial criteria]] = "Include", 1, IF( PeersCritera[[#This Row],[Override initial criteria]] = "Exclude", 0, PeersCritera[[#This Row],[Meets initial criteria]] ) ) )</f>
        <v>1</v>
      </c>
      <c r="W119" s="325">
        <f xml:space="preserve"> MATCH( PeersCritera[[#This Row],[RP_Name]], tblFilterAll[Provider name], 0 )</f>
        <v>104</v>
      </c>
      <c r="Y11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0" spans="2:25" x14ac:dyDescent="0.25">
      <c r="B120" s="327" t="s" vm="105">
        <v>355</v>
      </c>
      <c r="C120" s="218" cm="1" vm="8666">
        <f t="array" ref="C120" xml:space="preserve"> INDEX( tblFilterAll[Total social stock owned], PeersCritera[[#This Row],[Index]] )</f>
        <v>1223</v>
      </c>
      <c r="D120" s="219" cm="1">
        <f t="array" ref="D120" xml:space="preserve"> INDEX( tblFilterAll[% Supported housing (excl. HOP)], PeersCritera[[#This Row],[Index]] )</f>
        <v>2.8594771241830064E-2</v>
      </c>
      <c r="E120" s="220" cm="1">
        <f t="array" ref="E120" xml:space="preserve"> INDEX( tblFilterAll[% Housing for older people], PeersCritera[[#This Row],[Index]] )</f>
        <v>0.22058823529411764</v>
      </c>
      <c r="F120" s="220">
        <f xml:space="preserve"> PeersCritera[[#This Row],[% Supported housing (excl. HOP)]] + PeersCritera[[#This Row],[% Housing for older people]]</f>
        <v>0.24918300653594772</v>
      </c>
      <c r="G120" s="221">
        <f xml:space="preserve"> 1 - PeersCritera[[#This Row],[% Supported &amp; older people]]</f>
        <v>0.75081699346405228</v>
      </c>
      <c r="H120" s="222" t="str" cm="1">
        <f t="array" ref="H120" xml:space="preserve"> INDEX( tblFilterAll[Provider Type], PeersCritera[[#This Row],[Index]] )</f>
        <v>Traditional</v>
      </c>
      <c r="I120" s="223" t="str" cm="1">
        <f t="array" ref="I120" xml:space="preserve"> INDEX( tblFilterAll[LSVT age], PeersCritera[[#This Row],[Index]] )</f>
        <v/>
      </c>
      <c r="J120" s="219" cm="1">
        <f t="array" ref="J120" xml:space="preserve"> INDEX( tblFilterAll[London], PeersCritera[[#This Row],[Index]] )</f>
        <v>0</v>
      </c>
      <c r="K120" s="220" cm="1">
        <f t="array" ref="K120" xml:space="preserve"> INDEX( tblFilterAll[South East], PeersCritera[[#This Row],[Index]] )</f>
        <v>0</v>
      </c>
      <c r="L120" s="220" cm="1">
        <f t="array" ref="L120" xml:space="preserve"> INDEX( tblFilterAll[South West], PeersCritera[[#This Row],[Index]] )</f>
        <v>0</v>
      </c>
      <c r="M120" s="220" cm="1">
        <f t="array" ref="M120" xml:space="preserve"> INDEX( tblFilterAll[East Midlands], PeersCritera[[#This Row],[Index]] )</f>
        <v>0</v>
      </c>
      <c r="N120" s="220" cm="1">
        <f t="array" ref="N120" xml:space="preserve"> INDEX( tblFilterAll[West Midlands], PeersCritera[[#This Row],[Index]] )</f>
        <v>1</v>
      </c>
      <c r="O120" s="220" cm="1">
        <f t="array" ref="O120" xml:space="preserve"> INDEX( tblFilterAll[East of England], PeersCritera[[#This Row],[Index]] )</f>
        <v>0</v>
      </c>
      <c r="P120" s="220" cm="1">
        <f t="array" ref="P120" xml:space="preserve"> INDEX( tblFilterAll[North East], PeersCritera[[#This Row],[Index]] )</f>
        <v>0</v>
      </c>
      <c r="Q120" s="220" cm="1">
        <f t="array" ref="Q120" xml:space="preserve"> INDEX( tblFilterAll[North West], PeersCritera[[#This Row],[Index]] )</f>
        <v>0</v>
      </c>
      <c r="R120" s="220" cm="1">
        <f t="array" ref="R120" xml:space="preserve"> INDEX( tblFilterAll[Yorkshire &amp; the Humber], PeersCritera[[#This Row],[Index]] )</f>
        <v>0</v>
      </c>
      <c r="S120" s="224" t="str" cm="1">
        <f t="array" ref="S120" xml:space="preserve"> INDEX( tblFilterAll[Region with 50%+ of social stock owned], PeersCritera[[#This Row],[Index]] )</f>
        <v>West Midlands</v>
      </c>
      <c r="T120" s="229" cm="1">
        <f t="array" ref="T120" xml:space="preserve"> INDEX( tblFilterAll[Meets initial criteria], PeersCritera[[#This Row],[Index]] )</f>
        <v>1</v>
      </c>
      <c r="U120" s="241"/>
      <c r="V120" s="230">
        <f>IF( PeersCritera[[#This Row],[RP_Name]] = SelectedProvider, 1, IF( PeersCritera[[#This Row],[Override initial criteria]] = "Include", 1, IF( PeersCritera[[#This Row],[Override initial criteria]] = "Exclude", 0, PeersCritera[[#This Row],[Meets initial criteria]] ) ) )</f>
        <v>1</v>
      </c>
      <c r="W120" s="325">
        <f xml:space="preserve"> MATCH( PeersCritera[[#This Row],[RP_Name]], tblFilterAll[Provider name], 0 )</f>
        <v>105</v>
      </c>
      <c r="Y12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1" spans="2:25" x14ac:dyDescent="0.25">
      <c r="B121" s="327" t="s" vm="106">
        <v>357</v>
      </c>
      <c r="C121" s="218" cm="1" vm="4950">
        <f t="array" ref="C121" xml:space="preserve"> INDEX( tblFilterAll[Total social stock owned], PeersCritera[[#This Row],[Index]] )</f>
        <v>7436</v>
      </c>
      <c r="D121" s="219" cm="1">
        <f t="array" ref="D121" xml:space="preserve"> INDEX( tblFilterAll[% Supported housing (excl. HOP)], PeersCritera[[#This Row],[Index]] )</f>
        <v>5.2747252747252747E-2</v>
      </c>
      <c r="E121" s="220" cm="1">
        <f t="array" ref="E121" xml:space="preserve"> INDEX( tblFilterAll[% Housing for older people], PeersCritera[[#This Row],[Index]] )</f>
        <v>2.651098901098901E-2</v>
      </c>
      <c r="F121" s="220">
        <f xml:space="preserve"> PeersCritera[[#This Row],[% Supported housing (excl. HOP)]] + PeersCritera[[#This Row],[% Housing for older people]]</f>
        <v>7.9258241758241754E-2</v>
      </c>
      <c r="G121" s="221">
        <f xml:space="preserve"> 1 - PeersCritera[[#This Row],[% Supported &amp; older people]]</f>
        <v>0.9207417582417583</v>
      </c>
      <c r="H121" s="222" t="str" cm="1">
        <f t="array" ref="H121" xml:space="preserve"> INDEX( tblFilterAll[Provider Type], PeersCritera[[#This Row],[Index]] )</f>
        <v>Traditional</v>
      </c>
      <c r="I121" s="223" t="str" cm="1">
        <f t="array" ref="I121" xml:space="preserve"> INDEX( tblFilterAll[LSVT age], PeersCritera[[#This Row],[Index]] )</f>
        <v/>
      </c>
      <c r="J121" s="219" cm="1">
        <f t="array" ref="J121" xml:space="preserve"> INDEX( tblFilterAll[London], PeersCritera[[#This Row],[Index]] )</f>
        <v>1</v>
      </c>
      <c r="K121" s="220" cm="1">
        <f t="array" ref="K121" xml:space="preserve"> INDEX( tblFilterAll[South East], PeersCritera[[#This Row],[Index]] )</f>
        <v>0</v>
      </c>
      <c r="L121" s="220" cm="1">
        <f t="array" ref="L121" xml:space="preserve"> INDEX( tblFilterAll[South West], PeersCritera[[#This Row],[Index]] )</f>
        <v>0</v>
      </c>
      <c r="M121" s="220" cm="1">
        <f t="array" ref="M121" xml:space="preserve"> INDEX( tblFilterAll[East Midlands], PeersCritera[[#This Row],[Index]] )</f>
        <v>0</v>
      </c>
      <c r="N121" s="220" cm="1">
        <f t="array" ref="N121" xml:space="preserve"> INDEX( tblFilterAll[West Midlands], PeersCritera[[#This Row],[Index]] )</f>
        <v>0</v>
      </c>
      <c r="O121" s="220" cm="1">
        <f t="array" ref="O121" xml:space="preserve"> INDEX( tblFilterAll[East of England], PeersCritera[[#This Row],[Index]] )</f>
        <v>0</v>
      </c>
      <c r="P121" s="220" cm="1">
        <f t="array" ref="P121" xml:space="preserve"> INDEX( tblFilterAll[North East], PeersCritera[[#This Row],[Index]] )</f>
        <v>0</v>
      </c>
      <c r="Q121" s="220" cm="1">
        <f t="array" ref="Q121" xml:space="preserve"> INDEX( tblFilterAll[North West], PeersCritera[[#This Row],[Index]] )</f>
        <v>0</v>
      </c>
      <c r="R121" s="220" cm="1">
        <f t="array" ref="R121" xml:space="preserve"> INDEX( tblFilterAll[Yorkshire &amp; the Humber], PeersCritera[[#This Row],[Index]] )</f>
        <v>0</v>
      </c>
      <c r="S121" s="224" t="str" cm="1">
        <f t="array" ref="S121" xml:space="preserve"> INDEX( tblFilterAll[Region with 50%+ of social stock owned], PeersCritera[[#This Row],[Index]] )</f>
        <v>London</v>
      </c>
      <c r="T121" s="229" cm="1">
        <f t="array" ref="T121" xml:space="preserve"> INDEX( tblFilterAll[Meets initial criteria], PeersCritera[[#This Row],[Index]] )</f>
        <v>1</v>
      </c>
      <c r="U121" s="241"/>
      <c r="V121" s="230">
        <f>IF( PeersCritera[[#This Row],[RP_Name]] = SelectedProvider, 1, IF( PeersCritera[[#This Row],[Override initial criteria]] = "Include", 1, IF( PeersCritera[[#This Row],[Override initial criteria]] = "Exclude", 0, PeersCritera[[#This Row],[Meets initial criteria]] ) ) )</f>
        <v>1</v>
      </c>
      <c r="W121" s="325">
        <f xml:space="preserve"> MATCH( PeersCritera[[#This Row],[RP_Name]], tblFilterAll[Provider name], 0 )</f>
        <v>106</v>
      </c>
      <c r="Y12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2" spans="2:25" x14ac:dyDescent="0.25">
      <c r="B122" s="327" t="s" vm="107">
        <v>359</v>
      </c>
      <c r="C122" s="218" cm="1" vm="4349">
        <f t="array" ref="C122" xml:space="preserve"> INDEX( tblFilterAll[Total social stock owned], PeersCritera[[#This Row],[Index]] )</f>
        <v>3332</v>
      </c>
      <c r="D122" s="219" cm="1">
        <f t="array" ref="D122" xml:space="preserve"> INDEX( tblFilterAll[% Supported housing (excl. HOP)], PeersCritera[[#This Row],[Index]] )</f>
        <v>0</v>
      </c>
      <c r="E122" s="220" cm="1">
        <f t="array" ref="E122" xml:space="preserve"> INDEX( tblFilterAll[% Housing for older people], PeersCritera[[#This Row],[Index]] )</f>
        <v>0.15324519230769232</v>
      </c>
      <c r="F122" s="220">
        <f xml:space="preserve"> PeersCritera[[#This Row],[% Supported housing (excl. HOP)]] + PeersCritera[[#This Row],[% Housing for older people]]</f>
        <v>0.15324519230769232</v>
      </c>
      <c r="G122" s="221">
        <f xml:space="preserve"> 1 - PeersCritera[[#This Row],[% Supported &amp; older people]]</f>
        <v>0.84675480769230771</v>
      </c>
      <c r="H122" s="222" t="str" cm="1">
        <f t="array" ref="H122" xml:space="preserve"> INDEX( tblFilterAll[Provider Type], PeersCritera[[#This Row],[Index]] )</f>
        <v>Traditional</v>
      </c>
      <c r="I122" s="223" t="str" cm="1">
        <f t="array" ref="I122" xml:space="preserve"> INDEX( tblFilterAll[LSVT age], PeersCritera[[#This Row],[Index]] )</f>
        <v>&gt;= 12 years</v>
      </c>
      <c r="J122" s="219" cm="1">
        <f t="array" ref="J122" xml:space="preserve"> INDEX( tblFilterAll[London], PeersCritera[[#This Row],[Index]] )</f>
        <v>0</v>
      </c>
      <c r="K122" s="220" cm="1">
        <f t="array" ref="K122" xml:space="preserve"> INDEX( tblFilterAll[South East], PeersCritera[[#This Row],[Index]] )</f>
        <v>0</v>
      </c>
      <c r="L122" s="220" cm="1">
        <f t="array" ref="L122" xml:space="preserve"> INDEX( tblFilterAll[South West], PeersCritera[[#This Row],[Index]] )</f>
        <v>1</v>
      </c>
      <c r="M122" s="220" cm="1">
        <f t="array" ref="M122" xml:space="preserve"> INDEX( tblFilterAll[East Midlands], PeersCritera[[#This Row],[Index]] )</f>
        <v>0</v>
      </c>
      <c r="N122" s="220" cm="1">
        <f t="array" ref="N122" xml:space="preserve"> INDEX( tblFilterAll[West Midlands], PeersCritera[[#This Row],[Index]] )</f>
        <v>0</v>
      </c>
      <c r="O122" s="220" cm="1">
        <f t="array" ref="O122" xml:space="preserve"> INDEX( tblFilterAll[East of England], PeersCritera[[#This Row],[Index]] )</f>
        <v>0</v>
      </c>
      <c r="P122" s="220" cm="1">
        <f t="array" ref="P122" xml:space="preserve"> INDEX( tblFilterAll[North East], PeersCritera[[#This Row],[Index]] )</f>
        <v>0</v>
      </c>
      <c r="Q122" s="220" cm="1">
        <f t="array" ref="Q122" xml:space="preserve"> INDEX( tblFilterAll[North West], PeersCritera[[#This Row],[Index]] )</f>
        <v>0</v>
      </c>
      <c r="R122" s="220" cm="1">
        <f t="array" ref="R122" xml:space="preserve"> INDEX( tblFilterAll[Yorkshire &amp; the Humber], PeersCritera[[#This Row],[Index]] )</f>
        <v>0</v>
      </c>
      <c r="S122" s="224" t="str" cm="1">
        <f t="array" ref="S122" xml:space="preserve"> INDEX( tblFilterAll[Region with 50%+ of social stock owned], PeersCritera[[#This Row],[Index]] )</f>
        <v>South West</v>
      </c>
      <c r="T122" s="229" cm="1">
        <f t="array" ref="T122" xml:space="preserve"> INDEX( tblFilterAll[Meets initial criteria], PeersCritera[[#This Row],[Index]] )</f>
        <v>1</v>
      </c>
      <c r="U122" s="241"/>
      <c r="V122" s="230">
        <f>IF( PeersCritera[[#This Row],[RP_Name]] = SelectedProvider, 1, IF( PeersCritera[[#This Row],[Override initial criteria]] = "Include", 1, IF( PeersCritera[[#This Row],[Override initial criteria]] = "Exclude", 0, PeersCritera[[#This Row],[Meets initial criteria]] ) ) )</f>
        <v>1</v>
      </c>
      <c r="W122" s="325">
        <f xml:space="preserve"> MATCH( PeersCritera[[#This Row],[RP_Name]], tblFilterAll[Provider name], 0 )</f>
        <v>107</v>
      </c>
      <c r="Y12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3" spans="2:25" x14ac:dyDescent="0.25">
      <c r="B123" s="327" t="s" vm="108">
        <v>361</v>
      </c>
      <c r="C123" s="218" cm="1" vm="989">
        <f t="array" ref="C123" xml:space="preserve"> INDEX( tblFilterAll[Total social stock owned], PeersCritera[[#This Row],[Index]] )</f>
        <v>1067</v>
      </c>
      <c r="D123" s="219" cm="1">
        <f t="array" ref="D123" xml:space="preserve"> INDEX( tblFilterAll[% Supported housing (excl. HOP)], PeersCritera[[#This Row],[Index]] )</f>
        <v>0</v>
      </c>
      <c r="E123" s="220" cm="1">
        <f t="array" ref="E123" xml:space="preserve"> INDEX( tblFilterAll[% Housing for older people], PeersCritera[[#This Row],[Index]] )</f>
        <v>0</v>
      </c>
      <c r="F123" s="220">
        <f xml:space="preserve"> PeersCritera[[#This Row],[% Supported housing (excl. HOP)]] + PeersCritera[[#This Row],[% Housing for older people]]</f>
        <v>0</v>
      </c>
      <c r="G123" s="221">
        <f xml:space="preserve"> 1 - PeersCritera[[#This Row],[% Supported &amp; older people]]</f>
        <v>1</v>
      </c>
      <c r="H123" s="222" t="str" cm="1">
        <f t="array" ref="H123" xml:space="preserve"> INDEX( tblFilterAll[Provider Type], PeersCritera[[#This Row],[Index]] )</f>
        <v>Traditional</v>
      </c>
      <c r="I123" s="223" t="str" cm="1">
        <f t="array" ref="I123" xml:space="preserve"> INDEX( tblFilterAll[LSVT age], PeersCritera[[#This Row],[Index]] )</f>
        <v/>
      </c>
      <c r="J123" s="219" cm="1">
        <f t="array" ref="J123" xml:space="preserve"> INDEX( tblFilterAll[London], PeersCritera[[#This Row],[Index]] )</f>
        <v>1</v>
      </c>
      <c r="K123" s="220" cm="1">
        <f t="array" ref="K123" xml:space="preserve"> INDEX( tblFilterAll[South East], PeersCritera[[#This Row],[Index]] )</f>
        <v>0</v>
      </c>
      <c r="L123" s="220" cm="1">
        <f t="array" ref="L123" xml:space="preserve"> INDEX( tblFilterAll[South West], PeersCritera[[#This Row],[Index]] )</f>
        <v>0</v>
      </c>
      <c r="M123" s="220" cm="1">
        <f t="array" ref="M123" xml:space="preserve"> INDEX( tblFilterAll[East Midlands], PeersCritera[[#This Row],[Index]] )</f>
        <v>0</v>
      </c>
      <c r="N123" s="220" cm="1">
        <f t="array" ref="N123" xml:space="preserve"> INDEX( tblFilterAll[West Midlands], PeersCritera[[#This Row],[Index]] )</f>
        <v>0</v>
      </c>
      <c r="O123" s="220" cm="1">
        <f t="array" ref="O123" xml:space="preserve"> INDEX( tblFilterAll[East of England], PeersCritera[[#This Row],[Index]] )</f>
        <v>0</v>
      </c>
      <c r="P123" s="220" cm="1">
        <f t="array" ref="P123" xml:space="preserve"> INDEX( tblFilterAll[North East], PeersCritera[[#This Row],[Index]] )</f>
        <v>0</v>
      </c>
      <c r="Q123" s="220" cm="1">
        <f t="array" ref="Q123" xml:space="preserve"> INDEX( tblFilterAll[North West], PeersCritera[[#This Row],[Index]] )</f>
        <v>0</v>
      </c>
      <c r="R123" s="220" cm="1">
        <f t="array" ref="R123" xml:space="preserve"> INDEX( tblFilterAll[Yorkshire &amp; the Humber], PeersCritera[[#This Row],[Index]] )</f>
        <v>0</v>
      </c>
      <c r="S123" s="224" t="str" cm="1">
        <f t="array" ref="S123" xml:space="preserve"> INDEX( tblFilterAll[Region with 50%+ of social stock owned], PeersCritera[[#This Row],[Index]] )</f>
        <v>London</v>
      </c>
      <c r="T123" s="229" cm="1">
        <f t="array" ref="T123" xml:space="preserve"> INDEX( tblFilterAll[Meets initial criteria], PeersCritera[[#This Row],[Index]] )</f>
        <v>1</v>
      </c>
      <c r="U123" s="241"/>
      <c r="V123" s="230">
        <f>IF( PeersCritera[[#This Row],[RP_Name]] = SelectedProvider, 1, IF( PeersCritera[[#This Row],[Override initial criteria]] = "Include", 1, IF( PeersCritera[[#This Row],[Override initial criteria]] = "Exclude", 0, PeersCritera[[#This Row],[Meets initial criteria]] ) ) )</f>
        <v>1</v>
      </c>
      <c r="W123" s="325">
        <f xml:space="preserve"> MATCH( PeersCritera[[#This Row],[RP_Name]], tblFilterAll[Provider name], 0 )</f>
        <v>108</v>
      </c>
      <c r="Y12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4" spans="2:25" x14ac:dyDescent="0.25">
      <c r="B124" s="327" t="s" vm="109">
        <v>363</v>
      </c>
      <c r="C124" s="218" cm="1" vm="4309">
        <f t="array" ref="C124" xml:space="preserve"> INDEX( tblFilterAll[Total social stock owned], PeersCritera[[#This Row],[Index]] )</f>
        <v>3827</v>
      </c>
      <c r="D124" s="219" cm="1">
        <f t="array" ref="D124" xml:space="preserve"> INDEX( tblFilterAll[% Supported housing (excl. HOP)], PeersCritera[[#This Row],[Index]] )</f>
        <v>0.10559330893883952</v>
      </c>
      <c r="E124" s="220" cm="1">
        <f t="array" ref="E124" xml:space="preserve"> INDEX( tblFilterAll[% Housing for older people], PeersCritera[[#This Row],[Index]] )</f>
        <v>5.0444328280188189E-2</v>
      </c>
      <c r="F124" s="220">
        <f xml:space="preserve"> PeersCritera[[#This Row],[% Supported housing (excl. HOP)]] + PeersCritera[[#This Row],[% Housing for older people]]</f>
        <v>0.15603763721902769</v>
      </c>
      <c r="G124" s="221">
        <f xml:space="preserve"> 1 - PeersCritera[[#This Row],[% Supported &amp; older people]]</f>
        <v>0.84396236278097225</v>
      </c>
      <c r="H124" s="222" t="str" cm="1">
        <f t="array" ref="H124" xml:space="preserve"> INDEX( tblFilterAll[Provider Type], PeersCritera[[#This Row],[Index]] )</f>
        <v>Traditional</v>
      </c>
      <c r="I124" s="223" t="str" cm="1">
        <f t="array" ref="I124" xml:space="preserve"> INDEX( tblFilterAll[LSVT age], PeersCritera[[#This Row],[Index]] )</f>
        <v/>
      </c>
      <c r="J124" s="219" cm="1">
        <f t="array" ref="J124" xml:space="preserve"> INDEX( tblFilterAll[London], PeersCritera[[#This Row],[Index]] )</f>
        <v>0</v>
      </c>
      <c r="K124" s="220" cm="1">
        <f t="array" ref="K124" xml:space="preserve"> INDEX( tblFilterAll[South East], PeersCritera[[#This Row],[Index]] )</f>
        <v>0</v>
      </c>
      <c r="L124" s="220" cm="1">
        <f t="array" ref="L124" xml:space="preserve"> INDEX( tblFilterAll[South West], PeersCritera[[#This Row],[Index]] )</f>
        <v>0</v>
      </c>
      <c r="M124" s="220" cm="1">
        <f t="array" ref="M124" xml:space="preserve"> INDEX( tblFilterAll[East Midlands], PeersCritera[[#This Row],[Index]] )</f>
        <v>0</v>
      </c>
      <c r="N124" s="220" cm="1">
        <f t="array" ref="N124" xml:space="preserve"> INDEX( tblFilterAll[West Midlands], PeersCritera[[#This Row],[Index]] )</f>
        <v>0</v>
      </c>
      <c r="O124" s="220" cm="1">
        <f t="array" ref="O124" xml:space="preserve"> INDEX( tblFilterAll[East of England], PeersCritera[[#This Row],[Index]] )</f>
        <v>0</v>
      </c>
      <c r="P124" s="220" cm="1">
        <f t="array" ref="P124" xml:space="preserve"> INDEX( tblFilterAll[North East], PeersCritera[[#This Row],[Index]] )</f>
        <v>0.97358786610878656</v>
      </c>
      <c r="Q124" s="220" cm="1">
        <f t="array" ref="Q124" xml:space="preserve"> INDEX( tblFilterAll[North West], PeersCritera[[#This Row],[Index]] )</f>
        <v>0</v>
      </c>
      <c r="R124" s="220" cm="1">
        <f t="array" ref="R124" xml:space="preserve"> INDEX( tblFilterAll[Yorkshire &amp; the Humber], PeersCritera[[#This Row],[Index]] )</f>
        <v>2.6412133891213389E-2</v>
      </c>
      <c r="S124" s="224" t="str" cm="1">
        <f t="array" ref="S124" xml:space="preserve"> INDEX( tblFilterAll[Region with 50%+ of social stock owned], PeersCritera[[#This Row],[Index]] )</f>
        <v>North East</v>
      </c>
      <c r="T124" s="229" cm="1">
        <f t="array" ref="T124" xml:space="preserve"> INDEX( tblFilterAll[Meets initial criteria], PeersCritera[[#This Row],[Index]] )</f>
        <v>1</v>
      </c>
      <c r="U124" s="241"/>
      <c r="V124" s="230">
        <f>IF( PeersCritera[[#This Row],[RP_Name]] = SelectedProvider, 1, IF( PeersCritera[[#This Row],[Override initial criteria]] = "Include", 1, IF( PeersCritera[[#This Row],[Override initial criteria]] = "Exclude", 0, PeersCritera[[#This Row],[Meets initial criteria]] ) ) )</f>
        <v>1</v>
      </c>
      <c r="W124" s="325">
        <f xml:space="preserve"> MATCH( PeersCritera[[#This Row],[RP_Name]], tblFilterAll[Provider name], 0 )</f>
        <v>109</v>
      </c>
      <c r="Y12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5" spans="2:25" x14ac:dyDescent="0.25">
      <c r="B125" s="327" t="s" vm="110">
        <v>365</v>
      </c>
      <c r="C125" s="218" cm="1" vm="1448">
        <f t="array" ref="C125" xml:space="preserve"> INDEX( tblFilterAll[Total social stock owned], PeersCritera[[#This Row],[Index]] )</f>
        <v>50459</v>
      </c>
      <c r="D125" s="219" cm="1">
        <f t="array" ref="D125" xml:space="preserve"> INDEX( tblFilterAll[% Supported housing (excl. HOP)], PeersCritera[[#This Row],[Index]] )</f>
        <v>4.8052228125551398E-2</v>
      </c>
      <c r="E125" s="220" cm="1">
        <f t="array" ref="E125" xml:space="preserve"> INDEX( tblFilterAll[% Housing for older people], PeersCritera[[#This Row],[Index]] )</f>
        <v>3.3524810320152136E-2</v>
      </c>
      <c r="F125" s="220">
        <f xml:space="preserve"> PeersCritera[[#This Row],[% Supported housing (excl. HOP)]] + PeersCritera[[#This Row],[% Housing for older people]]</f>
        <v>8.1577038445703534E-2</v>
      </c>
      <c r="G125" s="221">
        <f xml:space="preserve"> 1 - PeersCritera[[#This Row],[% Supported &amp; older people]]</f>
        <v>0.91842296155429648</v>
      </c>
      <c r="H125" s="222" t="str" cm="1">
        <f t="array" ref="H125" xml:space="preserve"> INDEX( tblFilterAll[Provider Type], PeersCritera[[#This Row],[Index]] )</f>
        <v>Traditional</v>
      </c>
      <c r="I125" s="223" t="str" cm="1">
        <f t="array" ref="I125" xml:space="preserve"> INDEX( tblFilterAll[LSVT age], PeersCritera[[#This Row],[Index]] )</f>
        <v/>
      </c>
      <c r="J125" s="219" cm="1">
        <f t="array" ref="J125" xml:space="preserve"> INDEX( tblFilterAll[London], PeersCritera[[#This Row],[Index]] )</f>
        <v>0.89620458456122309</v>
      </c>
      <c r="K125" s="220" cm="1">
        <f t="array" ref="K125" xml:space="preserve"> INDEX( tblFilterAll[South East], PeersCritera[[#This Row],[Index]] )</f>
        <v>4.5687387512114083E-3</v>
      </c>
      <c r="L125" s="220" cm="1">
        <f t="array" ref="L125" xml:space="preserve"> INDEX( tblFilterAll[South West], PeersCritera[[#This Row],[Index]] )</f>
        <v>1.5822471865667214E-4</v>
      </c>
      <c r="M125" s="220" cm="1">
        <f t="array" ref="M125" xml:space="preserve"> INDEX( tblFilterAll[East Midlands], PeersCritera[[#This Row],[Index]] )</f>
        <v>0</v>
      </c>
      <c r="N125" s="220" cm="1">
        <f t="array" ref="N125" xml:space="preserve"> INDEX( tblFilterAll[West Midlands], PeersCritera[[#This Row],[Index]] )</f>
        <v>0</v>
      </c>
      <c r="O125" s="220" cm="1">
        <f t="array" ref="O125" xml:space="preserve"> INDEX( tblFilterAll[East of England], PeersCritera[[#This Row],[Index]] )</f>
        <v>9.9028895789244675E-2</v>
      </c>
      <c r="P125" s="220" cm="1">
        <f t="array" ref="P125" xml:space="preserve"> INDEX( tblFilterAll[North East], PeersCritera[[#This Row],[Index]] )</f>
        <v>0</v>
      </c>
      <c r="Q125" s="220" cm="1">
        <f t="array" ref="Q125" xml:space="preserve"> INDEX( tblFilterAll[North West], PeersCritera[[#This Row],[Index]] )</f>
        <v>1.9778089832084018E-5</v>
      </c>
      <c r="R125" s="220" cm="1">
        <f t="array" ref="R125" xml:space="preserve"> INDEX( tblFilterAll[Yorkshire &amp; the Humber], PeersCritera[[#This Row],[Index]] )</f>
        <v>1.9778089832084018E-5</v>
      </c>
      <c r="S125" s="224" t="str" cm="1">
        <f t="array" ref="S125" xml:space="preserve"> INDEX( tblFilterAll[Region with 50%+ of social stock owned], PeersCritera[[#This Row],[Index]] )</f>
        <v>London</v>
      </c>
      <c r="T125" s="229" cm="1">
        <f t="array" ref="T125" xml:space="preserve"> INDEX( tblFilterAll[Meets initial criteria], PeersCritera[[#This Row],[Index]] )</f>
        <v>1</v>
      </c>
      <c r="U125" s="241"/>
      <c r="V125" s="230">
        <f>IF( PeersCritera[[#This Row],[RP_Name]] = SelectedProvider, 1, IF( PeersCritera[[#This Row],[Override initial criteria]] = "Include", 1, IF( PeersCritera[[#This Row],[Override initial criteria]] = "Exclude", 0, PeersCritera[[#This Row],[Meets initial criteria]] ) ) )</f>
        <v>1</v>
      </c>
      <c r="W125" s="325">
        <f xml:space="preserve"> MATCH( PeersCritera[[#This Row],[RP_Name]], tblFilterAll[Provider name], 0 )</f>
        <v>110</v>
      </c>
      <c r="Y12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6" spans="2:25" x14ac:dyDescent="0.25">
      <c r="B126" s="327" t="s" vm="111">
        <v>367</v>
      </c>
      <c r="C126" s="218" cm="1" vm="2335">
        <f t="array" ref="C126" xml:space="preserve"> INDEX( tblFilterAll[Total social stock owned], PeersCritera[[#This Row],[Index]] )</f>
        <v>10024</v>
      </c>
      <c r="D126" s="219" cm="1">
        <f t="array" ref="D126" xml:space="preserve"> INDEX( tblFilterAll[% Supported housing (excl. HOP)], PeersCritera[[#This Row],[Index]] )</f>
        <v>5.8032128514056223E-2</v>
      </c>
      <c r="E126" s="220" cm="1">
        <f t="array" ref="E126" xml:space="preserve"> INDEX( tblFilterAll[% Housing for older people], PeersCritera[[#This Row],[Index]] )</f>
        <v>3.3333333333333333E-2</v>
      </c>
      <c r="F126" s="220">
        <f xml:space="preserve"> PeersCritera[[#This Row],[% Supported housing (excl. HOP)]] + PeersCritera[[#This Row],[% Housing for older people]]</f>
        <v>9.1365461847389556E-2</v>
      </c>
      <c r="G126" s="221">
        <f xml:space="preserve"> 1 - PeersCritera[[#This Row],[% Supported &amp; older people]]</f>
        <v>0.90863453815261042</v>
      </c>
      <c r="H126" s="222" t="str" cm="1">
        <f t="array" ref="H126" xml:space="preserve"> INDEX( tblFilterAll[Provider Type], PeersCritera[[#This Row],[Index]] )</f>
        <v>Traditional</v>
      </c>
      <c r="I126" s="223" t="str" cm="1">
        <f t="array" ref="I126" xml:space="preserve"> INDEX( tblFilterAll[LSVT age], PeersCritera[[#This Row],[Index]] )</f>
        <v/>
      </c>
      <c r="J126" s="219" cm="1">
        <f t="array" ref="J126" xml:space="preserve"> INDEX( tblFilterAll[London], PeersCritera[[#This Row],[Index]] )</f>
        <v>0</v>
      </c>
      <c r="K126" s="220" cm="1">
        <f t="array" ref="K126" xml:space="preserve"> INDEX( tblFilterAll[South East], PeersCritera[[#This Row],[Index]] )</f>
        <v>0</v>
      </c>
      <c r="L126" s="220" cm="1">
        <f t="array" ref="L126" xml:space="preserve"> INDEX( tblFilterAll[South West], PeersCritera[[#This Row],[Index]] )</f>
        <v>0</v>
      </c>
      <c r="M126" s="220" cm="1">
        <f t="array" ref="M126" xml:space="preserve"> INDEX( tblFilterAll[East Midlands], PeersCritera[[#This Row],[Index]] )</f>
        <v>1</v>
      </c>
      <c r="N126" s="220" cm="1">
        <f t="array" ref="N126" xml:space="preserve"> INDEX( tblFilterAll[West Midlands], PeersCritera[[#This Row],[Index]] )</f>
        <v>0</v>
      </c>
      <c r="O126" s="220" cm="1">
        <f t="array" ref="O126" xml:space="preserve"> INDEX( tblFilterAll[East of England], PeersCritera[[#This Row],[Index]] )</f>
        <v>0</v>
      </c>
      <c r="P126" s="220" cm="1">
        <f t="array" ref="P126" xml:space="preserve"> INDEX( tblFilterAll[North East], PeersCritera[[#This Row],[Index]] )</f>
        <v>0</v>
      </c>
      <c r="Q126" s="220" cm="1">
        <f t="array" ref="Q126" xml:space="preserve"> INDEX( tblFilterAll[North West], PeersCritera[[#This Row],[Index]] )</f>
        <v>0</v>
      </c>
      <c r="R126" s="220" cm="1">
        <f t="array" ref="R126" xml:space="preserve"> INDEX( tblFilterAll[Yorkshire &amp; the Humber], PeersCritera[[#This Row],[Index]] )</f>
        <v>0</v>
      </c>
      <c r="S126" s="224" t="str" cm="1">
        <f t="array" ref="S126" xml:space="preserve"> INDEX( tblFilterAll[Region with 50%+ of social stock owned], PeersCritera[[#This Row],[Index]] )</f>
        <v>East Midlands</v>
      </c>
      <c r="T126" s="229" cm="1">
        <f t="array" ref="T126" xml:space="preserve"> INDEX( tblFilterAll[Meets initial criteria], PeersCritera[[#This Row],[Index]] )</f>
        <v>1</v>
      </c>
      <c r="U126" s="241"/>
      <c r="V126" s="230">
        <f>IF( PeersCritera[[#This Row],[RP_Name]] = SelectedProvider, 1, IF( PeersCritera[[#This Row],[Override initial criteria]] = "Include", 1, IF( PeersCritera[[#This Row],[Override initial criteria]] = "Exclude", 0, PeersCritera[[#This Row],[Meets initial criteria]] ) ) )</f>
        <v>1</v>
      </c>
      <c r="W126" s="325">
        <f xml:space="preserve"> MATCH( PeersCritera[[#This Row],[RP_Name]], tblFilterAll[Provider name], 0 )</f>
        <v>111</v>
      </c>
      <c r="Y12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7" spans="2:25" x14ac:dyDescent="0.25">
      <c r="B127" s="327" t="s" vm="112">
        <v>369</v>
      </c>
      <c r="C127" s="218" cm="1" vm="5505">
        <f t="array" ref="C127" xml:space="preserve"> INDEX( tblFilterAll[Total social stock owned], PeersCritera[[#This Row],[Index]] )</f>
        <v>6868</v>
      </c>
      <c r="D127" s="219" cm="1">
        <f t="array" ref="D127" xml:space="preserve"> INDEX( tblFilterAll[% Supported housing (excl. HOP)], PeersCritera[[#This Row],[Index]] )</f>
        <v>6.9229636176167328E-3</v>
      </c>
      <c r="E127" s="220" cm="1">
        <f t="array" ref="E127" xml:space="preserve"> INDEX( tblFilterAll[% Housing for older people], PeersCritera[[#This Row],[Index]] )</f>
        <v>0</v>
      </c>
      <c r="F127" s="220">
        <f xml:space="preserve"> PeersCritera[[#This Row],[% Supported housing (excl. HOP)]] + PeersCritera[[#This Row],[% Housing for older people]]</f>
        <v>6.9229636176167328E-3</v>
      </c>
      <c r="G127" s="221">
        <f xml:space="preserve"> 1 - PeersCritera[[#This Row],[% Supported &amp; older people]]</f>
        <v>0.99307703638238332</v>
      </c>
      <c r="H127" s="222" t="str" cm="1">
        <f t="array" ref="H127" xml:space="preserve"> INDEX( tblFilterAll[Provider Type], PeersCritera[[#This Row],[Index]] )</f>
        <v>Traditional</v>
      </c>
      <c r="I127" s="223" t="str" cm="1">
        <f t="array" ref="I127" xml:space="preserve"> INDEX( tblFilterAll[LSVT age], PeersCritera[[#This Row],[Index]] )</f>
        <v>&gt;= 12 years</v>
      </c>
      <c r="J127" s="219" cm="1">
        <f t="array" ref="J127" xml:space="preserve"> INDEX( tblFilterAll[London], PeersCritera[[#This Row],[Index]] )</f>
        <v>0</v>
      </c>
      <c r="K127" s="220" cm="1">
        <f t="array" ref="K127" xml:space="preserve"> INDEX( tblFilterAll[South East], PeersCritera[[#This Row],[Index]] )</f>
        <v>0</v>
      </c>
      <c r="L127" s="220" cm="1">
        <f t="array" ref="L127" xml:space="preserve"> INDEX( tblFilterAll[South West], PeersCritera[[#This Row],[Index]] )</f>
        <v>1</v>
      </c>
      <c r="M127" s="220" cm="1">
        <f t="array" ref="M127" xml:space="preserve"> INDEX( tblFilterAll[East Midlands], PeersCritera[[#This Row],[Index]] )</f>
        <v>0</v>
      </c>
      <c r="N127" s="220" cm="1">
        <f t="array" ref="N127" xml:space="preserve"> INDEX( tblFilterAll[West Midlands], PeersCritera[[#This Row],[Index]] )</f>
        <v>0</v>
      </c>
      <c r="O127" s="220" cm="1">
        <f t="array" ref="O127" xml:space="preserve"> INDEX( tblFilterAll[East of England], PeersCritera[[#This Row],[Index]] )</f>
        <v>0</v>
      </c>
      <c r="P127" s="220" cm="1">
        <f t="array" ref="P127" xml:space="preserve"> INDEX( tblFilterAll[North East], PeersCritera[[#This Row],[Index]] )</f>
        <v>0</v>
      </c>
      <c r="Q127" s="220" cm="1">
        <f t="array" ref="Q127" xml:space="preserve"> INDEX( tblFilterAll[North West], PeersCritera[[#This Row],[Index]] )</f>
        <v>0</v>
      </c>
      <c r="R127" s="220" cm="1">
        <f t="array" ref="R127" xml:space="preserve"> INDEX( tblFilterAll[Yorkshire &amp; the Humber], PeersCritera[[#This Row],[Index]] )</f>
        <v>0</v>
      </c>
      <c r="S127" s="224" t="str" cm="1">
        <f t="array" ref="S127" xml:space="preserve"> INDEX( tblFilterAll[Region with 50%+ of social stock owned], PeersCritera[[#This Row],[Index]] )</f>
        <v>South West</v>
      </c>
      <c r="T127" s="229" cm="1">
        <f t="array" ref="T127" xml:space="preserve"> INDEX( tblFilterAll[Meets initial criteria], PeersCritera[[#This Row],[Index]] )</f>
        <v>1</v>
      </c>
      <c r="U127" s="241"/>
      <c r="V127" s="230">
        <f>IF( PeersCritera[[#This Row],[RP_Name]] = SelectedProvider, 1, IF( PeersCritera[[#This Row],[Override initial criteria]] = "Include", 1, IF( PeersCritera[[#This Row],[Override initial criteria]] = "Exclude", 0, PeersCritera[[#This Row],[Meets initial criteria]] ) ) )</f>
        <v>1</v>
      </c>
      <c r="W127" s="325">
        <f xml:space="preserve"> MATCH( PeersCritera[[#This Row],[RP_Name]], tblFilterAll[Provider name], 0 )</f>
        <v>112</v>
      </c>
      <c r="Y12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8" spans="2:25" x14ac:dyDescent="0.25">
      <c r="B128" s="327" t="s" vm="113">
        <v>371</v>
      </c>
      <c r="C128" s="218" cm="1" vm="4513">
        <f t="array" ref="C128" xml:space="preserve"> INDEX( tblFilterAll[Total social stock owned], PeersCritera[[#This Row],[Index]] )</f>
        <v>4271</v>
      </c>
      <c r="D128" s="219" cm="1">
        <f t="array" ref="D128" xml:space="preserve"> INDEX( tblFilterAll[% Supported housing (excl. HOP)], PeersCritera[[#This Row],[Index]] )</f>
        <v>2.9635901778154107E-3</v>
      </c>
      <c r="E128" s="220" cm="1">
        <f t="array" ref="E128" xml:space="preserve"> INDEX( tblFilterAll[% Housing for older people], PeersCritera[[#This Row],[Index]] )</f>
        <v>0.13230313293818799</v>
      </c>
      <c r="F128" s="220">
        <f xml:space="preserve"> PeersCritera[[#This Row],[% Supported housing (excl. HOP)]] + PeersCritera[[#This Row],[% Housing for older people]]</f>
        <v>0.13526672311600341</v>
      </c>
      <c r="G128" s="221">
        <f xml:space="preserve"> 1 - PeersCritera[[#This Row],[% Supported &amp; older people]]</f>
        <v>0.86473327688399659</v>
      </c>
      <c r="H128" s="222" t="str" cm="1">
        <f t="array" ref="H128" xml:space="preserve"> INDEX( tblFilterAll[Provider Type], PeersCritera[[#This Row],[Index]] )</f>
        <v>Traditional</v>
      </c>
      <c r="I128" s="223" t="str" cm="1">
        <f t="array" ref="I128" xml:space="preserve"> INDEX( tblFilterAll[LSVT age], PeersCritera[[#This Row],[Index]] )</f>
        <v>&gt;= 12 years</v>
      </c>
      <c r="J128" s="219" cm="1">
        <f t="array" ref="J128" xml:space="preserve"> INDEX( tblFilterAll[London], PeersCritera[[#This Row],[Index]] )</f>
        <v>0</v>
      </c>
      <c r="K128" s="220" cm="1">
        <f t="array" ref="K128" xml:space="preserve"> INDEX( tblFilterAll[South East], PeersCritera[[#This Row],[Index]] )</f>
        <v>0</v>
      </c>
      <c r="L128" s="220" cm="1">
        <f t="array" ref="L128" xml:space="preserve"> INDEX( tblFilterAll[South West], PeersCritera[[#This Row],[Index]] )</f>
        <v>1</v>
      </c>
      <c r="M128" s="220" cm="1">
        <f t="array" ref="M128" xml:space="preserve"> INDEX( tblFilterAll[East Midlands], PeersCritera[[#This Row],[Index]] )</f>
        <v>0</v>
      </c>
      <c r="N128" s="220" cm="1">
        <f t="array" ref="N128" xml:space="preserve"> INDEX( tblFilterAll[West Midlands], PeersCritera[[#This Row],[Index]] )</f>
        <v>0</v>
      </c>
      <c r="O128" s="220" cm="1">
        <f t="array" ref="O128" xml:space="preserve"> INDEX( tblFilterAll[East of England], PeersCritera[[#This Row],[Index]] )</f>
        <v>0</v>
      </c>
      <c r="P128" s="220" cm="1">
        <f t="array" ref="P128" xml:space="preserve"> INDEX( tblFilterAll[North East], PeersCritera[[#This Row],[Index]] )</f>
        <v>0</v>
      </c>
      <c r="Q128" s="220" cm="1">
        <f t="array" ref="Q128" xml:space="preserve"> INDEX( tblFilterAll[North West], PeersCritera[[#This Row],[Index]] )</f>
        <v>0</v>
      </c>
      <c r="R128" s="220" cm="1">
        <f t="array" ref="R128" xml:space="preserve"> INDEX( tblFilterAll[Yorkshire &amp; the Humber], PeersCritera[[#This Row],[Index]] )</f>
        <v>0</v>
      </c>
      <c r="S128" s="224" t="str" cm="1">
        <f t="array" ref="S128" xml:space="preserve"> INDEX( tblFilterAll[Region with 50%+ of social stock owned], PeersCritera[[#This Row],[Index]] )</f>
        <v>South West</v>
      </c>
      <c r="T128" s="229" cm="1">
        <f t="array" ref="T128" xml:space="preserve"> INDEX( tblFilterAll[Meets initial criteria], PeersCritera[[#This Row],[Index]] )</f>
        <v>1</v>
      </c>
      <c r="U128" s="241"/>
      <c r="V128" s="230">
        <f>IF( PeersCritera[[#This Row],[RP_Name]] = SelectedProvider, 1, IF( PeersCritera[[#This Row],[Override initial criteria]] = "Include", 1, IF( PeersCritera[[#This Row],[Override initial criteria]] = "Exclude", 0, PeersCritera[[#This Row],[Meets initial criteria]] ) ) )</f>
        <v>1</v>
      </c>
      <c r="W128" s="325">
        <f xml:space="preserve"> MATCH( PeersCritera[[#This Row],[RP_Name]], tblFilterAll[Provider name], 0 )</f>
        <v>113</v>
      </c>
      <c r="Y12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29" spans="2:25" x14ac:dyDescent="0.25">
      <c r="B129" s="327" t="s" vm="114">
        <v>373</v>
      </c>
      <c r="C129" s="218" cm="1" vm="4986">
        <f t="array" ref="C129" xml:space="preserve"> INDEX( tblFilterAll[Total social stock owned], PeersCritera[[#This Row],[Index]] )</f>
        <v>5050</v>
      </c>
      <c r="D129" s="219" cm="1">
        <f t="array" ref="D129" xml:space="preserve"> INDEX( tblFilterAll[% Supported housing (excl. HOP)], PeersCritera[[#This Row],[Index]] )</f>
        <v>5.120359037127703E-2</v>
      </c>
      <c r="E129" s="220" cm="1">
        <f t="array" ref="E129" xml:space="preserve"> INDEX( tblFilterAll[% Housing for older people], PeersCritera[[#This Row],[Index]] )</f>
        <v>2.7947776417788658E-2</v>
      </c>
      <c r="F129" s="220">
        <f xml:space="preserve"> PeersCritera[[#This Row],[% Supported housing (excl. HOP)]] + PeersCritera[[#This Row],[% Housing for older people]]</f>
        <v>7.9151366789065689E-2</v>
      </c>
      <c r="G129" s="221">
        <f xml:space="preserve"> 1 - PeersCritera[[#This Row],[% Supported &amp; older people]]</f>
        <v>0.92084863321093435</v>
      </c>
      <c r="H129" s="222" t="str" cm="1">
        <f t="array" ref="H129" xml:space="preserve"> INDEX( tblFilterAll[Provider Type], PeersCritera[[#This Row],[Index]] )</f>
        <v>Traditional</v>
      </c>
      <c r="I129" s="223" t="str" cm="1">
        <f t="array" ref="I129" xml:space="preserve"> INDEX( tblFilterAll[LSVT age], PeersCritera[[#This Row],[Index]] )</f>
        <v/>
      </c>
      <c r="J129" s="219" cm="1">
        <f t="array" ref="J129" xml:space="preserve"> INDEX( tblFilterAll[London], PeersCritera[[#This Row],[Index]] )</f>
        <v>1</v>
      </c>
      <c r="K129" s="220" cm="1">
        <f t="array" ref="K129" xml:space="preserve"> INDEX( tblFilterAll[South East], PeersCritera[[#This Row],[Index]] )</f>
        <v>0</v>
      </c>
      <c r="L129" s="220" cm="1">
        <f t="array" ref="L129" xml:space="preserve"> INDEX( tblFilterAll[South West], PeersCritera[[#This Row],[Index]] )</f>
        <v>0</v>
      </c>
      <c r="M129" s="220" cm="1">
        <f t="array" ref="M129" xml:space="preserve"> INDEX( tblFilterAll[East Midlands], PeersCritera[[#This Row],[Index]] )</f>
        <v>0</v>
      </c>
      <c r="N129" s="220" cm="1">
        <f t="array" ref="N129" xml:space="preserve"> INDEX( tblFilterAll[West Midlands], PeersCritera[[#This Row],[Index]] )</f>
        <v>0</v>
      </c>
      <c r="O129" s="220" cm="1">
        <f t="array" ref="O129" xml:space="preserve"> INDEX( tblFilterAll[East of England], PeersCritera[[#This Row],[Index]] )</f>
        <v>0</v>
      </c>
      <c r="P129" s="220" cm="1">
        <f t="array" ref="P129" xml:space="preserve"> INDEX( tblFilterAll[North East], PeersCritera[[#This Row],[Index]] )</f>
        <v>0</v>
      </c>
      <c r="Q129" s="220" cm="1">
        <f t="array" ref="Q129" xml:space="preserve"> INDEX( tblFilterAll[North West], PeersCritera[[#This Row],[Index]] )</f>
        <v>0</v>
      </c>
      <c r="R129" s="220" cm="1">
        <f t="array" ref="R129" xml:space="preserve"> INDEX( tblFilterAll[Yorkshire &amp; the Humber], PeersCritera[[#This Row],[Index]] )</f>
        <v>0</v>
      </c>
      <c r="S129" s="224" t="str" cm="1">
        <f t="array" ref="S129" xml:space="preserve"> INDEX( tblFilterAll[Region with 50%+ of social stock owned], PeersCritera[[#This Row],[Index]] )</f>
        <v>London</v>
      </c>
      <c r="T129" s="229" cm="1">
        <f t="array" ref="T129" xml:space="preserve"> INDEX( tblFilterAll[Meets initial criteria], PeersCritera[[#This Row],[Index]] )</f>
        <v>1</v>
      </c>
      <c r="U129" s="241"/>
      <c r="V129" s="230">
        <f>IF( PeersCritera[[#This Row],[RP_Name]] = SelectedProvider, 1, IF( PeersCritera[[#This Row],[Override initial criteria]] = "Include", 1, IF( PeersCritera[[#This Row],[Override initial criteria]] = "Exclude", 0, PeersCritera[[#This Row],[Meets initial criteria]] ) ) )</f>
        <v>1</v>
      </c>
      <c r="W129" s="325">
        <f xml:space="preserve"> MATCH( PeersCritera[[#This Row],[RP_Name]], tblFilterAll[Provider name], 0 )</f>
        <v>114</v>
      </c>
      <c r="Y12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0" spans="2:25" x14ac:dyDescent="0.25">
      <c r="B130" s="327" t="s" vm="115">
        <v>375</v>
      </c>
      <c r="C130" s="218" cm="1" vm="2495">
        <f t="array" ref="C130" xml:space="preserve"> INDEX( tblFilterAll[Total social stock owned], PeersCritera[[#This Row],[Index]] )</f>
        <v>11888</v>
      </c>
      <c r="D130" s="219" cm="1">
        <f t="array" ref="D130" xml:space="preserve"> INDEX( tblFilterAll[% Supported housing (excl. HOP)], PeersCritera[[#This Row],[Index]] )</f>
        <v>5.0603019313485704E-4</v>
      </c>
      <c r="E130" s="220" cm="1">
        <f t="array" ref="E130" xml:space="preserve"> INDEX( tblFilterAll[% Housing for older people], PeersCritera[[#This Row],[Index]] )</f>
        <v>2.0241207725394283E-2</v>
      </c>
      <c r="F130" s="220">
        <f xml:space="preserve"> PeersCritera[[#This Row],[% Supported housing (excl. HOP)]] + PeersCritera[[#This Row],[% Housing for older people]]</f>
        <v>2.074723791852914E-2</v>
      </c>
      <c r="G130" s="221">
        <f xml:space="preserve"> 1 - PeersCritera[[#This Row],[% Supported &amp; older people]]</f>
        <v>0.97925276208147083</v>
      </c>
      <c r="H130" s="222" t="str" cm="1">
        <f t="array" ref="H130" xml:space="preserve"> INDEX( tblFilterAll[Provider Type], PeersCritera[[#This Row],[Index]] )</f>
        <v>Traditional</v>
      </c>
      <c r="I130" s="223" t="str" cm="1">
        <f t="array" ref="I130" xml:space="preserve"> INDEX( tblFilterAll[LSVT age], PeersCritera[[#This Row],[Index]] )</f>
        <v>&gt;= 12 years</v>
      </c>
      <c r="J130" s="219" cm="1">
        <f t="array" ref="J130" xml:space="preserve"> INDEX( tblFilterAll[London], PeersCritera[[#This Row],[Index]] )</f>
        <v>0</v>
      </c>
      <c r="K130" s="220" cm="1">
        <f t="array" ref="K130" xml:space="preserve"> INDEX( tblFilterAll[South East], PeersCritera[[#This Row],[Index]] )</f>
        <v>0</v>
      </c>
      <c r="L130" s="220" cm="1">
        <f t="array" ref="L130" xml:space="preserve"> INDEX( tblFilterAll[South West], PeersCritera[[#This Row],[Index]] )</f>
        <v>0</v>
      </c>
      <c r="M130" s="220" cm="1">
        <f t="array" ref="M130" xml:space="preserve"> INDEX( tblFilterAll[East Midlands], PeersCritera[[#This Row],[Index]] )</f>
        <v>0</v>
      </c>
      <c r="N130" s="220" cm="1">
        <f t="array" ref="N130" xml:space="preserve"> INDEX( tblFilterAll[West Midlands], PeersCritera[[#This Row],[Index]] )</f>
        <v>0</v>
      </c>
      <c r="O130" s="220" cm="1">
        <f t="array" ref="O130" xml:space="preserve"> INDEX( tblFilterAll[East of England], PeersCritera[[#This Row],[Index]] )</f>
        <v>0</v>
      </c>
      <c r="P130" s="220" cm="1">
        <f t="array" ref="P130" xml:space="preserve"> INDEX( tblFilterAll[North East], PeersCritera[[#This Row],[Index]] )</f>
        <v>0</v>
      </c>
      <c r="Q130" s="220" cm="1">
        <f t="array" ref="Q130" xml:space="preserve"> INDEX( tblFilterAll[North West], PeersCritera[[#This Row],[Index]] )</f>
        <v>1</v>
      </c>
      <c r="R130" s="220" cm="1">
        <f t="array" ref="R130" xml:space="preserve"> INDEX( tblFilterAll[Yorkshire &amp; the Humber], PeersCritera[[#This Row],[Index]] )</f>
        <v>0</v>
      </c>
      <c r="S130" s="224" t="str" cm="1">
        <f t="array" ref="S130" xml:space="preserve"> INDEX( tblFilterAll[Region with 50%+ of social stock owned], PeersCritera[[#This Row],[Index]] )</f>
        <v>North West</v>
      </c>
      <c r="T130" s="229" cm="1">
        <f t="array" ref="T130" xml:space="preserve"> INDEX( tblFilterAll[Meets initial criteria], PeersCritera[[#This Row],[Index]] )</f>
        <v>1</v>
      </c>
      <c r="U130" s="241"/>
      <c r="V130" s="230">
        <f>IF( PeersCritera[[#This Row],[RP_Name]] = SelectedProvider, 1, IF( PeersCritera[[#This Row],[Override initial criteria]] = "Include", 1, IF( PeersCritera[[#This Row],[Override initial criteria]] = "Exclude", 0, PeersCritera[[#This Row],[Meets initial criteria]] ) ) )</f>
        <v>1</v>
      </c>
      <c r="W130" s="325">
        <f xml:space="preserve"> MATCH( PeersCritera[[#This Row],[RP_Name]], tblFilterAll[Provider name], 0 )</f>
        <v>115</v>
      </c>
      <c r="Y13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1" spans="2:25" x14ac:dyDescent="0.25">
      <c r="B131" s="327" t="s" vm="116">
        <v>377</v>
      </c>
      <c r="C131" s="218" cm="1" vm="3243">
        <f t="array" ref="C131" xml:space="preserve"> INDEX( tblFilterAll[Total social stock owned], PeersCritera[[#This Row],[Index]] )</f>
        <v>13007</v>
      </c>
      <c r="D131" s="219" cm="1">
        <f t="array" ref="D131" xml:space="preserve"> INDEX( tblFilterAll[% Supported housing (excl. HOP)], PeersCritera[[#This Row],[Index]] )</f>
        <v>7.5940601677310149E-2</v>
      </c>
      <c r="E131" s="220" cm="1">
        <f t="array" ref="E131" xml:space="preserve"> INDEX( tblFilterAll[% Housing for older people], PeersCritera[[#This Row],[Index]] )</f>
        <v>0</v>
      </c>
      <c r="F131" s="220">
        <f xml:space="preserve"> PeersCritera[[#This Row],[% Supported housing (excl. HOP)]] + PeersCritera[[#This Row],[% Housing for older people]]</f>
        <v>7.5940601677310149E-2</v>
      </c>
      <c r="G131" s="221">
        <f xml:space="preserve"> 1 - PeersCritera[[#This Row],[% Supported &amp; older people]]</f>
        <v>0.92405939832268991</v>
      </c>
      <c r="H131" s="222" t="str" cm="1">
        <f t="array" ref="H131" xml:space="preserve"> INDEX( tblFilterAll[Provider Type], PeersCritera[[#This Row],[Index]] )</f>
        <v>Traditional</v>
      </c>
      <c r="I131" s="223" t="str" cm="1">
        <f t="array" ref="I131" xml:space="preserve"> INDEX( tblFilterAll[LSVT age], PeersCritera[[#This Row],[Index]] )</f>
        <v>&gt;= 12 years</v>
      </c>
      <c r="J131" s="219" cm="1">
        <f t="array" ref="J131" xml:space="preserve"> INDEX( tblFilterAll[London], PeersCritera[[#This Row],[Index]] )</f>
        <v>0</v>
      </c>
      <c r="K131" s="220" cm="1">
        <f t="array" ref="K131" xml:space="preserve"> INDEX( tblFilterAll[South East], PeersCritera[[#This Row],[Index]] )</f>
        <v>0</v>
      </c>
      <c r="L131" s="220" cm="1">
        <f t="array" ref="L131" xml:space="preserve"> INDEX( tblFilterAll[South West], PeersCritera[[#This Row],[Index]] )</f>
        <v>0</v>
      </c>
      <c r="M131" s="220" cm="1">
        <f t="array" ref="M131" xml:space="preserve"> INDEX( tblFilterAll[East Midlands], PeersCritera[[#This Row],[Index]] )</f>
        <v>0</v>
      </c>
      <c r="N131" s="220" cm="1">
        <f t="array" ref="N131" xml:space="preserve"> INDEX( tblFilterAll[West Midlands], PeersCritera[[#This Row],[Index]] )</f>
        <v>0</v>
      </c>
      <c r="O131" s="220" cm="1">
        <f t="array" ref="O131" xml:space="preserve"> INDEX( tblFilterAll[East of England], PeersCritera[[#This Row],[Index]] )</f>
        <v>0</v>
      </c>
      <c r="P131" s="220" cm="1">
        <f t="array" ref="P131" xml:space="preserve"> INDEX( tblFilterAll[North East], PeersCritera[[#This Row],[Index]] )</f>
        <v>0</v>
      </c>
      <c r="Q131" s="220" cm="1">
        <f t="array" ref="Q131" xml:space="preserve"> INDEX( tblFilterAll[North West], PeersCritera[[#This Row],[Index]] )</f>
        <v>1</v>
      </c>
      <c r="R131" s="220" cm="1">
        <f t="array" ref="R131" xml:space="preserve"> INDEX( tblFilterAll[Yorkshire &amp; the Humber], PeersCritera[[#This Row],[Index]] )</f>
        <v>0</v>
      </c>
      <c r="S131" s="224" t="str" cm="1">
        <f t="array" ref="S131" xml:space="preserve"> INDEX( tblFilterAll[Region with 50%+ of social stock owned], PeersCritera[[#This Row],[Index]] )</f>
        <v>North West</v>
      </c>
      <c r="T131" s="229" cm="1">
        <f t="array" ref="T131" xml:space="preserve"> INDEX( tblFilterAll[Meets initial criteria], PeersCritera[[#This Row],[Index]] )</f>
        <v>1</v>
      </c>
      <c r="U131" s="241"/>
      <c r="V131" s="230">
        <f>IF( PeersCritera[[#This Row],[RP_Name]] = SelectedProvider, 1, IF( PeersCritera[[#This Row],[Override initial criteria]] = "Include", 1, IF( PeersCritera[[#This Row],[Override initial criteria]] = "Exclude", 0, PeersCritera[[#This Row],[Meets initial criteria]] ) ) )</f>
        <v>1</v>
      </c>
      <c r="W131" s="325">
        <f xml:space="preserve"> MATCH( PeersCritera[[#This Row],[RP_Name]], tblFilterAll[Provider name], 0 )</f>
        <v>116</v>
      </c>
      <c r="Y13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2" spans="2:25" x14ac:dyDescent="0.25">
      <c r="B132" s="327" t="s" vm="117">
        <v>379</v>
      </c>
      <c r="C132" s="218" cm="1" vm="3390">
        <f t="array" ref="C132" xml:space="preserve"> INDEX( tblFilterAll[Total social stock owned], PeersCritera[[#This Row],[Index]] )</f>
        <v>10289</v>
      </c>
      <c r="D132" s="219" cm="1">
        <f t="array" ref="D132" xml:space="preserve"> INDEX( tblFilterAll[% Supported housing (excl. HOP)], PeersCritera[[#This Row],[Index]] )</f>
        <v>3.5005834305717621E-3</v>
      </c>
      <c r="E132" s="220" cm="1">
        <f t="array" ref="E132" xml:space="preserve"> INDEX( tblFilterAll[% Housing for older people], PeersCritera[[#This Row],[Index]] )</f>
        <v>0</v>
      </c>
      <c r="F132" s="220">
        <f xml:space="preserve"> PeersCritera[[#This Row],[% Supported housing (excl. HOP)]] + PeersCritera[[#This Row],[% Housing for older people]]</f>
        <v>3.5005834305717621E-3</v>
      </c>
      <c r="G132" s="221">
        <f xml:space="preserve"> 1 - PeersCritera[[#This Row],[% Supported &amp; older people]]</f>
        <v>0.9964994165694282</v>
      </c>
      <c r="H132" s="222" t="str" cm="1">
        <f t="array" ref="H132" xml:space="preserve"> INDEX( tblFilterAll[Provider Type], PeersCritera[[#This Row],[Index]] )</f>
        <v>Traditional</v>
      </c>
      <c r="I132" s="223" t="str" cm="1">
        <f t="array" ref="I132" xml:space="preserve"> INDEX( tblFilterAll[LSVT age], PeersCritera[[#This Row],[Index]] )</f>
        <v>&gt;= 12 years</v>
      </c>
      <c r="J132" s="219" cm="1">
        <f t="array" ref="J132" xml:space="preserve"> INDEX( tblFilterAll[London], PeersCritera[[#This Row],[Index]] )</f>
        <v>0</v>
      </c>
      <c r="K132" s="220" cm="1">
        <f t="array" ref="K132" xml:space="preserve"> INDEX( tblFilterAll[South East], PeersCritera[[#This Row],[Index]] )</f>
        <v>0</v>
      </c>
      <c r="L132" s="220" cm="1">
        <f t="array" ref="L132" xml:space="preserve"> INDEX( tblFilterAll[South West], PeersCritera[[#This Row],[Index]] )</f>
        <v>0</v>
      </c>
      <c r="M132" s="220" cm="1">
        <f t="array" ref="M132" xml:space="preserve"> INDEX( tblFilterAll[East Midlands], PeersCritera[[#This Row],[Index]] )</f>
        <v>2.5269705510739624E-2</v>
      </c>
      <c r="N132" s="220" cm="1">
        <f t="array" ref="N132" xml:space="preserve"> INDEX( tblFilterAll[West Midlands], PeersCritera[[#This Row],[Index]] )</f>
        <v>0</v>
      </c>
      <c r="O132" s="220" cm="1">
        <f t="array" ref="O132" xml:space="preserve"> INDEX( tblFilterAll[East of England], PeersCritera[[#This Row],[Index]] )</f>
        <v>0</v>
      </c>
      <c r="P132" s="220" cm="1">
        <f t="array" ref="P132" xml:space="preserve"> INDEX( tblFilterAll[North East], PeersCritera[[#This Row],[Index]] )</f>
        <v>0</v>
      </c>
      <c r="Q132" s="220" cm="1">
        <f t="array" ref="Q132" xml:space="preserve"> INDEX( tblFilterAll[North West], PeersCritera[[#This Row],[Index]] )</f>
        <v>0</v>
      </c>
      <c r="R132" s="220" cm="1">
        <f t="array" ref="R132" xml:space="preserve"> INDEX( tblFilterAll[Yorkshire &amp; the Humber], PeersCritera[[#This Row],[Index]] )</f>
        <v>0.97473029448926041</v>
      </c>
      <c r="S132" s="224" t="str" cm="1">
        <f t="array" ref="S132" xml:space="preserve"> INDEX( tblFilterAll[Region with 50%+ of social stock owned], PeersCritera[[#This Row],[Index]] )</f>
        <v>Yorkshire &amp; the Humber</v>
      </c>
      <c r="T132" s="229" cm="1">
        <f t="array" ref="T132" xml:space="preserve"> INDEX( tblFilterAll[Meets initial criteria], PeersCritera[[#This Row],[Index]] )</f>
        <v>1</v>
      </c>
      <c r="U132" s="241"/>
      <c r="V132" s="230">
        <f>IF( PeersCritera[[#This Row],[RP_Name]] = SelectedProvider, 1, IF( PeersCritera[[#This Row],[Override initial criteria]] = "Include", 1, IF( PeersCritera[[#This Row],[Override initial criteria]] = "Exclude", 0, PeersCritera[[#This Row],[Meets initial criteria]] ) ) )</f>
        <v>1</v>
      </c>
      <c r="W132" s="325">
        <f xml:space="preserve"> MATCH( PeersCritera[[#This Row],[RP_Name]], tblFilterAll[Provider name], 0 )</f>
        <v>117</v>
      </c>
      <c r="Y13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3" spans="2:25" x14ac:dyDescent="0.25">
      <c r="B133" s="327" t="s" vm="118">
        <v>381</v>
      </c>
      <c r="C133" s="218" cm="1" vm="7345">
        <f t="array" ref="C133" xml:space="preserve"> INDEX( tblFilterAll[Total social stock owned], PeersCritera[[#This Row],[Index]] )</f>
        <v>29686</v>
      </c>
      <c r="D133" s="219" cm="1">
        <f t="array" ref="D133" xml:space="preserve"> INDEX( tblFilterAll[% Supported housing (excl. HOP)], PeersCritera[[#This Row],[Index]] )</f>
        <v>6.5031875063244177E-2</v>
      </c>
      <c r="E133" s="220" cm="1">
        <f t="array" ref="E133" xml:space="preserve"> INDEX( tblFilterAll[% Housing for older people], PeersCritera[[#This Row],[Index]] )</f>
        <v>0.13067089418828212</v>
      </c>
      <c r="F133" s="220">
        <f xml:space="preserve"> PeersCritera[[#This Row],[% Supported housing (excl. HOP)]] + PeersCritera[[#This Row],[% Housing for older people]]</f>
        <v>0.1957027692515263</v>
      </c>
      <c r="G133" s="221">
        <f xml:space="preserve"> 1 - PeersCritera[[#This Row],[% Supported &amp; older people]]</f>
        <v>0.8042972307484737</v>
      </c>
      <c r="H133" s="222" t="str" cm="1">
        <f t="array" ref="H133" xml:space="preserve"> INDEX( tblFilterAll[Provider Type], PeersCritera[[#This Row],[Index]] )</f>
        <v>Traditional</v>
      </c>
      <c r="I133" s="223" t="str" cm="1">
        <f t="array" ref="I133" xml:space="preserve"> INDEX( tblFilterAll[LSVT age], PeersCritera[[#This Row],[Index]] )</f>
        <v>&gt;= 12 years</v>
      </c>
      <c r="J133" s="219" cm="1">
        <f t="array" ref="J133" xml:space="preserve"> INDEX( tblFilterAll[London], PeersCritera[[#This Row],[Index]] )</f>
        <v>0</v>
      </c>
      <c r="K133" s="220" cm="1">
        <f t="array" ref="K133" xml:space="preserve"> INDEX( tblFilterAll[South East], PeersCritera[[#This Row],[Index]] )</f>
        <v>0</v>
      </c>
      <c r="L133" s="220" cm="1">
        <f t="array" ref="L133" xml:space="preserve"> INDEX( tblFilterAll[South West], PeersCritera[[#This Row],[Index]] )</f>
        <v>0</v>
      </c>
      <c r="M133" s="220" cm="1">
        <f t="array" ref="M133" xml:space="preserve"> INDEX( tblFilterAll[East Midlands], PeersCritera[[#This Row],[Index]] )</f>
        <v>1.3507125008441954E-4</v>
      </c>
      <c r="N133" s="220" cm="1">
        <f t="array" ref="N133" xml:space="preserve"> INDEX( tblFilterAll[West Midlands], PeersCritera[[#This Row],[Index]] )</f>
        <v>0</v>
      </c>
      <c r="O133" s="220" cm="1">
        <f t="array" ref="O133" xml:space="preserve"> INDEX( tblFilterAll[East of England], PeersCritera[[#This Row],[Index]] )</f>
        <v>0</v>
      </c>
      <c r="P133" s="220" cm="1">
        <f t="array" ref="P133" xml:space="preserve"> INDEX( tblFilterAll[North East], PeersCritera[[#This Row],[Index]] )</f>
        <v>0</v>
      </c>
      <c r="Q133" s="220" cm="1">
        <f t="array" ref="Q133" xml:space="preserve"> INDEX( tblFilterAll[North West], PeersCritera[[#This Row],[Index]] )</f>
        <v>0.99986492874991562</v>
      </c>
      <c r="R133" s="220" cm="1">
        <f t="array" ref="R133" xml:space="preserve"> INDEX( tblFilterAll[Yorkshire &amp; the Humber], PeersCritera[[#This Row],[Index]] )</f>
        <v>0</v>
      </c>
      <c r="S133" s="224" t="str" cm="1">
        <f t="array" ref="S133" xml:space="preserve"> INDEX( tblFilterAll[Region with 50%+ of social stock owned], PeersCritera[[#This Row],[Index]] )</f>
        <v>North West</v>
      </c>
      <c r="T133" s="229" cm="1">
        <f t="array" ref="T133" xml:space="preserve"> INDEX( tblFilterAll[Meets initial criteria], PeersCritera[[#This Row],[Index]] )</f>
        <v>1</v>
      </c>
      <c r="U133" s="241"/>
      <c r="V133" s="230">
        <f>IF( PeersCritera[[#This Row],[RP_Name]] = SelectedProvider, 1, IF( PeersCritera[[#This Row],[Override initial criteria]] = "Include", 1, IF( PeersCritera[[#This Row],[Override initial criteria]] = "Exclude", 0, PeersCritera[[#This Row],[Meets initial criteria]] ) ) )</f>
        <v>1</v>
      </c>
      <c r="W133" s="325">
        <f xml:space="preserve"> MATCH( PeersCritera[[#This Row],[RP_Name]], tblFilterAll[Provider name], 0 )</f>
        <v>118</v>
      </c>
      <c r="Y13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4" spans="2:25" x14ac:dyDescent="0.25">
      <c r="B134" s="327" t="s" vm="119">
        <v>383</v>
      </c>
      <c r="C134" s="218" cm="1" vm="1834">
        <f t="array" ref="C134" xml:space="preserve"> INDEX( tblFilterAll[Total social stock owned], PeersCritera[[#This Row],[Index]] )</f>
        <v>40339</v>
      </c>
      <c r="D134" s="219" cm="1">
        <f t="array" ref="D134" xml:space="preserve"> INDEX( tblFilterAll[% Supported housing (excl. HOP)], PeersCritera[[#This Row],[Index]] )</f>
        <v>1.5823257202567546E-2</v>
      </c>
      <c r="E134" s="220" cm="1">
        <f t="array" ref="E134" xml:space="preserve"> INDEX( tblFilterAll[% Housing for older people], PeersCritera[[#This Row],[Index]] )</f>
        <v>6.7845947156291983E-2</v>
      </c>
      <c r="F134" s="220">
        <f xml:space="preserve"> PeersCritera[[#This Row],[% Supported housing (excl. HOP)]] + PeersCritera[[#This Row],[% Housing for older people]]</f>
        <v>8.3669204358859522E-2</v>
      </c>
      <c r="G134" s="221">
        <f xml:space="preserve"> 1 - PeersCritera[[#This Row],[% Supported &amp; older people]]</f>
        <v>0.91633079564114051</v>
      </c>
      <c r="H134" s="222" t="str" cm="1">
        <f t="array" ref="H134" xml:space="preserve"> INDEX( tblFilterAll[Provider Type], PeersCritera[[#This Row],[Index]] )</f>
        <v>Traditional</v>
      </c>
      <c r="I134" s="223" t="str" cm="1">
        <f t="array" ref="I134" xml:space="preserve"> INDEX( tblFilterAll[LSVT age], PeersCritera[[#This Row],[Index]] )</f>
        <v/>
      </c>
      <c r="J134" s="219" cm="1">
        <f t="array" ref="J134" xml:space="preserve"> INDEX( tblFilterAll[London], PeersCritera[[#This Row],[Index]] )</f>
        <v>0.12815871047737135</v>
      </c>
      <c r="K134" s="220" cm="1">
        <f t="array" ref="K134" xml:space="preserve"> INDEX( tblFilterAll[South East], PeersCritera[[#This Row],[Index]] )</f>
        <v>0.27320520768753875</v>
      </c>
      <c r="L134" s="220" cm="1">
        <f t="array" ref="L134" xml:space="preserve"> INDEX( tblFilterAll[South West], PeersCritera[[#This Row],[Index]] )</f>
        <v>0</v>
      </c>
      <c r="M134" s="220" cm="1">
        <f t="array" ref="M134" xml:space="preserve"> INDEX( tblFilterAll[East Midlands], PeersCritera[[#This Row],[Index]] )</f>
        <v>0.10492250464972101</v>
      </c>
      <c r="N134" s="220" cm="1">
        <f t="array" ref="N134" xml:space="preserve"> INDEX( tblFilterAll[West Midlands], PeersCritera[[#This Row],[Index]] )</f>
        <v>0.34060756354618721</v>
      </c>
      <c r="O134" s="220" cm="1">
        <f t="array" ref="O134" xml:space="preserve"> INDEX( tblFilterAll[East of England], PeersCritera[[#This Row],[Index]] )</f>
        <v>0.15310601363918164</v>
      </c>
      <c r="P134" s="220" cm="1">
        <f t="array" ref="P134" xml:space="preserve"> INDEX( tblFilterAll[North East], PeersCritera[[#This Row],[Index]] )</f>
        <v>0</v>
      </c>
      <c r="Q134" s="220" cm="1">
        <f t="array" ref="Q134" xml:space="preserve"> INDEX( tblFilterAll[North West], PeersCritera[[#This Row],[Index]] )</f>
        <v>0</v>
      </c>
      <c r="R134" s="220" cm="1">
        <f t="array" ref="R134" xml:space="preserve"> INDEX( tblFilterAll[Yorkshire &amp; the Humber], PeersCritera[[#This Row],[Index]] )</f>
        <v>0</v>
      </c>
      <c r="S134" s="224" t="str" cm="1">
        <f t="array" ref="S134" xml:space="preserve"> INDEX( tblFilterAll[Region with 50%+ of social stock owned], PeersCritera[[#This Row],[Index]] )</f>
        <v>Mixed</v>
      </c>
      <c r="T134" s="229" cm="1">
        <f t="array" ref="T134" xml:space="preserve"> INDEX( tblFilterAll[Meets initial criteria], PeersCritera[[#This Row],[Index]] )</f>
        <v>1</v>
      </c>
      <c r="U134" s="241"/>
      <c r="V134" s="230">
        <f>IF( PeersCritera[[#This Row],[RP_Name]] = SelectedProvider, 1, IF( PeersCritera[[#This Row],[Override initial criteria]] = "Include", 1, IF( PeersCritera[[#This Row],[Override initial criteria]] = "Exclude", 0, PeersCritera[[#This Row],[Meets initial criteria]] ) ) )</f>
        <v>1</v>
      </c>
      <c r="W134" s="325">
        <f xml:space="preserve"> MATCH( PeersCritera[[#This Row],[RP_Name]], tblFilterAll[Provider name], 0 )</f>
        <v>119</v>
      </c>
      <c r="Y13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5" spans="2:25" x14ac:dyDescent="0.25">
      <c r="B135" s="327" t="s" vm="120">
        <v>385</v>
      </c>
      <c r="C135" s="218" cm="1" vm="5016">
        <f t="array" ref="C135" xml:space="preserve"> INDEX( tblFilterAll[Total social stock owned], PeersCritera[[#This Row],[Index]] )</f>
        <v>6729</v>
      </c>
      <c r="D135" s="219" cm="1">
        <f t="array" ref="D135" xml:space="preserve"> INDEX( tblFilterAll[% Supported housing (excl. HOP)], PeersCritera[[#This Row],[Index]] )</f>
        <v>4.4390243902439022E-2</v>
      </c>
      <c r="E135" s="220" cm="1">
        <f t="array" ref="E135" xml:space="preserve"> INDEX( tblFilterAll[% Housing for older people], PeersCritera[[#This Row],[Index]] )</f>
        <v>6.5365853658536588E-2</v>
      </c>
      <c r="F135" s="220">
        <f xml:space="preserve"> PeersCritera[[#This Row],[% Supported housing (excl. HOP)]] + PeersCritera[[#This Row],[% Housing for older people]]</f>
        <v>0.10975609756097561</v>
      </c>
      <c r="G135" s="221">
        <f xml:space="preserve"> 1 - PeersCritera[[#This Row],[% Supported &amp; older people]]</f>
        <v>0.8902439024390244</v>
      </c>
      <c r="H135" s="222" t="str" cm="1">
        <f t="array" ref="H135" xml:space="preserve"> INDEX( tblFilterAll[Provider Type], PeersCritera[[#This Row],[Index]] )</f>
        <v>Traditional</v>
      </c>
      <c r="I135" s="223" t="str" cm="1">
        <f t="array" ref="I135" xml:space="preserve"> INDEX( tblFilterAll[LSVT age], PeersCritera[[#This Row],[Index]] )</f>
        <v/>
      </c>
      <c r="J135" s="219" cm="1">
        <f t="array" ref="J135" xml:space="preserve"> INDEX( tblFilterAll[London], PeersCritera[[#This Row],[Index]] )</f>
        <v>0.78719948018193631</v>
      </c>
      <c r="K135" s="220" cm="1">
        <f t="array" ref="K135" xml:space="preserve"> INDEX( tblFilterAll[South East], PeersCritera[[#This Row],[Index]] )</f>
        <v>4.8732943469785572E-4</v>
      </c>
      <c r="L135" s="220" cm="1">
        <f t="array" ref="L135" xml:space="preserve"> INDEX( tblFilterAll[South West], PeersCritera[[#This Row],[Index]] )</f>
        <v>0</v>
      </c>
      <c r="M135" s="220" cm="1">
        <f t="array" ref="M135" xml:space="preserve"> INDEX( tblFilterAll[East Midlands], PeersCritera[[#This Row],[Index]] )</f>
        <v>0</v>
      </c>
      <c r="N135" s="220" cm="1">
        <f t="array" ref="N135" xml:space="preserve"> INDEX( tblFilterAll[West Midlands], PeersCritera[[#This Row],[Index]] )</f>
        <v>0</v>
      </c>
      <c r="O135" s="220" cm="1">
        <f t="array" ref="O135" xml:space="preserve"> INDEX( tblFilterAll[East of England], PeersCritera[[#This Row],[Index]] )</f>
        <v>0.21231319038336582</v>
      </c>
      <c r="P135" s="220" cm="1">
        <f t="array" ref="P135" xml:space="preserve"> INDEX( tblFilterAll[North East], PeersCritera[[#This Row],[Index]] )</f>
        <v>0</v>
      </c>
      <c r="Q135" s="220" cm="1">
        <f t="array" ref="Q135" xml:space="preserve"> INDEX( tblFilterAll[North West], PeersCritera[[#This Row],[Index]] )</f>
        <v>0</v>
      </c>
      <c r="R135" s="220" cm="1">
        <f t="array" ref="R135" xml:space="preserve"> INDEX( tblFilterAll[Yorkshire &amp; the Humber], PeersCritera[[#This Row],[Index]] )</f>
        <v>0</v>
      </c>
      <c r="S135" s="224" t="str" cm="1">
        <f t="array" ref="S135" xml:space="preserve"> INDEX( tblFilterAll[Region with 50%+ of social stock owned], PeersCritera[[#This Row],[Index]] )</f>
        <v>London</v>
      </c>
      <c r="T135" s="229" cm="1">
        <f t="array" ref="T135" xml:space="preserve"> INDEX( tblFilterAll[Meets initial criteria], PeersCritera[[#This Row],[Index]] )</f>
        <v>1</v>
      </c>
      <c r="U135" s="241"/>
      <c r="V135" s="230">
        <f>IF( PeersCritera[[#This Row],[RP_Name]] = SelectedProvider, 1, IF( PeersCritera[[#This Row],[Override initial criteria]] = "Include", 1, IF( PeersCritera[[#This Row],[Override initial criteria]] = "Exclude", 0, PeersCritera[[#This Row],[Meets initial criteria]] ) ) )</f>
        <v>1</v>
      </c>
      <c r="W135" s="325">
        <f xml:space="preserve"> MATCH( PeersCritera[[#This Row],[RP_Name]], tblFilterAll[Provider name], 0 )</f>
        <v>120</v>
      </c>
      <c r="Y13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6" spans="2:25" x14ac:dyDescent="0.25">
      <c r="B136" s="327" t="s" vm="121">
        <v>387</v>
      </c>
      <c r="C136" s="218" cm="1" vm="3607">
        <f t="array" ref="C136" xml:space="preserve"> INDEX( tblFilterAll[Total social stock owned], PeersCritera[[#This Row],[Index]] )</f>
        <v>3847</v>
      </c>
      <c r="D136" s="219" cm="1">
        <f t="array" ref="D136" xml:space="preserve"> INDEX( tblFilterAll[% Supported housing (excl. HOP)], PeersCritera[[#This Row],[Index]] )</f>
        <v>0.10132501948558068</v>
      </c>
      <c r="E136" s="220" cm="1">
        <f t="array" ref="E136" xml:space="preserve"> INDEX( tblFilterAll[% Housing for older people], PeersCritera[[#This Row],[Index]] )</f>
        <v>0.11119771369186801</v>
      </c>
      <c r="F136" s="220">
        <f xml:space="preserve"> PeersCritera[[#This Row],[% Supported housing (excl. HOP)]] + PeersCritera[[#This Row],[% Housing for older people]]</f>
        <v>0.21252273317744869</v>
      </c>
      <c r="G136" s="221">
        <f xml:space="preserve"> 1 - PeersCritera[[#This Row],[% Supported &amp; older people]]</f>
        <v>0.78747726682255137</v>
      </c>
      <c r="H136" s="222" t="str" cm="1">
        <f t="array" ref="H136" xml:space="preserve"> INDEX( tblFilterAll[Provider Type], PeersCritera[[#This Row],[Index]] )</f>
        <v>Traditional</v>
      </c>
      <c r="I136" s="223" t="str" cm="1">
        <f t="array" ref="I136" xml:space="preserve"> INDEX( tblFilterAll[LSVT age], PeersCritera[[#This Row],[Index]] )</f>
        <v/>
      </c>
      <c r="J136" s="219" cm="1">
        <f t="array" ref="J136" xml:space="preserve"> INDEX( tblFilterAll[London], PeersCritera[[#This Row],[Index]] )</f>
        <v>0</v>
      </c>
      <c r="K136" s="220" cm="1">
        <f t="array" ref="K136" xml:space="preserve"> INDEX( tblFilterAll[South East], PeersCritera[[#This Row],[Index]] )</f>
        <v>0</v>
      </c>
      <c r="L136" s="220" cm="1">
        <f t="array" ref="L136" xml:space="preserve"> INDEX( tblFilterAll[South West], PeersCritera[[#This Row],[Index]] )</f>
        <v>0</v>
      </c>
      <c r="M136" s="220" cm="1">
        <f t="array" ref="M136" xml:space="preserve"> INDEX( tblFilterAll[East Midlands], PeersCritera[[#This Row],[Index]] )</f>
        <v>0</v>
      </c>
      <c r="N136" s="220" cm="1">
        <f t="array" ref="N136" xml:space="preserve"> INDEX( tblFilterAll[West Midlands], PeersCritera[[#This Row],[Index]] )</f>
        <v>0</v>
      </c>
      <c r="O136" s="220" cm="1">
        <f t="array" ref="O136" xml:space="preserve"> INDEX( tblFilterAll[East of England], PeersCritera[[#This Row],[Index]] )</f>
        <v>1</v>
      </c>
      <c r="P136" s="220" cm="1">
        <f t="array" ref="P136" xml:space="preserve"> INDEX( tblFilterAll[North East], PeersCritera[[#This Row],[Index]] )</f>
        <v>0</v>
      </c>
      <c r="Q136" s="220" cm="1">
        <f t="array" ref="Q136" xml:space="preserve"> INDEX( tblFilterAll[North West], PeersCritera[[#This Row],[Index]] )</f>
        <v>0</v>
      </c>
      <c r="R136" s="220" cm="1">
        <f t="array" ref="R136" xml:space="preserve"> INDEX( tblFilterAll[Yorkshire &amp; the Humber], PeersCritera[[#This Row],[Index]] )</f>
        <v>0</v>
      </c>
      <c r="S136" s="224" t="str" cm="1">
        <f t="array" ref="S136" xml:space="preserve"> INDEX( tblFilterAll[Region with 50%+ of social stock owned], PeersCritera[[#This Row],[Index]] )</f>
        <v>East of England</v>
      </c>
      <c r="T136" s="229" cm="1">
        <f t="array" ref="T136" xml:space="preserve"> INDEX( tblFilterAll[Meets initial criteria], PeersCritera[[#This Row],[Index]] )</f>
        <v>1</v>
      </c>
      <c r="U136" s="241"/>
      <c r="V136" s="230">
        <f>IF( PeersCritera[[#This Row],[RP_Name]] = SelectedProvider, 1, IF( PeersCritera[[#This Row],[Override initial criteria]] = "Include", 1, IF( PeersCritera[[#This Row],[Override initial criteria]] = "Exclude", 0, PeersCritera[[#This Row],[Meets initial criteria]] ) ) )</f>
        <v>1</v>
      </c>
      <c r="W136" s="325">
        <f xml:space="preserve"> MATCH( PeersCritera[[#This Row],[RP_Name]], tblFilterAll[Provider name], 0 )</f>
        <v>121</v>
      </c>
      <c r="Y13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7" spans="2:25" x14ac:dyDescent="0.25">
      <c r="B137" s="327" t="s" vm="122">
        <v>389</v>
      </c>
      <c r="C137" s="218" cm="1" vm="2897">
        <f t="array" ref="C137" xml:space="preserve"> INDEX( tblFilterAll[Total social stock owned], PeersCritera[[#This Row],[Index]] )</f>
        <v>15020</v>
      </c>
      <c r="D137" s="219" cm="1">
        <f t="array" ref="D137" xml:space="preserve"> INDEX( tblFilterAll[% Supported housing (excl. HOP)], PeersCritera[[#This Row],[Index]] )</f>
        <v>9.1662735054256258E-3</v>
      </c>
      <c r="E137" s="220" cm="1">
        <f t="array" ref="E137" xml:space="preserve"> INDEX( tblFilterAll[% Housing for older people], PeersCritera[[#This Row],[Index]] )</f>
        <v>1.684976747320887E-3</v>
      </c>
      <c r="F137" s="220">
        <f xml:space="preserve"> PeersCritera[[#This Row],[% Supported housing (excl. HOP)]] + PeersCritera[[#This Row],[% Housing for older people]]</f>
        <v>1.0851250252746513E-2</v>
      </c>
      <c r="G137" s="221">
        <f xml:space="preserve"> 1 - PeersCritera[[#This Row],[% Supported &amp; older people]]</f>
        <v>0.98914874974725353</v>
      </c>
      <c r="H137" s="222" t="str" cm="1">
        <f t="array" ref="H137" xml:space="preserve"> INDEX( tblFilterAll[Provider Type], PeersCritera[[#This Row],[Index]] )</f>
        <v>Traditional</v>
      </c>
      <c r="I137" s="223" t="str" cm="1">
        <f t="array" ref="I137" xml:space="preserve"> INDEX( tblFilterAll[LSVT age], PeersCritera[[#This Row],[Index]] )</f>
        <v/>
      </c>
      <c r="J137" s="219" cm="1">
        <f t="array" ref="J137" xml:space="preserve"> INDEX( tblFilterAll[London], PeersCritera[[#This Row],[Index]] )</f>
        <v>5.5157641073699713E-2</v>
      </c>
      <c r="K137" s="220" cm="1">
        <f t="array" ref="K137" xml:space="preserve"> INDEX( tblFilterAll[South East], PeersCritera[[#This Row],[Index]] )</f>
        <v>0.68458397483097932</v>
      </c>
      <c r="L137" s="220" cm="1">
        <f t="array" ref="L137" xml:space="preserve"> INDEX( tblFilterAll[South West], PeersCritera[[#This Row],[Index]] )</f>
        <v>0</v>
      </c>
      <c r="M137" s="220" cm="1">
        <f t="array" ref="M137" xml:space="preserve"> INDEX( tblFilterAll[East Midlands], PeersCritera[[#This Row],[Index]] )</f>
        <v>0</v>
      </c>
      <c r="N137" s="220" cm="1">
        <f t="array" ref="N137" xml:space="preserve"> INDEX( tblFilterAll[West Midlands], PeersCritera[[#This Row],[Index]] )</f>
        <v>0</v>
      </c>
      <c r="O137" s="220" cm="1">
        <f t="array" ref="O137" xml:space="preserve"> INDEX( tblFilterAll[East of England], PeersCritera[[#This Row],[Index]] )</f>
        <v>0.26025838409532098</v>
      </c>
      <c r="P137" s="220" cm="1">
        <f t="array" ref="P137" xml:space="preserve"> INDEX( tblFilterAll[North East], PeersCritera[[#This Row],[Index]] )</f>
        <v>0</v>
      </c>
      <c r="Q137" s="220" cm="1">
        <f t="array" ref="Q137" xml:space="preserve"> INDEX( tblFilterAll[North West], PeersCritera[[#This Row],[Index]] )</f>
        <v>0</v>
      </c>
      <c r="R137" s="220" cm="1">
        <f t="array" ref="R137" xml:space="preserve"> INDEX( tblFilterAll[Yorkshire &amp; the Humber], PeersCritera[[#This Row],[Index]] )</f>
        <v>0</v>
      </c>
      <c r="S137" s="224" t="str" cm="1">
        <f t="array" ref="S137" xml:space="preserve"> INDEX( tblFilterAll[Region with 50%+ of social stock owned], PeersCritera[[#This Row],[Index]] )</f>
        <v>South East</v>
      </c>
      <c r="T137" s="229" cm="1">
        <f t="array" ref="T137" xml:space="preserve"> INDEX( tblFilterAll[Meets initial criteria], PeersCritera[[#This Row],[Index]] )</f>
        <v>1</v>
      </c>
      <c r="U137" s="241"/>
      <c r="V137" s="230">
        <f>IF( PeersCritera[[#This Row],[RP_Name]] = SelectedProvider, 1, IF( PeersCritera[[#This Row],[Override initial criteria]] = "Include", 1, IF( PeersCritera[[#This Row],[Override initial criteria]] = "Exclude", 0, PeersCritera[[#This Row],[Meets initial criteria]] ) ) )</f>
        <v>1</v>
      </c>
      <c r="W137" s="325">
        <f xml:space="preserve"> MATCH( PeersCritera[[#This Row],[RP_Name]], tblFilterAll[Provider name], 0 )</f>
        <v>122</v>
      </c>
      <c r="Y13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8" spans="2:25" x14ac:dyDescent="0.25">
      <c r="B138" s="327" t="s" vm="123">
        <v>391</v>
      </c>
      <c r="C138" s="218" cm="1" vm="4629">
        <f t="array" ref="C138" xml:space="preserve"> INDEX( tblFilterAll[Total social stock owned], PeersCritera[[#This Row],[Index]] )</f>
        <v>21692</v>
      </c>
      <c r="D138" s="219" cm="1">
        <f t="array" ref="D138" xml:space="preserve"> INDEX( tblFilterAll[% Supported housing (excl. HOP)], PeersCritera[[#This Row],[Index]] )</f>
        <v>2.8043870609468276E-2</v>
      </c>
      <c r="E138" s="220" cm="1">
        <f t="array" ref="E138" xml:space="preserve"> INDEX( tblFilterAll[% Housing for older people], PeersCritera[[#This Row],[Index]] )</f>
        <v>0.10532648433523069</v>
      </c>
      <c r="F138" s="220">
        <f xml:space="preserve"> PeersCritera[[#This Row],[% Supported housing (excl. HOP)]] + PeersCritera[[#This Row],[% Housing for older people]]</f>
        <v>0.13337035494469895</v>
      </c>
      <c r="G138" s="221">
        <f xml:space="preserve"> 1 - PeersCritera[[#This Row],[% Supported &amp; older people]]</f>
        <v>0.86662964505530105</v>
      </c>
      <c r="H138" s="222" t="str" cm="1">
        <f t="array" ref="H138" xml:space="preserve"> INDEX( tblFilterAll[Provider Type], PeersCritera[[#This Row],[Index]] )</f>
        <v>Traditional</v>
      </c>
      <c r="I138" s="223" t="str" cm="1">
        <f t="array" ref="I138" xml:space="preserve"> INDEX( tblFilterAll[LSVT age], PeersCritera[[#This Row],[Index]] )</f>
        <v/>
      </c>
      <c r="J138" s="219" cm="1">
        <f t="array" ref="J138" xml:space="preserve"> INDEX( tblFilterAll[London], PeersCritera[[#This Row],[Index]] )</f>
        <v>0.35583815028901733</v>
      </c>
      <c r="K138" s="220" cm="1">
        <f t="array" ref="K138" xml:space="preserve"> INDEX( tblFilterAll[South East], PeersCritera[[#This Row],[Index]] )</f>
        <v>0.26053179190751447</v>
      </c>
      <c r="L138" s="220" cm="1">
        <f t="array" ref="L138" xml:space="preserve"> INDEX( tblFilterAll[South West], PeersCritera[[#This Row],[Index]] )</f>
        <v>0</v>
      </c>
      <c r="M138" s="220" cm="1">
        <f t="array" ref="M138" xml:space="preserve"> INDEX( tblFilterAll[East Midlands], PeersCritera[[#This Row],[Index]] )</f>
        <v>0.36763005780346819</v>
      </c>
      <c r="N138" s="220" cm="1">
        <f t="array" ref="N138" xml:space="preserve"> INDEX( tblFilterAll[West Midlands], PeersCritera[[#This Row],[Index]] )</f>
        <v>1.3364161849710983E-2</v>
      </c>
      <c r="O138" s="220" cm="1">
        <f t="array" ref="O138" xml:space="preserve"> INDEX( tblFilterAll[East of England], PeersCritera[[#This Row],[Index]] )</f>
        <v>2.5895953757225434E-3</v>
      </c>
      <c r="P138" s="220" cm="1">
        <f t="array" ref="P138" xml:space="preserve"> INDEX( tblFilterAll[North East], PeersCritera[[#This Row],[Index]] )</f>
        <v>4.6242774566473991E-5</v>
      </c>
      <c r="Q138" s="220" cm="1">
        <f t="array" ref="Q138" xml:space="preserve"> INDEX( tblFilterAll[North West], PeersCritera[[#This Row],[Index]] )</f>
        <v>0</v>
      </c>
      <c r="R138" s="220" cm="1">
        <f t="array" ref="R138" xml:space="preserve"> INDEX( tblFilterAll[Yorkshire &amp; the Humber], PeersCritera[[#This Row],[Index]] )</f>
        <v>0</v>
      </c>
      <c r="S138" s="224" t="str" cm="1">
        <f t="array" ref="S138" xml:space="preserve"> INDEX( tblFilterAll[Region with 50%+ of social stock owned], PeersCritera[[#This Row],[Index]] )</f>
        <v>Mixed</v>
      </c>
      <c r="T138" s="229" cm="1">
        <f t="array" ref="T138" xml:space="preserve"> INDEX( tblFilterAll[Meets initial criteria], PeersCritera[[#This Row],[Index]] )</f>
        <v>1</v>
      </c>
      <c r="U138" s="241"/>
      <c r="V138" s="230">
        <f>IF( PeersCritera[[#This Row],[RP_Name]] = SelectedProvider, 1, IF( PeersCritera[[#This Row],[Override initial criteria]] = "Include", 1, IF( PeersCritera[[#This Row],[Override initial criteria]] = "Exclude", 0, PeersCritera[[#This Row],[Meets initial criteria]] ) ) )</f>
        <v>1</v>
      </c>
      <c r="W138" s="325">
        <f xml:space="preserve"> MATCH( PeersCritera[[#This Row],[RP_Name]], tblFilterAll[Provider name], 0 )</f>
        <v>123</v>
      </c>
      <c r="Y13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39" spans="2:25" x14ac:dyDescent="0.25">
      <c r="B139" s="327" t="s" vm="124">
        <v>393</v>
      </c>
      <c r="C139" s="218" cm="1" vm="1522">
        <f t="array" ref="C139" xml:space="preserve"> INDEX( tblFilterAll[Total social stock owned], PeersCritera[[#This Row],[Index]] )</f>
        <v>92799</v>
      </c>
      <c r="D139" s="219" cm="1">
        <f t="array" ref="D139" xml:space="preserve"> INDEX( tblFilterAll[% Supported housing (excl. HOP)], PeersCritera[[#This Row],[Index]] )</f>
        <v>3.8766375545851529E-2</v>
      </c>
      <c r="E139" s="220" cm="1">
        <f t="array" ref="E139" xml:space="preserve"> INDEX( tblFilterAll[% Housing for older people], PeersCritera[[#This Row],[Index]] )</f>
        <v>2.836244541484716E-2</v>
      </c>
      <c r="F139" s="220">
        <f xml:space="preserve"> PeersCritera[[#This Row],[% Supported housing (excl. HOP)]] + PeersCritera[[#This Row],[% Housing for older people]]</f>
        <v>6.7128820960698693E-2</v>
      </c>
      <c r="G139" s="221">
        <f xml:space="preserve"> 1 - PeersCritera[[#This Row],[% Supported &amp; older people]]</f>
        <v>0.93287117903930128</v>
      </c>
      <c r="H139" s="222" t="str" cm="1">
        <f t="array" ref="H139" xml:space="preserve"> INDEX( tblFilterAll[Provider Type], PeersCritera[[#This Row],[Index]] )</f>
        <v>Traditional</v>
      </c>
      <c r="I139" s="223" t="str" cm="1">
        <f t="array" ref="I139" xml:space="preserve"> INDEX( tblFilterAll[LSVT age], PeersCritera[[#This Row],[Index]] )</f>
        <v/>
      </c>
      <c r="J139" s="219" cm="1">
        <f t="array" ref="J139" xml:space="preserve"> INDEX( tblFilterAll[London], PeersCritera[[#This Row],[Index]] )</f>
        <v>0.68377649157926801</v>
      </c>
      <c r="K139" s="220" cm="1">
        <f t="array" ref="K139" xml:space="preserve"> INDEX( tblFilterAll[South East], PeersCritera[[#This Row],[Index]] )</f>
        <v>0.19320901692849993</v>
      </c>
      <c r="L139" s="220" cm="1">
        <f t="array" ref="L139" xml:space="preserve"> INDEX( tblFilterAll[South West], PeersCritera[[#This Row],[Index]] )</f>
        <v>6.5276992036206969E-5</v>
      </c>
      <c r="M139" s="220" cm="1">
        <f t="array" ref="M139" xml:space="preserve"> INDEX( tblFilterAll[East Midlands], PeersCritera[[#This Row],[Index]] )</f>
        <v>1.0444318725793115E-3</v>
      </c>
      <c r="N139" s="220" cm="1">
        <f t="array" ref="N139" xml:space="preserve"> INDEX( tblFilterAll[West Midlands], PeersCritera[[#This Row],[Index]] )</f>
        <v>0</v>
      </c>
      <c r="O139" s="220" cm="1">
        <f t="array" ref="O139" xml:space="preserve"> INDEX( tblFilterAll[East of England], PeersCritera[[#This Row],[Index]] )</f>
        <v>0.12189390312894381</v>
      </c>
      <c r="P139" s="220" cm="1">
        <f t="array" ref="P139" xml:space="preserve"> INDEX( tblFilterAll[North East], PeersCritera[[#This Row],[Index]] )</f>
        <v>0</v>
      </c>
      <c r="Q139" s="220" cm="1">
        <f t="array" ref="Q139" xml:space="preserve"> INDEX( tblFilterAll[North West], PeersCritera[[#This Row],[Index]] )</f>
        <v>0</v>
      </c>
      <c r="R139" s="220" cm="1">
        <f t="array" ref="R139" xml:space="preserve"> INDEX( tblFilterAll[Yorkshire &amp; the Humber], PeersCritera[[#This Row],[Index]] )</f>
        <v>1.0879498672701162E-5</v>
      </c>
      <c r="S139" s="224" t="str" cm="1">
        <f t="array" ref="S139" xml:space="preserve"> INDEX( tblFilterAll[Region with 50%+ of social stock owned], PeersCritera[[#This Row],[Index]] )</f>
        <v>London</v>
      </c>
      <c r="T139" s="229" cm="1">
        <f t="array" ref="T139" xml:space="preserve"> INDEX( tblFilterAll[Meets initial criteria], PeersCritera[[#This Row],[Index]] )</f>
        <v>1</v>
      </c>
      <c r="U139" s="241"/>
      <c r="V139" s="230">
        <f>IF( PeersCritera[[#This Row],[RP_Name]] = SelectedProvider, 1, IF( PeersCritera[[#This Row],[Override initial criteria]] = "Include", 1, IF( PeersCritera[[#This Row],[Override initial criteria]] = "Exclude", 0, PeersCritera[[#This Row],[Meets initial criteria]] ) ) )</f>
        <v>1</v>
      </c>
      <c r="W139" s="325">
        <f xml:space="preserve"> MATCH( PeersCritera[[#This Row],[RP_Name]], tblFilterAll[Provider name], 0 )</f>
        <v>124</v>
      </c>
      <c r="Y13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0" spans="2:25" x14ac:dyDescent="0.25">
      <c r="B140" s="327" t="s" vm="125">
        <v>395</v>
      </c>
      <c r="C140" s="218" cm="1" vm="5335">
        <f t="array" ref="C140" xml:space="preserve"> INDEX( tblFilterAll[Total social stock owned], PeersCritera[[#This Row],[Index]] )</f>
        <v>6498</v>
      </c>
      <c r="D140" s="219" cm="1">
        <f t="array" ref="D140" xml:space="preserve"> INDEX( tblFilterAll[% Supported housing (excl. HOP)], PeersCritera[[#This Row],[Index]] )</f>
        <v>0</v>
      </c>
      <c r="E140" s="220" cm="1">
        <f t="array" ref="E140" xml:space="preserve"> INDEX( tblFilterAll[% Housing for older people], PeersCritera[[#This Row],[Index]] )</f>
        <v>0</v>
      </c>
      <c r="F140" s="220">
        <f xml:space="preserve"> PeersCritera[[#This Row],[% Supported housing (excl. HOP)]] + PeersCritera[[#This Row],[% Housing for older people]]</f>
        <v>0</v>
      </c>
      <c r="G140" s="221">
        <f xml:space="preserve"> 1 - PeersCritera[[#This Row],[% Supported &amp; older people]]</f>
        <v>1</v>
      </c>
      <c r="H140" s="222" t="str" cm="1">
        <f t="array" ref="H140" xml:space="preserve"> INDEX( tblFilterAll[Provider Type], PeersCritera[[#This Row],[Index]] )</f>
        <v>Traditional</v>
      </c>
      <c r="I140" s="223" t="str" cm="1">
        <f t="array" ref="I140" xml:space="preserve"> INDEX( tblFilterAll[LSVT age], PeersCritera[[#This Row],[Index]] )</f>
        <v>&gt;= 12 years</v>
      </c>
      <c r="J140" s="219" cm="1">
        <f t="array" ref="J140" xml:space="preserve"> INDEX( tblFilterAll[London], PeersCritera[[#This Row],[Index]] )</f>
        <v>1</v>
      </c>
      <c r="K140" s="220" cm="1">
        <f t="array" ref="K140" xml:space="preserve"> INDEX( tblFilterAll[South East], PeersCritera[[#This Row],[Index]] )</f>
        <v>0</v>
      </c>
      <c r="L140" s="220" cm="1">
        <f t="array" ref="L140" xml:space="preserve"> INDEX( tblFilterAll[South West], PeersCritera[[#This Row],[Index]] )</f>
        <v>0</v>
      </c>
      <c r="M140" s="220" cm="1">
        <f t="array" ref="M140" xml:space="preserve"> INDEX( tblFilterAll[East Midlands], PeersCritera[[#This Row],[Index]] )</f>
        <v>0</v>
      </c>
      <c r="N140" s="220" cm="1">
        <f t="array" ref="N140" xml:space="preserve"> INDEX( tblFilterAll[West Midlands], PeersCritera[[#This Row],[Index]] )</f>
        <v>0</v>
      </c>
      <c r="O140" s="220" cm="1">
        <f t="array" ref="O140" xml:space="preserve"> INDEX( tblFilterAll[East of England], PeersCritera[[#This Row],[Index]] )</f>
        <v>0</v>
      </c>
      <c r="P140" s="220" cm="1">
        <f t="array" ref="P140" xml:space="preserve"> INDEX( tblFilterAll[North East], PeersCritera[[#This Row],[Index]] )</f>
        <v>0</v>
      </c>
      <c r="Q140" s="220" cm="1">
        <f t="array" ref="Q140" xml:space="preserve"> INDEX( tblFilterAll[North West], PeersCritera[[#This Row],[Index]] )</f>
        <v>0</v>
      </c>
      <c r="R140" s="220" cm="1">
        <f t="array" ref="R140" xml:space="preserve"> INDEX( tblFilterAll[Yorkshire &amp; the Humber], PeersCritera[[#This Row],[Index]] )</f>
        <v>0</v>
      </c>
      <c r="S140" s="224" t="str" cm="1">
        <f t="array" ref="S140" xml:space="preserve"> INDEX( tblFilterAll[Region with 50%+ of social stock owned], PeersCritera[[#This Row],[Index]] )</f>
        <v>London</v>
      </c>
      <c r="T140" s="229" cm="1">
        <f t="array" ref="T140" xml:space="preserve"> INDEX( tblFilterAll[Meets initial criteria], PeersCritera[[#This Row],[Index]] )</f>
        <v>1</v>
      </c>
      <c r="U140" s="241"/>
      <c r="V140" s="230">
        <f>IF( PeersCritera[[#This Row],[RP_Name]] = SelectedProvider, 1, IF( PeersCritera[[#This Row],[Override initial criteria]] = "Include", 1, IF( PeersCritera[[#This Row],[Override initial criteria]] = "Exclude", 0, PeersCritera[[#This Row],[Meets initial criteria]] ) ) )</f>
        <v>1</v>
      </c>
      <c r="W140" s="325">
        <f xml:space="preserve"> MATCH( PeersCritera[[#This Row],[RP_Name]], tblFilterAll[Provider name], 0 )</f>
        <v>125</v>
      </c>
      <c r="Y14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1" spans="2:25" x14ac:dyDescent="0.25">
      <c r="B141" s="327" t="s" vm="126">
        <v>397</v>
      </c>
      <c r="C141" s="218" cm="1" vm="1022">
        <f t="array" ref="C141" xml:space="preserve"> INDEX( tblFilterAll[Total social stock owned], PeersCritera[[#This Row],[Index]] )</f>
        <v>1429</v>
      </c>
      <c r="D141" s="219" cm="1">
        <f t="array" ref="D141" xml:space="preserve"> INDEX( tblFilterAll[% Supported housing (excl. HOP)], PeersCritera[[#This Row],[Index]] )</f>
        <v>0</v>
      </c>
      <c r="E141" s="220" cm="1">
        <f t="array" ref="E141" xml:space="preserve"> INDEX( tblFilterAll[% Housing for older people], PeersCritera[[#This Row],[Index]] )</f>
        <v>0.13365990202939118</v>
      </c>
      <c r="F141" s="220">
        <f xml:space="preserve"> PeersCritera[[#This Row],[% Supported housing (excl. HOP)]] + PeersCritera[[#This Row],[% Housing for older people]]</f>
        <v>0.13365990202939118</v>
      </c>
      <c r="G141" s="221">
        <f xml:space="preserve"> 1 - PeersCritera[[#This Row],[% Supported &amp; older people]]</f>
        <v>0.86634009797060885</v>
      </c>
      <c r="H141" s="222" t="str" cm="1">
        <f t="array" ref="H141" xml:space="preserve"> INDEX( tblFilterAll[Provider Type], PeersCritera[[#This Row],[Index]] )</f>
        <v>Traditional</v>
      </c>
      <c r="I141" s="223" t="str" cm="1">
        <f t="array" ref="I141" xml:space="preserve"> INDEX( tblFilterAll[LSVT age], PeersCritera[[#This Row],[Index]] )</f>
        <v/>
      </c>
      <c r="J141" s="219" cm="1">
        <f t="array" ref="J141" xml:space="preserve"> INDEX( tblFilterAll[London], PeersCritera[[#This Row],[Index]] )</f>
        <v>0</v>
      </c>
      <c r="K141" s="220" cm="1">
        <f t="array" ref="K141" xml:space="preserve"> INDEX( tblFilterAll[South East], PeersCritera[[#This Row],[Index]] )</f>
        <v>0</v>
      </c>
      <c r="L141" s="220" cm="1">
        <f t="array" ref="L141" xml:space="preserve"> INDEX( tblFilterAll[South West], PeersCritera[[#This Row],[Index]] )</f>
        <v>0</v>
      </c>
      <c r="M141" s="220" cm="1">
        <f t="array" ref="M141" xml:space="preserve"> INDEX( tblFilterAll[East Midlands], PeersCritera[[#This Row],[Index]] )</f>
        <v>0</v>
      </c>
      <c r="N141" s="220" cm="1">
        <f t="array" ref="N141" xml:space="preserve"> INDEX( tblFilterAll[West Midlands], PeersCritera[[#This Row],[Index]] )</f>
        <v>0</v>
      </c>
      <c r="O141" s="220" cm="1">
        <f t="array" ref="O141" xml:space="preserve"> INDEX( tblFilterAll[East of England], PeersCritera[[#This Row],[Index]] )</f>
        <v>0</v>
      </c>
      <c r="P141" s="220" cm="1">
        <f t="array" ref="P141" xml:space="preserve"> INDEX( tblFilterAll[North East], PeersCritera[[#This Row],[Index]] )</f>
        <v>0</v>
      </c>
      <c r="Q141" s="220" cm="1">
        <f t="array" ref="Q141" xml:space="preserve"> INDEX( tblFilterAll[North West], PeersCritera[[#This Row],[Index]] )</f>
        <v>0</v>
      </c>
      <c r="R141" s="220" cm="1">
        <f t="array" ref="R141" xml:space="preserve"> INDEX( tblFilterAll[Yorkshire &amp; the Humber], PeersCritera[[#This Row],[Index]] )</f>
        <v>1</v>
      </c>
      <c r="S141" s="224" t="str" cm="1">
        <f t="array" ref="S141" xml:space="preserve"> INDEX( tblFilterAll[Region with 50%+ of social stock owned], PeersCritera[[#This Row],[Index]] )</f>
        <v>Yorkshire &amp; the Humber</v>
      </c>
      <c r="T141" s="229" cm="1">
        <f t="array" ref="T141" xml:space="preserve"> INDEX( tblFilterAll[Meets initial criteria], PeersCritera[[#This Row],[Index]] )</f>
        <v>1</v>
      </c>
      <c r="U141" s="241"/>
      <c r="V141" s="230">
        <f>IF( PeersCritera[[#This Row],[RP_Name]] = SelectedProvider, 1, IF( PeersCritera[[#This Row],[Override initial criteria]] = "Include", 1, IF( PeersCritera[[#This Row],[Override initial criteria]] = "Exclude", 0, PeersCritera[[#This Row],[Meets initial criteria]] ) ) )</f>
        <v>1</v>
      </c>
      <c r="W141" s="325">
        <f xml:space="preserve"> MATCH( PeersCritera[[#This Row],[RP_Name]], tblFilterAll[Provider name], 0 )</f>
        <v>126</v>
      </c>
      <c r="Y14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2" spans="2:25" x14ac:dyDescent="0.25">
      <c r="B142" s="327" t="s" vm="127">
        <v>399</v>
      </c>
      <c r="C142" s="218" cm="1" vm="2239">
        <f t="array" ref="C142" xml:space="preserve"> INDEX( tblFilterAll[Total social stock owned], PeersCritera[[#This Row],[Index]] )</f>
        <v>70663</v>
      </c>
      <c r="D142" s="219" cm="1">
        <f t="array" ref="D142" xml:space="preserve"> INDEX( tblFilterAll[% Supported housing (excl. HOP)], PeersCritera[[#This Row],[Index]] )</f>
        <v>4.9455902508297692E-2</v>
      </c>
      <c r="E142" s="220" cm="1">
        <f t="array" ref="E142" xml:space="preserve"> INDEX( tblFilterAll[% Housing for older people], PeersCritera[[#This Row],[Index]] )</f>
        <v>6.6051288825773213E-2</v>
      </c>
      <c r="F142" s="220">
        <f xml:space="preserve"> PeersCritera[[#This Row],[% Supported housing (excl. HOP)]] + PeersCritera[[#This Row],[% Housing for older people]]</f>
        <v>0.1155071913340709</v>
      </c>
      <c r="G142" s="221">
        <f xml:space="preserve"> 1 - PeersCritera[[#This Row],[% Supported &amp; older people]]</f>
        <v>0.88449280866592905</v>
      </c>
      <c r="H142" s="222" t="str" cm="1">
        <f t="array" ref="H142" xml:space="preserve"> INDEX( tblFilterAll[Provider Type], PeersCritera[[#This Row],[Index]] )</f>
        <v>Traditional</v>
      </c>
      <c r="I142" s="223" t="str" cm="1">
        <f t="array" ref="I142" xml:space="preserve"> INDEX( tblFilterAll[LSVT age], PeersCritera[[#This Row],[Index]] )</f>
        <v/>
      </c>
      <c r="J142" s="219" cm="1">
        <f t="array" ref="J142" xml:space="preserve"> INDEX( tblFilterAll[London], PeersCritera[[#This Row],[Index]] )</f>
        <v>4.087922783680753E-2</v>
      </c>
      <c r="K142" s="220" cm="1">
        <f t="array" ref="K142" xml:space="preserve"> INDEX( tblFilterAll[South East], PeersCritera[[#This Row],[Index]] )</f>
        <v>9.5936410090031635E-2</v>
      </c>
      <c r="L142" s="220" cm="1">
        <f t="array" ref="L142" xml:space="preserve"> INDEX( tblFilterAll[South West], PeersCritera[[#This Row],[Index]] )</f>
        <v>5.0871927974693809E-2</v>
      </c>
      <c r="M142" s="220" cm="1">
        <f t="array" ref="M142" xml:space="preserve"> INDEX( tblFilterAll[East Midlands], PeersCritera[[#This Row],[Index]] )</f>
        <v>0.17346094573769161</v>
      </c>
      <c r="N142" s="220" cm="1">
        <f t="array" ref="N142" xml:space="preserve"> INDEX( tblFilterAll[West Midlands], PeersCritera[[#This Row],[Index]] )</f>
        <v>5.1585692270257116E-3</v>
      </c>
      <c r="O142" s="220" cm="1">
        <f t="array" ref="O142" xml:space="preserve"> INDEX( tblFilterAll[East of England], PeersCritera[[#This Row],[Index]] )</f>
        <v>0.1873793495011761</v>
      </c>
      <c r="P142" s="220" cm="1">
        <f t="array" ref="P142" xml:space="preserve"> INDEX( tblFilterAll[North East], PeersCritera[[#This Row],[Index]] )</f>
        <v>8.1060913293860004E-2</v>
      </c>
      <c r="Q142" s="220" cm="1">
        <f t="array" ref="Q142" xml:space="preserve"> INDEX( tblFilterAll[North West], PeersCritera[[#This Row],[Index]] )</f>
        <v>0.20262795036093761</v>
      </c>
      <c r="R142" s="220" cm="1">
        <f t="array" ref="R142" xml:space="preserve"> INDEX( tblFilterAll[Yorkshire &amp; the Humber], PeersCritera[[#This Row],[Index]] )</f>
        <v>0.16262470597777598</v>
      </c>
      <c r="S142" s="224" t="str" cm="1">
        <f t="array" ref="S142" xml:space="preserve"> INDEX( tblFilterAll[Region with 50%+ of social stock owned], PeersCritera[[#This Row],[Index]] )</f>
        <v>Mixed</v>
      </c>
      <c r="T142" s="229" cm="1">
        <f t="array" ref="T142" xml:space="preserve"> INDEX( tblFilterAll[Meets initial criteria], PeersCritera[[#This Row],[Index]] )</f>
        <v>1</v>
      </c>
      <c r="U142" s="241"/>
      <c r="V142" s="230">
        <f>IF( PeersCritera[[#This Row],[RP_Name]] = SelectedProvider, 1, IF( PeersCritera[[#This Row],[Override initial criteria]] = "Include", 1, IF( PeersCritera[[#This Row],[Override initial criteria]] = "Exclude", 0, PeersCritera[[#This Row],[Meets initial criteria]] ) ) )</f>
        <v>1</v>
      </c>
      <c r="W142" s="325">
        <f xml:space="preserve"> MATCH( PeersCritera[[#This Row],[RP_Name]], tblFilterAll[Provider name], 0 )</f>
        <v>127</v>
      </c>
      <c r="Y14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3" spans="2:25" x14ac:dyDescent="0.25">
      <c r="B143" s="327" t="s" vm="128">
        <v>401</v>
      </c>
      <c r="C143" s="218" cm="1" vm="7895">
        <f t="array" ref="C143" xml:space="preserve"> INDEX( tblFilterAll[Total social stock owned], PeersCritera[[#This Row],[Index]] )</f>
        <v>46401</v>
      </c>
      <c r="D143" s="219" cm="1">
        <f t="array" ref="D143" xml:space="preserve"> INDEX( tblFilterAll[% Supported housing (excl. HOP)], PeersCritera[[#This Row],[Index]] )</f>
        <v>7.2223306656256101E-3</v>
      </c>
      <c r="E143" s="220" cm="1">
        <f t="array" ref="E143" xml:space="preserve"> INDEX( tblFilterAll[% Housing for older people], PeersCritera[[#This Row],[Index]] )</f>
        <v>6.4545513696401852E-2</v>
      </c>
      <c r="F143" s="220">
        <f xml:space="preserve"> PeersCritera[[#This Row],[% Supported housing (excl. HOP)]] + PeersCritera[[#This Row],[% Housing for older people]]</f>
        <v>7.1767844362027461E-2</v>
      </c>
      <c r="G143" s="221">
        <f xml:space="preserve"> 1 - PeersCritera[[#This Row],[% Supported &amp; older people]]</f>
        <v>0.92823215563797257</v>
      </c>
      <c r="H143" s="222" t="str" cm="1">
        <f t="array" ref="H143" xml:space="preserve"> INDEX( tblFilterAll[Provider Type], PeersCritera[[#This Row],[Index]] )</f>
        <v>Traditional</v>
      </c>
      <c r="I143" s="223" t="str" cm="1">
        <f t="array" ref="I143" xml:space="preserve"> INDEX( tblFilterAll[LSVT age], PeersCritera[[#This Row],[Index]] )</f>
        <v/>
      </c>
      <c r="J143" s="219" cm="1">
        <f t="array" ref="J143" xml:space="preserve"> INDEX( tblFilterAll[London], PeersCritera[[#This Row],[Index]] )</f>
        <v>0</v>
      </c>
      <c r="K143" s="220" cm="1">
        <f t="array" ref="K143" xml:space="preserve"> INDEX( tblFilterAll[South East], PeersCritera[[#This Row],[Index]] )</f>
        <v>7.3705308075257001E-3</v>
      </c>
      <c r="L143" s="220" cm="1">
        <f t="array" ref="L143" xml:space="preserve"> INDEX( tblFilterAll[South West], PeersCritera[[#This Row],[Index]] )</f>
        <v>7.8015560009482557E-3</v>
      </c>
      <c r="M143" s="220" cm="1">
        <f t="array" ref="M143" xml:space="preserve"> INDEX( tblFilterAll[East Midlands], PeersCritera[[#This Row],[Index]] )</f>
        <v>0.44445162819766815</v>
      </c>
      <c r="N143" s="220" cm="1">
        <f t="array" ref="N143" xml:space="preserve"> INDEX( tblFilterAll[West Midlands], PeersCritera[[#This Row],[Index]] )</f>
        <v>0.53927717075063042</v>
      </c>
      <c r="O143" s="220" cm="1">
        <f t="array" ref="O143" xml:space="preserve"> INDEX( tblFilterAll[East of England], PeersCritera[[#This Row],[Index]] )</f>
        <v>8.6205038684511112E-4</v>
      </c>
      <c r="P143" s="220" cm="1">
        <f t="array" ref="P143" xml:space="preserve"> INDEX( tblFilterAll[North East], PeersCritera[[#This Row],[Index]] )</f>
        <v>0</v>
      </c>
      <c r="Q143" s="220" cm="1">
        <f t="array" ref="Q143" xml:space="preserve"> INDEX( tblFilterAll[North West], PeersCritera[[#This Row],[Index]] )</f>
        <v>2.3706385638240556E-4</v>
      </c>
      <c r="R143" s="220" cm="1">
        <f t="array" ref="R143" xml:space="preserve"> INDEX( tblFilterAll[Yorkshire &amp; the Humber], PeersCritera[[#This Row],[Index]] )</f>
        <v>0</v>
      </c>
      <c r="S143" s="224" t="str" cm="1">
        <f t="array" ref="S143" xml:space="preserve"> INDEX( tblFilterAll[Region with 50%+ of social stock owned], PeersCritera[[#This Row],[Index]] )</f>
        <v>West Midlands</v>
      </c>
      <c r="T143" s="229" cm="1">
        <f t="array" ref="T143" xml:space="preserve"> INDEX( tblFilterAll[Meets initial criteria], PeersCritera[[#This Row],[Index]] )</f>
        <v>1</v>
      </c>
      <c r="U143" s="241"/>
      <c r="V143" s="230">
        <f>IF( PeersCritera[[#This Row],[RP_Name]] = SelectedProvider, 1, IF( PeersCritera[[#This Row],[Override initial criteria]] = "Include", 1, IF( PeersCritera[[#This Row],[Override initial criteria]] = "Exclude", 0, PeersCritera[[#This Row],[Meets initial criteria]] ) ) )</f>
        <v>1</v>
      </c>
      <c r="W143" s="325">
        <f xml:space="preserve"> MATCH( PeersCritera[[#This Row],[RP_Name]], tblFilterAll[Provider name], 0 )</f>
        <v>128</v>
      </c>
      <c r="Y14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4" spans="2:25" x14ac:dyDescent="0.25">
      <c r="B144" s="327" t="s" vm="129">
        <v>403</v>
      </c>
      <c r="C144" s="218" cm="1" vm="8103">
        <f t="array" ref="C144" xml:space="preserve"> INDEX( tblFilterAll[Total social stock owned], PeersCritera[[#This Row],[Index]] )</f>
        <v>13355</v>
      </c>
      <c r="D144" s="219" cm="1">
        <f t="array" ref="D144" xml:space="preserve"> INDEX( tblFilterAll[% Supported housing (excl. HOP)], PeersCritera[[#This Row],[Index]] )</f>
        <v>1.9192537085181219E-2</v>
      </c>
      <c r="E144" s="220" cm="1">
        <f t="array" ref="E144" xml:space="preserve"> INDEX( tblFilterAll[% Housing for older people], PeersCritera[[#This Row],[Index]] )</f>
        <v>2.8750573482183819E-2</v>
      </c>
      <c r="F144" s="220">
        <f xml:space="preserve"> PeersCritera[[#This Row],[% Supported housing (excl. HOP)]] + PeersCritera[[#This Row],[% Housing for older people]]</f>
        <v>4.7943110567365041E-2</v>
      </c>
      <c r="G144" s="221">
        <f xml:space="preserve"> 1 - PeersCritera[[#This Row],[% Supported &amp; older people]]</f>
        <v>0.952056889432635</v>
      </c>
      <c r="H144" s="222" t="str" cm="1">
        <f t="array" ref="H144" xml:space="preserve"> INDEX( tblFilterAll[Provider Type], PeersCritera[[#This Row],[Index]] )</f>
        <v>Traditional</v>
      </c>
      <c r="I144" s="223" t="str" cm="1">
        <f t="array" ref="I144" xml:space="preserve"> INDEX( tblFilterAll[LSVT age], PeersCritera[[#This Row],[Index]] )</f>
        <v/>
      </c>
      <c r="J144" s="219" cm="1">
        <f t="array" ref="J144" xml:space="preserve"> INDEX( tblFilterAll[London], PeersCritera[[#This Row],[Index]] )</f>
        <v>0</v>
      </c>
      <c r="K144" s="220" cm="1">
        <f t="array" ref="K144" xml:space="preserve"> INDEX( tblFilterAll[South East], PeersCritera[[#This Row],[Index]] )</f>
        <v>0</v>
      </c>
      <c r="L144" s="220" cm="1">
        <f t="array" ref="L144" xml:space="preserve"> INDEX( tblFilterAll[South West], PeersCritera[[#This Row],[Index]] )</f>
        <v>0</v>
      </c>
      <c r="M144" s="220" cm="1">
        <f t="array" ref="M144" xml:space="preserve"> INDEX( tblFilterAll[East Midlands], PeersCritera[[#This Row],[Index]] )</f>
        <v>0</v>
      </c>
      <c r="N144" s="220" cm="1">
        <f t="array" ref="N144" xml:space="preserve"> INDEX( tblFilterAll[West Midlands], PeersCritera[[#This Row],[Index]] )</f>
        <v>1.4487228364468167E-3</v>
      </c>
      <c r="O144" s="220" cm="1">
        <f t="array" ref="O144" xml:space="preserve"> INDEX( tblFilterAll[East of England], PeersCritera[[#This Row],[Index]] )</f>
        <v>0</v>
      </c>
      <c r="P144" s="220" cm="1">
        <f t="array" ref="P144" xml:space="preserve"> INDEX( tblFilterAll[North East], PeersCritera[[#This Row],[Index]] )</f>
        <v>0</v>
      </c>
      <c r="Q144" s="220" cm="1">
        <f t="array" ref="Q144" xml:space="preserve"> INDEX( tblFilterAll[North West], PeersCritera[[#This Row],[Index]] )</f>
        <v>0.99855127716355319</v>
      </c>
      <c r="R144" s="220" cm="1">
        <f t="array" ref="R144" xml:space="preserve"> INDEX( tblFilterAll[Yorkshire &amp; the Humber], PeersCritera[[#This Row],[Index]] )</f>
        <v>0</v>
      </c>
      <c r="S144" s="224" t="str" cm="1">
        <f t="array" ref="S144" xml:space="preserve"> INDEX( tblFilterAll[Region with 50%+ of social stock owned], PeersCritera[[#This Row],[Index]] )</f>
        <v>North West</v>
      </c>
      <c r="T144" s="229" cm="1">
        <f t="array" ref="T144" xml:space="preserve"> INDEX( tblFilterAll[Meets initial criteria], PeersCritera[[#This Row],[Index]] )</f>
        <v>1</v>
      </c>
      <c r="U144" s="241"/>
      <c r="V144" s="230">
        <f>IF( PeersCritera[[#This Row],[RP_Name]] = SelectedProvider, 1, IF( PeersCritera[[#This Row],[Override initial criteria]] = "Include", 1, IF( PeersCritera[[#This Row],[Override initial criteria]] = "Exclude", 0, PeersCritera[[#This Row],[Meets initial criteria]] ) ) )</f>
        <v>1</v>
      </c>
      <c r="W144" s="325">
        <f xml:space="preserve"> MATCH( PeersCritera[[#This Row],[RP_Name]], tblFilterAll[Provider name], 0 )</f>
        <v>129</v>
      </c>
      <c r="Y14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5" spans="2:25" x14ac:dyDescent="0.25">
      <c r="B145" s="327" t="s" vm="130">
        <v>405</v>
      </c>
      <c r="C145" s="218" cm="1" vm="2864">
        <f t="array" ref="C145" xml:space="preserve"> INDEX( tblFilterAll[Total social stock owned], PeersCritera[[#This Row],[Index]] )</f>
        <v>14475</v>
      </c>
      <c r="D145" s="219" cm="1">
        <f t="array" ref="D145" xml:space="preserve"> INDEX( tblFilterAll[% Supported housing (excl. HOP)], PeersCritera[[#This Row],[Index]] )</f>
        <v>9.2487548422800228E-2</v>
      </c>
      <c r="E145" s="220" cm="1">
        <f t="array" ref="E145" xml:space="preserve"> INDEX( tblFilterAll[% Housing for older people], PeersCritera[[#This Row],[Index]] )</f>
        <v>0</v>
      </c>
      <c r="F145" s="220">
        <f xml:space="preserve"> PeersCritera[[#This Row],[% Supported housing (excl. HOP)]] + PeersCritera[[#This Row],[% Housing for older people]]</f>
        <v>9.2487548422800228E-2</v>
      </c>
      <c r="G145" s="221">
        <f xml:space="preserve"> 1 - PeersCritera[[#This Row],[% Supported &amp; older people]]</f>
        <v>0.90751245157719973</v>
      </c>
      <c r="H145" s="222" t="str" cm="1">
        <f t="array" ref="H145" xml:space="preserve"> INDEX( tblFilterAll[Provider Type], PeersCritera[[#This Row],[Index]] )</f>
        <v>Traditional</v>
      </c>
      <c r="I145" s="223" t="str" cm="1">
        <f t="array" ref="I145" xml:space="preserve"> INDEX( tblFilterAll[LSVT age], PeersCritera[[#This Row],[Index]] )</f>
        <v>&gt;= 12 years</v>
      </c>
      <c r="J145" s="219" cm="1">
        <f t="array" ref="J145" xml:space="preserve"> INDEX( tblFilterAll[London], PeersCritera[[#This Row],[Index]] )</f>
        <v>0</v>
      </c>
      <c r="K145" s="220" cm="1">
        <f t="array" ref="K145" xml:space="preserve"> INDEX( tblFilterAll[South East], PeersCritera[[#This Row],[Index]] )</f>
        <v>0</v>
      </c>
      <c r="L145" s="220" cm="1">
        <f t="array" ref="L145" xml:space="preserve"> INDEX( tblFilterAll[South West], PeersCritera[[#This Row],[Index]] )</f>
        <v>1</v>
      </c>
      <c r="M145" s="220" cm="1">
        <f t="array" ref="M145" xml:space="preserve"> INDEX( tblFilterAll[East Midlands], PeersCritera[[#This Row],[Index]] )</f>
        <v>0</v>
      </c>
      <c r="N145" s="220" cm="1">
        <f t="array" ref="N145" xml:space="preserve"> INDEX( tblFilterAll[West Midlands], PeersCritera[[#This Row],[Index]] )</f>
        <v>0</v>
      </c>
      <c r="O145" s="220" cm="1">
        <f t="array" ref="O145" xml:space="preserve"> INDEX( tblFilterAll[East of England], PeersCritera[[#This Row],[Index]] )</f>
        <v>0</v>
      </c>
      <c r="P145" s="220" cm="1">
        <f t="array" ref="P145" xml:space="preserve"> INDEX( tblFilterAll[North East], PeersCritera[[#This Row],[Index]] )</f>
        <v>0</v>
      </c>
      <c r="Q145" s="220" cm="1">
        <f t="array" ref="Q145" xml:space="preserve"> INDEX( tblFilterAll[North West], PeersCritera[[#This Row],[Index]] )</f>
        <v>0</v>
      </c>
      <c r="R145" s="220" cm="1">
        <f t="array" ref="R145" xml:space="preserve"> INDEX( tblFilterAll[Yorkshire &amp; the Humber], PeersCritera[[#This Row],[Index]] )</f>
        <v>0</v>
      </c>
      <c r="S145" s="224" t="str" cm="1">
        <f t="array" ref="S145" xml:space="preserve"> INDEX( tblFilterAll[Region with 50%+ of social stock owned], PeersCritera[[#This Row],[Index]] )</f>
        <v>South West</v>
      </c>
      <c r="T145" s="229" cm="1">
        <f t="array" ref="T145" xml:space="preserve"> INDEX( tblFilterAll[Meets initial criteria], PeersCritera[[#This Row],[Index]] )</f>
        <v>1</v>
      </c>
      <c r="U145" s="241"/>
      <c r="V145" s="230">
        <f>IF( PeersCritera[[#This Row],[RP_Name]] = SelectedProvider, 1, IF( PeersCritera[[#This Row],[Override initial criteria]] = "Include", 1, IF( PeersCritera[[#This Row],[Override initial criteria]] = "Exclude", 0, PeersCritera[[#This Row],[Meets initial criteria]] ) ) )</f>
        <v>1</v>
      </c>
      <c r="W145" s="325">
        <f xml:space="preserve"> MATCH( PeersCritera[[#This Row],[RP_Name]], tblFilterAll[Provider name], 0 )</f>
        <v>130</v>
      </c>
      <c r="Y14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6" spans="2:25" x14ac:dyDescent="0.25">
      <c r="B146" s="327" t="s" vm="131">
        <v>407</v>
      </c>
      <c r="C146" s="218" cm="1" vm="7349">
        <f t="array" ref="C146" xml:space="preserve"> INDEX( tblFilterAll[Total social stock owned], PeersCritera[[#This Row],[Index]] )</f>
        <v>5318</v>
      </c>
      <c r="D146" s="219" cm="1">
        <f t="array" ref="D146" xml:space="preserve"> INDEX( tblFilterAll[% Supported housing (excl. HOP)], PeersCritera[[#This Row],[Index]] )</f>
        <v>0</v>
      </c>
      <c r="E146" s="220" cm="1">
        <f t="array" ref="E146" xml:space="preserve"> INDEX( tblFilterAll[% Housing for older people], PeersCritera[[#This Row],[Index]] )</f>
        <v>0</v>
      </c>
      <c r="F146" s="220">
        <f xml:space="preserve"> PeersCritera[[#This Row],[% Supported housing (excl. HOP)]] + PeersCritera[[#This Row],[% Housing for older people]]</f>
        <v>0</v>
      </c>
      <c r="G146" s="221">
        <f xml:space="preserve"> 1 - PeersCritera[[#This Row],[% Supported &amp; older people]]</f>
        <v>1</v>
      </c>
      <c r="H146" s="222" t="str" cm="1">
        <f t="array" ref="H146" xml:space="preserve"> INDEX( tblFilterAll[Provider Type], PeersCritera[[#This Row],[Index]] )</f>
        <v>Traditional</v>
      </c>
      <c r="I146" s="223" t="str" cm="1">
        <f t="array" ref="I146" xml:space="preserve"> INDEX( tblFilterAll[LSVT age], PeersCritera[[#This Row],[Index]] )</f>
        <v>&gt;= 12 years</v>
      </c>
      <c r="J146" s="219" cm="1">
        <f t="array" ref="J146" xml:space="preserve"> INDEX( tblFilterAll[London], PeersCritera[[#This Row],[Index]] )</f>
        <v>1</v>
      </c>
      <c r="K146" s="220" cm="1">
        <f t="array" ref="K146" xml:space="preserve"> INDEX( tblFilterAll[South East], PeersCritera[[#This Row],[Index]] )</f>
        <v>0</v>
      </c>
      <c r="L146" s="220" cm="1">
        <f t="array" ref="L146" xml:space="preserve"> INDEX( tblFilterAll[South West], PeersCritera[[#This Row],[Index]] )</f>
        <v>0</v>
      </c>
      <c r="M146" s="220" cm="1">
        <f t="array" ref="M146" xml:space="preserve"> INDEX( tblFilterAll[East Midlands], PeersCritera[[#This Row],[Index]] )</f>
        <v>0</v>
      </c>
      <c r="N146" s="220" cm="1">
        <f t="array" ref="N146" xml:space="preserve"> INDEX( tblFilterAll[West Midlands], PeersCritera[[#This Row],[Index]] )</f>
        <v>0</v>
      </c>
      <c r="O146" s="220" cm="1">
        <f t="array" ref="O146" xml:space="preserve"> INDEX( tblFilterAll[East of England], PeersCritera[[#This Row],[Index]] )</f>
        <v>0</v>
      </c>
      <c r="P146" s="220" cm="1">
        <f t="array" ref="P146" xml:space="preserve"> INDEX( tblFilterAll[North East], PeersCritera[[#This Row],[Index]] )</f>
        <v>0</v>
      </c>
      <c r="Q146" s="220" cm="1">
        <f t="array" ref="Q146" xml:space="preserve"> INDEX( tblFilterAll[North West], PeersCritera[[#This Row],[Index]] )</f>
        <v>0</v>
      </c>
      <c r="R146" s="220" cm="1">
        <f t="array" ref="R146" xml:space="preserve"> INDEX( tblFilterAll[Yorkshire &amp; the Humber], PeersCritera[[#This Row],[Index]] )</f>
        <v>0</v>
      </c>
      <c r="S146" s="224" t="str" cm="1">
        <f t="array" ref="S146" xml:space="preserve"> INDEX( tblFilterAll[Region with 50%+ of social stock owned], PeersCritera[[#This Row],[Index]] )</f>
        <v>London</v>
      </c>
      <c r="T146" s="229" cm="1">
        <f t="array" ref="T146" xml:space="preserve"> INDEX( tblFilterAll[Meets initial criteria], PeersCritera[[#This Row],[Index]] )</f>
        <v>1</v>
      </c>
      <c r="U146" s="241"/>
      <c r="V146" s="230">
        <f>IF( PeersCritera[[#This Row],[RP_Name]] = SelectedProvider, 1, IF( PeersCritera[[#This Row],[Override initial criteria]] = "Include", 1, IF( PeersCritera[[#This Row],[Override initial criteria]] = "Exclude", 0, PeersCritera[[#This Row],[Meets initial criteria]] ) ) )</f>
        <v>1</v>
      </c>
      <c r="W146" s="325">
        <f xml:space="preserve"> MATCH( PeersCritera[[#This Row],[RP_Name]], tblFilterAll[Provider name], 0 )</f>
        <v>131</v>
      </c>
      <c r="Y14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7" spans="2:25" x14ac:dyDescent="0.25">
      <c r="B147" s="327" t="s" vm="132">
        <v>409</v>
      </c>
      <c r="C147" s="218" cm="1" vm="3933">
        <f t="array" ref="C147" xml:space="preserve"> INDEX( tblFilterAll[Total social stock owned], PeersCritera[[#This Row],[Index]] )</f>
        <v>2666</v>
      </c>
      <c r="D147" s="219" cm="1">
        <f t="array" ref="D147" xml:space="preserve"> INDEX( tblFilterAll[% Supported housing (excl. HOP)], PeersCritera[[#This Row],[Index]] )</f>
        <v>1.9140625000000001E-2</v>
      </c>
      <c r="E147" s="220" cm="1">
        <f t="array" ref="E147" xml:space="preserve"> INDEX( tblFilterAll[% Housing for older people], PeersCritera[[#This Row],[Index]] )</f>
        <v>7.7734374999999994E-2</v>
      </c>
      <c r="F147" s="220">
        <f xml:space="preserve"> PeersCritera[[#This Row],[% Supported housing (excl. HOP)]] + PeersCritera[[#This Row],[% Housing for older people]]</f>
        <v>9.6874999999999989E-2</v>
      </c>
      <c r="G147" s="221">
        <f xml:space="preserve"> 1 - PeersCritera[[#This Row],[% Supported &amp; older people]]</f>
        <v>0.90312499999999996</v>
      </c>
      <c r="H147" s="222" t="str" cm="1">
        <f t="array" ref="H147" xml:space="preserve"> INDEX( tblFilterAll[Provider Type], PeersCritera[[#This Row],[Index]] )</f>
        <v>Traditional</v>
      </c>
      <c r="I147" s="223" t="str" cm="1">
        <f t="array" ref="I147" xml:space="preserve"> INDEX( tblFilterAll[LSVT age], PeersCritera[[#This Row],[Index]] )</f>
        <v/>
      </c>
      <c r="J147" s="219" cm="1">
        <f t="array" ref="J147" xml:space="preserve"> INDEX( tblFilterAll[London], PeersCritera[[#This Row],[Index]] )</f>
        <v>0</v>
      </c>
      <c r="K147" s="220" cm="1">
        <f t="array" ref="K147" xml:space="preserve"> INDEX( tblFilterAll[South East], PeersCritera[[#This Row],[Index]] )</f>
        <v>0</v>
      </c>
      <c r="L147" s="220" cm="1">
        <f t="array" ref="L147" xml:space="preserve"> INDEX( tblFilterAll[South West], PeersCritera[[#This Row],[Index]] )</f>
        <v>0</v>
      </c>
      <c r="M147" s="220" cm="1">
        <f t="array" ref="M147" xml:space="preserve"> INDEX( tblFilterAll[East Midlands], PeersCritera[[#This Row],[Index]] )</f>
        <v>0</v>
      </c>
      <c r="N147" s="220" cm="1">
        <f t="array" ref="N147" xml:space="preserve"> INDEX( tblFilterAll[West Midlands], PeersCritera[[#This Row],[Index]] )</f>
        <v>0</v>
      </c>
      <c r="O147" s="220" cm="1">
        <f t="array" ref="O147" xml:space="preserve"> INDEX( tblFilterAll[East of England], PeersCritera[[#This Row],[Index]] )</f>
        <v>0</v>
      </c>
      <c r="P147" s="220" cm="1">
        <f t="array" ref="P147" xml:space="preserve"> INDEX( tblFilterAll[North East], PeersCritera[[#This Row],[Index]] )</f>
        <v>0</v>
      </c>
      <c r="Q147" s="220" cm="1">
        <f t="array" ref="Q147" xml:space="preserve"> INDEX( tblFilterAll[North West], PeersCritera[[#This Row],[Index]] )</f>
        <v>1</v>
      </c>
      <c r="R147" s="220" cm="1">
        <f t="array" ref="R147" xml:space="preserve"> INDEX( tblFilterAll[Yorkshire &amp; the Humber], PeersCritera[[#This Row],[Index]] )</f>
        <v>0</v>
      </c>
      <c r="S147" s="224" t="str" cm="1">
        <f t="array" ref="S147" xml:space="preserve"> INDEX( tblFilterAll[Region with 50%+ of social stock owned], PeersCritera[[#This Row],[Index]] )</f>
        <v>North West</v>
      </c>
      <c r="T147" s="229" cm="1">
        <f t="array" ref="T147" xml:space="preserve"> INDEX( tblFilterAll[Meets initial criteria], PeersCritera[[#This Row],[Index]] )</f>
        <v>1</v>
      </c>
      <c r="U147" s="241"/>
      <c r="V147" s="230">
        <f>IF( PeersCritera[[#This Row],[RP_Name]] = SelectedProvider, 1, IF( PeersCritera[[#This Row],[Override initial criteria]] = "Include", 1, IF( PeersCritera[[#This Row],[Override initial criteria]] = "Exclude", 0, PeersCritera[[#This Row],[Meets initial criteria]] ) ) )</f>
        <v>1</v>
      </c>
      <c r="W147" s="325">
        <f xml:space="preserve"> MATCH( PeersCritera[[#This Row],[RP_Name]], tblFilterAll[Provider name], 0 )</f>
        <v>132</v>
      </c>
      <c r="Y14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8" spans="2:25" x14ac:dyDescent="0.25">
      <c r="B148" s="327" t="s" vm="133">
        <v>411</v>
      </c>
      <c r="C148" s="218" cm="1" vm="2309">
        <f t="array" ref="C148" xml:space="preserve"> INDEX( tblFilterAll[Total social stock owned], PeersCritera[[#This Row],[Index]] )</f>
        <v>11000</v>
      </c>
      <c r="D148" s="219" cm="1">
        <f t="array" ref="D148" xml:space="preserve"> INDEX( tblFilterAll[% Supported housing (excl. HOP)], PeersCritera[[#This Row],[Index]] )</f>
        <v>0.39135194307608101</v>
      </c>
      <c r="E148" s="220" cm="1">
        <f t="array" ref="E148" xml:space="preserve"> INDEX( tblFilterAll[% Housing for older people], PeersCritera[[#This Row],[Index]] )</f>
        <v>0.11065498996533479</v>
      </c>
      <c r="F148" s="220">
        <f xml:space="preserve"> PeersCritera[[#This Row],[% Supported housing (excl. HOP)]] + PeersCritera[[#This Row],[% Housing for older people]]</f>
        <v>0.50200693304141586</v>
      </c>
      <c r="G148" s="221">
        <f xml:space="preserve"> 1 - PeersCritera[[#This Row],[% Supported &amp; older people]]</f>
        <v>0.49799306695858414</v>
      </c>
      <c r="H148" s="222" t="str" cm="1">
        <f t="array" ref="H148" xml:space="preserve"> INDEX( tblFilterAll[Provider Type], PeersCritera[[#This Row],[Index]] )</f>
        <v>Traditional</v>
      </c>
      <c r="I148" s="223" t="str" cm="1">
        <f t="array" ref="I148" xml:space="preserve"> INDEX( tblFilterAll[LSVT age], PeersCritera[[#This Row],[Index]] )</f>
        <v/>
      </c>
      <c r="J148" s="219" cm="1">
        <f t="array" ref="J148" xml:space="preserve"> INDEX( tblFilterAll[London], PeersCritera[[#This Row],[Index]] )</f>
        <v>1.8509991711944011E-2</v>
      </c>
      <c r="K148" s="220" cm="1">
        <f t="array" ref="K148" xml:space="preserve"> INDEX( tblFilterAll[South East], PeersCritera[[#This Row],[Index]] )</f>
        <v>3.1770881296620312E-2</v>
      </c>
      <c r="L148" s="220" cm="1">
        <f t="array" ref="L148" xml:space="preserve"> INDEX( tblFilterAll[South West], PeersCritera[[#This Row],[Index]] )</f>
        <v>1.1787457408601161E-2</v>
      </c>
      <c r="M148" s="220" cm="1">
        <f t="array" ref="M148" xml:space="preserve"> INDEX( tblFilterAll[East Midlands], PeersCritera[[#This Row],[Index]] )</f>
        <v>6.6212358412376826E-2</v>
      </c>
      <c r="N148" s="220" cm="1">
        <f t="array" ref="N148" xml:space="preserve"> INDEX( tblFilterAll[West Midlands], PeersCritera[[#This Row],[Index]] )</f>
        <v>4.8807440832489175E-3</v>
      </c>
      <c r="O148" s="220" cm="1">
        <f t="array" ref="O148" xml:space="preserve"> INDEX( tblFilterAll[East of England], PeersCritera[[#This Row],[Index]] )</f>
        <v>3.3336402983700157E-2</v>
      </c>
      <c r="P148" s="220" cm="1">
        <f t="array" ref="P148" xml:space="preserve"> INDEX( tblFilterAll[North East], PeersCritera[[#This Row],[Index]] )</f>
        <v>2.3206556773183534E-2</v>
      </c>
      <c r="Q148" s="220" cm="1">
        <f t="array" ref="Q148" xml:space="preserve"> INDEX( tblFilterAll[North West], PeersCritera[[#This Row],[Index]] )</f>
        <v>0.72888847960217329</v>
      </c>
      <c r="R148" s="220" cm="1">
        <f t="array" ref="R148" xml:space="preserve"> INDEX( tblFilterAll[Yorkshire &amp; the Humber], PeersCritera[[#This Row],[Index]] )</f>
        <v>8.1407127728151757E-2</v>
      </c>
      <c r="S148" s="224" t="str" cm="1">
        <f t="array" ref="S148" xml:space="preserve"> INDEX( tblFilterAll[Region with 50%+ of social stock owned], PeersCritera[[#This Row],[Index]] )</f>
        <v>North West</v>
      </c>
      <c r="T148" s="229" cm="1">
        <f t="array" ref="T148" xml:space="preserve"> INDEX( tblFilterAll[Meets initial criteria], PeersCritera[[#This Row],[Index]] )</f>
        <v>1</v>
      </c>
      <c r="U148" s="241"/>
      <c r="V148" s="230">
        <f>IF( PeersCritera[[#This Row],[RP_Name]] = SelectedProvider, 1, IF( PeersCritera[[#This Row],[Override initial criteria]] = "Include", 1, IF( PeersCritera[[#This Row],[Override initial criteria]] = "Exclude", 0, PeersCritera[[#This Row],[Meets initial criteria]] ) ) )</f>
        <v>1</v>
      </c>
      <c r="W148" s="325">
        <f xml:space="preserve"> MATCH( PeersCritera[[#This Row],[RP_Name]], tblFilterAll[Provider name], 0 )</f>
        <v>133</v>
      </c>
      <c r="Y14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49" spans="2:25" x14ac:dyDescent="0.25">
      <c r="B149" s="327" t="s" vm="134">
        <v>413</v>
      </c>
      <c r="C149" s="218" cm="1" vm="1365">
        <f t="array" ref="C149" xml:space="preserve"> INDEX( tblFilterAll[Total social stock owned], PeersCritera[[#This Row],[Index]] )</f>
        <v>1547</v>
      </c>
      <c r="D149" s="219" cm="1">
        <f t="array" ref="D149" xml:space="preserve"> INDEX( tblFilterAll[% Supported housing (excl. HOP)], PeersCritera[[#This Row],[Index]] )</f>
        <v>0.30389129092032119</v>
      </c>
      <c r="E149" s="220" cm="1">
        <f t="array" ref="E149" xml:space="preserve"> INDEX( tblFilterAll[% Housing for older people], PeersCritera[[#This Row],[Index]] )</f>
        <v>0.26436071649166154</v>
      </c>
      <c r="F149" s="220">
        <f xml:space="preserve"> PeersCritera[[#This Row],[% Supported housing (excl. HOP)]] + PeersCritera[[#This Row],[% Housing for older people]]</f>
        <v>0.56825200741198278</v>
      </c>
      <c r="G149" s="221">
        <f xml:space="preserve"> 1 - PeersCritera[[#This Row],[% Supported &amp; older people]]</f>
        <v>0.43174799258801722</v>
      </c>
      <c r="H149" s="222" t="str" cm="1">
        <f t="array" ref="H149" xml:space="preserve"> INDEX( tblFilterAll[Provider Type], PeersCritera[[#This Row],[Index]] )</f>
        <v>Traditional</v>
      </c>
      <c r="I149" s="223" t="str" cm="1">
        <f t="array" ref="I149" xml:space="preserve"> INDEX( tblFilterAll[LSVT age], PeersCritera[[#This Row],[Index]] )</f>
        <v/>
      </c>
      <c r="J149" s="219" cm="1">
        <f t="array" ref="J149" xml:space="preserve"> INDEX( tblFilterAll[London], PeersCritera[[#This Row],[Index]] )</f>
        <v>1.3588634959851761E-2</v>
      </c>
      <c r="K149" s="220" cm="1">
        <f t="array" ref="K149" xml:space="preserve"> INDEX( tblFilterAll[South East], PeersCritera[[#This Row],[Index]] )</f>
        <v>0</v>
      </c>
      <c r="L149" s="220" cm="1">
        <f t="array" ref="L149" xml:space="preserve"> INDEX( tblFilterAll[South West], PeersCritera[[#This Row],[Index]] )</f>
        <v>0</v>
      </c>
      <c r="M149" s="220" cm="1">
        <f t="array" ref="M149" xml:space="preserve"> INDEX( tblFilterAll[East Midlands], PeersCritera[[#This Row],[Index]] )</f>
        <v>0</v>
      </c>
      <c r="N149" s="220" cm="1">
        <f t="array" ref="N149" xml:space="preserve"> INDEX( tblFilterAll[West Midlands], PeersCritera[[#This Row],[Index]] )</f>
        <v>1.8529956763434219E-2</v>
      </c>
      <c r="O149" s="220" cm="1">
        <f t="array" ref="O149" xml:space="preserve"> INDEX( tblFilterAll[East of England], PeersCritera[[#This Row],[Index]] )</f>
        <v>0</v>
      </c>
      <c r="P149" s="220" cm="1">
        <f t="array" ref="P149" xml:space="preserve"> INDEX( tblFilterAll[North East], PeersCritera[[#This Row],[Index]] )</f>
        <v>0.58307597282273005</v>
      </c>
      <c r="Q149" s="220" cm="1">
        <f t="array" ref="Q149" xml:space="preserve"> INDEX( tblFilterAll[North West], PeersCritera[[#This Row],[Index]] )</f>
        <v>1.2353304508956147E-3</v>
      </c>
      <c r="R149" s="220" cm="1">
        <f t="array" ref="R149" xml:space="preserve"> INDEX( tblFilterAll[Yorkshire &amp; the Humber], PeersCritera[[#This Row],[Index]] )</f>
        <v>0.3835701050030883</v>
      </c>
      <c r="S149" s="224" t="str" cm="1">
        <f t="array" ref="S149" xml:space="preserve"> INDEX( tblFilterAll[Region with 50%+ of social stock owned], PeersCritera[[#This Row],[Index]] )</f>
        <v>North East</v>
      </c>
      <c r="T149" s="229" cm="1">
        <f t="array" ref="T149" xml:space="preserve"> INDEX( tblFilterAll[Meets initial criteria], PeersCritera[[#This Row],[Index]] )</f>
        <v>1</v>
      </c>
      <c r="U149" s="241"/>
      <c r="V149" s="230">
        <f>IF( PeersCritera[[#This Row],[RP_Name]] = SelectedProvider, 1, IF( PeersCritera[[#This Row],[Override initial criteria]] = "Include", 1, IF( PeersCritera[[#This Row],[Override initial criteria]] = "Exclude", 0, PeersCritera[[#This Row],[Meets initial criteria]] ) ) )</f>
        <v>1</v>
      </c>
      <c r="W149" s="325">
        <f xml:space="preserve"> MATCH( PeersCritera[[#This Row],[RP_Name]], tblFilterAll[Provider name], 0 )</f>
        <v>134</v>
      </c>
      <c r="Y14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0" spans="2:25" x14ac:dyDescent="0.25">
      <c r="B150" s="327" t="s" vm="135">
        <v>415</v>
      </c>
      <c r="C150" s="218" cm="1" vm="5401">
        <f t="array" ref="C150" xml:space="preserve"> INDEX( tblFilterAll[Total social stock owned], PeersCritera[[#This Row],[Index]] )</f>
        <v>6337</v>
      </c>
      <c r="D150" s="219" cm="1">
        <f t="array" ref="D150" xml:space="preserve"> INDEX( tblFilterAll[% Supported housing (excl. HOP)], PeersCritera[[#This Row],[Index]] )</f>
        <v>0</v>
      </c>
      <c r="E150" s="220" cm="1">
        <f t="array" ref="E150" xml:space="preserve"> INDEX( tblFilterAll[% Housing for older people], PeersCritera[[#This Row],[Index]] )</f>
        <v>5.4199683042789222E-2</v>
      </c>
      <c r="F150" s="220">
        <f xml:space="preserve"> PeersCritera[[#This Row],[% Supported housing (excl. HOP)]] + PeersCritera[[#This Row],[% Housing for older people]]</f>
        <v>5.4199683042789222E-2</v>
      </c>
      <c r="G150" s="221">
        <f xml:space="preserve"> 1 - PeersCritera[[#This Row],[% Supported &amp; older people]]</f>
        <v>0.94580031695721078</v>
      </c>
      <c r="H150" s="222" t="str" cm="1">
        <f t="array" ref="H150" xml:space="preserve"> INDEX( tblFilterAll[Provider Type], PeersCritera[[#This Row],[Index]] )</f>
        <v>Traditional</v>
      </c>
      <c r="I150" s="223" t="str" cm="1">
        <f t="array" ref="I150" xml:space="preserve"> INDEX( tblFilterAll[LSVT age], PeersCritera[[#This Row],[Index]] )</f>
        <v>&gt;= 12 years</v>
      </c>
      <c r="J150" s="219" cm="1">
        <f t="array" ref="J150" xml:space="preserve"> INDEX( tblFilterAll[London], PeersCritera[[#This Row],[Index]] )</f>
        <v>1.266624445851805E-3</v>
      </c>
      <c r="K150" s="220" cm="1">
        <f t="array" ref="K150" xml:space="preserve"> INDEX( tblFilterAll[South East], PeersCritera[[#This Row],[Index]] )</f>
        <v>0.99873337555414821</v>
      </c>
      <c r="L150" s="220" cm="1">
        <f t="array" ref="L150" xml:space="preserve"> INDEX( tblFilterAll[South West], PeersCritera[[#This Row],[Index]] )</f>
        <v>0</v>
      </c>
      <c r="M150" s="220" cm="1">
        <f t="array" ref="M150" xml:space="preserve"> INDEX( tblFilterAll[East Midlands], PeersCritera[[#This Row],[Index]] )</f>
        <v>0</v>
      </c>
      <c r="N150" s="220" cm="1">
        <f t="array" ref="N150" xml:space="preserve"> INDEX( tblFilterAll[West Midlands], PeersCritera[[#This Row],[Index]] )</f>
        <v>0</v>
      </c>
      <c r="O150" s="220" cm="1">
        <f t="array" ref="O150" xml:space="preserve"> INDEX( tblFilterAll[East of England], PeersCritera[[#This Row],[Index]] )</f>
        <v>0</v>
      </c>
      <c r="P150" s="220" cm="1">
        <f t="array" ref="P150" xml:space="preserve"> INDEX( tblFilterAll[North East], PeersCritera[[#This Row],[Index]] )</f>
        <v>0</v>
      </c>
      <c r="Q150" s="220" cm="1">
        <f t="array" ref="Q150" xml:space="preserve"> INDEX( tblFilterAll[North West], PeersCritera[[#This Row],[Index]] )</f>
        <v>0</v>
      </c>
      <c r="R150" s="220" cm="1">
        <f t="array" ref="R150" xml:space="preserve"> INDEX( tblFilterAll[Yorkshire &amp; the Humber], PeersCritera[[#This Row],[Index]] )</f>
        <v>0</v>
      </c>
      <c r="S150" s="224" t="str" cm="1">
        <f t="array" ref="S150" xml:space="preserve"> INDEX( tblFilterAll[Region with 50%+ of social stock owned], PeersCritera[[#This Row],[Index]] )</f>
        <v>South East</v>
      </c>
      <c r="T150" s="229" cm="1">
        <f t="array" ref="T150" xml:space="preserve"> INDEX( tblFilterAll[Meets initial criteria], PeersCritera[[#This Row],[Index]] )</f>
        <v>1</v>
      </c>
      <c r="U150" s="241"/>
      <c r="V150" s="230">
        <f>IF( PeersCritera[[#This Row],[RP_Name]] = SelectedProvider, 1, IF( PeersCritera[[#This Row],[Override initial criteria]] = "Include", 1, IF( PeersCritera[[#This Row],[Override initial criteria]] = "Exclude", 0, PeersCritera[[#This Row],[Meets initial criteria]] ) ) )</f>
        <v>1</v>
      </c>
      <c r="W150" s="325">
        <f xml:space="preserve"> MATCH( PeersCritera[[#This Row],[RP_Name]], tblFilterAll[Provider name], 0 )</f>
        <v>135</v>
      </c>
      <c r="Y15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1" spans="2:25" x14ac:dyDescent="0.25">
      <c r="B151" s="327" t="s" vm="136">
        <v>417</v>
      </c>
      <c r="C151" s="218" cm="1" vm="5300">
        <f t="array" ref="C151" xml:space="preserve"> INDEX( tblFilterAll[Total social stock owned], PeersCritera[[#This Row],[Index]] )</f>
        <v>5525</v>
      </c>
      <c r="D151" s="219" cm="1">
        <f t="array" ref="D151" xml:space="preserve"> INDEX( tblFilterAll[% Supported housing (excl. HOP)], PeersCritera[[#This Row],[Index]] )</f>
        <v>0</v>
      </c>
      <c r="E151" s="220" cm="1">
        <f t="array" ref="E151" xml:space="preserve"> INDEX( tblFilterAll[% Housing for older people], PeersCritera[[#This Row],[Index]] )</f>
        <v>0.31312217194570136</v>
      </c>
      <c r="F151" s="220">
        <f xml:space="preserve"> PeersCritera[[#This Row],[% Supported housing (excl. HOP)]] + PeersCritera[[#This Row],[% Housing for older people]]</f>
        <v>0.31312217194570136</v>
      </c>
      <c r="G151" s="221">
        <f xml:space="preserve"> 1 - PeersCritera[[#This Row],[% Supported &amp; older people]]</f>
        <v>0.68687782805429864</v>
      </c>
      <c r="H151" s="222" t="str" cm="1">
        <f t="array" ref="H151" xml:space="preserve"> INDEX( tblFilterAll[Provider Type], PeersCritera[[#This Row],[Index]] )</f>
        <v>Traditional</v>
      </c>
      <c r="I151" s="223" t="str" cm="1">
        <f t="array" ref="I151" xml:space="preserve"> INDEX( tblFilterAll[LSVT age], PeersCritera[[#This Row],[Index]] )</f>
        <v>&gt;= 12 years</v>
      </c>
      <c r="J151" s="219" cm="1">
        <f t="array" ref="J151" xml:space="preserve"> INDEX( tblFilterAll[London], PeersCritera[[#This Row],[Index]] )</f>
        <v>0</v>
      </c>
      <c r="K151" s="220" cm="1">
        <f t="array" ref="K151" xml:space="preserve"> INDEX( tblFilterAll[South East], PeersCritera[[#This Row],[Index]] )</f>
        <v>1</v>
      </c>
      <c r="L151" s="220" cm="1">
        <f t="array" ref="L151" xml:space="preserve"> INDEX( tblFilterAll[South West], PeersCritera[[#This Row],[Index]] )</f>
        <v>0</v>
      </c>
      <c r="M151" s="220" cm="1">
        <f t="array" ref="M151" xml:space="preserve"> INDEX( tblFilterAll[East Midlands], PeersCritera[[#This Row],[Index]] )</f>
        <v>0</v>
      </c>
      <c r="N151" s="220" cm="1">
        <f t="array" ref="N151" xml:space="preserve"> INDEX( tblFilterAll[West Midlands], PeersCritera[[#This Row],[Index]] )</f>
        <v>0</v>
      </c>
      <c r="O151" s="220" cm="1">
        <f t="array" ref="O151" xml:space="preserve"> INDEX( tblFilterAll[East of England], PeersCritera[[#This Row],[Index]] )</f>
        <v>0</v>
      </c>
      <c r="P151" s="220" cm="1">
        <f t="array" ref="P151" xml:space="preserve"> INDEX( tblFilterAll[North East], PeersCritera[[#This Row],[Index]] )</f>
        <v>0</v>
      </c>
      <c r="Q151" s="220" cm="1">
        <f t="array" ref="Q151" xml:space="preserve"> INDEX( tblFilterAll[North West], PeersCritera[[#This Row],[Index]] )</f>
        <v>0</v>
      </c>
      <c r="R151" s="220" cm="1">
        <f t="array" ref="R151" xml:space="preserve"> INDEX( tblFilterAll[Yorkshire &amp; the Humber], PeersCritera[[#This Row],[Index]] )</f>
        <v>0</v>
      </c>
      <c r="S151" s="224" t="str" cm="1">
        <f t="array" ref="S151" xml:space="preserve"> INDEX( tblFilterAll[Region with 50%+ of social stock owned], PeersCritera[[#This Row],[Index]] )</f>
        <v>South East</v>
      </c>
      <c r="T151" s="229" cm="1">
        <f t="array" ref="T151" xml:space="preserve"> INDEX( tblFilterAll[Meets initial criteria], PeersCritera[[#This Row],[Index]] )</f>
        <v>1</v>
      </c>
      <c r="U151" s="241"/>
      <c r="V151" s="230">
        <f>IF( PeersCritera[[#This Row],[RP_Name]] = SelectedProvider, 1, IF( PeersCritera[[#This Row],[Override initial criteria]] = "Include", 1, IF( PeersCritera[[#This Row],[Override initial criteria]] = "Exclude", 0, PeersCritera[[#This Row],[Meets initial criteria]] ) ) )</f>
        <v>1</v>
      </c>
      <c r="W151" s="325">
        <f xml:space="preserve"> MATCH( PeersCritera[[#This Row],[RP_Name]], tblFilterAll[Provider name], 0 )</f>
        <v>136</v>
      </c>
      <c r="Y15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2" spans="2:25" x14ac:dyDescent="0.25">
      <c r="B152" s="327" t="s" vm="137">
        <v>419</v>
      </c>
      <c r="C152" s="218" cm="1" vm="2752">
        <f t="array" ref="C152" xml:space="preserve"> INDEX( tblFilterAll[Total social stock owned], PeersCritera[[#This Row],[Index]] )</f>
        <v>12133</v>
      </c>
      <c r="D152" s="219" cm="1">
        <f t="array" ref="D152" xml:space="preserve"> INDEX( tblFilterAll[% Supported housing (excl. HOP)], PeersCritera[[#This Row],[Index]] )</f>
        <v>7.0981754995655955E-2</v>
      </c>
      <c r="E152" s="220" cm="1">
        <f t="array" ref="E152" xml:space="preserve"> INDEX( tblFilterAll[% Housing for older people], PeersCritera[[#This Row],[Index]] )</f>
        <v>8.2363162467419634E-2</v>
      </c>
      <c r="F152" s="220">
        <f xml:space="preserve"> PeersCritera[[#This Row],[% Supported housing (excl. HOP)]] + PeersCritera[[#This Row],[% Housing for older people]]</f>
        <v>0.1533449174630756</v>
      </c>
      <c r="G152" s="221">
        <f xml:space="preserve"> 1 - PeersCritera[[#This Row],[% Supported &amp; older people]]</f>
        <v>0.84665508253692434</v>
      </c>
      <c r="H152" s="222" t="str" cm="1">
        <f t="array" ref="H152" xml:space="preserve"> INDEX( tblFilterAll[Provider Type], PeersCritera[[#This Row],[Index]] )</f>
        <v>Traditional</v>
      </c>
      <c r="I152" s="223" t="str" cm="1">
        <f t="array" ref="I152" xml:space="preserve"> INDEX( tblFilterAll[LSVT age], PeersCritera[[#This Row],[Index]] )</f>
        <v/>
      </c>
      <c r="J152" s="219" cm="1">
        <f t="array" ref="J152" xml:space="preserve"> INDEX( tblFilterAll[London], PeersCritera[[#This Row],[Index]] )</f>
        <v>0</v>
      </c>
      <c r="K152" s="220" cm="1">
        <f t="array" ref="K152" xml:space="preserve"> INDEX( tblFilterAll[South East], PeersCritera[[#This Row],[Index]] )</f>
        <v>0</v>
      </c>
      <c r="L152" s="220" cm="1">
        <f t="array" ref="L152" xml:space="preserve"> INDEX( tblFilterAll[South West], PeersCritera[[#This Row],[Index]] )</f>
        <v>0</v>
      </c>
      <c r="M152" s="220" cm="1">
        <f t="array" ref="M152" xml:space="preserve"> INDEX( tblFilterAll[East Midlands], PeersCritera[[#This Row],[Index]] )</f>
        <v>0</v>
      </c>
      <c r="N152" s="220" cm="1">
        <f t="array" ref="N152" xml:space="preserve"> INDEX( tblFilterAll[West Midlands], PeersCritera[[#This Row],[Index]] )</f>
        <v>0</v>
      </c>
      <c r="O152" s="220" cm="1">
        <f t="array" ref="O152" xml:space="preserve"> INDEX( tblFilterAll[East of England], PeersCritera[[#This Row],[Index]] )</f>
        <v>0</v>
      </c>
      <c r="P152" s="220" cm="1">
        <f t="array" ref="P152" xml:space="preserve"> INDEX( tblFilterAll[North East], PeersCritera[[#This Row],[Index]] )</f>
        <v>0</v>
      </c>
      <c r="Q152" s="220" cm="1">
        <f t="array" ref="Q152" xml:space="preserve"> INDEX( tblFilterAll[North West], PeersCritera[[#This Row],[Index]] )</f>
        <v>1</v>
      </c>
      <c r="R152" s="220" cm="1">
        <f t="array" ref="R152" xml:space="preserve"> INDEX( tblFilterAll[Yorkshire &amp; the Humber], PeersCritera[[#This Row],[Index]] )</f>
        <v>0</v>
      </c>
      <c r="S152" s="224" t="str" cm="1">
        <f t="array" ref="S152" xml:space="preserve"> INDEX( tblFilterAll[Region with 50%+ of social stock owned], PeersCritera[[#This Row],[Index]] )</f>
        <v>North West</v>
      </c>
      <c r="T152" s="229" cm="1">
        <f t="array" ref="T152" xml:space="preserve"> INDEX( tblFilterAll[Meets initial criteria], PeersCritera[[#This Row],[Index]] )</f>
        <v>1</v>
      </c>
      <c r="U152" s="241"/>
      <c r="V152" s="230">
        <f>IF( PeersCritera[[#This Row],[RP_Name]] = SelectedProvider, 1, IF( PeersCritera[[#This Row],[Override initial criteria]] = "Include", 1, IF( PeersCritera[[#This Row],[Override initial criteria]] = "Exclude", 0, PeersCritera[[#This Row],[Meets initial criteria]] ) ) )</f>
        <v>1</v>
      </c>
      <c r="W152" s="325">
        <f xml:space="preserve"> MATCH( PeersCritera[[#This Row],[RP_Name]], tblFilterAll[Provider name], 0 )</f>
        <v>137</v>
      </c>
      <c r="Y15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3" spans="2:25" x14ac:dyDescent="0.25">
      <c r="B153" s="327" t="s" vm="138">
        <v>421</v>
      </c>
      <c r="C153" s="218" cm="1" vm="5437">
        <f t="array" ref="C153" xml:space="preserve"> INDEX( tblFilterAll[Total social stock owned], PeersCritera[[#This Row],[Index]] )</f>
        <v>7588</v>
      </c>
      <c r="D153" s="219" cm="1">
        <f t="array" ref="D153" xml:space="preserve"> INDEX( tblFilterAll[% Supported housing (excl. HOP)], PeersCritera[[#This Row],[Index]] )</f>
        <v>0</v>
      </c>
      <c r="E153" s="220" cm="1">
        <f t="array" ref="E153" xml:space="preserve"> INDEX( tblFilterAll[% Housing for older people], PeersCritera[[#This Row],[Index]] )</f>
        <v>5.1758460517584606E-2</v>
      </c>
      <c r="F153" s="220">
        <f xml:space="preserve"> PeersCritera[[#This Row],[% Supported housing (excl. HOP)]] + PeersCritera[[#This Row],[% Housing for older people]]</f>
        <v>5.1758460517584606E-2</v>
      </c>
      <c r="G153" s="221">
        <f xml:space="preserve"> 1 - PeersCritera[[#This Row],[% Supported &amp; older people]]</f>
        <v>0.94824153948241541</v>
      </c>
      <c r="H153" s="222" t="str" cm="1">
        <f t="array" ref="H153" xml:space="preserve"> INDEX( tblFilterAll[Provider Type], PeersCritera[[#This Row],[Index]] )</f>
        <v>Traditional</v>
      </c>
      <c r="I153" s="223" t="str" cm="1">
        <f t="array" ref="I153" xml:space="preserve"> INDEX( tblFilterAll[LSVT age], PeersCritera[[#This Row],[Index]] )</f>
        <v>&gt;= 12 years</v>
      </c>
      <c r="J153" s="219" cm="1">
        <f t="array" ref="J153" xml:space="preserve"> INDEX( tblFilterAll[London], PeersCritera[[#This Row],[Index]] )</f>
        <v>0.98648648648648651</v>
      </c>
      <c r="K153" s="220" cm="1">
        <f t="array" ref="K153" xml:space="preserve"> INDEX( tblFilterAll[South East], PeersCritera[[#This Row],[Index]] )</f>
        <v>1.2983571807101218E-2</v>
      </c>
      <c r="L153" s="220" cm="1">
        <f t="array" ref="L153" xml:space="preserve"> INDEX( tblFilterAll[South West], PeersCritera[[#This Row],[Index]] )</f>
        <v>0</v>
      </c>
      <c r="M153" s="220" cm="1">
        <f t="array" ref="M153" xml:space="preserve"> INDEX( tblFilterAll[East Midlands], PeersCritera[[#This Row],[Index]] )</f>
        <v>0</v>
      </c>
      <c r="N153" s="220" cm="1">
        <f t="array" ref="N153" xml:space="preserve"> INDEX( tblFilterAll[West Midlands], PeersCritera[[#This Row],[Index]] )</f>
        <v>0</v>
      </c>
      <c r="O153" s="220" cm="1">
        <f t="array" ref="O153" xml:space="preserve"> INDEX( tblFilterAll[East of England], PeersCritera[[#This Row],[Index]] )</f>
        <v>5.2994170641229468E-4</v>
      </c>
      <c r="P153" s="220" cm="1">
        <f t="array" ref="P153" xml:space="preserve"> INDEX( tblFilterAll[North East], PeersCritera[[#This Row],[Index]] )</f>
        <v>0</v>
      </c>
      <c r="Q153" s="220" cm="1">
        <f t="array" ref="Q153" xml:space="preserve"> INDEX( tblFilterAll[North West], PeersCritera[[#This Row],[Index]] )</f>
        <v>0</v>
      </c>
      <c r="R153" s="220" cm="1">
        <f t="array" ref="R153" xml:space="preserve"> INDEX( tblFilterAll[Yorkshire &amp; the Humber], PeersCritera[[#This Row],[Index]] )</f>
        <v>0</v>
      </c>
      <c r="S153" s="224" t="str" cm="1">
        <f t="array" ref="S153" xml:space="preserve"> INDEX( tblFilterAll[Region with 50%+ of social stock owned], PeersCritera[[#This Row],[Index]] )</f>
        <v>London</v>
      </c>
      <c r="T153" s="229" cm="1">
        <f t="array" ref="T153" xml:space="preserve"> INDEX( tblFilterAll[Meets initial criteria], PeersCritera[[#This Row],[Index]] )</f>
        <v>1</v>
      </c>
      <c r="U153" s="241"/>
      <c r="V153" s="230">
        <f>IF( PeersCritera[[#This Row],[RP_Name]] = SelectedProvider, 1, IF( PeersCritera[[#This Row],[Override initial criteria]] = "Include", 1, IF( PeersCritera[[#This Row],[Override initial criteria]] = "Exclude", 0, PeersCritera[[#This Row],[Meets initial criteria]] ) ) )</f>
        <v>1</v>
      </c>
      <c r="W153" s="325">
        <f xml:space="preserve"> MATCH( PeersCritera[[#This Row],[RP_Name]], tblFilterAll[Provider name], 0 )</f>
        <v>138</v>
      </c>
      <c r="Y15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4" spans="2:25" x14ac:dyDescent="0.25">
      <c r="B154" s="327" t="s" vm="139">
        <v>423</v>
      </c>
      <c r="C154" s="218" cm="1" vm="2429">
        <f t="array" ref="C154" xml:space="preserve"> INDEX( tblFilterAll[Total social stock owned], PeersCritera[[#This Row],[Index]] )</f>
        <v>12381</v>
      </c>
      <c r="D154" s="219" cm="1">
        <f t="array" ref="D154" xml:space="preserve"> INDEX( tblFilterAll[% Supported housing (excl. HOP)], PeersCritera[[#This Row],[Index]] )</f>
        <v>0</v>
      </c>
      <c r="E154" s="220" cm="1">
        <f t="array" ref="E154" xml:space="preserve"> INDEX( tblFilterAll[% Housing for older people], PeersCritera[[#This Row],[Index]] )</f>
        <v>7.5512841221127447E-2</v>
      </c>
      <c r="F154" s="220">
        <f xml:space="preserve"> PeersCritera[[#This Row],[% Supported housing (excl. HOP)]] + PeersCritera[[#This Row],[% Housing for older people]]</f>
        <v>7.5512841221127447E-2</v>
      </c>
      <c r="G154" s="221">
        <f xml:space="preserve"> 1 - PeersCritera[[#This Row],[% Supported &amp; older people]]</f>
        <v>0.92448715877887255</v>
      </c>
      <c r="H154" s="222" t="str" cm="1">
        <f t="array" ref="H154" xml:space="preserve"> INDEX( tblFilterAll[Provider Type], PeersCritera[[#This Row],[Index]] )</f>
        <v>LSVT</v>
      </c>
      <c r="I154" s="223" t="str" cm="1">
        <f t="array" ref="I154" xml:space="preserve"> INDEX( tblFilterAll[LSVT age], PeersCritera[[#This Row],[Index]] )</f>
        <v>&lt; 12 years</v>
      </c>
      <c r="J154" s="219" cm="1">
        <f t="array" ref="J154" xml:space="preserve"> INDEX( tblFilterAll[London], PeersCritera[[#This Row],[Index]] )</f>
        <v>0</v>
      </c>
      <c r="K154" s="220" cm="1">
        <f t="array" ref="K154" xml:space="preserve"> INDEX( tblFilterAll[South East], PeersCritera[[#This Row],[Index]] )</f>
        <v>0</v>
      </c>
      <c r="L154" s="220" cm="1">
        <f t="array" ref="L154" xml:space="preserve"> INDEX( tblFilterAll[South West], PeersCritera[[#This Row],[Index]] )</f>
        <v>0</v>
      </c>
      <c r="M154" s="220" cm="1">
        <f t="array" ref="M154" xml:space="preserve"> INDEX( tblFilterAll[East Midlands], PeersCritera[[#This Row],[Index]] )</f>
        <v>0</v>
      </c>
      <c r="N154" s="220" cm="1">
        <f t="array" ref="N154" xml:space="preserve"> INDEX( tblFilterAll[West Midlands], PeersCritera[[#This Row],[Index]] )</f>
        <v>0</v>
      </c>
      <c r="O154" s="220" cm="1">
        <f t="array" ref="O154" xml:space="preserve"> INDEX( tblFilterAll[East of England], PeersCritera[[#This Row],[Index]] )</f>
        <v>0</v>
      </c>
      <c r="P154" s="220" cm="1">
        <f t="array" ref="P154" xml:space="preserve"> INDEX( tblFilterAll[North East], PeersCritera[[#This Row],[Index]] )</f>
        <v>0</v>
      </c>
      <c r="Q154" s="220" cm="1">
        <f t="array" ref="Q154" xml:space="preserve"> INDEX( tblFilterAll[North West], PeersCritera[[#This Row],[Index]] )</f>
        <v>1</v>
      </c>
      <c r="R154" s="220" cm="1">
        <f t="array" ref="R154" xml:space="preserve"> INDEX( tblFilterAll[Yorkshire &amp; the Humber], PeersCritera[[#This Row],[Index]] )</f>
        <v>0</v>
      </c>
      <c r="S154" s="224" t="str" cm="1">
        <f t="array" ref="S154" xml:space="preserve"> INDEX( tblFilterAll[Region with 50%+ of social stock owned], PeersCritera[[#This Row],[Index]] )</f>
        <v>North West</v>
      </c>
      <c r="T154" s="229" cm="1">
        <f t="array" ref="T154" xml:space="preserve"> INDEX( tblFilterAll[Meets initial criteria], PeersCritera[[#This Row],[Index]] )</f>
        <v>1</v>
      </c>
      <c r="U154" s="241"/>
      <c r="V154" s="230">
        <f>IF( PeersCritera[[#This Row],[RP_Name]] = SelectedProvider, 1, IF( PeersCritera[[#This Row],[Override initial criteria]] = "Include", 1, IF( PeersCritera[[#This Row],[Override initial criteria]] = "Exclude", 0, PeersCritera[[#This Row],[Meets initial criteria]] ) ) )</f>
        <v>1</v>
      </c>
      <c r="W154" s="325">
        <f xml:space="preserve"> MATCH( PeersCritera[[#This Row],[RP_Name]], tblFilterAll[Provider name], 0 )</f>
        <v>139</v>
      </c>
      <c r="Y15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5" spans="2:25" x14ac:dyDescent="0.25">
      <c r="B155" s="327" t="s" vm="140">
        <v>425</v>
      </c>
      <c r="C155" s="218" cm="1" vm="4408">
        <f t="array" ref="C155" xml:space="preserve"> INDEX( tblFilterAll[Total social stock owned], PeersCritera[[#This Row],[Index]] )</f>
        <v>6609</v>
      </c>
      <c r="D155" s="219" cm="1">
        <f t="array" ref="D155" xml:space="preserve"> INDEX( tblFilterAll[% Supported housing (excl. HOP)], PeersCritera[[#This Row],[Index]] )</f>
        <v>1.8569254185692542E-2</v>
      </c>
      <c r="E155" s="220" cm="1">
        <f t="array" ref="E155" xml:space="preserve"> INDEX( tblFilterAll[% Housing for older people], PeersCritera[[#This Row],[Index]] )</f>
        <v>6.5296803652968041E-2</v>
      </c>
      <c r="F155" s="220">
        <f xml:space="preserve"> PeersCritera[[#This Row],[% Supported housing (excl. HOP)]] + PeersCritera[[#This Row],[% Housing for older people]]</f>
        <v>8.3866057838660579E-2</v>
      </c>
      <c r="G155" s="221">
        <f xml:space="preserve"> 1 - PeersCritera[[#This Row],[% Supported &amp; older people]]</f>
        <v>0.91613394216133948</v>
      </c>
      <c r="H155" s="222" t="str" cm="1">
        <f t="array" ref="H155" xml:space="preserve"> INDEX( tblFilterAll[Provider Type], PeersCritera[[#This Row],[Index]] )</f>
        <v>Traditional</v>
      </c>
      <c r="I155" s="223" t="str" cm="1">
        <f t="array" ref="I155" xml:space="preserve"> INDEX( tblFilterAll[LSVT age], PeersCritera[[#This Row],[Index]] )</f>
        <v>&gt;= 12 years</v>
      </c>
      <c r="J155" s="219" cm="1">
        <f t="array" ref="J155" xml:space="preserve"> INDEX( tblFilterAll[London], PeersCritera[[#This Row],[Index]] )</f>
        <v>0</v>
      </c>
      <c r="K155" s="220" cm="1">
        <f t="array" ref="K155" xml:space="preserve"> INDEX( tblFilterAll[South East], PeersCritera[[#This Row],[Index]] )</f>
        <v>0</v>
      </c>
      <c r="L155" s="220" cm="1">
        <f t="array" ref="L155" xml:space="preserve"> INDEX( tblFilterAll[South West], PeersCritera[[#This Row],[Index]] )</f>
        <v>0.19815179518254811</v>
      </c>
      <c r="M155" s="220" cm="1">
        <f t="array" ref="M155" xml:space="preserve"> INDEX( tblFilterAll[East Midlands], PeersCritera[[#This Row],[Index]] )</f>
        <v>0</v>
      </c>
      <c r="N155" s="220" cm="1">
        <f t="array" ref="N155" xml:space="preserve"> INDEX( tblFilterAll[West Midlands], PeersCritera[[#This Row],[Index]] )</f>
        <v>0.80184820481745189</v>
      </c>
      <c r="O155" s="220" cm="1">
        <f t="array" ref="O155" xml:space="preserve"> INDEX( tblFilterAll[East of England], PeersCritera[[#This Row],[Index]] )</f>
        <v>0</v>
      </c>
      <c r="P155" s="220" cm="1">
        <f t="array" ref="P155" xml:space="preserve"> INDEX( tblFilterAll[North East], PeersCritera[[#This Row],[Index]] )</f>
        <v>0</v>
      </c>
      <c r="Q155" s="220" cm="1">
        <f t="array" ref="Q155" xml:space="preserve"> INDEX( tblFilterAll[North West], PeersCritera[[#This Row],[Index]] )</f>
        <v>0</v>
      </c>
      <c r="R155" s="220" cm="1">
        <f t="array" ref="R155" xml:space="preserve"> INDEX( tblFilterAll[Yorkshire &amp; the Humber], PeersCritera[[#This Row],[Index]] )</f>
        <v>0</v>
      </c>
      <c r="S155" s="224" t="str" cm="1">
        <f t="array" ref="S155" xml:space="preserve"> INDEX( tblFilterAll[Region with 50%+ of social stock owned], PeersCritera[[#This Row],[Index]] )</f>
        <v>West Midlands</v>
      </c>
      <c r="T155" s="229" cm="1">
        <f t="array" ref="T155" xml:space="preserve"> INDEX( tblFilterAll[Meets initial criteria], PeersCritera[[#This Row],[Index]] )</f>
        <v>1</v>
      </c>
      <c r="U155" s="241"/>
      <c r="V155" s="230">
        <f>IF( PeersCritera[[#This Row],[RP_Name]] = SelectedProvider, 1, IF( PeersCritera[[#This Row],[Override initial criteria]] = "Include", 1, IF( PeersCritera[[#This Row],[Override initial criteria]] = "Exclude", 0, PeersCritera[[#This Row],[Meets initial criteria]] ) ) )</f>
        <v>1</v>
      </c>
      <c r="W155" s="325">
        <f xml:space="preserve"> MATCH( PeersCritera[[#This Row],[RP_Name]], tblFilterAll[Provider name], 0 )</f>
        <v>140</v>
      </c>
      <c r="Y15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6" spans="2:25" x14ac:dyDescent="0.25">
      <c r="B156" s="327" t="s" vm="141">
        <v>427</v>
      </c>
      <c r="C156" s="218" cm="1" vm="6336">
        <f t="array" ref="C156" xml:space="preserve"> INDEX( tblFilterAll[Total social stock owned], PeersCritera[[#This Row],[Index]] )</f>
        <v>6626</v>
      </c>
      <c r="D156" s="219" cm="1">
        <f t="array" ref="D156" xml:space="preserve"> INDEX( tblFilterAll[% Supported housing (excl. HOP)], PeersCritera[[#This Row],[Index]] )</f>
        <v>1.9461310913903161E-2</v>
      </c>
      <c r="E156" s="220" cm="1">
        <f t="array" ref="E156" xml:space="preserve"> INDEX( tblFilterAll[% Housing for older people], PeersCritera[[#This Row],[Index]] )</f>
        <v>9.5905340183714771E-2</v>
      </c>
      <c r="F156" s="220">
        <f xml:space="preserve"> PeersCritera[[#This Row],[% Supported housing (excl. HOP)]] + PeersCritera[[#This Row],[% Housing for older people]]</f>
        <v>0.11536665109761793</v>
      </c>
      <c r="G156" s="221">
        <f xml:space="preserve"> 1 - PeersCritera[[#This Row],[% Supported &amp; older people]]</f>
        <v>0.8846333489023821</v>
      </c>
      <c r="H156" s="222" t="str" cm="1">
        <f t="array" ref="H156" xml:space="preserve"> INDEX( tblFilterAll[Provider Type], PeersCritera[[#This Row],[Index]] )</f>
        <v>Traditional</v>
      </c>
      <c r="I156" s="223" t="str" cm="1">
        <f t="array" ref="I156" xml:space="preserve"> INDEX( tblFilterAll[LSVT age], PeersCritera[[#This Row],[Index]] )</f>
        <v>&gt;= 12 years</v>
      </c>
      <c r="J156" s="219" cm="1">
        <f t="array" ref="J156" xml:space="preserve"> INDEX( tblFilterAll[London], PeersCritera[[#This Row],[Index]] )</f>
        <v>0</v>
      </c>
      <c r="K156" s="220" cm="1">
        <f t="array" ref="K156" xml:space="preserve"> INDEX( tblFilterAll[South East], PeersCritera[[#This Row],[Index]] )</f>
        <v>0</v>
      </c>
      <c r="L156" s="220" cm="1">
        <f t="array" ref="L156" xml:space="preserve"> INDEX( tblFilterAll[South West], PeersCritera[[#This Row],[Index]] )</f>
        <v>0</v>
      </c>
      <c r="M156" s="220" cm="1">
        <f t="array" ref="M156" xml:space="preserve"> INDEX( tblFilterAll[East Midlands], PeersCritera[[#This Row],[Index]] )</f>
        <v>0</v>
      </c>
      <c r="N156" s="220" cm="1">
        <f t="array" ref="N156" xml:space="preserve"> INDEX( tblFilterAll[West Midlands], PeersCritera[[#This Row],[Index]] )</f>
        <v>0</v>
      </c>
      <c r="O156" s="220" cm="1">
        <f t="array" ref="O156" xml:space="preserve"> INDEX( tblFilterAll[East of England], PeersCritera[[#This Row],[Index]] )</f>
        <v>1</v>
      </c>
      <c r="P156" s="220" cm="1">
        <f t="array" ref="P156" xml:space="preserve"> INDEX( tblFilterAll[North East], PeersCritera[[#This Row],[Index]] )</f>
        <v>0</v>
      </c>
      <c r="Q156" s="220" cm="1">
        <f t="array" ref="Q156" xml:space="preserve"> INDEX( tblFilterAll[North West], PeersCritera[[#This Row],[Index]] )</f>
        <v>0</v>
      </c>
      <c r="R156" s="220" cm="1">
        <f t="array" ref="R156" xml:space="preserve"> INDEX( tblFilterAll[Yorkshire &amp; the Humber], PeersCritera[[#This Row],[Index]] )</f>
        <v>0</v>
      </c>
      <c r="S156" s="224" t="str" cm="1">
        <f t="array" ref="S156" xml:space="preserve"> INDEX( tblFilterAll[Region with 50%+ of social stock owned], PeersCritera[[#This Row],[Index]] )</f>
        <v>East of England</v>
      </c>
      <c r="T156" s="229" cm="1">
        <f t="array" ref="T156" xml:space="preserve"> INDEX( tblFilterAll[Meets initial criteria], PeersCritera[[#This Row],[Index]] )</f>
        <v>1</v>
      </c>
      <c r="U156" s="241"/>
      <c r="V156" s="230">
        <f>IF( PeersCritera[[#This Row],[RP_Name]] = SelectedProvider, 1, IF( PeersCritera[[#This Row],[Override initial criteria]] = "Include", 1, IF( PeersCritera[[#This Row],[Override initial criteria]] = "Exclude", 0, PeersCritera[[#This Row],[Meets initial criteria]] ) ) )</f>
        <v>1</v>
      </c>
      <c r="W156" s="325">
        <f xml:space="preserve"> MATCH( PeersCritera[[#This Row],[RP_Name]], tblFilterAll[Provider name], 0 )</f>
        <v>141</v>
      </c>
      <c r="Y15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7" spans="2:25" x14ac:dyDescent="0.25">
      <c r="B157" s="327" t="s" vm="142">
        <v>429</v>
      </c>
      <c r="C157" s="218" cm="1" vm="6294">
        <f t="array" ref="C157" xml:space="preserve"> INDEX( tblFilterAll[Total social stock owned], PeersCritera[[#This Row],[Index]] )</f>
        <v>7876</v>
      </c>
      <c r="D157" s="219" cm="1">
        <f t="array" ref="D157" xml:space="preserve"> INDEX( tblFilterAll[% Supported housing (excl. HOP)], PeersCritera[[#This Row],[Index]] )</f>
        <v>0</v>
      </c>
      <c r="E157" s="220" cm="1">
        <f t="array" ref="E157" xml:space="preserve"> INDEX( tblFilterAll[% Housing for older people], PeersCritera[[#This Row],[Index]] )</f>
        <v>3.7709497206703912E-2</v>
      </c>
      <c r="F157" s="220">
        <f xml:space="preserve"> PeersCritera[[#This Row],[% Supported housing (excl. HOP)]] + PeersCritera[[#This Row],[% Housing for older people]]</f>
        <v>3.7709497206703912E-2</v>
      </c>
      <c r="G157" s="221">
        <f xml:space="preserve"> 1 - PeersCritera[[#This Row],[% Supported &amp; older people]]</f>
        <v>0.96229050279329609</v>
      </c>
      <c r="H157" s="222" t="str" cm="1">
        <f t="array" ref="H157" xml:space="preserve"> INDEX( tblFilterAll[Provider Type], PeersCritera[[#This Row],[Index]] )</f>
        <v>LSVT</v>
      </c>
      <c r="I157" s="223" t="str" cm="1">
        <f t="array" ref="I157" xml:space="preserve"> INDEX( tblFilterAll[LSVT age], PeersCritera[[#This Row],[Index]] )</f>
        <v>&lt; 12 years</v>
      </c>
      <c r="J157" s="219" cm="1">
        <f t="array" ref="J157" xml:space="preserve"> INDEX( tblFilterAll[London], PeersCritera[[#This Row],[Index]] )</f>
        <v>0</v>
      </c>
      <c r="K157" s="220" cm="1">
        <f t="array" ref="K157" xml:space="preserve"> INDEX( tblFilterAll[South East], PeersCritera[[#This Row],[Index]] )</f>
        <v>0</v>
      </c>
      <c r="L157" s="220" cm="1">
        <f t="array" ref="L157" xml:space="preserve"> INDEX( tblFilterAll[South West], PeersCritera[[#This Row],[Index]] )</f>
        <v>0</v>
      </c>
      <c r="M157" s="220" cm="1">
        <f t="array" ref="M157" xml:space="preserve"> INDEX( tblFilterAll[East Midlands], PeersCritera[[#This Row],[Index]] )</f>
        <v>0</v>
      </c>
      <c r="N157" s="220" cm="1">
        <f t="array" ref="N157" xml:space="preserve"> INDEX( tblFilterAll[West Midlands], PeersCritera[[#This Row],[Index]] )</f>
        <v>0</v>
      </c>
      <c r="O157" s="220" cm="1">
        <f t="array" ref="O157" xml:space="preserve"> INDEX( tblFilterAll[East of England], PeersCritera[[#This Row],[Index]] )</f>
        <v>0</v>
      </c>
      <c r="P157" s="220" cm="1">
        <f t="array" ref="P157" xml:space="preserve"> INDEX( tblFilterAll[North East], PeersCritera[[#This Row],[Index]] )</f>
        <v>0</v>
      </c>
      <c r="Q157" s="220" cm="1">
        <f t="array" ref="Q157" xml:space="preserve"> INDEX( tblFilterAll[North West], PeersCritera[[#This Row],[Index]] )</f>
        <v>1</v>
      </c>
      <c r="R157" s="220" cm="1">
        <f t="array" ref="R157" xml:space="preserve"> INDEX( tblFilterAll[Yorkshire &amp; the Humber], PeersCritera[[#This Row],[Index]] )</f>
        <v>0</v>
      </c>
      <c r="S157" s="224" t="str" cm="1">
        <f t="array" ref="S157" xml:space="preserve"> INDEX( tblFilterAll[Region with 50%+ of social stock owned], PeersCritera[[#This Row],[Index]] )</f>
        <v>North West</v>
      </c>
      <c r="T157" s="229" cm="1">
        <f t="array" ref="T157" xml:space="preserve"> INDEX( tblFilterAll[Meets initial criteria], PeersCritera[[#This Row],[Index]] )</f>
        <v>1</v>
      </c>
      <c r="U157" s="241"/>
      <c r="V157" s="230">
        <f>IF( PeersCritera[[#This Row],[RP_Name]] = SelectedProvider, 1, IF( PeersCritera[[#This Row],[Override initial criteria]] = "Include", 1, IF( PeersCritera[[#This Row],[Override initial criteria]] = "Exclude", 0, PeersCritera[[#This Row],[Meets initial criteria]] ) ) )</f>
        <v>1</v>
      </c>
      <c r="W157" s="325">
        <f xml:space="preserve"> MATCH( PeersCritera[[#This Row],[RP_Name]], tblFilterAll[Provider name], 0 )</f>
        <v>142</v>
      </c>
      <c r="Y15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8" spans="2:25" x14ac:dyDescent="0.25">
      <c r="B158" s="327" t="s" vm="143">
        <v>431</v>
      </c>
      <c r="C158" s="218" cm="1" vm="3668">
        <f t="array" ref="C158" xml:space="preserve"> INDEX( tblFilterAll[Total social stock owned], PeersCritera[[#This Row],[Index]] )</f>
        <v>3612</v>
      </c>
      <c r="D158" s="219" cm="1">
        <f t="array" ref="D158" xml:space="preserve"> INDEX( tblFilterAll[% Supported housing (excl. HOP)], PeersCritera[[#This Row],[Index]] )</f>
        <v>0.54872226902555465</v>
      </c>
      <c r="E158" s="220" cm="1">
        <f t="array" ref="E158" xml:space="preserve"> INDEX( tblFilterAll[% Housing for older people], PeersCritera[[#This Row],[Index]] )</f>
        <v>8.1156978376860436E-2</v>
      </c>
      <c r="F158" s="220">
        <f xml:space="preserve"> PeersCritera[[#This Row],[% Supported housing (excl. HOP)]] + PeersCritera[[#This Row],[% Housing for older people]]</f>
        <v>0.62987924740241508</v>
      </c>
      <c r="G158" s="221">
        <f xml:space="preserve"> 1 - PeersCritera[[#This Row],[% Supported &amp; older people]]</f>
        <v>0.37012075259758492</v>
      </c>
      <c r="H158" s="222" t="str" cm="1">
        <f t="array" ref="H158" xml:space="preserve"> INDEX( tblFilterAll[Provider Type], PeersCritera[[#This Row],[Index]] )</f>
        <v>Traditional</v>
      </c>
      <c r="I158" s="223" t="str" cm="1">
        <f t="array" ref="I158" xml:space="preserve"> INDEX( tblFilterAll[LSVT age], PeersCritera[[#This Row],[Index]] )</f>
        <v/>
      </c>
      <c r="J158" s="219" cm="1">
        <f t="array" ref="J158" xml:space="preserve"> INDEX( tblFilterAll[London], PeersCritera[[#This Row],[Index]] )</f>
        <v>0.19681002563372257</v>
      </c>
      <c r="K158" s="220" cm="1">
        <f t="array" ref="K158" xml:space="preserve"> INDEX( tblFilterAll[South East], PeersCritera[[#This Row],[Index]] )</f>
        <v>9.6268869268014812E-2</v>
      </c>
      <c r="L158" s="220" cm="1">
        <f t="array" ref="L158" xml:space="preserve"> INDEX( tblFilterAll[South West], PeersCritera[[#This Row],[Index]] )</f>
        <v>0.13101680432925092</v>
      </c>
      <c r="M158" s="220" cm="1">
        <f t="array" ref="M158" xml:space="preserve"> INDEX( tblFilterAll[East Midlands], PeersCritera[[#This Row],[Index]] )</f>
        <v>4.8704072913699797E-2</v>
      </c>
      <c r="N158" s="220" cm="1">
        <f t="array" ref="N158" xml:space="preserve"> INDEX( tblFilterAll[West Midlands], PeersCritera[[#This Row],[Index]] )</f>
        <v>5.8103104528624321E-2</v>
      </c>
      <c r="O158" s="220" cm="1">
        <f t="array" ref="O158" xml:space="preserve"> INDEX( tblFilterAll[East of England], PeersCritera[[#This Row],[Index]] )</f>
        <v>0.11478211335801766</v>
      </c>
      <c r="P158" s="220" cm="1">
        <f t="array" ref="P158" xml:space="preserve"> INDEX( tblFilterAll[North East], PeersCritera[[#This Row],[Index]] )</f>
        <v>3.7880945599544288E-2</v>
      </c>
      <c r="Q158" s="220" cm="1">
        <f t="array" ref="Q158" xml:space="preserve"> INDEX( tblFilterAll[North West], PeersCritera[[#This Row],[Index]] )</f>
        <v>0.23241241811449728</v>
      </c>
      <c r="R158" s="220" cm="1">
        <f t="array" ref="R158" xml:space="preserve"> INDEX( tblFilterAll[Yorkshire &amp; the Humber], PeersCritera[[#This Row],[Index]] )</f>
        <v>8.402164625462831E-2</v>
      </c>
      <c r="S158" s="224" t="str" cm="1">
        <f t="array" ref="S158" xml:space="preserve"> INDEX( tblFilterAll[Region with 50%+ of social stock owned], PeersCritera[[#This Row],[Index]] )</f>
        <v>Mixed</v>
      </c>
      <c r="T158" s="229" cm="1">
        <f t="array" ref="T158" xml:space="preserve"> INDEX( tblFilterAll[Meets initial criteria], PeersCritera[[#This Row],[Index]] )</f>
        <v>1</v>
      </c>
      <c r="U158" s="241"/>
      <c r="V158" s="230">
        <f>IF( PeersCritera[[#This Row],[RP_Name]] = SelectedProvider, 1, IF( PeersCritera[[#This Row],[Override initial criteria]] = "Include", 1, IF( PeersCritera[[#This Row],[Override initial criteria]] = "Exclude", 0, PeersCritera[[#This Row],[Meets initial criteria]] ) ) )</f>
        <v>1</v>
      </c>
      <c r="W158" s="325">
        <f xml:space="preserve"> MATCH( PeersCritera[[#This Row],[RP_Name]], tblFilterAll[Provider name], 0 )</f>
        <v>143</v>
      </c>
      <c r="Y15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59" spans="2:25" x14ac:dyDescent="0.25">
      <c r="B159" s="327" t="s" vm="144">
        <v>433</v>
      </c>
      <c r="C159" s="218" cm="1" vm="1772">
        <f t="array" ref="C159" xml:space="preserve"> INDEX( tblFilterAll[Total social stock owned], PeersCritera[[#This Row],[Index]] )</f>
        <v>88889</v>
      </c>
      <c r="D159" s="219" cm="1">
        <f t="array" ref="D159" xml:space="preserve"> INDEX( tblFilterAll[% Supported housing (excl. HOP)], PeersCritera[[#This Row],[Index]] )</f>
        <v>5.5806881768671879E-2</v>
      </c>
      <c r="E159" s="220" cm="1">
        <f t="array" ref="E159" xml:space="preserve"> INDEX( tblFilterAll[% Housing for older people], PeersCritera[[#This Row],[Index]] )</f>
        <v>0.12948492665844144</v>
      </c>
      <c r="F159" s="220">
        <f xml:space="preserve"> PeersCritera[[#This Row],[% Supported housing (excl. HOP)]] + PeersCritera[[#This Row],[% Housing for older people]]</f>
        <v>0.18529180842711332</v>
      </c>
      <c r="G159" s="221">
        <f xml:space="preserve"> 1 - PeersCritera[[#This Row],[% Supported &amp; older people]]</f>
        <v>0.81470819157288665</v>
      </c>
      <c r="H159" s="222" t="str" cm="1">
        <f t="array" ref="H159" xml:space="preserve"> INDEX( tblFilterAll[Provider Type], PeersCritera[[#This Row],[Index]] )</f>
        <v>Traditional</v>
      </c>
      <c r="I159" s="223" t="str" cm="1">
        <f t="array" ref="I159" xml:space="preserve"> INDEX( tblFilterAll[LSVT age], PeersCritera[[#This Row],[Index]] )</f>
        <v/>
      </c>
      <c r="J159" s="219" cm="1">
        <f t="array" ref="J159" xml:space="preserve"> INDEX( tblFilterAll[London], PeersCritera[[#This Row],[Index]] )</f>
        <v>0.13272325497197218</v>
      </c>
      <c r="K159" s="220" cm="1">
        <f t="array" ref="K159" xml:space="preserve"> INDEX( tblFilterAll[South East], PeersCritera[[#This Row],[Index]] )</f>
        <v>0.13311027603340866</v>
      </c>
      <c r="L159" s="220" cm="1">
        <f t="array" ref="L159" xml:space="preserve"> INDEX( tblFilterAll[South West], PeersCritera[[#This Row],[Index]] )</f>
        <v>0.13147479993508035</v>
      </c>
      <c r="M159" s="220" cm="1">
        <f t="array" ref="M159" xml:space="preserve"> INDEX( tblFilterAll[East Midlands], PeersCritera[[#This Row],[Index]] )</f>
        <v>1.4244871970935966E-2</v>
      </c>
      <c r="N159" s="220" cm="1">
        <f t="array" ref="N159" xml:space="preserve"> INDEX( tblFilterAll[West Midlands], PeersCritera[[#This Row],[Index]] )</f>
        <v>0.12418382251963196</v>
      </c>
      <c r="O159" s="220" cm="1">
        <f t="array" ref="O159" xml:space="preserve"> INDEX( tblFilterAll[East of England], PeersCritera[[#This Row],[Index]] )</f>
        <v>0.22580806252262825</v>
      </c>
      <c r="P159" s="220" cm="1">
        <f t="array" ref="P159" xml:space="preserve"> INDEX( tblFilterAll[North East], PeersCritera[[#This Row],[Index]] )</f>
        <v>1.0986404324648247E-3</v>
      </c>
      <c r="Q159" s="220" cm="1">
        <f t="array" ref="Q159" xml:space="preserve"> INDEX( tblFilterAll[North West], PeersCritera[[#This Row],[Index]] )</f>
        <v>0.1248829573402914</v>
      </c>
      <c r="R159" s="220" cm="1">
        <f t="array" ref="R159" xml:space="preserve"> INDEX( tblFilterAll[Yorkshire &amp; the Humber], PeersCritera[[#This Row],[Index]] )</f>
        <v>0.11247331427358644</v>
      </c>
      <c r="S159" s="224" t="str" cm="1">
        <f t="array" ref="S159" xml:space="preserve"> INDEX( tblFilterAll[Region with 50%+ of social stock owned], PeersCritera[[#This Row],[Index]] )</f>
        <v>Mixed</v>
      </c>
      <c r="T159" s="229" cm="1">
        <f t="array" ref="T159" xml:space="preserve"> INDEX( tblFilterAll[Meets initial criteria], PeersCritera[[#This Row],[Index]] )</f>
        <v>1</v>
      </c>
      <c r="U159" s="241"/>
      <c r="V159" s="230">
        <f>IF( PeersCritera[[#This Row],[RP_Name]] = SelectedProvider, 1, IF( PeersCritera[[#This Row],[Override initial criteria]] = "Include", 1, IF( PeersCritera[[#This Row],[Override initial criteria]] = "Exclude", 0, PeersCritera[[#This Row],[Meets initial criteria]] ) ) )</f>
        <v>1</v>
      </c>
      <c r="W159" s="325">
        <f xml:space="preserve"> MATCH( PeersCritera[[#This Row],[RP_Name]], tblFilterAll[Provider name], 0 )</f>
        <v>144</v>
      </c>
      <c r="Y15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0" spans="2:25" x14ac:dyDescent="0.25">
      <c r="B160" s="327" t="s" vm="145">
        <v>435</v>
      </c>
      <c r="C160" s="218" cm="1" vm="5363">
        <f t="array" ref="C160" xml:space="preserve"> INDEX( tblFilterAll[Total social stock owned], PeersCritera[[#This Row],[Index]] )</f>
        <v>6164</v>
      </c>
      <c r="D160" s="219" cm="1">
        <f t="array" ref="D160" xml:space="preserve"> INDEX( tblFilterAll[% Supported housing (excl. HOP)], PeersCritera[[#This Row],[Index]] )</f>
        <v>3.114754098360656E-3</v>
      </c>
      <c r="E160" s="220" cm="1">
        <f t="array" ref="E160" xml:space="preserve"> INDEX( tblFilterAll[% Housing for older people], PeersCritera[[#This Row],[Index]] )</f>
        <v>0.20885245901639343</v>
      </c>
      <c r="F160" s="220">
        <f xml:space="preserve"> PeersCritera[[#This Row],[% Supported housing (excl. HOP)]] + PeersCritera[[#This Row],[% Housing for older people]]</f>
        <v>0.21196721311475408</v>
      </c>
      <c r="G160" s="221">
        <f xml:space="preserve"> 1 - PeersCritera[[#This Row],[% Supported &amp; older people]]</f>
        <v>0.78803278688524592</v>
      </c>
      <c r="H160" s="222" t="str" cm="1">
        <f t="array" ref="H160" xml:space="preserve"> INDEX( tblFilterAll[Provider Type], PeersCritera[[#This Row],[Index]] )</f>
        <v>Traditional</v>
      </c>
      <c r="I160" s="223" t="str" cm="1">
        <f t="array" ref="I160" xml:space="preserve"> INDEX( tblFilterAll[LSVT age], PeersCritera[[#This Row],[Index]] )</f>
        <v>&gt;= 12 years</v>
      </c>
      <c r="J160" s="219" cm="1">
        <f t="array" ref="J160" xml:space="preserve"> INDEX( tblFilterAll[London], PeersCritera[[#This Row],[Index]] )</f>
        <v>0</v>
      </c>
      <c r="K160" s="220" cm="1">
        <f t="array" ref="K160" xml:space="preserve"> INDEX( tblFilterAll[South East], PeersCritera[[#This Row],[Index]] )</f>
        <v>1</v>
      </c>
      <c r="L160" s="220" cm="1">
        <f t="array" ref="L160" xml:space="preserve"> INDEX( tblFilterAll[South West], PeersCritera[[#This Row],[Index]] )</f>
        <v>0</v>
      </c>
      <c r="M160" s="220" cm="1">
        <f t="array" ref="M160" xml:space="preserve"> INDEX( tblFilterAll[East Midlands], PeersCritera[[#This Row],[Index]] )</f>
        <v>0</v>
      </c>
      <c r="N160" s="220" cm="1">
        <f t="array" ref="N160" xml:space="preserve"> INDEX( tblFilterAll[West Midlands], PeersCritera[[#This Row],[Index]] )</f>
        <v>0</v>
      </c>
      <c r="O160" s="220" cm="1">
        <f t="array" ref="O160" xml:space="preserve"> INDEX( tblFilterAll[East of England], PeersCritera[[#This Row],[Index]] )</f>
        <v>0</v>
      </c>
      <c r="P160" s="220" cm="1">
        <f t="array" ref="P160" xml:space="preserve"> INDEX( tblFilterAll[North East], PeersCritera[[#This Row],[Index]] )</f>
        <v>0</v>
      </c>
      <c r="Q160" s="220" cm="1">
        <f t="array" ref="Q160" xml:space="preserve"> INDEX( tblFilterAll[North West], PeersCritera[[#This Row],[Index]] )</f>
        <v>0</v>
      </c>
      <c r="R160" s="220" cm="1">
        <f t="array" ref="R160" xml:space="preserve"> INDEX( tblFilterAll[Yorkshire &amp; the Humber], PeersCritera[[#This Row],[Index]] )</f>
        <v>0</v>
      </c>
      <c r="S160" s="224" t="str" cm="1">
        <f t="array" ref="S160" xml:space="preserve"> INDEX( tblFilterAll[Region with 50%+ of social stock owned], PeersCritera[[#This Row],[Index]] )</f>
        <v>South East</v>
      </c>
      <c r="T160" s="229" cm="1">
        <f t="array" ref="T160" xml:space="preserve"> INDEX( tblFilterAll[Meets initial criteria], PeersCritera[[#This Row],[Index]] )</f>
        <v>1</v>
      </c>
      <c r="U160" s="241"/>
      <c r="V160" s="230">
        <f>IF( PeersCritera[[#This Row],[RP_Name]] = SelectedProvider, 1, IF( PeersCritera[[#This Row],[Override initial criteria]] = "Include", 1, IF( PeersCritera[[#This Row],[Override initial criteria]] = "Exclude", 0, PeersCritera[[#This Row],[Meets initial criteria]] ) ) )</f>
        <v>1</v>
      </c>
      <c r="W160" s="325">
        <f xml:space="preserve"> MATCH( PeersCritera[[#This Row],[RP_Name]], tblFilterAll[Provider name], 0 )</f>
        <v>145</v>
      </c>
      <c r="Y16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1" spans="2:25" x14ac:dyDescent="0.25">
      <c r="B161" s="327" t="s" vm="146">
        <v>437</v>
      </c>
      <c r="C161" s="218" cm="1" vm="5991">
        <f t="array" ref="C161" xml:space="preserve"> INDEX( tblFilterAll[Total social stock owned], PeersCritera[[#This Row],[Index]] )</f>
        <v>6961</v>
      </c>
      <c r="D161" s="219" cm="1">
        <f t="array" ref="D161" xml:space="preserve"> INDEX( tblFilterAll[% Supported housing (excl. HOP)], PeersCritera[[#This Row],[Index]] )</f>
        <v>1.1590843233845263E-2</v>
      </c>
      <c r="E161" s="220" cm="1">
        <f t="array" ref="E161" xml:space="preserve"> INDEX( tblFilterAll[% Housing for older people], PeersCritera[[#This Row],[Index]] )</f>
        <v>0.20501303969863807</v>
      </c>
      <c r="F161" s="220">
        <f xml:space="preserve"> PeersCritera[[#This Row],[% Supported housing (excl. HOP)]] + PeersCritera[[#This Row],[% Housing for older people]]</f>
        <v>0.21660388293248334</v>
      </c>
      <c r="G161" s="221">
        <f xml:space="preserve"> 1 - PeersCritera[[#This Row],[% Supported &amp; older people]]</f>
        <v>0.78339611706751666</v>
      </c>
      <c r="H161" s="222" t="str" cm="1">
        <f t="array" ref="H161" xml:space="preserve"> INDEX( tblFilterAll[Provider Type], PeersCritera[[#This Row],[Index]] )</f>
        <v>Traditional</v>
      </c>
      <c r="I161" s="223" t="str" cm="1">
        <f t="array" ref="I161" xml:space="preserve"> INDEX( tblFilterAll[LSVT age], PeersCritera[[#This Row],[Index]] )</f>
        <v>&gt;= 12 years</v>
      </c>
      <c r="J161" s="219" cm="1">
        <f t="array" ref="J161" xml:space="preserve"> INDEX( tblFilterAll[London], PeersCritera[[#This Row],[Index]] )</f>
        <v>0</v>
      </c>
      <c r="K161" s="220" cm="1">
        <f t="array" ref="K161" xml:space="preserve"> INDEX( tblFilterAll[South East], PeersCritera[[#This Row],[Index]] )</f>
        <v>0</v>
      </c>
      <c r="L161" s="220" cm="1">
        <f t="array" ref="L161" xml:space="preserve"> INDEX( tblFilterAll[South West], PeersCritera[[#This Row],[Index]] )</f>
        <v>1</v>
      </c>
      <c r="M161" s="220" cm="1">
        <f t="array" ref="M161" xml:space="preserve"> INDEX( tblFilterAll[East Midlands], PeersCritera[[#This Row],[Index]] )</f>
        <v>0</v>
      </c>
      <c r="N161" s="220" cm="1">
        <f t="array" ref="N161" xml:space="preserve"> INDEX( tblFilterAll[West Midlands], PeersCritera[[#This Row],[Index]] )</f>
        <v>0</v>
      </c>
      <c r="O161" s="220" cm="1">
        <f t="array" ref="O161" xml:space="preserve"> INDEX( tblFilterAll[East of England], PeersCritera[[#This Row],[Index]] )</f>
        <v>0</v>
      </c>
      <c r="P161" s="220" cm="1">
        <f t="array" ref="P161" xml:space="preserve"> INDEX( tblFilterAll[North East], PeersCritera[[#This Row],[Index]] )</f>
        <v>0</v>
      </c>
      <c r="Q161" s="220" cm="1">
        <f t="array" ref="Q161" xml:space="preserve"> INDEX( tblFilterAll[North West], PeersCritera[[#This Row],[Index]] )</f>
        <v>0</v>
      </c>
      <c r="R161" s="220" cm="1">
        <f t="array" ref="R161" xml:space="preserve"> INDEX( tblFilterAll[Yorkshire &amp; the Humber], PeersCritera[[#This Row],[Index]] )</f>
        <v>0</v>
      </c>
      <c r="S161" s="224" t="str" cm="1">
        <f t="array" ref="S161" xml:space="preserve"> INDEX( tblFilterAll[Region with 50%+ of social stock owned], PeersCritera[[#This Row],[Index]] )</f>
        <v>South West</v>
      </c>
      <c r="T161" s="229" cm="1">
        <f t="array" ref="T161" xml:space="preserve"> INDEX( tblFilterAll[Meets initial criteria], PeersCritera[[#This Row],[Index]] )</f>
        <v>1</v>
      </c>
      <c r="U161" s="241"/>
      <c r="V161" s="230">
        <f>IF( PeersCritera[[#This Row],[RP_Name]] = SelectedProvider, 1, IF( PeersCritera[[#This Row],[Override initial criteria]] = "Include", 1, IF( PeersCritera[[#This Row],[Override initial criteria]] = "Exclude", 0, PeersCritera[[#This Row],[Meets initial criteria]] ) ) )</f>
        <v>1</v>
      </c>
      <c r="W161" s="325">
        <f xml:space="preserve"> MATCH( PeersCritera[[#This Row],[RP_Name]], tblFilterAll[Provider name], 0 )</f>
        <v>146</v>
      </c>
      <c r="Y16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2" spans="2:25" x14ac:dyDescent="0.25">
      <c r="B162" s="327" t="s" vm="147">
        <v>439</v>
      </c>
      <c r="C162" s="218" cm="1" vm="5196">
        <f t="array" ref="C162" xml:space="preserve"> INDEX( tblFilterAll[Total social stock owned], PeersCritera[[#This Row],[Index]] )</f>
        <v>9266</v>
      </c>
      <c r="D162" s="219" cm="1">
        <f t="array" ref="D162" xml:space="preserve"> INDEX( tblFilterAll[% Supported housing (excl. HOP)], PeersCritera[[#This Row],[Index]] )</f>
        <v>1.1504327818560315E-2</v>
      </c>
      <c r="E162" s="220" cm="1">
        <f t="array" ref="E162" xml:space="preserve"> INDEX( tblFilterAll[% Housing for older people], PeersCritera[[#This Row],[Index]] )</f>
        <v>8.4803330776816038E-2</v>
      </c>
      <c r="F162" s="220">
        <f xml:space="preserve"> PeersCritera[[#This Row],[% Supported housing (excl. HOP)]] + PeersCritera[[#This Row],[% Housing for older people]]</f>
        <v>9.630765859537635E-2</v>
      </c>
      <c r="G162" s="221">
        <f xml:space="preserve"> 1 - PeersCritera[[#This Row],[% Supported &amp; older people]]</f>
        <v>0.90369234140462362</v>
      </c>
      <c r="H162" s="222" t="str" cm="1">
        <f t="array" ref="H162" xml:space="preserve"> INDEX( tblFilterAll[Provider Type], PeersCritera[[#This Row],[Index]] )</f>
        <v>Traditional</v>
      </c>
      <c r="I162" s="223" t="str" cm="1">
        <f t="array" ref="I162" xml:space="preserve"> INDEX( tblFilterAll[LSVT age], PeersCritera[[#This Row],[Index]] )</f>
        <v>&gt;= 12 years</v>
      </c>
      <c r="J162" s="219" cm="1">
        <f t="array" ref="J162" xml:space="preserve"> INDEX( tblFilterAll[London], PeersCritera[[#This Row],[Index]] )</f>
        <v>0</v>
      </c>
      <c r="K162" s="220" cm="1">
        <f t="array" ref="K162" xml:space="preserve"> INDEX( tblFilterAll[South East], PeersCritera[[#This Row],[Index]] )</f>
        <v>6.5111231687466087E-4</v>
      </c>
      <c r="L162" s="220" cm="1">
        <f t="array" ref="L162" xml:space="preserve"> INDEX( tblFilterAll[South West], PeersCritera[[#This Row],[Index]] )</f>
        <v>0</v>
      </c>
      <c r="M162" s="220" cm="1">
        <f t="array" ref="M162" xml:space="preserve"> INDEX( tblFilterAll[East Midlands], PeersCritera[[#This Row],[Index]] )</f>
        <v>0</v>
      </c>
      <c r="N162" s="220" cm="1">
        <f t="array" ref="N162" xml:space="preserve"> INDEX( tblFilterAll[West Midlands], PeersCritera[[#This Row],[Index]] )</f>
        <v>0</v>
      </c>
      <c r="O162" s="220" cm="1">
        <f t="array" ref="O162" xml:space="preserve"> INDEX( tblFilterAll[East of England], PeersCritera[[#This Row],[Index]] )</f>
        <v>0.99934888768312535</v>
      </c>
      <c r="P162" s="220" cm="1">
        <f t="array" ref="P162" xml:space="preserve"> INDEX( tblFilterAll[North East], PeersCritera[[#This Row],[Index]] )</f>
        <v>0</v>
      </c>
      <c r="Q162" s="220" cm="1">
        <f t="array" ref="Q162" xml:space="preserve"> INDEX( tblFilterAll[North West], PeersCritera[[#This Row],[Index]] )</f>
        <v>0</v>
      </c>
      <c r="R162" s="220" cm="1">
        <f t="array" ref="R162" xml:space="preserve"> INDEX( tblFilterAll[Yorkshire &amp; the Humber], PeersCritera[[#This Row],[Index]] )</f>
        <v>0</v>
      </c>
      <c r="S162" s="224" t="str" cm="1">
        <f t="array" ref="S162" xml:space="preserve"> INDEX( tblFilterAll[Region with 50%+ of social stock owned], PeersCritera[[#This Row],[Index]] )</f>
        <v>East of England</v>
      </c>
      <c r="T162" s="229" cm="1">
        <f t="array" ref="T162" xml:space="preserve"> INDEX( tblFilterAll[Meets initial criteria], PeersCritera[[#This Row],[Index]] )</f>
        <v>1</v>
      </c>
      <c r="U162" s="241"/>
      <c r="V162" s="230">
        <f>IF( PeersCritera[[#This Row],[RP_Name]] = SelectedProvider, 1, IF( PeersCritera[[#This Row],[Override initial criteria]] = "Include", 1, IF( PeersCritera[[#This Row],[Override initial criteria]] = "Exclude", 0, PeersCritera[[#This Row],[Meets initial criteria]] ) ) )</f>
        <v>1</v>
      </c>
      <c r="W162" s="325">
        <f xml:space="preserve"> MATCH( PeersCritera[[#This Row],[RP_Name]], tblFilterAll[Provider name], 0 )</f>
        <v>147</v>
      </c>
      <c r="Y16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3" spans="2:25" x14ac:dyDescent="0.25">
      <c r="B163" s="327" t="s" vm="148">
        <v>441</v>
      </c>
      <c r="C163" s="218" cm="1" vm="3579">
        <f t="array" ref="C163" xml:space="preserve"> INDEX( tblFilterAll[Total social stock owned], PeersCritera[[#This Row],[Index]] )</f>
        <v>4616</v>
      </c>
      <c r="D163" s="219" cm="1">
        <f t="array" ref="D163" xml:space="preserve"> INDEX( tblFilterAll[% Supported housing (excl. HOP)], PeersCritera[[#This Row],[Index]] )</f>
        <v>4.5840787119856889E-2</v>
      </c>
      <c r="E163" s="220" cm="1">
        <f t="array" ref="E163" xml:space="preserve"> INDEX( tblFilterAll[% Housing for older people], PeersCritera[[#This Row],[Index]] )</f>
        <v>1.6323792486583184E-2</v>
      </c>
      <c r="F163" s="220">
        <f xml:space="preserve"> PeersCritera[[#This Row],[% Supported housing (excl. HOP)]] + PeersCritera[[#This Row],[% Housing for older people]]</f>
        <v>6.2164579606440076E-2</v>
      </c>
      <c r="G163" s="221">
        <f xml:space="preserve"> 1 - PeersCritera[[#This Row],[% Supported &amp; older people]]</f>
        <v>0.93783542039355994</v>
      </c>
      <c r="H163" s="222" t="str" cm="1">
        <f t="array" ref="H163" xml:space="preserve"> INDEX( tblFilterAll[Provider Type], PeersCritera[[#This Row],[Index]] )</f>
        <v>Traditional</v>
      </c>
      <c r="I163" s="223" t="str" cm="1">
        <f t="array" ref="I163" xml:space="preserve"> INDEX( tblFilterAll[LSVT age], PeersCritera[[#This Row],[Index]] )</f>
        <v/>
      </c>
      <c r="J163" s="219" cm="1">
        <f t="array" ref="J163" xml:space="preserve"> INDEX( tblFilterAll[London], PeersCritera[[#This Row],[Index]] )</f>
        <v>0.99549954995499546</v>
      </c>
      <c r="K163" s="220" cm="1">
        <f t="array" ref="K163" xml:space="preserve"> INDEX( tblFilterAll[South East], PeersCritera[[#This Row],[Index]] )</f>
        <v>2.7002700270027003E-3</v>
      </c>
      <c r="L163" s="220" cm="1">
        <f t="array" ref="L163" xml:space="preserve"> INDEX( tblFilterAll[South West], PeersCritera[[#This Row],[Index]] )</f>
        <v>4.5004500450045003E-4</v>
      </c>
      <c r="M163" s="220" cm="1">
        <f t="array" ref="M163" xml:space="preserve"> INDEX( tblFilterAll[East Midlands], PeersCritera[[#This Row],[Index]] )</f>
        <v>0</v>
      </c>
      <c r="N163" s="220" cm="1">
        <f t="array" ref="N163" xml:space="preserve"> INDEX( tblFilterAll[West Midlands], PeersCritera[[#This Row],[Index]] )</f>
        <v>0</v>
      </c>
      <c r="O163" s="220" cm="1">
        <f t="array" ref="O163" xml:space="preserve"> INDEX( tblFilterAll[East of England], PeersCritera[[#This Row],[Index]] )</f>
        <v>1.3501350135013501E-3</v>
      </c>
      <c r="P163" s="220" cm="1">
        <f t="array" ref="P163" xml:space="preserve"> INDEX( tblFilterAll[North East], PeersCritera[[#This Row],[Index]] )</f>
        <v>0</v>
      </c>
      <c r="Q163" s="220" cm="1">
        <f t="array" ref="Q163" xml:space="preserve"> INDEX( tblFilterAll[North West], PeersCritera[[#This Row],[Index]] )</f>
        <v>0</v>
      </c>
      <c r="R163" s="220" cm="1">
        <f t="array" ref="R163" xml:space="preserve"> INDEX( tblFilterAll[Yorkshire &amp; the Humber], PeersCritera[[#This Row],[Index]] )</f>
        <v>0</v>
      </c>
      <c r="S163" s="224" t="str" cm="1">
        <f t="array" ref="S163" xml:space="preserve"> INDEX( tblFilterAll[Region with 50%+ of social stock owned], PeersCritera[[#This Row],[Index]] )</f>
        <v>London</v>
      </c>
      <c r="T163" s="229" cm="1">
        <f t="array" ref="T163" xml:space="preserve"> INDEX( tblFilterAll[Meets initial criteria], PeersCritera[[#This Row],[Index]] )</f>
        <v>1</v>
      </c>
      <c r="U163" s="241"/>
      <c r="V163" s="230">
        <f>IF( PeersCritera[[#This Row],[RP_Name]] = SelectedProvider, 1, IF( PeersCritera[[#This Row],[Override initial criteria]] = "Include", 1, IF( PeersCritera[[#This Row],[Override initial criteria]] = "Exclude", 0, PeersCritera[[#This Row],[Meets initial criteria]] ) ) )</f>
        <v>1</v>
      </c>
      <c r="W163" s="325">
        <f xml:space="preserve"> MATCH( PeersCritera[[#This Row],[RP_Name]], tblFilterAll[Provider name], 0 )</f>
        <v>148</v>
      </c>
      <c r="Y16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4" spans="2:25" x14ac:dyDescent="0.25">
      <c r="B164" s="327" t="s" vm="149">
        <v>443</v>
      </c>
      <c r="C164" s="218" cm="1" vm="5602">
        <f t="array" ref="C164" xml:space="preserve"> INDEX( tblFilterAll[Total social stock owned], PeersCritera[[#This Row],[Index]] )</f>
        <v>6957</v>
      </c>
      <c r="D164" s="219" cm="1">
        <f t="array" ref="D164" xml:space="preserve"> INDEX( tblFilterAll[% Supported housing (excl. HOP)], PeersCritera[[#This Row],[Index]] )</f>
        <v>6.7171644990710305E-3</v>
      </c>
      <c r="E164" s="220" cm="1">
        <f t="array" ref="E164" xml:space="preserve"> INDEX( tblFilterAll[% Housing for older people], PeersCritera[[#This Row],[Index]] )</f>
        <v>5.002143775903959E-2</v>
      </c>
      <c r="F164" s="220">
        <f xml:space="preserve"> PeersCritera[[#This Row],[% Supported housing (excl. HOP)]] + PeersCritera[[#This Row],[% Housing for older people]]</f>
        <v>5.6738602258110622E-2</v>
      </c>
      <c r="G164" s="221">
        <f xml:space="preserve"> 1 - PeersCritera[[#This Row],[% Supported &amp; older people]]</f>
        <v>0.94326139774188933</v>
      </c>
      <c r="H164" s="222" t="str" cm="1">
        <f t="array" ref="H164" xml:space="preserve"> INDEX( tblFilterAll[Provider Type], PeersCritera[[#This Row],[Index]] )</f>
        <v>Traditional</v>
      </c>
      <c r="I164" s="223" t="str" cm="1">
        <f t="array" ref="I164" xml:space="preserve"> INDEX( tblFilterAll[LSVT age], PeersCritera[[#This Row],[Index]] )</f>
        <v>&gt;= 12 years</v>
      </c>
      <c r="J164" s="219" cm="1">
        <f t="array" ref="J164" xml:space="preserve"> INDEX( tblFilterAll[London], PeersCritera[[#This Row],[Index]] )</f>
        <v>0</v>
      </c>
      <c r="K164" s="220" cm="1">
        <f t="array" ref="K164" xml:space="preserve"> INDEX( tblFilterAll[South East], PeersCritera[[#This Row],[Index]] )</f>
        <v>1</v>
      </c>
      <c r="L164" s="220" cm="1">
        <f t="array" ref="L164" xml:space="preserve"> INDEX( tblFilterAll[South West], PeersCritera[[#This Row],[Index]] )</f>
        <v>0</v>
      </c>
      <c r="M164" s="220" cm="1">
        <f t="array" ref="M164" xml:space="preserve"> INDEX( tblFilterAll[East Midlands], PeersCritera[[#This Row],[Index]] )</f>
        <v>0</v>
      </c>
      <c r="N164" s="220" cm="1">
        <f t="array" ref="N164" xml:space="preserve"> INDEX( tblFilterAll[West Midlands], PeersCritera[[#This Row],[Index]] )</f>
        <v>0</v>
      </c>
      <c r="O164" s="220" cm="1">
        <f t="array" ref="O164" xml:space="preserve"> INDEX( tblFilterAll[East of England], PeersCritera[[#This Row],[Index]] )</f>
        <v>0</v>
      </c>
      <c r="P164" s="220" cm="1">
        <f t="array" ref="P164" xml:space="preserve"> INDEX( tblFilterAll[North East], PeersCritera[[#This Row],[Index]] )</f>
        <v>0</v>
      </c>
      <c r="Q164" s="220" cm="1">
        <f t="array" ref="Q164" xml:space="preserve"> INDEX( tblFilterAll[North West], PeersCritera[[#This Row],[Index]] )</f>
        <v>0</v>
      </c>
      <c r="R164" s="220" cm="1">
        <f t="array" ref="R164" xml:space="preserve"> INDEX( tblFilterAll[Yorkshire &amp; the Humber], PeersCritera[[#This Row],[Index]] )</f>
        <v>0</v>
      </c>
      <c r="S164" s="224" t="str" cm="1">
        <f t="array" ref="S164" xml:space="preserve"> INDEX( tblFilterAll[Region with 50%+ of social stock owned], PeersCritera[[#This Row],[Index]] )</f>
        <v>South East</v>
      </c>
      <c r="T164" s="229" cm="1">
        <f t="array" ref="T164" xml:space="preserve"> INDEX( tblFilterAll[Meets initial criteria], PeersCritera[[#This Row],[Index]] )</f>
        <v>1</v>
      </c>
      <c r="U164" s="241"/>
      <c r="V164" s="230">
        <f>IF( PeersCritera[[#This Row],[RP_Name]] = SelectedProvider, 1, IF( PeersCritera[[#This Row],[Override initial criteria]] = "Include", 1, IF( PeersCritera[[#This Row],[Override initial criteria]] = "Exclude", 0, PeersCritera[[#This Row],[Meets initial criteria]] ) ) )</f>
        <v>1</v>
      </c>
      <c r="W164" s="325">
        <f xml:space="preserve"> MATCH( PeersCritera[[#This Row],[RP_Name]], tblFilterAll[Provider name], 0 )</f>
        <v>149</v>
      </c>
      <c r="Y16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5" spans="2:25" x14ac:dyDescent="0.25">
      <c r="B165" s="327" t="s" vm="150">
        <v>445</v>
      </c>
      <c r="C165" s="218" cm="1" vm="6189">
        <f t="array" ref="C165" xml:space="preserve"> INDEX( tblFilterAll[Total social stock owned], PeersCritera[[#This Row],[Index]] )</f>
        <v>7363</v>
      </c>
      <c r="D165" s="219" cm="1">
        <f t="array" ref="D165" xml:space="preserve"> INDEX( tblFilterAll[% Supported housing (excl. HOP)], PeersCritera[[#This Row],[Index]] )</f>
        <v>1.3331500824628917E-2</v>
      </c>
      <c r="E165" s="220" cm="1">
        <f t="array" ref="E165" xml:space="preserve"> INDEX( tblFilterAll[% Housing for older people], PeersCritera[[#This Row],[Index]] )</f>
        <v>7.6140736668499173E-2</v>
      </c>
      <c r="F165" s="220">
        <f xml:space="preserve"> PeersCritera[[#This Row],[% Supported housing (excl. HOP)]] + PeersCritera[[#This Row],[% Housing for older people]]</f>
        <v>8.947223749312809E-2</v>
      </c>
      <c r="G165" s="221">
        <f xml:space="preserve"> 1 - PeersCritera[[#This Row],[% Supported &amp; older people]]</f>
        <v>0.91052776250687195</v>
      </c>
      <c r="H165" s="222" t="str" cm="1">
        <f t="array" ref="H165" xml:space="preserve"> INDEX( tblFilterAll[Provider Type], PeersCritera[[#This Row],[Index]] )</f>
        <v>Traditional</v>
      </c>
      <c r="I165" s="223" t="str" cm="1">
        <f t="array" ref="I165" xml:space="preserve"> INDEX( tblFilterAll[LSVT age], PeersCritera[[#This Row],[Index]] )</f>
        <v>&gt;= 12 years</v>
      </c>
      <c r="J165" s="219" cm="1">
        <f t="array" ref="J165" xml:space="preserve"> INDEX( tblFilterAll[London], PeersCritera[[#This Row],[Index]] )</f>
        <v>0</v>
      </c>
      <c r="K165" s="220" cm="1">
        <f t="array" ref="K165" xml:space="preserve"> INDEX( tblFilterAll[South East], PeersCritera[[#This Row],[Index]] )</f>
        <v>0.9683552899633302</v>
      </c>
      <c r="L165" s="220" cm="1">
        <f t="array" ref="L165" xml:space="preserve"> INDEX( tblFilterAll[South West], PeersCritera[[#This Row],[Index]] )</f>
        <v>3.1644710036669833E-2</v>
      </c>
      <c r="M165" s="220" cm="1">
        <f t="array" ref="M165" xml:space="preserve"> INDEX( tblFilterAll[East Midlands], PeersCritera[[#This Row],[Index]] )</f>
        <v>0</v>
      </c>
      <c r="N165" s="220" cm="1">
        <f t="array" ref="N165" xml:space="preserve"> INDEX( tblFilterAll[West Midlands], PeersCritera[[#This Row],[Index]] )</f>
        <v>0</v>
      </c>
      <c r="O165" s="220" cm="1">
        <f t="array" ref="O165" xml:space="preserve"> INDEX( tblFilterAll[East of England], PeersCritera[[#This Row],[Index]] )</f>
        <v>0</v>
      </c>
      <c r="P165" s="220" cm="1">
        <f t="array" ref="P165" xml:space="preserve"> INDEX( tblFilterAll[North East], PeersCritera[[#This Row],[Index]] )</f>
        <v>0</v>
      </c>
      <c r="Q165" s="220" cm="1">
        <f t="array" ref="Q165" xml:space="preserve"> INDEX( tblFilterAll[North West], PeersCritera[[#This Row],[Index]] )</f>
        <v>0</v>
      </c>
      <c r="R165" s="220" cm="1">
        <f t="array" ref="R165" xml:space="preserve"> INDEX( tblFilterAll[Yorkshire &amp; the Humber], PeersCritera[[#This Row],[Index]] )</f>
        <v>0</v>
      </c>
      <c r="S165" s="224" t="str" cm="1">
        <f t="array" ref="S165" xml:space="preserve"> INDEX( tblFilterAll[Region with 50%+ of social stock owned], PeersCritera[[#This Row],[Index]] )</f>
        <v>South East</v>
      </c>
      <c r="T165" s="229" cm="1">
        <f t="array" ref="T165" xml:space="preserve"> INDEX( tblFilterAll[Meets initial criteria], PeersCritera[[#This Row],[Index]] )</f>
        <v>1</v>
      </c>
      <c r="U165" s="241"/>
      <c r="V165" s="230">
        <f>IF( PeersCritera[[#This Row],[RP_Name]] = SelectedProvider, 1, IF( PeersCritera[[#This Row],[Override initial criteria]] = "Include", 1, IF( PeersCritera[[#This Row],[Override initial criteria]] = "Exclude", 0, PeersCritera[[#This Row],[Meets initial criteria]] ) ) )</f>
        <v>1</v>
      </c>
      <c r="W165" s="325">
        <f xml:space="preserve"> MATCH( PeersCritera[[#This Row],[RP_Name]], tblFilterAll[Provider name], 0 )</f>
        <v>150</v>
      </c>
      <c r="Y16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6" spans="2:25" x14ac:dyDescent="0.25">
      <c r="B166" s="327" t="s" vm="151">
        <v>447</v>
      </c>
      <c r="C166" s="218" cm="1" vm="4030">
        <f t="array" ref="C166" xml:space="preserve"> INDEX( tblFilterAll[Total social stock owned], PeersCritera[[#This Row],[Index]] )</f>
        <v>3300</v>
      </c>
      <c r="D166" s="219" cm="1">
        <f t="array" ref="D166" xml:space="preserve"> INDEX( tblFilterAll[% Supported housing (excl. HOP)], PeersCritera[[#This Row],[Index]] )</f>
        <v>0</v>
      </c>
      <c r="E166" s="220" cm="1">
        <f t="array" ref="E166" xml:space="preserve"> INDEX( tblFilterAll[% Housing for older people], PeersCritera[[#This Row],[Index]] )</f>
        <v>0.12855831037649221</v>
      </c>
      <c r="F166" s="220">
        <f xml:space="preserve"> PeersCritera[[#This Row],[% Supported housing (excl. HOP)]] + PeersCritera[[#This Row],[% Housing for older people]]</f>
        <v>0.12855831037649221</v>
      </c>
      <c r="G166" s="221">
        <f xml:space="preserve"> 1 - PeersCritera[[#This Row],[% Supported &amp; older people]]</f>
        <v>0.87144168962350776</v>
      </c>
      <c r="H166" s="222" t="str" cm="1">
        <f t="array" ref="H166" xml:space="preserve"> INDEX( tblFilterAll[Provider Type], PeersCritera[[#This Row],[Index]] )</f>
        <v>LSVT</v>
      </c>
      <c r="I166" s="223" t="str" cm="1">
        <f t="array" ref="I166" xml:space="preserve"> INDEX( tblFilterAll[LSVT age], PeersCritera[[#This Row],[Index]] )</f>
        <v>&lt; 12 years</v>
      </c>
      <c r="J166" s="219" cm="1">
        <f t="array" ref="J166" xml:space="preserve"> INDEX( tblFilterAll[London], PeersCritera[[#This Row],[Index]] )</f>
        <v>0</v>
      </c>
      <c r="K166" s="220" cm="1">
        <f t="array" ref="K166" xml:space="preserve"> INDEX( tblFilterAll[South East], PeersCritera[[#This Row],[Index]] )</f>
        <v>0</v>
      </c>
      <c r="L166" s="220" cm="1">
        <f t="array" ref="L166" xml:space="preserve"> INDEX( tblFilterAll[South West], PeersCritera[[#This Row],[Index]] )</f>
        <v>0</v>
      </c>
      <c r="M166" s="220" cm="1">
        <f t="array" ref="M166" xml:space="preserve"> INDEX( tblFilterAll[East Midlands], PeersCritera[[#This Row],[Index]] )</f>
        <v>0</v>
      </c>
      <c r="N166" s="220" cm="1">
        <f t="array" ref="N166" xml:space="preserve"> INDEX( tblFilterAll[West Midlands], PeersCritera[[#This Row],[Index]] )</f>
        <v>0</v>
      </c>
      <c r="O166" s="220" cm="1">
        <f t="array" ref="O166" xml:space="preserve"> INDEX( tblFilterAll[East of England], PeersCritera[[#This Row],[Index]] )</f>
        <v>0</v>
      </c>
      <c r="P166" s="220" cm="1">
        <f t="array" ref="P166" xml:space="preserve"> INDEX( tblFilterAll[North East], PeersCritera[[#This Row],[Index]] )</f>
        <v>0</v>
      </c>
      <c r="Q166" s="220" cm="1">
        <f t="array" ref="Q166" xml:space="preserve"> INDEX( tblFilterAll[North West], PeersCritera[[#This Row],[Index]] )</f>
        <v>1</v>
      </c>
      <c r="R166" s="220" cm="1">
        <f t="array" ref="R166" xml:space="preserve"> INDEX( tblFilterAll[Yorkshire &amp; the Humber], PeersCritera[[#This Row],[Index]] )</f>
        <v>0</v>
      </c>
      <c r="S166" s="224" t="str" cm="1">
        <f t="array" ref="S166" xml:space="preserve"> INDEX( tblFilterAll[Region with 50%+ of social stock owned], PeersCritera[[#This Row],[Index]] )</f>
        <v>North West</v>
      </c>
      <c r="T166" s="229" cm="1">
        <f t="array" ref="T166" xml:space="preserve"> INDEX( tblFilterAll[Meets initial criteria], PeersCritera[[#This Row],[Index]] )</f>
        <v>1</v>
      </c>
      <c r="U166" s="241"/>
      <c r="V166" s="230">
        <f>IF( PeersCritera[[#This Row],[RP_Name]] = SelectedProvider, 1, IF( PeersCritera[[#This Row],[Override initial criteria]] = "Include", 1, IF( PeersCritera[[#This Row],[Override initial criteria]] = "Exclude", 0, PeersCritera[[#This Row],[Meets initial criteria]] ) ) )</f>
        <v>1</v>
      </c>
      <c r="W166" s="325">
        <f xml:space="preserve"> MATCH( PeersCritera[[#This Row],[RP_Name]], tblFilterAll[Provider name], 0 )</f>
        <v>151</v>
      </c>
      <c r="Y16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7" spans="2:25" x14ac:dyDescent="0.25">
      <c r="B167" s="327" t="s" vm="152">
        <v>449</v>
      </c>
      <c r="C167" s="218" cm="1" vm="4413">
        <f t="array" ref="C167" xml:space="preserve"> INDEX( tblFilterAll[Total social stock owned], PeersCritera[[#This Row],[Index]] )</f>
        <v>3830</v>
      </c>
      <c r="D167" s="219" cm="1">
        <f t="array" ref="D167" xml:space="preserve"> INDEX( tblFilterAll[% Supported housing (excl. HOP)], PeersCritera[[#This Row],[Index]] )</f>
        <v>7.8308535630383712E-4</v>
      </c>
      <c r="E167" s="220" cm="1">
        <f t="array" ref="E167" xml:space="preserve"> INDEX( tblFilterAll[% Housing for older people], PeersCritera[[#This Row],[Index]] )</f>
        <v>3.0801357347950926E-2</v>
      </c>
      <c r="F167" s="220">
        <f xml:space="preserve"> PeersCritera[[#This Row],[% Supported housing (excl. HOP)]] + PeersCritera[[#This Row],[% Housing for older people]]</f>
        <v>3.1584442704254763E-2</v>
      </c>
      <c r="G167" s="221">
        <f xml:space="preserve"> 1 - PeersCritera[[#This Row],[% Supported &amp; older people]]</f>
        <v>0.96841555729574524</v>
      </c>
      <c r="H167" s="222" t="str" cm="1">
        <f t="array" ref="H167" xml:space="preserve"> INDEX( tblFilterAll[Provider Type], PeersCritera[[#This Row],[Index]] )</f>
        <v>Traditional</v>
      </c>
      <c r="I167" s="223" t="str" cm="1">
        <f t="array" ref="I167" xml:space="preserve"> INDEX( tblFilterAll[LSVT age], PeersCritera[[#This Row],[Index]] )</f>
        <v>&gt;= 12 years</v>
      </c>
      <c r="J167" s="219" cm="1">
        <f t="array" ref="J167" xml:space="preserve"> INDEX( tblFilterAll[London], PeersCritera[[#This Row],[Index]] )</f>
        <v>0</v>
      </c>
      <c r="K167" s="220" cm="1">
        <f t="array" ref="K167" xml:space="preserve"> INDEX( tblFilterAll[South East], PeersCritera[[#This Row],[Index]] )</f>
        <v>0</v>
      </c>
      <c r="L167" s="220" cm="1">
        <f t="array" ref="L167" xml:space="preserve"> INDEX( tblFilterAll[South West], PeersCritera[[#This Row],[Index]] )</f>
        <v>0</v>
      </c>
      <c r="M167" s="220" cm="1">
        <f t="array" ref="M167" xml:space="preserve"> INDEX( tblFilterAll[East Midlands], PeersCritera[[#This Row],[Index]] )</f>
        <v>0</v>
      </c>
      <c r="N167" s="220" cm="1">
        <f t="array" ref="N167" xml:space="preserve"> INDEX( tblFilterAll[West Midlands], PeersCritera[[#This Row],[Index]] )</f>
        <v>0</v>
      </c>
      <c r="O167" s="220" cm="1">
        <f t="array" ref="O167" xml:space="preserve"> INDEX( tblFilterAll[East of England], PeersCritera[[#This Row],[Index]] )</f>
        <v>0</v>
      </c>
      <c r="P167" s="220" cm="1">
        <f t="array" ref="P167" xml:space="preserve"> INDEX( tblFilterAll[North East], PeersCritera[[#This Row],[Index]] )</f>
        <v>0</v>
      </c>
      <c r="Q167" s="220" cm="1">
        <f t="array" ref="Q167" xml:space="preserve"> INDEX( tblFilterAll[North West], PeersCritera[[#This Row],[Index]] )</f>
        <v>1</v>
      </c>
      <c r="R167" s="220" cm="1">
        <f t="array" ref="R167" xml:space="preserve"> INDEX( tblFilterAll[Yorkshire &amp; the Humber], PeersCritera[[#This Row],[Index]] )</f>
        <v>0</v>
      </c>
      <c r="S167" s="224" t="str" cm="1">
        <f t="array" ref="S167" xml:space="preserve"> INDEX( tblFilterAll[Region with 50%+ of social stock owned], PeersCritera[[#This Row],[Index]] )</f>
        <v>North West</v>
      </c>
      <c r="T167" s="229" cm="1">
        <f t="array" ref="T167" xml:space="preserve"> INDEX( tblFilterAll[Meets initial criteria], PeersCritera[[#This Row],[Index]] )</f>
        <v>1</v>
      </c>
      <c r="U167" s="241"/>
      <c r="V167" s="230">
        <f>IF( PeersCritera[[#This Row],[RP_Name]] = SelectedProvider, 1, IF( PeersCritera[[#This Row],[Override initial criteria]] = "Include", 1, IF( PeersCritera[[#This Row],[Override initial criteria]] = "Exclude", 0, PeersCritera[[#This Row],[Meets initial criteria]] ) ) )</f>
        <v>1</v>
      </c>
      <c r="W167" s="325">
        <f xml:space="preserve"> MATCH( PeersCritera[[#This Row],[RP_Name]], tblFilterAll[Provider name], 0 )</f>
        <v>152</v>
      </c>
      <c r="Y16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8" spans="2:25" x14ac:dyDescent="0.25">
      <c r="B168" s="327" t="s" vm="153">
        <v>451</v>
      </c>
      <c r="C168" s="218" cm="1" vm="5238">
        <f t="array" ref="C168" xml:space="preserve"> INDEX( tblFilterAll[Total social stock owned], PeersCritera[[#This Row],[Index]] )</f>
        <v>5386</v>
      </c>
      <c r="D168" s="219" cm="1">
        <f t="array" ref="D168" xml:space="preserve"> INDEX( tblFilterAll[% Supported housing (excl. HOP)], PeersCritera[[#This Row],[Index]] )</f>
        <v>0.18340449229626879</v>
      </c>
      <c r="E168" s="220" cm="1">
        <f t="array" ref="E168" xml:space="preserve"> INDEX( tblFilterAll[% Housing for older people], PeersCritera[[#This Row],[Index]] )</f>
        <v>5.810284017078151E-2</v>
      </c>
      <c r="F168" s="220">
        <f xml:space="preserve"> PeersCritera[[#This Row],[% Supported housing (excl. HOP)]] + PeersCritera[[#This Row],[% Housing for older people]]</f>
        <v>0.24150733246705031</v>
      </c>
      <c r="G168" s="221">
        <f xml:space="preserve"> 1 - PeersCritera[[#This Row],[% Supported &amp; older people]]</f>
        <v>0.75849266753294975</v>
      </c>
      <c r="H168" s="222" t="str" cm="1">
        <f t="array" ref="H168" xml:space="preserve"> INDEX( tblFilterAll[Provider Type], PeersCritera[[#This Row],[Index]] )</f>
        <v>Traditional</v>
      </c>
      <c r="I168" s="223" t="str" cm="1">
        <f t="array" ref="I168" xml:space="preserve"> INDEX( tblFilterAll[LSVT age], PeersCritera[[#This Row],[Index]] )</f>
        <v/>
      </c>
      <c r="J168" s="219" cm="1">
        <f t="array" ref="J168" xml:space="preserve"> INDEX( tblFilterAll[London], PeersCritera[[#This Row],[Index]] )</f>
        <v>0</v>
      </c>
      <c r="K168" s="220" cm="1">
        <f t="array" ref="K168" xml:space="preserve"> INDEX( tblFilterAll[South East], PeersCritera[[#This Row],[Index]] )</f>
        <v>0</v>
      </c>
      <c r="L168" s="220" cm="1">
        <f t="array" ref="L168" xml:space="preserve"> INDEX( tblFilterAll[South West], PeersCritera[[#This Row],[Index]] )</f>
        <v>0</v>
      </c>
      <c r="M168" s="220" cm="1">
        <f t="array" ref="M168" xml:space="preserve"> INDEX( tblFilterAll[East Midlands], PeersCritera[[#This Row],[Index]] )</f>
        <v>0.11991034740381024</v>
      </c>
      <c r="N168" s="220" cm="1">
        <f t="array" ref="N168" xml:space="preserve"> INDEX( tblFilterAll[West Midlands], PeersCritera[[#This Row],[Index]] )</f>
        <v>0</v>
      </c>
      <c r="O168" s="220" cm="1">
        <f t="array" ref="O168" xml:space="preserve"> INDEX( tblFilterAll[East of England], PeersCritera[[#This Row],[Index]] )</f>
        <v>0</v>
      </c>
      <c r="P168" s="220" cm="1">
        <f t="array" ref="P168" xml:space="preserve"> INDEX( tblFilterAll[North East], PeersCritera[[#This Row],[Index]] )</f>
        <v>0</v>
      </c>
      <c r="Q168" s="220" cm="1">
        <f t="array" ref="Q168" xml:space="preserve"> INDEX( tblFilterAll[North West], PeersCritera[[#This Row],[Index]] )</f>
        <v>0</v>
      </c>
      <c r="R168" s="220" cm="1">
        <f t="array" ref="R168" xml:space="preserve"> INDEX( tblFilterAll[Yorkshire &amp; the Humber], PeersCritera[[#This Row],[Index]] )</f>
        <v>0.88008965259618976</v>
      </c>
      <c r="S168" s="224" t="str" cm="1">
        <f t="array" ref="S168" xml:space="preserve"> INDEX( tblFilterAll[Region with 50%+ of social stock owned], PeersCritera[[#This Row],[Index]] )</f>
        <v>Yorkshire &amp; the Humber</v>
      </c>
      <c r="T168" s="229" cm="1">
        <f t="array" ref="T168" xml:space="preserve"> INDEX( tblFilterAll[Meets initial criteria], PeersCritera[[#This Row],[Index]] )</f>
        <v>1</v>
      </c>
      <c r="U168" s="241"/>
      <c r="V168" s="230">
        <f>IF( PeersCritera[[#This Row],[RP_Name]] = SelectedProvider, 1, IF( PeersCritera[[#This Row],[Override initial criteria]] = "Include", 1, IF( PeersCritera[[#This Row],[Override initial criteria]] = "Exclude", 0, PeersCritera[[#This Row],[Meets initial criteria]] ) ) )</f>
        <v>1</v>
      </c>
      <c r="W168" s="325">
        <f xml:space="preserve"> MATCH( PeersCritera[[#This Row],[RP_Name]], tblFilterAll[Provider name], 0 )</f>
        <v>153</v>
      </c>
      <c r="Y16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69" spans="2:25" x14ac:dyDescent="0.25">
      <c r="B169" s="327" t="s" vm="154">
        <v>453</v>
      </c>
      <c r="C169" s="218" cm="1" vm="1660">
        <f t="array" ref="C169" xml:space="preserve"> INDEX( tblFilterAll[Total social stock owned], PeersCritera[[#This Row],[Index]] )</f>
        <v>70031</v>
      </c>
      <c r="D169" s="219" cm="1">
        <f t="array" ref="D169" xml:space="preserve"> INDEX( tblFilterAll[% Supported housing (excl. HOP)], PeersCritera[[#This Row],[Index]] )</f>
        <v>2.4066157172804251E-2</v>
      </c>
      <c r="E169" s="220" cm="1">
        <f t="array" ref="E169" xml:space="preserve"> INDEX( tblFilterAll[% Housing for older people], PeersCritera[[#This Row],[Index]] )</f>
        <v>9.4614000627238667E-2</v>
      </c>
      <c r="F169" s="220">
        <f xml:space="preserve"> PeersCritera[[#This Row],[% Supported housing (excl. HOP)]] + PeersCritera[[#This Row],[% Housing for older people]]</f>
        <v>0.11868015780004292</v>
      </c>
      <c r="G169" s="221">
        <f xml:space="preserve"> 1 - PeersCritera[[#This Row],[% Supported &amp; older people]]</f>
        <v>0.88131984219995707</v>
      </c>
      <c r="H169" s="222" t="str" cm="1">
        <f t="array" ref="H169" xml:space="preserve"> INDEX( tblFilterAll[Provider Type], PeersCritera[[#This Row],[Index]] )</f>
        <v>Traditional</v>
      </c>
      <c r="I169" s="223" t="str" cm="1">
        <f t="array" ref="I169" xml:space="preserve"> INDEX( tblFilterAll[LSVT age], PeersCritera[[#This Row],[Index]] )</f>
        <v/>
      </c>
      <c r="J169" s="219" cm="1">
        <f t="array" ref="J169" xml:space="preserve"> INDEX( tblFilterAll[London], PeersCritera[[#This Row],[Index]] )</f>
        <v>0.42292798562951839</v>
      </c>
      <c r="K169" s="220" cm="1">
        <f t="array" ref="K169" xml:space="preserve"> INDEX( tblFilterAll[South East], PeersCritera[[#This Row],[Index]] )</f>
        <v>0.53125138036132336</v>
      </c>
      <c r="L169" s="220" cm="1">
        <f t="array" ref="L169" xml:space="preserve"> INDEX( tblFilterAll[South West], PeersCritera[[#This Row],[Index]] )</f>
        <v>4.4171562348160254E-5</v>
      </c>
      <c r="M169" s="220" cm="1">
        <f t="array" ref="M169" xml:space="preserve"> INDEX( tblFilterAll[East Midlands], PeersCritera[[#This Row],[Index]] )</f>
        <v>1.1087062149388224E-2</v>
      </c>
      <c r="N169" s="220" cm="1">
        <f t="array" ref="N169" xml:space="preserve"> INDEX( tblFilterAll[West Midlands], PeersCritera[[#This Row],[Index]] )</f>
        <v>2.5207238246683451E-2</v>
      </c>
      <c r="O169" s="220" cm="1">
        <f t="array" ref="O169" xml:space="preserve"> INDEX( tblFilterAll[East of England], PeersCritera[[#This Row],[Index]] )</f>
        <v>9.4674381966223485E-3</v>
      </c>
      <c r="P169" s="220" cm="1">
        <f t="array" ref="P169" xml:space="preserve"> INDEX( tblFilterAll[North East], PeersCritera[[#This Row],[Index]] )</f>
        <v>0</v>
      </c>
      <c r="Q169" s="220" cm="1">
        <f t="array" ref="Q169" xml:space="preserve"> INDEX( tblFilterAll[North West], PeersCritera[[#This Row],[Index]] )</f>
        <v>0</v>
      </c>
      <c r="R169" s="220" cm="1">
        <f t="array" ref="R169" xml:space="preserve"> INDEX( tblFilterAll[Yorkshire &amp; the Humber], PeersCritera[[#This Row],[Index]] )</f>
        <v>1.4723854116053418E-5</v>
      </c>
      <c r="S169" s="224" t="str" cm="1">
        <f t="array" ref="S169" xml:space="preserve"> INDEX( tblFilterAll[Region with 50%+ of social stock owned], PeersCritera[[#This Row],[Index]] )</f>
        <v>South East</v>
      </c>
      <c r="T169" s="229" cm="1">
        <f t="array" ref="T169" xml:space="preserve"> INDEX( tblFilterAll[Meets initial criteria], PeersCritera[[#This Row],[Index]] )</f>
        <v>1</v>
      </c>
      <c r="U169" s="241"/>
      <c r="V169" s="230">
        <f>IF( PeersCritera[[#This Row],[RP_Name]] = SelectedProvider, 1, IF( PeersCritera[[#This Row],[Override initial criteria]] = "Include", 1, IF( PeersCritera[[#This Row],[Override initial criteria]] = "Exclude", 0, PeersCritera[[#This Row],[Meets initial criteria]] ) ) )</f>
        <v>1</v>
      </c>
      <c r="W169" s="325">
        <f xml:space="preserve"> MATCH( PeersCritera[[#This Row],[RP_Name]], tblFilterAll[Provider name], 0 )</f>
        <v>154</v>
      </c>
      <c r="Y16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0" spans="2:25" x14ac:dyDescent="0.25">
      <c r="B170" s="327" t="s" vm="155">
        <v>455</v>
      </c>
      <c r="C170" s="218" cm="1" vm="6258">
        <f t="array" ref="C170" xml:space="preserve"> INDEX( tblFilterAll[Total social stock owned], PeersCritera[[#This Row],[Index]] )</f>
        <v>6164</v>
      </c>
      <c r="D170" s="219" cm="1">
        <f t="array" ref="D170" xml:space="preserve"> INDEX( tblFilterAll[% Supported housing (excl. HOP)], PeersCritera[[#This Row],[Index]] )</f>
        <v>0</v>
      </c>
      <c r="E170" s="220" cm="1">
        <f t="array" ref="E170" xml:space="preserve"> INDEX( tblFilterAll[% Housing for older people], PeersCritera[[#This Row],[Index]] )</f>
        <v>3.6073134574205239E-2</v>
      </c>
      <c r="F170" s="220">
        <f xml:space="preserve"> PeersCritera[[#This Row],[% Supported housing (excl. HOP)]] + PeersCritera[[#This Row],[% Housing for older people]]</f>
        <v>3.6073134574205239E-2</v>
      </c>
      <c r="G170" s="221">
        <f xml:space="preserve"> 1 - PeersCritera[[#This Row],[% Supported &amp; older people]]</f>
        <v>0.96392686542579475</v>
      </c>
      <c r="H170" s="222" t="str" cm="1">
        <f t="array" ref="H170" xml:space="preserve"> INDEX( tblFilterAll[Provider Type], PeersCritera[[#This Row],[Index]] )</f>
        <v>Traditional</v>
      </c>
      <c r="I170" s="223" t="str" cm="1">
        <f t="array" ref="I170" xml:space="preserve"> INDEX( tblFilterAll[LSVT age], PeersCritera[[#This Row],[Index]] )</f>
        <v>&gt;= 12 years</v>
      </c>
      <c r="J170" s="219" cm="1">
        <f t="array" ref="J170" xml:space="preserve"> INDEX( tblFilterAll[London], PeersCritera[[#This Row],[Index]] )</f>
        <v>0</v>
      </c>
      <c r="K170" s="220" cm="1">
        <f t="array" ref="K170" xml:space="preserve"> INDEX( tblFilterAll[South East], PeersCritera[[#This Row],[Index]] )</f>
        <v>0</v>
      </c>
      <c r="L170" s="220" cm="1">
        <f t="array" ref="L170" xml:space="preserve"> INDEX( tblFilterAll[South West], PeersCritera[[#This Row],[Index]] )</f>
        <v>0</v>
      </c>
      <c r="M170" s="220" cm="1">
        <f t="array" ref="M170" xml:space="preserve"> INDEX( tblFilterAll[East Midlands], PeersCritera[[#This Row],[Index]] )</f>
        <v>0</v>
      </c>
      <c r="N170" s="220" cm="1">
        <f t="array" ref="N170" xml:space="preserve"> INDEX( tblFilterAll[West Midlands], PeersCritera[[#This Row],[Index]] )</f>
        <v>0</v>
      </c>
      <c r="O170" s="220" cm="1">
        <f t="array" ref="O170" xml:space="preserve"> INDEX( tblFilterAll[East of England], PeersCritera[[#This Row],[Index]] )</f>
        <v>0</v>
      </c>
      <c r="P170" s="220" cm="1">
        <f t="array" ref="P170" xml:space="preserve"> INDEX( tblFilterAll[North East], PeersCritera[[#This Row],[Index]] )</f>
        <v>0</v>
      </c>
      <c r="Q170" s="220" cm="1">
        <f t="array" ref="Q170" xml:space="preserve"> INDEX( tblFilterAll[North West], PeersCritera[[#This Row],[Index]] )</f>
        <v>1</v>
      </c>
      <c r="R170" s="220" cm="1">
        <f t="array" ref="R170" xml:space="preserve"> INDEX( tblFilterAll[Yorkshire &amp; the Humber], PeersCritera[[#This Row],[Index]] )</f>
        <v>0</v>
      </c>
      <c r="S170" s="224" t="str" cm="1">
        <f t="array" ref="S170" xml:space="preserve"> INDEX( tblFilterAll[Region with 50%+ of social stock owned], PeersCritera[[#This Row],[Index]] )</f>
        <v>North West</v>
      </c>
      <c r="T170" s="229" cm="1">
        <f t="array" ref="T170" xml:space="preserve"> INDEX( tblFilterAll[Meets initial criteria], PeersCritera[[#This Row],[Index]] )</f>
        <v>1</v>
      </c>
      <c r="U170" s="241"/>
      <c r="V170" s="230">
        <f>IF( PeersCritera[[#This Row],[RP_Name]] = SelectedProvider, 1, IF( PeersCritera[[#This Row],[Override initial criteria]] = "Include", 1, IF( PeersCritera[[#This Row],[Override initial criteria]] = "Exclude", 0, PeersCritera[[#This Row],[Meets initial criteria]] ) ) )</f>
        <v>1</v>
      </c>
      <c r="W170" s="325">
        <f xml:space="preserve"> MATCH( PeersCritera[[#This Row],[RP_Name]], tblFilterAll[Provider name], 0 )</f>
        <v>155</v>
      </c>
      <c r="Y17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1" spans="2:25" x14ac:dyDescent="0.25">
      <c r="B171" s="327" t="s" vm="156">
        <v>457</v>
      </c>
      <c r="C171" s="218" cm="1" vm="1801">
        <f t="array" ref="C171" xml:space="preserve"> INDEX( tblFilterAll[Total social stock owned], PeersCritera[[#This Row],[Index]] )</f>
        <v>57576</v>
      </c>
      <c r="D171" s="219" cm="1">
        <f t="array" ref="D171" xml:space="preserve"> INDEX( tblFilterAll[% Supported housing (excl. HOP)], PeersCritera[[#This Row],[Index]] )</f>
        <v>1.9687795316929754E-2</v>
      </c>
      <c r="E171" s="220" cm="1">
        <f t="array" ref="E171" xml:space="preserve"> INDEX( tblFilterAll[% Housing for older people], PeersCritera[[#This Row],[Index]] )</f>
        <v>3.900808512127682E-2</v>
      </c>
      <c r="F171" s="220">
        <f xml:space="preserve"> PeersCritera[[#This Row],[% Supported housing (excl. HOP)]] + PeersCritera[[#This Row],[% Housing for older people]]</f>
        <v>5.8695880438206574E-2</v>
      </c>
      <c r="G171" s="221">
        <f xml:space="preserve"> 1 - PeersCritera[[#This Row],[% Supported &amp; older people]]</f>
        <v>0.94130411956179338</v>
      </c>
      <c r="H171" s="222" t="str" cm="1">
        <f t="array" ref="H171" xml:space="preserve"> INDEX( tblFilterAll[Provider Type], PeersCritera[[#This Row],[Index]] )</f>
        <v>Traditional</v>
      </c>
      <c r="I171" s="223" t="str" cm="1">
        <f t="array" ref="I171" xml:space="preserve"> INDEX( tblFilterAll[LSVT age], PeersCritera[[#This Row],[Index]] )</f>
        <v/>
      </c>
      <c r="J171" s="219" cm="1">
        <f t="array" ref="J171" xml:space="preserve"> INDEX( tblFilterAll[London], PeersCritera[[#This Row],[Index]] )</f>
        <v>0</v>
      </c>
      <c r="K171" s="220" cm="1">
        <f t="array" ref="K171" xml:space="preserve"> INDEX( tblFilterAll[South East], PeersCritera[[#This Row],[Index]] )</f>
        <v>0.57337486080178168</v>
      </c>
      <c r="L171" s="220" cm="1">
        <f t="array" ref="L171" xml:space="preserve"> INDEX( tblFilterAll[South West], PeersCritera[[#This Row],[Index]] )</f>
        <v>0.42659033964365256</v>
      </c>
      <c r="M171" s="220" cm="1">
        <f t="array" ref="M171" xml:space="preserve"> INDEX( tblFilterAll[East Midlands], PeersCritera[[#This Row],[Index]] )</f>
        <v>1.7399777282850779E-5</v>
      </c>
      <c r="N171" s="220" cm="1">
        <f t="array" ref="N171" xml:space="preserve"> INDEX( tblFilterAll[West Midlands], PeersCritera[[#This Row],[Index]] )</f>
        <v>0</v>
      </c>
      <c r="O171" s="220" cm="1">
        <f t="array" ref="O171" xml:space="preserve"> INDEX( tblFilterAll[East of England], PeersCritera[[#This Row],[Index]] )</f>
        <v>1.7399777282850779E-5</v>
      </c>
      <c r="P171" s="220" cm="1">
        <f t="array" ref="P171" xml:space="preserve"> INDEX( tblFilterAll[North East], PeersCritera[[#This Row],[Index]] )</f>
        <v>0</v>
      </c>
      <c r="Q171" s="220" cm="1">
        <f t="array" ref="Q171" xml:space="preserve"> INDEX( tblFilterAll[North West], PeersCritera[[#This Row],[Index]] )</f>
        <v>0</v>
      </c>
      <c r="R171" s="220" cm="1">
        <f t="array" ref="R171" xml:space="preserve"> INDEX( tblFilterAll[Yorkshire &amp; the Humber], PeersCritera[[#This Row],[Index]] )</f>
        <v>0</v>
      </c>
      <c r="S171" s="224" t="str" cm="1">
        <f t="array" ref="S171" xml:space="preserve"> INDEX( tblFilterAll[Region with 50%+ of social stock owned], PeersCritera[[#This Row],[Index]] )</f>
        <v>South East</v>
      </c>
      <c r="T171" s="229" cm="1">
        <f t="array" ref="T171" xml:space="preserve"> INDEX( tblFilterAll[Meets initial criteria], PeersCritera[[#This Row],[Index]] )</f>
        <v>1</v>
      </c>
      <c r="U171" s="241"/>
      <c r="V171" s="230">
        <f>IF( PeersCritera[[#This Row],[RP_Name]] = SelectedProvider, 1, IF( PeersCritera[[#This Row],[Override initial criteria]] = "Include", 1, IF( PeersCritera[[#This Row],[Override initial criteria]] = "Exclude", 0, PeersCritera[[#This Row],[Meets initial criteria]] ) ) )</f>
        <v>1</v>
      </c>
      <c r="W171" s="325">
        <f xml:space="preserve"> MATCH( PeersCritera[[#This Row],[RP_Name]], tblFilterAll[Provider name], 0 )</f>
        <v>156</v>
      </c>
      <c r="Y17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2" spans="2:25" x14ac:dyDescent="0.25">
      <c r="B172" s="327" t="s" vm="157">
        <v>459</v>
      </c>
      <c r="C172" s="218" cm="1" vm="2360">
        <f t="array" ref="C172" xml:space="preserve"> INDEX( tblFilterAll[Total social stock owned], PeersCritera[[#This Row],[Index]] )</f>
        <v>18043</v>
      </c>
      <c r="D172" s="219" cm="1">
        <f t="array" ref="D172" xml:space="preserve"> INDEX( tblFilterAll[% Supported housing (excl. HOP)], PeersCritera[[#This Row],[Index]] )</f>
        <v>1.883969634842356E-2</v>
      </c>
      <c r="E172" s="220" cm="1">
        <f t="array" ref="E172" xml:space="preserve"> INDEX( tblFilterAll[% Housing for older people], PeersCritera[[#This Row],[Index]] )</f>
        <v>7.9348368149830997E-2</v>
      </c>
      <c r="F172" s="220">
        <f xml:space="preserve"> PeersCritera[[#This Row],[% Supported housing (excl. HOP)]] + PeersCritera[[#This Row],[% Housing for older people]]</f>
        <v>9.8188064498254554E-2</v>
      </c>
      <c r="G172" s="221">
        <f xml:space="preserve"> 1 - PeersCritera[[#This Row],[% Supported &amp; older people]]</f>
        <v>0.90181193550174543</v>
      </c>
      <c r="H172" s="222" t="str" cm="1">
        <f t="array" ref="H172" xml:space="preserve"> INDEX( tblFilterAll[Provider Type], PeersCritera[[#This Row],[Index]] )</f>
        <v>Traditional</v>
      </c>
      <c r="I172" s="223" t="str" cm="1">
        <f t="array" ref="I172" xml:space="preserve"> INDEX( tblFilterAll[LSVT age], PeersCritera[[#This Row],[Index]] )</f>
        <v/>
      </c>
      <c r="J172" s="219" cm="1">
        <f t="array" ref="J172" xml:space="preserve"> INDEX( tblFilterAll[London], PeersCritera[[#This Row],[Index]] )</f>
        <v>0.73707254891093499</v>
      </c>
      <c r="K172" s="220" cm="1">
        <f t="array" ref="K172" xml:space="preserve"> INDEX( tblFilterAll[South East], PeersCritera[[#This Row],[Index]] )</f>
        <v>1.7679986698442611E-2</v>
      </c>
      <c r="L172" s="220" cm="1">
        <f t="array" ref="L172" xml:space="preserve"> INDEX( tblFilterAll[South West], PeersCritera[[#This Row],[Index]] )</f>
        <v>0</v>
      </c>
      <c r="M172" s="220" cm="1">
        <f t="array" ref="M172" xml:space="preserve"> INDEX( tblFilterAll[East Midlands], PeersCritera[[#This Row],[Index]] )</f>
        <v>0</v>
      </c>
      <c r="N172" s="220" cm="1">
        <f t="array" ref="N172" xml:space="preserve"> INDEX( tblFilterAll[West Midlands], PeersCritera[[#This Row],[Index]] )</f>
        <v>0</v>
      </c>
      <c r="O172" s="220" cm="1">
        <f t="array" ref="O172" xml:space="preserve"> INDEX( tblFilterAll[East of England], PeersCritera[[#This Row],[Index]] )</f>
        <v>0.24524746439062239</v>
      </c>
      <c r="P172" s="220" cm="1">
        <f t="array" ref="P172" xml:space="preserve"> INDEX( tblFilterAll[North East], PeersCritera[[#This Row],[Index]] )</f>
        <v>0</v>
      </c>
      <c r="Q172" s="220" cm="1">
        <f t="array" ref="Q172" xml:space="preserve"> INDEX( tblFilterAll[North West], PeersCritera[[#This Row],[Index]] )</f>
        <v>0</v>
      </c>
      <c r="R172" s="220" cm="1">
        <f t="array" ref="R172" xml:space="preserve"> INDEX( tblFilterAll[Yorkshire &amp; the Humber], PeersCritera[[#This Row],[Index]] )</f>
        <v>0</v>
      </c>
      <c r="S172" s="224" t="str" cm="1">
        <f t="array" ref="S172" xml:space="preserve"> INDEX( tblFilterAll[Region with 50%+ of social stock owned], PeersCritera[[#This Row],[Index]] )</f>
        <v>London</v>
      </c>
      <c r="T172" s="229" cm="1">
        <f t="array" ref="T172" xml:space="preserve"> INDEX( tblFilterAll[Meets initial criteria], PeersCritera[[#This Row],[Index]] )</f>
        <v>1</v>
      </c>
      <c r="U172" s="241"/>
      <c r="V172" s="230">
        <f>IF( PeersCritera[[#This Row],[RP_Name]] = SelectedProvider, 1, IF( PeersCritera[[#This Row],[Override initial criteria]] = "Include", 1, IF( PeersCritera[[#This Row],[Override initial criteria]] = "Exclude", 0, PeersCritera[[#This Row],[Meets initial criteria]] ) ) )</f>
        <v>1</v>
      </c>
      <c r="W172" s="325">
        <f xml:space="preserve"> MATCH( PeersCritera[[#This Row],[RP_Name]], tblFilterAll[Provider name], 0 )</f>
        <v>157</v>
      </c>
      <c r="Y17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3" spans="2:25" x14ac:dyDescent="0.25">
      <c r="B173" s="327" t="s" vm="158">
        <v>461</v>
      </c>
      <c r="C173" s="218" cm="1" vm="656">
        <f t="array" ref="C173" xml:space="preserve"> INDEX( tblFilterAll[Total social stock owned], PeersCritera[[#This Row],[Index]] )</f>
        <v>1749</v>
      </c>
      <c r="D173" s="219" cm="1">
        <f t="array" ref="D173" xml:space="preserve"> INDEX( tblFilterAll[% Supported housing (excl. HOP)], PeersCritera[[#This Row],[Index]] )</f>
        <v>0.82561463693539161</v>
      </c>
      <c r="E173" s="220" cm="1">
        <f t="array" ref="E173" xml:space="preserve"> INDEX( tblFilterAll[% Housing for older people], PeersCritera[[#This Row],[Index]] )</f>
        <v>0</v>
      </c>
      <c r="F173" s="220">
        <f xml:space="preserve"> PeersCritera[[#This Row],[% Supported housing (excl. HOP)]] + PeersCritera[[#This Row],[% Housing for older people]]</f>
        <v>0.82561463693539161</v>
      </c>
      <c r="G173" s="221">
        <f xml:space="preserve"> 1 - PeersCritera[[#This Row],[% Supported &amp; older people]]</f>
        <v>0.17438536306460839</v>
      </c>
      <c r="H173" s="222" t="str" cm="1">
        <f t="array" ref="H173" xml:space="preserve"> INDEX( tblFilterAll[Provider Type], PeersCritera[[#This Row],[Index]] )</f>
        <v>Traditional</v>
      </c>
      <c r="I173" s="223" t="str" cm="1">
        <f t="array" ref="I173" xml:space="preserve"> INDEX( tblFilterAll[LSVT age], PeersCritera[[#This Row],[Index]] )</f>
        <v/>
      </c>
      <c r="J173" s="219" cm="1">
        <f t="array" ref="J173" xml:space="preserve"> INDEX( tblFilterAll[London], PeersCritera[[#This Row],[Index]] )</f>
        <v>0.88193624557260919</v>
      </c>
      <c r="K173" s="220" cm="1">
        <f t="array" ref="K173" xml:space="preserve"> INDEX( tblFilterAll[South East], PeersCritera[[#This Row],[Index]] )</f>
        <v>5.5489964580873671E-2</v>
      </c>
      <c r="L173" s="220" cm="1">
        <f t="array" ref="L173" xml:space="preserve"> INDEX( tblFilterAll[South West], PeersCritera[[#This Row],[Index]] )</f>
        <v>5.9622195985832349E-2</v>
      </c>
      <c r="M173" s="220" cm="1">
        <f t="array" ref="M173" xml:space="preserve"> INDEX( tblFilterAll[East Midlands], PeersCritera[[#This Row],[Index]] )</f>
        <v>0</v>
      </c>
      <c r="N173" s="220" cm="1">
        <f t="array" ref="N173" xml:space="preserve"> INDEX( tblFilterAll[West Midlands], PeersCritera[[#This Row],[Index]] )</f>
        <v>0</v>
      </c>
      <c r="O173" s="220" cm="1">
        <f t="array" ref="O173" xml:space="preserve"> INDEX( tblFilterAll[East of England], PeersCritera[[#This Row],[Index]] )</f>
        <v>2.9515938606847697E-3</v>
      </c>
      <c r="P173" s="220" cm="1">
        <f t="array" ref="P173" xml:space="preserve"> INDEX( tblFilterAll[North East], PeersCritera[[#This Row],[Index]] )</f>
        <v>0</v>
      </c>
      <c r="Q173" s="220" cm="1">
        <f t="array" ref="Q173" xml:space="preserve"> INDEX( tblFilterAll[North West], PeersCritera[[#This Row],[Index]] )</f>
        <v>0</v>
      </c>
      <c r="R173" s="220" cm="1">
        <f t="array" ref="R173" xml:space="preserve"> INDEX( tblFilterAll[Yorkshire &amp; the Humber], PeersCritera[[#This Row],[Index]] )</f>
        <v>0</v>
      </c>
      <c r="S173" s="224" t="str" cm="1">
        <f t="array" ref="S173" xml:space="preserve"> INDEX( tblFilterAll[Region with 50%+ of social stock owned], PeersCritera[[#This Row],[Index]] )</f>
        <v>London</v>
      </c>
      <c r="T173" s="229" cm="1">
        <f t="array" ref="T173" xml:space="preserve"> INDEX( tblFilterAll[Meets initial criteria], PeersCritera[[#This Row],[Index]] )</f>
        <v>1</v>
      </c>
      <c r="U173" s="241"/>
      <c r="V173" s="230">
        <f>IF( PeersCritera[[#This Row],[RP_Name]] = SelectedProvider, 1, IF( PeersCritera[[#This Row],[Override initial criteria]] = "Include", 1, IF( PeersCritera[[#This Row],[Override initial criteria]] = "Exclude", 0, PeersCritera[[#This Row],[Meets initial criteria]] ) ) )</f>
        <v>1</v>
      </c>
      <c r="W173" s="325">
        <f xml:space="preserve"> MATCH( PeersCritera[[#This Row],[RP_Name]], tblFilterAll[Provider name], 0 )</f>
        <v>158</v>
      </c>
      <c r="Y17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4" spans="2:25" x14ac:dyDescent="0.25">
      <c r="B174" s="327" t="s" vm="159">
        <v>463</v>
      </c>
      <c r="C174" s="218" cm="1" vm="7644">
        <f t="array" ref="C174" xml:space="preserve"> INDEX( tblFilterAll[Total social stock owned], PeersCritera[[#This Row],[Index]] )</f>
        <v>32803</v>
      </c>
      <c r="D174" s="219" cm="1">
        <f t="array" ref="D174" xml:space="preserve"> INDEX( tblFilterAll[% Supported housing (excl. HOP)], PeersCritera[[#This Row],[Index]] )</f>
        <v>1.9426546391752578E-2</v>
      </c>
      <c r="E174" s="220" cm="1">
        <f t="array" ref="E174" xml:space="preserve"> INDEX( tblFilterAll[% Housing for older people], PeersCritera[[#This Row],[Index]] )</f>
        <v>7.6997422680412375E-2</v>
      </c>
      <c r="F174" s="220">
        <f xml:space="preserve"> PeersCritera[[#This Row],[% Supported housing (excl. HOP)]] + PeersCritera[[#This Row],[% Housing for older people]]</f>
        <v>9.6423969072164953E-2</v>
      </c>
      <c r="G174" s="221">
        <f xml:space="preserve"> 1 - PeersCritera[[#This Row],[% Supported &amp; older people]]</f>
        <v>0.90357603092783501</v>
      </c>
      <c r="H174" s="222" t="str" cm="1">
        <f t="array" ref="H174" xml:space="preserve"> INDEX( tblFilterAll[Provider Type], PeersCritera[[#This Row],[Index]] )</f>
        <v>Traditional</v>
      </c>
      <c r="I174" s="223" t="str" cm="1">
        <f t="array" ref="I174" xml:space="preserve"> INDEX( tblFilterAll[LSVT age], PeersCritera[[#This Row],[Index]] )</f>
        <v/>
      </c>
      <c r="J174" s="219" cm="1">
        <f t="array" ref="J174" xml:space="preserve"> INDEX( tblFilterAll[London], PeersCritera[[#This Row],[Index]] )</f>
        <v>3.0813792253412625E-5</v>
      </c>
      <c r="K174" s="220" cm="1">
        <f t="array" ref="K174" xml:space="preserve"> INDEX( tblFilterAll[South East], PeersCritera[[#This Row],[Index]] )</f>
        <v>0.22682032477737035</v>
      </c>
      <c r="L174" s="220" cm="1">
        <f t="array" ref="L174" xml:space="preserve"> INDEX( tblFilterAll[South West], PeersCritera[[#This Row],[Index]] )</f>
        <v>0.28733861276307276</v>
      </c>
      <c r="M174" s="220" cm="1">
        <f t="array" ref="M174" xml:space="preserve"> INDEX( tblFilterAll[East Midlands], PeersCritera[[#This Row],[Index]] )</f>
        <v>5.5772963978676857E-2</v>
      </c>
      <c r="N174" s="220" cm="1">
        <f t="array" ref="N174" xml:space="preserve"> INDEX( tblFilterAll[West Midlands], PeersCritera[[#This Row],[Index]] )</f>
        <v>0.25264228268573014</v>
      </c>
      <c r="O174" s="220" cm="1">
        <f t="array" ref="O174" xml:space="preserve"> INDEX( tblFilterAll[East of England], PeersCritera[[#This Row],[Index]] )</f>
        <v>0.12217668628478107</v>
      </c>
      <c r="P174" s="220" cm="1">
        <f t="array" ref="P174" xml:space="preserve"> INDEX( tblFilterAll[North East], PeersCritera[[#This Row],[Index]] )</f>
        <v>0</v>
      </c>
      <c r="Q174" s="220" cm="1">
        <f t="array" ref="Q174" xml:space="preserve"> INDEX( tblFilterAll[North West], PeersCritera[[#This Row],[Index]] )</f>
        <v>0</v>
      </c>
      <c r="R174" s="220" cm="1">
        <f t="array" ref="R174" xml:space="preserve"> INDEX( tblFilterAll[Yorkshire &amp; the Humber], PeersCritera[[#This Row],[Index]] )</f>
        <v>5.5218315718115425E-2</v>
      </c>
      <c r="S174" s="224" t="str" cm="1">
        <f t="array" ref="S174" xml:space="preserve"> INDEX( tblFilterAll[Region with 50%+ of social stock owned], PeersCritera[[#This Row],[Index]] )</f>
        <v>Mixed</v>
      </c>
      <c r="T174" s="229" cm="1">
        <f t="array" ref="T174" xml:space="preserve"> INDEX( tblFilterAll[Meets initial criteria], PeersCritera[[#This Row],[Index]] )</f>
        <v>1</v>
      </c>
      <c r="U174" s="241"/>
      <c r="V174" s="230">
        <f>IF( PeersCritera[[#This Row],[RP_Name]] = SelectedProvider, 1, IF( PeersCritera[[#This Row],[Override initial criteria]] = "Include", 1, IF( PeersCritera[[#This Row],[Override initial criteria]] = "Exclude", 0, PeersCritera[[#This Row],[Meets initial criteria]] ) ) )</f>
        <v>1</v>
      </c>
      <c r="W174" s="325">
        <f xml:space="preserve"> MATCH( PeersCritera[[#This Row],[RP_Name]], tblFilterAll[Provider name], 0 )</f>
        <v>159</v>
      </c>
      <c r="Y17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5" spans="2:25" x14ac:dyDescent="0.25">
      <c r="B175" s="327" t="s" vm="160">
        <v>465</v>
      </c>
      <c r="C175" s="218" cm="1" vm="9106">
        <f t="array" ref="C175" xml:space="preserve"> INDEX( tblFilterAll[Total social stock owned], PeersCritera[[#This Row],[Index]] )</f>
        <v>2038</v>
      </c>
      <c r="D175" s="219" cm="1">
        <f t="array" ref="D175" xml:space="preserve"> INDEX( tblFilterAll[% Supported housing (excl. HOP)], PeersCritera[[#This Row],[Index]] )</f>
        <v>1</v>
      </c>
      <c r="E175" s="220" cm="1">
        <f t="array" ref="E175" xml:space="preserve"> INDEX( tblFilterAll[% Housing for older people], PeersCritera[[#This Row],[Index]] )</f>
        <v>0</v>
      </c>
      <c r="F175" s="220">
        <f xml:space="preserve"> PeersCritera[[#This Row],[% Supported housing (excl. HOP)]] + PeersCritera[[#This Row],[% Housing for older people]]</f>
        <v>1</v>
      </c>
      <c r="G175" s="221">
        <f xml:space="preserve"> 1 - PeersCritera[[#This Row],[% Supported &amp; older people]]</f>
        <v>0</v>
      </c>
      <c r="H175" s="222" t="str" cm="1">
        <f t="array" ref="H175" xml:space="preserve"> INDEX( tblFilterAll[Provider Type], PeersCritera[[#This Row],[Index]] )</f>
        <v>Traditional</v>
      </c>
      <c r="I175" s="223" t="str" cm="1">
        <f t="array" ref="I175" xml:space="preserve"> INDEX( tblFilterAll[LSVT age], PeersCritera[[#This Row],[Index]] )</f>
        <v/>
      </c>
      <c r="J175" s="219" cm="1">
        <f t="array" ref="J175" xml:space="preserve"> INDEX( tblFilterAll[London], PeersCritera[[#This Row],[Index]] )</f>
        <v>0</v>
      </c>
      <c r="K175" s="220" cm="1">
        <f t="array" ref="K175" xml:space="preserve"> INDEX( tblFilterAll[South East], PeersCritera[[#This Row],[Index]] )</f>
        <v>0</v>
      </c>
      <c r="L175" s="220" cm="1">
        <f t="array" ref="L175" xml:space="preserve"> INDEX( tblFilterAll[South West], PeersCritera[[#This Row],[Index]] )</f>
        <v>0</v>
      </c>
      <c r="M175" s="220" cm="1">
        <f t="array" ref="M175" xml:space="preserve"> INDEX( tblFilterAll[East Midlands], PeersCritera[[#This Row],[Index]] )</f>
        <v>0</v>
      </c>
      <c r="N175" s="220" cm="1">
        <f t="array" ref="N175" xml:space="preserve"> INDEX( tblFilterAll[West Midlands], PeersCritera[[#This Row],[Index]] )</f>
        <v>1</v>
      </c>
      <c r="O175" s="220" cm="1">
        <f t="array" ref="O175" xml:space="preserve"> INDEX( tblFilterAll[East of England], PeersCritera[[#This Row],[Index]] )</f>
        <v>0</v>
      </c>
      <c r="P175" s="220" cm="1">
        <f t="array" ref="P175" xml:space="preserve"> INDEX( tblFilterAll[North East], PeersCritera[[#This Row],[Index]] )</f>
        <v>0</v>
      </c>
      <c r="Q175" s="220" cm="1">
        <f t="array" ref="Q175" xml:space="preserve"> INDEX( tblFilterAll[North West], PeersCritera[[#This Row],[Index]] )</f>
        <v>0</v>
      </c>
      <c r="R175" s="220" cm="1">
        <f t="array" ref="R175" xml:space="preserve"> INDEX( tblFilterAll[Yorkshire &amp; the Humber], PeersCritera[[#This Row],[Index]] )</f>
        <v>0</v>
      </c>
      <c r="S175" s="224" t="str" cm="1">
        <f t="array" ref="S175" xml:space="preserve"> INDEX( tblFilterAll[Region with 50%+ of social stock owned], PeersCritera[[#This Row],[Index]] )</f>
        <v>West Midlands</v>
      </c>
      <c r="T175" s="229" cm="1">
        <f t="array" ref="T175" xml:space="preserve"> INDEX( tblFilterAll[Meets initial criteria], PeersCritera[[#This Row],[Index]] )</f>
        <v>1</v>
      </c>
      <c r="U175" s="241"/>
      <c r="V175" s="230">
        <f>IF( PeersCritera[[#This Row],[RP_Name]] = SelectedProvider, 1, IF( PeersCritera[[#This Row],[Override initial criteria]] = "Include", 1, IF( PeersCritera[[#This Row],[Override initial criteria]] = "Exclude", 0, PeersCritera[[#This Row],[Meets initial criteria]] ) ) )</f>
        <v>1</v>
      </c>
      <c r="W175" s="325">
        <f xml:space="preserve"> MATCH( PeersCritera[[#This Row],[RP_Name]], tblFilterAll[Provider name], 0 )</f>
        <v>160</v>
      </c>
      <c r="Y17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6" spans="2:25" x14ac:dyDescent="0.25">
      <c r="B176" s="327" t="s" vm="161">
        <v>467</v>
      </c>
      <c r="C176" s="218" cm="1" vm="4282">
        <f t="array" ref="C176" xml:space="preserve"> INDEX( tblFilterAll[Total social stock owned], PeersCritera[[#This Row],[Index]] )</f>
        <v>3782</v>
      </c>
      <c r="D176" s="219" cm="1">
        <f t="array" ref="D176" xml:space="preserve"> INDEX( tblFilterAll[% Supported housing (excl. HOP)], PeersCritera[[#This Row],[Index]] )</f>
        <v>0</v>
      </c>
      <c r="E176" s="220" cm="1">
        <f t="array" ref="E176" xml:space="preserve"> INDEX( tblFilterAll[% Housing for older people], PeersCritera[[#This Row],[Index]] )</f>
        <v>0.26466684364215554</v>
      </c>
      <c r="F176" s="220">
        <f xml:space="preserve"> PeersCritera[[#This Row],[% Supported housing (excl. HOP)]] + PeersCritera[[#This Row],[% Housing for older people]]</f>
        <v>0.26466684364215554</v>
      </c>
      <c r="G176" s="221">
        <f xml:space="preserve"> 1 - PeersCritera[[#This Row],[% Supported &amp; older people]]</f>
        <v>0.73533315635784446</v>
      </c>
      <c r="H176" s="222" t="str" cm="1">
        <f t="array" ref="H176" xml:space="preserve"> INDEX( tblFilterAll[Provider Type], PeersCritera[[#This Row],[Index]] )</f>
        <v>Traditional</v>
      </c>
      <c r="I176" s="223" t="str" cm="1">
        <f t="array" ref="I176" xml:space="preserve"> INDEX( tblFilterAll[LSVT age], PeersCritera[[#This Row],[Index]] )</f>
        <v>&gt;= 12 years</v>
      </c>
      <c r="J176" s="219" cm="1">
        <f t="array" ref="J176" xml:space="preserve"> INDEX( tblFilterAll[London], PeersCritera[[#This Row],[Index]] )</f>
        <v>0</v>
      </c>
      <c r="K176" s="220" cm="1">
        <f t="array" ref="K176" xml:space="preserve"> INDEX( tblFilterAll[South East], PeersCritera[[#This Row],[Index]] )</f>
        <v>0</v>
      </c>
      <c r="L176" s="220" cm="1">
        <f t="array" ref="L176" xml:space="preserve"> INDEX( tblFilterAll[South West], PeersCritera[[#This Row],[Index]] )</f>
        <v>1</v>
      </c>
      <c r="M176" s="220" cm="1">
        <f t="array" ref="M176" xml:space="preserve"> INDEX( tblFilterAll[East Midlands], PeersCritera[[#This Row],[Index]] )</f>
        <v>0</v>
      </c>
      <c r="N176" s="220" cm="1">
        <f t="array" ref="N176" xml:space="preserve"> INDEX( tblFilterAll[West Midlands], PeersCritera[[#This Row],[Index]] )</f>
        <v>0</v>
      </c>
      <c r="O176" s="220" cm="1">
        <f t="array" ref="O176" xml:space="preserve"> INDEX( tblFilterAll[East of England], PeersCritera[[#This Row],[Index]] )</f>
        <v>0</v>
      </c>
      <c r="P176" s="220" cm="1">
        <f t="array" ref="P176" xml:space="preserve"> INDEX( tblFilterAll[North East], PeersCritera[[#This Row],[Index]] )</f>
        <v>0</v>
      </c>
      <c r="Q176" s="220" cm="1">
        <f t="array" ref="Q176" xml:space="preserve"> INDEX( tblFilterAll[North West], PeersCritera[[#This Row],[Index]] )</f>
        <v>0</v>
      </c>
      <c r="R176" s="220" cm="1">
        <f t="array" ref="R176" xml:space="preserve"> INDEX( tblFilterAll[Yorkshire &amp; the Humber], PeersCritera[[#This Row],[Index]] )</f>
        <v>0</v>
      </c>
      <c r="S176" s="224" t="str" cm="1">
        <f t="array" ref="S176" xml:space="preserve"> INDEX( tblFilterAll[Region with 50%+ of social stock owned], PeersCritera[[#This Row],[Index]] )</f>
        <v>South West</v>
      </c>
      <c r="T176" s="229" cm="1">
        <f t="array" ref="T176" xml:space="preserve"> INDEX( tblFilterAll[Meets initial criteria], PeersCritera[[#This Row],[Index]] )</f>
        <v>1</v>
      </c>
      <c r="U176" s="241"/>
      <c r="V176" s="230">
        <f>IF( PeersCritera[[#This Row],[RP_Name]] = SelectedProvider, 1, IF( PeersCritera[[#This Row],[Override initial criteria]] = "Include", 1, IF( PeersCritera[[#This Row],[Override initial criteria]] = "Exclude", 0, PeersCritera[[#This Row],[Meets initial criteria]] ) ) )</f>
        <v>1</v>
      </c>
      <c r="W176" s="325">
        <f xml:space="preserve"> MATCH( PeersCritera[[#This Row],[RP_Name]], tblFilterAll[Provider name], 0 )</f>
        <v>161</v>
      </c>
      <c r="Y17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7" spans="2:25" x14ac:dyDescent="0.25">
      <c r="B177" s="327" t="s" vm="162">
        <v>469</v>
      </c>
      <c r="C177" s="218" cm="1" vm="1660">
        <f t="array" ref="C177" xml:space="preserve"> INDEX( tblFilterAll[Total social stock owned], PeersCritera[[#This Row],[Index]] )</f>
        <v>45406</v>
      </c>
      <c r="D177" s="219" cm="1">
        <f t="array" ref="D177" xml:space="preserve"> INDEX( tblFilterAll[% Supported housing (excl. HOP)], PeersCritera[[#This Row],[Index]] )</f>
        <v>4.2970985779069257E-2</v>
      </c>
      <c r="E177" s="220" cm="1">
        <f t="array" ref="E177" xml:space="preserve"> INDEX( tblFilterAll[% Housing for older people], PeersCritera[[#This Row],[Index]] )</f>
        <v>7.1478888742130056E-2</v>
      </c>
      <c r="F177" s="220">
        <f xml:space="preserve"> PeersCritera[[#This Row],[% Supported housing (excl. HOP)]] + PeersCritera[[#This Row],[% Housing for older people]]</f>
        <v>0.11444987452119931</v>
      </c>
      <c r="G177" s="221">
        <f xml:space="preserve"> 1 - PeersCritera[[#This Row],[% Supported &amp; older people]]</f>
        <v>0.88555012547880074</v>
      </c>
      <c r="H177" s="222" t="str" cm="1">
        <f t="array" ref="H177" xml:space="preserve"> INDEX( tblFilterAll[Provider Type], PeersCritera[[#This Row],[Index]] )</f>
        <v>Traditional</v>
      </c>
      <c r="I177" s="223" t="str" cm="1">
        <f t="array" ref="I177" xml:space="preserve"> INDEX( tblFilterAll[LSVT age], PeersCritera[[#This Row],[Index]] )</f>
        <v/>
      </c>
      <c r="J177" s="219" cm="1">
        <f t="array" ref="J177" xml:space="preserve"> INDEX( tblFilterAll[London], PeersCritera[[#This Row],[Index]] )</f>
        <v>0.47502487562189055</v>
      </c>
      <c r="K177" s="220" cm="1">
        <f t="array" ref="K177" xml:space="preserve"> INDEX( tblFilterAll[South East], PeersCritera[[#This Row],[Index]] )</f>
        <v>0.19610834715312328</v>
      </c>
      <c r="L177" s="220" cm="1">
        <f t="array" ref="L177" xml:space="preserve"> INDEX( tblFilterAll[South West], PeersCritera[[#This Row],[Index]] )</f>
        <v>2.211166390270868E-5</v>
      </c>
      <c r="M177" s="220" cm="1">
        <f t="array" ref="M177" xml:space="preserve"> INDEX( tblFilterAll[East Midlands], PeersCritera[[#This Row],[Index]] )</f>
        <v>0.22606965174129354</v>
      </c>
      <c r="N177" s="220" cm="1">
        <f t="array" ref="N177" xml:space="preserve"> INDEX( tblFilterAll[West Midlands], PeersCritera[[#This Row],[Index]] )</f>
        <v>1.2824765063571034E-3</v>
      </c>
      <c r="O177" s="220" cm="1">
        <f t="array" ref="O177" xml:space="preserve"> INDEX( tblFilterAll[East of England], PeersCritera[[#This Row],[Index]] )</f>
        <v>0.10122719734660034</v>
      </c>
      <c r="P177" s="220" cm="1">
        <f t="array" ref="P177" xml:space="preserve"> INDEX( tblFilterAll[North East], PeersCritera[[#This Row],[Index]] )</f>
        <v>2.211166390270868E-5</v>
      </c>
      <c r="Q177" s="220" cm="1">
        <f t="array" ref="Q177" xml:space="preserve"> INDEX( tblFilterAll[North West], PeersCritera[[#This Row],[Index]] )</f>
        <v>0</v>
      </c>
      <c r="R177" s="220" cm="1">
        <f t="array" ref="R177" xml:space="preserve"> INDEX( tblFilterAll[Yorkshire &amp; the Humber], PeersCritera[[#This Row],[Index]] )</f>
        <v>2.4322830292979546E-4</v>
      </c>
      <c r="S177" s="224" t="str" cm="1">
        <f t="array" ref="S177" xml:space="preserve"> INDEX( tblFilterAll[Region with 50%+ of social stock owned], PeersCritera[[#This Row],[Index]] )</f>
        <v>Mixed</v>
      </c>
      <c r="T177" s="229" cm="1">
        <f t="array" ref="T177" xml:space="preserve"> INDEX( tblFilterAll[Meets initial criteria], PeersCritera[[#This Row],[Index]] )</f>
        <v>1</v>
      </c>
      <c r="U177" s="241"/>
      <c r="V177" s="230">
        <f>IF( PeersCritera[[#This Row],[RP_Name]] = SelectedProvider, 1, IF( PeersCritera[[#This Row],[Override initial criteria]] = "Include", 1, IF( PeersCritera[[#This Row],[Override initial criteria]] = "Exclude", 0, PeersCritera[[#This Row],[Meets initial criteria]] ) ) )</f>
        <v>1</v>
      </c>
      <c r="W177" s="325">
        <f xml:space="preserve"> MATCH( PeersCritera[[#This Row],[RP_Name]], tblFilterAll[Provider name], 0 )</f>
        <v>162</v>
      </c>
      <c r="Y17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8" spans="2:25" x14ac:dyDescent="0.25">
      <c r="B178" s="327" t="s" vm="163">
        <v>471</v>
      </c>
      <c r="C178" s="218" cm="1" vm="9192">
        <f t="array" ref="C178" xml:space="preserve"> INDEX( tblFilterAll[Total social stock owned], PeersCritera[[#This Row],[Index]] )</f>
        <v>1873</v>
      </c>
      <c r="D178" s="219" cm="1">
        <f t="array" ref="D178" xml:space="preserve"> INDEX( tblFilterAll[% Supported housing (excl. HOP)], PeersCritera[[#This Row],[Index]] )</f>
        <v>0</v>
      </c>
      <c r="E178" s="220" cm="1">
        <f t="array" ref="E178" xml:space="preserve"> INDEX( tblFilterAll[% Housing for older people], PeersCritera[[#This Row],[Index]] )</f>
        <v>0.60794780545670224</v>
      </c>
      <c r="F178" s="220">
        <f xml:space="preserve"> PeersCritera[[#This Row],[% Supported housing (excl. HOP)]] + PeersCritera[[#This Row],[% Housing for older people]]</f>
        <v>0.60794780545670224</v>
      </c>
      <c r="G178" s="221">
        <f xml:space="preserve"> 1 - PeersCritera[[#This Row],[% Supported &amp; older people]]</f>
        <v>0.39205219454329776</v>
      </c>
      <c r="H178" s="222" t="str" cm="1">
        <f t="array" ref="H178" xml:space="preserve"> INDEX( tblFilterAll[Provider Type], PeersCritera[[#This Row],[Index]] )</f>
        <v>Traditional</v>
      </c>
      <c r="I178" s="223" t="str" cm="1">
        <f t="array" ref="I178" xml:space="preserve"> INDEX( tblFilterAll[LSVT age], PeersCritera[[#This Row],[Index]] )</f>
        <v/>
      </c>
      <c r="J178" s="219" cm="1">
        <f t="array" ref="J178" xml:space="preserve"> INDEX( tblFilterAll[London], PeersCritera[[#This Row],[Index]] )</f>
        <v>3.7100949094046591E-2</v>
      </c>
      <c r="K178" s="220" cm="1">
        <f t="array" ref="K178" xml:space="preserve"> INDEX( tblFilterAll[South East], PeersCritera[[#This Row],[Index]] )</f>
        <v>0.16134598792062121</v>
      </c>
      <c r="L178" s="220" cm="1">
        <f t="array" ref="L178" xml:space="preserve"> INDEX( tblFilterAll[South West], PeersCritera[[#This Row],[Index]] )</f>
        <v>0.22433132010353754</v>
      </c>
      <c r="M178" s="220" cm="1">
        <f t="array" ref="M178" xml:space="preserve"> INDEX( tblFilterAll[East Midlands], PeersCritera[[#This Row],[Index]] )</f>
        <v>8.8869715271786026E-2</v>
      </c>
      <c r="N178" s="220" cm="1">
        <f t="array" ref="N178" xml:space="preserve"> INDEX( tblFilterAll[West Midlands], PeersCritera[[#This Row],[Index]] )</f>
        <v>6.9887834339948232E-2</v>
      </c>
      <c r="O178" s="220" cm="1">
        <f t="array" ref="O178" xml:space="preserve"> INDEX( tblFilterAll[East of England], PeersCritera[[#This Row],[Index]] )</f>
        <v>7.2476272648835202E-2</v>
      </c>
      <c r="P178" s="220" cm="1">
        <f t="array" ref="P178" xml:space="preserve"> INDEX( tblFilterAll[North East], PeersCritera[[#This Row],[Index]] )</f>
        <v>8.1104400345125102E-2</v>
      </c>
      <c r="Q178" s="220" cm="1">
        <f t="array" ref="Q178" xml:space="preserve"> INDEX( tblFilterAll[North West], PeersCritera[[#This Row],[Index]] )</f>
        <v>0.16307161345987919</v>
      </c>
      <c r="R178" s="220" cm="1">
        <f t="array" ref="R178" xml:space="preserve"> INDEX( tblFilterAll[Yorkshire &amp; the Humber], PeersCritera[[#This Row],[Index]] )</f>
        <v>0.10181190681622088</v>
      </c>
      <c r="S178" s="224" t="str" cm="1">
        <f t="array" ref="S178" xml:space="preserve"> INDEX( tblFilterAll[Region with 50%+ of social stock owned], PeersCritera[[#This Row],[Index]] )</f>
        <v>Mixed</v>
      </c>
      <c r="T178" s="229" cm="1">
        <f t="array" ref="T178" xml:space="preserve"> INDEX( tblFilterAll[Meets initial criteria], PeersCritera[[#This Row],[Index]] )</f>
        <v>1</v>
      </c>
      <c r="U178" s="241"/>
      <c r="V178" s="230">
        <f>IF( PeersCritera[[#This Row],[RP_Name]] = SelectedProvider, 1, IF( PeersCritera[[#This Row],[Override initial criteria]] = "Include", 1, IF( PeersCritera[[#This Row],[Override initial criteria]] = "Exclude", 0, PeersCritera[[#This Row],[Meets initial criteria]] ) ) )</f>
        <v>1</v>
      </c>
      <c r="W178" s="325">
        <f xml:space="preserve"> MATCH( PeersCritera[[#This Row],[RP_Name]], tblFilterAll[Provider name], 0 )</f>
        <v>163</v>
      </c>
      <c r="Y17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79" spans="2:25" x14ac:dyDescent="0.25">
      <c r="B179" s="327" t="s" vm="164">
        <v>473</v>
      </c>
      <c r="C179" s="218" cm="1" vm="3826">
        <f t="array" ref="C179" xml:space="preserve"> INDEX( tblFilterAll[Total social stock owned], PeersCritera[[#This Row],[Index]] )</f>
        <v>3072</v>
      </c>
      <c r="D179" s="219" cm="1">
        <f t="array" ref="D179" xml:space="preserve"> INDEX( tblFilterAll[% Supported housing (excl. HOP)], PeersCritera[[#This Row],[Index]] )</f>
        <v>6.2073448163795904E-2</v>
      </c>
      <c r="E179" s="220" cm="1">
        <f t="array" ref="E179" xml:space="preserve"> INDEX( tblFilterAll[% Housing for older people], PeersCritera[[#This Row],[Index]] )</f>
        <v>6.9873253168670782E-2</v>
      </c>
      <c r="F179" s="220">
        <f xml:space="preserve"> PeersCritera[[#This Row],[% Supported housing (excl. HOP)]] + PeersCritera[[#This Row],[% Housing for older people]]</f>
        <v>0.13194670133246669</v>
      </c>
      <c r="G179" s="221">
        <f xml:space="preserve"> 1 - PeersCritera[[#This Row],[% Supported &amp; older people]]</f>
        <v>0.86805329866753334</v>
      </c>
      <c r="H179" s="222" t="str" cm="1">
        <f t="array" ref="H179" xml:space="preserve"> INDEX( tblFilterAll[Provider Type], PeersCritera[[#This Row],[Index]] )</f>
        <v>Traditional</v>
      </c>
      <c r="I179" s="223" t="str" cm="1">
        <f t="array" ref="I179" xml:space="preserve"> INDEX( tblFilterAll[LSVT age], PeersCritera[[#This Row],[Index]] )</f>
        <v/>
      </c>
      <c r="J179" s="219" cm="1">
        <f t="array" ref="J179" xml:space="preserve"> INDEX( tblFilterAll[London], PeersCritera[[#This Row],[Index]] )</f>
        <v>0</v>
      </c>
      <c r="K179" s="220" cm="1">
        <f t="array" ref="K179" xml:space="preserve"> INDEX( tblFilterAll[South East], PeersCritera[[#This Row],[Index]] )</f>
        <v>0</v>
      </c>
      <c r="L179" s="220" cm="1">
        <f t="array" ref="L179" xml:space="preserve"> INDEX( tblFilterAll[South West], PeersCritera[[#This Row],[Index]] )</f>
        <v>0</v>
      </c>
      <c r="M179" s="220" cm="1">
        <f t="array" ref="M179" xml:space="preserve"> INDEX( tblFilterAll[East Midlands], PeersCritera[[#This Row],[Index]] )</f>
        <v>0</v>
      </c>
      <c r="N179" s="220" cm="1">
        <f t="array" ref="N179" xml:space="preserve"> INDEX( tblFilterAll[West Midlands], PeersCritera[[#This Row],[Index]] )</f>
        <v>0</v>
      </c>
      <c r="O179" s="220" cm="1">
        <f t="array" ref="O179" xml:space="preserve"> INDEX( tblFilterAll[East of England], PeersCritera[[#This Row],[Index]] )</f>
        <v>1</v>
      </c>
      <c r="P179" s="220" cm="1">
        <f t="array" ref="P179" xml:space="preserve"> INDEX( tblFilterAll[North East], PeersCritera[[#This Row],[Index]] )</f>
        <v>0</v>
      </c>
      <c r="Q179" s="220" cm="1">
        <f t="array" ref="Q179" xml:space="preserve"> INDEX( tblFilterAll[North West], PeersCritera[[#This Row],[Index]] )</f>
        <v>0</v>
      </c>
      <c r="R179" s="220" cm="1">
        <f t="array" ref="R179" xml:space="preserve"> INDEX( tblFilterAll[Yorkshire &amp; the Humber], PeersCritera[[#This Row],[Index]] )</f>
        <v>0</v>
      </c>
      <c r="S179" s="224" t="str" cm="1">
        <f t="array" ref="S179" xml:space="preserve"> INDEX( tblFilterAll[Region with 50%+ of social stock owned], PeersCritera[[#This Row],[Index]] )</f>
        <v>East of England</v>
      </c>
      <c r="T179" s="229" cm="1">
        <f t="array" ref="T179" xml:space="preserve"> INDEX( tblFilterAll[Meets initial criteria], PeersCritera[[#This Row],[Index]] )</f>
        <v>1</v>
      </c>
      <c r="U179" s="241"/>
      <c r="V179" s="230">
        <f>IF( PeersCritera[[#This Row],[RP_Name]] = SelectedProvider, 1, IF( PeersCritera[[#This Row],[Override initial criteria]] = "Include", 1, IF( PeersCritera[[#This Row],[Override initial criteria]] = "Exclude", 0, PeersCritera[[#This Row],[Meets initial criteria]] ) ) )</f>
        <v>1</v>
      </c>
      <c r="W179" s="325">
        <f xml:space="preserve"> MATCH( PeersCritera[[#This Row],[RP_Name]], tblFilterAll[Provider name], 0 )</f>
        <v>164</v>
      </c>
      <c r="Y17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0" spans="2:25" x14ac:dyDescent="0.25">
      <c r="B180" s="327" t="s" vm="165">
        <v>475</v>
      </c>
      <c r="C180" s="218" cm="1" vm="6113">
        <f t="array" ref="C180" xml:space="preserve"> INDEX( tblFilterAll[Total social stock owned], PeersCritera[[#This Row],[Index]] )</f>
        <v>6040</v>
      </c>
      <c r="D180" s="219" cm="1">
        <f t="array" ref="D180" xml:space="preserve"> INDEX( tblFilterAll[% Supported housing (excl. HOP)], PeersCritera[[#This Row],[Index]] )</f>
        <v>0.31937779248717524</v>
      </c>
      <c r="E180" s="220" cm="1">
        <f t="array" ref="E180" xml:space="preserve"> INDEX( tblFilterAll[% Housing for older people], PeersCritera[[#This Row],[Index]] )</f>
        <v>0</v>
      </c>
      <c r="F180" s="220">
        <f xml:space="preserve"> PeersCritera[[#This Row],[% Supported housing (excl. HOP)]] + PeersCritera[[#This Row],[% Housing for older people]]</f>
        <v>0.31937779248717524</v>
      </c>
      <c r="G180" s="221">
        <f xml:space="preserve"> 1 - PeersCritera[[#This Row],[% Supported &amp; older people]]</f>
        <v>0.68062220751282476</v>
      </c>
      <c r="H180" s="222" t="str" cm="1">
        <f t="array" ref="H180" xml:space="preserve"> INDEX( tblFilterAll[Provider Type], PeersCritera[[#This Row],[Index]] )</f>
        <v>Traditional</v>
      </c>
      <c r="I180" s="223" t="str" cm="1">
        <f t="array" ref="I180" xml:space="preserve"> INDEX( tblFilterAll[LSVT age], PeersCritera[[#This Row],[Index]] )</f>
        <v>&gt;= 12 years</v>
      </c>
      <c r="J180" s="219" cm="1">
        <f t="array" ref="J180" xml:space="preserve"> INDEX( tblFilterAll[London], PeersCritera[[#This Row],[Index]] )</f>
        <v>0</v>
      </c>
      <c r="K180" s="220" cm="1">
        <f t="array" ref="K180" xml:space="preserve"> INDEX( tblFilterAll[South East], PeersCritera[[#This Row],[Index]] )</f>
        <v>0</v>
      </c>
      <c r="L180" s="220" cm="1">
        <f t="array" ref="L180" xml:space="preserve"> INDEX( tblFilterAll[South West], PeersCritera[[#This Row],[Index]] )</f>
        <v>0</v>
      </c>
      <c r="M180" s="220" cm="1">
        <f t="array" ref="M180" xml:space="preserve"> INDEX( tblFilterAll[East Midlands], PeersCritera[[#This Row],[Index]] )</f>
        <v>0</v>
      </c>
      <c r="N180" s="220" cm="1">
        <f t="array" ref="N180" xml:space="preserve"> INDEX( tblFilterAll[West Midlands], PeersCritera[[#This Row],[Index]] )</f>
        <v>1</v>
      </c>
      <c r="O180" s="220" cm="1">
        <f t="array" ref="O180" xml:space="preserve"> INDEX( tblFilterAll[East of England], PeersCritera[[#This Row],[Index]] )</f>
        <v>0</v>
      </c>
      <c r="P180" s="220" cm="1">
        <f t="array" ref="P180" xml:space="preserve"> INDEX( tblFilterAll[North East], PeersCritera[[#This Row],[Index]] )</f>
        <v>0</v>
      </c>
      <c r="Q180" s="220" cm="1">
        <f t="array" ref="Q180" xml:space="preserve"> INDEX( tblFilterAll[North West], PeersCritera[[#This Row],[Index]] )</f>
        <v>0</v>
      </c>
      <c r="R180" s="220" cm="1">
        <f t="array" ref="R180" xml:space="preserve"> INDEX( tblFilterAll[Yorkshire &amp; the Humber], PeersCritera[[#This Row],[Index]] )</f>
        <v>0</v>
      </c>
      <c r="S180" s="224" t="str" cm="1">
        <f t="array" ref="S180" xml:space="preserve"> INDEX( tblFilterAll[Region with 50%+ of social stock owned], PeersCritera[[#This Row],[Index]] )</f>
        <v>West Midlands</v>
      </c>
      <c r="T180" s="229" cm="1">
        <f t="array" ref="T180" xml:space="preserve"> INDEX( tblFilterAll[Meets initial criteria], PeersCritera[[#This Row],[Index]] )</f>
        <v>1</v>
      </c>
      <c r="U180" s="241"/>
      <c r="V180" s="230">
        <f>IF( PeersCritera[[#This Row],[RP_Name]] = SelectedProvider, 1, IF( PeersCritera[[#This Row],[Override initial criteria]] = "Include", 1, IF( PeersCritera[[#This Row],[Override initial criteria]] = "Exclude", 0, PeersCritera[[#This Row],[Meets initial criteria]] ) ) )</f>
        <v>1</v>
      </c>
      <c r="W180" s="325">
        <f xml:space="preserve"> MATCH( PeersCritera[[#This Row],[RP_Name]], tblFilterAll[Provider name], 0 )</f>
        <v>165</v>
      </c>
      <c r="Y18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1" spans="2:25" x14ac:dyDescent="0.25">
      <c r="B181" s="327" t="s" vm="166">
        <v>477</v>
      </c>
      <c r="C181" s="218" cm="1" vm="1694">
        <f t="array" ref="C181" xml:space="preserve"> INDEX( tblFilterAll[Total social stock owned], PeersCritera[[#This Row],[Index]] )</f>
        <v>60576</v>
      </c>
      <c r="D181" s="219" cm="1">
        <f t="array" ref="D181" xml:space="preserve"> INDEX( tblFilterAll[% Supported housing (excl. HOP)], PeersCritera[[#This Row],[Index]] )</f>
        <v>1.290912111646453E-2</v>
      </c>
      <c r="E181" s="220" cm="1">
        <f t="array" ref="E181" xml:space="preserve"> INDEX( tblFilterAll[% Housing for older people], PeersCritera[[#This Row],[Index]] )</f>
        <v>0.12593454062136566</v>
      </c>
      <c r="F181" s="220">
        <f xml:space="preserve"> PeersCritera[[#This Row],[% Supported housing (excl. HOP)]] + PeersCritera[[#This Row],[% Housing for older people]]</f>
        <v>0.13884366173783019</v>
      </c>
      <c r="G181" s="221">
        <f xml:space="preserve"> 1 - PeersCritera[[#This Row],[% Supported &amp; older people]]</f>
        <v>0.86115633826216986</v>
      </c>
      <c r="H181" s="222" t="str" cm="1">
        <f t="array" ref="H181" xml:space="preserve"> INDEX( tblFilterAll[Provider Type], PeersCritera[[#This Row],[Index]] )</f>
        <v>Traditional</v>
      </c>
      <c r="I181" s="223" t="str" cm="1">
        <f t="array" ref="I181" xml:space="preserve"> INDEX( tblFilterAll[LSVT age], PeersCritera[[#This Row],[Index]] )</f>
        <v/>
      </c>
      <c r="J181" s="219" cm="1">
        <f t="array" ref="J181" xml:space="preserve"> INDEX( tblFilterAll[London], PeersCritera[[#This Row],[Index]] )</f>
        <v>0.10820728985866601</v>
      </c>
      <c r="K181" s="220" cm="1">
        <f t="array" ref="K181" xml:space="preserve"> INDEX( tblFilterAll[South East], PeersCritera[[#This Row],[Index]] )</f>
        <v>0.21223241590214068</v>
      </c>
      <c r="L181" s="220" cm="1">
        <f t="array" ref="L181" xml:space="preserve"> INDEX( tblFilterAll[South West], PeersCritera[[#This Row],[Index]] )</f>
        <v>0.16713777998181667</v>
      </c>
      <c r="M181" s="220" cm="1">
        <f t="array" ref="M181" xml:space="preserve"> INDEX( tblFilterAll[East Midlands], PeersCritera[[#This Row],[Index]] )</f>
        <v>7.719646251756343E-2</v>
      </c>
      <c r="N181" s="220" cm="1">
        <f t="array" ref="N181" xml:space="preserve"> INDEX( tblFilterAll[West Midlands], PeersCritera[[#This Row],[Index]] )</f>
        <v>1.5703777171667079E-3</v>
      </c>
      <c r="O181" s="220" cm="1">
        <f t="array" ref="O181" xml:space="preserve"> INDEX( tblFilterAll[East of England], PeersCritera[[#This Row],[Index]] )</f>
        <v>4.9409042069592526E-2</v>
      </c>
      <c r="P181" s="220" cm="1">
        <f t="array" ref="P181" xml:space="preserve"> INDEX( tblFilterAll[North East], PeersCritera[[#This Row],[Index]] )</f>
        <v>1.6530291759649558E-5</v>
      </c>
      <c r="Q181" s="220" cm="1">
        <f t="array" ref="Q181" xml:space="preserve"> INDEX( tblFilterAll[North West], PeersCritera[[#This Row],[Index]] )</f>
        <v>0.28119679312339863</v>
      </c>
      <c r="R181" s="220" cm="1">
        <f t="array" ref="R181" xml:space="preserve"> INDEX( tblFilterAll[Yorkshire &amp; the Humber], PeersCritera[[#This Row],[Index]] )</f>
        <v>0.10303330853789569</v>
      </c>
      <c r="S181" s="224" t="str" cm="1">
        <f t="array" ref="S181" xml:space="preserve"> INDEX( tblFilterAll[Region with 50%+ of social stock owned], PeersCritera[[#This Row],[Index]] )</f>
        <v>Mixed</v>
      </c>
      <c r="T181" s="229" cm="1">
        <f t="array" ref="T181" xml:space="preserve"> INDEX( tblFilterAll[Meets initial criteria], PeersCritera[[#This Row],[Index]] )</f>
        <v>1</v>
      </c>
      <c r="U181" s="241"/>
      <c r="V181" s="230">
        <f>IF( PeersCritera[[#This Row],[RP_Name]] = SelectedProvider, 1, IF( PeersCritera[[#This Row],[Override initial criteria]] = "Include", 1, IF( PeersCritera[[#This Row],[Override initial criteria]] = "Exclude", 0, PeersCritera[[#This Row],[Meets initial criteria]] ) ) )</f>
        <v>1</v>
      </c>
      <c r="W181" s="325">
        <f xml:space="preserve"> MATCH( PeersCritera[[#This Row],[RP_Name]], tblFilterAll[Provider name], 0 )</f>
        <v>166</v>
      </c>
      <c r="Y18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2" spans="2:25" x14ac:dyDescent="0.25">
      <c r="B182" s="327" t="s" vm="167">
        <v>479</v>
      </c>
      <c r="C182" s="218" cm="1" vm="5955">
        <f t="array" ref="C182" xml:space="preserve"> INDEX( tblFilterAll[Total social stock owned], PeersCritera[[#This Row],[Index]] )</f>
        <v>7251</v>
      </c>
      <c r="D182" s="219" cm="1">
        <f t="array" ref="D182" xml:space="preserve"> INDEX( tblFilterAll[% Supported housing (excl. HOP)], PeersCritera[[#This Row],[Index]] )</f>
        <v>1.364522417153996E-2</v>
      </c>
      <c r="E182" s="220" cm="1">
        <f t="array" ref="E182" xml:space="preserve"> INDEX( tblFilterAll[% Housing for older people], PeersCritera[[#This Row],[Index]] )</f>
        <v>3.6758563074352546E-2</v>
      </c>
      <c r="F182" s="220">
        <f xml:space="preserve"> PeersCritera[[#This Row],[% Supported housing (excl. HOP)]] + PeersCritera[[#This Row],[% Housing for older people]]</f>
        <v>5.0403787245892506E-2</v>
      </c>
      <c r="G182" s="221">
        <f xml:space="preserve"> 1 - PeersCritera[[#This Row],[% Supported &amp; older people]]</f>
        <v>0.94959621275410755</v>
      </c>
      <c r="H182" s="222" t="str" cm="1">
        <f t="array" ref="H182" xml:space="preserve"> INDEX( tblFilterAll[Provider Type], PeersCritera[[#This Row],[Index]] )</f>
        <v>Traditional</v>
      </c>
      <c r="I182" s="223" t="str" cm="1">
        <f t="array" ref="I182" xml:space="preserve"> INDEX( tblFilterAll[LSVT age], PeersCritera[[#This Row],[Index]] )</f>
        <v>&gt;= 12 years</v>
      </c>
      <c r="J182" s="219" cm="1">
        <f t="array" ref="J182" xml:space="preserve"> INDEX( tblFilterAll[London], PeersCritera[[#This Row],[Index]] )</f>
        <v>0</v>
      </c>
      <c r="K182" s="220" cm="1">
        <f t="array" ref="K182" xml:space="preserve"> INDEX( tblFilterAll[South East], PeersCritera[[#This Row],[Index]] )</f>
        <v>0</v>
      </c>
      <c r="L182" s="220" cm="1">
        <f t="array" ref="L182" xml:space="preserve"> INDEX( tblFilterAll[South West], PeersCritera[[#This Row],[Index]] )</f>
        <v>0</v>
      </c>
      <c r="M182" s="220" cm="1">
        <f t="array" ref="M182" xml:space="preserve"> INDEX( tblFilterAll[East Midlands], PeersCritera[[#This Row],[Index]] )</f>
        <v>0</v>
      </c>
      <c r="N182" s="220" cm="1">
        <f t="array" ref="N182" xml:space="preserve"> INDEX( tblFilterAll[West Midlands], PeersCritera[[#This Row],[Index]] )</f>
        <v>0</v>
      </c>
      <c r="O182" s="220" cm="1">
        <f t="array" ref="O182" xml:space="preserve"> INDEX( tblFilterAll[East of England], PeersCritera[[#This Row],[Index]] )</f>
        <v>1</v>
      </c>
      <c r="P182" s="220" cm="1">
        <f t="array" ref="P182" xml:space="preserve"> INDEX( tblFilterAll[North East], PeersCritera[[#This Row],[Index]] )</f>
        <v>0</v>
      </c>
      <c r="Q182" s="220" cm="1">
        <f t="array" ref="Q182" xml:space="preserve"> INDEX( tblFilterAll[North West], PeersCritera[[#This Row],[Index]] )</f>
        <v>0</v>
      </c>
      <c r="R182" s="220" cm="1">
        <f t="array" ref="R182" xml:space="preserve"> INDEX( tblFilterAll[Yorkshire &amp; the Humber], PeersCritera[[#This Row],[Index]] )</f>
        <v>0</v>
      </c>
      <c r="S182" s="224" t="str" cm="1">
        <f t="array" ref="S182" xml:space="preserve"> INDEX( tblFilterAll[Region with 50%+ of social stock owned], PeersCritera[[#This Row],[Index]] )</f>
        <v>East of England</v>
      </c>
      <c r="T182" s="229" cm="1">
        <f t="array" ref="T182" xml:space="preserve"> INDEX( tblFilterAll[Meets initial criteria], PeersCritera[[#This Row],[Index]] )</f>
        <v>1</v>
      </c>
      <c r="U182" s="241"/>
      <c r="V182" s="230">
        <f>IF( PeersCritera[[#This Row],[RP_Name]] = SelectedProvider, 1, IF( PeersCritera[[#This Row],[Override initial criteria]] = "Include", 1, IF( PeersCritera[[#This Row],[Override initial criteria]] = "Exclude", 0, PeersCritera[[#This Row],[Meets initial criteria]] ) ) )</f>
        <v>1</v>
      </c>
      <c r="W182" s="325">
        <f xml:space="preserve"> MATCH( PeersCritera[[#This Row],[RP_Name]], tblFilterAll[Provider name], 0 )</f>
        <v>167</v>
      </c>
      <c r="Y18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3" spans="2:25" x14ac:dyDescent="0.25">
      <c r="B183" s="327" t="s" vm="168">
        <v>481</v>
      </c>
      <c r="C183" s="218" cm="1" vm="7081">
        <f t="array" ref="C183" xml:space="preserve"> INDEX( tblFilterAll[Total social stock owned], PeersCritera[[#This Row],[Index]] )</f>
        <v>18908</v>
      </c>
      <c r="D183" s="219" cm="1">
        <f t="array" ref="D183" xml:space="preserve"> INDEX( tblFilterAll[% Supported housing (excl. HOP)], PeersCritera[[#This Row],[Index]] )</f>
        <v>1.3177392040643523E-2</v>
      </c>
      <c r="E183" s="220" cm="1">
        <f t="array" ref="E183" xml:space="preserve"> INDEX( tblFilterAll[% Housing for older people], PeersCritera[[#This Row],[Index]] )</f>
        <v>9.785139712108383E-2</v>
      </c>
      <c r="F183" s="220">
        <f xml:space="preserve"> PeersCritera[[#This Row],[% Supported housing (excl. HOP)]] + PeersCritera[[#This Row],[% Housing for older people]]</f>
        <v>0.11102878916172736</v>
      </c>
      <c r="G183" s="221">
        <f xml:space="preserve"> 1 - PeersCritera[[#This Row],[% Supported &amp; older people]]</f>
        <v>0.88897121083827269</v>
      </c>
      <c r="H183" s="222" t="str" cm="1">
        <f t="array" ref="H183" xml:space="preserve"> INDEX( tblFilterAll[Provider Type], PeersCritera[[#This Row],[Index]] )</f>
        <v>Traditional</v>
      </c>
      <c r="I183" s="223" t="str" cm="1">
        <f t="array" ref="I183" xml:space="preserve"> INDEX( tblFilterAll[LSVT age], PeersCritera[[#This Row],[Index]] )</f>
        <v>&gt;= 12 years</v>
      </c>
      <c r="J183" s="219" cm="1">
        <f t="array" ref="J183" xml:space="preserve"> INDEX( tblFilterAll[London], PeersCritera[[#This Row],[Index]] )</f>
        <v>0</v>
      </c>
      <c r="K183" s="220" cm="1">
        <f t="array" ref="K183" xml:space="preserve"> INDEX( tblFilterAll[South East], PeersCritera[[#This Row],[Index]] )</f>
        <v>0</v>
      </c>
      <c r="L183" s="220" cm="1">
        <f t="array" ref="L183" xml:space="preserve"> INDEX( tblFilterAll[South West], PeersCritera[[#This Row],[Index]] )</f>
        <v>0</v>
      </c>
      <c r="M183" s="220" cm="1">
        <f t="array" ref="M183" xml:space="preserve"> INDEX( tblFilterAll[East Midlands], PeersCritera[[#This Row],[Index]] )</f>
        <v>0</v>
      </c>
      <c r="N183" s="220" cm="1">
        <f t="array" ref="N183" xml:space="preserve"> INDEX( tblFilterAll[West Midlands], PeersCritera[[#This Row],[Index]] )</f>
        <v>1</v>
      </c>
      <c r="O183" s="220" cm="1">
        <f t="array" ref="O183" xml:space="preserve"> INDEX( tblFilterAll[East of England], PeersCritera[[#This Row],[Index]] )</f>
        <v>0</v>
      </c>
      <c r="P183" s="220" cm="1">
        <f t="array" ref="P183" xml:space="preserve"> INDEX( tblFilterAll[North East], PeersCritera[[#This Row],[Index]] )</f>
        <v>0</v>
      </c>
      <c r="Q183" s="220" cm="1">
        <f t="array" ref="Q183" xml:space="preserve"> INDEX( tblFilterAll[North West], PeersCritera[[#This Row],[Index]] )</f>
        <v>0</v>
      </c>
      <c r="R183" s="220" cm="1">
        <f t="array" ref="R183" xml:space="preserve"> INDEX( tblFilterAll[Yorkshire &amp; the Humber], PeersCritera[[#This Row],[Index]] )</f>
        <v>0</v>
      </c>
      <c r="S183" s="224" t="str" cm="1">
        <f t="array" ref="S183" xml:space="preserve"> INDEX( tblFilterAll[Region with 50%+ of social stock owned], PeersCritera[[#This Row],[Index]] )</f>
        <v>West Midlands</v>
      </c>
      <c r="T183" s="229" cm="1">
        <f t="array" ref="T183" xml:space="preserve"> INDEX( tblFilterAll[Meets initial criteria], PeersCritera[[#This Row],[Index]] )</f>
        <v>1</v>
      </c>
      <c r="U183" s="241"/>
      <c r="V183" s="230">
        <f>IF( PeersCritera[[#This Row],[RP_Name]] = SelectedProvider, 1, IF( PeersCritera[[#This Row],[Override initial criteria]] = "Include", 1, IF( PeersCritera[[#This Row],[Override initial criteria]] = "Exclude", 0, PeersCritera[[#This Row],[Meets initial criteria]] ) ) )</f>
        <v>1</v>
      </c>
      <c r="W183" s="325">
        <f xml:space="preserve"> MATCH( PeersCritera[[#This Row],[RP_Name]], tblFilterAll[Provider name], 0 )</f>
        <v>168</v>
      </c>
      <c r="Y18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4" spans="2:25" x14ac:dyDescent="0.25">
      <c r="B184" s="327" t="s" vm="169">
        <v>483</v>
      </c>
      <c r="C184" s="218" cm="1" vm="773">
        <f t="array" ref="C184" xml:space="preserve"> INDEX( tblFilterAll[Total social stock owned], PeersCritera[[#This Row],[Index]] )</f>
        <v>1426</v>
      </c>
      <c r="D184" s="219" cm="1">
        <f t="array" ref="D184" xml:space="preserve"> INDEX( tblFilterAll[% Supported housing (excl. HOP)], PeersCritera[[#This Row],[Index]] )</f>
        <v>2.0847810979847115E-3</v>
      </c>
      <c r="E184" s="220" cm="1">
        <f t="array" ref="E184" xml:space="preserve"> INDEX( tblFilterAll[% Housing for older people], PeersCritera[[#This Row],[Index]] )</f>
        <v>0.14176511466296038</v>
      </c>
      <c r="F184" s="220">
        <f xml:space="preserve"> PeersCritera[[#This Row],[% Supported housing (excl. HOP)]] + PeersCritera[[#This Row],[% Housing for older people]]</f>
        <v>0.14384989576094509</v>
      </c>
      <c r="G184" s="221">
        <f xml:space="preserve"> 1 - PeersCritera[[#This Row],[% Supported &amp; older people]]</f>
        <v>0.85615010423905491</v>
      </c>
      <c r="H184" s="222" t="str" cm="1">
        <f t="array" ref="H184" xml:space="preserve"> INDEX( tblFilterAll[Provider Type], PeersCritera[[#This Row],[Index]] )</f>
        <v>Traditional</v>
      </c>
      <c r="I184" s="223" t="str" cm="1">
        <f t="array" ref="I184" xml:space="preserve"> INDEX( tblFilterAll[LSVT age], PeersCritera[[#This Row],[Index]] )</f>
        <v/>
      </c>
      <c r="J184" s="219" cm="1">
        <f t="array" ref="J184" xml:space="preserve"> INDEX( tblFilterAll[London], PeersCritera[[#This Row],[Index]] )</f>
        <v>0.9916666666666667</v>
      </c>
      <c r="K184" s="220" cm="1">
        <f t="array" ref="K184" xml:space="preserve"> INDEX( tblFilterAll[South East], PeersCritera[[#This Row],[Index]] )</f>
        <v>0</v>
      </c>
      <c r="L184" s="220" cm="1">
        <f t="array" ref="L184" xml:space="preserve"> INDEX( tblFilterAll[South West], PeersCritera[[#This Row],[Index]] )</f>
        <v>0</v>
      </c>
      <c r="M184" s="220" cm="1">
        <f t="array" ref="M184" xml:space="preserve"> INDEX( tblFilterAll[East Midlands], PeersCritera[[#This Row],[Index]] )</f>
        <v>0</v>
      </c>
      <c r="N184" s="220" cm="1">
        <f t="array" ref="N184" xml:space="preserve"> INDEX( tblFilterAll[West Midlands], PeersCritera[[#This Row],[Index]] )</f>
        <v>0</v>
      </c>
      <c r="O184" s="220" cm="1">
        <f t="array" ref="O184" xml:space="preserve"> INDEX( tblFilterAll[East of England], PeersCritera[[#This Row],[Index]] )</f>
        <v>8.3333333333333332E-3</v>
      </c>
      <c r="P184" s="220" cm="1">
        <f t="array" ref="P184" xml:space="preserve"> INDEX( tblFilterAll[North East], PeersCritera[[#This Row],[Index]] )</f>
        <v>0</v>
      </c>
      <c r="Q184" s="220" cm="1">
        <f t="array" ref="Q184" xml:space="preserve"> INDEX( tblFilterAll[North West], PeersCritera[[#This Row],[Index]] )</f>
        <v>0</v>
      </c>
      <c r="R184" s="220" cm="1">
        <f t="array" ref="R184" xml:space="preserve"> INDEX( tblFilterAll[Yorkshire &amp; the Humber], PeersCritera[[#This Row],[Index]] )</f>
        <v>0</v>
      </c>
      <c r="S184" s="224" t="str" cm="1">
        <f t="array" ref="S184" xml:space="preserve"> INDEX( tblFilterAll[Region with 50%+ of social stock owned], PeersCritera[[#This Row],[Index]] )</f>
        <v>London</v>
      </c>
      <c r="T184" s="229" cm="1">
        <f t="array" ref="T184" xml:space="preserve"> INDEX( tblFilterAll[Meets initial criteria], PeersCritera[[#This Row],[Index]] )</f>
        <v>1</v>
      </c>
      <c r="U184" s="241"/>
      <c r="V184" s="230">
        <f>IF( PeersCritera[[#This Row],[RP_Name]] = SelectedProvider, 1, IF( PeersCritera[[#This Row],[Override initial criteria]] = "Include", 1, IF( PeersCritera[[#This Row],[Override initial criteria]] = "Exclude", 0, PeersCritera[[#This Row],[Meets initial criteria]] ) ) )</f>
        <v>1</v>
      </c>
      <c r="W184" s="325">
        <f xml:space="preserve"> MATCH( PeersCritera[[#This Row],[RP_Name]], tblFilterAll[Provider name], 0 )</f>
        <v>169</v>
      </c>
      <c r="Y18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5" spans="2:25" x14ac:dyDescent="0.25">
      <c r="B185" s="327" t="s" vm="170">
        <v>485</v>
      </c>
      <c r="C185" s="218" cm="1" vm="8141">
        <f t="array" ref="C185" xml:space="preserve"> INDEX( tblFilterAll[Total social stock owned], PeersCritera[[#This Row],[Index]] )</f>
        <v>2417</v>
      </c>
      <c r="D185" s="219" cm="1">
        <f t="array" ref="D185" xml:space="preserve"> INDEX( tblFilterAll[% Supported housing (excl. HOP)], PeersCritera[[#This Row],[Index]] )</f>
        <v>0</v>
      </c>
      <c r="E185" s="220" cm="1">
        <f t="array" ref="E185" xml:space="preserve"> INDEX( tblFilterAll[% Housing for older people], PeersCritera[[#This Row],[Index]] )</f>
        <v>5.293631100082713E-2</v>
      </c>
      <c r="F185" s="220">
        <f xml:space="preserve"> PeersCritera[[#This Row],[% Supported housing (excl. HOP)]] + PeersCritera[[#This Row],[% Housing for older people]]</f>
        <v>5.293631100082713E-2</v>
      </c>
      <c r="G185" s="221">
        <f xml:space="preserve"> 1 - PeersCritera[[#This Row],[% Supported &amp; older people]]</f>
        <v>0.94706368899917281</v>
      </c>
      <c r="H185" s="222" t="str" cm="1">
        <f t="array" ref="H185" xml:space="preserve"> INDEX( tblFilterAll[Provider Type], PeersCritera[[#This Row],[Index]] )</f>
        <v>Traditional</v>
      </c>
      <c r="I185" s="223" t="str" cm="1">
        <f t="array" ref="I185" xml:space="preserve"> INDEX( tblFilterAll[LSVT age], PeersCritera[[#This Row],[Index]] )</f>
        <v/>
      </c>
      <c r="J185" s="219" cm="1">
        <f t="array" ref="J185" xml:space="preserve"> INDEX( tblFilterAll[London], PeersCritera[[#This Row],[Index]] )</f>
        <v>0</v>
      </c>
      <c r="K185" s="220" cm="1">
        <f t="array" ref="K185" xml:space="preserve"> INDEX( tblFilterAll[South East], PeersCritera[[#This Row],[Index]] )</f>
        <v>0</v>
      </c>
      <c r="L185" s="220" cm="1">
        <f t="array" ref="L185" xml:space="preserve"> INDEX( tblFilterAll[South West], PeersCritera[[#This Row],[Index]] )</f>
        <v>0</v>
      </c>
      <c r="M185" s="220" cm="1">
        <f t="array" ref="M185" xml:space="preserve"> INDEX( tblFilterAll[East Midlands], PeersCritera[[#This Row],[Index]] )</f>
        <v>0</v>
      </c>
      <c r="N185" s="220" cm="1">
        <f t="array" ref="N185" xml:space="preserve"> INDEX( tblFilterAll[West Midlands], PeersCritera[[#This Row],[Index]] )</f>
        <v>1</v>
      </c>
      <c r="O185" s="220" cm="1">
        <f t="array" ref="O185" xml:space="preserve"> INDEX( tblFilterAll[East of England], PeersCritera[[#This Row],[Index]] )</f>
        <v>0</v>
      </c>
      <c r="P185" s="220" cm="1">
        <f t="array" ref="P185" xml:space="preserve"> INDEX( tblFilterAll[North East], PeersCritera[[#This Row],[Index]] )</f>
        <v>0</v>
      </c>
      <c r="Q185" s="220" cm="1">
        <f t="array" ref="Q185" xml:space="preserve"> INDEX( tblFilterAll[North West], PeersCritera[[#This Row],[Index]] )</f>
        <v>0</v>
      </c>
      <c r="R185" s="220" cm="1">
        <f t="array" ref="R185" xml:space="preserve"> INDEX( tblFilterAll[Yorkshire &amp; the Humber], PeersCritera[[#This Row],[Index]] )</f>
        <v>0</v>
      </c>
      <c r="S185" s="224" t="str" cm="1">
        <f t="array" ref="S185" xml:space="preserve"> INDEX( tblFilterAll[Region with 50%+ of social stock owned], PeersCritera[[#This Row],[Index]] )</f>
        <v>West Midlands</v>
      </c>
      <c r="T185" s="229" cm="1">
        <f t="array" ref="T185" xml:space="preserve"> INDEX( tblFilterAll[Meets initial criteria], PeersCritera[[#This Row],[Index]] )</f>
        <v>1</v>
      </c>
      <c r="U185" s="241"/>
      <c r="V185" s="230">
        <f>IF( PeersCritera[[#This Row],[RP_Name]] = SelectedProvider, 1, IF( PeersCritera[[#This Row],[Override initial criteria]] = "Include", 1, IF( PeersCritera[[#This Row],[Override initial criteria]] = "Exclude", 0, PeersCritera[[#This Row],[Meets initial criteria]] ) ) )</f>
        <v>1</v>
      </c>
      <c r="W185" s="325">
        <f xml:space="preserve"> MATCH( PeersCritera[[#This Row],[RP_Name]], tblFilterAll[Provider name], 0 )</f>
        <v>170</v>
      </c>
      <c r="Y18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6" spans="2:25" x14ac:dyDescent="0.25">
      <c r="B186" s="327" t="s" vm="171">
        <v>487</v>
      </c>
      <c r="C186" s="218" cm="1" vm="1494">
        <f t="array" ref="C186" xml:space="preserve"> INDEX( tblFilterAll[Total social stock owned], PeersCritera[[#This Row],[Index]] )</f>
        <v>66944</v>
      </c>
      <c r="D186" s="219" cm="1">
        <f t="array" ref="D186" xml:space="preserve"> INDEX( tblFilterAll[% Supported housing (excl. HOP)], PeersCritera[[#This Row],[Index]] )</f>
        <v>8.265145493368245E-2</v>
      </c>
      <c r="E186" s="220" cm="1">
        <f t="array" ref="E186" xml:space="preserve"> INDEX( tblFilterAll[% Housing for older people], PeersCritera[[#This Row],[Index]] )</f>
        <v>7.7991303128068457E-2</v>
      </c>
      <c r="F186" s="220">
        <f xml:space="preserve"> PeersCritera[[#This Row],[% Supported housing (excl. HOP)]] + PeersCritera[[#This Row],[% Housing for older people]]</f>
        <v>0.16064275806175091</v>
      </c>
      <c r="G186" s="221">
        <f xml:space="preserve"> 1 - PeersCritera[[#This Row],[% Supported &amp; older people]]</f>
        <v>0.83935724193824912</v>
      </c>
      <c r="H186" s="222" t="str" cm="1">
        <f t="array" ref="H186" xml:space="preserve"> INDEX( tblFilterAll[Provider Type], PeersCritera[[#This Row],[Index]] )</f>
        <v>Traditional</v>
      </c>
      <c r="I186" s="223" t="str" cm="1">
        <f t="array" ref="I186" xml:space="preserve"> INDEX( tblFilterAll[LSVT age], PeersCritera[[#This Row],[Index]] )</f>
        <v/>
      </c>
      <c r="J186" s="219" cm="1">
        <f t="array" ref="J186" xml:space="preserve"> INDEX( tblFilterAll[London], PeersCritera[[#This Row],[Index]] )</f>
        <v>0.21369905956112853</v>
      </c>
      <c r="K186" s="220" cm="1">
        <f t="array" ref="K186" xml:space="preserve"> INDEX( tblFilterAll[South East], PeersCritera[[#This Row],[Index]] )</f>
        <v>4.0658307210031351E-2</v>
      </c>
      <c r="L186" s="220" cm="1">
        <f t="array" ref="L186" xml:space="preserve"> INDEX( tblFilterAll[South West], PeersCritera[[#This Row],[Index]] )</f>
        <v>5.2037617554858938E-3</v>
      </c>
      <c r="M186" s="220" cm="1">
        <f t="array" ref="M186" xml:space="preserve"> INDEX( tblFilterAll[East Midlands], PeersCritera[[#This Row],[Index]] )</f>
        <v>7.0799373040752345E-2</v>
      </c>
      <c r="N186" s="220" cm="1">
        <f t="array" ref="N186" xml:space="preserve"> INDEX( tblFilterAll[West Midlands], PeersCritera[[#This Row],[Index]] )</f>
        <v>1.3166144200626959E-2</v>
      </c>
      <c r="O186" s="220" cm="1">
        <f t="array" ref="O186" xml:space="preserve"> INDEX( tblFilterAll[East of England], PeersCritera[[#This Row],[Index]] )</f>
        <v>8.1818181818181825E-3</v>
      </c>
      <c r="P186" s="220" cm="1">
        <f t="array" ref="P186" xml:space="preserve"> INDEX( tblFilterAll[North East], PeersCritera[[#This Row],[Index]] )</f>
        <v>6.4623824451410655E-2</v>
      </c>
      <c r="Q186" s="220" cm="1">
        <f t="array" ref="Q186" xml:space="preserve"> INDEX( tblFilterAll[North West], PeersCritera[[#This Row],[Index]] )</f>
        <v>0.54451410658307209</v>
      </c>
      <c r="R186" s="220" cm="1">
        <f t="array" ref="R186" xml:space="preserve"> INDEX( tblFilterAll[Yorkshire &amp; the Humber], PeersCritera[[#This Row],[Index]] )</f>
        <v>3.9153605015673984E-2</v>
      </c>
      <c r="S186" s="224" t="str" cm="1">
        <f t="array" ref="S186" xml:space="preserve"> INDEX( tblFilterAll[Region with 50%+ of social stock owned], PeersCritera[[#This Row],[Index]] )</f>
        <v>North West</v>
      </c>
      <c r="T186" s="229" cm="1">
        <f t="array" ref="T186" xml:space="preserve"> INDEX( tblFilterAll[Meets initial criteria], PeersCritera[[#This Row],[Index]] )</f>
        <v>1</v>
      </c>
      <c r="U186" s="241"/>
      <c r="V186" s="230">
        <f>IF( PeersCritera[[#This Row],[RP_Name]] = SelectedProvider, 1, IF( PeersCritera[[#This Row],[Override initial criteria]] = "Include", 1, IF( PeersCritera[[#This Row],[Override initial criteria]] = "Exclude", 0, PeersCritera[[#This Row],[Meets initial criteria]] ) ) )</f>
        <v>1</v>
      </c>
      <c r="W186" s="325">
        <f xml:space="preserve"> MATCH( PeersCritera[[#This Row],[RP_Name]], tblFilterAll[Provider name], 0 )</f>
        <v>171</v>
      </c>
      <c r="Y18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7" spans="2:25" x14ac:dyDescent="0.25">
      <c r="B187" s="327" t="s" vm="172">
        <v>489</v>
      </c>
      <c r="C187" s="218" cm="1" vm="2169">
        <f t="array" ref="C187" xml:space="preserve"> INDEX( tblFilterAll[Total social stock owned], PeersCritera[[#This Row],[Index]] )</f>
        <v>13167</v>
      </c>
      <c r="D187" s="219" cm="1">
        <f t="array" ref="D187" xml:space="preserve"> INDEX( tblFilterAll[% Supported housing (excl. HOP)], PeersCritera[[#This Row],[Index]] )</f>
        <v>6.8053219146658513E-3</v>
      </c>
      <c r="E187" s="220" cm="1">
        <f t="array" ref="E187" xml:space="preserve"> INDEX( tblFilterAll[% Housing for older people], PeersCritera[[#This Row],[Index]] )</f>
        <v>9.9938828567059185E-2</v>
      </c>
      <c r="F187" s="220">
        <f xml:space="preserve"> PeersCritera[[#This Row],[% Supported housing (excl. HOP)]] + PeersCritera[[#This Row],[% Housing for older people]]</f>
        <v>0.10674415048172503</v>
      </c>
      <c r="G187" s="221">
        <f xml:space="preserve"> 1 - PeersCritera[[#This Row],[% Supported &amp; older people]]</f>
        <v>0.89325584951827497</v>
      </c>
      <c r="H187" s="222" t="str" cm="1">
        <f t="array" ref="H187" xml:space="preserve"> INDEX( tblFilterAll[Provider Type], PeersCritera[[#This Row],[Index]] )</f>
        <v>Traditional</v>
      </c>
      <c r="I187" s="223" t="str" cm="1">
        <f t="array" ref="I187" xml:space="preserve"> INDEX( tblFilterAll[LSVT age], PeersCritera[[#This Row],[Index]] )</f>
        <v>&gt;= 12 years</v>
      </c>
      <c r="J187" s="219" cm="1">
        <f t="array" ref="J187" xml:space="preserve"> INDEX( tblFilterAll[London], PeersCritera[[#This Row],[Index]] )</f>
        <v>0</v>
      </c>
      <c r="K187" s="220" cm="1">
        <f t="array" ref="K187" xml:space="preserve"> INDEX( tblFilterAll[South East], PeersCritera[[#This Row],[Index]] )</f>
        <v>0</v>
      </c>
      <c r="L187" s="220" cm="1">
        <f t="array" ref="L187" xml:space="preserve"> INDEX( tblFilterAll[South West], PeersCritera[[#This Row],[Index]] )</f>
        <v>0</v>
      </c>
      <c r="M187" s="220" cm="1">
        <f t="array" ref="M187" xml:space="preserve"> INDEX( tblFilterAll[East Midlands], PeersCritera[[#This Row],[Index]] )</f>
        <v>0</v>
      </c>
      <c r="N187" s="220" cm="1">
        <f t="array" ref="N187" xml:space="preserve"> INDEX( tblFilterAll[West Midlands], PeersCritera[[#This Row],[Index]] )</f>
        <v>1</v>
      </c>
      <c r="O187" s="220" cm="1">
        <f t="array" ref="O187" xml:space="preserve"> INDEX( tblFilterAll[East of England], PeersCritera[[#This Row],[Index]] )</f>
        <v>0</v>
      </c>
      <c r="P187" s="220" cm="1">
        <f t="array" ref="P187" xml:space="preserve"> INDEX( tblFilterAll[North East], PeersCritera[[#This Row],[Index]] )</f>
        <v>0</v>
      </c>
      <c r="Q187" s="220" cm="1">
        <f t="array" ref="Q187" xml:space="preserve"> INDEX( tblFilterAll[North West], PeersCritera[[#This Row],[Index]] )</f>
        <v>0</v>
      </c>
      <c r="R187" s="220" cm="1">
        <f t="array" ref="R187" xml:space="preserve"> INDEX( tblFilterAll[Yorkshire &amp; the Humber], PeersCritera[[#This Row],[Index]] )</f>
        <v>0</v>
      </c>
      <c r="S187" s="224" t="str" cm="1">
        <f t="array" ref="S187" xml:space="preserve"> INDEX( tblFilterAll[Region with 50%+ of social stock owned], PeersCritera[[#This Row],[Index]] )</f>
        <v>West Midlands</v>
      </c>
      <c r="T187" s="229" cm="1">
        <f t="array" ref="T187" xml:space="preserve"> INDEX( tblFilterAll[Meets initial criteria], PeersCritera[[#This Row],[Index]] )</f>
        <v>1</v>
      </c>
      <c r="U187" s="241"/>
      <c r="V187" s="230">
        <f>IF( PeersCritera[[#This Row],[RP_Name]] = SelectedProvider, 1, IF( PeersCritera[[#This Row],[Override initial criteria]] = "Include", 1, IF( PeersCritera[[#This Row],[Override initial criteria]] = "Exclude", 0, PeersCritera[[#This Row],[Meets initial criteria]] ) ) )</f>
        <v>1</v>
      </c>
      <c r="W187" s="325">
        <f xml:space="preserve"> MATCH( PeersCritera[[#This Row],[RP_Name]], tblFilterAll[Provider name], 0 )</f>
        <v>172</v>
      </c>
      <c r="Y18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8" spans="2:25" x14ac:dyDescent="0.25">
      <c r="B188" s="327" t="s" vm="173">
        <v>491</v>
      </c>
      <c r="C188" s="218" cm="1" vm="2037">
        <f t="array" ref="C188" xml:space="preserve"> INDEX( tblFilterAll[Total social stock owned], PeersCritera[[#This Row],[Index]] )</f>
        <v>34579</v>
      </c>
      <c r="D188" s="219" cm="1">
        <f t="array" ref="D188" xml:space="preserve"> INDEX( tblFilterAll[% Supported housing (excl. HOP)], PeersCritera[[#This Row],[Index]] )</f>
        <v>7.311341282966316E-3</v>
      </c>
      <c r="E188" s="220" cm="1">
        <f t="array" ref="E188" xml:space="preserve"> INDEX( tblFilterAll[% Housing for older people], PeersCritera[[#This Row],[Index]] )</f>
        <v>6.8964516784170371E-2</v>
      </c>
      <c r="F188" s="220">
        <f xml:space="preserve"> PeersCritera[[#This Row],[% Supported housing (excl. HOP)]] + PeersCritera[[#This Row],[% Housing for older people]]</f>
        <v>7.6275858067136687E-2</v>
      </c>
      <c r="G188" s="221">
        <f xml:space="preserve"> 1 - PeersCritera[[#This Row],[% Supported &amp; older people]]</f>
        <v>0.92372414193286334</v>
      </c>
      <c r="H188" s="222" t="str" cm="1">
        <f t="array" ref="H188" xml:space="preserve"> INDEX( tblFilterAll[Provider Type], PeersCritera[[#This Row],[Index]] )</f>
        <v>Traditional</v>
      </c>
      <c r="I188" s="223" t="str" cm="1">
        <f t="array" ref="I188" xml:space="preserve"> INDEX( tblFilterAll[LSVT age], PeersCritera[[#This Row],[Index]] )</f>
        <v>&gt;= 12 years</v>
      </c>
      <c r="J188" s="219" cm="1">
        <f t="array" ref="J188" xml:space="preserve"> INDEX( tblFilterAll[London], PeersCritera[[#This Row],[Index]] )</f>
        <v>0</v>
      </c>
      <c r="K188" s="220" cm="1">
        <f t="array" ref="K188" xml:space="preserve"> INDEX( tblFilterAll[South East], PeersCritera[[#This Row],[Index]] )</f>
        <v>0</v>
      </c>
      <c r="L188" s="220" cm="1">
        <f t="array" ref="L188" xml:space="preserve"> INDEX( tblFilterAll[South West], PeersCritera[[#This Row],[Index]] )</f>
        <v>0</v>
      </c>
      <c r="M188" s="220" cm="1">
        <f t="array" ref="M188" xml:space="preserve"> INDEX( tblFilterAll[East Midlands], PeersCritera[[#This Row],[Index]] )</f>
        <v>0</v>
      </c>
      <c r="N188" s="220" cm="1">
        <f t="array" ref="N188" xml:space="preserve"> INDEX( tblFilterAll[West Midlands], PeersCritera[[#This Row],[Index]] )</f>
        <v>0</v>
      </c>
      <c r="O188" s="220" cm="1">
        <f t="array" ref="O188" xml:space="preserve"> INDEX( tblFilterAll[East of England], PeersCritera[[#This Row],[Index]] )</f>
        <v>2.8920122621319915E-5</v>
      </c>
      <c r="P188" s="220" cm="1">
        <f t="array" ref="P188" xml:space="preserve"> INDEX( tblFilterAll[North East], PeersCritera[[#This Row],[Index]] )</f>
        <v>0.95390132454161602</v>
      </c>
      <c r="Q188" s="220" cm="1">
        <f t="array" ref="Q188" xml:space="preserve"> INDEX( tblFilterAll[North West], PeersCritera[[#This Row],[Index]] )</f>
        <v>0</v>
      </c>
      <c r="R188" s="220" cm="1">
        <f t="array" ref="R188" xml:space="preserve"> INDEX( tblFilterAll[Yorkshire &amp; the Humber], PeersCritera[[#This Row],[Index]] )</f>
        <v>4.6069755335762623E-2</v>
      </c>
      <c r="S188" s="224" t="str" cm="1">
        <f t="array" ref="S188" xml:space="preserve"> INDEX( tblFilterAll[Region with 50%+ of social stock owned], PeersCritera[[#This Row],[Index]] )</f>
        <v>North East</v>
      </c>
      <c r="T188" s="229" cm="1">
        <f t="array" ref="T188" xml:space="preserve"> INDEX( tblFilterAll[Meets initial criteria], PeersCritera[[#This Row],[Index]] )</f>
        <v>1</v>
      </c>
      <c r="U188" s="241"/>
      <c r="V188" s="230">
        <f>IF( PeersCritera[[#This Row],[RP_Name]] = SelectedProvider, 1, IF( PeersCritera[[#This Row],[Override initial criteria]] = "Include", 1, IF( PeersCritera[[#This Row],[Override initial criteria]] = "Exclude", 0, PeersCritera[[#This Row],[Meets initial criteria]] ) ) )</f>
        <v>1</v>
      </c>
      <c r="W188" s="325">
        <f xml:space="preserve"> MATCH( PeersCritera[[#This Row],[RP_Name]], tblFilterAll[Provider name], 0 )</f>
        <v>173</v>
      </c>
      <c r="Y18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89" spans="2:25" x14ac:dyDescent="0.25">
      <c r="B189" s="327" t="s" vm="174">
        <v>493</v>
      </c>
      <c r="C189" s="218" cm="1" vm="3993">
        <f t="array" ref="C189" xml:space="preserve"> INDEX( tblFilterAll[Total social stock owned], PeersCritera[[#This Row],[Index]] )</f>
        <v>4831</v>
      </c>
      <c r="D189" s="219" cm="1">
        <f t="array" ref="D189" xml:space="preserve"> INDEX( tblFilterAll[% Supported housing (excl. HOP)], PeersCritera[[#This Row],[Index]] )</f>
        <v>0</v>
      </c>
      <c r="E189" s="220" cm="1">
        <f t="array" ref="E189" xml:space="preserve"> INDEX( tblFilterAll[% Housing for older people], PeersCritera[[#This Row],[Index]] )</f>
        <v>0.12084656084656084</v>
      </c>
      <c r="F189" s="220">
        <f xml:space="preserve"> PeersCritera[[#This Row],[% Supported housing (excl. HOP)]] + PeersCritera[[#This Row],[% Housing for older people]]</f>
        <v>0.12084656084656084</v>
      </c>
      <c r="G189" s="221">
        <f xml:space="preserve"> 1 - PeersCritera[[#This Row],[% Supported &amp; older people]]</f>
        <v>0.87915343915343913</v>
      </c>
      <c r="H189" s="222" t="str" cm="1">
        <f t="array" ref="H189" xml:space="preserve"> INDEX( tblFilterAll[Provider Type], PeersCritera[[#This Row],[Index]] )</f>
        <v>Traditional</v>
      </c>
      <c r="I189" s="223" t="str" cm="1">
        <f t="array" ref="I189" xml:space="preserve"> INDEX( tblFilterAll[LSVT age], PeersCritera[[#This Row],[Index]] )</f>
        <v>&gt;= 12 years</v>
      </c>
      <c r="J189" s="219" cm="1">
        <f t="array" ref="J189" xml:space="preserve"> INDEX( tblFilterAll[London], PeersCritera[[#This Row],[Index]] )</f>
        <v>0</v>
      </c>
      <c r="K189" s="220" cm="1">
        <f t="array" ref="K189" xml:space="preserve"> INDEX( tblFilterAll[South East], PeersCritera[[#This Row],[Index]] )</f>
        <v>0.14179258952597806</v>
      </c>
      <c r="L189" s="220" cm="1">
        <f t="array" ref="L189" xml:space="preserve"> INDEX( tblFilterAll[South West], PeersCritera[[#This Row],[Index]] )</f>
        <v>0</v>
      </c>
      <c r="M189" s="220" cm="1">
        <f t="array" ref="M189" xml:space="preserve"> INDEX( tblFilterAll[East Midlands], PeersCritera[[#This Row],[Index]] )</f>
        <v>2.0699648105982198E-4</v>
      </c>
      <c r="N189" s="220" cm="1">
        <f t="array" ref="N189" xml:space="preserve"> INDEX( tblFilterAll[West Midlands], PeersCritera[[#This Row],[Index]] )</f>
        <v>0</v>
      </c>
      <c r="O189" s="220" cm="1">
        <f t="array" ref="O189" xml:space="preserve"> INDEX( tblFilterAll[East of England], PeersCritera[[#This Row],[Index]] )</f>
        <v>0.85800041399296212</v>
      </c>
      <c r="P189" s="220" cm="1">
        <f t="array" ref="P189" xml:space="preserve"> INDEX( tblFilterAll[North East], PeersCritera[[#This Row],[Index]] )</f>
        <v>0</v>
      </c>
      <c r="Q189" s="220" cm="1">
        <f t="array" ref="Q189" xml:space="preserve"> INDEX( tblFilterAll[North West], PeersCritera[[#This Row],[Index]] )</f>
        <v>0</v>
      </c>
      <c r="R189" s="220" cm="1">
        <f t="array" ref="R189" xml:space="preserve"> INDEX( tblFilterAll[Yorkshire &amp; the Humber], PeersCritera[[#This Row],[Index]] )</f>
        <v>0</v>
      </c>
      <c r="S189" s="224" t="str" cm="1">
        <f t="array" ref="S189" xml:space="preserve"> INDEX( tblFilterAll[Region with 50%+ of social stock owned], PeersCritera[[#This Row],[Index]] )</f>
        <v>East of England</v>
      </c>
      <c r="T189" s="229" cm="1">
        <f t="array" ref="T189" xml:space="preserve"> INDEX( tblFilterAll[Meets initial criteria], PeersCritera[[#This Row],[Index]] )</f>
        <v>1</v>
      </c>
      <c r="U189" s="241"/>
      <c r="V189" s="230">
        <f>IF( PeersCritera[[#This Row],[RP_Name]] = SelectedProvider, 1, IF( PeersCritera[[#This Row],[Override initial criteria]] = "Include", 1, IF( PeersCritera[[#This Row],[Override initial criteria]] = "Exclude", 0, PeersCritera[[#This Row],[Meets initial criteria]] ) ) )</f>
        <v>1</v>
      </c>
      <c r="W189" s="325">
        <f xml:space="preserve"> MATCH( PeersCritera[[#This Row],[RP_Name]], tblFilterAll[Provider name], 0 )</f>
        <v>174</v>
      </c>
      <c r="Y18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0" spans="2:25" x14ac:dyDescent="0.25">
      <c r="B190" s="327" t="s" vm="175">
        <v>495</v>
      </c>
      <c r="C190" s="218" cm="1" vm="1894">
        <f t="array" ref="C190" xml:space="preserve"> INDEX( tblFilterAll[Total social stock owned], PeersCritera[[#This Row],[Index]] )</f>
        <v>35968</v>
      </c>
      <c r="D190" s="219" cm="1">
        <f t="array" ref="D190" xml:space="preserve"> INDEX( tblFilterAll[% Supported housing (excl. HOP)], PeersCritera[[#This Row],[Index]] )</f>
        <v>1.2511843058574374E-2</v>
      </c>
      <c r="E190" s="220" cm="1">
        <f t="array" ref="E190" xml:space="preserve"> INDEX( tblFilterAll[% Housing for older people], PeersCritera[[#This Row],[Index]] )</f>
        <v>1.3710081926099314E-2</v>
      </c>
      <c r="F190" s="220">
        <f xml:space="preserve"> PeersCritera[[#This Row],[% Supported housing (excl. HOP)]] + PeersCritera[[#This Row],[% Housing for older people]]</f>
        <v>2.622192498467369E-2</v>
      </c>
      <c r="G190" s="221">
        <f xml:space="preserve"> 1 - PeersCritera[[#This Row],[% Supported &amp; older people]]</f>
        <v>0.97377807501532632</v>
      </c>
      <c r="H190" s="222" t="str" cm="1">
        <f t="array" ref="H190" xml:space="preserve"> INDEX( tblFilterAll[Provider Type], PeersCritera[[#This Row],[Index]] )</f>
        <v>Traditional</v>
      </c>
      <c r="I190" s="223" t="str" cm="1">
        <f t="array" ref="I190" xml:space="preserve"> INDEX( tblFilterAll[LSVT age], PeersCritera[[#This Row],[Index]] )</f>
        <v>&gt;= 12 years</v>
      </c>
      <c r="J190" s="219" cm="1">
        <f t="array" ref="J190" xml:space="preserve"> INDEX( tblFilterAll[London], PeersCritera[[#This Row],[Index]] )</f>
        <v>0</v>
      </c>
      <c r="K190" s="220" cm="1">
        <f t="array" ref="K190" xml:space="preserve"> INDEX( tblFilterAll[South East], PeersCritera[[#This Row],[Index]] )</f>
        <v>0</v>
      </c>
      <c r="L190" s="220" cm="1">
        <f t="array" ref="L190" xml:space="preserve"> INDEX( tblFilterAll[South West], PeersCritera[[#This Row],[Index]] )</f>
        <v>0</v>
      </c>
      <c r="M190" s="220" cm="1">
        <f t="array" ref="M190" xml:space="preserve"> INDEX( tblFilterAll[East Midlands], PeersCritera[[#This Row],[Index]] )</f>
        <v>9.0120160213618163E-3</v>
      </c>
      <c r="N190" s="220" cm="1">
        <f t="array" ref="N190" xml:space="preserve"> INDEX( tblFilterAll[West Midlands], PeersCritera[[#This Row],[Index]] )</f>
        <v>0</v>
      </c>
      <c r="O190" s="220" cm="1">
        <f t="array" ref="O190" xml:space="preserve"> INDEX( tblFilterAll[East of England], PeersCritera[[#This Row],[Index]] )</f>
        <v>0</v>
      </c>
      <c r="P190" s="220" cm="1">
        <f t="array" ref="P190" xml:space="preserve"> INDEX( tblFilterAll[North East], PeersCritera[[#This Row],[Index]] )</f>
        <v>0</v>
      </c>
      <c r="Q190" s="220" cm="1">
        <f t="array" ref="Q190" xml:space="preserve"> INDEX( tblFilterAll[North West], PeersCritera[[#This Row],[Index]] )</f>
        <v>0.41722296395193592</v>
      </c>
      <c r="R190" s="220" cm="1">
        <f t="array" ref="R190" xml:space="preserve"> INDEX( tblFilterAll[Yorkshire &amp; the Humber], PeersCritera[[#This Row],[Index]] )</f>
        <v>0.57376502002670227</v>
      </c>
      <c r="S190" s="224" t="str" cm="1">
        <f t="array" ref="S190" xml:space="preserve"> INDEX( tblFilterAll[Region with 50%+ of social stock owned], PeersCritera[[#This Row],[Index]] )</f>
        <v>Yorkshire &amp; the Humber</v>
      </c>
      <c r="T190" s="229" cm="1">
        <f t="array" ref="T190" xml:space="preserve"> INDEX( tblFilterAll[Meets initial criteria], PeersCritera[[#This Row],[Index]] )</f>
        <v>1</v>
      </c>
      <c r="U190" s="241"/>
      <c r="V190" s="230">
        <f>IF( PeersCritera[[#This Row],[RP_Name]] = SelectedProvider, 1, IF( PeersCritera[[#This Row],[Override initial criteria]] = "Include", 1, IF( PeersCritera[[#This Row],[Override initial criteria]] = "Exclude", 0, PeersCritera[[#This Row],[Meets initial criteria]] ) ) )</f>
        <v>1</v>
      </c>
      <c r="W190" s="325">
        <f xml:space="preserve"> MATCH( PeersCritera[[#This Row],[RP_Name]], tblFilterAll[Provider name], 0 )</f>
        <v>175</v>
      </c>
      <c r="Y19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1" spans="2:25" x14ac:dyDescent="0.25">
      <c r="B191" s="327" t="s" vm="176">
        <v>497</v>
      </c>
      <c r="C191" s="218" cm="1" vm="2007">
        <f t="array" ref="C191" xml:space="preserve"> INDEX( tblFilterAll[Total social stock owned], PeersCritera[[#This Row],[Index]] )</f>
        <v>38674</v>
      </c>
      <c r="D191" s="219" cm="1">
        <f t="array" ref="D191" xml:space="preserve"> INDEX( tblFilterAll[% Supported housing (excl. HOP)], PeersCritera[[#This Row],[Index]] )</f>
        <v>4.1829046505585865E-3</v>
      </c>
      <c r="E191" s="220" cm="1">
        <f t="array" ref="E191" xml:space="preserve"> INDEX( tblFilterAll[% Housing for older people], PeersCritera[[#This Row],[Index]] )</f>
        <v>8.791893998441154E-2</v>
      </c>
      <c r="F191" s="220">
        <f xml:space="preserve"> PeersCritera[[#This Row],[% Supported housing (excl. HOP)]] + PeersCritera[[#This Row],[% Housing for older people]]</f>
        <v>9.210184463497012E-2</v>
      </c>
      <c r="G191" s="221">
        <f xml:space="preserve"> 1 - PeersCritera[[#This Row],[% Supported &amp; older people]]</f>
        <v>0.90789815536502982</v>
      </c>
      <c r="H191" s="222" t="str" cm="1">
        <f t="array" ref="H191" xml:space="preserve"> INDEX( tblFilterAll[Provider Type], PeersCritera[[#This Row],[Index]] )</f>
        <v>Traditional</v>
      </c>
      <c r="I191" s="223" t="str" cm="1">
        <f t="array" ref="I191" xml:space="preserve"> INDEX( tblFilterAll[LSVT age], PeersCritera[[#This Row],[Index]] )</f>
        <v>&gt;= 12 years</v>
      </c>
      <c r="J191" s="219" cm="1">
        <f t="array" ref="J191" xml:space="preserve"> INDEX( tblFilterAll[London], PeersCritera[[#This Row],[Index]] )</f>
        <v>0</v>
      </c>
      <c r="K191" s="220" cm="1">
        <f t="array" ref="K191" xml:space="preserve"> INDEX( tblFilterAll[South East], PeersCritera[[#This Row],[Index]] )</f>
        <v>0</v>
      </c>
      <c r="L191" s="220" cm="1">
        <f t="array" ref="L191" xml:space="preserve"> INDEX( tblFilterAll[South West], PeersCritera[[#This Row],[Index]] )</f>
        <v>0</v>
      </c>
      <c r="M191" s="220" cm="1">
        <f t="array" ref="M191" xml:space="preserve"> INDEX( tblFilterAll[East Midlands], PeersCritera[[#This Row],[Index]] )</f>
        <v>0</v>
      </c>
      <c r="N191" s="220" cm="1">
        <f t="array" ref="N191" xml:space="preserve"> INDEX( tblFilterAll[West Midlands], PeersCritera[[#This Row],[Index]] )</f>
        <v>0</v>
      </c>
      <c r="O191" s="220" cm="1">
        <f t="array" ref="O191" xml:space="preserve"> INDEX( tblFilterAll[East of England], PeersCritera[[#This Row],[Index]] )</f>
        <v>0</v>
      </c>
      <c r="P191" s="220" cm="1">
        <f t="array" ref="P191" xml:space="preserve"> INDEX( tblFilterAll[North East], PeersCritera[[#This Row],[Index]] )</f>
        <v>0</v>
      </c>
      <c r="Q191" s="220" cm="1">
        <f t="array" ref="Q191" xml:space="preserve"> INDEX( tblFilterAll[North West], PeersCritera[[#This Row],[Index]] )</f>
        <v>1</v>
      </c>
      <c r="R191" s="220" cm="1">
        <f t="array" ref="R191" xml:space="preserve"> INDEX( tblFilterAll[Yorkshire &amp; the Humber], PeersCritera[[#This Row],[Index]] )</f>
        <v>0</v>
      </c>
      <c r="S191" s="224" t="str" cm="1">
        <f t="array" ref="S191" xml:space="preserve"> INDEX( tblFilterAll[Region with 50%+ of social stock owned], PeersCritera[[#This Row],[Index]] )</f>
        <v>North West</v>
      </c>
      <c r="T191" s="229" cm="1">
        <f t="array" ref="T191" xml:space="preserve"> INDEX( tblFilterAll[Meets initial criteria], PeersCritera[[#This Row],[Index]] )</f>
        <v>1</v>
      </c>
      <c r="U191" s="241"/>
      <c r="V191" s="230">
        <f>IF( PeersCritera[[#This Row],[RP_Name]] = SelectedProvider, 1, IF( PeersCritera[[#This Row],[Override initial criteria]] = "Include", 1, IF( PeersCritera[[#This Row],[Override initial criteria]] = "Exclude", 0, PeersCritera[[#This Row],[Meets initial criteria]] ) ) )</f>
        <v>1</v>
      </c>
      <c r="W191" s="325">
        <f xml:space="preserve"> MATCH( PeersCritera[[#This Row],[RP_Name]], tblFilterAll[Provider name], 0 )</f>
        <v>176</v>
      </c>
      <c r="Y19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2" spans="2:25" x14ac:dyDescent="0.25">
      <c r="B192" s="327" t="s" vm="177">
        <v>499</v>
      </c>
      <c r="C192" s="218" cm="1" vm="679">
        <f t="array" ref="C192" xml:space="preserve"> INDEX( tblFilterAll[Total social stock owned], PeersCritera[[#This Row],[Index]] )</f>
        <v>2054</v>
      </c>
      <c r="D192" s="219" cm="1">
        <f t="array" ref="D192" xml:space="preserve"> INDEX( tblFilterAll[% Supported housing (excl. HOP)], PeersCritera[[#This Row],[Index]] )</f>
        <v>0</v>
      </c>
      <c r="E192" s="220" cm="1">
        <f t="array" ref="E192" xml:space="preserve"> INDEX( tblFilterAll[% Housing for older people], PeersCritera[[#This Row],[Index]] )</f>
        <v>0</v>
      </c>
      <c r="F192" s="220">
        <f xml:space="preserve"> PeersCritera[[#This Row],[% Supported housing (excl. HOP)]] + PeersCritera[[#This Row],[% Housing for older people]]</f>
        <v>0</v>
      </c>
      <c r="G192" s="221">
        <f xml:space="preserve"> 1 - PeersCritera[[#This Row],[% Supported &amp; older people]]</f>
        <v>1</v>
      </c>
      <c r="H192" s="222" t="str" cm="1">
        <f t="array" ref="H192" xml:space="preserve"> INDEX( tblFilterAll[Provider Type], PeersCritera[[#This Row],[Index]] )</f>
        <v>Traditional</v>
      </c>
      <c r="I192" s="223" t="str" cm="1">
        <f t="array" ref="I192" xml:space="preserve"> INDEX( tblFilterAll[LSVT age], PeersCritera[[#This Row],[Index]] )</f>
        <v>&gt;= 12 years</v>
      </c>
      <c r="J192" s="219" cm="1">
        <f t="array" ref="J192" xml:space="preserve"> INDEX( tblFilterAll[London], PeersCritera[[#This Row],[Index]] )</f>
        <v>1</v>
      </c>
      <c r="K192" s="220" cm="1">
        <f t="array" ref="K192" xml:space="preserve"> INDEX( tblFilterAll[South East], PeersCritera[[#This Row],[Index]] )</f>
        <v>0</v>
      </c>
      <c r="L192" s="220" cm="1">
        <f t="array" ref="L192" xml:space="preserve"> INDEX( tblFilterAll[South West], PeersCritera[[#This Row],[Index]] )</f>
        <v>0</v>
      </c>
      <c r="M192" s="220" cm="1">
        <f t="array" ref="M192" xml:space="preserve"> INDEX( tblFilterAll[East Midlands], PeersCritera[[#This Row],[Index]] )</f>
        <v>0</v>
      </c>
      <c r="N192" s="220" cm="1">
        <f t="array" ref="N192" xml:space="preserve"> INDEX( tblFilterAll[West Midlands], PeersCritera[[#This Row],[Index]] )</f>
        <v>0</v>
      </c>
      <c r="O192" s="220" cm="1">
        <f t="array" ref="O192" xml:space="preserve"> INDEX( tblFilterAll[East of England], PeersCritera[[#This Row],[Index]] )</f>
        <v>0</v>
      </c>
      <c r="P192" s="220" cm="1">
        <f t="array" ref="P192" xml:space="preserve"> INDEX( tblFilterAll[North East], PeersCritera[[#This Row],[Index]] )</f>
        <v>0</v>
      </c>
      <c r="Q192" s="220" cm="1">
        <f t="array" ref="Q192" xml:space="preserve"> INDEX( tblFilterAll[North West], PeersCritera[[#This Row],[Index]] )</f>
        <v>0</v>
      </c>
      <c r="R192" s="220" cm="1">
        <f t="array" ref="R192" xml:space="preserve"> INDEX( tblFilterAll[Yorkshire &amp; the Humber], PeersCritera[[#This Row],[Index]] )</f>
        <v>0</v>
      </c>
      <c r="S192" s="224" t="str" cm="1">
        <f t="array" ref="S192" xml:space="preserve"> INDEX( tblFilterAll[Region with 50%+ of social stock owned], PeersCritera[[#This Row],[Index]] )</f>
        <v>London</v>
      </c>
      <c r="T192" s="229" cm="1">
        <f t="array" ref="T192" xml:space="preserve"> INDEX( tblFilterAll[Meets initial criteria], PeersCritera[[#This Row],[Index]] )</f>
        <v>1</v>
      </c>
      <c r="U192" s="241"/>
      <c r="V192" s="230">
        <f>IF( PeersCritera[[#This Row],[RP_Name]] = SelectedProvider, 1, IF( PeersCritera[[#This Row],[Override initial criteria]] = "Include", 1, IF( PeersCritera[[#This Row],[Override initial criteria]] = "Exclude", 0, PeersCritera[[#This Row],[Meets initial criteria]] ) ) )</f>
        <v>1</v>
      </c>
      <c r="W192" s="325">
        <f xml:space="preserve"> MATCH( PeersCritera[[#This Row],[RP_Name]], tblFilterAll[Provider name], 0 )</f>
        <v>177</v>
      </c>
      <c r="Y19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3" spans="2:25" x14ac:dyDescent="0.25">
      <c r="B193" s="327" t="s" vm="178">
        <v>501</v>
      </c>
      <c r="C193" s="218" cm="1" vm="6420">
        <f t="array" ref="C193" xml:space="preserve"> INDEX( tblFilterAll[Total social stock owned], PeersCritera[[#This Row],[Index]] )</f>
        <v>6529</v>
      </c>
      <c r="D193" s="219" cm="1">
        <f t="array" ref="D193" xml:space="preserve"> INDEX( tblFilterAll[% Supported housing (excl. HOP)], PeersCritera[[#This Row],[Index]] )</f>
        <v>3.0707815138952864E-4</v>
      </c>
      <c r="E193" s="220" cm="1">
        <f t="array" ref="E193" xml:space="preserve"> INDEX( tblFilterAll[% Housing for older people], PeersCritera[[#This Row],[Index]] )</f>
        <v>2.5333947489636112E-2</v>
      </c>
      <c r="F193" s="220">
        <f xml:space="preserve"> PeersCritera[[#This Row],[% Supported housing (excl. HOP)]] + PeersCritera[[#This Row],[% Housing for older people]]</f>
        <v>2.564102564102564E-2</v>
      </c>
      <c r="G193" s="221">
        <f xml:space="preserve"> 1 - PeersCritera[[#This Row],[% Supported &amp; older people]]</f>
        <v>0.97435897435897434</v>
      </c>
      <c r="H193" s="222" t="str" cm="1">
        <f t="array" ref="H193" xml:space="preserve"> INDEX( tblFilterAll[Provider Type], PeersCritera[[#This Row],[Index]] )</f>
        <v>Traditional</v>
      </c>
      <c r="I193" s="223" t="str" cm="1">
        <f t="array" ref="I193" xml:space="preserve"> INDEX( tblFilterAll[LSVT age], PeersCritera[[#This Row],[Index]] )</f>
        <v>&gt;= 12 years</v>
      </c>
      <c r="J193" s="219" cm="1">
        <f t="array" ref="J193" xml:space="preserve"> INDEX( tblFilterAll[London], PeersCritera[[#This Row],[Index]] )</f>
        <v>0</v>
      </c>
      <c r="K193" s="220" cm="1">
        <f t="array" ref="K193" xml:space="preserve"> INDEX( tblFilterAll[South East], PeersCritera[[#This Row],[Index]] )</f>
        <v>0</v>
      </c>
      <c r="L193" s="220" cm="1">
        <f t="array" ref="L193" xml:space="preserve"> INDEX( tblFilterAll[South West], PeersCritera[[#This Row],[Index]] )</f>
        <v>0</v>
      </c>
      <c r="M193" s="220" cm="1">
        <f t="array" ref="M193" xml:space="preserve"> INDEX( tblFilterAll[East Midlands], PeersCritera[[#This Row],[Index]] )</f>
        <v>8.6536988819114716E-2</v>
      </c>
      <c r="N193" s="220" cm="1">
        <f t="array" ref="N193" xml:space="preserve"> INDEX( tblFilterAll[West Midlands], PeersCritera[[#This Row],[Index]] )</f>
        <v>0.91346301118088524</v>
      </c>
      <c r="O193" s="220" cm="1">
        <f t="array" ref="O193" xml:space="preserve"> INDEX( tblFilterAll[East of England], PeersCritera[[#This Row],[Index]] )</f>
        <v>0</v>
      </c>
      <c r="P193" s="220" cm="1">
        <f t="array" ref="P193" xml:space="preserve"> INDEX( tblFilterAll[North East], PeersCritera[[#This Row],[Index]] )</f>
        <v>0</v>
      </c>
      <c r="Q193" s="220" cm="1">
        <f t="array" ref="Q193" xml:space="preserve"> INDEX( tblFilterAll[North West], PeersCritera[[#This Row],[Index]] )</f>
        <v>0</v>
      </c>
      <c r="R193" s="220" cm="1">
        <f t="array" ref="R193" xml:space="preserve"> INDEX( tblFilterAll[Yorkshire &amp; the Humber], PeersCritera[[#This Row],[Index]] )</f>
        <v>0</v>
      </c>
      <c r="S193" s="224" t="str" cm="1">
        <f t="array" ref="S193" xml:space="preserve"> INDEX( tblFilterAll[Region with 50%+ of social stock owned], PeersCritera[[#This Row],[Index]] )</f>
        <v>West Midlands</v>
      </c>
      <c r="T193" s="229" cm="1">
        <f t="array" ref="T193" xml:space="preserve"> INDEX( tblFilterAll[Meets initial criteria], PeersCritera[[#This Row],[Index]] )</f>
        <v>1</v>
      </c>
      <c r="U193" s="241"/>
      <c r="V193" s="230">
        <f>IF( PeersCritera[[#This Row],[RP_Name]] = SelectedProvider, 1, IF( PeersCritera[[#This Row],[Override initial criteria]] = "Include", 1, IF( PeersCritera[[#This Row],[Override initial criteria]] = "Exclude", 0, PeersCritera[[#This Row],[Meets initial criteria]] ) ) )</f>
        <v>1</v>
      </c>
      <c r="W193" s="325">
        <f xml:space="preserve"> MATCH( PeersCritera[[#This Row],[RP_Name]], tblFilterAll[Provider name], 0 )</f>
        <v>178</v>
      </c>
      <c r="Y19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4" spans="2:25" x14ac:dyDescent="0.25">
      <c r="B194" s="327" t="s" vm="179">
        <v>503</v>
      </c>
      <c r="C194" s="218" cm="1" vm="3510">
        <f t="array" ref="C194" xml:space="preserve"> INDEX( tblFilterAll[Total social stock owned], PeersCritera[[#This Row],[Index]] )</f>
        <v>3158</v>
      </c>
      <c r="D194" s="219" cm="1">
        <f t="array" ref="D194" xml:space="preserve"> INDEX( tblFilterAll[% Supported housing (excl. HOP)], PeersCritera[[#This Row],[Index]] )</f>
        <v>0.18340196388976876</v>
      </c>
      <c r="E194" s="220" cm="1">
        <f t="array" ref="E194" xml:space="preserve"> INDEX( tblFilterAll[% Housing for older people], PeersCritera[[#This Row],[Index]] )</f>
        <v>0.14127336078555591</v>
      </c>
      <c r="F194" s="220">
        <f xml:space="preserve"> PeersCritera[[#This Row],[% Supported housing (excl. HOP)]] + PeersCritera[[#This Row],[% Housing for older people]]</f>
        <v>0.32467532467532467</v>
      </c>
      <c r="G194" s="221">
        <f xml:space="preserve"> 1 - PeersCritera[[#This Row],[% Supported &amp; older people]]</f>
        <v>0.67532467532467533</v>
      </c>
      <c r="H194" s="222" t="str" cm="1">
        <f t="array" ref="H194" xml:space="preserve"> INDEX( tblFilterAll[Provider Type], PeersCritera[[#This Row],[Index]] )</f>
        <v>Traditional</v>
      </c>
      <c r="I194" s="223" t="str" cm="1">
        <f t="array" ref="I194" xml:space="preserve"> INDEX( tblFilterAll[LSVT age], PeersCritera[[#This Row],[Index]] )</f>
        <v/>
      </c>
      <c r="J194" s="219" cm="1">
        <f t="array" ref="J194" xml:space="preserve"> INDEX( tblFilterAll[London], PeersCritera[[#This Row],[Index]] )</f>
        <v>0</v>
      </c>
      <c r="K194" s="220" cm="1">
        <f t="array" ref="K194" xml:space="preserve"> INDEX( tblFilterAll[South East], PeersCritera[[#This Row],[Index]] )</f>
        <v>0</v>
      </c>
      <c r="L194" s="220" cm="1">
        <f t="array" ref="L194" xml:space="preserve"> INDEX( tblFilterAll[South West], PeersCritera[[#This Row],[Index]] )</f>
        <v>0</v>
      </c>
      <c r="M194" s="220" cm="1">
        <f t="array" ref="M194" xml:space="preserve"> INDEX( tblFilterAll[East Midlands], PeersCritera[[#This Row],[Index]] )</f>
        <v>0.11672025723472669</v>
      </c>
      <c r="N194" s="220" cm="1">
        <f t="array" ref="N194" xml:space="preserve"> INDEX( tblFilterAll[West Midlands], PeersCritera[[#This Row],[Index]] )</f>
        <v>0.88327974276527332</v>
      </c>
      <c r="O194" s="220" cm="1">
        <f t="array" ref="O194" xml:space="preserve"> INDEX( tblFilterAll[East of England], PeersCritera[[#This Row],[Index]] )</f>
        <v>0</v>
      </c>
      <c r="P194" s="220" cm="1">
        <f t="array" ref="P194" xml:space="preserve"> INDEX( tblFilterAll[North East], PeersCritera[[#This Row],[Index]] )</f>
        <v>0</v>
      </c>
      <c r="Q194" s="220" cm="1">
        <f t="array" ref="Q194" xml:space="preserve"> INDEX( tblFilterAll[North West], PeersCritera[[#This Row],[Index]] )</f>
        <v>0</v>
      </c>
      <c r="R194" s="220" cm="1">
        <f t="array" ref="R194" xml:space="preserve"> INDEX( tblFilterAll[Yorkshire &amp; the Humber], PeersCritera[[#This Row],[Index]] )</f>
        <v>0</v>
      </c>
      <c r="S194" s="224" t="str" cm="1">
        <f t="array" ref="S194" xml:space="preserve"> INDEX( tblFilterAll[Region with 50%+ of social stock owned], PeersCritera[[#This Row],[Index]] )</f>
        <v>West Midlands</v>
      </c>
      <c r="T194" s="229" cm="1">
        <f t="array" ref="T194" xml:space="preserve"> INDEX( tblFilterAll[Meets initial criteria], PeersCritera[[#This Row],[Index]] )</f>
        <v>1</v>
      </c>
      <c r="U194" s="241"/>
      <c r="V194" s="230">
        <f>IF( PeersCritera[[#This Row],[RP_Name]] = SelectedProvider, 1, IF( PeersCritera[[#This Row],[Override initial criteria]] = "Include", 1, IF( PeersCritera[[#This Row],[Override initial criteria]] = "Exclude", 0, PeersCritera[[#This Row],[Meets initial criteria]] ) ) )</f>
        <v>1</v>
      </c>
      <c r="W194" s="325">
        <f xml:space="preserve"> MATCH( PeersCritera[[#This Row],[RP_Name]], tblFilterAll[Provider name], 0 )</f>
        <v>179</v>
      </c>
      <c r="Y19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5" spans="2:25" x14ac:dyDescent="0.25">
      <c r="B195" s="327" t="s" vm="180">
        <v>505</v>
      </c>
      <c r="C195" s="218" cm="1" vm="1181">
        <f t="array" ref="C195" xml:space="preserve"> INDEX( tblFilterAll[Total social stock owned], PeersCritera[[#This Row],[Index]] )</f>
        <v>1571</v>
      </c>
      <c r="D195" s="219" cm="1">
        <f t="array" ref="D195" xml:space="preserve"> INDEX( tblFilterAll[% Supported housing (excl. HOP)], PeersCritera[[#This Row],[Index]] )</f>
        <v>6.4208518753973293E-2</v>
      </c>
      <c r="E195" s="220" cm="1">
        <f t="array" ref="E195" xml:space="preserve"> INDEX( tblFilterAll[% Housing for older people], PeersCritera[[#This Row],[Index]] )</f>
        <v>5.8486967577876671E-2</v>
      </c>
      <c r="F195" s="220">
        <f xml:space="preserve"> PeersCritera[[#This Row],[% Supported housing (excl. HOP)]] + PeersCritera[[#This Row],[% Housing for older people]]</f>
        <v>0.12269548633184996</v>
      </c>
      <c r="G195" s="221">
        <f xml:space="preserve"> 1 - PeersCritera[[#This Row],[% Supported &amp; older people]]</f>
        <v>0.8773045136681501</v>
      </c>
      <c r="H195" s="222" t="str" cm="1">
        <f t="array" ref="H195" xml:space="preserve"> INDEX( tblFilterAll[Provider Type], PeersCritera[[#This Row],[Index]] )</f>
        <v>Traditional</v>
      </c>
      <c r="I195" s="223" t="str" cm="1">
        <f t="array" ref="I195" xml:space="preserve"> INDEX( tblFilterAll[LSVT age], PeersCritera[[#This Row],[Index]] )</f>
        <v/>
      </c>
      <c r="J195" s="219" cm="1">
        <f t="array" ref="J195" xml:space="preserve"> INDEX( tblFilterAll[London], PeersCritera[[#This Row],[Index]] )</f>
        <v>0</v>
      </c>
      <c r="K195" s="220" cm="1">
        <f t="array" ref="K195" xml:space="preserve"> INDEX( tblFilterAll[South East], PeersCritera[[#This Row],[Index]] )</f>
        <v>0</v>
      </c>
      <c r="L195" s="220" cm="1">
        <f t="array" ref="L195" xml:space="preserve"> INDEX( tblFilterAll[South West], PeersCritera[[#This Row],[Index]] )</f>
        <v>0</v>
      </c>
      <c r="M195" s="220" cm="1">
        <f t="array" ref="M195" xml:space="preserve"> INDEX( tblFilterAll[East Midlands], PeersCritera[[#This Row],[Index]] )</f>
        <v>0.97772119669000634</v>
      </c>
      <c r="N195" s="220" cm="1">
        <f t="array" ref="N195" xml:space="preserve"> INDEX( tblFilterAll[West Midlands], PeersCritera[[#This Row],[Index]] )</f>
        <v>2.2278803309993635E-2</v>
      </c>
      <c r="O195" s="220" cm="1">
        <f t="array" ref="O195" xml:space="preserve"> INDEX( tblFilterAll[East of England], PeersCritera[[#This Row],[Index]] )</f>
        <v>0</v>
      </c>
      <c r="P195" s="220" cm="1">
        <f t="array" ref="P195" xml:space="preserve"> INDEX( tblFilterAll[North East], PeersCritera[[#This Row],[Index]] )</f>
        <v>0</v>
      </c>
      <c r="Q195" s="220" cm="1">
        <f t="array" ref="Q195" xml:space="preserve"> INDEX( tblFilterAll[North West], PeersCritera[[#This Row],[Index]] )</f>
        <v>0</v>
      </c>
      <c r="R195" s="220" cm="1">
        <f t="array" ref="R195" xml:space="preserve"> INDEX( tblFilterAll[Yorkshire &amp; the Humber], PeersCritera[[#This Row],[Index]] )</f>
        <v>0</v>
      </c>
      <c r="S195" s="224" t="str" cm="1">
        <f t="array" ref="S195" xml:space="preserve"> INDEX( tblFilterAll[Region with 50%+ of social stock owned], PeersCritera[[#This Row],[Index]] )</f>
        <v>East Midlands</v>
      </c>
      <c r="T195" s="229" cm="1">
        <f t="array" ref="T195" xml:space="preserve"> INDEX( tblFilterAll[Meets initial criteria], PeersCritera[[#This Row],[Index]] )</f>
        <v>1</v>
      </c>
      <c r="U195" s="241"/>
      <c r="V195" s="230">
        <f>IF( PeersCritera[[#This Row],[RP_Name]] = SelectedProvider, 1, IF( PeersCritera[[#This Row],[Override initial criteria]] = "Include", 1, IF( PeersCritera[[#This Row],[Override initial criteria]] = "Exclude", 0, PeersCritera[[#This Row],[Meets initial criteria]] ) ) )</f>
        <v>1</v>
      </c>
      <c r="W195" s="325">
        <f xml:space="preserve"> MATCH( PeersCritera[[#This Row],[RP_Name]], tblFilterAll[Provider name], 0 )</f>
        <v>180</v>
      </c>
      <c r="Y19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6" spans="2:25" x14ac:dyDescent="0.25">
      <c r="B196" s="327" t="s" vm="181">
        <v>507</v>
      </c>
      <c r="C196" s="218" cm="1" vm="4476">
        <f t="array" ref="C196" xml:space="preserve"> INDEX( tblFilterAll[Total social stock owned], PeersCritera[[#This Row],[Index]] )</f>
        <v>4384</v>
      </c>
      <c r="D196" s="219" cm="1">
        <f t="array" ref="D196" xml:space="preserve"> INDEX( tblFilterAll[% Supported housing (excl. HOP)], PeersCritera[[#This Row],[Index]] )</f>
        <v>0</v>
      </c>
      <c r="E196" s="220" cm="1">
        <f t="array" ref="E196" xml:space="preserve"> INDEX( tblFilterAll[% Housing for older people], PeersCritera[[#This Row],[Index]] )</f>
        <v>0.13628034814475493</v>
      </c>
      <c r="F196" s="220">
        <f xml:space="preserve"> PeersCritera[[#This Row],[% Supported housing (excl. HOP)]] + PeersCritera[[#This Row],[% Housing for older people]]</f>
        <v>0.13628034814475493</v>
      </c>
      <c r="G196" s="221">
        <f xml:space="preserve"> 1 - PeersCritera[[#This Row],[% Supported &amp; older people]]</f>
        <v>0.86371965185524502</v>
      </c>
      <c r="H196" s="222" t="str" cm="1">
        <f t="array" ref="H196" xml:space="preserve"> INDEX( tblFilterAll[Provider Type], PeersCritera[[#This Row],[Index]] )</f>
        <v>Traditional</v>
      </c>
      <c r="I196" s="223" t="str" cm="1">
        <f t="array" ref="I196" xml:space="preserve"> INDEX( tblFilterAll[LSVT age], PeersCritera[[#This Row],[Index]] )</f>
        <v>&gt;= 12 years</v>
      </c>
      <c r="J196" s="219" cm="1">
        <f t="array" ref="J196" xml:space="preserve"> INDEX( tblFilterAll[London], PeersCritera[[#This Row],[Index]] )</f>
        <v>0</v>
      </c>
      <c r="K196" s="220" cm="1">
        <f t="array" ref="K196" xml:space="preserve"> INDEX( tblFilterAll[South East], PeersCritera[[#This Row],[Index]] )</f>
        <v>0</v>
      </c>
      <c r="L196" s="220" cm="1">
        <f t="array" ref="L196" xml:space="preserve"> INDEX( tblFilterAll[South West], PeersCritera[[#This Row],[Index]] )</f>
        <v>0.99248975876194812</v>
      </c>
      <c r="M196" s="220" cm="1">
        <f t="array" ref="M196" xml:space="preserve"> INDEX( tblFilterAll[East Midlands], PeersCritera[[#This Row],[Index]] )</f>
        <v>0</v>
      </c>
      <c r="N196" s="220" cm="1">
        <f t="array" ref="N196" xml:space="preserve"> INDEX( tblFilterAll[West Midlands], PeersCritera[[#This Row],[Index]] )</f>
        <v>7.5102412380518889E-3</v>
      </c>
      <c r="O196" s="220" cm="1">
        <f t="array" ref="O196" xml:space="preserve"> INDEX( tblFilterAll[East of England], PeersCritera[[#This Row],[Index]] )</f>
        <v>0</v>
      </c>
      <c r="P196" s="220" cm="1">
        <f t="array" ref="P196" xml:space="preserve"> INDEX( tblFilterAll[North East], PeersCritera[[#This Row],[Index]] )</f>
        <v>0</v>
      </c>
      <c r="Q196" s="220" cm="1">
        <f t="array" ref="Q196" xml:space="preserve"> INDEX( tblFilterAll[North West], PeersCritera[[#This Row],[Index]] )</f>
        <v>0</v>
      </c>
      <c r="R196" s="220" cm="1">
        <f t="array" ref="R196" xml:space="preserve"> INDEX( tblFilterAll[Yorkshire &amp; the Humber], PeersCritera[[#This Row],[Index]] )</f>
        <v>0</v>
      </c>
      <c r="S196" s="224" t="str" cm="1">
        <f t="array" ref="S196" xml:space="preserve"> INDEX( tblFilterAll[Region with 50%+ of social stock owned], PeersCritera[[#This Row],[Index]] )</f>
        <v>South West</v>
      </c>
      <c r="T196" s="229" cm="1">
        <f t="array" ref="T196" xml:space="preserve"> INDEX( tblFilterAll[Meets initial criteria], PeersCritera[[#This Row],[Index]] )</f>
        <v>1</v>
      </c>
      <c r="U196" s="241"/>
      <c r="V196" s="230">
        <f>IF( PeersCritera[[#This Row],[RP_Name]] = SelectedProvider, 1, IF( PeersCritera[[#This Row],[Override initial criteria]] = "Include", 1, IF( PeersCritera[[#This Row],[Override initial criteria]] = "Exclude", 0, PeersCritera[[#This Row],[Meets initial criteria]] ) ) )</f>
        <v>1</v>
      </c>
      <c r="W196" s="325">
        <f xml:space="preserve"> MATCH( PeersCritera[[#This Row],[RP_Name]], tblFilterAll[Provider name], 0 )</f>
        <v>181</v>
      </c>
      <c r="Y19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7" spans="2:25" x14ac:dyDescent="0.25">
      <c r="B197" s="327" t="s" vm="182">
        <v>509</v>
      </c>
      <c r="C197" s="218" cm="1" vm="8730">
        <f t="array" ref="C197" xml:space="preserve"> INDEX( tblFilterAll[Total social stock owned], PeersCritera[[#This Row],[Index]] )</f>
        <v>1385</v>
      </c>
      <c r="D197" s="219" cm="1">
        <f t="array" ref="D197" xml:space="preserve"> INDEX( tblFilterAll[% Supported housing (excl. HOP)], PeersCritera[[#This Row],[Index]] )</f>
        <v>1.3708513708513708E-2</v>
      </c>
      <c r="E197" s="220" cm="1">
        <f t="array" ref="E197" xml:space="preserve"> INDEX( tblFilterAll[% Housing for older people], PeersCritera[[#This Row],[Index]] )</f>
        <v>0</v>
      </c>
      <c r="F197" s="220">
        <f xml:space="preserve"> PeersCritera[[#This Row],[% Supported housing (excl. HOP)]] + PeersCritera[[#This Row],[% Housing for older people]]</f>
        <v>1.3708513708513708E-2</v>
      </c>
      <c r="G197" s="221">
        <f xml:space="preserve"> 1 - PeersCritera[[#This Row],[% Supported &amp; older people]]</f>
        <v>0.98629148629148633</v>
      </c>
      <c r="H197" s="222" t="str" cm="1">
        <f t="array" ref="H197" xml:space="preserve"> INDEX( tblFilterAll[Provider Type], PeersCritera[[#This Row],[Index]] )</f>
        <v>Traditional</v>
      </c>
      <c r="I197" s="223" t="str" cm="1">
        <f t="array" ref="I197" xml:space="preserve"> INDEX( tblFilterAll[LSVT age], PeersCritera[[#This Row],[Index]] )</f>
        <v/>
      </c>
      <c r="J197" s="219" cm="1">
        <f t="array" ref="J197" xml:space="preserve"> INDEX( tblFilterAll[London], PeersCritera[[#This Row],[Index]] )</f>
        <v>0</v>
      </c>
      <c r="K197" s="220" cm="1">
        <f t="array" ref="K197" xml:space="preserve"> INDEX( tblFilterAll[South East], PeersCritera[[#This Row],[Index]] )</f>
        <v>0</v>
      </c>
      <c r="L197" s="220" cm="1">
        <f t="array" ref="L197" xml:space="preserve"> INDEX( tblFilterAll[South West], PeersCritera[[#This Row],[Index]] )</f>
        <v>0</v>
      </c>
      <c r="M197" s="220" cm="1">
        <f t="array" ref="M197" xml:space="preserve"> INDEX( tblFilterAll[East Midlands], PeersCritera[[#This Row],[Index]] )</f>
        <v>0</v>
      </c>
      <c r="N197" s="220" cm="1">
        <f t="array" ref="N197" xml:space="preserve"> INDEX( tblFilterAll[West Midlands], PeersCritera[[#This Row],[Index]] )</f>
        <v>0</v>
      </c>
      <c r="O197" s="220" cm="1">
        <f t="array" ref="O197" xml:space="preserve"> INDEX( tblFilterAll[East of England], PeersCritera[[#This Row],[Index]] )</f>
        <v>0</v>
      </c>
      <c r="P197" s="220" cm="1">
        <f t="array" ref="P197" xml:space="preserve"> INDEX( tblFilterAll[North East], PeersCritera[[#This Row],[Index]] )</f>
        <v>0</v>
      </c>
      <c r="Q197" s="220" cm="1">
        <f t="array" ref="Q197" xml:space="preserve"> INDEX( tblFilterAll[North West], PeersCritera[[#This Row],[Index]] )</f>
        <v>0</v>
      </c>
      <c r="R197" s="220" cm="1">
        <f t="array" ref="R197" xml:space="preserve"> INDEX( tblFilterAll[Yorkshire &amp; the Humber], PeersCritera[[#This Row],[Index]] )</f>
        <v>1</v>
      </c>
      <c r="S197" s="224" t="str" cm="1">
        <f t="array" ref="S197" xml:space="preserve"> INDEX( tblFilterAll[Region with 50%+ of social stock owned], PeersCritera[[#This Row],[Index]] )</f>
        <v>Yorkshire &amp; the Humber</v>
      </c>
      <c r="T197" s="229" cm="1">
        <f t="array" ref="T197" xml:space="preserve"> INDEX( tblFilterAll[Meets initial criteria], PeersCritera[[#This Row],[Index]] )</f>
        <v>1</v>
      </c>
      <c r="U197" s="241"/>
      <c r="V197" s="230">
        <f>IF( PeersCritera[[#This Row],[RP_Name]] = SelectedProvider, 1, IF( PeersCritera[[#This Row],[Override initial criteria]] = "Include", 1, IF( PeersCritera[[#This Row],[Override initial criteria]] = "Exclude", 0, PeersCritera[[#This Row],[Meets initial criteria]] ) ) )</f>
        <v>1</v>
      </c>
      <c r="W197" s="325">
        <f xml:space="preserve"> MATCH( PeersCritera[[#This Row],[RP_Name]], tblFilterAll[Provider name], 0 )</f>
        <v>182</v>
      </c>
      <c r="Y19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8" spans="2:25" x14ac:dyDescent="0.25">
      <c r="B198" s="327" t="s" vm="183">
        <v>511</v>
      </c>
      <c r="C198" s="218" cm="1" vm="2143">
        <f t="array" ref="C198" xml:space="preserve"> INDEX( tblFilterAll[Total social stock owned], PeersCritera[[#This Row],[Index]] )</f>
        <v>31005</v>
      </c>
      <c r="D198" s="219" cm="1">
        <f t="array" ref="D198" xml:space="preserve"> INDEX( tblFilterAll[% Supported housing (excl. HOP)], PeersCritera[[#This Row],[Index]] )</f>
        <v>7.7926312357352459E-3</v>
      </c>
      <c r="E198" s="220" cm="1">
        <f t="array" ref="E198" xml:space="preserve"> INDEX( tblFilterAll[% Housing for older people], PeersCritera[[#This Row],[Index]] )</f>
        <v>3.8245842843169224E-2</v>
      </c>
      <c r="F198" s="220">
        <f xml:space="preserve"> PeersCritera[[#This Row],[% Supported housing (excl. HOP)]] + PeersCritera[[#This Row],[% Housing for older people]]</f>
        <v>4.6038474078904469E-2</v>
      </c>
      <c r="G198" s="221">
        <f xml:space="preserve"> 1 - PeersCritera[[#This Row],[% Supported &amp; older people]]</f>
        <v>0.95396152592109551</v>
      </c>
      <c r="H198" s="222" t="str" cm="1">
        <f t="array" ref="H198" xml:space="preserve"> INDEX( tblFilterAll[Provider Type], PeersCritera[[#This Row],[Index]] )</f>
        <v>Traditional</v>
      </c>
      <c r="I198" s="223" t="str" cm="1">
        <f t="array" ref="I198" xml:space="preserve"> INDEX( tblFilterAll[LSVT age], PeersCritera[[#This Row],[Index]] )</f>
        <v>&gt;= 12 years</v>
      </c>
      <c r="J198" s="219" cm="1">
        <f t="array" ref="J198" xml:space="preserve"> INDEX( tblFilterAll[London], PeersCritera[[#This Row],[Index]] )</f>
        <v>0</v>
      </c>
      <c r="K198" s="220" cm="1">
        <f t="array" ref="K198" xml:space="preserve"> INDEX( tblFilterAll[South East], PeersCritera[[#This Row],[Index]] )</f>
        <v>0.99922593130140303</v>
      </c>
      <c r="L198" s="220" cm="1">
        <f t="array" ref="L198" xml:space="preserve"> INDEX( tblFilterAll[South West], PeersCritera[[#This Row],[Index]] )</f>
        <v>7.740686985970005E-4</v>
      </c>
      <c r="M198" s="220" cm="1">
        <f t="array" ref="M198" xml:space="preserve"> INDEX( tblFilterAll[East Midlands], PeersCritera[[#This Row],[Index]] )</f>
        <v>0</v>
      </c>
      <c r="N198" s="220" cm="1">
        <f t="array" ref="N198" xml:space="preserve"> INDEX( tblFilterAll[West Midlands], PeersCritera[[#This Row],[Index]] )</f>
        <v>0</v>
      </c>
      <c r="O198" s="220" cm="1">
        <f t="array" ref="O198" xml:space="preserve"> INDEX( tblFilterAll[East of England], PeersCritera[[#This Row],[Index]] )</f>
        <v>0</v>
      </c>
      <c r="P198" s="220" cm="1">
        <f t="array" ref="P198" xml:space="preserve"> INDEX( tblFilterAll[North East], PeersCritera[[#This Row],[Index]] )</f>
        <v>0</v>
      </c>
      <c r="Q198" s="220" cm="1">
        <f t="array" ref="Q198" xml:space="preserve"> INDEX( tblFilterAll[North West], PeersCritera[[#This Row],[Index]] )</f>
        <v>0</v>
      </c>
      <c r="R198" s="220" cm="1">
        <f t="array" ref="R198" xml:space="preserve"> INDEX( tblFilterAll[Yorkshire &amp; the Humber], PeersCritera[[#This Row],[Index]] )</f>
        <v>0</v>
      </c>
      <c r="S198" s="224" t="str" cm="1">
        <f t="array" ref="S198" xml:space="preserve"> INDEX( tblFilterAll[Region with 50%+ of social stock owned], PeersCritera[[#This Row],[Index]] )</f>
        <v>South East</v>
      </c>
      <c r="T198" s="229" cm="1">
        <f t="array" ref="T198" xml:space="preserve"> INDEX( tblFilterAll[Meets initial criteria], PeersCritera[[#This Row],[Index]] )</f>
        <v>1</v>
      </c>
      <c r="U198" s="241"/>
      <c r="V198" s="230">
        <f>IF( PeersCritera[[#This Row],[RP_Name]] = SelectedProvider, 1, IF( PeersCritera[[#This Row],[Override initial criteria]] = "Include", 1, IF( PeersCritera[[#This Row],[Override initial criteria]] = "Exclude", 0, PeersCritera[[#This Row],[Meets initial criteria]] ) ) )</f>
        <v>1</v>
      </c>
      <c r="W198" s="325">
        <f xml:space="preserve"> MATCH( PeersCritera[[#This Row],[RP_Name]], tblFilterAll[Provider name], 0 )</f>
        <v>183</v>
      </c>
      <c r="Y19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199" spans="2:25" x14ac:dyDescent="0.25">
      <c r="B199" s="327" t="s" vm="184">
        <v>513</v>
      </c>
      <c r="C199" s="218" cm="1" vm="1946">
        <f t="array" ref="C199" xml:space="preserve"> INDEX( tblFilterAll[Total social stock owned], PeersCritera[[#This Row],[Index]] )</f>
        <v>31890</v>
      </c>
      <c r="D199" s="219" cm="1">
        <f t="array" ref="D199" xml:space="preserve"> INDEX( tblFilterAll[% Supported housing (excl. HOP)], PeersCritera[[#This Row],[Index]] )</f>
        <v>4.8646095717884134E-2</v>
      </c>
      <c r="E199" s="220" cm="1">
        <f t="array" ref="E199" xml:space="preserve"> INDEX( tblFilterAll[% Housing for older people], PeersCritera[[#This Row],[Index]] )</f>
        <v>0</v>
      </c>
      <c r="F199" s="220">
        <f xml:space="preserve"> PeersCritera[[#This Row],[% Supported housing (excl. HOP)]] + PeersCritera[[#This Row],[% Housing for older people]]</f>
        <v>4.8646095717884134E-2</v>
      </c>
      <c r="G199" s="221">
        <f xml:space="preserve"> 1 - PeersCritera[[#This Row],[% Supported &amp; older people]]</f>
        <v>0.95135390428211586</v>
      </c>
      <c r="H199" s="222" t="str" cm="1">
        <f t="array" ref="H199" xml:space="preserve"> INDEX( tblFilterAll[Provider Type], PeersCritera[[#This Row],[Index]] )</f>
        <v>Traditional</v>
      </c>
      <c r="I199" s="223" t="str" cm="1">
        <f t="array" ref="I199" xml:space="preserve"> INDEX( tblFilterAll[LSVT age], PeersCritera[[#This Row],[Index]] )</f>
        <v>&gt;= 12 years</v>
      </c>
      <c r="J199" s="219" cm="1">
        <f t="array" ref="J199" xml:space="preserve"> INDEX( tblFilterAll[London], PeersCritera[[#This Row],[Index]] )</f>
        <v>0</v>
      </c>
      <c r="K199" s="220" cm="1">
        <f t="array" ref="K199" xml:space="preserve"> INDEX( tblFilterAll[South East], PeersCritera[[#This Row],[Index]] )</f>
        <v>0</v>
      </c>
      <c r="L199" s="220" cm="1">
        <f t="array" ref="L199" xml:space="preserve"> INDEX( tblFilterAll[South West], PeersCritera[[#This Row],[Index]] )</f>
        <v>0</v>
      </c>
      <c r="M199" s="220" cm="1">
        <f t="array" ref="M199" xml:space="preserve"> INDEX( tblFilterAll[East Midlands], PeersCritera[[#This Row],[Index]] )</f>
        <v>0</v>
      </c>
      <c r="N199" s="220" cm="1">
        <f t="array" ref="N199" xml:space="preserve"> INDEX( tblFilterAll[West Midlands], PeersCritera[[#This Row],[Index]] )</f>
        <v>0</v>
      </c>
      <c r="O199" s="220" cm="1">
        <f t="array" ref="O199" xml:space="preserve"> INDEX( tblFilterAll[East of England], PeersCritera[[#This Row],[Index]] )</f>
        <v>0</v>
      </c>
      <c r="P199" s="220" cm="1">
        <f t="array" ref="P199" xml:space="preserve"> INDEX( tblFilterAll[North East], PeersCritera[[#This Row],[Index]] )</f>
        <v>0</v>
      </c>
      <c r="Q199" s="220" cm="1">
        <f t="array" ref="Q199" xml:space="preserve"> INDEX( tblFilterAll[North West], PeersCritera[[#This Row],[Index]] )</f>
        <v>0</v>
      </c>
      <c r="R199" s="220" cm="1">
        <f t="array" ref="R199" xml:space="preserve"> INDEX( tblFilterAll[Yorkshire &amp; the Humber], PeersCritera[[#This Row],[Index]] )</f>
        <v>1</v>
      </c>
      <c r="S199" s="224" t="str" cm="1">
        <f t="array" ref="S199" xml:space="preserve"> INDEX( tblFilterAll[Region with 50%+ of social stock owned], PeersCritera[[#This Row],[Index]] )</f>
        <v>Yorkshire &amp; the Humber</v>
      </c>
      <c r="T199" s="229" cm="1">
        <f t="array" ref="T199" xml:space="preserve"> INDEX( tblFilterAll[Meets initial criteria], PeersCritera[[#This Row],[Index]] )</f>
        <v>1</v>
      </c>
      <c r="U199" s="241"/>
      <c r="V199" s="230">
        <f>IF( PeersCritera[[#This Row],[RP_Name]] = SelectedProvider, 1, IF( PeersCritera[[#This Row],[Override initial criteria]] = "Include", 1, IF( PeersCritera[[#This Row],[Override initial criteria]] = "Exclude", 0, PeersCritera[[#This Row],[Meets initial criteria]] ) ) )</f>
        <v>1</v>
      </c>
      <c r="W199" s="325">
        <f xml:space="preserve"> MATCH( PeersCritera[[#This Row],[RP_Name]], tblFilterAll[Provider name], 0 )</f>
        <v>184</v>
      </c>
      <c r="Y19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0" spans="2:25" x14ac:dyDescent="0.25">
      <c r="B200" s="327" t="s" vm="185">
        <v>515</v>
      </c>
      <c r="C200" s="218" cm="1" vm="4840">
        <f t="array" ref="C200" xml:space="preserve"> INDEX( tblFilterAll[Total social stock owned], PeersCritera[[#This Row],[Index]] )</f>
        <v>21316</v>
      </c>
      <c r="D200" s="219" cm="1">
        <f t="array" ref="D200" xml:space="preserve"> INDEX( tblFilterAll[% Supported housing (excl. HOP)], PeersCritera[[#This Row],[Index]] )</f>
        <v>4.1400075272864136E-3</v>
      </c>
      <c r="E200" s="220" cm="1">
        <f t="array" ref="E200" xml:space="preserve"> INDEX( tblFilterAll[% Housing for older people], PeersCritera[[#This Row],[Index]] )</f>
        <v>0</v>
      </c>
      <c r="F200" s="220">
        <f xml:space="preserve"> PeersCritera[[#This Row],[% Supported housing (excl. HOP)]] + PeersCritera[[#This Row],[% Housing for older people]]</f>
        <v>4.1400075272864136E-3</v>
      </c>
      <c r="G200" s="221">
        <f xml:space="preserve"> 1 - PeersCritera[[#This Row],[% Supported &amp; older people]]</f>
        <v>0.99585999247271362</v>
      </c>
      <c r="H200" s="222" t="str" cm="1">
        <f t="array" ref="H200" xml:space="preserve"> INDEX( tblFilterAll[Provider Type], PeersCritera[[#This Row],[Index]] )</f>
        <v>Traditional</v>
      </c>
      <c r="I200" s="223" t="str" cm="1">
        <f t="array" ref="I200" xml:space="preserve"> INDEX( tblFilterAll[LSVT age], PeersCritera[[#This Row],[Index]] )</f>
        <v>&gt;= 12 years</v>
      </c>
      <c r="J200" s="219" cm="1">
        <f t="array" ref="J200" xml:space="preserve"> INDEX( tblFilterAll[London], PeersCritera[[#This Row],[Index]] )</f>
        <v>0</v>
      </c>
      <c r="K200" s="220" cm="1">
        <f t="array" ref="K200" xml:space="preserve"> INDEX( tblFilterAll[South East], PeersCritera[[#This Row],[Index]] )</f>
        <v>0</v>
      </c>
      <c r="L200" s="220" cm="1">
        <f t="array" ref="L200" xml:space="preserve"> INDEX( tblFilterAll[South West], PeersCritera[[#This Row],[Index]] )</f>
        <v>0</v>
      </c>
      <c r="M200" s="220" cm="1">
        <f t="array" ref="M200" xml:space="preserve"> INDEX( tblFilterAll[East Midlands], PeersCritera[[#This Row],[Index]] )</f>
        <v>0</v>
      </c>
      <c r="N200" s="220" cm="1">
        <f t="array" ref="N200" xml:space="preserve"> INDEX( tblFilterAll[West Midlands], PeersCritera[[#This Row],[Index]] )</f>
        <v>1</v>
      </c>
      <c r="O200" s="220" cm="1">
        <f t="array" ref="O200" xml:space="preserve"> INDEX( tblFilterAll[East of England], PeersCritera[[#This Row],[Index]] )</f>
        <v>0</v>
      </c>
      <c r="P200" s="220" cm="1">
        <f t="array" ref="P200" xml:space="preserve"> INDEX( tblFilterAll[North East], PeersCritera[[#This Row],[Index]] )</f>
        <v>0</v>
      </c>
      <c r="Q200" s="220" cm="1">
        <f t="array" ref="Q200" xml:space="preserve"> INDEX( tblFilterAll[North West], PeersCritera[[#This Row],[Index]] )</f>
        <v>0</v>
      </c>
      <c r="R200" s="220" cm="1">
        <f t="array" ref="R200" xml:space="preserve"> INDEX( tblFilterAll[Yorkshire &amp; the Humber], PeersCritera[[#This Row],[Index]] )</f>
        <v>0</v>
      </c>
      <c r="S200" s="224" t="str" cm="1">
        <f t="array" ref="S200" xml:space="preserve"> INDEX( tblFilterAll[Region with 50%+ of social stock owned], PeersCritera[[#This Row],[Index]] )</f>
        <v>West Midlands</v>
      </c>
      <c r="T200" s="229" cm="1">
        <f t="array" ref="T200" xml:space="preserve"> INDEX( tblFilterAll[Meets initial criteria], PeersCritera[[#This Row],[Index]] )</f>
        <v>1</v>
      </c>
      <c r="U200" s="241"/>
      <c r="V200" s="230">
        <f>IF( PeersCritera[[#This Row],[RP_Name]] = SelectedProvider, 1, IF( PeersCritera[[#This Row],[Override initial criteria]] = "Include", 1, IF( PeersCritera[[#This Row],[Override initial criteria]] = "Exclude", 0, PeersCritera[[#This Row],[Meets initial criteria]] ) ) )</f>
        <v>1</v>
      </c>
      <c r="W200" s="325">
        <f xml:space="preserve"> MATCH( PeersCritera[[#This Row],[RP_Name]], tblFilterAll[Provider name], 0 )</f>
        <v>185</v>
      </c>
      <c r="Y20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1" spans="2:25" x14ac:dyDescent="0.25">
      <c r="B201" s="327" t="s" vm="186">
        <v>517</v>
      </c>
      <c r="C201" s="218" cm="1" vm="5123">
        <f t="array" ref="C201" xml:space="preserve"> INDEX( tblFilterAll[Total social stock owned], PeersCritera[[#This Row],[Index]] )</f>
        <v>6895</v>
      </c>
      <c r="D201" s="219" cm="1">
        <f t="array" ref="D201" xml:space="preserve"> INDEX( tblFilterAll[% Supported housing (excl. HOP)], PeersCritera[[#This Row],[Index]] )</f>
        <v>2.1732788798133021E-2</v>
      </c>
      <c r="E201" s="220" cm="1">
        <f t="array" ref="E201" xml:space="preserve"> INDEX( tblFilterAll[% Housing for older people], PeersCritera[[#This Row],[Index]] )</f>
        <v>6.7094515752625442E-3</v>
      </c>
      <c r="F201" s="220">
        <f xml:space="preserve"> PeersCritera[[#This Row],[% Supported housing (excl. HOP)]] + PeersCritera[[#This Row],[% Housing for older people]]</f>
        <v>2.8442240373395565E-2</v>
      </c>
      <c r="G201" s="221">
        <f xml:space="preserve"> 1 - PeersCritera[[#This Row],[% Supported &amp; older people]]</f>
        <v>0.9715577596266044</v>
      </c>
      <c r="H201" s="222" t="str" cm="1">
        <f t="array" ref="H201" xml:space="preserve"> INDEX( tblFilterAll[Provider Type], PeersCritera[[#This Row],[Index]] )</f>
        <v>Traditional</v>
      </c>
      <c r="I201" s="223" t="str" cm="1">
        <f t="array" ref="I201" xml:space="preserve"> INDEX( tblFilterAll[LSVT age], PeersCritera[[#This Row],[Index]] )</f>
        <v/>
      </c>
      <c r="J201" s="219" cm="1">
        <f t="array" ref="J201" xml:space="preserve"> INDEX( tblFilterAll[London], PeersCritera[[#This Row],[Index]] )</f>
        <v>0.99970687380917489</v>
      </c>
      <c r="K201" s="220" cm="1">
        <f t="array" ref="K201" xml:space="preserve"> INDEX( tblFilterAll[South East], PeersCritera[[#This Row],[Index]] )</f>
        <v>2.9312619082515022E-4</v>
      </c>
      <c r="L201" s="220" cm="1">
        <f t="array" ref="L201" xml:space="preserve"> INDEX( tblFilterAll[South West], PeersCritera[[#This Row],[Index]] )</f>
        <v>0</v>
      </c>
      <c r="M201" s="220" cm="1">
        <f t="array" ref="M201" xml:space="preserve"> INDEX( tblFilterAll[East Midlands], PeersCritera[[#This Row],[Index]] )</f>
        <v>0</v>
      </c>
      <c r="N201" s="220" cm="1">
        <f t="array" ref="N201" xml:space="preserve"> INDEX( tblFilterAll[West Midlands], PeersCritera[[#This Row],[Index]] )</f>
        <v>0</v>
      </c>
      <c r="O201" s="220" cm="1">
        <f t="array" ref="O201" xml:space="preserve"> INDEX( tblFilterAll[East of England], PeersCritera[[#This Row],[Index]] )</f>
        <v>0</v>
      </c>
      <c r="P201" s="220" cm="1">
        <f t="array" ref="P201" xml:space="preserve"> INDEX( tblFilterAll[North East], PeersCritera[[#This Row],[Index]] )</f>
        <v>0</v>
      </c>
      <c r="Q201" s="220" cm="1">
        <f t="array" ref="Q201" xml:space="preserve"> INDEX( tblFilterAll[North West], PeersCritera[[#This Row],[Index]] )</f>
        <v>0</v>
      </c>
      <c r="R201" s="220" cm="1">
        <f t="array" ref="R201" xml:space="preserve"> INDEX( tblFilterAll[Yorkshire &amp; the Humber], PeersCritera[[#This Row],[Index]] )</f>
        <v>0</v>
      </c>
      <c r="S201" s="224" t="str" cm="1">
        <f t="array" ref="S201" xml:space="preserve"> INDEX( tblFilterAll[Region with 50%+ of social stock owned], PeersCritera[[#This Row],[Index]] )</f>
        <v>London</v>
      </c>
      <c r="T201" s="229" cm="1">
        <f t="array" ref="T201" xml:space="preserve"> INDEX( tblFilterAll[Meets initial criteria], PeersCritera[[#This Row],[Index]] )</f>
        <v>1</v>
      </c>
      <c r="U201" s="241"/>
      <c r="V201" s="230">
        <f>IF( PeersCritera[[#This Row],[RP_Name]] = SelectedProvider, 1, IF( PeersCritera[[#This Row],[Override initial criteria]] = "Include", 1, IF( PeersCritera[[#This Row],[Override initial criteria]] = "Exclude", 0, PeersCritera[[#This Row],[Meets initial criteria]] ) ) )</f>
        <v>1</v>
      </c>
      <c r="W201" s="325">
        <f xml:space="preserve"> MATCH( PeersCritera[[#This Row],[RP_Name]], tblFilterAll[Provider name], 0 )</f>
        <v>186</v>
      </c>
      <c r="Y20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2" spans="2:25" x14ac:dyDescent="0.25">
      <c r="B202" s="327" t="s" vm="187">
        <v>519</v>
      </c>
      <c r="C202" s="218" cm="1" vm="8569">
        <f t="array" ref="C202" xml:space="preserve"> INDEX( tblFilterAll[Total social stock owned], PeersCritera[[#This Row],[Index]] )</f>
        <v>1298</v>
      </c>
      <c r="D202" s="219" cm="1">
        <f t="array" ref="D202" xml:space="preserve"> INDEX( tblFilterAll[% Supported housing (excl. HOP)], PeersCritera[[#This Row],[Index]] )</f>
        <v>5.5427251732101619E-2</v>
      </c>
      <c r="E202" s="220" cm="1">
        <f t="array" ref="E202" xml:space="preserve"> INDEX( tblFilterAll[% Housing for older people], PeersCritera[[#This Row],[Index]] )</f>
        <v>0.12086220169361046</v>
      </c>
      <c r="F202" s="220">
        <f xml:space="preserve"> PeersCritera[[#This Row],[% Supported housing (excl. HOP)]] + PeersCritera[[#This Row],[% Housing for older people]]</f>
        <v>0.17628945342571209</v>
      </c>
      <c r="G202" s="221">
        <f xml:space="preserve"> 1 - PeersCritera[[#This Row],[% Supported &amp; older people]]</f>
        <v>0.82371054657428788</v>
      </c>
      <c r="H202" s="222" t="str" cm="1">
        <f t="array" ref="H202" xml:space="preserve"> INDEX( tblFilterAll[Provider Type], PeersCritera[[#This Row],[Index]] )</f>
        <v>Traditional</v>
      </c>
      <c r="I202" s="223" t="str" cm="1">
        <f t="array" ref="I202" xml:space="preserve"> INDEX( tblFilterAll[LSVT age], PeersCritera[[#This Row],[Index]] )</f>
        <v/>
      </c>
      <c r="J202" s="219" cm="1">
        <f t="array" ref="J202" xml:space="preserve"> INDEX( tblFilterAll[London], PeersCritera[[#This Row],[Index]] )</f>
        <v>0</v>
      </c>
      <c r="K202" s="220" cm="1">
        <f t="array" ref="K202" xml:space="preserve"> INDEX( tblFilterAll[South East], PeersCritera[[#This Row],[Index]] )</f>
        <v>0</v>
      </c>
      <c r="L202" s="220" cm="1">
        <f t="array" ref="L202" xml:space="preserve"> INDEX( tblFilterAll[South West], PeersCritera[[#This Row],[Index]] )</f>
        <v>0</v>
      </c>
      <c r="M202" s="220" cm="1">
        <f t="array" ref="M202" xml:space="preserve"> INDEX( tblFilterAll[East Midlands], PeersCritera[[#This Row],[Index]] )</f>
        <v>0</v>
      </c>
      <c r="N202" s="220" cm="1">
        <f t="array" ref="N202" xml:space="preserve"> INDEX( tblFilterAll[West Midlands], PeersCritera[[#This Row],[Index]] )</f>
        <v>0</v>
      </c>
      <c r="O202" s="220" cm="1">
        <f t="array" ref="O202" xml:space="preserve"> INDEX( tblFilterAll[East of England], PeersCritera[[#This Row],[Index]] )</f>
        <v>0</v>
      </c>
      <c r="P202" s="220" cm="1">
        <f t="array" ref="P202" xml:space="preserve"> INDEX( tblFilterAll[North East], PeersCritera[[#This Row],[Index]] )</f>
        <v>0</v>
      </c>
      <c r="Q202" s="220" cm="1">
        <f t="array" ref="Q202" xml:space="preserve"> INDEX( tblFilterAll[North West], PeersCritera[[#This Row],[Index]] )</f>
        <v>1</v>
      </c>
      <c r="R202" s="220" cm="1">
        <f t="array" ref="R202" xml:space="preserve"> INDEX( tblFilterAll[Yorkshire &amp; the Humber], PeersCritera[[#This Row],[Index]] )</f>
        <v>0</v>
      </c>
      <c r="S202" s="224" t="str" cm="1">
        <f t="array" ref="S202" xml:space="preserve"> INDEX( tblFilterAll[Region with 50%+ of social stock owned], PeersCritera[[#This Row],[Index]] )</f>
        <v>North West</v>
      </c>
      <c r="T202" s="229" cm="1">
        <f t="array" ref="T202" xml:space="preserve"> INDEX( tblFilterAll[Meets initial criteria], PeersCritera[[#This Row],[Index]] )</f>
        <v>1</v>
      </c>
      <c r="U202" s="241"/>
      <c r="V202" s="230">
        <f>IF( PeersCritera[[#This Row],[RP_Name]] = SelectedProvider, 1, IF( PeersCritera[[#This Row],[Override initial criteria]] = "Include", 1, IF( PeersCritera[[#This Row],[Override initial criteria]] = "Exclude", 0, PeersCritera[[#This Row],[Meets initial criteria]] ) ) )</f>
        <v>1</v>
      </c>
      <c r="W202" s="325">
        <f xml:space="preserve"> MATCH( PeersCritera[[#This Row],[RP_Name]], tblFilterAll[Provider name], 0 )</f>
        <v>187</v>
      </c>
      <c r="Y20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3" spans="2:25" x14ac:dyDescent="0.25">
      <c r="B203" s="327" t="s" vm="188">
        <v>521</v>
      </c>
      <c r="C203" s="218" cm="1" vm="6113">
        <f t="array" ref="C203" xml:space="preserve"> INDEX( tblFilterAll[Total social stock owned], PeersCritera[[#This Row],[Index]] )</f>
        <v>5220</v>
      </c>
      <c r="D203" s="219" cm="1">
        <f t="array" ref="D203" xml:space="preserve"> INDEX( tblFilterAll[% Supported housing (excl. HOP)], PeersCritera[[#This Row],[Index]] )</f>
        <v>0</v>
      </c>
      <c r="E203" s="220" cm="1">
        <f t="array" ref="E203" xml:space="preserve"> INDEX( tblFilterAll[% Housing for older people], PeersCritera[[#This Row],[Index]] )</f>
        <v>9.0088359585094119E-2</v>
      </c>
      <c r="F203" s="220">
        <f xml:space="preserve"> PeersCritera[[#This Row],[% Supported housing (excl. HOP)]] + PeersCritera[[#This Row],[% Housing for older people]]</f>
        <v>9.0088359585094119E-2</v>
      </c>
      <c r="G203" s="221">
        <f xml:space="preserve"> 1 - PeersCritera[[#This Row],[% Supported &amp; older people]]</f>
        <v>0.90991164041490591</v>
      </c>
      <c r="H203" s="222" t="str" cm="1">
        <f t="array" ref="H203" xml:space="preserve"> INDEX( tblFilterAll[Provider Type], PeersCritera[[#This Row],[Index]] )</f>
        <v>Traditional</v>
      </c>
      <c r="I203" s="223" t="str" cm="1">
        <f t="array" ref="I203" xml:space="preserve"> INDEX( tblFilterAll[LSVT age], PeersCritera[[#This Row],[Index]] )</f>
        <v>&gt;= 12 years</v>
      </c>
      <c r="J203" s="219" cm="1">
        <f t="array" ref="J203" xml:space="preserve"> INDEX( tblFilterAll[London], PeersCritera[[#This Row],[Index]] )</f>
        <v>0</v>
      </c>
      <c r="K203" s="220" cm="1">
        <f t="array" ref="K203" xml:space="preserve"> INDEX( tblFilterAll[South East], PeersCritera[[#This Row],[Index]] )</f>
        <v>0</v>
      </c>
      <c r="L203" s="220" cm="1">
        <f t="array" ref="L203" xml:space="preserve"> INDEX( tblFilterAll[South West], PeersCritera[[#This Row],[Index]] )</f>
        <v>0</v>
      </c>
      <c r="M203" s="220" cm="1">
        <f t="array" ref="M203" xml:space="preserve"> INDEX( tblFilterAll[East Midlands], PeersCritera[[#This Row],[Index]] )</f>
        <v>0</v>
      </c>
      <c r="N203" s="220" cm="1">
        <f t="array" ref="N203" xml:space="preserve"> INDEX( tblFilterAll[West Midlands], PeersCritera[[#This Row],[Index]] )</f>
        <v>0</v>
      </c>
      <c r="O203" s="220" cm="1">
        <f t="array" ref="O203" xml:space="preserve"> INDEX( tblFilterAll[East of England], PeersCritera[[#This Row],[Index]] )</f>
        <v>1</v>
      </c>
      <c r="P203" s="220" cm="1">
        <f t="array" ref="P203" xml:space="preserve"> INDEX( tblFilterAll[North East], PeersCritera[[#This Row],[Index]] )</f>
        <v>0</v>
      </c>
      <c r="Q203" s="220" cm="1">
        <f t="array" ref="Q203" xml:space="preserve"> INDEX( tblFilterAll[North West], PeersCritera[[#This Row],[Index]] )</f>
        <v>0</v>
      </c>
      <c r="R203" s="220" cm="1">
        <f t="array" ref="R203" xml:space="preserve"> INDEX( tblFilterAll[Yorkshire &amp; the Humber], PeersCritera[[#This Row],[Index]] )</f>
        <v>0</v>
      </c>
      <c r="S203" s="224" t="str" cm="1">
        <f t="array" ref="S203" xml:space="preserve"> INDEX( tblFilterAll[Region with 50%+ of social stock owned], PeersCritera[[#This Row],[Index]] )</f>
        <v>East of England</v>
      </c>
      <c r="T203" s="229" cm="1">
        <f t="array" ref="T203" xml:space="preserve"> INDEX( tblFilterAll[Meets initial criteria], PeersCritera[[#This Row],[Index]] )</f>
        <v>1</v>
      </c>
      <c r="U203" s="241"/>
      <c r="V203" s="230">
        <f>IF( PeersCritera[[#This Row],[RP_Name]] = SelectedProvider, 1, IF( PeersCritera[[#This Row],[Override initial criteria]] = "Include", 1, IF( PeersCritera[[#This Row],[Override initial criteria]] = "Exclude", 0, PeersCritera[[#This Row],[Meets initial criteria]] ) ) )</f>
        <v>1</v>
      </c>
      <c r="W203" s="325">
        <f xml:space="preserve"> MATCH( PeersCritera[[#This Row],[RP_Name]], tblFilterAll[Provider name], 0 )</f>
        <v>188</v>
      </c>
      <c r="Y20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4" spans="2:25" x14ac:dyDescent="0.25">
      <c r="B204" s="327" t="s" vm="189">
        <v>523</v>
      </c>
      <c r="C204" s="218" cm="1" vm="3582">
        <f t="array" ref="C204" xml:space="preserve"> INDEX( tblFilterAll[Total social stock owned], PeersCritera[[#This Row],[Index]] )</f>
        <v>2615</v>
      </c>
      <c r="D204" s="219" cm="1">
        <f t="array" ref="D204" xml:space="preserve"> INDEX( tblFilterAll[% Supported housing (excl. HOP)], PeersCritera[[#This Row],[Index]] )</f>
        <v>0</v>
      </c>
      <c r="E204" s="220" cm="1">
        <f t="array" ref="E204" xml:space="preserve"> INDEX( tblFilterAll[% Housing for older people], PeersCritera[[#This Row],[Index]] )</f>
        <v>3.2887189292543022E-2</v>
      </c>
      <c r="F204" s="220">
        <f xml:space="preserve"> PeersCritera[[#This Row],[% Supported housing (excl. HOP)]] + PeersCritera[[#This Row],[% Housing for older people]]</f>
        <v>3.2887189292543022E-2</v>
      </c>
      <c r="G204" s="221">
        <f xml:space="preserve"> 1 - PeersCritera[[#This Row],[% Supported &amp; older people]]</f>
        <v>0.96711281070745703</v>
      </c>
      <c r="H204" s="222" t="str" cm="1">
        <f t="array" ref="H204" xml:space="preserve"> INDEX( tblFilterAll[Provider Type], PeersCritera[[#This Row],[Index]] )</f>
        <v>Traditional</v>
      </c>
      <c r="I204" s="223" t="str" cm="1">
        <f t="array" ref="I204" xml:space="preserve"> INDEX( tblFilterAll[LSVT age], PeersCritera[[#This Row],[Index]] )</f>
        <v>&gt;= 12 years</v>
      </c>
      <c r="J204" s="219" cm="1">
        <f t="array" ref="J204" xml:space="preserve"> INDEX( tblFilterAll[London], PeersCritera[[#This Row],[Index]] )</f>
        <v>0.35296367112810706</v>
      </c>
      <c r="K204" s="220" cm="1">
        <f t="array" ref="K204" xml:space="preserve"> INDEX( tblFilterAll[South East], PeersCritera[[#This Row],[Index]] )</f>
        <v>0</v>
      </c>
      <c r="L204" s="220" cm="1">
        <f t="array" ref="L204" xml:space="preserve"> INDEX( tblFilterAll[South West], PeersCritera[[#This Row],[Index]] )</f>
        <v>0</v>
      </c>
      <c r="M204" s="220" cm="1">
        <f t="array" ref="M204" xml:space="preserve"> INDEX( tblFilterAll[East Midlands], PeersCritera[[#This Row],[Index]] )</f>
        <v>0</v>
      </c>
      <c r="N204" s="220" cm="1">
        <f t="array" ref="N204" xml:space="preserve"> INDEX( tblFilterAll[West Midlands], PeersCritera[[#This Row],[Index]] )</f>
        <v>0.64703632887189289</v>
      </c>
      <c r="O204" s="220" cm="1">
        <f t="array" ref="O204" xml:space="preserve"> INDEX( tblFilterAll[East of England], PeersCritera[[#This Row],[Index]] )</f>
        <v>0</v>
      </c>
      <c r="P204" s="220" cm="1">
        <f t="array" ref="P204" xml:space="preserve"> INDEX( tblFilterAll[North East], PeersCritera[[#This Row],[Index]] )</f>
        <v>0</v>
      </c>
      <c r="Q204" s="220" cm="1">
        <f t="array" ref="Q204" xml:space="preserve"> INDEX( tblFilterAll[North West], PeersCritera[[#This Row],[Index]] )</f>
        <v>0</v>
      </c>
      <c r="R204" s="220" cm="1">
        <f t="array" ref="R204" xml:space="preserve"> INDEX( tblFilterAll[Yorkshire &amp; the Humber], PeersCritera[[#This Row],[Index]] )</f>
        <v>0</v>
      </c>
      <c r="S204" s="224" t="str" cm="1">
        <f t="array" ref="S204" xml:space="preserve"> INDEX( tblFilterAll[Region with 50%+ of social stock owned], PeersCritera[[#This Row],[Index]] )</f>
        <v>West Midlands</v>
      </c>
      <c r="T204" s="229" cm="1">
        <f t="array" ref="T204" xml:space="preserve"> INDEX( tblFilterAll[Meets initial criteria], PeersCritera[[#This Row],[Index]] )</f>
        <v>1</v>
      </c>
      <c r="U204" s="241"/>
      <c r="V204" s="230">
        <f>IF( PeersCritera[[#This Row],[RP_Name]] = SelectedProvider, 1, IF( PeersCritera[[#This Row],[Override initial criteria]] = "Include", 1, IF( PeersCritera[[#This Row],[Override initial criteria]] = "Exclude", 0, PeersCritera[[#This Row],[Meets initial criteria]] ) ) )</f>
        <v>1</v>
      </c>
      <c r="W204" s="325">
        <f xml:space="preserve"> MATCH( PeersCritera[[#This Row],[RP_Name]], tblFilterAll[Provider name], 0 )</f>
        <v>189</v>
      </c>
      <c r="Y204"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5" spans="2:25" x14ac:dyDescent="0.25">
      <c r="B205" s="327" t="s" vm="190">
        <v>525</v>
      </c>
      <c r="C205" s="218" cm="1" vm="5876">
        <f t="array" ref="C205" xml:space="preserve"> INDEX( tblFilterAll[Total social stock owned], PeersCritera[[#This Row],[Index]] )</f>
        <v>6345</v>
      </c>
      <c r="D205" s="219" cm="1">
        <f t="array" ref="D205" xml:space="preserve"> INDEX( tblFilterAll[% Supported housing (excl. HOP)], PeersCritera[[#This Row],[Index]] )</f>
        <v>1.420678768745067E-3</v>
      </c>
      <c r="E205" s="220" cm="1">
        <f t="array" ref="E205" xml:space="preserve"> INDEX( tblFilterAll[% Housing for older people], PeersCritera[[#This Row],[Index]] )</f>
        <v>1.7205998421468034E-2</v>
      </c>
      <c r="F205" s="220">
        <f xml:space="preserve"> PeersCritera[[#This Row],[% Supported housing (excl. HOP)]] + PeersCritera[[#This Row],[% Housing for older people]]</f>
        <v>1.86266771902131E-2</v>
      </c>
      <c r="G205" s="221">
        <f xml:space="preserve"> 1 - PeersCritera[[#This Row],[% Supported &amp; older people]]</f>
        <v>0.98137332280978695</v>
      </c>
      <c r="H205" s="222" t="str" cm="1">
        <f t="array" ref="H205" xml:space="preserve"> INDEX( tblFilterAll[Provider Type], PeersCritera[[#This Row],[Index]] )</f>
        <v>Traditional</v>
      </c>
      <c r="I205" s="223" t="str" cm="1">
        <f t="array" ref="I205" xml:space="preserve"> INDEX( tblFilterAll[LSVT age], PeersCritera[[#This Row],[Index]] )</f>
        <v>&gt;= 12 years</v>
      </c>
      <c r="J205" s="219" cm="1">
        <f t="array" ref="J205" xml:space="preserve"> INDEX( tblFilterAll[London], PeersCritera[[#This Row],[Index]] )</f>
        <v>0</v>
      </c>
      <c r="K205" s="220" cm="1">
        <f t="array" ref="K205" xml:space="preserve"> INDEX( tblFilterAll[South East], PeersCritera[[#This Row],[Index]] )</f>
        <v>0</v>
      </c>
      <c r="L205" s="220" cm="1">
        <f t="array" ref="L205" xml:space="preserve"> INDEX( tblFilterAll[South West], PeersCritera[[#This Row],[Index]] )</f>
        <v>0</v>
      </c>
      <c r="M205" s="220" cm="1">
        <f t="array" ref="M205" xml:space="preserve"> INDEX( tblFilterAll[East Midlands], PeersCritera[[#This Row],[Index]] )</f>
        <v>0</v>
      </c>
      <c r="N205" s="220" cm="1">
        <f t="array" ref="N205" xml:space="preserve"> INDEX( tblFilterAll[West Midlands], PeersCritera[[#This Row],[Index]] )</f>
        <v>0</v>
      </c>
      <c r="O205" s="220" cm="1">
        <f t="array" ref="O205" xml:space="preserve"> INDEX( tblFilterAll[East of England], PeersCritera[[#This Row],[Index]] )</f>
        <v>0</v>
      </c>
      <c r="P205" s="220" cm="1">
        <f t="array" ref="P205" xml:space="preserve"> INDEX( tblFilterAll[North East], PeersCritera[[#This Row],[Index]] )</f>
        <v>0</v>
      </c>
      <c r="Q205" s="220" cm="1">
        <f t="array" ref="Q205" xml:space="preserve"> INDEX( tblFilterAll[North West], PeersCritera[[#This Row],[Index]] )</f>
        <v>1</v>
      </c>
      <c r="R205" s="220" cm="1">
        <f t="array" ref="R205" xml:space="preserve"> INDEX( tblFilterAll[Yorkshire &amp; the Humber], PeersCritera[[#This Row],[Index]] )</f>
        <v>0</v>
      </c>
      <c r="S205" s="224" t="str" cm="1">
        <f t="array" ref="S205" xml:space="preserve"> INDEX( tblFilterAll[Region with 50%+ of social stock owned], PeersCritera[[#This Row],[Index]] )</f>
        <v>North West</v>
      </c>
      <c r="T205" s="229" cm="1">
        <f t="array" ref="T205" xml:space="preserve"> INDEX( tblFilterAll[Meets initial criteria], PeersCritera[[#This Row],[Index]] )</f>
        <v>1</v>
      </c>
      <c r="U205" s="241"/>
      <c r="V205" s="230">
        <f>IF( PeersCritera[[#This Row],[RP_Name]] = SelectedProvider, 1, IF( PeersCritera[[#This Row],[Override initial criteria]] = "Include", 1, IF( PeersCritera[[#This Row],[Override initial criteria]] = "Exclude", 0, PeersCritera[[#This Row],[Meets initial criteria]] ) ) )</f>
        <v>1</v>
      </c>
      <c r="W205" s="325">
        <f xml:space="preserve"> MATCH( PeersCritera[[#This Row],[RP_Name]], tblFilterAll[Provider name], 0 )</f>
        <v>190</v>
      </c>
      <c r="Y205"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6" spans="2:25" x14ac:dyDescent="0.25">
      <c r="B206" s="327" t="s" vm="191">
        <v>527</v>
      </c>
      <c r="C206" s="218" cm="1" vm="5162">
        <f t="array" ref="C206" xml:space="preserve"> INDEX( tblFilterAll[Total social stock owned], PeersCritera[[#This Row],[Index]] )</f>
        <v>7954</v>
      </c>
      <c r="D206" s="219" cm="1">
        <f t="array" ref="D206" xml:space="preserve"> INDEX( tblFilterAll[% Supported housing (excl. HOP)], PeersCritera[[#This Row],[Index]] )</f>
        <v>8.916237598894889E-3</v>
      </c>
      <c r="E206" s="220" cm="1">
        <f t="array" ref="E206" xml:space="preserve"> INDEX( tblFilterAll[% Housing for older people], PeersCritera[[#This Row],[Index]] )</f>
        <v>8.5143790028883587E-2</v>
      </c>
      <c r="F206" s="220">
        <f xml:space="preserve"> PeersCritera[[#This Row],[% Supported housing (excl. HOP)]] + PeersCritera[[#This Row],[% Housing for older people]]</f>
        <v>9.4060027627778472E-2</v>
      </c>
      <c r="G206" s="221">
        <f xml:space="preserve"> 1 - PeersCritera[[#This Row],[% Supported &amp; older people]]</f>
        <v>0.90593997237222157</v>
      </c>
      <c r="H206" s="222" t="str" cm="1">
        <f t="array" ref="H206" xml:space="preserve"> INDEX( tblFilterAll[Provider Type], PeersCritera[[#This Row],[Index]] )</f>
        <v>Traditional</v>
      </c>
      <c r="I206" s="223" t="str" cm="1">
        <f t="array" ref="I206" xml:space="preserve"> INDEX( tblFilterAll[LSVT age], PeersCritera[[#This Row],[Index]] )</f>
        <v>&gt;= 12 years</v>
      </c>
      <c r="J206" s="219" cm="1">
        <f t="array" ref="J206" xml:space="preserve"> INDEX( tblFilterAll[London], PeersCritera[[#This Row],[Index]] )</f>
        <v>0</v>
      </c>
      <c r="K206" s="220" cm="1">
        <f t="array" ref="K206" xml:space="preserve"> INDEX( tblFilterAll[South East], PeersCritera[[#This Row],[Index]] )</f>
        <v>1</v>
      </c>
      <c r="L206" s="220" cm="1">
        <f t="array" ref="L206" xml:space="preserve"> INDEX( tblFilterAll[South West], PeersCritera[[#This Row],[Index]] )</f>
        <v>0</v>
      </c>
      <c r="M206" s="220" cm="1">
        <f t="array" ref="M206" xml:space="preserve"> INDEX( tblFilterAll[East Midlands], PeersCritera[[#This Row],[Index]] )</f>
        <v>0</v>
      </c>
      <c r="N206" s="220" cm="1">
        <f t="array" ref="N206" xml:space="preserve"> INDEX( tblFilterAll[West Midlands], PeersCritera[[#This Row],[Index]] )</f>
        <v>0</v>
      </c>
      <c r="O206" s="220" cm="1">
        <f t="array" ref="O206" xml:space="preserve"> INDEX( tblFilterAll[East of England], PeersCritera[[#This Row],[Index]] )</f>
        <v>0</v>
      </c>
      <c r="P206" s="220" cm="1">
        <f t="array" ref="P206" xml:space="preserve"> INDEX( tblFilterAll[North East], PeersCritera[[#This Row],[Index]] )</f>
        <v>0</v>
      </c>
      <c r="Q206" s="220" cm="1">
        <f t="array" ref="Q206" xml:space="preserve"> INDEX( tblFilterAll[North West], PeersCritera[[#This Row],[Index]] )</f>
        <v>0</v>
      </c>
      <c r="R206" s="220" cm="1">
        <f t="array" ref="R206" xml:space="preserve"> INDEX( tblFilterAll[Yorkshire &amp; the Humber], PeersCritera[[#This Row],[Index]] )</f>
        <v>0</v>
      </c>
      <c r="S206" s="224" t="str" cm="1">
        <f t="array" ref="S206" xml:space="preserve"> INDEX( tblFilterAll[Region with 50%+ of social stock owned], PeersCritera[[#This Row],[Index]] )</f>
        <v>South East</v>
      </c>
      <c r="T206" s="229" cm="1">
        <f t="array" ref="T206" xml:space="preserve"> INDEX( tblFilterAll[Meets initial criteria], PeersCritera[[#This Row],[Index]] )</f>
        <v>1</v>
      </c>
      <c r="U206" s="241"/>
      <c r="V206" s="230">
        <f>IF( PeersCritera[[#This Row],[RP_Name]] = SelectedProvider, 1, IF( PeersCritera[[#This Row],[Override initial criteria]] = "Include", 1, IF( PeersCritera[[#This Row],[Override initial criteria]] = "Exclude", 0, PeersCritera[[#This Row],[Meets initial criteria]] ) ) )</f>
        <v>1</v>
      </c>
      <c r="W206" s="325">
        <f xml:space="preserve"> MATCH( PeersCritera[[#This Row],[RP_Name]], tblFilterAll[Provider name], 0 )</f>
        <v>191</v>
      </c>
      <c r="Y206"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7" spans="2:25" x14ac:dyDescent="0.25">
      <c r="B207" s="327" t="s" vm="192">
        <v>529</v>
      </c>
      <c r="C207" s="218" cm="1" vm="6155">
        <f t="array" ref="C207" xml:space="preserve"> INDEX( tblFilterAll[Total social stock owned], PeersCritera[[#This Row],[Index]] )</f>
        <v>7276</v>
      </c>
      <c r="D207" s="219" cm="1">
        <f t="array" ref="D207" xml:space="preserve"> INDEX( tblFilterAll[% Supported housing (excl. HOP)], PeersCritera[[#This Row],[Index]] )</f>
        <v>4.5829892650701899E-2</v>
      </c>
      <c r="E207" s="220" cm="1">
        <f t="array" ref="E207" xml:space="preserve"> INDEX( tblFilterAll[% Housing for older people], PeersCritera[[#This Row],[Index]] )</f>
        <v>9.0283512248830161E-2</v>
      </c>
      <c r="F207" s="220">
        <f xml:space="preserve"> PeersCritera[[#This Row],[% Supported housing (excl. HOP)]] + PeersCritera[[#This Row],[% Housing for older people]]</f>
        <v>0.13611340489953205</v>
      </c>
      <c r="G207" s="221">
        <f xml:space="preserve"> 1 - PeersCritera[[#This Row],[% Supported &amp; older people]]</f>
        <v>0.86388659510046795</v>
      </c>
      <c r="H207" s="222" t="str" cm="1">
        <f t="array" ref="H207" xml:space="preserve"> INDEX( tblFilterAll[Provider Type], PeersCritera[[#This Row],[Index]] )</f>
        <v>Traditional</v>
      </c>
      <c r="I207" s="223" t="str" cm="1">
        <f t="array" ref="I207" xml:space="preserve"> INDEX( tblFilterAll[LSVT age], PeersCritera[[#This Row],[Index]] )</f>
        <v/>
      </c>
      <c r="J207" s="219" cm="1">
        <f t="array" ref="J207" xml:space="preserve"> INDEX( tblFilterAll[London], PeersCritera[[#This Row],[Index]] )</f>
        <v>0</v>
      </c>
      <c r="K207" s="220" cm="1">
        <f t="array" ref="K207" xml:space="preserve"> INDEX( tblFilterAll[South East], PeersCritera[[#This Row],[Index]] )</f>
        <v>0</v>
      </c>
      <c r="L207" s="220" cm="1">
        <f t="array" ref="L207" xml:space="preserve"> INDEX( tblFilterAll[South West], PeersCritera[[#This Row],[Index]] )</f>
        <v>1</v>
      </c>
      <c r="M207" s="220" cm="1">
        <f t="array" ref="M207" xml:space="preserve"> INDEX( tblFilterAll[East Midlands], PeersCritera[[#This Row],[Index]] )</f>
        <v>0</v>
      </c>
      <c r="N207" s="220" cm="1">
        <f t="array" ref="N207" xml:space="preserve"> INDEX( tblFilterAll[West Midlands], PeersCritera[[#This Row],[Index]] )</f>
        <v>0</v>
      </c>
      <c r="O207" s="220" cm="1">
        <f t="array" ref="O207" xml:space="preserve"> INDEX( tblFilterAll[East of England], PeersCritera[[#This Row],[Index]] )</f>
        <v>0</v>
      </c>
      <c r="P207" s="220" cm="1">
        <f t="array" ref="P207" xml:space="preserve"> INDEX( tblFilterAll[North East], PeersCritera[[#This Row],[Index]] )</f>
        <v>0</v>
      </c>
      <c r="Q207" s="220" cm="1">
        <f t="array" ref="Q207" xml:space="preserve"> INDEX( tblFilterAll[North West], PeersCritera[[#This Row],[Index]] )</f>
        <v>0</v>
      </c>
      <c r="R207" s="220" cm="1">
        <f t="array" ref="R207" xml:space="preserve"> INDEX( tblFilterAll[Yorkshire &amp; the Humber], PeersCritera[[#This Row],[Index]] )</f>
        <v>0</v>
      </c>
      <c r="S207" s="224" t="str" cm="1">
        <f t="array" ref="S207" xml:space="preserve"> INDEX( tblFilterAll[Region with 50%+ of social stock owned], PeersCritera[[#This Row],[Index]] )</f>
        <v>South West</v>
      </c>
      <c r="T207" s="229" cm="1">
        <f t="array" ref="T207" xml:space="preserve"> INDEX( tblFilterAll[Meets initial criteria], PeersCritera[[#This Row],[Index]] )</f>
        <v>1</v>
      </c>
      <c r="U207" s="241"/>
      <c r="V207" s="230">
        <f>IF( PeersCritera[[#This Row],[RP_Name]] = SelectedProvider, 1, IF( PeersCritera[[#This Row],[Override initial criteria]] = "Include", 1, IF( PeersCritera[[#This Row],[Override initial criteria]] = "Exclude", 0, PeersCritera[[#This Row],[Meets initial criteria]] ) ) )</f>
        <v>1</v>
      </c>
      <c r="W207" s="325">
        <f xml:space="preserve"> MATCH( PeersCritera[[#This Row],[RP_Name]], tblFilterAll[Provider name], 0 )</f>
        <v>192</v>
      </c>
      <c r="Y207"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8" spans="2:25" x14ac:dyDescent="0.25">
      <c r="B208" s="327" t="s" vm="193">
        <v>531</v>
      </c>
      <c r="C208" s="218" cm="1" vm="8528">
        <f t="array" ref="C208" xml:space="preserve"> INDEX( tblFilterAll[Total social stock owned], PeersCritera[[#This Row],[Index]] )</f>
        <v>1494</v>
      </c>
      <c r="D208" s="219" cm="1">
        <f t="array" ref="D208" xml:space="preserve"> INDEX( tblFilterAll[% Supported housing (excl. HOP)], PeersCritera[[#This Row],[Index]] )</f>
        <v>0</v>
      </c>
      <c r="E208" s="220" cm="1">
        <f t="array" ref="E208" xml:space="preserve"> INDEX( tblFilterAll[% Housing for older people], PeersCritera[[#This Row],[Index]] )</f>
        <v>4.992076069730586E-2</v>
      </c>
      <c r="F208" s="220">
        <f xml:space="preserve"> PeersCritera[[#This Row],[% Supported housing (excl. HOP)]] + PeersCritera[[#This Row],[% Housing for older people]]</f>
        <v>4.992076069730586E-2</v>
      </c>
      <c r="G208" s="221">
        <f xml:space="preserve"> 1 - PeersCritera[[#This Row],[% Supported &amp; older people]]</f>
        <v>0.95007923930269411</v>
      </c>
      <c r="H208" s="222" t="str" cm="1">
        <f t="array" ref="H208" xml:space="preserve"> INDEX( tblFilterAll[Provider Type], PeersCritera[[#This Row],[Index]] )</f>
        <v>Traditional</v>
      </c>
      <c r="I208" s="223" t="str" cm="1">
        <f t="array" ref="I208" xml:space="preserve"> INDEX( tblFilterAll[LSVT age], PeersCritera[[#This Row],[Index]] )</f>
        <v/>
      </c>
      <c r="J208" s="219" cm="1">
        <f t="array" ref="J208" xml:space="preserve"> INDEX( tblFilterAll[London], PeersCritera[[#This Row],[Index]] )</f>
        <v>0</v>
      </c>
      <c r="K208" s="220" cm="1">
        <f t="array" ref="K208" xml:space="preserve"> INDEX( tblFilterAll[South East], PeersCritera[[#This Row],[Index]] )</f>
        <v>0</v>
      </c>
      <c r="L208" s="220" cm="1">
        <f t="array" ref="L208" xml:space="preserve"> INDEX( tblFilterAll[South West], PeersCritera[[#This Row],[Index]] )</f>
        <v>1</v>
      </c>
      <c r="M208" s="220" cm="1">
        <f t="array" ref="M208" xml:space="preserve"> INDEX( tblFilterAll[East Midlands], PeersCritera[[#This Row],[Index]] )</f>
        <v>0</v>
      </c>
      <c r="N208" s="220" cm="1">
        <f t="array" ref="N208" xml:space="preserve"> INDEX( tblFilterAll[West Midlands], PeersCritera[[#This Row],[Index]] )</f>
        <v>0</v>
      </c>
      <c r="O208" s="220" cm="1">
        <f t="array" ref="O208" xml:space="preserve"> INDEX( tblFilterAll[East of England], PeersCritera[[#This Row],[Index]] )</f>
        <v>0</v>
      </c>
      <c r="P208" s="220" cm="1">
        <f t="array" ref="P208" xml:space="preserve"> INDEX( tblFilterAll[North East], PeersCritera[[#This Row],[Index]] )</f>
        <v>0</v>
      </c>
      <c r="Q208" s="220" cm="1">
        <f t="array" ref="Q208" xml:space="preserve"> INDEX( tblFilterAll[North West], PeersCritera[[#This Row],[Index]] )</f>
        <v>0</v>
      </c>
      <c r="R208" s="220" cm="1">
        <f t="array" ref="R208" xml:space="preserve"> INDEX( tblFilterAll[Yorkshire &amp; the Humber], PeersCritera[[#This Row],[Index]] )</f>
        <v>0</v>
      </c>
      <c r="S208" s="224" t="str" cm="1">
        <f t="array" ref="S208" xml:space="preserve"> INDEX( tblFilterAll[Region with 50%+ of social stock owned], PeersCritera[[#This Row],[Index]] )</f>
        <v>South West</v>
      </c>
      <c r="T208" s="229" cm="1">
        <f t="array" ref="T208" xml:space="preserve"> INDEX( tblFilterAll[Meets initial criteria], PeersCritera[[#This Row],[Index]] )</f>
        <v>1</v>
      </c>
      <c r="U208" s="241"/>
      <c r="V208" s="230">
        <f>IF( PeersCritera[[#This Row],[RP_Name]] = SelectedProvider, 1, IF( PeersCritera[[#This Row],[Override initial criteria]] = "Include", 1, IF( PeersCritera[[#This Row],[Override initial criteria]] = "Exclude", 0, PeersCritera[[#This Row],[Meets initial criteria]] ) ) )</f>
        <v>1</v>
      </c>
      <c r="W208" s="325">
        <f xml:space="preserve"> MATCH( PeersCritera[[#This Row],[RP_Name]], tblFilterAll[Provider name], 0 )</f>
        <v>193</v>
      </c>
      <c r="Y208"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09" spans="2:26" x14ac:dyDescent="0.25">
      <c r="B209" s="327" t="s" vm="194">
        <v>533</v>
      </c>
      <c r="C209" s="218" cm="1" vm="4450">
        <f t="array" ref="C209" xml:space="preserve"> INDEX( tblFilterAll[Total social stock owned], PeersCritera[[#This Row],[Index]] )</f>
        <v>3690</v>
      </c>
      <c r="D209" s="219" cm="1">
        <f t="array" ref="D209" xml:space="preserve"> INDEX( tblFilterAll[% Supported housing (excl. HOP)], PeersCritera[[#This Row],[Index]] )</f>
        <v>2.989942919271541E-3</v>
      </c>
      <c r="E209" s="220" cm="1">
        <f t="array" ref="E209" xml:space="preserve"> INDEX( tblFilterAll[% Housing for older people], PeersCritera[[#This Row],[Index]] )</f>
        <v>5.8439793422125574E-2</v>
      </c>
      <c r="F209" s="220">
        <f xml:space="preserve"> PeersCritera[[#This Row],[% Supported housing (excl. HOP)]] + PeersCritera[[#This Row],[% Housing for older people]]</f>
        <v>6.1429736341397118E-2</v>
      </c>
      <c r="G209" s="221">
        <f xml:space="preserve"> 1 - PeersCritera[[#This Row],[% Supported &amp; older people]]</f>
        <v>0.93857026365860285</v>
      </c>
      <c r="H209" s="222" t="str" cm="1">
        <f t="array" ref="H209" xml:space="preserve"> INDEX( tblFilterAll[Provider Type], PeersCritera[[#This Row],[Index]] )</f>
        <v>Traditional</v>
      </c>
      <c r="I209" s="223" t="str" cm="1">
        <f t="array" ref="I209" xml:space="preserve"> INDEX( tblFilterAll[LSVT age], PeersCritera[[#This Row],[Index]] )</f>
        <v>&gt;= 12 years</v>
      </c>
      <c r="J209" s="219" cm="1">
        <f t="array" ref="J209" xml:space="preserve"> INDEX( tblFilterAll[London], PeersCritera[[#This Row],[Index]] )</f>
        <v>0</v>
      </c>
      <c r="K209" s="220" cm="1">
        <f t="array" ref="K209" xml:space="preserve"> INDEX( tblFilterAll[South East], PeersCritera[[#This Row],[Index]] )</f>
        <v>1</v>
      </c>
      <c r="L209" s="220" cm="1">
        <f t="array" ref="L209" xml:space="preserve"> INDEX( tblFilterAll[South West], PeersCritera[[#This Row],[Index]] )</f>
        <v>0</v>
      </c>
      <c r="M209" s="220" cm="1">
        <f t="array" ref="M209" xml:space="preserve"> INDEX( tblFilterAll[East Midlands], PeersCritera[[#This Row],[Index]] )</f>
        <v>0</v>
      </c>
      <c r="N209" s="220" cm="1">
        <f t="array" ref="N209" xml:space="preserve"> INDEX( tblFilterAll[West Midlands], PeersCritera[[#This Row],[Index]] )</f>
        <v>0</v>
      </c>
      <c r="O209" s="220" cm="1">
        <f t="array" ref="O209" xml:space="preserve"> INDEX( tblFilterAll[East of England], PeersCritera[[#This Row],[Index]] )</f>
        <v>0</v>
      </c>
      <c r="P209" s="220" cm="1">
        <f t="array" ref="P209" xml:space="preserve"> INDEX( tblFilterAll[North East], PeersCritera[[#This Row],[Index]] )</f>
        <v>0</v>
      </c>
      <c r="Q209" s="220" cm="1">
        <f t="array" ref="Q209" xml:space="preserve"> INDEX( tblFilterAll[North West], PeersCritera[[#This Row],[Index]] )</f>
        <v>0</v>
      </c>
      <c r="R209" s="220" cm="1">
        <f t="array" ref="R209" xml:space="preserve"> INDEX( tblFilterAll[Yorkshire &amp; the Humber], PeersCritera[[#This Row],[Index]] )</f>
        <v>0</v>
      </c>
      <c r="S209" s="224" t="str" cm="1">
        <f t="array" ref="S209" xml:space="preserve"> INDEX( tblFilterAll[Region with 50%+ of social stock owned], PeersCritera[[#This Row],[Index]] )</f>
        <v>South East</v>
      </c>
      <c r="T209" s="229" cm="1">
        <f t="array" ref="T209" xml:space="preserve"> INDEX( tblFilterAll[Meets initial criteria], PeersCritera[[#This Row],[Index]] )</f>
        <v>1</v>
      </c>
      <c r="U209" s="241"/>
      <c r="V209" s="230">
        <f>IF( PeersCritera[[#This Row],[RP_Name]] = SelectedProvider, 1, IF( PeersCritera[[#This Row],[Override initial criteria]] = "Include", 1, IF( PeersCritera[[#This Row],[Override initial criteria]] = "Exclude", 0, PeersCritera[[#This Row],[Meets initial criteria]] ) ) )</f>
        <v>1</v>
      </c>
      <c r="W209" s="325">
        <f xml:space="preserve"> MATCH( PeersCritera[[#This Row],[RP_Name]], tblFilterAll[Provider name], 0 )</f>
        <v>194</v>
      </c>
      <c r="Y209"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10" spans="2:26" x14ac:dyDescent="0.25">
      <c r="B210" s="327" t="s" vm="195">
        <v>535</v>
      </c>
      <c r="C210" s="218" cm="1" vm="2662">
        <f t="array" ref="C210" xml:space="preserve"> INDEX( tblFilterAll[Total social stock owned], PeersCritera[[#This Row],[Index]] )</f>
        <v>13627</v>
      </c>
      <c r="D210" s="219" cm="1">
        <f t="array" ref="D210" xml:space="preserve"> INDEX( tblFilterAll[% Supported housing (excl. HOP)], PeersCritera[[#This Row],[Index]] )</f>
        <v>1.1732785803329178E-3</v>
      </c>
      <c r="E210" s="220" cm="1">
        <f t="array" ref="E210" xml:space="preserve"> INDEX( tblFilterAll[% Housing for older people], PeersCritera[[#This Row],[Index]] )</f>
        <v>5.0597638776857081E-3</v>
      </c>
      <c r="F210" s="220">
        <f xml:space="preserve"> PeersCritera[[#This Row],[% Supported housing (excl. HOP)]] + PeersCritera[[#This Row],[% Housing for older people]]</f>
        <v>6.2330424580186259E-3</v>
      </c>
      <c r="G210" s="221">
        <f xml:space="preserve"> 1 - PeersCritera[[#This Row],[% Supported &amp; older people]]</f>
        <v>0.99376695754198141</v>
      </c>
      <c r="H210" s="222" t="str" cm="1">
        <f t="array" ref="H210" xml:space="preserve"> INDEX( tblFilterAll[Provider Type], PeersCritera[[#This Row],[Index]] )</f>
        <v>Traditional</v>
      </c>
      <c r="I210" s="223" t="str" cm="1">
        <f t="array" ref="I210" xml:space="preserve"> INDEX( tblFilterAll[LSVT age], PeersCritera[[#This Row],[Index]] )</f>
        <v>&gt;= 12 years</v>
      </c>
      <c r="J210" s="219" cm="1">
        <f t="array" ref="J210" xml:space="preserve"> INDEX( tblFilterAll[London], PeersCritera[[#This Row],[Index]] )</f>
        <v>0</v>
      </c>
      <c r="K210" s="220" cm="1">
        <f t="array" ref="K210" xml:space="preserve"> INDEX( tblFilterAll[South East], PeersCritera[[#This Row],[Index]] )</f>
        <v>0</v>
      </c>
      <c r="L210" s="220" cm="1">
        <f t="array" ref="L210" xml:space="preserve"> INDEX( tblFilterAll[South West], PeersCritera[[#This Row],[Index]] )</f>
        <v>0</v>
      </c>
      <c r="M210" s="220" cm="1">
        <f t="array" ref="M210" xml:space="preserve"> INDEX( tblFilterAll[East Midlands], PeersCritera[[#This Row],[Index]] )</f>
        <v>0</v>
      </c>
      <c r="N210" s="220" cm="1">
        <f t="array" ref="N210" xml:space="preserve"> INDEX( tblFilterAll[West Midlands], PeersCritera[[#This Row],[Index]] )</f>
        <v>0</v>
      </c>
      <c r="O210" s="220" cm="1">
        <f t="array" ref="O210" xml:space="preserve"> INDEX( tblFilterAll[East of England], PeersCritera[[#This Row],[Index]] )</f>
        <v>0</v>
      </c>
      <c r="P210" s="220" cm="1">
        <f t="array" ref="P210" xml:space="preserve"> INDEX( tblFilterAll[North East], PeersCritera[[#This Row],[Index]] )</f>
        <v>0</v>
      </c>
      <c r="Q210" s="220" cm="1">
        <f t="array" ref="Q210" xml:space="preserve"> INDEX( tblFilterAll[North West], PeersCritera[[#This Row],[Index]] )</f>
        <v>1</v>
      </c>
      <c r="R210" s="220" cm="1">
        <f t="array" ref="R210" xml:space="preserve"> INDEX( tblFilterAll[Yorkshire &amp; the Humber], PeersCritera[[#This Row],[Index]] )</f>
        <v>0</v>
      </c>
      <c r="S210" s="224" t="str" cm="1">
        <f t="array" ref="S210" xml:space="preserve"> INDEX( tblFilterAll[Region with 50%+ of social stock owned], PeersCritera[[#This Row],[Index]] )</f>
        <v>North West</v>
      </c>
      <c r="T210" s="229" cm="1">
        <f t="array" ref="T210" xml:space="preserve"> INDEX( tblFilterAll[Meets initial criteria], PeersCritera[[#This Row],[Index]] )</f>
        <v>1</v>
      </c>
      <c r="U210" s="241"/>
      <c r="V210" s="230">
        <f>IF( PeersCritera[[#This Row],[RP_Name]] = SelectedProvider, 1, IF( PeersCritera[[#This Row],[Override initial criteria]] = "Include", 1, IF( PeersCritera[[#This Row],[Override initial criteria]] = "Exclude", 0, PeersCritera[[#This Row],[Meets initial criteria]] ) ) )</f>
        <v>1</v>
      </c>
      <c r="W210" s="325">
        <f xml:space="preserve"> MATCH( PeersCritera[[#This Row],[RP_Name]], tblFilterAll[Provider name], 0 )</f>
        <v>195</v>
      </c>
      <c r="Y210"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11" spans="2:26" x14ac:dyDescent="0.25">
      <c r="B211" s="327" t="s" vm="196">
        <v>537</v>
      </c>
      <c r="C211" s="218" cm="1" vm="722">
        <f t="array" ref="C211" xml:space="preserve"> INDEX( tblFilterAll[Total social stock owned], PeersCritera[[#This Row],[Index]] )</f>
        <v>1191</v>
      </c>
      <c r="D211" s="219" cm="1">
        <f t="array" ref="D211" xml:space="preserve"> INDEX( tblFilterAll[% Supported housing (excl. HOP)], PeersCritera[[#This Row],[Index]] )</f>
        <v>0.91267842149454237</v>
      </c>
      <c r="E211" s="220" cm="1">
        <f t="array" ref="E211" xml:space="preserve"> INDEX( tblFilterAll[% Housing for older people], PeersCritera[[#This Row],[Index]] )</f>
        <v>0</v>
      </c>
      <c r="F211" s="220">
        <f xml:space="preserve"> PeersCritera[[#This Row],[% Supported housing (excl. HOP)]] + PeersCritera[[#This Row],[% Housing for older people]]</f>
        <v>0.91267842149454237</v>
      </c>
      <c r="G211" s="221">
        <f xml:space="preserve"> 1 - PeersCritera[[#This Row],[% Supported &amp; older people]]</f>
        <v>8.7321578505457631E-2</v>
      </c>
      <c r="H211" s="222" t="str" cm="1">
        <f t="array" ref="H211" xml:space="preserve"> INDEX( tblFilterAll[Provider Type], PeersCritera[[#This Row],[Index]] )</f>
        <v>Traditional</v>
      </c>
      <c r="I211" s="223" t="str" cm="1">
        <f t="array" ref="I211" xml:space="preserve"> INDEX( tblFilterAll[LSVT age], PeersCritera[[#This Row],[Index]] )</f>
        <v/>
      </c>
      <c r="J211" s="219" cm="1">
        <f t="array" ref="J211" xml:space="preserve"> INDEX( tblFilterAll[London], PeersCritera[[#This Row],[Index]] )</f>
        <v>0.94663167104111989</v>
      </c>
      <c r="K211" s="220" cm="1">
        <f t="array" ref="K211" xml:space="preserve"> INDEX( tblFilterAll[South East], PeersCritera[[#This Row],[Index]] )</f>
        <v>5.3368328958880142E-2</v>
      </c>
      <c r="L211" s="220" cm="1">
        <f t="array" ref="L211" xml:space="preserve"> INDEX( tblFilterAll[South West], PeersCritera[[#This Row],[Index]] )</f>
        <v>0</v>
      </c>
      <c r="M211" s="220" cm="1">
        <f t="array" ref="M211" xml:space="preserve"> INDEX( tblFilterAll[East Midlands], PeersCritera[[#This Row],[Index]] )</f>
        <v>0</v>
      </c>
      <c r="N211" s="220" cm="1">
        <f t="array" ref="N211" xml:space="preserve"> INDEX( tblFilterAll[West Midlands], PeersCritera[[#This Row],[Index]] )</f>
        <v>0</v>
      </c>
      <c r="O211" s="220" cm="1">
        <f t="array" ref="O211" xml:space="preserve"> INDEX( tblFilterAll[East of England], PeersCritera[[#This Row],[Index]] )</f>
        <v>0</v>
      </c>
      <c r="P211" s="220" cm="1">
        <f t="array" ref="P211" xml:space="preserve"> INDEX( tblFilterAll[North East], PeersCritera[[#This Row],[Index]] )</f>
        <v>0</v>
      </c>
      <c r="Q211" s="220" cm="1">
        <f t="array" ref="Q211" xml:space="preserve"> INDEX( tblFilterAll[North West], PeersCritera[[#This Row],[Index]] )</f>
        <v>0</v>
      </c>
      <c r="R211" s="220" cm="1">
        <f t="array" ref="R211" xml:space="preserve"> INDEX( tblFilterAll[Yorkshire &amp; the Humber], PeersCritera[[#This Row],[Index]] )</f>
        <v>0</v>
      </c>
      <c r="S211" s="224" t="str" cm="1">
        <f t="array" ref="S211" xml:space="preserve"> INDEX( tblFilterAll[Region with 50%+ of social stock owned], PeersCritera[[#This Row],[Index]] )</f>
        <v>London</v>
      </c>
      <c r="T211" s="229" cm="1">
        <f t="array" ref="T211" xml:space="preserve"> INDEX( tblFilterAll[Meets initial criteria], PeersCritera[[#This Row],[Index]] )</f>
        <v>1</v>
      </c>
      <c r="U211" s="241"/>
      <c r="V211" s="230">
        <f>IF( PeersCritera[[#This Row],[RP_Name]] = SelectedProvider, 1, IF( PeersCritera[[#This Row],[Override initial criteria]] = "Include", 1, IF( PeersCritera[[#This Row],[Override initial criteria]] = "Exclude", 0, PeersCritera[[#This Row],[Meets initial criteria]] ) ) )</f>
        <v>1</v>
      </c>
      <c r="W211" s="325">
        <f xml:space="preserve"> MATCH( PeersCritera[[#This Row],[RP_Name]], tblFilterAll[Provider name], 0 )</f>
        <v>196</v>
      </c>
      <c r="Y211"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12" spans="2:26" x14ac:dyDescent="0.25">
      <c r="B212" s="327" t="s" vm="197">
        <v>539</v>
      </c>
      <c r="C212" s="218" cm="1" vm="2691">
        <f t="array" ref="C212" xml:space="preserve"> INDEX( tblFilterAll[Total social stock owned], PeersCritera[[#This Row],[Index]] )</f>
        <v>17903</v>
      </c>
      <c r="D212" s="219" cm="1">
        <f t="array" ref="D212" xml:space="preserve"> INDEX( tblFilterAll[% Supported housing (excl. HOP)], PeersCritera[[#This Row],[Index]] )</f>
        <v>2.2530916483144165E-2</v>
      </c>
      <c r="E212" s="220" cm="1">
        <f t="array" ref="E212" xml:space="preserve"> INDEX( tblFilterAll[% Housing for older people], PeersCritera[[#This Row],[Index]] )</f>
        <v>4.8845219944660907E-2</v>
      </c>
      <c r="F212" s="220">
        <f xml:space="preserve"> PeersCritera[[#This Row],[% Supported housing (excl. HOP)]] + PeersCritera[[#This Row],[% Housing for older people]]</f>
        <v>7.1376136427805076E-2</v>
      </c>
      <c r="G212" s="221">
        <f xml:space="preserve"> 1 - PeersCritera[[#This Row],[% Supported &amp; older people]]</f>
        <v>0.92862386357219495</v>
      </c>
      <c r="H212" s="222" t="str" cm="1">
        <f t="array" ref="H212" xml:space="preserve"> INDEX( tblFilterAll[Provider Type], PeersCritera[[#This Row],[Index]] )</f>
        <v>Traditional</v>
      </c>
      <c r="I212" s="223" t="str" cm="1">
        <f t="array" ref="I212" xml:space="preserve"> INDEX( tblFilterAll[LSVT age], PeersCritera[[#This Row],[Index]] )</f>
        <v/>
      </c>
      <c r="J212" s="219" cm="1">
        <f t="array" ref="J212" xml:space="preserve"> INDEX( tblFilterAll[London], PeersCritera[[#This Row],[Index]] )</f>
        <v>0</v>
      </c>
      <c r="K212" s="220" cm="1">
        <f t="array" ref="K212" xml:space="preserve"> INDEX( tblFilterAll[South East], PeersCritera[[#This Row],[Index]] )</f>
        <v>0</v>
      </c>
      <c r="L212" s="220" cm="1">
        <f t="array" ref="L212" xml:space="preserve"> INDEX( tblFilterAll[South West], PeersCritera[[#This Row],[Index]] )</f>
        <v>0</v>
      </c>
      <c r="M212" s="220" cm="1">
        <f t="array" ref="M212" xml:space="preserve"> INDEX( tblFilterAll[East Midlands], PeersCritera[[#This Row],[Index]] )</f>
        <v>0</v>
      </c>
      <c r="N212" s="220" cm="1">
        <f t="array" ref="N212" xml:space="preserve"> INDEX( tblFilterAll[West Midlands], PeersCritera[[#This Row],[Index]] )</f>
        <v>0</v>
      </c>
      <c r="O212" s="220" cm="1">
        <f t="array" ref="O212" xml:space="preserve"> INDEX( tblFilterAll[East of England], PeersCritera[[#This Row],[Index]] )</f>
        <v>0</v>
      </c>
      <c r="P212" s="220" cm="1">
        <f t="array" ref="P212" xml:space="preserve"> INDEX( tblFilterAll[North East], PeersCritera[[#This Row],[Index]] )</f>
        <v>0</v>
      </c>
      <c r="Q212" s="220" cm="1">
        <f t="array" ref="Q212" xml:space="preserve"> INDEX( tblFilterAll[North West], PeersCritera[[#This Row],[Index]] )</f>
        <v>1.3405574484723231E-3</v>
      </c>
      <c r="R212" s="220" cm="1">
        <f t="array" ref="R212" xml:space="preserve"> INDEX( tblFilterAll[Yorkshire &amp; the Humber], PeersCritera[[#This Row],[Index]] )</f>
        <v>0.99865944255152772</v>
      </c>
      <c r="S212" s="224" t="str" cm="1">
        <f t="array" ref="S212" xml:space="preserve"> INDEX( tblFilterAll[Region with 50%+ of social stock owned], PeersCritera[[#This Row],[Index]] )</f>
        <v>Yorkshire &amp; the Humber</v>
      </c>
      <c r="T212" s="229" cm="1">
        <f t="array" ref="T212" xml:space="preserve"> INDEX( tblFilterAll[Meets initial criteria], PeersCritera[[#This Row],[Index]] )</f>
        <v>1</v>
      </c>
      <c r="U212" s="241"/>
      <c r="V212" s="230">
        <f>IF( PeersCritera[[#This Row],[RP_Name]] = SelectedProvider, 1, IF( PeersCritera[[#This Row],[Override initial criteria]] = "Include", 1, IF( PeersCritera[[#This Row],[Override initial criteria]] = "Exclude", 0, PeersCritera[[#This Row],[Meets initial criteria]] ) ) )</f>
        <v>1</v>
      </c>
      <c r="W212" s="325">
        <f xml:space="preserve"> MATCH( PeersCritera[[#This Row],[RP_Name]], tblFilterAll[Provider name], 0 )</f>
        <v>197</v>
      </c>
      <c r="Y212"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13" spans="2:26" x14ac:dyDescent="0.25">
      <c r="B213" s="327" t="s" vm="198">
        <v>541</v>
      </c>
      <c r="C213" s="218" cm="1" vm="4590">
        <f t="array" ref="C213" xml:space="preserve"> INDEX( tblFilterAll[Total social stock owned], PeersCritera[[#This Row],[Index]] )</f>
        <v>25889</v>
      </c>
      <c r="D213" s="219" cm="1">
        <f t="array" ref="D213" xml:space="preserve"> INDEX( tblFilterAll[% Supported housing (excl. HOP)], PeersCritera[[#This Row],[Index]] )</f>
        <v>3.1812557378357878E-2</v>
      </c>
      <c r="E213" s="220" cm="1">
        <f t="array" ref="E213" xml:space="preserve"> INDEX( tblFilterAll[% Housing for older people], PeersCritera[[#This Row],[Index]] )</f>
        <v>0.12293936853869795</v>
      </c>
      <c r="F213" s="220">
        <f xml:space="preserve"> PeersCritera[[#This Row],[% Supported housing (excl. HOP)]] + PeersCritera[[#This Row],[% Housing for older people]]</f>
        <v>0.15475192591705583</v>
      </c>
      <c r="G213" s="221">
        <f xml:space="preserve"> 1 - PeersCritera[[#This Row],[% Supported &amp; older people]]</f>
        <v>0.84524807408294422</v>
      </c>
      <c r="H213" s="222" t="str" cm="1">
        <f t="array" ref="H213" xml:space="preserve"> INDEX( tblFilterAll[Provider Type], PeersCritera[[#This Row],[Index]] )</f>
        <v>Traditional</v>
      </c>
      <c r="I213" s="223" t="str" cm="1">
        <f t="array" ref="I213" xml:space="preserve"> INDEX( tblFilterAll[LSVT age], PeersCritera[[#This Row],[Index]] )</f>
        <v/>
      </c>
      <c r="J213" s="219" cm="1">
        <f t="array" ref="J213" xml:space="preserve"> INDEX( tblFilterAll[London], PeersCritera[[#This Row],[Index]] )</f>
        <v>3.9831116067872224E-5</v>
      </c>
      <c r="K213" s="220" cm="1">
        <f t="array" ref="K213" xml:space="preserve"> INDEX( tblFilterAll[South East], PeersCritera[[#This Row],[Index]] )</f>
        <v>4.7797339281446664E-4</v>
      </c>
      <c r="L213" s="220" cm="1">
        <f t="array" ref="L213" xml:space="preserve"> INDEX( tblFilterAll[South West], PeersCritera[[#This Row],[Index]] )</f>
        <v>1.5135824105791443E-3</v>
      </c>
      <c r="M213" s="220" cm="1">
        <f t="array" ref="M213" xml:space="preserve"> INDEX( tblFilterAll[East Midlands], PeersCritera[[#This Row],[Index]] )</f>
        <v>6.8907830797418947E-3</v>
      </c>
      <c r="N213" s="220" cm="1">
        <f t="array" ref="N213" xml:space="preserve"> INDEX( tblFilterAll[West Midlands], PeersCritera[[#This Row],[Index]] )</f>
        <v>0.12873416713136301</v>
      </c>
      <c r="O213" s="220" cm="1">
        <f t="array" ref="O213" xml:space="preserve"> INDEX( tblFilterAll[East of England], PeersCritera[[#This Row],[Index]] )</f>
        <v>0</v>
      </c>
      <c r="P213" s="220" cm="1">
        <f t="array" ref="P213" xml:space="preserve"> INDEX( tblFilterAll[North East], PeersCritera[[#This Row],[Index]] )</f>
        <v>0</v>
      </c>
      <c r="Q213" s="220" cm="1">
        <f t="array" ref="Q213" xml:space="preserve"> INDEX( tblFilterAll[North West], PeersCritera[[#This Row],[Index]] )</f>
        <v>0.82358798693539392</v>
      </c>
      <c r="R213" s="220" cm="1">
        <f t="array" ref="R213" xml:space="preserve"> INDEX( tblFilterAll[Yorkshire &amp; the Humber], PeersCritera[[#This Row],[Index]] )</f>
        <v>3.8755675934039668E-2</v>
      </c>
      <c r="S213" s="224" t="str" cm="1">
        <f t="array" ref="S213" xml:space="preserve"> INDEX( tblFilterAll[Region with 50%+ of social stock owned], PeersCritera[[#This Row],[Index]] )</f>
        <v>North West</v>
      </c>
      <c r="T213" s="229" cm="1">
        <f t="array" ref="T213" xml:space="preserve"> INDEX( tblFilterAll[Meets initial criteria], PeersCritera[[#This Row],[Index]] )</f>
        <v>1</v>
      </c>
      <c r="U213" s="241"/>
      <c r="V213" s="230">
        <f>IF( PeersCritera[[#This Row],[RP_Name]] = SelectedProvider, 1, IF( PeersCritera[[#This Row],[Override initial criteria]] = "Include", 1, IF( PeersCritera[[#This Row],[Override initial criteria]] = "Exclude", 0, PeersCritera[[#This Row],[Meets initial criteria]] ) ) )</f>
        <v>1</v>
      </c>
      <c r="W213" s="325">
        <f xml:space="preserve"> MATCH( PeersCritera[[#This Row],[RP_Name]], tblFilterAll[Provider name], 0 )</f>
        <v>198</v>
      </c>
      <c r="Y213" s="227" t="str">
        <f xml:space="preserve"> IF( AND( PeersCritera[[#This Row],[RP_Name]] = SelectedProvider, LEN( PeersCritera[[#This Row],[Override initial criteria]] ) &gt; 0 ), "Selected provider is automatically included in results - clear override entry",
   IF( AND( PeersCritera[[#This Row],[Meets initial criteria]] = 0, PeersCritera[[#This Row],[Override initial criteria]] = "Exclude" ), "Provider is already excluded from results - clear or change override",
   IF( AND( PeersCritera[[#This Row],[Meets initial criteria]] = 1, PeersCritera[[#This Row],[Override initial criteria]] = "Include" ), "Provider is already included in results - clear or change override", "" ) ) )</f>
        <v/>
      </c>
    </row>
    <row r="214" spans="2:26" s="148" customFormat="1" x14ac:dyDescent="0.25">
      <c r="W214" s="304"/>
      <c r="Z214" s="231"/>
    </row>
  </sheetData>
  <sheetProtection algorithmName="SHA-512" hashValue="mauq2VlqUKaET7dH++fBlyFnozWBccxJqGjv/PQw4yQ5dpKfrAxBrviSG16EIFPwuZqQMLadTKsQH8R77d/S6A==" saltValue="xpSr5bGS0m6D/X1DMQMMbw==" spinCount="100000" sheet="1" objects="1" scenarios="1" autoFilter="0"/>
  <mergeCells count="12">
    <mergeCell ref="V12:V14"/>
    <mergeCell ref="J2:R2"/>
    <mergeCell ref="G13:G14"/>
    <mergeCell ref="F13:F14"/>
    <mergeCell ref="T12:T14"/>
    <mergeCell ref="U12:U14"/>
    <mergeCell ref="D12:F12"/>
    <mergeCell ref="H12:I12"/>
    <mergeCell ref="J12:O12"/>
    <mergeCell ref="J13:Q13"/>
    <mergeCell ref="S13:S14"/>
    <mergeCell ref="H2:I2"/>
  </mergeCells>
  <phoneticPr fontId="5" type="noConversion"/>
  <conditionalFormatting sqref="B13:B14">
    <cfRule type="expression" dxfId="50" priority="7">
      <formula xml:space="preserve"> SizeOnOff = "All"</formula>
    </cfRule>
    <cfRule type="expression" dxfId="49" priority="8">
      <formula xml:space="preserve"> SizeOnOff &lt;&gt; "All"</formula>
    </cfRule>
  </conditionalFormatting>
  <conditionalFormatting sqref="B16:S213">
    <cfRule type="expression" dxfId="48" priority="29">
      <formula xml:space="preserve"> $B16 = SelectedProvider</formula>
    </cfRule>
  </conditionalFormatting>
  <conditionalFormatting sqref="C10">
    <cfRule type="expression" dxfId="47" priority="23">
      <formula xml:space="preserve"> CriteriaMet &lt;&gt; InitialList</formula>
    </cfRule>
    <cfRule type="expression" dxfId="46" priority="25">
      <formula xml:space="preserve"> CriteriaMet = 0</formula>
    </cfRule>
  </conditionalFormatting>
  <conditionalFormatting sqref="C13:C14">
    <cfRule type="expression" dxfId="45" priority="13">
      <formula xml:space="preserve"> SizeOnOff = "All"</formula>
    </cfRule>
  </conditionalFormatting>
  <conditionalFormatting sqref="D13:D14">
    <cfRule type="expression" dxfId="44" priority="12">
      <formula xml:space="preserve"> PropTypeOnOff = "No - use all"</formula>
    </cfRule>
  </conditionalFormatting>
  <conditionalFormatting sqref="E13:F14">
    <cfRule type="expression" dxfId="43" priority="19">
      <formula xml:space="preserve"> PropTypeOnOff = "No - use all"</formula>
    </cfRule>
  </conditionalFormatting>
  <conditionalFormatting sqref="G13:G14">
    <cfRule type="expression" dxfId="42" priority="20">
      <formula xml:space="preserve"> PropTypeOnOff = "No - use all"</formula>
    </cfRule>
  </conditionalFormatting>
  <conditionalFormatting sqref="H12">
    <cfRule type="expression" dxfId="41" priority="28">
      <formula>COUNTIF( $H$14:$I$14, "Yes") = 0</formula>
    </cfRule>
  </conditionalFormatting>
  <conditionalFormatting sqref="H14:R14">
    <cfRule type="cellIs" dxfId="40" priority="21" operator="equal">
      <formula>"Yes"</formula>
    </cfRule>
    <cfRule type="cellIs" dxfId="39" priority="22" operator="equal">
      <formula>"No"</formula>
    </cfRule>
  </conditionalFormatting>
  <conditionalFormatting sqref="J12">
    <cfRule type="cellIs" dxfId="38" priority="27" operator="equal">
      <formula>"Select at least one region or set yellow cell to 0%"</formula>
    </cfRule>
  </conditionalFormatting>
  <conditionalFormatting sqref="S12:S14">
    <cfRule type="expression" dxfId="37" priority="3">
      <formula xml:space="preserve"> OR( $R$13 = 0, COUNTIF( $J$14:$R$14, "Yes" ) &lt; 2 )</formula>
    </cfRule>
  </conditionalFormatting>
  <conditionalFormatting sqref="S13:S14">
    <cfRule type="expression" dxfId="36" priority="2">
      <formula xml:space="preserve"> OR( $R$13 = 0, COUNTIF( $J$14:$R$14, "Yes" ) &lt; 2 )</formula>
    </cfRule>
  </conditionalFormatting>
  <conditionalFormatting sqref="T16:T213">
    <cfRule type="cellIs" dxfId="35" priority="34" operator="equal">
      <formula>1</formula>
    </cfRule>
    <cfRule type="cellIs" dxfId="34" priority="35" operator="equal">
      <formula>0</formula>
    </cfRule>
  </conditionalFormatting>
  <conditionalFormatting sqref="U12:U14">
    <cfRule type="expression" dxfId="33" priority="5">
      <formula xml:space="preserve"> InvalidOverrides &gt; 0</formula>
    </cfRule>
  </conditionalFormatting>
  <conditionalFormatting sqref="U16:U213">
    <cfRule type="expression" dxfId="32" priority="6">
      <formula xml:space="preserve"> OR( AND( $T16 = 1, $U16 = "Include" ), AND( $T16 = 0, $U16 = "Exclude" ), AND( $B16 = SelectedProvider, LEN( $U16 ) &gt; 0 ) )</formula>
    </cfRule>
    <cfRule type="expression" dxfId="31" priority="36">
      <formula xml:space="preserve"> $B16 = SelectedProvider</formula>
    </cfRule>
    <cfRule type="notContainsBlanks" dxfId="30" priority="85">
      <formula>LEN(TRIM(U16))&gt;0</formula>
    </cfRule>
  </conditionalFormatting>
  <conditionalFormatting sqref="V16:V213">
    <cfRule type="cellIs" dxfId="29" priority="80" operator="equal">
      <formula>1</formula>
    </cfRule>
    <cfRule type="cellIs" dxfId="28" priority="81" operator="equal">
      <formula>0</formula>
    </cfRule>
  </conditionalFormatting>
  <conditionalFormatting sqref="Y16:Y213">
    <cfRule type="notContainsBlanks" dxfId="27" priority="4">
      <formula>LEN(TRIM(Y16))&gt;0</formula>
    </cfRule>
  </conditionalFormatting>
  <dataValidations count="7">
    <dataValidation type="list" allowBlank="1" showInputMessage="1" showErrorMessage="1" sqref="H14:R14" xr:uid="{DF286CD5-62EB-4A62-A2BF-F5CEB34AA8F7}">
      <formula1>"Yes,No"</formula1>
    </dataValidation>
    <dataValidation type="list" allowBlank="1" showInputMessage="1" showErrorMessage="1" sqref="C12" xr:uid="{30A0B1FA-51D9-423E-AEBF-205163A6B943}">
      <formula1>"All,Min - Max"</formula1>
    </dataValidation>
    <dataValidation type="list" allowBlank="1" showInputMessage="1" showErrorMessage="1" sqref="G12" xr:uid="{7D69B5E3-D6DD-4B7E-8C79-79E43E7CCEE4}">
      <formula1>"No - use all,Yes - pick"</formula1>
    </dataValidation>
    <dataValidation type="list" allowBlank="1" showInputMessage="1" showErrorMessage="1" sqref="E13" xr:uid="{42CD859D-8BFC-47A7-BF11-8622A5A7458D}">
      <formula1>"Minimum,Maximum"</formula1>
    </dataValidation>
    <dataValidation type="list" allowBlank="1" showInputMessage="1" showErrorMessage="1" sqref="G13:G14" xr:uid="{ADED5338-FEF5-4F6D-940D-92FB0FD35F92}">
      <formula1>"Supported housing (excl. HOP), Housing for older people, Supported &amp; older people, General needs"</formula1>
    </dataValidation>
    <dataValidation type="list" allowBlank="1" showInputMessage="1" showErrorMessage="1" sqref="U16:U213" xr:uid="{AD2B1AD1-1523-4C6B-B4EB-292379C5CA91}">
      <formula1 xml:space="preserve"> IF( $B16 = SelectedProvider, "", IF( $T16 = 0, Override_If_Excl, Override_If_Incl ) )</formula1>
    </dataValidation>
    <dataValidation type="list" allowBlank="1" showInputMessage="1" showErrorMessage="1" sqref="S13:S14" xr:uid="{583446F7-51E8-4890-9754-5E99C7ECAC55}">
      <formula1>"any region selected,total for selected regions"</formula1>
    </dataValidation>
  </dataValidations>
  <pageMargins left="0.7" right="0.7" top="0.75" bottom="0.75" header="0.3" footer="0.3"/>
  <pageSetup paperSize="9" orientation="portrait" r:id="rId1"/>
  <headerFooter>
    <oddFooter>&amp;C&amp;1#&amp;"Calibri"&amp;12&amp;K0078D7OFFICIAL</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0CE0E78-248E-4C2F-80EB-424195F90361}">
          <x14:formula1>
            <xm:f>Filters!$B$834:$B$1031</xm:f>
          </x14:formula1>
          <xm:sqref>J2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A5E0B-D09E-423C-89AC-55893BA29922}">
  <sheetPr codeName="Sheet8">
    <tabColor theme="7" tint="0.39997558519241921"/>
  </sheetPr>
  <dimension ref="A1:AM217"/>
  <sheetViews>
    <sheetView showGridLines="0" zoomScaleNormal="100" workbookViewId="0">
      <pane xSplit="3" ySplit="18" topLeftCell="D19" activePane="bottomRight" state="frozen"/>
      <selection activeCell="C7" sqref="C7:I7"/>
      <selection pane="topRight" activeCell="C7" sqref="C7:I7"/>
      <selection pane="bottomLeft" activeCell="C7" sqref="C7:I7"/>
      <selection pane="bottomRight" activeCell="D18" sqref="D18"/>
    </sheetView>
  </sheetViews>
  <sheetFormatPr defaultColWidth="0" defaultRowHeight="18" zeroHeight="1" x14ac:dyDescent="0.25"/>
  <cols>
    <col min="1" max="1" width="1.28515625" style="202" customWidth="1"/>
    <col min="2" max="2" width="31.7109375" style="202" customWidth="1"/>
    <col min="3" max="3" width="18" style="202" customWidth="1"/>
    <col min="4" max="4" width="14.28515625" style="202" customWidth="1"/>
    <col min="5" max="5" width="11.7109375" style="202" customWidth="1"/>
    <col min="6" max="6" width="9.42578125" style="202" customWidth="1"/>
    <col min="7" max="7" width="11.140625" style="202" customWidth="1"/>
    <col min="8" max="8" width="10.5703125" style="202" customWidth="1"/>
    <col min="9" max="9" width="8.5703125" style="202" customWidth="1"/>
    <col min="10" max="10" width="9.42578125" style="202" bestFit="1" customWidth="1"/>
    <col min="11" max="11" width="10.28515625" style="202" customWidth="1"/>
    <col min="12" max="12" width="8.140625" style="202" customWidth="1"/>
    <col min="13" max="13" width="9.5703125" style="202" customWidth="1"/>
    <col min="14" max="14" width="8.5703125" style="202" customWidth="1"/>
    <col min="15" max="15" width="8.42578125" style="202" customWidth="1"/>
    <col min="16" max="16" width="10.42578125" style="202" customWidth="1"/>
    <col min="17" max="18" width="9.42578125" style="202" bestFit="1" customWidth="1"/>
    <col min="19" max="19" width="11.28515625" style="202" customWidth="1"/>
    <col min="20" max="20" width="9.42578125" style="202" bestFit="1" customWidth="1"/>
    <col min="21" max="21" width="12" style="202" customWidth="1"/>
    <col min="22" max="22" width="10.28515625" style="202" customWidth="1"/>
    <col min="23" max="23" width="11" style="202" customWidth="1"/>
    <col min="24" max="24" width="10.140625" style="202" customWidth="1"/>
    <col min="25" max="25" width="10" style="202" customWidth="1"/>
    <col min="26" max="26" width="11.42578125" style="202" customWidth="1"/>
    <col min="27" max="27" width="10.42578125" style="202" customWidth="1"/>
    <col min="28" max="28" width="9.42578125" style="202" bestFit="1" customWidth="1"/>
    <col min="29" max="29" width="8.42578125" style="202" customWidth="1"/>
    <col min="30" max="30" width="7" style="202" customWidth="1"/>
    <col min="31" max="31" width="9.7109375" style="202" customWidth="1"/>
    <col min="32" max="32" width="11" style="297" customWidth="1"/>
    <col min="33" max="34" width="9.42578125" style="297" bestFit="1" customWidth="1"/>
    <col min="35" max="35" width="16.42578125" style="202" bestFit="1" customWidth="1"/>
    <col min="36" max="36" width="21.5703125" style="202" bestFit="1" customWidth="1"/>
    <col min="37" max="37" width="2.140625" style="202" customWidth="1"/>
    <col min="38" max="38" width="9.140625" style="183" hidden="1" customWidth="1"/>
    <col min="39" max="39" width="31.140625" style="181" hidden="1" customWidth="1"/>
    <col min="40" max="16384" width="9.140625" style="202" hidden="1"/>
  </cols>
  <sheetData>
    <row r="1" spans="1:39" s="148" customFormat="1" ht="5.25"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M1" s="151"/>
    </row>
    <row r="2" spans="1:39" s="179" customFormat="1" ht="23.25" x14ac:dyDescent="0.25">
      <c r="A2" s="177"/>
      <c r="B2" s="176" t="s">
        <v>808</v>
      </c>
      <c r="C2" s="177"/>
      <c r="D2" s="177"/>
      <c r="E2" s="177"/>
      <c r="F2" s="177"/>
      <c r="G2" s="177"/>
      <c r="H2" s="429" t="s">
        <v>659</v>
      </c>
      <c r="I2" s="429"/>
      <c r="J2" s="429"/>
      <c r="K2" s="176" t="str" vm="1">
        <f xml:space="preserve"> SelectedProvider</f>
        <v>A2Dominion Housing Group Limited</v>
      </c>
      <c r="L2" s="177"/>
      <c r="M2" s="177"/>
      <c r="N2" s="176"/>
      <c r="O2" s="176"/>
      <c r="P2" s="176"/>
      <c r="Q2" s="176"/>
      <c r="R2" s="176"/>
      <c r="S2" s="176"/>
      <c r="T2" s="176"/>
      <c r="U2" s="176"/>
      <c r="V2" s="176"/>
      <c r="W2" s="177"/>
      <c r="X2" s="177"/>
      <c r="Y2" s="177"/>
      <c r="Z2" s="177"/>
      <c r="AA2" s="177"/>
      <c r="AB2" s="177"/>
      <c r="AC2" s="177"/>
      <c r="AD2" s="177"/>
      <c r="AE2" s="177"/>
      <c r="AF2" s="177"/>
      <c r="AG2" s="177"/>
      <c r="AH2" s="177"/>
      <c r="AI2" s="177"/>
      <c r="AJ2" s="177"/>
      <c r="AL2" s="148"/>
      <c r="AM2" s="151"/>
    </row>
    <row r="3" spans="1:39" s="243" customFormat="1" x14ac:dyDescent="0.25">
      <c r="A3" s="242"/>
      <c r="B3" s="149" t="s">
        <v>8</v>
      </c>
      <c r="C3" s="242"/>
      <c r="D3" s="242"/>
      <c r="E3" s="242"/>
      <c r="F3" s="242"/>
      <c r="G3" s="242"/>
      <c r="H3" s="242"/>
      <c r="I3" s="242"/>
      <c r="J3" s="242"/>
      <c r="K3" s="242"/>
      <c r="L3" s="242"/>
      <c r="M3" s="242"/>
      <c r="N3" s="242"/>
      <c r="O3" s="152"/>
      <c r="P3" s="152"/>
      <c r="Q3" s="152"/>
      <c r="R3" s="152"/>
      <c r="S3" s="152"/>
      <c r="T3" s="242"/>
      <c r="U3" s="242"/>
      <c r="V3" s="242"/>
      <c r="W3" s="242"/>
      <c r="X3" s="242"/>
      <c r="Y3" s="242"/>
      <c r="Z3" s="242"/>
      <c r="AA3" s="242"/>
      <c r="AB3" s="242"/>
      <c r="AC3" s="242"/>
      <c r="AD3" s="242"/>
      <c r="AE3" s="242"/>
      <c r="AF3" s="242"/>
      <c r="AG3" s="242"/>
      <c r="AH3" s="242"/>
      <c r="AI3" s="242"/>
      <c r="AJ3" s="242"/>
      <c r="AL3" s="244"/>
      <c r="AM3" s="245"/>
    </row>
    <row r="4" spans="1:39" s="148" customFormat="1" ht="5.25" x14ac:dyDescent="0.25">
      <c r="A4" s="133"/>
      <c r="B4" s="133"/>
      <c r="C4" s="133"/>
      <c r="D4" s="133"/>
      <c r="E4" s="133"/>
      <c r="F4" s="133"/>
      <c r="G4" s="133"/>
      <c r="H4" s="133"/>
      <c r="I4" s="133"/>
      <c r="J4" s="133"/>
      <c r="K4" s="133"/>
      <c r="L4" s="133"/>
      <c r="M4" s="133"/>
      <c r="N4" s="133"/>
      <c r="O4" s="133"/>
      <c r="P4" s="133"/>
      <c r="Q4" s="133"/>
      <c r="R4" s="133"/>
      <c r="S4" s="133"/>
      <c r="T4" s="133"/>
      <c r="U4" s="182"/>
      <c r="V4" s="182"/>
      <c r="W4" s="133"/>
      <c r="X4" s="133"/>
      <c r="Y4" s="133"/>
      <c r="Z4" s="133"/>
      <c r="AA4" s="133"/>
      <c r="AB4" s="133"/>
      <c r="AC4" s="133"/>
      <c r="AD4" s="133"/>
      <c r="AE4" s="133"/>
      <c r="AF4" s="133"/>
      <c r="AG4" s="133"/>
      <c r="AH4" s="133"/>
      <c r="AI4" s="133"/>
      <c r="AJ4" s="133"/>
      <c r="AM4" s="151"/>
    </row>
    <row r="5" spans="1:39" ht="13.5" x14ac:dyDescent="0.2">
      <c r="A5" s="188"/>
      <c r="B5" s="168" t="str" vm="1">
        <f>'BYO peer group - selection'!B5</f>
        <v>A2Dominion Housing Group Limited</v>
      </c>
      <c r="C5" s="171" t="str">
        <f>'BYO peer group - selection'!C5</f>
        <v>Peer group details.</v>
      </c>
      <c r="D5" s="188"/>
      <c r="E5" s="188"/>
      <c r="F5" s="188"/>
      <c r="G5" s="188"/>
      <c r="H5" s="188"/>
      <c r="I5" s="188"/>
      <c r="J5" s="188"/>
      <c r="K5" s="188"/>
      <c r="L5" s="188"/>
      <c r="M5" s="188"/>
      <c r="N5" s="188"/>
      <c r="O5" s="150"/>
      <c r="P5" s="150"/>
      <c r="Q5" s="150"/>
      <c r="R5" s="150"/>
      <c r="S5" s="150"/>
      <c r="T5" s="246" t="s">
        <v>660</v>
      </c>
      <c r="U5" s="188"/>
      <c r="V5" s="188"/>
      <c r="W5" s="188"/>
      <c r="X5" s="188"/>
      <c r="Y5" s="188"/>
      <c r="Z5" s="188"/>
      <c r="AA5" s="188"/>
      <c r="AB5" s="188"/>
      <c r="AC5" s="188"/>
      <c r="AD5" s="188"/>
      <c r="AE5" s="188"/>
      <c r="AF5" s="188"/>
      <c r="AG5" s="188"/>
      <c r="AH5" s="188"/>
      <c r="AI5" s="188"/>
      <c r="AJ5" s="188"/>
      <c r="AM5" s="247"/>
    </row>
    <row r="6" spans="1:39" ht="13.5" x14ac:dyDescent="0.25">
      <c r="A6" s="188"/>
      <c r="B6" s="169" t="str">
        <f xml:space="preserve"> 'BYO peer group - selection'!B6</f>
        <v>Size:  28,177 units</v>
      </c>
      <c r="C6" s="172" t="str">
        <f xml:space="preserve"> 'BYO peer group - selection'!C6</f>
        <v>Providers of any size</v>
      </c>
      <c r="D6" s="248"/>
      <c r="E6" s="248"/>
      <c r="F6" s="248"/>
      <c r="G6" s="248"/>
      <c r="H6" s="188"/>
      <c r="I6" s="188"/>
      <c r="J6" s="188"/>
      <c r="K6" s="188"/>
      <c r="L6" s="248"/>
      <c r="M6" s="248"/>
      <c r="N6" s="248"/>
      <c r="O6" s="150"/>
      <c r="P6" s="150"/>
      <c r="Q6" s="150"/>
      <c r="R6" s="150"/>
      <c r="S6" s="150"/>
      <c r="T6" s="431" t="s">
        <v>29</v>
      </c>
      <c r="U6" s="432"/>
      <c r="V6" s="432"/>
      <c r="W6" s="433"/>
      <c r="X6" s="188"/>
      <c r="Y6" s="188"/>
      <c r="Z6" s="188"/>
      <c r="AA6" s="188"/>
      <c r="AB6" s="188"/>
      <c r="AC6" s="188"/>
      <c r="AD6" s="188"/>
      <c r="AE6" s="188"/>
      <c r="AF6" s="188"/>
      <c r="AG6" s="188"/>
      <c r="AH6" s="188"/>
      <c r="AI6" s="188"/>
      <c r="AJ6" s="188"/>
      <c r="AM6" s="247"/>
    </row>
    <row r="7" spans="1:39" ht="13.5" x14ac:dyDescent="0.25">
      <c r="A7" s="188"/>
      <c r="B7" s="169" t="str">
        <f xml:space="preserve"> 'BYO peer group - selection'!B7</f>
        <v>Region: South East</v>
      </c>
      <c r="C7" s="172" t="str">
        <f xml:space="preserve"> 'BYO peer group - selection'!C7</f>
        <v>Providers with stock in any region</v>
      </c>
      <c r="D7" s="188"/>
      <c r="E7" s="192"/>
      <c r="F7" s="188"/>
      <c r="G7" s="188"/>
      <c r="H7" s="188"/>
      <c r="I7" s="188"/>
      <c r="J7" s="188"/>
      <c r="K7" s="188"/>
      <c r="L7" s="188"/>
      <c r="M7" s="188"/>
      <c r="N7" s="188"/>
      <c r="O7" s="150"/>
      <c r="P7" s="150"/>
      <c r="Q7" s="150"/>
      <c r="R7" s="150"/>
      <c r="S7" s="150"/>
      <c r="T7" s="431" t="s">
        <v>812</v>
      </c>
      <c r="U7" s="432"/>
      <c r="V7" s="432"/>
      <c r="W7" s="433"/>
      <c r="X7" s="188"/>
      <c r="Y7" s="188"/>
      <c r="Z7" s="188"/>
      <c r="AA7" s="188"/>
      <c r="AB7" s="188"/>
      <c r="AC7" s="188"/>
      <c r="AD7" s="188"/>
      <c r="AE7" s="188"/>
      <c r="AF7" s="188"/>
      <c r="AG7" s="188"/>
      <c r="AH7" s="188"/>
      <c r="AI7" s="188"/>
      <c r="AJ7" s="188"/>
      <c r="AM7" s="247"/>
    </row>
    <row r="8" spans="1:39" ht="13.5" x14ac:dyDescent="0.25">
      <c r="A8" s="188"/>
      <c r="B8" s="169" t="str">
        <f xml:space="preserve"> 'BYO peer group - selection'!B8</f>
        <v>RP type:  Traditional</v>
      </c>
      <c r="C8" s="172" t="str">
        <f xml:space="preserve"> 'BYO peer group - selection'!C8</f>
        <v xml:space="preserve">Providers of these types:   Traditional   LSVT   </v>
      </c>
      <c r="D8" s="188"/>
      <c r="E8" s="192"/>
      <c r="F8" s="188"/>
      <c r="G8" s="188"/>
      <c r="H8" s="188"/>
      <c r="I8" s="188"/>
      <c r="J8" s="188"/>
      <c r="K8" s="188"/>
      <c r="L8" s="188"/>
      <c r="M8" s="188"/>
      <c r="N8" s="188"/>
      <c r="O8" s="150"/>
      <c r="P8" s="150"/>
      <c r="Q8" s="150"/>
      <c r="R8" s="150"/>
      <c r="S8" s="150"/>
      <c r="T8" s="249" t="s">
        <v>661</v>
      </c>
      <c r="U8" s="248"/>
      <c r="V8" s="248"/>
      <c r="W8" s="188"/>
      <c r="X8" s="188"/>
      <c r="Y8" s="188"/>
      <c r="Z8" s="188"/>
      <c r="AA8" s="188"/>
      <c r="AB8" s="188"/>
      <c r="AC8" s="188"/>
      <c r="AD8" s="188"/>
      <c r="AE8" s="188"/>
      <c r="AF8" s="250"/>
      <c r="AG8" s="250"/>
      <c r="AH8" s="250"/>
      <c r="AI8" s="188"/>
      <c r="AJ8" s="188"/>
      <c r="AM8" s="247"/>
    </row>
    <row r="9" spans="1:39" ht="13.5" x14ac:dyDescent="0.25">
      <c r="A9" s="188"/>
      <c r="B9" s="169" t="str">
        <f xml:space="preserve"> 'BYO peer group - selection'!B9</f>
        <v>Supported Housing 4.3%</v>
      </c>
      <c r="C9" s="172" t="str">
        <f xml:space="preserve"> 'BYO peer group - selection'!C9</f>
        <v>Providers with stock of any type</v>
      </c>
      <c r="D9" s="188"/>
      <c r="E9" s="192"/>
      <c r="F9" s="188"/>
      <c r="G9" s="188"/>
      <c r="H9" s="188"/>
      <c r="I9" s="188"/>
      <c r="J9" s="188"/>
      <c r="K9" s="188"/>
      <c r="L9" s="188"/>
      <c r="M9" s="188"/>
      <c r="N9" s="188"/>
      <c r="O9" s="188"/>
      <c r="P9" s="188"/>
      <c r="Q9" s="188"/>
      <c r="R9" s="147"/>
      <c r="S9" s="147"/>
      <c r="T9" s="248"/>
      <c r="U9" s="248"/>
      <c r="V9" s="248"/>
      <c r="W9" s="188"/>
      <c r="X9" s="188"/>
      <c r="Y9" s="188"/>
      <c r="Z9" s="188"/>
      <c r="AA9" s="188"/>
      <c r="AB9" s="188"/>
      <c r="AC9" s="188"/>
      <c r="AD9" s="188"/>
      <c r="AE9" s="188"/>
      <c r="AF9" s="250"/>
      <c r="AG9" s="250"/>
      <c r="AH9" s="250"/>
      <c r="AI9" s="188"/>
      <c r="AJ9" s="188"/>
      <c r="AM9" s="247"/>
    </row>
    <row r="10" spans="1:39" ht="13.5" x14ac:dyDescent="0.25">
      <c r="A10" s="188"/>
      <c r="B10" s="170" t="str">
        <f xml:space="preserve"> 'BYO peer group - selection'!B10</f>
        <v>Housing for older people 3.6%</v>
      </c>
      <c r="C10" s="173" t="str">
        <f xml:space="preserve"> 'BYO peer group - selection'!C10</f>
        <v>198 rows (out of 198) flagged &amp; selected provider meets peer group criteria. Manual adjustments: No changes. 198 rows in final peer group (including selected provider).</v>
      </c>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250"/>
      <c r="AG10" s="250"/>
      <c r="AH10" s="250"/>
      <c r="AI10" s="188"/>
      <c r="AJ10" s="188"/>
      <c r="AM10" s="247"/>
    </row>
    <row r="11" spans="1:39" s="183" customFormat="1" ht="5.25" x14ac:dyDescent="0.25">
      <c r="A11" s="182"/>
      <c r="B11" s="434" t="s">
        <v>662</v>
      </c>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251"/>
      <c r="AG11" s="251"/>
      <c r="AH11" s="251"/>
      <c r="AI11" s="182"/>
      <c r="AJ11" s="182"/>
      <c r="AM11" s="247"/>
    </row>
    <row r="12" spans="1:39" ht="27.75" customHeight="1" x14ac:dyDescent="0.25">
      <c r="A12" s="188"/>
      <c r="B12" s="435"/>
      <c r="C12" s="309" t="str">
        <f xml:space="preserve"> INDEX( ShortName[Short name], MATCH( K2, ShortName[RP_Name], 0 ) )</f>
        <v>A2Dominion</v>
      </c>
      <c r="D12" s="310">
        <f t="shared" ref="D12:AD12" si="0" xml:space="preserve"> INDEX( D$19:D$216, MATCH( SelectedProvider, $B$19:$B$216, 0 ) )</f>
        <v>3.1077261663747413E-2</v>
      </c>
      <c r="E12" s="311">
        <f t="shared" si="0"/>
        <v>4</v>
      </c>
      <c r="F12" s="312">
        <f t="shared" si="0"/>
        <v>171</v>
      </c>
      <c r="G12" s="310">
        <f t="shared" si="0"/>
        <v>1.5708957582653772E-2</v>
      </c>
      <c r="H12" s="311">
        <f xml:space="preserve"> INDEX( H$19:H$216, MATCH( SelectedProvider, $B$19:$B$216, 0 ) )</f>
        <v>2</v>
      </c>
      <c r="I12" s="312">
        <f t="shared" si="0"/>
        <v>79</v>
      </c>
      <c r="J12" s="313">
        <f t="shared" si="0"/>
        <v>7.0475084984661304E-3</v>
      </c>
      <c r="K12" s="311">
        <f t="shared" si="0"/>
        <v>1</v>
      </c>
      <c r="L12" s="312">
        <f t="shared" si="0"/>
        <v>14</v>
      </c>
      <c r="M12" s="310">
        <f t="shared" si="0"/>
        <v>0.54204152544300632</v>
      </c>
      <c r="N12" s="311">
        <f t="shared" si="0"/>
        <v>1</v>
      </c>
      <c r="O12" s="312">
        <f t="shared" si="0"/>
        <v>46</v>
      </c>
      <c r="P12" s="314">
        <f t="shared" si="0"/>
        <v>0.26795554310264313</v>
      </c>
      <c r="Q12" s="311">
        <f t="shared" si="0"/>
        <v>4</v>
      </c>
      <c r="R12" s="312">
        <f t="shared" si="0"/>
        <v>176</v>
      </c>
      <c r="S12" s="315">
        <f t="shared" si="0"/>
        <v>7555.7320344486807</v>
      </c>
      <c r="T12" s="311">
        <f t="shared" si="0"/>
        <v>1</v>
      </c>
      <c r="U12" s="312">
        <f t="shared" si="0"/>
        <v>28</v>
      </c>
      <c r="V12" s="310">
        <f t="shared" si="0"/>
        <v>0.1206342661787696</v>
      </c>
      <c r="W12" s="311">
        <f t="shared" si="0"/>
        <v>4</v>
      </c>
      <c r="X12" s="312">
        <f t="shared" si="0"/>
        <v>163</v>
      </c>
      <c r="Y12" s="310">
        <f t="shared" si="0"/>
        <v>5.735769150710418E-2</v>
      </c>
      <c r="Z12" s="311">
        <f t="shared" si="0"/>
        <v>4</v>
      </c>
      <c r="AA12" s="312">
        <f t="shared" si="0"/>
        <v>180</v>
      </c>
      <c r="AB12" s="310">
        <f t="shared" si="0"/>
        <v>1.181647313309594E-2</v>
      </c>
      <c r="AC12" s="311">
        <f t="shared" si="0"/>
        <v>4</v>
      </c>
      <c r="AD12" s="312">
        <f t="shared" si="0"/>
        <v>185</v>
      </c>
      <c r="AE12" s="437" t="s">
        <v>663</v>
      </c>
      <c r="AF12" s="438"/>
      <c r="AG12" s="438"/>
      <c r="AH12" s="438"/>
      <c r="AI12" s="438"/>
      <c r="AJ12" s="439"/>
      <c r="AM12" s="247"/>
    </row>
    <row r="13" spans="1:39" s="258" customFormat="1" ht="12" x14ac:dyDescent="0.25">
      <c r="A13" s="252"/>
      <c r="B13" s="435"/>
      <c r="C13" s="253" t="s">
        <v>646</v>
      </c>
      <c r="D13" s="254">
        <f xml:space="preserve"> IFERROR( INDEX( Filters!$823:$828, 2, MATCH( D$18, Filters!$823:$823, 0 ) ), "" )</f>
        <v>7.7051904551709814E-3</v>
      </c>
      <c r="E13" s="443" t="str">
        <f>D18</f>
        <v>Reinvestment</v>
      </c>
      <c r="F13" s="444"/>
      <c r="G13" s="254">
        <f xml:space="preserve"> IFERROR( INDEX( Filters!$823:$828, 2, MATCH( G$18, Filters!$823:$823, 0 ) ), "" )</f>
        <v>0</v>
      </c>
      <c r="H13" s="443" t="str">
        <f>G18</f>
        <v>New Supply (Social)</v>
      </c>
      <c r="I13" s="444"/>
      <c r="J13" s="255">
        <f xml:space="preserve"> IFERROR( INDEX( Filters!$823:$828, 2, MATCH( J$18, Filters!$823:$823, 0 ) ), "" )</f>
        <v>0</v>
      </c>
      <c r="K13" s="443" t="str">
        <f>J18</f>
        <v>New Supply (Non-Social)</v>
      </c>
      <c r="L13" s="444"/>
      <c r="M13" s="254">
        <f xml:space="preserve"> IFERROR( INDEX( Filters!$823:$828, 2, MATCH( M$18, Filters!$823:$823, 0 ) ), "" )</f>
        <v>-7.2028318584070794</v>
      </c>
      <c r="N13" s="443" t="str">
        <f>M18</f>
        <v>Gearing</v>
      </c>
      <c r="O13" s="444"/>
      <c r="P13" s="256">
        <f xml:space="preserve"> IFERROR( INDEX( Filters!$823:$828, 2, MATCH( P$18, Filters!$823:$823, 0 ) ), "" )</f>
        <v>-37.990521327014221</v>
      </c>
      <c r="Q13" s="443" t="str">
        <f>P18</f>
        <v>EBITDA MRI Interest Cover</v>
      </c>
      <c r="R13" s="444"/>
      <c r="S13" s="257">
        <f xml:space="preserve"> IFERROR( INDEX( Filters!$823:$828, 2, MATCH( S$18, Filters!$823:$823, 0 ) ), "" )</f>
        <v>3014.1409877585479</v>
      </c>
      <c r="T13" s="443" t="str">
        <f>S18</f>
        <v>Headline Social Housing Cost per unit</v>
      </c>
      <c r="U13" s="444"/>
      <c r="V13" s="254">
        <f xml:space="preserve"> IFERROR( INDEX( Filters!$823:$828, 2, MATCH( V$18, Filters!$823:$823, 0 ) ), "" )</f>
        <v>-0.29085527340707273</v>
      </c>
      <c r="W13" s="443" t="str">
        <f>V18</f>
        <v>Operating Margin (SHL)</v>
      </c>
      <c r="X13" s="444"/>
      <c r="Y13" s="254">
        <f xml:space="preserve"> IFERROR( INDEX( Filters!$823:$828, 2, MATCH( Y$18, Filters!$823:$823, 0 ) ), "" )</f>
        <v>-0.29303696983442956</v>
      </c>
      <c r="Z13" s="443" t="str">
        <f>Y18</f>
        <v>Operating Margin (Overall)</v>
      </c>
      <c r="AA13" s="444"/>
      <c r="AB13" s="254">
        <f xml:space="preserve"> IFERROR( INDEX( Filters!$823:$828, 2, MATCH( AB$18, Filters!$823:$823, 0 ) ), "" )</f>
        <v>-5.6700406085217286E-2</v>
      </c>
      <c r="AC13" s="443" t="str">
        <f>AB18</f>
        <v>ROCE</v>
      </c>
      <c r="AD13" s="444"/>
      <c r="AE13" s="440"/>
      <c r="AF13" s="441"/>
      <c r="AG13" s="441"/>
      <c r="AH13" s="441"/>
      <c r="AI13" s="441"/>
      <c r="AJ13" s="442"/>
      <c r="AL13" s="183"/>
      <c r="AM13" s="247"/>
    </row>
    <row r="14" spans="1:39" s="258" customFormat="1" ht="12" x14ac:dyDescent="0.25">
      <c r="A14" s="252"/>
      <c r="B14" s="435"/>
      <c r="C14" s="253" t="s">
        <v>18</v>
      </c>
      <c r="D14" s="259">
        <f xml:space="preserve"> IFERROR( INDEX( Filters!$823:$828, 3, MATCH( D$18, Filters!$823:$823, 0 ) ), "" )</f>
        <v>4.3348249552847322E-2</v>
      </c>
      <c r="E14" s="445"/>
      <c r="F14" s="446"/>
      <c r="G14" s="259">
        <f xml:space="preserve"> IFERROR( INDEX( Filters!$823:$828, 3, MATCH( G$18, Filters!$823:$823, 0 ) ), "" )</f>
        <v>6.3419916693361637E-3</v>
      </c>
      <c r="H14" s="445"/>
      <c r="I14" s="446"/>
      <c r="J14" s="260">
        <f xml:space="preserve"> IFERROR( INDEX( Filters!$823:$828, 3, MATCH( J$18, Filters!$823:$823, 0 ) ), "" )</f>
        <v>0</v>
      </c>
      <c r="K14" s="445"/>
      <c r="L14" s="446"/>
      <c r="M14" s="259">
        <f xml:space="preserve"> IFERROR( INDEX( Filters!$823:$828, 3, MATCH( M$18, Filters!$823:$823, 0 ) ), "" )</f>
        <v>0.33376859919726637</v>
      </c>
      <c r="N14" s="445"/>
      <c r="O14" s="446"/>
      <c r="P14" s="261">
        <f xml:space="preserve"> IFERROR( INDEX( Filters!$823:$828, 3, MATCH( P$18, Filters!$823:$823, 0 ) ), "" )</f>
        <v>0.88699522285829968</v>
      </c>
      <c r="Q14" s="445"/>
      <c r="R14" s="446"/>
      <c r="S14" s="262">
        <f xml:space="preserve"> IFERROR( INDEX( Filters!$823:$828, 3, MATCH( S$18, Filters!$823:$823, 0 ) ), "" )</f>
        <v>4081.9535677606673</v>
      </c>
      <c r="T14" s="445"/>
      <c r="U14" s="446"/>
      <c r="V14" s="259">
        <f xml:space="preserve"> IFERROR( INDEX( Filters!$823:$828, 3, MATCH( V$18, Filters!$823:$823, 0 ) ), "" )</f>
        <v>0.14418824249898199</v>
      </c>
      <c r="W14" s="445"/>
      <c r="X14" s="446"/>
      <c r="Y14" s="259">
        <f xml:space="preserve"> IFERROR( INDEX( Filters!$823:$828, 3, MATCH( Y$18, Filters!$823:$823, 0 ) ), "" )</f>
        <v>0.12020343356217647</v>
      </c>
      <c r="Z14" s="445"/>
      <c r="AA14" s="446"/>
      <c r="AB14" s="259">
        <f xml:space="preserve"> IFERROR( INDEX( Filters!$823:$828, 3, MATCH( AB$18, Filters!$823:$823, 0 ) ), "" )</f>
        <v>2.1916347917711472E-2</v>
      </c>
      <c r="AC14" s="445"/>
      <c r="AD14" s="446"/>
      <c r="AE14" s="440"/>
      <c r="AF14" s="441"/>
      <c r="AG14" s="441"/>
      <c r="AH14" s="441"/>
      <c r="AI14" s="441"/>
      <c r="AJ14" s="442"/>
      <c r="AL14" s="183"/>
      <c r="AM14" s="247"/>
    </row>
    <row r="15" spans="1:39" s="264" customFormat="1" ht="15" x14ac:dyDescent="0.25">
      <c r="A15" s="263"/>
      <c r="B15" s="435"/>
      <c r="C15" s="316" t="s">
        <v>19</v>
      </c>
      <c r="D15" s="317">
        <f xml:space="preserve"> IFERROR( INDEX( Filters!$823:$828, 4, MATCH( D$18, Filters!$823:$823, 0 ) ), "" )</f>
        <v>6.7325251006994574E-2</v>
      </c>
      <c r="E15" s="445"/>
      <c r="F15" s="446"/>
      <c r="G15" s="317">
        <f xml:space="preserve"> IFERROR( INDEX( Filters!$823:$828, 4, MATCH( G$18, Filters!$823:$823, 0 ) ), "" )</f>
        <v>1.2784126424634119E-2</v>
      </c>
      <c r="H15" s="445"/>
      <c r="I15" s="446"/>
      <c r="J15" s="318">
        <f xml:space="preserve"> IFERROR( INDEX( Filters!$823:$828, 4, MATCH( J$18, Filters!$823:$823, 0 ) ), "" )</f>
        <v>0</v>
      </c>
      <c r="K15" s="445"/>
      <c r="L15" s="446"/>
      <c r="M15" s="317">
        <f xml:space="preserve"> IFERROR( INDEX( Filters!$823:$828, 4, MATCH( M$18, Filters!$823:$823, 0 ) ), "" )</f>
        <v>0.45280022097921413</v>
      </c>
      <c r="N15" s="445"/>
      <c r="O15" s="446"/>
      <c r="P15" s="319">
        <f xml:space="preserve"> IFERROR( INDEX( Filters!$823:$828, 4, MATCH( P$18, Filters!$823:$823, 0 ) ), "" )</f>
        <v>1.2839864739320244</v>
      </c>
      <c r="Q15" s="445"/>
      <c r="R15" s="446"/>
      <c r="S15" s="320">
        <f xml:space="preserve"> IFERROR( INDEX( Filters!$823:$828, 4, MATCH( S$18, Filters!$823:$823, 0 ) ), "" )</f>
        <v>4585.8213755163106</v>
      </c>
      <c r="T15" s="445"/>
      <c r="U15" s="446"/>
      <c r="V15" s="317">
        <f xml:space="preserve"> IFERROR( INDEX( Filters!$823:$828, 4, MATCH( V$18, Filters!$823:$823, 0 ) ), "" )</f>
        <v>0.19779745009397015</v>
      </c>
      <c r="W15" s="445"/>
      <c r="X15" s="446"/>
      <c r="Y15" s="317">
        <f xml:space="preserve"> IFERROR( INDEX( Filters!$823:$828, 4, MATCH( Y$18, Filters!$823:$823, 0 ) ), "" )</f>
        <v>0.18200361890025568</v>
      </c>
      <c r="Z15" s="445"/>
      <c r="AA15" s="446"/>
      <c r="AB15" s="317">
        <f xml:space="preserve"> IFERROR( INDEX( Filters!$823:$828, 4, MATCH( AB$18, Filters!$823:$823, 0 ) ), "" )</f>
        <v>2.8402087807861236E-2</v>
      </c>
      <c r="AC15" s="445"/>
      <c r="AD15" s="446"/>
      <c r="AE15" s="440"/>
      <c r="AF15" s="441"/>
      <c r="AG15" s="441"/>
      <c r="AH15" s="441"/>
      <c r="AI15" s="441"/>
      <c r="AJ15" s="442"/>
      <c r="AL15" s="265"/>
      <c r="AM15" s="266"/>
    </row>
    <row r="16" spans="1:39" s="258" customFormat="1" ht="12" x14ac:dyDescent="0.25">
      <c r="A16" s="252"/>
      <c r="B16" s="435"/>
      <c r="C16" s="253" t="s">
        <v>20</v>
      </c>
      <c r="D16" s="259">
        <f xml:space="preserve"> IFERROR( INDEX( Filters!$823:$828, 5, MATCH( D$18, Filters!$823:$823, 0 ) ), "" )</f>
        <v>9.3726424724453819E-2</v>
      </c>
      <c r="E16" s="445"/>
      <c r="F16" s="446"/>
      <c r="G16" s="259">
        <f xml:space="preserve"> IFERROR( INDEX( Filters!$823:$828, 5, MATCH( G$18, Filters!$823:$823, 0 ) ), "" )</f>
        <v>2.2335343873529385E-2</v>
      </c>
      <c r="H16" s="445"/>
      <c r="I16" s="446"/>
      <c r="J16" s="260">
        <f xml:space="preserve"> IFERROR( INDEX( Filters!$823:$828, 5, MATCH( J$18, Filters!$823:$823, 0 ) ), "" )</f>
        <v>7.6979812587672368E-4</v>
      </c>
      <c r="K16" s="445"/>
      <c r="L16" s="446"/>
      <c r="M16" s="259">
        <f xml:space="preserve"> IFERROR( INDEX( Filters!$823:$828, 5, MATCH( M$18, Filters!$823:$823, 0 ) ), "" )</f>
        <v>0.53745237267202894</v>
      </c>
      <c r="N16" s="445"/>
      <c r="O16" s="446"/>
      <c r="P16" s="261">
        <f xml:space="preserve"> IFERROR( INDEX( Filters!$823:$828, 5, MATCH( P$18, Filters!$823:$823, 0 ) ), "" )</f>
        <v>1.6934675672312474</v>
      </c>
      <c r="Q16" s="445"/>
      <c r="R16" s="446"/>
      <c r="S16" s="262">
        <f xml:space="preserve"> IFERROR( INDEX( Filters!$823:$828, 5, MATCH( S$18, Filters!$823:$823, 0 ) ), "" )</f>
        <v>5847.4499311948121</v>
      </c>
      <c r="T16" s="445"/>
      <c r="U16" s="446"/>
      <c r="V16" s="259">
        <f xml:space="preserve"> IFERROR( INDEX( Filters!$823:$828, 5, MATCH( V$18, Filters!$823:$823, 0 ) ), "" )</f>
        <v>0.25468515235305322</v>
      </c>
      <c r="W16" s="445"/>
      <c r="X16" s="446"/>
      <c r="Y16" s="259">
        <f xml:space="preserve"> IFERROR( INDEX( Filters!$823:$828, 5, MATCH( Y$18, Filters!$823:$823, 0 ) ), "" )</f>
        <v>0.23020812852119121</v>
      </c>
      <c r="Z16" s="445"/>
      <c r="AA16" s="446"/>
      <c r="AB16" s="259">
        <f xml:space="preserve"> IFERROR( INDEX( Filters!$823:$828, 5, MATCH( AB$18, Filters!$823:$823, 0 ) ), "" )</f>
        <v>3.6311338265847232E-2</v>
      </c>
      <c r="AC16" s="445"/>
      <c r="AD16" s="446"/>
      <c r="AE16" s="440"/>
      <c r="AF16" s="441"/>
      <c r="AG16" s="441"/>
      <c r="AH16" s="441"/>
      <c r="AI16" s="441"/>
      <c r="AJ16" s="442"/>
      <c r="AL16" s="183"/>
      <c r="AM16" s="247"/>
    </row>
    <row r="17" spans="1:39" s="258" customFormat="1" ht="12" x14ac:dyDescent="0.25">
      <c r="A17" s="252"/>
      <c r="B17" s="436"/>
      <c r="C17" s="267" t="s">
        <v>664</v>
      </c>
      <c r="D17" s="259">
        <f xml:space="preserve"> IFERROR( INDEX( Filters!$823:$828, 6, MATCH( D$18, Filters!$823:$823, 0 ) ), "" )</f>
        <v>0.23221327771078448</v>
      </c>
      <c r="E17" s="445"/>
      <c r="F17" s="446"/>
      <c r="G17" s="259">
        <f xml:space="preserve"> IFERROR( INDEX( Filters!$823:$828, 6, MATCH( G$18, Filters!$823:$823, 0 ) ), "" )</f>
        <v>0.11229377328366152</v>
      </c>
      <c r="H17" s="445"/>
      <c r="I17" s="446"/>
      <c r="J17" s="260">
        <f xml:space="preserve"> IFERROR( INDEX( Filters!$823:$828, 6, MATCH( J$18, Filters!$823:$823, 0 ) ), "" )</f>
        <v>3.6165469407976221E-2</v>
      </c>
      <c r="K17" s="445"/>
      <c r="L17" s="446"/>
      <c r="M17" s="259">
        <f xml:space="preserve"> IFERROR( INDEX( Filters!$823:$828, 6, MATCH( M$18, Filters!$823:$823, 0 ) ), "" )</f>
        <v>0.81152004198648564</v>
      </c>
      <c r="N17" s="445"/>
      <c r="O17" s="446"/>
      <c r="P17" s="261">
        <f xml:space="preserve"> IFERROR( INDEX( Filters!$823:$828, 6, MATCH( P$18, Filters!$823:$823, 0 ) ), "" )</f>
        <v>13.108949416342412</v>
      </c>
      <c r="Q17" s="445"/>
      <c r="R17" s="446"/>
      <c r="S17" s="262">
        <f xml:space="preserve"> IFERROR( INDEX( Filters!$823:$828, 6, MATCH( S$18, Filters!$823:$823, 0 ) ), "" )</f>
        <v>30446.12244897959</v>
      </c>
      <c r="T17" s="445"/>
      <c r="U17" s="446"/>
      <c r="V17" s="259">
        <f xml:space="preserve"> IFERROR( INDEX( Filters!$823:$828, 6, MATCH( V$18, Filters!$823:$823, 0 ) ), "" )</f>
        <v>0.42938720433366906</v>
      </c>
      <c r="W17" s="445"/>
      <c r="X17" s="446"/>
      <c r="Y17" s="259">
        <f xml:space="preserve"> IFERROR( INDEX( Filters!$823:$828, 6, MATCH( Y$18, Filters!$823:$823, 0 ) ), "" )</f>
        <v>0.54421270578729419</v>
      </c>
      <c r="Z17" s="445"/>
      <c r="AA17" s="446"/>
      <c r="AB17" s="268">
        <f xml:space="preserve"> IFERROR( INDEX( Filters!$823:$828, 6, MATCH( AB$18, Filters!$823:$823, 0 ) ), "" )</f>
        <v>0.22406057206954572</v>
      </c>
      <c r="AC17" s="445"/>
      <c r="AD17" s="446"/>
      <c r="AE17" s="440"/>
      <c r="AF17" s="441"/>
      <c r="AG17" s="441"/>
      <c r="AH17" s="441"/>
      <c r="AI17" s="441"/>
      <c r="AJ17" s="442"/>
      <c r="AL17" s="183"/>
      <c r="AM17" s="247"/>
    </row>
    <row r="18" spans="1:39" s="280" customFormat="1" ht="76.5" x14ac:dyDescent="0.25">
      <c r="A18" s="189"/>
      <c r="B18" s="269" t="str">
        <f xml:space="preserve"> tblFilterAll[[#Headers],[Provider name]]</f>
        <v>Provider name</v>
      </c>
      <c r="C18" s="270" t="str">
        <f xml:space="preserve"> tblFilterAll[[#Headers],[Code]]</f>
        <v>Code</v>
      </c>
      <c r="D18" s="271" t="str">
        <f xml:space="preserve"> tblFilterAll[[#Headers],[Reinvestment]]</f>
        <v>Reinvestment</v>
      </c>
      <c r="E18" s="272" t="str">
        <f xml:space="preserve"> tblFilterAll[[#Headers],[Reinvestment quartile]]</f>
        <v>Reinvestment quartile</v>
      </c>
      <c r="F18" s="273" t="str">
        <f xml:space="preserve"> tblFilterAll[[#Headers],[Reinvestment rank]]</f>
        <v>Reinvestment rank</v>
      </c>
      <c r="G18" s="274" t="str">
        <f xml:space="preserve"> tblFilterAll[[#Headers],[New Supply (Social)]]</f>
        <v>New Supply (Social)</v>
      </c>
      <c r="H18" s="275" t="str">
        <f xml:space="preserve"> tblFilterAll[[#Headers],[New Supply (Social) quartile]]</f>
        <v>New Supply (Social) quartile</v>
      </c>
      <c r="I18" s="276" t="str">
        <f xml:space="preserve"> tblFilterAll[[#Headers],[New Supply (Social) rank]]</f>
        <v>New Supply (Social) rank</v>
      </c>
      <c r="J18" s="271" t="str">
        <f xml:space="preserve"> tblFilterAll[[#Headers],[New Supply (Non-Social)]]</f>
        <v>New Supply (Non-Social)</v>
      </c>
      <c r="K18" s="272" t="str">
        <f xml:space="preserve"> tblFilterAll[[#Headers],[New Supply (Non-Social) quartile]]</f>
        <v>New Supply (Non-Social) quartile</v>
      </c>
      <c r="L18" s="273" t="str">
        <f xml:space="preserve"> tblFilterAll[[#Headers],[New Supply (Non-Social) rank]]</f>
        <v>New Supply (Non-Social) rank</v>
      </c>
      <c r="M18" s="274" t="str">
        <f xml:space="preserve"> tblFilterAll[[#Headers],[Gearing]]</f>
        <v>Gearing</v>
      </c>
      <c r="N18" s="275" t="str">
        <f xml:space="preserve"> tblFilterAll[[#Headers],[Gearing quartile]]</f>
        <v>Gearing quartile</v>
      </c>
      <c r="O18" s="276" t="str">
        <f xml:space="preserve"> tblFilterAll[[#Headers],[Gearing rank]]</f>
        <v>Gearing rank</v>
      </c>
      <c r="P18" s="271" t="str">
        <f xml:space="preserve"> tblFilterAll[[#Headers],[EBITDA MRI Interest Cover]]</f>
        <v>EBITDA MRI Interest Cover</v>
      </c>
      <c r="Q18" s="272" t="str">
        <f xml:space="preserve"> tblFilterAll[[#Headers],[EBITDA MRI Interest Cover quartile]]</f>
        <v>EBITDA MRI Interest Cover quartile</v>
      </c>
      <c r="R18" s="273" t="str">
        <f xml:space="preserve"> tblFilterAll[[#Headers],[EBITDA MRI Interest Cover rank]]</f>
        <v>EBITDA MRI Interest Cover rank</v>
      </c>
      <c r="S18" s="274" t="str">
        <f xml:space="preserve"> tblFilterAll[[#Headers],[Headline Social Housing Cost per unit]]</f>
        <v>Headline Social Housing Cost per unit</v>
      </c>
      <c r="T18" s="275" t="str">
        <f xml:space="preserve"> tblFilterAll[[#Headers],[Headline Social Housing Cost per unit quartile]]</f>
        <v>Headline Social Housing Cost per unit quartile</v>
      </c>
      <c r="U18" s="276" t="str">
        <f xml:space="preserve"> tblFilterAll[[#Headers],[Headline Social Housing Cost per unit rank]]</f>
        <v>Headline Social Housing Cost per unit rank</v>
      </c>
      <c r="V18" s="271" t="str">
        <f xml:space="preserve"> tblFilterAll[[#Headers],[Operating Margin (SHL)]]</f>
        <v>Operating Margin (SHL)</v>
      </c>
      <c r="W18" s="272" t="str">
        <f xml:space="preserve"> tblFilterAll[[#Headers],[Operating Margin (SHL) quartile]]</f>
        <v>Operating Margin (SHL) quartile</v>
      </c>
      <c r="X18" s="273" t="str">
        <f xml:space="preserve"> tblFilterAll[[#Headers],[Operating Margin (SHL) rank]]</f>
        <v>Operating Margin (SHL) rank</v>
      </c>
      <c r="Y18" s="274" t="str">
        <f xml:space="preserve"> tblFilterAll[[#Headers],[Operating Margin (Overall)]]</f>
        <v>Operating Margin (Overall)</v>
      </c>
      <c r="Z18" s="275" t="str">
        <f xml:space="preserve"> tblFilterAll[[#Headers],[Operating Margin (Overall) quartile]]</f>
        <v>Operating Margin (Overall) quartile</v>
      </c>
      <c r="AA18" s="276" t="str">
        <f xml:space="preserve"> tblFilterAll[[#Headers],[Operating Margin (Overall) rank]]</f>
        <v>Operating Margin (Overall) rank</v>
      </c>
      <c r="AB18" s="271" t="str">
        <f xml:space="preserve"> tblFilterAll[[#Headers],[ROCE]]</f>
        <v>ROCE</v>
      </c>
      <c r="AC18" s="272" t="str">
        <f xml:space="preserve"> tblFilterAll[[#Headers],[ROCE quartile]]</f>
        <v>ROCE quartile</v>
      </c>
      <c r="AD18" s="273" t="str">
        <f xml:space="preserve"> tblFilterAll[[#Headers],[ROCE rank]]</f>
        <v>ROCE rank</v>
      </c>
      <c r="AE18" s="277" t="str">
        <f xml:space="preserve"> tblFilterAll[[#Headers],[Total social stock owned]]</f>
        <v>Total social stock owned</v>
      </c>
      <c r="AF18" s="278" t="str">
        <f xml:space="preserve"> tblFilterAll[[#Headers],[% Supported housing (excl. HOP)]]</f>
        <v>% Supported housing (excl. HOP)</v>
      </c>
      <c r="AG18" s="278" t="str">
        <f xml:space="preserve"> tblFilterAll[[#Headers],[% Housing for older people]]</f>
        <v>% Housing for older people</v>
      </c>
      <c r="AH18" s="278" t="str">
        <f xml:space="preserve"> tblFilterAll[[#Headers],[% SH and OP]]</f>
        <v>% SH and OP</v>
      </c>
      <c r="AI18" s="278" t="str">
        <f xml:space="preserve"> tblFilterAll[[#Headers],[Provider Type]]</f>
        <v>Provider Type</v>
      </c>
      <c r="AJ18" s="279" t="str">
        <f xml:space="preserve"> tblFilterAll[[#Headers],[Region with 50%+ of social stock owned]]</f>
        <v>Region with 50%+ of social stock owned</v>
      </c>
      <c r="AL18" s="281"/>
      <c r="AM18" s="282"/>
    </row>
    <row r="19" spans="1:39" x14ac:dyDescent="0.25">
      <c r="A19" s="283"/>
      <c r="B19" s="284" t="str" cm="1" vm="160">
        <f t="array" ref="B19:AJ216" xml:space="preserve"> IFERROR( _xlfn._xlws.SORT( _xlfn._xlws.FILTER( tblFilterAll[[Provider name]:[Region with 50%+ of social stock owned]], tblFilterAll[Include in output] = 1 ), SortColumnNumber, SortOrderNumber  ), "" )</f>
        <v>Sustain (UK) Ltd</v>
      </c>
      <c r="C19" s="285" t="str" vm="209">
        <v>4687</v>
      </c>
      <c r="D19" s="286" t="str">
        <v>n/a</v>
      </c>
      <c r="E19" s="287">
        <v>1</v>
      </c>
      <c r="F19" s="288">
        <v>1</v>
      </c>
      <c r="G19" s="286">
        <v>0</v>
      </c>
      <c r="H19" s="287">
        <v>4</v>
      </c>
      <c r="I19" s="288">
        <v>187</v>
      </c>
      <c r="J19" s="289">
        <v>0</v>
      </c>
      <c r="K19" s="287">
        <v>2</v>
      </c>
      <c r="L19" s="288">
        <v>72</v>
      </c>
      <c r="M19" s="286" t="str">
        <v>n/a</v>
      </c>
      <c r="N19" s="287">
        <v>1</v>
      </c>
      <c r="O19" s="288">
        <v>1</v>
      </c>
      <c r="P19" s="290" t="str">
        <v>n/a</v>
      </c>
      <c r="Q19" s="287">
        <v>1</v>
      </c>
      <c r="R19" s="288">
        <v>1</v>
      </c>
      <c r="S19" s="291">
        <v>8375.85868498528</v>
      </c>
      <c r="T19" s="287">
        <v>1</v>
      </c>
      <c r="U19" s="288">
        <v>20</v>
      </c>
      <c r="V19" s="286">
        <v>4.4714309698360287E-2</v>
      </c>
      <c r="W19" s="287">
        <v>4</v>
      </c>
      <c r="X19" s="288">
        <v>187</v>
      </c>
      <c r="Y19" s="286">
        <v>4.4714309698360287E-2</v>
      </c>
      <c r="Z19" s="287">
        <v>4</v>
      </c>
      <c r="AA19" s="288">
        <v>184</v>
      </c>
      <c r="AB19" s="286">
        <v>0.22406057206954572</v>
      </c>
      <c r="AC19" s="287">
        <v>1</v>
      </c>
      <c r="AD19" s="288">
        <v>1</v>
      </c>
      <c r="AE19" s="292" vm="9106">
        <v>2038</v>
      </c>
      <c r="AF19" s="293">
        <v>1</v>
      </c>
      <c r="AG19" s="293">
        <v>0</v>
      </c>
      <c r="AH19" s="293">
        <v>1</v>
      </c>
      <c r="AI19" s="285" t="str">
        <v>Traditional</v>
      </c>
      <c r="AJ19" s="294" t="str">
        <v>West Midlands</v>
      </c>
      <c r="AM19" s="295" t="s">
        <v>665</v>
      </c>
    </row>
    <row r="20" spans="1:39" x14ac:dyDescent="0.25">
      <c r="A20" s="283"/>
      <c r="B20" s="284" t="str" vm="58">
        <v>Futures Housing Group Limited</v>
      </c>
      <c r="C20" s="285" t="str" vm="288">
        <v>L4502</v>
      </c>
      <c r="D20" s="286">
        <v>0.11452563706057113</v>
      </c>
      <c r="E20" s="287">
        <v>1</v>
      </c>
      <c r="F20" s="288">
        <v>24</v>
      </c>
      <c r="G20" s="286">
        <v>1.4309847957865447E-2</v>
      </c>
      <c r="H20" s="287">
        <v>2</v>
      </c>
      <c r="I20" s="288">
        <v>88</v>
      </c>
      <c r="J20" s="289">
        <v>3.8109756097560977E-4</v>
      </c>
      <c r="K20" s="287">
        <v>2</v>
      </c>
      <c r="L20" s="288">
        <v>63</v>
      </c>
      <c r="M20" s="286">
        <v>0.81152004198648564</v>
      </c>
      <c r="N20" s="287">
        <v>1</v>
      </c>
      <c r="O20" s="288">
        <v>1</v>
      </c>
      <c r="P20" s="290">
        <v>1.1035451615568961</v>
      </c>
      <c r="Q20" s="287">
        <v>3</v>
      </c>
      <c r="R20" s="288">
        <v>124</v>
      </c>
      <c r="S20" s="291">
        <v>4288.3392928088997</v>
      </c>
      <c r="T20" s="287">
        <v>3</v>
      </c>
      <c r="U20" s="288">
        <v>130</v>
      </c>
      <c r="V20" s="286">
        <v>0.27308425246867241</v>
      </c>
      <c r="W20" s="287">
        <v>1</v>
      </c>
      <c r="X20" s="288">
        <v>41</v>
      </c>
      <c r="Y20" s="286">
        <v>0.26033440536126218</v>
      </c>
      <c r="Z20" s="287">
        <v>1</v>
      </c>
      <c r="AA20" s="288">
        <v>29</v>
      </c>
      <c r="AB20" s="286">
        <v>3.6604410979785756E-2</v>
      </c>
      <c r="AC20" s="287">
        <v>1</v>
      </c>
      <c r="AD20" s="288">
        <v>47</v>
      </c>
      <c r="AE20" s="292" vm="2933">
        <v>10063</v>
      </c>
      <c r="AF20" s="293">
        <v>2.008838891120932E-3</v>
      </c>
      <c r="AG20" s="293">
        <v>0.31106870229007633</v>
      </c>
      <c r="AH20" s="293">
        <v>0.31307754118119724</v>
      </c>
      <c r="AI20" s="285" t="str">
        <v>Traditional</v>
      </c>
      <c r="AJ20" s="294" t="str">
        <v>East Midlands</v>
      </c>
      <c r="AM20" s="295" t="s">
        <v>665</v>
      </c>
    </row>
    <row r="21" spans="1:39" x14ac:dyDescent="0.25">
      <c r="A21" s="283"/>
      <c r="B21" s="284" t="str" vm="69">
        <v>Halton Housing</v>
      </c>
      <c r="C21" s="285" t="str" vm="387">
        <v>L4456</v>
      </c>
      <c r="D21" s="286">
        <v>7.4760794249464968E-2</v>
      </c>
      <c r="E21" s="287">
        <v>2</v>
      </c>
      <c r="F21" s="288">
        <v>83</v>
      </c>
      <c r="G21" s="286">
        <v>2.5977504017139795E-2</v>
      </c>
      <c r="H21" s="287">
        <v>1</v>
      </c>
      <c r="I21" s="288">
        <v>30</v>
      </c>
      <c r="J21" s="289">
        <v>0</v>
      </c>
      <c r="K21" s="287">
        <v>2</v>
      </c>
      <c r="L21" s="288">
        <v>72</v>
      </c>
      <c r="M21" s="286">
        <v>0.77659574468085102</v>
      </c>
      <c r="N21" s="287">
        <v>1</v>
      </c>
      <c r="O21" s="288">
        <v>2</v>
      </c>
      <c r="P21" s="290">
        <v>1.0704208221843834</v>
      </c>
      <c r="Q21" s="287">
        <v>3</v>
      </c>
      <c r="R21" s="288">
        <v>129</v>
      </c>
      <c r="S21" s="291">
        <v>4008.8640392745124</v>
      </c>
      <c r="T21" s="287">
        <v>4</v>
      </c>
      <c r="U21" s="288">
        <v>163</v>
      </c>
      <c r="V21" s="286">
        <v>0.11051941668032116</v>
      </c>
      <c r="W21" s="287">
        <v>4</v>
      </c>
      <c r="X21" s="288">
        <v>170</v>
      </c>
      <c r="Y21" s="286">
        <v>0.12703722431833211</v>
      </c>
      <c r="Z21" s="287">
        <v>3</v>
      </c>
      <c r="AA21" s="288">
        <v>147</v>
      </c>
      <c r="AB21" s="286">
        <v>2.8917855559783313E-2</v>
      </c>
      <c r="AC21" s="287">
        <v>2</v>
      </c>
      <c r="AD21" s="288">
        <v>95</v>
      </c>
      <c r="AE21" s="292" vm="6464">
        <v>7330</v>
      </c>
      <c r="AF21" s="293">
        <v>1.7662481026631708E-2</v>
      </c>
      <c r="AG21" s="293">
        <v>0</v>
      </c>
      <c r="AH21" s="293">
        <v>1.7662481026631708E-2</v>
      </c>
      <c r="AI21" s="285" t="str">
        <v>Traditional</v>
      </c>
      <c r="AJ21" s="294" t="str">
        <v>North West</v>
      </c>
      <c r="AM21" s="295" t="s">
        <v>665</v>
      </c>
    </row>
    <row r="22" spans="1:39" x14ac:dyDescent="0.25">
      <c r="A22" s="283"/>
      <c r="B22" s="284" t="str" vm="26">
        <v>Calico Homes Limited</v>
      </c>
      <c r="C22" s="285" t="str" vm="393">
        <v>L4254</v>
      </c>
      <c r="D22" s="286">
        <v>0.1051414192470826</v>
      </c>
      <c r="E22" s="287">
        <v>1</v>
      </c>
      <c r="F22" s="288">
        <v>32</v>
      </c>
      <c r="G22" s="286">
        <v>2.2329735764793451E-2</v>
      </c>
      <c r="H22" s="287">
        <v>2</v>
      </c>
      <c r="I22" s="288">
        <v>50</v>
      </c>
      <c r="J22" s="289">
        <v>0</v>
      </c>
      <c r="K22" s="287">
        <v>2</v>
      </c>
      <c r="L22" s="288">
        <v>72</v>
      </c>
      <c r="M22" s="286">
        <v>0.76466386831637478</v>
      </c>
      <c r="N22" s="287">
        <v>1</v>
      </c>
      <c r="O22" s="288">
        <v>3</v>
      </c>
      <c r="P22" s="290">
        <v>0.98504514672686228</v>
      </c>
      <c r="Q22" s="287">
        <v>3</v>
      </c>
      <c r="R22" s="288">
        <v>139</v>
      </c>
      <c r="S22" s="291">
        <v>3593.5278713056487</v>
      </c>
      <c r="T22" s="287">
        <v>4</v>
      </c>
      <c r="U22" s="288">
        <v>189</v>
      </c>
      <c r="V22" s="286">
        <v>0.26181467181467183</v>
      </c>
      <c r="W22" s="287">
        <v>1</v>
      </c>
      <c r="X22" s="288">
        <v>47</v>
      </c>
      <c r="Y22" s="286">
        <v>0.22134102379235759</v>
      </c>
      <c r="Z22" s="287">
        <v>2</v>
      </c>
      <c r="AA22" s="288">
        <v>60</v>
      </c>
      <c r="AB22" s="286">
        <v>4.3086762155769912E-2</v>
      </c>
      <c r="AC22" s="287">
        <v>1</v>
      </c>
      <c r="AD22" s="288">
        <v>20</v>
      </c>
      <c r="AE22" s="292" vm="6701">
        <v>5293</v>
      </c>
      <c r="AF22" s="293">
        <v>2.7224934284641383E-2</v>
      </c>
      <c r="AG22" s="293">
        <v>0.20296657904618851</v>
      </c>
      <c r="AH22" s="293">
        <v>0.23019151333082988</v>
      </c>
      <c r="AI22" s="285" t="str">
        <v>Traditional</v>
      </c>
      <c r="AJ22" s="294" t="str">
        <v>North West</v>
      </c>
      <c r="AM22" s="295" t="s">
        <v>665</v>
      </c>
    </row>
    <row r="23" spans="1:39" x14ac:dyDescent="0.25">
      <c r="A23" s="283"/>
      <c r="B23" s="284" t="str" vm="116">
        <v>One Vision Housing Limited</v>
      </c>
      <c r="C23" s="285" t="str" vm="297">
        <v>4804</v>
      </c>
      <c r="D23" s="286">
        <v>0.11830470637434977</v>
      </c>
      <c r="E23" s="287">
        <v>1</v>
      </c>
      <c r="F23" s="288">
        <v>20</v>
      </c>
      <c r="G23" s="286">
        <v>1.1963302752293578E-2</v>
      </c>
      <c r="H23" s="287">
        <v>3</v>
      </c>
      <c r="I23" s="288">
        <v>110</v>
      </c>
      <c r="J23" s="289">
        <v>0</v>
      </c>
      <c r="K23" s="287">
        <v>2</v>
      </c>
      <c r="L23" s="288">
        <v>72</v>
      </c>
      <c r="M23" s="286">
        <v>0.72343318922073896</v>
      </c>
      <c r="N23" s="287">
        <v>1</v>
      </c>
      <c r="O23" s="288">
        <v>4</v>
      </c>
      <c r="P23" s="290">
        <v>1.4024241367282875</v>
      </c>
      <c r="Q23" s="287">
        <v>2</v>
      </c>
      <c r="R23" s="288">
        <v>77</v>
      </c>
      <c r="S23" s="291">
        <v>3995.2333358960559</v>
      </c>
      <c r="T23" s="287">
        <v>4</v>
      </c>
      <c r="U23" s="288">
        <v>165</v>
      </c>
      <c r="V23" s="286">
        <v>0.22045451163067581</v>
      </c>
      <c r="W23" s="287">
        <v>2</v>
      </c>
      <c r="X23" s="288">
        <v>81</v>
      </c>
      <c r="Y23" s="286">
        <v>0.22681482122011329</v>
      </c>
      <c r="Z23" s="287">
        <v>2</v>
      </c>
      <c r="AA23" s="288">
        <v>56</v>
      </c>
      <c r="AB23" s="286">
        <v>5.0165421513917792E-2</v>
      </c>
      <c r="AC23" s="287">
        <v>1</v>
      </c>
      <c r="AD23" s="288">
        <v>7</v>
      </c>
      <c r="AE23" s="292" vm="3243">
        <v>13007</v>
      </c>
      <c r="AF23" s="293">
        <v>7.5940601677310149E-2</v>
      </c>
      <c r="AG23" s="293">
        <v>0</v>
      </c>
      <c r="AH23" s="293">
        <v>7.5940601677310149E-2</v>
      </c>
      <c r="AI23" s="285" t="str">
        <v>Traditional</v>
      </c>
      <c r="AJ23" s="294" t="str">
        <v>North West</v>
      </c>
      <c r="AM23" s="295" t="s">
        <v>665</v>
      </c>
    </row>
    <row r="24" spans="1:39" x14ac:dyDescent="0.25">
      <c r="A24" s="283"/>
      <c r="B24" s="284" t="str" vm="127">
        <v>Places for People Group Limited</v>
      </c>
      <c r="C24" s="285" t="str" vm="267">
        <v>L4236</v>
      </c>
      <c r="D24" s="286">
        <v>9.1512191959518124E-2</v>
      </c>
      <c r="E24" s="287">
        <v>2</v>
      </c>
      <c r="F24" s="288">
        <v>53</v>
      </c>
      <c r="G24" s="286">
        <v>2.1459749456073731E-2</v>
      </c>
      <c r="H24" s="287">
        <v>2</v>
      </c>
      <c r="I24" s="288">
        <v>54</v>
      </c>
      <c r="J24" s="289">
        <v>5.4692205758342365E-3</v>
      </c>
      <c r="K24" s="287">
        <v>1</v>
      </c>
      <c r="L24" s="288">
        <v>18</v>
      </c>
      <c r="M24" s="286">
        <v>0.71431575129506442</v>
      </c>
      <c r="N24" s="287">
        <v>1</v>
      </c>
      <c r="O24" s="288">
        <v>5</v>
      </c>
      <c r="P24" s="290">
        <v>1.3488639694308449</v>
      </c>
      <c r="Q24" s="287">
        <v>2</v>
      </c>
      <c r="R24" s="288">
        <v>85</v>
      </c>
      <c r="S24" s="291">
        <v>3361.500317863954</v>
      </c>
      <c r="T24" s="287">
        <v>4</v>
      </c>
      <c r="U24" s="288">
        <v>192</v>
      </c>
      <c r="V24" s="286">
        <v>0.40655239114831082</v>
      </c>
      <c r="W24" s="287">
        <v>1</v>
      </c>
      <c r="X24" s="288">
        <v>3</v>
      </c>
      <c r="Y24" s="286">
        <v>0.18202886200918283</v>
      </c>
      <c r="Z24" s="287">
        <v>2</v>
      </c>
      <c r="AA24" s="288">
        <v>99</v>
      </c>
      <c r="AB24" s="286">
        <v>3.0304413673196272E-2</v>
      </c>
      <c r="AC24" s="287">
        <v>2</v>
      </c>
      <c r="AD24" s="288">
        <v>82</v>
      </c>
      <c r="AE24" s="292" vm="2239">
        <v>70663</v>
      </c>
      <c r="AF24" s="293">
        <v>4.9455902508297692E-2</v>
      </c>
      <c r="AG24" s="293">
        <v>6.6051288825773213E-2</v>
      </c>
      <c r="AH24" s="293">
        <v>0.1155071913340709</v>
      </c>
      <c r="AI24" s="285" t="str">
        <v>Traditional</v>
      </c>
      <c r="AJ24" s="294" t="str">
        <v>Mixed</v>
      </c>
      <c r="AM24" s="295" t="s">
        <v>665</v>
      </c>
    </row>
    <row r="25" spans="1:39" x14ac:dyDescent="0.25">
      <c r="A25" s="283"/>
      <c r="B25" s="284" t="str" vm="178">
        <v>Trent &amp; Dove Housing Limited</v>
      </c>
      <c r="C25" s="285" t="str" vm="386">
        <v>L4311</v>
      </c>
      <c r="D25" s="286">
        <v>0.10075547471545887</v>
      </c>
      <c r="E25" s="287">
        <v>1</v>
      </c>
      <c r="F25" s="288">
        <v>39</v>
      </c>
      <c r="G25" s="286">
        <v>1.1423550087873463E-2</v>
      </c>
      <c r="H25" s="287">
        <v>3</v>
      </c>
      <c r="I25" s="288">
        <v>114</v>
      </c>
      <c r="J25" s="289">
        <v>0</v>
      </c>
      <c r="K25" s="287">
        <v>2</v>
      </c>
      <c r="L25" s="288">
        <v>72</v>
      </c>
      <c r="M25" s="286">
        <v>0.70743588820054748</v>
      </c>
      <c r="N25" s="287">
        <v>1</v>
      </c>
      <c r="O25" s="288">
        <v>6</v>
      </c>
      <c r="P25" s="290">
        <v>1.1509148646605172</v>
      </c>
      <c r="Q25" s="287">
        <v>3</v>
      </c>
      <c r="R25" s="288">
        <v>117</v>
      </c>
      <c r="S25" s="291">
        <v>4019.2985143207229</v>
      </c>
      <c r="T25" s="287">
        <v>4</v>
      </c>
      <c r="U25" s="288">
        <v>160</v>
      </c>
      <c r="V25" s="286">
        <v>0.19933408719688403</v>
      </c>
      <c r="W25" s="287">
        <v>2</v>
      </c>
      <c r="X25" s="288">
        <v>97</v>
      </c>
      <c r="Y25" s="286">
        <v>0.19281579337984267</v>
      </c>
      <c r="Z25" s="287">
        <v>2</v>
      </c>
      <c r="AA25" s="288">
        <v>91</v>
      </c>
      <c r="AB25" s="286">
        <v>3.2014643946270085E-2</v>
      </c>
      <c r="AC25" s="287">
        <v>2</v>
      </c>
      <c r="AD25" s="288">
        <v>71</v>
      </c>
      <c r="AE25" s="292" vm="6420">
        <v>6529</v>
      </c>
      <c r="AF25" s="293">
        <v>3.0707815138952864E-4</v>
      </c>
      <c r="AG25" s="293">
        <v>2.5333947489636112E-2</v>
      </c>
      <c r="AH25" s="293">
        <v>2.564102564102564E-2</v>
      </c>
      <c r="AI25" s="285" t="str">
        <v>Traditional</v>
      </c>
      <c r="AJ25" s="294" t="str">
        <v>West Midlands</v>
      </c>
      <c r="AM25" s="295" t="s">
        <v>665</v>
      </c>
    </row>
    <row r="26" spans="1:39" x14ac:dyDescent="0.25">
      <c r="A26" s="283"/>
      <c r="B26" s="284" t="str" vm="9">
        <v>Aspire Housing Limited</v>
      </c>
      <c r="C26" s="285" t="str" vm="385">
        <v>L4238</v>
      </c>
      <c r="D26" s="286">
        <v>0.11146065257141681</v>
      </c>
      <c r="E26" s="287">
        <v>1</v>
      </c>
      <c r="F26" s="288">
        <v>25</v>
      </c>
      <c r="G26" s="286">
        <v>1.7663043478260868E-2</v>
      </c>
      <c r="H26" s="287">
        <v>2</v>
      </c>
      <c r="I26" s="288">
        <v>70</v>
      </c>
      <c r="J26" s="289">
        <v>0</v>
      </c>
      <c r="K26" s="287">
        <v>2</v>
      </c>
      <c r="L26" s="288">
        <v>72</v>
      </c>
      <c r="M26" s="286">
        <v>0.6937628004789137</v>
      </c>
      <c r="N26" s="287">
        <v>1</v>
      </c>
      <c r="O26" s="288">
        <v>7</v>
      </c>
      <c r="P26" s="290">
        <v>0.6343742607049917</v>
      </c>
      <c r="Q26" s="287">
        <v>4</v>
      </c>
      <c r="R26" s="288">
        <v>164</v>
      </c>
      <c r="S26" s="291">
        <v>4067.9362362255265</v>
      </c>
      <c r="T26" s="287">
        <v>4</v>
      </c>
      <c r="U26" s="288">
        <v>152</v>
      </c>
      <c r="V26" s="286">
        <v>0.16646604009444882</v>
      </c>
      <c r="W26" s="287">
        <v>3</v>
      </c>
      <c r="X26" s="288">
        <v>130</v>
      </c>
      <c r="Y26" s="286">
        <v>0.10961878719639698</v>
      </c>
      <c r="Z26" s="287">
        <v>4</v>
      </c>
      <c r="AA26" s="288">
        <v>155</v>
      </c>
      <c r="AB26" s="286">
        <v>2.837151249160556E-2</v>
      </c>
      <c r="AC26" s="287">
        <v>3</v>
      </c>
      <c r="AD26" s="288">
        <v>100</v>
      </c>
      <c r="AE26" s="292" vm="6375">
        <v>9300</v>
      </c>
      <c r="AF26" s="293">
        <v>0</v>
      </c>
      <c r="AG26" s="293">
        <v>6.8059444324790011E-2</v>
      </c>
      <c r="AH26" s="293">
        <v>6.8059444324790011E-2</v>
      </c>
      <c r="AI26" s="285" t="str">
        <v>Traditional</v>
      </c>
      <c r="AJ26" s="294" t="str">
        <v>West Midlands</v>
      </c>
      <c r="AM26" s="295" t="s">
        <v>665</v>
      </c>
    </row>
    <row r="27" spans="1:39" x14ac:dyDescent="0.25">
      <c r="A27" s="283"/>
      <c r="B27" s="284" t="str" vm="174">
        <v>Thrive Homes Limited</v>
      </c>
      <c r="C27" s="285" t="str" vm="319">
        <v>L4520</v>
      </c>
      <c r="D27" s="286">
        <v>0.18419459149021175</v>
      </c>
      <c r="E27" s="287">
        <v>1</v>
      </c>
      <c r="F27" s="288">
        <v>4</v>
      </c>
      <c r="G27" s="286">
        <v>1.1534236543390699E-2</v>
      </c>
      <c r="H27" s="287">
        <v>3</v>
      </c>
      <c r="I27" s="288">
        <v>111</v>
      </c>
      <c r="J27" s="289">
        <v>0</v>
      </c>
      <c r="K27" s="287">
        <v>2</v>
      </c>
      <c r="L27" s="288">
        <v>72</v>
      </c>
      <c r="M27" s="286">
        <v>0.68757491010787053</v>
      </c>
      <c r="N27" s="287">
        <v>1</v>
      </c>
      <c r="O27" s="288">
        <v>8</v>
      </c>
      <c r="P27" s="290">
        <v>1.4530750605326876</v>
      </c>
      <c r="Q27" s="287">
        <v>2</v>
      </c>
      <c r="R27" s="288">
        <v>71</v>
      </c>
      <c r="S27" s="291">
        <v>4882.4457593688358</v>
      </c>
      <c r="T27" s="287">
        <v>2</v>
      </c>
      <c r="U27" s="288">
        <v>81</v>
      </c>
      <c r="V27" s="286">
        <v>0.22117624223602483</v>
      </c>
      <c r="W27" s="287">
        <v>2</v>
      </c>
      <c r="X27" s="288">
        <v>80</v>
      </c>
      <c r="Y27" s="286">
        <v>0.28950692704342607</v>
      </c>
      <c r="Z27" s="287">
        <v>1</v>
      </c>
      <c r="AA27" s="288">
        <v>18</v>
      </c>
      <c r="AB27" s="286">
        <v>4.4726348618412327E-2</v>
      </c>
      <c r="AC27" s="287">
        <v>1</v>
      </c>
      <c r="AD27" s="288">
        <v>17</v>
      </c>
      <c r="AE27" s="292" vm="3993">
        <v>4831</v>
      </c>
      <c r="AF27" s="293">
        <v>0</v>
      </c>
      <c r="AG27" s="293">
        <v>0.12084656084656084</v>
      </c>
      <c r="AH27" s="293">
        <v>0.12084656084656084</v>
      </c>
      <c r="AI27" s="285" t="str">
        <v>Traditional</v>
      </c>
      <c r="AJ27" s="294" t="str">
        <v>East of England</v>
      </c>
      <c r="AM27" s="295" t="s">
        <v>665</v>
      </c>
    </row>
    <row r="28" spans="1:39" x14ac:dyDescent="0.25">
      <c r="A28" s="283"/>
      <c r="B28" s="284" t="str" vm="181">
        <v>Two Rivers Housing</v>
      </c>
      <c r="C28" s="285" t="str" vm="333">
        <v>L4385</v>
      </c>
      <c r="D28" s="286">
        <v>0.11024195213106917</v>
      </c>
      <c r="E28" s="287">
        <v>1</v>
      </c>
      <c r="F28" s="288">
        <v>27</v>
      </c>
      <c r="G28" s="286">
        <v>2.2582116788321168E-2</v>
      </c>
      <c r="H28" s="287">
        <v>1</v>
      </c>
      <c r="I28" s="288">
        <v>46</v>
      </c>
      <c r="J28" s="289">
        <v>0</v>
      </c>
      <c r="K28" s="287">
        <v>2</v>
      </c>
      <c r="L28" s="288">
        <v>72</v>
      </c>
      <c r="M28" s="286">
        <v>0.67146333778777312</v>
      </c>
      <c r="N28" s="287">
        <v>1</v>
      </c>
      <c r="O28" s="288">
        <v>9</v>
      </c>
      <c r="P28" s="290">
        <v>1.5832565000921999</v>
      </c>
      <c r="Q28" s="287">
        <v>2</v>
      </c>
      <c r="R28" s="288">
        <v>58</v>
      </c>
      <c r="S28" s="291">
        <v>3954.0282203004094</v>
      </c>
      <c r="T28" s="287">
        <v>4</v>
      </c>
      <c r="U28" s="288">
        <v>169</v>
      </c>
      <c r="V28" s="286">
        <v>0.18476804555350862</v>
      </c>
      <c r="W28" s="287">
        <v>3</v>
      </c>
      <c r="X28" s="288">
        <v>115</v>
      </c>
      <c r="Y28" s="286">
        <v>0.20481417428440335</v>
      </c>
      <c r="Z28" s="287">
        <v>2</v>
      </c>
      <c r="AA28" s="288">
        <v>77</v>
      </c>
      <c r="AB28" s="286">
        <v>3.0768877034856985E-2</v>
      </c>
      <c r="AC28" s="287">
        <v>2</v>
      </c>
      <c r="AD28" s="288">
        <v>79</v>
      </c>
      <c r="AE28" s="292" vm="4476">
        <v>4384</v>
      </c>
      <c r="AF28" s="293">
        <v>0</v>
      </c>
      <c r="AG28" s="293">
        <v>0.13628034814475493</v>
      </c>
      <c r="AH28" s="293">
        <v>0.13628034814475493</v>
      </c>
      <c r="AI28" s="285" t="str">
        <v>Traditional</v>
      </c>
      <c r="AJ28" s="294" t="str">
        <v>South West</v>
      </c>
      <c r="AM28" s="295" t="s">
        <v>665</v>
      </c>
    </row>
    <row r="29" spans="1:39" x14ac:dyDescent="0.25">
      <c r="A29" s="283"/>
      <c r="B29" s="284" t="str" vm="145">
        <v>Saxon Weald</v>
      </c>
      <c r="C29" s="285" t="str" vm="358">
        <v>L4299</v>
      </c>
      <c r="D29" s="286">
        <v>7.4152056594804686E-2</v>
      </c>
      <c r="E29" s="287">
        <v>2</v>
      </c>
      <c r="F29" s="288">
        <v>85</v>
      </c>
      <c r="G29" s="286">
        <v>1.5074626865671641E-2</v>
      </c>
      <c r="H29" s="287">
        <v>2</v>
      </c>
      <c r="I29" s="288">
        <v>81</v>
      </c>
      <c r="J29" s="289">
        <v>0</v>
      </c>
      <c r="K29" s="287">
        <v>2</v>
      </c>
      <c r="L29" s="288">
        <v>72</v>
      </c>
      <c r="M29" s="286">
        <v>0.67083298381008305</v>
      </c>
      <c r="N29" s="287">
        <v>1</v>
      </c>
      <c r="O29" s="288">
        <v>10</v>
      </c>
      <c r="P29" s="290">
        <v>1.4890007661157929</v>
      </c>
      <c r="Q29" s="287">
        <v>2</v>
      </c>
      <c r="R29" s="288">
        <v>65</v>
      </c>
      <c r="S29" s="291">
        <v>5392.6390228222435</v>
      </c>
      <c r="T29" s="287">
        <v>2</v>
      </c>
      <c r="U29" s="288">
        <v>64</v>
      </c>
      <c r="V29" s="286">
        <v>0.20007025401216272</v>
      </c>
      <c r="W29" s="287">
        <v>2</v>
      </c>
      <c r="X29" s="288">
        <v>96</v>
      </c>
      <c r="Y29" s="286">
        <v>0.22320824545346016</v>
      </c>
      <c r="Z29" s="287">
        <v>2</v>
      </c>
      <c r="AA29" s="288">
        <v>58</v>
      </c>
      <c r="AB29" s="286">
        <v>3.5869697931674438E-2</v>
      </c>
      <c r="AC29" s="287">
        <v>2</v>
      </c>
      <c r="AD29" s="288">
        <v>54</v>
      </c>
      <c r="AE29" s="292" vm="5363">
        <v>6164</v>
      </c>
      <c r="AF29" s="293">
        <v>3.114754098360656E-3</v>
      </c>
      <c r="AG29" s="293">
        <v>0.20885245901639343</v>
      </c>
      <c r="AH29" s="293">
        <v>0.21196721311475408</v>
      </c>
      <c r="AI29" s="285" t="str">
        <v>Traditional</v>
      </c>
      <c r="AJ29" s="294" t="str">
        <v>South East</v>
      </c>
      <c r="AM29" s="295" t="s">
        <v>665</v>
      </c>
    </row>
    <row r="30" spans="1:39" x14ac:dyDescent="0.25">
      <c r="A30" s="283"/>
      <c r="B30" s="284" t="str" vm="172">
        <v>The Wrekin Housing Group Limited</v>
      </c>
      <c r="C30" s="285" t="str" vm="282">
        <v>LH4220</v>
      </c>
      <c r="D30" s="286">
        <v>0.10578079070029081</v>
      </c>
      <c r="E30" s="287">
        <v>1</v>
      </c>
      <c r="F30" s="288">
        <v>31</v>
      </c>
      <c r="G30" s="286">
        <v>3.4818637784400669E-2</v>
      </c>
      <c r="H30" s="287">
        <v>1</v>
      </c>
      <c r="I30" s="288">
        <v>12</v>
      </c>
      <c r="J30" s="289">
        <v>0</v>
      </c>
      <c r="K30" s="287">
        <v>2</v>
      </c>
      <c r="L30" s="288">
        <v>72</v>
      </c>
      <c r="M30" s="286">
        <v>0.66619789615795688</v>
      </c>
      <c r="N30" s="287">
        <v>1</v>
      </c>
      <c r="O30" s="288">
        <v>11</v>
      </c>
      <c r="P30" s="290">
        <v>1.3644934911876574</v>
      </c>
      <c r="Q30" s="287">
        <v>2</v>
      </c>
      <c r="R30" s="288">
        <v>82</v>
      </c>
      <c r="S30" s="291">
        <v>4469.7783493456382</v>
      </c>
      <c r="T30" s="287">
        <v>3</v>
      </c>
      <c r="U30" s="288">
        <v>110</v>
      </c>
      <c r="V30" s="286">
        <v>0.21200868513903626</v>
      </c>
      <c r="W30" s="287">
        <v>2</v>
      </c>
      <c r="X30" s="288">
        <v>88</v>
      </c>
      <c r="Y30" s="286">
        <v>0.18696685913921102</v>
      </c>
      <c r="Z30" s="287">
        <v>2</v>
      </c>
      <c r="AA30" s="288">
        <v>94</v>
      </c>
      <c r="AB30" s="286">
        <v>2.6659063189666977E-2</v>
      </c>
      <c r="AC30" s="287">
        <v>3</v>
      </c>
      <c r="AD30" s="288">
        <v>113</v>
      </c>
      <c r="AE30" s="292" vm="2169">
        <v>13167</v>
      </c>
      <c r="AF30" s="293">
        <v>6.8053219146658513E-3</v>
      </c>
      <c r="AG30" s="293">
        <v>9.9938828567059185E-2</v>
      </c>
      <c r="AH30" s="293">
        <v>0.10674415048172503</v>
      </c>
      <c r="AI30" s="285" t="str">
        <v>Traditional</v>
      </c>
      <c r="AJ30" s="294" t="str">
        <v>West Midlands</v>
      </c>
      <c r="AM30" s="295" t="s">
        <v>665</v>
      </c>
    </row>
    <row r="31" spans="1:39" x14ac:dyDescent="0.25">
      <c r="A31" s="283"/>
      <c r="B31" s="284" t="str" vm="28">
        <v>Chelmer Housing Partnership Limited</v>
      </c>
      <c r="C31" s="285" t="str" vm="279">
        <v>L4331</v>
      </c>
      <c r="D31" s="286">
        <v>6.863181557114631E-2</v>
      </c>
      <c r="E31" s="287">
        <v>2</v>
      </c>
      <c r="F31" s="288">
        <v>92</v>
      </c>
      <c r="G31" s="286">
        <v>2.7029520295202954E-2</v>
      </c>
      <c r="H31" s="287">
        <v>1</v>
      </c>
      <c r="I31" s="288">
        <v>25</v>
      </c>
      <c r="J31" s="289">
        <v>0</v>
      </c>
      <c r="K31" s="287">
        <v>2</v>
      </c>
      <c r="L31" s="288">
        <v>72</v>
      </c>
      <c r="M31" s="286">
        <v>0.66291691742857062</v>
      </c>
      <c r="N31" s="287">
        <v>1</v>
      </c>
      <c r="O31" s="288">
        <v>12</v>
      </c>
      <c r="P31" s="290">
        <v>1.0415794481446241</v>
      </c>
      <c r="Q31" s="287">
        <v>3</v>
      </c>
      <c r="R31" s="288">
        <v>133</v>
      </c>
      <c r="S31" s="291">
        <v>4623.0529595015578</v>
      </c>
      <c r="T31" s="287">
        <v>2</v>
      </c>
      <c r="U31" s="288">
        <v>97</v>
      </c>
      <c r="V31" s="286">
        <v>0.19891158608723086</v>
      </c>
      <c r="W31" s="287">
        <v>2</v>
      </c>
      <c r="X31" s="288">
        <v>98</v>
      </c>
      <c r="Y31" s="286">
        <v>0.23009693719707125</v>
      </c>
      <c r="Z31" s="287">
        <v>2</v>
      </c>
      <c r="AA31" s="288">
        <v>50</v>
      </c>
      <c r="AB31" s="286">
        <v>2.5971749798769247E-2</v>
      </c>
      <c r="AC31" s="287">
        <v>3</v>
      </c>
      <c r="AD31" s="288">
        <v>118</v>
      </c>
      <c r="AE31" s="292" vm="2632">
        <v>10036</v>
      </c>
      <c r="AF31" s="293">
        <v>2.8050490883590462E-3</v>
      </c>
      <c r="AG31" s="293">
        <v>0</v>
      </c>
      <c r="AH31" s="293">
        <v>2.8050490883590462E-3</v>
      </c>
      <c r="AI31" s="285" t="str">
        <v>Traditional</v>
      </c>
      <c r="AJ31" s="294" t="str">
        <v>East of England</v>
      </c>
      <c r="AM31" s="295" t="s">
        <v>665</v>
      </c>
    </row>
    <row r="32" spans="1:39" x14ac:dyDescent="0.25">
      <c r="A32" s="283"/>
      <c r="B32" s="284" t="str" vm="76">
        <v>Housing Solutions</v>
      </c>
      <c r="C32" s="285" t="str" vm="377">
        <v>L4073</v>
      </c>
      <c r="D32" s="286">
        <v>2.2673479546124073E-2</v>
      </c>
      <c r="E32" s="287">
        <v>4</v>
      </c>
      <c r="F32" s="288">
        <v>185</v>
      </c>
      <c r="G32" s="286">
        <v>5.6346846141806231E-3</v>
      </c>
      <c r="H32" s="287">
        <v>4</v>
      </c>
      <c r="I32" s="288">
        <v>154</v>
      </c>
      <c r="J32" s="289">
        <v>0</v>
      </c>
      <c r="K32" s="287">
        <v>2</v>
      </c>
      <c r="L32" s="288">
        <v>72</v>
      </c>
      <c r="M32" s="286">
        <v>0.64691947460915677</v>
      </c>
      <c r="N32" s="287">
        <v>1</v>
      </c>
      <c r="O32" s="288">
        <v>13</v>
      </c>
      <c r="P32" s="290">
        <v>1.5211705661977803</v>
      </c>
      <c r="Q32" s="287">
        <v>2</v>
      </c>
      <c r="R32" s="288">
        <v>62</v>
      </c>
      <c r="S32" s="291">
        <v>4277.0386601972141</v>
      </c>
      <c r="T32" s="287">
        <v>3</v>
      </c>
      <c r="U32" s="288">
        <v>131</v>
      </c>
      <c r="V32" s="286">
        <v>0.35506343200534163</v>
      </c>
      <c r="W32" s="287">
        <v>1</v>
      </c>
      <c r="X32" s="288">
        <v>8</v>
      </c>
      <c r="Y32" s="286">
        <v>0.34072156307623536</v>
      </c>
      <c r="Z32" s="287">
        <v>1</v>
      </c>
      <c r="AA32" s="288">
        <v>6</v>
      </c>
      <c r="AB32" s="286">
        <v>3.7126097218579825E-2</v>
      </c>
      <c r="AC32" s="287">
        <v>1</v>
      </c>
      <c r="AD32" s="288">
        <v>44</v>
      </c>
      <c r="AE32" s="292" vm="6076">
        <v>6389</v>
      </c>
      <c r="AF32" s="293">
        <v>4.2976773581924477E-2</v>
      </c>
      <c r="AG32" s="293">
        <v>4.7242850371306683E-2</v>
      </c>
      <c r="AH32" s="293">
        <v>9.0219623953231159E-2</v>
      </c>
      <c r="AI32" s="285" t="str">
        <v>Traditional</v>
      </c>
      <c r="AJ32" s="294" t="str">
        <v>South East</v>
      </c>
      <c r="AM32" s="295" t="s">
        <v>665</v>
      </c>
    </row>
    <row r="33" spans="1:39" x14ac:dyDescent="0.25">
      <c r="A33" s="283"/>
      <c r="B33" s="284" t="str" vm="19">
        <v>bpha Limited</v>
      </c>
      <c r="C33" s="285" t="str" vm="294">
        <v>LH3887</v>
      </c>
      <c r="D33" s="286">
        <v>5.24961697453242E-2</v>
      </c>
      <c r="E33" s="287">
        <v>3</v>
      </c>
      <c r="F33" s="288">
        <v>143</v>
      </c>
      <c r="G33" s="286">
        <v>1.3788138878121713E-2</v>
      </c>
      <c r="H33" s="287">
        <v>2</v>
      </c>
      <c r="I33" s="288">
        <v>92</v>
      </c>
      <c r="J33" s="289">
        <v>0</v>
      </c>
      <c r="K33" s="287">
        <v>2</v>
      </c>
      <c r="L33" s="288">
        <v>72</v>
      </c>
      <c r="M33" s="286">
        <v>0.63951712165680008</v>
      </c>
      <c r="N33" s="287">
        <v>1</v>
      </c>
      <c r="O33" s="288">
        <v>14</v>
      </c>
      <c r="P33" s="290">
        <v>1.3059675565888986</v>
      </c>
      <c r="Q33" s="287">
        <v>2</v>
      </c>
      <c r="R33" s="288">
        <v>91</v>
      </c>
      <c r="S33" s="291">
        <v>4054.3108909750617</v>
      </c>
      <c r="T33" s="287">
        <v>4</v>
      </c>
      <c r="U33" s="288">
        <v>155</v>
      </c>
      <c r="V33" s="286">
        <v>0.38660239997813234</v>
      </c>
      <c r="W33" s="287">
        <v>1</v>
      </c>
      <c r="X33" s="288">
        <v>6</v>
      </c>
      <c r="Y33" s="286">
        <v>0.36156807314065742</v>
      </c>
      <c r="Z33" s="287">
        <v>1</v>
      </c>
      <c r="AA33" s="288">
        <v>3</v>
      </c>
      <c r="AB33" s="286">
        <v>4.0759153236486621E-2</v>
      </c>
      <c r="AC33" s="287">
        <v>1</v>
      </c>
      <c r="AD33" s="288">
        <v>27</v>
      </c>
      <c r="AE33" s="292" vm="3145">
        <v>17363</v>
      </c>
      <c r="AF33" s="293">
        <v>1.1210117849956885E-2</v>
      </c>
      <c r="AG33" s="293">
        <v>5.8005173900546131E-2</v>
      </c>
      <c r="AH33" s="293">
        <v>6.9215291750503019E-2</v>
      </c>
      <c r="AI33" s="285" t="str">
        <v>Traditional</v>
      </c>
      <c r="AJ33" s="294" t="str">
        <v>East of England</v>
      </c>
      <c r="AM33" s="295" t="s">
        <v>665</v>
      </c>
    </row>
    <row r="34" spans="1:39" x14ac:dyDescent="0.25">
      <c r="A34" s="283"/>
      <c r="B34" s="284" t="str" vm="4">
        <v>Acis Group Limited</v>
      </c>
      <c r="C34" s="285" t="str" vm="392">
        <v>L4229</v>
      </c>
      <c r="D34" s="286">
        <v>7.9237709674745069E-2</v>
      </c>
      <c r="E34" s="287">
        <v>2</v>
      </c>
      <c r="F34" s="288">
        <v>75</v>
      </c>
      <c r="G34" s="286">
        <v>1.3464447806354009E-2</v>
      </c>
      <c r="H34" s="287">
        <v>2</v>
      </c>
      <c r="I34" s="288">
        <v>95</v>
      </c>
      <c r="J34" s="289">
        <v>1.4082703879144795E-3</v>
      </c>
      <c r="K34" s="287">
        <v>1</v>
      </c>
      <c r="L34" s="288">
        <v>41</v>
      </c>
      <c r="M34" s="286">
        <v>0.63454071904275011</v>
      </c>
      <c r="N34" s="287">
        <v>1</v>
      </c>
      <c r="O34" s="288">
        <v>15</v>
      </c>
      <c r="P34" s="290">
        <v>1.3027703557868091</v>
      </c>
      <c r="Q34" s="287">
        <v>2</v>
      </c>
      <c r="R34" s="288">
        <v>93</v>
      </c>
      <c r="S34" s="291">
        <v>3646.7473524962179</v>
      </c>
      <c r="T34" s="287">
        <v>4</v>
      </c>
      <c r="U34" s="288">
        <v>186</v>
      </c>
      <c r="V34" s="286">
        <v>0.25210028878970858</v>
      </c>
      <c r="W34" s="287">
        <v>2</v>
      </c>
      <c r="X34" s="288">
        <v>53</v>
      </c>
      <c r="Y34" s="286">
        <v>0.26013277428371767</v>
      </c>
      <c r="Z34" s="287">
        <v>1</v>
      </c>
      <c r="AA34" s="288">
        <v>30</v>
      </c>
      <c r="AB34" s="286">
        <v>3.8941271273408497E-2</v>
      </c>
      <c r="AC34" s="287">
        <v>1</v>
      </c>
      <c r="AD34" s="288">
        <v>34</v>
      </c>
      <c r="AE34" s="292" vm="6661">
        <v>6610</v>
      </c>
      <c r="AF34" s="293">
        <v>9.1130012150668284E-4</v>
      </c>
      <c r="AG34" s="293">
        <v>3.8274605103280679E-2</v>
      </c>
      <c r="AH34" s="293">
        <v>3.9185905224787362E-2</v>
      </c>
      <c r="AI34" s="285" t="str">
        <v>Traditional</v>
      </c>
      <c r="AJ34" s="294" t="str">
        <v>East Midlands</v>
      </c>
      <c r="AM34" s="295" t="s">
        <v>665</v>
      </c>
    </row>
    <row r="35" spans="1:39" x14ac:dyDescent="0.25">
      <c r="A35" s="283"/>
      <c r="B35" s="284" t="str" vm="11">
        <v>B3 Living Limited</v>
      </c>
      <c r="C35" s="285" t="str" vm="326">
        <v>L4455</v>
      </c>
      <c r="D35" s="286">
        <v>8.1123874768960977E-2</v>
      </c>
      <c r="E35" s="287">
        <v>2</v>
      </c>
      <c r="F35" s="288">
        <v>70</v>
      </c>
      <c r="G35" s="286">
        <v>4.9246039320481008E-2</v>
      </c>
      <c r="H35" s="287">
        <v>1</v>
      </c>
      <c r="I35" s="288">
        <v>5</v>
      </c>
      <c r="J35" s="289">
        <v>0</v>
      </c>
      <c r="K35" s="287">
        <v>2</v>
      </c>
      <c r="L35" s="288">
        <v>72</v>
      </c>
      <c r="M35" s="286">
        <v>0.63280407259514393</v>
      </c>
      <c r="N35" s="287">
        <v>1</v>
      </c>
      <c r="O35" s="288">
        <v>16</v>
      </c>
      <c r="P35" s="290">
        <v>1.6856588677415445</v>
      </c>
      <c r="Q35" s="287">
        <v>2</v>
      </c>
      <c r="R35" s="288">
        <v>51</v>
      </c>
      <c r="S35" s="291">
        <v>4487.6651982378853</v>
      </c>
      <c r="T35" s="287">
        <v>3</v>
      </c>
      <c r="U35" s="288">
        <v>109</v>
      </c>
      <c r="V35" s="286">
        <v>0.40549119187430566</v>
      </c>
      <c r="W35" s="287">
        <v>1</v>
      </c>
      <c r="X35" s="288">
        <v>4</v>
      </c>
      <c r="Y35" s="286">
        <v>0.34316795780451625</v>
      </c>
      <c r="Z35" s="287">
        <v>1</v>
      </c>
      <c r="AA35" s="288">
        <v>4</v>
      </c>
      <c r="AB35" s="286">
        <v>4.5431453230143047E-2</v>
      </c>
      <c r="AC35" s="287">
        <v>1</v>
      </c>
      <c r="AD35" s="288">
        <v>14</v>
      </c>
      <c r="AE35" s="292" vm="4248">
        <v>4540</v>
      </c>
      <c r="AF35" s="293">
        <v>0</v>
      </c>
      <c r="AG35" s="293">
        <v>6.4061790095411172E-2</v>
      </c>
      <c r="AH35" s="293">
        <v>6.4061790095411172E-2</v>
      </c>
      <c r="AI35" s="285" t="str">
        <v>Traditional</v>
      </c>
      <c r="AJ35" s="294" t="str">
        <v>East of England</v>
      </c>
      <c r="AM35" s="295" t="s">
        <v>665</v>
      </c>
    </row>
    <row r="36" spans="1:39" x14ac:dyDescent="0.25">
      <c r="A36" s="283"/>
      <c r="B36" s="284" t="str" vm="72">
        <v>Hightown Housing Association Limited</v>
      </c>
      <c r="C36" s="285" t="str" vm="349">
        <v>L2179</v>
      </c>
      <c r="D36" s="286">
        <v>0.11007676260539605</v>
      </c>
      <c r="E36" s="287">
        <v>1</v>
      </c>
      <c r="F36" s="288">
        <v>28</v>
      </c>
      <c r="G36" s="286">
        <v>7.3795600111389581E-2</v>
      </c>
      <c r="H36" s="287">
        <v>1</v>
      </c>
      <c r="I36" s="288">
        <v>3</v>
      </c>
      <c r="J36" s="289">
        <v>0</v>
      </c>
      <c r="K36" s="287">
        <v>2</v>
      </c>
      <c r="L36" s="288">
        <v>72</v>
      </c>
      <c r="M36" s="286">
        <v>0.63196853566081113</v>
      </c>
      <c r="N36" s="287">
        <v>1</v>
      </c>
      <c r="O36" s="288">
        <v>17</v>
      </c>
      <c r="P36" s="290">
        <v>1.6787606682036971</v>
      </c>
      <c r="Q36" s="287">
        <v>2</v>
      </c>
      <c r="R36" s="288">
        <v>52</v>
      </c>
      <c r="S36" s="291">
        <v>6765.6821378340364</v>
      </c>
      <c r="T36" s="287">
        <v>1</v>
      </c>
      <c r="U36" s="288">
        <v>37</v>
      </c>
      <c r="V36" s="286">
        <v>0.34278662035446644</v>
      </c>
      <c r="W36" s="287">
        <v>1</v>
      </c>
      <c r="X36" s="288">
        <v>15</v>
      </c>
      <c r="Y36" s="286">
        <v>0.31144450202834317</v>
      </c>
      <c r="Z36" s="287">
        <v>1</v>
      </c>
      <c r="AA36" s="288">
        <v>10</v>
      </c>
      <c r="AB36" s="286">
        <v>3.599528521449271E-2</v>
      </c>
      <c r="AC36" s="287">
        <v>2</v>
      </c>
      <c r="AD36" s="288">
        <v>52</v>
      </c>
      <c r="AE36" s="292" vm="5050">
        <v>6980</v>
      </c>
      <c r="AF36" s="293">
        <v>5.5989946942194918E-2</v>
      </c>
      <c r="AG36" s="293">
        <v>1.1309690030717677E-2</v>
      </c>
      <c r="AH36" s="293">
        <v>6.7299636972912594E-2</v>
      </c>
      <c r="AI36" s="285" t="str">
        <v>Traditional</v>
      </c>
      <c r="AJ36" s="294" t="str">
        <v>East of England</v>
      </c>
      <c r="AM36" s="295" t="s">
        <v>665</v>
      </c>
    </row>
    <row r="37" spans="1:39" x14ac:dyDescent="0.25">
      <c r="A37" s="283"/>
      <c r="B37" s="284" t="str" vm="168">
        <v>The Housing Plus Group Limited</v>
      </c>
      <c r="C37" s="285" t="str" vm="293">
        <v>L4491</v>
      </c>
      <c r="D37" s="286">
        <v>4.9861533144521693E-2</v>
      </c>
      <c r="E37" s="287">
        <v>3</v>
      </c>
      <c r="F37" s="288">
        <v>144</v>
      </c>
      <c r="G37" s="286">
        <v>8.1699346405228763E-3</v>
      </c>
      <c r="H37" s="287">
        <v>3</v>
      </c>
      <c r="I37" s="288">
        <v>137</v>
      </c>
      <c r="J37" s="289">
        <v>1.0639375823285034E-3</v>
      </c>
      <c r="K37" s="287">
        <v>1</v>
      </c>
      <c r="L37" s="288">
        <v>44</v>
      </c>
      <c r="M37" s="286">
        <v>0.62349133964999526</v>
      </c>
      <c r="N37" s="287">
        <v>1</v>
      </c>
      <c r="O37" s="288">
        <v>18</v>
      </c>
      <c r="P37" s="290">
        <v>1.1993868218665558</v>
      </c>
      <c r="Q37" s="287">
        <v>3</v>
      </c>
      <c r="R37" s="288">
        <v>109</v>
      </c>
      <c r="S37" s="291">
        <v>4059.6541329525621</v>
      </c>
      <c r="T37" s="287">
        <v>4</v>
      </c>
      <c r="U37" s="288">
        <v>153</v>
      </c>
      <c r="V37" s="286">
        <v>0.19603840154108693</v>
      </c>
      <c r="W37" s="287">
        <v>3</v>
      </c>
      <c r="X37" s="288">
        <v>102</v>
      </c>
      <c r="Y37" s="286">
        <v>0.1964317797980524</v>
      </c>
      <c r="Z37" s="287">
        <v>2</v>
      </c>
      <c r="AA37" s="288">
        <v>85</v>
      </c>
      <c r="AB37" s="286">
        <v>3.6128352591596039E-2</v>
      </c>
      <c r="AC37" s="287">
        <v>2</v>
      </c>
      <c r="AD37" s="288">
        <v>51</v>
      </c>
      <c r="AE37" s="292" vm="7081">
        <v>18908</v>
      </c>
      <c r="AF37" s="293">
        <v>1.3177392040643523E-2</v>
      </c>
      <c r="AG37" s="293">
        <v>9.785139712108383E-2</v>
      </c>
      <c r="AH37" s="293">
        <v>0.11102878916172736</v>
      </c>
      <c r="AI37" s="285" t="str">
        <v>Traditional</v>
      </c>
      <c r="AJ37" s="294" t="str">
        <v>West Midlands</v>
      </c>
      <c r="AM37" s="295" t="s">
        <v>665</v>
      </c>
    </row>
    <row r="38" spans="1:39" x14ac:dyDescent="0.25">
      <c r="A38" s="283"/>
      <c r="B38" s="284" t="str" vm="80">
        <v>Incommunities Limited</v>
      </c>
      <c r="C38" s="285" t="str" vm="339">
        <v>L4476</v>
      </c>
      <c r="D38" s="286">
        <v>0.11045786123070164</v>
      </c>
      <c r="E38" s="287">
        <v>1</v>
      </c>
      <c r="F38" s="288">
        <v>26</v>
      </c>
      <c r="G38" s="286">
        <v>4.3010752688172043E-3</v>
      </c>
      <c r="H38" s="287">
        <v>4</v>
      </c>
      <c r="I38" s="288">
        <v>163</v>
      </c>
      <c r="J38" s="289">
        <v>0</v>
      </c>
      <c r="K38" s="287">
        <v>2</v>
      </c>
      <c r="L38" s="288">
        <v>72</v>
      </c>
      <c r="M38" s="286">
        <v>0.61820211843198891</v>
      </c>
      <c r="N38" s="287">
        <v>1</v>
      </c>
      <c r="O38" s="288">
        <v>19</v>
      </c>
      <c r="P38" s="290">
        <v>0.12554112554112554</v>
      </c>
      <c r="Q38" s="287">
        <v>4</v>
      </c>
      <c r="R38" s="288">
        <v>182</v>
      </c>
      <c r="S38" s="291">
        <v>4534.7519048504</v>
      </c>
      <c r="T38" s="287">
        <v>3</v>
      </c>
      <c r="U38" s="288">
        <v>104</v>
      </c>
      <c r="V38" s="286">
        <v>3.9072294191391556E-2</v>
      </c>
      <c r="W38" s="287">
        <v>4</v>
      </c>
      <c r="X38" s="288">
        <v>189</v>
      </c>
      <c r="Y38" s="286">
        <v>5.3204526741091093E-2</v>
      </c>
      <c r="Z38" s="287">
        <v>4</v>
      </c>
      <c r="AA38" s="288">
        <v>181</v>
      </c>
      <c r="AB38" s="286">
        <v>2.6568390279878888E-2</v>
      </c>
      <c r="AC38" s="287">
        <v>3</v>
      </c>
      <c r="AD38" s="288">
        <v>114</v>
      </c>
      <c r="AE38" s="292" vm="4697">
        <v>21192</v>
      </c>
      <c r="AF38" s="293">
        <v>3.0689329556185078E-3</v>
      </c>
      <c r="AG38" s="293">
        <v>3.375826251180359E-2</v>
      </c>
      <c r="AH38" s="293">
        <v>3.6827195467422094E-2</v>
      </c>
      <c r="AI38" s="285" t="str">
        <v>Traditional</v>
      </c>
      <c r="AJ38" s="294" t="str">
        <v>Yorkshire &amp; the Humber</v>
      </c>
      <c r="AM38" s="295" t="s">
        <v>665</v>
      </c>
    </row>
    <row r="39" spans="1:39" x14ac:dyDescent="0.25">
      <c r="A39" s="283"/>
      <c r="B39" s="284" t="str" vm="141">
        <v>Saffron Housing Trust Limited</v>
      </c>
      <c r="C39" s="285" t="str" vm="384">
        <v>LH4412</v>
      </c>
      <c r="D39" s="286">
        <v>0.11918287015705428</v>
      </c>
      <c r="E39" s="287">
        <v>1</v>
      </c>
      <c r="F39" s="288">
        <v>19</v>
      </c>
      <c r="G39" s="286">
        <v>1.5544823422879566E-2</v>
      </c>
      <c r="H39" s="287">
        <v>2</v>
      </c>
      <c r="I39" s="288">
        <v>80</v>
      </c>
      <c r="J39" s="289">
        <v>3.8650215549279024E-3</v>
      </c>
      <c r="K39" s="287">
        <v>1</v>
      </c>
      <c r="L39" s="288">
        <v>25</v>
      </c>
      <c r="M39" s="286">
        <v>0.6181988125485447</v>
      </c>
      <c r="N39" s="287">
        <v>1</v>
      </c>
      <c r="O39" s="288">
        <v>20</v>
      </c>
      <c r="P39" s="290">
        <v>0.53448596393381664</v>
      </c>
      <c r="Q39" s="287">
        <v>4</v>
      </c>
      <c r="R39" s="288">
        <v>168</v>
      </c>
      <c r="S39" s="291">
        <v>4068.970721400543</v>
      </c>
      <c r="T39" s="287">
        <v>4</v>
      </c>
      <c r="U39" s="288">
        <v>151</v>
      </c>
      <c r="V39" s="286">
        <v>0.26149595421353861</v>
      </c>
      <c r="W39" s="287">
        <v>1</v>
      </c>
      <c r="X39" s="288">
        <v>48</v>
      </c>
      <c r="Y39" s="286">
        <v>0.26367750763077569</v>
      </c>
      <c r="Z39" s="287">
        <v>1</v>
      </c>
      <c r="AA39" s="288">
        <v>26</v>
      </c>
      <c r="AB39" s="286">
        <v>4.3181259278824699E-2</v>
      </c>
      <c r="AC39" s="287">
        <v>1</v>
      </c>
      <c r="AD39" s="288">
        <v>19</v>
      </c>
      <c r="AE39" s="292" vm="6336">
        <v>6626</v>
      </c>
      <c r="AF39" s="293">
        <v>1.9461310913903161E-2</v>
      </c>
      <c r="AG39" s="293">
        <v>9.5905340183714771E-2</v>
      </c>
      <c r="AH39" s="293">
        <v>0.11536665109761793</v>
      </c>
      <c r="AI39" s="285" t="str">
        <v>Traditional</v>
      </c>
      <c r="AJ39" s="294" t="str">
        <v>East of England</v>
      </c>
      <c r="AM39" s="295" t="s">
        <v>665</v>
      </c>
    </row>
    <row r="40" spans="1:39" x14ac:dyDescent="0.25">
      <c r="A40" s="283"/>
      <c r="B40" s="284" t="str" vm="103">
        <v>Mount Green Housing Association Limited</v>
      </c>
      <c r="C40" s="285" t="str" vm="218">
        <v>L0042</v>
      </c>
      <c r="D40" s="286">
        <v>6.7473304902641404E-2</v>
      </c>
      <c r="E40" s="287">
        <v>2</v>
      </c>
      <c r="F40" s="288">
        <v>98</v>
      </c>
      <c r="G40" s="286">
        <v>2.6378896882494004E-2</v>
      </c>
      <c r="H40" s="287">
        <v>1</v>
      </c>
      <c r="I40" s="288">
        <v>27</v>
      </c>
      <c r="J40" s="289">
        <v>0</v>
      </c>
      <c r="K40" s="287">
        <v>2</v>
      </c>
      <c r="L40" s="288">
        <v>72</v>
      </c>
      <c r="M40" s="286">
        <v>0.61582201064497999</v>
      </c>
      <c r="N40" s="287">
        <v>1</v>
      </c>
      <c r="O40" s="288">
        <v>21</v>
      </c>
      <c r="P40" s="290">
        <v>0.89723926380368102</v>
      </c>
      <c r="Q40" s="287">
        <v>3</v>
      </c>
      <c r="R40" s="288">
        <v>146</v>
      </c>
      <c r="S40" s="291">
        <v>5720.709309689677</v>
      </c>
      <c r="T40" s="287">
        <v>2</v>
      </c>
      <c r="U40" s="288">
        <v>53</v>
      </c>
      <c r="V40" s="286">
        <v>0.30221959659042957</v>
      </c>
      <c r="W40" s="287">
        <v>1</v>
      </c>
      <c r="X40" s="288">
        <v>27</v>
      </c>
      <c r="Y40" s="286">
        <v>0.29601628380343126</v>
      </c>
      <c r="Z40" s="287">
        <v>1</v>
      </c>
      <c r="AA40" s="288">
        <v>17</v>
      </c>
      <c r="AB40" s="286">
        <v>3.7905047112449436E-2</v>
      </c>
      <c r="AC40" s="287">
        <v>1</v>
      </c>
      <c r="AD40" s="288">
        <v>40</v>
      </c>
      <c r="AE40" s="292" vm="1035">
        <v>1579</v>
      </c>
      <c r="AF40" s="293">
        <v>3.2092426187419767E-2</v>
      </c>
      <c r="AG40" s="293">
        <v>0.18421052631578946</v>
      </c>
      <c r="AH40" s="293">
        <v>0.21630295250320924</v>
      </c>
      <c r="AI40" s="285" t="str">
        <v>Traditional</v>
      </c>
      <c r="AJ40" s="294" t="str">
        <v>South East</v>
      </c>
      <c r="AM40" s="295" t="s">
        <v>665</v>
      </c>
    </row>
    <row r="41" spans="1:39" x14ac:dyDescent="0.25">
      <c r="A41" s="283"/>
      <c r="B41" s="284" t="str" vm="165">
        <v>The Community Housing Group Limited</v>
      </c>
      <c r="C41" s="285" t="str" vm="378">
        <v>LH4264</v>
      </c>
      <c r="D41" s="286">
        <v>6.085748748126759E-2</v>
      </c>
      <c r="E41" s="287">
        <v>3</v>
      </c>
      <c r="F41" s="288">
        <v>116</v>
      </c>
      <c r="G41" s="286">
        <v>1.4523498694516971E-2</v>
      </c>
      <c r="H41" s="287">
        <v>2</v>
      </c>
      <c r="I41" s="288">
        <v>86</v>
      </c>
      <c r="J41" s="289">
        <v>0</v>
      </c>
      <c r="K41" s="287">
        <v>2</v>
      </c>
      <c r="L41" s="288">
        <v>72</v>
      </c>
      <c r="M41" s="286">
        <v>0.61538555259085981</v>
      </c>
      <c r="N41" s="287">
        <v>1</v>
      </c>
      <c r="O41" s="288">
        <v>22</v>
      </c>
      <c r="P41" s="290">
        <v>0.94033283723447436</v>
      </c>
      <c r="Q41" s="287">
        <v>3</v>
      </c>
      <c r="R41" s="288">
        <v>144</v>
      </c>
      <c r="S41" s="291">
        <v>4251.1589403973512</v>
      </c>
      <c r="T41" s="287">
        <v>3</v>
      </c>
      <c r="U41" s="288">
        <v>132</v>
      </c>
      <c r="V41" s="286">
        <v>0.31006040137689161</v>
      </c>
      <c r="W41" s="287">
        <v>1</v>
      </c>
      <c r="X41" s="288">
        <v>23</v>
      </c>
      <c r="Y41" s="286">
        <v>0.24028402623448425</v>
      </c>
      <c r="Z41" s="287">
        <v>1</v>
      </c>
      <c r="AA41" s="288">
        <v>43</v>
      </c>
      <c r="AB41" s="286">
        <v>3.2006612639485364E-2</v>
      </c>
      <c r="AC41" s="287">
        <v>2</v>
      </c>
      <c r="AD41" s="288">
        <v>72</v>
      </c>
      <c r="AE41" s="292" vm="6113">
        <v>6040</v>
      </c>
      <c r="AF41" s="293">
        <v>0.31937779248717524</v>
      </c>
      <c r="AG41" s="293">
        <v>0</v>
      </c>
      <c r="AH41" s="293">
        <v>0.31937779248717524</v>
      </c>
      <c r="AI41" s="285" t="str">
        <v>Traditional</v>
      </c>
      <c r="AJ41" s="294" t="str">
        <v>West Midlands</v>
      </c>
      <c r="AM41" s="295" t="s">
        <v>665</v>
      </c>
    </row>
    <row r="42" spans="1:39" x14ac:dyDescent="0.25">
      <c r="A42" s="283"/>
      <c r="B42" s="284" t="str" vm="37">
        <v>Connexus Homes Limited</v>
      </c>
      <c r="C42" s="285" t="str" vm="277">
        <v>LH4353</v>
      </c>
      <c r="D42" s="286">
        <v>0.10132529363733433</v>
      </c>
      <c r="E42" s="287">
        <v>1</v>
      </c>
      <c r="F42" s="288">
        <v>37</v>
      </c>
      <c r="G42" s="286">
        <v>1.9767659733932921E-2</v>
      </c>
      <c r="H42" s="287">
        <v>2</v>
      </c>
      <c r="I42" s="288">
        <v>60</v>
      </c>
      <c r="J42" s="289">
        <v>0</v>
      </c>
      <c r="K42" s="287">
        <v>2</v>
      </c>
      <c r="L42" s="288">
        <v>72</v>
      </c>
      <c r="M42" s="286">
        <v>0.60846429244394196</v>
      </c>
      <c r="N42" s="287">
        <v>1</v>
      </c>
      <c r="O42" s="288">
        <v>23</v>
      </c>
      <c r="P42" s="290">
        <v>0.51223676721684686</v>
      </c>
      <c r="Q42" s="287">
        <v>4</v>
      </c>
      <c r="R42" s="288">
        <v>170</v>
      </c>
      <c r="S42" s="291">
        <v>4861.5197226646678</v>
      </c>
      <c r="T42" s="287">
        <v>2</v>
      </c>
      <c r="U42" s="288">
        <v>82</v>
      </c>
      <c r="V42" s="286">
        <v>0.15357189281536091</v>
      </c>
      <c r="W42" s="287">
        <v>3</v>
      </c>
      <c r="X42" s="288">
        <v>141</v>
      </c>
      <c r="Y42" s="286">
        <v>0.15206923873956238</v>
      </c>
      <c r="Z42" s="287">
        <v>3</v>
      </c>
      <c r="AA42" s="288">
        <v>132</v>
      </c>
      <c r="AB42" s="286">
        <v>2.7476818751723673E-2</v>
      </c>
      <c r="AC42" s="287">
        <v>3</v>
      </c>
      <c r="AD42" s="288">
        <v>110</v>
      </c>
      <c r="AE42" s="292" vm="7737">
        <v>10673</v>
      </c>
      <c r="AF42" s="293">
        <v>9.8094699113374841E-3</v>
      </c>
      <c r="AG42" s="293">
        <v>0.13223920015091492</v>
      </c>
      <c r="AH42" s="293">
        <v>0.14204867006225241</v>
      </c>
      <c r="AI42" s="285" t="str">
        <v>Traditional</v>
      </c>
      <c r="AJ42" s="294" t="str">
        <v>West Midlands</v>
      </c>
      <c r="AM42" s="295" t="s">
        <v>665</v>
      </c>
    </row>
    <row r="43" spans="1:39" x14ac:dyDescent="0.25">
      <c r="A43" s="283"/>
      <c r="B43" s="284" t="str" vm="147">
        <v>Settle Group</v>
      </c>
      <c r="C43" s="285" t="str" vm="353">
        <v>L4370</v>
      </c>
      <c r="D43" s="286">
        <v>0.14159842713720178</v>
      </c>
      <c r="E43" s="287">
        <v>1</v>
      </c>
      <c r="F43" s="288">
        <v>12</v>
      </c>
      <c r="G43" s="286">
        <v>3.0002158428663932E-2</v>
      </c>
      <c r="H43" s="287">
        <v>1</v>
      </c>
      <c r="I43" s="288">
        <v>19</v>
      </c>
      <c r="J43" s="289">
        <v>0</v>
      </c>
      <c r="K43" s="287">
        <v>2</v>
      </c>
      <c r="L43" s="288">
        <v>72</v>
      </c>
      <c r="M43" s="286">
        <v>0.60564613778150467</v>
      </c>
      <c r="N43" s="287">
        <v>1</v>
      </c>
      <c r="O43" s="288">
        <v>24</v>
      </c>
      <c r="P43" s="290">
        <v>0.69376057645067957</v>
      </c>
      <c r="Q43" s="287">
        <v>4</v>
      </c>
      <c r="R43" s="288">
        <v>160</v>
      </c>
      <c r="S43" s="291">
        <v>5570.041010144615</v>
      </c>
      <c r="T43" s="287">
        <v>2</v>
      </c>
      <c r="U43" s="288">
        <v>55</v>
      </c>
      <c r="V43" s="286">
        <v>0.23868629894405458</v>
      </c>
      <c r="W43" s="287">
        <v>2</v>
      </c>
      <c r="X43" s="288">
        <v>65</v>
      </c>
      <c r="Y43" s="286">
        <v>0.21662507003514492</v>
      </c>
      <c r="Z43" s="287">
        <v>2</v>
      </c>
      <c r="AA43" s="288">
        <v>65</v>
      </c>
      <c r="AB43" s="286">
        <v>3.6880622535978312E-2</v>
      </c>
      <c r="AC43" s="287">
        <v>1</v>
      </c>
      <c r="AD43" s="288">
        <v>46</v>
      </c>
      <c r="AE43" s="292" vm="5196">
        <v>9266</v>
      </c>
      <c r="AF43" s="293">
        <v>1.1504327818560315E-2</v>
      </c>
      <c r="AG43" s="293">
        <v>8.4803330776816038E-2</v>
      </c>
      <c r="AH43" s="293">
        <v>9.630765859537635E-2</v>
      </c>
      <c r="AI43" s="285" t="str">
        <v>Traditional</v>
      </c>
      <c r="AJ43" s="294" t="str">
        <v>East of England</v>
      </c>
      <c r="AM43" s="295" t="s">
        <v>665</v>
      </c>
    </row>
    <row r="44" spans="1:39" x14ac:dyDescent="0.25">
      <c r="A44" s="283"/>
      <c r="B44" s="284" t="str" vm="93">
        <v>Local Space</v>
      </c>
      <c r="C44" s="285" t="str" vm="212">
        <v>LH4454</v>
      </c>
      <c r="D44" s="286">
        <v>3.15702969097615E-2</v>
      </c>
      <c r="E44" s="287">
        <v>4</v>
      </c>
      <c r="F44" s="288">
        <v>169</v>
      </c>
      <c r="G44" s="286">
        <v>3.3333333333333333E-2</v>
      </c>
      <c r="H44" s="287">
        <v>1</v>
      </c>
      <c r="I44" s="288">
        <v>14</v>
      </c>
      <c r="J44" s="289">
        <v>0</v>
      </c>
      <c r="K44" s="287">
        <v>2</v>
      </c>
      <c r="L44" s="288">
        <v>72</v>
      </c>
      <c r="M44" s="286">
        <v>0.604859713943807</v>
      </c>
      <c r="N44" s="287">
        <v>1</v>
      </c>
      <c r="O44" s="288">
        <v>25</v>
      </c>
      <c r="P44" s="290">
        <v>1.9005235602094241</v>
      </c>
      <c r="Q44" s="287">
        <v>1</v>
      </c>
      <c r="R44" s="288">
        <v>33</v>
      </c>
      <c r="S44" s="291">
        <v>7632.5925925925922</v>
      </c>
      <c r="T44" s="287">
        <v>1</v>
      </c>
      <c r="U44" s="288">
        <v>26</v>
      </c>
      <c r="V44" s="286">
        <v>0.35274407856730211</v>
      </c>
      <c r="W44" s="287">
        <v>1</v>
      </c>
      <c r="X44" s="288">
        <v>10</v>
      </c>
      <c r="Y44" s="286">
        <v>0.54421270578729419</v>
      </c>
      <c r="Z44" s="287">
        <v>1</v>
      </c>
      <c r="AA44" s="288">
        <v>1</v>
      </c>
      <c r="AB44" s="286">
        <v>3.6257593268297444E-2</v>
      </c>
      <c r="AC44" s="287">
        <v>2</v>
      </c>
      <c r="AD44" s="288">
        <v>50</v>
      </c>
      <c r="AE44" s="292" vm="848">
        <v>1350</v>
      </c>
      <c r="AF44" s="293">
        <v>0</v>
      </c>
      <c r="AG44" s="293">
        <v>0</v>
      </c>
      <c r="AH44" s="293">
        <v>0</v>
      </c>
      <c r="AI44" s="285" t="str">
        <v>Traditional</v>
      </c>
      <c r="AJ44" s="294" t="str">
        <v>London</v>
      </c>
      <c r="AM44" s="295" t="s">
        <v>665</v>
      </c>
    </row>
    <row r="45" spans="1:39" x14ac:dyDescent="0.25">
      <c r="A45" s="283"/>
      <c r="B45" s="284" t="str" vm="39">
        <v>Cottsway Housing Association Limited</v>
      </c>
      <c r="C45" s="285" t="str" vm="390">
        <v>L4312</v>
      </c>
      <c r="D45" s="286">
        <v>8.5099312850639E-2</v>
      </c>
      <c r="E45" s="287">
        <v>2</v>
      </c>
      <c r="F45" s="288">
        <v>62</v>
      </c>
      <c r="G45" s="286">
        <v>3.8176225800615159E-2</v>
      </c>
      <c r="H45" s="287">
        <v>1</v>
      </c>
      <c r="I45" s="288">
        <v>9</v>
      </c>
      <c r="J45" s="289">
        <v>0</v>
      </c>
      <c r="K45" s="287">
        <v>2</v>
      </c>
      <c r="L45" s="288">
        <v>72</v>
      </c>
      <c r="M45" s="286">
        <v>0.59561757336586763</v>
      </c>
      <c r="N45" s="287">
        <v>1</v>
      </c>
      <c r="O45" s="288">
        <v>26</v>
      </c>
      <c r="P45" s="290">
        <v>1.3828945104112889</v>
      </c>
      <c r="Q45" s="287">
        <v>2</v>
      </c>
      <c r="R45" s="288">
        <v>80</v>
      </c>
      <c r="S45" s="291">
        <v>3825.102116598589</v>
      </c>
      <c r="T45" s="287">
        <v>4</v>
      </c>
      <c r="U45" s="288">
        <v>178</v>
      </c>
      <c r="V45" s="286">
        <v>0.34390347420117623</v>
      </c>
      <c r="W45" s="287">
        <v>1</v>
      </c>
      <c r="X45" s="288">
        <v>14</v>
      </c>
      <c r="Y45" s="286">
        <v>0.34130765331981755</v>
      </c>
      <c r="Z45" s="287">
        <v>1</v>
      </c>
      <c r="AA45" s="288">
        <v>5</v>
      </c>
      <c r="AB45" s="286">
        <v>3.5221776946312185E-2</v>
      </c>
      <c r="AC45" s="287">
        <v>2</v>
      </c>
      <c r="AD45" s="288">
        <v>57</v>
      </c>
      <c r="AE45" s="292" vm="6590">
        <v>5386</v>
      </c>
      <c r="AF45" s="293">
        <v>0</v>
      </c>
      <c r="AG45" s="293">
        <v>0</v>
      </c>
      <c r="AH45" s="293">
        <v>0</v>
      </c>
      <c r="AI45" s="285" t="str">
        <v>Traditional</v>
      </c>
      <c r="AJ45" s="294" t="str">
        <v>South East</v>
      </c>
      <c r="AM45" s="295" t="s">
        <v>665</v>
      </c>
    </row>
    <row r="46" spans="1:39" x14ac:dyDescent="0.25">
      <c r="A46" s="283"/>
      <c r="B46" s="284" t="str" vm="194">
        <v>Worthing Homes Limited</v>
      </c>
      <c r="C46" s="285" t="str" vm="332">
        <v>LH4208</v>
      </c>
      <c r="D46" s="286">
        <v>8.4057435397776673E-2</v>
      </c>
      <c r="E46" s="287">
        <v>2</v>
      </c>
      <c r="F46" s="288">
        <v>65</v>
      </c>
      <c r="G46" s="286">
        <v>1.1398176291793313E-2</v>
      </c>
      <c r="H46" s="287">
        <v>3</v>
      </c>
      <c r="I46" s="288">
        <v>116</v>
      </c>
      <c r="J46" s="289">
        <v>0</v>
      </c>
      <c r="K46" s="287">
        <v>2</v>
      </c>
      <c r="L46" s="288">
        <v>72</v>
      </c>
      <c r="M46" s="286">
        <v>0.58321959086308484</v>
      </c>
      <c r="N46" s="287">
        <v>1</v>
      </c>
      <c r="O46" s="288">
        <v>27</v>
      </c>
      <c r="P46" s="290">
        <v>1.4847876447876447</v>
      </c>
      <c r="Q46" s="287">
        <v>2</v>
      </c>
      <c r="R46" s="288">
        <v>66</v>
      </c>
      <c r="S46" s="291">
        <v>4146.9181721572795</v>
      </c>
      <c r="T46" s="287">
        <v>3</v>
      </c>
      <c r="U46" s="288">
        <v>144</v>
      </c>
      <c r="V46" s="286">
        <v>0.30778198775867094</v>
      </c>
      <c r="W46" s="287">
        <v>1</v>
      </c>
      <c r="X46" s="288">
        <v>26</v>
      </c>
      <c r="Y46" s="286">
        <v>0.3042419246046616</v>
      </c>
      <c r="Z46" s="287">
        <v>1</v>
      </c>
      <c r="AA46" s="288">
        <v>14</v>
      </c>
      <c r="AB46" s="286">
        <v>3.9065988232017575E-2</v>
      </c>
      <c r="AC46" s="287">
        <v>1</v>
      </c>
      <c r="AD46" s="288">
        <v>33</v>
      </c>
      <c r="AE46" s="292" vm="4450">
        <v>3690</v>
      </c>
      <c r="AF46" s="293">
        <v>2.989942919271541E-3</v>
      </c>
      <c r="AG46" s="293">
        <v>5.8439793422125574E-2</v>
      </c>
      <c r="AH46" s="293">
        <v>6.1429736341397118E-2</v>
      </c>
      <c r="AI46" s="285" t="str">
        <v>Traditional</v>
      </c>
      <c r="AJ46" s="294" t="str">
        <v>South East</v>
      </c>
      <c r="AM46" s="295" t="s">
        <v>665</v>
      </c>
    </row>
    <row r="47" spans="1:39" x14ac:dyDescent="0.25">
      <c r="A47" s="283"/>
      <c r="B47" s="284" t="str" vm="131">
        <v>Poplar Housing And Regeneration Community Association Limited</v>
      </c>
      <c r="C47" s="285" t="str" vm="350">
        <v>L4170</v>
      </c>
      <c r="D47" s="286">
        <v>5.4476524103917352E-2</v>
      </c>
      <c r="E47" s="287">
        <v>3</v>
      </c>
      <c r="F47" s="288">
        <v>137</v>
      </c>
      <c r="G47" s="286">
        <v>5.6412185031966908E-3</v>
      </c>
      <c r="H47" s="287">
        <v>4</v>
      </c>
      <c r="I47" s="288">
        <v>153</v>
      </c>
      <c r="J47" s="289">
        <v>1.0828531690840453E-2</v>
      </c>
      <c r="K47" s="287">
        <v>1</v>
      </c>
      <c r="L47" s="288">
        <v>5</v>
      </c>
      <c r="M47" s="286">
        <v>0.58241578849319064</v>
      </c>
      <c r="N47" s="287">
        <v>1</v>
      </c>
      <c r="O47" s="288">
        <v>28</v>
      </c>
      <c r="P47" s="290">
        <v>1.4961629881154499</v>
      </c>
      <c r="Q47" s="287">
        <v>2</v>
      </c>
      <c r="R47" s="288">
        <v>64</v>
      </c>
      <c r="S47" s="291">
        <v>6499.7285067873308</v>
      </c>
      <c r="T47" s="287">
        <v>1</v>
      </c>
      <c r="U47" s="288">
        <v>40</v>
      </c>
      <c r="V47" s="286">
        <v>0.10764600409836066</v>
      </c>
      <c r="W47" s="287">
        <v>4</v>
      </c>
      <c r="X47" s="288">
        <v>172</v>
      </c>
      <c r="Y47" s="286">
        <v>0.18289348818292739</v>
      </c>
      <c r="Z47" s="287">
        <v>2</v>
      </c>
      <c r="AA47" s="288">
        <v>98</v>
      </c>
      <c r="AB47" s="286">
        <v>3.1403187915611301E-2</v>
      </c>
      <c r="AC47" s="287">
        <v>2</v>
      </c>
      <c r="AD47" s="288">
        <v>77</v>
      </c>
      <c r="AE47" s="292" vm="7349">
        <v>5318</v>
      </c>
      <c r="AF47" s="293">
        <v>0</v>
      </c>
      <c r="AG47" s="293">
        <v>0</v>
      </c>
      <c r="AH47" s="293">
        <v>0</v>
      </c>
      <c r="AI47" s="285" t="str">
        <v>Traditional</v>
      </c>
      <c r="AJ47" s="294" t="str">
        <v>London</v>
      </c>
      <c r="AM47" s="295" t="s">
        <v>665</v>
      </c>
    </row>
    <row r="48" spans="1:39" x14ac:dyDescent="0.25">
      <c r="A48" s="283"/>
      <c r="B48" s="284" t="str" vm="22">
        <v>Broadland Housing Association Limited</v>
      </c>
      <c r="C48" s="285" t="str" vm="391">
        <v>L0026</v>
      </c>
      <c r="D48" s="286">
        <v>6.7561674557687509E-2</v>
      </c>
      <c r="E48" s="287">
        <v>2</v>
      </c>
      <c r="F48" s="288">
        <v>96</v>
      </c>
      <c r="G48" s="286">
        <v>2.487382840663302E-2</v>
      </c>
      <c r="H48" s="287">
        <v>1</v>
      </c>
      <c r="I48" s="288">
        <v>38</v>
      </c>
      <c r="J48" s="289">
        <v>1.0741138560687433E-2</v>
      </c>
      <c r="K48" s="287">
        <v>1</v>
      </c>
      <c r="L48" s="288">
        <v>6</v>
      </c>
      <c r="M48" s="286">
        <v>0.57788607480234688</v>
      </c>
      <c r="N48" s="287">
        <v>1</v>
      </c>
      <c r="O48" s="288">
        <v>29</v>
      </c>
      <c r="P48" s="290">
        <v>1.1123926380368099</v>
      </c>
      <c r="Q48" s="287">
        <v>3</v>
      </c>
      <c r="R48" s="288">
        <v>123</v>
      </c>
      <c r="S48" s="291">
        <v>3805.2816901408451</v>
      </c>
      <c r="T48" s="287">
        <v>4</v>
      </c>
      <c r="U48" s="288">
        <v>182</v>
      </c>
      <c r="V48" s="286">
        <v>0.24737756397407631</v>
      </c>
      <c r="W48" s="287">
        <v>2</v>
      </c>
      <c r="X48" s="288">
        <v>58</v>
      </c>
      <c r="Y48" s="286">
        <v>0.24493124490312421</v>
      </c>
      <c r="Z48" s="287">
        <v>1</v>
      </c>
      <c r="AA48" s="288">
        <v>39</v>
      </c>
      <c r="AB48" s="286">
        <v>2.4111675126903553E-2</v>
      </c>
      <c r="AC48" s="287">
        <v>3</v>
      </c>
      <c r="AD48" s="288">
        <v>134</v>
      </c>
      <c r="AE48" s="292" vm="6624">
        <v>5548</v>
      </c>
      <c r="AF48" s="293">
        <v>2.6918879592579121E-2</v>
      </c>
      <c r="AG48" s="293">
        <v>0.10894870862131684</v>
      </c>
      <c r="AH48" s="293">
        <v>0.13586758821389597</v>
      </c>
      <c r="AI48" s="285" t="str">
        <v>Traditional</v>
      </c>
      <c r="AJ48" s="294" t="str">
        <v>East of England</v>
      </c>
      <c r="AM48" s="295" t="s">
        <v>665</v>
      </c>
    </row>
    <row r="49" spans="1:39" x14ac:dyDescent="0.25">
      <c r="A49" s="283"/>
      <c r="B49" s="284" t="str" vm="135">
        <v>Raven Housing Trust Limited</v>
      </c>
      <c r="C49" s="285" t="str" vm="359">
        <v>L4334</v>
      </c>
      <c r="D49" s="286">
        <v>2.2922042934520603E-2</v>
      </c>
      <c r="E49" s="287">
        <v>4</v>
      </c>
      <c r="F49" s="288">
        <v>184</v>
      </c>
      <c r="G49" s="286">
        <v>2.6407227241139679E-3</v>
      </c>
      <c r="H49" s="287">
        <v>4</v>
      </c>
      <c r="I49" s="288">
        <v>173</v>
      </c>
      <c r="J49" s="289">
        <v>0</v>
      </c>
      <c r="K49" s="287">
        <v>2</v>
      </c>
      <c r="L49" s="288">
        <v>72</v>
      </c>
      <c r="M49" s="286">
        <v>0.57546436775090037</v>
      </c>
      <c r="N49" s="287">
        <v>1</v>
      </c>
      <c r="O49" s="288">
        <v>30</v>
      </c>
      <c r="P49" s="290">
        <v>1.607968881412952</v>
      </c>
      <c r="Q49" s="287">
        <v>2</v>
      </c>
      <c r="R49" s="288">
        <v>57</v>
      </c>
      <c r="S49" s="291">
        <v>5253.2467532467526</v>
      </c>
      <c r="T49" s="287">
        <v>2</v>
      </c>
      <c r="U49" s="288">
        <v>66</v>
      </c>
      <c r="V49" s="286">
        <v>0.30026583673734031</v>
      </c>
      <c r="W49" s="287">
        <v>1</v>
      </c>
      <c r="X49" s="288">
        <v>28</v>
      </c>
      <c r="Y49" s="286">
        <v>0.23340547060701741</v>
      </c>
      <c r="Z49" s="287">
        <v>1</v>
      </c>
      <c r="AA49" s="288">
        <v>46</v>
      </c>
      <c r="AB49" s="286">
        <v>4.5967112090639681E-2</v>
      </c>
      <c r="AC49" s="287">
        <v>1</v>
      </c>
      <c r="AD49" s="288">
        <v>12</v>
      </c>
      <c r="AE49" s="292" vm="5401">
        <v>6337</v>
      </c>
      <c r="AF49" s="293">
        <v>0</v>
      </c>
      <c r="AG49" s="293">
        <v>5.4199683042789222E-2</v>
      </c>
      <c r="AH49" s="293">
        <v>5.4199683042789222E-2</v>
      </c>
      <c r="AI49" s="285" t="str">
        <v>Traditional</v>
      </c>
      <c r="AJ49" s="294" t="str">
        <v>South East</v>
      </c>
      <c r="AM49" s="295" t="s">
        <v>665</v>
      </c>
    </row>
    <row r="50" spans="1:39" x14ac:dyDescent="0.25">
      <c r="A50" s="283"/>
      <c r="B50" s="284" t="str" vm="171">
        <v>The Riverside Group Limited</v>
      </c>
      <c r="C50" s="285" t="str" vm="241">
        <v>L4552</v>
      </c>
      <c r="D50" s="286">
        <v>8.0248061816082406E-2</v>
      </c>
      <c r="E50" s="287">
        <v>2</v>
      </c>
      <c r="F50" s="288">
        <v>73</v>
      </c>
      <c r="G50" s="286">
        <v>1.2296729652170296E-2</v>
      </c>
      <c r="H50" s="287">
        <v>3</v>
      </c>
      <c r="I50" s="288">
        <v>105</v>
      </c>
      <c r="J50" s="289">
        <v>6.5381279605043697E-4</v>
      </c>
      <c r="K50" s="287">
        <v>2</v>
      </c>
      <c r="L50" s="288">
        <v>55</v>
      </c>
      <c r="M50" s="286">
        <v>0.57264967835868186</v>
      </c>
      <c r="N50" s="287">
        <v>1</v>
      </c>
      <c r="O50" s="288">
        <v>31</v>
      </c>
      <c r="P50" s="290">
        <v>0.42451879883477173</v>
      </c>
      <c r="Q50" s="287">
        <v>4</v>
      </c>
      <c r="R50" s="288">
        <v>172</v>
      </c>
      <c r="S50" s="291">
        <v>7330.474732006126</v>
      </c>
      <c r="T50" s="287">
        <v>1</v>
      </c>
      <c r="U50" s="288">
        <v>29</v>
      </c>
      <c r="V50" s="286">
        <v>5.2795440648093009E-2</v>
      </c>
      <c r="W50" s="287">
        <v>4</v>
      </c>
      <c r="X50" s="288">
        <v>185</v>
      </c>
      <c r="Y50" s="286">
        <v>5.0842254219265914E-2</v>
      </c>
      <c r="Z50" s="287">
        <v>4</v>
      </c>
      <c r="AA50" s="288">
        <v>182</v>
      </c>
      <c r="AB50" s="286">
        <v>1.167005229263722E-2</v>
      </c>
      <c r="AC50" s="287">
        <v>4</v>
      </c>
      <c r="AD50" s="288">
        <v>187</v>
      </c>
      <c r="AE50" s="292" vm="1494">
        <v>66944</v>
      </c>
      <c r="AF50" s="293">
        <v>8.265145493368245E-2</v>
      </c>
      <c r="AG50" s="293">
        <v>7.7991303128068457E-2</v>
      </c>
      <c r="AH50" s="293">
        <v>0.16064275806175091</v>
      </c>
      <c r="AI50" s="285" t="str">
        <v>Traditional</v>
      </c>
      <c r="AJ50" s="294" t="str">
        <v>North West</v>
      </c>
      <c r="AM50" s="295" t="s">
        <v>665</v>
      </c>
    </row>
    <row r="51" spans="1:39" x14ac:dyDescent="0.25">
      <c r="A51" s="283"/>
      <c r="B51" s="284" t="str" vm="180">
        <v>Tuntum Housing Association Limited</v>
      </c>
      <c r="C51" s="285" t="str" vm="227">
        <v>L3808</v>
      </c>
      <c r="D51" s="286">
        <v>3.9185832960633368E-2</v>
      </c>
      <c r="E51" s="287">
        <v>4</v>
      </c>
      <c r="F51" s="288">
        <v>152</v>
      </c>
      <c r="G51" s="286">
        <v>2.2915340547422024E-2</v>
      </c>
      <c r="H51" s="287">
        <v>1</v>
      </c>
      <c r="I51" s="288">
        <v>44</v>
      </c>
      <c r="J51" s="289">
        <v>0</v>
      </c>
      <c r="K51" s="287">
        <v>2</v>
      </c>
      <c r="L51" s="288">
        <v>72</v>
      </c>
      <c r="M51" s="286">
        <v>0.5721911903243917</v>
      </c>
      <c r="N51" s="287">
        <v>1</v>
      </c>
      <c r="O51" s="288">
        <v>32</v>
      </c>
      <c r="P51" s="290">
        <v>1.1783737760749255</v>
      </c>
      <c r="Q51" s="287">
        <v>3</v>
      </c>
      <c r="R51" s="288">
        <v>112</v>
      </c>
      <c r="S51" s="291">
        <v>4173.5330836454432</v>
      </c>
      <c r="T51" s="287">
        <v>3</v>
      </c>
      <c r="U51" s="288">
        <v>141</v>
      </c>
      <c r="V51" s="286">
        <v>0.27018255578093309</v>
      </c>
      <c r="W51" s="287">
        <v>1</v>
      </c>
      <c r="X51" s="288">
        <v>43</v>
      </c>
      <c r="Y51" s="286">
        <v>0.26308111262400313</v>
      </c>
      <c r="Z51" s="287">
        <v>1</v>
      </c>
      <c r="AA51" s="288">
        <v>28</v>
      </c>
      <c r="AB51" s="286">
        <v>2.6134620421296818E-2</v>
      </c>
      <c r="AC51" s="287">
        <v>3</v>
      </c>
      <c r="AD51" s="288">
        <v>117</v>
      </c>
      <c r="AE51" s="292" vm="1181">
        <v>1571</v>
      </c>
      <c r="AF51" s="293">
        <v>6.4208518753973293E-2</v>
      </c>
      <c r="AG51" s="293">
        <v>5.8486967577876671E-2</v>
      </c>
      <c r="AH51" s="293">
        <v>0.12269548633184996</v>
      </c>
      <c r="AI51" s="285" t="str">
        <v>Traditional</v>
      </c>
      <c r="AJ51" s="294" t="str">
        <v>East Midlands</v>
      </c>
      <c r="AM51" s="295" t="s">
        <v>665</v>
      </c>
    </row>
    <row r="52" spans="1:39" x14ac:dyDescent="0.25">
      <c r="A52" s="283"/>
      <c r="B52" s="284" t="str" vm="140">
        <v>Rooftop Housing Group Limited</v>
      </c>
      <c r="C52" s="285" t="str" vm="364">
        <v>L4404</v>
      </c>
      <c r="D52" s="286">
        <v>6.4042536513991583E-2</v>
      </c>
      <c r="E52" s="287">
        <v>3</v>
      </c>
      <c r="F52" s="288">
        <v>110</v>
      </c>
      <c r="G52" s="286">
        <v>2.4933214603739984E-2</v>
      </c>
      <c r="H52" s="287">
        <v>1</v>
      </c>
      <c r="I52" s="288">
        <v>37</v>
      </c>
      <c r="J52" s="289">
        <v>0</v>
      </c>
      <c r="K52" s="287">
        <v>2</v>
      </c>
      <c r="L52" s="288">
        <v>72</v>
      </c>
      <c r="M52" s="286">
        <v>0.56795391006714913</v>
      </c>
      <c r="N52" s="287">
        <v>1</v>
      </c>
      <c r="O52" s="288">
        <v>33</v>
      </c>
      <c r="P52" s="290">
        <v>1.0193461710703089</v>
      </c>
      <c r="Q52" s="287">
        <v>3</v>
      </c>
      <c r="R52" s="288">
        <v>136</v>
      </c>
      <c r="S52" s="291">
        <v>4664.8061547744755</v>
      </c>
      <c r="T52" s="287">
        <v>2</v>
      </c>
      <c r="U52" s="288">
        <v>90</v>
      </c>
      <c r="V52" s="286">
        <v>0.31756364645623597</v>
      </c>
      <c r="W52" s="287">
        <v>1</v>
      </c>
      <c r="X52" s="288">
        <v>21</v>
      </c>
      <c r="Y52" s="286">
        <v>0.26918233713901946</v>
      </c>
      <c r="Z52" s="287">
        <v>1</v>
      </c>
      <c r="AA52" s="288">
        <v>23</v>
      </c>
      <c r="AB52" s="286">
        <v>3.5098690639046318E-2</v>
      </c>
      <c r="AC52" s="287">
        <v>2</v>
      </c>
      <c r="AD52" s="288">
        <v>59</v>
      </c>
      <c r="AE52" s="292" vm="4408">
        <v>6609</v>
      </c>
      <c r="AF52" s="293">
        <v>1.8569254185692542E-2</v>
      </c>
      <c r="AG52" s="293">
        <v>6.5296803652968041E-2</v>
      </c>
      <c r="AH52" s="293">
        <v>8.3866057838660579E-2</v>
      </c>
      <c r="AI52" s="285" t="str">
        <v>Traditional</v>
      </c>
      <c r="AJ52" s="294" t="str">
        <v>West Midlands</v>
      </c>
      <c r="AM52" s="295" t="s">
        <v>665</v>
      </c>
    </row>
    <row r="53" spans="1:39" x14ac:dyDescent="0.25">
      <c r="A53" s="283"/>
      <c r="B53" s="284" t="str" vm="107">
        <v>North Devon Homes</v>
      </c>
      <c r="C53" s="285" t="str" vm="329">
        <v>LH4249</v>
      </c>
      <c r="D53" s="286">
        <v>3.2480917460991666E-2</v>
      </c>
      <c r="E53" s="287">
        <v>4</v>
      </c>
      <c r="F53" s="288">
        <v>167</v>
      </c>
      <c r="G53" s="286">
        <v>3.3013205282112846E-3</v>
      </c>
      <c r="H53" s="287">
        <v>4</v>
      </c>
      <c r="I53" s="288">
        <v>168</v>
      </c>
      <c r="J53" s="289">
        <v>7.5823855351414404E-3</v>
      </c>
      <c r="K53" s="287">
        <v>1</v>
      </c>
      <c r="L53" s="288">
        <v>10</v>
      </c>
      <c r="M53" s="286">
        <v>0.56763526428223421</v>
      </c>
      <c r="N53" s="287">
        <v>1</v>
      </c>
      <c r="O53" s="288">
        <v>34</v>
      </c>
      <c r="P53" s="290">
        <v>0.87774167343623066</v>
      </c>
      <c r="Q53" s="287">
        <v>4</v>
      </c>
      <c r="R53" s="288">
        <v>149</v>
      </c>
      <c r="S53" s="291">
        <v>4299.5818399044201</v>
      </c>
      <c r="T53" s="287">
        <v>3</v>
      </c>
      <c r="U53" s="288">
        <v>128</v>
      </c>
      <c r="V53" s="286">
        <v>0.18834433876537227</v>
      </c>
      <c r="W53" s="287">
        <v>3</v>
      </c>
      <c r="X53" s="288">
        <v>110</v>
      </c>
      <c r="Y53" s="286">
        <v>0.19436828132480308</v>
      </c>
      <c r="Z53" s="287">
        <v>2</v>
      </c>
      <c r="AA53" s="288">
        <v>87</v>
      </c>
      <c r="AB53" s="286">
        <v>2.9823403103680042E-2</v>
      </c>
      <c r="AC53" s="287">
        <v>2</v>
      </c>
      <c r="AD53" s="288">
        <v>87</v>
      </c>
      <c r="AE53" s="292" vm="4349">
        <v>3332</v>
      </c>
      <c r="AF53" s="293">
        <v>0</v>
      </c>
      <c r="AG53" s="293">
        <v>0.15324519230769232</v>
      </c>
      <c r="AH53" s="293">
        <v>0.15324519230769232</v>
      </c>
      <c r="AI53" s="285" t="str">
        <v>Traditional</v>
      </c>
      <c r="AJ53" s="294" t="str">
        <v>South West</v>
      </c>
      <c r="AM53" s="295" t="s">
        <v>665</v>
      </c>
    </row>
    <row r="54" spans="1:39" x14ac:dyDescent="0.25">
      <c r="A54" s="283"/>
      <c r="B54" s="284" t="str" vm="113">
        <v>Ocean Housing Group Limited</v>
      </c>
      <c r="C54" s="285" t="str" vm="334">
        <v>L4422</v>
      </c>
      <c r="D54" s="286">
        <v>8.3032725780870856E-2</v>
      </c>
      <c r="E54" s="287">
        <v>2</v>
      </c>
      <c r="F54" s="288">
        <v>67</v>
      </c>
      <c r="G54" s="286">
        <v>1.7893544733861833E-2</v>
      </c>
      <c r="H54" s="287">
        <v>2</v>
      </c>
      <c r="I54" s="288">
        <v>67</v>
      </c>
      <c r="J54" s="289">
        <v>8.154020385050963E-3</v>
      </c>
      <c r="K54" s="287">
        <v>1</v>
      </c>
      <c r="L54" s="288">
        <v>9</v>
      </c>
      <c r="M54" s="286">
        <v>0.56582930160652012</v>
      </c>
      <c r="N54" s="287">
        <v>1</v>
      </c>
      <c r="O54" s="288">
        <v>35</v>
      </c>
      <c r="P54" s="290">
        <v>0.61797185587177383</v>
      </c>
      <c r="Q54" s="287">
        <v>4</v>
      </c>
      <c r="R54" s="288">
        <v>165</v>
      </c>
      <c r="S54" s="291">
        <v>3014.1409877585479</v>
      </c>
      <c r="T54" s="287">
        <v>4</v>
      </c>
      <c r="U54" s="288">
        <v>198</v>
      </c>
      <c r="V54" s="286">
        <v>0.3516878449493005</v>
      </c>
      <c r="W54" s="287">
        <v>1</v>
      </c>
      <c r="X54" s="288">
        <v>11</v>
      </c>
      <c r="Y54" s="286">
        <v>0.25042205965109737</v>
      </c>
      <c r="Z54" s="287">
        <v>1</v>
      </c>
      <c r="AA54" s="288">
        <v>37</v>
      </c>
      <c r="AB54" s="286">
        <v>0.1179117538688283</v>
      </c>
      <c r="AC54" s="287">
        <v>1</v>
      </c>
      <c r="AD54" s="288">
        <v>3</v>
      </c>
      <c r="AE54" s="292" vm="4513">
        <v>4271</v>
      </c>
      <c r="AF54" s="293">
        <v>2.9635901778154107E-3</v>
      </c>
      <c r="AG54" s="293">
        <v>0.13230313293818799</v>
      </c>
      <c r="AH54" s="293">
        <v>0.13526672311600341</v>
      </c>
      <c r="AI54" s="285" t="str">
        <v>Traditional</v>
      </c>
      <c r="AJ54" s="294" t="str">
        <v>South West</v>
      </c>
      <c r="AM54" s="295" t="s">
        <v>665</v>
      </c>
    </row>
    <row r="55" spans="1:39" x14ac:dyDescent="0.25">
      <c r="A55" s="283"/>
      <c r="B55" s="284" t="str" vm="138">
        <v>Richmond Housing Partnership Limited</v>
      </c>
      <c r="C55" s="285" t="str" vm="360">
        <v>L4279</v>
      </c>
      <c r="D55" s="286">
        <v>5.9862334063379964E-2</v>
      </c>
      <c r="E55" s="287">
        <v>3</v>
      </c>
      <c r="F55" s="288">
        <v>118</v>
      </c>
      <c r="G55" s="286">
        <v>3.7696335078534031E-3</v>
      </c>
      <c r="H55" s="287">
        <v>4</v>
      </c>
      <c r="I55" s="288">
        <v>165</v>
      </c>
      <c r="J55" s="289">
        <v>0</v>
      </c>
      <c r="K55" s="287">
        <v>2</v>
      </c>
      <c r="L55" s="288">
        <v>72</v>
      </c>
      <c r="M55" s="286">
        <v>0.56483931524605546</v>
      </c>
      <c r="N55" s="287">
        <v>1</v>
      </c>
      <c r="O55" s="288">
        <v>36</v>
      </c>
      <c r="P55" s="290">
        <v>1.3510687198345208</v>
      </c>
      <c r="Q55" s="287">
        <v>2</v>
      </c>
      <c r="R55" s="288">
        <v>84</v>
      </c>
      <c r="S55" s="291">
        <v>5197.9064442263652</v>
      </c>
      <c r="T55" s="287">
        <v>2</v>
      </c>
      <c r="U55" s="288">
        <v>67</v>
      </c>
      <c r="V55" s="286">
        <v>0.28326323168594464</v>
      </c>
      <c r="W55" s="287">
        <v>1</v>
      </c>
      <c r="X55" s="288">
        <v>33</v>
      </c>
      <c r="Y55" s="286">
        <v>0.25107649064051191</v>
      </c>
      <c r="Z55" s="287">
        <v>1</v>
      </c>
      <c r="AA55" s="288">
        <v>35</v>
      </c>
      <c r="AB55" s="286">
        <v>3.7330808176862386E-2</v>
      </c>
      <c r="AC55" s="287">
        <v>1</v>
      </c>
      <c r="AD55" s="288">
        <v>42</v>
      </c>
      <c r="AE55" s="292" vm="5437">
        <v>7588</v>
      </c>
      <c r="AF55" s="293">
        <v>0</v>
      </c>
      <c r="AG55" s="293">
        <v>5.1758460517584606E-2</v>
      </c>
      <c r="AH55" s="293">
        <v>5.1758460517584606E-2</v>
      </c>
      <c r="AI55" s="285" t="str">
        <v>Traditional</v>
      </c>
      <c r="AJ55" s="294" t="str">
        <v>London</v>
      </c>
      <c r="AM55" s="295" t="s">
        <v>665</v>
      </c>
    </row>
    <row r="56" spans="1:39" x14ac:dyDescent="0.25">
      <c r="A56" s="283"/>
      <c r="B56" s="284" t="str" vm="63">
        <v>Golding Homes Limited</v>
      </c>
      <c r="C56" s="285" t="str" vm="361">
        <v>LH4402</v>
      </c>
      <c r="D56" s="286">
        <v>6.4768570792070726E-2</v>
      </c>
      <c r="E56" s="287">
        <v>3</v>
      </c>
      <c r="F56" s="288">
        <v>106</v>
      </c>
      <c r="G56" s="286">
        <v>3.0497398039452984E-2</v>
      </c>
      <c r="H56" s="287">
        <v>1</v>
      </c>
      <c r="I56" s="288">
        <v>18</v>
      </c>
      <c r="J56" s="289">
        <v>0</v>
      </c>
      <c r="K56" s="287">
        <v>2</v>
      </c>
      <c r="L56" s="288">
        <v>72</v>
      </c>
      <c r="M56" s="286">
        <v>0.56455626788628177</v>
      </c>
      <c r="N56" s="287">
        <v>1</v>
      </c>
      <c r="O56" s="288">
        <v>37</v>
      </c>
      <c r="P56" s="290">
        <v>1.0909863945578231</v>
      </c>
      <c r="Q56" s="287">
        <v>3</v>
      </c>
      <c r="R56" s="288">
        <v>126</v>
      </c>
      <c r="S56" s="291">
        <v>5144.2888346395985</v>
      </c>
      <c r="T56" s="287">
        <v>2</v>
      </c>
      <c r="U56" s="288">
        <v>68</v>
      </c>
      <c r="V56" s="286">
        <v>0.11260974678712304</v>
      </c>
      <c r="W56" s="287">
        <v>4</v>
      </c>
      <c r="X56" s="288">
        <v>169</v>
      </c>
      <c r="Y56" s="286">
        <v>0.14873710955014199</v>
      </c>
      <c r="Z56" s="287">
        <v>3</v>
      </c>
      <c r="AA56" s="288">
        <v>134</v>
      </c>
      <c r="AB56" s="286">
        <v>2.1952132422902559E-2</v>
      </c>
      <c r="AC56" s="287">
        <v>3</v>
      </c>
      <c r="AD56" s="288">
        <v>148</v>
      </c>
      <c r="AE56" s="292" vm="5471">
        <v>7783</v>
      </c>
      <c r="AF56" s="293">
        <v>0</v>
      </c>
      <c r="AG56" s="293">
        <v>0.12736773350751143</v>
      </c>
      <c r="AH56" s="293">
        <v>0.12736773350751143</v>
      </c>
      <c r="AI56" s="285" t="str">
        <v>Traditional</v>
      </c>
      <c r="AJ56" s="294" t="str">
        <v>South East</v>
      </c>
      <c r="AM56" s="295" t="s">
        <v>665</v>
      </c>
    </row>
    <row r="57" spans="1:39" x14ac:dyDescent="0.25">
      <c r="A57" s="283"/>
      <c r="B57" s="284" t="str" vm="185">
        <v>Walsall Housing Group Limited</v>
      </c>
      <c r="C57" s="285" t="str" vm="343">
        <v>L4389</v>
      </c>
      <c r="D57" s="286">
        <v>0.11633043022886105</v>
      </c>
      <c r="E57" s="287">
        <v>1</v>
      </c>
      <c r="F57" s="288">
        <v>22</v>
      </c>
      <c r="G57" s="286">
        <v>1.2150170648464164E-2</v>
      </c>
      <c r="H57" s="287">
        <v>3</v>
      </c>
      <c r="I57" s="288">
        <v>108</v>
      </c>
      <c r="J57" s="289">
        <v>1.811922449719152E-4</v>
      </c>
      <c r="K57" s="287">
        <v>2</v>
      </c>
      <c r="L57" s="288">
        <v>69</v>
      </c>
      <c r="M57" s="286">
        <v>0.56338721844354533</v>
      </c>
      <c r="N57" s="287">
        <v>1</v>
      </c>
      <c r="O57" s="288">
        <v>38</v>
      </c>
      <c r="P57" s="290">
        <v>1.4028851593437677</v>
      </c>
      <c r="Q57" s="287">
        <v>2</v>
      </c>
      <c r="R57" s="288">
        <v>76</v>
      </c>
      <c r="S57" s="291">
        <v>4055.1229123662979</v>
      </c>
      <c r="T57" s="287">
        <v>4</v>
      </c>
      <c r="U57" s="288">
        <v>154</v>
      </c>
      <c r="V57" s="286">
        <v>0.24691414339540019</v>
      </c>
      <c r="W57" s="287">
        <v>2</v>
      </c>
      <c r="X57" s="288">
        <v>59</v>
      </c>
      <c r="Y57" s="286">
        <v>0.24118856350261308</v>
      </c>
      <c r="Z57" s="287">
        <v>1</v>
      </c>
      <c r="AA57" s="288">
        <v>42</v>
      </c>
      <c r="AB57" s="286">
        <v>4.7993241951694757E-2</v>
      </c>
      <c r="AC57" s="287">
        <v>1</v>
      </c>
      <c r="AD57" s="288">
        <v>9</v>
      </c>
      <c r="AE57" s="292" vm="4840">
        <v>21316</v>
      </c>
      <c r="AF57" s="293">
        <v>4.1400075272864136E-3</v>
      </c>
      <c r="AG57" s="293">
        <v>0</v>
      </c>
      <c r="AH57" s="293">
        <v>4.1400075272864136E-3</v>
      </c>
      <c r="AI57" s="285" t="str">
        <v>Traditional</v>
      </c>
      <c r="AJ57" s="294" t="str">
        <v>West Midlands</v>
      </c>
      <c r="AM57" s="295" t="s">
        <v>665</v>
      </c>
    </row>
    <row r="58" spans="1:39" x14ac:dyDescent="0.25">
      <c r="A58" s="283"/>
      <c r="B58" s="284" t="str" vm="50">
        <v>Estuary Housing Association Limited</v>
      </c>
      <c r="C58" s="285" t="str" vm="316">
        <v>L3535</v>
      </c>
      <c r="D58" s="286">
        <v>2.1829675975909568E-2</v>
      </c>
      <c r="E58" s="287">
        <v>4</v>
      </c>
      <c r="F58" s="288">
        <v>187</v>
      </c>
      <c r="G58" s="286">
        <v>1.500808127453244E-2</v>
      </c>
      <c r="H58" s="287">
        <v>2</v>
      </c>
      <c r="I58" s="288">
        <v>82</v>
      </c>
      <c r="J58" s="289">
        <v>0</v>
      </c>
      <c r="K58" s="287">
        <v>2</v>
      </c>
      <c r="L58" s="288">
        <v>72</v>
      </c>
      <c r="M58" s="286">
        <v>0.56296421556512355</v>
      </c>
      <c r="N58" s="287">
        <v>1</v>
      </c>
      <c r="O58" s="288">
        <v>39</v>
      </c>
      <c r="P58" s="290">
        <v>1.1283107710417892</v>
      </c>
      <c r="Q58" s="287">
        <v>3</v>
      </c>
      <c r="R58" s="288">
        <v>121</v>
      </c>
      <c r="S58" s="291">
        <v>5793.7788018433175</v>
      </c>
      <c r="T58" s="287">
        <v>2</v>
      </c>
      <c r="U58" s="288">
        <v>51</v>
      </c>
      <c r="V58" s="286">
        <v>0.22539702992623137</v>
      </c>
      <c r="W58" s="287">
        <v>2</v>
      </c>
      <c r="X58" s="288">
        <v>76</v>
      </c>
      <c r="Y58" s="286">
        <v>0.1940772210421092</v>
      </c>
      <c r="Z58" s="287">
        <v>2</v>
      </c>
      <c r="AA58" s="288">
        <v>88</v>
      </c>
      <c r="AB58" s="286">
        <v>2.0149464441853688E-2</v>
      </c>
      <c r="AC58" s="287">
        <v>4</v>
      </c>
      <c r="AD58" s="288">
        <v>160</v>
      </c>
      <c r="AE58" s="292" vm="3899">
        <v>4331</v>
      </c>
      <c r="AF58" s="293">
        <v>2.333641404805915E-2</v>
      </c>
      <c r="AG58" s="293">
        <v>1.8022181146025877E-2</v>
      </c>
      <c r="AH58" s="293">
        <v>4.1358595194085024E-2</v>
      </c>
      <c r="AI58" s="285" t="str">
        <v>Traditional</v>
      </c>
      <c r="AJ58" s="294" t="str">
        <v>East of England</v>
      </c>
      <c r="AM58" s="295" t="s">
        <v>665</v>
      </c>
    </row>
    <row r="59" spans="1:39" x14ac:dyDescent="0.25">
      <c r="A59" s="283"/>
      <c r="B59" s="284" t="str" vm="40">
        <v>Cross Keys Homes Limited</v>
      </c>
      <c r="C59" s="285" t="str" vm="302">
        <v>LH4428</v>
      </c>
      <c r="D59" s="286">
        <v>0.12489563462442288</v>
      </c>
      <c r="E59" s="287">
        <v>1</v>
      </c>
      <c r="F59" s="288">
        <v>16</v>
      </c>
      <c r="G59" s="286">
        <v>1.8152085036794767E-2</v>
      </c>
      <c r="H59" s="287">
        <v>2</v>
      </c>
      <c r="I59" s="288">
        <v>65</v>
      </c>
      <c r="J59" s="289">
        <v>0</v>
      </c>
      <c r="K59" s="287">
        <v>2</v>
      </c>
      <c r="L59" s="288">
        <v>72</v>
      </c>
      <c r="M59" s="286">
        <v>0.56164607005612233</v>
      </c>
      <c r="N59" s="287">
        <v>1</v>
      </c>
      <c r="O59" s="288">
        <v>40</v>
      </c>
      <c r="P59" s="290">
        <v>1.2588597842835132</v>
      </c>
      <c r="Q59" s="287">
        <v>3</v>
      </c>
      <c r="R59" s="288">
        <v>100</v>
      </c>
      <c r="S59" s="291">
        <v>3749.8585172608941</v>
      </c>
      <c r="T59" s="287">
        <v>4</v>
      </c>
      <c r="U59" s="288">
        <v>184</v>
      </c>
      <c r="V59" s="286">
        <v>0.27766874175841028</v>
      </c>
      <c r="W59" s="287">
        <v>1</v>
      </c>
      <c r="X59" s="288">
        <v>39</v>
      </c>
      <c r="Y59" s="286">
        <v>0.26000222340254703</v>
      </c>
      <c r="Z59" s="287">
        <v>1</v>
      </c>
      <c r="AA59" s="288">
        <v>31</v>
      </c>
      <c r="AB59" s="286">
        <v>3.3926778075584009E-2</v>
      </c>
      <c r="AC59" s="287">
        <v>2</v>
      </c>
      <c r="AD59" s="288">
        <v>62</v>
      </c>
      <c r="AE59" s="292" vm="3419">
        <v>12230</v>
      </c>
      <c r="AF59" s="293">
        <v>9.4448094612352169E-3</v>
      </c>
      <c r="AG59" s="293">
        <v>9.2723390275952694E-2</v>
      </c>
      <c r="AH59" s="293">
        <v>0.10216819973718791</v>
      </c>
      <c r="AI59" s="285" t="str">
        <v>Traditional</v>
      </c>
      <c r="AJ59" s="294" t="str">
        <v>East of England</v>
      </c>
      <c r="AM59" s="295" t="s">
        <v>665</v>
      </c>
    </row>
    <row r="60" spans="1:39" x14ac:dyDescent="0.25">
      <c r="A60" s="283"/>
      <c r="B60" s="284" t="str" vm="122">
        <v>Paradigm Housing Group Limited</v>
      </c>
      <c r="C60" s="285" t="str" vm="287">
        <v>L4215</v>
      </c>
      <c r="D60" s="286">
        <v>6.7325251006994574E-2</v>
      </c>
      <c r="E60" s="287">
        <v>2</v>
      </c>
      <c r="F60" s="288">
        <v>99</v>
      </c>
      <c r="G60" s="286">
        <v>2.9693741677762984E-2</v>
      </c>
      <c r="H60" s="287">
        <v>1</v>
      </c>
      <c r="I60" s="288">
        <v>20</v>
      </c>
      <c r="J60" s="289">
        <v>0</v>
      </c>
      <c r="K60" s="287">
        <v>2</v>
      </c>
      <c r="L60" s="288">
        <v>72</v>
      </c>
      <c r="M60" s="286">
        <v>0.55483456282261734</v>
      </c>
      <c r="N60" s="287">
        <v>1</v>
      </c>
      <c r="O60" s="288">
        <v>41</v>
      </c>
      <c r="P60" s="290">
        <v>1.4250862179077788</v>
      </c>
      <c r="Q60" s="287">
        <v>2</v>
      </c>
      <c r="R60" s="288">
        <v>75</v>
      </c>
      <c r="S60" s="291">
        <v>4289.4475686404239</v>
      </c>
      <c r="T60" s="287">
        <v>3</v>
      </c>
      <c r="U60" s="288">
        <v>129</v>
      </c>
      <c r="V60" s="286">
        <v>0.35481310219593759</v>
      </c>
      <c r="W60" s="287">
        <v>1</v>
      </c>
      <c r="X60" s="288">
        <v>9</v>
      </c>
      <c r="Y60" s="286">
        <v>0.33340692587595566</v>
      </c>
      <c r="Z60" s="287">
        <v>1</v>
      </c>
      <c r="AA60" s="288">
        <v>7</v>
      </c>
      <c r="AB60" s="286">
        <v>3.0039089805610864E-2</v>
      </c>
      <c r="AC60" s="287">
        <v>2</v>
      </c>
      <c r="AD60" s="288">
        <v>85</v>
      </c>
      <c r="AE60" s="292" vm="2897">
        <v>15020</v>
      </c>
      <c r="AF60" s="293">
        <v>9.1662735054256258E-3</v>
      </c>
      <c r="AG60" s="293">
        <v>1.684976747320887E-3</v>
      </c>
      <c r="AH60" s="293">
        <v>1.0851250252746513E-2</v>
      </c>
      <c r="AI60" s="285" t="str">
        <v>Traditional</v>
      </c>
      <c r="AJ60" s="294" t="str">
        <v>South East</v>
      </c>
      <c r="AM60" s="295" t="s">
        <v>665</v>
      </c>
    </row>
    <row r="61" spans="1:39" x14ac:dyDescent="0.25">
      <c r="A61" s="283"/>
      <c r="B61" s="284" t="str" vm="89">
        <v>Lincolnshire Housing Partnership Limited</v>
      </c>
      <c r="C61" s="285" t="str" vm="299">
        <v>4877</v>
      </c>
      <c r="D61" s="286">
        <v>5.8194103194103196E-2</v>
      </c>
      <c r="E61" s="287">
        <v>3</v>
      </c>
      <c r="F61" s="288">
        <v>126</v>
      </c>
      <c r="G61" s="286">
        <v>6.2882809309922419E-3</v>
      </c>
      <c r="H61" s="287">
        <v>4</v>
      </c>
      <c r="I61" s="288">
        <v>150</v>
      </c>
      <c r="J61" s="289">
        <v>0</v>
      </c>
      <c r="K61" s="287">
        <v>2</v>
      </c>
      <c r="L61" s="288">
        <v>72</v>
      </c>
      <c r="M61" s="286">
        <v>0.55354729729729735</v>
      </c>
      <c r="N61" s="287">
        <v>1</v>
      </c>
      <c r="O61" s="288">
        <v>42</v>
      </c>
      <c r="P61" s="290">
        <v>1.1572831650297413</v>
      </c>
      <c r="Q61" s="287">
        <v>3</v>
      </c>
      <c r="R61" s="288">
        <v>116</v>
      </c>
      <c r="S61" s="291">
        <v>3861.269789456504</v>
      </c>
      <c r="T61" s="287">
        <v>4</v>
      </c>
      <c r="U61" s="288">
        <v>175</v>
      </c>
      <c r="V61" s="286">
        <v>0.19850986491129718</v>
      </c>
      <c r="W61" s="287">
        <v>2</v>
      </c>
      <c r="X61" s="288">
        <v>99</v>
      </c>
      <c r="Y61" s="286">
        <v>0.21271690328843587</v>
      </c>
      <c r="Z61" s="287">
        <v>2</v>
      </c>
      <c r="AA61" s="288">
        <v>70</v>
      </c>
      <c r="AB61" s="286">
        <v>4.0947803905089397E-2</v>
      </c>
      <c r="AC61" s="287">
        <v>1</v>
      </c>
      <c r="AD61" s="288">
        <v>25</v>
      </c>
      <c r="AE61" s="292" vm="3311">
        <v>12245</v>
      </c>
      <c r="AF61" s="293">
        <v>1.6425755584756898E-3</v>
      </c>
      <c r="AG61" s="293">
        <v>0.139865308804205</v>
      </c>
      <c r="AH61" s="293">
        <v>0.14150788436268069</v>
      </c>
      <c r="AI61" s="285" t="str">
        <v>Traditional</v>
      </c>
      <c r="AJ61" s="294" t="str">
        <v>Yorkshire &amp; the Humber</v>
      </c>
      <c r="AM61" s="295" t="s">
        <v>665</v>
      </c>
    </row>
    <row r="62" spans="1:39" x14ac:dyDescent="0.25">
      <c r="A62" s="283"/>
      <c r="B62" s="284" t="str" vm="115">
        <v>One Manchester Limited</v>
      </c>
      <c r="C62" s="285" t="str" vm="275">
        <v>4808</v>
      </c>
      <c r="D62" s="286">
        <v>0.1273011628608007</v>
      </c>
      <c r="E62" s="287">
        <v>1</v>
      </c>
      <c r="F62" s="288">
        <v>15</v>
      </c>
      <c r="G62" s="286">
        <v>1.0430686406460296E-2</v>
      </c>
      <c r="H62" s="287">
        <v>3</v>
      </c>
      <c r="I62" s="288">
        <v>121</v>
      </c>
      <c r="J62" s="289">
        <v>4.8603610553926866E-3</v>
      </c>
      <c r="K62" s="287">
        <v>1</v>
      </c>
      <c r="L62" s="288">
        <v>20</v>
      </c>
      <c r="M62" s="286">
        <v>0.55319405483425954</v>
      </c>
      <c r="N62" s="287">
        <v>1</v>
      </c>
      <c r="O62" s="288">
        <v>43</v>
      </c>
      <c r="P62" s="290">
        <v>-0.27488464073829927</v>
      </c>
      <c r="Q62" s="287">
        <v>4</v>
      </c>
      <c r="R62" s="288">
        <v>184</v>
      </c>
      <c r="S62" s="291">
        <v>5000</v>
      </c>
      <c r="T62" s="287">
        <v>2</v>
      </c>
      <c r="U62" s="288">
        <v>77</v>
      </c>
      <c r="V62" s="286">
        <v>8.5301768536461875E-2</v>
      </c>
      <c r="W62" s="287">
        <v>4</v>
      </c>
      <c r="X62" s="288">
        <v>180</v>
      </c>
      <c r="Y62" s="286">
        <v>8.759869112305245E-2</v>
      </c>
      <c r="Z62" s="287">
        <v>4</v>
      </c>
      <c r="AA62" s="288">
        <v>168</v>
      </c>
      <c r="AB62" s="286">
        <v>6.122367513130357E-2</v>
      </c>
      <c r="AC62" s="287">
        <v>1</v>
      </c>
      <c r="AD62" s="288">
        <v>5</v>
      </c>
      <c r="AE62" s="292" vm="2495">
        <v>11888</v>
      </c>
      <c r="AF62" s="293">
        <v>5.0603019313485704E-4</v>
      </c>
      <c r="AG62" s="293">
        <v>2.0241207725394283E-2</v>
      </c>
      <c r="AH62" s="293">
        <v>2.074723791852914E-2</v>
      </c>
      <c r="AI62" s="285" t="str">
        <v>Traditional</v>
      </c>
      <c r="AJ62" s="294" t="str">
        <v>North West</v>
      </c>
      <c r="AM62" s="295" t="s">
        <v>665</v>
      </c>
    </row>
    <row r="63" spans="1:39" x14ac:dyDescent="0.25">
      <c r="A63" s="283"/>
      <c r="B63" s="284" t="str" vm="183">
        <v>Vivid Housing Limited</v>
      </c>
      <c r="C63" s="285" t="str" vm="264">
        <v>4850</v>
      </c>
      <c r="D63" s="286">
        <v>0.10096406791502741</v>
      </c>
      <c r="E63" s="287">
        <v>1</v>
      </c>
      <c r="F63" s="288">
        <v>38</v>
      </c>
      <c r="G63" s="286">
        <v>3.3091374893253631E-2</v>
      </c>
      <c r="H63" s="287">
        <v>1</v>
      </c>
      <c r="I63" s="288">
        <v>15</v>
      </c>
      <c r="J63" s="289">
        <v>4.245591116917048E-3</v>
      </c>
      <c r="K63" s="287">
        <v>1</v>
      </c>
      <c r="L63" s="288">
        <v>24</v>
      </c>
      <c r="M63" s="286">
        <v>0.54420348663419027</v>
      </c>
      <c r="N63" s="287">
        <v>1</v>
      </c>
      <c r="O63" s="288">
        <v>44</v>
      </c>
      <c r="P63" s="290">
        <v>1.8537383523147464</v>
      </c>
      <c r="Q63" s="287">
        <v>1</v>
      </c>
      <c r="R63" s="288">
        <v>37</v>
      </c>
      <c r="S63" s="291">
        <v>3919.1157597535935</v>
      </c>
      <c r="T63" s="287">
        <v>4</v>
      </c>
      <c r="U63" s="288">
        <v>172</v>
      </c>
      <c r="V63" s="286">
        <v>0.42938720433366906</v>
      </c>
      <c r="W63" s="287">
        <v>1</v>
      </c>
      <c r="X63" s="288">
        <v>1</v>
      </c>
      <c r="Y63" s="286">
        <v>0.31896158052227419</v>
      </c>
      <c r="Z63" s="287">
        <v>1</v>
      </c>
      <c r="AA63" s="288">
        <v>8</v>
      </c>
      <c r="AB63" s="286">
        <v>3.8220435148093743E-2</v>
      </c>
      <c r="AC63" s="287">
        <v>1</v>
      </c>
      <c r="AD63" s="288">
        <v>38</v>
      </c>
      <c r="AE63" s="292" vm="2143">
        <v>31005</v>
      </c>
      <c r="AF63" s="293">
        <v>7.7926312357352459E-3</v>
      </c>
      <c r="AG63" s="293">
        <v>3.8245842843169224E-2</v>
      </c>
      <c r="AH63" s="293">
        <v>4.6038474078904469E-2</v>
      </c>
      <c r="AI63" s="285" t="str">
        <v>Traditional</v>
      </c>
      <c r="AJ63" s="294" t="str">
        <v>South East</v>
      </c>
      <c r="AM63" s="295" t="s">
        <v>665</v>
      </c>
    </row>
    <row r="64" spans="1:39" x14ac:dyDescent="0.25">
      <c r="A64" s="283"/>
      <c r="B64" s="284" t="str" vm="6">
        <v>Anchor Hanover Group</v>
      </c>
      <c r="C64" s="285" t="str">
        <v>LH4095</v>
      </c>
      <c r="D64" s="286">
        <v>0.17459660855715944</v>
      </c>
      <c r="E64" s="287">
        <v>1</v>
      </c>
      <c r="F64" s="288">
        <v>6</v>
      </c>
      <c r="G64" s="286">
        <v>4.2275849920732781E-3</v>
      </c>
      <c r="H64" s="287">
        <v>4</v>
      </c>
      <c r="I64" s="288">
        <v>164</v>
      </c>
      <c r="J64" s="289">
        <v>1.6766817044437544E-2</v>
      </c>
      <c r="K64" s="287">
        <v>1</v>
      </c>
      <c r="L64" s="288">
        <v>2</v>
      </c>
      <c r="M64" s="286">
        <v>0.54326215579305426</v>
      </c>
      <c r="N64" s="287">
        <v>1</v>
      </c>
      <c r="O64" s="288">
        <v>45</v>
      </c>
      <c r="P64" s="290">
        <v>1.4454092575935791</v>
      </c>
      <c r="Q64" s="287">
        <v>2</v>
      </c>
      <c r="R64" s="288">
        <v>72</v>
      </c>
      <c r="S64" s="291">
        <v>11167.356287867593</v>
      </c>
      <c r="T64" s="287">
        <v>1</v>
      </c>
      <c r="U64" s="288">
        <v>12</v>
      </c>
      <c r="V64" s="286">
        <v>8.7706834972356776E-2</v>
      </c>
      <c r="W64" s="287">
        <v>4</v>
      </c>
      <c r="X64" s="288">
        <v>179</v>
      </c>
      <c r="Y64" s="286">
        <v>6.2003795011755895E-2</v>
      </c>
      <c r="Z64" s="287">
        <v>4</v>
      </c>
      <c r="AA64" s="288">
        <v>178</v>
      </c>
      <c r="AB64" s="286">
        <v>2.3750306068798573E-2</v>
      </c>
      <c r="AC64" s="287">
        <v>3</v>
      </c>
      <c r="AD64" s="288">
        <v>135</v>
      </c>
      <c r="AE64" s="292" vm="8062">
        <v>40338</v>
      </c>
      <c r="AF64" s="293">
        <v>0</v>
      </c>
      <c r="AG64" s="293">
        <v>0.87535670860319115</v>
      </c>
      <c r="AH64" s="293">
        <v>0.87535670860319115</v>
      </c>
      <c r="AI64" s="285" t="str">
        <v>Traditional</v>
      </c>
      <c r="AJ64" s="294" t="str">
        <v>Mixed</v>
      </c>
      <c r="AM64" s="295" t="s">
        <v>665</v>
      </c>
    </row>
    <row r="65" spans="1:39" x14ac:dyDescent="0.25">
      <c r="A65" s="283"/>
      <c r="B65" s="284" t="str" vm="1">
        <v>A2Dominion Housing Group Limited</v>
      </c>
      <c r="C65" s="285" t="str" vm="335">
        <v>L4240</v>
      </c>
      <c r="D65" s="286">
        <v>3.1077261663747413E-2</v>
      </c>
      <c r="E65" s="287">
        <v>4</v>
      </c>
      <c r="F65" s="288">
        <v>171</v>
      </c>
      <c r="G65" s="286">
        <v>1.5708957582653772E-2</v>
      </c>
      <c r="H65" s="287">
        <v>2</v>
      </c>
      <c r="I65" s="288">
        <v>79</v>
      </c>
      <c r="J65" s="289">
        <v>7.0475084984661304E-3</v>
      </c>
      <c r="K65" s="287">
        <v>1</v>
      </c>
      <c r="L65" s="288">
        <v>14</v>
      </c>
      <c r="M65" s="286">
        <v>0.54204152544300632</v>
      </c>
      <c r="N65" s="287">
        <v>1</v>
      </c>
      <c r="O65" s="288">
        <v>46</v>
      </c>
      <c r="P65" s="290">
        <v>0.26795554310264313</v>
      </c>
      <c r="Q65" s="287">
        <v>4</v>
      </c>
      <c r="R65" s="288">
        <v>176</v>
      </c>
      <c r="S65" s="291">
        <v>7555.7320344486807</v>
      </c>
      <c r="T65" s="287">
        <v>1</v>
      </c>
      <c r="U65" s="288">
        <v>28</v>
      </c>
      <c r="V65" s="286">
        <v>0.1206342661787696</v>
      </c>
      <c r="W65" s="287">
        <v>4</v>
      </c>
      <c r="X65" s="288">
        <v>163</v>
      </c>
      <c r="Y65" s="286">
        <v>5.735769150710418E-2</v>
      </c>
      <c r="Z65" s="287">
        <v>4</v>
      </c>
      <c r="AA65" s="288">
        <v>180</v>
      </c>
      <c r="AB65" s="286">
        <v>1.181647313309594E-2</v>
      </c>
      <c r="AC65" s="287">
        <v>4</v>
      </c>
      <c r="AD65" s="288">
        <v>185</v>
      </c>
      <c r="AE65" s="292" vm="4550">
        <v>28177</v>
      </c>
      <c r="AF65" s="293">
        <v>4.3164904034469251E-2</v>
      </c>
      <c r="AG65" s="293">
        <v>3.6271053662358013E-2</v>
      </c>
      <c r="AH65" s="293">
        <v>7.9435957696827264E-2</v>
      </c>
      <c r="AI65" s="285" t="str">
        <v>Traditional</v>
      </c>
      <c r="AJ65" s="294" t="str">
        <v>South East</v>
      </c>
      <c r="AM65" s="295" t="s">
        <v>665</v>
      </c>
    </row>
    <row r="66" spans="1:39" x14ac:dyDescent="0.25">
      <c r="A66" s="283"/>
      <c r="B66" s="284" t="str" vm="159">
        <v>Stonewater Limited</v>
      </c>
      <c r="C66" s="285" t="str" vm="261">
        <v>L1556</v>
      </c>
      <c r="D66" s="286">
        <v>9.3822464240118808E-2</v>
      </c>
      <c r="E66" s="287">
        <v>1</v>
      </c>
      <c r="F66" s="288">
        <v>49</v>
      </c>
      <c r="G66" s="286">
        <v>3.1399567112764079E-2</v>
      </c>
      <c r="H66" s="287">
        <v>1</v>
      </c>
      <c r="I66" s="288">
        <v>16</v>
      </c>
      <c r="J66" s="289">
        <v>0</v>
      </c>
      <c r="K66" s="287">
        <v>2</v>
      </c>
      <c r="L66" s="288">
        <v>72</v>
      </c>
      <c r="M66" s="286">
        <v>0.54062670724560724</v>
      </c>
      <c r="N66" s="287">
        <v>1</v>
      </c>
      <c r="O66" s="288">
        <v>47</v>
      </c>
      <c r="P66" s="290">
        <v>1.0625449760470425</v>
      </c>
      <c r="Q66" s="287">
        <v>3</v>
      </c>
      <c r="R66" s="288">
        <v>131</v>
      </c>
      <c r="S66" s="291">
        <v>3996.9173359292613</v>
      </c>
      <c r="T66" s="287">
        <v>4</v>
      </c>
      <c r="U66" s="288">
        <v>164</v>
      </c>
      <c r="V66" s="286">
        <v>0.2317784758168778</v>
      </c>
      <c r="W66" s="287">
        <v>2</v>
      </c>
      <c r="X66" s="288">
        <v>69</v>
      </c>
      <c r="Y66" s="286">
        <v>0.21576553392167447</v>
      </c>
      <c r="Z66" s="287">
        <v>2</v>
      </c>
      <c r="AA66" s="288">
        <v>66</v>
      </c>
      <c r="AB66" s="286">
        <v>2.5689876471817873E-2</v>
      </c>
      <c r="AC66" s="287">
        <v>3</v>
      </c>
      <c r="AD66" s="288">
        <v>120</v>
      </c>
      <c r="AE66" s="292" vm="7644">
        <v>32803</v>
      </c>
      <c r="AF66" s="293">
        <v>1.9426546391752578E-2</v>
      </c>
      <c r="AG66" s="293">
        <v>7.6997422680412375E-2</v>
      </c>
      <c r="AH66" s="293">
        <v>9.6423969072164953E-2</v>
      </c>
      <c r="AI66" s="285" t="str">
        <v>Traditional</v>
      </c>
      <c r="AJ66" s="294" t="str">
        <v>Mixed</v>
      </c>
      <c r="AM66" s="295" t="s">
        <v>665</v>
      </c>
    </row>
    <row r="67" spans="1:39" x14ac:dyDescent="0.25">
      <c r="A67" s="283"/>
      <c r="B67" s="284" t="str" vm="33">
        <v>Coastline Housing Limited</v>
      </c>
      <c r="C67" s="285" t="str" vm="363">
        <v>LH4165</v>
      </c>
      <c r="D67" s="286">
        <v>8.8568227537055108E-2</v>
      </c>
      <c r="E67" s="287">
        <v>2</v>
      </c>
      <c r="F67" s="288">
        <v>58</v>
      </c>
      <c r="G67" s="286">
        <v>3.3403321244512313E-2</v>
      </c>
      <c r="H67" s="287">
        <v>1</v>
      </c>
      <c r="I67" s="288">
        <v>13</v>
      </c>
      <c r="J67" s="289">
        <v>3.8160656363289448E-3</v>
      </c>
      <c r="K67" s="287">
        <v>1</v>
      </c>
      <c r="L67" s="288">
        <v>26</v>
      </c>
      <c r="M67" s="286">
        <v>0.54028752820519255</v>
      </c>
      <c r="N67" s="287">
        <v>1</v>
      </c>
      <c r="O67" s="288">
        <v>48</v>
      </c>
      <c r="P67" s="290">
        <v>0.88412408759124084</v>
      </c>
      <c r="Q67" s="287">
        <v>4</v>
      </c>
      <c r="R67" s="288">
        <v>148</v>
      </c>
      <c r="S67" s="291">
        <v>4678.6607658264384</v>
      </c>
      <c r="T67" s="287">
        <v>2</v>
      </c>
      <c r="U67" s="288">
        <v>89</v>
      </c>
      <c r="V67" s="286">
        <v>0.17970822281167109</v>
      </c>
      <c r="W67" s="287">
        <v>3</v>
      </c>
      <c r="X67" s="288">
        <v>124</v>
      </c>
      <c r="Y67" s="286">
        <v>0.18184791496320524</v>
      </c>
      <c r="Z67" s="287">
        <v>3</v>
      </c>
      <c r="AA67" s="288">
        <v>101</v>
      </c>
      <c r="AB67" s="286">
        <v>2.9798770476154111E-2</v>
      </c>
      <c r="AC67" s="287">
        <v>2</v>
      </c>
      <c r="AD67" s="288">
        <v>88</v>
      </c>
      <c r="AE67" s="292" vm="5538">
        <v>5111</v>
      </c>
      <c r="AF67" s="293">
        <v>2.0270270270270271E-2</v>
      </c>
      <c r="AG67" s="293">
        <v>0.14169316375198729</v>
      </c>
      <c r="AH67" s="293">
        <v>0.16196343402225755</v>
      </c>
      <c r="AI67" s="285" t="str">
        <v>Traditional</v>
      </c>
      <c r="AJ67" s="294" t="str">
        <v>South West</v>
      </c>
      <c r="AM67" s="295" t="s">
        <v>665</v>
      </c>
    </row>
    <row r="68" spans="1:39" x14ac:dyDescent="0.25">
      <c r="A68" s="283"/>
      <c r="B68" s="284" t="str" vm="91">
        <v>Livin Housing Limited</v>
      </c>
      <c r="C68" s="285" t="str" vm="381">
        <v>L4538</v>
      </c>
      <c r="D68" s="286">
        <v>0.1452192385632752</v>
      </c>
      <c r="E68" s="287">
        <v>1</v>
      </c>
      <c r="F68" s="288">
        <v>11</v>
      </c>
      <c r="G68" s="286">
        <v>1.2706043956043956E-2</v>
      </c>
      <c r="H68" s="287">
        <v>3</v>
      </c>
      <c r="I68" s="288">
        <v>101</v>
      </c>
      <c r="J68" s="289">
        <v>0</v>
      </c>
      <c r="K68" s="287">
        <v>2</v>
      </c>
      <c r="L68" s="288">
        <v>72</v>
      </c>
      <c r="M68" s="286">
        <v>0.53748445897659303</v>
      </c>
      <c r="N68" s="287">
        <v>1</v>
      </c>
      <c r="O68" s="288">
        <v>49</v>
      </c>
      <c r="P68" s="290">
        <v>0.6942040388145817</v>
      </c>
      <c r="Q68" s="287">
        <v>4</v>
      </c>
      <c r="R68" s="288">
        <v>159</v>
      </c>
      <c r="S68" s="291">
        <v>4158.246828143022</v>
      </c>
      <c r="T68" s="287">
        <v>3</v>
      </c>
      <c r="U68" s="288">
        <v>143</v>
      </c>
      <c r="V68" s="286">
        <v>0.18346103038309114</v>
      </c>
      <c r="W68" s="287">
        <v>3</v>
      </c>
      <c r="X68" s="288">
        <v>117</v>
      </c>
      <c r="Y68" s="286">
        <v>0.20290997888739093</v>
      </c>
      <c r="Z68" s="287">
        <v>2</v>
      </c>
      <c r="AA68" s="288">
        <v>79</v>
      </c>
      <c r="AB68" s="286">
        <v>4.2480123978688868E-2</v>
      </c>
      <c r="AC68" s="287">
        <v>1</v>
      </c>
      <c r="AD68" s="288">
        <v>21</v>
      </c>
      <c r="AE68" s="292" vm="6225">
        <v>8670</v>
      </c>
      <c r="AF68" s="293">
        <v>0</v>
      </c>
      <c r="AG68" s="293">
        <v>0</v>
      </c>
      <c r="AH68" s="293">
        <v>0</v>
      </c>
      <c r="AI68" s="285" t="str">
        <v>Traditional</v>
      </c>
      <c r="AJ68" s="294" t="str">
        <v>North East</v>
      </c>
      <c r="AM68" s="295" t="s">
        <v>665</v>
      </c>
    </row>
    <row r="69" spans="1:39" x14ac:dyDescent="0.25">
      <c r="A69" s="283"/>
      <c r="B69" s="284" t="str" vm="144">
        <v>Sanctuary Housing Association</v>
      </c>
      <c r="C69" s="285" t="str" vm="251">
        <v>L0247</v>
      </c>
      <c r="D69" s="286">
        <v>3.1208639152929853E-2</v>
      </c>
      <c r="E69" s="287">
        <v>4</v>
      </c>
      <c r="F69" s="288">
        <v>170</v>
      </c>
      <c r="G69" s="286">
        <v>8.4471199597959852E-3</v>
      </c>
      <c r="H69" s="287">
        <v>3</v>
      </c>
      <c r="I69" s="288">
        <v>135</v>
      </c>
      <c r="J69" s="289">
        <v>9.5875661251814057E-3</v>
      </c>
      <c r="K69" s="287">
        <v>1</v>
      </c>
      <c r="L69" s="288">
        <v>7</v>
      </c>
      <c r="M69" s="286">
        <v>0.53742028636746486</v>
      </c>
      <c r="N69" s="287">
        <v>2</v>
      </c>
      <c r="O69" s="288">
        <v>50</v>
      </c>
      <c r="P69" s="290">
        <v>1.1620712844653664</v>
      </c>
      <c r="Q69" s="287">
        <v>3</v>
      </c>
      <c r="R69" s="288">
        <v>115</v>
      </c>
      <c r="S69" s="291">
        <v>4750.2119647202608</v>
      </c>
      <c r="T69" s="287">
        <v>2</v>
      </c>
      <c r="U69" s="288">
        <v>86</v>
      </c>
      <c r="V69" s="286">
        <v>0.33072365636902246</v>
      </c>
      <c r="W69" s="287">
        <v>1</v>
      </c>
      <c r="X69" s="288">
        <v>17</v>
      </c>
      <c r="Y69" s="286">
        <v>0.19548633184996822</v>
      </c>
      <c r="Z69" s="287">
        <v>2</v>
      </c>
      <c r="AA69" s="288">
        <v>86</v>
      </c>
      <c r="AB69" s="286">
        <v>2.8162257495590828E-2</v>
      </c>
      <c r="AC69" s="287">
        <v>3</v>
      </c>
      <c r="AD69" s="288">
        <v>102</v>
      </c>
      <c r="AE69" s="292" vm="1772">
        <v>88889</v>
      </c>
      <c r="AF69" s="293">
        <v>5.5806881768671879E-2</v>
      </c>
      <c r="AG69" s="293">
        <v>0.12948492665844144</v>
      </c>
      <c r="AH69" s="293">
        <v>0.18529180842711332</v>
      </c>
      <c r="AI69" s="285" t="str">
        <v>Traditional</v>
      </c>
      <c r="AJ69" s="294" t="str">
        <v>Mixed</v>
      </c>
      <c r="AM69" s="295" t="s">
        <v>665</v>
      </c>
    </row>
    <row r="70" spans="1:39" x14ac:dyDescent="0.25">
      <c r="A70" s="283"/>
      <c r="B70" s="284" t="str" vm="70">
        <v>Hastoe Housing Association Limited</v>
      </c>
      <c r="C70" s="285" t="str" vm="395">
        <v>L0018</v>
      </c>
      <c r="D70" s="286">
        <v>2.6817271163696157E-2</v>
      </c>
      <c r="E70" s="287">
        <v>4</v>
      </c>
      <c r="F70" s="288">
        <v>180</v>
      </c>
      <c r="G70" s="286">
        <v>6.3598952487841373E-3</v>
      </c>
      <c r="H70" s="287">
        <v>3</v>
      </c>
      <c r="I70" s="288">
        <v>149</v>
      </c>
      <c r="J70" s="289">
        <v>1.4771048744460858E-3</v>
      </c>
      <c r="K70" s="287">
        <v>1</v>
      </c>
      <c r="L70" s="288">
        <v>39</v>
      </c>
      <c r="M70" s="286">
        <v>0.53606900527320489</v>
      </c>
      <c r="N70" s="287">
        <v>2</v>
      </c>
      <c r="O70" s="288">
        <v>51</v>
      </c>
      <c r="P70" s="290">
        <v>1.329421768707483</v>
      </c>
      <c r="Q70" s="287">
        <v>2</v>
      </c>
      <c r="R70" s="288">
        <v>89</v>
      </c>
      <c r="S70" s="291">
        <v>3142.5762045231072</v>
      </c>
      <c r="T70" s="287">
        <v>4</v>
      </c>
      <c r="U70" s="288">
        <v>196</v>
      </c>
      <c r="V70" s="286">
        <v>0.42503883587483754</v>
      </c>
      <c r="W70" s="287">
        <v>1</v>
      </c>
      <c r="X70" s="288">
        <v>2</v>
      </c>
      <c r="Y70" s="286">
        <v>0.40549818348256428</v>
      </c>
      <c r="Z70" s="287">
        <v>1</v>
      </c>
      <c r="AA70" s="288">
        <v>2</v>
      </c>
      <c r="AB70" s="286">
        <v>3.9329626182648104E-2</v>
      </c>
      <c r="AC70" s="287">
        <v>1</v>
      </c>
      <c r="AD70" s="288">
        <v>31</v>
      </c>
      <c r="AE70" s="292" vm="6781">
        <v>5075</v>
      </c>
      <c r="AF70" s="293">
        <v>0</v>
      </c>
      <c r="AG70" s="293">
        <v>0</v>
      </c>
      <c r="AH70" s="293">
        <v>0</v>
      </c>
      <c r="AI70" s="285" t="str">
        <v>Traditional</v>
      </c>
      <c r="AJ70" s="294" t="str">
        <v>Mixed</v>
      </c>
      <c r="AM70" s="295" t="s">
        <v>665</v>
      </c>
    </row>
    <row r="71" spans="1:39" x14ac:dyDescent="0.25">
      <c r="A71" s="283"/>
      <c r="B71" s="284" t="str" vm="67">
        <v>GreenSquareAccord Limited</v>
      </c>
      <c r="C71" s="285" t="str" vm="340">
        <v>LH3902</v>
      </c>
      <c r="D71" s="286">
        <v>6.9603909884597207E-2</v>
      </c>
      <c r="E71" s="287">
        <v>2</v>
      </c>
      <c r="F71" s="288">
        <v>91</v>
      </c>
      <c r="G71" s="286">
        <v>1.6555530006898137E-2</v>
      </c>
      <c r="H71" s="287">
        <v>2</v>
      </c>
      <c r="I71" s="288">
        <v>75</v>
      </c>
      <c r="J71" s="289">
        <v>1.9507343941248471E-3</v>
      </c>
      <c r="K71" s="287">
        <v>1</v>
      </c>
      <c r="L71" s="288">
        <v>36</v>
      </c>
      <c r="M71" s="286">
        <v>0.53547018571141247</v>
      </c>
      <c r="N71" s="287">
        <v>2</v>
      </c>
      <c r="O71" s="288">
        <v>52</v>
      </c>
      <c r="P71" s="290">
        <v>0.55868144359192951</v>
      </c>
      <c r="Q71" s="287">
        <v>4</v>
      </c>
      <c r="R71" s="288">
        <v>167</v>
      </c>
      <c r="S71" s="291">
        <v>4452.3431140741895</v>
      </c>
      <c r="T71" s="287">
        <v>3</v>
      </c>
      <c r="U71" s="288">
        <v>112</v>
      </c>
      <c r="V71" s="286">
        <v>0.15190419341329717</v>
      </c>
      <c r="W71" s="287">
        <v>3</v>
      </c>
      <c r="X71" s="288">
        <v>143</v>
      </c>
      <c r="Y71" s="286">
        <v>8.1938613676648939E-2</v>
      </c>
      <c r="Z71" s="287">
        <v>4</v>
      </c>
      <c r="AA71" s="288">
        <v>169</v>
      </c>
      <c r="AB71" s="286">
        <v>1.1530664148537189E-2</v>
      </c>
      <c r="AC71" s="287">
        <v>4</v>
      </c>
      <c r="AD71" s="288">
        <v>188</v>
      </c>
      <c r="AE71" s="292" vm="4741">
        <v>25313</v>
      </c>
      <c r="AF71" s="293">
        <v>4.0750501514376744E-2</v>
      </c>
      <c r="AG71" s="293">
        <v>7.5246823742280616E-2</v>
      </c>
      <c r="AH71" s="293">
        <v>0.11599732525665736</v>
      </c>
      <c r="AI71" s="285" t="str">
        <v>Traditional</v>
      </c>
      <c r="AJ71" s="294" t="str">
        <v>Mixed</v>
      </c>
      <c r="AM71" s="295" t="s">
        <v>665</v>
      </c>
    </row>
    <row r="72" spans="1:39" x14ac:dyDescent="0.25">
      <c r="A72" s="283"/>
      <c r="B72" s="284" t="str" vm="197">
        <v>Yorkshire Housing Limited</v>
      </c>
      <c r="C72" s="285" t="str" vm="281">
        <v>L4521</v>
      </c>
      <c r="D72" s="286">
        <v>7.5953996036066215E-2</v>
      </c>
      <c r="E72" s="287">
        <v>2</v>
      </c>
      <c r="F72" s="288">
        <v>79</v>
      </c>
      <c r="G72" s="286">
        <v>2.485753052917232E-2</v>
      </c>
      <c r="H72" s="287">
        <v>1</v>
      </c>
      <c r="I72" s="288">
        <v>40</v>
      </c>
      <c r="J72" s="289">
        <v>2.3905652358691032E-3</v>
      </c>
      <c r="K72" s="287">
        <v>1</v>
      </c>
      <c r="L72" s="288">
        <v>32</v>
      </c>
      <c r="M72" s="286">
        <v>0.53531716122788897</v>
      </c>
      <c r="N72" s="287">
        <v>2</v>
      </c>
      <c r="O72" s="288">
        <v>53</v>
      </c>
      <c r="P72" s="290">
        <v>1.1237547724579804</v>
      </c>
      <c r="Q72" s="287">
        <v>3</v>
      </c>
      <c r="R72" s="288">
        <v>122</v>
      </c>
      <c r="S72" s="291">
        <v>4507.456850807127</v>
      </c>
      <c r="T72" s="287">
        <v>3</v>
      </c>
      <c r="U72" s="288">
        <v>107</v>
      </c>
      <c r="V72" s="286">
        <v>0.13966910350134668</v>
      </c>
      <c r="W72" s="287">
        <v>4</v>
      </c>
      <c r="X72" s="288">
        <v>152</v>
      </c>
      <c r="Y72" s="286">
        <v>0.15224801947940603</v>
      </c>
      <c r="Z72" s="287">
        <v>3</v>
      </c>
      <c r="AA72" s="288">
        <v>131</v>
      </c>
      <c r="AB72" s="286">
        <v>2.509487213798375E-2</v>
      </c>
      <c r="AC72" s="287">
        <v>3</v>
      </c>
      <c r="AD72" s="288">
        <v>128</v>
      </c>
      <c r="AE72" s="292" vm="2691">
        <v>17903</v>
      </c>
      <c r="AF72" s="293">
        <v>2.2530916483144165E-2</v>
      </c>
      <c r="AG72" s="293">
        <v>4.8845219944660907E-2</v>
      </c>
      <c r="AH72" s="293">
        <v>7.1376136427805076E-2</v>
      </c>
      <c r="AI72" s="285" t="str">
        <v>Traditional</v>
      </c>
      <c r="AJ72" s="294" t="str">
        <v>Yorkshire &amp; the Humber</v>
      </c>
      <c r="AM72" s="295" t="s">
        <v>665</v>
      </c>
    </row>
    <row r="73" spans="1:39" x14ac:dyDescent="0.25">
      <c r="A73" s="283"/>
      <c r="B73" s="284" t="str" vm="61">
        <v>Gloucester City Homes Limited</v>
      </c>
      <c r="C73" s="285" t="str" vm="322">
        <v>4584</v>
      </c>
      <c r="D73" s="286">
        <v>0.15812378736462931</v>
      </c>
      <c r="E73" s="287">
        <v>1</v>
      </c>
      <c r="F73" s="288">
        <v>9</v>
      </c>
      <c r="G73" s="286">
        <v>2.129757444291067E-2</v>
      </c>
      <c r="H73" s="287">
        <v>2</v>
      </c>
      <c r="I73" s="288">
        <v>55</v>
      </c>
      <c r="J73" s="289">
        <v>0</v>
      </c>
      <c r="K73" s="287">
        <v>2</v>
      </c>
      <c r="L73" s="288">
        <v>72</v>
      </c>
      <c r="M73" s="286">
        <v>0.53168891602959023</v>
      </c>
      <c r="N73" s="287">
        <v>2</v>
      </c>
      <c r="O73" s="288">
        <v>54</v>
      </c>
      <c r="P73" s="290">
        <v>0.80233990147783252</v>
      </c>
      <c r="Q73" s="287">
        <v>4</v>
      </c>
      <c r="R73" s="288">
        <v>153</v>
      </c>
      <c r="S73" s="291">
        <v>4645.4526360008404</v>
      </c>
      <c r="T73" s="287">
        <v>2</v>
      </c>
      <c r="U73" s="288">
        <v>92</v>
      </c>
      <c r="V73" s="286">
        <v>0.16199430690934186</v>
      </c>
      <c r="W73" s="287">
        <v>3</v>
      </c>
      <c r="X73" s="288">
        <v>135</v>
      </c>
      <c r="Y73" s="286">
        <v>0.16767479430439192</v>
      </c>
      <c r="Z73" s="287">
        <v>3</v>
      </c>
      <c r="AA73" s="288">
        <v>113</v>
      </c>
      <c r="AB73" s="286">
        <v>3.1752259446285645E-2</v>
      </c>
      <c r="AC73" s="287">
        <v>2</v>
      </c>
      <c r="AD73" s="288">
        <v>73</v>
      </c>
      <c r="AE73" s="292" vm="4110">
        <v>4756</v>
      </c>
      <c r="AF73" s="293">
        <v>1.5443198646075735E-2</v>
      </c>
      <c r="AG73" s="293">
        <v>6.1349693251533742E-2</v>
      </c>
      <c r="AH73" s="293">
        <v>7.6792891897609475E-2</v>
      </c>
      <c r="AI73" s="285" t="str">
        <v>LSVT</v>
      </c>
      <c r="AJ73" s="294" t="str">
        <v>South West</v>
      </c>
      <c r="AM73" s="295" t="s">
        <v>665</v>
      </c>
    </row>
    <row r="74" spans="1:39" x14ac:dyDescent="0.25">
      <c r="A74" s="283"/>
      <c r="B74" s="284" t="str" vm="18">
        <v>Bournville Village Trust</v>
      </c>
      <c r="C74" s="285" t="str" vm="325">
        <v>L0702</v>
      </c>
      <c r="D74" s="286">
        <v>2.9691538280804217E-2</v>
      </c>
      <c r="E74" s="287">
        <v>4</v>
      </c>
      <c r="F74" s="288">
        <v>174</v>
      </c>
      <c r="G74" s="286">
        <v>8.0645161290322581E-4</v>
      </c>
      <c r="H74" s="287">
        <v>4</v>
      </c>
      <c r="I74" s="288">
        <v>183</v>
      </c>
      <c r="J74" s="289">
        <v>0</v>
      </c>
      <c r="K74" s="287">
        <v>2</v>
      </c>
      <c r="L74" s="288">
        <v>72</v>
      </c>
      <c r="M74" s="286">
        <v>0.53000369214244958</v>
      </c>
      <c r="N74" s="287">
        <v>2</v>
      </c>
      <c r="O74" s="288">
        <v>55</v>
      </c>
      <c r="P74" s="290">
        <v>1.3669467787114846</v>
      </c>
      <c r="Q74" s="287">
        <v>2</v>
      </c>
      <c r="R74" s="288">
        <v>81</v>
      </c>
      <c r="S74" s="291">
        <v>4527.4185204345576</v>
      </c>
      <c r="T74" s="287">
        <v>3</v>
      </c>
      <c r="U74" s="288">
        <v>105</v>
      </c>
      <c r="V74" s="286">
        <v>0.27232308262319377</v>
      </c>
      <c r="W74" s="287">
        <v>1</v>
      </c>
      <c r="X74" s="288">
        <v>42</v>
      </c>
      <c r="Y74" s="286">
        <v>0.18131326049621807</v>
      </c>
      <c r="Z74" s="287">
        <v>3</v>
      </c>
      <c r="AA74" s="288">
        <v>102</v>
      </c>
      <c r="AB74" s="286">
        <v>3.3125478105658454E-2</v>
      </c>
      <c r="AC74" s="287">
        <v>2</v>
      </c>
      <c r="AD74" s="288">
        <v>66</v>
      </c>
      <c r="AE74" s="292" vm="4219">
        <v>3720</v>
      </c>
      <c r="AF74" s="293">
        <v>2.4219590958019376E-3</v>
      </c>
      <c r="AG74" s="293">
        <v>7.0505920344456408E-2</v>
      </c>
      <c r="AH74" s="293">
        <v>7.2927879440258345E-2</v>
      </c>
      <c r="AI74" s="285" t="str">
        <v>Traditional</v>
      </c>
      <c r="AJ74" s="294" t="str">
        <v>West Midlands</v>
      </c>
      <c r="AM74" s="295" t="s">
        <v>665</v>
      </c>
    </row>
    <row r="75" spans="1:39" x14ac:dyDescent="0.25">
      <c r="A75" s="283"/>
      <c r="B75" s="284" t="str" vm="32">
        <v>Clarion Housing Group Limited</v>
      </c>
      <c r="C75" s="285" t="str" vm="246">
        <v>LH4087</v>
      </c>
      <c r="D75" s="286">
        <v>5.5830186656502009E-2</v>
      </c>
      <c r="E75" s="287">
        <v>3</v>
      </c>
      <c r="F75" s="288">
        <v>131</v>
      </c>
      <c r="G75" s="286">
        <v>1.3360834384107288E-2</v>
      </c>
      <c r="H75" s="287">
        <v>2</v>
      </c>
      <c r="I75" s="288">
        <v>97</v>
      </c>
      <c r="J75" s="289">
        <v>2.5087286178822814E-3</v>
      </c>
      <c r="K75" s="287">
        <v>1</v>
      </c>
      <c r="L75" s="288">
        <v>31</v>
      </c>
      <c r="M75" s="286">
        <v>0.52745053662255359</v>
      </c>
      <c r="N75" s="287">
        <v>2</v>
      </c>
      <c r="O75" s="288">
        <v>56</v>
      </c>
      <c r="P75" s="290">
        <v>0.66839602248162555</v>
      </c>
      <c r="Q75" s="287">
        <v>4</v>
      </c>
      <c r="R75" s="288">
        <v>162</v>
      </c>
      <c r="S75" s="291">
        <v>5564.7227210983583</v>
      </c>
      <c r="T75" s="287">
        <v>2</v>
      </c>
      <c r="U75" s="288">
        <v>56</v>
      </c>
      <c r="V75" s="286">
        <v>0.19585814834867352</v>
      </c>
      <c r="W75" s="287">
        <v>3</v>
      </c>
      <c r="X75" s="288">
        <v>104</v>
      </c>
      <c r="Y75" s="286">
        <v>0.16322683072038102</v>
      </c>
      <c r="Z75" s="287">
        <v>3</v>
      </c>
      <c r="AA75" s="288">
        <v>117</v>
      </c>
      <c r="AB75" s="286">
        <v>2.8760431722988301E-2</v>
      </c>
      <c r="AC75" s="287">
        <v>2</v>
      </c>
      <c r="AD75" s="288">
        <v>96</v>
      </c>
      <c r="AE75" s="292" vm="1632">
        <v>109520</v>
      </c>
      <c r="AF75" s="293">
        <v>1.4766073821191932E-2</v>
      </c>
      <c r="AG75" s="293">
        <v>6.0055430134170293E-2</v>
      </c>
      <c r="AH75" s="293">
        <v>7.4821503955362217E-2</v>
      </c>
      <c r="AI75" s="285" t="str">
        <v>Traditional</v>
      </c>
      <c r="AJ75" s="294" t="str">
        <v>Mixed</v>
      </c>
      <c r="AM75" s="295" t="s">
        <v>665</v>
      </c>
    </row>
    <row r="76" spans="1:39" x14ac:dyDescent="0.25">
      <c r="A76" s="283"/>
      <c r="B76" s="284" t="str" vm="120">
        <v>Origin Housing Limited</v>
      </c>
      <c r="C76" s="285" t="str" vm="348">
        <v>L0871</v>
      </c>
      <c r="D76" s="286">
        <v>8.4231461452665024E-2</v>
      </c>
      <c r="E76" s="287">
        <v>2</v>
      </c>
      <c r="F76" s="288">
        <v>64</v>
      </c>
      <c r="G76" s="286">
        <v>1.6461494417406242E-2</v>
      </c>
      <c r="H76" s="287">
        <v>2</v>
      </c>
      <c r="I76" s="288">
        <v>77</v>
      </c>
      <c r="J76" s="289">
        <v>5.1733057423693739E-4</v>
      </c>
      <c r="K76" s="287">
        <v>2</v>
      </c>
      <c r="L76" s="288">
        <v>60</v>
      </c>
      <c r="M76" s="286">
        <v>0.52664704937979523</v>
      </c>
      <c r="N76" s="287">
        <v>2</v>
      </c>
      <c r="O76" s="288">
        <v>57</v>
      </c>
      <c r="P76" s="290">
        <v>0.61129300936297315</v>
      </c>
      <c r="Q76" s="287">
        <v>4</v>
      </c>
      <c r="R76" s="288">
        <v>166</v>
      </c>
      <c r="S76" s="291">
        <v>7181.4941333729394</v>
      </c>
      <c r="T76" s="287">
        <v>1</v>
      </c>
      <c r="U76" s="288">
        <v>32</v>
      </c>
      <c r="V76" s="286">
        <v>0.10597012077617295</v>
      </c>
      <c r="W76" s="287">
        <v>4</v>
      </c>
      <c r="X76" s="288">
        <v>173</v>
      </c>
      <c r="Y76" s="286">
        <v>0.16310480923841544</v>
      </c>
      <c r="Z76" s="287">
        <v>3</v>
      </c>
      <c r="AA76" s="288">
        <v>118</v>
      </c>
      <c r="AB76" s="286">
        <v>1.4659148486942823E-2</v>
      </c>
      <c r="AC76" s="287">
        <v>4</v>
      </c>
      <c r="AD76" s="288">
        <v>182</v>
      </c>
      <c r="AE76" s="292" vm="5016">
        <v>6729</v>
      </c>
      <c r="AF76" s="293">
        <v>4.4390243902439022E-2</v>
      </c>
      <c r="AG76" s="293">
        <v>6.5365853658536588E-2</v>
      </c>
      <c r="AH76" s="293">
        <v>0.10975609756097561</v>
      </c>
      <c r="AI76" s="285" t="str">
        <v>Traditional</v>
      </c>
      <c r="AJ76" s="294" t="str">
        <v>London</v>
      </c>
      <c r="AM76" s="295" t="s">
        <v>665</v>
      </c>
    </row>
    <row r="77" spans="1:39" x14ac:dyDescent="0.25">
      <c r="A77" s="283"/>
      <c r="B77" s="284" t="str" vm="167">
        <v>The Havebury Housing Partnership</v>
      </c>
      <c r="C77" s="285" t="str" vm="374">
        <v>LH4339</v>
      </c>
      <c r="D77" s="286">
        <v>6.754730154983872E-2</v>
      </c>
      <c r="E77" s="287">
        <v>2</v>
      </c>
      <c r="F77" s="288">
        <v>97</v>
      </c>
      <c r="G77" s="286">
        <v>2.628755364806867E-2</v>
      </c>
      <c r="H77" s="287">
        <v>1</v>
      </c>
      <c r="I77" s="288">
        <v>28</v>
      </c>
      <c r="J77" s="289">
        <v>0</v>
      </c>
      <c r="K77" s="287">
        <v>2</v>
      </c>
      <c r="L77" s="288">
        <v>72</v>
      </c>
      <c r="M77" s="286">
        <v>0.52474972464794267</v>
      </c>
      <c r="N77" s="287">
        <v>2</v>
      </c>
      <c r="O77" s="288">
        <v>58</v>
      </c>
      <c r="P77" s="290">
        <v>1.2901348336405083</v>
      </c>
      <c r="Q77" s="287">
        <v>2</v>
      </c>
      <c r="R77" s="288">
        <v>95</v>
      </c>
      <c r="S77" s="291">
        <v>4382.0162736174316</v>
      </c>
      <c r="T77" s="287">
        <v>3</v>
      </c>
      <c r="U77" s="288">
        <v>117</v>
      </c>
      <c r="V77" s="286">
        <v>0.18601635982178638</v>
      </c>
      <c r="W77" s="287">
        <v>3</v>
      </c>
      <c r="X77" s="288">
        <v>114</v>
      </c>
      <c r="Y77" s="286">
        <v>0.19151854944530597</v>
      </c>
      <c r="Z77" s="287">
        <v>2</v>
      </c>
      <c r="AA77" s="288">
        <v>92</v>
      </c>
      <c r="AB77" s="286">
        <v>2.7679475123645995E-2</v>
      </c>
      <c r="AC77" s="287">
        <v>3</v>
      </c>
      <c r="AD77" s="288">
        <v>108</v>
      </c>
      <c r="AE77" s="292" vm="5955">
        <v>7251</v>
      </c>
      <c r="AF77" s="293">
        <v>1.364522417153996E-2</v>
      </c>
      <c r="AG77" s="293">
        <v>3.6758563074352546E-2</v>
      </c>
      <c r="AH77" s="293">
        <v>5.0403787245892506E-2</v>
      </c>
      <c r="AI77" s="285" t="str">
        <v>Traditional</v>
      </c>
      <c r="AJ77" s="294" t="str">
        <v>East of England</v>
      </c>
      <c r="AM77" s="295" t="s">
        <v>665</v>
      </c>
    </row>
    <row r="78" spans="1:39" x14ac:dyDescent="0.25">
      <c r="A78" s="283"/>
      <c r="B78" s="284" t="str" vm="175">
        <v>Together Housing Group Limited</v>
      </c>
      <c r="C78" s="285" t="str" vm="249">
        <v>L4464</v>
      </c>
      <c r="D78" s="286">
        <v>9.6325366597328571E-2</v>
      </c>
      <c r="E78" s="287">
        <v>1</v>
      </c>
      <c r="F78" s="288">
        <v>46</v>
      </c>
      <c r="G78" s="286">
        <v>9.2021276595744689E-3</v>
      </c>
      <c r="H78" s="287">
        <v>3</v>
      </c>
      <c r="I78" s="288">
        <v>130</v>
      </c>
      <c r="J78" s="289">
        <v>7.2916120232911922E-3</v>
      </c>
      <c r="K78" s="287">
        <v>1</v>
      </c>
      <c r="L78" s="288">
        <v>13</v>
      </c>
      <c r="M78" s="286">
        <v>0.52188523029909129</v>
      </c>
      <c r="N78" s="287">
        <v>2</v>
      </c>
      <c r="O78" s="288">
        <v>59</v>
      </c>
      <c r="P78" s="290">
        <v>8.3289577316881067E-2</v>
      </c>
      <c r="Q78" s="287">
        <v>4</v>
      </c>
      <c r="R78" s="288">
        <v>183</v>
      </c>
      <c r="S78" s="291">
        <v>5063.9894561299698</v>
      </c>
      <c r="T78" s="287">
        <v>2</v>
      </c>
      <c r="U78" s="288">
        <v>73</v>
      </c>
      <c r="V78" s="286">
        <v>0.1425811855743534</v>
      </c>
      <c r="W78" s="287">
        <v>4</v>
      </c>
      <c r="X78" s="288">
        <v>151</v>
      </c>
      <c r="Y78" s="286">
        <v>7.9430707605047432E-2</v>
      </c>
      <c r="Z78" s="287">
        <v>4</v>
      </c>
      <c r="AA78" s="288">
        <v>171</v>
      </c>
      <c r="AB78" s="286">
        <v>2.2575447037976301E-2</v>
      </c>
      <c r="AC78" s="287">
        <v>3</v>
      </c>
      <c r="AD78" s="288">
        <v>140</v>
      </c>
      <c r="AE78" s="292" vm="1894">
        <v>35968</v>
      </c>
      <c r="AF78" s="293">
        <v>1.2511843058574374E-2</v>
      </c>
      <c r="AG78" s="293">
        <v>1.3710081926099314E-2</v>
      </c>
      <c r="AH78" s="293">
        <v>2.622192498467369E-2</v>
      </c>
      <c r="AI78" s="285" t="str">
        <v>Traditional</v>
      </c>
      <c r="AJ78" s="294" t="str">
        <v>Yorkshire &amp; the Humber</v>
      </c>
      <c r="AM78" s="295" t="s">
        <v>665</v>
      </c>
    </row>
    <row r="79" spans="1:39" x14ac:dyDescent="0.25">
      <c r="A79" s="283"/>
      <c r="B79" s="284" t="str" vm="190">
        <v>Weaver Vale Housing Trust Limited</v>
      </c>
      <c r="C79" s="285" t="str" vm="372">
        <v>L4341</v>
      </c>
      <c r="D79" s="286">
        <v>8.426766142045812E-2</v>
      </c>
      <c r="E79" s="287">
        <v>2</v>
      </c>
      <c r="F79" s="288">
        <v>63</v>
      </c>
      <c r="G79" s="286">
        <v>2.5925925925925925E-2</v>
      </c>
      <c r="H79" s="287">
        <v>1</v>
      </c>
      <c r="I79" s="288">
        <v>31</v>
      </c>
      <c r="J79" s="289">
        <v>0</v>
      </c>
      <c r="K79" s="287">
        <v>2</v>
      </c>
      <c r="L79" s="288">
        <v>72</v>
      </c>
      <c r="M79" s="286">
        <v>0.5200662237776893</v>
      </c>
      <c r="N79" s="287">
        <v>2</v>
      </c>
      <c r="O79" s="288">
        <v>60</v>
      </c>
      <c r="P79" s="290">
        <v>1.8536656041727035</v>
      </c>
      <c r="Q79" s="287">
        <v>1</v>
      </c>
      <c r="R79" s="288">
        <v>38</v>
      </c>
      <c r="S79" s="291">
        <v>4498.9755713159966</v>
      </c>
      <c r="T79" s="287">
        <v>3</v>
      </c>
      <c r="U79" s="288">
        <v>108</v>
      </c>
      <c r="V79" s="286">
        <v>0.18333129733691669</v>
      </c>
      <c r="W79" s="287">
        <v>3</v>
      </c>
      <c r="X79" s="288">
        <v>118</v>
      </c>
      <c r="Y79" s="286">
        <v>0.15606905281301339</v>
      </c>
      <c r="Z79" s="287">
        <v>3</v>
      </c>
      <c r="AA79" s="288">
        <v>125</v>
      </c>
      <c r="AB79" s="286">
        <v>4.6956403915856509E-2</v>
      </c>
      <c r="AC79" s="287">
        <v>1</v>
      </c>
      <c r="AD79" s="288">
        <v>10</v>
      </c>
      <c r="AE79" s="292" vm="5876">
        <v>6345</v>
      </c>
      <c r="AF79" s="293">
        <v>1.420678768745067E-3</v>
      </c>
      <c r="AG79" s="293">
        <v>1.7205998421468034E-2</v>
      </c>
      <c r="AH79" s="293">
        <v>1.86266771902131E-2</v>
      </c>
      <c r="AI79" s="285" t="str">
        <v>Traditional</v>
      </c>
      <c r="AJ79" s="294" t="str">
        <v>North West</v>
      </c>
      <c r="AM79" s="295" t="s">
        <v>665</v>
      </c>
    </row>
    <row r="80" spans="1:39" x14ac:dyDescent="0.25">
      <c r="A80" s="283"/>
      <c r="B80" s="284" t="str" vm="2">
        <v>Abri Group Limited</v>
      </c>
      <c r="C80" s="285" t="str" vm="254">
        <v>L4172</v>
      </c>
      <c r="D80" s="286">
        <v>8.8942469938366991E-2</v>
      </c>
      <c r="E80" s="287">
        <v>2</v>
      </c>
      <c r="F80" s="288">
        <v>56</v>
      </c>
      <c r="G80" s="286">
        <v>2.2767384398164489E-2</v>
      </c>
      <c r="H80" s="287">
        <v>1</v>
      </c>
      <c r="I80" s="288">
        <v>45</v>
      </c>
      <c r="J80" s="289">
        <v>2.9067232508792838E-4</v>
      </c>
      <c r="K80" s="287">
        <v>2</v>
      </c>
      <c r="L80" s="288">
        <v>66</v>
      </c>
      <c r="M80" s="286">
        <v>0.51826566135592622</v>
      </c>
      <c r="N80" s="287">
        <v>2</v>
      </c>
      <c r="O80" s="288">
        <v>61</v>
      </c>
      <c r="P80" s="290">
        <v>1.4435628306051898</v>
      </c>
      <c r="Q80" s="287">
        <v>2</v>
      </c>
      <c r="R80" s="288">
        <v>73</v>
      </c>
      <c r="S80" s="291">
        <v>4414.9236856981342</v>
      </c>
      <c r="T80" s="287">
        <v>3</v>
      </c>
      <c r="U80" s="288">
        <v>116</v>
      </c>
      <c r="V80" s="286">
        <v>0.23192578216131163</v>
      </c>
      <c r="W80" s="287">
        <v>2</v>
      </c>
      <c r="X80" s="288">
        <v>68</v>
      </c>
      <c r="Y80" s="286">
        <v>0.20961751284811181</v>
      </c>
      <c r="Z80" s="287">
        <v>2</v>
      </c>
      <c r="AA80" s="288">
        <v>74</v>
      </c>
      <c r="AB80" s="286">
        <v>3.0790707703106691E-2</v>
      </c>
      <c r="AC80" s="287">
        <v>2</v>
      </c>
      <c r="AD80" s="288">
        <v>78</v>
      </c>
      <c r="AE80" s="292" vm="8096">
        <v>32342</v>
      </c>
      <c r="AF80" s="293">
        <v>5.3901598245064243E-3</v>
      </c>
      <c r="AG80" s="293">
        <v>8.9595738013162021E-2</v>
      </c>
      <c r="AH80" s="293">
        <v>9.4985897837668448E-2</v>
      </c>
      <c r="AI80" s="285" t="str">
        <v>Traditional</v>
      </c>
      <c r="AJ80" s="294" t="str">
        <v>South East</v>
      </c>
      <c r="AM80" s="295" t="s">
        <v>665</v>
      </c>
    </row>
    <row r="81" spans="1:39" x14ac:dyDescent="0.25">
      <c r="A81" s="283"/>
      <c r="B81" s="284" t="str" vm="148">
        <v>Shepherds Bush Housing Association Limited</v>
      </c>
      <c r="C81" s="285" t="str" vm="306">
        <v>LH0050</v>
      </c>
      <c r="D81" s="286">
        <v>6.028720241233157E-2</v>
      </c>
      <c r="E81" s="287">
        <v>3</v>
      </c>
      <c r="F81" s="288">
        <v>117</v>
      </c>
      <c r="G81" s="286">
        <v>1.3558614935335837E-2</v>
      </c>
      <c r="H81" s="287">
        <v>2</v>
      </c>
      <c r="I81" s="288">
        <v>94</v>
      </c>
      <c r="J81" s="289">
        <v>0</v>
      </c>
      <c r="K81" s="287">
        <v>2</v>
      </c>
      <c r="L81" s="288">
        <v>72</v>
      </c>
      <c r="M81" s="286">
        <v>0.51670251425117208</v>
      </c>
      <c r="N81" s="287">
        <v>2</v>
      </c>
      <c r="O81" s="288">
        <v>62</v>
      </c>
      <c r="P81" s="290">
        <v>-0.91302648294732724</v>
      </c>
      <c r="Q81" s="287">
        <v>4</v>
      </c>
      <c r="R81" s="288">
        <v>189</v>
      </c>
      <c r="S81" s="291">
        <v>11124.133448873483</v>
      </c>
      <c r="T81" s="287">
        <v>1</v>
      </c>
      <c r="U81" s="288">
        <v>13</v>
      </c>
      <c r="V81" s="286">
        <v>9.33120030562785E-2</v>
      </c>
      <c r="W81" s="287">
        <v>4</v>
      </c>
      <c r="X81" s="288">
        <v>178</v>
      </c>
      <c r="Y81" s="286">
        <v>9.6910888656881411E-2</v>
      </c>
      <c r="Z81" s="287">
        <v>4</v>
      </c>
      <c r="AA81" s="288">
        <v>164</v>
      </c>
      <c r="AB81" s="286">
        <v>2.7658507486168288E-2</v>
      </c>
      <c r="AC81" s="287">
        <v>3</v>
      </c>
      <c r="AD81" s="288">
        <v>109</v>
      </c>
      <c r="AE81" s="292" vm="3579">
        <v>4616</v>
      </c>
      <c r="AF81" s="293">
        <v>4.5840787119856889E-2</v>
      </c>
      <c r="AG81" s="293">
        <v>1.6323792486583184E-2</v>
      </c>
      <c r="AH81" s="293">
        <v>6.2164579606440076E-2</v>
      </c>
      <c r="AI81" s="285" t="str">
        <v>Traditional</v>
      </c>
      <c r="AJ81" s="294" t="str">
        <v>London</v>
      </c>
      <c r="AM81" s="295" t="s">
        <v>665</v>
      </c>
    </row>
    <row r="82" spans="1:39" x14ac:dyDescent="0.25">
      <c r="A82" s="283"/>
      <c r="B82" s="284" t="str" vm="157">
        <v>Sovereign Network Homes</v>
      </c>
      <c r="C82" s="285" t="str" vm="271">
        <v>4825</v>
      </c>
      <c r="D82" s="286">
        <v>7.4504568826116363E-2</v>
      </c>
      <c r="E82" s="287">
        <v>2</v>
      </c>
      <c r="F82" s="288">
        <v>84</v>
      </c>
      <c r="G82" s="286">
        <v>9.7030855812148264E-3</v>
      </c>
      <c r="H82" s="287">
        <v>3</v>
      </c>
      <c r="I82" s="288">
        <v>125</v>
      </c>
      <c r="J82" s="289">
        <v>0</v>
      </c>
      <c r="K82" s="287">
        <v>2</v>
      </c>
      <c r="L82" s="288">
        <v>72</v>
      </c>
      <c r="M82" s="286">
        <v>0.51259864028301283</v>
      </c>
      <c r="N82" s="287">
        <v>2</v>
      </c>
      <c r="O82" s="288">
        <v>63</v>
      </c>
      <c r="P82" s="290">
        <v>0.81691151637960147</v>
      </c>
      <c r="Q82" s="287">
        <v>4</v>
      </c>
      <c r="R82" s="288">
        <v>152</v>
      </c>
      <c r="S82" s="291">
        <v>6238.8365650969536</v>
      </c>
      <c r="T82" s="287">
        <v>1</v>
      </c>
      <c r="U82" s="288">
        <v>44</v>
      </c>
      <c r="V82" s="286">
        <v>0.15784057424464201</v>
      </c>
      <c r="W82" s="287">
        <v>3</v>
      </c>
      <c r="X82" s="288">
        <v>139</v>
      </c>
      <c r="Y82" s="286">
        <v>0.1243943369995311</v>
      </c>
      <c r="Z82" s="287">
        <v>3</v>
      </c>
      <c r="AA82" s="288">
        <v>148</v>
      </c>
      <c r="AB82" s="286">
        <v>1.6364167695086081E-2</v>
      </c>
      <c r="AC82" s="287">
        <v>4</v>
      </c>
      <c r="AD82" s="288">
        <v>176</v>
      </c>
      <c r="AE82" s="292" vm="2360">
        <v>18043</v>
      </c>
      <c r="AF82" s="293">
        <v>1.883969634842356E-2</v>
      </c>
      <c r="AG82" s="293">
        <v>7.9348368149830997E-2</v>
      </c>
      <c r="AH82" s="293">
        <v>9.8188064498254554E-2</v>
      </c>
      <c r="AI82" s="285" t="str">
        <v>Traditional</v>
      </c>
      <c r="AJ82" s="294" t="str">
        <v>London</v>
      </c>
      <c r="AM82" s="295" t="s">
        <v>665</v>
      </c>
    </row>
    <row r="83" spans="1:39" x14ac:dyDescent="0.25">
      <c r="A83" s="283"/>
      <c r="B83" s="284" t="str" vm="95">
        <v>Longhurst Group Limited</v>
      </c>
      <c r="C83" s="285" t="str" vm="341">
        <v>L4277</v>
      </c>
      <c r="D83" s="286">
        <v>6.8565815472386799E-2</v>
      </c>
      <c r="E83" s="287">
        <v>2</v>
      </c>
      <c r="F83" s="288">
        <v>93</v>
      </c>
      <c r="G83" s="286">
        <v>2.5313867419130578E-2</v>
      </c>
      <c r="H83" s="287">
        <v>1</v>
      </c>
      <c r="I83" s="288">
        <v>34</v>
      </c>
      <c r="J83" s="289">
        <v>0</v>
      </c>
      <c r="K83" s="287">
        <v>2</v>
      </c>
      <c r="L83" s="288">
        <v>72</v>
      </c>
      <c r="M83" s="286">
        <v>0.51150723026003586</v>
      </c>
      <c r="N83" s="287">
        <v>2</v>
      </c>
      <c r="O83" s="288">
        <v>64</v>
      </c>
      <c r="P83" s="290">
        <v>1.1790504131241768</v>
      </c>
      <c r="Q83" s="287">
        <v>3</v>
      </c>
      <c r="R83" s="288">
        <v>111</v>
      </c>
      <c r="S83" s="291">
        <v>4418.4751381215474</v>
      </c>
      <c r="T83" s="287">
        <v>3</v>
      </c>
      <c r="U83" s="288">
        <v>115</v>
      </c>
      <c r="V83" s="286">
        <v>0.2311346276257161</v>
      </c>
      <c r="W83" s="287">
        <v>2</v>
      </c>
      <c r="X83" s="288">
        <v>71</v>
      </c>
      <c r="Y83" s="286">
        <v>0.20680959186914405</v>
      </c>
      <c r="Z83" s="287">
        <v>2</v>
      </c>
      <c r="AA83" s="288">
        <v>76</v>
      </c>
      <c r="AB83" s="286">
        <v>2.655058876543237E-2</v>
      </c>
      <c r="AC83" s="287">
        <v>3</v>
      </c>
      <c r="AD83" s="288">
        <v>116</v>
      </c>
      <c r="AE83" s="292" vm="4776">
        <v>22549</v>
      </c>
      <c r="AF83" s="293">
        <v>2.2470404288586106E-2</v>
      </c>
      <c r="AG83" s="293">
        <v>5.2669198123743578E-2</v>
      </c>
      <c r="AH83" s="293">
        <v>7.5139602412329684E-2</v>
      </c>
      <c r="AI83" s="285" t="str">
        <v>Traditional</v>
      </c>
      <c r="AJ83" s="294" t="str">
        <v>East Midlands</v>
      </c>
      <c r="AM83" s="295" t="s">
        <v>665</v>
      </c>
    </row>
    <row r="84" spans="1:39" x14ac:dyDescent="0.25">
      <c r="A84" s="283"/>
      <c r="B84" s="284" t="str" vm="29">
        <v>Cheshire Peaks &amp; Plains Housing Trust Limited</v>
      </c>
      <c r="C84" s="285" t="str" vm="370">
        <v>L4472</v>
      </c>
      <c r="D84" s="286">
        <v>6.6186610509153906E-2</v>
      </c>
      <c r="E84" s="287">
        <v>3</v>
      </c>
      <c r="F84" s="288">
        <v>104</v>
      </c>
      <c r="G84" s="286">
        <v>1.2788700133613285E-2</v>
      </c>
      <c r="H84" s="287">
        <v>2</v>
      </c>
      <c r="I84" s="288">
        <v>99</v>
      </c>
      <c r="J84" s="289">
        <v>8.8261253309797002E-4</v>
      </c>
      <c r="K84" s="287">
        <v>1</v>
      </c>
      <c r="L84" s="288">
        <v>48</v>
      </c>
      <c r="M84" s="286">
        <v>0.51135491321626303</v>
      </c>
      <c r="N84" s="287">
        <v>2</v>
      </c>
      <c r="O84" s="288">
        <v>65</v>
      </c>
      <c r="P84" s="290">
        <v>0.74221548635987877</v>
      </c>
      <c r="Q84" s="287">
        <v>4</v>
      </c>
      <c r="R84" s="288">
        <v>157</v>
      </c>
      <c r="S84" s="291">
        <v>4540</v>
      </c>
      <c r="T84" s="287">
        <v>3</v>
      </c>
      <c r="U84" s="288">
        <v>103</v>
      </c>
      <c r="V84" s="286">
        <v>0.22458183884370894</v>
      </c>
      <c r="W84" s="287">
        <v>2</v>
      </c>
      <c r="X84" s="288">
        <v>77</v>
      </c>
      <c r="Y84" s="286">
        <v>0.21104699093157461</v>
      </c>
      <c r="Z84" s="287">
        <v>2</v>
      </c>
      <c r="AA84" s="288">
        <v>73</v>
      </c>
      <c r="AB84" s="286">
        <v>4.5462982366853276E-2</v>
      </c>
      <c r="AC84" s="287">
        <v>1</v>
      </c>
      <c r="AD84" s="288">
        <v>13</v>
      </c>
      <c r="AE84" s="292" vm="5803">
        <v>5239</v>
      </c>
      <c r="AF84" s="293">
        <v>9.5822154082023765E-4</v>
      </c>
      <c r="AG84" s="293">
        <v>0.20582598696818705</v>
      </c>
      <c r="AH84" s="293">
        <v>0.20678420850900728</v>
      </c>
      <c r="AI84" s="285" t="str">
        <v>Traditional</v>
      </c>
      <c r="AJ84" s="294" t="str">
        <v>North West</v>
      </c>
      <c r="AM84" s="295" t="s">
        <v>665</v>
      </c>
    </row>
    <row r="85" spans="1:39" x14ac:dyDescent="0.25">
      <c r="A85" s="283"/>
      <c r="B85" s="284" t="str" vm="46">
        <v>Eastlight Community Homes Limited</v>
      </c>
      <c r="C85" s="285" t="str" vm="290">
        <v>L4499</v>
      </c>
      <c r="D85" s="286">
        <v>9.1831239534511916E-2</v>
      </c>
      <c r="E85" s="287">
        <v>2</v>
      </c>
      <c r="F85" s="288">
        <v>52</v>
      </c>
      <c r="G85" s="286">
        <v>2.4871420895064097E-2</v>
      </c>
      <c r="H85" s="287">
        <v>1</v>
      </c>
      <c r="I85" s="288">
        <v>39</v>
      </c>
      <c r="J85" s="289">
        <v>0</v>
      </c>
      <c r="K85" s="287">
        <v>2</v>
      </c>
      <c r="L85" s="288">
        <v>72</v>
      </c>
      <c r="M85" s="286">
        <v>0.51110148122593113</v>
      </c>
      <c r="N85" s="287">
        <v>2</v>
      </c>
      <c r="O85" s="288">
        <v>66</v>
      </c>
      <c r="P85" s="290">
        <v>1.6382811382811382</v>
      </c>
      <c r="Q85" s="287">
        <v>2</v>
      </c>
      <c r="R85" s="288">
        <v>56</v>
      </c>
      <c r="S85" s="291">
        <v>4190.1204819277109</v>
      </c>
      <c r="T85" s="287">
        <v>3</v>
      </c>
      <c r="U85" s="288">
        <v>137</v>
      </c>
      <c r="V85" s="286">
        <v>0.24982547395797686</v>
      </c>
      <c r="W85" s="287">
        <v>2</v>
      </c>
      <c r="X85" s="288">
        <v>56</v>
      </c>
      <c r="Y85" s="286">
        <v>0.21538142620232173</v>
      </c>
      <c r="Z85" s="287">
        <v>2</v>
      </c>
      <c r="AA85" s="288">
        <v>67</v>
      </c>
      <c r="AB85" s="286">
        <v>2.8494956747304668E-2</v>
      </c>
      <c r="AC85" s="287">
        <v>2</v>
      </c>
      <c r="AD85" s="288">
        <v>98</v>
      </c>
      <c r="AE85" s="292" vm="7753">
        <v>12450</v>
      </c>
      <c r="AF85" s="293">
        <v>1.2070641607258587E-2</v>
      </c>
      <c r="AG85" s="293">
        <v>5.1604018146467923E-2</v>
      </c>
      <c r="AH85" s="293">
        <v>6.3674659753726506E-2</v>
      </c>
      <c r="AI85" s="285" t="str">
        <v>Traditional</v>
      </c>
      <c r="AJ85" s="294" t="str">
        <v>East of England</v>
      </c>
      <c r="AM85" s="295" t="s">
        <v>665</v>
      </c>
    </row>
    <row r="86" spans="1:39" x14ac:dyDescent="0.25">
      <c r="A86" s="283"/>
      <c r="B86" s="284" t="str" vm="10">
        <v>Aster Group Limited</v>
      </c>
      <c r="C86" s="285" t="str" vm="250">
        <v>L4393</v>
      </c>
      <c r="D86" s="286">
        <v>8.9062823595090809E-2</v>
      </c>
      <c r="E86" s="287">
        <v>2</v>
      </c>
      <c r="F86" s="288">
        <v>55</v>
      </c>
      <c r="G86" s="286">
        <v>2.7783945819917843E-2</v>
      </c>
      <c r="H86" s="287">
        <v>1</v>
      </c>
      <c r="I86" s="288">
        <v>23</v>
      </c>
      <c r="J86" s="289">
        <v>0</v>
      </c>
      <c r="K86" s="287">
        <v>2</v>
      </c>
      <c r="L86" s="288">
        <v>72</v>
      </c>
      <c r="M86" s="286">
        <v>0.51008581179034185</v>
      </c>
      <c r="N86" s="287">
        <v>2</v>
      </c>
      <c r="O86" s="288">
        <v>67</v>
      </c>
      <c r="P86" s="290">
        <v>1.7235586383313657</v>
      </c>
      <c r="Q86" s="287">
        <v>1</v>
      </c>
      <c r="R86" s="288">
        <v>48</v>
      </c>
      <c r="S86" s="291">
        <v>5062.1827411167515</v>
      </c>
      <c r="T86" s="287">
        <v>2</v>
      </c>
      <c r="U86" s="288">
        <v>74</v>
      </c>
      <c r="V86" s="286">
        <v>0.20415919378256042</v>
      </c>
      <c r="W86" s="287">
        <v>2</v>
      </c>
      <c r="X86" s="288">
        <v>92</v>
      </c>
      <c r="Y86" s="286">
        <v>0.16592352564251542</v>
      </c>
      <c r="Z86" s="287">
        <v>3</v>
      </c>
      <c r="AA86" s="288">
        <v>116</v>
      </c>
      <c r="AB86" s="286">
        <v>2.962820124859385E-2</v>
      </c>
      <c r="AC86" s="287">
        <v>2</v>
      </c>
      <c r="AD86" s="288">
        <v>92</v>
      </c>
      <c r="AE86" s="292" vm="1464">
        <v>34384</v>
      </c>
      <c r="AF86" s="293">
        <v>4.2089084621523366E-2</v>
      </c>
      <c r="AG86" s="293">
        <v>0.12088789052108888</v>
      </c>
      <c r="AH86" s="293">
        <v>0.16297697514261225</v>
      </c>
      <c r="AI86" s="285" t="str">
        <v>Traditional</v>
      </c>
      <c r="AJ86" s="294" t="str">
        <v>South West</v>
      </c>
      <c r="AM86" s="295" t="s">
        <v>665</v>
      </c>
    </row>
    <row r="87" spans="1:39" x14ac:dyDescent="0.25">
      <c r="A87" s="283"/>
      <c r="B87" s="284" t="str" vm="85">
        <v>'Johnnie' Johnson Housing Trust Limited</v>
      </c>
      <c r="C87" s="285" t="str" vm="318">
        <v>L1231</v>
      </c>
      <c r="D87" s="286">
        <v>5.6831905431709365E-2</v>
      </c>
      <c r="E87" s="287">
        <v>3</v>
      </c>
      <c r="F87" s="288">
        <v>129</v>
      </c>
      <c r="G87" s="286">
        <v>2.6067776218167233E-3</v>
      </c>
      <c r="H87" s="287">
        <v>4</v>
      </c>
      <c r="I87" s="288">
        <v>174</v>
      </c>
      <c r="J87" s="289">
        <v>0</v>
      </c>
      <c r="K87" s="287">
        <v>2</v>
      </c>
      <c r="L87" s="288">
        <v>72</v>
      </c>
      <c r="M87" s="286">
        <v>0.50855320176747221</v>
      </c>
      <c r="N87" s="287">
        <v>2</v>
      </c>
      <c r="O87" s="288">
        <v>68</v>
      </c>
      <c r="P87" s="290">
        <v>1.0232362821948489</v>
      </c>
      <c r="Q87" s="287">
        <v>3</v>
      </c>
      <c r="R87" s="288">
        <v>135</v>
      </c>
      <c r="S87" s="291">
        <v>5033.0695881517549</v>
      </c>
      <c r="T87" s="287">
        <v>2</v>
      </c>
      <c r="U87" s="288">
        <v>76</v>
      </c>
      <c r="V87" s="286">
        <v>0.14701873271799665</v>
      </c>
      <c r="W87" s="287">
        <v>3</v>
      </c>
      <c r="X87" s="288">
        <v>147</v>
      </c>
      <c r="Y87" s="286">
        <v>0.12973972304792286</v>
      </c>
      <c r="Z87" s="287">
        <v>3</v>
      </c>
      <c r="AA87" s="288">
        <v>145</v>
      </c>
      <c r="AB87" s="286">
        <v>2.5282781882201854E-2</v>
      </c>
      <c r="AC87" s="287">
        <v>3</v>
      </c>
      <c r="AD87" s="288">
        <v>125</v>
      </c>
      <c r="AE87" s="292" vm="7439">
        <v>4908</v>
      </c>
      <c r="AF87" s="293">
        <v>1.8207855973813421E-2</v>
      </c>
      <c r="AG87" s="293">
        <v>0.49549918166939444</v>
      </c>
      <c r="AH87" s="293">
        <v>0.51370703764320791</v>
      </c>
      <c r="AI87" s="285" t="str">
        <v>Traditional</v>
      </c>
      <c r="AJ87" s="294" t="str">
        <v>Mixed</v>
      </c>
      <c r="AM87" s="295" t="s">
        <v>665</v>
      </c>
    </row>
    <row r="88" spans="1:39" x14ac:dyDescent="0.25">
      <c r="A88" s="283"/>
      <c r="B88" s="284" t="str" vm="129">
        <v>Plus Dane Housing Limited</v>
      </c>
      <c r="C88" s="285" t="str" vm="274">
        <v>L4556</v>
      </c>
      <c r="D88" s="286">
        <v>6.4566446574194983E-2</v>
      </c>
      <c r="E88" s="287">
        <v>3</v>
      </c>
      <c r="F88" s="288">
        <v>108</v>
      </c>
      <c r="G88" s="286">
        <v>1.0665685913938948E-2</v>
      </c>
      <c r="H88" s="287">
        <v>3</v>
      </c>
      <c r="I88" s="288">
        <v>119</v>
      </c>
      <c r="J88" s="289">
        <v>0</v>
      </c>
      <c r="K88" s="287">
        <v>2</v>
      </c>
      <c r="L88" s="288">
        <v>72</v>
      </c>
      <c r="M88" s="286">
        <v>0.50340147576929706</v>
      </c>
      <c r="N88" s="287">
        <v>2</v>
      </c>
      <c r="O88" s="288">
        <v>69</v>
      </c>
      <c r="P88" s="290">
        <v>0.42851935554421522</v>
      </c>
      <c r="Q88" s="287">
        <v>4</v>
      </c>
      <c r="R88" s="288">
        <v>171</v>
      </c>
      <c r="S88" s="291">
        <v>5049.2699363534257</v>
      </c>
      <c r="T88" s="287">
        <v>2</v>
      </c>
      <c r="U88" s="288">
        <v>75</v>
      </c>
      <c r="V88" s="286">
        <v>0.18190194856229167</v>
      </c>
      <c r="W88" s="287">
        <v>3</v>
      </c>
      <c r="X88" s="288">
        <v>120</v>
      </c>
      <c r="Y88" s="286">
        <v>8.178737172750139E-2</v>
      </c>
      <c r="Z88" s="287">
        <v>4</v>
      </c>
      <c r="AA88" s="288">
        <v>170</v>
      </c>
      <c r="AB88" s="286">
        <v>1.2522917024839238E-2</v>
      </c>
      <c r="AC88" s="287">
        <v>4</v>
      </c>
      <c r="AD88" s="288">
        <v>184</v>
      </c>
      <c r="AE88" s="292" vm="8103">
        <v>13355</v>
      </c>
      <c r="AF88" s="293">
        <v>1.9192537085181219E-2</v>
      </c>
      <c r="AG88" s="293">
        <v>2.8750573482183819E-2</v>
      </c>
      <c r="AH88" s="293">
        <v>4.7943110567365041E-2</v>
      </c>
      <c r="AI88" s="285" t="str">
        <v>Traditional</v>
      </c>
      <c r="AJ88" s="294" t="str">
        <v>North West</v>
      </c>
      <c r="AM88" s="295" t="s">
        <v>665</v>
      </c>
    </row>
    <row r="89" spans="1:39" x14ac:dyDescent="0.25">
      <c r="A89" s="283"/>
      <c r="B89" s="284" t="str" vm="123">
        <v>Paragon Asra Housing Limited</v>
      </c>
      <c r="C89" s="285" t="str" vm="337">
        <v>4849</v>
      </c>
      <c r="D89" s="286">
        <v>7.0499652574388214E-2</v>
      </c>
      <c r="E89" s="287">
        <v>2</v>
      </c>
      <c r="F89" s="288">
        <v>89</v>
      </c>
      <c r="G89" s="286">
        <v>1.2201409176834507E-2</v>
      </c>
      <c r="H89" s="287">
        <v>3</v>
      </c>
      <c r="I89" s="288">
        <v>107</v>
      </c>
      <c r="J89" s="289">
        <v>0</v>
      </c>
      <c r="K89" s="287">
        <v>2</v>
      </c>
      <c r="L89" s="288">
        <v>72</v>
      </c>
      <c r="M89" s="286">
        <v>0.4990819900728764</v>
      </c>
      <c r="N89" s="287">
        <v>2</v>
      </c>
      <c r="O89" s="288">
        <v>70</v>
      </c>
      <c r="P89" s="290">
        <v>0.8772255464647698</v>
      </c>
      <c r="Q89" s="287">
        <v>4</v>
      </c>
      <c r="R89" s="288">
        <v>150</v>
      </c>
      <c r="S89" s="291">
        <v>5539.8555661534265</v>
      </c>
      <c r="T89" s="287">
        <v>2</v>
      </c>
      <c r="U89" s="288">
        <v>57</v>
      </c>
      <c r="V89" s="286">
        <v>0.18716332007630873</v>
      </c>
      <c r="W89" s="287">
        <v>3</v>
      </c>
      <c r="X89" s="288">
        <v>111</v>
      </c>
      <c r="Y89" s="286">
        <v>0.18739393135320098</v>
      </c>
      <c r="Z89" s="287">
        <v>2</v>
      </c>
      <c r="AA89" s="288">
        <v>93</v>
      </c>
      <c r="AB89" s="286">
        <v>1.8296277512696378E-2</v>
      </c>
      <c r="AC89" s="287">
        <v>4</v>
      </c>
      <c r="AD89" s="288">
        <v>170</v>
      </c>
      <c r="AE89" s="292" vm="4629">
        <v>21692</v>
      </c>
      <c r="AF89" s="293">
        <v>2.8043870609468276E-2</v>
      </c>
      <c r="AG89" s="293">
        <v>0.10532648433523069</v>
      </c>
      <c r="AH89" s="293">
        <v>0.13337035494469895</v>
      </c>
      <c r="AI89" s="285" t="str">
        <v>Traditional</v>
      </c>
      <c r="AJ89" s="294" t="str">
        <v>Mixed</v>
      </c>
      <c r="AM89" s="295" t="s">
        <v>665</v>
      </c>
    </row>
    <row r="90" spans="1:39" x14ac:dyDescent="0.25">
      <c r="A90" s="283"/>
      <c r="B90" s="284" t="str" vm="112">
        <v>NSAH (Alliance Homes) Limited</v>
      </c>
      <c r="C90" s="285" t="str" vm="362">
        <v>L4459</v>
      </c>
      <c r="D90" s="286">
        <v>0.18089843937784886</v>
      </c>
      <c r="E90" s="287">
        <v>1</v>
      </c>
      <c r="F90" s="288">
        <v>5</v>
      </c>
      <c r="G90" s="286">
        <v>3.875338753387534E-2</v>
      </c>
      <c r="H90" s="287">
        <v>1</v>
      </c>
      <c r="I90" s="288">
        <v>8</v>
      </c>
      <c r="J90" s="289">
        <v>4.0360554284945513E-4</v>
      </c>
      <c r="K90" s="287">
        <v>2</v>
      </c>
      <c r="L90" s="288">
        <v>61</v>
      </c>
      <c r="M90" s="286">
        <v>0.49408484435296018</v>
      </c>
      <c r="N90" s="287">
        <v>2</v>
      </c>
      <c r="O90" s="288">
        <v>71</v>
      </c>
      <c r="P90" s="290">
        <v>2.0848886213124622</v>
      </c>
      <c r="Q90" s="287">
        <v>1</v>
      </c>
      <c r="R90" s="288">
        <v>27</v>
      </c>
      <c r="S90" s="291">
        <v>4932.7386009629008</v>
      </c>
      <c r="T90" s="287">
        <v>2</v>
      </c>
      <c r="U90" s="288">
        <v>79</v>
      </c>
      <c r="V90" s="286">
        <v>0.15846174460672652</v>
      </c>
      <c r="W90" s="287">
        <v>3</v>
      </c>
      <c r="X90" s="288">
        <v>136</v>
      </c>
      <c r="Y90" s="286">
        <v>0.17630024325263524</v>
      </c>
      <c r="Z90" s="287">
        <v>3</v>
      </c>
      <c r="AA90" s="288">
        <v>103</v>
      </c>
      <c r="AB90" s="286">
        <v>3.8842102015948669E-2</v>
      </c>
      <c r="AC90" s="287">
        <v>1</v>
      </c>
      <c r="AD90" s="288">
        <v>35</v>
      </c>
      <c r="AE90" s="292" vm="5505">
        <v>6868</v>
      </c>
      <c r="AF90" s="293">
        <v>6.9229636176167328E-3</v>
      </c>
      <c r="AG90" s="293">
        <v>0</v>
      </c>
      <c r="AH90" s="293">
        <v>6.9229636176167328E-3</v>
      </c>
      <c r="AI90" s="285" t="str">
        <v>Traditional</v>
      </c>
      <c r="AJ90" s="294" t="str">
        <v>South West</v>
      </c>
      <c r="AM90" s="295" t="s">
        <v>665</v>
      </c>
    </row>
    <row r="91" spans="1:39" x14ac:dyDescent="0.25">
      <c r="A91" s="283"/>
      <c r="B91" s="284" t="str" vm="164">
        <v>The Cambridge Housing Society Limited</v>
      </c>
      <c r="C91" s="285" t="str" vm="314">
        <v>L0992</v>
      </c>
      <c r="D91" s="286">
        <v>4.0164625990328225E-2</v>
      </c>
      <c r="E91" s="287">
        <v>4</v>
      </c>
      <c r="F91" s="288">
        <v>151</v>
      </c>
      <c r="G91" s="286">
        <v>1.2779552715654952E-2</v>
      </c>
      <c r="H91" s="287">
        <v>3</v>
      </c>
      <c r="I91" s="288">
        <v>100</v>
      </c>
      <c r="J91" s="289">
        <v>0</v>
      </c>
      <c r="K91" s="287">
        <v>2</v>
      </c>
      <c r="L91" s="288">
        <v>72</v>
      </c>
      <c r="M91" s="286">
        <v>0.49161024796789793</v>
      </c>
      <c r="N91" s="287">
        <v>2</v>
      </c>
      <c r="O91" s="288">
        <v>72</v>
      </c>
      <c r="P91" s="290">
        <v>1.3446814521825117</v>
      </c>
      <c r="Q91" s="287">
        <v>2</v>
      </c>
      <c r="R91" s="288">
        <v>86</v>
      </c>
      <c r="S91" s="291">
        <v>6288.736979166667</v>
      </c>
      <c r="T91" s="287">
        <v>1</v>
      </c>
      <c r="U91" s="288">
        <v>42</v>
      </c>
      <c r="V91" s="286">
        <v>0.38936965054144795</v>
      </c>
      <c r="W91" s="287">
        <v>1</v>
      </c>
      <c r="X91" s="288">
        <v>5</v>
      </c>
      <c r="Y91" s="286">
        <v>0.31102822644372097</v>
      </c>
      <c r="Z91" s="287">
        <v>1</v>
      </c>
      <c r="AA91" s="288">
        <v>12</v>
      </c>
      <c r="AB91" s="286">
        <v>4.5385241485251804E-2</v>
      </c>
      <c r="AC91" s="287">
        <v>1</v>
      </c>
      <c r="AD91" s="288">
        <v>15</v>
      </c>
      <c r="AE91" s="292" vm="3826">
        <v>3072</v>
      </c>
      <c r="AF91" s="293">
        <v>6.2073448163795904E-2</v>
      </c>
      <c r="AG91" s="293">
        <v>6.9873253168670782E-2</v>
      </c>
      <c r="AH91" s="293">
        <v>0.13194670133246669</v>
      </c>
      <c r="AI91" s="285" t="str">
        <v>Traditional</v>
      </c>
      <c r="AJ91" s="294" t="str">
        <v>East of England</v>
      </c>
      <c r="AM91" s="295" t="s">
        <v>665</v>
      </c>
    </row>
    <row r="92" spans="1:39" x14ac:dyDescent="0.25">
      <c r="A92" s="283"/>
      <c r="B92" s="284" t="str" vm="119">
        <v>Orbit Group Limited</v>
      </c>
      <c r="C92" s="285" t="str" vm="253">
        <v>L4123</v>
      </c>
      <c r="D92" s="286">
        <v>6.7644551525743946E-2</v>
      </c>
      <c r="E92" s="287">
        <v>2</v>
      </c>
      <c r="F92" s="288">
        <v>95</v>
      </c>
      <c r="G92" s="286">
        <v>2.1081233017895624E-2</v>
      </c>
      <c r="H92" s="287">
        <v>2</v>
      </c>
      <c r="I92" s="288">
        <v>56</v>
      </c>
      <c r="J92" s="289">
        <v>7.5379145853021919E-3</v>
      </c>
      <c r="K92" s="287">
        <v>1</v>
      </c>
      <c r="L92" s="288">
        <v>11</v>
      </c>
      <c r="M92" s="286">
        <v>0.49102952744890871</v>
      </c>
      <c r="N92" s="287">
        <v>2</v>
      </c>
      <c r="O92" s="288">
        <v>73</v>
      </c>
      <c r="P92" s="290">
        <v>1.6917325357829525</v>
      </c>
      <c r="Q92" s="287">
        <v>2</v>
      </c>
      <c r="R92" s="288">
        <v>50</v>
      </c>
      <c r="S92" s="291">
        <v>4436.227967971442</v>
      </c>
      <c r="T92" s="287">
        <v>3</v>
      </c>
      <c r="U92" s="288">
        <v>114</v>
      </c>
      <c r="V92" s="286">
        <v>0.34954262084521159</v>
      </c>
      <c r="W92" s="287">
        <v>1</v>
      </c>
      <c r="X92" s="288">
        <v>12</v>
      </c>
      <c r="Y92" s="286">
        <v>0.25124788433403139</v>
      </c>
      <c r="Z92" s="287">
        <v>1</v>
      </c>
      <c r="AA92" s="288">
        <v>34</v>
      </c>
      <c r="AB92" s="286">
        <v>4.1848237316617638E-2</v>
      </c>
      <c r="AC92" s="287">
        <v>1</v>
      </c>
      <c r="AD92" s="288">
        <v>22</v>
      </c>
      <c r="AE92" s="292" vm="1834">
        <v>40339</v>
      </c>
      <c r="AF92" s="293">
        <v>1.5823257202567546E-2</v>
      </c>
      <c r="AG92" s="293">
        <v>6.7845947156291983E-2</v>
      </c>
      <c r="AH92" s="293">
        <v>8.3669204358859522E-2</v>
      </c>
      <c r="AI92" s="285" t="str">
        <v>Traditional</v>
      </c>
      <c r="AJ92" s="294" t="str">
        <v>Mixed</v>
      </c>
      <c r="AM92" s="295" t="s">
        <v>665</v>
      </c>
    </row>
    <row r="93" spans="1:39" x14ac:dyDescent="0.25">
      <c r="A93" s="283"/>
      <c r="B93" s="284" t="str" vm="24">
        <v>Bromsgrove District Housing Trust Limited</v>
      </c>
      <c r="C93" s="285" t="str" vm="323">
        <v>LH4415</v>
      </c>
      <c r="D93" s="286">
        <v>0.1026080678639112</v>
      </c>
      <c r="E93" s="287">
        <v>1</v>
      </c>
      <c r="F93" s="288">
        <v>34</v>
      </c>
      <c r="G93" s="286">
        <v>4.4737461737697198E-3</v>
      </c>
      <c r="H93" s="287">
        <v>4</v>
      </c>
      <c r="I93" s="288">
        <v>161</v>
      </c>
      <c r="J93" s="289">
        <v>0</v>
      </c>
      <c r="K93" s="287">
        <v>2</v>
      </c>
      <c r="L93" s="288">
        <v>72</v>
      </c>
      <c r="M93" s="286">
        <v>0.49074993231657793</v>
      </c>
      <c r="N93" s="287">
        <v>2</v>
      </c>
      <c r="O93" s="288">
        <v>74</v>
      </c>
      <c r="P93" s="290">
        <v>1.0940241228070176</v>
      </c>
      <c r="Q93" s="287">
        <v>3</v>
      </c>
      <c r="R93" s="288">
        <v>125</v>
      </c>
      <c r="S93" s="291">
        <v>4641.9449901768176</v>
      </c>
      <c r="T93" s="287">
        <v>2</v>
      </c>
      <c r="U93" s="288">
        <v>93</v>
      </c>
      <c r="V93" s="286">
        <v>0.16626862820022928</v>
      </c>
      <c r="W93" s="287">
        <v>3</v>
      </c>
      <c r="X93" s="288">
        <v>131</v>
      </c>
      <c r="Y93" s="286">
        <v>0.20164106879865348</v>
      </c>
      <c r="Z93" s="287">
        <v>2</v>
      </c>
      <c r="AA93" s="288">
        <v>81</v>
      </c>
      <c r="AB93" s="286">
        <v>2.961523757652567E-2</v>
      </c>
      <c r="AC93" s="287">
        <v>2</v>
      </c>
      <c r="AD93" s="288">
        <v>93</v>
      </c>
      <c r="AE93" s="292" vm="4145">
        <v>4072</v>
      </c>
      <c r="AF93" s="293">
        <v>7.5150300601202404E-4</v>
      </c>
      <c r="AG93" s="293">
        <v>0.22870741482965931</v>
      </c>
      <c r="AH93" s="293">
        <v>0.22945891783567132</v>
      </c>
      <c r="AI93" s="285" t="str">
        <v>Traditional</v>
      </c>
      <c r="AJ93" s="294" t="str">
        <v>West Midlands</v>
      </c>
      <c r="AM93" s="295" t="s">
        <v>665</v>
      </c>
    </row>
    <row r="94" spans="1:39" x14ac:dyDescent="0.25">
      <c r="A94" s="283"/>
      <c r="B94" s="284" t="str" vm="45">
        <v>East Midlands Housing Group Limited</v>
      </c>
      <c r="C94" s="285" t="str" vm="303">
        <v>L4530</v>
      </c>
      <c r="D94" s="286">
        <v>0.1045004005813462</v>
      </c>
      <c r="E94" s="287">
        <v>1</v>
      </c>
      <c r="F94" s="288">
        <v>33</v>
      </c>
      <c r="G94" s="286">
        <v>2.4969057740946026E-2</v>
      </c>
      <c r="H94" s="287">
        <v>1</v>
      </c>
      <c r="I94" s="288">
        <v>36</v>
      </c>
      <c r="J94" s="289">
        <v>0</v>
      </c>
      <c r="K94" s="287">
        <v>2</v>
      </c>
      <c r="L94" s="288">
        <v>72</v>
      </c>
      <c r="M94" s="286">
        <v>0.48962715740230045</v>
      </c>
      <c r="N94" s="287">
        <v>2</v>
      </c>
      <c r="O94" s="288">
        <v>75</v>
      </c>
      <c r="P94" s="290">
        <v>1.0132630623712959</v>
      </c>
      <c r="Q94" s="287">
        <v>3</v>
      </c>
      <c r="R94" s="288">
        <v>137</v>
      </c>
      <c r="S94" s="291">
        <v>3595.7895794603828</v>
      </c>
      <c r="T94" s="287">
        <v>4</v>
      </c>
      <c r="U94" s="288">
        <v>188</v>
      </c>
      <c r="V94" s="286">
        <v>0.23014180726632855</v>
      </c>
      <c r="W94" s="287">
        <v>2</v>
      </c>
      <c r="X94" s="288">
        <v>74</v>
      </c>
      <c r="Y94" s="286">
        <v>0.20169211244856364</v>
      </c>
      <c r="Z94" s="287">
        <v>2</v>
      </c>
      <c r="AA94" s="288">
        <v>80</v>
      </c>
      <c r="AB94" s="286">
        <v>3.0239027455297218E-2</v>
      </c>
      <c r="AC94" s="287">
        <v>2</v>
      </c>
      <c r="AD94" s="288">
        <v>83</v>
      </c>
      <c r="AE94" s="292" vm="3455">
        <v>18583</v>
      </c>
      <c r="AF94" s="293">
        <v>3.0181979582778518E-2</v>
      </c>
      <c r="AG94" s="293">
        <v>0.19346426986240567</v>
      </c>
      <c r="AH94" s="293">
        <v>0.22364624944518419</v>
      </c>
      <c r="AI94" s="285" t="str">
        <v>Traditional</v>
      </c>
      <c r="AJ94" s="294" t="str">
        <v>East Midlands</v>
      </c>
      <c r="AM94" s="295" t="s">
        <v>665</v>
      </c>
    </row>
    <row r="95" spans="1:39" x14ac:dyDescent="0.25">
      <c r="A95" s="283"/>
      <c r="B95" s="284" t="str" vm="179">
        <v>Trident Housing Association Limited</v>
      </c>
      <c r="C95" s="285" t="str" vm="305">
        <v>L0979</v>
      </c>
      <c r="D95" s="286">
        <v>3.2989997541439678E-2</v>
      </c>
      <c r="E95" s="287">
        <v>4</v>
      </c>
      <c r="F95" s="288">
        <v>166</v>
      </c>
      <c r="G95" s="286">
        <v>1.8999366687777073E-3</v>
      </c>
      <c r="H95" s="287">
        <v>4</v>
      </c>
      <c r="I95" s="288">
        <v>177</v>
      </c>
      <c r="J95" s="289">
        <v>0</v>
      </c>
      <c r="K95" s="287">
        <v>2</v>
      </c>
      <c r="L95" s="288">
        <v>72</v>
      </c>
      <c r="M95" s="286">
        <v>0.48814068140940203</v>
      </c>
      <c r="N95" s="287">
        <v>2</v>
      </c>
      <c r="O95" s="288">
        <v>76</v>
      </c>
      <c r="P95" s="290">
        <v>1.1678194393884238</v>
      </c>
      <c r="Q95" s="287">
        <v>3</v>
      </c>
      <c r="R95" s="288">
        <v>114</v>
      </c>
      <c r="S95" s="291">
        <v>11219.47496947497</v>
      </c>
      <c r="T95" s="287">
        <v>1</v>
      </c>
      <c r="U95" s="288">
        <v>11</v>
      </c>
      <c r="V95" s="286">
        <v>0.13408526760440709</v>
      </c>
      <c r="W95" s="287">
        <v>4</v>
      </c>
      <c r="X95" s="288">
        <v>156</v>
      </c>
      <c r="Y95" s="286">
        <v>7.4457108578284345E-2</v>
      </c>
      <c r="Z95" s="287">
        <v>4</v>
      </c>
      <c r="AA95" s="288">
        <v>172</v>
      </c>
      <c r="AB95" s="286">
        <v>1.9636982484314981E-2</v>
      </c>
      <c r="AC95" s="287">
        <v>4</v>
      </c>
      <c r="AD95" s="288">
        <v>163</v>
      </c>
      <c r="AE95" s="292" vm="3510">
        <v>3158</v>
      </c>
      <c r="AF95" s="293">
        <v>0.18340196388976876</v>
      </c>
      <c r="AG95" s="293">
        <v>0.14127336078555591</v>
      </c>
      <c r="AH95" s="293">
        <v>0.32467532467532467</v>
      </c>
      <c r="AI95" s="285" t="str">
        <v>Traditional</v>
      </c>
      <c r="AJ95" s="294" t="str">
        <v>West Midlands</v>
      </c>
      <c r="AM95" s="295" t="s">
        <v>665</v>
      </c>
    </row>
    <row r="96" spans="1:39" x14ac:dyDescent="0.25">
      <c r="A96" s="283"/>
      <c r="B96" s="284" t="str" vm="12">
        <v>Believe Housing Limited</v>
      </c>
      <c r="C96" s="285" t="str" vm="284">
        <v>5071</v>
      </c>
      <c r="D96" s="286">
        <v>0.1613248974676641</v>
      </c>
      <c r="E96" s="287">
        <v>1</v>
      </c>
      <c r="F96" s="288">
        <v>8</v>
      </c>
      <c r="G96" s="286">
        <v>5.4776511831726559E-3</v>
      </c>
      <c r="H96" s="287">
        <v>4</v>
      </c>
      <c r="I96" s="288">
        <v>156</v>
      </c>
      <c r="J96" s="289">
        <v>0</v>
      </c>
      <c r="K96" s="287">
        <v>2</v>
      </c>
      <c r="L96" s="288">
        <v>72</v>
      </c>
      <c r="M96" s="286">
        <v>0.48707036508131657</v>
      </c>
      <c r="N96" s="287">
        <v>2</v>
      </c>
      <c r="O96" s="288">
        <v>77</v>
      </c>
      <c r="P96" s="290">
        <v>-0.79515978071934745</v>
      </c>
      <c r="Q96" s="287">
        <v>4</v>
      </c>
      <c r="R96" s="288">
        <v>188</v>
      </c>
      <c r="S96" s="291">
        <v>4370.9820438927072</v>
      </c>
      <c r="T96" s="287">
        <v>3</v>
      </c>
      <c r="U96" s="288">
        <v>119</v>
      </c>
      <c r="V96" s="286">
        <v>0.14326878257553285</v>
      </c>
      <c r="W96" s="287">
        <v>4</v>
      </c>
      <c r="X96" s="288">
        <v>150</v>
      </c>
      <c r="Y96" s="286">
        <v>0.13661505172763541</v>
      </c>
      <c r="Z96" s="287">
        <v>3</v>
      </c>
      <c r="AA96" s="288">
        <v>143</v>
      </c>
      <c r="AB96" s="286">
        <v>4.1729165696184845E-2</v>
      </c>
      <c r="AC96" s="287">
        <v>1</v>
      </c>
      <c r="AD96" s="288">
        <v>23</v>
      </c>
      <c r="AE96" s="292" vm="7608">
        <v>18044</v>
      </c>
      <c r="AF96" s="293">
        <v>0</v>
      </c>
      <c r="AG96" s="293">
        <v>0</v>
      </c>
      <c r="AH96" s="293">
        <v>0</v>
      </c>
      <c r="AI96" s="285" t="str">
        <v>LSVT</v>
      </c>
      <c r="AJ96" s="294" t="str">
        <v>North East</v>
      </c>
      <c r="AM96" s="295" t="s">
        <v>665</v>
      </c>
    </row>
    <row r="97" spans="1:39" x14ac:dyDescent="0.25">
      <c r="A97" s="283"/>
      <c r="B97" s="284" t="str" vm="156">
        <v>Sovereign Housing Association Limited</v>
      </c>
      <c r="C97" s="285" t="str" vm="252">
        <v>4837</v>
      </c>
      <c r="D97" s="286">
        <v>7.9350104774555535E-2</v>
      </c>
      <c r="E97" s="287">
        <v>2</v>
      </c>
      <c r="F97" s="288">
        <v>74</v>
      </c>
      <c r="G97" s="286">
        <v>2.6847006049072249E-2</v>
      </c>
      <c r="H97" s="287">
        <v>1</v>
      </c>
      <c r="I97" s="288">
        <v>26</v>
      </c>
      <c r="J97" s="289">
        <v>5.8616647127784287E-4</v>
      </c>
      <c r="K97" s="287">
        <v>2</v>
      </c>
      <c r="L97" s="288">
        <v>58</v>
      </c>
      <c r="M97" s="286">
        <v>0.4850104098445262</v>
      </c>
      <c r="N97" s="287">
        <v>2</v>
      </c>
      <c r="O97" s="288">
        <v>78</v>
      </c>
      <c r="P97" s="290">
        <v>1.4727341820254607</v>
      </c>
      <c r="Q97" s="287">
        <v>2</v>
      </c>
      <c r="R97" s="288">
        <v>68</v>
      </c>
      <c r="S97" s="291">
        <v>4694.5182406973308</v>
      </c>
      <c r="T97" s="287">
        <v>2</v>
      </c>
      <c r="U97" s="288">
        <v>88</v>
      </c>
      <c r="V97" s="286">
        <v>0.24198524218067302</v>
      </c>
      <c r="W97" s="287">
        <v>2</v>
      </c>
      <c r="X97" s="288">
        <v>63</v>
      </c>
      <c r="Y97" s="286">
        <v>0.23253956389907163</v>
      </c>
      <c r="Z97" s="287">
        <v>1</v>
      </c>
      <c r="AA97" s="288">
        <v>47</v>
      </c>
      <c r="AB97" s="286">
        <v>2.7339075979187499E-2</v>
      </c>
      <c r="AC97" s="287">
        <v>3</v>
      </c>
      <c r="AD97" s="288">
        <v>112</v>
      </c>
      <c r="AE97" s="292" vm="1801">
        <v>57576</v>
      </c>
      <c r="AF97" s="293">
        <v>1.9687795316929754E-2</v>
      </c>
      <c r="AG97" s="293">
        <v>3.900808512127682E-2</v>
      </c>
      <c r="AH97" s="293">
        <v>5.8695880438206574E-2</v>
      </c>
      <c r="AI97" s="285" t="str">
        <v>Traditional</v>
      </c>
      <c r="AJ97" s="294" t="str">
        <v>South East</v>
      </c>
      <c r="AM97" s="295" t="s">
        <v>665</v>
      </c>
    </row>
    <row r="98" spans="1:39" x14ac:dyDescent="0.25">
      <c r="A98" s="283"/>
      <c r="B98" s="284" t="str" vm="55">
        <v>ForHousing Limited</v>
      </c>
      <c r="C98" s="285" t="str" vm="296">
        <v>L4528</v>
      </c>
      <c r="D98" s="286">
        <v>6.7141445545031694E-2</v>
      </c>
      <c r="E98" s="287">
        <v>3</v>
      </c>
      <c r="F98" s="288">
        <v>100</v>
      </c>
      <c r="G98" s="286">
        <v>8.9376053962900506E-3</v>
      </c>
      <c r="H98" s="287">
        <v>3</v>
      </c>
      <c r="I98" s="288">
        <v>132</v>
      </c>
      <c r="J98" s="289">
        <v>1.4838569409718448E-2</v>
      </c>
      <c r="K98" s="287">
        <v>1</v>
      </c>
      <c r="L98" s="288">
        <v>3</v>
      </c>
      <c r="M98" s="286">
        <v>0.48408888246210202</v>
      </c>
      <c r="N98" s="287">
        <v>2</v>
      </c>
      <c r="O98" s="288">
        <v>79</v>
      </c>
      <c r="P98" s="290">
        <v>1.4383534533940234</v>
      </c>
      <c r="Q98" s="287">
        <v>2</v>
      </c>
      <c r="R98" s="288">
        <v>74</v>
      </c>
      <c r="S98" s="291">
        <v>4025.4138894861321</v>
      </c>
      <c r="T98" s="287">
        <v>4</v>
      </c>
      <c r="U98" s="288">
        <v>159</v>
      </c>
      <c r="V98" s="286">
        <v>0.15348069276905452</v>
      </c>
      <c r="W98" s="287">
        <v>3</v>
      </c>
      <c r="X98" s="288">
        <v>142</v>
      </c>
      <c r="Y98" s="286">
        <v>0.12834592712742809</v>
      </c>
      <c r="Z98" s="287">
        <v>3</v>
      </c>
      <c r="AA98" s="288">
        <v>146</v>
      </c>
      <c r="AB98" s="286">
        <v>4.0153920119912048E-2</v>
      </c>
      <c r="AC98" s="287">
        <v>1</v>
      </c>
      <c r="AD98" s="288">
        <v>30</v>
      </c>
      <c r="AE98" s="292" vm="3209">
        <v>17790</v>
      </c>
      <c r="AF98" s="293">
        <v>7.8816058063052849E-2</v>
      </c>
      <c r="AG98" s="293">
        <v>0</v>
      </c>
      <c r="AH98" s="293">
        <v>7.8816058063052849E-2</v>
      </c>
      <c r="AI98" s="285" t="str">
        <v>Traditional</v>
      </c>
      <c r="AJ98" s="294" t="str">
        <v>North West</v>
      </c>
      <c r="AM98" s="295" t="s">
        <v>665</v>
      </c>
    </row>
    <row r="99" spans="1:39" x14ac:dyDescent="0.25">
      <c r="A99" s="283"/>
      <c r="B99" s="284" t="str" vm="64">
        <v>Grand Union Housing Group Limited</v>
      </c>
      <c r="C99" s="285" t="str" vm="292">
        <v>5060</v>
      </c>
      <c r="D99" s="286">
        <v>6.2850516339934617E-2</v>
      </c>
      <c r="E99" s="287">
        <v>3</v>
      </c>
      <c r="F99" s="288">
        <v>111</v>
      </c>
      <c r="G99" s="286">
        <v>2.1916290845794762E-2</v>
      </c>
      <c r="H99" s="287">
        <v>2</v>
      </c>
      <c r="I99" s="288">
        <v>53</v>
      </c>
      <c r="J99" s="289">
        <v>3.9108330074305825E-4</v>
      </c>
      <c r="K99" s="287">
        <v>2</v>
      </c>
      <c r="L99" s="288">
        <v>62</v>
      </c>
      <c r="M99" s="286">
        <v>0.48194202654320017</v>
      </c>
      <c r="N99" s="287">
        <v>2</v>
      </c>
      <c r="O99" s="288">
        <v>80</v>
      </c>
      <c r="P99" s="290">
        <v>1.4620513712529715</v>
      </c>
      <c r="Q99" s="287">
        <v>2</v>
      </c>
      <c r="R99" s="288">
        <v>70</v>
      </c>
      <c r="S99" s="291">
        <v>4086.048920404749</v>
      </c>
      <c r="T99" s="287">
        <v>3</v>
      </c>
      <c r="U99" s="288">
        <v>149</v>
      </c>
      <c r="V99" s="286">
        <v>0.26809944974215666</v>
      </c>
      <c r="W99" s="287">
        <v>1</v>
      </c>
      <c r="X99" s="288">
        <v>44</v>
      </c>
      <c r="Y99" s="286">
        <v>0.25701644179821925</v>
      </c>
      <c r="Z99" s="287">
        <v>1</v>
      </c>
      <c r="AA99" s="288">
        <v>33</v>
      </c>
      <c r="AB99" s="286">
        <v>3.5884271385420483E-2</v>
      </c>
      <c r="AC99" s="287">
        <v>2</v>
      </c>
      <c r="AD99" s="288">
        <v>53</v>
      </c>
      <c r="AE99" s="292" vm="1916">
        <v>12266</v>
      </c>
      <c r="AF99" s="293">
        <v>2.9102268990463663E-2</v>
      </c>
      <c r="AG99" s="293">
        <v>8.3196317000986522E-2</v>
      </c>
      <c r="AH99" s="293">
        <v>0.11229858599145018</v>
      </c>
      <c r="AI99" s="285" t="str">
        <v>Traditional</v>
      </c>
      <c r="AJ99" s="294" t="str">
        <v>East of England</v>
      </c>
      <c r="AM99" s="295" t="s">
        <v>665</v>
      </c>
    </row>
    <row r="100" spans="1:39" x14ac:dyDescent="0.25">
      <c r="A100" s="283"/>
      <c r="B100" s="284" t="str" vm="106">
        <v>Newlon Housing Trust</v>
      </c>
      <c r="C100" s="285" t="str" vm="346">
        <v>L0006</v>
      </c>
      <c r="D100" s="286">
        <v>5.8292519753063168E-2</v>
      </c>
      <c r="E100" s="287">
        <v>3</v>
      </c>
      <c r="F100" s="288">
        <v>124</v>
      </c>
      <c r="G100" s="286">
        <v>5.7838293770333775E-3</v>
      </c>
      <c r="H100" s="287">
        <v>4</v>
      </c>
      <c r="I100" s="288">
        <v>151</v>
      </c>
      <c r="J100" s="289">
        <v>0</v>
      </c>
      <c r="K100" s="287">
        <v>2</v>
      </c>
      <c r="L100" s="288">
        <v>72</v>
      </c>
      <c r="M100" s="286">
        <v>0.48134912868704055</v>
      </c>
      <c r="N100" s="287">
        <v>2</v>
      </c>
      <c r="O100" s="288">
        <v>81</v>
      </c>
      <c r="P100" s="290">
        <v>0.30577098993755719</v>
      </c>
      <c r="Q100" s="287">
        <v>4</v>
      </c>
      <c r="R100" s="288">
        <v>174</v>
      </c>
      <c r="S100" s="291">
        <v>11816.971490048412</v>
      </c>
      <c r="T100" s="287">
        <v>1</v>
      </c>
      <c r="U100" s="288">
        <v>10</v>
      </c>
      <c r="V100" s="286">
        <v>0.19053726462960874</v>
      </c>
      <c r="W100" s="287">
        <v>3</v>
      </c>
      <c r="X100" s="288">
        <v>106</v>
      </c>
      <c r="Y100" s="286">
        <v>0.22125686813186812</v>
      </c>
      <c r="Z100" s="287">
        <v>2</v>
      </c>
      <c r="AA100" s="288">
        <v>62</v>
      </c>
      <c r="AB100" s="286">
        <v>2.3409249657207174E-2</v>
      </c>
      <c r="AC100" s="287">
        <v>3</v>
      </c>
      <c r="AD100" s="288">
        <v>138</v>
      </c>
      <c r="AE100" s="292" vm="4950">
        <v>7436</v>
      </c>
      <c r="AF100" s="293">
        <v>5.2747252747252747E-2</v>
      </c>
      <c r="AG100" s="293">
        <v>2.651098901098901E-2</v>
      </c>
      <c r="AH100" s="293">
        <v>7.9258241758241754E-2</v>
      </c>
      <c r="AI100" s="285" t="str">
        <v>Traditional</v>
      </c>
      <c r="AJ100" s="294" t="str">
        <v>London</v>
      </c>
      <c r="AM100" s="295" t="s">
        <v>665</v>
      </c>
    </row>
    <row r="101" spans="1:39" x14ac:dyDescent="0.25">
      <c r="A101" s="283"/>
      <c r="B101" s="284" t="str" vm="154">
        <v>Southern Housing</v>
      </c>
      <c r="C101" s="285" t="str" vm="244">
        <v>5171</v>
      </c>
      <c r="D101" s="286">
        <v>5.663055142095607E-2</v>
      </c>
      <c r="E101" s="287">
        <v>3</v>
      </c>
      <c r="F101" s="288">
        <v>130</v>
      </c>
      <c r="G101" s="286">
        <v>2.2352168199737187E-2</v>
      </c>
      <c r="H101" s="287">
        <v>1</v>
      </c>
      <c r="I101" s="288">
        <v>49</v>
      </c>
      <c r="J101" s="289">
        <v>7.2998309512832332E-4</v>
      </c>
      <c r="K101" s="287">
        <v>2</v>
      </c>
      <c r="L101" s="288">
        <v>52</v>
      </c>
      <c r="M101" s="286">
        <v>0.47827892969642427</v>
      </c>
      <c r="N101" s="287">
        <v>2</v>
      </c>
      <c r="O101" s="288">
        <v>82</v>
      </c>
      <c r="P101" s="290">
        <v>0.74243663123466885</v>
      </c>
      <c r="Q101" s="287">
        <v>4</v>
      </c>
      <c r="R101" s="288">
        <v>156</v>
      </c>
      <c r="S101" s="291">
        <v>5867.8772964487252</v>
      </c>
      <c r="T101" s="287">
        <v>1</v>
      </c>
      <c r="U101" s="288">
        <v>49</v>
      </c>
      <c r="V101" s="286">
        <v>0.18644772396591144</v>
      </c>
      <c r="W101" s="287">
        <v>3</v>
      </c>
      <c r="X101" s="288">
        <v>113</v>
      </c>
      <c r="Y101" s="286">
        <v>0.13903160516892418</v>
      </c>
      <c r="Z101" s="287">
        <v>3</v>
      </c>
      <c r="AA101" s="288">
        <v>139</v>
      </c>
      <c r="AB101" s="286">
        <v>2.2235225277940317E-2</v>
      </c>
      <c r="AC101" s="287">
        <v>3</v>
      </c>
      <c r="AD101" s="288">
        <v>146</v>
      </c>
      <c r="AE101" s="292" vm="1660">
        <v>70031</v>
      </c>
      <c r="AF101" s="293">
        <v>2.4066157172804251E-2</v>
      </c>
      <c r="AG101" s="293">
        <v>9.4614000627238667E-2</v>
      </c>
      <c r="AH101" s="293">
        <v>0.11868015780004292</v>
      </c>
      <c r="AI101" s="285" t="str">
        <v>Traditional</v>
      </c>
      <c r="AJ101" s="294" t="str">
        <v>South East</v>
      </c>
      <c r="AM101" s="295" t="s">
        <v>665</v>
      </c>
    </row>
    <row r="102" spans="1:39" x14ac:dyDescent="0.25">
      <c r="A102" s="283"/>
      <c r="B102" s="284" t="str" vm="42">
        <v>Curo Group (Albion) Limited</v>
      </c>
      <c r="C102" s="285" t="str" vm="272">
        <v>LH4336</v>
      </c>
      <c r="D102" s="286">
        <v>7.8895638906309962E-2</v>
      </c>
      <c r="E102" s="287">
        <v>2</v>
      </c>
      <c r="F102" s="288">
        <v>77</v>
      </c>
      <c r="G102" s="286">
        <v>1.3857355358960308E-2</v>
      </c>
      <c r="H102" s="287">
        <v>2</v>
      </c>
      <c r="I102" s="288">
        <v>91</v>
      </c>
      <c r="J102" s="289">
        <v>9.3062605752961079E-3</v>
      </c>
      <c r="K102" s="287">
        <v>1</v>
      </c>
      <c r="L102" s="288">
        <v>8</v>
      </c>
      <c r="M102" s="286">
        <v>0.47674676201976329</v>
      </c>
      <c r="N102" s="287">
        <v>2</v>
      </c>
      <c r="O102" s="288">
        <v>83</v>
      </c>
      <c r="P102" s="290">
        <v>1.8099374021909234</v>
      </c>
      <c r="Q102" s="287">
        <v>1</v>
      </c>
      <c r="R102" s="288">
        <v>45</v>
      </c>
      <c r="S102" s="291">
        <v>5132.936663274093</v>
      </c>
      <c r="T102" s="287">
        <v>2</v>
      </c>
      <c r="U102" s="288">
        <v>70</v>
      </c>
      <c r="V102" s="286">
        <v>0.25342575313249799</v>
      </c>
      <c r="W102" s="287">
        <v>2</v>
      </c>
      <c r="X102" s="288">
        <v>50</v>
      </c>
      <c r="Y102" s="286">
        <v>0.20732309689802139</v>
      </c>
      <c r="Z102" s="287">
        <v>2</v>
      </c>
      <c r="AA102" s="288">
        <v>75</v>
      </c>
      <c r="AB102" s="286">
        <v>4.406864867892412E-2</v>
      </c>
      <c r="AC102" s="287">
        <v>1</v>
      </c>
      <c r="AD102" s="288">
        <v>18</v>
      </c>
      <c r="AE102" s="292" vm="8041">
        <v>12773</v>
      </c>
      <c r="AF102" s="293">
        <v>1.7672007540056552E-2</v>
      </c>
      <c r="AG102" s="293">
        <v>0.14051209550738297</v>
      </c>
      <c r="AH102" s="293">
        <v>0.15818410304743952</v>
      </c>
      <c r="AI102" s="285" t="str">
        <v>Traditional</v>
      </c>
      <c r="AJ102" s="294" t="str">
        <v>South West</v>
      </c>
      <c r="AM102" s="295" t="s">
        <v>665</v>
      </c>
    </row>
    <row r="103" spans="1:39" x14ac:dyDescent="0.25">
      <c r="A103" s="283"/>
      <c r="B103" s="284" t="str" vm="30">
        <v>Christian Action (Enfield) Housing Association Limited</v>
      </c>
      <c r="C103" s="285" t="str" vm="214">
        <v>LH0676</v>
      </c>
      <c r="D103" s="286">
        <v>2.0411160957457878E-2</v>
      </c>
      <c r="E103" s="287">
        <v>4</v>
      </c>
      <c r="F103" s="288">
        <v>189</v>
      </c>
      <c r="G103" s="286">
        <v>6.4608758076094763E-3</v>
      </c>
      <c r="H103" s="287">
        <v>3</v>
      </c>
      <c r="I103" s="288">
        <v>148</v>
      </c>
      <c r="J103" s="289">
        <v>2.1186440677966102E-3</v>
      </c>
      <c r="K103" s="287">
        <v>1</v>
      </c>
      <c r="L103" s="288">
        <v>35</v>
      </c>
      <c r="M103" s="286">
        <v>0.47646443194545601</v>
      </c>
      <c r="N103" s="287">
        <v>2</v>
      </c>
      <c r="O103" s="288">
        <v>84</v>
      </c>
      <c r="P103" s="290">
        <v>1.2088627207933065</v>
      </c>
      <c r="Q103" s="287">
        <v>3</v>
      </c>
      <c r="R103" s="288">
        <v>107</v>
      </c>
      <c r="S103" s="291">
        <v>7137.5166889185584</v>
      </c>
      <c r="T103" s="287">
        <v>1</v>
      </c>
      <c r="U103" s="288">
        <v>33</v>
      </c>
      <c r="V103" s="286">
        <v>0.1584560690705942</v>
      </c>
      <c r="W103" s="287">
        <v>3</v>
      </c>
      <c r="X103" s="288">
        <v>137</v>
      </c>
      <c r="Y103" s="286">
        <v>0.17075557875505676</v>
      </c>
      <c r="Z103" s="287">
        <v>3</v>
      </c>
      <c r="AA103" s="288">
        <v>106</v>
      </c>
      <c r="AB103" s="286">
        <v>1.6237311691857145E-2</v>
      </c>
      <c r="AC103" s="287">
        <v>4</v>
      </c>
      <c r="AD103" s="288">
        <v>178</v>
      </c>
      <c r="AE103" s="292" vm="8698">
        <v>1358</v>
      </c>
      <c r="AF103" s="293">
        <v>0.13574982231698648</v>
      </c>
      <c r="AG103" s="293">
        <v>0.1634683724235963</v>
      </c>
      <c r="AH103" s="293">
        <v>0.29921819474058275</v>
      </c>
      <c r="AI103" s="285" t="str">
        <v>Traditional</v>
      </c>
      <c r="AJ103" s="294" t="str">
        <v>London</v>
      </c>
      <c r="AM103" s="295" t="s">
        <v>665</v>
      </c>
    </row>
    <row r="104" spans="1:39" x14ac:dyDescent="0.25">
      <c r="A104" s="283"/>
      <c r="B104" s="284" t="str" vm="110">
        <v>Notting Hill Genesis</v>
      </c>
      <c r="C104" s="285" t="str" vm="239">
        <v>4880</v>
      </c>
      <c r="D104" s="286">
        <v>3.5111658890160519E-2</v>
      </c>
      <c r="E104" s="287">
        <v>4</v>
      </c>
      <c r="F104" s="288">
        <v>160</v>
      </c>
      <c r="G104" s="286">
        <v>7.3610415623435151E-3</v>
      </c>
      <c r="H104" s="287">
        <v>3</v>
      </c>
      <c r="I104" s="288">
        <v>141</v>
      </c>
      <c r="J104" s="289">
        <v>2.8455729451679983E-3</v>
      </c>
      <c r="K104" s="287">
        <v>1</v>
      </c>
      <c r="L104" s="288">
        <v>30</v>
      </c>
      <c r="M104" s="286">
        <v>0.47612759339143707</v>
      </c>
      <c r="N104" s="287">
        <v>2</v>
      </c>
      <c r="O104" s="288">
        <v>85</v>
      </c>
      <c r="P104" s="290">
        <v>0.96851975887474884</v>
      </c>
      <c r="Q104" s="287">
        <v>3</v>
      </c>
      <c r="R104" s="288">
        <v>141</v>
      </c>
      <c r="S104" s="291">
        <v>8167.0168067226887</v>
      </c>
      <c r="T104" s="287">
        <v>1</v>
      </c>
      <c r="U104" s="288">
        <v>22</v>
      </c>
      <c r="V104" s="286">
        <v>0.18844513377278016</v>
      </c>
      <c r="W104" s="287">
        <v>3</v>
      </c>
      <c r="X104" s="288">
        <v>109</v>
      </c>
      <c r="Y104" s="286">
        <v>0.16838346380991623</v>
      </c>
      <c r="Z104" s="287">
        <v>3</v>
      </c>
      <c r="AA104" s="288">
        <v>110</v>
      </c>
      <c r="AB104" s="286">
        <v>2.1902476089394909E-2</v>
      </c>
      <c r="AC104" s="287">
        <v>4</v>
      </c>
      <c r="AD104" s="288">
        <v>150</v>
      </c>
      <c r="AE104" s="292" vm="1448">
        <v>50459</v>
      </c>
      <c r="AF104" s="293">
        <v>4.8052228125551398E-2</v>
      </c>
      <c r="AG104" s="293">
        <v>3.3524810320152136E-2</v>
      </c>
      <c r="AH104" s="293">
        <v>8.1577038445703534E-2</v>
      </c>
      <c r="AI104" s="285" t="str">
        <v>Traditional</v>
      </c>
      <c r="AJ104" s="294" t="str">
        <v>London</v>
      </c>
      <c r="AM104" s="295" t="s">
        <v>665</v>
      </c>
    </row>
    <row r="105" spans="1:39" x14ac:dyDescent="0.25">
      <c r="A105" s="283"/>
      <c r="B105" s="284" t="str" vm="14">
        <v>Beyond Housing Limited</v>
      </c>
      <c r="C105" s="285" t="str" vm="285">
        <v>LH4401</v>
      </c>
      <c r="D105" s="286">
        <v>0.1068225556323686</v>
      </c>
      <c r="E105" s="287">
        <v>1</v>
      </c>
      <c r="F105" s="288">
        <v>30</v>
      </c>
      <c r="G105" s="286">
        <v>1.0319314641744548E-2</v>
      </c>
      <c r="H105" s="287">
        <v>3</v>
      </c>
      <c r="I105" s="288">
        <v>123</v>
      </c>
      <c r="J105" s="289">
        <v>3.1849162367029748E-3</v>
      </c>
      <c r="K105" s="287">
        <v>1</v>
      </c>
      <c r="L105" s="288">
        <v>29</v>
      </c>
      <c r="M105" s="286">
        <v>0.47361783225276061</v>
      </c>
      <c r="N105" s="287">
        <v>2</v>
      </c>
      <c r="O105" s="288">
        <v>86</v>
      </c>
      <c r="P105" s="290">
        <v>0.94291454910767047</v>
      </c>
      <c r="Q105" s="287">
        <v>3</v>
      </c>
      <c r="R105" s="288">
        <v>143</v>
      </c>
      <c r="S105" s="291">
        <v>4363.7441538765561</v>
      </c>
      <c r="T105" s="287">
        <v>3</v>
      </c>
      <c r="U105" s="288">
        <v>120</v>
      </c>
      <c r="V105" s="286">
        <v>0.17599883347914844</v>
      </c>
      <c r="W105" s="287">
        <v>3</v>
      </c>
      <c r="X105" s="288">
        <v>126</v>
      </c>
      <c r="Y105" s="286">
        <v>0.15403719912472646</v>
      </c>
      <c r="Z105" s="287">
        <v>3</v>
      </c>
      <c r="AA105" s="288">
        <v>128</v>
      </c>
      <c r="AB105" s="286">
        <v>3.2792401294014416E-2</v>
      </c>
      <c r="AC105" s="287">
        <v>2</v>
      </c>
      <c r="AD105" s="288">
        <v>68</v>
      </c>
      <c r="AE105" s="292" vm="2827">
        <v>15130</v>
      </c>
      <c r="AF105" s="293">
        <v>9.254974548819991E-4</v>
      </c>
      <c r="AG105" s="293">
        <v>1.3551927017914987E-2</v>
      </c>
      <c r="AH105" s="293">
        <v>1.4477424472796986E-2</v>
      </c>
      <c r="AI105" s="285" t="str">
        <v>Traditional</v>
      </c>
      <c r="AJ105" s="294" t="str">
        <v>North East</v>
      </c>
      <c r="AM105" s="295" t="s">
        <v>665</v>
      </c>
    </row>
    <row r="106" spans="1:39" x14ac:dyDescent="0.25">
      <c r="A106" s="283"/>
      <c r="B106" s="284" t="str" vm="109">
        <v>North Star Housing Group</v>
      </c>
      <c r="C106" s="285" t="str" vm="328">
        <v>LH0084</v>
      </c>
      <c r="D106" s="286">
        <v>6.6287638740516755E-2</v>
      </c>
      <c r="E106" s="287">
        <v>3</v>
      </c>
      <c r="F106" s="288">
        <v>103</v>
      </c>
      <c r="G106" s="286">
        <v>1.7703722988804998E-2</v>
      </c>
      <c r="H106" s="287">
        <v>2</v>
      </c>
      <c r="I106" s="288">
        <v>69</v>
      </c>
      <c r="J106" s="289">
        <v>0</v>
      </c>
      <c r="K106" s="287">
        <v>2</v>
      </c>
      <c r="L106" s="288">
        <v>72</v>
      </c>
      <c r="M106" s="286">
        <v>0.47177660287167972</v>
      </c>
      <c r="N106" s="287">
        <v>2</v>
      </c>
      <c r="O106" s="288">
        <v>87</v>
      </c>
      <c r="P106" s="290">
        <v>1.6940459110473458</v>
      </c>
      <c r="Q106" s="287">
        <v>1</v>
      </c>
      <c r="R106" s="288">
        <v>49</v>
      </c>
      <c r="S106" s="291">
        <v>4330.8251167618055</v>
      </c>
      <c r="T106" s="287">
        <v>3</v>
      </c>
      <c r="U106" s="288">
        <v>122</v>
      </c>
      <c r="V106" s="286">
        <v>0.21737941096015317</v>
      </c>
      <c r="W106" s="287">
        <v>2</v>
      </c>
      <c r="X106" s="288">
        <v>83</v>
      </c>
      <c r="Y106" s="286">
        <v>0.22907823600375318</v>
      </c>
      <c r="Z106" s="287">
        <v>2</v>
      </c>
      <c r="AA106" s="288">
        <v>52</v>
      </c>
      <c r="AB106" s="286">
        <v>2.3087934109978198E-2</v>
      </c>
      <c r="AC106" s="287">
        <v>3</v>
      </c>
      <c r="AD106" s="288">
        <v>139</v>
      </c>
      <c r="AE106" s="292" vm="4309">
        <v>3827</v>
      </c>
      <c r="AF106" s="293">
        <v>0.10559330893883952</v>
      </c>
      <c r="AG106" s="293">
        <v>5.0444328280188189E-2</v>
      </c>
      <c r="AH106" s="293">
        <v>0.15603763721902769</v>
      </c>
      <c r="AI106" s="285" t="str">
        <v>Traditional</v>
      </c>
      <c r="AJ106" s="294" t="str">
        <v>North East</v>
      </c>
      <c r="AM106" s="295" t="s">
        <v>665</v>
      </c>
    </row>
    <row r="107" spans="1:39" x14ac:dyDescent="0.25">
      <c r="A107" s="283"/>
      <c r="B107" s="284" t="str" vm="71">
        <v>Hexagon Housing Association Limited</v>
      </c>
      <c r="C107" s="285" t="str" vm="313">
        <v>L1538</v>
      </c>
      <c r="D107" s="286">
        <v>3.6425466693808146E-2</v>
      </c>
      <c r="E107" s="287">
        <v>4</v>
      </c>
      <c r="F107" s="288">
        <v>157</v>
      </c>
      <c r="G107" s="286">
        <v>5.6293627561360051E-3</v>
      </c>
      <c r="H107" s="287">
        <v>4</v>
      </c>
      <c r="I107" s="288">
        <v>155</v>
      </c>
      <c r="J107" s="289">
        <v>8.94254415381176E-4</v>
      </c>
      <c r="K107" s="287">
        <v>1</v>
      </c>
      <c r="L107" s="288">
        <v>47</v>
      </c>
      <c r="M107" s="286">
        <v>0.47036389544142826</v>
      </c>
      <c r="N107" s="287">
        <v>2</v>
      </c>
      <c r="O107" s="288">
        <v>88</v>
      </c>
      <c r="P107" s="290">
        <v>0.12657474456899118</v>
      </c>
      <c r="Q107" s="287">
        <v>4</v>
      </c>
      <c r="R107" s="288">
        <v>181</v>
      </c>
      <c r="S107" s="291">
        <v>6893.5580697298547</v>
      </c>
      <c r="T107" s="287">
        <v>1</v>
      </c>
      <c r="U107" s="288">
        <v>35</v>
      </c>
      <c r="V107" s="286">
        <v>0.10398630313994056</v>
      </c>
      <c r="W107" s="287">
        <v>4</v>
      </c>
      <c r="X107" s="288">
        <v>174</v>
      </c>
      <c r="Y107" s="286">
        <v>6.0856613065021124E-2</v>
      </c>
      <c r="Z107" s="287">
        <v>4</v>
      </c>
      <c r="AA107" s="288">
        <v>179</v>
      </c>
      <c r="AB107" s="286">
        <v>6.2416026630838029E-3</v>
      </c>
      <c r="AC107" s="287">
        <v>4</v>
      </c>
      <c r="AD107" s="288">
        <v>192</v>
      </c>
      <c r="AE107" s="292" vm="3786">
        <v>4313</v>
      </c>
      <c r="AF107" s="293">
        <v>5.5594324261456156E-2</v>
      </c>
      <c r="AG107" s="293">
        <v>0</v>
      </c>
      <c r="AH107" s="293">
        <v>5.5594324261456156E-2</v>
      </c>
      <c r="AI107" s="285" t="str">
        <v>Traditional</v>
      </c>
      <c r="AJ107" s="294" t="str">
        <v>London</v>
      </c>
      <c r="AM107" s="295" t="s">
        <v>665</v>
      </c>
    </row>
    <row r="108" spans="1:39" x14ac:dyDescent="0.25">
      <c r="A108" s="283"/>
      <c r="B108" s="284" t="str" vm="31">
        <v>Citizen Housing Group Limited</v>
      </c>
      <c r="C108" s="285" t="str" vm="342">
        <v>5075</v>
      </c>
      <c r="D108" s="286">
        <v>8.9448107581523037E-2</v>
      </c>
      <c r="E108" s="287">
        <v>2</v>
      </c>
      <c r="F108" s="288">
        <v>54</v>
      </c>
      <c r="G108" s="286">
        <v>1.9354397483244426E-2</v>
      </c>
      <c r="H108" s="287">
        <v>2</v>
      </c>
      <c r="I108" s="288">
        <v>62</v>
      </c>
      <c r="J108" s="289">
        <v>9.4664100217727433E-4</v>
      </c>
      <c r="K108" s="287">
        <v>1</v>
      </c>
      <c r="L108" s="288">
        <v>45</v>
      </c>
      <c r="M108" s="286">
        <v>0.46799566052475294</v>
      </c>
      <c r="N108" s="287">
        <v>2</v>
      </c>
      <c r="O108" s="288">
        <v>89</v>
      </c>
      <c r="P108" s="290">
        <v>1.2825911973984996</v>
      </c>
      <c r="Q108" s="287">
        <v>3</v>
      </c>
      <c r="R108" s="288">
        <v>99</v>
      </c>
      <c r="S108" s="291">
        <v>4188.4602253328776</v>
      </c>
      <c r="T108" s="287">
        <v>3</v>
      </c>
      <c r="U108" s="288">
        <v>139</v>
      </c>
      <c r="V108" s="286">
        <v>0.24258492024275596</v>
      </c>
      <c r="W108" s="287">
        <v>2</v>
      </c>
      <c r="X108" s="288">
        <v>62</v>
      </c>
      <c r="Y108" s="286">
        <v>0.24482439976006615</v>
      </c>
      <c r="Z108" s="287">
        <v>1</v>
      </c>
      <c r="AA108" s="288">
        <v>40</v>
      </c>
      <c r="AB108" s="286">
        <v>3.6494824744014741E-2</v>
      </c>
      <c r="AC108" s="287">
        <v>1</v>
      </c>
      <c r="AD108" s="288">
        <v>48</v>
      </c>
      <c r="AE108" s="292" vm="7048">
        <v>29244</v>
      </c>
      <c r="AF108" s="293">
        <v>1.5339313839621995E-2</v>
      </c>
      <c r="AG108" s="293">
        <v>2.4378552352256385E-2</v>
      </c>
      <c r="AH108" s="293">
        <v>3.9717866191878379E-2</v>
      </c>
      <c r="AI108" s="285" t="str">
        <v>Traditional</v>
      </c>
      <c r="AJ108" s="294" t="str">
        <v>West Midlands</v>
      </c>
      <c r="AM108" s="295" t="s">
        <v>665</v>
      </c>
    </row>
    <row r="109" spans="1:39" x14ac:dyDescent="0.25">
      <c r="A109" s="283"/>
      <c r="B109" s="284" t="str" vm="21">
        <v>Broadacres Housing Association Limited</v>
      </c>
      <c r="C109" s="285" t="str" vm="366">
        <v>LH4014</v>
      </c>
      <c r="D109" s="286">
        <v>5.450266353968302E-2</v>
      </c>
      <c r="E109" s="287">
        <v>3</v>
      </c>
      <c r="F109" s="288">
        <v>135</v>
      </c>
      <c r="G109" s="286">
        <v>1.6526442307692308E-2</v>
      </c>
      <c r="H109" s="287">
        <v>2</v>
      </c>
      <c r="I109" s="288">
        <v>76</v>
      </c>
      <c r="J109" s="289">
        <v>3.0048076923076925E-4</v>
      </c>
      <c r="K109" s="287">
        <v>2</v>
      </c>
      <c r="L109" s="288">
        <v>65</v>
      </c>
      <c r="M109" s="286">
        <v>0.46793417901522061</v>
      </c>
      <c r="N109" s="287">
        <v>2</v>
      </c>
      <c r="O109" s="288">
        <v>90</v>
      </c>
      <c r="P109" s="290">
        <v>1.338818515449272</v>
      </c>
      <c r="Q109" s="287">
        <v>2</v>
      </c>
      <c r="R109" s="288">
        <v>88</v>
      </c>
      <c r="S109" s="291">
        <v>4633.7139423076924</v>
      </c>
      <c r="T109" s="287">
        <v>2</v>
      </c>
      <c r="U109" s="288">
        <v>95</v>
      </c>
      <c r="V109" s="286">
        <v>0.2107843137254902</v>
      </c>
      <c r="W109" s="287">
        <v>2</v>
      </c>
      <c r="X109" s="288">
        <v>89</v>
      </c>
      <c r="Y109" s="286">
        <v>0.169469510527755</v>
      </c>
      <c r="Z109" s="287">
        <v>3</v>
      </c>
      <c r="AA109" s="288">
        <v>108</v>
      </c>
      <c r="AB109" s="286">
        <v>2.0999427505194859E-2</v>
      </c>
      <c r="AC109" s="287">
        <v>4</v>
      </c>
      <c r="AD109" s="288">
        <v>157</v>
      </c>
      <c r="AE109" s="292" vm="7248">
        <v>6656</v>
      </c>
      <c r="AF109" s="293">
        <v>3.896103896103896E-2</v>
      </c>
      <c r="AG109" s="293">
        <v>0</v>
      </c>
      <c r="AH109" s="293">
        <v>3.896103896103896E-2</v>
      </c>
      <c r="AI109" s="285" t="str">
        <v>Traditional</v>
      </c>
      <c r="AJ109" s="294" t="str">
        <v>Yorkshire &amp; the Humber</v>
      </c>
      <c r="AM109" s="295" t="s">
        <v>665</v>
      </c>
    </row>
    <row r="110" spans="1:39" x14ac:dyDescent="0.25">
      <c r="A110" s="283"/>
      <c r="B110" s="284" t="str" vm="94">
        <v>London &amp; Quadrant Housing Trust</v>
      </c>
      <c r="C110" s="285" t="str" vm="240">
        <v>L4517</v>
      </c>
      <c r="D110" s="286">
        <v>6.1298335004089259E-2</v>
      </c>
      <c r="E110" s="287">
        <v>3</v>
      </c>
      <c r="F110" s="288">
        <v>115</v>
      </c>
      <c r="G110" s="286">
        <v>3.1225867105395697E-2</v>
      </c>
      <c r="H110" s="287">
        <v>1</v>
      </c>
      <c r="I110" s="288">
        <v>17</v>
      </c>
      <c r="J110" s="289">
        <v>6.5167525649515801E-3</v>
      </c>
      <c r="K110" s="287">
        <v>1</v>
      </c>
      <c r="L110" s="288">
        <v>15</v>
      </c>
      <c r="M110" s="286">
        <v>0.46627398177687052</v>
      </c>
      <c r="N110" s="287">
        <v>2</v>
      </c>
      <c r="O110" s="288">
        <v>91</v>
      </c>
      <c r="P110" s="290">
        <v>0.17519683008120854</v>
      </c>
      <c r="Q110" s="287">
        <v>4</v>
      </c>
      <c r="R110" s="288">
        <v>180</v>
      </c>
      <c r="S110" s="291">
        <v>7625.6759035467376</v>
      </c>
      <c r="T110" s="287">
        <v>1</v>
      </c>
      <c r="U110" s="288">
        <v>27</v>
      </c>
      <c r="V110" s="286">
        <v>0.25105201953639816</v>
      </c>
      <c r="W110" s="287">
        <v>2</v>
      </c>
      <c r="X110" s="288">
        <v>55</v>
      </c>
      <c r="Y110" s="286">
        <v>6.4984905124606043E-2</v>
      </c>
      <c r="Z110" s="287">
        <v>4</v>
      </c>
      <c r="AA110" s="288">
        <v>177</v>
      </c>
      <c r="AB110" s="286">
        <v>1.8778592503139624E-2</v>
      </c>
      <c r="AC110" s="287">
        <v>4</v>
      </c>
      <c r="AD110" s="288">
        <v>165</v>
      </c>
      <c r="AE110" s="292" vm="1464">
        <v>88736</v>
      </c>
      <c r="AF110" s="293">
        <v>2.7788560337938122E-2</v>
      </c>
      <c r="AG110" s="293">
        <v>5.6935723256079464E-2</v>
      </c>
      <c r="AH110" s="293">
        <v>8.4724283594017583E-2</v>
      </c>
      <c r="AI110" s="285" t="str">
        <v>Traditional</v>
      </c>
      <c r="AJ110" s="294" t="str">
        <v>London</v>
      </c>
      <c r="AM110" s="295" t="s">
        <v>665</v>
      </c>
    </row>
    <row r="111" spans="1:39" x14ac:dyDescent="0.25">
      <c r="A111" s="283"/>
      <c r="B111" s="284" t="str" vm="125">
        <v>Phoenix Community Housing Association (Bellingham and Downham) Limited</v>
      </c>
      <c r="C111" s="285" t="str" vm="357">
        <v>L4505</v>
      </c>
      <c r="D111" s="286">
        <v>3.3053470462078377E-2</v>
      </c>
      <c r="E111" s="287">
        <v>4</v>
      </c>
      <c r="F111" s="288">
        <v>165</v>
      </c>
      <c r="G111" s="286">
        <v>1.17096018735363E-3</v>
      </c>
      <c r="H111" s="287">
        <v>4</v>
      </c>
      <c r="I111" s="288">
        <v>180</v>
      </c>
      <c r="J111" s="289">
        <v>0</v>
      </c>
      <c r="K111" s="287">
        <v>2</v>
      </c>
      <c r="L111" s="288">
        <v>72</v>
      </c>
      <c r="M111" s="286">
        <v>0.46586810294404368</v>
      </c>
      <c r="N111" s="287">
        <v>2</v>
      </c>
      <c r="O111" s="288">
        <v>92</v>
      </c>
      <c r="P111" s="290">
        <v>1.2419470293486041</v>
      </c>
      <c r="Q111" s="287">
        <v>3</v>
      </c>
      <c r="R111" s="288">
        <v>103</v>
      </c>
      <c r="S111" s="291">
        <v>5439.2120652508456</v>
      </c>
      <c r="T111" s="287">
        <v>2</v>
      </c>
      <c r="U111" s="288">
        <v>62</v>
      </c>
      <c r="V111" s="286">
        <v>0.12914918443854118</v>
      </c>
      <c r="W111" s="287">
        <v>4</v>
      </c>
      <c r="X111" s="288">
        <v>158</v>
      </c>
      <c r="Y111" s="286">
        <v>0.12139548956175669</v>
      </c>
      <c r="Z111" s="287">
        <v>3</v>
      </c>
      <c r="AA111" s="288">
        <v>149</v>
      </c>
      <c r="AB111" s="286">
        <v>2.5682080184449854E-2</v>
      </c>
      <c r="AC111" s="287">
        <v>3</v>
      </c>
      <c r="AD111" s="288">
        <v>121</v>
      </c>
      <c r="AE111" s="292" vm="5335">
        <v>6498</v>
      </c>
      <c r="AF111" s="293">
        <v>0</v>
      </c>
      <c r="AG111" s="293">
        <v>0</v>
      </c>
      <c r="AH111" s="293">
        <v>0</v>
      </c>
      <c r="AI111" s="285" t="str">
        <v>Traditional</v>
      </c>
      <c r="AJ111" s="294" t="str">
        <v>London</v>
      </c>
      <c r="AM111" s="295" t="s">
        <v>665</v>
      </c>
    </row>
    <row r="112" spans="1:39" x14ac:dyDescent="0.25">
      <c r="A112" s="283"/>
      <c r="B112" s="284" t="str" vm="23">
        <v>Bromford Housing Group Limited</v>
      </c>
      <c r="C112" s="285" t="str" vm="263">
        <v>L4449</v>
      </c>
      <c r="D112" s="286">
        <v>8.8339775669742729E-2</v>
      </c>
      <c r="E112" s="287">
        <v>2</v>
      </c>
      <c r="F112" s="288">
        <v>59</v>
      </c>
      <c r="G112" s="286">
        <v>2.8329942087963689E-2</v>
      </c>
      <c r="H112" s="287">
        <v>1</v>
      </c>
      <c r="I112" s="288">
        <v>22</v>
      </c>
      <c r="J112" s="289">
        <v>0</v>
      </c>
      <c r="K112" s="287">
        <v>2</v>
      </c>
      <c r="L112" s="288">
        <v>72</v>
      </c>
      <c r="M112" s="286">
        <v>0.46379894838172303</v>
      </c>
      <c r="N112" s="287">
        <v>2</v>
      </c>
      <c r="O112" s="288">
        <v>93</v>
      </c>
      <c r="P112" s="290">
        <v>1.8740396530359356</v>
      </c>
      <c r="Q112" s="287">
        <v>1</v>
      </c>
      <c r="R112" s="288">
        <v>35</v>
      </c>
      <c r="S112" s="291">
        <v>3950.0638125072514</v>
      </c>
      <c r="T112" s="287">
        <v>4</v>
      </c>
      <c r="U112" s="288">
        <v>170</v>
      </c>
      <c r="V112" s="286">
        <v>0.3350845784462998</v>
      </c>
      <c r="W112" s="287">
        <v>1</v>
      </c>
      <c r="X112" s="288">
        <v>16</v>
      </c>
      <c r="Y112" s="286">
        <v>0.31442913080227003</v>
      </c>
      <c r="Z112" s="287">
        <v>1</v>
      </c>
      <c r="AA112" s="288">
        <v>9</v>
      </c>
      <c r="AB112" s="286">
        <v>3.554139625195691E-2</v>
      </c>
      <c r="AC112" s="287">
        <v>2</v>
      </c>
      <c r="AD112" s="288">
        <v>55</v>
      </c>
      <c r="AE112" s="292" vm="2114">
        <v>42808</v>
      </c>
      <c r="AF112" s="293">
        <v>1.9520789288231147E-2</v>
      </c>
      <c r="AG112" s="293">
        <v>6.0018792576932115E-2</v>
      </c>
      <c r="AH112" s="293">
        <v>7.9539581865163259E-2</v>
      </c>
      <c r="AI112" s="285" t="str">
        <v>Traditional</v>
      </c>
      <c r="AJ112" s="294" t="str">
        <v>Mixed</v>
      </c>
      <c r="AM112" s="295" t="s">
        <v>665</v>
      </c>
    </row>
    <row r="113" spans="1:39" x14ac:dyDescent="0.25">
      <c r="A113" s="283"/>
      <c r="B113" s="284" t="str" vm="60">
        <v>Gentoo Group Limited</v>
      </c>
      <c r="C113" s="285" t="str" vm="344">
        <v>L4313</v>
      </c>
      <c r="D113" s="286">
        <v>5.2965665949476097E-2</v>
      </c>
      <c r="E113" s="287">
        <v>3</v>
      </c>
      <c r="F113" s="288">
        <v>140</v>
      </c>
      <c r="G113" s="286">
        <v>2.0736308937009213E-3</v>
      </c>
      <c r="H113" s="287">
        <v>4</v>
      </c>
      <c r="I113" s="288">
        <v>176</v>
      </c>
      <c r="J113" s="289">
        <v>6.3672809352154427E-3</v>
      </c>
      <c r="K113" s="287">
        <v>1</v>
      </c>
      <c r="L113" s="288">
        <v>16</v>
      </c>
      <c r="M113" s="286">
        <v>0.46135857994389573</v>
      </c>
      <c r="N113" s="287">
        <v>2</v>
      </c>
      <c r="O113" s="288">
        <v>94</v>
      </c>
      <c r="P113" s="290">
        <v>0.90063275478101024</v>
      </c>
      <c r="Q113" s="287">
        <v>3</v>
      </c>
      <c r="R113" s="288">
        <v>145</v>
      </c>
      <c r="S113" s="291">
        <v>4037.9901107319452</v>
      </c>
      <c r="T113" s="287">
        <v>4</v>
      </c>
      <c r="U113" s="288">
        <v>157</v>
      </c>
      <c r="V113" s="286">
        <v>0.18378436376734952</v>
      </c>
      <c r="W113" s="287">
        <v>3</v>
      </c>
      <c r="X113" s="288">
        <v>116</v>
      </c>
      <c r="Y113" s="286">
        <v>0.14288138097870406</v>
      </c>
      <c r="Z113" s="287">
        <v>3</v>
      </c>
      <c r="AA113" s="288">
        <v>136</v>
      </c>
      <c r="AB113" s="286">
        <v>2.5615909942945762E-2</v>
      </c>
      <c r="AC113" s="287">
        <v>3</v>
      </c>
      <c r="AD113" s="288">
        <v>123</v>
      </c>
      <c r="AE113" s="292" vm="5642">
        <v>28701</v>
      </c>
      <c r="AF113" s="293">
        <v>4.6672007244610084E-3</v>
      </c>
      <c r="AG113" s="293">
        <v>6.6525025251645709E-3</v>
      </c>
      <c r="AH113" s="293">
        <v>1.1319703249625579E-2</v>
      </c>
      <c r="AI113" s="285" t="str">
        <v>Traditional</v>
      </c>
      <c r="AJ113" s="294" t="str">
        <v>North East</v>
      </c>
      <c r="AM113" s="295" t="s">
        <v>665</v>
      </c>
    </row>
    <row r="114" spans="1:39" x14ac:dyDescent="0.25">
      <c r="A114" s="283"/>
      <c r="B114" s="284" t="str" vm="188">
        <v>Watford Community Housing Trust</v>
      </c>
      <c r="C114" s="285" t="str" vm="376">
        <v>L4495</v>
      </c>
      <c r="D114" s="286">
        <v>7.2786486330573053E-2</v>
      </c>
      <c r="E114" s="287">
        <v>2</v>
      </c>
      <c r="F114" s="288">
        <v>87</v>
      </c>
      <c r="G114" s="286">
        <v>1.4559386973180077E-2</v>
      </c>
      <c r="H114" s="287">
        <v>2</v>
      </c>
      <c r="I114" s="288">
        <v>84</v>
      </c>
      <c r="J114" s="289">
        <v>0</v>
      </c>
      <c r="K114" s="287">
        <v>2</v>
      </c>
      <c r="L114" s="288">
        <v>72</v>
      </c>
      <c r="M114" s="286">
        <v>0.45726108002370452</v>
      </c>
      <c r="N114" s="287">
        <v>2</v>
      </c>
      <c r="O114" s="288">
        <v>95</v>
      </c>
      <c r="P114" s="290">
        <v>1.8248415716096325</v>
      </c>
      <c r="Q114" s="287">
        <v>1</v>
      </c>
      <c r="R114" s="288">
        <v>43</v>
      </c>
      <c r="S114" s="291">
        <v>4310.3703703703704</v>
      </c>
      <c r="T114" s="287">
        <v>3</v>
      </c>
      <c r="U114" s="288">
        <v>126</v>
      </c>
      <c r="V114" s="286">
        <v>0.29033745425203883</v>
      </c>
      <c r="W114" s="287">
        <v>1</v>
      </c>
      <c r="X114" s="288">
        <v>30</v>
      </c>
      <c r="Y114" s="286">
        <v>0.28091093068051592</v>
      </c>
      <c r="Z114" s="287">
        <v>1</v>
      </c>
      <c r="AA114" s="288">
        <v>20</v>
      </c>
      <c r="AB114" s="286">
        <v>3.3432482735827725E-2</v>
      </c>
      <c r="AC114" s="287">
        <v>2</v>
      </c>
      <c r="AD114" s="288">
        <v>63</v>
      </c>
      <c r="AE114" s="292" vm="6113">
        <v>5220</v>
      </c>
      <c r="AF114" s="293">
        <v>0</v>
      </c>
      <c r="AG114" s="293">
        <v>9.0088359585094119E-2</v>
      </c>
      <c r="AH114" s="293">
        <v>9.0088359585094119E-2</v>
      </c>
      <c r="AI114" s="285" t="str">
        <v>Traditional</v>
      </c>
      <c r="AJ114" s="294" t="str">
        <v>East of England</v>
      </c>
      <c r="AM114" s="295" t="s">
        <v>665</v>
      </c>
    </row>
    <row r="115" spans="1:39" x14ac:dyDescent="0.25">
      <c r="A115" s="283"/>
      <c r="B115" s="284" t="str" vm="84">
        <v>Jigsaw Homes Group Limited</v>
      </c>
      <c r="C115" s="285" t="str" vm="262">
        <v>LH4345</v>
      </c>
      <c r="D115" s="286">
        <v>9.5002748971257905E-2</v>
      </c>
      <c r="E115" s="287">
        <v>1</v>
      </c>
      <c r="F115" s="288">
        <v>47</v>
      </c>
      <c r="G115" s="286">
        <v>2.0110579539920358E-2</v>
      </c>
      <c r="H115" s="287">
        <v>2</v>
      </c>
      <c r="I115" s="288">
        <v>58</v>
      </c>
      <c r="J115" s="289">
        <v>0</v>
      </c>
      <c r="K115" s="287">
        <v>2</v>
      </c>
      <c r="L115" s="288">
        <v>72</v>
      </c>
      <c r="M115" s="286">
        <v>0.45695999038839502</v>
      </c>
      <c r="N115" s="287">
        <v>2</v>
      </c>
      <c r="O115" s="288">
        <v>96</v>
      </c>
      <c r="P115" s="290">
        <v>1.2426570998727</v>
      </c>
      <c r="Q115" s="287">
        <v>3</v>
      </c>
      <c r="R115" s="288">
        <v>102</v>
      </c>
      <c r="S115" s="291">
        <v>3982.2180225066577</v>
      </c>
      <c r="T115" s="287">
        <v>4</v>
      </c>
      <c r="U115" s="288">
        <v>166</v>
      </c>
      <c r="V115" s="286">
        <v>0.2132540504271675</v>
      </c>
      <c r="W115" s="287">
        <v>2</v>
      </c>
      <c r="X115" s="288">
        <v>86</v>
      </c>
      <c r="Y115" s="286">
        <v>0.21462353386303443</v>
      </c>
      <c r="Z115" s="287">
        <v>2</v>
      </c>
      <c r="AA115" s="288">
        <v>69</v>
      </c>
      <c r="AB115" s="286">
        <v>2.9938312686044879E-2</v>
      </c>
      <c r="AC115" s="287">
        <v>2</v>
      </c>
      <c r="AD115" s="288">
        <v>86</v>
      </c>
      <c r="AE115" s="292" vm="7978">
        <v>33428</v>
      </c>
      <c r="AF115" s="293">
        <v>2.0427724195770682E-2</v>
      </c>
      <c r="AG115" s="293">
        <v>9.3092913197148505E-2</v>
      </c>
      <c r="AH115" s="293">
        <v>0.11352063739291919</v>
      </c>
      <c r="AI115" s="285" t="str">
        <v>Traditional</v>
      </c>
      <c r="AJ115" s="294" t="str">
        <v>North West</v>
      </c>
      <c r="AM115" s="295" t="s">
        <v>665</v>
      </c>
    </row>
    <row r="116" spans="1:39" x14ac:dyDescent="0.25">
      <c r="A116" s="283"/>
      <c r="B116" s="284" t="str" vm="78">
        <v>Hyde Housing Association Limited</v>
      </c>
      <c r="C116" s="285" t="str" vm="245">
        <v>LH0032</v>
      </c>
      <c r="D116" s="286">
        <v>4.5009685531306312E-2</v>
      </c>
      <c r="E116" s="287">
        <v>3</v>
      </c>
      <c r="F116" s="288">
        <v>147</v>
      </c>
      <c r="G116" s="286">
        <v>1.2509069801189958E-2</v>
      </c>
      <c r="H116" s="287">
        <v>3</v>
      </c>
      <c r="I116" s="288">
        <v>103</v>
      </c>
      <c r="J116" s="289">
        <v>4.7535038714103693E-3</v>
      </c>
      <c r="K116" s="287">
        <v>1</v>
      </c>
      <c r="L116" s="288">
        <v>22</v>
      </c>
      <c r="M116" s="286">
        <v>0.45455757629756166</v>
      </c>
      <c r="N116" s="287">
        <v>2</v>
      </c>
      <c r="O116" s="288">
        <v>97</v>
      </c>
      <c r="P116" s="290">
        <v>0.73830924025665989</v>
      </c>
      <c r="Q116" s="287">
        <v>4</v>
      </c>
      <c r="R116" s="288">
        <v>158</v>
      </c>
      <c r="S116" s="291">
        <v>5782.1143960616855</v>
      </c>
      <c r="T116" s="287">
        <v>2</v>
      </c>
      <c r="U116" s="288">
        <v>52</v>
      </c>
      <c r="V116" s="286">
        <v>0.24583590258175955</v>
      </c>
      <c r="W116" s="287">
        <v>2</v>
      </c>
      <c r="X116" s="288">
        <v>60</v>
      </c>
      <c r="Y116" s="286">
        <v>0.15239353285173718</v>
      </c>
      <c r="Z116" s="287">
        <v>3</v>
      </c>
      <c r="AA116" s="288">
        <v>130</v>
      </c>
      <c r="AB116" s="286">
        <v>2.7692030856635418E-2</v>
      </c>
      <c r="AC116" s="287">
        <v>3</v>
      </c>
      <c r="AD116" s="288">
        <v>107</v>
      </c>
      <c r="AE116" s="292" vm="1601">
        <v>34455</v>
      </c>
      <c r="AF116" s="293">
        <v>3.4118744896768922E-2</v>
      </c>
      <c r="AG116" s="293">
        <v>4.2254753295229208E-2</v>
      </c>
      <c r="AH116" s="293">
        <v>7.6373498191998124E-2</v>
      </c>
      <c r="AI116" s="285" t="str">
        <v>Traditional</v>
      </c>
      <c r="AJ116" s="294" t="str">
        <v>Mixed</v>
      </c>
      <c r="AM116" s="295" t="s">
        <v>665</v>
      </c>
    </row>
    <row r="117" spans="1:39" x14ac:dyDescent="0.25">
      <c r="A117" s="283"/>
      <c r="B117" s="284" t="str" vm="74">
        <v>Honeycomb Group Limited</v>
      </c>
      <c r="C117" s="285" t="str" vm="315">
        <v>LH2162</v>
      </c>
      <c r="D117" s="286">
        <v>2.727839845743776E-2</v>
      </c>
      <c r="E117" s="287">
        <v>4</v>
      </c>
      <c r="F117" s="288">
        <v>179</v>
      </c>
      <c r="G117" s="286">
        <v>6.9532237673830596E-3</v>
      </c>
      <c r="H117" s="287">
        <v>3</v>
      </c>
      <c r="I117" s="288">
        <v>145</v>
      </c>
      <c r="J117" s="289">
        <v>0</v>
      </c>
      <c r="K117" s="287">
        <v>2</v>
      </c>
      <c r="L117" s="288">
        <v>72</v>
      </c>
      <c r="M117" s="286">
        <v>0.45286930439768869</v>
      </c>
      <c r="N117" s="287">
        <v>2</v>
      </c>
      <c r="O117" s="288">
        <v>98</v>
      </c>
      <c r="P117" s="290">
        <v>1.1376916401504193</v>
      </c>
      <c r="Q117" s="287">
        <v>3</v>
      </c>
      <c r="R117" s="288">
        <v>118</v>
      </c>
      <c r="S117" s="291">
        <v>6214.090494989372</v>
      </c>
      <c r="T117" s="287">
        <v>1</v>
      </c>
      <c r="U117" s="288">
        <v>45</v>
      </c>
      <c r="V117" s="286">
        <v>0.12231131475117729</v>
      </c>
      <c r="W117" s="287">
        <v>4</v>
      </c>
      <c r="X117" s="288">
        <v>162</v>
      </c>
      <c r="Y117" s="286">
        <v>9.7394610309739463E-2</v>
      </c>
      <c r="Z117" s="287">
        <v>4</v>
      </c>
      <c r="AA117" s="288">
        <v>163</v>
      </c>
      <c r="AB117" s="286">
        <v>1.8531133389196E-2</v>
      </c>
      <c r="AC117" s="287">
        <v>4</v>
      </c>
      <c r="AD117" s="288">
        <v>168</v>
      </c>
      <c r="AE117" s="292" vm="3857">
        <v>3121</v>
      </c>
      <c r="AF117" s="293">
        <v>4.6804389928986445E-2</v>
      </c>
      <c r="AG117" s="293">
        <v>0.14138153647514526</v>
      </c>
      <c r="AH117" s="293">
        <v>0.1881859264041317</v>
      </c>
      <c r="AI117" s="285" t="str">
        <v>Traditional</v>
      </c>
      <c r="AJ117" s="294" t="str">
        <v>West Midlands</v>
      </c>
      <c r="AM117" s="295" t="s">
        <v>665</v>
      </c>
    </row>
    <row r="118" spans="1:39" x14ac:dyDescent="0.25">
      <c r="A118" s="283"/>
      <c r="B118" s="284" t="str" vm="92">
        <v>Livv Housing Group</v>
      </c>
      <c r="C118" s="285" t="str" vm="295">
        <v>LH4343</v>
      </c>
      <c r="D118" s="286">
        <v>0.12214971341758166</v>
      </c>
      <c r="E118" s="287">
        <v>1</v>
      </c>
      <c r="F118" s="288">
        <v>18</v>
      </c>
      <c r="G118" s="286">
        <v>9.7971148653860987E-3</v>
      </c>
      <c r="H118" s="287">
        <v>3</v>
      </c>
      <c r="I118" s="288">
        <v>124</v>
      </c>
      <c r="J118" s="289">
        <v>0</v>
      </c>
      <c r="K118" s="287">
        <v>2</v>
      </c>
      <c r="L118" s="288">
        <v>72</v>
      </c>
      <c r="M118" s="286">
        <v>0.45280022097921413</v>
      </c>
      <c r="N118" s="287">
        <v>2</v>
      </c>
      <c r="O118" s="288">
        <v>99</v>
      </c>
      <c r="P118" s="290">
        <v>1.3607209446861404</v>
      </c>
      <c r="Q118" s="287">
        <v>2</v>
      </c>
      <c r="R118" s="288">
        <v>83</v>
      </c>
      <c r="S118" s="291">
        <v>4033.1713337961892</v>
      </c>
      <c r="T118" s="287">
        <v>4</v>
      </c>
      <c r="U118" s="288">
        <v>158</v>
      </c>
      <c r="V118" s="286">
        <v>0.25290988487495036</v>
      </c>
      <c r="W118" s="287">
        <v>2</v>
      </c>
      <c r="X118" s="288">
        <v>51</v>
      </c>
      <c r="Y118" s="286">
        <v>0.23125285948315302</v>
      </c>
      <c r="Z118" s="287">
        <v>1</v>
      </c>
      <c r="AA118" s="288">
        <v>48</v>
      </c>
      <c r="AB118" s="286">
        <v>6.3773226306188494E-2</v>
      </c>
      <c r="AC118" s="287">
        <v>1</v>
      </c>
      <c r="AD118" s="288">
        <v>4</v>
      </c>
      <c r="AE118" s="292" vm="3182">
        <v>12963</v>
      </c>
      <c r="AF118" s="293">
        <v>1.0066594393681276E-3</v>
      </c>
      <c r="AG118" s="293">
        <v>4.4447886015177324E-2</v>
      </c>
      <c r="AH118" s="293">
        <v>4.5454545454545449E-2</v>
      </c>
      <c r="AI118" s="285" t="str">
        <v>Traditional</v>
      </c>
      <c r="AJ118" s="294" t="str">
        <v>North West</v>
      </c>
      <c r="AM118" s="295" t="s">
        <v>665</v>
      </c>
    </row>
    <row r="119" spans="1:39" x14ac:dyDescent="0.25">
      <c r="A119" s="283"/>
      <c r="B119" s="284" t="str" vm="150">
        <v>Soha Housing Limited</v>
      </c>
      <c r="C119" s="285" t="str" vm="380">
        <v>L4130</v>
      </c>
      <c r="D119" s="286">
        <v>7.5318958880602721E-2</v>
      </c>
      <c r="E119" s="287">
        <v>2</v>
      </c>
      <c r="F119" s="288">
        <v>81</v>
      </c>
      <c r="G119" s="286">
        <v>4.1423332880619314E-2</v>
      </c>
      <c r="H119" s="287">
        <v>1</v>
      </c>
      <c r="I119" s="288">
        <v>7</v>
      </c>
      <c r="J119" s="289">
        <v>0</v>
      </c>
      <c r="K119" s="287">
        <v>2</v>
      </c>
      <c r="L119" s="288">
        <v>72</v>
      </c>
      <c r="M119" s="286">
        <v>0.45181825661277714</v>
      </c>
      <c r="N119" s="287">
        <v>3</v>
      </c>
      <c r="O119" s="288">
        <v>100</v>
      </c>
      <c r="P119" s="290">
        <v>1.4998063066553033</v>
      </c>
      <c r="Q119" s="287">
        <v>2</v>
      </c>
      <c r="R119" s="288">
        <v>63</v>
      </c>
      <c r="S119" s="291">
        <v>4158.7668070080135</v>
      </c>
      <c r="T119" s="287">
        <v>3</v>
      </c>
      <c r="U119" s="288">
        <v>142</v>
      </c>
      <c r="V119" s="286">
        <v>0.3086016686938523</v>
      </c>
      <c r="W119" s="287">
        <v>1</v>
      </c>
      <c r="X119" s="288">
        <v>24</v>
      </c>
      <c r="Y119" s="286">
        <v>0.3111138754620415</v>
      </c>
      <c r="Z119" s="287">
        <v>1</v>
      </c>
      <c r="AA119" s="288">
        <v>11</v>
      </c>
      <c r="AB119" s="286">
        <v>2.7971196137822188E-2</v>
      </c>
      <c r="AC119" s="287">
        <v>3</v>
      </c>
      <c r="AD119" s="288">
        <v>104</v>
      </c>
      <c r="AE119" s="292" vm="6189">
        <v>7363</v>
      </c>
      <c r="AF119" s="293">
        <v>1.3331500824628917E-2</v>
      </c>
      <c r="AG119" s="293">
        <v>7.6140736668499173E-2</v>
      </c>
      <c r="AH119" s="293">
        <v>8.947223749312809E-2</v>
      </c>
      <c r="AI119" s="285" t="str">
        <v>Traditional</v>
      </c>
      <c r="AJ119" s="294" t="str">
        <v>South East</v>
      </c>
      <c r="AM119" s="295" t="s">
        <v>665</v>
      </c>
    </row>
    <row r="120" spans="1:39" x14ac:dyDescent="0.25">
      <c r="A120" s="283"/>
      <c r="B120" s="284" t="str" vm="114">
        <v>Octavia Housing</v>
      </c>
      <c r="C120" s="285" t="str" vm="347">
        <v>L0717</v>
      </c>
      <c r="D120" s="286">
        <v>3.7235413742731933E-2</v>
      </c>
      <c r="E120" s="287">
        <v>4</v>
      </c>
      <c r="F120" s="288">
        <v>156</v>
      </c>
      <c r="G120" s="286">
        <v>1.4538676607642124E-2</v>
      </c>
      <c r="H120" s="287">
        <v>2</v>
      </c>
      <c r="I120" s="288">
        <v>85</v>
      </c>
      <c r="J120" s="289">
        <v>0</v>
      </c>
      <c r="K120" s="287">
        <v>2</v>
      </c>
      <c r="L120" s="288">
        <v>72</v>
      </c>
      <c r="M120" s="286">
        <v>0.45153920417306209</v>
      </c>
      <c r="N120" s="287">
        <v>3</v>
      </c>
      <c r="O120" s="288">
        <v>101</v>
      </c>
      <c r="P120" s="290">
        <v>0.19265481190242159</v>
      </c>
      <c r="Q120" s="287">
        <v>4</v>
      </c>
      <c r="R120" s="288">
        <v>179</v>
      </c>
      <c r="S120" s="291">
        <v>9321.3861386138615</v>
      </c>
      <c r="T120" s="287">
        <v>1</v>
      </c>
      <c r="U120" s="288">
        <v>16</v>
      </c>
      <c r="V120" s="286">
        <v>8.1869987336428876E-2</v>
      </c>
      <c r="W120" s="287">
        <v>4</v>
      </c>
      <c r="X120" s="288">
        <v>182</v>
      </c>
      <c r="Y120" s="286">
        <v>4.3956043956043959E-2</v>
      </c>
      <c r="Z120" s="287">
        <v>4</v>
      </c>
      <c r="AA120" s="288">
        <v>185</v>
      </c>
      <c r="AB120" s="286">
        <v>1.7701858793081785E-2</v>
      </c>
      <c r="AC120" s="287">
        <v>4</v>
      </c>
      <c r="AD120" s="288">
        <v>172</v>
      </c>
      <c r="AE120" s="292" vm="4986">
        <v>5050</v>
      </c>
      <c r="AF120" s="293">
        <v>5.120359037127703E-2</v>
      </c>
      <c r="AG120" s="293">
        <v>2.7947776417788658E-2</v>
      </c>
      <c r="AH120" s="293">
        <v>7.9151366789065689E-2</v>
      </c>
      <c r="AI120" s="285" t="str">
        <v>Traditional</v>
      </c>
      <c r="AJ120" s="294" t="str">
        <v>London</v>
      </c>
      <c r="AM120" s="295" t="s">
        <v>665</v>
      </c>
    </row>
    <row r="121" spans="1:39" x14ac:dyDescent="0.25">
      <c r="A121" s="283"/>
      <c r="B121" s="284" t="str" vm="111">
        <v>Nottingham Community Housing Association Limited</v>
      </c>
      <c r="C121" s="285" t="str" vm="270">
        <v>4817</v>
      </c>
      <c r="D121" s="286">
        <v>8.2367804488067908E-2</v>
      </c>
      <c r="E121" s="287">
        <v>2</v>
      </c>
      <c r="F121" s="288">
        <v>69</v>
      </c>
      <c r="G121" s="286">
        <v>1.4768140198877622E-2</v>
      </c>
      <c r="H121" s="287">
        <v>2</v>
      </c>
      <c r="I121" s="288">
        <v>83</v>
      </c>
      <c r="J121" s="289">
        <v>0</v>
      </c>
      <c r="K121" s="287">
        <v>2</v>
      </c>
      <c r="L121" s="288">
        <v>72</v>
      </c>
      <c r="M121" s="286">
        <v>0.4500424531192101</v>
      </c>
      <c r="N121" s="287">
        <v>3</v>
      </c>
      <c r="O121" s="288">
        <v>102</v>
      </c>
      <c r="P121" s="290">
        <v>1.2244480187161866</v>
      </c>
      <c r="Q121" s="287">
        <v>3</v>
      </c>
      <c r="R121" s="288">
        <v>105</v>
      </c>
      <c r="S121" s="291">
        <v>6402.0351157222658</v>
      </c>
      <c r="T121" s="287">
        <v>1</v>
      </c>
      <c r="U121" s="288">
        <v>41</v>
      </c>
      <c r="V121" s="286">
        <v>0.2313557465914691</v>
      </c>
      <c r="W121" s="287">
        <v>2</v>
      </c>
      <c r="X121" s="288">
        <v>70</v>
      </c>
      <c r="Y121" s="286">
        <v>0.17023984770169012</v>
      </c>
      <c r="Z121" s="287">
        <v>3</v>
      </c>
      <c r="AA121" s="288">
        <v>107</v>
      </c>
      <c r="AB121" s="286">
        <v>2.8191006326608602E-2</v>
      </c>
      <c r="AC121" s="287">
        <v>3</v>
      </c>
      <c r="AD121" s="288">
        <v>101</v>
      </c>
      <c r="AE121" s="292" vm="2335">
        <v>10024</v>
      </c>
      <c r="AF121" s="293">
        <v>5.8032128514056223E-2</v>
      </c>
      <c r="AG121" s="293">
        <v>3.3333333333333333E-2</v>
      </c>
      <c r="AH121" s="293">
        <v>9.1365461847389556E-2</v>
      </c>
      <c r="AI121" s="285" t="str">
        <v>Traditional</v>
      </c>
      <c r="AJ121" s="294" t="str">
        <v>East Midlands</v>
      </c>
      <c r="AM121" s="295" t="s">
        <v>665</v>
      </c>
    </row>
    <row r="122" spans="1:39" x14ac:dyDescent="0.25">
      <c r="A122" s="283"/>
      <c r="B122" s="284" t="str" vm="47">
        <v>Eden Housing Association Limited</v>
      </c>
      <c r="C122" s="285" t="str" vm="231">
        <v>L4140</v>
      </c>
      <c r="D122" s="286">
        <v>2.5498366399924238E-2</v>
      </c>
      <c r="E122" s="287">
        <v>4</v>
      </c>
      <c r="F122" s="288">
        <v>182</v>
      </c>
      <c r="G122" s="286">
        <v>0</v>
      </c>
      <c r="H122" s="287">
        <v>4</v>
      </c>
      <c r="I122" s="288">
        <v>187</v>
      </c>
      <c r="J122" s="289">
        <v>0</v>
      </c>
      <c r="K122" s="287">
        <v>2</v>
      </c>
      <c r="L122" s="288">
        <v>72</v>
      </c>
      <c r="M122" s="286">
        <v>0.4495004498319049</v>
      </c>
      <c r="N122" s="287">
        <v>3</v>
      </c>
      <c r="O122" s="288">
        <v>103</v>
      </c>
      <c r="P122" s="290">
        <v>1.2853817504655494</v>
      </c>
      <c r="Q122" s="287">
        <v>2</v>
      </c>
      <c r="R122" s="288">
        <v>98</v>
      </c>
      <c r="S122" s="291">
        <v>3822.3452440865631</v>
      </c>
      <c r="T122" s="287">
        <v>4</v>
      </c>
      <c r="U122" s="288">
        <v>179</v>
      </c>
      <c r="V122" s="286">
        <v>0.32979356887653832</v>
      </c>
      <c r="W122" s="287">
        <v>1</v>
      </c>
      <c r="X122" s="288">
        <v>18</v>
      </c>
      <c r="Y122" s="286">
        <v>0.30226519831676962</v>
      </c>
      <c r="Z122" s="287">
        <v>1</v>
      </c>
      <c r="AA122" s="288">
        <v>16</v>
      </c>
      <c r="AB122" s="286">
        <v>4.0944166038405248E-2</v>
      </c>
      <c r="AC122" s="287">
        <v>1</v>
      </c>
      <c r="AD122" s="288">
        <v>26</v>
      </c>
      <c r="AE122" s="292" vm="1266">
        <v>1823</v>
      </c>
      <c r="AF122" s="293">
        <v>4.4628099173553717E-2</v>
      </c>
      <c r="AG122" s="293">
        <v>3.7465564738292011E-2</v>
      </c>
      <c r="AH122" s="293">
        <v>8.2093663911845721E-2</v>
      </c>
      <c r="AI122" s="285" t="str">
        <v>Traditional</v>
      </c>
      <c r="AJ122" s="294" t="str">
        <v>North West</v>
      </c>
      <c r="AM122" s="295" t="s">
        <v>665</v>
      </c>
    </row>
    <row r="123" spans="1:39" x14ac:dyDescent="0.25">
      <c r="A123" s="283"/>
      <c r="B123" s="284" t="str" vm="198">
        <v>Your Housing Group Limited</v>
      </c>
      <c r="C123" s="285" t="str" vm="336">
        <v>L4203</v>
      </c>
      <c r="D123" s="286">
        <v>5.8195850586424437E-2</v>
      </c>
      <c r="E123" s="287">
        <v>3</v>
      </c>
      <c r="F123" s="288">
        <v>125</v>
      </c>
      <c r="G123" s="286">
        <v>1.2084368165474292E-2</v>
      </c>
      <c r="H123" s="287">
        <v>3</v>
      </c>
      <c r="I123" s="288">
        <v>109</v>
      </c>
      <c r="J123" s="289">
        <v>2.2491967154587649E-3</v>
      </c>
      <c r="K123" s="287">
        <v>1</v>
      </c>
      <c r="L123" s="288">
        <v>33</v>
      </c>
      <c r="M123" s="286">
        <v>0.44816007977973854</v>
      </c>
      <c r="N123" s="287">
        <v>3</v>
      </c>
      <c r="O123" s="288">
        <v>104</v>
      </c>
      <c r="P123" s="290">
        <v>-0.58014772580018137</v>
      </c>
      <c r="Q123" s="287">
        <v>4</v>
      </c>
      <c r="R123" s="288">
        <v>187</v>
      </c>
      <c r="S123" s="291">
        <v>6701.3420274471155</v>
      </c>
      <c r="T123" s="287">
        <v>1</v>
      </c>
      <c r="U123" s="288">
        <v>39</v>
      </c>
      <c r="V123" s="286">
        <v>1.0497346712171065E-2</v>
      </c>
      <c r="W123" s="287">
        <v>4</v>
      </c>
      <c r="X123" s="288">
        <v>193</v>
      </c>
      <c r="Y123" s="286">
        <v>-5.6231707990501957E-2</v>
      </c>
      <c r="Z123" s="287">
        <v>4</v>
      </c>
      <c r="AA123" s="288">
        <v>196</v>
      </c>
      <c r="AB123" s="286">
        <v>-3.9305256117431924E-3</v>
      </c>
      <c r="AC123" s="287">
        <v>4</v>
      </c>
      <c r="AD123" s="288">
        <v>194</v>
      </c>
      <c r="AE123" s="292" vm="4590">
        <v>25889</v>
      </c>
      <c r="AF123" s="293">
        <v>3.1812557378357878E-2</v>
      </c>
      <c r="AG123" s="293">
        <v>0.12293936853869795</v>
      </c>
      <c r="AH123" s="293">
        <v>0.15475192591705583</v>
      </c>
      <c r="AI123" s="285" t="str">
        <v>Traditional</v>
      </c>
      <c r="AJ123" s="294" t="str">
        <v>North West</v>
      </c>
      <c r="AM123" s="295" t="s">
        <v>665</v>
      </c>
    </row>
    <row r="124" spans="1:39" x14ac:dyDescent="0.25">
      <c r="A124" s="283"/>
      <c r="B124" s="284" t="str" vm="153">
        <v>South Yorkshire Housing Association Limited</v>
      </c>
      <c r="C124" s="285" t="str" vm="354">
        <v>L0078</v>
      </c>
      <c r="D124" s="286">
        <v>2.6797275599523489E-2</v>
      </c>
      <c r="E124" s="287">
        <v>4</v>
      </c>
      <c r="F124" s="288">
        <v>181</v>
      </c>
      <c r="G124" s="286">
        <v>2.9417172274315132E-3</v>
      </c>
      <c r="H124" s="287">
        <v>4</v>
      </c>
      <c r="I124" s="288">
        <v>170</v>
      </c>
      <c r="J124" s="289">
        <v>0</v>
      </c>
      <c r="K124" s="287">
        <v>2</v>
      </c>
      <c r="L124" s="288">
        <v>72</v>
      </c>
      <c r="M124" s="286">
        <v>0.44662881338374683</v>
      </c>
      <c r="N124" s="287">
        <v>3</v>
      </c>
      <c r="O124" s="288">
        <v>105</v>
      </c>
      <c r="P124" s="290">
        <v>0.95112781954887216</v>
      </c>
      <c r="Q124" s="287">
        <v>3</v>
      </c>
      <c r="R124" s="288">
        <v>142</v>
      </c>
      <c r="S124" s="291">
        <v>5477.691740412979</v>
      </c>
      <c r="T124" s="287">
        <v>2</v>
      </c>
      <c r="U124" s="288">
        <v>58</v>
      </c>
      <c r="V124" s="286">
        <v>0.134988387420752</v>
      </c>
      <c r="W124" s="287">
        <v>4</v>
      </c>
      <c r="X124" s="288">
        <v>155</v>
      </c>
      <c r="Y124" s="286">
        <v>0.10450290669031431</v>
      </c>
      <c r="Z124" s="287">
        <v>4</v>
      </c>
      <c r="AA124" s="288">
        <v>159</v>
      </c>
      <c r="AB124" s="286">
        <v>3.2310234971442753E-2</v>
      </c>
      <c r="AC124" s="287">
        <v>2</v>
      </c>
      <c r="AD124" s="288">
        <v>69</v>
      </c>
      <c r="AE124" s="292" vm="5238">
        <v>5386</v>
      </c>
      <c r="AF124" s="293">
        <v>0.18340449229626879</v>
      </c>
      <c r="AG124" s="293">
        <v>5.810284017078151E-2</v>
      </c>
      <c r="AH124" s="293">
        <v>0.24150733246705031</v>
      </c>
      <c r="AI124" s="285" t="str">
        <v>Traditional</v>
      </c>
      <c r="AJ124" s="294" t="str">
        <v>Yorkshire &amp; the Humber</v>
      </c>
      <c r="AM124" s="295" t="s">
        <v>665</v>
      </c>
    </row>
    <row r="125" spans="1:39" x14ac:dyDescent="0.25">
      <c r="A125" s="283"/>
      <c r="B125" s="284" t="str" vm="54">
        <v>Flagship Housing Group Limited</v>
      </c>
      <c r="C125" s="285" t="str" vm="255">
        <v>4651</v>
      </c>
      <c r="D125" s="286">
        <v>8.6372255379854865E-2</v>
      </c>
      <c r="E125" s="287">
        <v>2</v>
      </c>
      <c r="F125" s="288">
        <v>61</v>
      </c>
      <c r="G125" s="286">
        <v>1.9581155071611966E-2</v>
      </c>
      <c r="H125" s="287">
        <v>2</v>
      </c>
      <c r="I125" s="288">
        <v>61</v>
      </c>
      <c r="J125" s="289">
        <v>3.4260984552503455E-3</v>
      </c>
      <c r="K125" s="287">
        <v>1</v>
      </c>
      <c r="L125" s="288">
        <v>27</v>
      </c>
      <c r="M125" s="286">
        <v>0.44532535040220766</v>
      </c>
      <c r="N125" s="287">
        <v>3</v>
      </c>
      <c r="O125" s="288">
        <v>106</v>
      </c>
      <c r="P125" s="290">
        <v>1.305652559928973</v>
      </c>
      <c r="Q125" s="287">
        <v>2</v>
      </c>
      <c r="R125" s="288">
        <v>92</v>
      </c>
      <c r="S125" s="291">
        <v>4380.3738906023791</v>
      </c>
      <c r="T125" s="287">
        <v>3</v>
      </c>
      <c r="U125" s="288">
        <v>118</v>
      </c>
      <c r="V125" s="286">
        <v>0.28380265231643226</v>
      </c>
      <c r="W125" s="287">
        <v>1</v>
      </c>
      <c r="X125" s="288">
        <v>32</v>
      </c>
      <c r="Y125" s="286">
        <v>0.24284338370173805</v>
      </c>
      <c r="Z125" s="287">
        <v>1</v>
      </c>
      <c r="AA125" s="288">
        <v>41</v>
      </c>
      <c r="AB125" s="286">
        <v>3.7180599218135081E-2</v>
      </c>
      <c r="AC125" s="287">
        <v>1</v>
      </c>
      <c r="AD125" s="288">
        <v>43</v>
      </c>
      <c r="AE125" s="292" vm="1889">
        <v>31550</v>
      </c>
      <c r="AF125" s="293">
        <v>7.7697108648579795E-3</v>
      </c>
      <c r="AG125" s="293">
        <v>1.3437778626926506E-2</v>
      </c>
      <c r="AH125" s="293">
        <v>2.1207489491784484E-2</v>
      </c>
      <c r="AI125" s="285" t="str">
        <v>Traditional</v>
      </c>
      <c r="AJ125" s="294" t="str">
        <v>East of England</v>
      </c>
      <c r="AM125" s="295" t="s">
        <v>665</v>
      </c>
    </row>
    <row r="126" spans="1:39" x14ac:dyDescent="0.25">
      <c r="A126" s="283"/>
      <c r="B126" s="284" t="str" vm="102">
        <v>Mosscare St. Vincent's Housing Group Limited</v>
      </c>
      <c r="C126" s="285" t="str" vm="369">
        <v>4857</v>
      </c>
      <c r="D126" s="286">
        <v>5.2812356428712071E-2</v>
      </c>
      <c r="E126" s="287">
        <v>3</v>
      </c>
      <c r="F126" s="288">
        <v>142</v>
      </c>
      <c r="G126" s="286">
        <v>2.000919963201472E-2</v>
      </c>
      <c r="H126" s="287">
        <v>2</v>
      </c>
      <c r="I126" s="288">
        <v>59</v>
      </c>
      <c r="J126" s="289">
        <v>7.9051383399209485E-4</v>
      </c>
      <c r="K126" s="287">
        <v>1</v>
      </c>
      <c r="L126" s="288">
        <v>49</v>
      </c>
      <c r="M126" s="286">
        <v>0.44179240169088996</v>
      </c>
      <c r="N126" s="287">
        <v>3</v>
      </c>
      <c r="O126" s="288">
        <v>107</v>
      </c>
      <c r="P126" s="290">
        <v>1.1724803707040803</v>
      </c>
      <c r="Q126" s="287">
        <v>3</v>
      </c>
      <c r="R126" s="288">
        <v>113</v>
      </c>
      <c r="S126" s="291">
        <v>4570.7117852975498</v>
      </c>
      <c r="T126" s="287">
        <v>3</v>
      </c>
      <c r="U126" s="288">
        <v>102</v>
      </c>
      <c r="V126" s="286">
        <v>0.1338320153879034</v>
      </c>
      <c r="W126" s="287">
        <v>4</v>
      </c>
      <c r="X126" s="288">
        <v>157</v>
      </c>
      <c r="Y126" s="286">
        <v>0.15377423757970121</v>
      </c>
      <c r="Z126" s="287">
        <v>3</v>
      </c>
      <c r="AA126" s="288">
        <v>129</v>
      </c>
      <c r="AB126" s="286">
        <v>2.2357307158622101E-2</v>
      </c>
      <c r="AC126" s="287">
        <v>3</v>
      </c>
      <c r="AD126" s="288">
        <v>143</v>
      </c>
      <c r="AE126" s="292" vm="5761">
        <v>8558</v>
      </c>
      <c r="AF126" s="293">
        <v>7.6070291307937257E-2</v>
      </c>
      <c r="AG126" s="293">
        <v>7.2060384479301798E-2</v>
      </c>
      <c r="AH126" s="293">
        <v>0.14813067578723904</v>
      </c>
      <c r="AI126" s="285" t="str">
        <v>Traditional</v>
      </c>
      <c r="AJ126" s="294" t="str">
        <v>North West</v>
      </c>
      <c r="AM126" s="295" t="s">
        <v>665</v>
      </c>
    </row>
    <row r="127" spans="1:39" x14ac:dyDescent="0.25">
      <c r="A127" s="283"/>
      <c r="B127" s="284" t="str" vm="99">
        <v>Manningham Housing Association Limited</v>
      </c>
      <c r="C127" s="285" t="str" vm="232">
        <v>L3736</v>
      </c>
      <c r="D127" s="286">
        <v>1.4867966290809801E-2</v>
      </c>
      <c r="E127" s="287">
        <v>4</v>
      </c>
      <c r="F127" s="288">
        <v>194</v>
      </c>
      <c r="G127" s="286">
        <v>3.5893754486719309E-3</v>
      </c>
      <c r="H127" s="287">
        <v>4</v>
      </c>
      <c r="I127" s="288">
        <v>166</v>
      </c>
      <c r="J127" s="289">
        <v>0</v>
      </c>
      <c r="K127" s="287">
        <v>2</v>
      </c>
      <c r="L127" s="288">
        <v>72</v>
      </c>
      <c r="M127" s="286">
        <v>0.44095902464689712</v>
      </c>
      <c r="N127" s="287">
        <v>3</v>
      </c>
      <c r="O127" s="288">
        <v>108</v>
      </c>
      <c r="P127" s="290">
        <v>1.7828134196586227</v>
      </c>
      <c r="Q127" s="287">
        <v>1</v>
      </c>
      <c r="R127" s="288">
        <v>46</v>
      </c>
      <c r="S127" s="291">
        <v>3779.6123474515434</v>
      </c>
      <c r="T127" s="287">
        <v>4</v>
      </c>
      <c r="U127" s="288">
        <v>183</v>
      </c>
      <c r="V127" s="286">
        <v>0.27885847408270237</v>
      </c>
      <c r="W127" s="287">
        <v>1</v>
      </c>
      <c r="X127" s="288">
        <v>38</v>
      </c>
      <c r="Y127" s="286">
        <v>0.27096700274977087</v>
      </c>
      <c r="Z127" s="287">
        <v>1</v>
      </c>
      <c r="AA127" s="288">
        <v>22</v>
      </c>
      <c r="AB127" s="286">
        <v>2.2511636233440744E-2</v>
      </c>
      <c r="AC127" s="287">
        <v>3</v>
      </c>
      <c r="AD127" s="288">
        <v>142</v>
      </c>
      <c r="AE127" s="292" vm="8394">
        <v>1393</v>
      </c>
      <c r="AF127" s="293">
        <v>0</v>
      </c>
      <c r="AG127" s="293">
        <v>0</v>
      </c>
      <c r="AH127" s="293">
        <v>0</v>
      </c>
      <c r="AI127" s="285" t="str">
        <v>Traditional</v>
      </c>
      <c r="AJ127" s="294" t="str">
        <v>Yorkshire &amp; the Humber</v>
      </c>
      <c r="AM127" s="295" t="s">
        <v>665</v>
      </c>
    </row>
    <row r="128" spans="1:39" x14ac:dyDescent="0.25">
      <c r="A128" s="283"/>
      <c r="B128" s="284" t="str" vm="108">
        <v>North London Muslim Housing Association Limited</v>
      </c>
      <c r="C128" s="285" t="str" vm="219">
        <v>LH3859</v>
      </c>
      <c r="D128" s="286">
        <v>4.1580930493573129E-2</v>
      </c>
      <c r="E128" s="287">
        <v>4</v>
      </c>
      <c r="F128" s="288">
        <v>150</v>
      </c>
      <c r="G128" s="286">
        <v>3.7488284910965321E-2</v>
      </c>
      <c r="H128" s="287">
        <v>1</v>
      </c>
      <c r="I128" s="288">
        <v>10</v>
      </c>
      <c r="J128" s="289">
        <v>0</v>
      </c>
      <c r="K128" s="287">
        <v>2</v>
      </c>
      <c r="L128" s="288">
        <v>72</v>
      </c>
      <c r="M128" s="286">
        <v>0.4398599716736592</v>
      </c>
      <c r="N128" s="287">
        <v>3</v>
      </c>
      <c r="O128" s="288">
        <v>109</v>
      </c>
      <c r="P128" s="290">
        <v>1.6456665506439263</v>
      </c>
      <c r="Q128" s="287">
        <v>2</v>
      </c>
      <c r="R128" s="288">
        <v>55</v>
      </c>
      <c r="S128" s="291">
        <v>5455.4826616682285</v>
      </c>
      <c r="T128" s="287">
        <v>2</v>
      </c>
      <c r="U128" s="288">
        <v>60</v>
      </c>
      <c r="V128" s="286">
        <v>0.28240208877284595</v>
      </c>
      <c r="W128" s="287">
        <v>1</v>
      </c>
      <c r="X128" s="288">
        <v>35</v>
      </c>
      <c r="Y128" s="286">
        <v>0.30506074383245135</v>
      </c>
      <c r="Z128" s="287">
        <v>1</v>
      </c>
      <c r="AA128" s="288">
        <v>13</v>
      </c>
      <c r="AB128" s="286">
        <v>2.7763331599791975E-2</v>
      </c>
      <c r="AC128" s="287">
        <v>3</v>
      </c>
      <c r="AD128" s="288">
        <v>106</v>
      </c>
      <c r="AE128" s="292" vm="989">
        <v>1067</v>
      </c>
      <c r="AF128" s="293">
        <v>0</v>
      </c>
      <c r="AG128" s="293">
        <v>0</v>
      </c>
      <c r="AH128" s="293">
        <v>0</v>
      </c>
      <c r="AI128" s="285" t="str">
        <v>Traditional</v>
      </c>
      <c r="AJ128" s="294" t="str">
        <v>London</v>
      </c>
      <c r="AM128" s="295" t="s">
        <v>665</v>
      </c>
    </row>
    <row r="129" spans="1:39" x14ac:dyDescent="0.25">
      <c r="A129" s="283"/>
      <c r="B129" s="284" t="str" vm="62">
        <v>Golden Lane Housing Limited</v>
      </c>
      <c r="C129" s="285" t="str" vm="309">
        <v>4803</v>
      </c>
      <c r="D129" s="286">
        <v>8.244655354232576E-2</v>
      </c>
      <c r="E129" s="287">
        <v>2</v>
      </c>
      <c r="F129" s="288">
        <v>68</v>
      </c>
      <c r="G129" s="286">
        <v>0.10295769374766005</v>
      </c>
      <c r="H129" s="287">
        <v>1</v>
      </c>
      <c r="I129" s="288">
        <v>2</v>
      </c>
      <c r="J129" s="289">
        <v>0</v>
      </c>
      <c r="K129" s="287">
        <v>2</v>
      </c>
      <c r="L129" s="288">
        <v>72</v>
      </c>
      <c r="M129" s="286">
        <v>0.43765378838717922</v>
      </c>
      <c r="N129" s="287">
        <v>3</v>
      </c>
      <c r="O129" s="288">
        <v>110</v>
      </c>
      <c r="P129" s="290">
        <v>1.5244444444444445</v>
      </c>
      <c r="Q129" s="287">
        <v>2</v>
      </c>
      <c r="R129" s="288">
        <v>59</v>
      </c>
      <c r="S129" s="291">
        <v>9220.516660426807</v>
      </c>
      <c r="T129" s="287">
        <v>1</v>
      </c>
      <c r="U129" s="288">
        <v>17</v>
      </c>
      <c r="V129" s="286">
        <v>0.11368827973994025</v>
      </c>
      <c r="W129" s="287">
        <v>4</v>
      </c>
      <c r="X129" s="288">
        <v>166</v>
      </c>
      <c r="Y129" s="286">
        <v>0.11507866979710552</v>
      </c>
      <c r="Z129" s="287">
        <v>4</v>
      </c>
      <c r="AA129" s="288">
        <v>151</v>
      </c>
      <c r="AB129" s="286">
        <v>2.5196959438665598E-2</v>
      </c>
      <c r="AC129" s="287">
        <v>3</v>
      </c>
      <c r="AD129" s="288">
        <v>126</v>
      </c>
      <c r="AE129" s="292" vm="3636">
        <v>2671</v>
      </c>
      <c r="AF129" s="293">
        <v>0.97603893672781727</v>
      </c>
      <c r="AG129" s="293">
        <v>0</v>
      </c>
      <c r="AH129" s="293">
        <v>0.97603893672781727</v>
      </c>
      <c r="AI129" s="285" t="str">
        <v>Traditional</v>
      </c>
      <c r="AJ129" s="294" t="str">
        <v>Mixed</v>
      </c>
      <c r="AM129" s="295" t="s">
        <v>665</v>
      </c>
    </row>
    <row r="130" spans="1:39" x14ac:dyDescent="0.25">
      <c r="A130" s="283"/>
      <c r="B130" s="284" t="str" vm="51">
        <v>Fairhive Homes Limited</v>
      </c>
      <c r="C130" s="285" t="str" vm="355">
        <v>L4473</v>
      </c>
      <c r="D130" s="286">
        <v>0.11554648982554903</v>
      </c>
      <c r="E130" s="287">
        <v>1</v>
      </c>
      <c r="F130" s="288">
        <v>23</v>
      </c>
      <c r="G130" s="286">
        <v>2.3003269500233535E-2</v>
      </c>
      <c r="H130" s="287">
        <v>1</v>
      </c>
      <c r="I130" s="288">
        <v>43</v>
      </c>
      <c r="J130" s="289">
        <v>0</v>
      </c>
      <c r="K130" s="287">
        <v>2</v>
      </c>
      <c r="L130" s="288">
        <v>72</v>
      </c>
      <c r="M130" s="286">
        <v>0.43744349382941483</v>
      </c>
      <c r="N130" s="287">
        <v>3</v>
      </c>
      <c r="O130" s="288">
        <v>111</v>
      </c>
      <c r="P130" s="290">
        <v>1.1288957291265871</v>
      </c>
      <c r="Q130" s="287">
        <v>3</v>
      </c>
      <c r="R130" s="288">
        <v>120</v>
      </c>
      <c r="S130" s="291">
        <v>5461.0631848915828</v>
      </c>
      <c r="T130" s="287">
        <v>2</v>
      </c>
      <c r="U130" s="288">
        <v>59</v>
      </c>
      <c r="V130" s="286">
        <v>0.12608900400282552</v>
      </c>
      <c r="W130" s="287">
        <v>4</v>
      </c>
      <c r="X130" s="288">
        <v>160</v>
      </c>
      <c r="Y130" s="286">
        <v>0.1752249179901913</v>
      </c>
      <c r="Z130" s="287">
        <v>3</v>
      </c>
      <c r="AA130" s="288">
        <v>104</v>
      </c>
      <c r="AB130" s="286">
        <v>2.782310527438003E-2</v>
      </c>
      <c r="AC130" s="287">
        <v>3</v>
      </c>
      <c r="AD130" s="288">
        <v>105</v>
      </c>
      <c r="AE130" s="292" vm="5270">
        <v>8564</v>
      </c>
      <c r="AF130" s="293">
        <v>1.2945745557255502E-3</v>
      </c>
      <c r="AG130" s="293">
        <v>7.4379192656231607E-2</v>
      </c>
      <c r="AH130" s="293">
        <v>7.5673767211957163E-2</v>
      </c>
      <c r="AI130" s="285" t="str">
        <v>Traditional</v>
      </c>
      <c r="AJ130" s="294" t="str">
        <v>South East</v>
      </c>
      <c r="AM130" s="295" t="s">
        <v>665</v>
      </c>
    </row>
    <row r="131" spans="1:39" x14ac:dyDescent="0.25">
      <c r="A131" s="283"/>
      <c r="B131" s="284" t="str" vm="128">
        <v>Platform Housing Group Limited</v>
      </c>
      <c r="C131" s="285" t="str" vm="266">
        <v>4789</v>
      </c>
      <c r="D131" s="286">
        <v>9.363038520878883E-2</v>
      </c>
      <c r="E131" s="287">
        <v>2</v>
      </c>
      <c r="F131" s="288">
        <v>50</v>
      </c>
      <c r="G131" s="286">
        <v>2.244142514617423E-2</v>
      </c>
      <c r="H131" s="287">
        <v>1</v>
      </c>
      <c r="I131" s="288">
        <v>47</v>
      </c>
      <c r="J131" s="289">
        <v>0</v>
      </c>
      <c r="K131" s="287">
        <v>2</v>
      </c>
      <c r="L131" s="288">
        <v>72</v>
      </c>
      <c r="M131" s="286">
        <v>0.43413361137112838</v>
      </c>
      <c r="N131" s="287">
        <v>3</v>
      </c>
      <c r="O131" s="288">
        <v>112</v>
      </c>
      <c r="P131" s="290">
        <v>1.8686332199763096</v>
      </c>
      <c r="Q131" s="287">
        <v>1</v>
      </c>
      <c r="R131" s="288">
        <v>36</v>
      </c>
      <c r="S131" s="291">
        <v>3435.5422465422894</v>
      </c>
      <c r="T131" s="287">
        <v>4</v>
      </c>
      <c r="U131" s="288">
        <v>191</v>
      </c>
      <c r="V131" s="286">
        <v>0.32062486652886402</v>
      </c>
      <c r="W131" s="287">
        <v>1</v>
      </c>
      <c r="X131" s="288">
        <v>20</v>
      </c>
      <c r="Y131" s="286">
        <v>0.27170177374352888</v>
      </c>
      <c r="Z131" s="287">
        <v>1</v>
      </c>
      <c r="AA131" s="288">
        <v>21</v>
      </c>
      <c r="AB131" s="286">
        <v>3.0423085877549189E-2</v>
      </c>
      <c r="AC131" s="287">
        <v>2</v>
      </c>
      <c r="AD131" s="288">
        <v>81</v>
      </c>
      <c r="AE131" s="292" vm="7895">
        <v>46401</v>
      </c>
      <c r="AF131" s="293">
        <v>7.2223306656256101E-3</v>
      </c>
      <c r="AG131" s="293">
        <v>6.4545513696401852E-2</v>
      </c>
      <c r="AH131" s="293">
        <v>7.1767844362027461E-2</v>
      </c>
      <c r="AI131" s="285" t="str">
        <v>Traditional</v>
      </c>
      <c r="AJ131" s="294" t="str">
        <v>West Midlands</v>
      </c>
      <c r="AM131" s="295" t="s">
        <v>665</v>
      </c>
    </row>
    <row r="132" spans="1:39" x14ac:dyDescent="0.25">
      <c r="A132" s="283"/>
      <c r="B132" s="284" t="str" vm="133">
        <v>Progress Housing Group Limited</v>
      </c>
      <c r="C132" s="285" t="str" vm="269">
        <v>LH4189</v>
      </c>
      <c r="D132" s="286">
        <v>6.6482276138374249E-2</v>
      </c>
      <c r="E132" s="287">
        <v>3</v>
      </c>
      <c r="F132" s="288">
        <v>102</v>
      </c>
      <c r="G132" s="286">
        <v>1.2858290918832038E-2</v>
      </c>
      <c r="H132" s="287">
        <v>2</v>
      </c>
      <c r="I132" s="288">
        <v>98</v>
      </c>
      <c r="J132" s="289">
        <v>3.2105441027374111E-3</v>
      </c>
      <c r="K132" s="287">
        <v>1</v>
      </c>
      <c r="L132" s="288">
        <v>28</v>
      </c>
      <c r="M132" s="286">
        <v>0.43361940981472819</v>
      </c>
      <c r="N132" s="287">
        <v>3</v>
      </c>
      <c r="O132" s="288">
        <v>113</v>
      </c>
      <c r="P132" s="290">
        <v>2.1907192575406031</v>
      </c>
      <c r="Q132" s="287">
        <v>1</v>
      </c>
      <c r="R132" s="288">
        <v>22</v>
      </c>
      <c r="S132" s="291">
        <v>6834.0750158931969</v>
      </c>
      <c r="T132" s="287">
        <v>1</v>
      </c>
      <c r="U132" s="288">
        <v>36</v>
      </c>
      <c r="V132" s="286">
        <v>0.15098172725953543</v>
      </c>
      <c r="W132" s="287">
        <v>3</v>
      </c>
      <c r="X132" s="288">
        <v>144</v>
      </c>
      <c r="Y132" s="286">
        <v>0.1385615953904808</v>
      </c>
      <c r="Z132" s="287">
        <v>3</v>
      </c>
      <c r="AA132" s="288">
        <v>140</v>
      </c>
      <c r="AB132" s="286">
        <v>2.7395813702618222E-2</v>
      </c>
      <c r="AC132" s="287">
        <v>3</v>
      </c>
      <c r="AD132" s="288">
        <v>111</v>
      </c>
      <c r="AE132" s="292" vm="2309">
        <v>11000</v>
      </c>
      <c r="AF132" s="293">
        <v>0.39135194307608101</v>
      </c>
      <c r="AG132" s="293">
        <v>0.11065498996533479</v>
      </c>
      <c r="AH132" s="293">
        <v>0.50200693304141586</v>
      </c>
      <c r="AI132" s="285" t="str">
        <v>Traditional</v>
      </c>
      <c r="AJ132" s="294" t="str">
        <v>North West</v>
      </c>
      <c r="AM132" s="295" t="s">
        <v>665</v>
      </c>
    </row>
    <row r="133" spans="1:39" x14ac:dyDescent="0.25">
      <c r="A133" s="283"/>
      <c r="B133" s="284" t="str" vm="75">
        <v>Housing 21</v>
      </c>
      <c r="C133" s="285" t="str" vm="268">
        <v>L0055</v>
      </c>
      <c r="D133" s="286">
        <v>5.3293284972170944E-2</v>
      </c>
      <c r="E133" s="287">
        <v>3</v>
      </c>
      <c r="F133" s="288">
        <v>139</v>
      </c>
      <c r="G133" s="286">
        <v>1.4027764294728667E-2</v>
      </c>
      <c r="H133" s="287">
        <v>2</v>
      </c>
      <c r="I133" s="288">
        <v>90</v>
      </c>
      <c r="J133" s="289">
        <v>1.1257563675594539E-3</v>
      </c>
      <c r="K133" s="287">
        <v>1</v>
      </c>
      <c r="L133" s="288">
        <v>43</v>
      </c>
      <c r="M133" s="286">
        <v>0.4329232955793611</v>
      </c>
      <c r="N133" s="287">
        <v>3</v>
      </c>
      <c r="O133" s="288">
        <v>114</v>
      </c>
      <c r="P133" s="290">
        <v>1.3086024341535099</v>
      </c>
      <c r="Q133" s="287">
        <v>2</v>
      </c>
      <c r="R133" s="288">
        <v>90</v>
      </c>
      <c r="S133" s="291">
        <v>7635.6219937753467</v>
      </c>
      <c r="T133" s="287">
        <v>1</v>
      </c>
      <c r="U133" s="288">
        <v>25</v>
      </c>
      <c r="V133" s="286">
        <v>0.14801834133013833</v>
      </c>
      <c r="W133" s="287">
        <v>3</v>
      </c>
      <c r="X133" s="288">
        <v>145</v>
      </c>
      <c r="Y133" s="286">
        <v>0.10400731493996979</v>
      </c>
      <c r="Z133" s="287">
        <v>4</v>
      </c>
      <c r="AA133" s="288">
        <v>160</v>
      </c>
      <c r="AB133" s="286">
        <v>1.6473489457652105E-2</v>
      </c>
      <c r="AC133" s="287">
        <v>4</v>
      </c>
      <c r="AD133" s="288">
        <v>175</v>
      </c>
      <c r="AE133" s="292" vm="2279">
        <v>19733</v>
      </c>
      <c r="AF133" s="293">
        <v>8.5643101837433819E-3</v>
      </c>
      <c r="AG133" s="293">
        <v>0.91363022941970307</v>
      </c>
      <c r="AH133" s="293">
        <v>0.92219453960344644</v>
      </c>
      <c r="AI133" s="285" t="str">
        <v>Traditional</v>
      </c>
      <c r="AJ133" s="294" t="str">
        <v>Mixed</v>
      </c>
      <c r="AM133" s="295" t="s">
        <v>665</v>
      </c>
    </row>
    <row r="134" spans="1:39" x14ac:dyDescent="0.25">
      <c r="A134" s="283"/>
      <c r="B134" s="284" t="str" vm="121">
        <v>Orwell Housing Association Limited</v>
      </c>
      <c r="C134" s="285" t="str" vm="308">
        <v>L0028</v>
      </c>
      <c r="D134" s="286">
        <v>3.7495938921377515E-2</v>
      </c>
      <c r="E134" s="287">
        <v>4</v>
      </c>
      <c r="F134" s="288">
        <v>155</v>
      </c>
      <c r="G134" s="286">
        <v>9.3579412529243566E-3</v>
      </c>
      <c r="H134" s="287">
        <v>3</v>
      </c>
      <c r="I134" s="288">
        <v>128</v>
      </c>
      <c r="J134" s="289">
        <v>3.6165469407976221E-2</v>
      </c>
      <c r="K134" s="287">
        <v>1</v>
      </c>
      <c r="L134" s="288">
        <v>1</v>
      </c>
      <c r="M134" s="286">
        <v>0.43252923976608187</v>
      </c>
      <c r="N134" s="287">
        <v>3</v>
      </c>
      <c r="O134" s="288">
        <v>115</v>
      </c>
      <c r="P134" s="290">
        <v>1.6671368124118477</v>
      </c>
      <c r="Q134" s="287">
        <v>2</v>
      </c>
      <c r="R134" s="288">
        <v>53</v>
      </c>
      <c r="S134" s="291">
        <v>10012.856775520699</v>
      </c>
      <c r="T134" s="287">
        <v>1</v>
      </c>
      <c r="U134" s="288">
        <v>15</v>
      </c>
      <c r="V134" s="286">
        <v>0.19595750427658234</v>
      </c>
      <c r="W134" s="287">
        <v>3</v>
      </c>
      <c r="X134" s="288">
        <v>103</v>
      </c>
      <c r="Y134" s="286">
        <v>0.10587306781651235</v>
      </c>
      <c r="Z134" s="287">
        <v>4</v>
      </c>
      <c r="AA134" s="288">
        <v>157</v>
      </c>
      <c r="AB134" s="286">
        <v>2.2521187245848059E-2</v>
      </c>
      <c r="AC134" s="287">
        <v>3</v>
      </c>
      <c r="AD134" s="288">
        <v>141</v>
      </c>
      <c r="AE134" s="292" vm="3607">
        <v>3847</v>
      </c>
      <c r="AF134" s="293">
        <v>0.10132501948558068</v>
      </c>
      <c r="AG134" s="293">
        <v>0.11119771369186801</v>
      </c>
      <c r="AH134" s="293">
        <v>0.21252273317744869</v>
      </c>
      <c r="AI134" s="285" t="str">
        <v>Traditional</v>
      </c>
      <c r="AJ134" s="294" t="str">
        <v>East of England</v>
      </c>
      <c r="AM134" s="295" t="s">
        <v>665</v>
      </c>
    </row>
    <row r="135" spans="1:39" x14ac:dyDescent="0.25">
      <c r="A135" s="283"/>
      <c r="B135" s="284" t="str" vm="82">
        <v>Irwell Valley Housing Association Limited</v>
      </c>
      <c r="C135" s="285" t="str" vm="389">
        <v>L0061</v>
      </c>
      <c r="D135" s="286">
        <v>5.7461176890581306E-2</v>
      </c>
      <c r="E135" s="287">
        <v>3</v>
      </c>
      <c r="F135" s="288">
        <v>128</v>
      </c>
      <c r="G135" s="286">
        <v>9.3811074918566783E-3</v>
      </c>
      <c r="H135" s="287">
        <v>3</v>
      </c>
      <c r="I135" s="288">
        <v>127</v>
      </c>
      <c r="J135" s="289">
        <v>0</v>
      </c>
      <c r="K135" s="287">
        <v>2</v>
      </c>
      <c r="L135" s="288">
        <v>72</v>
      </c>
      <c r="M135" s="286">
        <v>0.42561730231451184</v>
      </c>
      <c r="N135" s="287">
        <v>3</v>
      </c>
      <c r="O135" s="288">
        <v>116</v>
      </c>
      <c r="P135" s="290">
        <v>1.0591226031377106</v>
      </c>
      <c r="Q135" s="287">
        <v>3</v>
      </c>
      <c r="R135" s="288">
        <v>132</v>
      </c>
      <c r="S135" s="291">
        <v>3868.1126229287347</v>
      </c>
      <c r="T135" s="287">
        <v>4</v>
      </c>
      <c r="U135" s="288">
        <v>174</v>
      </c>
      <c r="V135" s="286">
        <v>0.2958954137666393</v>
      </c>
      <c r="W135" s="287">
        <v>1</v>
      </c>
      <c r="X135" s="288">
        <v>29</v>
      </c>
      <c r="Y135" s="286">
        <v>0.22816725087631448</v>
      </c>
      <c r="Z135" s="287">
        <v>2</v>
      </c>
      <c r="AA135" s="288">
        <v>54</v>
      </c>
      <c r="AB135" s="286">
        <v>2.9796767302642503E-2</v>
      </c>
      <c r="AC135" s="287">
        <v>2</v>
      </c>
      <c r="AD135" s="288">
        <v>89</v>
      </c>
      <c r="AE135" s="292" vm="6548">
        <v>7423</v>
      </c>
      <c r="AF135" s="293">
        <v>3.5524703960800326E-2</v>
      </c>
      <c r="AG135" s="293">
        <v>6.2202259425615899E-2</v>
      </c>
      <c r="AH135" s="293">
        <v>9.7726963386416232E-2</v>
      </c>
      <c r="AI135" s="285" t="str">
        <v>Traditional</v>
      </c>
      <c r="AJ135" s="294" t="str">
        <v>North West</v>
      </c>
      <c r="AM135" s="295" t="s">
        <v>665</v>
      </c>
    </row>
    <row r="136" spans="1:39" x14ac:dyDescent="0.25">
      <c r="A136" s="283"/>
      <c r="B136" s="284" t="str" vm="35">
        <v>Community Gateway Association Limited</v>
      </c>
      <c r="C136" s="285" t="str" vm="396">
        <v>L4457</v>
      </c>
      <c r="D136" s="286">
        <v>0.12777179627899574</v>
      </c>
      <c r="E136" s="287">
        <v>1</v>
      </c>
      <c r="F136" s="288">
        <v>14</v>
      </c>
      <c r="G136" s="286">
        <v>1.5870661524770097E-2</v>
      </c>
      <c r="H136" s="287">
        <v>2</v>
      </c>
      <c r="I136" s="288">
        <v>78</v>
      </c>
      <c r="J136" s="289">
        <v>0</v>
      </c>
      <c r="K136" s="287">
        <v>2</v>
      </c>
      <c r="L136" s="288">
        <v>72</v>
      </c>
      <c r="M136" s="286">
        <v>0.42542281283122257</v>
      </c>
      <c r="N136" s="287">
        <v>3</v>
      </c>
      <c r="O136" s="288">
        <v>117</v>
      </c>
      <c r="P136" s="290">
        <v>2.4050925925925926</v>
      </c>
      <c r="Q136" s="287">
        <v>1</v>
      </c>
      <c r="R136" s="288">
        <v>16</v>
      </c>
      <c r="S136" s="291">
        <v>3056.3630970038562</v>
      </c>
      <c r="T136" s="287">
        <v>4</v>
      </c>
      <c r="U136" s="288">
        <v>197</v>
      </c>
      <c r="V136" s="286">
        <v>0.31388578486149504</v>
      </c>
      <c r="W136" s="287">
        <v>1</v>
      </c>
      <c r="X136" s="288">
        <v>22</v>
      </c>
      <c r="Y136" s="286">
        <v>0.26856046474444384</v>
      </c>
      <c r="Z136" s="287">
        <v>1</v>
      </c>
      <c r="AA136" s="288">
        <v>24</v>
      </c>
      <c r="AB136" s="286">
        <v>4.0985526254157106E-2</v>
      </c>
      <c r="AC136" s="287">
        <v>1</v>
      </c>
      <c r="AD136" s="288">
        <v>24</v>
      </c>
      <c r="AE136" s="292" vm="6820">
        <v>6742</v>
      </c>
      <c r="AF136" s="293">
        <v>1.4151646059883808E-2</v>
      </c>
      <c r="AG136" s="293">
        <v>6.3905854312527932E-2</v>
      </c>
      <c r="AH136" s="293">
        <v>7.8057500372411742E-2</v>
      </c>
      <c r="AI136" s="285" t="str">
        <v>Traditional</v>
      </c>
      <c r="AJ136" s="294" t="str">
        <v>North West</v>
      </c>
      <c r="AM136" s="295" t="s">
        <v>665</v>
      </c>
    </row>
    <row r="137" spans="1:39" x14ac:dyDescent="0.25">
      <c r="A137" s="283"/>
      <c r="B137" s="284" t="str" vm="44">
        <v>East End Homes Limited</v>
      </c>
      <c r="C137" s="285" t="str" vm="217">
        <v>L4434</v>
      </c>
      <c r="D137" s="286">
        <v>9.9308085033894308E-2</v>
      </c>
      <c r="E137" s="287">
        <v>1</v>
      </c>
      <c r="F137" s="288">
        <v>43</v>
      </c>
      <c r="G137" s="286">
        <v>4.9325463743676225E-2</v>
      </c>
      <c r="H137" s="287">
        <v>1</v>
      </c>
      <c r="I137" s="288">
        <v>4</v>
      </c>
      <c r="J137" s="289">
        <v>0</v>
      </c>
      <c r="K137" s="287">
        <v>2</v>
      </c>
      <c r="L137" s="288">
        <v>72</v>
      </c>
      <c r="M137" s="286">
        <v>0.42171240186180742</v>
      </c>
      <c r="N137" s="287">
        <v>3</v>
      </c>
      <c r="O137" s="288">
        <v>118</v>
      </c>
      <c r="P137" s="290">
        <v>1.0014371945961482</v>
      </c>
      <c r="Q137" s="287">
        <v>3</v>
      </c>
      <c r="R137" s="288">
        <v>138</v>
      </c>
      <c r="S137" s="291">
        <v>5840.6408094435074</v>
      </c>
      <c r="T137" s="287">
        <v>2</v>
      </c>
      <c r="U137" s="288">
        <v>50</v>
      </c>
      <c r="V137" s="286">
        <v>0.1869249119618312</v>
      </c>
      <c r="W137" s="287">
        <v>3</v>
      </c>
      <c r="X137" s="288">
        <v>112</v>
      </c>
      <c r="Y137" s="286">
        <v>0.14281577096520623</v>
      </c>
      <c r="Z137" s="287">
        <v>3</v>
      </c>
      <c r="AA137" s="288">
        <v>137</v>
      </c>
      <c r="AB137" s="286">
        <v>1.8690418701150041E-2</v>
      </c>
      <c r="AC137" s="287">
        <v>4</v>
      </c>
      <c r="AD137" s="288">
        <v>166</v>
      </c>
      <c r="AE137" s="292" vm="947">
        <v>2372</v>
      </c>
      <c r="AF137" s="293">
        <v>0</v>
      </c>
      <c r="AG137" s="293">
        <v>0</v>
      </c>
      <c r="AH137" s="293">
        <v>0</v>
      </c>
      <c r="AI137" s="285" t="str">
        <v>Traditional</v>
      </c>
      <c r="AJ137" s="294" t="str">
        <v>London</v>
      </c>
      <c r="AM137" s="295" t="s">
        <v>665</v>
      </c>
    </row>
    <row r="138" spans="1:39" x14ac:dyDescent="0.25">
      <c r="A138" s="283"/>
      <c r="B138" s="284" t="str" vm="73">
        <v>Home Group Limited</v>
      </c>
      <c r="C138" s="285" t="str" vm="243">
        <v>L3076</v>
      </c>
      <c r="D138" s="286">
        <v>5.9697279518802812E-2</v>
      </c>
      <c r="E138" s="287">
        <v>3</v>
      </c>
      <c r="F138" s="288">
        <v>120</v>
      </c>
      <c r="G138" s="286">
        <v>1.3626398548533415E-2</v>
      </c>
      <c r="H138" s="287">
        <v>2</v>
      </c>
      <c r="I138" s="288">
        <v>93</v>
      </c>
      <c r="J138" s="289">
        <v>4.4371287483002935E-3</v>
      </c>
      <c r="K138" s="287">
        <v>1</v>
      </c>
      <c r="L138" s="288">
        <v>23</v>
      </c>
      <c r="M138" s="286">
        <v>0.42162014734610936</v>
      </c>
      <c r="N138" s="287">
        <v>3</v>
      </c>
      <c r="O138" s="288">
        <v>119</v>
      </c>
      <c r="P138" s="290">
        <v>0.974587500680692</v>
      </c>
      <c r="Q138" s="287">
        <v>3</v>
      </c>
      <c r="R138" s="288">
        <v>140</v>
      </c>
      <c r="S138" s="291">
        <v>6153.0456852791876</v>
      </c>
      <c r="T138" s="287">
        <v>1</v>
      </c>
      <c r="U138" s="288">
        <v>46</v>
      </c>
      <c r="V138" s="286">
        <v>0.17749846523763238</v>
      </c>
      <c r="W138" s="287">
        <v>3</v>
      </c>
      <c r="X138" s="288">
        <v>125</v>
      </c>
      <c r="Y138" s="286">
        <v>0.10686053353191878</v>
      </c>
      <c r="Z138" s="287">
        <v>4</v>
      </c>
      <c r="AA138" s="288">
        <v>156</v>
      </c>
      <c r="AB138" s="286">
        <v>2.459705238925658E-2</v>
      </c>
      <c r="AC138" s="287">
        <v>3</v>
      </c>
      <c r="AD138" s="288">
        <v>129</v>
      </c>
      <c r="AE138" s="292" vm="1549">
        <v>50973</v>
      </c>
      <c r="AF138" s="293">
        <v>8.3588584465240076E-2</v>
      </c>
      <c r="AG138" s="293">
        <v>3.2615813599780309E-2</v>
      </c>
      <c r="AH138" s="293">
        <v>0.11620439806502039</v>
      </c>
      <c r="AI138" s="285" t="str">
        <v>Traditional</v>
      </c>
      <c r="AJ138" s="294" t="str">
        <v>Mixed</v>
      </c>
      <c r="AM138" s="295" t="s">
        <v>665</v>
      </c>
    </row>
    <row r="139" spans="1:39" x14ac:dyDescent="0.25">
      <c r="A139" s="283"/>
      <c r="B139" s="284" t="str" vm="7">
        <v>Arawak Walton Housing Association Limited</v>
      </c>
      <c r="C139" s="285" t="str" vm="226">
        <v>L3713</v>
      </c>
      <c r="D139" s="286">
        <v>3.0735544562484795E-2</v>
      </c>
      <c r="E139" s="287">
        <v>4</v>
      </c>
      <c r="F139" s="288">
        <v>172</v>
      </c>
      <c r="G139" s="286">
        <v>8.9686098654708521E-4</v>
      </c>
      <c r="H139" s="287">
        <v>4</v>
      </c>
      <c r="I139" s="288">
        <v>181</v>
      </c>
      <c r="J139" s="289">
        <v>0</v>
      </c>
      <c r="K139" s="287">
        <v>2</v>
      </c>
      <c r="L139" s="288">
        <v>72</v>
      </c>
      <c r="M139" s="286">
        <v>0.42040386018976561</v>
      </c>
      <c r="N139" s="287">
        <v>3</v>
      </c>
      <c r="O139" s="288">
        <v>120</v>
      </c>
      <c r="P139" s="290">
        <v>1.8357030015797788</v>
      </c>
      <c r="Q139" s="287">
        <v>1</v>
      </c>
      <c r="R139" s="288">
        <v>42</v>
      </c>
      <c r="S139" s="291">
        <v>4178.6355475763012</v>
      </c>
      <c r="T139" s="287">
        <v>3</v>
      </c>
      <c r="U139" s="288">
        <v>140</v>
      </c>
      <c r="V139" s="286">
        <v>0.21210025929127052</v>
      </c>
      <c r="W139" s="287">
        <v>2</v>
      </c>
      <c r="X139" s="288">
        <v>87</v>
      </c>
      <c r="Y139" s="286">
        <v>0.2113323124042879</v>
      </c>
      <c r="Z139" s="287">
        <v>2</v>
      </c>
      <c r="AA139" s="288">
        <v>72</v>
      </c>
      <c r="AB139" s="286">
        <v>3.3033672003829992E-2</v>
      </c>
      <c r="AC139" s="287">
        <v>2</v>
      </c>
      <c r="AD139" s="288">
        <v>67</v>
      </c>
      <c r="AE139" s="292" vm="8741">
        <v>1105</v>
      </c>
      <c r="AF139" s="293">
        <v>0</v>
      </c>
      <c r="AG139" s="293">
        <v>0.1330316742081448</v>
      </c>
      <c r="AH139" s="293">
        <v>0.1330316742081448</v>
      </c>
      <c r="AI139" s="285" t="str">
        <v>Traditional</v>
      </c>
      <c r="AJ139" s="294" t="str">
        <v>North West</v>
      </c>
      <c r="AM139" s="295" t="s">
        <v>665</v>
      </c>
    </row>
    <row r="140" spans="1:39" x14ac:dyDescent="0.25">
      <c r="A140" s="283"/>
      <c r="B140" s="284" t="str" vm="3">
        <v>Accent Group Limited</v>
      </c>
      <c r="C140" s="285" t="str" vm="298">
        <v>L4511</v>
      </c>
      <c r="D140" s="286">
        <v>9.9638455120505093E-2</v>
      </c>
      <c r="E140" s="287">
        <v>1</v>
      </c>
      <c r="F140" s="288">
        <v>42</v>
      </c>
      <c r="G140" s="286">
        <v>1.1406644238856182E-2</v>
      </c>
      <c r="H140" s="287">
        <v>3</v>
      </c>
      <c r="I140" s="288">
        <v>115</v>
      </c>
      <c r="J140" s="289">
        <v>9.4478269997900479E-4</v>
      </c>
      <c r="K140" s="287">
        <v>1</v>
      </c>
      <c r="L140" s="288">
        <v>46</v>
      </c>
      <c r="M140" s="286">
        <v>0.41938495949632243</v>
      </c>
      <c r="N140" s="287">
        <v>3</v>
      </c>
      <c r="O140" s="288">
        <v>121</v>
      </c>
      <c r="P140" s="290">
        <v>2.0388143525741032</v>
      </c>
      <c r="Q140" s="287">
        <v>1</v>
      </c>
      <c r="R140" s="288">
        <v>29</v>
      </c>
      <c r="S140" s="291">
        <v>3904.308985811876</v>
      </c>
      <c r="T140" s="287">
        <v>4</v>
      </c>
      <c r="U140" s="288">
        <v>173</v>
      </c>
      <c r="V140" s="286">
        <v>0.25190067354667128</v>
      </c>
      <c r="W140" s="287">
        <v>2</v>
      </c>
      <c r="X140" s="288">
        <v>54</v>
      </c>
      <c r="Y140" s="286">
        <v>0.24556764489141272</v>
      </c>
      <c r="Z140" s="287">
        <v>1</v>
      </c>
      <c r="AA140" s="288">
        <v>38</v>
      </c>
      <c r="AB140" s="286">
        <v>3.3267275510291336E-2</v>
      </c>
      <c r="AC140" s="287">
        <v>2</v>
      </c>
      <c r="AD140" s="288">
        <v>64</v>
      </c>
      <c r="AE140" s="292" vm="3275">
        <v>19024</v>
      </c>
      <c r="AF140" s="293">
        <v>7.8988941548183253E-4</v>
      </c>
      <c r="AG140" s="293">
        <v>9.7998946814112697E-2</v>
      </c>
      <c r="AH140" s="293">
        <v>9.8788836229594529E-2</v>
      </c>
      <c r="AI140" s="285" t="str">
        <v>Traditional</v>
      </c>
      <c r="AJ140" s="294" t="str">
        <v>Mixed</v>
      </c>
      <c r="AM140" s="295" t="s">
        <v>665</v>
      </c>
    </row>
    <row r="141" spans="1:39" x14ac:dyDescent="0.25">
      <c r="A141" s="283"/>
      <c r="B141" s="284" t="str" vm="149">
        <v>Silva Homes Limited</v>
      </c>
      <c r="C141" s="285" t="str" vm="365">
        <v>L4513</v>
      </c>
      <c r="D141" s="286">
        <v>9.9962356936335164E-2</v>
      </c>
      <c r="E141" s="287">
        <v>1</v>
      </c>
      <c r="F141" s="288">
        <v>41</v>
      </c>
      <c r="G141" s="286">
        <v>2.6160701451775192E-2</v>
      </c>
      <c r="H141" s="287">
        <v>1</v>
      </c>
      <c r="I141" s="288">
        <v>29</v>
      </c>
      <c r="J141" s="289">
        <v>1.244090569793481E-4</v>
      </c>
      <c r="K141" s="287">
        <v>2</v>
      </c>
      <c r="L141" s="288">
        <v>71</v>
      </c>
      <c r="M141" s="286">
        <v>0.41864292750907039</v>
      </c>
      <c r="N141" s="287">
        <v>3</v>
      </c>
      <c r="O141" s="288">
        <v>122</v>
      </c>
      <c r="P141" s="290">
        <v>2.6099618943930323</v>
      </c>
      <c r="Q141" s="287">
        <v>1</v>
      </c>
      <c r="R141" s="288">
        <v>12</v>
      </c>
      <c r="S141" s="291">
        <v>4636.3375017967519</v>
      </c>
      <c r="T141" s="287">
        <v>2</v>
      </c>
      <c r="U141" s="288">
        <v>94</v>
      </c>
      <c r="V141" s="286">
        <v>0.30818974870882337</v>
      </c>
      <c r="W141" s="287">
        <v>1</v>
      </c>
      <c r="X141" s="288">
        <v>25</v>
      </c>
      <c r="Y141" s="286">
        <v>0.30231630057034536</v>
      </c>
      <c r="Z141" s="287">
        <v>1</v>
      </c>
      <c r="AA141" s="288">
        <v>15</v>
      </c>
      <c r="AB141" s="286">
        <v>3.5466157938978886E-2</v>
      </c>
      <c r="AC141" s="287">
        <v>2</v>
      </c>
      <c r="AD141" s="288">
        <v>56</v>
      </c>
      <c r="AE141" s="292" vm="5602">
        <v>6957</v>
      </c>
      <c r="AF141" s="293">
        <v>6.7171644990710305E-3</v>
      </c>
      <c r="AG141" s="293">
        <v>5.002143775903959E-2</v>
      </c>
      <c r="AH141" s="293">
        <v>5.6738602258110622E-2</v>
      </c>
      <c r="AI141" s="285" t="str">
        <v>Traditional</v>
      </c>
      <c r="AJ141" s="294" t="str">
        <v>South East</v>
      </c>
      <c r="AM141" s="295" t="s">
        <v>665</v>
      </c>
    </row>
    <row r="142" spans="1:39" x14ac:dyDescent="0.25">
      <c r="A142" s="283"/>
      <c r="B142" s="284" t="str" vm="65">
        <v>Great Places Housing Group Limited</v>
      </c>
      <c r="C142" s="285" t="str" vm="345">
        <v>L4465</v>
      </c>
      <c r="D142" s="286">
        <v>8.0753039605739013E-2</v>
      </c>
      <c r="E142" s="287">
        <v>2</v>
      </c>
      <c r="F142" s="288">
        <v>72</v>
      </c>
      <c r="G142" s="286">
        <v>2.8868822561273964E-2</v>
      </c>
      <c r="H142" s="287">
        <v>1</v>
      </c>
      <c r="I142" s="288">
        <v>21</v>
      </c>
      <c r="J142" s="289">
        <v>1.6179814588070667E-3</v>
      </c>
      <c r="K142" s="287">
        <v>1</v>
      </c>
      <c r="L142" s="288">
        <v>37</v>
      </c>
      <c r="M142" s="286">
        <v>0.41681207291990147</v>
      </c>
      <c r="N142" s="287">
        <v>3</v>
      </c>
      <c r="O142" s="288">
        <v>123</v>
      </c>
      <c r="P142" s="290">
        <v>1.4689018783659529</v>
      </c>
      <c r="Q142" s="287">
        <v>2</v>
      </c>
      <c r="R142" s="288">
        <v>69</v>
      </c>
      <c r="S142" s="291">
        <v>3941.7922570165147</v>
      </c>
      <c r="T142" s="287">
        <v>4</v>
      </c>
      <c r="U142" s="288">
        <v>171</v>
      </c>
      <c r="V142" s="286">
        <v>0.26382021360759494</v>
      </c>
      <c r="W142" s="287">
        <v>1</v>
      </c>
      <c r="X142" s="288">
        <v>46</v>
      </c>
      <c r="Y142" s="286">
        <v>0.23556376859110012</v>
      </c>
      <c r="Z142" s="287">
        <v>1</v>
      </c>
      <c r="AA142" s="288">
        <v>44</v>
      </c>
      <c r="AB142" s="286">
        <v>2.9776985332195218E-2</v>
      </c>
      <c r="AC142" s="287">
        <v>2</v>
      </c>
      <c r="AD142" s="288">
        <v>90</v>
      </c>
      <c r="AE142" s="292" vm="4907">
        <v>21331</v>
      </c>
      <c r="AF142" s="293">
        <v>6.2836453718260202E-2</v>
      </c>
      <c r="AG142" s="293">
        <v>2.2771664046496116E-2</v>
      </c>
      <c r="AH142" s="293">
        <v>8.5608117764756325E-2</v>
      </c>
      <c r="AI142" s="285" t="str">
        <v>Traditional</v>
      </c>
      <c r="AJ142" s="294" t="str">
        <v>North West</v>
      </c>
      <c r="AM142" s="295" t="s">
        <v>665</v>
      </c>
    </row>
    <row r="143" spans="1:39" x14ac:dyDescent="0.25">
      <c r="A143" s="283"/>
      <c r="B143" s="284" t="str" vm="124">
        <v>Peabody Trust</v>
      </c>
      <c r="C143" s="285" t="str" vm="242">
        <v>4878</v>
      </c>
      <c r="D143" s="286">
        <v>5.5630991456985697E-2</v>
      </c>
      <c r="E143" s="287">
        <v>3</v>
      </c>
      <c r="F143" s="288">
        <v>132</v>
      </c>
      <c r="G143" s="286">
        <v>2.4222801810714394E-2</v>
      </c>
      <c r="H143" s="287">
        <v>1</v>
      </c>
      <c r="I143" s="288">
        <v>41</v>
      </c>
      <c r="J143" s="289">
        <v>7.3905898222648642E-3</v>
      </c>
      <c r="K143" s="287">
        <v>1</v>
      </c>
      <c r="L143" s="288">
        <v>12</v>
      </c>
      <c r="M143" s="286">
        <v>0.41413082453531108</v>
      </c>
      <c r="N143" s="287">
        <v>3</v>
      </c>
      <c r="O143" s="288">
        <v>124</v>
      </c>
      <c r="P143" s="290">
        <v>0.69228373815845545</v>
      </c>
      <c r="Q143" s="287">
        <v>4</v>
      </c>
      <c r="R143" s="288">
        <v>161</v>
      </c>
      <c r="S143" s="291">
        <v>6707.2418776427767</v>
      </c>
      <c r="T143" s="287">
        <v>1</v>
      </c>
      <c r="U143" s="288">
        <v>38</v>
      </c>
      <c r="V143" s="286">
        <v>0.24144698247544072</v>
      </c>
      <c r="W143" s="287">
        <v>2</v>
      </c>
      <c r="X143" s="288">
        <v>64</v>
      </c>
      <c r="Y143" s="286">
        <v>0.16655464891657693</v>
      </c>
      <c r="Z143" s="287">
        <v>3</v>
      </c>
      <c r="AA143" s="288">
        <v>115</v>
      </c>
      <c r="AB143" s="286">
        <v>2.1832480898300862E-2</v>
      </c>
      <c r="AC143" s="287">
        <v>4</v>
      </c>
      <c r="AD143" s="288">
        <v>151</v>
      </c>
      <c r="AE143" s="292" vm="1522">
        <v>92799</v>
      </c>
      <c r="AF143" s="293">
        <v>3.8766375545851529E-2</v>
      </c>
      <c r="AG143" s="293">
        <v>2.836244541484716E-2</v>
      </c>
      <c r="AH143" s="293">
        <v>6.7128820960698693E-2</v>
      </c>
      <c r="AI143" s="285" t="str">
        <v>Traditional</v>
      </c>
      <c r="AJ143" s="294" t="str">
        <v>London</v>
      </c>
      <c r="AM143" s="295" t="s">
        <v>665</v>
      </c>
    </row>
    <row r="144" spans="1:39" x14ac:dyDescent="0.25">
      <c r="A144" s="283"/>
      <c r="B144" s="284" t="str" vm="137">
        <v>Regenda Limited</v>
      </c>
      <c r="C144" s="285" t="str" vm="283">
        <v>4653</v>
      </c>
      <c r="D144" s="286">
        <v>3.0270149450862059E-2</v>
      </c>
      <c r="E144" s="287">
        <v>4</v>
      </c>
      <c r="F144" s="288">
        <v>173</v>
      </c>
      <c r="G144" s="286">
        <v>1.5772870662460569E-4</v>
      </c>
      <c r="H144" s="287">
        <v>4</v>
      </c>
      <c r="I144" s="288">
        <v>186</v>
      </c>
      <c r="J144" s="289">
        <v>2.3230602446956791E-4</v>
      </c>
      <c r="K144" s="287">
        <v>2</v>
      </c>
      <c r="L144" s="288">
        <v>67</v>
      </c>
      <c r="M144" s="286">
        <v>0.41307974437908296</v>
      </c>
      <c r="N144" s="287">
        <v>3</v>
      </c>
      <c r="O144" s="288">
        <v>125</v>
      </c>
      <c r="P144" s="290">
        <v>0.42051905920519062</v>
      </c>
      <c r="Q144" s="287">
        <v>4</v>
      </c>
      <c r="R144" s="288">
        <v>173</v>
      </c>
      <c r="S144" s="291">
        <v>4450.757575757576</v>
      </c>
      <c r="T144" s="287">
        <v>3</v>
      </c>
      <c r="U144" s="288">
        <v>113</v>
      </c>
      <c r="V144" s="286">
        <v>0.19666284966464911</v>
      </c>
      <c r="W144" s="287">
        <v>3</v>
      </c>
      <c r="X144" s="288">
        <v>101</v>
      </c>
      <c r="Y144" s="286">
        <v>9.2787407330061605E-2</v>
      </c>
      <c r="Z144" s="287">
        <v>4</v>
      </c>
      <c r="AA144" s="288">
        <v>165</v>
      </c>
      <c r="AB144" s="286">
        <v>1.7902156136060138E-2</v>
      </c>
      <c r="AC144" s="287">
        <v>4</v>
      </c>
      <c r="AD144" s="288">
        <v>171</v>
      </c>
      <c r="AE144" s="292" vm="2752">
        <v>12133</v>
      </c>
      <c r="AF144" s="293">
        <v>7.0981754995655955E-2</v>
      </c>
      <c r="AG144" s="293">
        <v>8.2363162467419634E-2</v>
      </c>
      <c r="AH144" s="293">
        <v>0.1533449174630756</v>
      </c>
      <c r="AI144" s="285" t="str">
        <v>Traditional</v>
      </c>
      <c r="AJ144" s="294" t="str">
        <v>North West</v>
      </c>
      <c r="AM144" s="295" t="s">
        <v>665</v>
      </c>
    </row>
    <row r="145" spans="1:39" x14ac:dyDescent="0.25">
      <c r="A145" s="283"/>
      <c r="B145" s="284" t="str" vm="191">
        <v>West Kent Housing Association</v>
      </c>
      <c r="C145" s="285" t="str" vm="352">
        <v>LH3827</v>
      </c>
      <c r="D145" s="286">
        <v>5.971372424505067E-2</v>
      </c>
      <c r="E145" s="287">
        <v>3</v>
      </c>
      <c r="F145" s="288">
        <v>119</v>
      </c>
      <c r="G145" s="286">
        <v>1.8048780487804877E-2</v>
      </c>
      <c r="H145" s="287">
        <v>2</v>
      </c>
      <c r="I145" s="288">
        <v>66</v>
      </c>
      <c r="J145" s="289">
        <v>0</v>
      </c>
      <c r="K145" s="287">
        <v>2</v>
      </c>
      <c r="L145" s="288">
        <v>72</v>
      </c>
      <c r="M145" s="286">
        <v>0.4094675808726147</v>
      </c>
      <c r="N145" s="287">
        <v>3</v>
      </c>
      <c r="O145" s="288">
        <v>126</v>
      </c>
      <c r="P145" s="290">
        <v>1.2865446716899893</v>
      </c>
      <c r="Q145" s="287">
        <v>2</v>
      </c>
      <c r="R145" s="288">
        <v>97</v>
      </c>
      <c r="S145" s="291">
        <v>5698.3907467940653</v>
      </c>
      <c r="T145" s="287">
        <v>2</v>
      </c>
      <c r="U145" s="288">
        <v>54</v>
      </c>
      <c r="V145" s="286">
        <v>0.25270624060010771</v>
      </c>
      <c r="W145" s="287">
        <v>2</v>
      </c>
      <c r="X145" s="288">
        <v>52</v>
      </c>
      <c r="Y145" s="286">
        <v>0.22772568771793877</v>
      </c>
      <c r="Z145" s="287">
        <v>2</v>
      </c>
      <c r="AA145" s="288">
        <v>55</v>
      </c>
      <c r="AB145" s="286">
        <v>2.4173561490591508E-2</v>
      </c>
      <c r="AC145" s="287">
        <v>3</v>
      </c>
      <c r="AD145" s="288">
        <v>133</v>
      </c>
      <c r="AE145" s="292" vm="5162">
        <v>7954</v>
      </c>
      <c r="AF145" s="293">
        <v>8.916237598894889E-3</v>
      </c>
      <c r="AG145" s="293">
        <v>8.5143790028883587E-2</v>
      </c>
      <c r="AH145" s="293">
        <v>9.4060027627778472E-2</v>
      </c>
      <c r="AI145" s="285" t="str">
        <v>Traditional</v>
      </c>
      <c r="AJ145" s="294" t="str">
        <v>South East</v>
      </c>
      <c r="AM145" s="295" t="s">
        <v>665</v>
      </c>
    </row>
    <row r="146" spans="1:39" x14ac:dyDescent="0.25">
      <c r="A146" s="283"/>
      <c r="B146" s="284" t="str" vm="90">
        <v>LiveWest Homes Limited</v>
      </c>
      <c r="C146" s="285" t="str" vm="256">
        <v>4873</v>
      </c>
      <c r="D146" s="286">
        <v>5.7551110741053436E-2</v>
      </c>
      <c r="E146" s="287">
        <v>3</v>
      </c>
      <c r="F146" s="288">
        <v>127</v>
      </c>
      <c r="G146" s="286">
        <v>2.5049387593836427E-2</v>
      </c>
      <c r="H146" s="287">
        <v>1</v>
      </c>
      <c r="I146" s="288">
        <v>35</v>
      </c>
      <c r="J146" s="289">
        <v>5.1582649472450177E-3</v>
      </c>
      <c r="K146" s="287">
        <v>1</v>
      </c>
      <c r="L146" s="288">
        <v>19</v>
      </c>
      <c r="M146" s="286">
        <v>0.40529008950554302</v>
      </c>
      <c r="N146" s="287">
        <v>3</v>
      </c>
      <c r="O146" s="288">
        <v>127</v>
      </c>
      <c r="P146" s="290">
        <v>2.0279397844208984</v>
      </c>
      <c r="Q146" s="287">
        <v>1</v>
      </c>
      <c r="R146" s="288">
        <v>31</v>
      </c>
      <c r="S146" s="291">
        <v>4189.9251007219527</v>
      </c>
      <c r="T146" s="287">
        <v>3</v>
      </c>
      <c r="U146" s="288">
        <v>138</v>
      </c>
      <c r="V146" s="286">
        <v>0.23070853327152305</v>
      </c>
      <c r="W146" s="287">
        <v>2</v>
      </c>
      <c r="X146" s="288">
        <v>73</v>
      </c>
      <c r="Y146" s="286">
        <v>0.20408408288226995</v>
      </c>
      <c r="Z146" s="287">
        <v>2</v>
      </c>
      <c r="AA146" s="288">
        <v>78</v>
      </c>
      <c r="AB146" s="286">
        <v>3.142180447256563E-2</v>
      </c>
      <c r="AC146" s="287">
        <v>2</v>
      </c>
      <c r="AD146" s="288">
        <v>76</v>
      </c>
      <c r="AE146" s="292" vm="1916">
        <v>36983</v>
      </c>
      <c r="AF146" s="293">
        <v>3.6951438359889066E-2</v>
      </c>
      <c r="AG146" s="293">
        <v>4.9921148512697806E-2</v>
      </c>
      <c r="AH146" s="293">
        <v>8.6872586872586866E-2</v>
      </c>
      <c r="AI146" s="285" t="str">
        <v>Traditional</v>
      </c>
      <c r="AJ146" s="294" t="str">
        <v>South West</v>
      </c>
      <c r="AM146" s="295" t="s">
        <v>665</v>
      </c>
    </row>
    <row r="147" spans="1:39" x14ac:dyDescent="0.25">
      <c r="A147" s="283"/>
      <c r="B147" s="284" t="str" vm="17">
        <v>Bournemouth Churches Housing Association Limited</v>
      </c>
      <c r="C147" s="285" t="str" vm="206">
        <v>LH0155</v>
      </c>
      <c r="D147" s="286">
        <v>5.89976110959246E-2</v>
      </c>
      <c r="E147" s="287">
        <v>3</v>
      </c>
      <c r="F147" s="288">
        <v>122</v>
      </c>
      <c r="G147" s="286">
        <v>3.0557677616501145E-3</v>
      </c>
      <c r="H147" s="287">
        <v>4</v>
      </c>
      <c r="I147" s="288">
        <v>169</v>
      </c>
      <c r="J147" s="289">
        <v>5.8181818181818178E-3</v>
      </c>
      <c r="K147" s="287">
        <v>1</v>
      </c>
      <c r="L147" s="288">
        <v>17</v>
      </c>
      <c r="M147" s="286">
        <v>0.4042001925385374</v>
      </c>
      <c r="N147" s="287">
        <v>3</v>
      </c>
      <c r="O147" s="288">
        <v>128</v>
      </c>
      <c r="P147" s="290">
        <v>1.8754925137903862</v>
      </c>
      <c r="Q147" s="287">
        <v>1</v>
      </c>
      <c r="R147" s="288">
        <v>34</v>
      </c>
      <c r="S147" s="291">
        <v>13069.518716577541</v>
      </c>
      <c r="T147" s="287">
        <v>1</v>
      </c>
      <c r="U147" s="288">
        <v>9</v>
      </c>
      <c r="V147" s="286">
        <v>0.20325577823850111</v>
      </c>
      <c r="W147" s="287">
        <v>2</v>
      </c>
      <c r="X147" s="288">
        <v>93</v>
      </c>
      <c r="Y147" s="286">
        <v>6.7329860814618739E-2</v>
      </c>
      <c r="Z147" s="287">
        <v>4</v>
      </c>
      <c r="AA147" s="288">
        <v>174</v>
      </c>
      <c r="AB147" s="286">
        <v>2.0028845259142086E-2</v>
      </c>
      <c r="AC147" s="287">
        <v>4</v>
      </c>
      <c r="AD147" s="288">
        <v>161</v>
      </c>
      <c r="AE147" s="292" vm="838">
        <v>1309</v>
      </c>
      <c r="AF147" s="293">
        <v>0.53098039215686277</v>
      </c>
      <c r="AG147" s="293">
        <v>0.04</v>
      </c>
      <c r="AH147" s="293">
        <v>0.5709803921568628</v>
      </c>
      <c r="AI147" s="285" t="str">
        <v>Traditional</v>
      </c>
      <c r="AJ147" s="294" t="str">
        <v>South West</v>
      </c>
      <c r="AM147" s="295" t="s">
        <v>665</v>
      </c>
    </row>
    <row r="148" spans="1:39" x14ac:dyDescent="0.25">
      <c r="A148" s="283"/>
      <c r="B148" s="284" t="str" vm="41">
        <v>Croydon Churches Housing Association Limited</v>
      </c>
      <c r="C148" s="285" t="str" vm="213">
        <v>LH0495</v>
      </c>
      <c r="D148" s="286">
        <v>2.8887815498633829E-2</v>
      </c>
      <c r="E148" s="287">
        <v>4</v>
      </c>
      <c r="F148" s="288">
        <v>175</v>
      </c>
      <c r="G148" s="286">
        <v>2.7333333333333334E-2</v>
      </c>
      <c r="H148" s="287">
        <v>1</v>
      </c>
      <c r="I148" s="288">
        <v>24</v>
      </c>
      <c r="J148" s="289">
        <v>0</v>
      </c>
      <c r="K148" s="287">
        <v>2</v>
      </c>
      <c r="L148" s="288">
        <v>72</v>
      </c>
      <c r="M148" s="286">
        <v>0.40283615338586537</v>
      </c>
      <c r="N148" s="287">
        <v>3</v>
      </c>
      <c r="O148" s="288">
        <v>129</v>
      </c>
      <c r="P148" s="290">
        <v>1.3420639078051335</v>
      </c>
      <c r="Q148" s="287">
        <v>2</v>
      </c>
      <c r="R148" s="288">
        <v>87</v>
      </c>
      <c r="S148" s="291">
        <v>7254.9420586230408</v>
      </c>
      <c r="T148" s="287">
        <v>1</v>
      </c>
      <c r="U148" s="288">
        <v>30</v>
      </c>
      <c r="V148" s="286">
        <v>0.1475917258040163</v>
      </c>
      <c r="W148" s="287">
        <v>3</v>
      </c>
      <c r="X148" s="288">
        <v>146</v>
      </c>
      <c r="Y148" s="286">
        <v>0.14667592431869467</v>
      </c>
      <c r="Z148" s="287">
        <v>3</v>
      </c>
      <c r="AA148" s="288">
        <v>135</v>
      </c>
      <c r="AB148" s="286">
        <v>1.8388230405724227E-2</v>
      </c>
      <c r="AC148" s="287">
        <v>4</v>
      </c>
      <c r="AD148" s="288">
        <v>169</v>
      </c>
      <c r="AE148" s="292" vm="876">
        <v>1444</v>
      </c>
      <c r="AF148" s="293">
        <v>9.0845070422535215E-2</v>
      </c>
      <c r="AG148" s="293">
        <v>0.22323943661971832</v>
      </c>
      <c r="AH148" s="293">
        <v>0.31408450704225355</v>
      </c>
      <c r="AI148" s="285" t="str">
        <v>Traditional</v>
      </c>
      <c r="AJ148" s="294" t="str">
        <v>London</v>
      </c>
      <c r="AM148" s="295" t="s">
        <v>665</v>
      </c>
    </row>
    <row r="149" spans="1:39" x14ac:dyDescent="0.25">
      <c r="A149" s="283"/>
      <c r="B149" s="284" t="str" vm="142">
        <v>Salix Homes Limited</v>
      </c>
      <c r="C149" s="285" t="str" vm="383">
        <v>4609</v>
      </c>
      <c r="D149" s="286">
        <v>0.12381945800404905</v>
      </c>
      <c r="E149" s="287">
        <v>1</v>
      </c>
      <c r="F149" s="288">
        <v>17</v>
      </c>
      <c r="G149" s="286">
        <v>0</v>
      </c>
      <c r="H149" s="287">
        <v>4</v>
      </c>
      <c r="I149" s="288">
        <v>187</v>
      </c>
      <c r="J149" s="289">
        <v>1.2661433274246644E-4</v>
      </c>
      <c r="K149" s="287">
        <v>2</v>
      </c>
      <c r="L149" s="288">
        <v>70</v>
      </c>
      <c r="M149" s="286">
        <v>0.39671863278078656</v>
      </c>
      <c r="N149" s="287">
        <v>3</v>
      </c>
      <c r="O149" s="288">
        <v>130</v>
      </c>
      <c r="P149" s="290">
        <v>1.1349310571240971</v>
      </c>
      <c r="Q149" s="287">
        <v>3</v>
      </c>
      <c r="R149" s="288">
        <v>119</v>
      </c>
      <c r="S149" s="291">
        <v>4100.6856272219393</v>
      </c>
      <c r="T149" s="287">
        <v>3</v>
      </c>
      <c r="U149" s="288">
        <v>147</v>
      </c>
      <c r="V149" s="286">
        <v>0.12386282185587473</v>
      </c>
      <c r="W149" s="287">
        <v>4</v>
      </c>
      <c r="X149" s="288">
        <v>161</v>
      </c>
      <c r="Y149" s="286">
        <v>0.1027571498316931</v>
      </c>
      <c r="Z149" s="287">
        <v>4</v>
      </c>
      <c r="AA149" s="288">
        <v>161</v>
      </c>
      <c r="AB149" s="286">
        <v>2.9522869799644125E-2</v>
      </c>
      <c r="AC149" s="287">
        <v>2</v>
      </c>
      <c r="AD149" s="288">
        <v>94</v>
      </c>
      <c r="AE149" s="292" vm="6294">
        <v>7876</v>
      </c>
      <c r="AF149" s="293">
        <v>0</v>
      </c>
      <c r="AG149" s="293">
        <v>3.7709497206703912E-2</v>
      </c>
      <c r="AH149" s="293">
        <v>3.7709497206703912E-2</v>
      </c>
      <c r="AI149" s="285" t="str">
        <v>LSVT</v>
      </c>
      <c r="AJ149" s="294" t="str">
        <v>North West</v>
      </c>
      <c r="AM149" s="295" t="s">
        <v>665</v>
      </c>
    </row>
    <row r="150" spans="1:39" x14ac:dyDescent="0.25">
      <c r="A150" s="283"/>
      <c r="B150" s="284" t="str" vm="184">
        <v>Wakefield And District Housing Limited</v>
      </c>
      <c r="C150" s="285" t="str" vm="257">
        <v>L4441</v>
      </c>
      <c r="D150" s="286">
        <v>6.1459606606553405E-2</v>
      </c>
      <c r="E150" s="287">
        <v>3</v>
      </c>
      <c r="F150" s="288">
        <v>114</v>
      </c>
      <c r="G150" s="286">
        <v>1.0567576042646598E-2</v>
      </c>
      <c r="H150" s="287">
        <v>3</v>
      </c>
      <c r="I150" s="288">
        <v>120</v>
      </c>
      <c r="J150" s="289">
        <v>0</v>
      </c>
      <c r="K150" s="287">
        <v>2</v>
      </c>
      <c r="L150" s="288">
        <v>72</v>
      </c>
      <c r="M150" s="286">
        <v>0.39498879027480066</v>
      </c>
      <c r="N150" s="287">
        <v>3</v>
      </c>
      <c r="O150" s="288">
        <v>131</v>
      </c>
      <c r="P150" s="290">
        <v>1.2359677968023586</v>
      </c>
      <c r="Q150" s="287">
        <v>3</v>
      </c>
      <c r="R150" s="288">
        <v>104</v>
      </c>
      <c r="S150" s="291">
        <v>4103.3326018120824</v>
      </c>
      <c r="T150" s="287">
        <v>3</v>
      </c>
      <c r="U150" s="288">
        <v>146</v>
      </c>
      <c r="V150" s="286">
        <v>0.12901906597185647</v>
      </c>
      <c r="W150" s="287">
        <v>4</v>
      </c>
      <c r="X150" s="288">
        <v>159</v>
      </c>
      <c r="Y150" s="286">
        <v>0.1145402408276069</v>
      </c>
      <c r="Z150" s="287">
        <v>4</v>
      </c>
      <c r="AA150" s="288">
        <v>153</v>
      </c>
      <c r="AB150" s="286">
        <v>2.1474242425616383E-2</v>
      </c>
      <c r="AC150" s="287">
        <v>4</v>
      </c>
      <c r="AD150" s="288">
        <v>152</v>
      </c>
      <c r="AE150" s="292" vm="1946">
        <v>31890</v>
      </c>
      <c r="AF150" s="293">
        <v>4.8646095717884134E-2</v>
      </c>
      <c r="AG150" s="293">
        <v>0</v>
      </c>
      <c r="AH150" s="293">
        <v>4.8646095717884134E-2</v>
      </c>
      <c r="AI150" s="285" t="str">
        <v>Traditional</v>
      </c>
      <c r="AJ150" s="294" t="str">
        <v>Yorkshire &amp; the Humber</v>
      </c>
      <c r="AM150" s="295" t="s">
        <v>665</v>
      </c>
    </row>
    <row r="151" spans="1:39" x14ac:dyDescent="0.25">
      <c r="A151" s="283"/>
      <c r="B151" s="284" t="str" vm="176">
        <v>Torus62 Limited</v>
      </c>
      <c r="C151" s="285" t="str" vm="259">
        <v>5065</v>
      </c>
      <c r="D151" s="286">
        <v>0.13346463819333707</v>
      </c>
      <c r="E151" s="287">
        <v>1</v>
      </c>
      <c r="F151" s="288">
        <v>13</v>
      </c>
      <c r="G151" s="286">
        <v>1.7145165770269928E-2</v>
      </c>
      <c r="H151" s="287">
        <v>2</v>
      </c>
      <c r="I151" s="288">
        <v>73</v>
      </c>
      <c r="J151" s="289">
        <v>0</v>
      </c>
      <c r="K151" s="287">
        <v>2</v>
      </c>
      <c r="L151" s="288">
        <v>72</v>
      </c>
      <c r="M151" s="286">
        <v>0.39006852562168687</v>
      </c>
      <c r="N151" s="287">
        <v>3</v>
      </c>
      <c r="O151" s="288">
        <v>132</v>
      </c>
      <c r="P151" s="290">
        <v>2.1211325812576791</v>
      </c>
      <c r="Q151" s="287">
        <v>1</v>
      </c>
      <c r="R151" s="288">
        <v>26</v>
      </c>
      <c r="S151" s="291">
        <v>4042.1655656482249</v>
      </c>
      <c r="T151" s="287">
        <v>4</v>
      </c>
      <c r="U151" s="288">
        <v>156</v>
      </c>
      <c r="V151" s="286">
        <v>0.20481769878116518</v>
      </c>
      <c r="W151" s="287">
        <v>2</v>
      </c>
      <c r="X151" s="288">
        <v>91</v>
      </c>
      <c r="Y151" s="286">
        <v>0.1693533796098125</v>
      </c>
      <c r="Z151" s="287">
        <v>3</v>
      </c>
      <c r="AA151" s="288">
        <v>109</v>
      </c>
      <c r="AB151" s="286">
        <v>3.2282201159256008E-2</v>
      </c>
      <c r="AC151" s="287">
        <v>2</v>
      </c>
      <c r="AD151" s="288">
        <v>70</v>
      </c>
      <c r="AE151" s="292" vm="2007">
        <v>38674</v>
      </c>
      <c r="AF151" s="293">
        <v>4.1829046505585865E-3</v>
      </c>
      <c r="AG151" s="293">
        <v>8.791893998441154E-2</v>
      </c>
      <c r="AH151" s="293">
        <v>9.210184463497012E-2</v>
      </c>
      <c r="AI151" s="285" t="str">
        <v>Traditional</v>
      </c>
      <c r="AJ151" s="294" t="str">
        <v>North West</v>
      </c>
      <c r="AM151" s="295" t="s">
        <v>665</v>
      </c>
    </row>
    <row r="152" spans="1:39" x14ac:dyDescent="0.25">
      <c r="A152" s="283"/>
      <c r="B152" s="284" t="str" vm="53">
        <v>First Garden Cities Homes Limited</v>
      </c>
      <c r="C152" s="285" t="str" vm="224">
        <v>5090</v>
      </c>
      <c r="D152" s="286">
        <v>3.6396893874029335E-2</v>
      </c>
      <c r="E152" s="287">
        <v>4</v>
      </c>
      <c r="F152" s="288">
        <v>158</v>
      </c>
      <c r="G152" s="286">
        <v>5.7042562527424307E-3</v>
      </c>
      <c r="H152" s="287">
        <v>4</v>
      </c>
      <c r="I152" s="288">
        <v>152</v>
      </c>
      <c r="J152" s="289">
        <v>0</v>
      </c>
      <c r="K152" s="287">
        <v>2</v>
      </c>
      <c r="L152" s="288">
        <v>72</v>
      </c>
      <c r="M152" s="286">
        <v>0.38511820534943919</v>
      </c>
      <c r="N152" s="287">
        <v>3</v>
      </c>
      <c r="O152" s="288">
        <v>133</v>
      </c>
      <c r="P152" s="290">
        <v>1.7692967409948541</v>
      </c>
      <c r="Q152" s="287">
        <v>1</v>
      </c>
      <c r="R152" s="288">
        <v>47</v>
      </c>
      <c r="S152" s="291">
        <v>4317.3496076721885</v>
      </c>
      <c r="T152" s="287">
        <v>3</v>
      </c>
      <c r="U152" s="288">
        <v>124</v>
      </c>
      <c r="V152" s="286">
        <v>0.21776486196222125</v>
      </c>
      <c r="W152" s="287">
        <v>2</v>
      </c>
      <c r="X152" s="288">
        <v>82</v>
      </c>
      <c r="Y152" s="286">
        <v>0.23342922210236125</v>
      </c>
      <c r="Z152" s="287">
        <v>1</v>
      </c>
      <c r="AA152" s="288">
        <v>45</v>
      </c>
      <c r="AB152" s="286">
        <v>2.5673124556494262E-2</v>
      </c>
      <c r="AC152" s="287">
        <v>3</v>
      </c>
      <c r="AD152" s="288">
        <v>122</v>
      </c>
      <c r="AE152" s="292" vm="1301">
        <v>2276</v>
      </c>
      <c r="AF152" s="293">
        <v>2.0255394099515631E-2</v>
      </c>
      <c r="AG152" s="293">
        <v>0.20387494495816821</v>
      </c>
      <c r="AH152" s="293">
        <v>0.22413033905768384</v>
      </c>
      <c r="AI152" s="285" t="str">
        <v>Traditional</v>
      </c>
      <c r="AJ152" s="294" t="str">
        <v>East of England</v>
      </c>
      <c r="AM152" s="295" t="s">
        <v>665</v>
      </c>
    </row>
    <row r="153" spans="1:39" x14ac:dyDescent="0.25">
      <c r="A153" s="283"/>
      <c r="B153" s="284" t="str" vm="177">
        <v>Tower Hamlets Community Housing</v>
      </c>
      <c r="C153" s="285" t="str" vm="203">
        <v>L4260</v>
      </c>
      <c r="D153" s="286">
        <v>6.6575476059299227E-2</v>
      </c>
      <c r="E153" s="287">
        <v>3</v>
      </c>
      <c r="F153" s="288">
        <v>101</v>
      </c>
      <c r="G153" s="286">
        <v>0</v>
      </c>
      <c r="H153" s="287">
        <v>4</v>
      </c>
      <c r="I153" s="288">
        <v>187</v>
      </c>
      <c r="J153" s="289">
        <v>0</v>
      </c>
      <c r="K153" s="287">
        <v>2</v>
      </c>
      <c r="L153" s="288">
        <v>72</v>
      </c>
      <c r="M153" s="286">
        <v>0.38236728283653448</v>
      </c>
      <c r="N153" s="287">
        <v>3</v>
      </c>
      <c r="O153" s="288">
        <v>134</v>
      </c>
      <c r="P153" s="290">
        <v>-4.3568341437061049</v>
      </c>
      <c r="Q153" s="287">
        <v>4</v>
      </c>
      <c r="R153" s="288">
        <v>193</v>
      </c>
      <c r="S153" s="291">
        <v>16944.498539435248</v>
      </c>
      <c r="T153" s="287">
        <v>1</v>
      </c>
      <c r="U153" s="288">
        <v>5</v>
      </c>
      <c r="V153" s="286">
        <v>-0.29085527340707273</v>
      </c>
      <c r="W153" s="287">
        <v>4</v>
      </c>
      <c r="X153" s="288">
        <v>198</v>
      </c>
      <c r="Y153" s="286">
        <v>-0.29303696983442956</v>
      </c>
      <c r="Z153" s="287">
        <v>4</v>
      </c>
      <c r="AA153" s="288">
        <v>198</v>
      </c>
      <c r="AB153" s="286">
        <v>-4.0478593051751478E-2</v>
      </c>
      <c r="AC153" s="287">
        <v>4</v>
      </c>
      <c r="AD153" s="288">
        <v>197</v>
      </c>
      <c r="AE153" s="292" vm="679">
        <v>2054</v>
      </c>
      <c r="AF153" s="293">
        <v>0</v>
      </c>
      <c r="AG153" s="293">
        <v>0</v>
      </c>
      <c r="AH153" s="293">
        <v>0</v>
      </c>
      <c r="AI153" s="285" t="str">
        <v>Traditional</v>
      </c>
      <c r="AJ153" s="294" t="str">
        <v>London</v>
      </c>
      <c r="AM153" s="295" t="s">
        <v>665</v>
      </c>
    </row>
    <row r="154" spans="1:39" x14ac:dyDescent="0.25">
      <c r="A154" s="283"/>
      <c r="B154" s="284" t="str" vm="166">
        <v>The Guinness Partnership Limited</v>
      </c>
      <c r="C154" s="285" t="str" vm="248">
        <v>4729</v>
      </c>
      <c r="D154" s="286">
        <v>8.3942378985276983E-2</v>
      </c>
      <c r="E154" s="287">
        <v>2</v>
      </c>
      <c r="F154" s="288">
        <v>66</v>
      </c>
      <c r="G154" s="286">
        <v>8.0557030005932503E-3</v>
      </c>
      <c r="H154" s="287">
        <v>3</v>
      </c>
      <c r="I154" s="288">
        <v>138</v>
      </c>
      <c r="J154" s="289">
        <v>4.7818569804208661E-3</v>
      </c>
      <c r="K154" s="287">
        <v>1</v>
      </c>
      <c r="L154" s="288">
        <v>21</v>
      </c>
      <c r="M154" s="286">
        <v>0.38181866327719521</v>
      </c>
      <c r="N154" s="287">
        <v>3</v>
      </c>
      <c r="O154" s="288">
        <v>135</v>
      </c>
      <c r="P154" s="290">
        <v>1.0687830687830688</v>
      </c>
      <c r="Q154" s="287">
        <v>3</v>
      </c>
      <c r="R154" s="288">
        <v>130</v>
      </c>
      <c r="S154" s="291">
        <v>5140.9099888062165</v>
      </c>
      <c r="T154" s="287">
        <v>2</v>
      </c>
      <c r="U154" s="288">
        <v>69</v>
      </c>
      <c r="V154" s="286">
        <v>0.2213206491326245</v>
      </c>
      <c r="W154" s="287">
        <v>2</v>
      </c>
      <c r="X154" s="288">
        <v>79</v>
      </c>
      <c r="Y154" s="286">
        <v>0.1623172311678697</v>
      </c>
      <c r="Z154" s="287">
        <v>3</v>
      </c>
      <c r="AA154" s="288">
        <v>119</v>
      </c>
      <c r="AB154" s="286">
        <v>2.5563831719913836E-2</v>
      </c>
      <c r="AC154" s="287">
        <v>3</v>
      </c>
      <c r="AD154" s="288">
        <v>124</v>
      </c>
      <c r="AE154" s="292" vm="1694">
        <v>60576</v>
      </c>
      <c r="AF154" s="293">
        <v>1.290912111646453E-2</v>
      </c>
      <c r="AG154" s="293">
        <v>0.12593454062136566</v>
      </c>
      <c r="AH154" s="293">
        <v>0.13884366173783019</v>
      </c>
      <c r="AI154" s="285" t="str">
        <v>Traditional</v>
      </c>
      <c r="AJ154" s="294" t="str">
        <v>Mixed</v>
      </c>
      <c r="AM154" s="295" t="s">
        <v>665</v>
      </c>
    </row>
    <row r="155" spans="1:39" x14ac:dyDescent="0.25">
      <c r="A155" s="283"/>
      <c r="B155" s="284" t="str" vm="87">
        <v>Karbon Homes Limited</v>
      </c>
      <c r="C155" s="285" t="str" vm="265">
        <v>4846</v>
      </c>
      <c r="D155" s="286">
        <v>0.10721303184491367</v>
      </c>
      <c r="E155" s="287">
        <v>1</v>
      </c>
      <c r="F155" s="288">
        <v>29</v>
      </c>
      <c r="G155" s="286">
        <v>1.7051864745511396E-2</v>
      </c>
      <c r="H155" s="287">
        <v>2</v>
      </c>
      <c r="I155" s="288">
        <v>74</v>
      </c>
      <c r="J155" s="289">
        <v>0</v>
      </c>
      <c r="K155" s="287">
        <v>2</v>
      </c>
      <c r="L155" s="288">
        <v>72</v>
      </c>
      <c r="M155" s="286">
        <v>0.38177503186541689</v>
      </c>
      <c r="N155" s="287">
        <v>3</v>
      </c>
      <c r="O155" s="288">
        <v>136</v>
      </c>
      <c r="P155" s="290">
        <v>1.8196147997972631</v>
      </c>
      <c r="Q155" s="287">
        <v>1</v>
      </c>
      <c r="R155" s="288">
        <v>44</v>
      </c>
      <c r="S155" s="291">
        <v>3809.2062246632668</v>
      </c>
      <c r="T155" s="287">
        <v>4</v>
      </c>
      <c r="U155" s="288">
        <v>181</v>
      </c>
      <c r="V155" s="286">
        <v>0.28950909956727883</v>
      </c>
      <c r="W155" s="287">
        <v>1</v>
      </c>
      <c r="X155" s="288">
        <v>31</v>
      </c>
      <c r="Y155" s="286">
        <v>0.26351416632448493</v>
      </c>
      <c r="Z155" s="287">
        <v>1</v>
      </c>
      <c r="AA155" s="288">
        <v>27</v>
      </c>
      <c r="AB155" s="286">
        <v>3.6914486117629153E-2</v>
      </c>
      <c r="AC155" s="287">
        <v>1</v>
      </c>
      <c r="AD155" s="288">
        <v>45</v>
      </c>
      <c r="AE155" s="292" vm="2172">
        <v>30403</v>
      </c>
      <c r="AF155" s="293">
        <v>2.133914709477092E-2</v>
      </c>
      <c r="AG155" s="293">
        <v>3.2239949790242133E-2</v>
      </c>
      <c r="AH155" s="293">
        <v>5.3579096885013056E-2</v>
      </c>
      <c r="AI155" s="285" t="str">
        <v>Traditional</v>
      </c>
      <c r="AJ155" s="294" t="str">
        <v>North East</v>
      </c>
      <c r="AM155" s="295" t="s">
        <v>665</v>
      </c>
    </row>
    <row r="156" spans="1:39" x14ac:dyDescent="0.25">
      <c r="A156" s="283"/>
      <c r="B156" s="284" t="str" vm="8">
        <v>Arches Housing Limited</v>
      </c>
      <c r="C156" s="285" t="str" vm="233">
        <v>LH0884</v>
      </c>
      <c r="D156" s="286">
        <v>5.2916633866015902E-2</v>
      </c>
      <c r="E156" s="287">
        <v>3</v>
      </c>
      <c r="F156" s="288">
        <v>141</v>
      </c>
      <c r="G156" s="286">
        <v>1.8996960486322188E-2</v>
      </c>
      <c r="H156" s="287">
        <v>2</v>
      </c>
      <c r="I156" s="288">
        <v>63</v>
      </c>
      <c r="J156" s="289">
        <v>0</v>
      </c>
      <c r="K156" s="287">
        <v>2</v>
      </c>
      <c r="L156" s="288">
        <v>72</v>
      </c>
      <c r="M156" s="286">
        <v>0.3797685586082028</v>
      </c>
      <c r="N156" s="287">
        <v>3</v>
      </c>
      <c r="O156" s="288">
        <v>137</v>
      </c>
      <c r="P156" s="290">
        <v>1.3863845446182153</v>
      </c>
      <c r="Q156" s="287">
        <v>2</v>
      </c>
      <c r="R156" s="288">
        <v>78</v>
      </c>
      <c r="S156" s="291">
        <v>3730.2431610942249</v>
      </c>
      <c r="T156" s="287">
        <v>4</v>
      </c>
      <c r="U156" s="288">
        <v>185</v>
      </c>
      <c r="V156" s="286">
        <v>0.18292316926770708</v>
      </c>
      <c r="W156" s="287">
        <v>3</v>
      </c>
      <c r="X156" s="288">
        <v>119</v>
      </c>
      <c r="Y156" s="286">
        <v>0.1993006993006993</v>
      </c>
      <c r="Z156" s="287">
        <v>2</v>
      </c>
      <c r="AA156" s="288">
        <v>84</v>
      </c>
      <c r="AB156" s="286">
        <v>2.4291880651564322E-2</v>
      </c>
      <c r="AC156" s="287">
        <v>3</v>
      </c>
      <c r="AD156" s="288">
        <v>132</v>
      </c>
      <c r="AE156" s="292" vm="1301">
        <v>1316</v>
      </c>
      <c r="AF156" s="293">
        <v>3.3383915022761758E-2</v>
      </c>
      <c r="AG156" s="293">
        <v>0</v>
      </c>
      <c r="AH156" s="293">
        <v>3.3383915022761758E-2</v>
      </c>
      <c r="AI156" s="285" t="str">
        <v>Traditional</v>
      </c>
      <c r="AJ156" s="294" t="str">
        <v>Yorkshire &amp; the Humber</v>
      </c>
      <c r="AM156" s="295" t="s">
        <v>665</v>
      </c>
    </row>
    <row r="157" spans="1:39" x14ac:dyDescent="0.25">
      <c r="A157" s="283"/>
      <c r="B157" s="284" t="str" vm="105">
        <v>Nehemiah United Churches Housing Association Limited</v>
      </c>
      <c r="C157" s="285" t="str" vm="223">
        <v>L3833</v>
      </c>
      <c r="D157" s="286">
        <v>5.9375823333572851E-2</v>
      </c>
      <c r="E157" s="287">
        <v>3</v>
      </c>
      <c r="F157" s="288">
        <v>121</v>
      </c>
      <c r="G157" s="286">
        <v>1.7170891251022075E-2</v>
      </c>
      <c r="H157" s="287">
        <v>2</v>
      </c>
      <c r="I157" s="288">
        <v>72</v>
      </c>
      <c r="J157" s="289">
        <v>0</v>
      </c>
      <c r="K157" s="287">
        <v>2</v>
      </c>
      <c r="L157" s="288">
        <v>72</v>
      </c>
      <c r="M157" s="286">
        <v>0.37894900720940816</v>
      </c>
      <c r="N157" s="287">
        <v>3</v>
      </c>
      <c r="O157" s="288">
        <v>138</v>
      </c>
      <c r="P157" s="290">
        <v>1.2010008340283569</v>
      </c>
      <c r="Q157" s="287">
        <v>3</v>
      </c>
      <c r="R157" s="288">
        <v>108</v>
      </c>
      <c r="S157" s="291">
        <v>4655.4487179487178</v>
      </c>
      <c r="T157" s="287">
        <v>2</v>
      </c>
      <c r="U157" s="288">
        <v>91</v>
      </c>
      <c r="V157" s="286">
        <v>0.21699134199134198</v>
      </c>
      <c r="W157" s="287">
        <v>2</v>
      </c>
      <c r="X157" s="288">
        <v>84</v>
      </c>
      <c r="Y157" s="286">
        <v>0.22130394857667585</v>
      </c>
      <c r="Z157" s="287">
        <v>2</v>
      </c>
      <c r="AA157" s="288">
        <v>61</v>
      </c>
      <c r="AB157" s="286">
        <v>2.0817261473824133E-2</v>
      </c>
      <c r="AC157" s="287">
        <v>4</v>
      </c>
      <c r="AD157" s="288">
        <v>159</v>
      </c>
      <c r="AE157" s="292" vm="8666">
        <v>1223</v>
      </c>
      <c r="AF157" s="293">
        <v>2.8594771241830064E-2</v>
      </c>
      <c r="AG157" s="293">
        <v>0.22058823529411764</v>
      </c>
      <c r="AH157" s="293">
        <v>0.24918300653594772</v>
      </c>
      <c r="AI157" s="285" t="str">
        <v>Traditional</v>
      </c>
      <c r="AJ157" s="294" t="str">
        <v>West Midlands</v>
      </c>
      <c r="AM157" s="295" t="s">
        <v>665</v>
      </c>
    </row>
    <row r="158" spans="1:39" x14ac:dyDescent="0.25">
      <c r="A158" s="283"/>
      <c r="B158" s="284" t="str" vm="155">
        <v>Southway Housing Trust (Manchester) Limited</v>
      </c>
      <c r="C158" s="285" t="str" vm="382">
        <v>L4507</v>
      </c>
      <c r="D158" s="286">
        <v>0.11719153626249985</v>
      </c>
      <c r="E158" s="287">
        <v>1</v>
      </c>
      <c r="F158" s="288">
        <v>21</v>
      </c>
      <c r="G158" s="286">
        <v>1.780185758513932E-2</v>
      </c>
      <c r="H158" s="287">
        <v>2</v>
      </c>
      <c r="I158" s="288">
        <v>68</v>
      </c>
      <c r="J158" s="289">
        <v>7.628928898382667E-4</v>
      </c>
      <c r="K158" s="287">
        <v>2</v>
      </c>
      <c r="L158" s="288">
        <v>50</v>
      </c>
      <c r="M158" s="286">
        <v>0.37889346850208377</v>
      </c>
      <c r="N158" s="287">
        <v>3</v>
      </c>
      <c r="O158" s="288">
        <v>139</v>
      </c>
      <c r="P158" s="290">
        <v>4.2154576856649397</v>
      </c>
      <c r="Q158" s="287">
        <v>1</v>
      </c>
      <c r="R158" s="288">
        <v>3</v>
      </c>
      <c r="S158" s="291">
        <v>4122.9720960415307</v>
      </c>
      <c r="T158" s="287">
        <v>3</v>
      </c>
      <c r="U158" s="288">
        <v>145</v>
      </c>
      <c r="V158" s="286">
        <v>0.18083850931677017</v>
      </c>
      <c r="W158" s="287">
        <v>3</v>
      </c>
      <c r="X158" s="288">
        <v>123</v>
      </c>
      <c r="Y158" s="286">
        <v>0.16162037133509763</v>
      </c>
      <c r="Z158" s="287">
        <v>3</v>
      </c>
      <c r="AA158" s="288">
        <v>120</v>
      </c>
      <c r="AB158" s="286">
        <v>5.6317870060223561E-2</v>
      </c>
      <c r="AC158" s="287">
        <v>1</v>
      </c>
      <c r="AD158" s="288">
        <v>6</v>
      </c>
      <c r="AE158" s="292" vm="6258">
        <v>6164</v>
      </c>
      <c r="AF158" s="293">
        <v>0</v>
      </c>
      <c r="AG158" s="293">
        <v>3.6073134574205239E-2</v>
      </c>
      <c r="AH158" s="293">
        <v>3.6073134574205239E-2</v>
      </c>
      <c r="AI158" s="285" t="str">
        <v>Traditional</v>
      </c>
      <c r="AJ158" s="294" t="str">
        <v>North West</v>
      </c>
      <c r="AM158" s="295" t="s">
        <v>665</v>
      </c>
    </row>
    <row r="159" spans="1:39" x14ac:dyDescent="0.25">
      <c r="A159" s="283"/>
      <c r="B159" s="284" t="str" vm="162">
        <v>Thames Valley Housing Association Limited</v>
      </c>
      <c r="C159" s="285" t="str" vm="247">
        <v>L0514</v>
      </c>
      <c r="D159" s="286">
        <v>4.3633739675001393E-2</v>
      </c>
      <c r="E159" s="287">
        <v>3</v>
      </c>
      <c r="F159" s="288">
        <v>148</v>
      </c>
      <c r="G159" s="286">
        <v>1.085759591243448E-2</v>
      </c>
      <c r="H159" s="287">
        <v>3</v>
      </c>
      <c r="I159" s="288">
        <v>117</v>
      </c>
      <c r="J159" s="289">
        <v>6.1975322553383294E-4</v>
      </c>
      <c r="K159" s="287">
        <v>2</v>
      </c>
      <c r="L159" s="288">
        <v>57</v>
      </c>
      <c r="M159" s="286">
        <v>0.36875501089045865</v>
      </c>
      <c r="N159" s="287">
        <v>3</v>
      </c>
      <c r="O159" s="288">
        <v>140</v>
      </c>
      <c r="P159" s="290">
        <v>0.8207930620134789</v>
      </c>
      <c r="Q159" s="287">
        <v>4</v>
      </c>
      <c r="R159" s="288">
        <v>151</v>
      </c>
      <c r="S159" s="291">
        <v>5397.0746628753604</v>
      </c>
      <c r="T159" s="287">
        <v>2</v>
      </c>
      <c r="U159" s="288">
        <v>63</v>
      </c>
      <c r="V159" s="286">
        <v>0.26684309219425884</v>
      </c>
      <c r="W159" s="287">
        <v>1</v>
      </c>
      <c r="X159" s="288">
        <v>45</v>
      </c>
      <c r="Y159" s="286">
        <v>0.16077936172784577</v>
      </c>
      <c r="Z159" s="287">
        <v>3</v>
      </c>
      <c r="AA159" s="288">
        <v>124</v>
      </c>
      <c r="AB159" s="286">
        <v>2.1920971860483661E-2</v>
      </c>
      <c r="AC159" s="287">
        <v>3</v>
      </c>
      <c r="AD159" s="288">
        <v>149</v>
      </c>
      <c r="AE159" s="292" vm="1660">
        <v>45406</v>
      </c>
      <c r="AF159" s="293">
        <v>4.2970985779069257E-2</v>
      </c>
      <c r="AG159" s="293">
        <v>7.1478888742130056E-2</v>
      </c>
      <c r="AH159" s="293">
        <v>0.11444987452119931</v>
      </c>
      <c r="AI159" s="285" t="str">
        <v>Traditional</v>
      </c>
      <c r="AJ159" s="294" t="str">
        <v>Mixed</v>
      </c>
      <c r="AM159" s="295" t="s">
        <v>665</v>
      </c>
    </row>
    <row r="160" spans="1:39" x14ac:dyDescent="0.25">
      <c r="A160" s="283"/>
      <c r="B160" s="284" t="str" vm="20">
        <v>Brighter Places</v>
      </c>
      <c r="C160" s="285" t="str" vm="324">
        <v>L3758</v>
      </c>
      <c r="D160" s="286">
        <v>3.3688765260392523E-2</v>
      </c>
      <c r="E160" s="287">
        <v>4</v>
      </c>
      <c r="F160" s="288">
        <v>163</v>
      </c>
      <c r="G160" s="286">
        <v>1.0328638497652582E-2</v>
      </c>
      <c r="H160" s="287">
        <v>3</v>
      </c>
      <c r="I160" s="288">
        <v>122</v>
      </c>
      <c r="J160" s="289">
        <v>0</v>
      </c>
      <c r="K160" s="287">
        <v>2</v>
      </c>
      <c r="L160" s="288">
        <v>72</v>
      </c>
      <c r="M160" s="286">
        <v>0.36102026922611069</v>
      </c>
      <c r="N160" s="287">
        <v>3</v>
      </c>
      <c r="O160" s="288">
        <v>141</v>
      </c>
      <c r="P160" s="290">
        <v>1.0843945607597669</v>
      </c>
      <c r="Q160" s="287">
        <v>3</v>
      </c>
      <c r="R160" s="288">
        <v>127</v>
      </c>
      <c r="S160" s="291">
        <v>4574.0567508574995</v>
      </c>
      <c r="T160" s="287">
        <v>3</v>
      </c>
      <c r="U160" s="288">
        <v>101</v>
      </c>
      <c r="V160" s="286">
        <v>0.17319354507143592</v>
      </c>
      <c r="W160" s="287">
        <v>3</v>
      </c>
      <c r="X160" s="288">
        <v>127</v>
      </c>
      <c r="Y160" s="286">
        <v>0.18659766915985387</v>
      </c>
      <c r="Z160" s="287">
        <v>2</v>
      </c>
      <c r="AA160" s="288">
        <v>95</v>
      </c>
      <c r="AB160" s="286">
        <v>1.9354008065554436E-2</v>
      </c>
      <c r="AC160" s="287">
        <v>4</v>
      </c>
      <c r="AD160" s="288">
        <v>164</v>
      </c>
      <c r="AE160" s="292" vm="4184">
        <v>3195</v>
      </c>
      <c r="AF160" s="293">
        <v>5.284680717206669E-2</v>
      </c>
      <c r="AG160" s="293">
        <v>1.1953444479396037E-2</v>
      </c>
      <c r="AH160" s="293">
        <v>6.480025165146272E-2</v>
      </c>
      <c r="AI160" s="285" t="str">
        <v>Traditional</v>
      </c>
      <c r="AJ160" s="294" t="str">
        <v>South West</v>
      </c>
      <c r="AM160" s="295" t="s">
        <v>665</v>
      </c>
    </row>
    <row r="161" spans="1:39" x14ac:dyDescent="0.25">
      <c r="A161" s="283"/>
      <c r="B161" s="284" t="str" vm="66">
        <v>Greatwell Homes Limited</v>
      </c>
      <c r="C161" s="285" t="str" vm="373">
        <v>L4509</v>
      </c>
      <c r="D161" s="286">
        <v>5.3993397527847743E-2</v>
      </c>
      <c r="E161" s="287">
        <v>3</v>
      </c>
      <c r="F161" s="288">
        <v>138</v>
      </c>
      <c r="G161" s="286">
        <v>2.5033699210475638E-3</v>
      </c>
      <c r="H161" s="287">
        <v>4</v>
      </c>
      <c r="I161" s="288">
        <v>175</v>
      </c>
      <c r="J161" s="289">
        <v>0</v>
      </c>
      <c r="K161" s="287">
        <v>2</v>
      </c>
      <c r="L161" s="288">
        <v>72</v>
      </c>
      <c r="M161" s="286">
        <v>0.34797499021983075</v>
      </c>
      <c r="N161" s="287">
        <v>3</v>
      </c>
      <c r="O161" s="288">
        <v>142</v>
      </c>
      <c r="P161" s="290">
        <v>1.0775967413441956</v>
      </c>
      <c r="Q161" s="287">
        <v>3</v>
      </c>
      <c r="R161" s="288">
        <v>128</v>
      </c>
      <c r="S161" s="291">
        <v>4454.7748447204967</v>
      </c>
      <c r="T161" s="287">
        <v>3</v>
      </c>
      <c r="U161" s="288">
        <v>111</v>
      </c>
      <c r="V161" s="286">
        <v>0.16449272489394601</v>
      </c>
      <c r="W161" s="287">
        <v>3</v>
      </c>
      <c r="X161" s="288">
        <v>134</v>
      </c>
      <c r="Y161" s="286">
        <v>0.19349736379613358</v>
      </c>
      <c r="Z161" s="287">
        <v>2</v>
      </c>
      <c r="AA161" s="288">
        <v>90</v>
      </c>
      <c r="AB161" s="286">
        <v>3.7777087860912759E-2</v>
      </c>
      <c r="AC161" s="287">
        <v>1</v>
      </c>
      <c r="AD161" s="288">
        <v>41</v>
      </c>
      <c r="AE161" s="292" vm="5916">
        <v>5078</v>
      </c>
      <c r="AF161" s="293">
        <v>4.8143053645116916E-2</v>
      </c>
      <c r="AG161" s="293">
        <v>0</v>
      </c>
      <c r="AH161" s="293">
        <v>4.8143053645116916E-2</v>
      </c>
      <c r="AI161" s="285" t="str">
        <v>Traditional</v>
      </c>
      <c r="AJ161" s="294" t="str">
        <v>East Midlands</v>
      </c>
      <c r="AM161" s="295" t="s">
        <v>665</v>
      </c>
    </row>
    <row r="162" spans="1:39" x14ac:dyDescent="0.25">
      <c r="A162" s="283"/>
      <c r="B162" s="284" t="str" vm="169">
        <v>The Industrial Dwellings Society (1885) Limited</v>
      </c>
      <c r="C162" s="285" t="str" vm="208">
        <v>L0266</v>
      </c>
      <c r="D162" s="286">
        <v>0.20296282954724543</v>
      </c>
      <c r="E162" s="287">
        <v>1</v>
      </c>
      <c r="F162" s="288">
        <v>2</v>
      </c>
      <c r="G162" s="286">
        <v>8.4151472650771386E-3</v>
      </c>
      <c r="H162" s="287">
        <v>3</v>
      </c>
      <c r="I162" s="288">
        <v>136</v>
      </c>
      <c r="J162" s="289">
        <v>0</v>
      </c>
      <c r="K162" s="287">
        <v>2</v>
      </c>
      <c r="L162" s="288">
        <v>72</v>
      </c>
      <c r="M162" s="286">
        <v>0.34698426278226807</v>
      </c>
      <c r="N162" s="287">
        <v>3</v>
      </c>
      <c r="O162" s="288">
        <v>143</v>
      </c>
      <c r="P162" s="290">
        <v>-2.0852211434735706</v>
      </c>
      <c r="Q162" s="287">
        <v>4</v>
      </c>
      <c r="R162" s="288">
        <v>190</v>
      </c>
      <c r="S162" s="291">
        <v>8680.6429070580016</v>
      </c>
      <c r="T162" s="287">
        <v>1</v>
      </c>
      <c r="U162" s="288">
        <v>19</v>
      </c>
      <c r="V162" s="286">
        <v>0.10220230717894938</v>
      </c>
      <c r="W162" s="287">
        <v>4</v>
      </c>
      <c r="X162" s="288">
        <v>175</v>
      </c>
      <c r="Y162" s="286">
        <v>8.9625708182409211E-2</v>
      </c>
      <c r="Z162" s="287">
        <v>4</v>
      </c>
      <c r="AA162" s="288">
        <v>167</v>
      </c>
      <c r="AB162" s="286">
        <v>9.7349864315474082E-3</v>
      </c>
      <c r="AC162" s="287">
        <v>4</v>
      </c>
      <c r="AD162" s="288">
        <v>189</v>
      </c>
      <c r="AE162" s="292" vm="773">
        <v>1426</v>
      </c>
      <c r="AF162" s="293">
        <v>2.0847810979847115E-3</v>
      </c>
      <c r="AG162" s="293">
        <v>0.14176511466296038</v>
      </c>
      <c r="AH162" s="293">
        <v>0.14384989576094509</v>
      </c>
      <c r="AI162" s="285" t="str">
        <v>Traditional</v>
      </c>
      <c r="AJ162" s="294" t="str">
        <v>London</v>
      </c>
      <c r="AM162" s="295" t="s">
        <v>665</v>
      </c>
    </row>
    <row r="163" spans="1:39" x14ac:dyDescent="0.25">
      <c r="A163" s="283"/>
      <c r="B163" s="284" t="str" vm="49">
        <v>English Rural Housing Association Limited</v>
      </c>
      <c r="C163" s="285" t="str" vm="234">
        <v>L4004</v>
      </c>
      <c r="D163" s="286">
        <v>7.2708878351863959E-2</v>
      </c>
      <c r="E163" s="287">
        <v>2</v>
      </c>
      <c r="F163" s="288">
        <v>88</v>
      </c>
      <c r="G163" s="286">
        <v>1.2658227848101266E-2</v>
      </c>
      <c r="H163" s="287">
        <v>3</v>
      </c>
      <c r="I163" s="288">
        <v>102</v>
      </c>
      <c r="J163" s="289">
        <v>1.4892032762472078E-3</v>
      </c>
      <c r="K163" s="287">
        <v>1</v>
      </c>
      <c r="L163" s="288">
        <v>38</v>
      </c>
      <c r="M163" s="286">
        <v>0.34692813930673644</v>
      </c>
      <c r="N163" s="287">
        <v>3</v>
      </c>
      <c r="O163" s="288">
        <v>144</v>
      </c>
      <c r="P163" s="290">
        <v>1.8363903154805576</v>
      </c>
      <c r="Q163" s="287">
        <v>1</v>
      </c>
      <c r="R163" s="288">
        <v>41</v>
      </c>
      <c r="S163" s="291">
        <v>3644.3949517446176</v>
      </c>
      <c r="T163" s="287">
        <v>4</v>
      </c>
      <c r="U163" s="288">
        <v>187</v>
      </c>
      <c r="V163" s="286">
        <v>0.21443298969072164</v>
      </c>
      <c r="W163" s="287">
        <v>2</v>
      </c>
      <c r="X163" s="288">
        <v>85</v>
      </c>
      <c r="Y163" s="286">
        <v>0.2211699164345404</v>
      </c>
      <c r="Z163" s="287">
        <v>2</v>
      </c>
      <c r="AA163" s="288">
        <v>63</v>
      </c>
      <c r="AB163" s="286">
        <v>2.4493184113934811E-2</v>
      </c>
      <c r="AC163" s="287">
        <v>3</v>
      </c>
      <c r="AD163" s="288">
        <v>131</v>
      </c>
      <c r="AE163" s="292" vm="8419">
        <v>1343</v>
      </c>
      <c r="AF163" s="293">
        <v>0</v>
      </c>
      <c r="AG163" s="293">
        <v>0</v>
      </c>
      <c r="AH163" s="293">
        <v>0</v>
      </c>
      <c r="AI163" s="285" t="str">
        <v>Traditional</v>
      </c>
      <c r="AJ163" s="294" t="str">
        <v>South East</v>
      </c>
      <c r="AM163" s="295" t="s">
        <v>665</v>
      </c>
    </row>
    <row r="164" spans="1:39" x14ac:dyDescent="0.25">
      <c r="A164" s="283"/>
      <c r="B164" s="284" t="str" vm="136">
        <v>Red Kite Community Housing Limited</v>
      </c>
      <c r="C164" s="285" t="str" vm="356">
        <v>4682</v>
      </c>
      <c r="D164" s="286">
        <v>9.7255166154378778E-2</v>
      </c>
      <c r="E164" s="287">
        <v>1</v>
      </c>
      <c r="F164" s="288">
        <v>44</v>
      </c>
      <c r="G164" s="286">
        <v>1.4479638009049773E-3</v>
      </c>
      <c r="H164" s="287">
        <v>4</v>
      </c>
      <c r="I164" s="288">
        <v>178</v>
      </c>
      <c r="J164" s="289">
        <v>2.1621621621621622E-3</v>
      </c>
      <c r="K164" s="287">
        <v>1</v>
      </c>
      <c r="L164" s="288">
        <v>34</v>
      </c>
      <c r="M164" s="286">
        <v>0.34590894842968556</v>
      </c>
      <c r="N164" s="287">
        <v>3</v>
      </c>
      <c r="O164" s="288">
        <v>145</v>
      </c>
      <c r="P164" s="290">
        <v>1.5226420536486875</v>
      </c>
      <c r="Q164" s="287">
        <v>2</v>
      </c>
      <c r="R164" s="288">
        <v>60</v>
      </c>
      <c r="S164" s="291">
        <v>5455.2036199095028</v>
      </c>
      <c r="T164" s="287">
        <v>2</v>
      </c>
      <c r="U164" s="288">
        <v>61</v>
      </c>
      <c r="V164" s="286">
        <v>0.2345011186949503</v>
      </c>
      <c r="W164" s="287">
        <v>2</v>
      </c>
      <c r="X164" s="288">
        <v>67</v>
      </c>
      <c r="Y164" s="286">
        <v>0.16764953664700927</v>
      </c>
      <c r="Z164" s="287">
        <v>3</v>
      </c>
      <c r="AA164" s="288">
        <v>114</v>
      </c>
      <c r="AB164" s="286">
        <v>2.8432663124116912E-2</v>
      </c>
      <c r="AC164" s="287">
        <v>2</v>
      </c>
      <c r="AD164" s="288">
        <v>99</v>
      </c>
      <c r="AE164" s="292" vm="5300">
        <v>5525</v>
      </c>
      <c r="AF164" s="293">
        <v>0</v>
      </c>
      <c r="AG164" s="293">
        <v>0.31312217194570136</v>
      </c>
      <c r="AH164" s="293">
        <v>0.31312217194570136</v>
      </c>
      <c r="AI164" s="285" t="str">
        <v>Traditional</v>
      </c>
      <c r="AJ164" s="294" t="str">
        <v>South East</v>
      </c>
      <c r="AM164" s="295" t="s">
        <v>665</v>
      </c>
    </row>
    <row r="165" spans="1:39" x14ac:dyDescent="0.25">
      <c r="A165" s="283"/>
      <c r="B165" s="284" t="str" vm="36">
        <v>Connect Housing Association Limited</v>
      </c>
      <c r="C165" s="285" t="str" vm="321">
        <v>L2285</v>
      </c>
      <c r="D165" s="286">
        <v>4.3062759430693251E-2</v>
      </c>
      <c r="E165" s="287">
        <v>4</v>
      </c>
      <c r="F165" s="288">
        <v>149</v>
      </c>
      <c r="G165" s="286">
        <v>7.0339976553341153E-3</v>
      </c>
      <c r="H165" s="287">
        <v>3</v>
      </c>
      <c r="I165" s="288">
        <v>144</v>
      </c>
      <c r="J165" s="289">
        <v>0</v>
      </c>
      <c r="K165" s="287">
        <v>2</v>
      </c>
      <c r="L165" s="288">
        <v>72</v>
      </c>
      <c r="M165" s="286">
        <v>0.33800946899233286</v>
      </c>
      <c r="N165" s="287">
        <v>3</v>
      </c>
      <c r="O165" s="288">
        <v>146</v>
      </c>
      <c r="P165" s="290">
        <v>1.2887788778877889</v>
      </c>
      <c r="Q165" s="287">
        <v>2</v>
      </c>
      <c r="R165" s="288">
        <v>96</v>
      </c>
      <c r="S165" s="291">
        <v>4788.1355932203387</v>
      </c>
      <c r="T165" s="287">
        <v>2</v>
      </c>
      <c r="U165" s="288">
        <v>85</v>
      </c>
      <c r="V165" s="286">
        <v>0.18121212121212121</v>
      </c>
      <c r="W165" s="287">
        <v>3</v>
      </c>
      <c r="X165" s="288">
        <v>122</v>
      </c>
      <c r="Y165" s="286">
        <v>0.17309514783927218</v>
      </c>
      <c r="Z165" s="287">
        <v>3</v>
      </c>
      <c r="AA165" s="288">
        <v>105</v>
      </c>
      <c r="AB165" s="286">
        <v>2.9641943734015345E-2</v>
      </c>
      <c r="AC165" s="287">
        <v>2</v>
      </c>
      <c r="AD165" s="288">
        <v>91</v>
      </c>
      <c r="AE165" s="292" vm="4069">
        <v>3412</v>
      </c>
      <c r="AF165" s="293">
        <v>5.2366863905325446E-2</v>
      </c>
      <c r="AG165" s="293">
        <v>0.23431952662721894</v>
      </c>
      <c r="AH165" s="293">
        <v>0.28668639053254441</v>
      </c>
      <c r="AI165" s="285" t="str">
        <v>Traditional</v>
      </c>
      <c r="AJ165" s="294" t="str">
        <v>Yorkshire &amp; the Humber</v>
      </c>
      <c r="AM165" s="295" t="s">
        <v>665</v>
      </c>
    </row>
    <row r="166" spans="1:39" x14ac:dyDescent="0.25">
      <c r="A166" s="283"/>
      <c r="B166" s="284" t="str" vm="146">
        <v>Selwood Housing Society Limited</v>
      </c>
      <c r="C166" s="285" t="str" vm="375">
        <v>LH4097</v>
      </c>
      <c r="D166" s="286">
        <v>7.0072373928431408E-2</v>
      </c>
      <c r="E166" s="287">
        <v>2</v>
      </c>
      <c r="F166" s="288">
        <v>90</v>
      </c>
      <c r="G166" s="286">
        <v>2.2266915673035483E-2</v>
      </c>
      <c r="H166" s="287">
        <v>2</v>
      </c>
      <c r="I166" s="288">
        <v>52</v>
      </c>
      <c r="J166" s="289">
        <v>0</v>
      </c>
      <c r="K166" s="287">
        <v>2</v>
      </c>
      <c r="L166" s="288">
        <v>72</v>
      </c>
      <c r="M166" s="286">
        <v>0.33533394792891885</v>
      </c>
      <c r="N166" s="287">
        <v>3</v>
      </c>
      <c r="O166" s="288">
        <v>147</v>
      </c>
      <c r="P166" s="290">
        <v>2.5457111834961998</v>
      </c>
      <c r="Q166" s="287">
        <v>1</v>
      </c>
      <c r="R166" s="288">
        <v>15</v>
      </c>
      <c r="S166" s="291">
        <v>4325.9589139491454</v>
      </c>
      <c r="T166" s="287">
        <v>3</v>
      </c>
      <c r="U166" s="288">
        <v>123</v>
      </c>
      <c r="V166" s="286">
        <v>0.19002845478164049</v>
      </c>
      <c r="W166" s="287">
        <v>3</v>
      </c>
      <c r="X166" s="288">
        <v>107</v>
      </c>
      <c r="Y166" s="286">
        <v>0.18197837579132856</v>
      </c>
      <c r="Z166" s="287">
        <v>3</v>
      </c>
      <c r="AA166" s="288">
        <v>100</v>
      </c>
      <c r="AB166" s="286">
        <v>2.1105305296869076E-2</v>
      </c>
      <c r="AC166" s="287">
        <v>4</v>
      </c>
      <c r="AD166" s="288">
        <v>155</v>
      </c>
      <c r="AE166" s="292" vm="5991">
        <v>6961</v>
      </c>
      <c r="AF166" s="293">
        <v>1.1590843233845263E-2</v>
      </c>
      <c r="AG166" s="293">
        <v>0.20501303969863807</v>
      </c>
      <c r="AH166" s="293">
        <v>0.21660388293248334</v>
      </c>
      <c r="AI166" s="285" t="str">
        <v>Traditional</v>
      </c>
      <c r="AJ166" s="294" t="str">
        <v>South West</v>
      </c>
      <c r="AM166" s="295" t="s">
        <v>665</v>
      </c>
    </row>
    <row r="167" spans="1:39" x14ac:dyDescent="0.25">
      <c r="A167" s="283"/>
      <c r="B167" s="284" t="str" vm="151">
        <v>South Lakes Housing</v>
      </c>
      <c r="C167" s="285" t="str" vm="320">
        <v>4686</v>
      </c>
      <c r="D167" s="286">
        <v>0.10198426885949231</v>
      </c>
      <c r="E167" s="287">
        <v>1</v>
      </c>
      <c r="F167" s="288">
        <v>36</v>
      </c>
      <c r="G167" s="286">
        <v>2.3939393939393941E-2</v>
      </c>
      <c r="H167" s="287">
        <v>1</v>
      </c>
      <c r="I167" s="288">
        <v>42</v>
      </c>
      <c r="J167" s="289">
        <v>0</v>
      </c>
      <c r="K167" s="287">
        <v>2</v>
      </c>
      <c r="L167" s="288">
        <v>72</v>
      </c>
      <c r="M167" s="286">
        <v>0.33383170279845287</v>
      </c>
      <c r="N167" s="287">
        <v>3</v>
      </c>
      <c r="O167" s="288">
        <v>148</v>
      </c>
      <c r="P167" s="290">
        <v>1.5220550077841204</v>
      </c>
      <c r="Q167" s="287">
        <v>2</v>
      </c>
      <c r="R167" s="288">
        <v>61</v>
      </c>
      <c r="S167" s="291">
        <v>4803.5190615835782</v>
      </c>
      <c r="T167" s="287">
        <v>2</v>
      </c>
      <c r="U167" s="288">
        <v>84</v>
      </c>
      <c r="V167" s="286">
        <v>0.19124437781109446</v>
      </c>
      <c r="W167" s="287">
        <v>3</v>
      </c>
      <c r="X167" s="288">
        <v>105</v>
      </c>
      <c r="Y167" s="286">
        <v>0.21537345902828137</v>
      </c>
      <c r="Z167" s="287">
        <v>2</v>
      </c>
      <c r="AA167" s="288">
        <v>68</v>
      </c>
      <c r="AB167" s="286">
        <v>3.1747687813380304E-2</v>
      </c>
      <c r="AC167" s="287">
        <v>2</v>
      </c>
      <c r="AD167" s="288">
        <v>74</v>
      </c>
      <c r="AE167" s="292" vm="4030">
        <v>3300</v>
      </c>
      <c r="AF167" s="293">
        <v>0</v>
      </c>
      <c r="AG167" s="293">
        <v>0.12855831037649221</v>
      </c>
      <c r="AH167" s="293">
        <v>0.12855831037649221</v>
      </c>
      <c r="AI167" s="285" t="str">
        <v>LSVT</v>
      </c>
      <c r="AJ167" s="294" t="str">
        <v>North West</v>
      </c>
      <c r="AM167" s="295" t="s">
        <v>665</v>
      </c>
    </row>
    <row r="168" spans="1:39" x14ac:dyDescent="0.25">
      <c r="A168" s="283"/>
      <c r="B168" s="284" t="str" vm="193">
        <v>Willow Tree Housing Partnership Limited</v>
      </c>
      <c r="C168" s="285" t="str" vm="222">
        <v>L2424</v>
      </c>
      <c r="D168" s="286">
        <v>2.7291899268080882E-2</v>
      </c>
      <c r="E168" s="287">
        <v>4</v>
      </c>
      <c r="F168" s="288">
        <v>178</v>
      </c>
      <c r="G168" s="286">
        <v>1.33422281521014E-3</v>
      </c>
      <c r="H168" s="287">
        <v>4</v>
      </c>
      <c r="I168" s="288">
        <v>179</v>
      </c>
      <c r="J168" s="289">
        <v>0</v>
      </c>
      <c r="K168" s="287">
        <v>2</v>
      </c>
      <c r="L168" s="288">
        <v>72</v>
      </c>
      <c r="M168" s="286">
        <v>0.33370549559607987</v>
      </c>
      <c r="N168" s="287">
        <v>4</v>
      </c>
      <c r="O168" s="288">
        <v>149</v>
      </c>
      <c r="P168" s="290">
        <v>0.63546423135464236</v>
      </c>
      <c r="Q168" s="287">
        <v>4</v>
      </c>
      <c r="R168" s="288">
        <v>163</v>
      </c>
      <c r="S168" s="291">
        <v>4728.2463186077648</v>
      </c>
      <c r="T168" s="287">
        <v>2</v>
      </c>
      <c r="U168" s="288">
        <v>87</v>
      </c>
      <c r="V168" s="286">
        <v>0.18181818181818182</v>
      </c>
      <c r="W168" s="287">
        <v>3</v>
      </c>
      <c r="X168" s="288">
        <v>121</v>
      </c>
      <c r="Y168" s="286">
        <v>0.16830120617743208</v>
      </c>
      <c r="Z168" s="287">
        <v>3</v>
      </c>
      <c r="AA168" s="288">
        <v>111</v>
      </c>
      <c r="AB168" s="286">
        <v>2.1070905441328051E-2</v>
      </c>
      <c r="AC168" s="287">
        <v>4</v>
      </c>
      <c r="AD168" s="288">
        <v>156</v>
      </c>
      <c r="AE168" s="292" vm="8528">
        <v>1494</v>
      </c>
      <c r="AF168" s="293">
        <v>0</v>
      </c>
      <c r="AG168" s="293">
        <v>4.992076069730586E-2</v>
      </c>
      <c r="AH168" s="293">
        <v>4.992076069730586E-2</v>
      </c>
      <c r="AI168" s="285" t="str">
        <v>Traditional</v>
      </c>
      <c r="AJ168" s="294" t="str">
        <v>South West</v>
      </c>
      <c r="AM168" s="295" t="s">
        <v>665</v>
      </c>
    </row>
    <row r="169" spans="1:39" x14ac:dyDescent="0.25">
      <c r="A169" s="283"/>
      <c r="B169" s="284" t="str" vm="170">
        <v>The Pioneer Housing and Community Group Limited</v>
      </c>
      <c r="C169" s="285" t="str" vm="235">
        <v>L4118</v>
      </c>
      <c r="D169" s="286">
        <v>7.2797289327304476E-2</v>
      </c>
      <c r="E169" s="287">
        <v>2</v>
      </c>
      <c r="F169" s="288">
        <v>86</v>
      </c>
      <c r="G169" s="286">
        <v>1.4437689969604863E-2</v>
      </c>
      <c r="H169" s="287">
        <v>2</v>
      </c>
      <c r="I169" s="288">
        <v>87</v>
      </c>
      <c r="J169" s="289">
        <v>0</v>
      </c>
      <c r="K169" s="287">
        <v>2</v>
      </c>
      <c r="L169" s="288">
        <v>72</v>
      </c>
      <c r="M169" s="286">
        <v>0.32920102228441245</v>
      </c>
      <c r="N169" s="287">
        <v>4</v>
      </c>
      <c r="O169" s="288">
        <v>150</v>
      </c>
      <c r="P169" s="290">
        <v>2.6511500547645124</v>
      </c>
      <c r="Q169" s="287">
        <v>1</v>
      </c>
      <c r="R169" s="288">
        <v>11</v>
      </c>
      <c r="S169" s="291">
        <v>3521.7211419114606</v>
      </c>
      <c r="T169" s="287">
        <v>4</v>
      </c>
      <c r="U169" s="288">
        <v>190</v>
      </c>
      <c r="V169" s="286">
        <v>0.32603497235091916</v>
      </c>
      <c r="W169" s="287">
        <v>1</v>
      </c>
      <c r="X169" s="288">
        <v>19</v>
      </c>
      <c r="Y169" s="286">
        <v>0.22647312092508304</v>
      </c>
      <c r="Z169" s="287">
        <v>2</v>
      </c>
      <c r="AA169" s="288">
        <v>57</v>
      </c>
      <c r="AB169" s="286">
        <v>3.0676850223043638E-2</v>
      </c>
      <c r="AC169" s="287">
        <v>2</v>
      </c>
      <c r="AD169" s="288">
        <v>80</v>
      </c>
      <c r="AE169" s="292" vm="8141">
        <v>2417</v>
      </c>
      <c r="AF169" s="293">
        <v>0</v>
      </c>
      <c r="AG169" s="293">
        <v>5.293631100082713E-2</v>
      </c>
      <c r="AH169" s="293">
        <v>5.293631100082713E-2</v>
      </c>
      <c r="AI169" s="285" t="str">
        <v>Traditional</v>
      </c>
      <c r="AJ169" s="294" t="str">
        <v>West Midlands</v>
      </c>
      <c r="AM169" s="295" t="s">
        <v>665</v>
      </c>
    </row>
    <row r="170" spans="1:39" x14ac:dyDescent="0.25">
      <c r="A170" s="283"/>
      <c r="B170" s="284" t="str" vm="38">
        <v>Cornerstone Housing Limited</v>
      </c>
      <c r="C170" s="285" t="str" vm="228">
        <v>L0147</v>
      </c>
      <c r="D170" s="286">
        <v>3.4832701549115004E-2</v>
      </c>
      <c r="E170" s="287">
        <v>4</v>
      </c>
      <c r="F170" s="288">
        <v>161</v>
      </c>
      <c r="G170" s="286">
        <v>7.2411296162201303E-3</v>
      </c>
      <c r="H170" s="287">
        <v>3</v>
      </c>
      <c r="I170" s="288">
        <v>142</v>
      </c>
      <c r="J170" s="289">
        <v>0</v>
      </c>
      <c r="K170" s="287">
        <v>2</v>
      </c>
      <c r="L170" s="288">
        <v>72</v>
      </c>
      <c r="M170" s="286">
        <v>0.3290899322448736</v>
      </c>
      <c r="N170" s="287">
        <v>4</v>
      </c>
      <c r="O170" s="288">
        <v>151</v>
      </c>
      <c r="P170" s="290">
        <v>1.8472949389179756</v>
      </c>
      <c r="Q170" s="287">
        <v>1</v>
      </c>
      <c r="R170" s="288">
        <v>40</v>
      </c>
      <c r="S170" s="291">
        <v>4014.2247510668562</v>
      </c>
      <c r="T170" s="287">
        <v>4</v>
      </c>
      <c r="U170" s="288">
        <v>161</v>
      </c>
      <c r="V170" s="286">
        <v>0.24533437013996889</v>
      </c>
      <c r="W170" s="287">
        <v>2</v>
      </c>
      <c r="X170" s="288">
        <v>61</v>
      </c>
      <c r="Y170" s="286">
        <v>0.22317431896661977</v>
      </c>
      <c r="Z170" s="287">
        <v>2</v>
      </c>
      <c r="AA170" s="288">
        <v>59</v>
      </c>
      <c r="AB170" s="286">
        <v>2.3612920031258141E-2</v>
      </c>
      <c r="AC170" s="287">
        <v>3</v>
      </c>
      <c r="AD170" s="288">
        <v>136</v>
      </c>
      <c r="AE170" s="292" vm="8485">
        <v>1381</v>
      </c>
      <c r="AF170" s="293">
        <v>0</v>
      </c>
      <c r="AG170" s="293">
        <v>0</v>
      </c>
      <c r="AH170" s="293">
        <v>0</v>
      </c>
      <c r="AI170" s="285" t="str">
        <v>Traditional</v>
      </c>
      <c r="AJ170" s="294" t="str">
        <v>South West</v>
      </c>
      <c r="AM170" s="295" t="s">
        <v>665</v>
      </c>
    </row>
    <row r="171" spans="1:39" x14ac:dyDescent="0.25">
      <c r="A171" s="283"/>
      <c r="B171" s="284" t="str" vm="161">
        <v>Teign Housing</v>
      </c>
      <c r="C171" s="285" t="str" vm="327">
        <v>LH4403</v>
      </c>
      <c r="D171" s="286">
        <v>9.6912834453421928E-2</v>
      </c>
      <c r="E171" s="287">
        <v>1</v>
      </c>
      <c r="F171" s="288">
        <v>45</v>
      </c>
      <c r="G171" s="286">
        <v>1.2204424103737605E-2</v>
      </c>
      <c r="H171" s="287">
        <v>3</v>
      </c>
      <c r="I171" s="288">
        <v>106</v>
      </c>
      <c r="J171" s="289">
        <v>0</v>
      </c>
      <c r="K171" s="287">
        <v>2</v>
      </c>
      <c r="L171" s="288">
        <v>72</v>
      </c>
      <c r="M171" s="286">
        <v>0.32829922726471844</v>
      </c>
      <c r="N171" s="287">
        <v>4</v>
      </c>
      <c r="O171" s="288">
        <v>152</v>
      </c>
      <c r="P171" s="290">
        <v>1.4733952702702702</v>
      </c>
      <c r="Q171" s="287">
        <v>2</v>
      </c>
      <c r="R171" s="288">
        <v>67</v>
      </c>
      <c r="S171" s="291">
        <v>4341.3802151666232</v>
      </c>
      <c r="T171" s="287">
        <v>3</v>
      </c>
      <c r="U171" s="288">
        <v>121</v>
      </c>
      <c r="V171" s="286">
        <v>0.20203743923880443</v>
      </c>
      <c r="W171" s="287">
        <v>2</v>
      </c>
      <c r="X171" s="288">
        <v>95</v>
      </c>
      <c r="Y171" s="286">
        <v>0.20154277699859749</v>
      </c>
      <c r="Z171" s="287">
        <v>2</v>
      </c>
      <c r="AA171" s="288">
        <v>82</v>
      </c>
      <c r="AB171" s="286">
        <v>2.6553369111508646E-2</v>
      </c>
      <c r="AC171" s="287">
        <v>3</v>
      </c>
      <c r="AD171" s="288">
        <v>115</v>
      </c>
      <c r="AE171" s="292" vm="4282">
        <v>3782</v>
      </c>
      <c r="AF171" s="293">
        <v>0</v>
      </c>
      <c r="AG171" s="293">
        <v>0.26466684364215554</v>
      </c>
      <c r="AH171" s="293">
        <v>0.26466684364215554</v>
      </c>
      <c r="AI171" s="285" t="str">
        <v>Traditional</v>
      </c>
      <c r="AJ171" s="294" t="str">
        <v>South West</v>
      </c>
      <c r="AM171" s="295" t="s">
        <v>665</v>
      </c>
    </row>
    <row r="172" spans="1:39" x14ac:dyDescent="0.25">
      <c r="A172" s="283"/>
      <c r="B172" s="284" t="str" vm="97">
        <v>Magenta Living</v>
      </c>
      <c r="C172" s="285" t="str" vm="276">
        <v>L4435</v>
      </c>
      <c r="D172" s="286">
        <v>6.4939281771543608E-2</v>
      </c>
      <c r="E172" s="287">
        <v>3</v>
      </c>
      <c r="F172" s="288">
        <v>105</v>
      </c>
      <c r="G172" s="286">
        <v>2.7420214791682536E-3</v>
      </c>
      <c r="H172" s="287">
        <v>4</v>
      </c>
      <c r="I172" s="288">
        <v>172</v>
      </c>
      <c r="J172" s="289">
        <v>0</v>
      </c>
      <c r="K172" s="287">
        <v>2</v>
      </c>
      <c r="L172" s="288">
        <v>72</v>
      </c>
      <c r="M172" s="286">
        <v>0.31718076931402472</v>
      </c>
      <c r="N172" s="287">
        <v>4</v>
      </c>
      <c r="O172" s="288">
        <v>153</v>
      </c>
      <c r="P172" s="290">
        <v>1.2447280799112097</v>
      </c>
      <c r="Q172" s="287">
        <v>3</v>
      </c>
      <c r="R172" s="288">
        <v>101</v>
      </c>
      <c r="S172" s="291">
        <v>4956.1749842072022</v>
      </c>
      <c r="T172" s="287">
        <v>2</v>
      </c>
      <c r="U172" s="288">
        <v>78</v>
      </c>
      <c r="V172" s="286">
        <v>-5.945618420056048E-2</v>
      </c>
      <c r="W172" s="287">
        <v>4</v>
      </c>
      <c r="X172" s="288">
        <v>196</v>
      </c>
      <c r="Y172" s="286">
        <v>-3.540026435262341E-2</v>
      </c>
      <c r="Z172" s="287">
        <v>4</v>
      </c>
      <c r="AA172" s="288">
        <v>195</v>
      </c>
      <c r="AB172" s="286">
        <v>5.3010513879778905E-3</v>
      </c>
      <c r="AC172" s="287">
        <v>4</v>
      </c>
      <c r="AD172" s="288">
        <v>193</v>
      </c>
      <c r="AE172" s="292" vm="2535">
        <v>12634</v>
      </c>
      <c r="AF172" s="293">
        <v>1.9891788669637173E-3</v>
      </c>
      <c r="AG172" s="293">
        <v>0.12866008911521323</v>
      </c>
      <c r="AH172" s="293">
        <v>0.13064926798217696</v>
      </c>
      <c r="AI172" s="285" t="str">
        <v>Traditional</v>
      </c>
      <c r="AJ172" s="294" t="str">
        <v>North West</v>
      </c>
      <c r="AM172" s="295" t="s">
        <v>665</v>
      </c>
    </row>
    <row r="173" spans="1:39" x14ac:dyDescent="0.25">
      <c r="A173" s="283"/>
      <c r="B173" s="284" t="str" vm="196">
        <v>YMCA St Paul's Group</v>
      </c>
      <c r="C173" s="285" t="str" vm="205">
        <v>LH4078</v>
      </c>
      <c r="D173" s="286">
        <v>0.19065492276382076</v>
      </c>
      <c r="E173" s="287">
        <v>1</v>
      </c>
      <c r="F173" s="288">
        <v>3</v>
      </c>
      <c r="G173" s="286">
        <v>6.7170445004198151E-3</v>
      </c>
      <c r="H173" s="287">
        <v>3</v>
      </c>
      <c r="I173" s="288">
        <v>147</v>
      </c>
      <c r="J173" s="289">
        <v>0</v>
      </c>
      <c r="K173" s="287">
        <v>2</v>
      </c>
      <c r="L173" s="288">
        <v>72</v>
      </c>
      <c r="M173" s="286">
        <v>0.31022920628565709</v>
      </c>
      <c r="N173" s="287">
        <v>4</v>
      </c>
      <c r="O173" s="288">
        <v>154</v>
      </c>
      <c r="P173" s="290">
        <v>1.2991666666666666</v>
      </c>
      <c r="Q173" s="287">
        <v>2</v>
      </c>
      <c r="R173" s="288">
        <v>94</v>
      </c>
      <c r="S173" s="291">
        <v>13816.762530813476</v>
      </c>
      <c r="T173" s="287">
        <v>1</v>
      </c>
      <c r="U173" s="288">
        <v>8</v>
      </c>
      <c r="V173" s="286">
        <v>0.13681087762669963</v>
      </c>
      <c r="W173" s="287">
        <v>4</v>
      </c>
      <c r="X173" s="288">
        <v>154</v>
      </c>
      <c r="Y173" s="286">
        <v>4.2466638786450212E-2</v>
      </c>
      <c r="Z173" s="287">
        <v>4</v>
      </c>
      <c r="AA173" s="288">
        <v>186</v>
      </c>
      <c r="AB173" s="286">
        <v>1.6793961991821024E-2</v>
      </c>
      <c r="AC173" s="287">
        <v>4</v>
      </c>
      <c r="AD173" s="288">
        <v>174</v>
      </c>
      <c r="AE173" s="292" vm="722">
        <v>1191</v>
      </c>
      <c r="AF173" s="293">
        <v>0.91267842149454237</v>
      </c>
      <c r="AG173" s="293">
        <v>0</v>
      </c>
      <c r="AH173" s="293">
        <v>0.91267842149454237</v>
      </c>
      <c r="AI173" s="285" t="str">
        <v>Traditional</v>
      </c>
      <c r="AJ173" s="294" t="str">
        <v>London</v>
      </c>
      <c r="AM173" s="295" t="s">
        <v>665</v>
      </c>
    </row>
    <row r="174" spans="1:39" x14ac:dyDescent="0.25">
      <c r="A174" s="283"/>
      <c r="B174" s="284" t="str" vm="15">
        <v>Black Country Housing Group Limited</v>
      </c>
      <c r="C174" s="285" t="str" vm="215">
        <v>L1668</v>
      </c>
      <c r="D174" s="286">
        <v>6.1655982495873479E-2</v>
      </c>
      <c r="E174" s="287">
        <v>3</v>
      </c>
      <c r="F174" s="288">
        <v>113</v>
      </c>
      <c r="G174" s="286">
        <v>1.3444598980064905E-2</v>
      </c>
      <c r="H174" s="287">
        <v>2</v>
      </c>
      <c r="I174" s="288">
        <v>96</v>
      </c>
      <c r="J174" s="289">
        <v>0</v>
      </c>
      <c r="K174" s="287">
        <v>2</v>
      </c>
      <c r="L174" s="288">
        <v>72</v>
      </c>
      <c r="M174" s="286">
        <v>0.30837203946105718</v>
      </c>
      <c r="N174" s="287">
        <v>4</v>
      </c>
      <c r="O174" s="288">
        <v>155</v>
      </c>
      <c r="P174" s="290">
        <v>1.8504672897196262</v>
      </c>
      <c r="Q174" s="287">
        <v>1</v>
      </c>
      <c r="R174" s="288">
        <v>39</v>
      </c>
      <c r="S174" s="291">
        <v>6270.3842549203373</v>
      </c>
      <c r="T174" s="287">
        <v>1</v>
      </c>
      <c r="U174" s="288">
        <v>43</v>
      </c>
      <c r="V174" s="286">
        <v>0.27507430997876858</v>
      </c>
      <c r="W174" s="287">
        <v>1</v>
      </c>
      <c r="X174" s="288">
        <v>40</v>
      </c>
      <c r="Y174" s="286">
        <v>0.15550484883057616</v>
      </c>
      <c r="Z174" s="287">
        <v>3</v>
      </c>
      <c r="AA174" s="288">
        <v>126</v>
      </c>
      <c r="AB174" s="286">
        <v>4.0478571978148803E-2</v>
      </c>
      <c r="AC174" s="287">
        <v>1</v>
      </c>
      <c r="AD174" s="288">
        <v>28</v>
      </c>
      <c r="AE174" s="292" vm="8736">
        <v>2134</v>
      </c>
      <c r="AF174" s="293">
        <v>2.9439252336448597E-2</v>
      </c>
      <c r="AG174" s="293">
        <v>0.10700934579439253</v>
      </c>
      <c r="AH174" s="293">
        <v>0.13644859813084112</v>
      </c>
      <c r="AI174" s="285" t="str">
        <v>Traditional</v>
      </c>
      <c r="AJ174" s="294" t="str">
        <v>West Midlands</v>
      </c>
      <c r="AM174" s="295" t="s">
        <v>665</v>
      </c>
    </row>
    <row r="175" spans="1:39" x14ac:dyDescent="0.25">
      <c r="A175" s="283"/>
      <c r="B175" s="284" t="str" vm="101">
        <v>Moat Homes Limited</v>
      </c>
      <c r="C175" s="285" t="str" vm="300">
        <v>L0386</v>
      </c>
      <c r="D175" s="286">
        <v>5.4514056998885972E-2</v>
      </c>
      <c r="E175" s="287">
        <v>3</v>
      </c>
      <c r="F175" s="288">
        <v>134</v>
      </c>
      <c r="G175" s="286">
        <v>2.2297749626654307E-2</v>
      </c>
      <c r="H175" s="287">
        <v>2</v>
      </c>
      <c r="I175" s="288">
        <v>51</v>
      </c>
      <c r="J175" s="289">
        <v>1.3355249640435586E-3</v>
      </c>
      <c r="K175" s="287">
        <v>1</v>
      </c>
      <c r="L175" s="288">
        <v>42</v>
      </c>
      <c r="M175" s="286">
        <v>0.30766283885099721</v>
      </c>
      <c r="N175" s="287">
        <v>4</v>
      </c>
      <c r="O175" s="288">
        <v>156</v>
      </c>
      <c r="P175" s="290">
        <v>2.0294516931895314</v>
      </c>
      <c r="Q175" s="287">
        <v>1</v>
      </c>
      <c r="R175" s="288">
        <v>30</v>
      </c>
      <c r="S175" s="291">
        <v>3835.0327358591821</v>
      </c>
      <c r="T175" s="287">
        <v>4</v>
      </c>
      <c r="U175" s="288">
        <v>177</v>
      </c>
      <c r="V175" s="286">
        <v>0.34568782938481996</v>
      </c>
      <c r="W175" s="287">
        <v>1</v>
      </c>
      <c r="X175" s="288">
        <v>13</v>
      </c>
      <c r="Y175" s="286">
        <v>0.28692772818888568</v>
      </c>
      <c r="Z175" s="287">
        <v>1</v>
      </c>
      <c r="AA175" s="288">
        <v>19</v>
      </c>
      <c r="AB175" s="286">
        <v>3.509895508665864E-2</v>
      </c>
      <c r="AC175" s="287">
        <v>2</v>
      </c>
      <c r="AD175" s="288">
        <v>58</v>
      </c>
      <c r="AE175" s="292" vm="3351">
        <v>18326</v>
      </c>
      <c r="AF175" s="293">
        <v>1.1748633879781421E-2</v>
      </c>
      <c r="AG175" s="293">
        <v>8.0327868852459017E-2</v>
      </c>
      <c r="AH175" s="293">
        <v>9.2076502732240439E-2</v>
      </c>
      <c r="AI175" s="285" t="str">
        <v>Traditional</v>
      </c>
      <c r="AJ175" s="294" t="str">
        <v>South East</v>
      </c>
      <c r="AM175" s="295" t="s">
        <v>665</v>
      </c>
    </row>
    <row r="176" spans="1:39" x14ac:dyDescent="0.25">
      <c r="A176" s="283"/>
      <c r="B176" s="284" t="str" vm="81">
        <v>Inquilab Housing Association Limited</v>
      </c>
      <c r="C176" s="285" t="str" vm="216">
        <v>LH3728</v>
      </c>
      <c r="D176" s="286">
        <v>7.7051904551709814E-3</v>
      </c>
      <c r="E176" s="287">
        <v>4</v>
      </c>
      <c r="F176" s="288">
        <v>197</v>
      </c>
      <c r="G176" s="286">
        <v>0</v>
      </c>
      <c r="H176" s="287">
        <v>4</v>
      </c>
      <c r="I176" s="288">
        <v>187</v>
      </c>
      <c r="J176" s="289">
        <v>0</v>
      </c>
      <c r="K176" s="287">
        <v>2</v>
      </c>
      <c r="L176" s="288">
        <v>72</v>
      </c>
      <c r="M176" s="286">
        <v>0.30246280476722148</v>
      </c>
      <c r="N176" s="287">
        <v>4</v>
      </c>
      <c r="O176" s="288">
        <v>157</v>
      </c>
      <c r="P176" s="290">
        <v>0.8956086286594761</v>
      </c>
      <c r="Q176" s="287">
        <v>3</v>
      </c>
      <c r="R176" s="288">
        <v>147</v>
      </c>
      <c r="S176" s="291">
        <v>6002.2522522522522</v>
      </c>
      <c r="T176" s="287">
        <v>1</v>
      </c>
      <c r="U176" s="288">
        <v>48</v>
      </c>
      <c r="V176" s="286">
        <v>0.19708503527664314</v>
      </c>
      <c r="W176" s="287">
        <v>3</v>
      </c>
      <c r="X176" s="288">
        <v>100</v>
      </c>
      <c r="Y176" s="286">
        <v>0.19397031539888682</v>
      </c>
      <c r="Z176" s="287">
        <v>2</v>
      </c>
      <c r="AA176" s="288">
        <v>89</v>
      </c>
      <c r="AB176" s="286">
        <v>1.621362681635611E-2</v>
      </c>
      <c r="AC176" s="287">
        <v>4</v>
      </c>
      <c r="AD176" s="288">
        <v>179</v>
      </c>
      <c r="AE176" s="292" vm="933">
        <v>1332</v>
      </c>
      <c r="AF176" s="293">
        <v>0</v>
      </c>
      <c r="AG176" s="293">
        <v>0</v>
      </c>
      <c r="AH176" s="293">
        <v>0</v>
      </c>
      <c r="AI176" s="285" t="str">
        <v>Traditional</v>
      </c>
      <c r="AJ176" s="294" t="str">
        <v>London</v>
      </c>
      <c r="AM176" s="295" t="s">
        <v>665</v>
      </c>
    </row>
    <row r="177" spans="1:39" x14ac:dyDescent="0.25">
      <c r="A177" s="283"/>
      <c r="B177" s="284" t="str" vm="100">
        <v>Midland Heart Limited</v>
      </c>
      <c r="C177" s="285" t="str" vm="258">
        <v>L4466</v>
      </c>
      <c r="D177" s="286">
        <v>6.8243380423946315E-2</v>
      </c>
      <c r="E177" s="287">
        <v>2</v>
      </c>
      <c r="F177" s="288">
        <v>94</v>
      </c>
      <c r="G177" s="286">
        <v>2.0884126780443987E-2</v>
      </c>
      <c r="H177" s="287">
        <v>2</v>
      </c>
      <c r="I177" s="288">
        <v>57</v>
      </c>
      <c r="J177" s="289">
        <v>6.6615911686334218E-4</v>
      </c>
      <c r="K177" s="287">
        <v>2</v>
      </c>
      <c r="L177" s="288">
        <v>54</v>
      </c>
      <c r="M177" s="286">
        <v>0.30165726124513259</v>
      </c>
      <c r="N177" s="287">
        <v>4</v>
      </c>
      <c r="O177" s="288">
        <v>158</v>
      </c>
      <c r="P177" s="290">
        <v>2.375151004868763</v>
      </c>
      <c r="Q177" s="287">
        <v>1</v>
      </c>
      <c r="R177" s="288">
        <v>18</v>
      </c>
      <c r="S177" s="291">
        <v>4069.6675098284222</v>
      </c>
      <c r="T177" s="287">
        <v>4</v>
      </c>
      <c r="U177" s="288">
        <v>150</v>
      </c>
      <c r="V177" s="286">
        <v>0.28180155083882502</v>
      </c>
      <c r="W177" s="287">
        <v>1</v>
      </c>
      <c r="X177" s="288">
        <v>36</v>
      </c>
      <c r="Y177" s="286">
        <v>0.26814002812863197</v>
      </c>
      <c r="Z177" s="287">
        <v>1</v>
      </c>
      <c r="AA177" s="288">
        <v>25</v>
      </c>
      <c r="AB177" s="286">
        <v>3.3220947348259242E-2</v>
      </c>
      <c r="AC177" s="287">
        <v>2</v>
      </c>
      <c r="AD177" s="288">
        <v>65</v>
      </c>
      <c r="AE177" s="292" vm="1982">
        <v>31172</v>
      </c>
      <c r="AF177" s="293">
        <v>3.2362564384981696E-2</v>
      </c>
      <c r="AG177" s="293">
        <v>8.8924163400174935E-2</v>
      </c>
      <c r="AH177" s="293">
        <v>0.12128672778515663</v>
      </c>
      <c r="AI177" s="285" t="str">
        <v>Traditional</v>
      </c>
      <c r="AJ177" s="294" t="str">
        <v>West Midlands</v>
      </c>
      <c r="AM177" s="295" t="s">
        <v>665</v>
      </c>
    </row>
    <row r="178" spans="1:39" x14ac:dyDescent="0.25">
      <c r="A178" s="283"/>
      <c r="B178" s="284" t="str" vm="86">
        <v>Joseph Rowntree Housing Trust</v>
      </c>
      <c r="C178" s="285" t="str" vm="207">
        <v>5079</v>
      </c>
      <c r="D178" s="286">
        <v>2.0537136398000602E-2</v>
      </c>
      <c r="E178" s="287">
        <v>4</v>
      </c>
      <c r="F178" s="288">
        <v>188</v>
      </c>
      <c r="G178" s="286">
        <v>8.2610491532424622E-4</v>
      </c>
      <c r="H178" s="287">
        <v>4</v>
      </c>
      <c r="I178" s="288">
        <v>182</v>
      </c>
      <c r="J178" s="289">
        <v>0</v>
      </c>
      <c r="K178" s="287">
        <v>2</v>
      </c>
      <c r="L178" s="288">
        <v>72</v>
      </c>
      <c r="M178" s="286">
        <v>0.29780315763977072</v>
      </c>
      <c r="N178" s="287">
        <v>4</v>
      </c>
      <c r="O178" s="288">
        <v>159</v>
      </c>
      <c r="P178" s="290">
        <v>0.24505622334238078</v>
      </c>
      <c r="Q178" s="287">
        <v>4</v>
      </c>
      <c r="R178" s="288">
        <v>178</v>
      </c>
      <c r="S178" s="291">
        <v>8779.0157845868143</v>
      </c>
      <c r="T178" s="287">
        <v>1</v>
      </c>
      <c r="U178" s="288">
        <v>18</v>
      </c>
      <c r="V178" s="286">
        <v>1.0959257349149047E-2</v>
      </c>
      <c r="W178" s="287">
        <v>4</v>
      </c>
      <c r="X178" s="288">
        <v>192</v>
      </c>
      <c r="Y178" s="286">
        <v>-2.6142242230383445E-2</v>
      </c>
      <c r="Z178" s="287">
        <v>4</v>
      </c>
      <c r="AA178" s="288">
        <v>194</v>
      </c>
      <c r="AB178" s="286">
        <v>7.6261008807045633E-3</v>
      </c>
      <c r="AC178" s="287">
        <v>4</v>
      </c>
      <c r="AD178" s="288">
        <v>191</v>
      </c>
      <c r="AE178" s="292" vm="9045">
        <v>2154</v>
      </c>
      <c r="AF178" s="293">
        <v>2.1561017680034499E-2</v>
      </c>
      <c r="AG178" s="293">
        <v>0.13885295385942217</v>
      </c>
      <c r="AH178" s="293">
        <v>0.16041397153945666</v>
      </c>
      <c r="AI178" s="285" t="str">
        <v>Traditional</v>
      </c>
      <c r="AJ178" s="294" t="str">
        <v>Yorkshire &amp; the Humber</v>
      </c>
      <c r="AM178" s="295" t="s">
        <v>665</v>
      </c>
    </row>
    <row r="179" spans="1:39" x14ac:dyDescent="0.25">
      <c r="A179" s="283"/>
      <c r="B179" s="284" t="str" vm="186">
        <v>Wandle Housing Association Limited</v>
      </c>
      <c r="C179" s="285" t="str" vm="351">
        <v>L0277</v>
      </c>
      <c r="D179" s="286">
        <v>1.62716949042442E-2</v>
      </c>
      <c r="E179" s="287">
        <v>4</v>
      </c>
      <c r="F179" s="288">
        <v>192</v>
      </c>
      <c r="G179" s="286">
        <v>4.4336960902861752E-3</v>
      </c>
      <c r="H179" s="287">
        <v>4</v>
      </c>
      <c r="I179" s="288">
        <v>162</v>
      </c>
      <c r="J179" s="289">
        <v>0</v>
      </c>
      <c r="K179" s="287">
        <v>2</v>
      </c>
      <c r="L179" s="288">
        <v>72</v>
      </c>
      <c r="M179" s="286">
        <v>0.29661208123446148</v>
      </c>
      <c r="N179" s="287">
        <v>4</v>
      </c>
      <c r="O179" s="288">
        <v>160</v>
      </c>
      <c r="P179" s="290">
        <v>0.78981065249965943</v>
      </c>
      <c r="Q179" s="287">
        <v>4</v>
      </c>
      <c r="R179" s="288">
        <v>154</v>
      </c>
      <c r="S179" s="291">
        <v>6134.0101522842642</v>
      </c>
      <c r="T179" s="287">
        <v>1</v>
      </c>
      <c r="U179" s="288">
        <v>47</v>
      </c>
      <c r="V179" s="286">
        <v>0.18890222509463578</v>
      </c>
      <c r="W179" s="287">
        <v>3</v>
      </c>
      <c r="X179" s="288">
        <v>108</v>
      </c>
      <c r="Y179" s="286">
        <v>0.16142880140232888</v>
      </c>
      <c r="Z179" s="287">
        <v>3</v>
      </c>
      <c r="AA179" s="288">
        <v>121</v>
      </c>
      <c r="AB179" s="286">
        <v>3.5069402993173654E-2</v>
      </c>
      <c r="AC179" s="287">
        <v>2</v>
      </c>
      <c r="AD179" s="288">
        <v>60</v>
      </c>
      <c r="AE179" s="292" vm="5123">
        <v>6895</v>
      </c>
      <c r="AF179" s="293">
        <v>2.1732788798133021E-2</v>
      </c>
      <c r="AG179" s="293">
        <v>6.7094515752625442E-3</v>
      </c>
      <c r="AH179" s="293">
        <v>2.8442240373395565E-2</v>
      </c>
      <c r="AI179" s="285" t="str">
        <v>Traditional</v>
      </c>
      <c r="AJ179" s="294" t="str">
        <v>London</v>
      </c>
      <c r="AM179" s="295" t="s">
        <v>665</v>
      </c>
    </row>
    <row r="180" spans="1:39" x14ac:dyDescent="0.25">
      <c r="A180" s="283"/>
      <c r="B180" s="284" t="str" vm="192">
        <v>Westward Housing Group Limited</v>
      </c>
      <c r="C180" s="285" t="str" vm="379">
        <v>4826</v>
      </c>
      <c r="D180" s="286">
        <v>3.3719080445428741E-2</v>
      </c>
      <c r="E180" s="287">
        <v>4</v>
      </c>
      <c r="F180" s="288">
        <v>162</v>
      </c>
      <c r="G180" s="286">
        <v>8.9890568004168843E-3</v>
      </c>
      <c r="H180" s="287">
        <v>3</v>
      </c>
      <c r="I180" s="288">
        <v>131</v>
      </c>
      <c r="J180" s="289">
        <v>0</v>
      </c>
      <c r="K180" s="287">
        <v>2</v>
      </c>
      <c r="L180" s="288">
        <v>72</v>
      </c>
      <c r="M180" s="286">
        <v>0.29619087723676141</v>
      </c>
      <c r="N180" s="287">
        <v>4</v>
      </c>
      <c r="O180" s="288">
        <v>161</v>
      </c>
      <c r="P180" s="290">
        <v>1.3862416107382551</v>
      </c>
      <c r="Q180" s="287">
        <v>2</v>
      </c>
      <c r="R180" s="288">
        <v>79</v>
      </c>
      <c r="S180" s="291">
        <v>4214.7849462365593</v>
      </c>
      <c r="T180" s="287">
        <v>3</v>
      </c>
      <c r="U180" s="288">
        <v>135</v>
      </c>
      <c r="V180" s="286">
        <v>0.22340451980210327</v>
      </c>
      <c r="W180" s="287">
        <v>2</v>
      </c>
      <c r="X180" s="288">
        <v>78</v>
      </c>
      <c r="Y180" s="286">
        <v>0.22957419707033028</v>
      </c>
      <c r="Z180" s="287">
        <v>2</v>
      </c>
      <c r="AA180" s="288">
        <v>51</v>
      </c>
      <c r="AB180" s="286">
        <v>3.0200141105185617E-2</v>
      </c>
      <c r="AC180" s="287">
        <v>2</v>
      </c>
      <c r="AD180" s="288">
        <v>84</v>
      </c>
      <c r="AE180" s="292" vm="6155">
        <v>7276</v>
      </c>
      <c r="AF180" s="293">
        <v>4.5829892650701899E-2</v>
      </c>
      <c r="AG180" s="293">
        <v>9.0283512248830161E-2</v>
      </c>
      <c r="AH180" s="293">
        <v>0.13611340489953205</v>
      </c>
      <c r="AI180" s="285" t="str">
        <v>Traditional</v>
      </c>
      <c r="AJ180" s="294" t="str">
        <v>South West</v>
      </c>
      <c r="AM180" s="295" t="s">
        <v>665</v>
      </c>
    </row>
    <row r="181" spans="1:39" x14ac:dyDescent="0.25">
      <c r="A181" s="283"/>
      <c r="B181" s="284" t="str" vm="83">
        <v>Islington and Shoreditch Housing Association Limited</v>
      </c>
      <c r="C181" s="285" t="str" vm="210">
        <v>L0457</v>
      </c>
      <c r="D181" s="286">
        <v>2.4900793981890938E-2</v>
      </c>
      <c r="E181" s="287">
        <v>4</v>
      </c>
      <c r="F181" s="288">
        <v>183</v>
      </c>
      <c r="G181" s="286">
        <v>3.7037037037037035E-2</v>
      </c>
      <c r="H181" s="287">
        <v>1</v>
      </c>
      <c r="I181" s="288">
        <v>11</v>
      </c>
      <c r="J181" s="289">
        <v>3.7921880925293893E-4</v>
      </c>
      <c r="K181" s="287">
        <v>2</v>
      </c>
      <c r="L181" s="288">
        <v>64</v>
      </c>
      <c r="M181" s="286">
        <v>0.28555980896375183</v>
      </c>
      <c r="N181" s="287">
        <v>4</v>
      </c>
      <c r="O181" s="288">
        <v>162</v>
      </c>
      <c r="P181" s="290">
        <v>0.30557753164556961</v>
      </c>
      <c r="Q181" s="287">
        <v>4</v>
      </c>
      <c r="R181" s="288">
        <v>175</v>
      </c>
      <c r="S181" s="291">
        <v>8261.3399916770704</v>
      </c>
      <c r="T181" s="287">
        <v>1</v>
      </c>
      <c r="U181" s="288">
        <v>21</v>
      </c>
      <c r="V181" s="286">
        <v>2.3157595026811559E-2</v>
      </c>
      <c r="W181" s="287">
        <v>4</v>
      </c>
      <c r="X181" s="288">
        <v>191</v>
      </c>
      <c r="Y181" s="286">
        <v>7.1263214754224868E-2</v>
      </c>
      <c r="Z181" s="287">
        <v>4</v>
      </c>
      <c r="AA181" s="288">
        <v>173</v>
      </c>
      <c r="AB181" s="286">
        <v>2.235520966135774E-2</v>
      </c>
      <c r="AC181" s="287">
        <v>3</v>
      </c>
      <c r="AD181" s="288">
        <v>144</v>
      </c>
      <c r="AE181" s="292" vm="8995">
        <v>2403</v>
      </c>
      <c r="AF181" s="293">
        <v>2.9635901778154106E-2</v>
      </c>
      <c r="AG181" s="293">
        <v>1.7781541066892465E-2</v>
      </c>
      <c r="AH181" s="293">
        <v>4.7417442845046572E-2</v>
      </c>
      <c r="AI181" s="285" t="str">
        <v>Traditional</v>
      </c>
      <c r="AJ181" s="294" t="str">
        <v>London</v>
      </c>
      <c r="AM181" s="295" t="s">
        <v>665</v>
      </c>
    </row>
    <row r="182" spans="1:39" x14ac:dyDescent="0.25">
      <c r="A182" s="283"/>
      <c r="B182" s="284" t="str" vm="27">
        <v>Castles &amp; Coasts Housing Association Limited</v>
      </c>
      <c r="C182" s="285" t="str" vm="371">
        <v>4858</v>
      </c>
      <c r="D182" s="286">
        <v>6.2050403535669707E-2</v>
      </c>
      <c r="E182" s="287">
        <v>3</v>
      </c>
      <c r="F182" s="288">
        <v>112</v>
      </c>
      <c r="G182" s="286">
        <v>1.1527777777777777E-2</v>
      </c>
      <c r="H182" s="287">
        <v>3</v>
      </c>
      <c r="I182" s="288">
        <v>112</v>
      </c>
      <c r="J182" s="289">
        <v>0</v>
      </c>
      <c r="K182" s="287">
        <v>2</v>
      </c>
      <c r="L182" s="288">
        <v>72</v>
      </c>
      <c r="M182" s="286">
        <v>0.28486282036383809</v>
      </c>
      <c r="N182" s="287">
        <v>4</v>
      </c>
      <c r="O182" s="288">
        <v>163</v>
      </c>
      <c r="P182" s="290">
        <v>0.77404921700223717</v>
      </c>
      <c r="Q182" s="287">
        <v>4</v>
      </c>
      <c r="R182" s="288">
        <v>155</v>
      </c>
      <c r="S182" s="291">
        <v>4514.7902869757172</v>
      </c>
      <c r="T182" s="287">
        <v>3</v>
      </c>
      <c r="U182" s="288">
        <v>106</v>
      </c>
      <c r="V182" s="286">
        <v>0.11361491269466729</v>
      </c>
      <c r="W182" s="287">
        <v>4</v>
      </c>
      <c r="X182" s="288">
        <v>167</v>
      </c>
      <c r="Y182" s="286">
        <v>0.13678202725009092</v>
      </c>
      <c r="Z182" s="287">
        <v>3</v>
      </c>
      <c r="AA182" s="288">
        <v>142</v>
      </c>
      <c r="AB182" s="286">
        <v>2.1424270622365755E-2</v>
      </c>
      <c r="AC182" s="287">
        <v>4</v>
      </c>
      <c r="AD182" s="288">
        <v>153</v>
      </c>
      <c r="AE182" s="292" vm="5833">
        <v>6795</v>
      </c>
      <c r="AF182" s="293">
        <v>5.3970701619121047E-3</v>
      </c>
      <c r="AG182" s="293">
        <v>9.7455666923670012E-2</v>
      </c>
      <c r="AH182" s="293">
        <v>0.10285273708558211</v>
      </c>
      <c r="AI182" s="285" t="str">
        <v>Traditional</v>
      </c>
      <c r="AJ182" s="294" t="str">
        <v>North West</v>
      </c>
      <c r="AM182" s="295" t="s">
        <v>665</v>
      </c>
    </row>
    <row r="183" spans="1:39" x14ac:dyDescent="0.25">
      <c r="A183" s="283"/>
      <c r="B183" s="284" t="str" vm="48">
        <v>Empowering People Inspiring Communities Limited</v>
      </c>
      <c r="C183" s="285" t="str" vm="237">
        <v>L4167</v>
      </c>
      <c r="D183" s="286">
        <v>1.2840644815043035E-2</v>
      </c>
      <c r="E183" s="287">
        <v>4</v>
      </c>
      <c r="F183" s="288">
        <v>195</v>
      </c>
      <c r="G183" s="286">
        <v>0</v>
      </c>
      <c r="H183" s="287">
        <v>4</v>
      </c>
      <c r="I183" s="288">
        <v>187</v>
      </c>
      <c r="J183" s="289">
        <v>0</v>
      </c>
      <c r="K183" s="287">
        <v>2</v>
      </c>
      <c r="L183" s="288">
        <v>72</v>
      </c>
      <c r="M183" s="286">
        <v>0.2792939633067642</v>
      </c>
      <c r="N183" s="287">
        <v>4</v>
      </c>
      <c r="O183" s="288">
        <v>164</v>
      </c>
      <c r="P183" s="290">
        <v>1.927063339731286</v>
      </c>
      <c r="Q183" s="287">
        <v>1</v>
      </c>
      <c r="R183" s="288">
        <v>32</v>
      </c>
      <c r="S183" s="291">
        <v>3271.8096611391493</v>
      </c>
      <c r="T183" s="287">
        <v>4</v>
      </c>
      <c r="U183" s="288">
        <v>195</v>
      </c>
      <c r="V183" s="286">
        <v>0.11497466363795213</v>
      </c>
      <c r="W183" s="287">
        <v>4</v>
      </c>
      <c r="X183" s="288">
        <v>165</v>
      </c>
      <c r="Y183" s="286">
        <v>0.11481999300943727</v>
      </c>
      <c r="Z183" s="287">
        <v>4</v>
      </c>
      <c r="AA183" s="288">
        <v>152</v>
      </c>
      <c r="AB183" s="286">
        <v>1.5216734632230781E-2</v>
      </c>
      <c r="AC183" s="287">
        <v>4</v>
      </c>
      <c r="AD183" s="288">
        <v>181</v>
      </c>
      <c r="AE183" s="292" vm="8435">
        <v>1387</v>
      </c>
      <c r="AF183" s="293">
        <v>1.4450867052023121E-2</v>
      </c>
      <c r="AG183" s="293">
        <v>0</v>
      </c>
      <c r="AH183" s="293">
        <v>1.4450867052023121E-2</v>
      </c>
      <c r="AI183" s="285" t="str">
        <v>Traditional</v>
      </c>
      <c r="AJ183" s="294" t="str">
        <v>West Midlands</v>
      </c>
      <c r="AM183" s="295" t="s">
        <v>665</v>
      </c>
    </row>
    <row r="184" spans="1:39" x14ac:dyDescent="0.25">
      <c r="A184" s="283"/>
      <c r="B184" s="284" t="str" vm="59">
        <v>Gateway Housing Association Limited</v>
      </c>
      <c r="C184" s="285" t="str" vm="312">
        <v>L0517</v>
      </c>
      <c r="D184" s="286">
        <v>3.2281803463670704E-2</v>
      </c>
      <c r="E184" s="287">
        <v>4</v>
      </c>
      <c r="F184" s="288">
        <v>168</v>
      </c>
      <c r="G184" s="286">
        <v>3.2797638570022957E-4</v>
      </c>
      <c r="H184" s="287">
        <v>4</v>
      </c>
      <c r="I184" s="288">
        <v>184</v>
      </c>
      <c r="J184" s="289">
        <v>0</v>
      </c>
      <c r="K184" s="287">
        <v>2</v>
      </c>
      <c r="L184" s="288">
        <v>72</v>
      </c>
      <c r="M184" s="286">
        <v>0.27238735360699745</v>
      </c>
      <c r="N184" s="287">
        <v>4</v>
      </c>
      <c r="O184" s="288">
        <v>165</v>
      </c>
      <c r="P184" s="290">
        <v>1.1914093959731544</v>
      </c>
      <c r="Q184" s="287">
        <v>3</v>
      </c>
      <c r="R184" s="288">
        <v>110</v>
      </c>
      <c r="S184" s="291">
        <v>6936.8533713877987</v>
      </c>
      <c r="T184" s="287">
        <v>1</v>
      </c>
      <c r="U184" s="288">
        <v>34</v>
      </c>
      <c r="V184" s="286">
        <v>0.15805342052741092</v>
      </c>
      <c r="W184" s="287">
        <v>3</v>
      </c>
      <c r="X184" s="288">
        <v>138</v>
      </c>
      <c r="Y184" s="286">
        <v>0.1384542136168862</v>
      </c>
      <c r="Z184" s="287">
        <v>3</v>
      </c>
      <c r="AA184" s="288">
        <v>141</v>
      </c>
      <c r="AB184" s="286">
        <v>1.7313523913896275E-2</v>
      </c>
      <c r="AC184" s="287">
        <v>4</v>
      </c>
      <c r="AD184" s="288">
        <v>173</v>
      </c>
      <c r="AE184" s="292" vm="3747">
        <v>2803</v>
      </c>
      <c r="AF184" s="293">
        <v>3.6402569593147749E-2</v>
      </c>
      <c r="AG184" s="293">
        <v>0.12955032119914348</v>
      </c>
      <c r="AH184" s="293">
        <v>0.16595289079229122</v>
      </c>
      <c r="AI184" s="285" t="str">
        <v>Traditional</v>
      </c>
      <c r="AJ184" s="294" t="str">
        <v>London</v>
      </c>
      <c r="AM184" s="295" t="s">
        <v>665</v>
      </c>
    </row>
    <row r="185" spans="1:39" x14ac:dyDescent="0.25">
      <c r="A185" s="283"/>
      <c r="B185" s="284" t="str" vm="118">
        <v>Onward Group Limited</v>
      </c>
      <c r="C185" s="285" t="str" vm="338">
        <v>4649</v>
      </c>
      <c r="D185" s="286">
        <v>7.5821478222284744E-2</v>
      </c>
      <c r="E185" s="287">
        <v>2</v>
      </c>
      <c r="F185" s="288">
        <v>80</v>
      </c>
      <c r="G185" s="286">
        <v>8.8266176663604149E-3</v>
      </c>
      <c r="H185" s="287">
        <v>3</v>
      </c>
      <c r="I185" s="288">
        <v>133</v>
      </c>
      <c r="J185" s="289">
        <v>0</v>
      </c>
      <c r="K185" s="287">
        <v>2</v>
      </c>
      <c r="L185" s="288">
        <v>72</v>
      </c>
      <c r="M185" s="286">
        <v>0.27071941702637953</v>
      </c>
      <c r="N185" s="287">
        <v>4</v>
      </c>
      <c r="O185" s="288">
        <v>166</v>
      </c>
      <c r="P185" s="290">
        <v>0.52116935483870963</v>
      </c>
      <c r="Q185" s="287">
        <v>4</v>
      </c>
      <c r="R185" s="288">
        <v>169</v>
      </c>
      <c r="S185" s="291">
        <v>4627.0953828056072</v>
      </c>
      <c r="T185" s="287">
        <v>2</v>
      </c>
      <c r="U185" s="288">
        <v>96</v>
      </c>
      <c r="V185" s="286">
        <v>0.1444947291401317</v>
      </c>
      <c r="W185" s="287">
        <v>3</v>
      </c>
      <c r="X185" s="288">
        <v>149</v>
      </c>
      <c r="Y185" s="286">
        <v>9.8063304372478718E-2</v>
      </c>
      <c r="Z185" s="287">
        <v>4</v>
      </c>
      <c r="AA185" s="288">
        <v>162</v>
      </c>
      <c r="AB185" s="286">
        <v>1.3667300475986601E-2</v>
      </c>
      <c r="AC185" s="287">
        <v>4</v>
      </c>
      <c r="AD185" s="288">
        <v>183</v>
      </c>
      <c r="AE185" s="292" vm="7345">
        <v>29686</v>
      </c>
      <c r="AF185" s="293">
        <v>6.5031875063244177E-2</v>
      </c>
      <c r="AG185" s="293">
        <v>0.13067089418828212</v>
      </c>
      <c r="AH185" s="293">
        <v>0.1957027692515263</v>
      </c>
      <c r="AI185" s="285" t="str">
        <v>Traditional</v>
      </c>
      <c r="AJ185" s="294" t="str">
        <v>North West</v>
      </c>
      <c r="AM185" s="295" t="s">
        <v>665</v>
      </c>
    </row>
    <row r="186" spans="1:39" x14ac:dyDescent="0.25">
      <c r="A186" s="283"/>
      <c r="B186" s="284" t="str" vm="88">
        <v>Leeds Federated Housing Association Limited</v>
      </c>
      <c r="C186" s="285" t="str" vm="330">
        <v>LH0989</v>
      </c>
      <c r="D186" s="286">
        <v>0.10201933915739045</v>
      </c>
      <c r="E186" s="287">
        <v>1</v>
      </c>
      <c r="F186" s="288">
        <v>35</v>
      </c>
      <c r="G186" s="286">
        <v>1.8918317382595147E-2</v>
      </c>
      <c r="H186" s="287">
        <v>2</v>
      </c>
      <c r="I186" s="288">
        <v>64</v>
      </c>
      <c r="J186" s="289">
        <v>0</v>
      </c>
      <c r="K186" s="287">
        <v>2</v>
      </c>
      <c r="L186" s="288">
        <v>72</v>
      </c>
      <c r="M186" s="286">
        <v>0.26667077638438774</v>
      </c>
      <c r="N186" s="287">
        <v>4</v>
      </c>
      <c r="O186" s="288">
        <v>167</v>
      </c>
      <c r="P186" s="290">
        <v>2.1486191860465116</v>
      </c>
      <c r="Q186" s="287">
        <v>1</v>
      </c>
      <c r="R186" s="288">
        <v>25</v>
      </c>
      <c r="S186" s="291">
        <v>4232.9290206648693</v>
      </c>
      <c r="T186" s="287">
        <v>3</v>
      </c>
      <c r="U186" s="288">
        <v>134</v>
      </c>
      <c r="V186" s="286">
        <v>0.17258471521268925</v>
      </c>
      <c r="W186" s="287">
        <v>3</v>
      </c>
      <c r="X186" s="288">
        <v>128</v>
      </c>
      <c r="Y186" s="286">
        <v>0.21270081406238744</v>
      </c>
      <c r="Z186" s="287">
        <v>2</v>
      </c>
      <c r="AA186" s="288">
        <v>71</v>
      </c>
      <c r="AB186" s="286">
        <v>2.8749158660544716E-2</v>
      </c>
      <c r="AC186" s="287">
        <v>2</v>
      </c>
      <c r="AD186" s="288">
        <v>97</v>
      </c>
      <c r="AE186" s="292" vm="4387">
        <v>4452</v>
      </c>
      <c r="AF186" s="293">
        <v>4.6741573033707864E-2</v>
      </c>
      <c r="AG186" s="293">
        <v>5.7078651685393257E-2</v>
      </c>
      <c r="AH186" s="293">
        <v>0.10382022471910113</v>
      </c>
      <c r="AI186" s="285" t="str">
        <v>Traditional</v>
      </c>
      <c r="AJ186" s="294" t="str">
        <v>Yorkshire &amp; the Humber</v>
      </c>
      <c r="AM186" s="295" t="s">
        <v>665</v>
      </c>
    </row>
    <row r="187" spans="1:39" x14ac:dyDescent="0.25">
      <c r="A187" s="283"/>
      <c r="B187" s="284" t="str" vm="98">
        <v>Magna Housing Limited</v>
      </c>
      <c r="C187" s="285" t="str" vm="368">
        <v>4844</v>
      </c>
      <c r="D187" s="286">
        <v>5.4986608255128314E-2</v>
      </c>
      <c r="E187" s="287">
        <v>3</v>
      </c>
      <c r="F187" s="288">
        <v>133</v>
      </c>
      <c r="G187" s="286">
        <v>9.6339113680154135E-3</v>
      </c>
      <c r="H187" s="287">
        <v>3</v>
      </c>
      <c r="I187" s="288">
        <v>126</v>
      </c>
      <c r="J187" s="289">
        <v>0</v>
      </c>
      <c r="K187" s="287">
        <v>2</v>
      </c>
      <c r="L187" s="288">
        <v>72</v>
      </c>
      <c r="M187" s="286">
        <v>0.262335458018437</v>
      </c>
      <c r="N187" s="287">
        <v>4</v>
      </c>
      <c r="O187" s="288">
        <v>168</v>
      </c>
      <c r="P187" s="290">
        <v>2.5849735957753239</v>
      </c>
      <c r="Q187" s="287">
        <v>1</v>
      </c>
      <c r="R187" s="288">
        <v>14</v>
      </c>
      <c r="S187" s="291">
        <v>4582.1513002364072</v>
      </c>
      <c r="T187" s="287">
        <v>3</v>
      </c>
      <c r="U187" s="288">
        <v>100</v>
      </c>
      <c r="V187" s="286">
        <v>0.16492482388812954</v>
      </c>
      <c r="W187" s="287">
        <v>3</v>
      </c>
      <c r="X187" s="288">
        <v>133</v>
      </c>
      <c r="Y187" s="286">
        <v>0.16125331477685204</v>
      </c>
      <c r="Z187" s="287">
        <v>3</v>
      </c>
      <c r="AA187" s="288">
        <v>123</v>
      </c>
      <c r="AB187" s="286">
        <v>2.3557188490334963E-2</v>
      </c>
      <c r="AC187" s="287">
        <v>3</v>
      </c>
      <c r="AD187" s="288">
        <v>137</v>
      </c>
      <c r="AE187" s="292" vm="6908">
        <v>8450</v>
      </c>
      <c r="AF187" s="293">
        <v>2.5439847836424157E-2</v>
      </c>
      <c r="AG187" s="293">
        <v>0.21944840703756538</v>
      </c>
      <c r="AH187" s="293">
        <v>0.24488825487398955</v>
      </c>
      <c r="AI187" s="285" t="str">
        <v>Traditional</v>
      </c>
      <c r="AJ187" s="294" t="str">
        <v>South West</v>
      </c>
      <c r="AM187" s="295" t="s">
        <v>665</v>
      </c>
    </row>
    <row r="188" spans="1:39" x14ac:dyDescent="0.25">
      <c r="A188" s="283"/>
      <c r="B188" s="284" t="str" vm="104">
        <v>Muir Group Housing Association Limited</v>
      </c>
      <c r="C188" s="285" t="str" vm="367">
        <v>L2194</v>
      </c>
      <c r="D188" s="286">
        <v>4.9794520249451982E-2</v>
      </c>
      <c r="E188" s="287">
        <v>3</v>
      </c>
      <c r="F188" s="288">
        <v>145</v>
      </c>
      <c r="G188" s="286">
        <v>6.7579583852036282E-3</v>
      </c>
      <c r="H188" s="287">
        <v>3</v>
      </c>
      <c r="I188" s="288">
        <v>146</v>
      </c>
      <c r="J188" s="289">
        <v>0</v>
      </c>
      <c r="K188" s="287">
        <v>2</v>
      </c>
      <c r="L188" s="288">
        <v>72</v>
      </c>
      <c r="M188" s="286">
        <v>0.2507724556900241</v>
      </c>
      <c r="N188" s="287">
        <v>4</v>
      </c>
      <c r="O188" s="288">
        <v>169</v>
      </c>
      <c r="P188" s="290">
        <v>1.6569051580698835</v>
      </c>
      <c r="Q188" s="287">
        <v>2</v>
      </c>
      <c r="R188" s="288">
        <v>54</v>
      </c>
      <c r="S188" s="291">
        <v>4621.7857142857138</v>
      </c>
      <c r="T188" s="287">
        <v>2</v>
      </c>
      <c r="U188" s="288">
        <v>98</v>
      </c>
      <c r="V188" s="286">
        <v>0.2026167248523606</v>
      </c>
      <c r="W188" s="287">
        <v>2</v>
      </c>
      <c r="X188" s="288">
        <v>94</v>
      </c>
      <c r="Y188" s="286">
        <v>0.16142557651991615</v>
      </c>
      <c r="Z188" s="287">
        <v>3</v>
      </c>
      <c r="AA188" s="288">
        <v>122</v>
      </c>
      <c r="AB188" s="286">
        <v>2.5964833389543283E-2</v>
      </c>
      <c r="AC188" s="287">
        <v>3</v>
      </c>
      <c r="AD188" s="288">
        <v>119</v>
      </c>
      <c r="AE188" s="292" vm="5677">
        <v>5600</v>
      </c>
      <c r="AF188" s="293">
        <v>6.5667380442541043E-2</v>
      </c>
      <c r="AG188" s="293">
        <v>3.6045681655960025E-2</v>
      </c>
      <c r="AH188" s="293">
        <v>0.10171306209850106</v>
      </c>
      <c r="AI188" s="285" t="str">
        <v>Traditional</v>
      </c>
      <c r="AJ188" s="294" t="str">
        <v>North West</v>
      </c>
      <c r="AM188" s="295" t="s">
        <v>665</v>
      </c>
    </row>
    <row r="189" spans="1:39" x14ac:dyDescent="0.25">
      <c r="A189" s="283"/>
      <c r="B189" s="284" t="str" vm="77">
        <v>Hundred Houses Society Limited</v>
      </c>
      <c r="C189" s="285" t="str" vm="225">
        <v>L0718</v>
      </c>
      <c r="D189" s="286">
        <v>8.9974017049968859E-3</v>
      </c>
      <c r="E189" s="287">
        <v>4</v>
      </c>
      <c r="F189" s="288">
        <v>196</v>
      </c>
      <c r="G189" s="286">
        <v>0</v>
      </c>
      <c r="H189" s="287">
        <v>4</v>
      </c>
      <c r="I189" s="288">
        <v>187</v>
      </c>
      <c r="J189" s="289">
        <v>0</v>
      </c>
      <c r="K189" s="287">
        <v>2</v>
      </c>
      <c r="L189" s="288">
        <v>72</v>
      </c>
      <c r="M189" s="286">
        <v>0.24114754450385451</v>
      </c>
      <c r="N189" s="287">
        <v>4</v>
      </c>
      <c r="O189" s="288">
        <v>170</v>
      </c>
      <c r="P189" s="290">
        <v>2.1857485988791034</v>
      </c>
      <c r="Q189" s="287">
        <v>1</v>
      </c>
      <c r="R189" s="288">
        <v>23</v>
      </c>
      <c r="S189" s="291">
        <v>4313.3640552995394</v>
      </c>
      <c r="T189" s="287">
        <v>3</v>
      </c>
      <c r="U189" s="288">
        <v>125</v>
      </c>
      <c r="V189" s="286">
        <v>0.21018134149005899</v>
      </c>
      <c r="W189" s="287">
        <v>2</v>
      </c>
      <c r="X189" s="288">
        <v>90</v>
      </c>
      <c r="Y189" s="286">
        <v>0.21944653817163778</v>
      </c>
      <c r="Z189" s="287">
        <v>2</v>
      </c>
      <c r="AA189" s="288">
        <v>64</v>
      </c>
      <c r="AB189" s="286">
        <v>2.805700664401278E-2</v>
      </c>
      <c r="AC189" s="287">
        <v>3</v>
      </c>
      <c r="AD189" s="288">
        <v>103</v>
      </c>
      <c r="AE189" s="292" vm="1133">
        <v>1368</v>
      </c>
      <c r="AF189" s="293">
        <v>0</v>
      </c>
      <c r="AG189" s="293">
        <v>0</v>
      </c>
      <c r="AH189" s="293">
        <v>0</v>
      </c>
      <c r="AI189" s="285" t="str">
        <v>Traditional</v>
      </c>
      <c r="AJ189" s="294" t="str">
        <v>East of England</v>
      </c>
      <c r="AM189" s="295" t="s">
        <v>665</v>
      </c>
    </row>
    <row r="190" spans="1:39" x14ac:dyDescent="0.25">
      <c r="A190" s="283"/>
      <c r="B190" s="284" t="str" vm="13">
        <v>Bernicia Group</v>
      </c>
      <c r="C190" s="285" t="str" vm="291">
        <v>4868</v>
      </c>
      <c r="D190" s="286">
        <v>5.449823199924899E-2</v>
      </c>
      <c r="E190" s="287">
        <v>3</v>
      </c>
      <c r="F190" s="288">
        <v>136</v>
      </c>
      <c r="G190" s="286">
        <v>8.0143705955506434E-3</v>
      </c>
      <c r="H190" s="287">
        <v>3</v>
      </c>
      <c r="I190" s="288">
        <v>139</v>
      </c>
      <c r="J190" s="289">
        <v>0</v>
      </c>
      <c r="K190" s="287">
        <v>2</v>
      </c>
      <c r="L190" s="288">
        <v>72</v>
      </c>
      <c r="M190" s="286">
        <v>0.23945092885231195</v>
      </c>
      <c r="N190" s="287">
        <v>4</v>
      </c>
      <c r="O190" s="288">
        <v>171</v>
      </c>
      <c r="P190" s="290">
        <v>2.2713606381346834</v>
      </c>
      <c r="Q190" s="287">
        <v>1</v>
      </c>
      <c r="R190" s="288">
        <v>19</v>
      </c>
      <c r="S190" s="291">
        <v>4086.3777761701508</v>
      </c>
      <c r="T190" s="287">
        <v>3</v>
      </c>
      <c r="U190" s="288">
        <v>148</v>
      </c>
      <c r="V190" s="286">
        <v>0.28320705331312851</v>
      </c>
      <c r="W190" s="287">
        <v>1</v>
      </c>
      <c r="X190" s="288">
        <v>34</v>
      </c>
      <c r="Y190" s="286">
        <v>0.25053322589818938</v>
      </c>
      <c r="Z190" s="287">
        <v>1</v>
      </c>
      <c r="AA190" s="288">
        <v>36</v>
      </c>
      <c r="AB190" s="286">
        <v>4.5174104124408386E-2</v>
      </c>
      <c r="AC190" s="287">
        <v>1</v>
      </c>
      <c r="AD190" s="288">
        <v>16</v>
      </c>
      <c r="AE190" s="292" vm="3039">
        <v>13715</v>
      </c>
      <c r="AF190" s="293">
        <v>4.2495808732414896E-2</v>
      </c>
      <c r="AG190" s="293">
        <v>0.18667541365988774</v>
      </c>
      <c r="AH190" s="293">
        <v>0.22917122239230264</v>
      </c>
      <c r="AI190" s="285" t="str">
        <v>Traditional</v>
      </c>
      <c r="AJ190" s="294" t="str">
        <v>North East</v>
      </c>
      <c r="AM190" s="295" t="s">
        <v>665</v>
      </c>
    </row>
    <row r="191" spans="1:39" x14ac:dyDescent="0.25">
      <c r="A191" s="283"/>
      <c r="B191" s="284" t="str" vm="57">
        <v>Freebridge Community Housing Limited</v>
      </c>
      <c r="C191" s="285" t="str" vm="388">
        <v>L4463</v>
      </c>
      <c r="D191" s="286">
        <v>0.10017830291775881</v>
      </c>
      <c r="E191" s="287">
        <v>1</v>
      </c>
      <c r="F191" s="288">
        <v>40</v>
      </c>
      <c r="G191" s="286">
        <v>5.2804338518624237E-3</v>
      </c>
      <c r="H191" s="287">
        <v>4</v>
      </c>
      <c r="I191" s="288">
        <v>157</v>
      </c>
      <c r="J191" s="289">
        <v>0</v>
      </c>
      <c r="K191" s="287">
        <v>2</v>
      </c>
      <c r="L191" s="288">
        <v>72</v>
      </c>
      <c r="M191" s="286">
        <v>0.23442314486906649</v>
      </c>
      <c r="N191" s="287">
        <v>4</v>
      </c>
      <c r="O191" s="288">
        <v>172</v>
      </c>
      <c r="P191" s="290">
        <v>2.8025672371638142</v>
      </c>
      <c r="Q191" s="287">
        <v>1</v>
      </c>
      <c r="R191" s="288">
        <v>8</v>
      </c>
      <c r="S191" s="291">
        <v>3968.2377049180327</v>
      </c>
      <c r="T191" s="287">
        <v>4</v>
      </c>
      <c r="U191" s="288">
        <v>167</v>
      </c>
      <c r="V191" s="286">
        <v>7.7553232181563181E-2</v>
      </c>
      <c r="W191" s="287">
        <v>4</v>
      </c>
      <c r="X191" s="288">
        <v>183</v>
      </c>
      <c r="Y191" s="286">
        <v>9.0528567063855786E-2</v>
      </c>
      <c r="Z191" s="287">
        <v>4</v>
      </c>
      <c r="AA191" s="288">
        <v>166</v>
      </c>
      <c r="AB191" s="286">
        <v>3.6472573258496607E-2</v>
      </c>
      <c r="AC191" s="287">
        <v>1</v>
      </c>
      <c r="AD191" s="288">
        <v>49</v>
      </c>
      <c r="AE191" s="292" vm="6504">
        <v>6832</v>
      </c>
      <c r="AF191" s="293">
        <v>4.1049699457557541E-3</v>
      </c>
      <c r="AG191" s="293">
        <v>8.5471338513414458E-2</v>
      </c>
      <c r="AH191" s="293">
        <v>8.9576308459170209E-2</v>
      </c>
      <c r="AI191" s="285" t="str">
        <v>Traditional</v>
      </c>
      <c r="AJ191" s="294" t="str">
        <v>East of England</v>
      </c>
      <c r="AM191" s="295" t="s">
        <v>665</v>
      </c>
    </row>
    <row r="192" spans="1:39" x14ac:dyDescent="0.25">
      <c r="A192" s="283"/>
      <c r="B192" s="284" t="str" vm="152">
        <v>South Liverpool Homes Limited</v>
      </c>
      <c r="C192" s="285" t="str" vm="331">
        <v>L4230</v>
      </c>
      <c r="D192" s="286">
        <v>4.8892764058427553E-2</v>
      </c>
      <c r="E192" s="287">
        <v>3</v>
      </c>
      <c r="F192" s="288">
        <v>146</v>
      </c>
      <c r="G192" s="286">
        <v>5.2002080083203327E-3</v>
      </c>
      <c r="H192" s="287">
        <v>4</v>
      </c>
      <c r="I192" s="288">
        <v>158</v>
      </c>
      <c r="J192" s="289">
        <v>0</v>
      </c>
      <c r="K192" s="287">
        <v>2</v>
      </c>
      <c r="L192" s="288">
        <v>72</v>
      </c>
      <c r="M192" s="286">
        <v>0.23296019200840037</v>
      </c>
      <c r="N192" s="287">
        <v>4</v>
      </c>
      <c r="O192" s="288">
        <v>173</v>
      </c>
      <c r="P192" s="290">
        <v>3.0377503852080121</v>
      </c>
      <c r="Q192" s="287">
        <v>1</v>
      </c>
      <c r="R192" s="288">
        <v>6</v>
      </c>
      <c r="S192" s="291">
        <v>4210.1827676240209</v>
      </c>
      <c r="T192" s="287">
        <v>3</v>
      </c>
      <c r="U192" s="288">
        <v>136</v>
      </c>
      <c r="V192" s="286">
        <v>0.23110890597866535</v>
      </c>
      <c r="W192" s="287">
        <v>2</v>
      </c>
      <c r="X192" s="288">
        <v>72</v>
      </c>
      <c r="Y192" s="286">
        <v>0.20038864401156453</v>
      </c>
      <c r="Z192" s="287">
        <v>2</v>
      </c>
      <c r="AA192" s="288">
        <v>83</v>
      </c>
      <c r="AB192" s="286">
        <v>4.6379875850478439E-2</v>
      </c>
      <c r="AC192" s="287">
        <v>1</v>
      </c>
      <c r="AD192" s="288">
        <v>11</v>
      </c>
      <c r="AE192" s="292" vm="4413">
        <v>3830</v>
      </c>
      <c r="AF192" s="293">
        <v>7.8308535630383712E-4</v>
      </c>
      <c r="AG192" s="293">
        <v>3.0801357347950926E-2</v>
      </c>
      <c r="AH192" s="293">
        <v>3.1584442704254763E-2</v>
      </c>
      <c r="AI192" s="285" t="str">
        <v>Traditional</v>
      </c>
      <c r="AJ192" s="294" t="str">
        <v>North West</v>
      </c>
      <c r="AM192" s="295" t="s">
        <v>665</v>
      </c>
    </row>
    <row r="193" spans="1:39" x14ac:dyDescent="0.25">
      <c r="A193" s="283"/>
      <c r="B193" s="284" t="str" vm="173">
        <v>Thirteen Housing Group Limited</v>
      </c>
      <c r="C193" s="285" t="str" vm="260">
        <v>L4522</v>
      </c>
      <c r="D193" s="286">
        <v>8.0893243048552083E-2</v>
      </c>
      <c r="E193" s="287">
        <v>2</v>
      </c>
      <c r="F193" s="288">
        <v>71</v>
      </c>
      <c r="G193" s="286">
        <v>1.2349875368230229E-2</v>
      </c>
      <c r="H193" s="287">
        <v>3</v>
      </c>
      <c r="I193" s="288">
        <v>104</v>
      </c>
      <c r="J193" s="289">
        <v>5.3412796581581016E-4</v>
      </c>
      <c r="K193" s="287">
        <v>2</v>
      </c>
      <c r="L193" s="288">
        <v>59</v>
      </c>
      <c r="M193" s="286">
        <v>0.2295988638936341</v>
      </c>
      <c r="N193" s="287">
        <v>4</v>
      </c>
      <c r="O193" s="288">
        <v>174</v>
      </c>
      <c r="P193" s="290">
        <v>2.2645633935956515</v>
      </c>
      <c r="Q193" s="287">
        <v>1</v>
      </c>
      <c r="R193" s="288">
        <v>20</v>
      </c>
      <c r="S193" s="291">
        <v>4009.8044869946366</v>
      </c>
      <c r="T193" s="287">
        <v>4</v>
      </c>
      <c r="U193" s="288">
        <v>162</v>
      </c>
      <c r="V193" s="286">
        <v>0.24834574518546629</v>
      </c>
      <c r="W193" s="287">
        <v>2</v>
      </c>
      <c r="X193" s="288">
        <v>57</v>
      </c>
      <c r="Y193" s="286">
        <v>0.18475037760344315</v>
      </c>
      <c r="Z193" s="287">
        <v>2</v>
      </c>
      <c r="AA193" s="288">
        <v>97</v>
      </c>
      <c r="AB193" s="286">
        <v>3.1602452291175802E-2</v>
      </c>
      <c r="AC193" s="287">
        <v>2</v>
      </c>
      <c r="AD193" s="288">
        <v>75</v>
      </c>
      <c r="AE193" s="292" vm="2037">
        <v>34579</v>
      </c>
      <c r="AF193" s="293">
        <v>7.311341282966316E-3</v>
      </c>
      <c r="AG193" s="293">
        <v>6.8964516784170371E-2</v>
      </c>
      <c r="AH193" s="293">
        <v>7.6275858067136687E-2</v>
      </c>
      <c r="AI193" s="285" t="str">
        <v>Traditional</v>
      </c>
      <c r="AJ193" s="294" t="str">
        <v>North East</v>
      </c>
      <c r="AM193" s="295" t="s">
        <v>665</v>
      </c>
    </row>
    <row r="194" spans="1:39" x14ac:dyDescent="0.25">
      <c r="A194" s="283"/>
      <c r="B194" s="284" t="str" vm="16">
        <v>Bolton at Home Limited</v>
      </c>
      <c r="C194" s="285" t="str" vm="278">
        <v>4568</v>
      </c>
      <c r="D194" s="286">
        <v>0.14710643072716487</v>
      </c>
      <c r="E194" s="287">
        <v>1</v>
      </c>
      <c r="F194" s="288">
        <v>10</v>
      </c>
      <c r="G194" s="286">
        <v>1.4276649746192893E-2</v>
      </c>
      <c r="H194" s="287">
        <v>2</v>
      </c>
      <c r="I194" s="288">
        <v>89</v>
      </c>
      <c r="J194" s="289">
        <v>6.7228629053110614E-4</v>
      </c>
      <c r="K194" s="287">
        <v>2</v>
      </c>
      <c r="L194" s="288">
        <v>53</v>
      </c>
      <c r="M194" s="286">
        <v>0.22740023731524234</v>
      </c>
      <c r="N194" s="287">
        <v>4</v>
      </c>
      <c r="O194" s="288">
        <v>175</v>
      </c>
      <c r="P194" s="290">
        <v>-0.57804047285113203</v>
      </c>
      <c r="Q194" s="287">
        <v>4</v>
      </c>
      <c r="R194" s="288">
        <v>186</v>
      </c>
      <c r="S194" s="291">
        <v>4818.2635363790187</v>
      </c>
      <c r="T194" s="287">
        <v>2</v>
      </c>
      <c r="U194" s="288">
        <v>83</v>
      </c>
      <c r="V194" s="286">
        <v>9.9915315895564225E-2</v>
      </c>
      <c r="W194" s="287">
        <v>4</v>
      </c>
      <c r="X194" s="288">
        <v>177</v>
      </c>
      <c r="Y194" s="286">
        <v>3.8205558095818729E-2</v>
      </c>
      <c r="Z194" s="287">
        <v>4</v>
      </c>
      <c r="AA194" s="288">
        <v>187</v>
      </c>
      <c r="AB194" s="286">
        <v>2.5132854912408863E-2</v>
      </c>
      <c r="AC194" s="287">
        <v>3</v>
      </c>
      <c r="AD194" s="288">
        <v>127</v>
      </c>
      <c r="AE194" s="292" vm="2601">
        <v>18912</v>
      </c>
      <c r="AF194" s="293">
        <v>5.9934231462819565E-3</v>
      </c>
      <c r="AG194" s="293">
        <v>0.11779993635302853</v>
      </c>
      <c r="AH194" s="293">
        <v>0.12379335949931049</v>
      </c>
      <c r="AI194" s="285" t="str">
        <v>Traditional</v>
      </c>
      <c r="AJ194" s="294" t="str">
        <v>North West</v>
      </c>
      <c r="AM194" s="295" t="s">
        <v>665</v>
      </c>
    </row>
    <row r="195" spans="1:39" x14ac:dyDescent="0.25">
      <c r="A195" s="283"/>
      <c r="B195" s="284" t="str" vm="182">
        <v>Unity Housing Association Limited</v>
      </c>
      <c r="C195" s="285" t="str" vm="229">
        <v>LH3737</v>
      </c>
      <c r="D195" s="286">
        <v>1.8424576924637798E-2</v>
      </c>
      <c r="E195" s="287">
        <v>4</v>
      </c>
      <c r="F195" s="288">
        <v>191</v>
      </c>
      <c r="G195" s="286">
        <v>1.0783608914450037E-2</v>
      </c>
      <c r="H195" s="287">
        <v>3</v>
      </c>
      <c r="I195" s="288">
        <v>118</v>
      </c>
      <c r="J195" s="289">
        <v>0</v>
      </c>
      <c r="K195" s="287">
        <v>2</v>
      </c>
      <c r="L195" s="288">
        <v>72</v>
      </c>
      <c r="M195" s="286">
        <v>0.21322186599569823</v>
      </c>
      <c r="N195" s="287">
        <v>4</v>
      </c>
      <c r="O195" s="288">
        <v>176</v>
      </c>
      <c r="P195" s="290">
        <v>2.6608579088471851</v>
      </c>
      <c r="Q195" s="287">
        <v>1</v>
      </c>
      <c r="R195" s="288">
        <v>10</v>
      </c>
      <c r="S195" s="291">
        <v>3968.2310469314079</v>
      </c>
      <c r="T195" s="287">
        <v>4</v>
      </c>
      <c r="U195" s="288">
        <v>168</v>
      </c>
      <c r="V195" s="286">
        <v>0.16843551005119242</v>
      </c>
      <c r="W195" s="287">
        <v>3</v>
      </c>
      <c r="X195" s="288">
        <v>129</v>
      </c>
      <c r="Y195" s="286">
        <v>0.15480791088883838</v>
      </c>
      <c r="Z195" s="287">
        <v>3</v>
      </c>
      <c r="AA195" s="288">
        <v>127</v>
      </c>
      <c r="AB195" s="286">
        <v>1.8591385639210922E-2</v>
      </c>
      <c r="AC195" s="287">
        <v>4</v>
      </c>
      <c r="AD195" s="288">
        <v>167</v>
      </c>
      <c r="AE195" s="292" vm="8730">
        <v>1385</v>
      </c>
      <c r="AF195" s="293">
        <v>1.3708513708513708E-2</v>
      </c>
      <c r="AG195" s="293">
        <v>0</v>
      </c>
      <c r="AH195" s="293">
        <v>1.3708513708513708E-2</v>
      </c>
      <c r="AI195" s="285" t="str">
        <v>Traditional</v>
      </c>
      <c r="AJ195" s="294" t="str">
        <v>Yorkshire &amp; the Humber</v>
      </c>
      <c r="AM195" s="295" t="s">
        <v>665</v>
      </c>
    </row>
    <row r="196" spans="1:39" x14ac:dyDescent="0.25">
      <c r="A196" s="283"/>
      <c r="B196" s="284" t="str" vm="195">
        <v>Wythenshawe Community Housing Group Limited</v>
      </c>
      <c r="C196" s="285" t="str" vm="280">
        <v>L4219</v>
      </c>
      <c r="D196" s="286">
        <v>7.5133493240656851E-2</v>
      </c>
      <c r="E196" s="287">
        <v>2</v>
      </c>
      <c r="F196" s="288">
        <v>82</v>
      </c>
      <c r="G196" s="286">
        <v>3.5313228335334414E-3</v>
      </c>
      <c r="H196" s="287">
        <v>4</v>
      </c>
      <c r="I196" s="288">
        <v>167</v>
      </c>
      <c r="J196" s="289">
        <v>6.2994330510254078E-4</v>
      </c>
      <c r="K196" s="287">
        <v>2</v>
      </c>
      <c r="L196" s="288">
        <v>56</v>
      </c>
      <c r="M196" s="286">
        <v>0.20658887937278142</v>
      </c>
      <c r="N196" s="287">
        <v>4</v>
      </c>
      <c r="O196" s="288">
        <v>177</v>
      </c>
      <c r="P196" s="290">
        <v>1.2141445200966396</v>
      </c>
      <c r="Q196" s="287">
        <v>3</v>
      </c>
      <c r="R196" s="288">
        <v>106</v>
      </c>
      <c r="S196" s="291">
        <v>4589.491450796213</v>
      </c>
      <c r="T196" s="287">
        <v>2</v>
      </c>
      <c r="U196" s="288">
        <v>99</v>
      </c>
      <c r="V196" s="286">
        <v>0.14541680975915666</v>
      </c>
      <c r="W196" s="287">
        <v>3</v>
      </c>
      <c r="X196" s="288">
        <v>148</v>
      </c>
      <c r="Y196" s="286">
        <v>0.15058847054790608</v>
      </c>
      <c r="Z196" s="287">
        <v>3</v>
      </c>
      <c r="AA196" s="288">
        <v>133</v>
      </c>
      <c r="AB196" s="286">
        <v>3.8083119252839068E-2</v>
      </c>
      <c r="AC196" s="287">
        <v>1</v>
      </c>
      <c r="AD196" s="288">
        <v>39</v>
      </c>
      <c r="AE196" s="292" vm="2662">
        <v>13627</v>
      </c>
      <c r="AF196" s="293">
        <v>1.1732785803329178E-3</v>
      </c>
      <c r="AG196" s="293">
        <v>5.0597638776857081E-3</v>
      </c>
      <c r="AH196" s="293">
        <v>6.2330424580186259E-3</v>
      </c>
      <c r="AI196" s="285" t="str">
        <v>Traditional</v>
      </c>
      <c r="AJ196" s="294" t="str">
        <v>North West</v>
      </c>
      <c r="AM196" s="295" t="s">
        <v>665</v>
      </c>
    </row>
    <row r="197" spans="1:39" x14ac:dyDescent="0.25">
      <c r="A197" s="283"/>
      <c r="B197" s="284" t="str" vm="117">
        <v>Ongo Homes Limited</v>
      </c>
      <c r="C197" s="285" t="str" vm="301">
        <v>L4486</v>
      </c>
      <c r="D197" s="286">
        <v>9.4996911132628523E-2</v>
      </c>
      <c r="E197" s="287">
        <v>1</v>
      </c>
      <c r="F197" s="288">
        <v>48</v>
      </c>
      <c r="G197" s="286">
        <v>9.35285781766651E-3</v>
      </c>
      <c r="H197" s="287">
        <v>3</v>
      </c>
      <c r="I197" s="288">
        <v>129</v>
      </c>
      <c r="J197" s="289">
        <v>1.889466225791214E-4</v>
      </c>
      <c r="K197" s="287">
        <v>2</v>
      </c>
      <c r="L197" s="288">
        <v>68</v>
      </c>
      <c r="M197" s="286">
        <v>0.1745319599192075</v>
      </c>
      <c r="N197" s="287">
        <v>4</v>
      </c>
      <c r="O197" s="288">
        <v>178</v>
      </c>
      <c r="P197" s="290">
        <v>2.1754677754677756</v>
      </c>
      <c r="Q197" s="287">
        <v>1</v>
      </c>
      <c r="R197" s="288">
        <v>24</v>
      </c>
      <c r="S197" s="291">
        <v>3812.8518734226363</v>
      </c>
      <c r="T197" s="287">
        <v>4</v>
      </c>
      <c r="U197" s="288">
        <v>180</v>
      </c>
      <c r="V197" s="286">
        <v>0.11843798887106675</v>
      </c>
      <c r="W197" s="287">
        <v>4</v>
      </c>
      <c r="X197" s="288">
        <v>164</v>
      </c>
      <c r="Y197" s="286">
        <v>0.13008627781072446</v>
      </c>
      <c r="Z197" s="287">
        <v>3</v>
      </c>
      <c r="AA197" s="288">
        <v>144</v>
      </c>
      <c r="AB197" s="286">
        <v>3.4503120130255832E-2</v>
      </c>
      <c r="AC197" s="287">
        <v>2</v>
      </c>
      <c r="AD197" s="288">
        <v>61</v>
      </c>
      <c r="AE197" s="292" vm="3390">
        <v>10289</v>
      </c>
      <c r="AF197" s="293">
        <v>3.5005834305717621E-3</v>
      </c>
      <c r="AG197" s="293">
        <v>0</v>
      </c>
      <c r="AH197" s="293">
        <v>3.5005834305717621E-3</v>
      </c>
      <c r="AI197" s="285" t="str">
        <v>Traditional</v>
      </c>
      <c r="AJ197" s="294" t="str">
        <v>Yorkshire &amp; the Humber</v>
      </c>
      <c r="AM197" s="295" t="s">
        <v>665</v>
      </c>
    </row>
    <row r="198" spans="1:39" x14ac:dyDescent="0.25">
      <c r="A198" s="283"/>
      <c r="B198" s="284" t="str" vm="134">
        <v>Railway Housing Association and Benefit Fund</v>
      </c>
      <c r="C198" s="285" t="str" vm="230">
        <v>A1855</v>
      </c>
      <c r="D198" s="286">
        <v>7.9024356466494708E-2</v>
      </c>
      <c r="E198" s="287">
        <v>2</v>
      </c>
      <c r="F198" s="288">
        <v>76</v>
      </c>
      <c r="G198" s="286">
        <v>1.7283950617283949E-2</v>
      </c>
      <c r="H198" s="287">
        <v>2</v>
      </c>
      <c r="I198" s="288">
        <v>71</v>
      </c>
      <c r="J198" s="289">
        <v>0</v>
      </c>
      <c r="K198" s="287">
        <v>2</v>
      </c>
      <c r="L198" s="288">
        <v>72</v>
      </c>
      <c r="M198" s="286">
        <v>0.17120501324285492</v>
      </c>
      <c r="N198" s="287">
        <v>4</v>
      </c>
      <c r="O198" s="288">
        <v>179</v>
      </c>
      <c r="P198" s="290">
        <v>2.3929961089494163</v>
      </c>
      <c r="Q198" s="287">
        <v>1</v>
      </c>
      <c r="R198" s="288">
        <v>17</v>
      </c>
      <c r="S198" s="291">
        <v>3837.7504848093085</v>
      </c>
      <c r="T198" s="287">
        <v>4</v>
      </c>
      <c r="U198" s="288">
        <v>176</v>
      </c>
      <c r="V198" s="286">
        <v>0.16506471869793668</v>
      </c>
      <c r="W198" s="287">
        <v>3</v>
      </c>
      <c r="X198" s="288">
        <v>132</v>
      </c>
      <c r="Y198" s="286">
        <v>0.16829942225571465</v>
      </c>
      <c r="Z198" s="287">
        <v>3</v>
      </c>
      <c r="AA198" s="288">
        <v>112</v>
      </c>
      <c r="AB198" s="286">
        <v>2.0918216019606924E-2</v>
      </c>
      <c r="AC198" s="287">
        <v>4</v>
      </c>
      <c r="AD198" s="288">
        <v>158</v>
      </c>
      <c r="AE198" s="292" vm="1365">
        <v>1547</v>
      </c>
      <c r="AF198" s="293">
        <v>0.30389129092032119</v>
      </c>
      <c r="AG198" s="293">
        <v>0.26436071649166154</v>
      </c>
      <c r="AH198" s="293">
        <v>0.56825200741198278</v>
      </c>
      <c r="AI198" s="285" t="str">
        <v>Traditional</v>
      </c>
      <c r="AJ198" s="294" t="str">
        <v>North East</v>
      </c>
      <c r="AM198" s="295" t="s">
        <v>665</v>
      </c>
    </row>
    <row r="199" spans="1:39" x14ac:dyDescent="0.25">
      <c r="A199" s="283"/>
      <c r="B199" s="284" t="str" vm="130">
        <v>Plymouth Community Homes Limited</v>
      </c>
      <c r="C199" s="285" t="str" vm="286">
        <v>L4543</v>
      </c>
      <c r="D199" s="286">
        <v>3.3182202998072952E-2</v>
      </c>
      <c r="E199" s="287">
        <v>4</v>
      </c>
      <c r="F199" s="288">
        <v>164</v>
      </c>
      <c r="G199" s="286">
        <v>7.5302245250431776E-3</v>
      </c>
      <c r="H199" s="287">
        <v>3</v>
      </c>
      <c r="I199" s="288">
        <v>140</v>
      </c>
      <c r="J199" s="289">
        <v>7.4165636588380713E-4</v>
      </c>
      <c r="K199" s="287">
        <v>2</v>
      </c>
      <c r="L199" s="288">
        <v>51</v>
      </c>
      <c r="M199" s="286">
        <v>0.16927020544903112</v>
      </c>
      <c r="N199" s="287">
        <v>4</v>
      </c>
      <c r="O199" s="288">
        <v>180</v>
      </c>
      <c r="P199" s="290">
        <v>2.243314424635332</v>
      </c>
      <c r="Q199" s="287">
        <v>1</v>
      </c>
      <c r="R199" s="288">
        <v>21</v>
      </c>
      <c r="S199" s="291">
        <v>4309.6373056994817</v>
      </c>
      <c r="T199" s="287">
        <v>3</v>
      </c>
      <c r="U199" s="288">
        <v>127</v>
      </c>
      <c r="V199" s="286">
        <v>4.2896555815954196E-2</v>
      </c>
      <c r="W199" s="287">
        <v>4</v>
      </c>
      <c r="X199" s="288">
        <v>188</v>
      </c>
      <c r="Y199" s="286">
        <v>6.5337478482053388E-2</v>
      </c>
      <c r="Z199" s="287">
        <v>4</v>
      </c>
      <c r="AA199" s="288">
        <v>176</v>
      </c>
      <c r="AB199" s="286">
        <v>9.5035486292740431E-3</v>
      </c>
      <c r="AC199" s="287">
        <v>4</v>
      </c>
      <c r="AD199" s="288">
        <v>190</v>
      </c>
      <c r="AE199" s="292" vm="2864">
        <v>14475</v>
      </c>
      <c r="AF199" s="293">
        <v>9.2487548422800228E-2</v>
      </c>
      <c r="AG199" s="293">
        <v>0</v>
      </c>
      <c r="AH199" s="293">
        <v>9.2487548422800228E-2</v>
      </c>
      <c r="AI199" s="285" t="str">
        <v>Traditional</v>
      </c>
      <c r="AJ199" s="294" t="str">
        <v>South West</v>
      </c>
      <c r="AM199" s="295" t="s">
        <v>665</v>
      </c>
    </row>
    <row r="200" spans="1:39" x14ac:dyDescent="0.25">
      <c r="A200" s="283"/>
      <c r="B200" s="284" t="str" vm="96">
        <v>Look Ahead Care and Support Limited</v>
      </c>
      <c r="C200" s="285" t="str" vm="199">
        <v>LH0013</v>
      </c>
      <c r="D200" s="286">
        <v>3.7959952577334581E-2</v>
      </c>
      <c r="E200" s="287">
        <v>4</v>
      </c>
      <c r="F200" s="288">
        <v>154</v>
      </c>
      <c r="G200" s="286">
        <v>4.7808764940239041E-3</v>
      </c>
      <c r="H200" s="287">
        <v>4</v>
      </c>
      <c r="I200" s="288">
        <v>160</v>
      </c>
      <c r="J200" s="289">
        <v>0</v>
      </c>
      <c r="K200" s="287">
        <v>2</v>
      </c>
      <c r="L200" s="288">
        <v>72</v>
      </c>
      <c r="M200" s="286">
        <v>0.15199982543804141</v>
      </c>
      <c r="N200" s="287">
        <v>4</v>
      </c>
      <c r="O200" s="288">
        <v>181</v>
      </c>
      <c r="P200" s="290">
        <v>-2.3613101330603889</v>
      </c>
      <c r="Q200" s="287">
        <v>4</v>
      </c>
      <c r="R200" s="288">
        <v>191</v>
      </c>
      <c r="S200" s="291">
        <v>30446.12244897959</v>
      </c>
      <c r="T200" s="287">
        <v>1</v>
      </c>
      <c r="U200" s="288">
        <v>1</v>
      </c>
      <c r="V200" s="286">
        <v>-5.9482583010796494E-2</v>
      </c>
      <c r="W200" s="287">
        <v>4</v>
      </c>
      <c r="X200" s="288">
        <v>197</v>
      </c>
      <c r="Y200" s="286">
        <v>-2.0374435445209799E-2</v>
      </c>
      <c r="Z200" s="287">
        <v>4</v>
      </c>
      <c r="AA200" s="288">
        <v>192</v>
      </c>
      <c r="AB200" s="286">
        <v>-9.3357802510063929E-3</v>
      </c>
      <c r="AC200" s="287">
        <v>4</v>
      </c>
      <c r="AD200" s="288">
        <v>195</v>
      </c>
      <c r="AE200" s="292" vm="9175">
        <v>1255</v>
      </c>
      <c r="AF200" s="293">
        <v>0.94895397489539746</v>
      </c>
      <c r="AG200" s="293">
        <v>0</v>
      </c>
      <c r="AH200" s="293">
        <v>0.94895397489539746</v>
      </c>
      <c r="AI200" s="285" t="str">
        <v>Traditional</v>
      </c>
      <c r="AJ200" s="294" t="str">
        <v>London</v>
      </c>
      <c r="AM200" s="295" t="s">
        <v>665</v>
      </c>
    </row>
    <row r="201" spans="1:39" x14ac:dyDescent="0.25">
      <c r="A201" s="283"/>
      <c r="B201" s="284" t="str" vm="126">
        <v>Pickering and Ferens Homes</v>
      </c>
      <c r="C201" s="285" t="str" vm="220">
        <v>A4020</v>
      </c>
      <c r="D201" s="286">
        <v>3.5333643719092499E-2</v>
      </c>
      <c r="E201" s="287">
        <v>4</v>
      </c>
      <c r="F201" s="288">
        <v>159</v>
      </c>
      <c r="G201" s="286">
        <v>2.5892232330300909E-2</v>
      </c>
      <c r="H201" s="287">
        <v>1</v>
      </c>
      <c r="I201" s="288">
        <v>32</v>
      </c>
      <c r="J201" s="289">
        <v>0</v>
      </c>
      <c r="K201" s="287">
        <v>2</v>
      </c>
      <c r="L201" s="288">
        <v>72</v>
      </c>
      <c r="M201" s="286">
        <v>0.15102364384492456</v>
      </c>
      <c r="N201" s="287">
        <v>4</v>
      </c>
      <c r="O201" s="288">
        <v>182</v>
      </c>
      <c r="P201" s="290">
        <v>3.1987041036717061</v>
      </c>
      <c r="Q201" s="287">
        <v>1</v>
      </c>
      <c r="R201" s="288">
        <v>4</v>
      </c>
      <c r="S201" s="291">
        <v>5125.2624212736182</v>
      </c>
      <c r="T201" s="287">
        <v>2</v>
      </c>
      <c r="U201" s="288">
        <v>71</v>
      </c>
      <c r="V201" s="286">
        <v>0.11012816150618124</v>
      </c>
      <c r="W201" s="287">
        <v>4</v>
      </c>
      <c r="X201" s="288">
        <v>171</v>
      </c>
      <c r="Y201" s="286">
        <v>0.11662726556343578</v>
      </c>
      <c r="Z201" s="287">
        <v>4</v>
      </c>
      <c r="AA201" s="288">
        <v>150</v>
      </c>
      <c r="AB201" s="286">
        <v>1.5729553903345725E-2</v>
      </c>
      <c r="AC201" s="287">
        <v>4</v>
      </c>
      <c r="AD201" s="288">
        <v>180</v>
      </c>
      <c r="AE201" s="292" vm="1022">
        <v>1429</v>
      </c>
      <c r="AF201" s="293">
        <v>0</v>
      </c>
      <c r="AG201" s="293">
        <v>0.13365990202939118</v>
      </c>
      <c r="AH201" s="293">
        <v>0.13365990202939118</v>
      </c>
      <c r="AI201" s="285" t="str">
        <v>Traditional</v>
      </c>
      <c r="AJ201" s="294" t="str">
        <v>Yorkshire &amp; the Humber</v>
      </c>
      <c r="AM201" s="295" t="s">
        <v>665</v>
      </c>
    </row>
    <row r="202" spans="1:39" x14ac:dyDescent="0.25">
      <c r="A202" s="283"/>
      <c r="B202" s="284" t="str" vm="52">
        <v>First Choice Homes Oldham Limited</v>
      </c>
      <c r="C202" s="285" t="str" vm="289">
        <v>4582</v>
      </c>
      <c r="D202" s="286">
        <v>0.16910459863315186</v>
      </c>
      <c r="E202" s="287">
        <v>1</v>
      </c>
      <c r="F202" s="288">
        <v>7</v>
      </c>
      <c r="G202" s="286">
        <v>1.14780004990435E-2</v>
      </c>
      <c r="H202" s="287">
        <v>3</v>
      </c>
      <c r="I202" s="288">
        <v>113</v>
      </c>
      <c r="J202" s="289">
        <v>0</v>
      </c>
      <c r="K202" s="287">
        <v>2</v>
      </c>
      <c r="L202" s="288">
        <v>72</v>
      </c>
      <c r="M202" s="286">
        <v>0.13625390941735202</v>
      </c>
      <c r="N202" s="287">
        <v>4</v>
      </c>
      <c r="O202" s="288">
        <v>183</v>
      </c>
      <c r="P202" s="290">
        <v>1.0392087601554221</v>
      </c>
      <c r="Q202" s="287">
        <v>3</v>
      </c>
      <c r="R202" s="288">
        <v>134</v>
      </c>
      <c r="S202" s="291">
        <v>4241.8169088044806</v>
      </c>
      <c r="T202" s="287">
        <v>3</v>
      </c>
      <c r="U202" s="288">
        <v>133</v>
      </c>
      <c r="V202" s="286">
        <v>0.13733262340018537</v>
      </c>
      <c r="W202" s="287">
        <v>4</v>
      </c>
      <c r="X202" s="288">
        <v>153</v>
      </c>
      <c r="Y202" s="286">
        <v>0.14005009023608705</v>
      </c>
      <c r="Z202" s="287">
        <v>3</v>
      </c>
      <c r="AA202" s="288">
        <v>138</v>
      </c>
      <c r="AB202" s="286">
        <v>4.0441191104530129E-2</v>
      </c>
      <c r="AC202" s="287">
        <v>1</v>
      </c>
      <c r="AD202" s="288">
        <v>29</v>
      </c>
      <c r="AE202" s="292" vm="7851">
        <v>11426</v>
      </c>
      <c r="AF202" s="293">
        <v>0</v>
      </c>
      <c r="AG202" s="293">
        <v>0</v>
      </c>
      <c r="AH202" s="293">
        <v>0</v>
      </c>
      <c r="AI202" s="285" t="str">
        <v>Traditional</v>
      </c>
      <c r="AJ202" s="294" t="str">
        <v>North West</v>
      </c>
      <c r="AM202" s="295" t="s">
        <v>665</v>
      </c>
    </row>
    <row r="203" spans="1:39" x14ac:dyDescent="0.25">
      <c r="A203" s="283"/>
      <c r="B203" s="284" t="str" vm="187">
        <v>Warrington Housing Association Limited</v>
      </c>
      <c r="C203" s="285" t="str" vm="221">
        <v>L0518</v>
      </c>
      <c r="D203" s="286">
        <v>7.7764184126013158E-2</v>
      </c>
      <c r="E203" s="287">
        <v>2</v>
      </c>
      <c r="F203" s="288">
        <v>78</v>
      </c>
      <c r="G203" s="286">
        <v>2.2371364653243849E-2</v>
      </c>
      <c r="H203" s="287">
        <v>1</v>
      </c>
      <c r="I203" s="288">
        <v>48</v>
      </c>
      <c r="J203" s="289">
        <v>0</v>
      </c>
      <c r="K203" s="287">
        <v>2</v>
      </c>
      <c r="L203" s="288">
        <v>72</v>
      </c>
      <c r="M203" s="286">
        <v>0.12314574093898149</v>
      </c>
      <c r="N203" s="287">
        <v>4</v>
      </c>
      <c r="O203" s="288">
        <v>184</v>
      </c>
      <c r="P203" s="290">
        <v>3.0963541666666665</v>
      </c>
      <c r="Q203" s="287">
        <v>1</v>
      </c>
      <c r="R203" s="288">
        <v>5</v>
      </c>
      <c r="S203" s="291">
        <v>4901.4626635873747</v>
      </c>
      <c r="T203" s="287">
        <v>2</v>
      </c>
      <c r="U203" s="288">
        <v>80</v>
      </c>
      <c r="V203" s="286">
        <v>0.25846335001471887</v>
      </c>
      <c r="W203" s="287">
        <v>1</v>
      </c>
      <c r="X203" s="288">
        <v>49</v>
      </c>
      <c r="Y203" s="286">
        <v>0.185591723441837</v>
      </c>
      <c r="Z203" s="287">
        <v>2</v>
      </c>
      <c r="AA203" s="288">
        <v>96</v>
      </c>
      <c r="AB203" s="286">
        <v>3.930197525431188E-2</v>
      </c>
      <c r="AC203" s="287">
        <v>1</v>
      </c>
      <c r="AD203" s="288">
        <v>32</v>
      </c>
      <c r="AE203" s="292" vm="8569">
        <v>1298</v>
      </c>
      <c r="AF203" s="293">
        <v>5.5427251732101619E-2</v>
      </c>
      <c r="AG203" s="293">
        <v>0.12086220169361046</v>
      </c>
      <c r="AH203" s="293">
        <v>0.17628945342571209</v>
      </c>
      <c r="AI203" s="285" t="str">
        <v>Traditional</v>
      </c>
      <c r="AJ203" s="294" t="str">
        <v>North West</v>
      </c>
      <c r="AM203" s="295" t="s">
        <v>665</v>
      </c>
    </row>
    <row r="204" spans="1:39" x14ac:dyDescent="0.25">
      <c r="A204" s="283"/>
      <c r="B204" s="284" t="str" vm="43">
        <v>Durham Aged Mineworkers' Homes Association</v>
      </c>
      <c r="C204" s="285" t="str" vm="236">
        <v>5125</v>
      </c>
      <c r="D204" s="286">
        <v>1.6219253658910374E-2</v>
      </c>
      <c r="E204" s="287">
        <v>4</v>
      </c>
      <c r="F204" s="288">
        <v>193</v>
      </c>
      <c r="G204" s="286">
        <v>0</v>
      </c>
      <c r="H204" s="287">
        <v>4</v>
      </c>
      <c r="I204" s="288">
        <v>187</v>
      </c>
      <c r="J204" s="289">
        <v>0</v>
      </c>
      <c r="K204" s="287">
        <v>2</v>
      </c>
      <c r="L204" s="288">
        <v>72</v>
      </c>
      <c r="M204" s="286">
        <v>0.12159331817833516</v>
      </c>
      <c r="N204" s="287">
        <v>4</v>
      </c>
      <c r="O204" s="288">
        <v>185</v>
      </c>
      <c r="P204" s="290">
        <v>2.5971615720524017</v>
      </c>
      <c r="Q204" s="287">
        <v>1</v>
      </c>
      <c r="R204" s="288">
        <v>13</v>
      </c>
      <c r="S204" s="291">
        <v>3316.192560175055</v>
      </c>
      <c r="T204" s="287">
        <v>4</v>
      </c>
      <c r="U204" s="288">
        <v>194</v>
      </c>
      <c r="V204" s="286">
        <v>0.2287087912087912</v>
      </c>
      <c r="W204" s="287">
        <v>2</v>
      </c>
      <c r="X204" s="288">
        <v>75</v>
      </c>
      <c r="Y204" s="286">
        <v>0.2289841883744739</v>
      </c>
      <c r="Z204" s="287">
        <v>2</v>
      </c>
      <c r="AA204" s="288">
        <v>53</v>
      </c>
      <c r="AB204" s="286">
        <v>2.4561853865720754E-2</v>
      </c>
      <c r="AC204" s="287">
        <v>3</v>
      </c>
      <c r="AD204" s="288">
        <v>130</v>
      </c>
      <c r="AE204" s="292" vm="1367">
        <v>1784</v>
      </c>
      <c r="AF204" s="293">
        <v>0</v>
      </c>
      <c r="AG204" s="293">
        <v>3.5127478753541073E-2</v>
      </c>
      <c r="AH204" s="293">
        <v>3.5127478753541073E-2</v>
      </c>
      <c r="AI204" s="285" t="str">
        <v>Traditional</v>
      </c>
      <c r="AJ204" s="294" t="str">
        <v>North East</v>
      </c>
      <c r="AM204" s="295" t="s">
        <v>665</v>
      </c>
    </row>
    <row r="205" spans="1:39" x14ac:dyDescent="0.25">
      <c r="A205" s="283"/>
      <c r="B205" s="284" t="str" vm="68">
        <v>Habinteg Housing Association Limited</v>
      </c>
      <c r="C205" s="285" t="str" vm="311">
        <v>LH0459</v>
      </c>
      <c r="D205" s="286">
        <v>3.8147572178803706E-2</v>
      </c>
      <c r="E205" s="287">
        <v>4</v>
      </c>
      <c r="F205" s="288">
        <v>153</v>
      </c>
      <c r="G205" s="286">
        <v>0</v>
      </c>
      <c r="H205" s="287">
        <v>4</v>
      </c>
      <c r="I205" s="288">
        <v>187</v>
      </c>
      <c r="J205" s="289">
        <v>0</v>
      </c>
      <c r="K205" s="287">
        <v>2</v>
      </c>
      <c r="L205" s="288">
        <v>72</v>
      </c>
      <c r="M205" s="286">
        <v>0.1008938197753278</v>
      </c>
      <c r="N205" s="287">
        <v>4</v>
      </c>
      <c r="O205" s="288">
        <v>186</v>
      </c>
      <c r="P205" s="290">
        <v>-0.39828897338403041</v>
      </c>
      <c r="Q205" s="287">
        <v>4</v>
      </c>
      <c r="R205" s="288">
        <v>185</v>
      </c>
      <c r="S205" s="291">
        <v>7226.7546490701861</v>
      </c>
      <c r="T205" s="287">
        <v>1</v>
      </c>
      <c r="U205" s="288">
        <v>31</v>
      </c>
      <c r="V205" s="286">
        <v>-8.8964014056314221E-4</v>
      </c>
      <c r="W205" s="287">
        <v>4</v>
      </c>
      <c r="X205" s="288">
        <v>194</v>
      </c>
      <c r="Y205" s="286">
        <v>6.6985836824256934E-2</v>
      </c>
      <c r="Z205" s="287">
        <v>4</v>
      </c>
      <c r="AA205" s="288">
        <v>175</v>
      </c>
      <c r="AB205" s="286">
        <v>2.2351998629453647E-2</v>
      </c>
      <c r="AC205" s="287">
        <v>3</v>
      </c>
      <c r="AD205" s="288">
        <v>145</v>
      </c>
      <c r="AE205" s="292" vm="3705">
        <v>3320</v>
      </c>
      <c r="AF205" s="293">
        <v>0.39323789217179411</v>
      </c>
      <c r="AG205" s="293">
        <v>7.4322266219920802E-2</v>
      </c>
      <c r="AH205" s="293">
        <v>0.46756015839171494</v>
      </c>
      <c r="AI205" s="285" t="str">
        <v>Traditional</v>
      </c>
      <c r="AJ205" s="294" t="str">
        <v>Mixed</v>
      </c>
      <c r="AM205" s="295" t="s">
        <v>665</v>
      </c>
    </row>
    <row r="206" spans="1:39" x14ac:dyDescent="0.25">
      <c r="A206" s="283"/>
      <c r="B206" s="284" t="str" vm="143">
        <v>Salvation Army Housing Association</v>
      </c>
      <c r="C206" s="285" t="str" vm="310">
        <v>LH2429</v>
      </c>
      <c r="D206" s="286">
        <v>2.2490946005267777E-2</v>
      </c>
      <c r="E206" s="287">
        <v>4</v>
      </c>
      <c r="F206" s="288">
        <v>186</v>
      </c>
      <c r="G206" s="286">
        <v>2.768549280177187E-4</v>
      </c>
      <c r="H206" s="287">
        <v>4</v>
      </c>
      <c r="I206" s="288">
        <v>185</v>
      </c>
      <c r="J206" s="289">
        <v>0</v>
      </c>
      <c r="K206" s="287">
        <v>2</v>
      </c>
      <c r="L206" s="288">
        <v>72</v>
      </c>
      <c r="M206" s="286">
        <v>9.9648814749780504E-2</v>
      </c>
      <c r="N206" s="287">
        <v>4</v>
      </c>
      <c r="O206" s="288">
        <v>187</v>
      </c>
      <c r="P206" s="290">
        <v>2.0579119086460032</v>
      </c>
      <c r="Q206" s="287">
        <v>1</v>
      </c>
      <c r="R206" s="288">
        <v>28</v>
      </c>
      <c r="S206" s="291">
        <v>7795.4168967421319</v>
      </c>
      <c r="T206" s="287">
        <v>1</v>
      </c>
      <c r="U206" s="288">
        <v>24</v>
      </c>
      <c r="V206" s="286">
        <v>5.2166224580017684E-2</v>
      </c>
      <c r="W206" s="287">
        <v>4</v>
      </c>
      <c r="X206" s="288">
        <v>186</v>
      </c>
      <c r="Y206" s="286">
        <v>0.10489656198839113</v>
      </c>
      <c r="Z206" s="287">
        <v>4</v>
      </c>
      <c r="AA206" s="288">
        <v>158</v>
      </c>
      <c r="AB206" s="286">
        <v>1.9991944222248696E-2</v>
      </c>
      <c r="AC206" s="287">
        <v>4</v>
      </c>
      <c r="AD206" s="288">
        <v>162</v>
      </c>
      <c r="AE206" s="292" vm="3668">
        <v>3612</v>
      </c>
      <c r="AF206" s="293">
        <v>0.54872226902555465</v>
      </c>
      <c r="AG206" s="293">
        <v>8.1156978376860436E-2</v>
      </c>
      <c r="AH206" s="293">
        <v>0.62987924740241508</v>
      </c>
      <c r="AI206" s="285" t="str">
        <v>Traditional</v>
      </c>
      <c r="AJ206" s="294" t="str">
        <v>Mixed</v>
      </c>
      <c r="AM206" s="295" t="s">
        <v>665</v>
      </c>
    </row>
    <row r="207" spans="1:39" x14ac:dyDescent="0.25">
      <c r="A207" s="283"/>
      <c r="B207" s="284" t="str" vm="56">
        <v>Framework Housing Association</v>
      </c>
      <c r="C207" s="285" t="str" vm="200">
        <v>LH4184</v>
      </c>
      <c r="D207" s="286">
        <v>6.4498138853222309E-2</v>
      </c>
      <c r="E207" s="287">
        <v>3</v>
      </c>
      <c r="F207" s="288">
        <v>109</v>
      </c>
      <c r="G207" s="286">
        <v>4.4153720359771054E-2</v>
      </c>
      <c r="H207" s="287">
        <v>1</v>
      </c>
      <c r="I207" s="288">
        <v>6</v>
      </c>
      <c r="J207" s="289">
        <v>0</v>
      </c>
      <c r="K207" s="287">
        <v>2</v>
      </c>
      <c r="L207" s="288">
        <v>72</v>
      </c>
      <c r="M207" s="286">
        <v>6.1320571184000625E-2</v>
      </c>
      <c r="N207" s="287">
        <v>4</v>
      </c>
      <c r="O207" s="288">
        <v>188</v>
      </c>
      <c r="P207" s="290">
        <v>2.7260273972602738</v>
      </c>
      <c r="Q207" s="287">
        <v>1</v>
      </c>
      <c r="R207" s="288">
        <v>9</v>
      </c>
      <c r="S207" s="291">
        <v>28646.294881589001</v>
      </c>
      <c r="T207" s="287">
        <v>1</v>
      </c>
      <c r="U207" s="288">
        <v>2</v>
      </c>
      <c r="V207" s="286">
        <v>2.5755109423042141E-2</v>
      </c>
      <c r="W207" s="287">
        <v>4</v>
      </c>
      <c r="X207" s="288">
        <v>190</v>
      </c>
      <c r="Y207" s="286">
        <v>1.7418106228944161E-2</v>
      </c>
      <c r="Z207" s="287">
        <v>4</v>
      </c>
      <c r="AA207" s="288">
        <v>190</v>
      </c>
      <c r="AB207" s="286">
        <v>1.1749205236374186E-2</v>
      </c>
      <c r="AC207" s="287">
        <v>4</v>
      </c>
      <c r="AD207" s="288">
        <v>186</v>
      </c>
      <c r="AE207" s="292" vm="624">
        <v>1223</v>
      </c>
      <c r="AF207" s="293">
        <v>0.84791496320523307</v>
      </c>
      <c r="AG207" s="293">
        <v>0</v>
      </c>
      <c r="AH207" s="293">
        <v>0.84791496320523307</v>
      </c>
      <c r="AI207" s="285" t="str">
        <v>Traditional</v>
      </c>
      <c r="AJ207" s="294" t="str">
        <v>East Midlands</v>
      </c>
      <c r="AM207" s="295" t="s">
        <v>665</v>
      </c>
    </row>
    <row r="208" spans="1:39" x14ac:dyDescent="0.25">
      <c r="A208" s="283"/>
      <c r="B208" s="284" t="str" vm="25">
        <v>Brunelcare</v>
      </c>
      <c r="C208" s="285" t="str" vm="211">
        <v>LH0269</v>
      </c>
      <c r="D208" s="286">
        <v>1.8979877644283924E-2</v>
      </c>
      <c r="E208" s="287">
        <v>4</v>
      </c>
      <c r="F208" s="288">
        <v>190</v>
      </c>
      <c r="G208" s="286">
        <v>0</v>
      </c>
      <c r="H208" s="287">
        <v>4</v>
      </c>
      <c r="I208" s="288">
        <v>187</v>
      </c>
      <c r="J208" s="289">
        <v>0</v>
      </c>
      <c r="K208" s="287">
        <v>2</v>
      </c>
      <c r="L208" s="288">
        <v>72</v>
      </c>
      <c r="M208" s="286">
        <v>5.321736566669124E-2</v>
      </c>
      <c r="N208" s="287">
        <v>4</v>
      </c>
      <c r="O208" s="288">
        <v>189</v>
      </c>
      <c r="P208" s="290">
        <v>2.9902439024390244</v>
      </c>
      <c r="Q208" s="287">
        <v>1</v>
      </c>
      <c r="R208" s="288">
        <v>7</v>
      </c>
      <c r="S208" s="291">
        <v>8060.2836879432616</v>
      </c>
      <c r="T208" s="287">
        <v>1</v>
      </c>
      <c r="U208" s="288">
        <v>23</v>
      </c>
      <c r="V208" s="286">
        <v>8.3732789393166751E-2</v>
      </c>
      <c r="W208" s="287">
        <v>4</v>
      </c>
      <c r="X208" s="288">
        <v>181</v>
      </c>
      <c r="Y208" s="286">
        <v>2.8842153917263694E-2</v>
      </c>
      <c r="Z208" s="287">
        <v>4</v>
      </c>
      <c r="AA208" s="288">
        <v>188</v>
      </c>
      <c r="AB208" s="286">
        <v>2.1958320311857495E-2</v>
      </c>
      <c r="AC208" s="287">
        <v>3</v>
      </c>
      <c r="AD208" s="288">
        <v>147</v>
      </c>
      <c r="AE208" s="292" vm="8906">
        <v>1128</v>
      </c>
      <c r="AF208" s="293">
        <v>0.97539543057996481</v>
      </c>
      <c r="AG208" s="293">
        <v>0</v>
      </c>
      <c r="AH208" s="293">
        <v>0.97539543057996481</v>
      </c>
      <c r="AI208" s="285" t="str">
        <v>Traditional</v>
      </c>
      <c r="AJ208" s="294" t="str">
        <v>South West</v>
      </c>
      <c r="AM208" s="295" t="s">
        <v>665</v>
      </c>
    </row>
    <row r="209" spans="1:39" x14ac:dyDescent="0.25">
      <c r="A209" s="283"/>
      <c r="B209" s="284" t="str" vm="139">
        <v>Rochdale Boroughwide Housing Limited</v>
      </c>
      <c r="C209" s="285" t="str" vm="273">
        <v>4607</v>
      </c>
      <c r="D209" s="286">
        <v>9.2385864541571175E-2</v>
      </c>
      <c r="E209" s="287">
        <v>2</v>
      </c>
      <c r="F209" s="288">
        <v>51</v>
      </c>
      <c r="G209" s="286">
        <v>5.0734107156583906E-3</v>
      </c>
      <c r="H209" s="287">
        <v>4</v>
      </c>
      <c r="I209" s="288">
        <v>159</v>
      </c>
      <c r="J209" s="289">
        <v>0</v>
      </c>
      <c r="K209" s="287">
        <v>2</v>
      </c>
      <c r="L209" s="288">
        <v>72</v>
      </c>
      <c r="M209" s="286">
        <v>5.2102761566692739E-2</v>
      </c>
      <c r="N209" s="287">
        <v>4</v>
      </c>
      <c r="O209" s="288">
        <v>190</v>
      </c>
      <c r="P209" s="290">
        <v>-3.5489781536293163</v>
      </c>
      <c r="Q209" s="287">
        <v>4</v>
      </c>
      <c r="R209" s="288">
        <v>192</v>
      </c>
      <c r="S209" s="291">
        <v>5093.6087798579729</v>
      </c>
      <c r="T209" s="287">
        <v>2</v>
      </c>
      <c r="U209" s="288">
        <v>72</v>
      </c>
      <c r="V209" s="286">
        <v>0.10088023873425798</v>
      </c>
      <c r="W209" s="287">
        <v>4</v>
      </c>
      <c r="X209" s="288">
        <v>176</v>
      </c>
      <c r="Y209" s="286">
        <v>1.0386119257086998E-2</v>
      </c>
      <c r="Z209" s="287">
        <v>4</v>
      </c>
      <c r="AA209" s="288">
        <v>191</v>
      </c>
      <c r="AB209" s="286">
        <v>2.1187088562608734E-2</v>
      </c>
      <c r="AC209" s="287">
        <v>4</v>
      </c>
      <c r="AD209" s="288">
        <v>154</v>
      </c>
      <c r="AE209" s="292" vm="2429">
        <v>12381</v>
      </c>
      <c r="AF209" s="293">
        <v>0</v>
      </c>
      <c r="AG209" s="293">
        <v>7.5512841221127447E-2</v>
      </c>
      <c r="AH209" s="293">
        <v>7.5512841221127447E-2</v>
      </c>
      <c r="AI209" s="285" t="str">
        <v>LSVT</v>
      </c>
      <c r="AJ209" s="294" t="str">
        <v>North West</v>
      </c>
      <c r="AM209" s="295" t="s">
        <v>665</v>
      </c>
    </row>
    <row r="210" spans="1:39" x14ac:dyDescent="0.25">
      <c r="A210" s="283"/>
      <c r="B210" s="284" t="str" vm="132">
        <v>Prima Housing Group Limited</v>
      </c>
      <c r="C210" s="285" t="str" vm="317">
        <v>L1001</v>
      </c>
      <c r="D210" s="286">
        <v>8.8646318570534663E-2</v>
      </c>
      <c r="E210" s="287">
        <v>2</v>
      </c>
      <c r="F210" s="288">
        <v>57</v>
      </c>
      <c r="G210" s="286">
        <v>7.1267816954238561E-3</v>
      </c>
      <c r="H210" s="287">
        <v>3</v>
      </c>
      <c r="I210" s="288">
        <v>143</v>
      </c>
      <c r="J210" s="289">
        <v>1.4540167211922936E-3</v>
      </c>
      <c r="K210" s="287">
        <v>1</v>
      </c>
      <c r="L210" s="288">
        <v>40</v>
      </c>
      <c r="M210" s="286">
        <v>-1.5891776998639266E-4</v>
      </c>
      <c r="N210" s="287">
        <v>4</v>
      </c>
      <c r="O210" s="288">
        <v>191</v>
      </c>
      <c r="P210" s="290">
        <v>0.25092707045735474</v>
      </c>
      <c r="Q210" s="287">
        <v>4</v>
      </c>
      <c r="R210" s="288">
        <v>177</v>
      </c>
      <c r="S210" s="291">
        <v>5280.9452363090768</v>
      </c>
      <c r="T210" s="287">
        <v>2</v>
      </c>
      <c r="U210" s="288">
        <v>65</v>
      </c>
      <c r="V210" s="286">
        <v>0.23861633372502938</v>
      </c>
      <c r="W210" s="287">
        <v>2</v>
      </c>
      <c r="X210" s="288">
        <v>66</v>
      </c>
      <c r="Y210" s="286">
        <v>0.25757073752567755</v>
      </c>
      <c r="Z210" s="287">
        <v>1</v>
      </c>
      <c r="AA210" s="288">
        <v>32</v>
      </c>
      <c r="AB210" s="286">
        <v>3.880570878206812E-2</v>
      </c>
      <c r="AC210" s="287">
        <v>1</v>
      </c>
      <c r="AD210" s="288">
        <v>36</v>
      </c>
      <c r="AE210" s="292" vm="3933">
        <v>2666</v>
      </c>
      <c r="AF210" s="293">
        <v>1.9140625000000001E-2</v>
      </c>
      <c r="AG210" s="293">
        <v>7.7734374999999994E-2</v>
      </c>
      <c r="AH210" s="293">
        <v>9.6874999999999989E-2</v>
      </c>
      <c r="AI210" s="285" t="str">
        <v>Traditional</v>
      </c>
      <c r="AJ210" s="294" t="str">
        <v>North West</v>
      </c>
      <c r="AM210" s="295" t="s">
        <v>665</v>
      </c>
    </row>
    <row r="211" spans="1:39" x14ac:dyDescent="0.25">
      <c r="A211" s="283"/>
      <c r="B211" s="284" t="str" vm="5">
        <v>Advance Housing and Support Limited</v>
      </c>
      <c r="C211" s="285" t="str" vm="204">
        <v>LH0280</v>
      </c>
      <c r="D211" s="286">
        <v>8.651176640596947E-2</v>
      </c>
      <c r="E211" s="287">
        <v>2</v>
      </c>
      <c r="F211" s="288">
        <v>60</v>
      </c>
      <c r="G211" s="286">
        <v>2.5858225590726706E-2</v>
      </c>
      <c r="H211" s="287">
        <v>1</v>
      </c>
      <c r="I211" s="288">
        <v>33</v>
      </c>
      <c r="J211" s="289">
        <v>0</v>
      </c>
      <c r="K211" s="287">
        <v>2</v>
      </c>
      <c r="L211" s="288">
        <v>72</v>
      </c>
      <c r="M211" s="286">
        <v>-8.5565899755651112E-3</v>
      </c>
      <c r="N211" s="287">
        <v>4</v>
      </c>
      <c r="O211" s="288">
        <v>192</v>
      </c>
      <c r="P211" s="290">
        <v>4.3608490566037732</v>
      </c>
      <c r="Q211" s="287">
        <v>1</v>
      </c>
      <c r="R211" s="288">
        <v>2</v>
      </c>
      <c r="S211" s="291">
        <v>16111.593573599652</v>
      </c>
      <c r="T211" s="287">
        <v>1</v>
      </c>
      <c r="U211" s="288">
        <v>7</v>
      </c>
      <c r="V211" s="286">
        <v>0.11266726137377342</v>
      </c>
      <c r="W211" s="287">
        <v>4</v>
      </c>
      <c r="X211" s="288">
        <v>168</v>
      </c>
      <c r="Y211" s="286">
        <v>2.6907741839193193E-2</v>
      </c>
      <c r="Z211" s="287">
        <v>4</v>
      </c>
      <c r="AA211" s="288">
        <v>189</v>
      </c>
      <c r="AB211" s="286">
        <v>1.6309027226295066E-2</v>
      </c>
      <c r="AC211" s="287">
        <v>4</v>
      </c>
      <c r="AD211" s="288">
        <v>177</v>
      </c>
      <c r="AE211" s="292" vm="700">
        <v>2243</v>
      </c>
      <c r="AF211" s="293">
        <v>0.62841774988794263</v>
      </c>
      <c r="AG211" s="293">
        <v>0</v>
      </c>
      <c r="AH211" s="293">
        <v>0.62841774988794263</v>
      </c>
      <c r="AI211" s="285" t="str">
        <v>Traditional</v>
      </c>
      <c r="AJ211" s="294" t="str">
        <v>Mixed</v>
      </c>
      <c r="AM211" s="295" t="s">
        <v>665</v>
      </c>
    </row>
    <row r="212" spans="1:39" x14ac:dyDescent="0.25">
      <c r="A212" s="283"/>
      <c r="B212" s="284" t="str" vm="189">
        <v>Watmos Community Homes</v>
      </c>
      <c r="C212" s="285" t="str" vm="307">
        <v>L4383</v>
      </c>
      <c r="D212" s="286">
        <v>0.23221327771078448</v>
      </c>
      <c r="E212" s="287">
        <v>1</v>
      </c>
      <c r="F212" s="288">
        <v>1</v>
      </c>
      <c r="G212" s="286">
        <v>0</v>
      </c>
      <c r="H212" s="287">
        <v>4</v>
      </c>
      <c r="I212" s="288">
        <v>187</v>
      </c>
      <c r="J212" s="289">
        <v>0</v>
      </c>
      <c r="K212" s="287">
        <v>2</v>
      </c>
      <c r="L212" s="288">
        <v>72</v>
      </c>
      <c r="M212" s="286">
        <v>-0.10315158230942216</v>
      </c>
      <c r="N212" s="287">
        <v>4</v>
      </c>
      <c r="O212" s="288">
        <v>193</v>
      </c>
      <c r="P212" s="290">
        <v>-37.138790035587192</v>
      </c>
      <c r="Q212" s="287">
        <v>4</v>
      </c>
      <c r="R212" s="288">
        <v>195</v>
      </c>
      <c r="S212" s="291">
        <v>10350.286806883367</v>
      </c>
      <c r="T212" s="287">
        <v>1</v>
      </c>
      <c r="U212" s="288">
        <v>14</v>
      </c>
      <c r="V212" s="286">
        <v>0.15405046480743692</v>
      </c>
      <c r="W212" s="287">
        <v>3</v>
      </c>
      <c r="X212" s="288">
        <v>140</v>
      </c>
      <c r="Y212" s="286">
        <v>0.11400785048919093</v>
      </c>
      <c r="Z212" s="287">
        <v>4</v>
      </c>
      <c r="AA212" s="288">
        <v>154</v>
      </c>
      <c r="AB212" s="286">
        <v>3.8410834132310639E-2</v>
      </c>
      <c r="AC212" s="287">
        <v>1</v>
      </c>
      <c r="AD212" s="288">
        <v>37</v>
      </c>
      <c r="AE212" s="292" vm="3582">
        <v>2615</v>
      </c>
      <c r="AF212" s="293">
        <v>0</v>
      </c>
      <c r="AG212" s="293">
        <v>3.2887189292543022E-2</v>
      </c>
      <c r="AH212" s="293">
        <v>3.2887189292543022E-2</v>
      </c>
      <c r="AI212" s="285" t="str">
        <v>Traditional</v>
      </c>
      <c r="AJ212" s="294" t="str">
        <v>West Midlands</v>
      </c>
      <c r="AM212" s="295" t="s">
        <v>665</v>
      </c>
    </row>
    <row r="213" spans="1:39" x14ac:dyDescent="0.25">
      <c r="A213" s="283"/>
      <c r="B213" s="284" t="str" vm="34">
        <v>Cobalt Housing Limited</v>
      </c>
      <c r="C213" s="285" t="str" vm="394">
        <v>L4361</v>
      </c>
      <c r="D213" s="286">
        <v>2.8088798236101036E-2</v>
      </c>
      <c r="E213" s="287">
        <v>4</v>
      </c>
      <c r="F213" s="288">
        <v>176</v>
      </c>
      <c r="G213" s="286">
        <v>8.6251509401414524E-3</v>
      </c>
      <c r="H213" s="287">
        <v>3</v>
      </c>
      <c r="I213" s="288">
        <v>134</v>
      </c>
      <c r="J213" s="289">
        <v>0</v>
      </c>
      <c r="K213" s="287">
        <v>2</v>
      </c>
      <c r="L213" s="288">
        <v>72</v>
      </c>
      <c r="M213" s="286">
        <v>-0.11793560619662877</v>
      </c>
      <c r="N213" s="287">
        <v>4</v>
      </c>
      <c r="O213" s="288">
        <v>194</v>
      </c>
      <c r="P213" s="290">
        <v>13.108949416342412</v>
      </c>
      <c r="Q213" s="287">
        <v>1</v>
      </c>
      <c r="R213" s="288">
        <v>1</v>
      </c>
      <c r="S213" s="291">
        <v>3357.4262549594619</v>
      </c>
      <c r="T213" s="287">
        <v>4</v>
      </c>
      <c r="U213" s="288">
        <v>193</v>
      </c>
      <c r="V213" s="286">
        <v>0.27976417548118604</v>
      </c>
      <c r="W213" s="287">
        <v>1</v>
      </c>
      <c r="X213" s="288">
        <v>37</v>
      </c>
      <c r="Y213" s="286">
        <v>0.23054170249355116</v>
      </c>
      <c r="Z213" s="287">
        <v>1</v>
      </c>
      <c r="AA213" s="288">
        <v>49</v>
      </c>
      <c r="AB213" s="286">
        <v>4.8038973852984709E-2</v>
      </c>
      <c r="AC213" s="287">
        <v>1</v>
      </c>
      <c r="AD213" s="288">
        <v>8</v>
      </c>
      <c r="AE213" s="292" vm="6781">
        <v>5797</v>
      </c>
      <c r="AF213" s="293">
        <v>0</v>
      </c>
      <c r="AG213" s="293">
        <v>0</v>
      </c>
      <c r="AH213" s="293">
        <v>0</v>
      </c>
      <c r="AI213" s="285" t="str">
        <v>Traditional</v>
      </c>
      <c r="AJ213" s="294" t="str">
        <v>North West</v>
      </c>
      <c r="AM213" s="295" t="s">
        <v>665</v>
      </c>
    </row>
    <row r="214" spans="1:39" x14ac:dyDescent="0.25">
      <c r="A214" s="283"/>
      <c r="B214" s="284" t="str" vm="163">
        <v>The Abbeyfield Society</v>
      </c>
      <c r="C214" s="285" t="str" vm="201">
        <v>H1046</v>
      </c>
      <c r="D214" s="286">
        <v>2.7409958753242335E-2</v>
      </c>
      <c r="E214" s="287">
        <v>4</v>
      </c>
      <c r="F214" s="288">
        <v>177</v>
      </c>
      <c r="G214" s="286">
        <v>0</v>
      </c>
      <c r="H214" s="287">
        <v>4</v>
      </c>
      <c r="I214" s="288">
        <v>187</v>
      </c>
      <c r="J214" s="289">
        <v>1.2042147516307075E-2</v>
      </c>
      <c r="K214" s="287">
        <v>1</v>
      </c>
      <c r="L214" s="288">
        <v>4</v>
      </c>
      <c r="M214" s="286">
        <v>-0.13409023259769529</v>
      </c>
      <c r="N214" s="287">
        <v>4</v>
      </c>
      <c r="O214" s="288">
        <v>195</v>
      </c>
      <c r="P214" s="290">
        <v>-28.438931297709924</v>
      </c>
      <c r="Q214" s="287">
        <v>4</v>
      </c>
      <c r="R214" s="288">
        <v>194</v>
      </c>
      <c r="S214" s="291">
        <v>27800.320341697814</v>
      </c>
      <c r="T214" s="287">
        <v>1</v>
      </c>
      <c r="U214" s="288">
        <v>3</v>
      </c>
      <c r="V214" s="286">
        <v>0.35897679500273139</v>
      </c>
      <c r="W214" s="287">
        <v>1</v>
      </c>
      <c r="X214" s="288">
        <v>7</v>
      </c>
      <c r="Y214" s="286">
        <v>-0.14421481071682604</v>
      </c>
      <c r="Z214" s="287">
        <v>4</v>
      </c>
      <c r="AA214" s="288">
        <v>197</v>
      </c>
      <c r="AB214" s="286">
        <v>-5.6700406085217286E-2</v>
      </c>
      <c r="AC214" s="287">
        <v>4</v>
      </c>
      <c r="AD214" s="288">
        <v>198</v>
      </c>
      <c r="AE214" s="292" vm="9192">
        <v>1873</v>
      </c>
      <c r="AF214" s="293">
        <v>0</v>
      </c>
      <c r="AG214" s="293">
        <v>0.60794780545670224</v>
      </c>
      <c r="AH214" s="293">
        <v>0.60794780545670224</v>
      </c>
      <c r="AI214" s="285" t="str">
        <v>Traditional</v>
      </c>
      <c r="AJ214" s="294" t="str">
        <v>Mixed</v>
      </c>
      <c r="AM214" s="295" t="s">
        <v>665</v>
      </c>
    </row>
    <row r="215" spans="1:39" x14ac:dyDescent="0.25">
      <c r="A215" s="283"/>
      <c r="B215" s="284" t="str" vm="158">
        <v>St Mungo Community Housing Association</v>
      </c>
      <c r="C215" s="285" t="str" vm="202">
        <v>LH0279</v>
      </c>
      <c r="D215" s="286">
        <v>6.469442798224502E-2</v>
      </c>
      <c r="E215" s="287">
        <v>3</v>
      </c>
      <c r="F215" s="288">
        <v>107</v>
      </c>
      <c r="G215" s="286">
        <v>2.858776443682104E-3</v>
      </c>
      <c r="H215" s="287">
        <v>4</v>
      </c>
      <c r="I215" s="288">
        <v>171</v>
      </c>
      <c r="J215" s="289">
        <v>0</v>
      </c>
      <c r="K215" s="287">
        <v>2</v>
      </c>
      <c r="L215" s="288">
        <v>72</v>
      </c>
      <c r="M215" s="286">
        <v>-0.1945670710320388</v>
      </c>
      <c r="N215" s="287">
        <v>4</v>
      </c>
      <c r="O215" s="288">
        <v>196</v>
      </c>
      <c r="P215" s="290">
        <v>-37.990521327014221</v>
      </c>
      <c r="Q215" s="287">
        <v>4</v>
      </c>
      <c r="R215" s="288">
        <v>196</v>
      </c>
      <c r="S215" s="291">
        <v>25629.585798816566</v>
      </c>
      <c r="T215" s="287">
        <v>1</v>
      </c>
      <c r="U215" s="288">
        <v>4</v>
      </c>
      <c r="V215" s="286">
        <v>-4.6824134132909069E-2</v>
      </c>
      <c r="W215" s="287">
        <v>4</v>
      </c>
      <c r="X215" s="288">
        <v>195</v>
      </c>
      <c r="Y215" s="286">
        <v>-2.5952458482578964E-2</v>
      </c>
      <c r="Z215" s="287">
        <v>4</v>
      </c>
      <c r="AA215" s="288">
        <v>193</v>
      </c>
      <c r="AB215" s="286">
        <v>-2.9389236887112175E-2</v>
      </c>
      <c r="AC215" s="287">
        <v>4</v>
      </c>
      <c r="AD215" s="288">
        <v>196</v>
      </c>
      <c r="AE215" s="292" vm="656">
        <v>1749</v>
      </c>
      <c r="AF215" s="293">
        <v>0.82561463693539161</v>
      </c>
      <c r="AG215" s="293">
        <v>0</v>
      </c>
      <c r="AH215" s="293">
        <v>0.82561463693539161</v>
      </c>
      <c r="AI215" s="285" t="str">
        <v>Traditional</v>
      </c>
      <c r="AJ215" s="294" t="str">
        <v>London</v>
      </c>
      <c r="AM215" s="295" t="s">
        <v>665</v>
      </c>
    </row>
    <row r="216" spans="1:39" x14ac:dyDescent="0.25">
      <c r="A216" s="283"/>
      <c r="B216" s="284" t="str" vm="79">
        <v>Inclusion Housing Community Interest Company</v>
      </c>
      <c r="C216" s="285" t="str" vm="304">
        <v>4662</v>
      </c>
      <c r="D216" s="286">
        <v>5.8761061946902657E-2</v>
      </c>
      <c r="E216" s="287">
        <v>3</v>
      </c>
      <c r="F216" s="288">
        <v>123</v>
      </c>
      <c r="G216" s="286">
        <v>0.11229377328366152</v>
      </c>
      <c r="H216" s="287">
        <v>1</v>
      </c>
      <c r="I216" s="288">
        <v>1</v>
      </c>
      <c r="J216" s="289">
        <v>0</v>
      </c>
      <c r="K216" s="287">
        <v>2</v>
      </c>
      <c r="L216" s="288">
        <v>72</v>
      </c>
      <c r="M216" s="286">
        <v>-7.2028318584070794</v>
      </c>
      <c r="N216" s="287">
        <v>4</v>
      </c>
      <c r="O216" s="288">
        <v>197</v>
      </c>
      <c r="P216" s="290" t="str">
        <v>n/a</v>
      </c>
      <c r="Q216" s="287">
        <v>1</v>
      </c>
      <c r="R216" s="288">
        <v>1</v>
      </c>
      <c r="S216" s="291">
        <v>16439.595529536986</v>
      </c>
      <c r="T216" s="287">
        <v>1</v>
      </c>
      <c r="U216" s="288">
        <v>6</v>
      </c>
      <c r="V216" s="286">
        <v>5.5904173352185171E-2</v>
      </c>
      <c r="W216" s="287">
        <v>4</v>
      </c>
      <c r="X216" s="288">
        <v>184</v>
      </c>
      <c r="Y216" s="286">
        <v>4.9980196813210247E-2</v>
      </c>
      <c r="Z216" s="287">
        <v>4</v>
      </c>
      <c r="AA216" s="288">
        <v>183</v>
      </c>
      <c r="AB216" s="286">
        <v>0.14566037735849058</v>
      </c>
      <c r="AC216" s="287">
        <v>1</v>
      </c>
      <c r="AD216" s="288">
        <v>2</v>
      </c>
      <c r="AE216" s="292" vm="3482">
        <v>3758</v>
      </c>
      <c r="AF216" s="293">
        <v>0.96487493347525277</v>
      </c>
      <c r="AG216" s="293">
        <v>3.3262373602980309E-2</v>
      </c>
      <c r="AH216" s="293">
        <v>0.99813730707823312</v>
      </c>
      <c r="AI216" s="285" t="str">
        <v>Traditional</v>
      </c>
      <c r="AJ216" s="294" t="str">
        <v>Mixed</v>
      </c>
      <c r="AM216" s="295" t="s">
        <v>665</v>
      </c>
    </row>
    <row r="217" spans="1:39" s="183" customFormat="1" ht="5.25" x14ac:dyDescent="0.25">
      <c r="AF217" s="296"/>
      <c r="AG217" s="296"/>
      <c r="AH217" s="296"/>
    </row>
  </sheetData>
  <sheetProtection algorithmName="SHA-512" hashValue="fjv/4qjur7LUKAUN5jYWogbTQEeuUiOkBtbjW07QoCRQ1rdxnyZ4dlSivRsL1QJ0EZ0gs8F5DLYpoABsPjB2Kw==" saltValue="gpQw3/1kIpduHKqcbUjlMA==" spinCount="100000" sheet="1" objects="1" scenarios="1" autoFilter="0"/>
  <autoFilter ref="B18:AJ60" xr:uid="{2C8B4DF8-655B-4F7D-94FF-6D1886AA4718}"/>
  <mergeCells count="14">
    <mergeCell ref="H2:J2"/>
    <mergeCell ref="T6:W6"/>
    <mergeCell ref="T7:W7"/>
    <mergeCell ref="B11:B17"/>
    <mergeCell ref="AE12:AJ17"/>
    <mergeCell ref="E13:F17"/>
    <mergeCell ref="H13:I17"/>
    <mergeCell ref="K13:L17"/>
    <mergeCell ref="N13:O17"/>
    <mergeCell ref="Q13:R17"/>
    <mergeCell ref="T13:U17"/>
    <mergeCell ref="W13:X17"/>
    <mergeCell ref="Z13:AA17"/>
    <mergeCell ref="AC13:AD17"/>
  </mergeCells>
  <phoneticPr fontId="5" type="noConversion"/>
  <conditionalFormatting sqref="A19:AJ216">
    <cfRule type="expression" dxfId="26" priority="181">
      <formula xml:space="preserve"> LEN( $B19 ) =0</formula>
    </cfRule>
  </conditionalFormatting>
  <conditionalFormatting sqref="B18:C18">
    <cfRule type="expression" dxfId="25" priority="159">
      <formula xml:space="preserve"> $B$18 = $T$6</formula>
    </cfRule>
  </conditionalFormatting>
  <conditionalFormatting sqref="B19:AJ216">
    <cfRule type="expression" dxfId="24" priority="179">
      <formula xml:space="preserve"> $B19 = $K$2</formula>
    </cfRule>
    <cfRule type="expression" dxfId="23" priority="180">
      <formula xml:space="preserve"> AND(  LEN( $B19) &gt; 0, MOD( ROW( B19 ), 2 ) = 1 )</formula>
    </cfRule>
    <cfRule type="expression" dxfId="22" priority="182">
      <formula xml:space="preserve"> AND( LEN( $B19 ) &gt;0, LEN( $B20 ) =0 )</formula>
    </cfRule>
  </conditionalFormatting>
  <conditionalFormatting sqref="C10">
    <cfRule type="expression" dxfId="21" priority="1">
      <formula xml:space="preserve"> CriteriaMet &lt;&gt; InitialList</formula>
    </cfRule>
    <cfRule type="expression" dxfId="20" priority="2">
      <formula xml:space="preserve"> CriteriaMet = 0</formula>
    </cfRule>
  </conditionalFormatting>
  <conditionalFormatting sqref="D18:F18">
    <cfRule type="expression" dxfId="19" priority="160">
      <formula xml:space="preserve"> $D$18 = $T$6</formula>
    </cfRule>
  </conditionalFormatting>
  <conditionalFormatting sqref="E13:F17">
    <cfRule type="expression" dxfId="18" priority="161">
      <formula xml:space="preserve"> $E$13 = $T$6</formula>
    </cfRule>
  </conditionalFormatting>
  <conditionalFormatting sqref="G18:I18">
    <cfRule type="expression" dxfId="17" priority="162">
      <formula xml:space="preserve"> $G$18 = $T$6</formula>
    </cfRule>
  </conditionalFormatting>
  <conditionalFormatting sqref="H13:I17">
    <cfRule type="expression" dxfId="16" priority="163">
      <formula xml:space="preserve"> $H$13 = $T$6</formula>
    </cfRule>
  </conditionalFormatting>
  <conditionalFormatting sqref="J18:L18">
    <cfRule type="expression" dxfId="15" priority="164">
      <formula xml:space="preserve"> $J$18 = $T$6</formula>
    </cfRule>
  </conditionalFormatting>
  <conditionalFormatting sqref="K13:L17">
    <cfRule type="expression" dxfId="14" priority="165">
      <formula xml:space="preserve"> $K$13 = $T$6</formula>
    </cfRule>
  </conditionalFormatting>
  <conditionalFormatting sqref="M18:O18">
    <cfRule type="expression" dxfId="13" priority="166">
      <formula xml:space="preserve"> $M$18 = $T$6</formula>
    </cfRule>
  </conditionalFormatting>
  <conditionalFormatting sqref="N13:O17">
    <cfRule type="expression" dxfId="12" priority="167">
      <formula xml:space="preserve"> $N$13 = $T$6</formula>
    </cfRule>
  </conditionalFormatting>
  <conditionalFormatting sqref="P18:R18">
    <cfRule type="expression" dxfId="11" priority="168">
      <formula xml:space="preserve"> $P$18 = $T$6</formula>
    </cfRule>
  </conditionalFormatting>
  <conditionalFormatting sqref="Q13:R17">
    <cfRule type="expression" dxfId="10" priority="169">
      <formula xml:space="preserve"> $Q$13 = $T$6</formula>
    </cfRule>
  </conditionalFormatting>
  <conditionalFormatting sqref="S18:U18">
    <cfRule type="expression" dxfId="9" priority="170">
      <formula xml:space="preserve"> $S$18 = $T$6</formula>
    </cfRule>
  </conditionalFormatting>
  <conditionalFormatting sqref="T13:U17">
    <cfRule type="expression" dxfId="8" priority="171">
      <formula xml:space="preserve"> $T$13 = $T$6</formula>
    </cfRule>
  </conditionalFormatting>
  <conditionalFormatting sqref="V18:X18">
    <cfRule type="expression" dxfId="7" priority="172">
      <formula xml:space="preserve"> $V$18 = $T$6</formula>
    </cfRule>
  </conditionalFormatting>
  <conditionalFormatting sqref="W13:X17">
    <cfRule type="expression" dxfId="6" priority="173">
      <formula xml:space="preserve"> $W$13 = $T$6</formula>
    </cfRule>
  </conditionalFormatting>
  <conditionalFormatting sqref="Y18:AA18">
    <cfRule type="expression" dxfId="5" priority="174">
      <formula xml:space="preserve"> $Y$18 = $T$6</formula>
    </cfRule>
  </conditionalFormatting>
  <conditionalFormatting sqref="Z13:AA17">
    <cfRule type="expression" dxfId="4" priority="175">
      <formula xml:space="preserve"> $Z$13 = $T$6</formula>
    </cfRule>
  </conditionalFormatting>
  <conditionalFormatting sqref="AB18:AD18">
    <cfRule type="expression" dxfId="3" priority="176">
      <formula>$AB$18 = $T$6</formula>
    </cfRule>
  </conditionalFormatting>
  <conditionalFormatting sqref="AC13:AD17">
    <cfRule type="expression" dxfId="2" priority="177">
      <formula xml:space="preserve"> $AC$13 = $T$6</formula>
    </cfRule>
  </conditionalFormatting>
  <conditionalFormatting sqref="AE18:AJ18">
    <cfRule type="expression" dxfId="1" priority="178">
      <formula>AE$18 = $T$6</formula>
    </cfRule>
  </conditionalFormatting>
  <dataValidations count="2">
    <dataValidation type="list" allowBlank="1" showInputMessage="1" showErrorMessage="1" sqref="T7" xr:uid="{A11212DC-92AF-4189-9184-60291FCD4952}">
      <formula1>"Ascending,Descending"</formula1>
    </dataValidation>
    <dataValidation type="list" allowBlank="1" showInputMessage="1" showErrorMessage="1" sqref="T6" xr:uid="{9E1A0AB0-0A4A-44AF-ADEE-432C5EDF55A8}">
      <formula1>SortList</formula1>
    </dataValidation>
  </dataValidations>
  <pageMargins left="0.7" right="0.7" top="0.75" bottom="0.75" header="0.3" footer="0.3"/>
  <pageSetup paperSize="9" orientation="portrait" r:id="rId1"/>
  <headerFooter>
    <oddFooter>&amp;C&amp;1#&amp;"Calibri"&amp;12&amp;K0078D7OFFICIAL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86EF-8EDC-4095-901C-D7C7A4472474}">
  <sheetPr codeName="Sheet4">
    <tabColor rgb="FFFF0000"/>
    <outlinePr summaryRight="0"/>
  </sheetPr>
  <dimension ref="A1:DJ208"/>
  <sheetViews>
    <sheetView showGridLines="0" zoomScale="85" zoomScaleNormal="85" workbookViewId="0">
      <pane xSplit="3" ySplit="10" topLeftCell="D11" activePane="bottomRight" state="frozen"/>
      <selection pane="topRight" activeCell="E1" sqref="E1"/>
      <selection pane="bottomLeft" activeCell="A11" sqref="A11"/>
      <selection pane="bottomRight" activeCell="AF23" sqref="AF23 AL23"/>
    </sheetView>
  </sheetViews>
  <sheetFormatPr defaultColWidth="0" defaultRowHeight="20.25" outlineLevelCol="1" x14ac:dyDescent="0.25"/>
  <cols>
    <col min="1" max="1" width="11.42578125" style="91" customWidth="1"/>
    <col min="2" max="2" width="34.5703125" style="91" customWidth="1"/>
    <col min="3" max="3" width="13.42578125" style="91" customWidth="1"/>
    <col min="4" max="4" width="17.140625" style="91" customWidth="1" collapsed="1"/>
    <col min="5" max="13" width="17.140625" style="91" hidden="1" customWidth="1" outlineLevel="1"/>
    <col min="14" max="14" width="17.140625" style="91" customWidth="1" collapsed="1"/>
    <col min="15" max="20" width="17.140625" style="91" hidden="1" customWidth="1" outlineLevel="1"/>
    <col min="21" max="21" width="17.140625" style="91" customWidth="1" collapsed="1"/>
    <col min="22" max="30" width="17.140625" style="91" hidden="1" customWidth="1" outlineLevel="1"/>
    <col min="31" max="31" width="17.140625" style="91" customWidth="1" collapsed="1"/>
    <col min="32" max="40" width="17.140625" style="91" hidden="1" customWidth="1" outlineLevel="1"/>
    <col min="41" max="41" width="17.140625" style="91" customWidth="1" collapsed="1"/>
    <col min="42" max="53" width="17.140625" style="91" hidden="1" customWidth="1" outlineLevel="1"/>
    <col min="54" max="54" width="17.140625" style="91" customWidth="1" collapsed="1"/>
    <col min="55" max="69" width="17.140625" style="91" hidden="1" customWidth="1" outlineLevel="1"/>
    <col min="70" max="70" width="17.140625" style="91" customWidth="1" collapsed="1"/>
    <col min="71" max="74" width="17.140625" style="91" hidden="1" customWidth="1" outlineLevel="1"/>
    <col min="75" max="75" width="17.140625" style="91" customWidth="1" collapsed="1"/>
    <col min="76" max="81" width="17.140625" style="91" hidden="1" customWidth="1" outlineLevel="1"/>
    <col min="82" max="82" width="17.140625" style="91" customWidth="1" collapsed="1"/>
    <col min="83" max="87" width="17.140625" style="91" hidden="1" customWidth="1" outlineLevel="1"/>
    <col min="88" max="88" width="17.140625" style="92" customWidth="1"/>
    <col min="89" max="89" width="12" style="92" customWidth="1" collapsed="1"/>
    <col min="90" max="90" width="12" style="92" hidden="1" customWidth="1" outlineLevel="1"/>
    <col min="91" max="91" width="12" style="92" customWidth="1" collapsed="1"/>
    <col min="92" max="92" width="12" style="92" hidden="1" customWidth="1" outlineLevel="1"/>
    <col min="93" max="93" width="12" style="92" customWidth="1" collapsed="1"/>
    <col min="94" max="95" width="12" style="92" hidden="1" customWidth="1" outlineLevel="1"/>
    <col min="96" max="96" width="14.5703125" style="91" customWidth="1"/>
    <col min="97" max="97" width="12.5703125" style="91" customWidth="1"/>
    <col min="98" max="98" width="20.7109375" style="91" customWidth="1"/>
    <col min="99" max="99" width="20.5703125" style="91" customWidth="1"/>
    <col min="100" max="107" width="10.85546875" style="91" customWidth="1" outlineLevel="1"/>
    <col min="108" max="108" width="10.7109375" style="91" customWidth="1" outlineLevel="1"/>
    <col min="109" max="109" width="9.5703125" style="91" customWidth="1"/>
    <col min="110" max="113" width="9.140625" style="91" hidden="1" customWidth="1"/>
    <col min="114" max="114" width="26" style="119" hidden="1" customWidth="1"/>
    <col min="115" max="16384" width="9.140625" style="91" hidden="1"/>
  </cols>
  <sheetData>
    <row r="1" spans="1:114" ht="12.75" x14ac:dyDescent="0.25">
      <c r="A1" s="11"/>
      <c r="B1" s="382"/>
      <c r="C1" s="11"/>
      <c r="D1" s="447" t="s">
        <v>666</v>
      </c>
      <c r="E1" s="447"/>
      <c r="F1" s="447"/>
      <c r="G1" s="447"/>
      <c r="H1" s="447"/>
      <c r="I1" s="447"/>
      <c r="J1" s="447"/>
      <c r="K1" s="447"/>
      <c r="L1" s="447"/>
      <c r="M1" s="447"/>
      <c r="N1" s="447"/>
      <c r="O1" s="447"/>
      <c r="P1" s="447"/>
      <c r="Q1" s="447"/>
      <c r="R1" s="447"/>
      <c r="S1" s="447"/>
      <c r="T1" s="447"/>
      <c r="U1" s="447"/>
      <c r="V1" s="447"/>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447"/>
      <c r="AX1" s="447"/>
      <c r="AY1" s="447"/>
      <c r="AZ1" s="447"/>
      <c r="BA1" s="447"/>
      <c r="BB1" s="447"/>
      <c r="BC1" s="447"/>
      <c r="BD1" s="447"/>
      <c r="BE1" s="447"/>
      <c r="BF1" s="447"/>
      <c r="BG1" s="447"/>
      <c r="BH1" s="447"/>
      <c r="BI1" s="447"/>
      <c r="BJ1" s="447"/>
      <c r="BK1" s="447"/>
      <c r="BL1" s="447"/>
      <c r="BM1" s="447"/>
      <c r="BN1" s="447"/>
      <c r="BO1" s="447"/>
      <c r="BP1" s="447"/>
      <c r="BQ1" s="447"/>
      <c r="BR1" s="447"/>
      <c r="BS1" s="447"/>
      <c r="BT1" s="447"/>
      <c r="BU1" s="447"/>
      <c r="BV1" s="447"/>
      <c r="BW1" s="447"/>
      <c r="BX1" s="447"/>
      <c r="BY1" s="447"/>
      <c r="BZ1" s="447"/>
      <c r="CA1" s="447"/>
      <c r="CB1" s="447"/>
      <c r="CC1" s="447"/>
      <c r="CD1" s="447"/>
      <c r="CE1" s="447"/>
      <c r="CF1" s="447"/>
      <c r="CG1" s="447"/>
      <c r="CH1" s="447"/>
      <c r="CI1" s="447"/>
      <c r="CJ1" s="447"/>
      <c r="CK1" s="447"/>
      <c r="CL1" s="447"/>
      <c r="CM1" s="447"/>
      <c r="CN1" s="447"/>
      <c r="CO1" s="447"/>
      <c r="CP1" s="109"/>
      <c r="CQ1" s="109"/>
      <c r="CR1" s="11"/>
      <c r="CS1" s="11"/>
      <c r="CT1" s="11"/>
      <c r="CU1" s="11"/>
      <c r="CV1" s="11"/>
      <c r="CW1" s="11"/>
      <c r="CX1" s="11"/>
      <c r="CY1" s="11"/>
      <c r="CZ1" s="11"/>
      <c r="DA1" s="11"/>
      <c r="DB1" s="11"/>
      <c r="DC1" s="11"/>
      <c r="DD1" s="11"/>
      <c r="DE1" s="11"/>
      <c r="DJ1" s="115"/>
    </row>
    <row r="2" spans="1:114" ht="12.75" x14ac:dyDescent="0.25">
      <c r="A2" s="11"/>
      <c r="B2" s="382"/>
      <c r="C2" s="11"/>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109"/>
      <c r="CQ2" s="109"/>
      <c r="CR2" s="109"/>
      <c r="CS2" s="11"/>
      <c r="CT2" s="11"/>
      <c r="CU2" s="11"/>
      <c r="CV2" s="11"/>
      <c r="CW2" s="11"/>
      <c r="CX2" s="11"/>
      <c r="CY2" s="11"/>
      <c r="CZ2" s="11"/>
      <c r="DA2" s="11"/>
      <c r="DB2" s="11"/>
      <c r="DC2" s="11"/>
      <c r="DD2" s="11"/>
      <c r="DE2" s="11"/>
      <c r="DJ2" s="115"/>
    </row>
    <row r="3" spans="1:114" ht="12.75" x14ac:dyDescent="0.25">
      <c r="A3" s="11"/>
      <c r="B3" s="382"/>
      <c r="C3" s="11"/>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c r="BN3" s="447"/>
      <c r="BO3" s="447"/>
      <c r="BP3" s="447"/>
      <c r="BQ3" s="447"/>
      <c r="BR3" s="447"/>
      <c r="BS3" s="447"/>
      <c r="BT3" s="447"/>
      <c r="BU3" s="447"/>
      <c r="BV3" s="447"/>
      <c r="BW3" s="447"/>
      <c r="BX3" s="447"/>
      <c r="BY3" s="447"/>
      <c r="BZ3" s="447"/>
      <c r="CA3" s="447"/>
      <c r="CB3" s="447"/>
      <c r="CC3" s="447"/>
      <c r="CD3" s="447"/>
      <c r="CE3" s="447"/>
      <c r="CF3" s="447"/>
      <c r="CG3" s="447"/>
      <c r="CH3" s="447"/>
      <c r="CI3" s="447"/>
      <c r="CJ3" s="447"/>
      <c r="CK3" s="447"/>
      <c r="CL3" s="447"/>
      <c r="CM3" s="447"/>
      <c r="CN3" s="447"/>
      <c r="CO3" s="447"/>
      <c r="CP3" s="109"/>
      <c r="CQ3" s="109"/>
      <c r="CR3" s="11"/>
      <c r="CS3" s="11"/>
      <c r="CT3" s="11"/>
      <c r="CU3" s="11"/>
      <c r="CV3" s="11"/>
      <c r="CW3" s="11"/>
      <c r="CX3" s="11"/>
      <c r="CY3" s="11"/>
      <c r="CZ3" s="11"/>
      <c r="DA3" s="11"/>
      <c r="DB3" s="11"/>
      <c r="DC3" s="11"/>
      <c r="DD3" s="11"/>
      <c r="DE3" s="11"/>
      <c r="DJ3" s="115"/>
    </row>
    <row r="4" spans="1:114" ht="12.75" x14ac:dyDescent="0.25">
      <c r="A4" s="11"/>
      <c r="B4" s="382"/>
      <c r="C4" s="11"/>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c r="BN4" s="447"/>
      <c r="BO4" s="447"/>
      <c r="BP4" s="447"/>
      <c r="BQ4" s="447"/>
      <c r="BR4" s="447"/>
      <c r="BS4" s="447"/>
      <c r="BT4" s="447"/>
      <c r="BU4" s="447"/>
      <c r="BV4" s="447"/>
      <c r="BW4" s="447"/>
      <c r="BX4" s="447"/>
      <c r="BY4" s="447"/>
      <c r="BZ4" s="447"/>
      <c r="CA4" s="447"/>
      <c r="CB4" s="447"/>
      <c r="CC4" s="447"/>
      <c r="CD4" s="447"/>
      <c r="CE4" s="447"/>
      <c r="CF4" s="447"/>
      <c r="CG4" s="447"/>
      <c r="CH4" s="447"/>
      <c r="CI4" s="447"/>
      <c r="CJ4" s="447"/>
      <c r="CK4" s="447"/>
      <c r="CL4" s="447"/>
      <c r="CM4" s="447"/>
      <c r="CN4" s="447"/>
      <c r="CO4" s="447"/>
      <c r="CP4" s="109"/>
      <c r="CQ4" s="109"/>
      <c r="CR4" s="11"/>
      <c r="CS4" s="11"/>
      <c r="CT4" s="11"/>
      <c r="CU4" s="11"/>
      <c r="CV4" s="11"/>
      <c r="CW4" s="11"/>
      <c r="CX4" s="11"/>
      <c r="CY4" s="11"/>
      <c r="CZ4" s="11"/>
      <c r="DA4" s="11"/>
      <c r="DB4" s="11"/>
      <c r="DC4" s="11"/>
      <c r="DD4" s="11"/>
      <c r="DE4" s="11"/>
      <c r="DJ4" s="115"/>
    </row>
    <row r="5" spans="1:114" ht="12.75" x14ac:dyDescent="0.25">
      <c r="A5" s="11"/>
      <c r="B5" s="382"/>
      <c r="C5" s="11"/>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c r="BN5" s="447"/>
      <c r="BO5" s="447"/>
      <c r="BP5" s="447"/>
      <c r="BQ5" s="447"/>
      <c r="BR5" s="447"/>
      <c r="BS5" s="447"/>
      <c r="BT5" s="447"/>
      <c r="BU5" s="447"/>
      <c r="BV5" s="447"/>
      <c r="BW5" s="447"/>
      <c r="BX5" s="447"/>
      <c r="BY5" s="447"/>
      <c r="BZ5" s="447"/>
      <c r="CA5" s="447"/>
      <c r="CB5" s="447"/>
      <c r="CC5" s="447"/>
      <c r="CD5" s="447"/>
      <c r="CE5" s="447"/>
      <c r="CF5" s="447"/>
      <c r="CG5" s="447"/>
      <c r="CH5" s="447"/>
      <c r="CI5" s="447"/>
      <c r="CJ5" s="447"/>
      <c r="CK5" s="447"/>
      <c r="CL5" s="447"/>
      <c r="CM5" s="447"/>
      <c r="CN5" s="447"/>
      <c r="CO5" s="447"/>
      <c r="CP5" s="109"/>
      <c r="CQ5" s="109"/>
      <c r="CR5" s="11"/>
      <c r="CS5" s="11"/>
      <c r="CT5" s="11"/>
      <c r="CU5" s="11"/>
      <c r="CV5" s="11"/>
      <c r="CW5" s="11"/>
      <c r="CX5" s="11"/>
      <c r="CY5" s="11"/>
      <c r="CZ5" s="11"/>
      <c r="DA5" s="11"/>
      <c r="DB5" s="11"/>
      <c r="DC5" s="11"/>
      <c r="DD5" s="11"/>
      <c r="DE5" s="11"/>
      <c r="DJ5" s="115"/>
    </row>
    <row r="6" spans="1:114" ht="12.75" x14ac:dyDescent="0.25">
      <c r="A6" s="11"/>
      <c r="B6" s="382"/>
      <c r="C6" s="11"/>
      <c r="D6" s="448"/>
      <c r="E6" s="448"/>
      <c r="F6" s="448"/>
      <c r="G6" s="448"/>
      <c r="H6" s="448"/>
      <c r="I6" s="448"/>
      <c r="J6" s="448"/>
      <c r="K6" s="448"/>
      <c r="L6" s="448"/>
      <c r="M6" s="448"/>
      <c r="N6" s="448"/>
      <c r="O6" s="448"/>
      <c r="P6" s="448"/>
      <c r="Q6" s="448"/>
      <c r="R6" s="448"/>
      <c r="S6" s="448"/>
      <c r="T6" s="448"/>
      <c r="U6" s="448"/>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c r="AT6" s="448"/>
      <c r="AU6" s="448"/>
      <c r="AV6" s="448"/>
      <c r="AW6" s="448"/>
      <c r="AX6" s="448"/>
      <c r="AY6" s="448"/>
      <c r="AZ6" s="448"/>
      <c r="BA6" s="448"/>
      <c r="BB6" s="448"/>
      <c r="BC6" s="448"/>
      <c r="BD6" s="448"/>
      <c r="BE6" s="448"/>
      <c r="BF6" s="448"/>
      <c r="BG6" s="448"/>
      <c r="BH6" s="448"/>
      <c r="BI6" s="448"/>
      <c r="BJ6" s="448"/>
      <c r="BK6" s="448"/>
      <c r="BL6" s="448"/>
      <c r="BM6" s="448"/>
      <c r="BN6" s="448"/>
      <c r="BO6" s="448"/>
      <c r="BP6" s="448"/>
      <c r="BQ6" s="448"/>
      <c r="BR6" s="448"/>
      <c r="BS6" s="448"/>
      <c r="BT6" s="448"/>
      <c r="BU6" s="448"/>
      <c r="BV6" s="448"/>
      <c r="BW6" s="448"/>
      <c r="BX6" s="448"/>
      <c r="BY6" s="448"/>
      <c r="BZ6" s="448"/>
      <c r="CA6" s="448"/>
      <c r="CB6" s="448"/>
      <c r="CC6" s="448"/>
      <c r="CD6" s="448"/>
      <c r="CE6" s="448"/>
      <c r="CF6" s="448"/>
      <c r="CG6" s="448"/>
      <c r="CH6" s="448"/>
      <c r="CI6" s="448"/>
      <c r="CJ6" s="448"/>
      <c r="CK6" s="448"/>
      <c r="CL6" s="448"/>
      <c r="CM6" s="448"/>
      <c r="CN6" s="448"/>
      <c r="CO6" s="448"/>
      <c r="CP6" s="109"/>
      <c r="CQ6" s="109"/>
      <c r="CR6" s="11"/>
      <c r="CS6" s="11"/>
      <c r="CT6" s="11"/>
      <c r="CU6" s="11"/>
      <c r="CV6" s="11"/>
      <c r="CW6" s="11"/>
      <c r="CX6" s="11"/>
      <c r="CY6" s="11"/>
      <c r="CZ6" s="11"/>
      <c r="DA6" s="11"/>
      <c r="DB6" s="11"/>
      <c r="DC6" s="11"/>
      <c r="DD6" s="11"/>
      <c r="DE6" s="11"/>
      <c r="DJ6" s="115"/>
    </row>
    <row r="7" spans="1:114" s="88" customFormat="1" x14ac:dyDescent="0.25">
      <c r="A7" s="385" t="s">
        <v>21</v>
      </c>
      <c r="B7" s="385"/>
      <c r="C7" s="386"/>
      <c r="D7" s="357" t="s">
        <v>22</v>
      </c>
      <c r="E7" s="358"/>
      <c r="F7" s="358"/>
      <c r="G7" s="358"/>
      <c r="H7" s="358"/>
      <c r="I7" s="358"/>
      <c r="J7" s="358"/>
      <c r="K7" s="358"/>
      <c r="L7" s="358"/>
      <c r="M7" s="358"/>
      <c r="N7" s="358"/>
      <c r="O7" s="358"/>
      <c r="P7" s="358"/>
      <c r="Q7" s="358"/>
      <c r="R7" s="358"/>
      <c r="S7" s="358"/>
      <c r="T7" s="358"/>
      <c r="U7" s="358"/>
      <c r="V7" s="358"/>
      <c r="W7" s="358"/>
      <c r="X7" s="358"/>
      <c r="Y7" s="358"/>
      <c r="Z7" s="358"/>
      <c r="AA7" s="358"/>
      <c r="AB7" s="358"/>
      <c r="AC7" s="358"/>
      <c r="AD7" s="358"/>
      <c r="AE7" s="358"/>
      <c r="AF7" s="358"/>
      <c r="AG7" s="358"/>
      <c r="AH7" s="358"/>
      <c r="AI7" s="358"/>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8"/>
      <c r="BN7" s="358"/>
      <c r="BO7" s="358"/>
      <c r="BP7" s="358"/>
      <c r="BQ7" s="358"/>
      <c r="BR7" s="358"/>
      <c r="BS7" s="358"/>
      <c r="BT7" s="358"/>
      <c r="BU7" s="358"/>
      <c r="BV7" s="358"/>
      <c r="BW7" s="358"/>
      <c r="BX7" s="358"/>
      <c r="BY7" s="358"/>
      <c r="BZ7" s="358"/>
      <c r="CA7" s="358"/>
      <c r="CB7" s="358"/>
      <c r="CC7" s="358"/>
      <c r="CD7" s="358"/>
      <c r="CE7" s="358"/>
      <c r="CF7" s="358"/>
      <c r="CG7" s="358"/>
      <c r="CH7" s="358"/>
      <c r="CI7" s="359"/>
      <c r="CJ7" s="355"/>
      <c r="CK7" s="357" t="s">
        <v>23</v>
      </c>
      <c r="CL7" s="358"/>
      <c r="CM7" s="358"/>
      <c r="CN7" s="358"/>
      <c r="CO7" s="358"/>
      <c r="CP7" s="358"/>
      <c r="CQ7" s="359"/>
      <c r="CR7" s="366" t="s">
        <v>24</v>
      </c>
      <c r="CS7" s="367"/>
      <c r="CT7" s="368"/>
      <c r="CU7" s="372"/>
      <c r="CV7" s="373"/>
      <c r="CW7" s="373"/>
      <c r="CX7" s="373"/>
      <c r="CY7" s="373"/>
      <c r="CZ7" s="373"/>
      <c r="DA7" s="373"/>
      <c r="DB7" s="373"/>
      <c r="DC7" s="373"/>
      <c r="DD7" s="373"/>
      <c r="DE7" s="374"/>
      <c r="DJ7" s="116"/>
    </row>
    <row r="8" spans="1:114" s="88" customFormat="1" x14ac:dyDescent="0.25">
      <c r="A8" s="385"/>
      <c r="B8" s="385"/>
      <c r="C8" s="386"/>
      <c r="D8" s="360"/>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2"/>
      <c r="CJ8" s="356"/>
      <c r="CK8" s="360"/>
      <c r="CL8" s="361"/>
      <c r="CM8" s="361"/>
      <c r="CN8" s="361"/>
      <c r="CO8" s="361"/>
      <c r="CP8" s="361"/>
      <c r="CQ8" s="362"/>
      <c r="CR8" s="369"/>
      <c r="CS8" s="370"/>
      <c r="CT8" s="371"/>
      <c r="CU8" s="375"/>
      <c r="CV8" s="376"/>
      <c r="CW8" s="376"/>
      <c r="CX8" s="376"/>
      <c r="CY8" s="376"/>
      <c r="CZ8" s="376"/>
      <c r="DA8" s="376"/>
      <c r="DB8" s="376"/>
      <c r="DC8" s="376"/>
      <c r="DD8" s="376"/>
      <c r="DE8" s="377"/>
      <c r="DJ8" s="116"/>
    </row>
    <row r="9" spans="1:114" s="89" customFormat="1" ht="25.5" x14ac:dyDescent="0.25">
      <c r="A9" s="52" t="s">
        <v>25</v>
      </c>
      <c r="B9" s="14"/>
      <c r="C9" s="14"/>
      <c r="D9" s="380" t="s">
        <v>26</v>
      </c>
      <c r="E9" s="381"/>
      <c r="F9" s="381"/>
      <c r="G9" s="381"/>
      <c r="H9" s="381"/>
      <c r="I9" s="381"/>
      <c r="J9" s="381"/>
      <c r="K9" s="381"/>
      <c r="L9" s="381"/>
      <c r="M9" s="381"/>
      <c r="N9" s="378" t="s">
        <v>27</v>
      </c>
      <c r="O9" s="379"/>
      <c r="P9" s="379"/>
      <c r="Q9" s="379"/>
      <c r="R9" s="379"/>
      <c r="S9" s="379"/>
      <c r="T9" s="379"/>
      <c r="U9" s="380" t="s">
        <v>28</v>
      </c>
      <c r="V9" s="381"/>
      <c r="W9" s="381"/>
      <c r="X9" s="381"/>
      <c r="Y9" s="381"/>
      <c r="Z9" s="381"/>
      <c r="AA9" s="381"/>
      <c r="AB9" s="381"/>
      <c r="AC9" s="381"/>
      <c r="AD9" s="381"/>
      <c r="AE9" s="378" t="s">
        <v>29</v>
      </c>
      <c r="AF9" s="379"/>
      <c r="AG9" s="379"/>
      <c r="AH9" s="379"/>
      <c r="AI9" s="379"/>
      <c r="AJ9" s="379"/>
      <c r="AK9" s="379"/>
      <c r="AL9" s="379"/>
      <c r="AM9" s="379"/>
      <c r="AN9" s="379"/>
      <c r="AO9" s="380" t="s">
        <v>30</v>
      </c>
      <c r="AP9" s="381"/>
      <c r="AQ9" s="381"/>
      <c r="AR9" s="381"/>
      <c r="AS9" s="381"/>
      <c r="AT9" s="381"/>
      <c r="AU9" s="381"/>
      <c r="AV9" s="381"/>
      <c r="AW9" s="381"/>
      <c r="AX9" s="381"/>
      <c r="AY9" s="381"/>
      <c r="AZ9" s="381"/>
      <c r="BA9" s="381"/>
      <c r="BB9" s="378" t="s">
        <v>31</v>
      </c>
      <c r="BC9" s="379"/>
      <c r="BD9" s="379"/>
      <c r="BE9" s="379"/>
      <c r="BF9" s="379"/>
      <c r="BG9" s="379"/>
      <c r="BH9" s="379"/>
      <c r="BI9" s="379"/>
      <c r="BJ9" s="379"/>
      <c r="BK9" s="379"/>
      <c r="BL9" s="379"/>
      <c r="BM9" s="379"/>
      <c r="BN9" s="379"/>
      <c r="BO9" s="379"/>
      <c r="BP9" s="379"/>
      <c r="BQ9" s="379"/>
      <c r="BR9" s="380" t="s">
        <v>32</v>
      </c>
      <c r="BS9" s="381"/>
      <c r="BT9" s="381"/>
      <c r="BU9" s="381"/>
      <c r="BV9" s="381"/>
      <c r="BW9" s="378" t="s">
        <v>33</v>
      </c>
      <c r="BX9" s="379"/>
      <c r="BY9" s="379"/>
      <c r="BZ9" s="379"/>
      <c r="CA9" s="379"/>
      <c r="CB9" s="379"/>
      <c r="CC9" s="379"/>
      <c r="CD9" s="380" t="s">
        <v>34</v>
      </c>
      <c r="CE9" s="381"/>
      <c r="CF9" s="381"/>
      <c r="CG9" s="381"/>
      <c r="CH9" s="381"/>
      <c r="CI9" s="381"/>
      <c r="CJ9" s="62" t="str">
        <f>VfM_Metrics_2023_Consol_Source[[#Headers],[Total social stock owned]]</f>
        <v>Total social stock owned</v>
      </c>
      <c r="CK9" s="363" t="s">
        <v>35</v>
      </c>
      <c r="CL9" s="364"/>
      <c r="CM9" s="364"/>
      <c r="CN9" s="364"/>
      <c r="CO9" s="364"/>
      <c r="CP9" s="364"/>
      <c r="CQ9" s="365"/>
      <c r="CR9" s="363" t="s">
        <v>36</v>
      </c>
      <c r="CS9" s="364"/>
      <c r="CT9" s="365"/>
      <c r="CU9" s="363" t="s">
        <v>37</v>
      </c>
      <c r="CV9" s="364"/>
      <c r="CW9" s="364"/>
      <c r="CX9" s="364"/>
      <c r="CY9" s="364"/>
      <c r="CZ9" s="364"/>
      <c r="DA9" s="364"/>
      <c r="DB9" s="364"/>
      <c r="DC9" s="364"/>
      <c r="DD9" s="364"/>
      <c r="DE9" s="364"/>
      <c r="DJ9" s="117"/>
    </row>
    <row r="10" spans="1:114" s="90" customFormat="1" ht="89.25" x14ac:dyDescent="0.25">
      <c r="A10" s="53" t="s">
        <v>38</v>
      </c>
      <c r="B10" s="53" t="s">
        <v>39</v>
      </c>
      <c r="C10" s="53" t="s">
        <v>40</v>
      </c>
      <c r="D10" s="54" t="s">
        <v>41</v>
      </c>
      <c r="E10" s="55" t="s">
        <v>42</v>
      </c>
      <c r="F10" s="56" t="s">
        <v>43</v>
      </c>
      <c r="G10" s="56" t="s">
        <v>44</v>
      </c>
      <c r="H10" s="56" t="s">
        <v>45</v>
      </c>
      <c r="I10" s="56" t="s">
        <v>46</v>
      </c>
      <c r="J10" s="56" t="s">
        <v>47</v>
      </c>
      <c r="K10" s="55" t="s">
        <v>48</v>
      </c>
      <c r="L10" s="56" t="s">
        <v>49</v>
      </c>
      <c r="M10" s="56" t="s">
        <v>50</v>
      </c>
      <c r="N10" s="54" t="s">
        <v>51</v>
      </c>
      <c r="O10" s="55" t="s">
        <v>52</v>
      </c>
      <c r="P10" s="56" t="s">
        <v>53</v>
      </c>
      <c r="Q10" s="56" t="s">
        <v>54</v>
      </c>
      <c r="R10" s="55" t="s">
        <v>55</v>
      </c>
      <c r="S10" s="56" t="s">
        <v>56</v>
      </c>
      <c r="T10" s="56" t="s">
        <v>57</v>
      </c>
      <c r="U10" s="54" t="s">
        <v>28</v>
      </c>
      <c r="V10" s="55" t="s">
        <v>58</v>
      </c>
      <c r="W10" s="56" t="s">
        <v>59</v>
      </c>
      <c r="X10" s="56" t="s">
        <v>60</v>
      </c>
      <c r="Y10" s="56" t="s">
        <v>61</v>
      </c>
      <c r="Z10" s="55" t="s">
        <v>62</v>
      </c>
      <c r="AA10" s="56" t="s">
        <v>63</v>
      </c>
      <c r="AB10" s="56" t="s">
        <v>64</v>
      </c>
      <c r="AC10" s="56" t="s">
        <v>65</v>
      </c>
      <c r="AD10" s="56" t="s">
        <v>66</v>
      </c>
      <c r="AE10" s="54" t="s">
        <v>29</v>
      </c>
      <c r="AF10" s="55" t="s">
        <v>67</v>
      </c>
      <c r="AG10" s="56" t="s">
        <v>68</v>
      </c>
      <c r="AH10" s="56" t="s">
        <v>69</v>
      </c>
      <c r="AI10" s="56" t="s">
        <v>70</v>
      </c>
      <c r="AJ10" s="56" t="s">
        <v>71</v>
      </c>
      <c r="AK10" s="56" t="s">
        <v>72</v>
      </c>
      <c r="AL10" s="55" t="s">
        <v>73</v>
      </c>
      <c r="AM10" s="56" t="s">
        <v>74</v>
      </c>
      <c r="AN10" s="56" t="s">
        <v>75</v>
      </c>
      <c r="AO10" s="54" t="s">
        <v>30</v>
      </c>
      <c r="AP10" s="55" t="s">
        <v>76</v>
      </c>
      <c r="AQ10" s="56" t="s">
        <v>77</v>
      </c>
      <c r="AR10" s="56" t="s">
        <v>78</v>
      </c>
      <c r="AS10" s="56" t="s">
        <v>79</v>
      </c>
      <c r="AT10" s="56" t="s">
        <v>80</v>
      </c>
      <c r="AU10" s="56" t="s">
        <v>81</v>
      </c>
      <c r="AV10" s="56" t="s">
        <v>82</v>
      </c>
      <c r="AW10" s="56" t="s">
        <v>83</v>
      </c>
      <c r="AX10" s="56" t="s">
        <v>84</v>
      </c>
      <c r="AY10" s="55" t="s">
        <v>85</v>
      </c>
      <c r="AZ10" s="56" t="s">
        <v>86</v>
      </c>
      <c r="BA10" s="56" t="s">
        <v>87</v>
      </c>
      <c r="BB10" s="54" t="s">
        <v>31</v>
      </c>
      <c r="BC10" s="55" t="s">
        <v>88</v>
      </c>
      <c r="BD10" s="56" t="s">
        <v>89</v>
      </c>
      <c r="BE10" s="56" t="s">
        <v>90</v>
      </c>
      <c r="BF10" s="56" t="s">
        <v>91</v>
      </c>
      <c r="BG10" s="56" t="s">
        <v>92</v>
      </c>
      <c r="BH10" s="56" t="s">
        <v>93</v>
      </c>
      <c r="BI10" s="56" t="s">
        <v>94</v>
      </c>
      <c r="BJ10" s="56" t="s">
        <v>95</v>
      </c>
      <c r="BK10" s="56" t="s">
        <v>96</v>
      </c>
      <c r="BL10" s="56" t="s">
        <v>97</v>
      </c>
      <c r="BM10" s="56" t="s">
        <v>98</v>
      </c>
      <c r="BN10" s="56" t="s">
        <v>99</v>
      </c>
      <c r="BO10" s="56" t="s">
        <v>100</v>
      </c>
      <c r="BP10" s="55" t="s">
        <v>101</v>
      </c>
      <c r="BQ10" s="56" t="s">
        <v>102</v>
      </c>
      <c r="BR10" s="54" t="s">
        <v>32</v>
      </c>
      <c r="BS10" s="55" t="s">
        <v>103</v>
      </c>
      <c r="BT10" s="56" t="s">
        <v>104</v>
      </c>
      <c r="BU10" s="55" t="s">
        <v>105</v>
      </c>
      <c r="BV10" s="56" t="s">
        <v>106</v>
      </c>
      <c r="BW10" s="54" t="s">
        <v>33</v>
      </c>
      <c r="BX10" s="55" t="s">
        <v>107</v>
      </c>
      <c r="BY10" s="56" t="s">
        <v>108</v>
      </c>
      <c r="BZ10" s="56" t="s">
        <v>109</v>
      </c>
      <c r="CA10" s="56" t="s">
        <v>110</v>
      </c>
      <c r="CB10" s="55" t="s">
        <v>111</v>
      </c>
      <c r="CC10" s="56" t="s">
        <v>112</v>
      </c>
      <c r="CD10" s="54" t="s">
        <v>34</v>
      </c>
      <c r="CE10" s="55" t="s">
        <v>113</v>
      </c>
      <c r="CF10" s="56" t="s">
        <v>114</v>
      </c>
      <c r="CG10" s="56" t="s">
        <v>115</v>
      </c>
      <c r="CH10" s="55" t="s">
        <v>116</v>
      </c>
      <c r="CI10" s="56" t="s">
        <v>117</v>
      </c>
      <c r="CJ10" s="63" t="s">
        <v>118</v>
      </c>
      <c r="CK10" s="57" t="s">
        <v>119</v>
      </c>
      <c r="CL10" s="55" t="s">
        <v>120</v>
      </c>
      <c r="CM10" s="58" t="s">
        <v>121</v>
      </c>
      <c r="CN10" s="55" t="s">
        <v>122</v>
      </c>
      <c r="CO10" s="57" t="s">
        <v>123</v>
      </c>
      <c r="CP10" s="55" t="s">
        <v>124</v>
      </c>
      <c r="CQ10" s="59" t="s">
        <v>125</v>
      </c>
      <c r="CR10" s="60" t="s">
        <v>126</v>
      </c>
      <c r="CS10" s="53" t="s">
        <v>127</v>
      </c>
      <c r="CT10" s="61" t="s">
        <v>128</v>
      </c>
      <c r="CU10" s="53" t="s">
        <v>129</v>
      </c>
      <c r="CV10" s="55" t="s">
        <v>130</v>
      </c>
      <c r="CW10" s="55" t="s">
        <v>131</v>
      </c>
      <c r="CX10" s="55" t="s">
        <v>132</v>
      </c>
      <c r="CY10" s="55" t="s">
        <v>133</v>
      </c>
      <c r="CZ10" s="55" t="s">
        <v>134</v>
      </c>
      <c r="DA10" s="55" t="s">
        <v>135</v>
      </c>
      <c r="DB10" s="55" t="s">
        <v>136</v>
      </c>
      <c r="DC10" s="55" t="s">
        <v>137</v>
      </c>
      <c r="DD10" s="55" t="s">
        <v>138</v>
      </c>
      <c r="DE10" s="53" t="s">
        <v>139</v>
      </c>
      <c r="DJ10" s="118" t="s">
        <v>140</v>
      </c>
    </row>
    <row r="11" spans="1:114" x14ac:dyDescent="0.25">
      <c r="A11" s="2" t="s" vm="335">
        <v>141</v>
      </c>
      <c r="B11" s="2" t="s" vm="1">
        <v>142</v>
      </c>
      <c r="C11" s="72" vm="397">
        <v>45016</v>
      </c>
      <c r="D11" s="7">
        <f>IFERROR( VfM_Metrics_2023_Consol_Source[[#This Row],[Reinvestment Spend]] / VfM_Metrics_2023_Consol_Source[[#This Row],[Net Book Value of Housing Properties]], "n/a" )</f>
        <v>3.1077261663747413E-2</v>
      </c>
      <c r="E11" s="3">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87436</v>
      </c>
      <c r="F11" s="83" vm="4552">
        <v>54428</v>
      </c>
      <c r="G11" s="83" vm="4553">
        <v>0</v>
      </c>
      <c r="H11" s="83" vm="4554">
        <v>28224</v>
      </c>
      <c r="I11" s="83" vm="4555">
        <v>4784</v>
      </c>
      <c r="J11" s="83" vm="4556">
        <v>0</v>
      </c>
      <c r="K11" s="3">
        <f xml:space="preserve"> SUM( VfM_Metrics_2023_Consol_Source[[#This Row],[Tangible fixed assets: Housing properties at cost (Current period)]],VfM_Metrics_2023_Consol_Source[[#This Row],[Tangible fixed assets Housing properties at valuation (Current period)]] )</f>
        <v>2813504</v>
      </c>
      <c r="L11" s="83" vm="4557">
        <v>2813504</v>
      </c>
      <c r="M11" s="83" vm="4558">
        <v>0</v>
      </c>
      <c r="N11" s="7">
        <f xml:space="preserve"> IFERROR( VfM_Metrics_2023_Consol_Source[[#This Row],[Total social units developed or newly built units acquired in-year]] / VfM_Metrics_2023_Consol_Source[[#This Row],[Social housing units owned (period end)]], "n/a" )</f>
        <v>1.5708957582653772E-2</v>
      </c>
      <c r="O11" s="3">
        <f xml:space="preserve"> SUM( VfM_Metrics_2023_Consol_Source[[#This Row],[Total social units developed or newly built units acquired in-year (owned)]], VfM_Metrics_2023_Consol_Source[[#This Row],[Total social leasehold units developed or newly built units acquired in-year (owned)]] )</f>
        <v>497</v>
      </c>
      <c r="P11" s="83" vm="4559">
        <v>497</v>
      </c>
      <c r="Q11" s="83" vm="4560">
        <v>0</v>
      </c>
      <c r="R11" s="3">
        <f xml:space="preserve"> SUM( VfM_Metrics_2023_Consol_Source[[#This Row],[Total social housing units owned (Period end)]], VfM_Metrics_2023_Consol_Source[[#This Row],[Total social leasehold units owned (Period end)]] )</f>
        <v>31638</v>
      </c>
      <c r="S11" s="83" vm="4550">
        <v>28177</v>
      </c>
      <c r="T11" s="83" vm="4561">
        <v>3461</v>
      </c>
      <c r="U11" s="86">
        <f xml:space="preserve"> IFERROR( VfM_Metrics_2023_Consol_Source[[#This Row],[Total non-social housing units developed or newly built units acquired (owned)]] / VfM_Metrics_2023_Consol_Source[[#This Row],[Total social and non-social housing units owned (Period end)]], "n/a" )</f>
        <v>7.0475084984661304E-3</v>
      </c>
      <c r="V11" s="3">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255</v>
      </c>
      <c r="W11" s="83" vm="4562">
        <v>4</v>
      </c>
      <c r="X11" s="83" vm="4563">
        <v>107</v>
      </c>
      <c r="Y11" s="83" vm="6970">
        <v>144</v>
      </c>
      <c r="Z11" s="3">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36183</v>
      </c>
      <c r="AA11" s="83" vm="4550">
        <v>28177</v>
      </c>
      <c r="AB11" s="83" vm="4561">
        <v>3461</v>
      </c>
      <c r="AC11" s="83" vm="4564">
        <v>2729</v>
      </c>
      <c r="AD11" s="83" vm="4565">
        <v>1816</v>
      </c>
      <c r="AE11" s="7">
        <f xml:space="preserve"> IFERROR( VfM_Metrics_2023_Consol_Source[[#This Row],[Total Net Debt]] / VfM_Metrics_2023_Consol_Source[[#This Row],[Net Book Value of Housing Properties2]], "n/a" )</f>
        <v>0.54204152544300632</v>
      </c>
      <c r="AF11" s="3">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1525036</v>
      </c>
      <c r="AG11" s="83" vm="4566">
        <v>34400</v>
      </c>
      <c r="AH11" s="83" vm="4567">
        <v>1546673</v>
      </c>
      <c r="AI11" s="83" vm="4568">
        <v>56037</v>
      </c>
      <c r="AJ11" s="83" vm="4569">
        <v>0</v>
      </c>
      <c r="AK11" s="83" vm="4570">
        <v>0</v>
      </c>
      <c r="AL11" s="3">
        <f xml:space="preserve"> SUM( VfM_Metrics_2023_Consol_Source[[#This Row],[Tangible fixed assets: Housing properties at cost (Current period)2]], VfM_Metrics_2023_Consol_Source[[#This Row],[Tangible fixed assets Housing properties at valuation (Current period)2]] )</f>
        <v>2813504</v>
      </c>
      <c r="AM11" s="83" vm="4557">
        <v>2813504</v>
      </c>
      <c r="AN11" s="83" vm="4558">
        <v>0</v>
      </c>
      <c r="AO11" s="87">
        <f xml:space="preserve"> IFERROR( VfM_Metrics_2023_Consol_Source[[#This Row],[EBITDA MRI]] / VfM_Metrics_2023_Consol_Source[[#This Row],[Total interest]], "n/a" )</f>
        <v>0.26795554310264313</v>
      </c>
      <c r="AP11" s="3">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20083</v>
      </c>
      <c r="AQ11" s="84" vm="4571">
        <v>36756</v>
      </c>
      <c r="AR11" s="84" vm="7392">
        <v>14436</v>
      </c>
      <c r="AS11" s="84" vm="7620">
        <v>0</v>
      </c>
      <c r="AT11" s="84" vm="4574">
        <v>18923</v>
      </c>
      <c r="AU11" s="84" vm="7183">
        <v>2084</v>
      </c>
      <c r="AV11" s="84" vm="4575">
        <v>2817</v>
      </c>
      <c r="AW11" s="84" vm="4576">
        <v>28224</v>
      </c>
      <c r="AX11" s="84" vm="4577">
        <v>44177</v>
      </c>
      <c r="AY11" s="3">
        <f xml:space="preserve"> - SUM( VfM_Metrics_2023_Consol_Source[[#This Row],[Interest capitalised]], VfM_Metrics_2023_Consol_Source[[#This Row],[Interest payable and financing costs]] )</f>
        <v>74949</v>
      </c>
      <c r="AZ11" s="83" vm="4578">
        <v>-5249</v>
      </c>
      <c r="BA11" s="83" vm="4579">
        <v>-69700</v>
      </c>
      <c r="BB11" s="8">
        <f xml:space="preserve"> IFERROR( ( VfM_Metrics_2023_Consol_Source[[#This Row],[Total Costs]] / VfM_Metrics_2023_Consol_Source[[#This Row],[Total units for costs]] ) * 1000, "n/a" )</f>
        <v>7555.7320344486807</v>
      </c>
      <c r="BC11" s="3">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214069</v>
      </c>
      <c r="BD11" s="83" vm="4580">
        <v>56973</v>
      </c>
      <c r="BE11" s="83" vm="4581">
        <v>30051</v>
      </c>
      <c r="BF11" s="83" vm="4582">
        <v>31419</v>
      </c>
      <c r="BG11" s="83" vm="4583">
        <v>17953</v>
      </c>
      <c r="BH11" s="83" vm="7513">
        <v>8515</v>
      </c>
      <c r="BI11" s="83" vm="4584">
        <v>2041</v>
      </c>
      <c r="BJ11" s="83" vm="7560">
        <v>28224</v>
      </c>
      <c r="BK11" s="83" vm="5154">
        <v>0</v>
      </c>
      <c r="BL11" s="83" vm="7157">
        <v>9044</v>
      </c>
      <c r="BM11" s="83" vm="6969">
        <v>3690</v>
      </c>
      <c r="BN11" s="83" vm="4585">
        <v>23727</v>
      </c>
      <c r="BO11" s="83" vm="6109">
        <v>2432</v>
      </c>
      <c r="BP11" s="3" vm="4551">
        <f xml:space="preserve"> VfM_Metrics_2023_Consol_Source[[#This Row],[Total social housing units owned and/or managed at period end]]</f>
        <v>28332</v>
      </c>
      <c r="BQ11" s="83" vm="4551">
        <v>28332</v>
      </c>
      <c r="BR11" s="7">
        <f xml:space="preserve"> IFERROR( VfM_Metrics_2023_Consol_Source[[#This Row],[SHL operating surplus / (deficit)]] / VfM_Metrics_2023_Consol_Source[[#This Row],[Turnover from social housing lettings]], "n/a" )</f>
        <v>0.1206342661787696</v>
      </c>
      <c r="BS11" s="3" vm="4586">
        <f xml:space="preserve"> VfM_Metrics_2023_Consol_Source[[#This Row],[Operating surplus/(deficit) (social housing lettings)]]</f>
        <v>28088</v>
      </c>
      <c r="BT11" s="83" vm="4586">
        <v>28088</v>
      </c>
      <c r="BU11" s="3" vm="4587">
        <f xml:space="preserve"> VfM_Metrics_2023_Consol_Source[[#This Row],[Turnover from social housing lettings]]</f>
        <v>232836</v>
      </c>
      <c r="BV11" s="83" vm="4587">
        <v>232836</v>
      </c>
      <c r="BW11" s="7">
        <f xml:space="preserve"> IFERROR( VfM_Metrics_2023_Consol_Source[[#This Row],[Net operating surplus]] / VfM_Metrics_2023_Consol_Source[[#This Row],[Overall turnover]], "n/a" )</f>
        <v>5.735769150710418E-2</v>
      </c>
      <c r="BX11" s="3">
        <f xml:space="preserve"> SUM( VfM_Metrics_2023_Consol_Source[[#This Row],[Operating surplus/(deficit) (overall)2]], - VfM_Metrics_2023_Consol_Source[[#This Row],[Gain/(loss) on disposal of fixed assets (housing properties)2]], - VfM_Metrics_2023_Consol_Source[[#This Row],[Gain/(loss) on disposal of fixed assets (other)2]] )</f>
        <v>22320</v>
      </c>
      <c r="BY11" s="83" vm="7423">
        <v>36756</v>
      </c>
      <c r="BZ11" s="83" vm="4572">
        <v>14436</v>
      </c>
      <c r="CA11" s="83" vm="4573">
        <v>0</v>
      </c>
      <c r="CB11" s="3" vm="4838">
        <f xml:space="preserve"> VfM_Metrics_2023_Consol_Source[[#This Row],[Turnover (overall)]]</f>
        <v>389137</v>
      </c>
      <c r="CC11" s="83" vm="4838">
        <v>389137</v>
      </c>
      <c r="CD11" s="7">
        <f xml:space="preserve"> IFERROR( VfM_Metrics_2023_Consol_Source[[#This Row],[Operating surplus including from JVs]] / VfM_Metrics_2023_Consol_Source[[#This Row],[Net assets]], "n/a" )</f>
        <v>1.181647313309594E-2</v>
      </c>
      <c r="CE11" s="3">
        <f xml:space="preserve"> SUM( VfM_Metrics_2023_Consol_Source[[#This Row],[Operating surplus/(deficit) (overall)3]], VfM_Metrics_2023_Consol_Source[[#This Row],[Share of operating surplus/(deficit) in joint ventures or associates]] )</f>
        <v>43461</v>
      </c>
      <c r="CF11" s="83" vm="4571">
        <v>36756</v>
      </c>
      <c r="CG11" s="83" vm="4589">
        <v>6705</v>
      </c>
      <c r="CH11" s="3" vm="4588">
        <f xml:space="preserve"> VfM_Metrics_2023_Consol_Source[[#This Row],[Total assets less current liabilities]]</f>
        <v>3678001</v>
      </c>
      <c r="CI11" s="83" vm="4588">
        <v>3678001</v>
      </c>
      <c r="CJ11" s="71" vm="4550">
        <f xml:space="preserve"> VfM_Metrics_2023_Consol_Source[[#This Row],[Total social housing units owned (Period end)]]</f>
        <v>28177</v>
      </c>
      <c r="CK11" s="103">
        <v>4.3164904034469251E-2</v>
      </c>
      <c r="CL11" s="6">
        <f xml:space="preserve"> -- ( VfM_Metrics_2023_Consol_Source[[#This Row],[% Supported housing (excl. HOP)]] &gt; 0.3 )</f>
        <v>0</v>
      </c>
      <c r="CM11" s="103">
        <v>3.6271053662358013E-2</v>
      </c>
      <c r="CN11" s="6">
        <f xml:space="preserve"> -- ( VfM_Metrics_2023_Consol_Source[[#This Row],[% Housing for older people]] &gt; 0.3 )</f>
        <v>0</v>
      </c>
      <c r="CO11" s="103">
        <f xml:space="preserve"> VfM_Metrics_2023_Consol_Source[[#This Row],[% Supported housing (excl. HOP)]] + VfM_Metrics_2023_Consol_Source[[#This Row],[% Housing for older people]]</f>
        <v>7.9435957696827264E-2</v>
      </c>
      <c r="CP11" s="6">
        <f xml:space="preserve"> -- ( VfM_Metrics_2023_Consol_Source[[#This Row],[SH specialist in RSH analysis]] + VfM_Metrics_2023_Consol_Source[[#This Row],[OP specialist in RSH analysis]] &gt; 0 )</f>
        <v>0</v>
      </c>
      <c r="CQ11" s="10">
        <f xml:space="preserve"> -- ( VfM_Metrics_2023_Consol_Source[[#This Row],[% SH and OP]] &gt; 0.3 )</f>
        <v>0</v>
      </c>
      <c r="CR11" s="104" t="s">
        <v>143</v>
      </c>
      <c r="CS11" s="124" t="s">
        <v>144</v>
      </c>
      <c r="CT11" s="105"/>
      <c r="CU11" s="2"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1" s="85">
        <v>0.47504424778761062</v>
      </c>
      <c r="CW11" s="85">
        <v>0.5151622418879056</v>
      </c>
      <c r="CX11" s="85">
        <v>9.7541789577187815E-3</v>
      </c>
      <c r="CY11" s="85">
        <v>0</v>
      </c>
      <c r="CZ11" s="85">
        <v>0</v>
      </c>
      <c r="DA11" s="85">
        <v>3.9331366764995083E-5</v>
      </c>
      <c r="DB11" s="85">
        <v>0</v>
      </c>
      <c r="DC11" s="85">
        <v>0</v>
      </c>
      <c r="DD11" s="85">
        <v>0</v>
      </c>
      <c r="DE11" s="12">
        <v>1.09330805812148</v>
      </c>
    </row>
    <row r="12" spans="1:114" x14ac:dyDescent="0.25">
      <c r="A12" s="4" t="s" vm="254">
        <v>145</v>
      </c>
      <c r="B12" s="2" t="s" vm="2">
        <v>146</v>
      </c>
      <c r="C12" s="72" vm="427">
        <v>45016</v>
      </c>
      <c r="D12" s="7">
        <f>IFERROR( VfM_Metrics_2023_Consol_Source[[#This Row],[Reinvestment Spend]] / VfM_Metrics_2023_Consol_Source[[#This Row],[Net Book Value of Housing Properties]], "n/a" )</f>
        <v>8.8942469938366991E-2</v>
      </c>
      <c r="E1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200302</v>
      </c>
      <c r="F12" s="83" vm="1866">
        <v>177289</v>
      </c>
      <c r="G12" s="83" vm="1867">
        <v>0</v>
      </c>
      <c r="H12" s="83" vm="1868">
        <v>17660</v>
      </c>
      <c r="I12" s="83" vm="8097">
        <v>5353</v>
      </c>
      <c r="J12" s="83" vm="8134">
        <v>0</v>
      </c>
      <c r="K12" s="5">
        <f xml:space="preserve"> SUM( VfM_Metrics_2023_Consol_Source[[#This Row],[Tangible fixed assets: Housing properties at cost (Current period)]],VfM_Metrics_2023_Consol_Source[[#This Row],[Tangible fixed assets Housing properties at valuation (Current period)]] )</f>
        <v>2252040</v>
      </c>
      <c r="L12" s="84" vm="1869">
        <v>2252040</v>
      </c>
      <c r="M12" s="83">
        <v>0</v>
      </c>
      <c r="N12" s="7">
        <f xml:space="preserve"> IFERROR( VfM_Metrics_2023_Consol_Source[[#This Row],[Total social units developed or newly built units acquired in-year]] / VfM_Metrics_2023_Consol_Source[[#This Row],[Social housing units owned (period end)]], "n/a" )</f>
        <v>2.2767384398164489E-2</v>
      </c>
      <c r="O12" s="5">
        <f xml:space="preserve"> SUM( VfM_Metrics_2023_Consol_Source[[#This Row],[Total social units developed or newly built units acquired in-year (owned)]], VfM_Metrics_2023_Consol_Source[[#This Row],[Total social leasehold units developed or newly built units acquired in-year (owned)]] )</f>
        <v>774</v>
      </c>
      <c r="P12" s="84" vm="1870">
        <v>774</v>
      </c>
      <c r="Q12" s="83" vm="1871">
        <v>0</v>
      </c>
      <c r="R12" s="5">
        <f xml:space="preserve"> SUM( VfM_Metrics_2023_Consol_Source[[#This Row],[Total social housing units owned (Period end)]], VfM_Metrics_2023_Consol_Source[[#This Row],[Total social leasehold units owned (Period end)]] )</f>
        <v>33996</v>
      </c>
      <c r="S12" s="84" vm="8096">
        <v>32342</v>
      </c>
      <c r="T12" s="83" vm="1872">
        <v>1654</v>
      </c>
      <c r="U12" s="86">
        <f xml:space="preserve"> IFERROR( VfM_Metrics_2023_Consol_Source[[#This Row],[Total non-social housing units developed or newly built units acquired (owned)]] / VfM_Metrics_2023_Consol_Source[[#This Row],[Total social and non-social housing units owned (Period end)]], "n/a" )</f>
        <v>2.9067232508792838E-4</v>
      </c>
      <c r="V1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10</v>
      </c>
      <c r="W12" s="83" vm="1873">
        <v>0</v>
      </c>
      <c r="X12" s="83">
        <v>0</v>
      </c>
      <c r="Y12" s="83" vm="8131">
        <v>10</v>
      </c>
      <c r="Z1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34403</v>
      </c>
      <c r="AA12" s="84" vm="1865">
        <v>32342</v>
      </c>
      <c r="AB12" s="83" vm="1839">
        <v>1654</v>
      </c>
      <c r="AC12" s="83" vm="8199">
        <v>407</v>
      </c>
      <c r="AD12" s="83" vm="7119">
        <v>0</v>
      </c>
      <c r="AE12" s="7">
        <f xml:space="preserve"> IFERROR( VfM_Metrics_2023_Consol_Source[[#This Row],[Total Net Debt]] / VfM_Metrics_2023_Consol_Source[[#This Row],[Net Book Value of Housing Properties2]], "n/a" )</f>
        <v>0.51826566135592622</v>
      </c>
      <c r="AF1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1167155</v>
      </c>
      <c r="AG12" s="84" vm="1874">
        <v>30544</v>
      </c>
      <c r="AH12" s="83" vm="8094">
        <v>1201627</v>
      </c>
      <c r="AI12" s="83" vm="7118">
        <v>65016</v>
      </c>
      <c r="AJ12" s="83" vm="1675">
        <v>0</v>
      </c>
      <c r="AK12" s="83">
        <v>0</v>
      </c>
      <c r="AL12" s="5">
        <f xml:space="preserve"> SUM( VfM_Metrics_2023_Consol_Source[[#This Row],[Tangible fixed assets: Housing properties at cost (Current period)2]], VfM_Metrics_2023_Consol_Source[[#This Row],[Tangible fixed assets Housing properties at valuation (Current period)2]] )</f>
        <v>2252040</v>
      </c>
      <c r="AM12" s="84" vm="1869">
        <v>2252040</v>
      </c>
      <c r="AN12" s="83">
        <v>0</v>
      </c>
      <c r="AO12" s="87">
        <f xml:space="preserve"> IFERROR( VfM_Metrics_2023_Consol_Source[[#This Row],[EBITDA MRI]] / VfM_Metrics_2023_Consol_Source[[#This Row],[Total interest]], "n/a" )</f>
        <v>1.4435628306051898</v>
      </c>
      <c r="AP1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69317</v>
      </c>
      <c r="AQ12" s="84" vm="8044">
        <v>73958</v>
      </c>
      <c r="AR12" s="84" vm="7997">
        <v>15985</v>
      </c>
      <c r="AS12" s="84" vm="8126">
        <v>2665</v>
      </c>
      <c r="AT12" s="84" vm="1877">
        <v>5592</v>
      </c>
      <c r="AU12" s="84" vm="7117">
        <v>0</v>
      </c>
      <c r="AV12" s="84" vm="1451">
        <v>6505</v>
      </c>
      <c r="AW12" s="84" vm="1878">
        <v>17660</v>
      </c>
      <c r="AX12" s="84" vm="8027">
        <v>30756</v>
      </c>
      <c r="AY12" s="3">
        <f xml:space="preserve"> - SUM( VfM_Metrics_2023_Consol_Source[[#This Row],[Interest capitalised]], VfM_Metrics_2023_Consol_Source[[#This Row],[Interest payable and financing costs]] )</f>
        <v>48018</v>
      </c>
      <c r="AZ12" s="84" vm="1879">
        <v>-7986</v>
      </c>
      <c r="BA12" s="83" vm="1880">
        <v>-40032</v>
      </c>
      <c r="BB12" s="8">
        <f xml:space="preserve"> IFERROR( ( VfM_Metrics_2023_Consol_Source[[#This Row],[Total Costs]] / VfM_Metrics_2023_Consol_Source[[#This Row],[Total units for costs]] ) * 1000, "n/a" )</f>
        <v>4414.9236856981342</v>
      </c>
      <c r="BC1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148390</v>
      </c>
      <c r="BD12" s="84" vm="1881">
        <v>48636</v>
      </c>
      <c r="BE12" s="83" vm="1882">
        <v>11429</v>
      </c>
      <c r="BF12" s="83" vm="1883">
        <v>40164</v>
      </c>
      <c r="BG12" s="83" vm="7116">
        <v>12431</v>
      </c>
      <c r="BH12" s="83" vm="1884">
        <v>11314</v>
      </c>
      <c r="BI12" s="83" vm="8160">
        <v>0</v>
      </c>
      <c r="BJ12" s="83" vm="1878">
        <v>17660</v>
      </c>
      <c r="BK12" s="83" vm="8075">
        <v>1699</v>
      </c>
      <c r="BL12" s="83" vm="7982">
        <v>2740</v>
      </c>
      <c r="BM12" s="83">
        <v>0</v>
      </c>
      <c r="BN12" s="83" vm="1885">
        <v>421</v>
      </c>
      <c r="BO12" s="83" vm="1886">
        <v>1896</v>
      </c>
      <c r="BP12" s="5" vm="1449">
        <f xml:space="preserve"> VfM_Metrics_2023_Consol_Source[[#This Row],[Total social housing units owned and/or managed at period end]]</f>
        <v>33611</v>
      </c>
      <c r="BQ12" s="84" vm="1449">
        <v>33611</v>
      </c>
      <c r="BR12" s="7">
        <f xml:space="preserve"> IFERROR( VfM_Metrics_2023_Consol_Source[[#This Row],[SHL operating surplus / (deficit)]] / VfM_Metrics_2023_Consol_Source[[#This Row],[Turnover from social housing lettings]], "n/a" )</f>
        <v>0.23192578216131163</v>
      </c>
      <c r="BS12" s="5" vm="1887">
        <f xml:space="preserve"> VfM_Metrics_2023_Consol_Source[[#This Row],[Operating surplus/(deficit) (social housing lettings)]]</f>
        <v>46724</v>
      </c>
      <c r="BT12" s="84" vm="1887">
        <v>46724</v>
      </c>
      <c r="BU12" s="5" vm="1888">
        <f xml:space="preserve"> VfM_Metrics_2023_Consol_Source[[#This Row],[Turnover from social housing lettings]]</f>
        <v>201461</v>
      </c>
      <c r="BV12" s="84" vm="1888">
        <v>201461</v>
      </c>
      <c r="BW12" s="7">
        <f xml:space="preserve"> IFERROR( VfM_Metrics_2023_Consol_Source[[#This Row],[Net operating surplus]] / VfM_Metrics_2023_Consol_Source[[#This Row],[Overall turnover]], "n/a" )</f>
        <v>0.20961751284811181</v>
      </c>
      <c r="BX1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55308</v>
      </c>
      <c r="BY12" s="84" vm="1875">
        <v>73958</v>
      </c>
      <c r="BZ12" s="83" vm="1876">
        <v>15985</v>
      </c>
      <c r="CA12" s="83" vm="8208">
        <v>2665</v>
      </c>
      <c r="CB12" s="5" vm="8136">
        <f xml:space="preserve"> VfM_Metrics_2023_Consol_Source[[#This Row],[Turnover (overall)]]</f>
        <v>263852</v>
      </c>
      <c r="CC12" s="84" vm="8136">
        <v>263852</v>
      </c>
      <c r="CD12" s="7">
        <f xml:space="preserve"> IFERROR( VfM_Metrics_2023_Consol_Source[[#This Row],[Operating surplus including from JVs]] / VfM_Metrics_2023_Consol_Source[[#This Row],[Net assets]], "n/a" )</f>
        <v>3.0790707703106691E-2</v>
      </c>
      <c r="CE12" s="5">
        <f xml:space="preserve"> SUM( VfM_Metrics_2023_Consol_Source[[#This Row],[Operating surplus/(deficit) (overall)3]], VfM_Metrics_2023_Consol_Source[[#This Row],[Share of operating surplus/(deficit) in joint ventures or associates]] )</f>
        <v>78256</v>
      </c>
      <c r="CF12" s="84" vm="1875">
        <v>73958</v>
      </c>
      <c r="CG12" s="83" vm="8043">
        <v>4298</v>
      </c>
      <c r="CH12" s="5" vm="8091">
        <f xml:space="preserve"> VfM_Metrics_2023_Consol_Source[[#This Row],[Total assets less current liabilities]]</f>
        <v>2541546</v>
      </c>
      <c r="CI12" s="84" vm="8091">
        <v>2541546</v>
      </c>
      <c r="CJ12" s="71" vm="8096">
        <f xml:space="preserve"> VfM_Metrics_2023_Consol_Source[[#This Row],[Total social housing units owned (Period end)]]</f>
        <v>32342</v>
      </c>
      <c r="CK12" s="103">
        <v>5.3901598245064243E-3</v>
      </c>
      <c r="CL12" s="6">
        <f xml:space="preserve"> -- ( VfM_Metrics_2023_Consol_Source[[#This Row],[% Supported housing (excl. HOP)]] &gt; 0.3 )</f>
        <v>0</v>
      </c>
      <c r="CM12" s="103">
        <v>8.9595738013162021E-2</v>
      </c>
      <c r="CN12" s="6">
        <f xml:space="preserve"> -- ( VfM_Metrics_2023_Consol_Source[[#This Row],[% Housing for older people]] &gt; 0.3 )</f>
        <v>0</v>
      </c>
      <c r="CO12" s="103">
        <f xml:space="preserve"> VfM_Metrics_2023_Consol_Source[[#This Row],[% Supported housing (excl. HOP)]] + VfM_Metrics_2023_Consol_Source[[#This Row],[% Housing for older people]]</f>
        <v>9.4985897837668448E-2</v>
      </c>
      <c r="CP12" s="6">
        <f xml:space="preserve"> -- ( VfM_Metrics_2023_Consol_Source[[#This Row],[SH specialist in RSH analysis]] + VfM_Metrics_2023_Consol_Source[[#This Row],[OP specialist in RSH analysis]] &gt; 0 )</f>
        <v>0</v>
      </c>
      <c r="CQ12" s="10">
        <f xml:space="preserve"> -- ( VfM_Metrics_2023_Consol_Source[[#This Row],[% SH and OP]] &gt; 0.3 )</f>
        <v>0</v>
      </c>
      <c r="CR12" s="104" t="s">
        <v>143</v>
      </c>
      <c r="CS12" s="124" t="s">
        <v>144</v>
      </c>
      <c r="CT12" s="105"/>
      <c r="CU1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2" s="85">
        <v>0</v>
      </c>
      <c r="CW12" s="85">
        <v>0.58751324070035515</v>
      </c>
      <c r="CX12" s="85">
        <v>0.41248675929964485</v>
      </c>
      <c r="CY12" s="85">
        <v>0</v>
      </c>
      <c r="CZ12" s="85">
        <v>0</v>
      </c>
      <c r="DA12" s="85">
        <v>0</v>
      </c>
      <c r="DB12" s="85">
        <v>0</v>
      </c>
      <c r="DC12" s="85">
        <v>0</v>
      </c>
      <c r="DD12" s="85">
        <v>0</v>
      </c>
      <c r="DE12" s="13">
        <v>1.0095435023807271</v>
      </c>
    </row>
    <row r="13" spans="1:114" x14ac:dyDescent="0.25">
      <c r="A13" s="4" t="s" vm="298">
        <v>147</v>
      </c>
      <c r="B13" s="2" t="s" vm="3">
        <v>148</v>
      </c>
      <c r="C13" s="72" vm="400">
        <v>45016</v>
      </c>
      <c r="D13" s="7">
        <f>IFERROR( VfM_Metrics_2023_Consol_Source[[#This Row],[Reinvestment Spend]] / VfM_Metrics_2023_Consol_Source[[#This Row],[Net Book Value of Housing Properties]], "n/a" )</f>
        <v>9.9638455120505093E-2</v>
      </c>
      <c r="E1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84193</v>
      </c>
      <c r="F13" s="83" vm="2336">
        <v>69636</v>
      </c>
      <c r="G13" s="83" vm="3277">
        <v>0</v>
      </c>
      <c r="H13" s="83" vm="3278">
        <v>12543</v>
      </c>
      <c r="I13" s="83" vm="3279">
        <v>2014</v>
      </c>
      <c r="J13" s="83" vm="3280">
        <v>0</v>
      </c>
      <c r="K13" s="5">
        <f xml:space="preserve"> SUM( VfM_Metrics_2023_Consol_Source[[#This Row],[Tangible fixed assets: Housing properties at cost (Current period)]],VfM_Metrics_2023_Consol_Source[[#This Row],[Tangible fixed assets Housing properties at valuation (Current period)]] )</f>
        <v>844985</v>
      </c>
      <c r="L13" s="84" vm="3281">
        <v>844985</v>
      </c>
      <c r="M13" s="83" vm="3282">
        <v>0</v>
      </c>
      <c r="N13" s="7">
        <f xml:space="preserve"> IFERROR( VfM_Metrics_2023_Consol_Source[[#This Row],[Total social units developed or newly built units acquired in-year]] / VfM_Metrics_2023_Consol_Source[[#This Row],[Social housing units owned (period end)]], "n/a" )</f>
        <v>1.1406644238856182E-2</v>
      </c>
      <c r="O13" s="5">
        <f xml:space="preserve"> SUM( VfM_Metrics_2023_Consol_Source[[#This Row],[Total social units developed or newly built units acquired in-year (owned)]], VfM_Metrics_2023_Consol_Source[[#This Row],[Total social leasehold units developed or newly built units acquired in-year (owned)]] )</f>
        <v>217</v>
      </c>
      <c r="P13" s="84" vm="3283">
        <v>217</v>
      </c>
      <c r="Q13" s="83" vm="3284">
        <v>0</v>
      </c>
      <c r="R13" s="5">
        <f xml:space="preserve"> SUM( VfM_Metrics_2023_Consol_Source[[#This Row],[Total social housing units owned (Period end)]], VfM_Metrics_2023_Consol_Source[[#This Row],[Total social leasehold units owned (Period end)]] )</f>
        <v>19024</v>
      </c>
      <c r="S13" s="84" vm="3275">
        <v>19024</v>
      </c>
      <c r="T13" s="83" vm="3285">
        <v>0</v>
      </c>
      <c r="U13" s="86">
        <f xml:space="preserve"> IFERROR( VfM_Metrics_2023_Consol_Source[[#This Row],[Total non-social housing units developed or newly built units acquired (owned)]] / VfM_Metrics_2023_Consol_Source[[#This Row],[Total social and non-social housing units owned (Period end)]], "n/a" )</f>
        <v>9.4478269997900479E-4</v>
      </c>
      <c r="V1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18</v>
      </c>
      <c r="W13" s="83" vm="3286">
        <v>11</v>
      </c>
      <c r="X13" s="83" vm="3758">
        <v>0</v>
      </c>
      <c r="Y13" s="83" vm="7650">
        <v>7</v>
      </c>
      <c r="Z1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19052</v>
      </c>
      <c r="AA13" s="84" vm="3275">
        <v>19024</v>
      </c>
      <c r="AB13" s="83" vm="7741">
        <v>0</v>
      </c>
      <c r="AC13" s="83" vm="7728">
        <v>28</v>
      </c>
      <c r="AD13" s="83" vm="3324">
        <v>0</v>
      </c>
      <c r="AE13" s="7">
        <f xml:space="preserve"> IFERROR( VfM_Metrics_2023_Consol_Source[[#This Row],[Total Net Debt]] / VfM_Metrics_2023_Consol_Source[[#This Row],[Net Book Value of Housing Properties2]], "n/a" )</f>
        <v>0.41938495949632243</v>
      </c>
      <c r="AF1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354374</v>
      </c>
      <c r="AG13" s="84" vm="3289">
        <v>5724</v>
      </c>
      <c r="AH13" s="83" vm="2874">
        <v>487930</v>
      </c>
      <c r="AI13" s="83" vm="3290">
        <v>139280</v>
      </c>
      <c r="AJ13" s="83" vm="3291">
        <v>0</v>
      </c>
      <c r="AK13" s="83" vm="3292">
        <v>0</v>
      </c>
      <c r="AL13" s="5">
        <f xml:space="preserve"> SUM( VfM_Metrics_2023_Consol_Source[[#This Row],[Tangible fixed assets: Housing properties at cost (Current period)2]], VfM_Metrics_2023_Consol_Source[[#This Row],[Tangible fixed assets Housing properties at valuation (Current period)2]] )</f>
        <v>844985</v>
      </c>
      <c r="AM13" s="84" vm="7715">
        <v>844985</v>
      </c>
      <c r="AN13" s="83" vm="3282">
        <v>0</v>
      </c>
      <c r="AO13" s="87">
        <f xml:space="preserve"> IFERROR( VfM_Metrics_2023_Consol_Source[[#This Row],[EBITDA MRI]] / VfM_Metrics_2023_Consol_Source[[#This Row],[Total interest]], "n/a" )</f>
        <v>2.0388143525741032</v>
      </c>
      <c r="AP1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32672</v>
      </c>
      <c r="AQ13" s="84" vm="7455">
        <v>31130</v>
      </c>
      <c r="AR13" s="84" vm="3294">
        <v>2805</v>
      </c>
      <c r="AS13" s="84" vm="3295">
        <v>0</v>
      </c>
      <c r="AT13" s="84" vm="3282">
        <v>3972</v>
      </c>
      <c r="AU13" s="84" vm="4266">
        <v>0</v>
      </c>
      <c r="AV13" s="84" vm="3296">
        <v>3100</v>
      </c>
      <c r="AW13" s="84" vm="3297">
        <v>12543</v>
      </c>
      <c r="AX13" s="84" vm="3298">
        <v>17762</v>
      </c>
      <c r="AY13" s="3">
        <f xml:space="preserve"> - SUM( VfM_Metrics_2023_Consol_Source[[#This Row],[Interest capitalised]], VfM_Metrics_2023_Consol_Source[[#This Row],[Interest payable and financing costs]] )</f>
        <v>16025</v>
      </c>
      <c r="AZ13" s="84" vm="3299">
        <v>-2014</v>
      </c>
      <c r="BA13" s="83" vm="3300">
        <v>-14011</v>
      </c>
      <c r="BB13" s="8">
        <f xml:space="preserve"> IFERROR( ( VfM_Metrics_2023_Consol_Source[[#This Row],[Total Costs]] / VfM_Metrics_2023_Consol_Source[[#This Row],[Total units for costs]] ) * 1000, "n/a" )</f>
        <v>3904.308985811876</v>
      </c>
      <c r="BC1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74299</v>
      </c>
      <c r="BD13" s="84" vm="3301">
        <v>19497</v>
      </c>
      <c r="BE13" s="83" vm="7718">
        <v>11248</v>
      </c>
      <c r="BF13" s="83" vm="7759">
        <v>18909</v>
      </c>
      <c r="BG13" s="83" vm="3302">
        <v>8316</v>
      </c>
      <c r="BH13" s="83" vm="7781">
        <v>0</v>
      </c>
      <c r="BI13" s="83" vm="3303">
        <v>0</v>
      </c>
      <c r="BJ13" s="83" vm="3297">
        <v>12543</v>
      </c>
      <c r="BK13" s="83" vm="7786">
        <v>2357</v>
      </c>
      <c r="BL13" s="83" vm="3304">
        <v>0</v>
      </c>
      <c r="BM13" s="83" vm="7716">
        <v>0</v>
      </c>
      <c r="BN13" s="83" vm="3305">
        <v>1277</v>
      </c>
      <c r="BO13" s="83" vm="3306">
        <v>152</v>
      </c>
      <c r="BP13" s="5" vm="3276">
        <f xml:space="preserve"> VfM_Metrics_2023_Consol_Source[[#This Row],[Total social housing units owned and/or managed at period end]]</f>
        <v>19030</v>
      </c>
      <c r="BQ13" s="84" vm="3276">
        <v>19030</v>
      </c>
      <c r="BR13" s="7">
        <f xml:space="preserve"> IFERROR( VfM_Metrics_2023_Consol_Source[[#This Row],[SHL operating surplus / (deficit)]] / VfM_Metrics_2023_Consol_Source[[#This Row],[Turnover from social housing lettings]], "n/a" )</f>
        <v>0.25190067354667128</v>
      </c>
      <c r="BS13" s="5" vm="7570">
        <f xml:space="preserve"> VfM_Metrics_2023_Consol_Source[[#This Row],[Operating surplus/(deficit) (social housing lettings)]]</f>
        <v>26142</v>
      </c>
      <c r="BT13" s="84" vm="7570">
        <v>26142</v>
      </c>
      <c r="BU13" s="5" vm="3307">
        <f xml:space="preserve"> VfM_Metrics_2023_Consol_Source[[#This Row],[Turnover from social housing lettings]]</f>
        <v>103779</v>
      </c>
      <c r="BV13" s="84" vm="3307">
        <v>103779</v>
      </c>
      <c r="BW13" s="7">
        <f xml:space="preserve"> IFERROR( VfM_Metrics_2023_Consol_Source[[#This Row],[Net operating surplus]] / VfM_Metrics_2023_Consol_Source[[#This Row],[Overall turnover]], "n/a" )</f>
        <v>0.24556764489141272</v>
      </c>
      <c r="BX1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28325</v>
      </c>
      <c r="BY13" s="84" vm="3293">
        <v>31130</v>
      </c>
      <c r="BZ13" s="83" vm="3294">
        <v>2805</v>
      </c>
      <c r="CA13" s="83" vm="3295">
        <v>0</v>
      </c>
      <c r="CB13" s="5" vm="3308">
        <f xml:space="preserve"> VfM_Metrics_2023_Consol_Source[[#This Row],[Turnover (overall)]]</f>
        <v>115345</v>
      </c>
      <c r="CC13" s="84" vm="3308">
        <v>115345</v>
      </c>
      <c r="CD13" s="7">
        <f xml:space="preserve"> IFERROR( VfM_Metrics_2023_Consol_Source[[#This Row],[Operating surplus including from JVs]] / VfM_Metrics_2023_Consol_Source[[#This Row],[Net assets]], "n/a" )</f>
        <v>3.3267275510291336E-2</v>
      </c>
      <c r="CE13" s="5">
        <f xml:space="preserve"> SUM( VfM_Metrics_2023_Consol_Source[[#This Row],[Operating surplus/(deficit) (overall)3]], VfM_Metrics_2023_Consol_Source[[#This Row],[Share of operating surplus/(deficit) in joint ventures or associates]] )</f>
        <v>31123</v>
      </c>
      <c r="CF13" s="84" vm="3293">
        <v>31130</v>
      </c>
      <c r="CG13" s="83" vm="3310">
        <v>-7</v>
      </c>
      <c r="CH13" s="5" vm="3309">
        <f xml:space="preserve"> VfM_Metrics_2023_Consol_Source[[#This Row],[Total assets less current liabilities]]</f>
        <v>935544</v>
      </c>
      <c r="CI13" s="84" vm="3309">
        <v>935544</v>
      </c>
      <c r="CJ13" s="71" vm="3275">
        <f xml:space="preserve"> VfM_Metrics_2023_Consol_Source[[#This Row],[Total social housing units owned (Period end)]]</f>
        <v>19024</v>
      </c>
      <c r="CK13" s="103">
        <v>7.8988941548183253E-4</v>
      </c>
      <c r="CL13" s="6">
        <f xml:space="preserve"> -- ( VfM_Metrics_2023_Consol_Source[[#This Row],[% Supported housing (excl. HOP)]] &gt; 0.3 )</f>
        <v>0</v>
      </c>
      <c r="CM13" s="103">
        <v>9.7998946814112697E-2</v>
      </c>
      <c r="CN13" s="6">
        <f xml:space="preserve"> -- ( VfM_Metrics_2023_Consol_Source[[#This Row],[% Housing for older people]] &gt; 0.3 )</f>
        <v>0</v>
      </c>
      <c r="CO13" s="103">
        <f xml:space="preserve"> VfM_Metrics_2023_Consol_Source[[#This Row],[% Supported housing (excl. HOP)]] + VfM_Metrics_2023_Consol_Source[[#This Row],[% Housing for older people]]</f>
        <v>9.8788836229594529E-2</v>
      </c>
      <c r="CP13" s="6">
        <f xml:space="preserve"> -- ( VfM_Metrics_2023_Consol_Source[[#This Row],[SH specialist in RSH analysis]] + VfM_Metrics_2023_Consol_Source[[#This Row],[OP specialist in RSH analysis]] &gt; 0 )</f>
        <v>0</v>
      </c>
      <c r="CQ13" s="10">
        <f xml:space="preserve"> -- ( VfM_Metrics_2023_Consol_Source[[#This Row],[% SH and OP]] &gt; 0.3 )</f>
        <v>0</v>
      </c>
      <c r="CR13" s="104" t="s">
        <v>143</v>
      </c>
      <c r="CS13" s="124" t="s">
        <v>144</v>
      </c>
      <c r="CT13" s="105"/>
      <c r="CU1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3" s="85">
        <v>1.9991582491582492E-3</v>
      </c>
      <c r="CW13" s="85">
        <v>0.20533459595959597</v>
      </c>
      <c r="CX13" s="85">
        <v>0</v>
      </c>
      <c r="CY13" s="85">
        <v>5.8922558922558925E-2</v>
      </c>
      <c r="CZ13" s="85">
        <v>0</v>
      </c>
      <c r="DA13" s="85">
        <v>0.16629840067340068</v>
      </c>
      <c r="DB13" s="85">
        <v>0.13604797979797981</v>
      </c>
      <c r="DC13" s="85">
        <v>0.21148989898989898</v>
      </c>
      <c r="DD13" s="85">
        <v>0.21990740740740741</v>
      </c>
      <c r="DE13" s="13">
        <v>0.9726015695791056</v>
      </c>
    </row>
    <row r="14" spans="1:114" x14ac:dyDescent="0.25">
      <c r="A14" s="4" t="s" vm="392">
        <v>149</v>
      </c>
      <c r="B14" s="2" t="s" vm="4">
        <v>150</v>
      </c>
      <c r="C14" s="72" vm="399">
        <v>45016</v>
      </c>
      <c r="D14" s="7">
        <f>IFERROR( VfM_Metrics_2023_Consol_Source[[#This Row],[Reinvestment Spend]] / VfM_Metrics_2023_Consol_Source[[#This Row],[Net Book Value of Housing Properties]], "n/a" )</f>
        <v>7.9237709674745069E-2</v>
      </c>
      <c r="E1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22939</v>
      </c>
      <c r="F14" s="83" vm="6663">
        <v>6994</v>
      </c>
      <c r="G14" s="83" vm="6664">
        <v>7227</v>
      </c>
      <c r="H14" s="83" vm="6665">
        <v>8257</v>
      </c>
      <c r="I14" s="83" vm="6666">
        <v>461</v>
      </c>
      <c r="J14" s="83" vm="6667">
        <v>0</v>
      </c>
      <c r="K14" s="5">
        <f xml:space="preserve"> SUM( VfM_Metrics_2023_Consol_Source[[#This Row],[Tangible fixed assets: Housing properties at cost (Current period)]],VfM_Metrics_2023_Consol_Source[[#This Row],[Tangible fixed assets Housing properties at valuation (Current period)]] )</f>
        <v>289496</v>
      </c>
      <c r="L14" s="84" vm="6668">
        <v>289496</v>
      </c>
      <c r="M14" s="83" vm="6669">
        <v>0</v>
      </c>
      <c r="N14" s="7">
        <f xml:space="preserve"> IFERROR( VfM_Metrics_2023_Consol_Source[[#This Row],[Total social units developed or newly built units acquired in-year]] / VfM_Metrics_2023_Consol_Source[[#This Row],[Social housing units owned (period end)]], "n/a" )</f>
        <v>1.3464447806354009E-2</v>
      </c>
      <c r="O14" s="5">
        <f xml:space="preserve"> SUM( VfM_Metrics_2023_Consol_Source[[#This Row],[Total social units developed or newly built units acquired in-year (owned)]], VfM_Metrics_2023_Consol_Source[[#This Row],[Total social leasehold units developed or newly built units acquired in-year (owned)]] )</f>
        <v>89</v>
      </c>
      <c r="P14" s="84" vm="6670">
        <v>89</v>
      </c>
      <c r="Q14" s="83" vm="6671">
        <v>0</v>
      </c>
      <c r="R14" s="5">
        <f xml:space="preserve"> SUM( VfM_Metrics_2023_Consol_Source[[#This Row],[Total social housing units owned (Period end)]], VfM_Metrics_2023_Consol_Source[[#This Row],[Total social leasehold units owned (Period end)]] )</f>
        <v>6610</v>
      </c>
      <c r="S14" s="84" vm="6661">
        <v>6610</v>
      </c>
      <c r="T14" s="83" vm="7169">
        <v>0</v>
      </c>
      <c r="U14" s="86">
        <f xml:space="preserve"> IFERROR( VfM_Metrics_2023_Consol_Source[[#This Row],[Total non-social housing units developed or newly built units acquired (owned)]] / VfM_Metrics_2023_Consol_Source[[#This Row],[Total social and non-social housing units owned (Period end)]], "n/a" )</f>
        <v>1.4082703879144795E-3</v>
      </c>
      <c r="V1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11</v>
      </c>
      <c r="W14" s="83" vm="6673">
        <v>0</v>
      </c>
      <c r="X14" s="83" vm="6674">
        <v>0</v>
      </c>
      <c r="Y14" s="83" vm="6866">
        <v>11</v>
      </c>
      <c r="Z1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7811</v>
      </c>
      <c r="AA14" s="84" vm="6661">
        <v>6610</v>
      </c>
      <c r="AB14" s="83" vm="6672">
        <v>0</v>
      </c>
      <c r="AC14" s="83" vm="6675">
        <v>1150</v>
      </c>
      <c r="AD14" s="83" vm="6676">
        <v>51</v>
      </c>
      <c r="AE14" s="7">
        <f xml:space="preserve"> IFERROR( VfM_Metrics_2023_Consol_Source[[#This Row],[Total Net Debt]] / VfM_Metrics_2023_Consol_Source[[#This Row],[Net Book Value of Housing Properties2]], "n/a" )</f>
        <v>0.63454071904275011</v>
      </c>
      <c r="AF1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183697</v>
      </c>
      <c r="AG14" s="84" vm="6677">
        <v>1633</v>
      </c>
      <c r="AH14" s="83" vm="6678">
        <v>184385</v>
      </c>
      <c r="AI14" s="83" vm="6679">
        <v>2321</v>
      </c>
      <c r="AJ14" s="83" vm="6680">
        <v>0</v>
      </c>
      <c r="AK14" s="83" vm="7259">
        <v>0</v>
      </c>
      <c r="AL14" s="5">
        <f xml:space="preserve"> SUM( VfM_Metrics_2023_Consol_Source[[#This Row],[Tangible fixed assets: Housing properties at cost (Current period)2]], VfM_Metrics_2023_Consol_Source[[#This Row],[Tangible fixed assets Housing properties at valuation (Current period)2]] )</f>
        <v>289496</v>
      </c>
      <c r="AM14" s="84" vm="6668">
        <v>289496</v>
      </c>
      <c r="AN14" s="83" vm="6669">
        <v>0</v>
      </c>
      <c r="AO14" s="87">
        <f xml:space="preserve"> IFERROR( VfM_Metrics_2023_Consol_Source[[#This Row],[EBITDA MRI]] / VfM_Metrics_2023_Consol_Source[[#This Row],[Total interest]], "n/a" )</f>
        <v>1.3027703557868091</v>
      </c>
      <c r="AP1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9264</v>
      </c>
      <c r="AQ14" s="84" vm="6681">
        <v>11308</v>
      </c>
      <c r="AR14" s="84" vm="6682">
        <v>885</v>
      </c>
      <c r="AS14" s="84" vm="6683">
        <v>0</v>
      </c>
      <c r="AT14" s="84" vm="2312">
        <v>716</v>
      </c>
      <c r="AU14" s="84" vm="6684">
        <v>0</v>
      </c>
      <c r="AV14" s="84" vm="6685">
        <v>16</v>
      </c>
      <c r="AW14" s="84" vm="6686">
        <v>8257</v>
      </c>
      <c r="AX14" s="84" vm="6687">
        <v>7798</v>
      </c>
      <c r="AY14" s="3">
        <f xml:space="preserve"> - SUM( VfM_Metrics_2023_Consol_Source[[#This Row],[Interest capitalised]], VfM_Metrics_2023_Consol_Source[[#This Row],[Interest payable and financing costs]] )</f>
        <v>7111</v>
      </c>
      <c r="AZ14" s="84" vm="6688">
        <v>-461</v>
      </c>
      <c r="BA14" s="83" vm="7308">
        <v>-6650</v>
      </c>
      <c r="BB14" s="8">
        <f xml:space="preserve"> IFERROR( ( VfM_Metrics_2023_Consol_Source[[#This Row],[Total Costs]] / VfM_Metrics_2023_Consol_Source[[#This Row],[Total units for costs]] ) * 1000, "n/a" )</f>
        <v>3646.7473524962179</v>
      </c>
      <c r="BC1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24105</v>
      </c>
      <c r="BD14" s="84" vm="5259">
        <v>4464</v>
      </c>
      <c r="BE14" s="83" vm="6689">
        <v>1212</v>
      </c>
      <c r="BF14" s="83" vm="6690">
        <v>5398</v>
      </c>
      <c r="BG14" s="83" vm="6691">
        <v>1574</v>
      </c>
      <c r="BH14" s="83" vm="7016">
        <v>2183</v>
      </c>
      <c r="BI14" s="83" vm="6692">
        <v>0</v>
      </c>
      <c r="BJ14" s="83" vm="6686">
        <v>8257</v>
      </c>
      <c r="BK14" s="83" vm="6693">
        <v>1017</v>
      </c>
      <c r="BL14" s="83" vm="7258">
        <v>0</v>
      </c>
      <c r="BM14" s="83" vm="6694">
        <v>0</v>
      </c>
      <c r="BN14" s="83" vm="6695">
        <v>0</v>
      </c>
      <c r="BO14" s="83" vm="6874">
        <v>0</v>
      </c>
      <c r="BP14" s="5" vm="6662">
        <f xml:space="preserve"> VfM_Metrics_2023_Consol_Source[[#This Row],[Total social housing units owned and/or managed at period end]]</f>
        <v>6610</v>
      </c>
      <c r="BQ14" s="84" vm="6662">
        <v>6610</v>
      </c>
      <c r="BR14" s="7">
        <f xml:space="preserve"> IFERROR( VfM_Metrics_2023_Consol_Source[[#This Row],[SHL operating surplus / (deficit)]] / VfM_Metrics_2023_Consol_Source[[#This Row],[Turnover from social housing lettings]], "n/a" )</f>
        <v>0.25210028878970858</v>
      </c>
      <c r="BS14" s="5" vm="6696">
        <f xml:space="preserve"> VfM_Metrics_2023_Consol_Source[[#This Row],[Operating surplus/(deficit) (social housing lettings)]]</f>
        <v>7682</v>
      </c>
      <c r="BT14" s="84" vm="6696">
        <v>7682</v>
      </c>
      <c r="BU14" s="5" vm="6697">
        <f xml:space="preserve"> VfM_Metrics_2023_Consol_Source[[#This Row],[Turnover from social housing lettings]]</f>
        <v>30472</v>
      </c>
      <c r="BV14" s="84" vm="6697">
        <v>30472</v>
      </c>
      <c r="BW14" s="7">
        <f xml:space="preserve"> IFERROR( VfM_Metrics_2023_Consol_Source[[#This Row],[Net operating surplus]] / VfM_Metrics_2023_Consol_Source[[#This Row],[Overall turnover]], "n/a" )</f>
        <v>0.26013277428371767</v>
      </c>
      <c r="BX1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10423</v>
      </c>
      <c r="BY14" s="84" vm="6681">
        <v>11308</v>
      </c>
      <c r="BZ14" s="83" vm="6682">
        <v>885</v>
      </c>
      <c r="CA14" s="83" vm="6683">
        <v>0</v>
      </c>
      <c r="CB14" s="5" vm="6698">
        <f xml:space="preserve"> VfM_Metrics_2023_Consol_Source[[#This Row],[Turnover (overall)]]</f>
        <v>40068</v>
      </c>
      <c r="CC14" s="84" vm="6698">
        <v>40068</v>
      </c>
      <c r="CD14" s="7">
        <f xml:space="preserve"> IFERROR( VfM_Metrics_2023_Consol_Source[[#This Row],[Operating surplus including from JVs]] / VfM_Metrics_2023_Consol_Source[[#This Row],[Net assets]], "n/a" )</f>
        <v>3.8941271273408497E-2</v>
      </c>
      <c r="CE14" s="5">
        <f xml:space="preserve"> SUM( VfM_Metrics_2023_Consol_Source[[#This Row],[Operating surplus/(deficit) (overall)3]], VfM_Metrics_2023_Consol_Source[[#This Row],[Share of operating surplus/(deficit) in joint ventures or associates]] )</f>
        <v>11308</v>
      </c>
      <c r="CF14" s="84" vm="6681">
        <v>11308</v>
      </c>
      <c r="CG14" s="83" vm="6700">
        <v>0</v>
      </c>
      <c r="CH14" s="5" vm="6699">
        <f xml:space="preserve"> VfM_Metrics_2023_Consol_Source[[#This Row],[Total assets less current liabilities]]</f>
        <v>290386</v>
      </c>
      <c r="CI14" s="84" vm="6699">
        <v>290386</v>
      </c>
      <c r="CJ14" s="71" vm="6661">
        <f xml:space="preserve"> VfM_Metrics_2023_Consol_Source[[#This Row],[Total social housing units owned (Period end)]]</f>
        <v>6610</v>
      </c>
      <c r="CK14" s="103">
        <v>9.1130012150668284E-4</v>
      </c>
      <c r="CL14" s="6">
        <f xml:space="preserve"> -- ( VfM_Metrics_2023_Consol_Source[[#This Row],[% Supported housing (excl. HOP)]] &gt; 0.3 )</f>
        <v>0</v>
      </c>
      <c r="CM14" s="103">
        <v>3.8274605103280679E-2</v>
      </c>
      <c r="CN14" s="6">
        <f xml:space="preserve"> -- ( VfM_Metrics_2023_Consol_Source[[#This Row],[% Housing for older people]] &gt; 0.3 )</f>
        <v>0</v>
      </c>
      <c r="CO14" s="103">
        <f xml:space="preserve"> VfM_Metrics_2023_Consol_Source[[#This Row],[% Supported housing (excl. HOP)]] + VfM_Metrics_2023_Consol_Source[[#This Row],[% Housing for older people]]</f>
        <v>3.9185905224787362E-2</v>
      </c>
      <c r="CP14" s="6">
        <f xml:space="preserve"> -- ( VfM_Metrics_2023_Consol_Source[[#This Row],[SH specialist in RSH analysis]] + VfM_Metrics_2023_Consol_Source[[#This Row],[OP specialist in RSH analysis]] &gt; 0 )</f>
        <v>0</v>
      </c>
      <c r="CQ14" s="10">
        <f xml:space="preserve"> -- ( VfM_Metrics_2023_Consol_Source[[#This Row],[% SH and OP]] &gt; 0.3 )</f>
        <v>0</v>
      </c>
      <c r="CR14" s="104" t="s">
        <v>143</v>
      </c>
      <c r="CS14" s="124"/>
      <c r="CT14" s="105" t="s">
        <v>151</v>
      </c>
      <c r="CU1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Midlands</v>
      </c>
      <c r="CV14" s="85">
        <v>0</v>
      </c>
      <c r="CW14" s="85">
        <v>0</v>
      </c>
      <c r="CX14" s="85">
        <v>0</v>
      </c>
      <c r="CY14" s="85">
        <v>0.76762481089258694</v>
      </c>
      <c r="CZ14" s="85">
        <v>0</v>
      </c>
      <c r="DA14" s="85">
        <v>0</v>
      </c>
      <c r="DB14" s="85">
        <v>0</v>
      </c>
      <c r="DC14" s="85">
        <v>0</v>
      </c>
      <c r="DD14" s="85">
        <v>0.232375189107413</v>
      </c>
      <c r="DE14" s="13">
        <v>0.94285874662421076</v>
      </c>
    </row>
    <row r="15" spans="1:114" x14ac:dyDescent="0.25">
      <c r="A15" s="4" t="s" vm="204">
        <v>152</v>
      </c>
      <c r="B15" s="2" t="s" vm="5">
        <v>153</v>
      </c>
      <c r="C15" s="72" vm="398">
        <v>45016</v>
      </c>
      <c r="D15" s="7">
        <f>IFERROR( VfM_Metrics_2023_Consol_Source[[#This Row],[Reinvestment Spend]] / VfM_Metrics_2023_Consol_Source[[#This Row],[Net Book Value of Housing Properties]], "n/a" )</f>
        <v>8.651176640596947E-2</v>
      </c>
      <c r="E1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9878</v>
      </c>
      <c r="F15" s="83" vm="702">
        <v>0</v>
      </c>
      <c r="G15" s="83" vm="9080">
        <v>9075</v>
      </c>
      <c r="H15" s="83" vm="703">
        <v>803</v>
      </c>
      <c r="I15" s="83" vm="9008">
        <v>0</v>
      </c>
      <c r="J15" s="83" vm="704">
        <v>0</v>
      </c>
      <c r="K15" s="5">
        <f xml:space="preserve"> SUM( VfM_Metrics_2023_Consol_Source[[#This Row],[Tangible fixed assets: Housing properties at cost (Current period)]],VfM_Metrics_2023_Consol_Source[[#This Row],[Tangible fixed assets Housing properties at valuation (Current period)]] )</f>
        <v>114181</v>
      </c>
      <c r="L15" s="84" vm="9127">
        <v>114181</v>
      </c>
      <c r="M15" s="83" vm="600">
        <v>0</v>
      </c>
      <c r="N15" s="7">
        <f xml:space="preserve"> IFERROR( VfM_Metrics_2023_Consol_Source[[#This Row],[Total social units developed or newly built units acquired in-year]] / VfM_Metrics_2023_Consol_Source[[#This Row],[Social housing units owned (period end)]], "n/a" )</f>
        <v>2.5858225590726706E-2</v>
      </c>
      <c r="O15" s="5">
        <f xml:space="preserve"> SUM( VfM_Metrics_2023_Consol_Source[[#This Row],[Total social units developed or newly built units acquired in-year (owned)]], VfM_Metrics_2023_Consol_Source[[#This Row],[Total social leasehold units developed or newly built units acquired in-year (owned)]] )</f>
        <v>58</v>
      </c>
      <c r="P15" s="84" vm="9066">
        <v>58</v>
      </c>
      <c r="Q15" s="83" vm="9162">
        <v>0</v>
      </c>
      <c r="R15" s="5">
        <f xml:space="preserve"> SUM( VfM_Metrics_2023_Consol_Source[[#This Row],[Total social housing units owned (Period end)]], VfM_Metrics_2023_Consol_Source[[#This Row],[Total social leasehold units owned (Period end)]] )</f>
        <v>2243</v>
      </c>
      <c r="S15" s="84" vm="700">
        <v>2243</v>
      </c>
      <c r="T15" s="83" vm="9073">
        <v>0</v>
      </c>
      <c r="U15" s="86">
        <f xml:space="preserve"> IFERROR( VfM_Metrics_2023_Consol_Source[[#This Row],[Total non-social housing units developed or newly built units acquired (owned)]] / VfM_Metrics_2023_Consol_Source[[#This Row],[Total social and non-social housing units owned (Period end)]], "n/a" )</f>
        <v>0</v>
      </c>
      <c r="V1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5" s="83" vm="9164">
        <v>0</v>
      </c>
      <c r="X15" s="83" vm="9150">
        <v>0</v>
      </c>
      <c r="Y15" s="83" vm="706">
        <v>0</v>
      </c>
      <c r="Z1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2243</v>
      </c>
      <c r="AA15" s="84" vm="700">
        <v>2243</v>
      </c>
      <c r="AB15" s="83" vm="9006">
        <v>0</v>
      </c>
      <c r="AC15" s="83" vm="707">
        <v>0</v>
      </c>
      <c r="AD15" s="83" vm="708">
        <v>0</v>
      </c>
      <c r="AE15" s="7">
        <f xml:space="preserve"> IFERROR( VfM_Metrics_2023_Consol_Source[[#This Row],[Total Net Debt]] / VfM_Metrics_2023_Consol_Source[[#This Row],[Net Book Value of Housing Properties2]], "n/a" )</f>
        <v>-8.5565899755651112E-3</v>
      </c>
      <c r="AF1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-977</v>
      </c>
      <c r="AG15" s="84" vm="795">
        <v>760</v>
      </c>
      <c r="AH15" s="83" vm="9061">
        <v>6273</v>
      </c>
      <c r="AI15" s="83" vm="709">
        <v>8010</v>
      </c>
      <c r="AJ15" s="83" vm="687">
        <v>0</v>
      </c>
      <c r="AK15" s="83" vm="710">
        <v>0</v>
      </c>
      <c r="AL15" s="5">
        <f xml:space="preserve"> SUM( VfM_Metrics_2023_Consol_Source[[#This Row],[Tangible fixed assets: Housing properties at cost (Current period)2]], VfM_Metrics_2023_Consol_Source[[#This Row],[Tangible fixed assets Housing properties at valuation (Current period)2]] )</f>
        <v>114181</v>
      </c>
      <c r="AM15" s="84" vm="9159">
        <v>114181</v>
      </c>
      <c r="AN15" s="83" vm="705">
        <v>0</v>
      </c>
      <c r="AO15" s="87">
        <f xml:space="preserve"> IFERROR( VfM_Metrics_2023_Consol_Source[[#This Row],[EBITDA MRI]] / VfM_Metrics_2023_Consol_Source[[#This Row],[Total interest]], "n/a" )</f>
        <v>4.3608490566037732</v>
      </c>
      <c r="AP1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1849</v>
      </c>
      <c r="AQ15" s="84" vm="9070">
        <v>1951</v>
      </c>
      <c r="AR15" s="84" vm="602">
        <v>689</v>
      </c>
      <c r="AS15" s="84" vm="9002">
        <v>0</v>
      </c>
      <c r="AT15" s="84" vm="713">
        <v>1893</v>
      </c>
      <c r="AU15" s="84" vm="9102">
        <v>0</v>
      </c>
      <c r="AV15" s="84" vm="714">
        <v>31</v>
      </c>
      <c r="AW15" s="84" vm="9068">
        <v>803</v>
      </c>
      <c r="AX15" s="84" vm="9138">
        <v>3252</v>
      </c>
      <c r="AY15" s="3">
        <f xml:space="preserve"> - SUM( VfM_Metrics_2023_Consol_Source[[#This Row],[Interest capitalised]], VfM_Metrics_2023_Consol_Source[[#This Row],[Interest payable and financing costs]] )</f>
        <v>424</v>
      </c>
      <c r="AZ15" s="84" vm="716">
        <v>0</v>
      </c>
      <c r="BA15" s="83" vm="763">
        <v>-424</v>
      </c>
      <c r="BB15" s="8">
        <f xml:space="preserve"> IFERROR( ( VfM_Metrics_2023_Consol_Source[[#This Row],[Total Costs]] / VfM_Metrics_2023_Consol_Source[[#This Row],[Total units for costs]] ) * 1000, "n/a" )</f>
        <v>16111.593573599652</v>
      </c>
      <c r="BC1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37105</v>
      </c>
      <c r="BD15" s="84" vm="9161">
        <v>1355</v>
      </c>
      <c r="BE15" s="83" vm="9001">
        <v>6186</v>
      </c>
      <c r="BF15" s="83" vm="9057">
        <v>3162</v>
      </c>
      <c r="BG15" s="83" vm="717">
        <v>3117</v>
      </c>
      <c r="BH15" s="83" vm="9110">
        <v>524</v>
      </c>
      <c r="BI15" s="83" vm="718">
        <v>670</v>
      </c>
      <c r="BJ15" s="83" vm="715">
        <v>803</v>
      </c>
      <c r="BK15" s="83" vm="8998">
        <v>2173</v>
      </c>
      <c r="BL15" s="83" vm="789">
        <v>300</v>
      </c>
      <c r="BM15" s="83" vm="719">
        <v>0</v>
      </c>
      <c r="BN15" s="83" vm="720">
        <v>0</v>
      </c>
      <c r="BO15" s="83" vm="823">
        <v>18815</v>
      </c>
      <c r="BP15" s="5" vm="701">
        <f xml:space="preserve"> VfM_Metrics_2023_Consol_Source[[#This Row],[Total social housing units owned and/or managed at period end]]</f>
        <v>2303</v>
      </c>
      <c r="BQ15" s="84" vm="701">
        <v>2303</v>
      </c>
      <c r="BR15" s="7">
        <f xml:space="preserve"> IFERROR( VfM_Metrics_2023_Consol_Source[[#This Row],[SHL operating surplus / (deficit)]] / VfM_Metrics_2023_Consol_Source[[#This Row],[Turnover from social housing lettings]], "n/a" )</f>
        <v>0.11266726137377342</v>
      </c>
      <c r="BS15" s="5" vm="9194">
        <f xml:space="preserve"> VfM_Metrics_2023_Consol_Source[[#This Row],[Operating surplus/(deficit) (social housing lettings)]]</f>
        <v>2526</v>
      </c>
      <c r="BT15" s="84" vm="9194">
        <v>2526</v>
      </c>
      <c r="BU15" s="5" vm="8997">
        <f xml:space="preserve"> VfM_Metrics_2023_Consol_Source[[#This Row],[Turnover from social housing lettings]]</f>
        <v>22420</v>
      </c>
      <c r="BV15" s="84" vm="8997">
        <v>22420</v>
      </c>
      <c r="BW15" s="7">
        <f xml:space="preserve"> IFERROR( VfM_Metrics_2023_Consol_Source[[#This Row],[Net operating surplus]] / VfM_Metrics_2023_Consol_Source[[#This Row],[Overall turnover]], "n/a" )</f>
        <v>2.6907741839193193E-2</v>
      </c>
      <c r="BX1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1262</v>
      </c>
      <c r="BY15" s="84" vm="9019">
        <v>1951</v>
      </c>
      <c r="BZ15" s="83" vm="9096">
        <v>689</v>
      </c>
      <c r="CA15" s="83" vm="712">
        <v>0</v>
      </c>
      <c r="CB15" s="5" vm="9117">
        <f xml:space="preserve"> VfM_Metrics_2023_Consol_Source[[#This Row],[Turnover (overall)]]</f>
        <v>46901</v>
      </c>
      <c r="CC15" s="84" vm="9117">
        <v>46901</v>
      </c>
      <c r="CD15" s="7">
        <f xml:space="preserve"> IFERROR( VfM_Metrics_2023_Consol_Source[[#This Row],[Operating surplus including from JVs]] / VfM_Metrics_2023_Consol_Source[[#This Row],[Net assets]], "n/a" )</f>
        <v>1.6309027226295066E-2</v>
      </c>
      <c r="CE15" s="5">
        <f xml:space="preserve"> SUM( VfM_Metrics_2023_Consol_Source[[#This Row],[Operating surplus/(deficit) (overall)3]], VfM_Metrics_2023_Consol_Source[[#This Row],[Share of operating surplus/(deficit) in joint ventures or associates]] )</f>
        <v>1951</v>
      </c>
      <c r="CF15" s="84" vm="711">
        <v>1951</v>
      </c>
      <c r="CG15" s="83" vm="9147">
        <v>0</v>
      </c>
      <c r="CH15" s="5" vm="9009">
        <f xml:space="preserve"> VfM_Metrics_2023_Consol_Source[[#This Row],[Total assets less current liabilities]]</f>
        <v>119627</v>
      </c>
      <c r="CI15" s="84" vm="9009">
        <v>119627</v>
      </c>
      <c r="CJ15" s="71" vm="700">
        <f xml:space="preserve"> VfM_Metrics_2023_Consol_Source[[#This Row],[Total social housing units owned (Period end)]]</f>
        <v>2243</v>
      </c>
      <c r="CK15" s="103">
        <v>0.62841774988794263</v>
      </c>
      <c r="CL15" s="6">
        <f xml:space="preserve"> -- ( VfM_Metrics_2023_Consol_Source[[#This Row],[% Supported housing (excl. HOP)]] &gt; 0.3 )</f>
        <v>1</v>
      </c>
      <c r="CM15" s="103">
        <v>0</v>
      </c>
      <c r="CN15" s="6">
        <f xml:space="preserve"> -- ( VfM_Metrics_2023_Consol_Source[[#This Row],[% Housing for older people]] &gt; 0.3 )</f>
        <v>0</v>
      </c>
      <c r="CO15" s="103">
        <f xml:space="preserve"> VfM_Metrics_2023_Consol_Source[[#This Row],[% Supported housing (excl. HOP)]] + VfM_Metrics_2023_Consol_Source[[#This Row],[% Housing for older people]]</f>
        <v>0.62841774988794263</v>
      </c>
      <c r="CP15" s="6">
        <f xml:space="preserve"> -- ( VfM_Metrics_2023_Consol_Source[[#This Row],[SH specialist in RSH analysis]] + VfM_Metrics_2023_Consol_Source[[#This Row],[OP specialist in RSH analysis]] &gt; 0 )</f>
        <v>1</v>
      </c>
      <c r="CQ15" s="10">
        <f xml:space="preserve"> -- ( VfM_Metrics_2023_Consol_Source[[#This Row],[% SH and OP]] &gt; 0.3 )</f>
        <v>1</v>
      </c>
      <c r="CR15" s="104" t="s">
        <v>143</v>
      </c>
      <c r="CS15" s="124" t="s">
        <v>144</v>
      </c>
      <c r="CT15" s="105"/>
      <c r="CU1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5" s="85">
        <v>2.7089072543617997E-2</v>
      </c>
      <c r="CW15" s="85">
        <v>0.28053259871441688</v>
      </c>
      <c r="CX15" s="85">
        <v>0.32277318640955005</v>
      </c>
      <c r="CY15" s="85">
        <v>0.24793388429752067</v>
      </c>
      <c r="CZ15" s="85">
        <v>8.7695133149678597E-2</v>
      </c>
      <c r="DA15" s="85">
        <v>3.1221303948576674E-2</v>
      </c>
      <c r="DB15" s="85">
        <v>4.591368227731864E-4</v>
      </c>
      <c r="DC15" s="85">
        <v>9.1827364554637281E-4</v>
      </c>
      <c r="DD15" s="85">
        <v>1.3774104683195593E-3</v>
      </c>
      <c r="DE15" s="13">
        <v>0.98856830244107563</v>
      </c>
    </row>
    <row r="16" spans="1:114" x14ac:dyDescent="0.25">
      <c r="A16" s="4" t="s">
        <v>154</v>
      </c>
      <c r="B16" s="2" t="s" vm="6">
        <v>155</v>
      </c>
      <c r="C16" s="72" vm="401">
        <v>45016</v>
      </c>
      <c r="D16" s="7">
        <f>IFERROR( VfM_Metrics_2023_Consol_Source[[#This Row],[Reinvestment Spend]] / VfM_Metrics_2023_Consol_Source[[#This Row],[Net Book Value of Housing Properties]], "n/a" )</f>
        <v>0.17459660855715944</v>
      </c>
      <c r="E1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242272</v>
      </c>
      <c r="F16" s="83" vm="1089">
        <v>47783</v>
      </c>
      <c r="G16" s="83" vm="1420">
        <v>147353</v>
      </c>
      <c r="H16" s="83" vm="1421">
        <v>47136</v>
      </c>
      <c r="I16" s="83" vm="1422">
        <v>0</v>
      </c>
      <c r="J16" s="83" vm="1423">
        <v>0</v>
      </c>
      <c r="K16" s="5">
        <f xml:space="preserve"> SUM( VfM_Metrics_2023_Consol_Source[[#This Row],[Tangible fixed assets: Housing properties at cost (Current period)]],VfM_Metrics_2023_Consol_Source[[#This Row],[Tangible fixed assets Housing properties at valuation (Current period)]] )</f>
        <v>1387610</v>
      </c>
      <c r="L16" s="84" vm="8451">
        <v>1387610</v>
      </c>
      <c r="M16" s="83" vm="1434">
        <v>0</v>
      </c>
      <c r="N16" s="7">
        <f xml:space="preserve"> IFERROR( VfM_Metrics_2023_Consol_Source[[#This Row],[Total social units developed or newly built units acquired in-year]] / VfM_Metrics_2023_Consol_Source[[#This Row],[Social housing units owned (period end)]], "n/a" )</f>
        <v>4.2275849920732781E-3</v>
      </c>
      <c r="O16" s="5">
        <f xml:space="preserve"> SUM( VfM_Metrics_2023_Consol_Source[[#This Row],[Total social units developed or newly built units acquired in-year (owned)]], VfM_Metrics_2023_Consol_Source[[#This Row],[Total social leasehold units developed or newly built units acquired in-year (owned)]] )</f>
        <v>216</v>
      </c>
      <c r="P16" s="84" vm="8259">
        <v>156</v>
      </c>
      <c r="Q16" s="83" vm="8363">
        <v>60</v>
      </c>
      <c r="R16" s="5">
        <f xml:space="preserve"> SUM( VfM_Metrics_2023_Consol_Source[[#This Row],[Total social housing units owned (Period end)]], VfM_Metrics_2023_Consol_Source[[#This Row],[Total social leasehold units owned (Period end)]] )</f>
        <v>51093</v>
      </c>
      <c r="S16" s="84" vm="8062">
        <v>40338</v>
      </c>
      <c r="T16" s="83" vm="1425">
        <v>10755</v>
      </c>
      <c r="U16" s="86">
        <f xml:space="preserve"> IFERROR( VfM_Metrics_2023_Consol_Source[[#This Row],[Total non-social housing units developed or newly built units acquired (owned)]] / VfM_Metrics_2023_Consol_Source[[#This Row],[Total social and non-social housing units owned (Period end)]], "n/a" )</f>
        <v>1.6766817044437544E-2</v>
      </c>
      <c r="V1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918</v>
      </c>
      <c r="W16" s="83" vm="8591">
        <v>789</v>
      </c>
      <c r="X16" s="83" vm="1426">
        <v>65</v>
      </c>
      <c r="Y16" s="83" vm="1427">
        <v>64</v>
      </c>
      <c r="Z1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54751</v>
      </c>
      <c r="AA16" s="84" vm="1400">
        <v>40338</v>
      </c>
      <c r="AB16" s="83" vm="1378">
        <v>10755</v>
      </c>
      <c r="AC16" s="83" vm="1377">
        <v>3401</v>
      </c>
      <c r="AD16" s="83" vm="8316">
        <v>257</v>
      </c>
      <c r="AE16" s="7">
        <f xml:space="preserve"> IFERROR( VfM_Metrics_2023_Consol_Source[[#This Row],[Total Net Debt]] / VfM_Metrics_2023_Consol_Source[[#This Row],[Net Book Value of Housing Properties2]], "n/a" )</f>
        <v>0.54326215579305426</v>
      </c>
      <c r="AF1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753836</v>
      </c>
      <c r="AG16" s="84" vm="8361">
        <v>1092</v>
      </c>
      <c r="AH16" s="83" vm="1430">
        <v>547551</v>
      </c>
      <c r="AI16" s="83" vm="1431">
        <v>34260</v>
      </c>
      <c r="AJ16" s="83" vm="8469">
        <v>0</v>
      </c>
      <c r="AK16" s="83" vm="1432">
        <v>239453</v>
      </c>
      <c r="AL16" s="5">
        <f xml:space="preserve"> SUM( VfM_Metrics_2023_Consol_Source[[#This Row],[Tangible fixed assets: Housing properties at cost (Current period)2]], VfM_Metrics_2023_Consol_Source[[#This Row],[Tangible fixed assets Housing properties at valuation (Current period)2]] )</f>
        <v>1387610</v>
      </c>
      <c r="AM16" s="84" vm="1424">
        <v>1387610</v>
      </c>
      <c r="AN16" s="83" vm="2014">
        <v>0</v>
      </c>
      <c r="AO16" s="87">
        <f xml:space="preserve"> IFERROR( VfM_Metrics_2023_Consol_Source[[#This Row],[EBITDA MRI]] / VfM_Metrics_2023_Consol_Source[[#This Row],[Total interest]], "n/a" )</f>
        <v>1.4454092575935791</v>
      </c>
      <c r="AP1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41781</v>
      </c>
      <c r="AQ16" s="84" vm="1433">
        <v>37538</v>
      </c>
      <c r="AR16" s="84" vm="1434">
        <v>3097</v>
      </c>
      <c r="AS16" s="84" vm="1435">
        <v>0</v>
      </c>
      <c r="AT16" s="84" vm="2025">
        <v>12974</v>
      </c>
      <c r="AU16" s="84" vm="8360">
        <v>0</v>
      </c>
      <c r="AV16" s="84" vm="1436">
        <v>2741</v>
      </c>
      <c r="AW16" s="84" vm="8450">
        <v>47136</v>
      </c>
      <c r="AX16" s="84" vm="1438">
        <v>64709</v>
      </c>
      <c r="AY16" s="3">
        <f xml:space="preserve"> - SUM( VfM_Metrics_2023_Consol_Source[[#This Row],[Interest capitalised]], VfM_Metrics_2023_Consol_Source[[#This Row],[Interest payable and financing costs]] )</f>
        <v>28906</v>
      </c>
      <c r="AZ16" s="84" vm="1439">
        <v>0</v>
      </c>
      <c r="BA16" s="83" vm="1361">
        <v>-28906</v>
      </c>
      <c r="BB16" s="8">
        <f xml:space="preserve"> IFERROR( ( VfM_Metrics_2023_Consol_Source[[#This Row],[Total Costs]] / VfM_Metrics_2023_Consol_Source[[#This Row],[Total units for costs]] ) * 1000, "n/a" )</f>
        <v>11167.356287867593</v>
      </c>
      <c r="BC1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453417</v>
      </c>
      <c r="BD16" s="84" vm="1194">
        <v>77417</v>
      </c>
      <c r="BE16" s="83" vm="2265">
        <v>263383</v>
      </c>
      <c r="BF16" s="83" vm="1440">
        <v>26968</v>
      </c>
      <c r="BG16" s="83" vm="1441">
        <v>28889</v>
      </c>
      <c r="BH16" s="83" vm="1858">
        <v>0</v>
      </c>
      <c r="BI16" s="83" vm="8257">
        <v>427</v>
      </c>
      <c r="BJ16" s="83" vm="1437">
        <v>47136</v>
      </c>
      <c r="BK16" s="83" vm="8358">
        <v>4598</v>
      </c>
      <c r="BL16" s="83" vm="1443">
        <v>0</v>
      </c>
      <c r="BM16" s="83" vm="8447">
        <v>0</v>
      </c>
      <c r="BN16" s="83" vm="1444">
        <v>4254</v>
      </c>
      <c r="BO16" s="83" vm="1445">
        <v>345</v>
      </c>
      <c r="BP16" s="5" vm="1419">
        <f xml:space="preserve"> VfM_Metrics_2023_Consol_Source[[#This Row],[Total social housing units owned and/or managed at period end]]</f>
        <v>40602</v>
      </c>
      <c r="BQ16" s="84" vm="1419">
        <v>40602</v>
      </c>
      <c r="BR16" s="7">
        <f xml:space="preserve"> IFERROR( VfM_Metrics_2023_Consol_Source[[#This Row],[SHL operating surplus / (deficit)]] / VfM_Metrics_2023_Consol_Source[[#This Row],[Turnover from social housing lettings]], "n/a" )</f>
        <v>8.7706834972356776E-2</v>
      </c>
      <c r="BS16" s="5" vm="1373">
        <f xml:space="preserve"> VfM_Metrics_2023_Consol_Source[[#This Row],[Operating surplus/(deficit) (social housing lettings)]]</f>
        <v>44816</v>
      </c>
      <c r="BT16" s="84" vm="1373">
        <v>44816</v>
      </c>
      <c r="BU16" s="5" vm="1446">
        <f xml:space="preserve"> VfM_Metrics_2023_Consol_Source[[#This Row],[Turnover from social housing lettings]]</f>
        <v>510975</v>
      </c>
      <c r="BV16" s="84" vm="1446">
        <v>510975</v>
      </c>
      <c r="BW16" s="7">
        <f xml:space="preserve"> IFERROR( VfM_Metrics_2023_Consol_Source[[#This Row],[Net operating surplus]] / VfM_Metrics_2023_Consol_Source[[#This Row],[Overall turnover]], "n/a" )</f>
        <v>6.2003795011755895E-2</v>
      </c>
      <c r="BX1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34441</v>
      </c>
      <c r="BY16" s="84" vm="1433">
        <v>37538</v>
      </c>
      <c r="BZ16" s="83" vm="7838">
        <v>3097</v>
      </c>
      <c r="CA16" s="83" vm="8446">
        <v>0</v>
      </c>
      <c r="CB16" s="5" vm="8101">
        <f xml:space="preserve"> VfM_Metrics_2023_Consol_Source[[#This Row],[Turnover (overall)]]</f>
        <v>555466</v>
      </c>
      <c r="CC16" s="84" vm="8101">
        <v>555466</v>
      </c>
      <c r="CD16" s="7">
        <f xml:space="preserve"> IFERROR( VfM_Metrics_2023_Consol_Source[[#This Row],[Operating surplus including from JVs]] / VfM_Metrics_2023_Consol_Source[[#This Row],[Net assets]], "n/a" )</f>
        <v>2.3750306068798573E-2</v>
      </c>
      <c r="CE16" s="5">
        <f xml:space="preserve"> SUM( VfM_Metrics_2023_Consol_Source[[#This Row],[Operating surplus/(deficit) (overall)3]], VfM_Metrics_2023_Consol_Source[[#This Row],[Share of operating surplus/(deficit) in joint ventures or associates]] )</f>
        <v>37538</v>
      </c>
      <c r="CF16" s="84" vm="7891">
        <v>37538</v>
      </c>
      <c r="CG16" s="83" vm="1447">
        <v>0</v>
      </c>
      <c r="CH16" s="5" vm="8355">
        <f xml:space="preserve"> VfM_Metrics_2023_Consol_Source[[#This Row],[Total assets less current liabilities]]</f>
        <v>1580527</v>
      </c>
      <c r="CI16" s="84" vm="8355">
        <v>1580527</v>
      </c>
      <c r="CJ16" s="71" vm="8062">
        <f xml:space="preserve"> VfM_Metrics_2023_Consol_Source[[#This Row],[Total social housing units owned (Period end)]]</f>
        <v>40338</v>
      </c>
      <c r="CK16" s="103">
        <v>0</v>
      </c>
      <c r="CL16" s="6">
        <f xml:space="preserve"> -- ( VfM_Metrics_2023_Consol_Source[[#This Row],[% Supported housing (excl. HOP)]] &gt; 0.3 )</f>
        <v>0</v>
      </c>
      <c r="CM16" s="103">
        <v>0.87535670860319115</v>
      </c>
      <c r="CN16" s="6">
        <f xml:space="preserve"> -- ( VfM_Metrics_2023_Consol_Source[[#This Row],[% Housing for older people]] &gt; 0.3 )</f>
        <v>1</v>
      </c>
      <c r="CO16" s="103">
        <f xml:space="preserve"> VfM_Metrics_2023_Consol_Source[[#This Row],[% Supported housing (excl. HOP)]] + VfM_Metrics_2023_Consol_Source[[#This Row],[% Housing for older people]]</f>
        <v>0.87535670860319115</v>
      </c>
      <c r="CP16" s="6">
        <f xml:space="preserve"> -- ( VfM_Metrics_2023_Consol_Source[[#This Row],[SH specialist in RSH analysis]] + VfM_Metrics_2023_Consol_Source[[#This Row],[OP specialist in RSH analysis]] &gt; 0 )</f>
        <v>1</v>
      </c>
      <c r="CQ16" s="10">
        <f xml:space="preserve"> -- ( VfM_Metrics_2023_Consol_Source[[#This Row],[% SH and OP]] &gt; 0.3 )</f>
        <v>1</v>
      </c>
      <c r="CR16" s="104" t="s">
        <v>143</v>
      </c>
      <c r="CS16" s="124" t="s">
        <v>144</v>
      </c>
      <c r="CT16" s="105"/>
      <c r="CU1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6" s="85">
        <v>0.12019956850053938</v>
      </c>
      <c r="CW16" s="85">
        <v>0.13994066882416398</v>
      </c>
      <c r="CX16" s="85">
        <v>7.5862998921251354E-2</v>
      </c>
      <c r="CY16" s="85">
        <v>5.7281553398058252E-2</v>
      </c>
      <c r="CZ16" s="85">
        <v>7.1413160733549086E-2</v>
      </c>
      <c r="DA16" s="85">
        <v>9.6359223300970867E-2</v>
      </c>
      <c r="DB16" s="85">
        <v>0.12704962243797197</v>
      </c>
      <c r="DC16" s="85">
        <v>0.17651024811218985</v>
      </c>
      <c r="DD16" s="85">
        <v>0.1353829557713053</v>
      </c>
      <c r="DE16" s="13">
        <v>0.99112238139313147</v>
      </c>
    </row>
    <row r="17" spans="1:109" x14ac:dyDescent="0.25">
      <c r="A17" s="4" t="s" vm="226">
        <v>156</v>
      </c>
      <c r="B17" s="2" t="s" vm="7">
        <v>157</v>
      </c>
      <c r="C17" s="72" vm="441">
        <v>45016</v>
      </c>
      <c r="D17" s="7">
        <f>IFERROR( VfM_Metrics_2023_Consol_Source[[#This Row],[Reinvestment Spend]] / VfM_Metrics_2023_Consol_Source[[#This Row],[Net Book Value of Housing Properties]], "n/a" )</f>
        <v>3.0735544562484795E-2</v>
      </c>
      <c r="E1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1137</v>
      </c>
      <c r="F17" s="83" vm="8757">
        <v>0</v>
      </c>
      <c r="G17" s="83" vm="1161">
        <v>176</v>
      </c>
      <c r="H17" s="83" vm="1162">
        <v>961</v>
      </c>
      <c r="I17" s="83" vm="8839">
        <v>0</v>
      </c>
      <c r="J17" s="83" vm="1163">
        <v>0</v>
      </c>
      <c r="K17" s="5">
        <f xml:space="preserve"> SUM( VfM_Metrics_2023_Consol_Source[[#This Row],[Tangible fixed assets: Housing properties at cost (Current period)]],VfM_Metrics_2023_Consol_Source[[#This Row],[Tangible fixed assets Housing properties at valuation (Current period)]] )</f>
        <v>36993</v>
      </c>
      <c r="L17" s="84" vm="1086">
        <v>36993</v>
      </c>
      <c r="M17" s="83" vm="1186">
        <v>0</v>
      </c>
      <c r="N17" s="7">
        <f xml:space="preserve"> IFERROR( VfM_Metrics_2023_Consol_Source[[#This Row],[Total social units developed or newly built units acquired in-year]] / VfM_Metrics_2023_Consol_Source[[#This Row],[Social housing units owned (period end)]], "n/a" )</f>
        <v>8.9686098654708521E-4</v>
      </c>
      <c r="O17" s="5">
        <f xml:space="preserve"> SUM( VfM_Metrics_2023_Consol_Source[[#This Row],[Total social units developed or newly built units acquired in-year (owned)]], VfM_Metrics_2023_Consol_Source[[#This Row],[Total social leasehold units developed or newly built units acquired in-year (owned)]] )</f>
        <v>1</v>
      </c>
      <c r="P17" s="84" vm="1165">
        <v>1</v>
      </c>
      <c r="Q17" s="83" vm="8522">
        <v>0</v>
      </c>
      <c r="R17" s="5">
        <f xml:space="preserve"> SUM( VfM_Metrics_2023_Consol_Source[[#This Row],[Total social housing units owned (Period end)]], VfM_Metrics_2023_Consol_Source[[#This Row],[Total social leasehold units owned (Period end)]] )</f>
        <v>1115</v>
      </c>
      <c r="S17" s="84" vm="8741">
        <v>1105</v>
      </c>
      <c r="T17" s="83" vm="8797">
        <v>10</v>
      </c>
      <c r="U17" s="86">
        <f xml:space="preserve"> IFERROR( VfM_Metrics_2023_Consol_Source[[#This Row],[Total non-social housing units developed or newly built units acquired (owned)]] / VfM_Metrics_2023_Consol_Source[[#This Row],[Total social and non-social housing units owned (Period end)]], "n/a" )</f>
        <v>0</v>
      </c>
      <c r="V1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7" s="83" vm="1166">
        <v>0</v>
      </c>
      <c r="X17" s="83" vm="8520">
        <v>0</v>
      </c>
      <c r="Y17" s="83" vm="8716">
        <v>0</v>
      </c>
      <c r="Z1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1115</v>
      </c>
      <c r="AA17" s="84" vm="1160">
        <v>1105</v>
      </c>
      <c r="AB17" s="83" vm="8367">
        <v>10</v>
      </c>
      <c r="AC17" s="83" vm="1167">
        <v>0</v>
      </c>
      <c r="AD17" s="83" vm="8629">
        <v>0</v>
      </c>
      <c r="AE17" s="7">
        <f xml:space="preserve"> IFERROR( VfM_Metrics_2023_Consol_Source[[#This Row],[Total Net Debt]] / VfM_Metrics_2023_Consol_Source[[#This Row],[Net Book Value of Housing Properties2]], "n/a" )</f>
        <v>0.42040386018976561</v>
      </c>
      <c r="AF1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15552</v>
      </c>
      <c r="AG17" s="84" vm="8505">
        <v>659</v>
      </c>
      <c r="AH17" s="83" vm="1168">
        <v>16411</v>
      </c>
      <c r="AI17" s="83" vm="8796">
        <v>1518</v>
      </c>
      <c r="AJ17" s="83" vm="8674">
        <v>0</v>
      </c>
      <c r="AK17" s="83" vm="8527">
        <v>0</v>
      </c>
      <c r="AL17" s="5">
        <f xml:space="preserve"> SUM( VfM_Metrics_2023_Consol_Source[[#This Row],[Tangible fixed assets: Housing properties at cost (Current period)2]], VfM_Metrics_2023_Consol_Source[[#This Row],[Tangible fixed assets Housing properties at valuation (Current period)2]] )</f>
        <v>36993</v>
      </c>
      <c r="AM17" s="84" vm="1164">
        <v>36993</v>
      </c>
      <c r="AN17" s="83" vm="8503">
        <v>0</v>
      </c>
      <c r="AO17" s="87">
        <f xml:space="preserve"> IFERROR( VfM_Metrics_2023_Consol_Source[[#This Row],[EBITDA MRI]] / VfM_Metrics_2023_Consol_Source[[#This Row],[Total interest]], "n/a" )</f>
        <v>1.8357030015797788</v>
      </c>
      <c r="AP1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1162</v>
      </c>
      <c r="AQ17" s="84" vm="8518">
        <v>1242</v>
      </c>
      <c r="AR17" s="84" vm="1277">
        <v>0</v>
      </c>
      <c r="AS17" s="84" vm="8767">
        <v>0</v>
      </c>
      <c r="AT17" s="84" vm="1172">
        <v>106</v>
      </c>
      <c r="AU17" s="84" vm="1293">
        <v>0</v>
      </c>
      <c r="AV17" s="84" vm="8754">
        <v>6</v>
      </c>
      <c r="AW17" s="84" vm="1279">
        <v>962</v>
      </c>
      <c r="AX17" s="84" vm="1143">
        <v>982</v>
      </c>
      <c r="AY17" s="3">
        <f xml:space="preserve"> - SUM( VfM_Metrics_2023_Consol_Source[[#This Row],[Interest capitalised]], VfM_Metrics_2023_Consol_Source[[#This Row],[Interest payable and financing costs]] )</f>
        <v>633</v>
      </c>
      <c r="AZ17" s="84" vm="8687">
        <v>0</v>
      </c>
      <c r="BA17" s="83" vm="1173">
        <v>-633</v>
      </c>
      <c r="BB17" s="8">
        <f xml:space="preserve"> IFERROR( ( VfM_Metrics_2023_Consol_Source[[#This Row],[Total Costs]] / VfM_Metrics_2023_Consol_Source[[#This Row],[Total units for costs]] ) * 1000, "n/a" )</f>
        <v>4178.6355475763012</v>
      </c>
      <c r="BC1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4655</v>
      </c>
      <c r="BD17" s="84" vm="1174">
        <v>1371</v>
      </c>
      <c r="BE17" s="83" vm="8509">
        <v>599</v>
      </c>
      <c r="BF17" s="83" vm="1175">
        <v>983</v>
      </c>
      <c r="BG17" s="83" vm="8500">
        <v>319</v>
      </c>
      <c r="BH17" s="83" vm="8610">
        <v>350</v>
      </c>
      <c r="BI17" s="83" vm="8779">
        <v>0</v>
      </c>
      <c r="BJ17" s="83" vm="8669">
        <v>962</v>
      </c>
      <c r="BK17" s="83" vm="8516">
        <v>5</v>
      </c>
      <c r="BL17" s="83" vm="1176">
        <v>0</v>
      </c>
      <c r="BM17" s="83" vm="8794">
        <v>0</v>
      </c>
      <c r="BN17" s="83" vm="1177">
        <v>48</v>
      </c>
      <c r="BO17" s="83" vm="1174">
        <v>18</v>
      </c>
      <c r="BP17" s="5" vm="8621">
        <f xml:space="preserve"> VfM_Metrics_2023_Consol_Source[[#This Row],[Total social housing units owned and/or managed at period end]]</f>
        <v>1114</v>
      </c>
      <c r="BQ17" s="84" vm="8621">
        <v>1114</v>
      </c>
      <c r="BR17" s="7">
        <f xml:space="preserve"> IFERROR( VfM_Metrics_2023_Consol_Source[[#This Row],[SHL operating surplus / (deficit)]] / VfM_Metrics_2023_Consol_Source[[#This Row],[Turnover from social housing lettings]], "n/a" )</f>
        <v>0.21210025929127052</v>
      </c>
      <c r="BS17" s="5" vm="8515">
        <f xml:space="preserve"> VfM_Metrics_2023_Consol_Source[[#This Row],[Operating surplus/(deficit) (social housing lettings)]]</f>
        <v>1227</v>
      </c>
      <c r="BT17" s="84" vm="8515">
        <v>1227</v>
      </c>
      <c r="BU17" s="5" vm="1178">
        <f xml:space="preserve"> VfM_Metrics_2023_Consol_Source[[#This Row],[Turnover from social housing lettings]]</f>
        <v>5785</v>
      </c>
      <c r="BV17" s="84" vm="1178">
        <v>5785</v>
      </c>
      <c r="BW17" s="7">
        <f xml:space="preserve"> IFERROR( VfM_Metrics_2023_Consol_Source[[#This Row],[Net operating surplus]] / VfM_Metrics_2023_Consol_Source[[#This Row],[Overall turnover]], "n/a" )</f>
        <v>0.2113323124042879</v>
      </c>
      <c r="BX1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1242</v>
      </c>
      <c r="BY17" s="84" vm="1170">
        <v>1242</v>
      </c>
      <c r="BZ17" s="83" vm="8365">
        <v>0</v>
      </c>
      <c r="CA17" s="83" vm="1171">
        <v>0</v>
      </c>
      <c r="CB17" s="5" vm="1179">
        <f xml:space="preserve"> VfM_Metrics_2023_Consol_Source[[#This Row],[Turnover (overall)]]</f>
        <v>5877</v>
      </c>
      <c r="CC17" s="84" vm="1179">
        <v>5877</v>
      </c>
      <c r="CD17" s="7">
        <f xml:space="preserve"> IFERROR( VfM_Metrics_2023_Consol_Source[[#This Row],[Operating surplus including from JVs]] / VfM_Metrics_2023_Consol_Source[[#This Row],[Net assets]], "n/a" )</f>
        <v>3.3033672003829992E-2</v>
      </c>
      <c r="CE17" s="5">
        <f xml:space="preserve"> SUM( VfM_Metrics_2023_Consol_Source[[#This Row],[Operating surplus/(deficit) (overall)3]], VfM_Metrics_2023_Consol_Source[[#This Row],[Share of operating surplus/(deficit) in joint ventures or associates]] )</f>
        <v>1242</v>
      </c>
      <c r="CF17" s="84" vm="8506">
        <v>1242</v>
      </c>
      <c r="CG17" s="83" vm="946">
        <v>0</v>
      </c>
      <c r="CH17" s="5" vm="1180">
        <f xml:space="preserve"> VfM_Metrics_2023_Consol_Source[[#This Row],[Total assets less current liabilities]]</f>
        <v>37598</v>
      </c>
      <c r="CI17" s="84" vm="1180">
        <v>37598</v>
      </c>
      <c r="CJ17" s="71" vm="8741">
        <f xml:space="preserve"> VfM_Metrics_2023_Consol_Source[[#This Row],[Total social housing units owned (Period end)]]</f>
        <v>1105</v>
      </c>
      <c r="CK17" s="103">
        <v>0</v>
      </c>
      <c r="CL17" s="6">
        <f xml:space="preserve"> -- ( VfM_Metrics_2023_Consol_Source[[#This Row],[% Supported housing (excl. HOP)]] &gt; 0.3 )</f>
        <v>0</v>
      </c>
      <c r="CM17" s="103">
        <v>0.1330316742081448</v>
      </c>
      <c r="CN17" s="6">
        <f xml:space="preserve"> -- ( VfM_Metrics_2023_Consol_Source[[#This Row],[% Housing for older people]] &gt; 0.3 )</f>
        <v>0</v>
      </c>
      <c r="CO17" s="103">
        <f xml:space="preserve"> VfM_Metrics_2023_Consol_Source[[#This Row],[% Supported housing (excl. HOP)]] + VfM_Metrics_2023_Consol_Source[[#This Row],[% Housing for older people]]</f>
        <v>0.1330316742081448</v>
      </c>
      <c r="CP17" s="6">
        <f xml:space="preserve"> -- ( VfM_Metrics_2023_Consol_Source[[#This Row],[SH specialist in RSH analysis]] + VfM_Metrics_2023_Consol_Source[[#This Row],[OP specialist in RSH analysis]] &gt; 0 )</f>
        <v>0</v>
      </c>
      <c r="CQ17" s="10">
        <f xml:space="preserve"> -- ( VfM_Metrics_2023_Consol_Source[[#This Row],[% SH and OP]] &gt; 0.3 )</f>
        <v>0</v>
      </c>
      <c r="CR17" s="104" t="s">
        <v>143</v>
      </c>
      <c r="CS17" s="124" t="s">
        <v>144</v>
      </c>
      <c r="CT17" s="105"/>
      <c r="CU1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7" s="85">
        <v>0</v>
      </c>
      <c r="CW17" s="85">
        <v>0</v>
      </c>
      <c r="CX17" s="85">
        <v>0</v>
      </c>
      <c r="CY17" s="85">
        <v>0</v>
      </c>
      <c r="CZ17" s="85">
        <v>0</v>
      </c>
      <c r="DA17" s="85">
        <v>0</v>
      </c>
      <c r="DB17" s="85">
        <v>0</v>
      </c>
      <c r="DC17" s="85">
        <v>1</v>
      </c>
      <c r="DD17" s="85">
        <v>0</v>
      </c>
      <c r="DE17" s="13">
        <v>0.96105917141044694</v>
      </c>
    </row>
    <row r="18" spans="1:109" x14ac:dyDescent="0.25">
      <c r="A18" s="4" t="s" vm="233">
        <v>158</v>
      </c>
      <c r="B18" s="2" t="s" vm="8">
        <v>159</v>
      </c>
      <c r="C18" s="72" vm="440">
        <v>45016</v>
      </c>
      <c r="D18" s="7">
        <f>IFERROR( VfM_Metrics_2023_Consol_Source[[#This Row],[Reinvestment Spend]] / VfM_Metrics_2023_Consol_Source[[#This Row],[Net Book Value of Housing Properties]], "n/a" )</f>
        <v>5.2916633866015902E-2</v>
      </c>
      <c r="E1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3361</v>
      </c>
      <c r="F18" s="83" vm="8517">
        <v>2062</v>
      </c>
      <c r="G18" s="83" vm="8293">
        <v>228</v>
      </c>
      <c r="H18" s="83" vm="8326">
        <v>1032</v>
      </c>
      <c r="I18" s="83" vm="8496">
        <v>39</v>
      </c>
      <c r="J18" s="83" vm="8156">
        <v>0</v>
      </c>
      <c r="K18" s="5">
        <f xml:space="preserve"> SUM( VfM_Metrics_2023_Consol_Source[[#This Row],[Tangible fixed assets: Housing properties at cost (Current period)]],VfM_Metrics_2023_Consol_Source[[#This Row],[Tangible fixed assets Housing properties at valuation (Current period)]] )</f>
        <v>63515</v>
      </c>
      <c r="L18" s="84" vm="2012">
        <v>63515</v>
      </c>
      <c r="M18" s="83" vm="8417">
        <v>0</v>
      </c>
      <c r="N18" s="7">
        <f xml:space="preserve"> IFERROR( VfM_Metrics_2023_Consol_Source[[#This Row],[Total social units developed or newly built units acquired in-year]] / VfM_Metrics_2023_Consol_Source[[#This Row],[Social housing units owned (period end)]], "n/a" )</f>
        <v>1.8996960486322188E-2</v>
      </c>
      <c r="O18" s="5">
        <f xml:space="preserve"> SUM( VfM_Metrics_2023_Consol_Source[[#This Row],[Total social units developed or newly built units acquired in-year (owned)]], VfM_Metrics_2023_Consol_Source[[#This Row],[Total social leasehold units developed or newly built units acquired in-year (owned)]] )</f>
        <v>25</v>
      </c>
      <c r="P18" s="84" vm="1556">
        <v>25</v>
      </c>
      <c r="Q18" s="83" vm="1302">
        <v>0</v>
      </c>
      <c r="R18" s="5">
        <f xml:space="preserve"> SUM( VfM_Metrics_2023_Consol_Source[[#This Row],[Total social housing units owned (Period end)]], VfM_Metrics_2023_Consol_Source[[#This Row],[Total social leasehold units owned (Period end)]] )</f>
        <v>1316</v>
      </c>
      <c r="S18" s="84" vm="1301">
        <v>1316</v>
      </c>
      <c r="T18" s="83" vm="1303">
        <v>0</v>
      </c>
      <c r="U18" s="86">
        <f xml:space="preserve"> IFERROR( VfM_Metrics_2023_Consol_Source[[#This Row],[Total non-social housing units developed or newly built units acquired (owned)]] / VfM_Metrics_2023_Consol_Source[[#This Row],[Total social and non-social housing units owned (Period end)]], "n/a" )</f>
        <v>0</v>
      </c>
      <c r="V1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8" s="83" vm="1304">
        <v>0</v>
      </c>
      <c r="X18" s="83" vm="8491">
        <v>0</v>
      </c>
      <c r="Y18" s="83" vm="8165">
        <v>0</v>
      </c>
      <c r="Z1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1316</v>
      </c>
      <c r="AA18" s="84" vm="1301">
        <v>1316</v>
      </c>
      <c r="AB18" s="83" vm="8494">
        <v>0</v>
      </c>
      <c r="AC18" s="83" vm="1428">
        <v>0</v>
      </c>
      <c r="AD18" s="83" vm="8513">
        <v>0</v>
      </c>
      <c r="AE18" s="7">
        <f xml:space="preserve"> IFERROR( VfM_Metrics_2023_Consol_Source[[#This Row],[Total Net Debt]] / VfM_Metrics_2023_Consol_Source[[#This Row],[Net Book Value of Housing Properties2]], "n/a" )</f>
        <v>0.3797685586082028</v>
      </c>
      <c r="AF1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24121</v>
      </c>
      <c r="AG18" s="84" vm="8323">
        <v>692</v>
      </c>
      <c r="AH18" s="83" vm="1306">
        <v>23755</v>
      </c>
      <c r="AI18" s="83" vm="1307">
        <v>326</v>
      </c>
      <c r="AJ18" s="83" vm="1308">
        <v>0</v>
      </c>
      <c r="AK18" s="83" vm="8470">
        <v>0</v>
      </c>
      <c r="AL18" s="5">
        <f xml:space="preserve"> SUM( VfM_Metrics_2023_Consol_Source[[#This Row],[Tangible fixed assets: Housing properties at cost (Current period)2]], VfM_Metrics_2023_Consol_Source[[#This Row],[Tangible fixed assets Housing properties at valuation (Current period)2]] )</f>
        <v>63515</v>
      </c>
      <c r="AM18" s="84" vm="8152">
        <v>63515</v>
      </c>
      <c r="AN18" s="83" vm="8623">
        <v>0</v>
      </c>
      <c r="AO18" s="87">
        <f xml:space="preserve"> IFERROR( VfM_Metrics_2023_Consol_Source[[#This Row],[EBITDA MRI]] / VfM_Metrics_2023_Consol_Source[[#This Row],[Total interest]], "n/a" )</f>
        <v>1.3863845446182153</v>
      </c>
      <c r="AP1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1507</v>
      </c>
      <c r="AQ18" s="84" vm="8381">
        <v>1542</v>
      </c>
      <c r="AR18" s="84" vm="1310">
        <v>174</v>
      </c>
      <c r="AS18" s="84" vm="8148">
        <v>0</v>
      </c>
      <c r="AT18" s="84" vm="8163">
        <v>420</v>
      </c>
      <c r="AU18" s="84" vm="8478">
        <v>0</v>
      </c>
      <c r="AV18" s="84" vm="1278">
        <v>12</v>
      </c>
      <c r="AW18" s="84" vm="1312">
        <v>1032</v>
      </c>
      <c r="AX18" s="84" vm="8468">
        <v>1579</v>
      </c>
      <c r="AY18" s="3">
        <f xml:space="preserve"> - SUM( VfM_Metrics_2023_Consol_Source[[#This Row],[Interest capitalised]], VfM_Metrics_2023_Consol_Source[[#This Row],[Interest payable and financing costs]] )</f>
        <v>1087</v>
      </c>
      <c r="AZ18" s="84" vm="7901">
        <v>-39</v>
      </c>
      <c r="BA18" s="83" vm="8502">
        <v>-1048</v>
      </c>
      <c r="BB18" s="8">
        <f xml:space="preserve"> IFERROR( ( VfM_Metrics_2023_Consol_Source[[#This Row],[Total Costs]] / VfM_Metrics_2023_Consol_Source[[#This Row],[Total units for costs]] ) * 1000, "n/a" )</f>
        <v>3730.2431610942249</v>
      </c>
      <c r="BC1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4909</v>
      </c>
      <c r="BD18" s="84" vm="8607">
        <v>1516</v>
      </c>
      <c r="BE18" s="83" vm="8378">
        <v>135</v>
      </c>
      <c r="BF18" s="83" vm="1281">
        <v>1369</v>
      </c>
      <c r="BG18" s="83" vm="8289">
        <v>695</v>
      </c>
      <c r="BH18" s="83" vm="8466">
        <v>111</v>
      </c>
      <c r="BI18" s="83" vm="8620">
        <v>0</v>
      </c>
      <c r="BJ18" s="83" vm="1267">
        <v>1032</v>
      </c>
      <c r="BK18" s="83" vm="1313">
        <v>0</v>
      </c>
      <c r="BL18" s="83" vm="3008">
        <v>8</v>
      </c>
      <c r="BM18" s="83" vm="8146">
        <v>0</v>
      </c>
      <c r="BN18" s="83" vm="1314">
        <v>0</v>
      </c>
      <c r="BO18" s="83" vm="1315">
        <v>43</v>
      </c>
      <c r="BP18" s="5" vm="8553">
        <f xml:space="preserve"> VfM_Metrics_2023_Consol_Source[[#This Row],[Total social housing units owned and/or managed at period end]]</f>
        <v>1316</v>
      </c>
      <c r="BQ18" s="84" vm="8553">
        <v>1316</v>
      </c>
      <c r="BR18" s="7">
        <f xml:space="preserve"> IFERROR( VfM_Metrics_2023_Consol_Source[[#This Row],[SHL operating surplus / (deficit)]] / VfM_Metrics_2023_Consol_Source[[#This Row],[Turnover from social housing lettings]], "n/a" )</f>
        <v>0.18292316926770708</v>
      </c>
      <c r="BS18" s="5" vm="1316">
        <f xml:space="preserve"> VfM_Metrics_2023_Consol_Source[[#This Row],[Operating surplus/(deficit) (social housing lettings)]]</f>
        <v>1219</v>
      </c>
      <c r="BT18" s="84" vm="1316">
        <v>1219</v>
      </c>
      <c r="BU18" s="5" vm="8463">
        <f xml:space="preserve"> VfM_Metrics_2023_Consol_Source[[#This Row],[Turnover from social housing lettings]]</f>
        <v>6664</v>
      </c>
      <c r="BV18" s="84" vm="8463">
        <v>6664</v>
      </c>
      <c r="BW18" s="7">
        <f xml:space="preserve"> IFERROR( VfM_Metrics_2023_Consol_Source[[#This Row],[Net operating surplus]] / VfM_Metrics_2023_Consol_Source[[#This Row],[Overall turnover]], "n/a" )</f>
        <v>0.1993006993006993</v>
      </c>
      <c r="BX1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1368</v>
      </c>
      <c r="BY18" s="84" vm="1428">
        <v>1542</v>
      </c>
      <c r="BZ18" s="83" vm="8159">
        <v>174</v>
      </c>
      <c r="CA18" s="83" vm="1311">
        <v>0</v>
      </c>
      <c r="CB18" s="5" vm="1317">
        <f xml:space="preserve"> VfM_Metrics_2023_Consol_Source[[#This Row],[Turnover (overall)]]</f>
        <v>6864</v>
      </c>
      <c r="CC18" s="84" vm="1317">
        <v>6864</v>
      </c>
      <c r="CD18" s="7">
        <f xml:space="preserve"> IFERROR( VfM_Metrics_2023_Consol_Source[[#This Row],[Operating surplus including from JVs]] / VfM_Metrics_2023_Consol_Source[[#This Row],[Net assets]], "n/a" )</f>
        <v>2.4291880651564322E-2</v>
      </c>
      <c r="CE18" s="5">
        <f xml:space="preserve"> SUM( VfM_Metrics_2023_Consol_Source[[#This Row],[Operating surplus/(deficit) (overall)3]], VfM_Metrics_2023_Consol_Source[[#This Row],[Share of operating surplus/(deficit) in joint ventures or associates]] )</f>
        <v>1542</v>
      </c>
      <c r="CF18" s="84" vm="1309">
        <v>1542</v>
      </c>
      <c r="CG18" s="83" vm="8536">
        <v>0</v>
      </c>
      <c r="CH18" s="5" vm="8143">
        <f xml:space="preserve"> VfM_Metrics_2023_Consol_Source[[#This Row],[Total assets less current liabilities]]</f>
        <v>63478</v>
      </c>
      <c r="CI18" s="84" vm="8143">
        <v>63478</v>
      </c>
      <c r="CJ18" s="71" vm="1301">
        <f xml:space="preserve"> VfM_Metrics_2023_Consol_Source[[#This Row],[Total social housing units owned (Period end)]]</f>
        <v>1316</v>
      </c>
      <c r="CK18" s="103">
        <v>3.3383915022761758E-2</v>
      </c>
      <c r="CL18" s="6">
        <f xml:space="preserve"> -- ( VfM_Metrics_2023_Consol_Source[[#This Row],[% Supported housing (excl. HOP)]] &gt; 0.3 )</f>
        <v>0</v>
      </c>
      <c r="CM18" s="103">
        <v>0</v>
      </c>
      <c r="CN18" s="6">
        <f xml:space="preserve"> -- ( VfM_Metrics_2023_Consol_Source[[#This Row],[% Housing for older people]] &gt; 0.3 )</f>
        <v>0</v>
      </c>
      <c r="CO18" s="103">
        <f xml:space="preserve"> VfM_Metrics_2023_Consol_Source[[#This Row],[% Supported housing (excl. HOP)]] + VfM_Metrics_2023_Consol_Source[[#This Row],[% Housing for older people]]</f>
        <v>3.3383915022761758E-2</v>
      </c>
      <c r="CP18" s="6">
        <f xml:space="preserve"> -- ( VfM_Metrics_2023_Consol_Source[[#This Row],[SH specialist in RSH analysis]] + VfM_Metrics_2023_Consol_Source[[#This Row],[OP specialist in RSH analysis]] &gt; 0 )</f>
        <v>0</v>
      </c>
      <c r="CQ18" s="10">
        <f xml:space="preserve"> -- ( VfM_Metrics_2023_Consol_Source[[#This Row],[% SH and OP]] &gt; 0.3 )</f>
        <v>0</v>
      </c>
      <c r="CR18" s="104" t="s">
        <v>143</v>
      </c>
      <c r="CS18" s="124" t="s">
        <v>144</v>
      </c>
      <c r="CT18" s="105"/>
      <c r="CU1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18" s="85">
        <v>0</v>
      </c>
      <c r="CW18" s="85">
        <v>0</v>
      </c>
      <c r="CX18" s="85">
        <v>0</v>
      </c>
      <c r="CY18" s="85">
        <v>9.8784194528875376E-3</v>
      </c>
      <c r="CZ18" s="85">
        <v>0</v>
      </c>
      <c r="DA18" s="85">
        <v>0</v>
      </c>
      <c r="DB18" s="85">
        <v>0</v>
      </c>
      <c r="DC18" s="85">
        <v>0</v>
      </c>
      <c r="DD18" s="85">
        <v>0.99012158054711241</v>
      </c>
      <c r="DE18" s="13">
        <v>0.94456891961563894</v>
      </c>
    </row>
    <row r="19" spans="1:109" x14ac:dyDescent="0.25">
      <c r="A19" s="4" t="s" vm="385">
        <v>160</v>
      </c>
      <c r="B19" s="2" t="s" vm="9">
        <v>161</v>
      </c>
      <c r="C19" s="72" vm="415">
        <v>45016</v>
      </c>
      <c r="D19" s="7">
        <f>IFERROR( VfM_Metrics_2023_Consol_Source[[#This Row],[Reinvestment Spend]] / VfM_Metrics_2023_Consol_Source[[#This Row],[Net Book Value of Housing Properties]], "n/a" )</f>
        <v>0.11146065257141681</v>
      </c>
      <c r="E1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32490</v>
      </c>
      <c r="F19" s="83" vm="6377">
        <v>23589</v>
      </c>
      <c r="G19" s="83" vm="6378">
        <v>0</v>
      </c>
      <c r="H19" s="83" vm="6379">
        <v>8901</v>
      </c>
      <c r="I19" s="83" vm="6380">
        <v>0</v>
      </c>
      <c r="J19" s="83" vm="6381">
        <v>0</v>
      </c>
      <c r="K19" s="5">
        <f xml:space="preserve"> SUM( VfM_Metrics_2023_Consol_Source[[#This Row],[Tangible fixed assets: Housing properties at cost (Current period)]],VfM_Metrics_2023_Consol_Source[[#This Row],[Tangible fixed assets Housing properties at valuation (Current period)]] )</f>
        <v>291493</v>
      </c>
      <c r="L19" s="84" vm="6382">
        <v>291493</v>
      </c>
      <c r="M19" s="83" vm="6383">
        <v>0</v>
      </c>
      <c r="N19" s="7">
        <f xml:space="preserve"> IFERROR( VfM_Metrics_2023_Consol_Source[[#This Row],[Total social units developed or newly built units acquired in-year]] / VfM_Metrics_2023_Consol_Source[[#This Row],[Social housing units owned (period end)]], "n/a" )</f>
        <v>1.7663043478260868E-2</v>
      </c>
      <c r="O19" s="5">
        <f xml:space="preserve"> SUM( VfM_Metrics_2023_Consol_Source[[#This Row],[Total social units developed or newly built units acquired in-year (owned)]], VfM_Metrics_2023_Consol_Source[[#This Row],[Total social leasehold units developed or newly built units acquired in-year (owned)]] )</f>
        <v>169</v>
      </c>
      <c r="P19" s="84" vm="6882">
        <v>167</v>
      </c>
      <c r="Q19" s="83" vm="6384">
        <v>2</v>
      </c>
      <c r="R19" s="5">
        <f xml:space="preserve"> SUM( VfM_Metrics_2023_Consol_Source[[#This Row],[Total social housing units owned (Period end)]], VfM_Metrics_2023_Consol_Source[[#This Row],[Total social leasehold units owned (Period end)]] )</f>
        <v>9568</v>
      </c>
      <c r="S19" s="84" vm="6375">
        <v>9300</v>
      </c>
      <c r="T19" s="83" vm="6385">
        <v>268</v>
      </c>
      <c r="U19" s="86">
        <f xml:space="preserve"> IFERROR( VfM_Metrics_2023_Consol_Source[[#This Row],[Total non-social housing units developed or newly built units acquired (owned)]] / VfM_Metrics_2023_Consol_Source[[#This Row],[Total social and non-social housing units owned (Period end)]], "n/a" )</f>
        <v>0</v>
      </c>
      <c r="V1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9" s="83" vm="6386">
        <v>0</v>
      </c>
      <c r="X19" s="83" vm="6387">
        <v>0</v>
      </c>
      <c r="Y19" s="83" vm="6388">
        <v>0</v>
      </c>
      <c r="Z1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9568</v>
      </c>
      <c r="AA19" s="84" vm="6375">
        <v>9300</v>
      </c>
      <c r="AB19" s="83" vm="6385">
        <v>268</v>
      </c>
      <c r="AC19" s="83" vm="6389">
        <v>0</v>
      </c>
      <c r="AD19" s="83" vm="6390">
        <v>0</v>
      </c>
      <c r="AE19" s="7">
        <f xml:space="preserve"> IFERROR( VfM_Metrics_2023_Consol_Source[[#This Row],[Total Net Debt]] / VfM_Metrics_2023_Consol_Source[[#This Row],[Net Book Value of Housing Properties2]], "n/a" )</f>
        <v>0.6937628004789137</v>
      </c>
      <c r="AF1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202227</v>
      </c>
      <c r="AG19" s="84" vm="6391">
        <v>0</v>
      </c>
      <c r="AH19" s="83" vm="6392">
        <v>202667</v>
      </c>
      <c r="AI19" s="83" vm="6393">
        <v>440</v>
      </c>
      <c r="AJ19" s="83" vm="6394">
        <v>0</v>
      </c>
      <c r="AK19" s="83" vm="6395">
        <v>0</v>
      </c>
      <c r="AL19" s="5">
        <f xml:space="preserve"> SUM( VfM_Metrics_2023_Consol_Source[[#This Row],[Tangible fixed assets: Housing properties at cost (Current period)2]], VfM_Metrics_2023_Consol_Source[[#This Row],[Tangible fixed assets Housing properties at valuation (Current period)2]] )</f>
        <v>291493</v>
      </c>
      <c r="AM19" s="84" vm="6382">
        <v>291493</v>
      </c>
      <c r="AN19" s="83" vm="6383">
        <v>0</v>
      </c>
      <c r="AO19" s="87">
        <f xml:space="preserve"> IFERROR( VfM_Metrics_2023_Consol_Source[[#This Row],[EBITDA MRI]] / VfM_Metrics_2023_Consol_Source[[#This Row],[Total interest]], "n/a" )</f>
        <v>0.6343742607049917</v>
      </c>
      <c r="AP1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5363</v>
      </c>
      <c r="AQ19" s="84" vm="6396">
        <v>8365</v>
      </c>
      <c r="AR19" s="84" vm="6397">
        <v>2836</v>
      </c>
      <c r="AS19" s="84" vm="6398">
        <v>77</v>
      </c>
      <c r="AT19" s="84" vm="6937">
        <v>706</v>
      </c>
      <c r="AU19" s="84" vm="6399">
        <v>0</v>
      </c>
      <c r="AV19" s="84" vm="6400">
        <v>476</v>
      </c>
      <c r="AW19" s="84" vm="6401">
        <v>8901</v>
      </c>
      <c r="AX19" s="84" vm="6402">
        <v>9042</v>
      </c>
      <c r="AY19" s="3">
        <f xml:space="preserve"> - SUM( VfM_Metrics_2023_Consol_Source[[#This Row],[Interest capitalised]], VfM_Metrics_2023_Consol_Source[[#This Row],[Interest payable and financing costs]] )</f>
        <v>8454</v>
      </c>
      <c r="AZ19" s="84" vm="6403">
        <v>0</v>
      </c>
      <c r="BA19" s="83" vm="6404">
        <v>-8454</v>
      </c>
      <c r="BB19" s="8">
        <f xml:space="preserve"> IFERROR( ( VfM_Metrics_2023_Consol_Source[[#This Row],[Total Costs]] / VfM_Metrics_2023_Consol_Source[[#This Row],[Total units for costs]] ) * 1000, "n/a" )</f>
        <v>4067.9362362255265</v>
      </c>
      <c r="BC1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38023</v>
      </c>
      <c r="BD19" s="84" vm="6897">
        <v>10270</v>
      </c>
      <c r="BE19" s="83" vm="6406">
        <v>3626</v>
      </c>
      <c r="BF19" s="83" vm="7179">
        <v>8315</v>
      </c>
      <c r="BG19" s="83" vm="6407">
        <v>5517</v>
      </c>
      <c r="BH19" s="83" vm="6408">
        <v>0</v>
      </c>
      <c r="BI19" s="83" vm="6409">
        <v>0</v>
      </c>
      <c r="BJ19" s="83" vm="6401">
        <v>8901</v>
      </c>
      <c r="BK19" s="83" vm="6454">
        <v>0</v>
      </c>
      <c r="BL19" s="83" vm="6411">
        <v>0</v>
      </c>
      <c r="BM19" s="83" vm="6412">
        <v>0</v>
      </c>
      <c r="BN19" s="83" vm="6413">
        <v>1394</v>
      </c>
      <c r="BO19" s="83" vm="6414">
        <v>0</v>
      </c>
      <c r="BP19" s="5" vm="6376">
        <f xml:space="preserve"> VfM_Metrics_2023_Consol_Source[[#This Row],[Total social housing units owned and/or managed at period end]]</f>
        <v>9347</v>
      </c>
      <c r="BQ19" s="84" vm="6376">
        <v>9347</v>
      </c>
      <c r="BR19" s="7">
        <f xml:space="preserve"> IFERROR( VfM_Metrics_2023_Consol_Source[[#This Row],[SHL operating surplus / (deficit)]] / VfM_Metrics_2023_Consol_Source[[#This Row],[Turnover from social housing lettings]], "n/a" )</f>
        <v>0.16646604009444882</v>
      </c>
      <c r="BS19" s="5" vm="6415">
        <f xml:space="preserve"> VfM_Metrics_2023_Consol_Source[[#This Row],[Operating surplus/(deficit) (social housing lettings)]]</f>
        <v>7191</v>
      </c>
      <c r="BT19" s="84" vm="6415">
        <v>7191</v>
      </c>
      <c r="BU19" s="5" vm="6416">
        <f xml:space="preserve"> VfM_Metrics_2023_Consol_Source[[#This Row],[Turnover from social housing lettings]]</f>
        <v>43198</v>
      </c>
      <c r="BV19" s="84" vm="6416">
        <v>43198</v>
      </c>
      <c r="BW19" s="7">
        <f xml:space="preserve"> IFERROR( VfM_Metrics_2023_Consol_Source[[#This Row],[Net operating surplus]] / VfM_Metrics_2023_Consol_Source[[#This Row],[Overall turnover]], "n/a" )</f>
        <v>0.10961878719639698</v>
      </c>
      <c r="BX1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5452</v>
      </c>
      <c r="BY19" s="84" vm="6396">
        <v>8365</v>
      </c>
      <c r="BZ19" s="83" vm="6397">
        <v>2836</v>
      </c>
      <c r="CA19" s="83" vm="6398">
        <v>77</v>
      </c>
      <c r="CB19" s="5" vm="6417">
        <f xml:space="preserve"> VfM_Metrics_2023_Consol_Source[[#This Row],[Turnover (overall)]]</f>
        <v>49736</v>
      </c>
      <c r="CC19" s="84" vm="6417">
        <v>49736</v>
      </c>
      <c r="CD19" s="7">
        <f xml:space="preserve"> IFERROR( VfM_Metrics_2023_Consol_Source[[#This Row],[Operating surplus including from JVs]] / VfM_Metrics_2023_Consol_Source[[#This Row],[Net assets]], "n/a" )</f>
        <v>2.837151249160556E-2</v>
      </c>
      <c r="CE19" s="5">
        <f xml:space="preserve"> SUM( VfM_Metrics_2023_Consol_Source[[#This Row],[Operating surplus/(deficit) (overall)3]], VfM_Metrics_2023_Consol_Source[[#This Row],[Share of operating surplus/(deficit) in joint ventures or associates]] )</f>
        <v>8365</v>
      </c>
      <c r="CF19" s="84" vm="6396">
        <v>8365</v>
      </c>
      <c r="CG19" s="83" vm="6419">
        <v>0</v>
      </c>
      <c r="CH19" s="5" vm="6418">
        <f xml:space="preserve"> VfM_Metrics_2023_Consol_Source[[#This Row],[Total assets less current liabilities]]</f>
        <v>294838</v>
      </c>
      <c r="CI19" s="84" vm="6418">
        <v>294838</v>
      </c>
      <c r="CJ19" s="71" vm="6375">
        <f xml:space="preserve"> VfM_Metrics_2023_Consol_Source[[#This Row],[Total social housing units owned (Period end)]]</f>
        <v>9300</v>
      </c>
      <c r="CK19" s="103">
        <v>0</v>
      </c>
      <c r="CL19" s="6">
        <f xml:space="preserve"> -- ( VfM_Metrics_2023_Consol_Source[[#This Row],[% Supported housing (excl. HOP)]] &gt; 0.3 )</f>
        <v>0</v>
      </c>
      <c r="CM19" s="103">
        <v>6.8059444324790011E-2</v>
      </c>
      <c r="CN19" s="6">
        <f xml:space="preserve"> -- ( VfM_Metrics_2023_Consol_Source[[#This Row],[% Housing for older people]] &gt; 0.3 )</f>
        <v>0</v>
      </c>
      <c r="CO19" s="103">
        <f xml:space="preserve"> VfM_Metrics_2023_Consol_Source[[#This Row],[% Supported housing (excl. HOP)]] + VfM_Metrics_2023_Consol_Source[[#This Row],[% Housing for older people]]</f>
        <v>6.8059444324790011E-2</v>
      </c>
      <c r="CP19" s="6">
        <f xml:space="preserve"> -- ( VfM_Metrics_2023_Consol_Source[[#This Row],[SH specialist in RSH analysis]] + VfM_Metrics_2023_Consol_Source[[#This Row],[OP specialist in RSH analysis]] &gt; 0 )</f>
        <v>0</v>
      </c>
      <c r="CQ19" s="10">
        <f xml:space="preserve"> -- ( VfM_Metrics_2023_Consol_Source[[#This Row],[% SH and OP]] &gt; 0.3 )</f>
        <v>0</v>
      </c>
      <c r="CR19" s="104" t="s">
        <v>143</v>
      </c>
      <c r="CS19" s="124"/>
      <c r="CT19" s="105" t="s">
        <v>151</v>
      </c>
      <c r="CU1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9" s="85">
        <v>0</v>
      </c>
      <c r="CW19" s="85">
        <v>0</v>
      </c>
      <c r="CX19" s="85">
        <v>0</v>
      </c>
      <c r="CY19" s="85">
        <v>0</v>
      </c>
      <c r="CZ19" s="85">
        <v>0.9043010752688172</v>
      </c>
      <c r="DA19" s="85">
        <v>0</v>
      </c>
      <c r="DB19" s="85">
        <v>0</v>
      </c>
      <c r="DC19" s="85">
        <v>9.56989247311828E-2</v>
      </c>
      <c r="DD19" s="85">
        <v>0</v>
      </c>
      <c r="DE19" s="13">
        <v>0.96425240493668152</v>
      </c>
    </row>
    <row r="20" spans="1:109" x14ac:dyDescent="0.25">
      <c r="A20" s="4" t="s" vm="250">
        <v>162</v>
      </c>
      <c r="B20" s="2" t="s" vm="10">
        <v>163</v>
      </c>
      <c r="C20" s="72" vm="444">
        <v>45016</v>
      </c>
      <c r="D20" s="7">
        <f>IFERROR( VfM_Metrics_2023_Consol_Source[[#This Row],[Reinvestment Spend]] / VfM_Metrics_2023_Consol_Source[[#This Row],[Net Book Value of Housing Properties]], "n/a" )</f>
        <v>8.9062823595090809E-2</v>
      </c>
      <c r="E2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197821</v>
      </c>
      <c r="F20" s="83" vm="8119">
        <v>169902</v>
      </c>
      <c r="G20" s="83" vm="1662">
        <v>0</v>
      </c>
      <c r="H20" s="83" vm="1698">
        <v>20502</v>
      </c>
      <c r="I20" s="83" vm="1746">
        <v>7417</v>
      </c>
      <c r="J20" s="83" vm="1747">
        <v>0</v>
      </c>
      <c r="K20" s="5">
        <f xml:space="preserve"> SUM( VfM_Metrics_2023_Consol_Source[[#This Row],[Tangible fixed assets: Housing properties at cost (Current period)]],VfM_Metrics_2023_Consol_Source[[#This Row],[Tangible fixed assets Housing properties at valuation (Current period)]] )</f>
        <v>2221140</v>
      </c>
      <c r="L20" s="84" vm="7124">
        <v>2221140</v>
      </c>
      <c r="M20" s="83" vm="1749">
        <v>0</v>
      </c>
      <c r="N20" s="7">
        <f xml:space="preserve"> IFERROR( VfM_Metrics_2023_Consol_Source[[#This Row],[Total social units developed or newly built units acquired in-year]] / VfM_Metrics_2023_Consol_Source[[#This Row],[Social housing units owned (period end)]], "n/a" )</f>
        <v>2.7783945819917843E-2</v>
      </c>
      <c r="O20" s="5">
        <f xml:space="preserve"> SUM( VfM_Metrics_2023_Consol_Source[[#This Row],[Total social units developed or newly built units acquired in-year (owned)]], VfM_Metrics_2023_Consol_Source[[#This Row],[Total social leasehold units developed or newly built units acquired in-year (owned)]] )</f>
        <v>1001</v>
      </c>
      <c r="P20" s="84" vm="8056">
        <v>1001</v>
      </c>
      <c r="Q20" s="83" vm="7123">
        <v>0</v>
      </c>
      <c r="R20" s="5">
        <f xml:space="preserve"> SUM( VfM_Metrics_2023_Consol_Source[[#This Row],[Total social housing units owned (Period end)]], VfM_Metrics_2023_Consol_Source[[#This Row],[Total social leasehold units owned (Period end)]] )</f>
        <v>36028</v>
      </c>
      <c r="S20" s="84" vm="1464">
        <v>34384</v>
      </c>
      <c r="T20" s="83" vm="1750">
        <v>1644</v>
      </c>
      <c r="U20" s="86">
        <f xml:space="preserve"> IFERROR( VfM_Metrics_2023_Consol_Source[[#This Row],[Total non-social housing units developed or newly built units acquired (owned)]] / VfM_Metrics_2023_Consol_Source[[#This Row],[Total social and non-social housing units owned (Period end)]], "n/a" )</f>
        <v>0</v>
      </c>
      <c r="V2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0" s="83" vm="1751">
        <v>0</v>
      </c>
      <c r="X20" s="83" vm="8139">
        <v>0</v>
      </c>
      <c r="Y20" s="83" vm="8276">
        <v>0</v>
      </c>
      <c r="Z2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36122</v>
      </c>
      <c r="AA20" s="84" vm="1744">
        <v>34384</v>
      </c>
      <c r="AB20" s="83" vm="1750">
        <v>1644</v>
      </c>
      <c r="AC20" s="83" vm="8234">
        <v>94</v>
      </c>
      <c r="AD20" s="83" vm="1752">
        <v>0</v>
      </c>
      <c r="AE20" s="7">
        <f xml:space="preserve"> IFERROR( VfM_Metrics_2023_Consol_Source[[#This Row],[Total Net Debt]] / VfM_Metrics_2023_Consol_Source[[#This Row],[Net Book Value of Housing Properties2]], "n/a" )</f>
        <v>0.51008581179034185</v>
      </c>
      <c r="AF2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1132972</v>
      </c>
      <c r="AG20" s="84" vm="1753">
        <v>18201</v>
      </c>
      <c r="AH20" s="83" vm="8214">
        <v>1209080</v>
      </c>
      <c r="AI20" s="83" vm="1755">
        <v>94309</v>
      </c>
      <c r="AJ20" s="83" vm="8038">
        <v>0</v>
      </c>
      <c r="AK20" s="83" vm="1756">
        <v>0</v>
      </c>
      <c r="AL20" s="5">
        <f xml:space="preserve"> SUM( VfM_Metrics_2023_Consol_Source[[#This Row],[Tangible fixed assets: Housing properties at cost (Current period)2]], VfM_Metrics_2023_Consol_Source[[#This Row],[Tangible fixed assets Housing properties at valuation (Current period)2]] )</f>
        <v>2221140</v>
      </c>
      <c r="AM20" s="84" vm="1748">
        <v>2221140</v>
      </c>
      <c r="AN20" s="83" vm="7855">
        <v>0</v>
      </c>
      <c r="AO20" s="87">
        <f xml:space="preserve"> IFERROR( VfM_Metrics_2023_Consol_Source[[#This Row],[EBITDA MRI]] / VfM_Metrics_2023_Consol_Source[[#This Row],[Total interest]], "n/a" )</f>
        <v>1.7235586383313657</v>
      </c>
      <c r="AP2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70073</v>
      </c>
      <c r="AQ20" s="84" vm="8214">
        <v>70285</v>
      </c>
      <c r="AR20" s="84" vm="8033">
        <v>20303</v>
      </c>
      <c r="AS20" s="84" vm="1863">
        <v>6</v>
      </c>
      <c r="AT20" s="84" vm="8223">
        <v>1015</v>
      </c>
      <c r="AU20" s="84" vm="1760">
        <v>0</v>
      </c>
      <c r="AV20" s="84" vm="1850">
        <v>5863</v>
      </c>
      <c r="AW20" s="84" vm="1761">
        <v>20502</v>
      </c>
      <c r="AX20" s="84" vm="1762">
        <v>35751</v>
      </c>
      <c r="AY20" s="3">
        <f xml:space="preserve"> - SUM( VfM_Metrics_2023_Consol_Source[[#This Row],[Interest capitalised]], VfM_Metrics_2023_Consol_Source[[#This Row],[Interest payable and financing costs]] )</f>
        <v>40656</v>
      </c>
      <c r="AZ20" s="84" vm="1763">
        <v>-8378</v>
      </c>
      <c r="BA20" s="83" vm="8273">
        <v>-32278</v>
      </c>
      <c r="BB20" s="8">
        <f xml:space="preserve"> IFERROR( ( VfM_Metrics_2023_Consol_Source[[#This Row],[Total Costs]] / VfM_Metrics_2023_Consol_Source[[#This Row],[Total units for costs]] ) * 1000, "n/a" )</f>
        <v>5062.1827411167515</v>
      </c>
      <c r="BC2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175516</v>
      </c>
      <c r="BD20" s="84" vm="1764">
        <v>45482</v>
      </c>
      <c r="BE20" s="83" vm="1765">
        <v>25455</v>
      </c>
      <c r="BF20" s="83" vm="1766">
        <v>26699</v>
      </c>
      <c r="BG20" s="83" vm="1767">
        <v>12728</v>
      </c>
      <c r="BH20" s="83" vm="1768">
        <v>23425</v>
      </c>
      <c r="BI20" s="83" vm="8122">
        <v>0</v>
      </c>
      <c r="BJ20" s="83" vm="1761">
        <v>20502</v>
      </c>
      <c r="BK20" s="83" vm="1769">
        <v>1073</v>
      </c>
      <c r="BL20" s="83" vm="2049">
        <v>2859</v>
      </c>
      <c r="BM20" s="83" vm="7122">
        <v>1581</v>
      </c>
      <c r="BN20" s="83" vm="8229">
        <v>12838</v>
      </c>
      <c r="BO20" s="83" vm="1770">
        <v>2874</v>
      </c>
      <c r="BP20" s="5" vm="8055">
        <f xml:space="preserve"> VfM_Metrics_2023_Consol_Source[[#This Row],[Total social housing units owned and/or managed at period end]]</f>
        <v>34672</v>
      </c>
      <c r="BQ20" s="84" vm="8055">
        <v>34672</v>
      </c>
      <c r="BR20" s="7">
        <f xml:space="preserve"> IFERROR( VfM_Metrics_2023_Consol_Source[[#This Row],[SHL operating surplus / (deficit)]] / VfM_Metrics_2023_Consol_Source[[#This Row],[Turnover from social housing lettings]], "n/a" )</f>
        <v>0.20415919378256042</v>
      </c>
      <c r="BS20" s="5" vm="8209">
        <f xml:space="preserve"> VfM_Metrics_2023_Consol_Source[[#This Row],[Operating surplus/(deficit) (social housing lettings)]]</f>
        <v>43029</v>
      </c>
      <c r="BT20" s="84" vm="8209">
        <v>43029</v>
      </c>
      <c r="BU20" s="5" vm="1491">
        <f xml:space="preserve"> VfM_Metrics_2023_Consol_Source[[#This Row],[Turnover from social housing lettings]]</f>
        <v>210762</v>
      </c>
      <c r="BV20" s="84" vm="1491">
        <v>210762</v>
      </c>
      <c r="BW20" s="7">
        <f xml:space="preserve"> IFERROR( VfM_Metrics_2023_Consol_Source[[#This Row],[Net operating surplus]] / VfM_Metrics_2023_Consol_Source[[#This Row],[Overall turnover]], "n/a" )</f>
        <v>0.16592352564251542</v>
      </c>
      <c r="BX2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49976</v>
      </c>
      <c r="BY20" s="84" vm="1757">
        <v>70285</v>
      </c>
      <c r="BZ20" s="83" vm="1758">
        <v>20303</v>
      </c>
      <c r="CA20" s="83" vm="1759">
        <v>6</v>
      </c>
      <c r="CB20" s="5" vm="1771">
        <f xml:space="preserve"> VfM_Metrics_2023_Consol_Source[[#This Row],[Turnover (overall)]]</f>
        <v>301199</v>
      </c>
      <c r="CC20" s="84" vm="1771">
        <v>301199</v>
      </c>
      <c r="CD20" s="7">
        <f xml:space="preserve"> IFERROR( VfM_Metrics_2023_Consol_Source[[#This Row],[Operating surplus including from JVs]] / VfM_Metrics_2023_Consol_Source[[#This Row],[Net assets]], "n/a" )</f>
        <v>2.962820124859385E-2</v>
      </c>
      <c r="CE20" s="5">
        <f xml:space="preserve"> SUM( VfM_Metrics_2023_Consol_Source[[#This Row],[Operating surplus/(deficit) (overall)3]], VfM_Metrics_2023_Consol_Source[[#This Row],[Share of operating surplus/(deficit) in joint ventures or associates]] )</f>
        <v>72061</v>
      </c>
      <c r="CF20" s="84" vm="1757">
        <v>70285</v>
      </c>
      <c r="CG20" s="83" vm="8264">
        <v>1776</v>
      </c>
      <c r="CH20" s="5" vm="8197">
        <f xml:space="preserve"> VfM_Metrics_2023_Consol_Source[[#This Row],[Total assets less current liabilities]]</f>
        <v>2432176</v>
      </c>
      <c r="CI20" s="84" vm="8197">
        <v>2432176</v>
      </c>
      <c r="CJ20" s="71" vm="1464">
        <f xml:space="preserve"> VfM_Metrics_2023_Consol_Source[[#This Row],[Total social housing units owned (Period end)]]</f>
        <v>34384</v>
      </c>
      <c r="CK20" s="103">
        <v>4.2089084621523366E-2</v>
      </c>
      <c r="CL20" s="6">
        <f xml:space="preserve"> -- ( VfM_Metrics_2023_Consol_Source[[#This Row],[% Supported housing (excl. HOP)]] &gt; 0.3 )</f>
        <v>0</v>
      </c>
      <c r="CM20" s="103">
        <v>0.12088789052108888</v>
      </c>
      <c r="CN20" s="6">
        <f xml:space="preserve"> -- ( VfM_Metrics_2023_Consol_Source[[#This Row],[% Housing for older people]] &gt; 0.3 )</f>
        <v>0</v>
      </c>
      <c r="CO20" s="103">
        <f xml:space="preserve"> VfM_Metrics_2023_Consol_Source[[#This Row],[% Supported housing (excl. HOP)]] + VfM_Metrics_2023_Consol_Source[[#This Row],[% Housing for older people]]</f>
        <v>0.16297697514261225</v>
      </c>
      <c r="CP20" s="6">
        <f xml:space="preserve"> -- ( VfM_Metrics_2023_Consol_Source[[#This Row],[SH specialist in RSH analysis]] + VfM_Metrics_2023_Consol_Source[[#This Row],[OP specialist in RSH analysis]] &gt; 0 )</f>
        <v>0</v>
      </c>
      <c r="CQ20" s="10">
        <f xml:space="preserve"> -- ( VfM_Metrics_2023_Consol_Source[[#This Row],[% SH and OP]] &gt; 0.3 )</f>
        <v>0</v>
      </c>
      <c r="CR20" s="104" t="s">
        <v>143</v>
      </c>
      <c r="CS20" s="124"/>
      <c r="CT20" s="105" t="s">
        <v>151</v>
      </c>
      <c r="CU2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20" s="85">
        <v>4.81462940604847E-2</v>
      </c>
      <c r="CW20" s="85">
        <v>0.25869430784180925</v>
      </c>
      <c r="CX20" s="85">
        <v>0.6931593980977061</v>
      </c>
      <c r="CY20" s="85">
        <v>0</v>
      </c>
      <c r="CZ20" s="85">
        <v>0</v>
      </c>
      <c r="DA20" s="85">
        <v>0</v>
      </c>
      <c r="DB20" s="85">
        <v>0</v>
      </c>
      <c r="DC20" s="85">
        <v>0</v>
      </c>
      <c r="DD20" s="85">
        <v>0</v>
      </c>
      <c r="DE20" s="13">
        <v>0.9991959900537839</v>
      </c>
    </row>
    <row r="21" spans="1:109" x14ac:dyDescent="0.25">
      <c r="A21" s="4" t="s" vm="326">
        <v>164</v>
      </c>
      <c r="B21" s="2" t="s" vm="11">
        <v>165</v>
      </c>
      <c r="C21" s="72" vm="419">
        <v>45016</v>
      </c>
      <c r="D21" s="7">
        <f>IFERROR( VfM_Metrics_2023_Consol_Source[[#This Row],[Reinvestment Spend]] / VfM_Metrics_2023_Consol_Source[[#This Row],[Net Book Value of Housing Properties]], "n/a" )</f>
        <v>8.1123874768960977E-2</v>
      </c>
      <c r="E2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25720</v>
      </c>
      <c r="F21" s="83" vm="7388">
        <v>19232</v>
      </c>
      <c r="G21" s="83" vm="4250">
        <v>0</v>
      </c>
      <c r="H21" s="83" vm="7290">
        <v>4577</v>
      </c>
      <c r="I21" s="83" vm="4251">
        <v>1911</v>
      </c>
      <c r="J21" s="83" vm="4252">
        <v>0</v>
      </c>
      <c r="K21" s="5">
        <f xml:space="preserve"> SUM( VfM_Metrics_2023_Consol_Source[[#This Row],[Tangible fixed assets: Housing properties at cost (Current period)]],VfM_Metrics_2023_Consol_Source[[#This Row],[Tangible fixed assets Housing properties at valuation (Current period)]] )</f>
        <v>317046</v>
      </c>
      <c r="L21" s="84" vm="4253">
        <v>317046</v>
      </c>
      <c r="M21" s="83" vm="4254">
        <v>0</v>
      </c>
      <c r="N21" s="7">
        <f xml:space="preserve"> IFERROR( VfM_Metrics_2023_Consol_Source[[#This Row],[Total social units developed or newly built units acquired in-year]] / VfM_Metrics_2023_Consol_Source[[#This Row],[Social housing units owned (period end)]], "n/a" )</f>
        <v>4.9246039320481008E-2</v>
      </c>
      <c r="O21" s="5">
        <f xml:space="preserve"> SUM( VfM_Metrics_2023_Consol_Source[[#This Row],[Total social units developed or newly built units acquired in-year (owned)]], VfM_Metrics_2023_Consol_Source[[#This Row],[Total social leasehold units developed or newly built units acquired in-year (owned)]] )</f>
        <v>258</v>
      </c>
      <c r="P21" s="84" vm="7628">
        <v>258</v>
      </c>
      <c r="Q21" s="83" vm="4255">
        <v>0</v>
      </c>
      <c r="R21" s="5">
        <f xml:space="preserve"> SUM( VfM_Metrics_2023_Consol_Source[[#This Row],[Total social housing units owned (Period end)]], VfM_Metrics_2023_Consol_Source[[#This Row],[Total social leasehold units owned (Period end)]] )</f>
        <v>5239</v>
      </c>
      <c r="S21" s="84" vm="4248">
        <v>4540</v>
      </c>
      <c r="T21" s="83" vm="4256">
        <v>699</v>
      </c>
      <c r="U21" s="86">
        <f xml:space="preserve"> IFERROR( VfM_Metrics_2023_Consol_Source[[#This Row],[Total non-social housing units developed or newly built units acquired (owned)]] / VfM_Metrics_2023_Consol_Source[[#This Row],[Total social and non-social housing units owned (Period end)]], "n/a" )</f>
        <v>0</v>
      </c>
      <c r="V2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1" s="83" vm="4257">
        <v>0</v>
      </c>
      <c r="X21" s="83" vm="4258">
        <v>0</v>
      </c>
      <c r="Y21" s="83" vm="4259">
        <v>0</v>
      </c>
      <c r="Z2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5349</v>
      </c>
      <c r="AA21" s="84" vm="4248">
        <v>4540</v>
      </c>
      <c r="AB21" s="83" vm="4256">
        <v>699</v>
      </c>
      <c r="AC21" s="83" vm="6985">
        <v>6</v>
      </c>
      <c r="AD21" s="83" vm="4260">
        <v>104</v>
      </c>
      <c r="AE21" s="7">
        <f xml:space="preserve"> IFERROR( VfM_Metrics_2023_Consol_Source[[#This Row],[Total Net Debt]] / VfM_Metrics_2023_Consol_Source[[#This Row],[Net Book Value of Housing Properties2]], "n/a" )</f>
        <v>0.63280407259514393</v>
      </c>
      <c r="AF2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200628</v>
      </c>
      <c r="AG21" s="84" vm="4261">
        <v>0</v>
      </c>
      <c r="AH21" s="83" vm="4947">
        <v>207673</v>
      </c>
      <c r="AI21" s="83" vm="4262">
        <v>7045</v>
      </c>
      <c r="AJ21" s="83" vm="4365">
        <v>0</v>
      </c>
      <c r="AK21" s="83" vm="4263">
        <v>0</v>
      </c>
      <c r="AL21" s="5">
        <f xml:space="preserve"> SUM( VfM_Metrics_2023_Consol_Source[[#This Row],[Tangible fixed assets: Housing properties at cost (Current period)2]], VfM_Metrics_2023_Consol_Source[[#This Row],[Tangible fixed assets Housing properties at valuation (Current period)2]] )</f>
        <v>317046</v>
      </c>
      <c r="AM21" s="84" vm="4253">
        <v>317046</v>
      </c>
      <c r="AN21" s="83" vm="4254">
        <v>0</v>
      </c>
      <c r="AO21" s="87">
        <f xml:space="preserve"> IFERROR( VfM_Metrics_2023_Consol_Source[[#This Row],[EBITDA MRI]] / VfM_Metrics_2023_Consol_Source[[#This Row],[Total interest]], "n/a" )</f>
        <v>1.6856588677415445</v>
      </c>
      <c r="AP2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13905</v>
      </c>
      <c r="AQ21" s="84" vm="4264">
        <v>15243</v>
      </c>
      <c r="AR21" s="84" vm="4265">
        <v>669</v>
      </c>
      <c r="AS21" s="84" vm="7402">
        <v>0</v>
      </c>
      <c r="AT21" s="84" vm="7289">
        <v>234</v>
      </c>
      <c r="AU21" s="84" vm="4266">
        <v>0</v>
      </c>
      <c r="AV21" s="84" vm="6984">
        <v>29</v>
      </c>
      <c r="AW21" s="84" vm="3089">
        <v>4577</v>
      </c>
      <c r="AX21" s="84" vm="4267">
        <v>4113</v>
      </c>
      <c r="AY21" s="3">
        <f xml:space="preserve"> - SUM( VfM_Metrics_2023_Consol_Source[[#This Row],[Interest capitalised]], VfM_Metrics_2023_Consol_Source[[#This Row],[Interest payable and financing costs]] )</f>
        <v>8249</v>
      </c>
      <c r="AZ21" s="84" vm="4268">
        <v>-1911</v>
      </c>
      <c r="BA21" s="83" vm="4269">
        <v>-6338</v>
      </c>
      <c r="BB21" s="8">
        <f xml:space="preserve"> IFERROR( ( VfM_Metrics_2023_Consol_Source[[#This Row],[Total Costs]] / VfM_Metrics_2023_Consol_Source[[#This Row],[Total units for costs]] ) * 1000, "n/a" )</f>
        <v>4487.6651982378853</v>
      </c>
      <c r="BC2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20374</v>
      </c>
      <c r="BD21" s="84" vm="4270">
        <v>3809</v>
      </c>
      <c r="BE21" s="83" vm="7679">
        <v>2026</v>
      </c>
      <c r="BF21" s="83" vm="4271">
        <v>6164</v>
      </c>
      <c r="BG21" s="83" vm="7055">
        <v>3064</v>
      </c>
      <c r="BH21" s="83" vm="4272">
        <v>0</v>
      </c>
      <c r="BI21" s="83" vm="4273">
        <v>0</v>
      </c>
      <c r="BJ21" s="83" vm="3090">
        <v>4577</v>
      </c>
      <c r="BK21" s="83" vm="4274">
        <v>115</v>
      </c>
      <c r="BL21" s="83" vm="4275">
        <v>0</v>
      </c>
      <c r="BM21" s="83" vm="4276">
        <v>0</v>
      </c>
      <c r="BN21" s="83" vm="4277">
        <v>521</v>
      </c>
      <c r="BO21" s="83" vm="4278">
        <v>98</v>
      </c>
      <c r="BP21" s="5" vm="4249">
        <f xml:space="preserve"> VfM_Metrics_2023_Consol_Source[[#This Row],[Total social housing units owned and/or managed at period end]]</f>
        <v>4540</v>
      </c>
      <c r="BQ21" s="84" vm="4249">
        <v>4540</v>
      </c>
      <c r="BR21" s="7">
        <f xml:space="preserve"> IFERROR( VfM_Metrics_2023_Consol_Source[[#This Row],[SHL operating surplus / (deficit)]] / VfM_Metrics_2023_Consol_Source[[#This Row],[Turnover from social housing lettings]], "n/a" )</f>
        <v>0.40549119187430566</v>
      </c>
      <c r="BS21" s="5" vm="4279">
        <f xml:space="preserve"> VfM_Metrics_2023_Consol_Source[[#This Row],[Operating surplus/(deficit) (social housing lettings)]]</f>
        <v>12775</v>
      </c>
      <c r="BT21" s="84" vm="4279">
        <v>12775</v>
      </c>
      <c r="BU21" s="5" vm="7607">
        <f xml:space="preserve"> VfM_Metrics_2023_Consol_Source[[#This Row],[Turnover from social housing lettings]]</f>
        <v>31505</v>
      </c>
      <c r="BV21" s="84" vm="7607">
        <v>31505</v>
      </c>
      <c r="BW21" s="7">
        <f xml:space="preserve"> IFERROR( VfM_Metrics_2023_Consol_Source[[#This Row],[Net operating surplus]] / VfM_Metrics_2023_Consol_Source[[#This Row],[Overall turnover]], "n/a" )</f>
        <v>0.34316795780451625</v>
      </c>
      <c r="BX2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14574</v>
      </c>
      <c r="BY21" s="84" vm="4264">
        <v>15243</v>
      </c>
      <c r="BZ21" s="83" vm="4265">
        <v>669</v>
      </c>
      <c r="CA21" s="83" vm="7065">
        <v>0</v>
      </c>
      <c r="CB21" s="5" vm="4280">
        <f xml:space="preserve"> VfM_Metrics_2023_Consol_Source[[#This Row],[Turnover (overall)]]</f>
        <v>42469</v>
      </c>
      <c r="CC21" s="84" vm="4280">
        <v>42469</v>
      </c>
      <c r="CD21" s="7">
        <f xml:space="preserve"> IFERROR( VfM_Metrics_2023_Consol_Source[[#This Row],[Operating surplus including from JVs]] / VfM_Metrics_2023_Consol_Source[[#This Row],[Net assets]], "n/a" )</f>
        <v>4.5431453230143047E-2</v>
      </c>
      <c r="CE21" s="5">
        <f xml:space="preserve"> SUM( VfM_Metrics_2023_Consol_Source[[#This Row],[Operating surplus/(deficit) (overall)3]], VfM_Metrics_2023_Consol_Source[[#This Row],[Share of operating surplus/(deficit) in joint ventures or associates]] )</f>
        <v>15292</v>
      </c>
      <c r="CF21" s="84" vm="4264">
        <v>15243</v>
      </c>
      <c r="CG21" s="83" vm="7688">
        <v>49</v>
      </c>
      <c r="CH21" s="5" vm="4281">
        <f xml:space="preserve"> VfM_Metrics_2023_Consol_Source[[#This Row],[Total assets less current liabilities]]</f>
        <v>336595</v>
      </c>
      <c r="CI21" s="84" vm="4281">
        <v>336595</v>
      </c>
      <c r="CJ21" s="71" vm="4248">
        <f xml:space="preserve"> VfM_Metrics_2023_Consol_Source[[#This Row],[Total social housing units owned (Period end)]]</f>
        <v>4540</v>
      </c>
      <c r="CK21" s="103">
        <v>0</v>
      </c>
      <c r="CL21" s="6">
        <f xml:space="preserve"> -- ( VfM_Metrics_2023_Consol_Source[[#This Row],[% Supported housing (excl. HOP)]] &gt; 0.3 )</f>
        <v>0</v>
      </c>
      <c r="CM21" s="103">
        <v>6.4061790095411172E-2</v>
      </c>
      <c r="CN21" s="6">
        <f xml:space="preserve"> -- ( VfM_Metrics_2023_Consol_Source[[#This Row],[% Housing for older people]] &gt; 0.3 )</f>
        <v>0</v>
      </c>
      <c r="CO21" s="103">
        <f xml:space="preserve"> VfM_Metrics_2023_Consol_Source[[#This Row],[% Supported housing (excl. HOP)]] + VfM_Metrics_2023_Consol_Source[[#This Row],[% Housing for older people]]</f>
        <v>6.4061790095411172E-2</v>
      </c>
      <c r="CP21" s="6">
        <f xml:space="preserve"> -- ( VfM_Metrics_2023_Consol_Source[[#This Row],[SH specialist in RSH analysis]] + VfM_Metrics_2023_Consol_Source[[#This Row],[OP specialist in RSH analysis]] &gt; 0 )</f>
        <v>0</v>
      </c>
      <c r="CQ21" s="10">
        <f xml:space="preserve"> -- ( VfM_Metrics_2023_Consol_Source[[#This Row],[% SH and OP]] &gt; 0.3 )</f>
        <v>0</v>
      </c>
      <c r="CR21" s="104" t="s">
        <v>143</v>
      </c>
      <c r="CS21" s="124"/>
      <c r="CT21" s="105" t="s">
        <v>151</v>
      </c>
      <c r="CU2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21" s="85">
        <v>0</v>
      </c>
      <c r="CW21" s="85">
        <v>0</v>
      </c>
      <c r="CX21" s="85">
        <v>0</v>
      </c>
      <c r="CY21" s="85">
        <v>0</v>
      </c>
      <c r="CZ21" s="85">
        <v>0</v>
      </c>
      <c r="DA21" s="85">
        <v>1</v>
      </c>
      <c r="DB21" s="85">
        <v>0</v>
      </c>
      <c r="DC21" s="85">
        <v>0</v>
      </c>
      <c r="DD21" s="85">
        <v>0</v>
      </c>
      <c r="DE21" s="13">
        <v>1.0113701298544711</v>
      </c>
    </row>
    <row r="22" spans="1:109" x14ac:dyDescent="0.25">
      <c r="A22" s="4" t="s" vm="284">
        <v>166</v>
      </c>
      <c r="B22" s="2" t="s" vm="12">
        <v>167</v>
      </c>
      <c r="C22" s="72" vm="403">
        <v>45016</v>
      </c>
      <c r="D22" s="7">
        <f>IFERROR( VfM_Metrics_2023_Consol_Source[[#This Row],[Reinvestment Spend]] / VfM_Metrics_2023_Consol_Source[[#This Row],[Net Book Value of Housing Properties]], "n/a" )</f>
        <v>0.1613248974676641</v>
      </c>
      <c r="E2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51175</v>
      </c>
      <c r="F22" s="83" vm="2790">
        <v>20274</v>
      </c>
      <c r="G22" s="83" vm="7829">
        <v>5158</v>
      </c>
      <c r="H22" s="83" vm="2791">
        <v>25743</v>
      </c>
      <c r="I22" s="83" vm="7087">
        <v>0</v>
      </c>
      <c r="J22" s="83" vm="2792">
        <v>0</v>
      </c>
      <c r="K22" s="5">
        <f xml:space="preserve"> SUM( VfM_Metrics_2023_Consol_Source[[#This Row],[Tangible fixed assets: Housing properties at cost (Current period)]],VfM_Metrics_2023_Consol_Source[[#This Row],[Tangible fixed assets Housing properties at valuation (Current period)]] )</f>
        <v>317217</v>
      </c>
      <c r="L22" s="84" vm="2793">
        <v>317217</v>
      </c>
      <c r="M22" s="83" vm="2794">
        <v>0</v>
      </c>
      <c r="N22" s="7">
        <f xml:space="preserve"> IFERROR( VfM_Metrics_2023_Consol_Source[[#This Row],[Total social units developed or newly built units acquired in-year]] / VfM_Metrics_2023_Consol_Source[[#This Row],[Social housing units owned (period end)]], "n/a" )</f>
        <v>5.4776511831726559E-3</v>
      </c>
      <c r="O22" s="5">
        <f xml:space="preserve"> SUM( VfM_Metrics_2023_Consol_Source[[#This Row],[Total social units developed or newly built units acquired in-year (owned)]], VfM_Metrics_2023_Consol_Source[[#This Row],[Total social leasehold units developed or newly built units acquired in-year (owned)]] )</f>
        <v>100</v>
      </c>
      <c r="P22" s="84" vm="2795">
        <v>100</v>
      </c>
      <c r="Q22" s="83" vm="2796">
        <v>0</v>
      </c>
      <c r="R22" s="5">
        <f xml:space="preserve"> SUM( VfM_Metrics_2023_Consol_Source[[#This Row],[Total social housing units owned (Period end)]], VfM_Metrics_2023_Consol_Source[[#This Row],[Total social leasehold units owned (Period end)]] )</f>
        <v>18256</v>
      </c>
      <c r="S22" s="84" vm="7608">
        <v>18044</v>
      </c>
      <c r="T22" s="83" vm="2797">
        <v>212</v>
      </c>
      <c r="U22" s="86">
        <f xml:space="preserve"> IFERROR( VfM_Metrics_2023_Consol_Source[[#This Row],[Total non-social housing units developed or newly built units acquired (owned)]] / VfM_Metrics_2023_Consol_Source[[#This Row],[Total social and non-social housing units owned (Period end)]], "n/a" )</f>
        <v>0</v>
      </c>
      <c r="V2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2" s="83" vm="2798">
        <v>0</v>
      </c>
      <c r="X22" s="83" vm="2799">
        <v>0</v>
      </c>
      <c r="Y22" s="83" vm="2800">
        <v>0</v>
      </c>
      <c r="Z2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18256</v>
      </c>
      <c r="AA22" s="84" vm="2788">
        <v>18044</v>
      </c>
      <c r="AB22" s="83" vm="2797">
        <v>212</v>
      </c>
      <c r="AC22" s="83" vm="2801">
        <v>0</v>
      </c>
      <c r="AD22" s="83" vm="2812">
        <v>0</v>
      </c>
      <c r="AE22" s="7">
        <f xml:space="preserve"> IFERROR( VfM_Metrics_2023_Consol_Source[[#This Row],[Total Net Debt]] / VfM_Metrics_2023_Consol_Source[[#This Row],[Net Book Value of Housing Properties2]], "n/a" )</f>
        <v>0.48707036508131657</v>
      </c>
      <c r="AF2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154507</v>
      </c>
      <c r="AG22" s="84" vm="7782">
        <v>0</v>
      </c>
      <c r="AH22" s="83" vm="2802">
        <v>159065</v>
      </c>
      <c r="AI22" s="83" vm="2803">
        <v>4558</v>
      </c>
      <c r="AJ22" s="83" vm="2804">
        <v>0</v>
      </c>
      <c r="AK22" s="83" vm="7482">
        <v>0</v>
      </c>
      <c r="AL22" s="5">
        <f xml:space="preserve"> SUM( VfM_Metrics_2023_Consol_Source[[#This Row],[Tangible fixed assets: Housing properties at cost (Current period)2]], VfM_Metrics_2023_Consol_Source[[#This Row],[Tangible fixed assets Housing properties at valuation (Current period)2]] )</f>
        <v>317217</v>
      </c>
      <c r="AM22" s="84" vm="2793">
        <v>317217</v>
      </c>
      <c r="AN22" s="83" vm="2794">
        <v>0</v>
      </c>
      <c r="AO22" s="87">
        <f xml:space="preserve"> IFERROR( VfM_Metrics_2023_Consol_Source[[#This Row],[EBITDA MRI]] / VfM_Metrics_2023_Consol_Source[[#This Row],[Total interest]], "n/a" )</f>
        <v>-0.79515978071934745</v>
      </c>
      <c r="AP2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-5947</v>
      </c>
      <c r="AQ22" s="84" vm="2805">
        <v>13437</v>
      </c>
      <c r="AR22" s="84" vm="7727">
        <v>3248</v>
      </c>
      <c r="AS22" s="84" vm="2807">
        <v>87</v>
      </c>
      <c r="AT22" s="84" vm="2808">
        <v>405</v>
      </c>
      <c r="AU22" s="84" vm="2809">
        <v>0</v>
      </c>
      <c r="AV22" s="84" vm="2810">
        <v>625</v>
      </c>
      <c r="AW22" s="84" vm="7941">
        <v>25743</v>
      </c>
      <c r="AX22" s="84" vm="2812">
        <v>9474</v>
      </c>
      <c r="AY22" s="3">
        <f xml:space="preserve"> - SUM( VfM_Metrics_2023_Consol_Source[[#This Row],[Interest capitalised]], VfM_Metrics_2023_Consol_Source[[#This Row],[Interest payable and financing costs]] )</f>
        <v>7479</v>
      </c>
      <c r="AZ22" s="84" vm="7779">
        <v>0</v>
      </c>
      <c r="BA22" s="83" vm="2813">
        <v>-7479</v>
      </c>
      <c r="BB22" s="8">
        <f xml:space="preserve"> IFERROR( ( VfM_Metrics_2023_Consol_Source[[#This Row],[Total Costs]] / VfM_Metrics_2023_Consol_Source[[#This Row],[Total units for costs]] ) * 1000, "n/a" )</f>
        <v>4370.9820438927072</v>
      </c>
      <c r="BC2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78870</v>
      </c>
      <c r="BD22" s="84" vm="2814">
        <v>24646</v>
      </c>
      <c r="BE22" s="83" vm="2815">
        <v>995</v>
      </c>
      <c r="BF22" s="83" vm="2816">
        <v>18574</v>
      </c>
      <c r="BG22" s="83" vm="7929">
        <v>4220</v>
      </c>
      <c r="BH22" s="83" vm="2817">
        <v>3441</v>
      </c>
      <c r="BI22" s="83" vm="2818">
        <v>0</v>
      </c>
      <c r="BJ22" s="83" vm="2811">
        <v>25743</v>
      </c>
      <c r="BK22" s="83" vm="2819">
        <v>0</v>
      </c>
      <c r="BL22" s="83" vm="2820">
        <v>289</v>
      </c>
      <c r="BM22" s="83" vm="2821">
        <v>962</v>
      </c>
      <c r="BN22" s="83" vm="2822">
        <v>0</v>
      </c>
      <c r="BO22" s="83" vm="2823">
        <v>0</v>
      </c>
      <c r="BP22" s="5" vm="2789">
        <f xml:space="preserve"> VfM_Metrics_2023_Consol_Source[[#This Row],[Total social housing units owned and/or managed at period end]]</f>
        <v>18044</v>
      </c>
      <c r="BQ22" s="84" vm="2789">
        <v>18044</v>
      </c>
      <c r="BR22" s="7">
        <f xml:space="preserve"> IFERROR( VfM_Metrics_2023_Consol_Source[[#This Row],[SHL operating surplus / (deficit)]] / VfM_Metrics_2023_Consol_Source[[#This Row],[Turnover from social housing lettings]], "n/a" )</f>
        <v>0.14326878257553285</v>
      </c>
      <c r="BS22" s="5" vm="2824">
        <f xml:space="preserve"> VfM_Metrics_2023_Consol_Source[[#This Row],[Operating surplus/(deficit) (social housing lettings)]]</f>
        <v>10143</v>
      </c>
      <c r="BT22" s="84" vm="2824">
        <v>10143</v>
      </c>
      <c r="BU22" s="5" vm="2825">
        <f xml:space="preserve"> VfM_Metrics_2023_Consol_Source[[#This Row],[Turnover from social housing lettings]]</f>
        <v>70797</v>
      </c>
      <c r="BV22" s="84" vm="2825">
        <v>70797</v>
      </c>
      <c r="BW22" s="7">
        <f xml:space="preserve"> IFERROR( VfM_Metrics_2023_Consol_Source[[#This Row],[Net operating surplus]] / VfM_Metrics_2023_Consol_Source[[#This Row],[Overall turnover]], "n/a" )</f>
        <v>0.13661505172763541</v>
      </c>
      <c r="BX2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10102</v>
      </c>
      <c r="BY22" s="84" vm="2805">
        <v>13437</v>
      </c>
      <c r="BZ22" s="83" vm="2806">
        <v>3248</v>
      </c>
      <c r="CA22" s="83" vm="2807">
        <v>87</v>
      </c>
      <c r="CB22" s="5" vm="2826">
        <f xml:space="preserve"> VfM_Metrics_2023_Consol_Source[[#This Row],[Turnover (overall)]]</f>
        <v>73945</v>
      </c>
      <c r="CC22" s="84" vm="2826">
        <v>73945</v>
      </c>
      <c r="CD22" s="7">
        <f xml:space="preserve"> IFERROR( VfM_Metrics_2023_Consol_Source[[#This Row],[Operating surplus including from JVs]] / VfM_Metrics_2023_Consol_Source[[#This Row],[Net assets]], "n/a" )</f>
        <v>4.1729165696184845E-2</v>
      </c>
      <c r="CE22" s="5">
        <f xml:space="preserve"> SUM( VfM_Metrics_2023_Consol_Source[[#This Row],[Operating surplus/(deficit) (overall)3]], VfM_Metrics_2023_Consol_Source[[#This Row],[Share of operating surplus/(deficit) in joint ventures or associates]] )</f>
        <v>13437</v>
      </c>
      <c r="CF22" s="84" vm="2767">
        <v>13437</v>
      </c>
      <c r="CG22" s="83" vm="7831">
        <v>0</v>
      </c>
      <c r="CH22" s="5" vm="7691">
        <f xml:space="preserve"> VfM_Metrics_2023_Consol_Source[[#This Row],[Total assets less current liabilities]]</f>
        <v>322005</v>
      </c>
      <c r="CI22" s="84" vm="7691">
        <v>322005</v>
      </c>
      <c r="CJ22" s="71" vm="7608">
        <f xml:space="preserve"> VfM_Metrics_2023_Consol_Source[[#This Row],[Total social housing units owned (Period end)]]</f>
        <v>18044</v>
      </c>
      <c r="CK22" s="103">
        <v>0</v>
      </c>
      <c r="CL22" s="6">
        <f xml:space="preserve"> -- ( VfM_Metrics_2023_Consol_Source[[#This Row],[% Supported housing (excl. HOP)]] &gt; 0.3 )</f>
        <v>0</v>
      </c>
      <c r="CM22" s="103">
        <v>0</v>
      </c>
      <c r="CN22" s="6">
        <f xml:space="preserve"> -- ( VfM_Metrics_2023_Consol_Source[[#This Row],[% Housing for older people]] &gt; 0.3 )</f>
        <v>0</v>
      </c>
      <c r="CO22" s="103">
        <f xml:space="preserve"> VfM_Metrics_2023_Consol_Source[[#This Row],[% Supported housing (excl. HOP)]] + VfM_Metrics_2023_Consol_Source[[#This Row],[% Housing for older people]]</f>
        <v>0</v>
      </c>
      <c r="CP22" s="6">
        <f xml:space="preserve"> -- ( VfM_Metrics_2023_Consol_Source[[#This Row],[SH specialist in RSH analysis]] + VfM_Metrics_2023_Consol_Source[[#This Row],[OP specialist in RSH analysis]] &gt; 0 )</f>
        <v>0</v>
      </c>
      <c r="CQ22" s="10">
        <f xml:space="preserve"> -- ( VfM_Metrics_2023_Consol_Source[[#This Row],[% SH and OP]] &gt; 0.3 )</f>
        <v>0</v>
      </c>
      <c r="CR22" s="104" t="s">
        <v>168</v>
      </c>
      <c r="CS22" s="124">
        <v>42107</v>
      </c>
      <c r="CT22" s="105" t="s">
        <v>169</v>
      </c>
      <c r="CU2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22" s="85">
        <v>0</v>
      </c>
      <c r="CW22" s="85">
        <v>0</v>
      </c>
      <c r="CX22" s="85">
        <v>0</v>
      </c>
      <c r="CY22" s="85">
        <v>0</v>
      </c>
      <c r="CZ22" s="85">
        <v>0</v>
      </c>
      <c r="DA22" s="85">
        <v>0</v>
      </c>
      <c r="DB22" s="85">
        <v>1</v>
      </c>
      <c r="DC22" s="85">
        <v>0</v>
      </c>
      <c r="DD22" s="85">
        <v>0</v>
      </c>
      <c r="DE22" s="13">
        <v>0.90654753410084521</v>
      </c>
    </row>
    <row r="23" spans="1:109" x14ac:dyDescent="0.25">
      <c r="A23" s="4" t="s" vm="291">
        <v>170</v>
      </c>
      <c r="B23" s="2" t="s" vm="13">
        <v>171</v>
      </c>
      <c r="C23" s="72" vm="402">
        <v>45016</v>
      </c>
      <c r="D23" s="7">
        <f>IFERROR( VfM_Metrics_2023_Consol_Source[[#This Row],[Reinvestment Spend]] / VfM_Metrics_2023_Consol_Source[[#This Row],[Net Book Value of Housing Properties]], "n/a" )</f>
        <v>5.449823199924899E-2</v>
      </c>
      <c r="E2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26124</v>
      </c>
      <c r="F23" s="83" vm="3041">
        <v>9479</v>
      </c>
      <c r="G23" s="83" vm="7826">
        <v>1644</v>
      </c>
      <c r="H23" s="83" vm="3042">
        <v>14582</v>
      </c>
      <c r="I23" s="83" vm="3043">
        <v>419</v>
      </c>
      <c r="J23" s="83" vm="3044">
        <v>0</v>
      </c>
      <c r="K23" s="5">
        <f xml:space="preserve"> SUM( VfM_Metrics_2023_Consol_Source[[#This Row],[Tangible fixed assets: Housing properties at cost (Current period)]],VfM_Metrics_2023_Consol_Source[[#This Row],[Tangible fixed assets Housing properties at valuation (Current period)]] )</f>
        <v>479355</v>
      </c>
      <c r="L23" s="84" vm="3045">
        <v>479355</v>
      </c>
      <c r="M23" s="83">
        <v>0</v>
      </c>
      <c r="N23" s="7">
        <f xml:space="preserve"> IFERROR( VfM_Metrics_2023_Consol_Source[[#This Row],[Total social units developed or newly built units acquired in-year]] / VfM_Metrics_2023_Consol_Source[[#This Row],[Social housing units owned (period end)]], "n/a" )</f>
        <v>8.0143705955506434E-3</v>
      </c>
      <c r="O23" s="5">
        <f xml:space="preserve"> SUM( VfM_Metrics_2023_Consol_Source[[#This Row],[Total social units developed or newly built units acquired in-year (owned)]], VfM_Metrics_2023_Consol_Source[[#This Row],[Total social leasehold units developed or newly built units acquired in-year (owned)]] )</f>
        <v>116</v>
      </c>
      <c r="P23" s="84" vm="7469">
        <v>116</v>
      </c>
      <c r="Q23" s="83">
        <v>0</v>
      </c>
      <c r="R23" s="5">
        <f xml:space="preserve"> SUM( VfM_Metrics_2023_Consol_Source[[#This Row],[Total social housing units owned (Period end)]], VfM_Metrics_2023_Consol_Source[[#This Row],[Total social leasehold units owned (Period end)]] )</f>
        <v>14474</v>
      </c>
      <c r="S23" s="84" vm="3039">
        <v>13715</v>
      </c>
      <c r="T23" s="83" vm="7736">
        <v>759</v>
      </c>
      <c r="U23" s="86">
        <f xml:space="preserve"> IFERROR( VfM_Metrics_2023_Consol_Source[[#This Row],[Total non-social housing units developed or newly built units acquired (owned)]] / VfM_Metrics_2023_Consol_Source[[#This Row],[Total social and non-social housing units owned (Period end)]], "n/a" )</f>
        <v>0</v>
      </c>
      <c r="V2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3" s="83">
        <v>0</v>
      </c>
      <c r="X23" s="83">
        <v>0</v>
      </c>
      <c r="Y23" s="83">
        <v>0</v>
      </c>
      <c r="Z2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14486</v>
      </c>
      <c r="AA23" s="84" vm="3039">
        <v>13715</v>
      </c>
      <c r="AB23" s="83" vm="3046">
        <v>759</v>
      </c>
      <c r="AC23" s="83" vm="3047">
        <v>12</v>
      </c>
      <c r="AD23" s="83" vm="7844">
        <v>0</v>
      </c>
      <c r="AE23" s="7">
        <f xml:space="preserve"> IFERROR( VfM_Metrics_2023_Consol_Source[[#This Row],[Total Net Debt]] / VfM_Metrics_2023_Consol_Source[[#This Row],[Net Book Value of Housing Properties2]], "n/a" )</f>
        <v>0.23945092885231195</v>
      </c>
      <c r="AF2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114782</v>
      </c>
      <c r="AG23" s="84" vm="3048">
        <v>2206</v>
      </c>
      <c r="AH23" s="83" vm="3049">
        <v>152011</v>
      </c>
      <c r="AI23" s="83" vm="3050">
        <v>39435</v>
      </c>
      <c r="AJ23" s="83" vm="1675">
        <v>0</v>
      </c>
      <c r="AK23" s="83">
        <v>0</v>
      </c>
      <c r="AL23" s="5">
        <f xml:space="preserve"> SUM( VfM_Metrics_2023_Consol_Source[[#This Row],[Tangible fixed assets: Housing properties at cost (Current period)2]], VfM_Metrics_2023_Consol_Source[[#This Row],[Tangible fixed assets Housing properties at valuation (Current period)2]] )</f>
        <v>479355</v>
      </c>
      <c r="AM23" s="84" vm="7725">
        <v>479355</v>
      </c>
      <c r="AN23" s="83">
        <v>0</v>
      </c>
      <c r="AO23" s="87">
        <f xml:space="preserve"> IFERROR( VfM_Metrics_2023_Consol_Source[[#This Row],[EBITDA MRI]] / VfM_Metrics_2023_Consol_Source[[#This Row],[Total interest]], "n/a" )</f>
        <v>2.2713606381346834</v>
      </c>
      <c r="AP2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14807</v>
      </c>
      <c r="AQ23" s="84" vm="2125">
        <v>23518</v>
      </c>
      <c r="AR23" s="84" vm="7213">
        <v>2375</v>
      </c>
      <c r="AS23" s="84">
        <v>0</v>
      </c>
      <c r="AT23" s="84" vm="3052">
        <v>4330</v>
      </c>
      <c r="AU23" s="84" vm="3053">
        <v>0</v>
      </c>
      <c r="AV23" s="84" vm="3054">
        <v>539</v>
      </c>
      <c r="AW23" s="84" vm="3055">
        <v>14582</v>
      </c>
      <c r="AX23" s="84" vm="3056">
        <v>12037</v>
      </c>
      <c r="AY23" s="3">
        <f xml:space="preserve"> - SUM( VfM_Metrics_2023_Consol_Source[[#This Row],[Interest capitalised]], VfM_Metrics_2023_Consol_Source[[#This Row],[Interest payable and financing costs]] )</f>
        <v>6519</v>
      </c>
      <c r="AZ23" s="84" vm="3057">
        <v>-419</v>
      </c>
      <c r="BA23" s="83" vm="3091">
        <v>-6100</v>
      </c>
      <c r="BB23" s="8">
        <f xml:space="preserve"> IFERROR( ( VfM_Metrics_2023_Consol_Source[[#This Row],[Total Costs]] / VfM_Metrics_2023_Consol_Source[[#This Row],[Total units for costs]] ) * 1000, "n/a" )</f>
        <v>4086.3777761701508</v>
      </c>
      <c r="BC2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56486</v>
      </c>
      <c r="BD23" s="84" vm="7824">
        <v>10281</v>
      </c>
      <c r="BE23" s="83" vm="7788">
        <v>5977</v>
      </c>
      <c r="BF23" s="83" vm="3059">
        <v>12902</v>
      </c>
      <c r="BG23" s="83" vm="3060">
        <v>5697</v>
      </c>
      <c r="BH23" s="83" vm="3061">
        <v>1756</v>
      </c>
      <c r="BI23" s="83" vm="3062">
        <v>330</v>
      </c>
      <c r="BJ23" s="83" vm="3055">
        <v>14582</v>
      </c>
      <c r="BK23" s="83" vm="3063">
        <v>3038</v>
      </c>
      <c r="BL23" s="83" vm="3064">
        <v>1310</v>
      </c>
      <c r="BM23" s="83" vm="3065">
        <v>403</v>
      </c>
      <c r="BN23" s="83" vm="3066">
        <v>210</v>
      </c>
      <c r="BO23" s="83">
        <v>0</v>
      </c>
      <c r="BP23" s="5" vm="3040">
        <f xml:space="preserve"> VfM_Metrics_2023_Consol_Source[[#This Row],[Total social housing units owned and/or managed at period end]]</f>
        <v>13823</v>
      </c>
      <c r="BQ23" s="84" vm="3040">
        <v>13823</v>
      </c>
      <c r="BR23" s="7">
        <f xml:space="preserve"> IFERROR( VfM_Metrics_2023_Consol_Source[[#This Row],[SHL operating surplus / (deficit)]] / VfM_Metrics_2023_Consol_Source[[#This Row],[Turnover from social housing lettings]], "n/a" )</f>
        <v>0.28320705331312851</v>
      </c>
      <c r="BS23" s="5" vm="3067">
        <f xml:space="preserve"> VfM_Metrics_2023_Consol_Source[[#This Row],[Operating surplus/(deficit) (social housing lettings)]]</f>
        <v>20558</v>
      </c>
      <c r="BT23" s="84" vm="3067">
        <v>20558</v>
      </c>
      <c r="BU23" s="5" vm="3068">
        <f xml:space="preserve"> VfM_Metrics_2023_Consol_Source[[#This Row],[Turnover from social housing lettings]]</f>
        <v>72590</v>
      </c>
      <c r="BV23" s="84" vm="3068">
        <v>72590</v>
      </c>
      <c r="BW23" s="7">
        <f xml:space="preserve"> IFERROR( VfM_Metrics_2023_Consol_Source[[#This Row],[Net operating surplus]] / VfM_Metrics_2023_Consol_Source[[#This Row],[Overall turnover]], "n/a" )</f>
        <v>0.25053322589818938</v>
      </c>
      <c r="BX2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21143</v>
      </c>
      <c r="BY23" s="84" vm="3051">
        <v>23518</v>
      </c>
      <c r="BZ23" s="83" vm="7843">
        <v>2375</v>
      </c>
      <c r="CA23" s="83">
        <v>0</v>
      </c>
      <c r="CB23" s="5" vm="7467">
        <f xml:space="preserve"> VfM_Metrics_2023_Consol_Source[[#This Row],[Turnover (overall)]]</f>
        <v>84392</v>
      </c>
      <c r="CC23" s="84" vm="7467">
        <v>84392</v>
      </c>
      <c r="CD23" s="7">
        <f xml:space="preserve"> IFERROR( VfM_Metrics_2023_Consol_Source[[#This Row],[Operating surplus including from JVs]] / VfM_Metrics_2023_Consol_Source[[#This Row],[Net assets]], "n/a" )</f>
        <v>4.5174104124408386E-2</v>
      </c>
      <c r="CE23" s="5">
        <f xml:space="preserve"> SUM( VfM_Metrics_2023_Consol_Source[[#This Row],[Operating surplus/(deficit) (overall)3]], VfM_Metrics_2023_Consol_Source[[#This Row],[Share of operating surplus/(deficit) in joint ventures or associates]] )</f>
        <v>23518</v>
      </c>
      <c r="CF23" s="84" vm="3051">
        <v>23518</v>
      </c>
      <c r="CG23" s="83">
        <v>0</v>
      </c>
      <c r="CH23" s="5" vm="7748">
        <f xml:space="preserve"> VfM_Metrics_2023_Consol_Source[[#This Row],[Total assets less current liabilities]]</f>
        <v>520608</v>
      </c>
      <c r="CI23" s="84" vm="7748">
        <v>520608</v>
      </c>
      <c r="CJ23" s="71" vm="3039">
        <f xml:space="preserve"> VfM_Metrics_2023_Consol_Source[[#This Row],[Total social housing units owned (Period end)]]</f>
        <v>13715</v>
      </c>
      <c r="CK23" s="103">
        <v>4.2495808732414896E-2</v>
      </c>
      <c r="CL23" s="6">
        <f xml:space="preserve"> -- ( VfM_Metrics_2023_Consol_Source[[#This Row],[% Supported housing (excl. HOP)]] &gt; 0.3 )</f>
        <v>0</v>
      </c>
      <c r="CM23" s="103">
        <v>0.18667541365988774</v>
      </c>
      <c r="CN23" s="6">
        <f xml:space="preserve"> -- ( VfM_Metrics_2023_Consol_Source[[#This Row],[% Housing for older people]] &gt; 0.3 )</f>
        <v>0</v>
      </c>
      <c r="CO23" s="103">
        <f xml:space="preserve"> VfM_Metrics_2023_Consol_Source[[#This Row],[% Supported housing (excl. HOP)]] + VfM_Metrics_2023_Consol_Source[[#This Row],[% Housing for older people]]</f>
        <v>0.22917122239230264</v>
      </c>
      <c r="CP23" s="6">
        <f xml:space="preserve"> -- ( VfM_Metrics_2023_Consol_Source[[#This Row],[SH specialist in RSH analysis]] + VfM_Metrics_2023_Consol_Source[[#This Row],[OP specialist in RSH analysis]] &gt; 0 )</f>
        <v>0</v>
      </c>
      <c r="CQ23" s="10">
        <f xml:space="preserve"> -- ( VfM_Metrics_2023_Consol_Source[[#This Row],[% SH and OP]] &gt; 0.3 )</f>
        <v>0</v>
      </c>
      <c r="CR23" s="104" t="s">
        <v>143</v>
      </c>
      <c r="CS23" s="124"/>
      <c r="CT23" s="105" t="s">
        <v>151</v>
      </c>
      <c r="CU2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23" s="85">
        <v>0</v>
      </c>
      <c r="CW23" s="85">
        <v>0</v>
      </c>
      <c r="CX23" s="85">
        <v>0</v>
      </c>
      <c r="CY23" s="85">
        <v>0</v>
      </c>
      <c r="CZ23" s="85">
        <v>0</v>
      </c>
      <c r="DA23" s="85">
        <v>0</v>
      </c>
      <c r="DB23" s="85">
        <v>1</v>
      </c>
      <c r="DC23" s="85">
        <v>0</v>
      </c>
      <c r="DD23" s="85">
        <v>0</v>
      </c>
      <c r="DE23" s="13">
        <v>0.90654753410084521</v>
      </c>
    </row>
    <row r="24" spans="1:109" x14ac:dyDescent="0.25">
      <c r="A24" s="4" t="s" vm="285">
        <v>172</v>
      </c>
      <c r="B24" s="2" t="s" vm="14">
        <v>173</v>
      </c>
      <c r="C24" s="72" vm="457">
        <v>45016</v>
      </c>
      <c r="D24" s="7">
        <f>IFERROR( VfM_Metrics_2023_Consol_Source[[#This Row],[Reinvestment Spend]] / VfM_Metrics_2023_Consol_Source[[#This Row],[Net Book Value of Housing Properties]], "n/a" )</f>
        <v>0.1068225556323686</v>
      </c>
      <c r="E2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45738</v>
      </c>
      <c r="F24" s="83" vm="2829">
        <v>0</v>
      </c>
      <c r="G24" s="83" vm="2830">
        <v>30386</v>
      </c>
      <c r="H24" s="83" vm="2831">
        <v>14448</v>
      </c>
      <c r="I24" s="83" vm="2832">
        <v>904</v>
      </c>
      <c r="J24" s="83" vm="2833">
        <v>0</v>
      </c>
      <c r="K24" s="5">
        <f xml:space="preserve"> SUM( VfM_Metrics_2023_Consol_Source[[#This Row],[Tangible fixed assets: Housing properties at cost (Current period)]],VfM_Metrics_2023_Consol_Source[[#This Row],[Tangible fixed assets Housing properties at valuation (Current period)]] )</f>
        <v>428168</v>
      </c>
      <c r="L24" s="84" vm="2834">
        <v>428168</v>
      </c>
      <c r="M24" s="83" vm="2835">
        <v>0</v>
      </c>
      <c r="N24" s="7">
        <f xml:space="preserve"> IFERROR( VfM_Metrics_2023_Consol_Source[[#This Row],[Total social units developed or newly built units acquired in-year]] / VfM_Metrics_2023_Consol_Source[[#This Row],[Social housing units owned (period end)]], "n/a" )</f>
        <v>1.0319314641744548E-2</v>
      </c>
      <c r="O24" s="5">
        <f xml:space="preserve"> SUM( VfM_Metrics_2023_Consol_Source[[#This Row],[Total social units developed or newly built units acquired in-year (owned)]], VfM_Metrics_2023_Consol_Source[[#This Row],[Total social leasehold units developed or newly built units acquired in-year (owned)]] )</f>
        <v>159</v>
      </c>
      <c r="P24" s="84" vm="2836">
        <v>159</v>
      </c>
      <c r="Q24" s="83" vm="7841">
        <v>0</v>
      </c>
      <c r="R24" s="5">
        <f xml:space="preserve"> SUM( VfM_Metrics_2023_Consol_Source[[#This Row],[Total social housing units owned (Period end)]], VfM_Metrics_2023_Consol_Source[[#This Row],[Total social leasehold units owned (Period end)]] )</f>
        <v>15408</v>
      </c>
      <c r="S24" s="84" vm="2827">
        <v>15130</v>
      </c>
      <c r="T24" s="83" vm="2761">
        <v>278</v>
      </c>
      <c r="U24" s="86">
        <f xml:space="preserve"> IFERROR( VfM_Metrics_2023_Consol_Source[[#This Row],[Total non-social housing units developed or newly built units acquired (owned)]] / VfM_Metrics_2023_Consol_Source[[#This Row],[Total social and non-social housing units owned (Period end)]], "n/a" )</f>
        <v>3.1849162367029748E-3</v>
      </c>
      <c r="V2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50</v>
      </c>
      <c r="W24" s="83" vm="2838">
        <v>0</v>
      </c>
      <c r="X24" s="83" vm="2839">
        <v>0</v>
      </c>
      <c r="Y24" s="83" vm="2840">
        <v>50</v>
      </c>
      <c r="Z2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15699</v>
      </c>
      <c r="AA24" s="84" vm="2827">
        <v>15130</v>
      </c>
      <c r="AB24" s="83" vm="2837">
        <v>278</v>
      </c>
      <c r="AC24" s="83" vm="7972">
        <v>278</v>
      </c>
      <c r="AD24" s="83" vm="7480">
        <v>13</v>
      </c>
      <c r="AE24" s="7">
        <f xml:space="preserve"> IFERROR( VfM_Metrics_2023_Consol_Source[[#This Row],[Total Net Debt]] / VfM_Metrics_2023_Consol_Source[[#This Row],[Net Book Value of Housing Properties2]], "n/a" )</f>
        <v>0.47361783225276061</v>
      </c>
      <c r="AF2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202788</v>
      </c>
      <c r="AG24" s="84" vm="2841">
        <v>0</v>
      </c>
      <c r="AH24" s="83" vm="2842">
        <v>230132</v>
      </c>
      <c r="AI24" s="83" vm="2843">
        <v>27344</v>
      </c>
      <c r="AJ24" s="83" vm="2844">
        <v>0</v>
      </c>
      <c r="AK24" s="83" vm="2845">
        <v>0</v>
      </c>
      <c r="AL24" s="5">
        <f xml:space="preserve"> SUM( VfM_Metrics_2023_Consol_Source[[#This Row],[Tangible fixed assets: Housing properties at cost (Current period)2]], VfM_Metrics_2023_Consol_Source[[#This Row],[Tangible fixed assets Housing properties at valuation (Current period)2]] )</f>
        <v>428168</v>
      </c>
      <c r="AM24" s="84" vm="2834">
        <v>428168</v>
      </c>
      <c r="AN24" s="83" vm="2835">
        <v>0</v>
      </c>
      <c r="AO24" s="87">
        <f xml:space="preserve"> IFERROR( VfM_Metrics_2023_Consol_Source[[#This Row],[EBITDA MRI]] / VfM_Metrics_2023_Consol_Source[[#This Row],[Total interest]], "n/a" )</f>
        <v>0.94291454910767047</v>
      </c>
      <c r="AP2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7978</v>
      </c>
      <c r="AQ24" s="84" vm="2846">
        <v>14911</v>
      </c>
      <c r="AR24" s="84" vm="2847">
        <v>832</v>
      </c>
      <c r="AS24" s="84" vm="2848">
        <v>0</v>
      </c>
      <c r="AT24" s="84" vm="2849">
        <v>1356</v>
      </c>
      <c r="AU24" s="84" vm="2850">
        <v>148</v>
      </c>
      <c r="AV24" s="84" vm="2851">
        <v>210</v>
      </c>
      <c r="AW24" s="84" vm="2852">
        <v>14448</v>
      </c>
      <c r="AX24" s="84" vm="7951">
        <v>9641</v>
      </c>
      <c r="AY24" s="3">
        <f xml:space="preserve"> - SUM( VfM_Metrics_2023_Consol_Source[[#This Row],[Interest capitalised]], VfM_Metrics_2023_Consol_Source[[#This Row],[Interest payable and financing costs]] )</f>
        <v>8461</v>
      </c>
      <c r="AZ24" s="84" vm="2853">
        <v>-1183</v>
      </c>
      <c r="BA24" s="83" vm="7904">
        <v>-7278</v>
      </c>
      <c r="BB24" s="8">
        <f xml:space="preserve"> IFERROR( ( VfM_Metrics_2023_Consol_Source[[#This Row],[Total Costs]] / VfM_Metrics_2023_Consol_Source[[#This Row],[Total units for costs]] ) * 1000, "n/a" )</f>
        <v>4363.7441538765561</v>
      </c>
      <c r="BC2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66246</v>
      </c>
      <c r="BD24" s="84" vm="2854">
        <v>20641</v>
      </c>
      <c r="BE24" s="83" vm="2855">
        <v>1996</v>
      </c>
      <c r="BF24" s="83" vm="2856">
        <v>15462</v>
      </c>
      <c r="BG24" s="83" vm="3270">
        <v>4483</v>
      </c>
      <c r="BH24" s="83" vm="2924">
        <v>6899</v>
      </c>
      <c r="BI24" s="83" vm="2857">
        <v>0</v>
      </c>
      <c r="BJ24" s="83" vm="2852">
        <v>14448</v>
      </c>
      <c r="BK24" s="83" vm="2858">
        <v>0</v>
      </c>
      <c r="BL24" s="83" vm="2859">
        <v>0</v>
      </c>
      <c r="BM24" s="83" vm="7928">
        <v>0</v>
      </c>
      <c r="BN24" s="83" vm="2860">
        <v>2317</v>
      </c>
      <c r="BO24" s="83" vm="7942">
        <v>0</v>
      </c>
      <c r="BP24" s="5" vm="2828">
        <f xml:space="preserve"> VfM_Metrics_2023_Consol_Source[[#This Row],[Total social housing units owned and/or managed at period end]]</f>
        <v>15181</v>
      </c>
      <c r="BQ24" s="84" vm="2828">
        <v>15181</v>
      </c>
      <c r="BR24" s="7">
        <f xml:space="preserve"> IFERROR( VfM_Metrics_2023_Consol_Source[[#This Row],[SHL operating surplus / (deficit)]] / VfM_Metrics_2023_Consol_Source[[#This Row],[Turnover from social housing lettings]], "n/a" )</f>
        <v>0.17599883347914844</v>
      </c>
      <c r="BS24" s="5" vm="2861">
        <f xml:space="preserve"> VfM_Metrics_2023_Consol_Source[[#This Row],[Operating surplus/(deficit) (social housing lettings)]]</f>
        <v>13277</v>
      </c>
      <c r="BT24" s="84" vm="2861">
        <v>13277</v>
      </c>
      <c r="BU24" s="5" vm="2862">
        <f xml:space="preserve"> VfM_Metrics_2023_Consol_Source[[#This Row],[Turnover from social housing lettings]]</f>
        <v>75438</v>
      </c>
      <c r="BV24" s="84" vm="2862">
        <v>75438</v>
      </c>
      <c r="BW24" s="7">
        <f xml:space="preserve"> IFERROR( VfM_Metrics_2023_Consol_Source[[#This Row],[Net operating surplus]] / VfM_Metrics_2023_Consol_Source[[#This Row],[Overall turnover]], "n/a" )</f>
        <v>0.15403719912472646</v>
      </c>
      <c r="BX2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14079</v>
      </c>
      <c r="BY24" s="84" vm="2846">
        <v>14911</v>
      </c>
      <c r="BZ24" s="83" vm="6170">
        <v>832</v>
      </c>
      <c r="CA24" s="83" vm="2848">
        <v>0</v>
      </c>
      <c r="CB24" s="5" vm="2863">
        <f xml:space="preserve"> VfM_Metrics_2023_Consol_Source[[#This Row],[Turnover (overall)]]</f>
        <v>91400</v>
      </c>
      <c r="CC24" s="84" vm="2863">
        <v>91400</v>
      </c>
      <c r="CD24" s="7">
        <f xml:space="preserve"> IFERROR( VfM_Metrics_2023_Consol_Source[[#This Row],[Operating surplus including from JVs]] / VfM_Metrics_2023_Consol_Source[[#This Row],[Net assets]], "n/a" )</f>
        <v>3.2792401294014416E-2</v>
      </c>
      <c r="CE24" s="5">
        <f xml:space="preserve"> SUM( VfM_Metrics_2023_Consol_Source[[#This Row],[Operating surplus/(deficit) (overall)3]], VfM_Metrics_2023_Consol_Source[[#This Row],[Share of operating surplus/(deficit) in joint ventures or associates]] )</f>
        <v>14911</v>
      </c>
      <c r="CF24" s="84" vm="2846">
        <v>14911</v>
      </c>
      <c r="CG24" s="83" vm="7830">
        <v>0</v>
      </c>
      <c r="CH24" s="5" vm="2932">
        <f xml:space="preserve"> VfM_Metrics_2023_Consol_Source[[#This Row],[Total assets less current liabilities]]</f>
        <v>454709</v>
      </c>
      <c r="CI24" s="84" vm="2932">
        <v>454709</v>
      </c>
      <c r="CJ24" s="71" vm="2827">
        <f xml:space="preserve"> VfM_Metrics_2023_Consol_Source[[#This Row],[Total social housing units owned (Period end)]]</f>
        <v>15130</v>
      </c>
      <c r="CK24" s="103">
        <v>9.254974548819991E-4</v>
      </c>
      <c r="CL24" s="6">
        <f xml:space="preserve"> -- ( VfM_Metrics_2023_Consol_Source[[#This Row],[% Supported housing (excl. HOP)]] &gt; 0.3 )</f>
        <v>0</v>
      </c>
      <c r="CM24" s="103">
        <v>1.3551927017914987E-2</v>
      </c>
      <c r="CN24" s="6">
        <f xml:space="preserve"> -- ( VfM_Metrics_2023_Consol_Source[[#This Row],[% Housing for older people]] &gt; 0.3 )</f>
        <v>0</v>
      </c>
      <c r="CO24" s="103">
        <f xml:space="preserve"> VfM_Metrics_2023_Consol_Source[[#This Row],[% Supported housing (excl. HOP)]] + VfM_Metrics_2023_Consol_Source[[#This Row],[% Housing for older people]]</f>
        <v>1.4477424472796986E-2</v>
      </c>
      <c r="CP24" s="6">
        <f xml:space="preserve"> -- ( VfM_Metrics_2023_Consol_Source[[#This Row],[SH specialist in RSH analysis]] + VfM_Metrics_2023_Consol_Source[[#This Row],[OP specialist in RSH analysis]] &gt; 0 )</f>
        <v>0</v>
      </c>
      <c r="CQ24" s="10">
        <f xml:space="preserve"> -- ( VfM_Metrics_2023_Consol_Source[[#This Row],[% SH and OP]] &gt; 0.3 )</f>
        <v>0</v>
      </c>
      <c r="CR24" s="104" t="s">
        <v>143</v>
      </c>
      <c r="CS24" s="124"/>
      <c r="CT24" s="105" t="s">
        <v>151</v>
      </c>
      <c r="CU2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24" s="85">
        <v>0</v>
      </c>
      <c r="CW24" s="85">
        <v>0</v>
      </c>
      <c r="CX24" s="85">
        <v>0</v>
      </c>
      <c r="CY24" s="85">
        <v>0</v>
      </c>
      <c r="CZ24" s="85">
        <v>0</v>
      </c>
      <c r="DA24" s="85">
        <v>0</v>
      </c>
      <c r="DB24" s="85">
        <v>0.69061467283542632</v>
      </c>
      <c r="DC24" s="85">
        <v>0</v>
      </c>
      <c r="DD24" s="85">
        <v>0.30938532716457368</v>
      </c>
      <c r="DE24" s="13">
        <v>0.91831769058235735</v>
      </c>
    </row>
    <row r="25" spans="1:109" x14ac:dyDescent="0.25">
      <c r="A25" s="4" t="s" vm="215">
        <v>174</v>
      </c>
      <c r="B25" s="2" t="s" vm="15">
        <v>175</v>
      </c>
      <c r="C25" s="72" vm="406">
        <v>45016</v>
      </c>
      <c r="D25" s="7">
        <f>IFERROR( VfM_Metrics_2023_Consol_Source[[#This Row],[Reinvestment Spend]] / VfM_Metrics_2023_Consol_Source[[#This Row],[Net Book Value of Housing Properties]], "n/a" )</f>
        <v>6.1655982495873479E-2</v>
      </c>
      <c r="E2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8031</v>
      </c>
      <c r="F25" s="83" vm="8837">
        <v>6191</v>
      </c>
      <c r="G25" s="83" vm="913">
        <v>205</v>
      </c>
      <c r="H25" s="83" vm="8664">
        <v>1500</v>
      </c>
      <c r="I25" s="83" vm="914">
        <v>135</v>
      </c>
      <c r="J25" s="83" vm="8708">
        <v>0</v>
      </c>
      <c r="K25" s="5">
        <f xml:space="preserve"> SUM( VfM_Metrics_2023_Consol_Source[[#This Row],[Tangible fixed assets: Housing properties at cost (Current period)]],VfM_Metrics_2023_Consol_Source[[#This Row],[Tangible fixed assets Housing properties at valuation (Current period)]] )</f>
        <v>130255</v>
      </c>
      <c r="L25" s="84" vm="8937">
        <v>130255</v>
      </c>
      <c r="M25" s="83" vm="915">
        <v>0</v>
      </c>
      <c r="N25" s="7">
        <f xml:space="preserve"> IFERROR( VfM_Metrics_2023_Consol_Source[[#This Row],[Total social units developed or newly built units acquired in-year]] / VfM_Metrics_2023_Consol_Source[[#This Row],[Social housing units owned (period end)]], "n/a" )</f>
        <v>1.3444598980064905E-2</v>
      </c>
      <c r="O25" s="5">
        <f xml:space="preserve"> SUM( VfM_Metrics_2023_Consol_Source[[#This Row],[Total social units developed or newly built units acquired in-year (owned)]], VfM_Metrics_2023_Consol_Source[[#This Row],[Total social leasehold units developed or newly built units acquired in-year (owned)]] )</f>
        <v>29</v>
      </c>
      <c r="P25" s="84" vm="875">
        <v>29</v>
      </c>
      <c r="Q25" s="83" vm="1043">
        <v>0</v>
      </c>
      <c r="R25" s="5">
        <f xml:space="preserve"> SUM( VfM_Metrics_2023_Consol_Source[[#This Row],[Total social housing units owned (Period end)]], VfM_Metrics_2023_Consol_Source[[#This Row],[Total social leasehold units owned (Period end)]] )</f>
        <v>2157</v>
      </c>
      <c r="S25" s="84" vm="8736">
        <v>2134</v>
      </c>
      <c r="T25" s="83" vm="8934">
        <v>23</v>
      </c>
      <c r="U25" s="86">
        <f xml:space="preserve"> IFERROR( VfM_Metrics_2023_Consol_Source[[#This Row],[Total non-social housing units developed or newly built units acquired (owned)]] / VfM_Metrics_2023_Consol_Source[[#This Row],[Total social and non-social housing units owned (Period end)]], "n/a" )</f>
        <v>0</v>
      </c>
      <c r="V2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5" s="83" vm="1277">
        <v>0</v>
      </c>
      <c r="X25" s="83" vm="8841">
        <v>0</v>
      </c>
      <c r="Y25" s="83" vm="8870">
        <v>0</v>
      </c>
      <c r="Z2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2157</v>
      </c>
      <c r="AA25" s="84" vm="804">
        <v>2134</v>
      </c>
      <c r="AB25" s="83" vm="917">
        <v>23</v>
      </c>
      <c r="AC25" s="83" vm="8931">
        <v>0</v>
      </c>
      <c r="AD25" s="83" vm="8676">
        <v>0</v>
      </c>
      <c r="AE25" s="7">
        <f xml:space="preserve"> IFERROR( VfM_Metrics_2023_Consol_Source[[#This Row],[Total Net Debt]] / VfM_Metrics_2023_Consol_Source[[#This Row],[Net Book Value of Housing Properties2]], "n/a" )</f>
        <v>0.30837203946105718</v>
      </c>
      <c r="AF2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40167</v>
      </c>
      <c r="AG25" s="84" vm="918">
        <v>758</v>
      </c>
      <c r="AH25" s="83" vm="919">
        <v>41056</v>
      </c>
      <c r="AI25" s="83" vm="8652">
        <v>1647</v>
      </c>
      <c r="AJ25" s="83" vm="8854">
        <v>0</v>
      </c>
      <c r="AK25" s="83" vm="920">
        <v>0</v>
      </c>
      <c r="AL25" s="5">
        <f xml:space="preserve"> SUM( VfM_Metrics_2023_Consol_Source[[#This Row],[Tangible fixed assets: Housing properties at cost (Current period)2]], VfM_Metrics_2023_Consol_Source[[#This Row],[Tangible fixed assets Housing properties at valuation (Current period)2]] )</f>
        <v>130255</v>
      </c>
      <c r="AM25" s="84" vm="898">
        <v>130255</v>
      </c>
      <c r="AN25" s="83" vm="915">
        <v>0</v>
      </c>
      <c r="AO25" s="87">
        <f xml:space="preserve"> IFERROR( VfM_Metrics_2023_Consol_Source[[#This Row],[EBITDA MRI]] / VfM_Metrics_2023_Consol_Source[[#This Row],[Total interest]], "n/a" )</f>
        <v>1.8504672897196262</v>
      </c>
      <c r="AP2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2772</v>
      </c>
      <c r="AQ25" s="84" vm="921">
        <v>5261</v>
      </c>
      <c r="AR25" s="84" vm="8928">
        <v>2535</v>
      </c>
      <c r="AS25" s="84" vm="923">
        <v>0</v>
      </c>
      <c r="AT25" s="84" vm="924">
        <v>509</v>
      </c>
      <c r="AU25" s="84" vm="925">
        <v>0</v>
      </c>
      <c r="AV25" s="84" vm="8867">
        <v>20</v>
      </c>
      <c r="AW25" s="84" vm="9088">
        <v>1500</v>
      </c>
      <c r="AX25" s="84" vm="8884">
        <v>2035</v>
      </c>
      <c r="AY25" s="3">
        <f xml:space="preserve"> - SUM( VfM_Metrics_2023_Consol_Source[[#This Row],[Interest capitalised]], VfM_Metrics_2023_Consol_Source[[#This Row],[Interest payable and financing costs]] )</f>
        <v>1498</v>
      </c>
      <c r="AZ25" s="84" vm="927">
        <v>-135</v>
      </c>
      <c r="BA25" s="83" vm="8852">
        <v>-1363</v>
      </c>
      <c r="BB25" s="8">
        <f xml:space="preserve"> IFERROR( ( VfM_Metrics_2023_Consol_Source[[#This Row],[Total Costs]] / VfM_Metrics_2023_Consol_Source[[#This Row],[Total units for costs]] ) * 1000, "n/a" )</f>
        <v>6270.3842549203373</v>
      </c>
      <c r="BC2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13381</v>
      </c>
      <c r="BD25" s="84" vm="8835">
        <v>2720</v>
      </c>
      <c r="BE25" s="83" vm="928">
        <v>1566</v>
      </c>
      <c r="BF25" s="83" vm="8826">
        <v>2083</v>
      </c>
      <c r="BG25" s="83" vm="8649">
        <v>445</v>
      </c>
      <c r="BH25" s="83" vm="8850">
        <v>0</v>
      </c>
      <c r="BI25" s="83" vm="1104">
        <v>0</v>
      </c>
      <c r="BJ25" s="83" vm="926">
        <v>1500</v>
      </c>
      <c r="BK25" s="83" vm="929">
        <v>0</v>
      </c>
      <c r="BL25" s="83" vm="930">
        <v>19</v>
      </c>
      <c r="BM25" s="83" vm="931">
        <v>0</v>
      </c>
      <c r="BN25" s="83" vm="8897">
        <v>3704</v>
      </c>
      <c r="BO25" s="83" vm="8924">
        <v>1344</v>
      </c>
      <c r="BP25" s="5" vm="912">
        <f xml:space="preserve"> VfM_Metrics_2023_Consol_Source[[#This Row],[Total social housing units owned and/or managed at period end]]</f>
        <v>2134</v>
      </c>
      <c r="BQ25" s="84" vm="912">
        <v>2134</v>
      </c>
      <c r="BR25" s="7">
        <f xml:space="preserve"> IFERROR( VfM_Metrics_2023_Consol_Source[[#This Row],[SHL operating surplus / (deficit)]] / VfM_Metrics_2023_Consol_Source[[#This Row],[Turnover from social housing lettings]], "n/a" )</f>
        <v>0.27507430997876858</v>
      </c>
      <c r="BS25" s="5" vm="9067">
        <f xml:space="preserve"> VfM_Metrics_2023_Consol_Source[[#This Row],[Operating surplus/(deficit) (social housing lettings)]]</f>
        <v>3239</v>
      </c>
      <c r="BT25" s="84" vm="9067">
        <v>3239</v>
      </c>
      <c r="BU25" s="5" vm="7921">
        <f xml:space="preserve"> VfM_Metrics_2023_Consol_Source[[#This Row],[Turnover from social housing lettings]]</f>
        <v>11775</v>
      </c>
      <c r="BV25" s="84" vm="7921">
        <v>11775</v>
      </c>
      <c r="BW25" s="7">
        <f xml:space="preserve"> IFERROR( VfM_Metrics_2023_Consol_Source[[#This Row],[Net operating surplus]] / VfM_Metrics_2023_Consol_Source[[#This Row],[Overall turnover]], "n/a" )</f>
        <v>0.15550484883057616</v>
      </c>
      <c r="BX2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2726</v>
      </c>
      <c r="BY25" s="84" vm="8718">
        <v>5261</v>
      </c>
      <c r="BZ25" s="83" vm="8771">
        <v>2535</v>
      </c>
      <c r="CA25" s="83" vm="8827">
        <v>0</v>
      </c>
      <c r="CB25" s="5" vm="8856">
        <f xml:space="preserve"> VfM_Metrics_2023_Consol_Source[[#This Row],[Turnover (overall)]]</f>
        <v>17530</v>
      </c>
      <c r="CC25" s="84" vm="8856">
        <v>17530</v>
      </c>
      <c r="CD25" s="7">
        <f xml:space="preserve"> IFERROR( VfM_Metrics_2023_Consol_Source[[#This Row],[Operating surplus including from JVs]] / VfM_Metrics_2023_Consol_Source[[#This Row],[Net assets]], "n/a" )</f>
        <v>4.0478571978148803E-2</v>
      </c>
      <c r="CE25" s="5">
        <f xml:space="preserve"> SUM( VfM_Metrics_2023_Consol_Source[[#This Row],[Operating surplus/(deficit) (overall)3]], VfM_Metrics_2023_Consol_Source[[#This Row],[Share of operating surplus/(deficit) in joint ventures or associates]] )</f>
        <v>5261</v>
      </c>
      <c r="CF25" s="84" vm="939">
        <v>5261</v>
      </c>
      <c r="CG25" s="83" vm="8673">
        <v>0</v>
      </c>
      <c r="CH25" s="5" vm="932">
        <f xml:space="preserve"> VfM_Metrics_2023_Consol_Source[[#This Row],[Total assets less current liabilities]]</f>
        <v>129970</v>
      </c>
      <c r="CI25" s="84" vm="932">
        <v>129970</v>
      </c>
      <c r="CJ25" s="71" vm="8736">
        <f xml:space="preserve"> VfM_Metrics_2023_Consol_Source[[#This Row],[Total social housing units owned (Period end)]]</f>
        <v>2134</v>
      </c>
      <c r="CK25" s="103">
        <v>2.9439252336448597E-2</v>
      </c>
      <c r="CL25" s="6">
        <f xml:space="preserve"> -- ( VfM_Metrics_2023_Consol_Source[[#This Row],[% Supported housing (excl. HOP)]] &gt; 0.3 )</f>
        <v>0</v>
      </c>
      <c r="CM25" s="103">
        <v>0.10700934579439253</v>
      </c>
      <c r="CN25" s="6">
        <f xml:space="preserve"> -- ( VfM_Metrics_2023_Consol_Source[[#This Row],[% Housing for older people]] &gt; 0.3 )</f>
        <v>0</v>
      </c>
      <c r="CO25" s="103">
        <f xml:space="preserve"> VfM_Metrics_2023_Consol_Source[[#This Row],[% Supported housing (excl. HOP)]] + VfM_Metrics_2023_Consol_Source[[#This Row],[% Housing for older people]]</f>
        <v>0.13644859813084112</v>
      </c>
      <c r="CP25" s="6">
        <f xml:space="preserve"> -- ( VfM_Metrics_2023_Consol_Source[[#This Row],[SH specialist in RSH analysis]] + VfM_Metrics_2023_Consol_Source[[#This Row],[OP specialist in RSH analysis]] &gt; 0 )</f>
        <v>0</v>
      </c>
      <c r="CQ25" s="10">
        <f xml:space="preserve"> -- ( VfM_Metrics_2023_Consol_Source[[#This Row],[% SH and OP]] &gt; 0.3 )</f>
        <v>0</v>
      </c>
      <c r="CR25" s="104" t="s">
        <v>143</v>
      </c>
      <c r="CS25" s="124" t="s">
        <v>144</v>
      </c>
      <c r="CT25" s="105"/>
      <c r="CU2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25" s="85">
        <v>0</v>
      </c>
      <c r="CW25" s="85">
        <v>0</v>
      </c>
      <c r="CX25" s="85">
        <v>0</v>
      </c>
      <c r="CY25" s="85">
        <v>0</v>
      </c>
      <c r="CZ25" s="85">
        <v>1</v>
      </c>
      <c r="DA25" s="85">
        <v>0</v>
      </c>
      <c r="DB25" s="85">
        <v>0</v>
      </c>
      <c r="DC25" s="85">
        <v>0</v>
      </c>
      <c r="DD25" s="85">
        <v>0</v>
      </c>
      <c r="DE25" s="13">
        <v>0.96459033333600952</v>
      </c>
    </row>
    <row r="26" spans="1:109" x14ac:dyDescent="0.25">
      <c r="A26" s="4" t="s" vm="278">
        <v>176</v>
      </c>
      <c r="B26" s="2" t="s" vm="16">
        <v>177</v>
      </c>
      <c r="C26" s="72" vm="432">
        <v>45016</v>
      </c>
      <c r="D26" s="7">
        <f>IFERROR( VfM_Metrics_2023_Consol_Source[[#This Row],[Reinvestment Spend]] / VfM_Metrics_2023_Consol_Source[[#This Row],[Net Book Value of Housing Properties]], "n/a" )</f>
        <v>0.14710643072716487</v>
      </c>
      <c r="E2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45623</v>
      </c>
      <c r="F26" s="83" vm="2602">
        <v>29627</v>
      </c>
      <c r="G26" s="83" vm="2603">
        <v>0</v>
      </c>
      <c r="H26" s="83" vm="2604">
        <v>15996</v>
      </c>
      <c r="I26" s="83" vm="4633">
        <v>0</v>
      </c>
      <c r="J26" s="83" vm="7802">
        <v>0</v>
      </c>
      <c r="K26" s="5">
        <f xml:space="preserve"> SUM( VfM_Metrics_2023_Consol_Source[[#This Row],[Tangible fixed assets: Housing properties at cost (Current period)]],VfM_Metrics_2023_Consol_Source[[#This Row],[Tangible fixed assets Housing properties at valuation (Current period)]] )</f>
        <v>310136</v>
      </c>
      <c r="L26" s="84" vm="2605">
        <v>310136</v>
      </c>
      <c r="M26" s="83" vm="2606">
        <v>0</v>
      </c>
      <c r="N26" s="7">
        <f xml:space="preserve"> IFERROR( VfM_Metrics_2023_Consol_Source[[#This Row],[Total social units developed or newly built units acquired in-year]] / VfM_Metrics_2023_Consol_Source[[#This Row],[Social housing units owned (period end)]], "n/a" )</f>
        <v>1.4276649746192893E-2</v>
      </c>
      <c r="O26" s="5">
        <f xml:space="preserve"> SUM( VfM_Metrics_2023_Consol_Source[[#This Row],[Total social units developed or newly built units acquired in-year (owned)]], VfM_Metrics_2023_Consol_Source[[#This Row],[Total social leasehold units developed or newly built units acquired in-year (owned)]] )</f>
        <v>270</v>
      </c>
      <c r="P26" s="84" vm="2607">
        <v>270</v>
      </c>
      <c r="Q26" s="83">
        <v>0</v>
      </c>
      <c r="R26" s="5">
        <f xml:space="preserve"> SUM( VfM_Metrics_2023_Consol_Source[[#This Row],[Total social housing units owned (Period end)]], VfM_Metrics_2023_Consol_Source[[#This Row],[Total social leasehold units owned (Period end)]] )</f>
        <v>18912</v>
      </c>
      <c r="S26" s="84" vm="2601">
        <v>18912</v>
      </c>
      <c r="T26" s="83" vm="2608">
        <v>0</v>
      </c>
      <c r="U26" s="86">
        <f xml:space="preserve"> IFERROR( VfM_Metrics_2023_Consol_Source[[#This Row],[Total non-social housing units developed or newly built units acquired (owned)]] / VfM_Metrics_2023_Consol_Source[[#This Row],[Total social and non-social housing units owned (Period end)]], "n/a" )</f>
        <v>6.7228629053110614E-4</v>
      </c>
      <c r="V2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13</v>
      </c>
      <c r="W26" s="83">
        <v>0</v>
      </c>
      <c r="X26" s="83" vm="2609">
        <v>13</v>
      </c>
      <c r="Y26" s="83">
        <v>0</v>
      </c>
      <c r="Z2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19337</v>
      </c>
      <c r="AA26" s="84" vm="2601">
        <v>18912</v>
      </c>
      <c r="AB26" s="83" vm="2608">
        <v>0</v>
      </c>
      <c r="AC26" s="83" vm="2610">
        <v>0</v>
      </c>
      <c r="AD26" s="83" vm="2611">
        <v>425</v>
      </c>
      <c r="AE26" s="7">
        <f xml:space="preserve"> IFERROR( VfM_Metrics_2023_Consol_Source[[#This Row],[Total Net Debt]] / VfM_Metrics_2023_Consol_Source[[#This Row],[Net Book Value of Housing Properties2]], "n/a" )</f>
        <v>0.22740023731524234</v>
      </c>
      <c r="AF2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70525</v>
      </c>
      <c r="AG26" s="84" vm="7619">
        <v>20339</v>
      </c>
      <c r="AH26" s="83" vm="7717">
        <v>58407</v>
      </c>
      <c r="AI26" s="83" vm="2612">
        <v>8221</v>
      </c>
      <c r="AJ26" s="83" vm="1675">
        <v>0</v>
      </c>
      <c r="AK26" s="83">
        <v>0</v>
      </c>
      <c r="AL26" s="5">
        <f xml:space="preserve"> SUM( VfM_Metrics_2023_Consol_Source[[#This Row],[Tangible fixed assets: Housing properties at cost (Current period)2]], VfM_Metrics_2023_Consol_Source[[#This Row],[Tangible fixed assets Housing properties at valuation (Current period)2]] )</f>
        <v>310136</v>
      </c>
      <c r="AM26" s="84" vm="2605">
        <v>310136</v>
      </c>
      <c r="AN26" s="83" vm="2606">
        <v>0</v>
      </c>
      <c r="AO26" s="87">
        <f xml:space="preserve"> IFERROR( VfM_Metrics_2023_Consol_Source[[#This Row],[EBITDA MRI]] / VfM_Metrics_2023_Consol_Source[[#This Row],[Total interest]], "n/a" )</f>
        <v>-0.57804047285113203</v>
      </c>
      <c r="AP2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-2885</v>
      </c>
      <c r="AQ26" s="84" vm="7714">
        <v>8773</v>
      </c>
      <c r="AR26" s="84" vm="2614">
        <v>4413</v>
      </c>
      <c r="AS26" s="84" vm="2615">
        <v>600</v>
      </c>
      <c r="AT26" s="84" vm="8007">
        <v>738</v>
      </c>
      <c r="AU26" s="84" vm="2616">
        <v>0</v>
      </c>
      <c r="AV26" s="84" vm="2617">
        <v>126</v>
      </c>
      <c r="AW26" s="84" vm="2618">
        <v>15996</v>
      </c>
      <c r="AX26" s="84" vm="7713">
        <v>9963</v>
      </c>
      <c r="AY26" s="3">
        <f xml:space="preserve"> - SUM( VfM_Metrics_2023_Consol_Source[[#This Row],[Interest capitalised]], VfM_Metrics_2023_Consol_Source[[#This Row],[Interest payable and financing costs]] )</f>
        <v>4991</v>
      </c>
      <c r="AZ26" s="84">
        <v>0</v>
      </c>
      <c r="BA26" s="83" vm="2619">
        <v>-4991</v>
      </c>
      <c r="BB26" s="8">
        <f xml:space="preserve"> IFERROR( ( VfM_Metrics_2023_Consol_Source[[#This Row],[Total Costs]] / VfM_Metrics_2023_Consol_Source[[#This Row],[Total units for costs]] ) * 1000, "n/a" )</f>
        <v>4818.2635363790187</v>
      </c>
      <c r="BC2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91123</v>
      </c>
      <c r="BD26" s="84" vm="2620">
        <v>31807</v>
      </c>
      <c r="BE26" s="83" vm="2621">
        <v>6547</v>
      </c>
      <c r="BF26" s="83" vm="2622">
        <v>20666</v>
      </c>
      <c r="BG26" s="83" vm="7092">
        <v>5109</v>
      </c>
      <c r="BH26" s="83" vm="2623">
        <v>1424</v>
      </c>
      <c r="BI26" s="83" vm="2624">
        <v>0</v>
      </c>
      <c r="BJ26" s="83" vm="7913">
        <v>15996</v>
      </c>
      <c r="BK26" s="83" vm="2625">
        <v>47</v>
      </c>
      <c r="BL26" s="83" vm="7865">
        <v>228</v>
      </c>
      <c r="BM26" s="83" vm="2626">
        <v>3652</v>
      </c>
      <c r="BN26" s="83" vm="2627">
        <v>1157</v>
      </c>
      <c r="BO26" s="83" vm="2628">
        <v>4490</v>
      </c>
      <c r="BP26" s="5" vm="7801">
        <f xml:space="preserve"> VfM_Metrics_2023_Consol_Source[[#This Row],[Total social housing units owned and/or managed at period end]]</f>
        <v>18912</v>
      </c>
      <c r="BQ26" s="84" vm="7801">
        <v>18912</v>
      </c>
      <c r="BR26" s="7">
        <f xml:space="preserve"> IFERROR( VfM_Metrics_2023_Consol_Source[[#This Row],[SHL operating surplus / (deficit)]] / VfM_Metrics_2023_Consol_Source[[#This Row],[Turnover from social housing lettings]], "n/a" )</f>
        <v>9.9915315895564225E-2</v>
      </c>
      <c r="BS26" s="5" vm="2629">
        <f xml:space="preserve"> VfM_Metrics_2023_Consol_Source[[#This Row],[Operating surplus/(deficit) (social housing lettings)]]</f>
        <v>8377</v>
      </c>
      <c r="BT26" s="84" vm="2629">
        <v>8377</v>
      </c>
      <c r="BU26" s="5" vm="2630">
        <f xml:space="preserve"> VfM_Metrics_2023_Consol_Source[[#This Row],[Turnover from social housing lettings]]</f>
        <v>83841</v>
      </c>
      <c r="BV26" s="84" vm="2630">
        <v>83841</v>
      </c>
      <c r="BW26" s="7">
        <f xml:space="preserve"> IFERROR( VfM_Metrics_2023_Consol_Source[[#This Row],[Net operating surplus]] / VfM_Metrics_2023_Consol_Source[[#This Row],[Overall turnover]], "n/a" )</f>
        <v>3.8205558095818729E-2</v>
      </c>
      <c r="BX2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3760</v>
      </c>
      <c r="BY26" s="84" vm="2613">
        <v>8773</v>
      </c>
      <c r="BZ26" s="83" vm="4737">
        <v>4413</v>
      </c>
      <c r="CA26" s="83" vm="2615">
        <v>600</v>
      </c>
      <c r="CB26" s="5" vm="2607">
        <f xml:space="preserve"> VfM_Metrics_2023_Consol_Source[[#This Row],[Turnover (overall)]]</f>
        <v>98415</v>
      </c>
      <c r="CC26" s="84" vm="2607">
        <v>98415</v>
      </c>
      <c r="CD26" s="7">
        <f xml:space="preserve"> IFERROR( VfM_Metrics_2023_Consol_Source[[#This Row],[Operating surplus including from JVs]] / VfM_Metrics_2023_Consol_Source[[#This Row],[Net assets]], "n/a" )</f>
        <v>2.5132854912408863E-2</v>
      </c>
      <c r="CE26" s="5">
        <f xml:space="preserve"> SUM( VfM_Metrics_2023_Consol_Source[[#This Row],[Operating surplus/(deficit) (overall)3]], VfM_Metrics_2023_Consol_Source[[#This Row],[Share of operating surplus/(deficit) in joint ventures or associates]] )</f>
        <v>8773</v>
      </c>
      <c r="CF26" s="84" vm="2613">
        <v>8773</v>
      </c>
      <c r="CG26" s="83">
        <v>0</v>
      </c>
      <c r="CH26" s="5" vm="2631">
        <f xml:space="preserve"> VfM_Metrics_2023_Consol_Source[[#This Row],[Total assets less current liabilities]]</f>
        <v>349065</v>
      </c>
      <c r="CI26" s="84" vm="2631">
        <v>349065</v>
      </c>
      <c r="CJ26" s="71" vm="2601">
        <f xml:space="preserve"> VfM_Metrics_2023_Consol_Source[[#This Row],[Total social housing units owned (Period end)]]</f>
        <v>18912</v>
      </c>
      <c r="CK26" s="103">
        <v>5.9934231462819565E-3</v>
      </c>
      <c r="CL26" s="6">
        <f xml:space="preserve"> -- ( VfM_Metrics_2023_Consol_Source[[#This Row],[% Supported housing (excl. HOP)]] &gt; 0.3 )</f>
        <v>0</v>
      </c>
      <c r="CM26" s="103">
        <v>0.11779993635302853</v>
      </c>
      <c r="CN26" s="6">
        <f xml:space="preserve"> -- ( VfM_Metrics_2023_Consol_Source[[#This Row],[% Housing for older people]] &gt; 0.3 )</f>
        <v>0</v>
      </c>
      <c r="CO26" s="103">
        <f xml:space="preserve"> VfM_Metrics_2023_Consol_Source[[#This Row],[% Supported housing (excl. HOP)]] + VfM_Metrics_2023_Consol_Source[[#This Row],[% Housing for older people]]</f>
        <v>0.12379335949931049</v>
      </c>
      <c r="CP26" s="6">
        <f xml:space="preserve"> -- ( VfM_Metrics_2023_Consol_Source[[#This Row],[SH specialist in RSH analysis]] + VfM_Metrics_2023_Consol_Source[[#This Row],[OP specialist in RSH analysis]] &gt; 0 )</f>
        <v>0</v>
      </c>
      <c r="CQ26" s="10">
        <f xml:space="preserve"> -- ( VfM_Metrics_2023_Consol_Source[[#This Row],[% SH and OP]] &gt; 0.3 )</f>
        <v>0</v>
      </c>
      <c r="CR26" s="104" t="s">
        <v>143</v>
      </c>
      <c r="CS26" s="124"/>
      <c r="CT26" s="105" t="s">
        <v>151</v>
      </c>
      <c r="CU2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26" s="85">
        <v>0</v>
      </c>
      <c r="CW26" s="85">
        <v>0</v>
      </c>
      <c r="CX26" s="85">
        <v>0</v>
      </c>
      <c r="CY26" s="85">
        <v>1.2713211145248438E-3</v>
      </c>
      <c r="CZ26" s="85">
        <v>0</v>
      </c>
      <c r="DA26" s="85">
        <v>0</v>
      </c>
      <c r="DB26" s="85">
        <v>0</v>
      </c>
      <c r="DC26" s="85">
        <v>0.99872867888547512</v>
      </c>
      <c r="DD26" s="85">
        <v>0</v>
      </c>
      <c r="DE26" s="13">
        <v>0.96103536607895024</v>
      </c>
    </row>
    <row r="27" spans="1:109" x14ac:dyDescent="0.25">
      <c r="A27" s="4" t="s" vm="206">
        <v>178</v>
      </c>
      <c r="B27" s="2" t="s" vm="17">
        <v>179</v>
      </c>
      <c r="C27" s="72" vm="451">
        <v>45016</v>
      </c>
      <c r="D27" s="7">
        <f>IFERROR( VfM_Metrics_2023_Consol_Source[[#This Row],[Reinvestment Spend]] / VfM_Metrics_2023_Consol_Source[[#This Row],[Net Book Value of Housing Properties]], "n/a" )</f>
        <v>5.89976110959246E-2</v>
      </c>
      <c r="E2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4964</v>
      </c>
      <c r="F27" s="83" vm="8994">
        <v>2853</v>
      </c>
      <c r="G27" s="83" vm="9052">
        <v>1736</v>
      </c>
      <c r="H27" s="83" vm="738">
        <v>375</v>
      </c>
      <c r="I27" s="83" vm="9133">
        <v>0</v>
      </c>
      <c r="J27" s="83" vm="739">
        <v>0</v>
      </c>
      <c r="K27" s="5">
        <f xml:space="preserve"> SUM( VfM_Metrics_2023_Consol_Source[[#This Row],[Tangible fixed assets: Housing properties at cost (Current period)]],VfM_Metrics_2023_Consol_Source[[#This Row],[Tangible fixed assets Housing properties at valuation (Current period)]] )</f>
        <v>84139</v>
      </c>
      <c r="L27" s="84" vm="740">
        <v>84139</v>
      </c>
      <c r="M27" s="83">
        <v>0</v>
      </c>
      <c r="N27" s="7">
        <f xml:space="preserve"> IFERROR( VfM_Metrics_2023_Consol_Source[[#This Row],[Total social units developed or newly built units acquired in-year]] / VfM_Metrics_2023_Consol_Source[[#This Row],[Social housing units owned (period end)]], "n/a" )</f>
        <v>3.0557677616501145E-3</v>
      </c>
      <c r="O27" s="5">
        <f xml:space="preserve"> SUM( VfM_Metrics_2023_Consol_Source[[#This Row],[Total social units developed or newly built units acquired in-year (owned)]], VfM_Metrics_2023_Consol_Source[[#This Row],[Total social leasehold units developed or newly built units acquired in-year (owned)]] )</f>
        <v>4</v>
      </c>
      <c r="P27" s="84" vm="8965">
        <v>4</v>
      </c>
      <c r="Q27" s="83">
        <v>0</v>
      </c>
      <c r="R27" s="5">
        <f xml:space="preserve"> SUM( VfM_Metrics_2023_Consol_Source[[#This Row],[Total social housing units owned (Period end)]], VfM_Metrics_2023_Consol_Source[[#This Row],[Total social leasehold units owned (Period end)]] )</f>
        <v>1309</v>
      </c>
      <c r="S27" s="84" vm="838">
        <v>1309</v>
      </c>
      <c r="T27" s="83" vm="9050">
        <v>0</v>
      </c>
      <c r="U27" s="86">
        <f xml:space="preserve"> IFERROR( VfM_Metrics_2023_Consol_Source[[#This Row],[Total non-social housing units developed or newly built units acquired (owned)]] / VfM_Metrics_2023_Consol_Source[[#This Row],[Total social and non-social housing units owned (Period end)]], "n/a" )</f>
        <v>5.8181818181818178E-3</v>
      </c>
      <c r="V2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8</v>
      </c>
      <c r="W27" s="83" vm="652">
        <v>8</v>
      </c>
      <c r="X27" s="83">
        <v>0</v>
      </c>
      <c r="Y27" s="83">
        <v>0</v>
      </c>
      <c r="Z2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1375</v>
      </c>
      <c r="AA27" s="84" vm="9182">
        <v>1309</v>
      </c>
      <c r="AB27" s="83" vm="9201">
        <v>0</v>
      </c>
      <c r="AC27" s="83" vm="8964">
        <v>66</v>
      </c>
      <c r="AD27" s="83" vm="742">
        <v>0</v>
      </c>
      <c r="AE27" s="7">
        <f xml:space="preserve"> IFERROR( VfM_Metrics_2023_Consol_Source[[#This Row],[Total Net Debt]] / VfM_Metrics_2023_Consol_Source[[#This Row],[Net Book Value of Housing Properties2]], "n/a" )</f>
        <v>0.4042001925385374</v>
      </c>
      <c r="AF2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34009</v>
      </c>
      <c r="AG27" s="84" vm="9092">
        <v>2458</v>
      </c>
      <c r="AH27" s="83" vm="8957">
        <v>33173</v>
      </c>
      <c r="AI27" s="83" vm="9195">
        <v>1622</v>
      </c>
      <c r="AJ27" s="83" vm="1675">
        <v>0</v>
      </c>
      <c r="AK27" s="83">
        <v>0</v>
      </c>
      <c r="AL27" s="5">
        <f xml:space="preserve"> SUM( VfM_Metrics_2023_Consol_Source[[#This Row],[Tangible fixed assets: Housing properties at cost (Current period)2]], VfM_Metrics_2023_Consol_Source[[#This Row],[Tangible fixed assets Housing properties at valuation (Current period)2]] )</f>
        <v>84139</v>
      </c>
      <c r="AM27" s="84" vm="740">
        <v>84139</v>
      </c>
      <c r="AN27" s="83">
        <v>0</v>
      </c>
      <c r="AO27" s="87">
        <f xml:space="preserve"> IFERROR( VfM_Metrics_2023_Consol_Source[[#This Row],[EBITDA MRI]] / VfM_Metrics_2023_Consol_Source[[#This Row],[Total interest]], "n/a" )</f>
        <v>1.8754925137903862</v>
      </c>
      <c r="AP2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2380</v>
      </c>
      <c r="AQ27" s="84" vm="743">
        <v>1722</v>
      </c>
      <c r="AR27" s="84" vm="748">
        <v>145</v>
      </c>
      <c r="AS27" s="84" vm="9075">
        <v>0</v>
      </c>
      <c r="AT27" s="84" vm="8926">
        <v>436</v>
      </c>
      <c r="AU27" s="84" vm="745">
        <v>0</v>
      </c>
      <c r="AV27" s="84" vm="746">
        <v>1</v>
      </c>
      <c r="AW27" s="84" vm="747">
        <v>195</v>
      </c>
      <c r="AX27" s="84" vm="9112">
        <v>1433</v>
      </c>
      <c r="AY27" s="3">
        <f xml:space="preserve"> - SUM( VfM_Metrics_2023_Consol_Source[[#This Row],[Interest capitalised]], VfM_Metrics_2023_Consol_Source[[#This Row],[Interest payable and financing costs]] )</f>
        <v>1269</v>
      </c>
      <c r="AZ27" s="84">
        <v>0</v>
      </c>
      <c r="BA27" s="83" vm="8901">
        <v>-1269</v>
      </c>
      <c r="BB27" s="8">
        <f xml:space="preserve"> IFERROR( ( VfM_Metrics_2023_Consol_Source[[#This Row],[Total Costs]] / VfM_Metrics_2023_Consol_Source[[#This Row],[Total units for costs]] ) * 1000, "n/a" )</f>
        <v>13069.518716577541</v>
      </c>
      <c r="BC2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17108</v>
      </c>
      <c r="BD27" s="84" vm="9125">
        <v>2409</v>
      </c>
      <c r="BE27" s="83" vm="9065">
        <v>2476</v>
      </c>
      <c r="BF27" s="83" vm="8880">
        <v>990</v>
      </c>
      <c r="BG27" s="83" vm="9171">
        <v>1290</v>
      </c>
      <c r="BH27" s="83" vm="844">
        <v>211</v>
      </c>
      <c r="BI27" s="83" vm="749">
        <v>945</v>
      </c>
      <c r="BJ27" s="83" vm="747">
        <v>195</v>
      </c>
      <c r="BK27" s="83" vm="750">
        <v>623</v>
      </c>
      <c r="BL27" s="83">
        <v>0</v>
      </c>
      <c r="BM27" s="83">
        <v>0</v>
      </c>
      <c r="BN27" s="83">
        <v>0</v>
      </c>
      <c r="BO27" s="83" vm="653">
        <v>7969</v>
      </c>
      <c r="BP27" s="5" vm="9134">
        <f xml:space="preserve"> VfM_Metrics_2023_Consol_Source[[#This Row],[Total social housing units owned and/or managed at period end]]</f>
        <v>1309</v>
      </c>
      <c r="BQ27" s="84" vm="9134">
        <v>1309</v>
      </c>
      <c r="BR27" s="7">
        <f xml:space="preserve"> IFERROR( VfM_Metrics_2023_Consol_Source[[#This Row],[SHL operating surplus / (deficit)]] / VfM_Metrics_2023_Consol_Source[[#This Row],[Turnover from social housing lettings]], "n/a" )</f>
        <v>0.20325577823850111</v>
      </c>
      <c r="BS27" s="5" vm="751">
        <f xml:space="preserve"> VfM_Metrics_2023_Consol_Source[[#This Row],[Operating surplus/(deficit) (social housing lettings)]]</f>
        <v>2647</v>
      </c>
      <c r="BT27" s="84" vm="751">
        <v>2647</v>
      </c>
      <c r="BU27" s="5" vm="9060">
        <f xml:space="preserve"> VfM_Metrics_2023_Consol_Source[[#This Row],[Turnover from social housing lettings]]</f>
        <v>13023</v>
      </c>
      <c r="BV27" s="84" vm="9060">
        <v>13023</v>
      </c>
      <c r="BW27" s="7">
        <f xml:space="preserve"> IFERROR( VfM_Metrics_2023_Consol_Source[[#This Row],[Net operating surplus]] / VfM_Metrics_2023_Consol_Source[[#This Row],[Overall turnover]], "n/a" )</f>
        <v>6.7329860814618739E-2</v>
      </c>
      <c r="BX2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1577</v>
      </c>
      <c r="BY27" s="84" vm="9041">
        <v>1722</v>
      </c>
      <c r="BZ27" s="83" vm="9126">
        <v>145</v>
      </c>
      <c r="CA27" s="83" vm="744">
        <v>0</v>
      </c>
      <c r="CB27" s="5" vm="8871">
        <f xml:space="preserve"> VfM_Metrics_2023_Consol_Source[[#This Row],[Turnover (overall)]]</f>
        <v>23422</v>
      </c>
      <c r="CC27" s="84" vm="8871">
        <v>23422</v>
      </c>
      <c r="CD27" s="7">
        <f xml:space="preserve"> IFERROR( VfM_Metrics_2023_Consol_Source[[#This Row],[Operating surplus including from JVs]] / VfM_Metrics_2023_Consol_Source[[#This Row],[Net assets]], "n/a" )</f>
        <v>2.0028845259142086E-2</v>
      </c>
      <c r="CE27" s="5">
        <f xml:space="preserve"> SUM( VfM_Metrics_2023_Consol_Source[[#This Row],[Operating surplus/(deficit) (overall)3]], VfM_Metrics_2023_Consol_Source[[#This Row],[Share of operating surplus/(deficit) in joint ventures or associates]] )</f>
        <v>1722</v>
      </c>
      <c r="CF27" s="84" vm="743">
        <v>1722</v>
      </c>
      <c r="CG27" s="83">
        <v>0</v>
      </c>
      <c r="CH27" s="5" vm="9039">
        <f xml:space="preserve"> VfM_Metrics_2023_Consol_Source[[#This Row],[Total assets less current liabilities]]</f>
        <v>85976</v>
      </c>
      <c r="CI27" s="84" vm="9039">
        <v>85976</v>
      </c>
      <c r="CJ27" s="71" vm="838">
        <f xml:space="preserve"> VfM_Metrics_2023_Consol_Source[[#This Row],[Total social housing units owned (Period end)]]</f>
        <v>1309</v>
      </c>
      <c r="CK27" s="103">
        <v>0.53098039215686277</v>
      </c>
      <c r="CL27" s="6">
        <f xml:space="preserve"> -- ( VfM_Metrics_2023_Consol_Source[[#This Row],[% Supported housing (excl. HOP)]] &gt; 0.3 )</f>
        <v>1</v>
      </c>
      <c r="CM27" s="103">
        <v>0.04</v>
      </c>
      <c r="CN27" s="6">
        <f xml:space="preserve"> -- ( VfM_Metrics_2023_Consol_Source[[#This Row],[% Housing for older people]] &gt; 0.3 )</f>
        <v>0</v>
      </c>
      <c r="CO27" s="103">
        <f xml:space="preserve"> VfM_Metrics_2023_Consol_Source[[#This Row],[% Supported housing (excl. HOP)]] + VfM_Metrics_2023_Consol_Source[[#This Row],[% Housing for older people]]</f>
        <v>0.5709803921568628</v>
      </c>
      <c r="CP27" s="6">
        <f xml:space="preserve"> -- ( VfM_Metrics_2023_Consol_Source[[#This Row],[SH specialist in RSH analysis]] + VfM_Metrics_2023_Consol_Source[[#This Row],[OP specialist in RSH analysis]] &gt; 0 )</f>
        <v>1</v>
      </c>
      <c r="CQ27" s="10">
        <f xml:space="preserve"> -- ( VfM_Metrics_2023_Consol_Source[[#This Row],[% SH and OP]] &gt; 0.3 )</f>
        <v>1</v>
      </c>
      <c r="CR27" s="104" t="s">
        <v>143</v>
      </c>
      <c r="CS27" s="124" t="s">
        <v>144</v>
      </c>
      <c r="CT27" s="105"/>
      <c r="CU2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27" s="85">
        <v>0</v>
      </c>
      <c r="CW27" s="85">
        <v>2.8688524590163935E-2</v>
      </c>
      <c r="CX27" s="85">
        <v>0.97131147540983609</v>
      </c>
      <c r="CY27" s="85">
        <v>0</v>
      </c>
      <c r="CZ27" s="85">
        <v>0</v>
      </c>
      <c r="DA27" s="85">
        <v>0</v>
      </c>
      <c r="DB27" s="85">
        <v>0</v>
      </c>
      <c r="DC27" s="85">
        <v>0</v>
      </c>
      <c r="DD27" s="85">
        <v>0</v>
      </c>
      <c r="DE27" s="13">
        <v>0.97679998910314292</v>
      </c>
    </row>
    <row r="28" spans="1:109" x14ac:dyDescent="0.25">
      <c r="A28" s="4" t="s" vm="325">
        <v>180</v>
      </c>
      <c r="B28" s="2" t="s" vm="18">
        <v>181</v>
      </c>
      <c r="C28" s="72" vm="405">
        <v>44926</v>
      </c>
      <c r="D28" s="7">
        <f>IFERROR( VfM_Metrics_2023_Consol_Source[[#This Row],[Reinvestment Spend]] / VfM_Metrics_2023_Consol_Source[[#This Row],[Net Book Value of Housing Properties]], "n/a" )</f>
        <v>2.9691538280804217E-2</v>
      </c>
      <c r="E2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4423</v>
      </c>
      <c r="F28" s="83" vm="4221">
        <v>21</v>
      </c>
      <c r="G28" s="83" vm="4222">
        <v>374</v>
      </c>
      <c r="H28" s="83" vm="4223">
        <v>4028</v>
      </c>
      <c r="I28" s="83" vm="4224">
        <v>0</v>
      </c>
      <c r="J28" s="83" vm="4225">
        <v>0</v>
      </c>
      <c r="K28" s="5">
        <f xml:space="preserve"> SUM( VfM_Metrics_2023_Consol_Source[[#This Row],[Tangible fixed assets: Housing properties at cost (Current period)]],VfM_Metrics_2023_Consol_Source[[#This Row],[Tangible fixed assets Housing properties at valuation (Current period)]] )</f>
        <v>148965</v>
      </c>
      <c r="L28" s="84" vm="4226">
        <v>148965</v>
      </c>
      <c r="M28" s="83">
        <v>0</v>
      </c>
      <c r="N28" s="7">
        <f xml:space="preserve"> IFERROR( VfM_Metrics_2023_Consol_Source[[#This Row],[Total social units developed or newly built units acquired in-year]] / VfM_Metrics_2023_Consol_Source[[#This Row],[Social housing units owned (period end)]], "n/a" )</f>
        <v>8.0645161290322581E-4</v>
      </c>
      <c r="O28" s="5">
        <f xml:space="preserve"> SUM( VfM_Metrics_2023_Consol_Source[[#This Row],[Total social units developed or newly built units acquired in-year (owned)]], VfM_Metrics_2023_Consol_Source[[#This Row],[Total social leasehold units developed or newly built units acquired in-year (owned)]] )</f>
        <v>3</v>
      </c>
      <c r="P28" s="84" vm="4227">
        <v>3</v>
      </c>
      <c r="Q28" s="83">
        <v>0</v>
      </c>
      <c r="R28" s="5">
        <f xml:space="preserve"> SUM( VfM_Metrics_2023_Consol_Source[[#This Row],[Total social housing units owned (Period end)]], VfM_Metrics_2023_Consol_Source[[#This Row],[Total social leasehold units owned (Period end)]] )</f>
        <v>3720</v>
      </c>
      <c r="S28" s="84" vm="4219">
        <v>3720</v>
      </c>
      <c r="T28" s="83" vm="4228">
        <v>0</v>
      </c>
      <c r="U28" s="86">
        <f xml:space="preserve"> IFERROR( VfM_Metrics_2023_Consol_Source[[#This Row],[Total non-social housing units developed or newly built units acquired (owned)]] / VfM_Metrics_2023_Consol_Source[[#This Row],[Total social and non-social housing units owned (Period end)]], "n/a" )</f>
        <v>0</v>
      </c>
      <c r="V2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8" s="83">
        <v>0</v>
      </c>
      <c r="X28" s="83">
        <v>0</v>
      </c>
      <c r="Y28" s="83">
        <v>0</v>
      </c>
      <c r="Z2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4187</v>
      </c>
      <c r="AA28" s="84" vm="7367">
        <v>3720</v>
      </c>
      <c r="AB28" s="83" vm="4228">
        <v>0</v>
      </c>
      <c r="AC28" s="83" vm="4229">
        <v>93</v>
      </c>
      <c r="AD28" s="83" vm="7648">
        <v>374</v>
      </c>
      <c r="AE28" s="7">
        <f xml:space="preserve"> IFERROR( VfM_Metrics_2023_Consol_Source[[#This Row],[Total Net Debt]] / VfM_Metrics_2023_Consol_Source[[#This Row],[Net Book Value of Housing Properties2]], "n/a" )</f>
        <v>0.53000369214244958</v>
      </c>
      <c r="AF2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78952</v>
      </c>
      <c r="AG28" s="84" vm="4230">
        <v>3600</v>
      </c>
      <c r="AH28" s="83" vm="4231">
        <v>78672</v>
      </c>
      <c r="AI28" s="83" vm="4232">
        <v>3320</v>
      </c>
      <c r="AJ28" s="83" vm="1675">
        <v>0</v>
      </c>
      <c r="AK28" s="83">
        <v>0</v>
      </c>
      <c r="AL28" s="5">
        <f xml:space="preserve"> SUM( VfM_Metrics_2023_Consol_Source[[#This Row],[Tangible fixed assets: Housing properties at cost (Current period)2]], VfM_Metrics_2023_Consol_Source[[#This Row],[Tangible fixed assets Housing properties at valuation (Current period)2]] )</f>
        <v>148965</v>
      </c>
      <c r="AM28" s="84" vm="7647">
        <v>148965</v>
      </c>
      <c r="AN28" s="83">
        <v>0</v>
      </c>
      <c r="AO28" s="87">
        <f xml:space="preserve"> IFERROR( VfM_Metrics_2023_Consol_Source[[#This Row],[EBITDA MRI]] / VfM_Metrics_2023_Consol_Source[[#This Row],[Total interest]], "n/a" )</f>
        <v>1.3669467787114846</v>
      </c>
      <c r="AP2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5368</v>
      </c>
      <c r="AQ28" s="84" vm="4233">
        <v>5716</v>
      </c>
      <c r="AR28" s="84" vm="4234">
        <v>360</v>
      </c>
      <c r="AS28" s="84" vm="3685">
        <v>394</v>
      </c>
      <c r="AT28" s="84" vm="4236">
        <v>297</v>
      </c>
      <c r="AU28" s="84" vm="4237">
        <v>0</v>
      </c>
      <c r="AV28" s="84" vm="2916">
        <v>47</v>
      </c>
      <c r="AW28" s="84" vm="4238">
        <v>4028</v>
      </c>
      <c r="AX28" s="84" vm="5376">
        <v>4684</v>
      </c>
      <c r="AY28" s="3">
        <f xml:space="preserve"> - SUM( VfM_Metrics_2023_Consol_Source[[#This Row],[Interest capitalised]], VfM_Metrics_2023_Consol_Source[[#This Row],[Interest payable and financing costs]] )</f>
        <v>3927</v>
      </c>
      <c r="AZ28" s="84">
        <v>0</v>
      </c>
      <c r="BA28" s="83" vm="4239">
        <v>-3927</v>
      </c>
      <c r="BB28" s="8">
        <f xml:space="preserve"> IFERROR( ( VfM_Metrics_2023_Consol_Source[[#This Row],[Total Costs]] / VfM_Metrics_2023_Consol_Source[[#This Row],[Total units for costs]] ) * 1000, "n/a" )</f>
        <v>4527.4185204345576</v>
      </c>
      <c r="BC2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17503</v>
      </c>
      <c r="BD28" s="84" vm="4240">
        <v>4119</v>
      </c>
      <c r="BE28" s="83" vm="7353">
        <v>1410</v>
      </c>
      <c r="BF28" s="83" vm="4241">
        <v>3479</v>
      </c>
      <c r="BG28" s="83" vm="4242">
        <v>2073</v>
      </c>
      <c r="BH28" s="83" vm="4243">
        <v>470</v>
      </c>
      <c r="BI28" s="83" vm="4244">
        <v>0</v>
      </c>
      <c r="BJ28" s="83" vm="4238">
        <v>4028</v>
      </c>
      <c r="BK28" s="83" vm="7594">
        <v>47</v>
      </c>
      <c r="BL28" s="83">
        <v>0</v>
      </c>
      <c r="BM28" s="83" vm="4245">
        <v>960</v>
      </c>
      <c r="BN28" s="83" vm="7521">
        <v>917</v>
      </c>
      <c r="BO28" s="83">
        <v>0</v>
      </c>
      <c r="BP28" s="5" vm="4220">
        <f xml:space="preserve"> VfM_Metrics_2023_Consol_Source[[#This Row],[Total social housing units owned and/or managed at period end]]</f>
        <v>3866</v>
      </c>
      <c r="BQ28" s="84" vm="4220">
        <v>3866</v>
      </c>
      <c r="BR28" s="7">
        <f xml:space="preserve"> IFERROR( VfM_Metrics_2023_Consol_Source[[#This Row],[SHL operating surplus / (deficit)]] / VfM_Metrics_2023_Consol_Source[[#This Row],[Turnover from social housing lettings]], "n/a" )</f>
        <v>0.27232308262319377</v>
      </c>
      <c r="BS28" s="5" vm="4586">
        <f xml:space="preserve"> VfM_Metrics_2023_Consol_Source[[#This Row],[Operating surplus/(deficit) (social housing lettings)]]</f>
        <v>5880</v>
      </c>
      <c r="BT28" s="84" vm="4586">
        <v>5880</v>
      </c>
      <c r="BU28" s="5" vm="7431">
        <f xml:space="preserve"> VfM_Metrics_2023_Consol_Source[[#This Row],[Turnover from social housing lettings]]</f>
        <v>21592</v>
      </c>
      <c r="BV28" s="84" vm="7431">
        <v>21592</v>
      </c>
      <c r="BW28" s="7">
        <f xml:space="preserve"> IFERROR( VfM_Metrics_2023_Consol_Source[[#This Row],[Net operating surplus]] / VfM_Metrics_2023_Consol_Source[[#This Row],[Overall turnover]], "n/a" )</f>
        <v>0.18131326049621807</v>
      </c>
      <c r="BX2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4962</v>
      </c>
      <c r="BY28" s="84" vm="7543">
        <v>5716</v>
      </c>
      <c r="BZ28" s="83" vm="4234">
        <v>360</v>
      </c>
      <c r="CA28" s="83" vm="4235">
        <v>394</v>
      </c>
      <c r="CB28" s="5" vm="4246">
        <f xml:space="preserve"> VfM_Metrics_2023_Consol_Source[[#This Row],[Turnover (overall)]]</f>
        <v>27367</v>
      </c>
      <c r="CC28" s="84" vm="4246">
        <v>27367</v>
      </c>
      <c r="CD28" s="7">
        <f xml:space="preserve"> IFERROR( VfM_Metrics_2023_Consol_Source[[#This Row],[Operating surplus including from JVs]] / VfM_Metrics_2023_Consol_Source[[#This Row],[Net assets]], "n/a" )</f>
        <v>3.3125478105658454E-2</v>
      </c>
      <c r="CE28" s="5">
        <f xml:space="preserve"> SUM( VfM_Metrics_2023_Consol_Source[[#This Row],[Operating surplus/(deficit) (overall)3]], VfM_Metrics_2023_Consol_Source[[#This Row],[Share of operating surplus/(deficit) in joint ventures or associates]] )</f>
        <v>5716</v>
      </c>
      <c r="CF28" s="84" vm="4233">
        <v>5716</v>
      </c>
      <c r="CG28" s="83">
        <v>0</v>
      </c>
      <c r="CH28" s="5" vm="4247">
        <f xml:space="preserve"> VfM_Metrics_2023_Consol_Source[[#This Row],[Total assets less current liabilities]]</f>
        <v>172556</v>
      </c>
      <c r="CI28" s="84" vm="4247">
        <v>172556</v>
      </c>
      <c r="CJ28" s="71" vm="4219">
        <f xml:space="preserve"> VfM_Metrics_2023_Consol_Source[[#This Row],[Total social housing units owned (Period end)]]</f>
        <v>3720</v>
      </c>
      <c r="CK28" s="103">
        <v>2.4219590958019376E-3</v>
      </c>
      <c r="CL28" s="6">
        <f xml:space="preserve"> -- ( VfM_Metrics_2023_Consol_Source[[#This Row],[% Supported housing (excl. HOP)]] &gt; 0.3 )</f>
        <v>0</v>
      </c>
      <c r="CM28" s="103">
        <v>7.0505920344456408E-2</v>
      </c>
      <c r="CN28" s="6">
        <f xml:space="preserve"> -- ( VfM_Metrics_2023_Consol_Source[[#This Row],[% Housing for older people]] &gt; 0.3 )</f>
        <v>0</v>
      </c>
      <c r="CO28" s="103">
        <f xml:space="preserve"> VfM_Metrics_2023_Consol_Source[[#This Row],[% Supported housing (excl. HOP)]] + VfM_Metrics_2023_Consol_Source[[#This Row],[% Housing for older people]]</f>
        <v>7.2927879440258345E-2</v>
      </c>
      <c r="CP28" s="6">
        <f xml:space="preserve"> -- ( VfM_Metrics_2023_Consol_Source[[#This Row],[SH specialist in RSH analysis]] + VfM_Metrics_2023_Consol_Source[[#This Row],[OP specialist in RSH analysis]] &gt; 0 )</f>
        <v>0</v>
      </c>
      <c r="CQ28" s="10">
        <f xml:space="preserve"> -- ( VfM_Metrics_2023_Consol_Source[[#This Row],[% SH and OP]] &gt; 0.3 )</f>
        <v>0</v>
      </c>
      <c r="CR28" s="104" t="s">
        <v>143</v>
      </c>
      <c r="CS28" s="124" t="s">
        <v>144</v>
      </c>
      <c r="CT28" s="105"/>
      <c r="CU2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28" s="85">
        <v>0</v>
      </c>
      <c r="CW28" s="85">
        <v>0</v>
      </c>
      <c r="CX28" s="85">
        <v>0</v>
      </c>
      <c r="CY28" s="85">
        <v>0</v>
      </c>
      <c r="CZ28" s="85">
        <v>1</v>
      </c>
      <c r="DA28" s="85">
        <v>0</v>
      </c>
      <c r="DB28" s="85">
        <v>0</v>
      </c>
      <c r="DC28" s="85">
        <v>0</v>
      </c>
      <c r="DD28" s="85">
        <v>0</v>
      </c>
      <c r="DE28" s="13">
        <v>0.96459033333600952</v>
      </c>
    </row>
    <row r="29" spans="1:109" x14ac:dyDescent="0.25">
      <c r="A29" s="4" t="s" vm="294">
        <v>182</v>
      </c>
      <c r="B29" s="2" t="s" vm="19">
        <v>183</v>
      </c>
      <c r="C29" s="72" vm="446">
        <v>45016</v>
      </c>
      <c r="D29" s="7">
        <f>IFERROR( VfM_Metrics_2023_Consol_Source[[#This Row],[Reinvestment Spend]] / VfM_Metrics_2023_Consol_Source[[#This Row],[Net Book Value of Housing Properties]], "n/a" )</f>
        <v>5.24961697453242E-2</v>
      </c>
      <c r="E2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69008</v>
      </c>
      <c r="F29" s="83" vm="3147">
        <v>44582</v>
      </c>
      <c r="G29" s="83" vm="3148">
        <v>0</v>
      </c>
      <c r="H29" s="83" vm="7745">
        <v>21193</v>
      </c>
      <c r="I29" s="83" vm="3149">
        <v>3233</v>
      </c>
      <c r="J29" s="83" vm="3107">
        <v>0</v>
      </c>
      <c r="K29" s="5">
        <f xml:space="preserve"> SUM( VfM_Metrics_2023_Consol_Source[[#This Row],[Tangible fixed assets: Housing properties at cost (Current period)]],VfM_Metrics_2023_Consol_Source[[#This Row],[Tangible fixed assets Housing properties at valuation (Current period)]] )</f>
        <v>1314534</v>
      </c>
      <c r="L29" s="84" vm="3150">
        <v>1314534</v>
      </c>
      <c r="M29" s="83" vm="3151">
        <v>0</v>
      </c>
      <c r="N29" s="7">
        <f xml:space="preserve"> IFERROR( VfM_Metrics_2023_Consol_Source[[#This Row],[Total social units developed or newly built units acquired in-year]] / VfM_Metrics_2023_Consol_Source[[#This Row],[Social housing units owned (period end)]], "n/a" )</f>
        <v>1.3788138878121713E-2</v>
      </c>
      <c r="O29" s="5">
        <f xml:space="preserve"> SUM( VfM_Metrics_2023_Consol_Source[[#This Row],[Total social units developed or newly built units acquired in-year (owned)]], VfM_Metrics_2023_Consol_Source[[#This Row],[Total social leasehold units developed or newly built units acquired in-year (owned)]] )</f>
        <v>249</v>
      </c>
      <c r="P29" s="84" vm="3152">
        <v>223</v>
      </c>
      <c r="Q29" s="83" vm="3126">
        <v>26</v>
      </c>
      <c r="R29" s="5">
        <f xml:space="preserve"> SUM( VfM_Metrics_2023_Consol_Source[[#This Row],[Total social housing units owned (Period end)]], VfM_Metrics_2023_Consol_Source[[#This Row],[Total social leasehold units owned (Period end)]] )</f>
        <v>18059</v>
      </c>
      <c r="S29" s="84" vm="3145">
        <v>17363</v>
      </c>
      <c r="T29" s="83" vm="7580">
        <v>696</v>
      </c>
      <c r="U29" s="86">
        <f xml:space="preserve"> IFERROR( VfM_Metrics_2023_Consol_Source[[#This Row],[Total non-social housing units developed or newly built units acquired (owned)]] / VfM_Metrics_2023_Consol_Source[[#This Row],[Total social and non-social housing units owned (Period end)]], "n/a" )</f>
        <v>0</v>
      </c>
      <c r="V2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9" s="83" vm="3154">
        <v>0</v>
      </c>
      <c r="X29" s="83" vm="3155">
        <v>0</v>
      </c>
      <c r="Y29" s="83" vm="3156">
        <v>0</v>
      </c>
      <c r="Z2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19053</v>
      </c>
      <c r="AA29" s="84" vm="1780">
        <v>17363</v>
      </c>
      <c r="AB29" s="83" vm="3153">
        <v>696</v>
      </c>
      <c r="AC29" s="83" vm="3157">
        <v>994</v>
      </c>
      <c r="AD29" s="83" vm="3158">
        <v>0</v>
      </c>
      <c r="AE29" s="7">
        <f xml:space="preserve"> IFERROR( VfM_Metrics_2023_Consol_Source[[#This Row],[Total Net Debt]] / VfM_Metrics_2023_Consol_Source[[#This Row],[Net Book Value of Housing Properties2]], "n/a" )</f>
        <v>0.63951712165680008</v>
      </c>
      <c r="AF2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840667</v>
      </c>
      <c r="AG29" s="84" vm="3159">
        <v>12500</v>
      </c>
      <c r="AH29" s="83" vm="3160">
        <v>847323</v>
      </c>
      <c r="AI29" s="83" vm="3161">
        <v>19156</v>
      </c>
      <c r="AJ29" s="83" vm="3162">
        <v>0</v>
      </c>
      <c r="AK29" s="83" vm="3163">
        <v>0</v>
      </c>
      <c r="AL29" s="5">
        <f xml:space="preserve"> SUM( VfM_Metrics_2023_Consol_Source[[#This Row],[Tangible fixed assets: Housing properties at cost (Current period)2]], VfM_Metrics_2023_Consol_Source[[#This Row],[Tangible fixed assets Housing properties at valuation (Current period)2]] )</f>
        <v>1314534</v>
      </c>
      <c r="AM29" s="84" vm="6596">
        <v>1314534</v>
      </c>
      <c r="AN29" s="83" vm="2869">
        <v>0</v>
      </c>
      <c r="AO29" s="87">
        <f xml:space="preserve"> IFERROR( VfM_Metrics_2023_Consol_Source[[#This Row],[EBITDA MRI]] / VfM_Metrics_2023_Consol_Source[[#This Row],[Total interest]], "n/a" )</f>
        <v>1.3059675565888986</v>
      </c>
      <c r="AP2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48868</v>
      </c>
      <c r="AQ29" s="84" vm="3121">
        <v>56014</v>
      </c>
      <c r="AR29" s="84" vm="3165">
        <v>7924</v>
      </c>
      <c r="AS29" s="84" vm="3166">
        <v>0</v>
      </c>
      <c r="AT29" s="84" vm="3167">
        <v>0</v>
      </c>
      <c r="AU29" s="84" vm="3168">
        <v>0</v>
      </c>
      <c r="AV29" s="84" vm="3169">
        <v>919</v>
      </c>
      <c r="AW29" s="84" vm="3170">
        <v>21193</v>
      </c>
      <c r="AX29" s="84" vm="3171">
        <v>21052</v>
      </c>
      <c r="AY29" s="3">
        <f xml:space="preserve"> - SUM( VfM_Metrics_2023_Consol_Source[[#This Row],[Interest capitalised]], VfM_Metrics_2023_Consol_Source[[#This Row],[Interest payable and financing costs]] )</f>
        <v>37419</v>
      </c>
      <c r="AZ29" s="84" vm="7765">
        <v>-3233</v>
      </c>
      <c r="BA29" s="83" vm="3172">
        <v>-34186</v>
      </c>
      <c r="BB29" s="8">
        <f xml:space="preserve"> IFERROR( ( VfM_Metrics_2023_Consol_Source[[#This Row],[Total Costs]] / VfM_Metrics_2023_Consol_Source[[#This Row],[Total units for costs]] ) * 1000, "n/a" )</f>
        <v>4054.3108909750617</v>
      </c>
      <c r="BC2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70395</v>
      </c>
      <c r="BD29" s="84" vm="7080">
        <v>17971</v>
      </c>
      <c r="BE29" s="83" vm="3173">
        <v>11573</v>
      </c>
      <c r="BF29" s="83" vm="3174">
        <v>12667</v>
      </c>
      <c r="BG29" s="83" vm="3149">
        <v>4937</v>
      </c>
      <c r="BH29" s="83" vm="3175">
        <v>0</v>
      </c>
      <c r="BI29" s="83" vm="3176">
        <v>0</v>
      </c>
      <c r="BJ29" s="83" vm="3195">
        <v>21193</v>
      </c>
      <c r="BK29" s="83" vm="3177">
        <v>0</v>
      </c>
      <c r="BL29" s="83" vm="7768">
        <v>0</v>
      </c>
      <c r="BM29" s="83" vm="3178">
        <v>0</v>
      </c>
      <c r="BN29" s="83" vm="3179">
        <v>2054</v>
      </c>
      <c r="BO29" s="83" vm="3180">
        <v>0</v>
      </c>
      <c r="BP29" s="5" vm="3146">
        <f xml:space="preserve"> VfM_Metrics_2023_Consol_Source[[#This Row],[Total social housing units owned and/or managed at period end]]</f>
        <v>17363</v>
      </c>
      <c r="BQ29" s="84" vm="3146">
        <v>17363</v>
      </c>
      <c r="BR29" s="7">
        <f xml:space="preserve"> IFERROR( VfM_Metrics_2023_Consol_Source[[#This Row],[SHL operating surplus / (deficit)]] / VfM_Metrics_2023_Consol_Source[[#This Row],[Turnover from social housing lettings]], "n/a" )</f>
        <v>0.38660239997813234</v>
      </c>
      <c r="BS29" s="5" vm="7599">
        <f xml:space="preserve"> VfM_Metrics_2023_Consol_Source[[#This Row],[Operating surplus/(deficit) (social housing lettings)]]</f>
        <v>42430</v>
      </c>
      <c r="BT29" s="84" vm="7599">
        <v>42430</v>
      </c>
      <c r="BU29" s="5" vm="3143">
        <f xml:space="preserve"> VfM_Metrics_2023_Consol_Source[[#This Row],[Turnover from social housing lettings]]</f>
        <v>109751</v>
      </c>
      <c r="BV29" s="84" vm="3143">
        <v>109751</v>
      </c>
      <c r="BW29" s="7">
        <f xml:space="preserve"> IFERROR( VfM_Metrics_2023_Consol_Source[[#This Row],[Net operating surplus]] / VfM_Metrics_2023_Consol_Source[[#This Row],[Overall turnover]], "n/a" )</f>
        <v>0.36156807314065742</v>
      </c>
      <c r="BX2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48090</v>
      </c>
      <c r="BY29" s="84" vm="3164">
        <v>56014</v>
      </c>
      <c r="BZ29" s="83" vm="3165">
        <v>7924</v>
      </c>
      <c r="CA29" s="83" vm="3166">
        <v>0</v>
      </c>
      <c r="CB29" s="5" vm="3273">
        <f xml:space="preserve"> VfM_Metrics_2023_Consol_Source[[#This Row],[Turnover (overall)]]</f>
        <v>133004</v>
      </c>
      <c r="CC29" s="84" vm="3273">
        <v>133004</v>
      </c>
      <c r="CD29" s="7">
        <f xml:space="preserve"> IFERROR( VfM_Metrics_2023_Consol_Source[[#This Row],[Operating surplus including from JVs]] / VfM_Metrics_2023_Consol_Source[[#This Row],[Net assets]], "n/a" )</f>
        <v>4.0759153236486621E-2</v>
      </c>
      <c r="CE29" s="5">
        <f xml:space="preserve"> SUM( VfM_Metrics_2023_Consol_Source[[#This Row],[Operating surplus/(deficit) (overall)3]], VfM_Metrics_2023_Consol_Source[[#This Row],[Share of operating surplus/(deficit) in joint ventures or associates]] )</f>
        <v>56014</v>
      </c>
      <c r="CF29" s="84" vm="3164">
        <v>56014</v>
      </c>
      <c r="CG29" s="83" vm="3181">
        <v>0</v>
      </c>
      <c r="CH29" s="5" vm="3242">
        <f xml:space="preserve"> VfM_Metrics_2023_Consol_Source[[#This Row],[Total assets less current liabilities]]</f>
        <v>1374268</v>
      </c>
      <c r="CI29" s="84" vm="3242">
        <v>1374268</v>
      </c>
      <c r="CJ29" s="71" vm="3145">
        <f xml:space="preserve"> VfM_Metrics_2023_Consol_Source[[#This Row],[Total social housing units owned (Period end)]]</f>
        <v>17363</v>
      </c>
      <c r="CK29" s="103">
        <v>1.1210117849956885E-2</v>
      </c>
      <c r="CL29" s="6">
        <f xml:space="preserve"> -- ( VfM_Metrics_2023_Consol_Source[[#This Row],[% Supported housing (excl. HOP)]] &gt; 0.3 )</f>
        <v>0</v>
      </c>
      <c r="CM29" s="103">
        <v>5.8005173900546131E-2</v>
      </c>
      <c r="CN29" s="6">
        <f xml:space="preserve"> -- ( VfM_Metrics_2023_Consol_Source[[#This Row],[% Housing for older people]] &gt; 0.3 )</f>
        <v>0</v>
      </c>
      <c r="CO29" s="103">
        <f xml:space="preserve"> VfM_Metrics_2023_Consol_Source[[#This Row],[% Supported housing (excl. HOP)]] + VfM_Metrics_2023_Consol_Source[[#This Row],[% Housing for older people]]</f>
        <v>6.9215291750503019E-2</v>
      </c>
      <c r="CP29" s="6">
        <f xml:space="preserve"> -- ( VfM_Metrics_2023_Consol_Source[[#This Row],[SH specialist in RSH analysis]] + VfM_Metrics_2023_Consol_Source[[#This Row],[OP specialist in RSH analysis]] &gt; 0 )</f>
        <v>0</v>
      </c>
      <c r="CQ29" s="10">
        <f xml:space="preserve"> -- ( VfM_Metrics_2023_Consol_Source[[#This Row],[% SH and OP]] &gt; 0.3 )</f>
        <v>0</v>
      </c>
      <c r="CR29" s="104" t="s">
        <v>143</v>
      </c>
      <c r="CS29" s="124" t="s">
        <v>144</v>
      </c>
      <c r="CT29" s="105"/>
      <c r="CU2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29" s="85">
        <v>0</v>
      </c>
      <c r="CW29" s="85">
        <v>0.11513653625896679</v>
      </c>
      <c r="CX29" s="85">
        <v>2.7126409066248721E-3</v>
      </c>
      <c r="CY29" s="85">
        <v>6.8659955392127311E-2</v>
      </c>
      <c r="CZ29" s="85">
        <v>6.0280909036108268E-5</v>
      </c>
      <c r="DA29" s="85">
        <v>0.81337030562420887</v>
      </c>
      <c r="DB29" s="85">
        <v>0</v>
      </c>
      <c r="DC29" s="85">
        <v>0</v>
      </c>
      <c r="DD29" s="85">
        <v>6.0280909036108268E-5</v>
      </c>
      <c r="DE29" s="13">
        <v>1.0090973806214263</v>
      </c>
    </row>
    <row r="30" spans="1:109" x14ac:dyDescent="0.25">
      <c r="A30" s="4" t="s" vm="324">
        <v>184</v>
      </c>
      <c r="B30" s="2" t="s" vm="20">
        <v>185</v>
      </c>
      <c r="C30" s="72" vm="445">
        <v>45016</v>
      </c>
      <c r="D30" s="7">
        <f>IFERROR( VfM_Metrics_2023_Consol_Source[[#This Row],[Reinvestment Spend]] / VfM_Metrics_2023_Consol_Source[[#This Row],[Net Book Value of Housing Properties]], "n/a" )</f>
        <v>3.3688765260392523E-2</v>
      </c>
      <c r="E3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8066</v>
      </c>
      <c r="F30" s="83" vm="4186">
        <v>4734</v>
      </c>
      <c r="G30" s="83" vm="4187">
        <v>0</v>
      </c>
      <c r="H30" s="83" vm="4188">
        <v>2058</v>
      </c>
      <c r="I30" s="83" vm="4189">
        <v>1274</v>
      </c>
      <c r="J30" s="83" vm="4293">
        <v>0</v>
      </c>
      <c r="K30" s="5">
        <f xml:space="preserve"> SUM( VfM_Metrics_2023_Consol_Source[[#This Row],[Tangible fixed assets: Housing properties at cost (Current period)]],VfM_Metrics_2023_Consol_Source[[#This Row],[Tangible fixed assets Housing properties at valuation (Current period)]] )</f>
        <v>239427</v>
      </c>
      <c r="L30" s="84" vm="4190">
        <v>239427</v>
      </c>
      <c r="M30" s="83" vm="4191">
        <v>0</v>
      </c>
      <c r="N30" s="7">
        <f xml:space="preserve"> IFERROR( VfM_Metrics_2023_Consol_Source[[#This Row],[Total social units developed or newly built units acquired in-year]] / VfM_Metrics_2023_Consol_Source[[#This Row],[Social housing units owned (period end)]], "n/a" )</f>
        <v>1.0328638497652582E-2</v>
      </c>
      <c r="O30" s="5">
        <f xml:space="preserve"> SUM( VfM_Metrics_2023_Consol_Source[[#This Row],[Total social units developed or newly built units acquired in-year (owned)]], VfM_Metrics_2023_Consol_Source[[#This Row],[Total social leasehold units developed or newly built units acquired in-year (owned)]] )</f>
        <v>33</v>
      </c>
      <c r="P30" s="84" vm="4192">
        <v>33</v>
      </c>
      <c r="Q30" s="83">
        <v>0</v>
      </c>
      <c r="R30" s="5">
        <f xml:space="preserve"> SUM( VfM_Metrics_2023_Consol_Source[[#This Row],[Total social housing units owned (Period end)]], VfM_Metrics_2023_Consol_Source[[#This Row],[Total social leasehold units owned (Period end)]] )</f>
        <v>3195</v>
      </c>
      <c r="S30" s="84" vm="4184">
        <v>3195</v>
      </c>
      <c r="T30" s="83" vm="4193">
        <v>0</v>
      </c>
      <c r="U30" s="86">
        <f xml:space="preserve"> IFERROR( VfM_Metrics_2023_Consol_Source[[#This Row],[Total non-social housing units developed or newly built units acquired (owned)]] / VfM_Metrics_2023_Consol_Source[[#This Row],[Total social and non-social housing units owned (Period end)]], "n/a" )</f>
        <v>0</v>
      </c>
      <c r="V3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30" s="83">
        <v>0</v>
      </c>
      <c r="X30" s="83">
        <v>0</v>
      </c>
      <c r="Y30" s="83" vm="2304">
        <v>0</v>
      </c>
      <c r="Z3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3216</v>
      </c>
      <c r="AA30" s="84" vm="4184">
        <v>3195</v>
      </c>
      <c r="AB30" s="83" vm="6988">
        <v>0</v>
      </c>
      <c r="AC30" s="83" vm="4194">
        <v>0</v>
      </c>
      <c r="AD30" s="83" vm="4195">
        <v>21</v>
      </c>
      <c r="AE30" s="7">
        <f xml:space="preserve"> IFERROR( VfM_Metrics_2023_Consol_Source[[#This Row],[Total Net Debt]] / VfM_Metrics_2023_Consol_Source[[#This Row],[Net Book Value of Housing Properties2]], "n/a" )</f>
        <v>0.36102026922611069</v>
      </c>
      <c r="AF3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86438</v>
      </c>
      <c r="AG30" s="84" vm="4196">
        <v>6586</v>
      </c>
      <c r="AH30" s="83" vm="6980">
        <v>89972</v>
      </c>
      <c r="AI30" s="83" vm="3946">
        <v>10120</v>
      </c>
      <c r="AJ30" s="83" vm="4197">
        <v>0</v>
      </c>
      <c r="AK30" s="83" vm="4198">
        <v>0</v>
      </c>
      <c r="AL30" s="5">
        <f xml:space="preserve"> SUM( VfM_Metrics_2023_Consol_Source[[#This Row],[Tangible fixed assets: Housing properties at cost (Current period)2]], VfM_Metrics_2023_Consol_Source[[#This Row],[Tangible fixed assets Housing properties at valuation (Current period)2]] )</f>
        <v>239427</v>
      </c>
      <c r="AM30" s="84" vm="7529">
        <v>239427</v>
      </c>
      <c r="AN30" s="83" vm="4191">
        <v>0</v>
      </c>
      <c r="AO30" s="87">
        <f xml:space="preserve"> IFERROR( VfM_Metrics_2023_Consol_Source[[#This Row],[EBITDA MRI]] / VfM_Metrics_2023_Consol_Source[[#This Row],[Total interest]], "n/a" )</f>
        <v>1.0843945607597669</v>
      </c>
      <c r="AP3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5024</v>
      </c>
      <c r="AQ30" s="84" vm="4199">
        <v>4660</v>
      </c>
      <c r="AR30" s="84" vm="4200">
        <v>369</v>
      </c>
      <c r="AS30" s="84" vm="4201">
        <v>0</v>
      </c>
      <c r="AT30" s="84" vm="7432">
        <v>648</v>
      </c>
      <c r="AU30" s="84" vm="4202">
        <v>79</v>
      </c>
      <c r="AV30" s="84" vm="4203">
        <v>63</v>
      </c>
      <c r="AW30" s="84" vm="7393">
        <v>2058</v>
      </c>
      <c r="AX30" s="84" vm="7058">
        <v>3455</v>
      </c>
      <c r="AY30" s="3">
        <f xml:space="preserve"> - SUM( VfM_Metrics_2023_Consol_Source[[#This Row],[Interest capitalised]], VfM_Metrics_2023_Consol_Source[[#This Row],[Interest payable and financing costs]] )</f>
        <v>4633</v>
      </c>
      <c r="AZ30" s="84" vm="4205">
        <v>-1274</v>
      </c>
      <c r="BA30" s="83" vm="4206">
        <v>-3359</v>
      </c>
      <c r="BB30" s="8">
        <f xml:space="preserve"> IFERROR( ( VfM_Metrics_2023_Consol_Source[[#This Row],[Total Costs]] / VfM_Metrics_2023_Consol_Source[[#This Row],[Total units for costs]] ) * 1000, "n/a" )</f>
        <v>4574.0567508574995</v>
      </c>
      <c r="BC3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14669</v>
      </c>
      <c r="BD30" s="84" vm="5459">
        <v>2950</v>
      </c>
      <c r="BE30" s="83" vm="7291">
        <v>1176</v>
      </c>
      <c r="BF30" s="83" vm="4207">
        <v>7364</v>
      </c>
      <c r="BG30" s="83" vm="4208">
        <v>650</v>
      </c>
      <c r="BH30" s="83" vm="4209">
        <v>71</v>
      </c>
      <c r="BI30" s="83" vm="4210">
        <v>285</v>
      </c>
      <c r="BJ30" s="83" vm="4204">
        <v>2058</v>
      </c>
      <c r="BK30" s="83" vm="4211">
        <v>0</v>
      </c>
      <c r="BL30" s="83" vm="4212">
        <v>0</v>
      </c>
      <c r="BM30" s="83" vm="4213">
        <v>49</v>
      </c>
      <c r="BN30" s="83" vm="6987">
        <v>66</v>
      </c>
      <c r="BO30" s="83" vm="4214">
        <v>0</v>
      </c>
      <c r="BP30" s="5" vm="4185">
        <f xml:space="preserve"> VfM_Metrics_2023_Consol_Source[[#This Row],[Total social housing units owned and/or managed at period end]]</f>
        <v>3207</v>
      </c>
      <c r="BQ30" s="84" vm="4185">
        <v>3207</v>
      </c>
      <c r="BR30" s="7">
        <f xml:space="preserve"> IFERROR( VfM_Metrics_2023_Consol_Source[[#This Row],[SHL operating surplus / (deficit)]] / VfM_Metrics_2023_Consol_Source[[#This Row],[Turnover from social housing lettings]], "n/a" )</f>
        <v>0.17319354507143592</v>
      </c>
      <c r="BS30" s="5" vm="7188">
        <f xml:space="preserve"> VfM_Metrics_2023_Consol_Source[[#This Row],[Operating surplus/(deficit) (social housing lettings)]]</f>
        <v>3370</v>
      </c>
      <c r="BT30" s="84" vm="7188">
        <v>3370</v>
      </c>
      <c r="BU30" s="5" vm="4215">
        <f xml:space="preserve"> VfM_Metrics_2023_Consol_Source[[#This Row],[Turnover from social housing lettings]]</f>
        <v>19458</v>
      </c>
      <c r="BV30" s="84" vm="4215">
        <v>19458</v>
      </c>
      <c r="BW30" s="7">
        <f xml:space="preserve"> IFERROR( VfM_Metrics_2023_Consol_Source[[#This Row],[Net operating surplus]] / VfM_Metrics_2023_Consol_Source[[#This Row],[Overall turnover]], "n/a" )</f>
        <v>0.18659766915985387</v>
      </c>
      <c r="BX3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4291</v>
      </c>
      <c r="BY30" s="84" vm="4199">
        <v>4660</v>
      </c>
      <c r="BZ30" s="83" vm="4200">
        <v>369</v>
      </c>
      <c r="CA30" s="83" vm="4201">
        <v>0</v>
      </c>
      <c r="CB30" s="5" vm="4216">
        <f xml:space="preserve"> VfM_Metrics_2023_Consol_Source[[#This Row],[Turnover (overall)]]</f>
        <v>22996</v>
      </c>
      <c r="CC30" s="84" vm="4216">
        <v>22996</v>
      </c>
      <c r="CD30" s="7">
        <f xml:space="preserve"> IFERROR( VfM_Metrics_2023_Consol_Source[[#This Row],[Operating surplus including from JVs]] / VfM_Metrics_2023_Consol_Source[[#This Row],[Net assets]], "n/a" )</f>
        <v>1.9354008065554436E-2</v>
      </c>
      <c r="CE30" s="5">
        <f xml:space="preserve"> SUM( VfM_Metrics_2023_Consol_Source[[#This Row],[Operating surplus/(deficit) (overall)3]], VfM_Metrics_2023_Consol_Source[[#This Row],[Share of operating surplus/(deficit) in joint ventures or associates]] )</f>
        <v>4660</v>
      </c>
      <c r="CF30" s="84" vm="7604">
        <v>4660</v>
      </c>
      <c r="CG30" s="83" vm="4218">
        <v>0</v>
      </c>
      <c r="CH30" s="5" vm="4217">
        <f xml:space="preserve"> VfM_Metrics_2023_Consol_Source[[#This Row],[Total assets less current liabilities]]</f>
        <v>240777</v>
      </c>
      <c r="CI30" s="84" vm="4217">
        <v>240777</v>
      </c>
      <c r="CJ30" s="71" vm="4184">
        <f xml:space="preserve"> VfM_Metrics_2023_Consol_Source[[#This Row],[Total social housing units owned (Period end)]]</f>
        <v>3195</v>
      </c>
      <c r="CK30" s="103">
        <v>5.284680717206669E-2</v>
      </c>
      <c r="CL30" s="6">
        <f xml:space="preserve"> -- ( VfM_Metrics_2023_Consol_Source[[#This Row],[% Supported housing (excl. HOP)]] &gt; 0.3 )</f>
        <v>0</v>
      </c>
      <c r="CM30" s="103">
        <v>1.1953444479396037E-2</v>
      </c>
      <c r="CN30" s="6">
        <f xml:space="preserve"> -- ( VfM_Metrics_2023_Consol_Source[[#This Row],[% Housing for older people]] &gt; 0.3 )</f>
        <v>0</v>
      </c>
      <c r="CO30" s="103">
        <f xml:space="preserve"> VfM_Metrics_2023_Consol_Source[[#This Row],[% Supported housing (excl. HOP)]] + VfM_Metrics_2023_Consol_Source[[#This Row],[% Housing for older people]]</f>
        <v>6.480025165146272E-2</v>
      </c>
      <c r="CP30" s="6">
        <f xml:space="preserve"> -- ( VfM_Metrics_2023_Consol_Source[[#This Row],[SH specialist in RSH analysis]] + VfM_Metrics_2023_Consol_Source[[#This Row],[OP specialist in RSH analysis]] &gt; 0 )</f>
        <v>0</v>
      </c>
      <c r="CQ30" s="10">
        <f xml:space="preserve"> -- ( VfM_Metrics_2023_Consol_Source[[#This Row],[% SH and OP]] &gt; 0.3 )</f>
        <v>0</v>
      </c>
      <c r="CR30" s="104" t="s">
        <v>143</v>
      </c>
      <c r="CS30" s="124" t="s">
        <v>144</v>
      </c>
      <c r="CT30" s="105"/>
      <c r="CU3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30" s="85">
        <v>0</v>
      </c>
      <c r="CW30" s="85">
        <v>0</v>
      </c>
      <c r="CX30" s="85">
        <v>1</v>
      </c>
      <c r="CY30" s="85">
        <v>0</v>
      </c>
      <c r="CZ30" s="85">
        <v>0</v>
      </c>
      <c r="DA30" s="85">
        <v>0</v>
      </c>
      <c r="DB30" s="85">
        <v>0</v>
      </c>
      <c r="DC30" s="85">
        <v>0</v>
      </c>
      <c r="DD30" s="85">
        <v>0</v>
      </c>
      <c r="DE30" s="13">
        <v>0.97511902715076015</v>
      </c>
    </row>
    <row r="31" spans="1:109" x14ac:dyDescent="0.25">
      <c r="A31" s="4" t="s" vm="366">
        <v>186</v>
      </c>
      <c r="B31" s="2" t="s" vm="21">
        <v>187</v>
      </c>
      <c r="C31" s="72" vm="443">
        <v>45016</v>
      </c>
      <c r="D31" s="7">
        <f>IFERROR( VfM_Metrics_2023_Consol_Source[[#This Row],[Reinvestment Spend]] / VfM_Metrics_2023_Consol_Source[[#This Row],[Net Book Value of Housing Properties]], "n/a" )</f>
        <v>5.450266353968302E-2</v>
      </c>
      <c r="E3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19777</v>
      </c>
      <c r="F31" s="83" vm="5644">
        <v>14933</v>
      </c>
      <c r="G31" s="83" vm="5645">
        <v>0</v>
      </c>
      <c r="H31" s="83" vm="5646">
        <v>4430</v>
      </c>
      <c r="I31" s="83" vm="5647">
        <v>414</v>
      </c>
      <c r="J31" s="83" vm="5648">
        <v>0</v>
      </c>
      <c r="K31" s="5">
        <f xml:space="preserve"> SUM( VfM_Metrics_2023_Consol_Source[[#This Row],[Tangible fixed assets: Housing properties at cost (Current period)]],VfM_Metrics_2023_Consol_Source[[#This Row],[Tangible fixed assets Housing properties at valuation (Current period)]] )</f>
        <v>362863</v>
      </c>
      <c r="L31" s="84" vm="5510">
        <v>362863</v>
      </c>
      <c r="M31" s="83">
        <v>0</v>
      </c>
      <c r="N31" s="7">
        <f xml:space="preserve"> IFERROR( VfM_Metrics_2023_Consol_Source[[#This Row],[Total social units developed or newly built units acquired in-year]] / VfM_Metrics_2023_Consol_Source[[#This Row],[Social housing units owned (period end)]], "n/a" )</f>
        <v>1.6526442307692308E-2</v>
      </c>
      <c r="O31" s="5">
        <f xml:space="preserve"> SUM( VfM_Metrics_2023_Consol_Source[[#This Row],[Total social units developed or newly built units acquired in-year (owned)]], VfM_Metrics_2023_Consol_Source[[#This Row],[Total social leasehold units developed or newly built units acquired in-year (owned)]] )</f>
        <v>110</v>
      </c>
      <c r="P31" s="84" vm="6947">
        <v>110</v>
      </c>
      <c r="Q31" s="83">
        <v>0</v>
      </c>
      <c r="R31" s="5">
        <f xml:space="preserve"> SUM( VfM_Metrics_2023_Consol_Source[[#This Row],[Total social housing units owned (Period end)]], VfM_Metrics_2023_Consol_Source[[#This Row],[Total social leasehold units owned (Period end)]] )</f>
        <v>6656</v>
      </c>
      <c r="S31" s="84" vm="7248">
        <v>6656</v>
      </c>
      <c r="T31" s="83" vm="5649">
        <v>0</v>
      </c>
      <c r="U31" s="86">
        <f xml:space="preserve"> IFERROR( VfM_Metrics_2023_Consol_Source[[#This Row],[Total non-social housing units developed or newly built units acquired (owned)]] / VfM_Metrics_2023_Consol_Source[[#This Row],[Total social and non-social housing units owned (Period end)]], "n/a" )</f>
        <v>3.0048076923076925E-4</v>
      </c>
      <c r="V3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v>
      </c>
      <c r="W31" s="83">
        <v>0</v>
      </c>
      <c r="X31" s="83">
        <v>0</v>
      </c>
      <c r="Y31" s="83" vm="5650">
        <v>2</v>
      </c>
      <c r="Z3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6656</v>
      </c>
      <c r="AA31" s="84" vm="5313">
        <v>6656</v>
      </c>
      <c r="AB31" s="83" vm="5649">
        <v>0</v>
      </c>
      <c r="AC31" s="83" vm="5651">
        <v>0</v>
      </c>
      <c r="AD31" s="83" vm="5652">
        <v>0</v>
      </c>
      <c r="AE31" s="7">
        <f xml:space="preserve"> IFERROR( VfM_Metrics_2023_Consol_Source[[#This Row],[Total Net Debt]] / VfM_Metrics_2023_Consol_Source[[#This Row],[Net Book Value of Housing Properties2]], "n/a" )</f>
        <v>0.46793417901522061</v>
      </c>
      <c r="AF3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169796</v>
      </c>
      <c r="AG31" s="84" vm="7009">
        <v>900</v>
      </c>
      <c r="AH31" s="83" vm="5653">
        <v>171655</v>
      </c>
      <c r="AI31" s="83" vm="5654">
        <v>2759</v>
      </c>
      <c r="AJ31" s="83" vm="5655">
        <v>0</v>
      </c>
      <c r="AK31" s="83" vm="5656">
        <v>0</v>
      </c>
      <c r="AL31" s="5">
        <f xml:space="preserve"> SUM( VfM_Metrics_2023_Consol_Source[[#This Row],[Tangible fixed assets: Housing properties at cost (Current period)2]], VfM_Metrics_2023_Consol_Source[[#This Row],[Tangible fixed assets Housing properties at valuation (Current period)2]] )</f>
        <v>362863</v>
      </c>
      <c r="AM31" s="84" vm="5542">
        <v>362863</v>
      </c>
      <c r="AN31" s="83">
        <v>0</v>
      </c>
      <c r="AO31" s="87">
        <f xml:space="preserve"> IFERROR( VfM_Metrics_2023_Consol_Source[[#This Row],[EBITDA MRI]] / VfM_Metrics_2023_Consol_Source[[#This Row],[Total interest]], "n/a" )</f>
        <v>1.338818515449272</v>
      </c>
      <c r="AP3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11309</v>
      </c>
      <c r="AQ31" s="84" vm="7251">
        <v>7923</v>
      </c>
      <c r="AR31" s="84" vm="5658">
        <v>486</v>
      </c>
      <c r="AS31" s="84">
        <v>0</v>
      </c>
      <c r="AT31" s="84" vm="5659">
        <v>132</v>
      </c>
      <c r="AU31" s="84" vm="5660">
        <v>0</v>
      </c>
      <c r="AV31" s="84" vm="5661">
        <v>118</v>
      </c>
      <c r="AW31" s="84" vm="5662">
        <v>4430</v>
      </c>
      <c r="AX31" s="84" vm="5320">
        <v>8316</v>
      </c>
      <c r="AY31" s="3">
        <f xml:space="preserve"> - SUM( VfM_Metrics_2023_Consol_Source[[#This Row],[Interest capitalised]], VfM_Metrics_2023_Consol_Source[[#This Row],[Interest payable and financing costs]] )</f>
        <v>8447</v>
      </c>
      <c r="AZ31" s="84" vm="7250">
        <v>-414</v>
      </c>
      <c r="BA31" s="83" vm="6911">
        <v>-8033</v>
      </c>
      <c r="BB31" s="8">
        <f xml:space="preserve"> IFERROR( ( VfM_Metrics_2023_Consol_Source[[#This Row],[Total Costs]] / VfM_Metrics_2023_Consol_Source[[#This Row],[Total units for costs]] ) * 1000, "n/a" )</f>
        <v>4633.7139423076924</v>
      </c>
      <c r="BC3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30842</v>
      </c>
      <c r="BD31" s="84" vm="5663">
        <v>1457</v>
      </c>
      <c r="BE31" s="83" vm="5664">
        <v>3402</v>
      </c>
      <c r="BF31" s="83" vm="5665">
        <v>9360</v>
      </c>
      <c r="BG31" s="83" vm="5666">
        <v>591</v>
      </c>
      <c r="BH31" s="83" vm="5667">
        <v>5704</v>
      </c>
      <c r="BI31" s="83" vm="5668">
        <v>0</v>
      </c>
      <c r="BJ31" s="83" vm="7280">
        <v>4430</v>
      </c>
      <c r="BK31" s="83" vm="5669">
        <v>0</v>
      </c>
      <c r="BL31" s="83" vm="5670">
        <v>1612</v>
      </c>
      <c r="BM31" s="83" vm="5671">
        <v>107</v>
      </c>
      <c r="BN31" s="83" vm="5672">
        <v>1782</v>
      </c>
      <c r="BO31" s="83" vm="5673">
        <v>2397</v>
      </c>
      <c r="BP31" s="5" vm="5643">
        <f xml:space="preserve"> VfM_Metrics_2023_Consol_Source[[#This Row],[Total social housing units owned and/or managed at period end]]</f>
        <v>6656</v>
      </c>
      <c r="BQ31" s="84" vm="5643">
        <v>6656</v>
      </c>
      <c r="BR31" s="7">
        <f xml:space="preserve"> IFERROR( VfM_Metrics_2023_Consol_Source[[#This Row],[SHL operating surplus / (deficit)]] / VfM_Metrics_2023_Consol_Source[[#This Row],[Turnover from social housing lettings]], "n/a" )</f>
        <v>0.2107843137254902</v>
      </c>
      <c r="BS31" s="5" vm="5674">
        <f xml:space="preserve"> VfM_Metrics_2023_Consol_Source[[#This Row],[Operating surplus/(deficit) (social housing lettings)]]</f>
        <v>7568</v>
      </c>
      <c r="BT31" s="84" vm="5674">
        <v>7568</v>
      </c>
      <c r="BU31" s="5" vm="5675">
        <f xml:space="preserve"> VfM_Metrics_2023_Consol_Source[[#This Row],[Turnover from social housing lettings]]</f>
        <v>35904</v>
      </c>
      <c r="BV31" s="84" vm="5675">
        <v>35904</v>
      </c>
      <c r="BW31" s="7">
        <f xml:space="preserve"> IFERROR( VfM_Metrics_2023_Consol_Source[[#This Row],[Net operating surplus]] / VfM_Metrics_2023_Consol_Source[[#This Row],[Overall turnover]], "n/a" )</f>
        <v>0.169469510527755</v>
      </c>
      <c r="BX3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7437</v>
      </c>
      <c r="BY31" s="84" vm="6939">
        <v>7923</v>
      </c>
      <c r="BZ31" s="83" vm="5658">
        <v>486</v>
      </c>
      <c r="CA31" s="83">
        <v>0</v>
      </c>
      <c r="CB31" s="5" vm="6910">
        <f xml:space="preserve"> VfM_Metrics_2023_Consol_Source[[#This Row],[Turnover (overall)]]</f>
        <v>43884</v>
      </c>
      <c r="CC31" s="84" vm="6910">
        <v>43884</v>
      </c>
      <c r="CD31" s="7">
        <f xml:space="preserve"> IFERROR( VfM_Metrics_2023_Consol_Source[[#This Row],[Operating surplus including from JVs]] / VfM_Metrics_2023_Consol_Source[[#This Row],[Net assets]], "n/a" )</f>
        <v>2.0999427505194859E-2</v>
      </c>
      <c r="CE31" s="5">
        <f xml:space="preserve"> SUM( VfM_Metrics_2023_Consol_Source[[#This Row],[Operating surplus/(deficit) (overall)3]], VfM_Metrics_2023_Consol_Source[[#This Row],[Share of operating surplus/(deficit) in joint ventures or associates]] )</f>
        <v>7923</v>
      </c>
      <c r="CF31" s="84" vm="5657">
        <v>7923</v>
      </c>
      <c r="CG31" s="83">
        <v>0</v>
      </c>
      <c r="CH31" s="5" vm="5676">
        <f xml:space="preserve"> VfM_Metrics_2023_Consol_Source[[#This Row],[Total assets less current liabilities]]</f>
        <v>377296</v>
      </c>
      <c r="CI31" s="84" vm="5676">
        <v>377296</v>
      </c>
      <c r="CJ31" s="71" vm="7248">
        <f xml:space="preserve"> VfM_Metrics_2023_Consol_Source[[#This Row],[Total social housing units owned (Period end)]]</f>
        <v>6656</v>
      </c>
      <c r="CK31" s="103">
        <v>3.896103896103896E-2</v>
      </c>
      <c r="CL31" s="6">
        <f xml:space="preserve"> -- ( VfM_Metrics_2023_Consol_Source[[#This Row],[% Supported housing (excl. HOP)]] &gt; 0.3 )</f>
        <v>0</v>
      </c>
      <c r="CM31" s="103">
        <v>0</v>
      </c>
      <c r="CN31" s="6">
        <f xml:space="preserve"> -- ( VfM_Metrics_2023_Consol_Source[[#This Row],[% Housing for older people]] &gt; 0.3 )</f>
        <v>0</v>
      </c>
      <c r="CO31" s="103">
        <f xml:space="preserve"> VfM_Metrics_2023_Consol_Source[[#This Row],[% Supported housing (excl. HOP)]] + VfM_Metrics_2023_Consol_Source[[#This Row],[% Housing for older people]]</f>
        <v>3.896103896103896E-2</v>
      </c>
      <c r="CP31" s="6">
        <f xml:space="preserve"> -- ( VfM_Metrics_2023_Consol_Source[[#This Row],[SH specialist in RSH analysis]] + VfM_Metrics_2023_Consol_Source[[#This Row],[OP specialist in RSH analysis]] &gt; 0 )</f>
        <v>0</v>
      </c>
      <c r="CQ31" s="10">
        <f xml:space="preserve"> -- ( VfM_Metrics_2023_Consol_Source[[#This Row],[% SH and OP]] &gt; 0.3 )</f>
        <v>0</v>
      </c>
      <c r="CR31" s="104" t="s">
        <v>143</v>
      </c>
      <c r="CS31" s="124"/>
      <c r="CT31" s="105" t="s">
        <v>151</v>
      </c>
      <c r="CU3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31" s="85">
        <v>0</v>
      </c>
      <c r="CW31" s="85">
        <v>0</v>
      </c>
      <c r="CX31" s="85">
        <v>0</v>
      </c>
      <c r="CY31" s="85">
        <v>0</v>
      </c>
      <c r="CZ31" s="85">
        <v>0</v>
      </c>
      <c r="DA31" s="85">
        <v>0</v>
      </c>
      <c r="DB31" s="85">
        <v>4.9586776859504135E-3</v>
      </c>
      <c r="DC31" s="85">
        <v>0</v>
      </c>
      <c r="DD31" s="85">
        <v>0.99504132231404963</v>
      </c>
      <c r="DE31" s="13">
        <v>0.94440256806946365</v>
      </c>
    </row>
    <row r="32" spans="1:109" x14ac:dyDescent="0.25">
      <c r="A32" s="4" t="s" vm="391">
        <v>188</v>
      </c>
      <c r="B32" s="2" t="s" vm="22">
        <v>189</v>
      </c>
      <c r="C32" s="72" vm="528">
        <v>45016</v>
      </c>
      <c r="D32" s="7">
        <f>IFERROR( VfM_Metrics_2023_Consol_Source[[#This Row],[Reinvestment Spend]] / VfM_Metrics_2023_Consol_Source[[#This Row],[Net Book Value of Housing Properties]], "n/a" )</f>
        <v>6.7561674557687509E-2</v>
      </c>
      <c r="E3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23859</v>
      </c>
      <c r="F32" s="83" vm="6626">
        <v>13488</v>
      </c>
      <c r="G32" s="83" vm="6627">
        <v>5445</v>
      </c>
      <c r="H32" s="83" vm="6628">
        <v>4214</v>
      </c>
      <c r="I32" s="83" vm="3149">
        <v>712</v>
      </c>
      <c r="J32" s="83" vm="6629">
        <v>0</v>
      </c>
      <c r="K32" s="5">
        <f xml:space="preserve"> SUM( VfM_Metrics_2023_Consol_Source[[#This Row],[Tangible fixed assets: Housing properties at cost (Current period)]],VfM_Metrics_2023_Consol_Source[[#This Row],[Tangible fixed assets Housing properties at valuation (Current period)]] )</f>
        <v>353144</v>
      </c>
      <c r="L32" s="84" vm="7018">
        <v>353144</v>
      </c>
      <c r="M32" s="83">
        <v>0</v>
      </c>
      <c r="N32" s="7">
        <f xml:space="preserve"> IFERROR( VfM_Metrics_2023_Consol_Source[[#This Row],[Total social units developed or newly built units acquired in-year]] / VfM_Metrics_2023_Consol_Source[[#This Row],[Social housing units owned (period end)]], "n/a" )</f>
        <v>2.487382840663302E-2</v>
      </c>
      <c r="O32" s="5">
        <f xml:space="preserve"> SUM( VfM_Metrics_2023_Consol_Source[[#This Row],[Total social units developed or newly built units acquired in-year (owned)]], VfM_Metrics_2023_Consol_Source[[#This Row],[Total social leasehold units developed or newly built units acquired in-year (owned)]] )</f>
        <v>138</v>
      </c>
      <c r="P32" s="84" vm="6631">
        <v>138</v>
      </c>
      <c r="Q32" s="83">
        <v>0</v>
      </c>
      <c r="R32" s="5">
        <f xml:space="preserve"> SUM( VfM_Metrics_2023_Consol_Source[[#This Row],[Total social housing units owned (Period end)]], VfM_Metrics_2023_Consol_Source[[#This Row],[Total social leasehold units owned (Period end)]] )</f>
        <v>5548</v>
      </c>
      <c r="S32" s="84" vm="6624">
        <v>5548</v>
      </c>
      <c r="T32" s="83" vm="6632">
        <v>0</v>
      </c>
      <c r="U32" s="86">
        <f xml:space="preserve"> IFERROR( VfM_Metrics_2023_Consol_Source[[#This Row],[Total non-social housing units developed or newly built units acquired (owned)]] / VfM_Metrics_2023_Consol_Source[[#This Row],[Total social and non-social housing units owned (Period end)]], "n/a" )</f>
        <v>1.0741138560687433E-2</v>
      </c>
      <c r="V3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60</v>
      </c>
      <c r="W32" s="83">
        <v>0</v>
      </c>
      <c r="X32" s="83">
        <v>0</v>
      </c>
      <c r="Y32" s="83" vm="6633">
        <v>60</v>
      </c>
      <c r="Z3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5586</v>
      </c>
      <c r="AA32" s="84" vm="6624">
        <v>5548</v>
      </c>
      <c r="AB32" s="83" vm="6632">
        <v>0</v>
      </c>
      <c r="AC32" s="83" vm="6634">
        <v>25</v>
      </c>
      <c r="AD32" s="83" vm="6635">
        <v>13</v>
      </c>
      <c r="AE32" s="7">
        <f xml:space="preserve"> IFERROR( VfM_Metrics_2023_Consol_Source[[#This Row],[Total Net Debt]] / VfM_Metrics_2023_Consol_Source[[#This Row],[Net Book Value of Housing Properties2]], "n/a" )</f>
        <v>0.57788607480234688</v>
      </c>
      <c r="AF3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204077</v>
      </c>
      <c r="AG32" s="84" vm="6936">
        <v>6148</v>
      </c>
      <c r="AH32" s="83" vm="6636">
        <v>202379</v>
      </c>
      <c r="AI32" s="83" vm="6637">
        <v>4450</v>
      </c>
      <c r="AJ32" s="83" vm="1675">
        <v>0</v>
      </c>
      <c r="AK32" s="83">
        <v>0</v>
      </c>
      <c r="AL32" s="5">
        <f xml:space="preserve"> SUM( VfM_Metrics_2023_Consol_Source[[#This Row],[Tangible fixed assets: Housing properties at cost (Current period)2]], VfM_Metrics_2023_Consol_Source[[#This Row],[Tangible fixed assets Housing properties at valuation (Current period)2]] )</f>
        <v>353144</v>
      </c>
      <c r="AM32" s="84" vm="6630">
        <v>353144</v>
      </c>
      <c r="AN32" s="83">
        <v>0</v>
      </c>
      <c r="AO32" s="87">
        <f xml:space="preserve"> IFERROR( VfM_Metrics_2023_Consol_Source[[#This Row],[EBITDA MRI]] / VfM_Metrics_2023_Consol_Source[[#This Row],[Total interest]], "n/a" )</f>
        <v>1.1123926380368099</v>
      </c>
      <c r="AP3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9066</v>
      </c>
      <c r="AQ32" s="84" vm="6639">
        <v>8835</v>
      </c>
      <c r="AR32" s="84" vm="6640">
        <v>125</v>
      </c>
      <c r="AS32" s="84" vm="6641">
        <v>0</v>
      </c>
      <c r="AT32" s="84" vm="6642">
        <v>1006</v>
      </c>
      <c r="AU32" s="84" vm="6643">
        <v>0</v>
      </c>
      <c r="AV32" s="84" vm="6644">
        <v>41</v>
      </c>
      <c r="AW32" s="84" vm="7266">
        <v>4214</v>
      </c>
      <c r="AX32" s="84" vm="6646">
        <v>5535</v>
      </c>
      <c r="AY32" s="3">
        <f xml:space="preserve"> - SUM( VfM_Metrics_2023_Consol_Source[[#This Row],[Interest capitalised]], VfM_Metrics_2023_Consol_Source[[#This Row],[Interest payable and financing costs]] )</f>
        <v>8150</v>
      </c>
      <c r="AZ32" s="84" vm="6647">
        <v>-712</v>
      </c>
      <c r="BA32" s="83" vm="6648">
        <v>-7438</v>
      </c>
      <c r="BB32" s="8">
        <f xml:space="preserve"> IFERROR( ( VfM_Metrics_2023_Consol_Source[[#This Row],[Total Costs]] / VfM_Metrics_2023_Consol_Source[[#This Row],[Total units for costs]] ) * 1000, "n/a" )</f>
        <v>3805.2816901408451</v>
      </c>
      <c r="BC3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21614</v>
      </c>
      <c r="BD32" s="84" vm="6405">
        <v>5237</v>
      </c>
      <c r="BE32" s="83" vm="6649">
        <v>3194</v>
      </c>
      <c r="BF32" s="83" vm="6650">
        <v>4745</v>
      </c>
      <c r="BG32" s="83" vm="6651">
        <v>2098</v>
      </c>
      <c r="BH32" s="83" vm="6652">
        <v>1808</v>
      </c>
      <c r="BI32" s="83" vm="6653">
        <v>0</v>
      </c>
      <c r="BJ32" s="83" vm="6645">
        <v>4214</v>
      </c>
      <c r="BK32" s="83" vm="6654">
        <v>0</v>
      </c>
      <c r="BL32" s="83" vm="7017">
        <v>227</v>
      </c>
      <c r="BM32" s="83">
        <v>0</v>
      </c>
      <c r="BN32" s="83" vm="6655">
        <v>61</v>
      </c>
      <c r="BO32" s="83" vm="6656">
        <v>30</v>
      </c>
      <c r="BP32" s="5" vm="6625">
        <f xml:space="preserve"> VfM_Metrics_2023_Consol_Source[[#This Row],[Total social housing units owned and/or managed at period end]]</f>
        <v>5680</v>
      </c>
      <c r="BQ32" s="84" vm="6625">
        <v>5680</v>
      </c>
      <c r="BR32" s="7">
        <f xml:space="preserve"> IFERROR( VfM_Metrics_2023_Consol_Source[[#This Row],[SHL operating surplus / (deficit)]] / VfM_Metrics_2023_Consol_Source[[#This Row],[Turnover from social housing lettings]], "n/a" )</f>
        <v>0.24737756397407631</v>
      </c>
      <c r="BS32" s="5" vm="6657">
        <f xml:space="preserve"> VfM_Metrics_2023_Consol_Source[[#This Row],[Operating surplus/(deficit) (social housing lettings)]]</f>
        <v>7405</v>
      </c>
      <c r="BT32" s="84" vm="6657">
        <v>7405</v>
      </c>
      <c r="BU32" s="5" vm="6658">
        <f xml:space="preserve"> VfM_Metrics_2023_Consol_Source[[#This Row],[Turnover from social housing lettings]]</f>
        <v>29934</v>
      </c>
      <c r="BV32" s="84" vm="6658">
        <v>29934</v>
      </c>
      <c r="BW32" s="7">
        <f xml:space="preserve"> IFERROR( VfM_Metrics_2023_Consol_Source[[#This Row],[Net operating surplus]] / VfM_Metrics_2023_Consol_Source[[#This Row],[Overall turnover]], "n/a" )</f>
        <v>0.24493124490312421</v>
      </c>
      <c r="BX3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8710</v>
      </c>
      <c r="BY32" s="84" vm="6639">
        <v>8835</v>
      </c>
      <c r="BZ32" s="83" vm="6640">
        <v>125</v>
      </c>
      <c r="CA32" s="83" vm="6641">
        <v>0</v>
      </c>
      <c r="CB32" s="5" vm="6659">
        <f xml:space="preserve"> VfM_Metrics_2023_Consol_Source[[#This Row],[Turnover (overall)]]</f>
        <v>35561</v>
      </c>
      <c r="CC32" s="84" vm="6659">
        <v>35561</v>
      </c>
      <c r="CD32" s="7">
        <f xml:space="preserve"> IFERROR( VfM_Metrics_2023_Consol_Source[[#This Row],[Operating surplus including from JVs]] / VfM_Metrics_2023_Consol_Source[[#This Row],[Net assets]], "n/a" )</f>
        <v>2.4111675126903553E-2</v>
      </c>
      <c r="CE32" s="5">
        <f xml:space="preserve"> SUM( VfM_Metrics_2023_Consol_Source[[#This Row],[Operating surplus/(deficit) (overall)3]], VfM_Metrics_2023_Consol_Source[[#This Row],[Share of operating surplus/(deficit) in joint ventures or associates]] )</f>
        <v>8835</v>
      </c>
      <c r="CF32" s="84" vm="6356">
        <v>8835</v>
      </c>
      <c r="CG32" s="83">
        <v>0</v>
      </c>
      <c r="CH32" s="5" vm="6660">
        <f xml:space="preserve"> VfM_Metrics_2023_Consol_Source[[#This Row],[Total assets less current liabilities]]</f>
        <v>366420</v>
      </c>
      <c r="CI32" s="84" vm="6660">
        <v>366420</v>
      </c>
      <c r="CJ32" s="71" vm="6624">
        <f xml:space="preserve"> VfM_Metrics_2023_Consol_Source[[#This Row],[Total social housing units owned (Period end)]]</f>
        <v>5548</v>
      </c>
      <c r="CK32" s="103">
        <v>2.6918879592579121E-2</v>
      </c>
      <c r="CL32" s="6">
        <f xml:space="preserve"> -- ( VfM_Metrics_2023_Consol_Source[[#This Row],[% Supported housing (excl. HOP)]] &gt; 0.3 )</f>
        <v>0</v>
      </c>
      <c r="CM32" s="103">
        <v>0.10894870862131684</v>
      </c>
      <c r="CN32" s="6">
        <f xml:space="preserve"> -- ( VfM_Metrics_2023_Consol_Source[[#This Row],[% Housing for older people]] &gt; 0.3 )</f>
        <v>0</v>
      </c>
      <c r="CO32" s="103">
        <f xml:space="preserve"> VfM_Metrics_2023_Consol_Source[[#This Row],[% Supported housing (excl. HOP)]] + VfM_Metrics_2023_Consol_Source[[#This Row],[% Housing for older people]]</f>
        <v>0.13586758821389597</v>
      </c>
      <c r="CP32" s="6">
        <f xml:space="preserve"> -- ( VfM_Metrics_2023_Consol_Source[[#This Row],[SH specialist in RSH analysis]] + VfM_Metrics_2023_Consol_Source[[#This Row],[OP specialist in RSH analysis]] &gt; 0 )</f>
        <v>0</v>
      </c>
      <c r="CQ32" s="10">
        <f xml:space="preserve"> -- ( VfM_Metrics_2023_Consol_Source[[#This Row],[% SH and OP]] &gt; 0.3 )</f>
        <v>0</v>
      </c>
      <c r="CR32" s="104" t="s">
        <v>143</v>
      </c>
      <c r="CS32" s="124" t="s">
        <v>144</v>
      </c>
      <c r="CT32" s="105"/>
      <c r="CU3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32" s="85">
        <v>0</v>
      </c>
      <c r="CW32" s="85">
        <v>0</v>
      </c>
      <c r="CX32" s="85">
        <v>0</v>
      </c>
      <c r="CY32" s="85">
        <v>0</v>
      </c>
      <c r="CZ32" s="85">
        <v>0</v>
      </c>
      <c r="DA32" s="85">
        <v>1</v>
      </c>
      <c r="DB32" s="85">
        <v>0</v>
      </c>
      <c r="DC32" s="85">
        <v>0</v>
      </c>
      <c r="DD32" s="85">
        <v>0</v>
      </c>
      <c r="DE32" s="13">
        <v>1.0113701298544711</v>
      </c>
    </row>
    <row r="33" spans="1:109" x14ac:dyDescent="0.25">
      <c r="A33" s="4" t="s" vm="263">
        <v>190</v>
      </c>
      <c r="B33" s="2" t="s" vm="23">
        <v>191</v>
      </c>
      <c r="C33" s="72" vm="423">
        <v>45016</v>
      </c>
      <c r="D33" s="7">
        <f>IFERROR( VfM_Metrics_2023_Consol_Source[[#This Row],[Reinvestment Spend]] / VfM_Metrics_2023_Consol_Source[[#This Row],[Net Book Value of Housing Properties]], "n/a" )</f>
        <v>8.8339775669742729E-2</v>
      </c>
      <c r="E3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243829</v>
      </c>
      <c r="F33" s="83" vm="7100">
        <v>197576</v>
      </c>
      <c r="G33" s="83" vm="2115">
        <v>0</v>
      </c>
      <c r="H33" s="83" vm="7900">
        <v>42788</v>
      </c>
      <c r="I33" s="83" vm="2116">
        <v>3465</v>
      </c>
      <c r="J33" s="83" vm="2117">
        <v>0</v>
      </c>
      <c r="K33" s="5">
        <f xml:space="preserve"> SUM( VfM_Metrics_2023_Consol_Source[[#This Row],[Tangible fixed assets: Housing properties at cost (Current period)]],VfM_Metrics_2023_Consol_Source[[#This Row],[Tangible fixed assets Housing properties at valuation (Current period)]] )</f>
        <v>2760127</v>
      </c>
      <c r="L33" s="84" vm="7993">
        <v>2760127</v>
      </c>
      <c r="M33" s="83">
        <v>0</v>
      </c>
      <c r="N33" s="7">
        <f xml:space="preserve"> IFERROR( VfM_Metrics_2023_Consol_Source[[#This Row],[Total social units developed or newly built units acquired in-year]] / VfM_Metrics_2023_Consol_Source[[#This Row],[Social housing units owned (period end)]], "n/a" )</f>
        <v>2.8329942087963689E-2</v>
      </c>
      <c r="O33" s="5">
        <f xml:space="preserve"> SUM( VfM_Metrics_2023_Consol_Source[[#This Row],[Total social units developed or newly built units acquired in-year (owned)]], VfM_Metrics_2023_Consol_Source[[#This Row],[Total social leasehold units developed or newly built units acquired in-year (owned)]] )</f>
        <v>1267</v>
      </c>
      <c r="P33" s="84" vm="2119">
        <v>1267</v>
      </c>
      <c r="Q33" s="83">
        <v>0</v>
      </c>
      <c r="R33" s="5">
        <f xml:space="preserve"> SUM( VfM_Metrics_2023_Consol_Source[[#This Row],[Total social housing units owned (Period end)]], VfM_Metrics_2023_Consol_Source[[#This Row],[Total social leasehold units owned (Period end)]] )</f>
        <v>44723</v>
      </c>
      <c r="S33" s="84" vm="2114">
        <v>42808</v>
      </c>
      <c r="T33" s="83" vm="2120">
        <v>1915</v>
      </c>
      <c r="U33" s="86">
        <f xml:space="preserve"> IFERROR( VfM_Metrics_2023_Consol_Source[[#This Row],[Total non-social housing units developed or newly built units acquired (owned)]] / VfM_Metrics_2023_Consol_Source[[#This Row],[Total social and non-social housing units owned (Period end)]], "n/a" )</f>
        <v>0</v>
      </c>
      <c r="V3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33" s="83">
        <v>0</v>
      </c>
      <c r="X33" s="83">
        <v>0</v>
      </c>
      <c r="Y33" s="83" vm="8123">
        <v>0</v>
      </c>
      <c r="Z3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44902</v>
      </c>
      <c r="AA33" s="84" vm="2114">
        <v>42808</v>
      </c>
      <c r="AB33" s="83" vm="2120">
        <v>1915</v>
      </c>
      <c r="AC33" s="83" vm="2121">
        <v>179</v>
      </c>
      <c r="AD33" s="83" vm="2122">
        <v>0</v>
      </c>
      <c r="AE33" s="7">
        <f xml:space="preserve"> IFERROR( VfM_Metrics_2023_Consol_Source[[#This Row],[Total Net Debt]] / VfM_Metrics_2023_Consol_Source[[#This Row],[Net Book Value of Housing Properties2]], "n/a" )</f>
        <v>0.46379894838172303</v>
      </c>
      <c r="AF3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1280144</v>
      </c>
      <c r="AG33" s="84" vm="4196">
        <v>15161</v>
      </c>
      <c r="AH33" s="83" vm="2123">
        <v>1390674</v>
      </c>
      <c r="AI33" s="83" vm="2124">
        <v>125691</v>
      </c>
      <c r="AJ33" s="83" vm="1675">
        <v>0</v>
      </c>
      <c r="AK33" s="83">
        <v>0</v>
      </c>
      <c r="AL33" s="5">
        <f xml:space="preserve"> SUM( VfM_Metrics_2023_Consol_Source[[#This Row],[Tangible fixed assets: Housing properties at cost (Current period)2]], VfM_Metrics_2023_Consol_Source[[#This Row],[Tangible fixed assets Housing properties at valuation (Current period)2]] )</f>
        <v>2760127</v>
      </c>
      <c r="AM33" s="84" vm="2118">
        <v>2760127</v>
      </c>
      <c r="AN33" s="83">
        <v>0</v>
      </c>
      <c r="AO33" s="87">
        <f xml:space="preserve"> IFERROR( VfM_Metrics_2023_Consol_Source[[#This Row],[EBITDA MRI]] / VfM_Metrics_2023_Consol_Source[[#This Row],[Total interest]], "n/a" )</f>
        <v>1.8740396530359356</v>
      </c>
      <c r="AP3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90741</v>
      </c>
      <c r="AQ33" s="84" vm="2125">
        <v>106384</v>
      </c>
      <c r="AR33" s="84" vm="2126">
        <v>15242</v>
      </c>
      <c r="AS33" s="84">
        <v>0</v>
      </c>
      <c r="AT33" s="84" vm="2127">
        <v>4668</v>
      </c>
      <c r="AU33" s="84" vm="2128">
        <v>0</v>
      </c>
      <c r="AV33" s="84" vm="2129">
        <v>2242</v>
      </c>
      <c r="AW33" s="84" vm="2987">
        <v>42788</v>
      </c>
      <c r="AX33" s="84" vm="7635">
        <v>44813</v>
      </c>
      <c r="AY33" s="3">
        <f xml:space="preserve"> - SUM( VfM_Metrics_2023_Consol_Source[[#This Row],[Interest capitalised]], VfM_Metrics_2023_Consol_Source[[#This Row],[Interest payable and financing costs]] )</f>
        <v>48420</v>
      </c>
      <c r="AZ33" s="84" vm="2130">
        <v>-4182</v>
      </c>
      <c r="BA33" s="83" vm="4206">
        <v>-44238</v>
      </c>
      <c r="BB33" s="8">
        <f xml:space="preserve"> IFERROR( ( VfM_Metrics_2023_Consol_Source[[#This Row],[Total Costs]] / VfM_Metrics_2023_Consol_Source[[#This Row],[Total units for costs]] ) * 1000, "n/a" )</f>
        <v>3950.0638125072514</v>
      </c>
      <c r="BC3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170228</v>
      </c>
      <c r="BD33" s="84" vm="2131">
        <v>41417</v>
      </c>
      <c r="BE33" s="83" vm="2132">
        <v>20265</v>
      </c>
      <c r="BF33" s="83" vm="8087">
        <v>33294</v>
      </c>
      <c r="BG33" s="83" vm="4020">
        <v>13739</v>
      </c>
      <c r="BH33" s="83" vm="2134">
        <v>12825</v>
      </c>
      <c r="BI33" s="83" vm="2135">
        <v>0</v>
      </c>
      <c r="BJ33" s="83" vm="7773">
        <v>42788</v>
      </c>
      <c r="BK33" s="83" vm="7634">
        <v>0</v>
      </c>
      <c r="BL33" s="83" vm="2136">
        <v>3098</v>
      </c>
      <c r="BM33" s="83">
        <v>0</v>
      </c>
      <c r="BN33" s="83" vm="2137">
        <v>1793</v>
      </c>
      <c r="BO33" s="83" vm="2138">
        <v>1009</v>
      </c>
      <c r="BP33" s="5" vm="7772">
        <f xml:space="preserve"> VfM_Metrics_2023_Consol_Source[[#This Row],[Total social housing units owned and/or managed at period end]]</f>
        <v>43095</v>
      </c>
      <c r="BQ33" s="84" vm="7772">
        <v>43095</v>
      </c>
      <c r="BR33" s="7">
        <f xml:space="preserve"> IFERROR( VfM_Metrics_2023_Consol_Source[[#This Row],[SHL operating surplus / (deficit)]] / VfM_Metrics_2023_Consol_Source[[#This Row],[Turnover from social housing lettings]], "n/a" )</f>
        <v>0.3350845784462998</v>
      </c>
      <c r="BS33" s="5" vm="2139">
        <f xml:space="preserve"> VfM_Metrics_2023_Consol_Source[[#This Row],[Operating surplus/(deficit) (social housing lettings)]]</f>
        <v>80108</v>
      </c>
      <c r="BT33" s="84" vm="2139">
        <v>80108</v>
      </c>
      <c r="BU33" s="5" vm="2140">
        <f xml:space="preserve"> VfM_Metrics_2023_Consol_Source[[#This Row],[Turnover from social housing lettings]]</f>
        <v>239068</v>
      </c>
      <c r="BV33" s="84" vm="2140">
        <v>239068</v>
      </c>
      <c r="BW33" s="7">
        <f xml:space="preserve"> IFERROR( VfM_Metrics_2023_Consol_Source[[#This Row],[Net operating surplus]] / VfM_Metrics_2023_Consol_Source[[#This Row],[Overall turnover]], "n/a" )</f>
        <v>0.31442913080227003</v>
      </c>
      <c r="BX3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91142</v>
      </c>
      <c r="BY33" s="84" vm="4330">
        <v>106384</v>
      </c>
      <c r="BZ33" s="83" vm="2126">
        <v>15242</v>
      </c>
      <c r="CA33" s="83">
        <v>0</v>
      </c>
      <c r="CB33" s="5" vm="7959">
        <f xml:space="preserve"> VfM_Metrics_2023_Consol_Source[[#This Row],[Turnover (overall)]]</f>
        <v>289865</v>
      </c>
      <c r="CC33" s="84" vm="7959">
        <v>289865</v>
      </c>
      <c r="CD33" s="7">
        <f xml:space="preserve"> IFERROR( VfM_Metrics_2023_Consol_Source[[#This Row],[Operating surplus including from JVs]] / VfM_Metrics_2023_Consol_Source[[#This Row],[Net assets]], "n/a" )</f>
        <v>3.554139625195691E-2</v>
      </c>
      <c r="CE33" s="5">
        <f xml:space="preserve"> SUM( VfM_Metrics_2023_Consol_Source[[#This Row],[Operating surplus/(deficit) (overall)3]], VfM_Metrics_2023_Consol_Source[[#This Row],[Share of operating surplus/(deficit) in joint ventures or associates]] )</f>
        <v>106384</v>
      </c>
      <c r="CF33" s="84" vm="2125">
        <v>106384</v>
      </c>
      <c r="CG33" s="83">
        <v>0</v>
      </c>
      <c r="CH33" s="5" vm="2142">
        <f xml:space="preserve"> VfM_Metrics_2023_Consol_Source[[#This Row],[Total assets less current liabilities]]</f>
        <v>2993242</v>
      </c>
      <c r="CI33" s="84" vm="2142">
        <v>2993242</v>
      </c>
      <c r="CJ33" s="71" vm="2114">
        <f xml:space="preserve"> VfM_Metrics_2023_Consol_Source[[#This Row],[Total social housing units owned (Period end)]]</f>
        <v>42808</v>
      </c>
      <c r="CK33" s="103">
        <v>1.9520789288231147E-2</v>
      </c>
      <c r="CL33" s="6">
        <f xml:space="preserve"> -- ( VfM_Metrics_2023_Consol_Source[[#This Row],[% Supported housing (excl. HOP)]] &gt; 0.3 )</f>
        <v>0</v>
      </c>
      <c r="CM33" s="103">
        <v>6.0018792576932115E-2</v>
      </c>
      <c r="CN33" s="6">
        <f xml:space="preserve"> -- ( VfM_Metrics_2023_Consol_Source[[#This Row],[% Housing for older people]] &gt; 0.3 )</f>
        <v>0</v>
      </c>
      <c r="CO33" s="103">
        <f xml:space="preserve"> VfM_Metrics_2023_Consol_Source[[#This Row],[% Supported housing (excl. HOP)]] + VfM_Metrics_2023_Consol_Source[[#This Row],[% Housing for older people]]</f>
        <v>7.9539581865163259E-2</v>
      </c>
      <c r="CP33" s="6">
        <f xml:space="preserve"> -- ( VfM_Metrics_2023_Consol_Source[[#This Row],[SH specialist in RSH analysis]] + VfM_Metrics_2023_Consol_Source[[#This Row],[OP specialist in RSH analysis]] &gt; 0 )</f>
        <v>0</v>
      </c>
      <c r="CQ33" s="10">
        <f xml:space="preserve"> -- ( VfM_Metrics_2023_Consol_Source[[#This Row],[% SH and OP]] &gt; 0.3 )</f>
        <v>0</v>
      </c>
      <c r="CR33" s="104" t="s">
        <v>143</v>
      </c>
      <c r="CS33" s="124" t="s">
        <v>144</v>
      </c>
      <c r="CT33" s="105"/>
      <c r="CU3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33" s="85">
        <v>0</v>
      </c>
      <c r="CW33" s="85">
        <v>3.6137801734239514E-2</v>
      </c>
      <c r="CX33" s="85">
        <v>0.47932973986407312</v>
      </c>
      <c r="CY33" s="85">
        <v>2.3505976095617529E-2</v>
      </c>
      <c r="CZ33" s="85">
        <v>0.46102648230606985</v>
      </c>
      <c r="DA33" s="85">
        <v>0</v>
      </c>
      <c r="DB33" s="85">
        <v>0</v>
      </c>
      <c r="DC33" s="85">
        <v>0</v>
      </c>
      <c r="DD33" s="85">
        <v>0</v>
      </c>
      <c r="DE33" s="13">
        <v>0.97161182473697183</v>
      </c>
    </row>
    <row r="34" spans="1:109" x14ac:dyDescent="0.25">
      <c r="A34" s="4" t="s" vm="323">
        <v>192</v>
      </c>
      <c r="B34" s="2" t="s" vm="24">
        <v>193</v>
      </c>
      <c r="C34" s="72" vm="407">
        <v>45016</v>
      </c>
      <c r="D34" s="7">
        <f>IFERROR( VfM_Metrics_2023_Consol_Source[[#This Row],[Reinvestment Spend]] / VfM_Metrics_2023_Consol_Source[[#This Row],[Net Book Value of Housing Properties]], "n/a" )</f>
        <v>0.1026080678639112</v>
      </c>
      <c r="E3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17055</v>
      </c>
      <c r="F34" s="83" vm="4147">
        <v>7960</v>
      </c>
      <c r="G34" s="83" vm="4148">
        <v>3394</v>
      </c>
      <c r="H34" s="83" vm="7060">
        <v>5701</v>
      </c>
      <c r="I34" s="83" vm="4149">
        <v>0</v>
      </c>
      <c r="J34" s="83" vm="7532">
        <v>0</v>
      </c>
      <c r="K34" s="5">
        <f xml:space="preserve"> SUM( VfM_Metrics_2023_Consol_Source[[#This Row],[Tangible fixed assets: Housing properties at cost (Current period)]],VfM_Metrics_2023_Consol_Source[[#This Row],[Tangible fixed assets Housing properties at valuation (Current period)]] )</f>
        <v>166215</v>
      </c>
      <c r="L34" s="84" vm="7524">
        <v>166215</v>
      </c>
      <c r="M34" s="83" vm="7166">
        <v>0</v>
      </c>
      <c r="N34" s="7">
        <f xml:space="preserve"> IFERROR( VfM_Metrics_2023_Consol_Source[[#This Row],[Total social units developed or newly built units acquired in-year]] / VfM_Metrics_2023_Consol_Source[[#This Row],[Social housing units owned (period end)]], "n/a" )</f>
        <v>4.4737461737697198E-3</v>
      </c>
      <c r="O34" s="5">
        <f xml:space="preserve"> SUM( VfM_Metrics_2023_Consol_Source[[#This Row],[Total social units developed or newly built units acquired in-year (owned)]], VfM_Metrics_2023_Consol_Source[[#This Row],[Total social leasehold units developed or newly built units acquired in-year (owned)]] )</f>
        <v>19</v>
      </c>
      <c r="P34" s="84" vm="4152">
        <v>19</v>
      </c>
      <c r="Q34" s="83" vm="7484">
        <v>0</v>
      </c>
      <c r="R34" s="5">
        <f xml:space="preserve"> SUM( VfM_Metrics_2023_Consol_Source[[#This Row],[Total social housing units owned (Period end)]], VfM_Metrics_2023_Consol_Source[[#This Row],[Total social leasehold units owned (Period end)]] )</f>
        <v>4247</v>
      </c>
      <c r="S34" s="84" vm="4145">
        <v>4072</v>
      </c>
      <c r="T34" s="83" vm="4154">
        <v>175</v>
      </c>
      <c r="U34" s="86">
        <f xml:space="preserve"> IFERROR( VfM_Metrics_2023_Consol_Source[[#This Row],[Total non-social housing units developed or newly built units acquired (owned)]] / VfM_Metrics_2023_Consol_Source[[#This Row],[Total social and non-social housing units owned (Period end)]], "n/a" )</f>
        <v>0</v>
      </c>
      <c r="V3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34" s="83" vm="4155">
        <v>0</v>
      </c>
      <c r="X34" s="83" vm="4156">
        <v>0</v>
      </c>
      <c r="Y34" s="83" vm="4157">
        <v>0</v>
      </c>
      <c r="Z3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4334</v>
      </c>
      <c r="AA34" s="84" vm="4145">
        <v>4072</v>
      </c>
      <c r="AB34" s="83" vm="4154">
        <v>175</v>
      </c>
      <c r="AC34" s="83" vm="4158">
        <v>87</v>
      </c>
      <c r="AD34" s="83" vm="4159">
        <v>0</v>
      </c>
      <c r="AE34" s="7">
        <f xml:space="preserve"> IFERROR( VfM_Metrics_2023_Consol_Source[[#This Row],[Total Net Debt]] / VfM_Metrics_2023_Consol_Source[[#This Row],[Net Book Value of Housing Properties2]], "n/a" )</f>
        <v>0.49074993231657793</v>
      </c>
      <c r="AF3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81570</v>
      </c>
      <c r="AG34" s="84" vm="4160">
        <v>0</v>
      </c>
      <c r="AH34" s="83" vm="4161">
        <v>92200</v>
      </c>
      <c r="AI34" s="83" vm="7405">
        <v>10630</v>
      </c>
      <c r="AJ34" s="83" vm="4162">
        <v>0</v>
      </c>
      <c r="AK34" s="83" vm="4163">
        <v>0</v>
      </c>
      <c r="AL34" s="5">
        <f xml:space="preserve"> SUM( VfM_Metrics_2023_Consol_Source[[#This Row],[Tangible fixed assets: Housing properties at cost (Current period)2]], VfM_Metrics_2023_Consol_Source[[#This Row],[Tangible fixed assets Housing properties at valuation (Current period)2]] )</f>
        <v>166215</v>
      </c>
      <c r="AM34" s="84" vm="4150">
        <v>166215</v>
      </c>
      <c r="AN34" s="83" vm="4151">
        <v>0</v>
      </c>
      <c r="AO34" s="87">
        <f xml:space="preserve"> IFERROR( VfM_Metrics_2023_Consol_Source[[#This Row],[EBITDA MRI]] / VfM_Metrics_2023_Consol_Source[[#This Row],[Total interest]], "n/a" )</f>
        <v>1.0940241228070176</v>
      </c>
      <c r="AP3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3991</v>
      </c>
      <c r="AQ34" s="84" vm="4164">
        <v>5655</v>
      </c>
      <c r="AR34" s="84" vm="4165">
        <v>863</v>
      </c>
      <c r="AS34" s="84" vm="4166">
        <v>0</v>
      </c>
      <c r="AT34" s="84" vm="6981">
        <v>223</v>
      </c>
      <c r="AU34" s="84" vm="4167">
        <v>0</v>
      </c>
      <c r="AV34" s="84" vm="4168">
        <v>176</v>
      </c>
      <c r="AW34" s="84" vm="4169">
        <v>5701</v>
      </c>
      <c r="AX34" s="84" vm="4401">
        <v>4947</v>
      </c>
      <c r="AY34" s="3">
        <f xml:space="preserve"> - SUM( VfM_Metrics_2023_Consol_Source[[#This Row],[Interest capitalised]], VfM_Metrics_2023_Consol_Source[[#This Row],[Interest payable and financing costs]] )</f>
        <v>3648</v>
      </c>
      <c r="AZ34" s="84" vm="4170">
        <v>0</v>
      </c>
      <c r="BA34" s="83" vm="4171">
        <v>-3648</v>
      </c>
      <c r="BB34" s="8">
        <f xml:space="preserve"> IFERROR( ( VfM_Metrics_2023_Consol_Source[[#This Row],[Total Costs]] / VfM_Metrics_2023_Consol_Source[[#This Row],[Total units for costs]] ) * 1000, "n/a" )</f>
        <v>4641.9449901768176</v>
      </c>
      <c r="BC3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18902</v>
      </c>
      <c r="BD34" s="84" vm="4172">
        <v>6640</v>
      </c>
      <c r="BE34" s="83" vm="7059">
        <v>1434</v>
      </c>
      <c r="BF34" s="83" vm="4173">
        <v>3578</v>
      </c>
      <c r="BG34" s="83" vm="4174">
        <v>1108</v>
      </c>
      <c r="BH34" s="83" vm="4175">
        <v>0</v>
      </c>
      <c r="BI34" s="83" vm="4176">
        <v>0</v>
      </c>
      <c r="BJ34" s="83" vm="4169">
        <v>5701</v>
      </c>
      <c r="BK34" s="83" vm="7066">
        <v>106</v>
      </c>
      <c r="BL34" s="83" vm="4177">
        <v>0</v>
      </c>
      <c r="BM34" s="83" vm="4153">
        <v>0</v>
      </c>
      <c r="BN34" s="83" vm="4178">
        <v>335</v>
      </c>
      <c r="BO34" s="83" vm="4179">
        <v>0</v>
      </c>
      <c r="BP34" s="5" vm="4146">
        <f xml:space="preserve"> VfM_Metrics_2023_Consol_Source[[#This Row],[Total social housing units owned and/or managed at period end]]</f>
        <v>4072</v>
      </c>
      <c r="BQ34" s="84" vm="4146">
        <v>4072</v>
      </c>
      <c r="BR34" s="7">
        <f xml:space="preserve"> IFERROR( VfM_Metrics_2023_Consol_Source[[#This Row],[SHL operating surplus / (deficit)]] / VfM_Metrics_2023_Consol_Source[[#This Row],[Turnover from social housing lettings]], "n/a" )</f>
        <v>0.16626862820022928</v>
      </c>
      <c r="BS34" s="5" vm="4180">
        <f xml:space="preserve"> VfM_Metrics_2023_Consol_Source[[#This Row],[Operating surplus/(deficit) (social housing lettings)]]</f>
        <v>3481</v>
      </c>
      <c r="BT34" s="84" vm="4180">
        <v>3481</v>
      </c>
      <c r="BU34" s="5" vm="7544">
        <f xml:space="preserve"> VfM_Metrics_2023_Consol_Source[[#This Row],[Turnover from social housing lettings]]</f>
        <v>20936</v>
      </c>
      <c r="BV34" s="84" vm="7544">
        <v>20936</v>
      </c>
      <c r="BW34" s="7">
        <f xml:space="preserve"> IFERROR( VfM_Metrics_2023_Consol_Source[[#This Row],[Net operating surplus]] / VfM_Metrics_2023_Consol_Source[[#This Row],[Overall turnover]], "n/a" )</f>
        <v>0.20164106879865348</v>
      </c>
      <c r="BX3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4792</v>
      </c>
      <c r="BY34" s="84" vm="4164">
        <v>5655</v>
      </c>
      <c r="BZ34" s="83" vm="4165">
        <v>863</v>
      </c>
      <c r="CA34" s="83" vm="4166">
        <v>0</v>
      </c>
      <c r="CB34" s="5" vm="4181">
        <f xml:space="preserve"> VfM_Metrics_2023_Consol_Source[[#This Row],[Turnover (overall)]]</f>
        <v>23765</v>
      </c>
      <c r="CC34" s="84" vm="4181">
        <v>23765</v>
      </c>
      <c r="CD34" s="7">
        <f xml:space="preserve"> IFERROR( VfM_Metrics_2023_Consol_Source[[#This Row],[Operating surplus including from JVs]] / VfM_Metrics_2023_Consol_Source[[#This Row],[Net assets]], "n/a" )</f>
        <v>2.961523757652567E-2</v>
      </c>
      <c r="CE34" s="5">
        <f xml:space="preserve"> SUM( VfM_Metrics_2023_Consol_Source[[#This Row],[Operating surplus/(deficit) (overall)3]], VfM_Metrics_2023_Consol_Source[[#This Row],[Share of operating surplus/(deficit) in joint ventures or associates]] )</f>
        <v>5655</v>
      </c>
      <c r="CF34" s="84" vm="4164">
        <v>5655</v>
      </c>
      <c r="CG34" s="83" vm="4183">
        <v>0</v>
      </c>
      <c r="CH34" s="5" vm="4182">
        <f xml:space="preserve"> VfM_Metrics_2023_Consol_Source[[#This Row],[Total assets less current liabilities]]</f>
        <v>190949</v>
      </c>
      <c r="CI34" s="84" vm="4182">
        <v>190949</v>
      </c>
      <c r="CJ34" s="71" vm="4145">
        <f xml:space="preserve"> VfM_Metrics_2023_Consol_Source[[#This Row],[Total social housing units owned (Period end)]]</f>
        <v>4072</v>
      </c>
      <c r="CK34" s="103">
        <v>7.5150300601202404E-4</v>
      </c>
      <c r="CL34" s="6">
        <f xml:space="preserve"> -- ( VfM_Metrics_2023_Consol_Source[[#This Row],[% Supported housing (excl. HOP)]] &gt; 0.3 )</f>
        <v>0</v>
      </c>
      <c r="CM34" s="103">
        <v>0.22870741482965931</v>
      </c>
      <c r="CN34" s="6">
        <f xml:space="preserve"> -- ( VfM_Metrics_2023_Consol_Source[[#This Row],[% Housing for older people]] &gt; 0.3 )</f>
        <v>0</v>
      </c>
      <c r="CO34" s="103">
        <f xml:space="preserve"> VfM_Metrics_2023_Consol_Source[[#This Row],[% Supported housing (excl. HOP)]] + VfM_Metrics_2023_Consol_Source[[#This Row],[% Housing for older people]]</f>
        <v>0.22945891783567132</v>
      </c>
      <c r="CP34" s="6">
        <f xml:space="preserve"> -- ( VfM_Metrics_2023_Consol_Source[[#This Row],[SH specialist in RSH analysis]] + VfM_Metrics_2023_Consol_Source[[#This Row],[OP specialist in RSH analysis]] &gt; 0 )</f>
        <v>0</v>
      </c>
      <c r="CQ34" s="10">
        <f xml:space="preserve"> -- ( VfM_Metrics_2023_Consol_Source[[#This Row],[% SH and OP]] &gt; 0.3 )</f>
        <v>0</v>
      </c>
      <c r="CR34" s="104" t="s">
        <v>143</v>
      </c>
      <c r="CS34" s="124"/>
      <c r="CT34" s="105" t="s">
        <v>151</v>
      </c>
      <c r="CU3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34" s="85">
        <v>0</v>
      </c>
      <c r="CW34" s="85">
        <v>0</v>
      </c>
      <c r="CX34" s="85">
        <v>0</v>
      </c>
      <c r="CY34" s="85">
        <v>0</v>
      </c>
      <c r="CZ34" s="85">
        <v>1</v>
      </c>
      <c r="DA34" s="85">
        <v>0</v>
      </c>
      <c r="DB34" s="85">
        <v>0</v>
      </c>
      <c r="DC34" s="85">
        <v>0</v>
      </c>
      <c r="DD34" s="85">
        <v>0</v>
      </c>
      <c r="DE34" s="13">
        <v>0.96459033333600952</v>
      </c>
    </row>
    <row r="35" spans="1:109" x14ac:dyDescent="0.25">
      <c r="A35" s="4" t="s" vm="211">
        <v>194</v>
      </c>
      <c r="B35" s="2" t="s" vm="25">
        <v>195</v>
      </c>
      <c r="C35" s="72" vm="404">
        <v>45016</v>
      </c>
      <c r="D35" s="7">
        <f>IFERROR( VfM_Metrics_2023_Consol_Source[[#This Row],[Reinvestment Spend]] / VfM_Metrics_2023_Consol_Source[[#This Row],[Net Book Value of Housing Properties]], "n/a" )</f>
        <v>1.8979877644283924E-2</v>
      </c>
      <c r="E3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1030</v>
      </c>
      <c r="F35" s="83" vm="827">
        <v>0</v>
      </c>
      <c r="G35" s="83" vm="8948">
        <v>0</v>
      </c>
      <c r="H35" s="83" vm="828">
        <v>1030</v>
      </c>
      <c r="I35" s="83" vm="829">
        <v>0</v>
      </c>
      <c r="J35" s="83" vm="9142">
        <v>0</v>
      </c>
      <c r="K35" s="5">
        <f xml:space="preserve"> SUM( VfM_Metrics_2023_Consol_Source[[#This Row],[Tangible fixed assets: Housing properties at cost (Current period)]],VfM_Metrics_2023_Consol_Source[[#This Row],[Tangible fixed assets Housing properties at valuation (Current period)]] )</f>
        <v>54268</v>
      </c>
      <c r="L35" s="84" vm="830">
        <v>54268</v>
      </c>
      <c r="M35" s="83" vm="873">
        <v>0</v>
      </c>
      <c r="N35" s="7">
        <f xml:space="preserve"> IFERROR( VfM_Metrics_2023_Consol_Source[[#This Row],[Total social units developed or newly built units acquired in-year]] / VfM_Metrics_2023_Consol_Source[[#This Row],[Social housing units owned (period end)]], "n/a" )</f>
        <v>0</v>
      </c>
      <c r="O35" s="5">
        <f xml:space="preserve"> SUM( VfM_Metrics_2023_Consol_Source[[#This Row],[Total social units developed or newly built units acquired in-year (owned)]], VfM_Metrics_2023_Consol_Source[[#This Row],[Total social leasehold units developed or newly built units acquired in-year (owned)]] )</f>
        <v>0</v>
      </c>
      <c r="P35" s="84" vm="818">
        <v>0</v>
      </c>
      <c r="Q35" s="83" vm="756">
        <v>0</v>
      </c>
      <c r="R35" s="5">
        <f xml:space="preserve"> SUM( VfM_Metrics_2023_Consol_Source[[#This Row],[Total social housing units owned (Period end)]], VfM_Metrics_2023_Consol_Source[[#This Row],[Total social leasehold units owned (Period end)]] )</f>
        <v>1143</v>
      </c>
      <c r="S35" s="84" vm="8906">
        <v>1128</v>
      </c>
      <c r="T35" s="83" vm="8961">
        <v>15</v>
      </c>
      <c r="U35" s="86">
        <f xml:space="preserve"> IFERROR( VfM_Metrics_2023_Consol_Source[[#This Row],[Total non-social housing units developed or newly built units acquired (owned)]] / VfM_Metrics_2023_Consol_Source[[#This Row],[Total social and non-social housing units owned (Period end)]], "n/a" )</f>
        <v>0</v>
      </c>
      <c r="V3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35" s="83" vm="834">
        <v>0</v>
      </c>
      <c r="X35" s="83" vm="835">
        <v>0</v>
      </c>
      <c r="Y35" s="83" vm="8905">
        <v>0</v>
      </c>
      <c r="Z3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1500</v>
      </c>
      <c r="AA35" s="84" vm="852">
        <v>1128</v>
      </c>
      <c r="AB35" s="83" vm="833">
        <v>15</v>
      </c>
      <c r="AC35" s="83" vm="758">
        <v>301</v>
      </c>
      <c r="AD35" s="83" vm="8778">
        <v>56</v>
      </c>
      <c r="AE35" s="7">
        <f xml:space="preserve"> IFERROR( VfM_Metrics_2023_Consol_Source[[#This Row],[Total Net Debt]] / VfM_Metrics_2023_Consol_Source[[#This Row],[Net Book Value of Housing Properties2]], "n/a" )</f>
        <v>5.321736566669124E-2</v>
      </c>
      <c r="AF3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2888</v>
      </c>
      <c r="AG35" s="84" vm="836">
        <v>724</v>
      </c>
      <c r="AH35" s="83" vm="8824">
        <v>11046</v>
      </c>
      <c r="AI35" s="83" vm="8978">
        <v>8882</v>
      </c>
      <c r="AJ35" s="83" vm="837">
        <v>0</v>
      </c>
      <c r="AK35" s="83" vm="9104">
        <v>0</v>
      </c>
      <c r="AL35" s="5">
        <f xml:space="preserve"> SUM( VfM_Metrics_2023_Consol_Source[[#This Row],[Tangible fixed assets: Housing properties at cost (Current period)2]], VfM_Metrics_2023_Consol_Source[[#This Row],[Tangible fixed assets Housing properties at valuation (Current period)2]] )</f>
        <v>54268</v>
      </c>
      <c r="AM35" s="84" vm="8903">
        <v>54268</v>
      </c>
      <c r="AN35" s="83" vm="831">
        <v>0</v>
      </c>
      <c r="AO35" s="87">
        <f xml:space="preserve"> IFERROR( VfM_Metrics_2023_Consol_Source[[#This Row],[EBITDA MRI]] / VfM_Metrics_2023_Consol_Source[[#This Row],[Total interest]], "n/a" )</f>
        <v>2.9902439024390244</v>
      </c>
      <c r="AP3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1839</v>
      </c>
      <c r="AQ35" s="84" vm="8962">
        <v>1335</v>
      </c>
      <c r="AR35" s="84" vm="8851">
        <v>0</v>
      </c>
      <c r="AS35" s="84" vm="7936">
        <v>87</v>
      </c>
      <c r="AT35" s="84" vm="781">
        <v>237</v>
      </c>
      <c r="AU35" s="84" vm="839">
        <v>0</v>
      </c>
      <c r="AV35" s="84" vm="842">
        <v>80</v>
      </c>
      <c r="AW35" s="84" vm="840">
        <v>1030</v>
      </c>
      <c r="AX35" s="84" vm="643">
        <v>1778</v>
      </c>
      <c r="AY35" s="3">
        <f xml:space="preserve"> - SUM( VfM_Metrics_2023_Consol_Source[[#This Row],[Interest capitalised]], VfM_Metrics_2023_Consol_Source[[#This Row],[Interest payable and financing costs]] )</f>
        <v>615</v>
      </c>
      <c r="AZ35" s="84" vm="841">
        <v>0</v>
      </c>
      <c r="BA35" s="83" vm="842">
        <v>-615</v>
      </c>
      <c r="BB35" s="8">
        <f xml:space="preserve"> IFERROR( ( VfM_Metrics_2023_Consol_Source[[#This Row],[Total Costs]] / VfM_Metrics_2023_Consol_Source[[#This Row],[Total units for costs]] ) * 1000, "n/a" )</f>
        <v>8060.2836879432616</v>
      </c>
      <c r="BC3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9092</v>
      </c>
      <c r="BD35" s="84" vm="8960">
        <v>2069</v>
      </c>
      <c r="BE35" s="83" vm="843">
        <v>4094</v>
      </c>
      <c r="BF35" s="83" vm="8901">
        <v>862</v>
      </c>
      <c r="BG35" s="83" vm="783">
        <v>316</v>
      </c>
      <c r="BH35" s="83" vm="924">
        <v>93</v>
      </c>
      <c r="BI35" s="83" vm="8976">
        <v>0</v>
      </c>
      <c r="BJ35" s="83" vm="8956">
        <v>1030</v>
      </c>
      <c r="BK35" s="83" vm="7933">
        <v>413</v>
      </c>
      <c r="BL35" s="83" vm="845">
        <v>0</v>
      </c>
      <c r="BM35" s="83" vm="846">
        <v>0</v>
      </c>
      <c r="BN35" s="83" vm="847">
        <v>18</v>
      </c>
      <c r="BO35" s="83" vm="8943">
        <v>197</v>
      </c>
      <c r="BP35" s="5" vm="826">
        <f xml:space="preserve"> VfM_Metrics_2023_Consol_Source[[#This Row],[Total social housing units owned and/or managed at period end]]</f>
        <v>1128</v>
      </c>
      <c r="BQ35" s="84" vm="826">
        <v>1128</v>
      </c>
      <c r="BR35" s="7">
        <f xml:space="preserve"> IFERROR( VfM_Metrics_2023_Consol_Source[[#This Row],[SHL operating surplus / (deficit)]] / VfM_Metrics_2023_Consol_Source[[#This Row],[Turnover from social housing lettings]], "n/a" )</f>
        <v>8.3732789393166751E-2</v>
      </c>
      <c r="BS35" s="5" vm="830">
        <f xml:space="preserve"> VfM_Metrics_2023_Consol_Source[[#This Row],[Operating surplus/(deficit) (social housing lettings)]]</f>
        <v>821</v>
      </c>
      <c r="BT35" s="84" vm="830">
        <v>821</v>
      </c>
      <c r="BU35" s="5" vm="848">
        <f xml:space="preserve"> VfM_Metrics_2023_Consol_Source[[#This Row],[Turnover from social housing lettings]]</f>
        <v>9805</v>
      </c>
      <c r="BV35" s="84" vm="848">
        <v>9805</v>
      </c>
      <c r="BW35" s="7">
        <f xml:space="preserve"> IFERROR( VfM_Metrics_2023_Consol_Source[[#This Row],[Net operating surplus]] / VfM_Metrics_2023_Consol_Source[[#This Row],[Overall turnover]], "n/a" )</f>
        <v>2.8842153917263694E-2</v>
      </c>
      <c r="BX3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1248</v>
      </c>
      <c r="BY35" s="84" vm="838">
        <v>1335</v>
      </c>
      <c r="BZ35" s="83" vm="8820">
        <v>0</v>
      </c>
      <c r="CA35" s="83" vm="8905">
        <v>87</v>
      </c>
      <c r="CB35" s="5" vm="849">
        <f xml:space="preserve"> VfM_Metrics_2023_Consol_Source[[#This Row],[Turnover (overall)]]</f>
        <v>43270</v>
      </c>
      <c r="CC35" s="84" vm="849">
        <v>43270</v>
      </c>
      <c r="CD35" s="7">
        <f xml:space="preserve"> IFERROR( VfM_Metrics_2023_Consol_Source[[#This Row],[Operating surplus including from JVs]] / VfM_Metrics_2023_Consol_Source[[#This Row],[Net assets]], "n/a" )</f>
        <v>2.1958320311857495E-2</v>
      </c>
      <c r="CE35" s="5">
        <f xml:space="preserve"> SUM( VfM_Metrics_2023_Consol_Source[[#This Row],[Operating surplus/(deficit) (overall)3]], VfM_Metrics_2023_Consol_Source[[#This Row],[Share of operating surplus/(deficit) in joint ventures or associates]] )</f>
        <v>1335</v>
      </c>
      <c r="CF35" s="84" vm="838">
        <v>1335</v>
      </c>
      <c r="CG35" s="83" vm="851">
        <v>0</v>
      </c>
      <c r="CH35" s="5" vm="850">
        <f xml:space="preserve"> VfM_Metrics_2023_Consol_Source[[#This Row],[Total assets less current liabilities]]</f>
        <v>60797</v>
      </c>
      <c r="CI35" s="84" vm="850">
        <v>60797</v>
      </c>
      <c r="CJ35" s="71" vm="8906">
        <f xml:space="preserve"> VfM_Metrics_2023_Consol_Source[[#This Row],[Total social housing units owned (Period end)]]</f>
        <v>1128</v>
      </c>
      <c r="CK35" s="103">
        <v>0.97539543057996481</v>
      </c>
      <c r="CL35" s="6">
        <f xml:space="preserve"> -- ( VfM_Metrics_2023_Consol_Source[[#This Row],[% Supported housing (excl. HOP)]] &gt; 0.3 )</f>
        <v>1</v>
      </c>
      <c r="CM35" s="103">
        <v>0</v>
      </c>
      <c r="CN35" s="6">
        <f xml:space="preserve"> -- ( VfM_Metrics_2023_Consol_Source[[#This Row],[% Housing for older people]] &gt; 0.3 )</f>
        <v>0</v>
      </c>
      <c r="CO35" s="103">
        <f xml:space="preserve"> VfM_Metrics_2023_Consol_Source[[#This Row],[% Supported housing (excl. HOP)]] + VfM_Metrics_2023_Consol_Source[[#This Row],[% Housing for older people]]</f>
        <v>0.97539543057996481</v>
      </c>
      <c r="CP35" s="6">
        <f xml:space="preserve"> -- ( VfM_Metrics_2023_Consol_Source[[#This Row],[SH specialist in RSH analysis]] + VfM_Metrics_2023_Consol_Source[[#This Row],[OP specialist in RSH analysis]] &gt; 0 )</f>
        <v>1</v>
      </c>
      <c r="CQ35" s="10">
        <f xml:space="preserve"> -- ( VfM_Metrics_2023_Consol_Source[[#This Row],[% SH and OP]] &gt; 0.3 )</f>
        <v>1</v>
      </c>
      <c r="CR35" s="104" t="s">
        <v>143</v>
      </c>
      <c r="CS35" s="124" t="s">
        <v>144</v>
      </c>
      <c r="CT35" s="105"/>
      <c r="CU3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35" s="85">
        <v>0</v>
      </c>
      <c r="CW35" s="85">
        <v>0</v>
      </c>
      <c r="CX35" s="85">
        <v>1</v>
      </c>
      <c r="CY35" s="85">
        <v>0</v>
      </c>
      <c r="CZ35" s="85">
        <v>0</v>
      </c>
      <c r="DA35" s="85">
        <v>0</v>
      </c>
      <c r="DB35" s="85">
        <v>0</v>
      </c>
      <c r="DC35" s="85">
        <v>0</v>
      </c>
      <c r="DD35" s="85">
        <v>0</v>
      </c>
      <c r="DE35" s="13">
        <v>0.97511902715076015</v>
      </c>
    </row>
    <row r="36" spans="1:109" x14ac:dyDescent="0.25">
      <c r="A36" s="4" t="s" vm="393">
        <v>196</v>
      </c>
      <c r="B36" s="2" t="s" vm="26">
        <v>197</v>
      </c>
      <c r="C36" s="72" vm="461">
        <v>45016</v>
      </c>
      <c r="D36" s="7">
        <f>IFERROR( VfM_Metrics_2023_Consol_Source[[#This Row],[Reinvestment Spend]] / VfM_Metrics_2023_Consol_Source[[#This Row],[Net Book Value of Housing Properties]], "n/a" )</f>
        <v>0.1051414192470826</v>
      </c>
      <c r="E3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19137</v>
      </c>
      <c r="F36" s="83" vm="6703">
        <v>13724</v>
      </c>
      <c r="G36" s="83" vm="6704">
        <v>1554</v>
      </c>
      <c r="H36" s="83" vm="6705">
        <v>3441</v>
      </c>
      <c r="I36" s="83" vm="6706">
        <v>418</v>
      </c>
      <c r="J36" s="83" vm="6707">
        <v>0</v>
      </c>
      <c r="K36" s="5">
        <f xml:space="preserve"> SUM( VfM_Metrics_2023_Consol_Source[[#This Row],[Tangible fixed assets: Housing properties at cost (Current period)]],VfM_Metrics_2023_Consol_Source[[#This Row],[Tangible fixed assets Housing properties at valuation (Current period)]] )</f>
        <v>182012</v>
      </c>
      <c r="L36" s="84" vm="6708">
        <v>182012</v>
      </c>
      <c r="M36" s="83" vm="6709">
        <v>0</v>
      </c>
      <c r="N36" s="7">
        <f xml:space="preserve"> IFERROR( VfM_Metrics_2023_Consol_Source[[#This Row],[Total social units developed or newly built units acquired in-year]] / VfM_Metrics_2023_Consol_Source[[#This Row],[Social housing units owned (period end)]], "n/a" )</f>
        <v>2.2329735764793451E-2</v>
      </c>
      <c r="O36" s="5">
        <f xml:space="preserve"> SUM( VfM_Metrics_2023_Consol_Source[[#This Row],[Total social units developed or newly built units acquired in-year (owned)]], VfM_Metrics_2023_Consol_Source[[#This Row],[Total social leasehold units developed or newly built units acquired in-year (owned)]] )</f>
        <v>120</v>
      </c>
      <c r="P36" s="84" vm="6710">
        <v>120</v>
      </c>
      <c r="Q36" s="83" vm="6711">
        <v>0</v>
      </c>
      <c r="R36" s="5">
        <f xml:space="preserve"> SUM( VfM_Metrics_2023_Consol_Source[[#This Row],[Total social housing units owned (Period end)]], VfM_Metrics_2023_Consol_Source[[#This Row],[Total social leasehold units owned (Period end)]] )</f>
        <v>5374</v>
      </c>
      <c r="S36" s="84" vm="6701">
        <v>5293</v>
      </c>
      <c r="T36" s="83" vm="6712">
        <v>81</v>
      </c>
      <c r="U36" s="86">
        <f xml:space="preserve"> IFERROR( VfM_Metrics_2023_Consol_Source[[#This Row],[Total non-social housing units developed or newly built units acquired (owned)]] / VfM_Metrics_2023_Consol_Source[[#This Row],[Total social and non-social housing units owned (Period end)]], "n/a" )</f>
        <v>0</v>
      </c>
      <c r="V3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36" s="83" vm="6713">
        <v>0</v>
      </c>
      <c r="X36" s="83" vm="6714">
        <v>0</v>
      </c>
      <c r="Y36" s="83" vm="6715">
        <v>0</v>
      </c>
      <c r="Z3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5414</v>
      </c>
      <c r="AA36" s="84" vm="7285">
        <v>5293</v>
      </c>
      <c r="AB36" s="83" vm="6712">
        <v>81</v>
      </c>
      <c r="AC36" s="83" vm="6716">
        <v>40</v>
      </c>
      <c r="AD36" s="83" vm="6717">
        <v>0</v>
      </c>
      <c r="AE36" s="7">
        <f xml:space="preserve"> IFERROR( VfM_Metrics_2023_Consol_Source[[#This Row],[Total Net Debt]] / VfM_Metrics_2023_Consol_Source[[#This Row],[Net Book Value of Housing Properties2]], "n/a" )</f>
        <v>0.76466386831637478</v>
      </c>
      <c r="AF3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139178</v>
      </c>
      <c r="AG36" s="84" vm="6718">
        <v>0</v>
      </c>
      <c r="AH36" s="83" vm="6719">
        <v>141244</v>
      </c>
      <c r="AI36" s="83" vm="6720">
        <v>2066</v>
      </c>
      <c r="AJ36" s="83" vm="5617">
        <v>0</v>
      </c>
      <c r="AK36" s="83" vm="6721">
        <v>0</v>
      </c>
      <c r="AL36" s="5">
        <f xml:space="preserve"> SUM( VfM_Metrics_2023_Consol_Source[[#This Row],[Tangible fixed assets: Housing properties at cost (Current period)2]], VfM_Metrics_2023_Consol_Source[[#This Row],[Tangible fixed assets Housing properties at valuation (Current period)2]] )</f>
        <v>182012</v>
      </c>
      <c r="AM36" s="84" vm="6708">
        <v>182012</v>
      </c>
      <c r="AN36" s="83" vm="6709">
        <v>0</v>
      </c>
      <c r="AO36" s="87">
        <f xml:space="preserve"> IFERROR( VfM_Metrics_2023_Consol_Source[[#This Row],[EBITDA MRI]] / VfM_Metrics_2023_Consol_Source[[#This Row],[Total interest]], "n/a" )</f>
        <v>0.98504514672686228</v>
      </c>
      <c r="AP3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6982</v>
      </c>
      <c r="AQ36" s="84" vm="6722">
        <v>8125</v>
      </c>
      <c r="AR36" s="84" vm="6723">
        <v>1678</v>
      </c>
      <c r="AS36" s="84" vm="6724">
        <v>0</v>
      </c>
      <c r="AT36" s="84" vm="7170">
        <v>339</v>
      </c>
      <c r="AU36" s="84" vm="6726">
        <v>0</v>
      </c>
      <c r="AV36" s="84" vm="6727">
        <v>143</v>
      </c>
      <c r="AW36" s="84" vm="6728">
        <v>3441</v>
      </c>
      <c r="AX36" s="84" vm="6729">
        <v>4172</v>
      </c>
      <c r="AY36" s="3">
        <f xml:space="preserve"> - SUM( VfM_Metrics_2023_Consol_Source[[#This Row],[Interest capitalised]], VfM_Metrics_2023_Consol_Source[[#This Row],[Interest payable and financing costs]] )</f>
        <v>7088</v>
      </c>
      <c r="AZ36" s="84" vm="6730">
        <v>-418</v>
      </c>
      <c r="BA36" s="83" vm="6731">
        <v>-6670</v>
      </c>
      <c r="BB36" s="8">
        <f xml:space="preserve"> IFERROR( ( VfM_Metrics_2023_Consol_Source[[#This Row],[Total Costs]] / VfM_Metrics_2023_Consol_Source[[#This Row],[Total units for costs]] ) * 1000, "n/a" )</f>
        <v>3593.5278713056487</v>
      </c>
      <c r="BC3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19211</v>
      </c>
      <c r="BD36" s="84" vm="6732">
        <v>6684</v>
      </c>
      <c r="BE36" s="83" vm="6733">
        <v>1107</v>
      </c>
      <c r="BF36" s="83" vm="6734">
        <v>3428</v>
      </c>
      <c r="BG36" s="83" vm="6735">
        <v>1520</v>
      </c>
      <c r="BH36" s="83" vm="6736">
        <v>1430</v>
      </c>
      <c r="BI36" s="83" vm="6737">
        <v>0</v>
      </c>
      <c r="BJ36" s="83" vm="7227">
        <v>3441</v>
      </c>
      <c r="BK36" s="83" vm="6738">
        <v>993</v>
      </c>
      <c r="BL36" s="83" vm="6871">
        <v>0</v>
      </c>
      <c r="BM36" s="83" vm="6739">
        <v>0</v>
      </c>
      <c r="BN36" s="83" vm="6740">
        <v>0</v>
      </c>
      <c r="BO36" s="83" vm="6741">
        <v>608</v>
      </c>
      <c r="BP36" s="5" vm="6702">
        <f xml:space="preserve"> VfM_Metrics_2023_Consol_Source[[#This Row],[Total social housing units owned and/or managed at period end]]</f>
        <v>5346</v>
      </c>
      <c r="BQ36" s="84" vm="6702">
        <v>5346</v>
      </c>
      <c r="BR36" s="7">
        <f xml:space="preserve"> IFERROR( VfM_Metrics_2023_Consol_Source[[#This Row],[SHL operating surplus / (deficit)]] / VfM_Metrics_2023_Consol_Source[[#This Row],[Turnover from social housing lettings]], "n/a" )</f>
        <v>0.26181467181467183</v>
      </c>
      <c r="BS36" s="5" vm="7234">
        <f xml:space="preserve"> VfM_Metrics_2023_Consol_Source[[#This Row],[Operating surplus/(deficit) (social housing lettings)]]</f>
        <v>6781</v>
      </c>
      <c r="BT36" s="84" vm="7234">
        <v>6781</v>
      </c>
      <c r="BU36" s="5" vm="6742">
        <f xml:space="preserve"> VfM_Metrics_2023_Consol_Source[[#This Row],[Turnover from social housing lettings]]</f>
        <v>25900</v>
      </c>
      <c r="BV36" s="84" vm="6742">
        <v>25900</v>
      </c>
      <c r="BW36" s="7">
        <f xml:space="preserve"> IFERROR( VfM_Metrics_2023_Consol_Source[[#This Row],[Net operating surplus]] / VfM_Metrics_2023_Consol_Source[[#This Row],[Overall turnover]], "n/a" )</f>
        <v>0.22134102379235759</v>
      </c>
      <c r="BX3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6447</v>
      </c>
      <c r="BY36" s="84" vm="6722">
        <v>8125</v>
      </c>
      <c r="BZ36" s="83" vm="6723">
        <v>1678</v>
      </c>
      <c r="CA36" s="83" vm="6724">
        <v>0</v>
      </c>
      <c r="CB36" s="5" vm="6743">
        <f xml:space="preserve"> VfM_Metrics_2023_Consol_Source[[#This Row],[Turnover (overall)]]</f>
        <v>29127</v>
      </c>
      <c r="CC36" s="84" vm="6743">
        <v>29127</v>
      </c>
      <c r="CD36" s="7">
        <f xml:space="preserve"> IFERROR( VfM_Metrics_2023_Consol_Source[[#This Row],[Operating surplus including from JVs]] / VfM_Metrics_2023_Consol_Source[[#This Row],[Net assets]], "n/a" )</f>
        <v>4.3086762155769912E-2</v>
      </c>
      <c r="CE36" s="5">
        <f xml:space="preserve"> SUM( VfM_Metrics_2023_Consol_Source[[#This Row],[Operating surplus/(deficit) (overall)3]], VfM_Metrics_2023_Consol_Source[[#This Row],[Share of operating surplus/(deficit) in joint ventures or associates]] )</f>
        <v>8125</v>
      </c>
      <c r="CF36" s="84" vm="6722">
        <v>8125</v>
      </c>
      <c r="CG36" s="83" vm="6745">
        <v>0</v>
      </c>
      <c r="CH36" s="5" vm="6744">
        <f xml:space="preserve"> VfM_Metrics_2023_Consol_Source[[#This Row],[Total assets less current liabilities]]</f>
        <v>188573</v>
      </c>
      <c r="CI36" s="84" vm="6744">
        <v>188573</v>
      </c>
      <c r="CJ36" s="71" vm="6701">
        <f xml:space="preserve"> VfM_Metrics_2023_Consol_Source[[#This Row],[Total social housing units owned (Period end)]]</f>
        <v>5293</v>
      </c>
      <c r="CK36" s="103">
        <v>2.7224934284641383E-2</v>
      </c>
      <c r="CL36" s="6">
        <f xml:space="preserve"> -- ( VfM_Metrics_2023_Consol_Source[[#This Row],[% Supported housing (excl. HOP)]] &gt; 0.3 )</f>
        <v>0</v>
      </c>
      <c r="CM36" s="103">
        <v>0.20296657904618851</v>
      </c>
      <c r="CN36" s="6">
        <f xml:space="preserve"> -- ( VfM_Metrics_2023_Consol_Source[[#This Row],[% Housing for older people]] &gt; 0.3 )</f>
        <v>0</v>
      </c>
      <c r="CO36" s="103">
        <f xml:space="preserve"> VfM_Metrics_2023_Consol_Source[[#This Row],[% Supported housing (excl. HOP)]] + VfM_Metrics_2023_Consol_Source[[#This Row],[% Housing for older people]]</f>
        <v>0.23019151333082988</v>
      </c>
      <c r="CP36" s="6">
        <f xml:space="preserve"> -- ( VfM_Metrics_2023_Consol_Source[[#This Row],[SH specialist in RSH analysis]] + VfM_Metrics_2023_Consol_Source[[#This Row],[OP specialist in RSH analysis]] &gt; 0 )</f>
        <v>0</v>
      </c>
      <c r="CQ36" s="10">
        <f xml:space="preserve"> -- ( VfM_Metrics_2023_Consol_Source[[#This Row],[% SH and OP]] &gt; 0.3 )</f>
        <v>0</v>
      </c>
      <c r="CR36" s="104" t="s">
        <v>143</v>
      </c>
      <c r="CS36" s="124"/>
      <c r="CT36" s="105" t="s">
        <v>151</v>
      </c>
      <c r="CU3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36" s="85">
        <v>0</v>
      </c>
      <c r="CW36" s="85">
        <v>0</v>
      </c>
      <c r="CX36" s="85">
        <v>0</v>
      </c>
      <c r="CY36" s="85">
        <v>0</v>
      </c>
      <c r="CZ36" s="85">
        <v>0</v>
      </c>
      <c r="DA36" s="85">
        <v>0</v>
      </c>
      <c r="DB36" s="85">
        <v>0</v>
      </c>
      <c r="DC36" s="85">
        <v>1</v>
      </c>
      <c r="DD36" s="85">
        <v>0</v>
      </c>
      <c r="DE36" s="13">
        <v>0.96105917141044694</v>
      </c>
    </row>
    <row r="37" spans="1:109" x14ac:dyDescent="0.25">
      <c r="A37" s="4" t="s" vm="371">
        <v>198</v>
      </c>
      <c r="B37" s="2" t="s" vm="27">
        <v>199</v>
      </c>
      <c r="C37" s="72" vm="410">
        <v>45016</v>
      </c>
      <c r="D37" s="7">
        <f>IFERROR( VfM_Metrics_2023_Consol_Source[[#This Row],[Reinvestment Spend]] / VfM_Metrics_2023_Consol_Source[[#This Row],[Net Book Value of Housing Properties]], "n/a" )</f>
        <v>6.2050403535669707E-2</v>
      </c>
      <c r="E3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16553</v>
      </c>
      <c r="F37" s="83" vm="6078">
        <v>260</v>
      </c>
      <c r="G37" s="83" vm="5835">
        <v>8811</v>
      </c>
      <c r="H37" s="83" vm="5836">
        <v>7389</v>
      </c>
      <c r="I37" s="83" vm="5837">
        <v>93</v>
      </c>
      <c r="J37" s="83" vm="5838">
        <v>0</v>
      </c>
      <c r="K37" s="5">
        <f xml:space="preserve"> SUM( VfM_Metrics_2023_Consol_Source[[#This Row],[Tangible fixed assets: Housing properties at cost (Current period)]],VfM_Metrics_2023_Consol_Source[[#This Row],[Tangible fixed assets Housing properties at valuation (Current period)]] )</f>
        <v>266767</v>
      </c>
      <c r="L37" s="84" vm="5839">
        <v>266767</v>
      </c>
      <c r="M37" s="83" vm="5840">
        <v>0</v>
      </c>
      <c r="N37" s="7">
        <f xml:space="preserve"> IFERROR( VfM_Metrics_2023_Consol_Source[[#This Row],[Total social units developed or newly built units acquired in-year]] / VfM_Metrics_2023_Consol_Source[[#This Row],[Social housing units owned (period end)]], "n/a" )</f>
        <v>1.1527777777777777E-2</v>
      </c>
      <c r="O37" s="5">
        <f xml:space="preserve"> SUM( VfM_Metrics_2023_Consol_Source[[#This Row],[Total social units developed or newly built units acquired in-year (owned)]], VfM_Metrics_2023_Consol_Source[[#This Row],[Total social leasehold units developed or newly built units acquired in-year (owned)]] )</f>
        <v>83</v>
      </c>
      <c r="P37" s="84" vm="5841">
        <v>83</v>
      </c>
      <c r="Q37" s="83" vm="5842">
        <v>0</v>
      </c>
      <c r="R37" s="5">
        <f xml:space="preserve"> SUM( VfM_Metrics_2023_Consol_Source[[#This Row],[Total social housing units owned (Period end)]], VfM_Metrics_2023_Consol_Source[[#This Row],[Total social leasehold units owned (Period end)]] )</f>
        <v>7200</v>
      </c>
      <c r="S37" s="84" vm="5833">
        <v>6795</v>
      </c>
      <c r="T37" s="83" vm="5843">
        <v>405</v>
      </c>
      <c r="U37" s="86">
        <f xml:space="preserve"> IFERROR( VfM_Metrics_2023_Consol_Source[[#This Row],[Total non-social housing units developed or newly built units acquired (owned)]] / VfM_Metrics_2023_Consol_Source[[#This Row],[Total social and non-social housing units owned (Period end)]], "n/a" )</f>
        <v>0</v>
      </c>
      <c r="V3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37" s="83" vm="5844">
        <v>0</v>
      </c>
      <c r="X37" s="83" vm="5845">
        <v>0</v>
      </c>
      <c r="Y37" s="83" vm="5846">
        <v>0</v>
      </c>
      <c r="Z3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7200</v>
      </c>
      <c r="AA37" s="84" vm="5833">
        <v>6795</v>
      </c>
      <c r="AB37" s="83" vm="5843">
        <v>405</v>
      </c>
      <c r="AC37" s="83" vm="5847">
        <v>0</v>
      </c>
      <c r="AD37" s="83" vm="5848">
        <v>0</v>
      </c>
      <c r="AE37" s="7">
        <f xml:space="preserve"> IFERROR( VfM_Metrics_2023_Consol_Source[[#This Row],[Total Net Debt]] / VfM_Metrics_2023_Consol_Source[[#This Row],[Net Book Value of Housing Properties2]], "n/a" )</f>
        <v>0.28486282036383809</v>
      </c>
      <c r="AF3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75992</v>
      </c>
      <c r="AG37" s="84" vm="5849">
        <v>49</v>
      </c>
      <c r="AH37" s="83" vm="5213">
        <v>80990</v>
      </c>
      <c r="AI37" s="83" vm="5850">
        <v>5092</v>
      </c>
      <c r="AJ37" s="83" vm="5851">
        <v>0</v>
      </c>
      <c r="AK37" s="83" vm="5852">
        <v>45</v>
      </c>
      <c r="AL37" s="5">
        <f xml:space="preserve"> SUM( VfM_Metrics_2023_Consol_Source[[#This Row],[Tangible fixed assets: Housing properties at cost (Current period)2]], VfM_Metrics_2023_Consol_Source[[#This Row],[Tangible fixed assets Housing properties at valuation (Current period)2]] )</f>
        <v>266767</v>
      </c>
      <c r="AM37" s="84" vm="5839">
        <v>266767</v>
      </c>
      <c r="AN37" s="83" vm="6039">
        <v>0</v>
      </c>
      <c r="AO37" s="87">
        <f xml:space="preserve"> IFERROR( VfM_Metrics_2023_Consol_Source[[#This Row],[EBITDA MRI]] / VfM_Metrics_2023_Consol_Source[[#This Row],[Total interest]], "n/a" )</f>
        <v>0.77404921700223717</v>
      </c>
      <c r="AP3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3460</v>
      </c>
      <c r="AQ37" s="84" vm="5853">
        <v>5871</v>
      </c>
      <c r="AR37" s="84" vm="5854">
        <v>978</v>
      </c>
      <c r="AS37" s="84" vm="5855">
        <v>4</v>
      </c>
      <c r="AT37" s="84" vm="5856">
        <v>1071</v>
      </c>
      <c r="AU37" s="84" vm="5857">
        <v>0</v>
      </c>
      <c r="AV37" s="84" vm="5858">
        <v>52</v>
      </c>
      <c r="AW37" s="84" vm="5859">
        <v>5700</v>
      </c>
      <c r="AX37" s="84" vm="5860">
        <v>5290</v>
      </c>
      <c r="AY37" s="3">
        <f xml:space="preserve"> - SUM( VfM_Metrics_2023_Consol_Source[[#This Row],[Interest capitalised]], VfM_Metrics_2023_Consol_Source[[#This Row],[Interest payable and financing costs]] )</f>
        <v>4470</v>
      </c>
      <c r="AZ37" s="84" vm="5861">
        <v>-93</v>
      </c>
      <c r="BA37" s="83" vm="5862">
        <v>-4377</v>
      </c>
      <c r="BB37" s="8">
        <f xml:space="preserve"> IFERROR( ( VfM_Metrics_2023_Consol_Source[[#This Row],[Total Costs]] / VfM_Metrics_2023_Consol_Source[[#This Row],[Total units for costs]] ) * 1000, "n/a" )</f>
        <v>4514.7902869757172</v>
      </c>
      <c r="BC3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30678</v>
      </c>
      <c r="BD37" s="84" vm="5863">
        <v>6819</v>
      </c>
      <c r="BE37" s="83" vm="5864">
        <v>4771</v>
      </c>
      <c r="BF37" s="83" vm="5865">
        <v>6774</v>
      </c>
      <c r="BG37" s="83" vm="5866">
        <v>4375</v>
      </c>
      <c r="BH37" s="83" vm="7210">
        <v>1699</v>
      </c>
      <c r="BI37" s="83" vm="5867">
        <v>540</v>
      </c>
      <c r="BJ37" s="83" vm="5859">
        <v>5700</v>
      </c>
      <c r="BK37" s="83" vm="7273">
        <v>0</v>
      </c>
      <c r="BL37" s="83" vm="5868">
        <v>0</v>
      </c>
      <c r="BM37" s="83" vm="5869">
        <v>0</v>
      </c>
      <c r="BN37" s="83" vm="5949">
        <v>0</v>
      </c>
      <c r="BO37" s="83" vm="5870">
        <v>0</v>
      </c>
      <c r="BP37" s="5" vm="5834">
        <f xml:space="preserve"> VfM_Metrics_2023_Consol_Source[[#This Row],[Total social housing units owned and/or managed at period end]]</f>
        <v>6795</v>
      </c>
      <c r="BQ37" s="84" vm="5834">
        <v>6795</v>
      </c>
      <c r="BR37" s="7">
        <f xml:space="preserve"> IFERROR( VfM_Metrics_2023_Consol_Source[[#This Row],[SHL operating surplus / (deficit)]] / VfM_Metrics_2023_Consol_Source[[#This Row],[Turnover from social housing lettings]], "n/a" )</f>
        <v>0.11361491269466729</v>
      </c>
      <c r="BS37" s="5" vm="5871">
        <f xml:space="preserve"> VfM_Metrics_2023_Consol_Source[[#This Row],[Operating surplus/(deficit) (social housing lettings)]]</f>
        <v>3852</v>
      </c>
      <c r="BT37" s="84" vm="5871">
        <v>3852</v>
      </c>
      <c r="BU37" s="5" vm="5872">
        <f xml:space="preserve"> VfM_Metrics_2023_Consol_Source[[#This Row],[Turnover from social housing lettings]]</f>
        <v>33904</v>
      </c>
      <c r="BV37" s="84" vm="5872">
        <v>33904</v>
      </c>
      <c r="BW37" s="7">
        <f xml:space="preserve"> IFERROR( VfM_Metrics_2023_Consol_Source[[#This Row],[Net operating surplus]] / VfM_Metrics_2023_Consol_Source[[#This Row],[Overall turnover]], "n/a" )</f>
        <v>0.13678202725009092</v>
      </c>
      <c r="BX3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4889</v>
      </c>
      <c r="BY37" s="84" vm="5853">
        <v>5871</v>
      </c>
      <c r="BZ37" s="83" vm="5854">
        <v>978</v>
      </c>
      <c r="CA37" s="83" vm="5855">
        <v>4</v>
      </c>
      <c r="CB37" s="5" vm="5873">
        <f xml:space="preserve"> VfM_Metrics_2023_Consol_Source[[#This Row],[Turnover (overall)]]</f>
        <v>35743</v>
      </c>
      <c r="CC37" s="84" vm="5873">
        <v>35743</v>
      </c>
      <c r="CD37" s="7">
        <f xml:space="preserve"> IFERROR( VfM_Metrics_2023_Consol_Source[[#This Row],[Operating surplus including from JVs]] / VfM_Metrics_2023_Consol_Source[[#This Row],[Net assets]], "n/a" )</f>
        <v>2.1424270622365755E-2</v>
      </c>
      <c r="CE37" s="5">
        <f xml:space="preserve"> SUM( VfM_Metrics_2023_Consol_Source[[#This Row],[Operating surplus/(deficit) (overall)3]], VfM_Metrics_2023_Consol_Source[[#This Row],[Share of operating surplus/(deficit) in joint ventures or associates]] )</f>
        <v>5871</v>
      </c>
      <c r="CF37" s="84" vm="5853">
        <v>5871</v>
      </c>
      <c r="CG37" s="83" vm="5875">
        <v>0</v>
      </c>
      <c r="CH37" s="5" vm="5874">
        <f xml:space="preserve"> VfM_Metrics_2023_Consol_Source[[#This Row],[Total assets less current liabilities]]</f>
        <v>274035</v>
      </c>
      <c r="CI37" s="84" vm="5874">
        <v>274035</v>
      </c>
      <c r="CJ37" s="71" vm="5833">
        <f xml:space="preserve"> VfM_Metrics_2023_Consol_Source[[#This Row],[Total social housing units owned (Period end)]]</f>
        <v>6795</v>
      </c>
      <c r="CK37" s="103">
        <v>5.3970701619121047E-3</v>
      </c>
      <c r="CL37" s="6">
        <f xml:space="preserve"> -- ( VfM_Metrics_2023_Consol_Source[[#This Row],[% Supported housing (excl. HOP)]] &gt; 0.3 )</f>
        <v>0</v>
      </c>
      <c r="CM37" s="103">
        <v>9.7455666923670012E-2</v>
      </c>
      <c r="CN37" s="6">
        <f xml:space="preserve"> -- ( VfM_Metrics_2023_Consol_Source[[#This Row],[% Housing for older people]] &gt; 0.3 )</f>
        <v>0</v>
      </c>
      <c r="CO37" s="103">
        <f xml:space="preserve"> VfM_Metrics_2023_Consol_Source[[#This Row],[% Supported housing (excl. HOP)]] + VfM_Metrics_2023_Consol_Source[[#This Row],[% Housing for older people]]</f>
        <v>0.10285273708558211</v>
      </c>
      <c r="CP37" s="6">
        <f xml:space="preserve"> -- ( VfM_Metrics_2023_Consol_Source[[#This Row],[SH specialist in RSH analysis]] + VfM_Metrics_2023_Consol_Source[[#This Row],[OP specialist in RSH analysis]] &gt; 0 )</f>
        <v>0</v>
      </c>
      <c r="CQ37" s="10">
        <f xml:space="preserve"> -- ( VfM_Metrics_2023_Consol_Source[[#This Row],[% SH and OP]] &gt; 0.3 )</f>
        <v>0</v>
      </c>
      <c r="CR37" s="104" t="s">
        <v>143</v>
      </c>
      <c r="CS37" s="124"/>
      <c r="CT37" s="105" t="s">
        <v>151</v>
      </c>
      <c r="CU3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37" s="85">
        <v>0</v>
      </c>
      <c r="CW37" s="85">
        <v>0</v>
      </c>
      <c r="CX37" s="85">
        <v>0</v>
      </c>
      <c r="CY37" s="85">
        <v>0</v>
      </c>
      <c r="CZ37" s="85">
        <v>0</v>
      </c>
      <c r="DA37" s="85">
        <v>0</v>
      </c>
      <c r="DB37" s="85">
        <v>0.21428571428571427</v>
      </c>
      <c r="DC37" s="85">
        <v>0.78509852216748766</v>
      </c>
      <c r="DD37" s="85">
        <v>6.1576354679802956E-4</v>
      </c>
      <c r="DE37" s="13">
        <v>0.94936796590506911</v>
      </c>
    </row>
    <row r="38" spans="1:109" x14ac:dyDescent="0.25">
      <c r="A38" s="4" t="s" vm="279">
        <v>200</v>
      </c>
      <c r="B38" s="2" t="s" vm="28">
        <v>201</v>
      </c>
      <c r="C38" s="72" vm="437">
        <v>45016</v>
      </c>
      <c r="D38" s="7">
        <f>IFERROR( VfM_Metrics_2023_Consol_Source[[#This Row],[Reinvestment Spend]] / VfM_Metrics_2023_Consol_Source[[#This Row],[Net Book Value of Housing Properties]], "n/a" )</f>
        <v>6.863181557114631E-2</v>
      </c>
      <c r="E3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49949</v>
      </c>
      <c r="F38" s="83" vm="7088">
        <v>41336</v>
      </c>
      <c r="G38" s="83" vm="2634">
        <v>0</v>
      </c>
      <c r="H38" s="83" vm="7733">
        <v>7378</v>
      </c>
      <c r="I38" s="83" vm="7492">
        <v>1235</v>
      </c>
      <c r="J38" s="83" vm="2635">
        <v>0</v>
      </c>
      <c r="K38" s="5">
        <f xml:space="preserve"> SUM( VfM_Metrics_2023_Consol_Source[[#This Row],[Tangible fixed assets: Housing properties at cost (Current period)]],VfM_Metrics_2023_Consol_Source[[#This Row],[Tangible fixed assets Housing properties at valuation (Current period)]] )</f>
        <v>727782</v>
      </c>
      <c r="L38" s="84" vm="2636">
        <v>727782</v>
      </c>
      <c r="M38" s="83">
        <v>0</v>
      </c>
      <c r="N38" s="7">
        <f xml:space="preserve"> IFERROR( VfM_Metrics_2023_Consol_Source[[#This Row],[Total social units developed or newly built units acquired in-year]] / VfM_Metrics_2023_Consol_Source[[#This Row],[Social housing units owned (period end)]], "n/a" )</f>
        <v>2.7029520295202954E-2</v>
      </c>
      <c r="O38" s="5">
        <f xml:space="preserve"> SUM( VfM_Metrics_2023_Consol_Source[[#This Row],[Total social units developed or newly built units acquired in-year (owned)]], VfM_Metrics_2023_Consol_Source[[#This Row],[Total social leasehold units developed or newly built units acquired in-year (owned)]] )</f>
        <v>293</v>
      </c>
      <c r="P38" s="84" vm="2637">
        <v>293</v>
      </c>
      <c r="Q38" s="83" vm="2906">
        <v>0</v>
      </c>
      <c r="R38" s="5">
        <f xml:space="preserve"> SUM( VfM_Metrics_2023_Consol_Source[[#This Row],[Total social housing units owned (Period end)]], VfM_Metrics_2023_Consol_Source[[#This Row],[Total social leasehold units owned (Period end)]] )</f>
        <v>10840</v>
      </c>
      <c r="S38" s="84" vm="2632">
        <v>10036</v>
      </c>
      <c r="T38" s="83" vm="2638">
        <v>804</v>
      </c>
      <c r="U38" s="86">
        <f xml:space="preserve"> IFERROR( VfM_Metrics_2023_Consol_Source[[#This Row],[Total non-social housing units developed or newly built units acquired (owned)]] / VfM_Metrics_2023_Consol_Source[[#This Row],[Total social and non-social housing units owned (Period end)]], "n/a" )</f>
        <v>0</v>
      </c>
      <c r="V3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38" s="83" vm="7989">
        <v>0</v>
      </c>
      <c r="X38" s="83">
        <v>0</v>
      </c>
      <c r="Y38" s="83">
        <v>0</v>
      </c>
      <c r="Z3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10882</v>
      </c>
      <c r="AA38" s="84" vm="3369">
        <v>10036</v>
      </c>
      <c r="AB38" s="83" vm="2638">
        <v>804</v>
      </c>
      <c r="AC38" s="83" vm="7952">
        <v>42</v>
      </c>
      <c r="AD38" s="83" vm="2639">
        <v>0</v>
      </c>
      <c r="AE38" s="7">
        <f xml:space="preserve"> IFERROR( VfM_Metrics_2023_Consol_Source[[#This Row],[Total Net Debt]] / VfM_Metrics_2023_Consol_Source[[#This Row],[Net Book Value of Housing Properties2]], "n/a" )</f>
        <v>0.66291691742857062</v>
      </c>
      <c r="AF3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482459</v>
      </c>
      <c r="AG38" s="84" vm="4763">
        <v>5557</v>
      </c>
      <c r="AH38" s="83" vm="2642">
        <v>496756</v>
      </c>
      <c r="AI38" s="83" vm="2640">
        <v>19854</v>
      </c>
      <c r="AJ38" s="83" vm="1675">
        <v>0</v>
      </c>
      <c r="AK38" s="83">
        <v>0</v>
      </c>
      <c r="AL38" s="5">
        <f xml:space="preserve"> SUM( VfM_Metrics_2023_Consol_Source[[#This Row],[Tangible fixed assets: Housing properties at cost (Current period)2]], VfM_Metrics_2023_Consol_Source[[#This Row],[Tangible fixed assets Housing properties at valuation (Current period)2]] )</f>
        <v>727782</v>
      </c>
      <c r="AM38" s="84" vm="7964">
        <v>727782</v>
      </c>
      <c r="AN38" s="83">
        <v>0</v>
      </c>
      <c r="AO38" s="87">
        <f xml:space="preserve"> IFERROR( VfM_Metrics_2023_Consol_Source[[#This Row],[EBITDA MRI]] / VfM_Metrics_2023_Consol_Source[[#This Row],[Total interest]], "n/a" )</f>
        <v>1.0415794481446241</v>
      </c>
      <c r="AP3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21894</v>
      </c>
      <c r="AQ38" s="84" vm="2641">
        <v>20005</v>
      </c>
      <c r="AR38" s="84" vm="2642">
        <v>2155</v>
      </c>
      <c r="AS38" s="84">
        <v>0</v>
      </c>
      <c r="AT38" s="84" vm="2643">
        <v>74</v>
      </c>
      <c r="AU38" s="84" vm="7775">
        <v>0</v>
      </c>
      <c r="AV38" s="84" vm="2644">
        <v>455</v>
      </c>
      <c r="AW38" s="84" vm="2645">
        <v>7378</v>
      </c>
      <c r="AX38" s="84" vm="2646">
        <v>11041</v>
      </c>
      <c r="AY38" s="3">
        <f xml:space="preserve"> - SUM( VfM_Metrics_2023_Consol_Source[[#This Row],[Interest capitalised]], VfM_Metrics_2023_Consol_Source[[#This Row],[Interest payable and financing costs]] )</f>
        <v>21020</v>
      </c>
      <c r="AZ38" s="84" vm="2647">
        <v>-1235</v>
      </c>
      <c r="BA38" s="83" vm="7496">
        <v>-19785</v>
      </c>
      <c r="BB38" s="8">
        <f xml:space="preserve"> IFERROR( ( VfM_Metrics_2023_Consol_Source[[#This Row],[Total Costs]] / VfM_Metrics_2023_Consol_Source[[#This Row],[Total units for costs]] ) * 1000, "n/a" )</f>
        <v>4623.0529595015578</v>
      </c>
      <c r="BC3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48972</v>
      </c>
      <c r="BD38" s="84" vm="2648">
        <v>16974</v>
      </c>
      <c r="BE38" s="83" vm="2649">
        <v>5017</v>
      </c>
      <c r="BF38" s="83" vm="2650">
        <v>9373</v>
      </c>
      <c r="BG38" s="83" vm="7495">
        <v>6971</v>
      </c>
      <c r="BH38" s="83" vm="2651">
        <v>1348</v>
      </c>
      <c r="BI38" s="83" vm="2652">
        <v>0</v>
      </c>
      <c r="BJ38" s="83" vm="2645">
        <v>7378</v>
      </c>
      <c r="BK38" s="83" vm="2653">
        <v>427</v>
      </c>
      <c r="BL38" s="83" vm="7616">
        <v>45</v>
      </c>
      <c r="BM38" s="83" vm="2654">
        <v>0</v>
      </c>
      <c r="BN38" s="83" vm="2655">
        <v>1439</v>
      </c>
      <c r="BO38" s="83" vm="2656">
        <v>0</v>
      </c>
      <c r="BP38" s="5" vm="2633">
        <f xml:space="preserve"> VfM_Metrics_2023_Consol_Source[[#This Row],[Total social housing units owned and/or managed at period end]]</f>
        <v>10593</v>
      </c>
      <c r="BQ38" s="84" vm="2633">
        <v>10593</v>
      </c>
      <c r="BR38" s="7">
        <f xml:space="preserve"> IFERROR( VfM_Metrics_2023_Consol_Source[[#This Row],[SHL operating surplus / (deficit)]] / VfM_Metrics_2023_Consol_Source[[#This Row],[Turnover from social housing lettings]], "n/a" )</f>
        <v>0.19891158608723086</v>
      </c>
      <c r="BS38" s="5" vm="2657">
        <f xml:space="preserve"> VfM_Metrics_2023_Consol_Source[[#This Row],[Operating surplus/(deficit) (social housing lettings)]]</f>
        <v>12610</v>
      </c>
      <c r="BT38" s="84" vm="2657">
        <v>12610</v>
      </c>
      <c r="BU38" s="5" vm="2658">
        <f xml:space="preserve"> VfM_Metrics_2023_Consol_Source[[#This Row],[Turnover from social housing lettings]]</f>
        <v>63395</v>
      </c>
      <c r="BV38" s="84" vm="2658">
        <v>63395</v>
      </c>
      <c r="BW38" s="7">
        <f xml:space="preserve"> IFERROR( VfM_Metrics_2023_Consol_Source[[#This Row],[Net operating surplus]] / VfM_Metrics_2023_Consol_Source[[#This Row],[Overall turnover]], "n/a" )</f>
        <v>0.23009693719707125</v>
      </c>
      <c r="BX3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17850</v>
      </c>
      <c r="BY38" s="84" vm="3402">
        <v>20005</v>
      </c>
      <c r="BZ38" s="83" vm="2642">
        <v>2155</v>
      </c>
      <c r="CA38" s="83">
        <v>0</v>
      </c>
      <c r="CB38" s="5" vm="2659">
        <f xml:space="preserve"> VfM_Metrics_2023_Consol_Source[[#This Row],[Turnover (overall)]]</f>
        <v>77576</v>
      </c>
      <c r="CC38" s="84" vm="2659">
        <v>77576</v>
      </c>
      <c r="CD38" s="7">
        <f xml:space="preserve"> IFERROR( VfM_Metrics_2023_Consol_Source[[#This Row],[Operating surplus including from JVs]] / VfM_Metrics_2023_Consol_Source[[#This Row],[Net assets]], "n/a" )</f>
        <v>2.5971749798769247E-2</v>
      </c>
      <c r="CE38" s="5">
        <f xml:space="preserve"> SUM( VfM_Metrics_2023_Consol_Source[[#This Row],[Operating surplus/(deficit) (overall)3]], VfM_Metrics_2023_Consol_Source[[#This Row],[Share of operating surplus/(deficit) in joint ventures or associates]] )</f>
        <v>20005</v>
      </c>
      <c r="CF38" s="84" vm="2641">
        <v>20005</v>
      </c>
      <c r="CG38" s="83" vm="2661">
        <v>0</v>
      </c>
      <c r="CH38" s="5" vm="2660">
        <f xml:space="preserve"> VfM_Metrics_2023_Consol_Source[[#This Row],[Total assets less current liabilities]]</f>
        <v>770260</v>
      </c>
      <c r="CI38" s="84" vm="2660">
        <v>770260</v>
      </c>
      <c r="CJ38" s="71" vm="2632">
        <f xml:space="preserve"> VfM_Metrics_2023_Consol_Source[[#This Row],[Total social housing units owned (Period end)]]</f>
        <v>10036</v>
      </c>
      <c r="CK38" s="103">
        <v>2.8050490883590462E-3</v>
      </c>
      <c r="CL38" s="6">
        <f xml:space="preserve"> -- ( VfM_Metrics_2023_Consol_Source[[#This Row],[% Supported housing (excl. HOP)]] &gt; 0.3 )</f>
        <v>0</v>
      </c>
      <c r="CM38" s="103">
        <v>0</v>
      </c>
      <c r="CN38" s="6">
        <f xml:space="preserve"> -- ( VfM_Metrics_2023_Consol_Source[[#This Row],[% Housing for older people]] &gt; 0.3 )</f>
        <v>0</v>
      </c>
      <c r="CO38" s="103">
        <f xml:space="preserve"> VfM_Metrics_2023_Consol_Source[[#This Row],[% Supported housing (excl. HOP)]] + VfM_Metrics_2023_Consol_Source[[#This Row],[% Housing for older people]]</f>
        <v>2.8050490883590462E-3</v>
      </c>
      <c r="CP38" s="6">
        <f xml:space="preserve"> -- ( VfM_Metrics_2023_Consol_Source[[#This Row],[SH specialist in RSH analysis]] + VfM_Metrics_2023_Consol_Source[[#This Row],[OP specialist in RSH analysis]] &gt; 0 )</f>
        <v>0</v>
      </c>
      <c r="CQ38" s="10">
        <f xml:space="preserve"> -- ( VfM_Metrics_2023_Consol_Source[[#This Row],[% SH and OP]] &gt; 0.3 )</f>
        <v>0</v>
      </c>
      <c r="CR38" s="104" t="s">
        <v>143</v>
      </c>
      <c r="CS38" s="124"/>
      <c r="CT38" s="105" t="s">
        <v>151</v>
      </c>
      <c r="CU3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38" s="85">
        <v>0</v>
      </c>
      <c r="CW38" s="85">
        <v>0</v>
      </c>
      <c r="CX38" s="85">
        <v>0</v>
      </c>
      <c r="CY38" s="85">
        <v>0</v>
      </c>
      <c r="CZ38" s="85">
        <v>0</v>
      </c>
      <c r="DA38" s="85">
        <v>1</v>
      </c>
      <c r="DB38" s="85">
        <v>0</v>
      </c>
      <c r="DC38" s="85">
        <v>0</v>
      </c>
      <c r="DD38" s="85">
        <v>0</v>
      </c>
      <c r="DE38" s="13">
        <v>1.0113701298544711</v>
      </c>
    </row>
    <row r="39" spans="1:109" x14ac:dyDescent="0.25">
      <c r="A39" s="4" t="s" vm="370">
        <v>202</v>
      </c>
      <c r="B39" s="2" t="s" vm="29">
        <v>203</v>
      </c>
      <c r="C39" s="72" vm="587">
        <v>45016</v>
      </c>
      <c r="D39" s="7">
        <f>IFERROR( VfM_Metrics_2023_Consol_Source[[#This Row],[Reinvestment Spend]] / VfM_Metrics_2023_Consol_Source[[#This Row],[Net Book Value of Housing Properties]], "n/a" )</f>
        <v>6.6186610509153906E-2</v>
      </c>
      <c r="E3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9743</v>
      </c>
      <c r="F39" s="83" vm="5805">
        <v>1982</v>
      </c>
      <c r="G39" s="83" vm="5806">
        <v>432</v>
      </c>
      <c r="H39" s="83" vm="7145">
        <v>7180</v>
      </c>
      <c r="I39" s="83" vm="5807">
        <v>149</v>
      </c>
      <c r="J39" s="83" vm="5808">
        <v>0</v>
      </c>
      <c r="K39" s="5">
        <f xml:space="preserve"> SUM( VfM_Metrics_2023_Consol_Source[[#This Row],[Tangible fixed assets: Housing properties at cost (Current period)]],VfM_Metrics_2023_Consol_Source[[#This Row],[Tangible fixed assets Housing properties at valuation (Current period)]] )</f>
        <v>147205</v>
      </c>
      <c r="L39" s="84" vm="5809">
        <v>147205</v>
      </c>
      <c r="M39" s="83">
        <v>0</v>
      </c>
      <c r="N39" s="7">
        <f xml:space="preserve"> IFERROR( VfM_Metrics_2023_Consol_Source[[#This Row],[Total social units developed or newly built units acquired in-year]] / VfM_Metrics_2023_Consol_Source[[#This Row],[Social housing units owned (period end)]], "n/a" )</f>
        <v>1.2788700133613285E-2</v>
      </c>
      <c r="O39" s="5">
        <f xml:space="preserve"> SUM( VfM_Metrics_2023_Consol_Source[[#This Row],[Total social units developed or newly built units acquired in-year (owned)]], VfM_Metrics_2023_Consol_Source[[#This Row],[Total social leasehold units developed or newly built units acquired in-year (owned)]] )</f>
        <v>67</v>
      </c>
      <c r="P39" s="84" vm="5810">
        <v>67</v>
      </c>
      <c r="Q39" s="83">
        <v>0</v>
      </c>
      <c r="R39" s="5">
        <f xml:space="preserve"> SUM( VfM_Metrics_2023_Consol_Source[[#This Row],[Total social housing units owned (Period end)]], VfM_Metrics_2023_Consol_Source[[#This Row],[Total social leasehold units owned (Period end)]] )</f>
        <v>5239</v>
      </c>
      <c r="S39" s="84" vm="5803">
        <v>5239</v>
      </c>
      <c r="T39" s="83" vm="5811">
        <v>0</v>
      </c>
      <c r="U39" s="86">
        <f xml:space="preserve"> IFERROR( VfM_Metrics_2023_Consol_Source[[#This Row],[Total non-social housing units developed or newly built units acquired (owned)]] / VfM_Metrics_2023_Consol_Source[[#This Row],[Total social and non-social housing units owned (Period end)]], "n/a" )</f>
        <v>8.8261253309797002E-4</v>
      </c>
      <c r="V3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5</v>
      </c>
      <c r="W39" s="83" vm="6943">
        <v>5</v>
      </c>
      <c r="X39" s="83">
        <v>0</v>
      </c>
      <c r="Y39" s="83" vm="5812">
        <v>0</v>
      </c>
      <c r="Z3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5665</v>
      </c>
      <c r="AA39" s="84" vm="7338">
        <v>5239</v>
      </c>
      <c r="AB39" s="83" vm="5811">
        <v>0</v>
      </c>
      <c r="AC39" s="83" vm="5928">
        <v>33</v>
      </c>
      <c r="AD39" s="83" vm="5813">
        <v>393</v>
      </c>
      <c r="AE39" s="7">
        <f xml:space="preserve"> IFERROR( VfM_Metrics_2023_Consol_Source[[#This Row],[Total Net Debt]] / VfM_Metrics_2023_Consol_Source[[#This Row],[Net Book Value of Housing Properties2]], "n/a" )</f>
        <v>0.51135491321626303</v>
      </c>
      <c r="AF3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75274</v>
      </c>
      <c r="AG39" s="84" vm="5814">
        <v>0</v>
      </c>
      <c r="AH39" s="83" vm="7264">
        <v>88485</v>
      </c>
      <c r="AI39" s="83" vm="7244">
        <v>13211</v>
      </c>
      <c r="AJ39" s="83" vm="1675">
        <v>0</v>
      </c>
      <c r="AK39" s="83">
        <v>0</v>
      </c>
      <c r="AL39" s="5">
        <f xml:space="preserve"> SUM( VfM_Metrics_2023_Consol_Source[[#This Row],[Tangible fixed assets: Housing properties at cost (Current period)2]], VfM_Metrics_2023_Consol_Source[[#This Row],[Tangible fixed assets Housing properties at valuation (Current period)2]] )</f>
        <v>147205</v>
      </c>
      <c r="AM39" s="84" vm="5809">
        <v>147205</v>
      </c>
      <c r="AN39" s="83">
        <v>0</v>
      </c>
      <c r="AO39" s="87">
        <f xml:space="preserve"> IFERROR( VfM_Metrics_2023_Consol_Source[[#This Row],[EBITDA MRI]] / VfM_Metrics_2023_Consol_Source[[#This Row],[Total interest]], "n/a" )</f>
        <v>0.74221548635987877</v>
      </c>
      <c r="AP3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5387</v>
      </c>
      <c r="AQ39" s="84" vm="5815">
        <v>7593</v>
      </c>
      <c r="AR39" s="84" vm="5816">
        <v>937</v>
      </c>
      <c r="AS39" s="84">
        <v>0</v>
      </c>
      <c r="AT39" s="84" vm="5817">
        <v>140</v>
      </c>
      <c r="AU39" s="84" vm="7241">
        <v>0</v>
      </c>
      <c r="AV39" s="84" vm="5818">
        <v>276</v>
      </c>
      <c r="AW39" s="84" vm="5819">
        <v>7180</v>
      </c>
      <c r="AX39" s="84" vm="5820">
        <v>5775</v>
      </c>
      <c r="AY39" s="3">
        <f xml:space="preserve"> - SUM( VfM_Metrics_2023_Consol_Source[[#This Row],[Interest capitalised]], VfM_Metrics_2023_Consol_Source[[#This Row],[Interest payable and financing costs]] )</f>
        <v>7258</v>
      </c>
      <c r="AZ39" s="84" vm="5821">
        <v>-149</v>
      </c>
      <c r="BA39" s="83" vm="7182">
        <v>-7109</v>
      </c>
      <c r="BB39" s="8">
        <f xml:space="preserve"> IFERROR( ( VfM_Metrics_2023_Consol_Source[[#This Row],[Total Costs]] / VfM_Metrics_2023_Consol_Source[[#This Row],[Total units for costs]] ) * 1000, "n/a" )</f>
        <v>4540</v>
      </c>
      <c r="BC3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23835</v>
      </c>
      <c r="BD39" s="84" vm="5822">
        <v>7361</v>
      </c>
      <c r="BE39" s="83" vm="7243">
        <v>1198</v>
      </c>
      <c r="BF39" s="83" vm="5823">
        <v>3427</v>
      </c>
      <c r="BG39" s="83" vm="5824">
        <v>2553</v>
      </c>
      <c r="BH39" s="83" vm="5825">
        <v>1717</v>
      </c>
      <c r="BI39" s="83" vm="5826">
        <v>0</v>
      </c>
      <c r="BJ39" s="83" vm="6887">
        <v>7180</v>
      </c>
      <c r="BK39" s="83" vm="3738">
        <v>0</v>
      </c>
      <c r="BL39" s="83">
        <v>0</v>
      </c>
      <c r="BM39" s="83">
        <v>0</v>
      </c>
      <c r="BN39" s="83" vm="5827">
        <v>363</v>
      </c>
      <c r="BO39" s="83" vm="5828">
        <v>36</v>
      </c>
      <c r="BP39" s="5" vm="5804">
        <f xml:space="preserve"> VfM_Metrics_2023_Consol_Source[[#This Row],[Total social housing units owned and/or managed at period end]]</f>
        <v>5250</v>
      </c>
      <c r="BQ39" s="84" vm="5804">
        <v>5250</v>
      </c>
      <c r="BR39" s="7">
        <f xml:space="preserve"> IFERROR( VfM_Metrics_2023_Consol_Source[[#This Row],[SHL operating surplus / (deficit)]] / VfM_Metrics_2023_Consol_Source[[#This Row],[Turnover from social housing lettings]], "n/a" )</f>
        <v>0.22458183884370894</v>
      </c>
      <c r="BS39" s="5" vm="5829">
        <f xml:space="preserve"> VfM_Metrics_2023_Consol_Source[[#This Row],[Operating surplus/(deficit) (social housing lettings)]]</f>
        <v>6324</v>
      </c>
      <c r="BT39" s="84" vm="5829">
        <v>6324</v>
      </c>
      <c r="BU39" s="5" vm="5830">
        <f xml:space="preserve"> VfM_Metrics_2023_Consol_Source[[#This Row],[Turnover from social housing lettings]]</f>
        <v>28159</v>
      </c>
      <c r="BV39" s="84" vm="5830">
        <v>28159</v>
      </c>
      <c r="BW39" s="7">
        <f xml:space="preserve"> IFERROR( VfM_Metrics_2023_Consol_Source[[#This Row],[Net operating surplus]] / VfM_Metrics_2023_Consol_Source[[#This Row],[Overall turnover]], "n/a" )</f>
        <v>0.21104699093157461</v>
      </c>
      <c r="BX3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6656</v>
      </c>
      <c r="BY39" s="84" vm="5815">
        <v>7593</v>
      </c>
      <c r="BZ39" s="83" vm="5816">
        <v>937</v>
      </c>
      <c r="CA39" s="83">
        <v>0</v>
      </c>
      <c r="CB39" s="5" vm="5831">
        <f xml:space="preserve"> VfM_Metrics_2023_Consol_Source[[#This Row],[Turnover (overall)]]</f>
        <v>31538</v>
      </c>
      <c r="CC39" s="84" vm="5831">
        <v>31538</v>
      </c>
      <c r="CD39" s="7">
        <f xml:space="preserve"> IFERROR( VfM_Metrics_2023_Consol_Source[[#This Row],[Operating surplus including from JVs]] / VfM_Metrics_2023_Consol_Source[[#This Row],[Net assets]], "n/a" )</f>
        <v>4.5462982366853276E-2</v>
      </c>
      <c r="CE39" s="5">
        <f xml:space="preserve"> SUM( VfM_Metrics_2023_Consol_Source[[#This Row],[Operating surplus/(deficit) (overall)3]], VfM_Metrics_2023_Consol_Source[[#This Row],[Share of operating surplus/(deficit) in joint ventures or associates]] )</f>
        <v>7593</v>
      </c>
      <c r="CF39" s="84" vm="5695">
        <v>7593</v>
      </c>
      <c r="CG39" s="83">
        <v>0</v>
      </c>
      <c r="CH39" s="5" vm="5832">
        <f xml:space="preserve"> VfM_Metrics_2023_Consol_Source[[#This Row],[Total assets less current liabilities]]</f>
        <v>167015</v>
      </c>
      <c r="CI39" s="84" vm="5832">
        <v>167015</v>
      </c>
      <c r="CJ39" s="71" vm="5803">
        <f xml:space="preserve"> VfM_Metrics_2023_Consol_Source[[#This Row],[Total social housing units owned (Period end)]]</f>
        <v>5239</v>
      </c>
      <c r="CK39" s="103">
        <v>9.5822154082023765E-4</v>
      </c>
      <c r="CL39" s="6">
        <f xml:space="preserve"> -- ( VfM_Metrics_2023_Consol_Source[[#This Row],[% Supported housing (excl. HOP)]] &gt; 0.3 )</f>
        <v>0</v>
      </c>
      <c r="CM39" s="103">
        <v>0.20582598696818705</v>
      </c>
      <c r="CN39" s="6">
        <f xml:space="preserve"> -- ( VfM_Metrics_2023_Consol_Source[[#This Row],[% Housing for older people]] &gt; 0.3 )</f>
        <v>0</v>
      </c>
      <c r="CO39" s="103">
        <f xml:space="preserve"> VfM_Metrics_2023_Consol_Source[[#This Row],[% Supported housing (excl. HOP)]] + VfM_Metrics_2023_Consol_Source[[#This Row],[% Housing for older people]]</f>
        <v>0.20678420850900728</v>
      </c>
      <c r="CP39" s="6">
        <f xml:space="preserve"> -- ( VfM_Metrics_2023_Consol_Source[[#This Row],[SH specialist in RSH analysis]] + VfM_Metrics_2023_Consol_Source[[#This Row],[OP specialist in RSH analysis]] &gt; 0 )</f>
        <v>0</v>
      </c>
      <c r="CQ39" s="10">
        <f xml:space="preserve"> -- ( VfM_Metrics_2023_Consol_Source[[#This Row],[% SH and OP]] &gt; 0.3 )</f>
        <v>0</v>
      </c>
      <c r="CR39" s="104" t="s">
        <v>143</v>
      </c>
      <c r="CS39" s="124"/>
      <c r="CT39" s="105" t="s">
        <v>151</v>
      </c>
      <c r="CU3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39" s="85">
        <v>0</v>
      </c>
      <c r="CW39" s="85">
        <v>0</v>
      </c>
      <c r="CX39" s="85">
        <v>0</v>
      </c>
      <c r="CY39" s="85">
        <v>3.6571428571428574E-2</v>
      </c>
      <c r="CZ39" s="85">
        <v>0</v>
      </c>
      <c r="DA39" s="85">
        <v>0</v>
      </c>
      <c r="DB39" s="85">
        <v>0</v>
      </c>
      <c r="DC39" s="85">
        <v>0.96342857142857141</v>
      </c>
      <c r="DD39" s="85">
        <v>0</v>
      </c>
      <c r="DE39" s="13">
        <v>0.96037437590874097</v>
      </c>
    </row>
    <row r="40" spans="1:109" x14ac:dyDescent="0.25">
      <c r="A40" s="4" t="s" vm="214">
        <v>204</v>
      </c>
      <c r="B40" s="2" t="s" vm="30">
        <v>205</v>
      </c>
      <c r="C40" s="72" vm="409">
        <v>45016</v>
      </c>
      <c r="D40" s="7">
        <f>IFERROR( VfM_Metrics_2023_Consol_Source[[#This Row],[Reinvestment Spend]] / VfM_Metrics_2023_Consol_Source[[#This Row],[Net Book Value of Housing Properties]], "n/a" )</f>
        <v>2.0411160957457878E-2</v>
      </c>
      <c r="E4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3335</v>
      </c>
      <c r="F40" s="83" vm="8810">
        <v>2311</v>
      </c>
      <c r="G40" s="83" vm="8920">
        <v>0</v>
      </c>
      <c r="H40" s="83" vm="8707">
        <v>353</v>
      </c>
      <c r="I40" s="83" vm="8902">
        <v>671</v>
      </c>
      <c r="J40" s="83" vm="897">
        <v>0</v>
      </c>
      <c r="K40" s="5">
        <f xml:space="preserve"> SUM( VfM_Metrics_2023_Consol_Source[[#This Row],[Tangible fixed assets: Housing properties at cost (Current period)]],VfM_Metrics_2023_Consol_Source[[#This Row],[Tangible fixed assets Housing properties at valuation (Current period)]] )</f>
        <v>163391</v>
      </c>
      <c r="L40" s="84" vm="8908">
        <v>163391</v>
      </c>
      <c r="M40" s="83" vm="899">
        <v>0</v>
      </c>
      <c r="N40" s="7">
        <f xml:space="preserve"> IFERROR( VfM_Metrics_2023_Consol_Source[[#This Row],[Total social units developed or newly built units acquired in-year]] / VfM_Metrics_2023_Consol_Source[[#This Row],[Social housing units owned (period end)]], "n/a" )</f>
        <v>6.4608758076094763E-3</v>
      </c>
      <c r="O40" s="5">
        <f xml:space="preserve"> SUM( VfM_Metrics_2023_Consol_Source[[#This Row],[Total social units developed or newly built units acquired in-year (owned)]], VfM_Metrics_2023_Consol_Source[[#This Row],[Total social leasehold units developed or newly built units acquired in-year (owned)]] )</f>
        <v>9</v>
      </c>
      <c r="P40" s="84" vm="8864">
        <v>9</v>
      </c>
      <c r="Q40" s="83">
        <v>0</v>
      </c>
      <c r="R40" s="5">
        <f xml:space="preserve"> SUM( VfM_Metrics_2023_Consol_Source[[#This Row],[Total social housing units owned (Period end)]], VfM_Metrics_2023_Consol_Source[[#This Row],[Total social leasehold units owned (Period end)]] )</f>
        <v>1393</v>
      </c>
      <c r="S40" s="84" vm="8698">
        <v>1358</v>
      </c>
      <c r="T40" s="83" vm="900">
        <v>35</v>
      </c>
      <c r="U40" s="86">
        <f xml:space="preserve"> IFERROR( VfM_Metrics_2023_Consol_Source[[#This Row],[Total non-social housing units developed or newly built units acquired (owned)]] / VfM_Metrics_2023_Consol_Source[[#This Row],[Total social and non-social housing units owned (Period end)]], "n/a" )</f>
        <v>2.1186440677966102E-3</v>
      </c>
      <c r="V4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v>
      </c>
      <c r="W40" s="83" vm="8861">
        <v>3</v>
      </c>
      <c r="X40" s="83">
        <v>0</v>
      </c>
      <c r="Y40" s="83" vm="8831">
        <v>0</v>
      </c>
      <c r="Z4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1416</v>
      </c>
      <c r="AA40" s="84" vm="895">
        <v>1358</v>
      </c>
      <c r="AB40" s="83" vm="8753">
        <v>35</v>
      </c>
      <c r="AC40" s="83" vm="8878">
        <v>23</v>
      </c>
      <c r="AD40" s="83" vm="8858">
        <v>0</v>
      </c>
      <c r="AE40" s="7">
        <f xml:space="preserve"> IFERROR( VfM_Metrics_2023_Consol_Source[[#This Row],[Total Net Debt]] / VfM_Metrics_2023_Consol_Source[[#This Row],[Net Book Value of Housing Properties2]], "n/a" )</f>
        <v>0.47646443194545601</v>
      </c>
      <c r="AF4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77850</v>
      </c>
      <c r="AG40" s="84" vm="8829">
        <v>2179</v>
      </c>
      <c r="AH40" s="83" vm="1135">
        <v>75874</v>
      </c>
      <c r="AI40" s="83" vm="8942">
        <v>203</v>
      </c>
      <c r="AJ40" s="83" vm="902">
        <v>0</v>
      </c>
      <c r="AK40" s="83" vm="8912">
        <v>0</v>
      </c>
      <c r="AL40" s="5">
        <f xml:space="preserve"> SUM( VfM_Metrics_2023_Consol_Source[[#This Row],[Tangible fixed assets: Housing properties at cost (Current period)2]], VfM_Metrics_2023_Consol_Source[[#This Row],[Tangible fixed assets Housing properties at valuation (Current period)2]] )</f>
        <v>163391</v>
      </c>
      <c r="AM40" s="84" vm="8693">
        <v>163391</v>
      </c>
      <c r="AN40" s="83" vm="8898">
        <v>0</v>
      </c>
      <c r="AO40" s="87">
        <f xml:space="preserve"> IFERROR( VfM_Metrics_2023_Consol_Source[[#This Row],[EBITDA MRI]] / VfM_Metrics_2023_Consol_Source[[#This Row],[Total interest]], "n/a" )</f>
        <v>1.2088627207933065</v>
      </c>
      <c r="AP4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3901</v>
      </c>
      <c r="AQ40" s="84" vm="903">
        <v>2617</v>
      </c>
      <c r="AR40" s="84" vm="8808">
        <v>0</v>
      </c>
      <c r="AS40" s="84" vm="905">
        <v>0</v>
      </c>
      <c r="AT40" s="84" vm="906">
        <v>663</v>
      </c>
      <c r="AU40" s="84" vm="8699">
        <v>0</v>
      </c>
      <c r="AV40" s="84" vm="9097">
        <v>0</v>
      </c>
      <c r="AW40" s="84" vm="732">
        <v>353</v>
      </c>
      <c r="AX40" s="84" vm="8907">
        <v>2300</v>
      </c>
      <c r="AY40" s="3">
        <f xml:space="preserve"> - SUM( VfM_Metrics_2023_Consol_Source[[#This Row],[Interest capitalised]], VfM_Metrics_2023_Consol_Source[[#This Row],[Interest payable and financing costs]] )</f>
        <v>3227</v>
      </c>
      <c r="AZ40" s="84" vm="8680">
        <v>-671</v>
      </c>
      <c r="BA40" s="83" vm="8840">
        <v>-2556</v>
      </c>
      <c r="BB40" s="8">
        <f xml:space="preserve"> IFERROR( ( VfM_Metrics_2023_Consol_Source[[#This Row],[Total Costs]] / VfM_Metrics_2023_Consol_Source[[#This Row],[Total units for costs]] ) * 1000, "n/a" )</f>
        <v>7137.5166889185584</v>
      </c>
      <c r="BC4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10692</v>
      </c>
      <c r="BD40" s="84" vm="908">
        <v>3305</v>
      </c>
      <c r="BE40" s="83" vm="8891">
        <v>2856</v>
      </c>
      <c r="BF40" s="83" vm="8904">
        <v>2477</v>
      </c>
      <c r="BG40" s="83" vm="803">
        <v>51</v>
      </c>
      <c r="BH40" s="83" vm="1235">
        <v>0</v>
      </c>
      <c r="BI40" s="83" vm="909">
        <v>718</v>
      </c>
      <c r="BJ40" s="83" vm="907">
        <v>353</v>
      </c>
      <c r="BK40" s="83" vm="8875">
        <v>45</v>
      </c>
      <c r="BL40" s="83" vm="8677">
        <v>0</v>
      </c>
      <c r="BM40" s="83" vm="8900">
        <v>0</v>
      </c>
      <c r="BN40" s="83" vm="8728">
        <v>0</v>
      </c>
      <c r="BO40" s="83" vm="1131">
        <v>887</v>
      </c>
      <c r="BP40" s="5" vm="8749">
        <f xml:space="preserve"> VfM_Metrics_2023_Consol_Source[[#This Row],[Total social housing units owned and/or managed at period end]]</f>
        <v>1498</v>
      </c>
      <c r="BQ40" s="84" vm="8749">
        <v>1498</v>
      </c>
      <c r="BR40" s="7">
        <f xml:space="preserve"> IFERROR( VfM_Metrics_2023_Consol_Source[[#This Row],[SHL operating surplus / (deficit)]] / VfM_Metrics_2023_Consol_Source[[#This Row],[Turnover from social housing lettings]], "n/a" )</f>
        <v>0.1584560690705942</v>
      </c>
      <c r="BS40" s="5" vm="769">
        <f xml:space="preserve"> VfM_Metrics_2023_Consol_Source[[#This Row],[Operating surplus/(deficit) (social housing lettings)]]</f>
        <v>2184</v>
      </c>
      <c r="BT40" s="84" vm="769">
        <v>2184</v>
      </c>
      <c r="BU40" s="5" vm="910">
        <f xml:space="preserve"> VfM_Metrics_2023_Consol_Source[[#This Row],[Turnover from social housing lettings]]</f>
        <v>13783</v>
      </c>
      <c r="BV40" s="84" vm="910">
        <v>13783</v>
      </c>
      <c r="BW40" s="7">
        <f xml:space="preserve"> IFERROR( VfM_Metrics_2023_Consol_Source[[#This Row],[Net operating surplus]] / VfM_Metrics_2023_Consol_Source[[#This Row],[Overall turnover]], "n/a" )</f>
        <v>0.17075557875505676</v>
      </c>
      <c r="BX4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2617</v>
      </c>
      <c r="BY40" s="84" vm="903">
        <v>2617</v>
      </c>
      <c r="BZ40" s="83" vm="904">
        <v>0</v>
      </c>
      <c r="CA40" s="83" vm="8889">
        <v>0</v>
      </c>
      <c r="CB40" s="5" vm="1223">
        <f xml:space="preserve"> VfM_Metrics_2023_Consol_Source[[#This Row],[Turnover (overall)]]</f>
        <v>15326</v>
      </c>
      <c r="CC40" s="84" vm="1223">
        <v>15326</v>
      </c>
      <c r="CD40" s="7">
        <f xml:space="preserve"> IFERROR( VfM_Metrics_2023_Consol_Source[[#This Row],[Operating surplus including from JVs]] / VfM_Metrics_2023_Consol_Source[[#This Row],[Net assets]], "n/a" )</f>
        <v>1.6237311691857145E-2</v>
      </c>
      <c r="CE40" s="5">
        <f xml:space="preserve"> SUM( VfM_Metrics_2023_Consol_Source[[#This Row],[Operating surplus/(deficit) (overall)3]], VfM_Metrics_2023_Consol_Source[[#This Row],[Share of operating surplus/(deficit) in joint ventures or associates]] )</f>
        <v>2617</v>
      </c>
      <c r="CF40" s="84" vm="903">
        <v>2617</v>
      </c>
      <c r="CG40" s="83" vm="911">
        <v>0</v>
      </c>
      <c r="CH40" s="5" vm="8723">
        <f xml:space="preserve"> VfM_Metrics_2023_Consol_Source[[#This Row],[Total assets less current liabilities]]</f>
        <v>161172</v>
      </c>
      <c r="CI40" s="84" vm="8723">
        <v>161172</v>
      </c>
      <c r="CJ40" s="71" vm="8698">
        <f xml:space="preserve"> VfM_Metrics_2023_Consol_Source[[#This Row],[Total social housing units owned (Period end)]]</f>
        <v>1358</v>
      </c>
      <c r="CK40" s="103">
        <v>0.13574982231698648</v>
      </c>
      <c r="CL40" s="6">
        <f xml:space="preserve"> -- ( VfM_Metrics_2023_Consol_Source[[#This Row],[% Supported housing (excl. HOP)]] &gt; 0.3 )</f>
        <v>0</v>
      </c>
      <c r="CM40" s="103">
        <v>0.1634683724235963</v>
      </c>
      <c r="CN40" s="6">
        <f xml:space="preserve"> -- ( VfM_Metrics_2023_Consol_Source[[#This Row],[% Housing for older people]] &gt; 0.3 )</f>
        <v>0</v>
      </c>
      <c r="CO40" s="103">
        <f xml:space="preserve"> VfM_Metrics_2023_Consol_Source[[#This Row],[% Supported housing (excl. HOP)]] + VfM_Metrics_2023_Consol_Source[[#This Row],[% Housing for older people]]</f>
        <v>0.29921819474058275</v>
      </c>
      <c r="CP40" s="6">
        <f xml:space="preserve"> -- ( VfM_Metrics_2023_Consol_Source[[#This Row],[SH specialist in RSH analysis]] + VfM_Metrics_2023_Consol_Source[[#This Row],[OP specialist in RSH analysis]] &gt; 0 )</f>
        <v>0</v>
      </c>
      <c r="CQ40" s="10">
        <f xml:space="preserve"> -- ( VfM_Metrics_2023_Consol_Source[[#This Row],[% SH and OP]] &gt; 0.3 )</f>
        <v>0</v>
      </c>
      <c r="CR40" s="104" t="s">
        <v>143</v>
      </c>
      <c r="CS40" s="124" t="s">
        <v>144</v>
      </c>
      <c r="CT40" s="105"/>
      <c r="CU4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40" s="85">
        <v>1</v>
      </c>
      <c r="CW40" s="85">
        <v>0</v>
      </c>
      <c r="CX40" s="85">
        <v>0</v>
      </c>
      <c r="CY40" s="85">
        <v>0</v>
      </c>
      <c r="CZ40" s="85">
        <v>0</v>
      </c>
      <c r="DA40" s="85">
        <v>0</v>
      </c>
      <c r="DB40" s="85">
        <v>0</v>
      </c>
      <c r="DC40" s="85">
        <v>0</v>
      </c>
      <c r="DD40" s="85">
        <v>0</v>
      </c>
      <c r="DE40" s="13">
        <v>1.1603700449887588</v>
      </c>
    </row>
    <row r="41" spans="1:109" x14ac:dyDescent="0.25">
      <c r="A41" s="4" t="s" vm="342">
        <v>206</v>
      </c>
      <c r="B41" s="2" t="s" vm="31">
        <v>207</v>
      </c>
      <c r="C41" s="72" vm="452">
        <v>45016</v>
      </c>
      <c r="D41" s="7">
        <f>IFERROR( VfM_Metrics_2023_Consol_Source[[#This Row],[Reinvestment Spend]] / VfM_Metrics_2023_Consol_Source[[#This Row],[Net Book Value of Housing Properties]], "n/a" )</f>
        <v>8.9448107581523037E-2</v>
      </c>
      <c r="E4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126067</v>
      </c>
      <c r="F41" s="83" vm="4811">
        <v>94635</v>
      </c>
      <c r="G41" s="83" vm="4812">
        <v>0</v>
      </c>
      <c r="H41" s="83" vm="7399">
        <v>30277</v>
      </c>
      <c r="I41" s="83" vm="4147">
        <v>1155</v>
      </c>
      <c r="J41" s="83" vm="4813">
        <v>0</v>
      </c>
      <c r="K41" s="5">
        <f xml:space="preserve"> SUM( VfM_Metrics_2023_Consol_Source[[#This Row],[Tangible fixed assets: Housing properties at cost (Current period)]],VfM_Metrics_2023_Consol_Source[[#This Row],[Tangible fixed assets Housing properties at valuation (Current period)]] )</f>
        <v>1409387</v>
      </c>
      <c r="L41" s="84" vm="4814">
        <v>1409387</v>
      </c>
      <c r="M41" s="83">
        <v>0</v>
      </c>
      <c r="N41" s="7">
        <f xml:space="preserve"> IFERROR( VfM_Metrics_2023_Consol_Source[[#This Row],[Total social units developed or newly built units acquired in-year]] / VfM_Metrics_2023_Consol_Source[[#This Row],[Social housing units owned (period end)]], "n/a" )</f>
        <v>1.9354397483244426E-2</v>
      </c>
      <c r="O41" s="5">
        <f xml:space="preserve"> SUM( VfM_Metrics_2023_Consol_Source[[#This Row],[Total social units developed or newly built units acquired in-year (owned)]], VfM_Metrics_2023_Consol_Source[[#This Row],[Total social leasehold units developed or newly built units acquired in-year (owned)]] )</f>
        <v>566</v>
      </c>
      <c r="P41" s="84" vm="2264">
        <v>566</v>
      </c>
      <c r="Q41" s="83">
        <v>0</v>
      </c>
      <c r="R41" s="5">
        <f xml:space="preserve"> SUM( VfM_Metrics_2023_Consol_Source[[#This Row],[Total social housing units owned (Period end)]], VfM_Metrics_2023_Consol_Source[[#This Row],[Total social leasehold units owned (Period end)]] )</f>
        <v>29244</v>
      </c>
      <c r="S41" s="84" vm="7048">
        <v>29244</v>
      </c>
      <c r="T41" s="83" vm="4815">
        <v>0</v>
      </c>
      <c r="U41" s="86">
        <f xml:space="preserve"> IFERROR( VfM_Metrics_2023_Consol_Source[[#This Row],[Total non-social housing units developed or newly built units acquired (owned)]] / VfM_Metrics_2023_Consol_Source[[#This Row],[Total social and non-social housing units owned (Period end)]], "n/a" )</f>
        <v>9.4664100217727433E-4</v>
      </c>
      <c r="V4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30</v>
      </c>
      <c r="W41" s="83">
        <v>0</v>
      </c>
      <c r="X41" s="83">
        <v>0</v>
      </c>
      <c r="Y41" s="83" vm="4816">
        <v>30</v>
      </c>
      <c r="Z4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31691</v>
      </c>
      <c r="AA41" s="84" vm="4810">
        <v>29244</v>
      </c>
      <c r="AB41" s="83" vm="4815">
        <v>0</v>
      </c>
      <c r="AC41" s="83" vm="4817">
        <v>118</v>
      </c>
      <c r="AD41" s="83" vm="4818">
        <v>2329</v>
      </c>
      <c r="AE41" s="7">
        <f xml:space="preserve"> IFERROR( VfM_Metrics_2023_Consol_Source[[#This Row],[Total Net Debt]] / VfM_Metrics_2023_Consol_Source[[#This Row],[Net Book Value of Housing Properties2]], "n/a" )</f>
        <v>0.46799566052475294</v>
      </c>
      <c r="AF4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659587</v>
      </c>
      <c r="AG41" s="84" vm="4819">
        <v>7367</v>
      </c>
      <c r="AH41" s="83" vm="4820">
        <v>696740</v>
      </c>
      <c r="AI41" s="83" vm="4821">
        <v>44520</v>
      </c>
      <c r="AJ41" s="83" vm="1675">
        <v>0</v>
      </c>
      <c r="AK41" s="83">
        <v>0</v>
      </c>
      <c r="AL41" s="5">
        <f xml:space="preserve"> SUM( VfM_Metrics_2023_Consol_Source[[#This Row],[Tangible fixed assets: Housing properties at cost (Current period)2]], VfM_Metrics_2023_Consol_Source[[#This Row],[Tangible fixed assets Housing properties at valuation (Current period)2]] )</f>
        <v>1409387</v>
      </c>
      <c r="AM41" s="84" vm="4814">
        <v>1409387</v>
      </c>
      <c r="AN41" s="83">
        <v>0</v>
      </c>
      <c r="AO41" s="87">
        <f xml:space="preserve"> IFERROR( VfM_Metrics_2023_Consol_Source[[#This Row],[EBITDA MRI]] / VfM_Metrics_2023_Consol_Source[[#This Row],[Total interest]], "n/a" )</f>
        <v>1.2825911973984996</v>
      </c>
      <c r="AP4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39836</v>
      </c>
      <c r="AQ41" s="84" vm="3492">
        <v>50928</v>
      </c>
      <c r="AR41" s="84" vm="7358">
        <v>5623</v>
      </c>
      <c r="AS41" s="84">
        <v>0</v>
      </c>
      <c r="AT41" s="84" vm="4824">
        <v>4336</v>
      </c>
      <c r="AU41" s="84" vm="4825">
        <v>1485</v>
      </c>
      <c r="AV41" s="84" vm="4826">
        <v>2024</v>
      </c>
      <c r="AW41" s="84" vm="4827">
        <v>30277</v>
      </c>
      <c r="AX41" s="84" vm="7283">
        <v>28605</v>
      </c>
      <c r="AY41" s="3">
        <f xml:space="preserve"> - SUM( VfM_Metrics_2023_Consol_Source[[#This Row],[Interest capitalised]], VfM_Metrics_2023_Consol_Source[[#This Row],[Interest payable and financing costs]] )</f>
        <v>31059</v>
      </c>
      <c r="AZ41" s="84" vm="7494">
        <v>-1155</v>
      </c>
      <c r="BA41" s="83" vm="4828">
        <v>-29904</v>
      </c>
      <c r="BB41" s="8">
        <f xml:space="preserve"> IFERROR( ( VfM_Metrics_2023_Consol_Source[[#This Row],[Total Costs]] / VfM_Metrics_2023_Consol_Source[[#This Row],[Total units for costs]] ) * 1000, "n/a" )</f>
        <v>4188.4602253328776</v>
      </c>
      <c r="BC4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122680</v>
      </c>
      <c r="BD41" s="84" vm="5149">
        <v>16728</v>
      </c>
      <c r="BE41" s="83" vm="4829">
        <v>21164</v>
      </c>
      <c r="BF41" s="83" vm="4830">
        <v>30444</v>
      </c>
      <c r="BG41" s="83" vm="7383">
        <v>11630</v>
      </c>
      <c r="BH41" s="83" vm="4831">
        <v>9692</v>
      </c>
      <c r="BI41" s="83" vm="7508">
        <v>127</v>
      </c>
      <c r="BJ41" s="83" vm="4827">
        <v>30277</v>
      </c>
      <c r="BK41" s="83" vm="4832">
        <v>54</v>
      </c>
      <c r="BL41" s="83" vm="4833">
        <v>401</v>
      </c>
      <c r="BM41" s="83" vm="4834">
        <v>1447</v>
      </c>
      <c r="BN41" s="83" vm="4835">
        <v>716</v>
      </c>
      <c r="BO41" s="83">
        <v>0</v>
      </c>
      <c r="BP41" s="5" vm="5030">
        <f xml:space="preserve"> VfM_Metrics_2023_Consol_Source[[#This Row],[Total social housing units owned and/or managed at period end]]</f>
        <v>29290</v>
      </c>
      <c r="BQ41" s="84" vm="5030">
        <v>29290</v>
      </c>
      <c r="BR41" s="7">
        <f xml:space="preserve"> IFERROR( VfM_Metrics_2023_Consol_Source[[#This Row],[SHL operating surplus / (deficit)]] / VfM_Metrics_2023_Consol_Source[[#This Row],[Turnover from social housing lettings]], "n/a" )</f>
        <v>0.24258492024275596</v>
      </c>
      <c r="BS41" s="5" vm="4836">
        <f xml:space="preserve"> VfM_Metrics_2023_Consol_Source[[#This Row],[Operating surplus/(deficit) (social housing lettings)]]</f>
        <v>38293</v>
      </c>
      <c r="BT41" s="84" vm="4836">
        <v>38293</v>
      </c>
      <c r="BU41" s="5" vm="4837">
        <f xml:space="preserve"> VfM_Metrics_2023_Consol_Source[[#This Row],[Turnover from social housing lettings]]</f>
        <v>157854</v>
      </c>
      <c r="BV41" s="84" vm="4837">
        <v>157854</v>
      </c>
      <c r="BW41" s="7">
        <f xml:space="preserve"> IFERROR( VfM_Metrics_2023_Consol_Source[[#This Row],[Net operating surplus]] / VfM_Metrics_2023_Consol_Source[[#This Row],[Overall turnover]], "n/a" )</f>
        <v>0.24482439976006615</v>
      </c>
      <c r="BX4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45305</v>
      </c>
      <c r="BY41" s="84" vm="4683">
        <v>50928</v>
      </c>
      <c r="BZ41" s="83" vm="4823">
        <v>5623</v>
      </c>
      <c r="CA41" s="83">
        <v>0</v>
      </c>
      <c r="CB41" s="5" vm="6961">
        <f xml:space="preserve"> VfM_Metrics_2023_Consol_Source[[#This Row],[Turnover (overall)]]</f>
        <v>185051</v>
      </c>
      <c r="CC41" s="84" vm="6961">
        <v>185051</v>
      </c>
      <c r="CD41" s="7">
        <f xml:space="preserve"> IFERROR( VfM_Metrics_2023_Consol_Source[[#This Row],[Operating surplus including from JVs]] / VfM_Metrics_2023_Consol_Source[[#This Row],[Net assets]], "n/a" )</f>
        <v>3.6494824744014741E-2</v>
      </c>
      <c r="CE41" s="5">
        <f xml:space="preserve"> SUM( VfM_Metrics_2023_Consol_Source[[#This Row],[Operating surplus/(deficit) (overall)3]], VfM_Metrics_2023_Consol_Source[[#This Row],[Share of operating surplus/(deficit) in joint ventures or associates]] )</f>
        <v>52557</v>
      </c>
      <c r="CF41" s="84" vm="4822">
        <v>50928</v>
      </c>
      <c r="CG41" s="83" vm="7373">
        <v>1629</v>
      </c>
      <c r="CH41" s="5" vm="4839">
        <f xml:space="preserve"> VfM_Metrics_2023_Consol_Source[[#This Row],[Total assets less current liabilities]]</f>
        <v>1440122</v>
      </c>
      <c r="CI41" s="84" vm="4839">
        <v>1440122</v>
      </c>
      <c r="CJ41" s="71" vm="7048">
        <f xml:space="preserve"> VfM_Metrics_2023_Consol_Source[[#This Row],[Total social housing units owned (Period end)]]</f>
        <v>29244</v>
      </c>
      <c r="CK41" s="103">
        <v>1.5339313839621995E-2</v>
      </c>
      <c r="CL41" s="6">
        <f xml:space="preserve"> -- ( VfM_Metrics_2023_Consol_Source[[#This Row],[% Supported housing (excl. HOP)]] &gt; 0.3 )</f>
        <v>0</v>
      </c>
      <c r="CM41" s="103">
        <v>2.4378552352256385E-2</v>
      </c>
      <c r="CN41" s="6">
        <f xml:space="preserve"> -- ( VfM_Metrics_2023_Consol_Source[[#This Row],[% Housing for older people]] &gt; 0.3 )</f>
        <v>0</v>
      </c>
      <c r="CO41" s="103">
        <f xml:space="preserve"> VfM_Metrics_2023_Consol_Source[[#This Row],[% Supported housing (excl. HOP)]] + VfM_Metrics_2023_Consol_Source[[#This Row],[% Housing for older people]]</f>
        <v>3.9717866191878379E-2</v>
      </c>
      <c r="CP41" s="6">
        <f xml:space="preserve"> -- ( VfM_Metrics_2023_Consol_Source[[#This Row],[SH specialist in RSH analysis]] + VfM_Metrics_2023_Consol_Source[[#This Row],[OP specialist in RSH analysis]] &gt; 0 )</f>
        <v>0</v>
      </c>
      <c r="CQ41" s="10">
        <f xml:space="preserve"> -- ( VfM_Metrics_2023_Consol_Source[[#This Row],[% SH and OP]] &gt; 0.3 )</f>
        <v>0</v>
      </c>
      <c r="CR41" s="104" t="s">
        <v>143</v>
      </c>
      <c r="CS41" s="124"/>
      <c r="CT41" s="105" t="s">
        <v>151</v>
      </c>
      <c r="CU4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41" s="85">
        <v>0</v>
      </c>
      <c r="CW41" s="85">
        <v>0</v>
      </c>
      <c r="CX41" s="85">
        <v>8.8907126248119277E-4</v>
      </c>
      <c r="CY41" s="85">
        <v>0</v>
      </c>
      <c r="CZ41" s="85">
        <v>0.99911092873751883</v>
      </c>
      <c r="DA41" s="85">
        <v>0</v>
      </c>
      <c r="DB41" s="85">
        <v>0</v>
      </c>
      <c r="DC41" s="85">
        <v>0</v>
      </c>
      <c r="DD41" s="85">
        <v>0</v>
      </c>
      <c r="DE41" s="13">
        <v>0.9645996940951117</v>
      </c>
    </row>
    <row r="42" spans="1:109" x14ac:dyDescent="0.25">
      <c r="A42" s="4" t="s" vm="246">
        <v>208</v>
      </c>
      <c r="B42" s="2" t="s" vm="32">
        <v>209</v>
      </c>
      <c r="C42" s="72" vm="450">
        <v>45016</v>
      </c>
      <c r="D42" s="7">
        <f>IFERROR( VfM_Metrics_2023_Consol_Source[[#This Row],[Reinvestment Spend]] / VfM_Metrics_2023_Consol_Source[[#This Row],[Net Book Value of Housing Properties]], "n/a" )</f>
        <v>5.5830186656502009E-2</v>
      </c>
      <c r="E4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468700</v>
      </c>
      <c r="F42" s="83" vm="1634">
        <v>302700</v>
      </c>
      <c r="G42" s="83" vm="1635">
        <v>300</v>
      </c>
      <c r="H42" s="83" vm="1636">
        <v>145900</v>
      </c>
      <c r="I42" s="83" vm="1637">
        <v>19800</v>
      </c>
      <c r="J42" s="83" vm="8385">
        <v>0</v>
      </c>
      <c r="K42" s="5">
        <f xml:space="preserve"> SUM( VfM_Metrics_2023_Consol_Source[[#This Row],[Tangible fixed assets: Housing properties at cost (Current period)]],VfM_Metrics_2023_Consol_Source[[#This Row],[Tangible fixed assets Housing properties at valuation (Current period)]] )</f>
        <v>8395100</v>
      </c>
      <c r="L42" s="84" vm="1638">
        <v>8395100</v>
      </c>
      <c r="M42" s="83" vm="1400">
        <v>0</v>
      </c>
      <c r="N42" s="7">
        <f xml:space="preserve"> IFERROR( VfM_Metrics_2023_Consol_Source[[#This Row],[Total social units developed or newly built units acquired in-year]] / VfM_Metrics_2023_Consol_Source[[#This Row],[Social housing units owned (period end)]], "n/a" )</f>
        <v>1.3360834384107288E-2</v>
      </c>
      <c r="O42" s="5">
        <f xml:space="preserve"> SUM( VfM_Metrics_2023_Consol_Source[[#This Row],[Total social units developed or newly built units acquired in-year (owned)]], VfM_Metrics_2023_Consol_Source[[#This Row],[Total social leasehold units developed or newly built units acquired in-year (owned)]] )</f>
        <v>1600</v>
      </c>
      <c r="P42" s="84" vm="1640">
        <v>1595</v>
      </c>
      <c r="Q42" s="83" vm="7132">
        <v>5</v>
      </c>
      <c r="R42" s="5">
        <f xml:space="preserve"> SUM( VfM_Metrics_2023_Consol_Source[[#This Row],[Total social housing units owned (Period end)]], VfM_Metrics_2023_Consol_Source[[#This Row],[Total social leasehold units owned (Period end)]] )</f>
        <v>119753</v>
      </c>
      <c r="S42" s="84" vm="1632">
        <v>109520</v>
      </c>
      <c r="T42" s="83" vm="1641">
        <v>10233</v>
      </c>
      <c r="U42" s="86">
        <f xml:space="preserve"> IFERROR( VfM_Metrics_2023_Consol_Source[[#This Row],[Total non-social housing units developed or newly built units acquired (owned)]] / VfM_Metrics_2023_Consol_Source[[#This Row],[Total social and non-social housing units owned (Period end)]], "n/a" )</f>
        <v>2.5087286178822814E-3</v>
      </c>
      <c r="V4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314</v>
      </c>
      <c r="W42" s="83" vm="1642">
        <v>0</v>
      </c>
      <c r="X42" s="83" vm="1643">
        <v>258</v>
      </c>
      <c r="Y42" s="83" vm="8220">
        <v>56</v>
      </c>
      <c r="Z4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125163</v>
      </c>
      <c r="AA42" s="84" vm="8364">
        <v>109520</v>
      </c>
      <c r="AB42" s="83" vm="1641">
        <v>10233</v>
      </c>
      <c r="AC42" s="83" vm="1401">
        <v>887</v>
      </c>
      <c r="AD42" s="83" vm="1644">
        <v>4523</v>
      </c>
      <c r="AE42" s="7">
        <f xml:space="preserve"> IFERROR( VfM_Metrics_2023_Consol_Source[[#This Row],[Total Net Debt]] / VfM_Metrics_2023_Consol_Source[[#This Row],[Net Book Value of Housing Properties2]], "n/a" )</f>
        <v>0.52745053662255359</v>
      </c>
      <c r="AF4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4428000</v>
      </c>
      <c r="AG42" s="84" vm="1276">
        <v>45300</v>
      </c>
      <c r="AH42" s="83" vm="8219">
        <v>4464900</v>
      </c>
      <c r="AI42" s="83" vm="1645">
        <v>89400</v>
      </c>
      <c r="AJ42" s="83" vm="1646">
        <v>0</v>
      </c>
      <c r="AK42" s="83" vm="7869">
        <v>7200</v>
      </c>
      <c r="AL42" s="5">
        <f xml:space="preserve"> SUM( VfM_Metrics_2023_Consol_Source[[#This Row],[Tangible fixed assets: Housing properties at cost (Current period)2]], VfM_Metrics_2023_Consol_Source[[#This Row],[Tangible fixed assets Housing properties at valuation (Current period)2]] )</f>
        <v>8395100</v>
      </c>
      <c r="AM42" s="84" vm="8194">
        <v>8395100</v>
      </c>
      <c r="AN42" s="83" vm="1639">
        <v>0</v>
      </c>
      <c r="AO42" s="87">
        <f xml:space="preserve"> IFERROR( VfM_Metrics_2023_Consol_Source[[#This Row],[EBITDA MRI]] / VfM_Metrics_2023_Consol_Source[[#This Row],[Total interest]], "n/a" )</f>
        <v>0.66839602248162555</v>
      </c>
      <c r="AP4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154600</v>
      </c>
      <c r="AQ42" s="84" vm="8335">
        <v>260600</v>
      </c>
      <c r="AR42" s="84" vm="2158">
        <v>95800</v>
      </c>
      <c r="AS42" s="84" vm="1648">
        <v>300</v>
      </c>
      <c r="AT42" s="84" vm="2411">
        <v>24300</v>
      </c>
      <c r="AU42" s="84" vm="1649">
        <v>0</v>
      </c>
      <c r="AV42" s="84" vm="8285">
        <v>14700</v>
      </c>
      <c r="AW42" s="84" vm="8377">
        <v>145900</v>
      </c>
      <c r="AX42" s="84" vm="1650">
        <v>145600</v>
      </c>
      <c r="AY42" s="3">
        <f xml:space="preserve"> - SUM( VfM_Metrics_2023_Consol_Source[[#This Row],[Interest capitalised]], VfM_Metrics_2023_Consol_Source[[#This Row],[Interest payable and financing costs]] )</f>
        <v>231300</v>
      </c>
      <c r="AZ42" s="84" vm="8333">
        <v>-33600</v>
      </c>
      <c r="BA42" s="83" vm="1651">
        <v>-197700</v>
      </c>
      <c r="BB42" s="8">
        <f xml:space="preserve"> IFERROR( ( VfM_Metrics_2023_Consol_Source[[#This Row],[Total Costs]] / VfM_Metrics_2023_Consol_Source[[#This Row],[Total units for costs]] ) * 1000, "n/a" )</f>
        <v>5564.7227210983583</v>
      </c>
      <c r="BC4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610400</v>
      </c>
      <c r="BD42" s="84" vm="1652">
        <v>110200</v>
      </c>
      <c r="BE42" s="83" vm="1653">
        <v>71700</v>
      </c>
      <c r="BF42" s="83" vm="8320">
        <v>157500</v>
      </c>
      <c r="BG42" s="83" vm="1654">
        <v>67100</v>
      </c>
      <c r="BH42" s="83" vm="1655">
        <v>26500</v>
      </c>
      <c r="BI42" s="83" vm="8191">
        <v>200</v>
      </c>
      <c r="BJ42" s="83" vm="8263">
        <v>145900</v>
      </c>
      <c r="BK42" s="83" vm="8267">
        <v>1000</v>
      </c>
      <c r="BL42" s="83" vm="1656">
        <v>1700</v>
      </c>
      <c r="BM42" s="83" vm="7129">
        <v>16800</v>
      </c>
      <c r="BN42" s="83" vm="2847">
        <v>3600</v>
      </c>
      <c r="BO42" s="83" vm="1657">
        <v>8200</v>
      </c>
      <c r="BP42" s="5" vm="1633">
        <f xml:space="preserve"> VfM_Metrics_2023_Consol_Source[[#This Row],[Total social housing units owned and/or managed at period end]]</f>
        <v>109691</v>
      </c>
      <c r="BQ42" s="84" vm="1633">
        <v>109691</v>
      </c>
      <c r="BR42" s="7">
        <f xml:space="preserve"> IFERROR( VfM_Metrics_2023_Consol_Source[[#This Row],[SHL operating surplus / (deficit)]] / VfM_Metrics_2023_Consol_Source[[#This Row],[Turnover from social housing lettings]], "n/a" )</f>
        <v>0.19585814834867352</v>
      </c>
      <c r="BS42" s="5" vm="8048">
        <f xml:space="preserve"> VfM_Metrics_2023_Consol_Source[[#This Row],[Operating surplus/(deficit) (social housing lettings)]]</f>
        <v>144700</v>
      </c>
      <c r="BT42" s="84" vm="8048">
        <v>144700</v>
      </c>
      <c r="BU42" s="5" vm="8189">
        <f xml:space="preserve"> VfM_Metrics_2023_Consol_Source[[#This Row],[Turnover from social housing lettings]]</f>
        <v>738800</v>
      </c>
      <c r="BV42" s="84" vm="8189">
        <v>738800</v>
      </c>
      <c r="BW42" s="7">
        <f xml:space="preserve"> IFERROR( VfM_Metrics_2023_Consol_Source[[#This Row],[Net operating surplus]] / VfM_Metrics_2023_Consol_Source[[#This Row],[Overall turnover]], "n/a" )</f>
        <v>0.16322683072038102</v>
      </c>
      <c r="BX4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164500</v>
      </c>
      <c r="BY42" s="84" vm="8248">
        <v>260600</v>
      </c>
      <c r="BZ42" s="83" vm="1647">
        <v>95800</v>
      </c>
      <c r="CA42" s="83" vm="8262">
        <v>300</v>
      </c>
      <c r="CB42" s="5" vm="1658">
        <f xml:space="preserve"> VfM_Metrics_2023_Consol_Source[[#This Row],[Turnover (overall)]]</f>
        <v>1007800</v>
      </c>
      <c r="CC42" s="84" vm="1658">
        <v>1007800</v>
      </c>
      <c r="CD42" s="7">
        <f xml:space="preserve"> IFERROR( VfM_Metrics_2023_Consol_Source[[#This Row],[Operating surplus including from JVs]] / VfM_Metrics_2023_Consol_Source[[#This Row],[Net assets]], "n/a" )</f>
        <v>2.8760431722988301E-2</v>
      </c>
      <c r="CE42" s="5">
        <f xml:space="preserve"> SUM( VfM_Metrics_2023_Consol_Source[[#This Row],[Operating surplus/(deficit) (overall)3]], VfM_Metrics_2023_Consol_Source[[#This Row],[Share of operating surplus/(deficit) in joint ventures or associates]] )</f>
        <v>272600</v>
      </c>
      <c r="CF42" s="84" vm="1382">
        <v>260600</v>
      </c>
      <c r="CG42" s="83" vm="1659">
        <v>12000</v>
      </c>
      <c r="CH42" s="5" vm="8217">
        <f xml:space="preserve"> VfM_Metrics_2023_Consol_Source[[#This Row],[Total assets less current liabilities]]</f>
        <v>9478300</v>
      </c>
      <c r="CI42" s="84" vm="8217">
        <v>9478300</v>
      </c>
      <c r="CJ42" s="71" vm="1632">
        <f xml:space="preserve"> VfM_Metrics_2023_Consol_Source[[#This Row],[Total social housing units owned (Period end)]]</f>
        <v>109520</v>
      </c>
      <c r="CK42" s="103">
        <v>1.4766073821191932E-2</v>
      </c>
      <c r="CL42" s="6">
        <f xml:space="preserve"> -- ( VfM_Metrics_2023_Consol_Source[[#This Row],[% Supported housing (excl. HOP)]] &gt; 0.3 )</f>
        <v>0</v>
      </c>
      <c r="CM42" s="103">
        <v>6.0055430134170293E-2</v>
      </c>
      <c r="CN42" s="6">
        <f xml:space="preserve"> -- ( VfM_Metrics_2023_Consol_Source[[#This Row],[% Housing for older people]] &gt; 0.3 )</f>
        <v>0</v>
      </c>
      <c r="CO42" s="103">
        <f xml:space="preserve"> VfM_Metrics_2023_Consol_Source[[#This Row],[% Supported housing (excl. HOP)]] + VfM_Metrics_2023_Consol_Source[[#This Row],[% Housing for older people]]</f>
        <v>7.4821503955362217E-2</v>
      </c>
      <c r="CP42" s="6">
        <f xml:space="preserve"> -- ( VfM_Metrics_2023_Consol_Source[[#This Row],[SH specialist in RSH analysis]] + VfM_Metrics_2023_Consol_Source[[#This Row],[OP specialist in RSH analysis]] &gt; 0 )</f>
        <v>0</v>
      </c>
      <c r="CQ42" s="10">
        <f xml:space="preserve"> -- ( VfM_Metrics_2023_Consol_Source[[#This Row],[% SH and OP]] &gt; 0.3 )</f>
        <v>0</v>
      </c>
      <c r="CR42" s="104" t="s">
        <v>143</v>
      </c>
      <c r="CS42" s="124" t="s">
        <v>144</v>
      </c>
      <c r="CT42" s="105"/>
      <c r="CU4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42" s="85">
        <v>0.38621370223497375</v>
      </c>
      <c r="CW42" s="85">
        <v>0.25905045594926995</v>
      </c>
      <c r="CX42" s="85">
        <v>2.0385226878163777E-2</v>
      </c>
      <c r="CY42" s="85">
        <v>2.5036092176678056E-3</v>
      </c>
      <c r="CZ42" s="85">
        <v>4.8381791268434421E-2</v>
      </c>
      <c r="DA42" s="85">
        <v>0.24374554558578973</v>
      </c>
      <c r="DB42" s="85">
        <v>0</v>
      </c>
      <c r="DC42" s="85">
        <v>2.5136602035781511E-2</v>
      </c>
      <c r="DD42" s="85">
        <v>1.4583066829919044E-2</v>
      </c>
      <c r="DE42" s="13">
        <v>1.0692901509404711</v>
      </c>
    </row>
    <row r="43" spans="1:109" x14ac:dyDescent="0.25">
      <c r="A43" s="4" t="s" vm="363">
        <v>210</v>
      </c>
      <c r="B43" s="2" t="s" vm="33">
        <v>211</v>
      </c>
      <c r="C43" s="72" vm="447">
        <v>45016</v>
      </c>
      <c r="D43" s="7">
        <f>IFERROR( VfM_Metrics_2023_Consol_Source[[#This Row],[Reinvestment Spend]] / VfM_Metrics_2023_Consol_Source[[#This Row],[Net Book Value of Housing Properties]], "n/a" )</f>
        <v>8.8568227537055108E-2</v>
      </c>
      <c r="E4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28222</v>
      </c>
      <c r="F43" s="83" vm="5539">
        <v>24097</v>
      </c>
      <c r="G43" s="83" vm="6941">
        <v>0</v>
      </c>
      <c r="H43" s="83" vm="7377">
        <v>4125</v>
      </c>
      <c r="I43" s="83" vm="5540">
        <v>0</v>
      </c>
      <c r="J43" s="83" vm="5541">
        <v>0</v>
      </c>
      <c r="K43" s="5">
        <f xml:space="preserve"> SUM( VfM_Metrics_2023_Consol_Source[[#This Row],[Tangible fixed assets: Housing properties at cost (Current period)]],VfM_Metrics_2023_Consol_Source[[#This Row],[Tangible fixed assets Housing properties at valuation (Current period)]] )</f>
        <v>318647</v>
      </c>
      <c r="L43" s="84" vm="5542">
        <v>318647</v>
      </c>
      <c r="M43" s="83">
        <v>0</v>
      </c>
      <c r="N43" s="7">
        <f xml:space="preserve"> IFERROR( VfM_Metrics_2023_Consol_Source[[#This Row],[Total social units developed or newly built units acquired in-year]] / VfM_Metrics_2023_Consol_Source[[#This Row],[Social housing units owned (period end)]], "n/a" )</f>
        <v>3.3403321244512313E-2</v>
      </c>
      <c r="O43" s="5">
        <f xml:space="preserve"> SUM( VfM_Metrics_2023_Consol_Source[[#This Row],[Total social units developed or newly built units acquired in-year (owned)]], VfM_Metrics_2023_Consol_Source[[#This Row],[Total social leasehold units developed or newly built units acquired in-year (owned)]] )</f>
        <v>175</v>
      </c>
      <c r="P43" s="84" vm="7274">
        <v>175</v>
      </c>
      <c r="Q43" s="83">
        <v>0</v>
      </c>
      <c r="R43" s="5">
        <f xml:space="preserve"> SUM( VfM_Metrics_2023_Consol_Source[[#This Row],[Total social housing units owned (Period end)]], VfM_Metrics_2023_Consol_Source[[#This Row],[Total social leasehold units owned (Period end)]] )</f>
        <v>5239</v>
      </c>
      <c r="S43" s="84" vm="5538">
        <v>5111</v>
      </c>
      <c r="T43" s="83" vm="5462">
        <v>128</v>
      </c>
      <c r="U43" s="86">
        <f xml:space="preserve"> IFERROR( VfM_Metrics_2023_Consol_Source[[#This Row],[Total non-social housing units developed or newly built units acquired (owned)]] / VfM_Metrics_2023_Consol_Source[[#This Row],[Total social and non-social housing units owned (Period end)]], "n/a" )</f>
        <v>3.8160656363289448E-3</v>
      </c>
      <c r="V4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20</v>
      </c>
      <c r="W43" s="83">
        <v>0</v>
      </c>
      <c r="X43" s="83">
        <v>0</v>
      </c>
      <c r="Y43" s="83" vm="6915">
        <v>20</v>
      </c>
      <c r="Z4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5241</v>
      </c>
      <c r="AA43" s="84" vm="5538">
        <v>5111</v>
      </c>
      <c r="AB43" s="83" vm="5543">
        <v>128</v>
      </c>
      <c r="AC43" s="83" vm="5544">
        <v>2</v>
      </c>
      <c r="AD43" s="83" vm="5545">
        <v>0</v>
      </c>
      <c r="AE43" s="7">
        <f xml:space="preserve"> IFERROR( VfM_Metrics_2023_Consol_Source[[#This Row],[Total Net Debt]] / VfM_Metrics_2023_Consol_Source[[#This Row],[Net Book Value of Housing Properties2]], "n/a" )</f>
        <v>0.54028752820519255</v>
      </c>
      <c r="AF4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172161</v>
      </c>
      <c r="AG43" s="84">
        <v>0</v>
      </c>
      <c r="AH43" s="83" vm="5546">
        <v>233707</v>
      </c>
      <c r="AI43" s="83" vm="5547">
        <v>61546</v>
      </c>
      <c r="AJ43" s="83" vm="1675">
        <v>0</v>
      </c>
      <c r="AK43" s="83">
        <v>0</v>
      </c>
      <c r="AL43" s="5">
        <f xml:space="preserve"> SUM( VfM_Metrics_2023_Consol_Source[[#This Row],[Tangible fixed assets: Housing properties at cost (Current period)2]], VfM_Metrics_2023_Consol_Source[[#This Row],[Tangible fixed assets Housing properties at valuation (Current period)2]] )</f>
        <v>318647</v>
      </c>
      <c r="AM43" s="84" vm="5542">
        <v>318647</v>
      </c>
      <c r="AN43" s="83">
        <v>0</v>
      </c>
      <c r="AO43" s="87">
        <f xml:space="preserve"> IFERROR( VfM_Metrics_2023_Consol_Source[[#This Row],[EBITDA MRI]] / VfM_Metrics_2023_Consol_Source[[#This Row],[Total interest]], "n/a" )</f>
        <v>0.88412408759124084</v>
      </c>
      <c r="AP4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6783</v>
      </c>
      <c r="AQ43" s="84" vm="5548">
        <v>11706</v>
      </c>
      <c r="AR43" s="84" vm="5549">
        <v>5034</v>
      </c>
      <c r="AS43" s="84" vm="5550">
        <v>0</v>
      </c>
      <c r="AT43" s="84" vm="7296">
        <v>1053</v>
      </c>
      <c r="AU43" s="84" vm="5551">
        <v>0</v>
      </c>
      <c r="AV43" s="84" vm="5552">
        <v>85</v>
      </c>
      <c r="AW43" s="84" vm="5553">
        <v>4125</v>
      </c>
      <c r="AX43" s="84" vm="5554">
        <v>5204</v>
      </c>
      <c r="AY43" s="3">
        <f xml:space="preserve"> - SUM( VfM_Metrics_2023_Consol_Source[[#This Row],[Interest capitalised]], VfM_Metrics_2023_Consol_Source[[#This Row],[Interest payable and financing costs]] )</f>
        <v>7672</v>
      </c>
      <c r="AZ43" s="84" vm="5555">
        <v>-2204</v>
      </c>
      <c r="BA43" s="83" vm="5556">
        <v>-5468</v>
      </c>
      <c r="BB43" s="8">
        <f xml:space="preserve"> IFERROR( ( VfM_Metrics_2023_Consol_Source[[#This Row],[Total Costs]] / VfM_Metrics_2023_Consol_Source[[#This Row],[Total units for costs]] ) * 1000, "n/a" )</f>
        <v>4678.6607658264384</v>
      </c>
      <c r="BC4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24315</v>
      </c>
      <c r="BD43" s="84" vm="5557">
        <v>5379</v>
      </c>
      <c r="BE43" s="83" vm="5558">
        <v>2289</v>
      </c>
      <c r="BF43" s="83" vm="6914">
        <v>1638</v>
      </c>
      <c r="BG43" s="83" vm="5559">
        <v>7645</v>
      </c>
      <c r="BH43" s="83" vm="5560">
        <v>1325</v>
      </c>
      <c r="BI43" s="83" vm="5561">
        <v>0</v>
      </c>
      <c r="BJ43" s="83" vm="5553">
        <v>4125</v>
      </c>
      <c r="BK43" s="83" vm="5562">
        <v>314</v>
      </c>
      <c r="BL43" s="83">
        <v>0</v>
      </c>
      <c r="BM43" s="83">
        <v>0</v>
      </c>
      <c r="BN43" s="83" vm="5564">
        <v>203</v>
      </c>
      <c r="BO43" s="83" vm="5565">
        <v>1397</v>
      </c>
      <c r="BP43" s="5" vm="7509">
        <f xml:space="preserve"> VfM_Metrics_2023_Consol_Source[[#This Row],[Total social housing units owned and/or managed at period end]]</f>
        <v>5197</v>
      </c>
      <c r="BQ43" s="84" vm="7509">
        <v>5197</v>
      </c>
      <c r="BR43" s="7">
        <f xml:space="preserve"> IFERROR( VfM_Metrics_2023_Consol_Source[[#This Row],[SHL operating surplus / (deficit)]] / VfM_Metrics_2023_Consol_Source[[#This Row],[Turnover from social housing lettings]], "n/a" )</f>
        <v>0.17970822281167109</v>
      </c>
      <c r="BS43" s="5" vm="5566">
        <f xml:space="preserve"> VfM_Metrics_2023_Consol_Source[[#This Row],[Operating surplus/(deficit) (social housing lettings)]]</f>
        <v>5149</v>
      </c>
      <c r="BT43" s="84" vm="5566">
        <v>5149</v>
      </c>
      <c r="BU43" s="5" vm="5567">
        <f xml:space="preserve"> VfM_Metrics_2023_Consol_Source[[#This Row],[Turnover from social housing lettings]]</f>
        <v>28652</v>
      </c>
      <c r="BV43" s="84" vm="5567">
        <v>28652</v>
      </c>
      <c r="BW43" s="7">
        <f xml:space="preserve"> IFERROR( VfM_Metrics_2023_Consol_Source[[#This Row],[Net operating surplus]] / VfM_Metrics_2023_Consol_Source[[#This Row],[Overall turnover]], "n/a" )</f>
        <v>0.18184791496320524</v>
      </c>
      <c r="BX4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6672</v>
      </c>
      <c r="BY43" s="84" vm="5548">
        <v>11706</v>
      </c>
      <c r="BZ43" s="83" vm="7010">
        <v>5034</v>
      </c>
      <c r="CA43" s="83" vm="5550">
        <v>0</v>
      </c>
      <c r="CB43" s="5" vm="5568">
        <f xml:space="preserve"> VfM_Metrics_2023_Consol_Source[[#This Row],[Turnover (overall)]]</f>
        <v>36690</v>
      </c>
      <c r="CC43" s="84" vm="5568">
        <v>36690</v>
      </c>
      <c r="CD43" s="7">
        <f xml:space="preserve"> IFERROR( VfM_Metrics_2023_Consol_Source[[#This Row],[Operating surplus including from JVs]] / VfM_Metrics_2023_Consol_Source[[#This Row],[Net assets]], "n/a" )</f>
        <v>2.9798770476154111E-2</v>
      </c>
      <c r="CE43" s="5">
        <f xml:space="preserve"> SUM( VfM_Metrics_2023_Consol_Source[[#This Row],[Operating surplus/(deficit) (overall)3]], VfM_Metrics_2023_Consol_Source[[#This Row],[Share of operating surplus/(deficit) in joint ventures or associates]] )</f>
        <v>11706</v>
      </c>
      <c r="CF43" s="84" vm="5548">
        <v>11706</v>
      </c>
      <c r="CG43" s="83" vm="5570">
        <v>0</v>
      </c>
      <c r="CH43" s="5" vm="5569">
        <f xml:space="preserve"> VfM_Metrics_2023_Consol_Source[[#This Row],[Total assets less current liabilities]]</f>
        <v>392835</v>
      </c>
      <c r="CI43" s="84" vm="5569">
        <v>392835</v>
      </c>
      <c r="CJ43" s="71" vm="5538">
        <f xml:space="preserve"> VfM_Metrics_2023_Consol_Source[[#This Row],[Total social housing units owned (Period end)]]</f>
        <v>5111</v>
      </c>
      <c r="CK43" s="103">
        <v>2.0270270270270271E-2</v>
      </c>
      <c r="CL43" s="6">
        <f xml:space="preserve"> -- ( VfM_Metrics_2023_Consol_Source[[#This Row],[% Supported housing (excl. HOP)]] &gt; 0.3 )</f>
        <v>0</v>
      </c>
      <c r="CM43" s="103">
        <v>0.14169316375198729</v>
      </c>
      <c r="CN43" s="6">
        <f xml:space="preserve"> -- ( VfM_Metrics_2023_Consol_Source[[#This Row],[% Housing for older people]] &gt; 0.3 )</f>
        <v>0</v>
      </c>
      <c r="CO43" s="103">
        <f xml:space="preserve"> VfM_Metrics_2023_Consol_Source[[#This Row],[% Supported housing (excl. HOP)]] + VfM_Metrics_2023_Consol_Source[[#This Row],[% Housing for older people]]</f>
        <v>0.16196343402225755</v>
      </c>
      <c r="CP43" s="6">
        <f xml:space="preserve"> -- ( VfM_Metrics_2023_Consol_Source[[#This Row],[SH specialist in RSH analysis]] + VfM_Metrics_2023_Consol_Source[[#This Row],[OP specialist in RSH analysis]] &gt; 0 )</f>
        <v>0</v>
      </c>
      <c r="CQ43" s="10">
        <f xml:space="preserve"> -- ( VfM_Metrics_2023_Consol_Source[[#This Row],[% SH and OP]] &gt; 0.3 )</f>
        <v>0</v>
      </c>
      <c r="CR43" s="104" t="s">
        <v>143</v>
      </c>
      <c r="CS43" s="124"/>
      <c r="CT43" s="105" t="s">
        <v>151</v>
      </c>
      <c r="CU4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43" s="85">
        <v>0</v>
      </c>
      <c r="CW43" s="85">
        <v>0</v>
      </c>
      <c r="CX43" s="85">
        <v>1</v>
      </c>
      <c r="CY43" s="85">
        <v>0</v>
      </c>
      <c r="CZ43" s="85">
        <v>0</v>
      </c>
      <c r="DA43" s="85">
        <v>0</v>
      </c>
      <c r="DB43" s="85">
        <v>0</v>
      </c>
      <c r="DC43" s="85">
        <v>0</v>
      </c>
      <c r="DD43" s="85">
        <v>0</v>
      </c>
      <c r="DE43" s="13">
        <v>0.97511902715076015</v>
      </c>
    </row>
    <row r="44" spans="1:109" x14ac:dyDescent="0.25">
      <c r="A44" s="4" t="s" vm="394">
        <v>212</v>
      </c>
      <c r="B44" s="2" t="s" vm="34">
        <v>213</v>
      </c>
      <c r="C44" s="72" vm="515">
        <v>45016</v>
      </c>
      <c r="D44" s="7">
        <f>IFERROR( VfM_Metrics_2023_Consol_Source[[#This Row],[Reinvestment Spend]] / VfM_Metrics_2023_Consol_Source[[#This Row],[Net Book Value of Housing Properties]], "n/a" )</f>
        <v>2.8088798236101036E-2</v>
      </c>
      <c r="E4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3911</v>
      </c>
      <c r="F44" s="83" vm="6748">
        <v>1235</v>
      </c>
      <c r="G44" s="83" vm="6749">
        <v>0</v>
      </c>
      <c r="H44" s="83" vm="6750">
        <v>2647</v>
      </c>
      <c r="I44" s="83" vm="6751">
        <v>29</v>
      </c>
      <c r="J44" s="83" vm="6752">
        <v>0</v>
      </c>
      <c r="K44" s="5">
        <f xml:space="preserve"> SUM( VfM_Metrics_2023_Consol_Source[[#This Row],[Tangible fixed assets: Housing properties at cost (Current period)]],VfM_Metrics_2023_Consol_Source[[#This Row],[Tangible fixed assets Housing properties at valuation (Current period)]] )</f>
        <v>139237</v>
      </c>
      <c r="L44" s="84" vm="6753">
        <v>139237</v>
      </c>
      <c r="M44" s="83">
        <v>0</v>
      </c>
      <c r="N44" s="7">
        <f xml:space="preserve"> IFERROR( VfM_Metrics_2023_Consol_Source[[#This Row],[Total social units developed or newly built units acquired in-year]] / VfM_Metrics_2023_Consol_Source[[#This Row],[Social housing units owned (period end)]], "n/a" )</f>
        <v>8.6251509401414524E-3</v>
      </c>
      <c r="O44" s="5">
        <f xml:space="preserve"> SUM( VfM_Metrics_2023_Consol_Source[[#This Row],[Total social units developed or newly built units acquired in-year (owned)]], VfM_Metrics_2023_Consol_Source[[#This Row],[Total social leasehold units developed or newly built units acquired in-year (owned)]] )</f>
        <v>50</v>
      </c>
      <c r="P44" s="84" vm="2383">
        <v>50</v>
      </c>
      <c r="Q44" s="83">
        <v>0</v>
      </c>
      <c r="R44" s="5">
        <f xml:space="preserve"> SUM( VfM_Metrics_2023_Consol_Source[[#This Row],[Total social housing units owned (Period end)]], VfM_Metrics_2023_Consol_Source[[#This Row],[Total social leasehold units owned (Period end)]] )</f>
        <v>5797</v>
      </c>
      <c r="S44" s="84" vm="6781">
        <v>5797</v>
      </c>
      <c r="T44" s="83" vm="6755">
        <v>0</v>
      </c>
      <c r="U44" s="86">
        <f xml:space="preserve"> IFERROR( VfM_Metrics_2023_Consol_Source[[#This Row],[Total non-social housing units developed or newly built units acquired (owned)]] / VfM_Metrics_2023_Consol_Source[[#This Row],[Total social and non-social housing units owned (Period end)]], "n/a" )</f>
        <v>0</v>
      </c>
      <c r="V4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44" s="83">
        <v>0</v>
      </c>
      <c r="X44" s="83">
        <v>0</v>
      </c>
      <c r="Y44" s="83" vm="6756">
        <v>0</v>
      </c>
      <c r="Z4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5806</v>
      </c>
      <c r="AA44" s="84" vm="6746">
        <v>5797</v>
      </c>
      <c r="AB44" s="83" vm="6755">
        <v>0</v>
      </c>
      <c r="AC44" s="83" vm="6757">
        <v>9</v>
      </c>
      <c r="AD44" s="83" vm="7200">
        <v>0</v>
      </c>
      <c r="AE44" s="7">
        <f xml:space="preserve"> IFERROR( VfM_Metrics_2023_Consol_Source[[#This Row],[Total Net Debt]] / VfM_Metrics_2023_Consol_Source[[#This Row],[Net Book Value of Housing Properties2]], "n/a" )</f>
        <v>-0.11793560619662877</v>
      </c>
      <c r="AF4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-16421</v>
      </c>
      <c r="AG44" s="84" vm="6758">
        <v>105</v>
      </c>
      <c r="AH44" s="83" vm="6759">
        <v>28331</v>
      </c>
      <c r="AI44" s="83" vm="7270">
        <v>44857</v>
      </c>
      <c r="AJ44" s="83" vm="1675">
        <v>0</v>
      </c>
      <c r="AK44" s="83">
        <v>0</v>
      </c>
      <c r="AL44" s="5">
        <f xml:space="preserve"> SUM( VfM_Metrics_2023_Consol_Source[[#This Row],[Tangible fixed assets: Housing properties at cost (Current period)2]], VfM_Metrics_2023_Consol_Source[[#This Row],[Tangible fixed assets Housing properties at valuation (Current period)2]] )</f>
        <v>139237</v>
      </c>
      <c r="AM44" s="84" vm="6753">
        <v>139237</v>
      </c>
      <c r="AN44" s="83">
        <v>0</v>
      </c>
      <c r="AO44" s="87">
        <f xml:space="preserve"> IFERROR( VfM_Metrics_2023_Consol_Source[[#This Row],[EBITDA MRI]] / VfM_Metrics_2023_Consol_Source[[#This Row],[Total interest]], "n/a" )</f>
        <v>13.108949416342412</v>
      </c>
      <c r="AP4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10107</v>
      </c>
      <c r="AQ44" s="84" vm="6760">
        <v>9348</v>
      </c>
      <c r="AR44" s="84" vm="6761">
        <v>2640</v>
      </c>
      <c r="AS44" s="84" vm="6762">
        <v>5</v>
      </c>
      <c r="AT44" s="84" vm="6725">
        <v>475</v>
      </c>
      <c r="AU44" s="84" vm="6763">
        <v>0</v>
      </c>
      <c r="AV44" s="84" vm="6764">
        <v>995</v>
      </c>
      <c r="AW44" s="84" vm="6765">
        <v>2647</v>
      </c>
      <c r="AX44" s="84" vm="6766">
        <v>5531</v>
      </c>
      <c r="AY44" s="3">
        <f xml:space="preserve"> - SUM( VfM_Metrics_2023_Consol_Source[[#This Row],[Interest capitalised]], VfM_Metrics_2023_Consol_Source[[#This Row],[Interest payable and financing costs]] )</f>
        <v>771</v>
      </c>
      <c r="AZ44" s="84" vm="6767">
        <v>-29</v>
      </c>
      <c r="BA44" s="83" vm="6768">
        <v>-742</v>
      </c>
      <c r="BB44" s="8">
        <f xml:space="preserve"> IFERROR( ( VfM_Metrics_2023_Consol_Source[[#This Row],[Total Costs]] / VfM_Metrics_2023_Consol_Source[[#This Row],[Total units for costs]] ) * 1000, "n/a" )</f>
        <v>3357.4262549594619</v>
      </c>
      <c r="BC4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19463</v>
      </c>
      <c r="BD44" s="84" vm="6769">
        <v>6369</v>
      </c>
      <c r="BE44" s="83" vm="6770">
        <v>252</v>
      </c>
      <c r="BF44" s="83" vm="6771">
        <v>4649</v>
      </c>
      <c r="BG44" s="83" vm="6772">
        <v>1196</v>
      </c>
      <c r="BH44" s="83" vm="6773">
        <v>1141</v>
      </c>
      <c r="BI44" s="83" vm="6774">
        <v>0</v>
      </c>
      <c r="BJ44" s="83" vm="6765">
        <v>2647</v>
      </c>
      <c r="BK44" s="83" vm="6775">
        <v>1623</v>
      </c>
      <c r="BL44" s="83" vm="6864">
        <v>786</v>
      </c>
      <c r="BM44" s="83" vm="6776">
        <v>520</v>
      </c>
      <c r="BN44" s="83" vm="6777">
        <v>280</v>
      </c>
      <c r="BO44" s="83">
        <v>0</v>
      </c>
      <c r="BP44" s="5" vm="6747">
        <f xml:space="preserve"> VfM_Metrics_2023_Consol_Source[[#This Row],[Total social housing units owned and/or managed at period end]]</f>
        <v>5797</v>
      </c>
      <c r="BQ44" s="84" vm="6747">
        <v>5797</v>
      </c>
      <c r="BR44" s="7">
        <f xml:space="preserve"> IFERROR( VfM_Metrics_2023_Consol_Source[[#This Row],[SHL operating surplus / (deficit)]] / VfM_Metrics_2023_Consol_Source[[#This Row],[Turnover from social housing lettings]], "n/a" )</f>
        <v>0.27976417548118604</v>
      </c>
      <c r="BS44" s="5" vm="6778">
        <f xml:space="preserve"> VfM_Metrics_2023_Consol_Source[[#This Row],[Operating surplus/(deficit) (social housing lettings)]]</f>
        <v>8067</v>
      </c>
      <c r="BT44" s="84" vm="6778">
        <v>8067</v>
      </c>
      <c r="BU44" s="5" vm="6779">
        <f xml:space="preserve"> VfM_Metrics_2023_Consol_Source[[#This Row],[Turnover from social housing lettings]]</f>
        <v>28835</v>
      </c>
      <c r="BV44" s="84" vm="6779">
        <v>28835</v>
      </c>
      <c r="BW44" s="7">
        <f xml:space="preserve"> IFERROR( VfM_Metrics_2023_Consol_Source[[#This Row],[Net operating surplus]] / VfM_Metrics_2023_Consol_Source[[#This Row],[Overall turnover]], "n/a" )</f>
        <v>0.23054170249355116</v>
      </c>
      <c r="BX4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6703</v>
      </c>
      <c r="BY44" s="84" vm="6760">
        <v>9348</v>
      </c>
      <c r="BZ44" s="83" vm="7175">
        <v>2640</v>
      </c>
      <c r="CA44" s="83" vm="6762">
        <v>5</v>
      </c>
      <c r="CB44" s="5" vm="6818">
        <f xml:space="preserve"> VfM_Metrics_2023_Consol_Source[[#This Row],[Turnover (overall)]]</f>
        <v>29075</v>
      </c>
      <c r="CC44" s="84" vm="6818">
        <v>29075</v>
      </c>
      <c r="CD44" s="7">
        <f xml:space="preserve"> IFERROR( VfM_Metrics_2023_Consol_Source[[#This Row],[Operating surplus including from JVs]] / VfM_Metrics_2023_Consol_Source[[#This Row],[Net assets]], "n/a" )</f>
        <v>4.8038973852984709E-2</v>
      </c>
      <c r="CE44" s="5">
        <f xml:space="preserve"> SUM( VfM_Metrics_2023_Consol_Source[[#This Row],[Operating surplus/(deficit) (overall)3]], VfM_Metrics_2023_Consol_Source[[#This Row],[Share of operating surplus/(deficit) in joint ventures or associates]] )</f>
        <v>9348</v>
      </c>
      <c r="CF44" s="84" vm="6760">
        <v>9348</v>
      </c>
      <c r="CG44" s="83">
        <v>0</v>
      </c>
      <c r="CH44" s="5" vm="6780">
        <f xml:space="preserve"> VfM_Metrics_2023_Consol_Source[[#This Row],[Total assets less current liabilities]]</f>
        <v>194592</v>
      </c>
      <c r="CI44" s="84" vm="6780">
        <v>194592</v>
      </c>
      <c r="CJ44" s="71" vm="6781">
        <f xml:space="preserve"> VfM_Metrics_2023_Consol_Source[[#This Row],[Total social housing units owned (Period end)]]</f>
        <v>5797</v>
      </c>
      <c r="CK44" s="103">
        <v>0</v>
      </c>
      <c r="CL44" s="6">
        <f xml:space="preserve"> -- ( VfM_Metrics_2023_Consol_Source[[#This Row],[% Supported housing (excl. HOP)]] &gt; 0.3 )</f>
        <v>0</v>
      </c>
      <c r="CM44" s="103">
        <v>0</v>
      </c>
      <c r="CN44" s="6">
        <f xml:space="preserve"> -- ( VfM_Metrics_2023_Consol_Source[[#This Row],[% Housing for older people]] &gt; 0.3 )</f>
        <v>0</v>
      </c>
      <c r="CO44" s="103">
        <f xml:space="preserve"> VfM_Metrics_2023_Consol_Source[[#This Row],[% Supported housing (excl. HOP)]] + VfM_Metrics_2023_Consol_Source[[#This Row],[% Housing for older people]]</f>
        <v>0</v>
      </c>
      <c r="CP44" s="6">
        <f xml:space="preserve"> -- ( VfM_Metrics_2023_Consol_Source[[#This Row],[SH specialist in RSH analysis]] + VfM_Metrics_2023_Consol_Source[[#This Row],[OP specialist in RSH analysis]] &gt; 0 )</f>
        <v>0</v>
      </c>
      <c r="CQ44" s="10">
        <f xml:space="preserve"> -- ( VfM_Metrics_2023_Consol_Source[[#This Row],[% SH and OP]] &gt; 0.3 )</f>
        <v>0</v>
      </c>
      <c r="CR44" s="104" t="s">
        <v>143</v>
      </c>
      <c r="CS44" s="124"/>
      <c r="CT44" s="105" t="s">
        <v>151</v>
      </c>
      <c r="CU4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44" s="85">
        <v>0</v>
      </c>
      <c r="CW44" s="85">
        <v>0</v>
      </c>
      <c r="CX44" s="85">
        <v>0</v>
      </c>
      <c r="CY44" s="85">
        <v>0</v>
      </c>
      <c r="CZ44" s="85">
        <v>0</v>
      </c>
      <c r="DA44" s="85">
        <v>0</v>
      </c>
      <c r="DB44" s="85">
        <v>0</v>
      </c>
      <c r="DC44" s="85">
        <v>1</v>
      </c>
      <c r="DD44" s="85">
        <v>0</v>
      </c>
      <c r="DE44" s="13">
        <v>0.96105917141044694</v>
      </c>
    </row>
    <row r="45" spans="1:109" x14ac:dyDescent="0.25">
      <c r="A45" s="4" t="s" vm="396">
        <v>214</v>
      </c>
      <c r="B45" s="2" t="s" vm="35">
        <v>215</v>
      </c>
      <c r="C45" s="72" vm="426">
        <v>45016</v>
      </c>
      <c r="D45" s="7">
        <f>IFERROR( VfM_Metrics_2023_Consol_Source[[#This Row],[Reinvestment Spend]] / VfM_Metrics_2023_Consol_Source[[#This Row],[Net Book Value of Housing Properties]], "n/a" )</f>
        <v>0.12777179627899574</v>
      </c>
      <c r="E4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30499</v>
      </c>
      <c r="F45" s="83" vm="6822">
        <v>27002</v>
      </c>
      <c r="G45" s="83" vm="6823">
        <v>742</v>
      </c>
      <c r="H45" s="83" vm="6870">
        <v>2292</v>
      </c>
      <c r="I45" s="83" vm="6824">
        <v>463</v>
      </c>
      <c r="J45" s="83" vm="6825">
        <v>0</v>
      </c>
      <c r="K45" s="5">
        <f xml:space="preserve"> SUM( VfM_Metrics_2023_Consol_Source[[#This Row],[Tangible fixed assets: Housing properties at cost (Current period)]],VfM_Metrics_2023_Consol_Source[[#This Row],[Tangible fixed assets Housing properties at valuation (Current period)]] )</f>
        <v>238699</v>
      </c>
      <c r="L45" s="84" vm="6826">
        <v>238699</v>
      </c>
      <c r="M45" s="83" vm="6827">
        <v>0</v>
      </c>
      <c r="N45" s="7">
        <f xml:space="preserve"> IFERROR( VfM_Metrics_2023_Consol_Source[[#This Row],[Total social units developed or newly built units acquired in-year]] / VfM_Metrics_2023_Consol_Source[[#This Row],[Social housing units owned (period end)]], "n/a" )</f>
        <v>1.5870661524770097E-2</v>
      </c>
      <c r="O45" s="5">
        <f xml:space="preserve"> SUM( VfM_Metrics_2023_Consol_Source[[#This Row],[Total social units developed or newly built units acquired in-year (owned)]], VfM_Metrics_2023_Consol_Source[[#This Row],[Total social leasehold units developed or newly built units acquired in-year (owned)]] )</f>
        <v>107</v>
      </c>
      <c r="P45" s="84" vm="6828">
        <v>107</v>
      </c>
      <c r="Q45" s="83" vm="6829">
        <v>0</v>
      </c>
      <c r="R45" s="5">
        <f xml:space="preserve"> SUM( VfM_Metrics_2023_Consol_Source[[#This Row],[Total social housing units owned (Period end)]], VfM_Metrics_2023_Consol_Source[[#This Row],[Total social leasehold units owned (Period end)]] )</f>
        <v>6742</v>
      </c>
      <c r="S45" s="84" vm="6820">
        <v>6742</v>
      </c>
      <c r="T45" s="83" vm="6830">
        <v>0</v>
      </c>
      <c r="U45" s="86">
        <f xml:space="preserve"> IFERROR( VfM_Metrics_2023_Consol_Source[[#This Row],[Total non-social housing units developed or newly built units acquired (owned)]] / VfM_Metrics_2023_Consol_Source[[#This Row],[Total social and non-social housing units owned (Period end)]], "n/a" )</f>
        <v>0</v>
      </c>
      <c r="V4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45" s="83" vm="6831">
        <v>0</v>
      </c>
      <c r="X45" s="83" vm="7138">
        <v>0</v>
      </c>
      <c r="Y45" s="83" vm="6832">
        <v>0</v>
      </c>
      <c r="Z4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6746</v>
      </c>
      <c r="AA45" s="84" vm="6820">
        <v>6742</v>
      </c>
      <c r="AB45" s="83" vm="6830">
        <v>0</v>
      </c>
      <c r="AC45" s="83" vm="6833">
        <v>4</v>
      </c>
      <c r="AD45" s="83" vm="6834">
        <v>0</v>
      </c>
      <c r="AE45" s="7">
        <f xml:space="preserve"> IFERROR( VfM_Metrics_2023_Consol_Source[[#This Row],[Total Net Debt]] / VfM_Metrics_2023_Consol_Source[[#This Row],[Net Book Value of Housing Properties2]], "n/a" )</f>
        <v>0.42542281283122257</v>
      </c>
      <c r="AF4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101548</v>
      </c>
      <c r="AG45" s="84" vm="6835">
        <v>0</v>
      </c>
      <c r="AH45" s="83" vm="6836">
        <v>133832</v>
      </c>
      <c r="AI45" s="83" vm="6837">
        <v>32284</v>
      </c>
      <c r="AJ45" s="83" vm="6838">
        <v>0</v>
      </c>
      <c r="AK45" s="83" vm="6839">
        <v>0</v>
      </c>
      <c r="AL45" s="5">
        <f xml:space="preserve"> SUM( VfM_Metrics_2023_Consol_Source[[#This Row],[Tangible fixed assets: Housing properties at cost (Current period)2]], VfM_Metrics_2023_Consol_Source[[#This Row],[Tangible fixed assets Housing properties at valuation (Current period)2]] )</f>
        <v>238699</v>
      </c>
      <c r="AM45" s="84" vm="6826">
        <v>238699</v>
      </c>
      <c r="AN45" s="83" vm="6827">
        <v>0</v>
      </c>
      <c r="AO45" s="87">
        <f xml:space="preserve"> IFERROR( VfM_Metrics_2023_Consol_Source[[#This Row],[EBITDA MRI]] / VfM_Metrics_2023_Consol_Source[[#This Row],[Total interest]], "n/a" )</f>
        <v>2.4050925925925926</v>
      </c>
      <c r="AP4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12468</v>
      </c>
      <c r="AQ45" s="84" vm="6840">
        <v>11375</v>
      </c>
      <c r="AR45" s="84" vm="6841">
        <v>1297</v>
      </c>
      <c r="AS45" s="84" vm="6842">
        <v>0</v>
      </c>
      <c r="AT45" s="84" vm="6843">
        <v>2567</v>
      </c>
      <c r="AU45" s="84" vm="6844">
        <v>0</v>
      </c>
      <c r="AV45" s="84" vm="6845">
        <v>607</v>
      </c>
      <c r="AW45" s="84" vm="6846">
        <v>2292</v>
      </c>
      <c r="AX45" s="84" vm="6847">
        <v>6642</v>
      </c>
      <c r="AY45" s="3">
        <f xml:space="preserve"> - SUM( VfM_Metrics_2023_Consol_Source[[#This Row],[Interest capitalised]], VfM_Metrics_2023_Consol_Source[[#This Row],[Interest payable and financing costs]] )</f>
        <v>5184</v>
      </c>
      <c r="AZ45" s="84" vm="6848">
        <v>-463</v>
      </c>
      <c r="BA45" s="83" vm="6849">
        <v>-4721</v>
      </c>
      <c r="BB45" s="8">
        <f xml:space="preserve"> IFERROR( ( VfM_Metrics_2023_Consol_Source[[#This Row],[Total Costs]] / VfM_Metrics_2023_Consol_Source[[#This Row],[Total units for costs]] ) * 1000, "n/a" )</f>
        <v>3056.3630970038562</v>
      </c>
      <c r="BC4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20606</v>
      </c>
      <c r="BD45" s="84" vm="6850">
        <v>6299</v>
      </c>
      <c r="BE45" s="83" vm="6809">
        <v>2617</v>
      </c>
      <c r="BF45" s="83" vm="6851">
        <v>5599</v>
      </c>
      <c r="BG45" s="83" vm="6852">
        <v>1701</v>
      </c>
      <c r="BH45" s="83" vm="6853">
        <v>696</v>
      </c>
      <c r="BI45" s="83" vm="6892">
        <v>326</v>
      </c>
      <c r="BJ45" s="83" vm="6865">
        <v>2292</v>
      </c>
      <c r="BK45" s="83" vm="6854">
        <v>0</v>
      </c>
      <c r="BL45" s="83" vm="6855">
        <v>0</v>
      </c>
      <c r="BM45" s="83" vm="6856">
        <v>1076</v>
      </c>
      <c r="BN45" s="83" vm="6857">
        <v>0</v>
      </c>
      <c r="BO45" s="83" vm="6858">
        <v>0</v>
      </c>
      <c r="BP45" s="5" vm="6821">
        <f xml:space="preserve"> VfM_Metrics_2023_Consol_Source[[#This Row],[Total social housing units owned and/or managed at period end]]</f>
        <v>6742</v>
      </c>
      <c r="BQ45" s="84" vm="6821">
        <v>6742</v>
      </c>
      <c r="BR45" s="7">
        <f xml:space="preserve"> IFERROR( VfM_Metrics_2023_Consol_Source[[#This Row],[SHL operating surplus / (deficit)]] / VfM_Metrics_2023_Consol_Source[[#This Row],[Turnover from social housing lettings]], "n/a" )</f>
        <v>0.31388578486149504</v>
      </c>
      <c r="BS45" s="5" vm="6861">
        <f xml:space="preserve"> VfM_Metrics_2023_Consol_Source[[#This Row],[Operating surplus/(deficit) (social housing lettings)]]</f>
        <v>10674</v>
      </c>
      <c r="BT45" s="84" vm="6861">
        <v>10674</v>
      </c>
      <c r="BU45" s="5" vm="7000">
        <f xml:space="preserve"> VfM_Metrics_2023_Consol_Source[[#This Row],[Turnover from social housing lettings]]</f>
        <v>34006</v>
      </c>
      <c r="BV45" s="84" vm="7000">
        <v>34006</v>
      </c>
      <c r="BW45" s="7">
        <f xml:space="preserve"> IFERROR( VfM_Metrics_2023_Consol_Source[[#This Row],[Net operating surplus]] / VfM_Metrics_2023_Consol_Source[[#This Row],[Overall turnover]], "n/a" )</f>
        <v>0.26856046474444384</v>
      </c>
      <c r="BX4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10078</v>
      </c>
      <c r="BY45" s="84" vm="6840">
        <v>11375</v>
      </c>
      <c r="BZ45" s="83" vm="6873">
        <v>1297</v>
      </c>
      <c r="CA45" s="83" vm="6842">
        <v>0</v>
      </c>
      <c r="CB45" s="5" vm="6859">
        <f xml:space="preserve"> VfM_Metrics_2023_Consol_Source[[#This Row],[Turnover (overall)]]</f>
        <v>37526</v>
      </c>
      <c r="CC45" s="84" vm="6859">
        <v>37526</v>
      </c>
      <c r="CD45" s="7">
        <f xml:space="preserve"> IFERROR( VfM_Metrics_2023_Consol_Source[[#This Row],[Operating surplus including from JVs]] / VfM_Metrics_2023_Consol_Source[[#This Row],[Net assets]], "n/a" )</f>
        <v>4.0985526254157106E-2</v>
      </c>
      <c r="CE45" s="5">
        <f xml:space="preserve"> SUM( VfM_Metrics_2023_Consol_Source[[#This Row],[Operating surplus/(deficit) (overall)3]], VfM_Metrics_2023_Consol_Source[[#This Row],[Share of operating surplus/(deficit) in joint ventures or associates]] )</f>
        <v>11375</v>
      </c>
      <c r="CF45" s="84" vm="7245">
        <v>11375</v>
      </c>
      <c r="CG45" s="83" vm="6860">
        <v>0</v>
      </c>
      <c r="CH45" s="5" vm="7015">
        <f xml:space="preserve"> VfM_Metrics_2023_Consol_Source[[#This Row],[Total assets less current liabilities]]</f>
        <v>277537</v>
      </c>
      <c r="CI45" s="84" vm="7015">
        <v>277537</v>
      </c>
      <c r="CJ45" s="71" vm="6820">
        <f xml:space="preserve"> VfM_Metrics_2023_Consol_Source[[#This Row],[Total social housing units owned (Period end)]]</f>
        <v>6742</v>
      </c>
      <c r="CK45" s="103">
        <v>1.4151646059883808E-2</v>
      </c>
      <c r="CL45" s="6">
        <f xml:space="preserve"> -- ( VfM_Metrics_2023_Consol_Source[[#This Row],[% Supported housing (excl. HOP)]] &gt; 0.3 )</f>
        <v>0</v>
      </c>
      <c r="CM45" s="103">
        <v>6.3905854312527932E-2</v>
      </c>
      <c r="CN45" s="6">
        <f xml:space="preserve"> -- ( VfM_Metrics_2023_Consol_Source[[#This Row],[% Housing for older people]] &gt; 0.3 )</f>
        <v>0</v>
      </c>
      <c r="CO45" s="103">
        <f xml:space="preserve"> VfM_Metrics_2023_Consol_Source[[#This Row],[% Supported housing (excl. HOP)]] + VfM_Metrics_2023_Consol_Source[[#This Row],[% Housing for older people]]</f>
        <v>7.8057500372411742E-2</v>
      </c>
      <c r="CP45" s="6">
        <f xml:space="preserve"> -- ( VfM_Metrics_2023_Consol_Source[[#This Row],[SH specialist in RSH analysis]] + VfM_Metrics_2023_Consol_Source[[#This Row],[OP specialist in RSH analysis]] &gt; 0 )</f>
        <v>0</v>
      </c>
      <c r="CQ45" s="10">
        <f xml:space="preserve"> -- ( VfM_Metrics_2023_Consol_Source[[#This Row],[% SH and OP]] &gt; 0.3 )</f>
        <v>0</v>
      </c>
      <c r="CR45" s="104" t="s">
        <v>143</v>
      </c>
      <c r="CS45" s="124"/>
      <c r="CT45" s="105" t="s">
        <v>151</v>
      </c>
      <c r="CU4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45" s="85">
        <v>0</v>
      </c>
      <c r="CW45" s="85">
        <v>0</v>
      </c>
      <c r="CX45" s="85">
        <v>0</v>
      </c>
      <c r="CY45" s="85">
        <v>0</v>
      </c>
      <c r="CZ45" s="85">
        <v>0</v>
      </c>
      <c r="DA45" s="85">
        <v>0</v>
      </c>
      <c r="DB45" s="85">
        <v>0</v>
      </c>
      <c r="DC45" s="85">
        <v>1</v>
      </c>
      <c r="DD45" s="85">
        <v>0</v>
      </c>
      <c r="DE45" s="13">
        <v>0.96105917141044694</v>
      </c>
    </row>
    <row r="46" spans="1:109" x14ac:dyDescent="0.25">
      <c r="A46" s="4" t="s" vm="321">
        <v>216</v>
      </c>
      <c r="B46" s="2" t="s" vm="36">
        <v>217</v>
      </c>
      <c r="C46" s="72" vm="425">
        <v>45016</v>
      </c>
      <c r="D46" s="7">
        <f>IFERROR( VfM_Metrics_2023_Consol_Source[[#This Row],[Reinvestment Spend]] / VfM_Metrics_2023_Consol_Source[[#This Row],[Net Book Value of Housing Properties]], "n/a" )</f>
        <v>4.3062759430693251E-2</v>
      </c>
      <c r="E4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5903</v>
      </c>
      <c r="F46" s="83" vm="4071">
        <v>2820</v>
      </c>
      <c r="G46" s="83" vm="6986">
        <v>0</v>
      </c>
      <c r="H46" s="83" vm="4072">
        <v>3083</v>
      </c>
      <c r="I46" s="83" vm="7295">
        <v>0</v>
      </c>
      <c r="J46" s="83" vm="4074">
        <v>0</v>
      </c>
      <c r="K46" s="5">
        <f xml:space="preserve"> SUM( VfM_Metrics_2023_Consol_Source[[#This Row],[Tangible fixed assets: Housing properties at cost (Current period)]],VfM_Metrics_2023_Consol_Source[[#This Row],[Tangible fixed assets Housing properties at valuation (Current period)]] )</f>
        <v>137079</v>
      </c>
      <c r="L46" s="84" vm="4075">
        <v>137079</v>
      </c>
      <c r="M46" s="83" vm="4076">
        <v>0</v>
      </c>
      <c r="N46" s="7">
        <f xml:space="preserve"> IFERROR( VfM_Metrics_2023_Consol_Source[[#This Row],[Total social units developed or newly built units acquired in-year]] / VfM_Metrics_2023_Consol_Source[[#This Row],[Social housing units owned (period end)]], "n/a" )</f>
        <v>7.0339976553341153E-3</v>
      </c>
      <c r="O46" s="5">
        <f xml:space="preserve"> SUM( VfM_Metrics_2023_Consol_Source[[#This Row],[Total social units developed or newly built units acquired in-year (owned)]], VfM_Metrics_2023_Consol_Source[[#This Row],[Total social leasehold units developed or newly built units acquired in-year (owned)]] )</f>
        <v>24</v>
      </c>
      <c r="P46" s="84" vm="4077">
        <v>24</v>
      </c>
      <c r="Q46" s="83" vm="4078">
        <v>0</v>
      </c>
      <c r="R46" s="5">
        <f xml:space="preserve"> SUM( VfM_Metrics_2023_Consol_Source[[#This Row],[Total social housing units owned (Period end)]], VfM_Metrics_2023_Consol_Source[[#This Row],[Total social leasehold units owned (Period end)]] )</f>
        <v>3412</v>
      </c>
      <c r="S46" s="84" vm="4069">
        <v>3412</v>
      </c>
      <c r="T46" s="83" vm="4079">
        <v>0</v>
      </c>
      <c r="U46" s="86">
        <f xml:space="preserve"> IFERROR( VfM_Metrics_2023_Consol_Source[[#This Row],[Total non-social housing units developed or newly built units acquired (owned)]] / VfM_Metrics_2023_Consol_Source[[#This Row],[Total social and non-social housing units owned (Period end)]], "n/a" )</f>
        <v>0</v>
      </c>
      <c r="V4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46" s="83" vm="4080">
        <v>0</v>
      </c>
      <c r="X46" s="83" vm="7821">
        <v>0</v>
      </c>
      <c r="Y46" s="83" vm="4081">
        <v>0</v>
      </c>
      <c r="Z4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3657</v>
      </c>
      <c r="AA46" s="84" vm="7649">
        <v>3412</v>
      </c>
      <c r="AB46" s="83" vm="4079">
        <v>0</v>
      </c>
      <c r="AC46" s="83" vm="4082">
        <v>245</v>
      </c>
      <c r="AD46" s="83" vm="4083">
        <v>0</v>
      </c>
      <c r="AE46" s="7">
        <f xml:space="preserve"> IFERROR( VfM_Metrics_2023_Consol_Source[[#This Row],[Total Net Debt]] / VfM_Metrics_2023_Consol_Source[[#This Row],[Net Book Value of Housing Properties2]], "n/a" )</f>
        <v>0.33800946899233286</v>
      </c>
      <c r="AF4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46334</v>
      </c>
      <c r="AG46" s="84" vm="7605">
        <v>10319</v>
      </c>
      <c r="AH46" s="83" vm="4084">
        <v>60499</v>
      </c>
      <c r="AI46" s="83" vm="4085">
        <v>24484</v>
      </c>
      <c r="AJ46" s="83" vm="4086">
        <v>0</v>
      </c>
      <c r="AK46" s="83" vm="4087">
        <v>0</v>
      </c>
      <c r="AL46" s="5">
        <f xml:space="preserve"> SUM( VfM_Metrics_2023_Consol_Source[[#This Row],[Tangible fixed assets: Housing properties at cost (Current period)2]], VfM_Metrics_2023_Consol_Source[[#This Row],[Tangible fixed assets Housing properties at valuation (Current period)2]] )</f>
        <v>137079</v>
      </c>
      <c r="AM46" s="84" vm="4075">
        <v>137079</v>
      </c>
      <c r="AN46" s="83" vm="4076">
        <v>0</v>
      </c>
      <c r="AO46" s="87">
        <f xml:space="preserve"> IFERROR( VfM_Metrics_2023_Consol_Source[[#This Row],[EBITDA MRI]] / VfM_Metrics_2023_Consol_Source[[#This Row],[Total interest]], "n/a" )</f>
        <v>1.2887788778877889</v>
      </c>
      <c r="AP4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3124</v>
      </c>
      <c r="AQ46" s="84" vm="7394">
        <v>4636</v>
      </c>
      <c r="AR46" s="84" vm="4089">
        <v>983</v>
      </c>
      <c r="AS46" s="84" vm="4090">
        <v>0</v>
      </c>
      <c r="AT46" s="84" vm="4091">
        <v>1446</v>
      </c>
      <c r="AU46" s="84" vm="4092">
        <v>144</v>
      </c>
      <c r="AV46" s="84" vm="4093">
        <v>292</v>
      </c>
      <c r="AW46" s="84" vm="4094">
        <v>3083</v>
      </c>
      <c r="AX46" s="84" vm="4095">
        <v>3852</v>
      </c>
      <c r="AY46" s="3">
        <f xml:space="preserve"> - SUM( VfM_Metrics_2023_Consol_Source[[#This Row],[Interest capitalised]], VfM_Metrics_2023_Consol_Source[[#This Row],[Interest payable and financing costs]] )</f>
        <v>2424</v>
      </c>
      <c r="AZ46" s="84" vm="4096">
        <v>0</v>
      </c>
      <c r="BA46" s="83" vm="4097">
        <v>-2424</v>
      </c>
      <c r="BB46" s="8">
        <f xml:space="preserve"> IFERROR( ( VfM_Metrics_2023_Consol_Source[[#This Row],[Total Costs]] / VfM_Metrics_2023_Consol_Source[[#This Row],[Total units for costs]] ) * 1000, "n/a" )</f>
        <v>4788.1355932203387</v>
      </c>
      <c r="BC4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16385</v>
      </c>
      <c r="BD46" s="84" vm="4098">
        <v>3970</v>
      </c>
      <c r="BE46" s="83" vm="4099">
        <v>1365</v>
      </c>
      <c r="BF46" s="83" vm="4100">
        <v>3024</v>
      </c>
      <c r="BG46" s="83" vm="2756">
        <v>2245</v>
      </c>
      <c r="BH46" s="83" vm="4101">
        <v>316</v>
      </c>
      <c r="BI46" s="83" vm="7152">
        <v>0</v>
      </c>
      <c r="BJ46" s="83" vm="4094">
        <v>3083</v>
      </c>
      <c r="BK46" s="83" vm="4211">
        <v>184</v>
      </c>
      <c r="BL46" s="83" vm="4102">
        <v>176</v>
      </c>
      <c r="BM46" s="83" vm="4103">
        <v>0</v>
      </c>
      <c r="BN46" s="83" vm="4104">
        <v>327</v>
      </c>
      <c r="BO46" s="83" vm="4343">
        <v>1695</v>
      </c>
      <c r="BP46" s="5" vm="4070">
        <f xml:space="preserve"> VfM_Metrics_2023_Consol_Source[[#This Row],[Total social housing units owned and/or managed at period end]]</f>
        <v>3422</v>
      </c>
      <c r="BQ46" s="84" vm="4070">
        <v>3422</v>
      </c>
      <c r="BR46" s="7">
        <f xml:space="preserve"> IFERROR( VfM_Metrics_2023_Consol_Source[[#This Row],[SHL operating surplus / (deficit)]] / VfM_Metrics_2023_Consol_Source[[#This Row],[Turnover from social housing lettings]], "n/a" )</f>
        <v>0.18121212121212121</v>
      </c>
      <c r="BS46" s="5" vm="4105">
        <f xml:space="preserve"> VfM_Metrics_2023_Consol_Source[[#This Row],[Operating surplus/(deficit) (social housing lettings)]]</f>
        <v>3289</v>
      </c>
      <c r="BT46" s="84" vm="4105">
        <v>3289</v>
      </c>
      <c r="BU46" s="5" vm="4106">
        <f xml:space="preserve"> VfM_Metrics_2023_Consol_Source[[#This Row],[Turnover from social housing lettings]]</f>
        <v>18150</v>
      </c>
      <c r="BV46" s="84" vm="4106">
        <v>18150</v>
      </c>
      <c r="BW46" s="7">
        <f xml:space="preserve"> IFERROR( VfM_Metrics_2023_Consol_Source[[#This Row],[Net operating surplus]] / VfM_Metrics_2023_Consol_Source[[#This Row],[Overall turnover]], "n/a" )</f>
        <v>0.17309514783927218</v>
      </c>
      <c r="BX4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3653</v>
      </c>
      <c r="BY46" s="84" vm="4088">
        <v>4636</v>
      </c>
      <c r="BZ46" s="83" vm="4089">
        <v>983</v>
      </c>
      <c r="CA46" s="83" vm="4090">
        <v>0</v>
      </c>
      <c r="CB46" s="5" vm="4107">
        <f xml:space="preserve"> VfM_Metrics_2023_Consol_Source[[#This Row],[Turnover (overall)]]</f>
        <v>21104</v>
      </c>
      <c r="CC46" s="84" vm="4107">
        <v>21104</v>
      </c>
      <c r="CD46" s="7">
        <f xml:space="preserve"> IFERROR( VfM_Metrics_2023_Consol_Source[[#This Row],[Operating surplus including from JVs]] / VfM_Metrics_2023_Consol_Source[[#This Row],[Net assets]], "n/a" )</f>
        <v>2.9641943734015345E-2</v>
      </c>
      <c r="CE46" s="5">
        <f xml:space="preserve"> SUM( VfM_Metrics_2023_Consol_Source[[#This Row],[Operating surplus/(deficit) (overall)3]], VfM_Metrics_2023_Consol_Source[[#This Row],[Share of operating surplus/(deficit) in joint ventures or associates]] )</f>
        <v>4636</v>
      </c>
      <c r="CF46" s="84" vm="4088">
        <v>4636</v>
      </c>
      <c r="CG46" s="83" vm="4109">
        <v>0</v>
      </c>
      <c r="CH46" s="5" vm="4108">
        <f xml:space="preserve"> VfM_Metrics_2023_Consol_Source[[#This Row],[Total assets less current liabilities]]</f>
        <v>156400</v>
      </c>
      <c r="CI46" s="84" vm="4108">
        <v>156400</v>
      </c>
      <c r="CJ46" s="71" vm="4069">
        <f xml:space="preserve"> VfM_Metrics_2023_Consol_Source[[#This Row],[Total social housing units owned (Period end)]]</f>
        <v>3412</v>
      </c>
      <c r="CK46" s="103">
        <v>5.2366863905325446E-2</v>
      </c>
      <c r="CL46" s="6">
        <f xml:space="preserve"> -- ( VfM_Metrics_2023_Consol_Source[[#This Row],[% Supported housing (excl. HOP)]] &gt; 0.3 )</f>
        <v>0</v>
      </c>
      <c r="CM46" s="103">
        <v>0.23431952662721894</v>
      </c>
      <c r="CN46" s="6">
        <f xml:space="preserve"> -- ( VfM_Metrics_2023_Consol_Source[[#This Row],[% Housing for older people]] &gt; 0.3 )</f>
        <v>0</v>
      </c>
      <c r="CO46" s="103">
        <f xml:space="preserve"> VfM_Metrics_2023_Consol_Source[[#This Row],[% Supported housing (excl. HOP)]] + VfM_Metrics_2023_Consol_Source[[#This Row],[% Housing for older people]]</f>
        <v>0.28668639053254441</v>
      </c>
      <c r="CP46" s="6">
        <f xml:space="preserve"> -- ( VfM_Metrics_2023_Consol_Source[[#This Row],[SH specialist in RSH analysis]] + VfM_Metrics_2023_Consol_Source[[#This Row],[OP specialist in RSH analysis]] &gt; 0 )</f>
        <v>0</v>
      </c>
      <c r="CQ46" s="10">
        <f xml:space="preserve"> -- ( VfM_Metrics_2023_Consol_Source[[#This Row],[% SH and OP]] &gt; 0.3 )</f>
        <v>0</v>
      </c>
      <c r="CR46" s="104" t="s">
        <v>143</v>
      </c>
      <c r="CS46" s="124" t="s">
        <v>144</v>
      </c>
      <c r="CT46" s="105"/>
      <c r="CU4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46" s="85">
        <v>0</v>
      </c>
      <c r="CW46" s="85">
        <v>0</v>
      </c>
      <c r="CX46" s="85">
        <v>0</v>
      </c>
      <c r="CY46" s="85">
        <v>0</v>
      </c>
      <c r="CZ46" s="85">
        <v>0</v>
      </c>
      <c r="DA46" s="85">
        <v>0</v>
      </c>
      <c r="DB46" s="85">
        <v>0</v>
      </c>
      <c r="DC46" s="85">
        <v>0</v>
      </c>
      <c r="DD46" s="85">
        <v>1</v>
      </c>
      <c r="DE46" s="13">
        <v>0.94459121441814442</v>
      </c>
    </row>
    <row r="47" spans="1:109" x14ac:dyDescent="0.25">
      <c r="A47" s="4" t="s" vm="277">
        <v>218</v>
      </c>
      <c r="B47" s="2" t="s" vm="37">
        <v>219</v>
      </c>
      <c r="C47" s="72" vm="408">
        <v>45016</v>
      </c>
      <c r="D47" s="7">
        <f>IFERROR( VfM_Metrics_2023_Consol_Source[[#This Row],[Reinvestment Spend]] / VfM_Metrics_2023_Consol_Source[[#This Row],[Net Book Value of Housing Properties]], "n/a" )</f>
        <v>0.10132529363733433</v>
      </c>
      <c r="E4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40330</v>
      </c>
      <c r="F47" s="83" vm="2564">
        <v>15608</v>
      </c>
      <c r="G47" s="83" vm="2565">
        <v>9344</v>
      </c>
      <c r="H47" s="83" vm="2566">
        <v>14548</v>
      </c>
      <c r="I47" s="83" vm="2567">
        <v>830</v>
      </c>
      <c r="J47" s="83" vm="2568">
        <v>0</v>
      </c>
      <c r="K47" s="5">
        <f xml:space="preserve"> SUM( VfM_Metrics_2023_Consol_Source[[#This Row],[Tangible fixed assets: Housing properties at cost (Current period)]],VfM_Metrics_2023_Consol_Source[[#This Row],[Tangible fixed assets Housing properties at valuation (Current period)]] )</f>
        <v>398025</v>
      </c>
      <c r="L47" s="84" vm="2569">
        <v>398025</v>
      </c>
      <c r="M47" s="83" vm="2570">
        <v>0</v>
      </c>
      <c r="N47" s="7">
        <f xml:space="preserve"> IFERROR( VfM_Metrics_2023_Consol_Source[[#This Row],[Total social units developed or newly built units acquired in-year]] / VfM_Metrics_2023_Consol_Source[[#This Row],[Social housing units owned (period end)]], "n/a" )</f>
        <v>1.9767659733932921E-2</v>
      </c>
      <c r="O47" s="5">
        <f xml:space="preserve"> SUM( VfM_Metrics_2023_Consol_Source[[#This Row],[Total social units developed or newly built units acquired in-year (owned)]], VfM_Metrics_2023_Consol_Source[[#This Row],[Total social leasehold units developed or newly built units acquired in-year (owned)]] )</f>
        <v>211</v>
      </c>
      <c r="P47" s="84" vm="2571">
        <v>211</v>
      </c>
      <c r="Q47" s="83" vm="7956">
        <v>0</v>
      </c>
      <c r="R47" s="5">
        <f xml:space="preserve"> SUM( VfM_Metrics_2023_Consol_Source[[#This Row],[Total social housing units owned (Period end)]], VfM_Metrics_2023_Consol_Source[[#This Row],[Total social leasehold units owned (Period end)]] )</f>
        <v>10674</v>
      </c>
      <c r="S47" s="84" vm="7737">
        <v>10673</v>
      </c>
      <c r="T47" s="83" vm="2572">
        <v>1</v>
      </c>
      <c r="U47" s="86">
        <f xml:space="preserve"> IFERROR( VfM_Metrics_2023_Consol_Source[[#This Row],[Total non-social housing units developed or newly built units acquired (owned)]] / VfM_Metrics_2023_Consol_Source[[#This Row],[Total social and non-social housing units owned (Period end)]], "n/a" )</f>
        <v>0</v>
      </c>
      <c r="V4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47" s="83" vm="8023">
        <v>0</v>
      </c>
      <c r="X47" s="83" vm="2573">
        <v>0</v>
      </c>
      <c r="Y47" s="83" vm="8014">
        <v>0</v>
      </c>
      <c r="Z4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11140</v>
      </c>
      <c r="AA47" s="84" vm="2563">
        <v>10673</v>
      </c>
      <c r="AB47" s="83" vm="2572">
        <v>1</v>
      </c>
      <c r="AC47" s="83" vm="7498">
        <v>33</v>
      </c>
      <c r="AD47" s="83" vm="2574">
        <v>433</v>
      </c>
      <c r="AE47" s="7">
        <f xml:space="preserve"> IFERROR( VfM_Metrics_2023_Consol_Source[[#This Row],[Total Net Debt]] / VfM_Metrics_2023_Consol_Source[[#This Row],[Net Book Value of Housing Properties2]], "n/a" )</f>
        <v>0.60846429244394196</v>
      </c>
      <c r="AF4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242184</v>
      </c>
      <c r="AG47" s="84" vm="2575">
        <v>896</v>
      </c>
      <c r="AH47" s="83" vm="2576">
        <v>242210</v>
      </c>
      <c r="AI47" s="83" vm="2577">
        <v>922</v>
      </c>
      <c r="AJ47" s="83" vm="7720">
        <v>0</v>
      </c>
      <c r="AK47" s="83" vm="2578">
        <v>0</v>
      </c>
      <c r="AL47" s="5">
        <f xml:space="preserve"> SUM( VfM_Metrics_2023_Consol_Source[[#This Row],[Tangible fixed assets: Housing properties at cost (Current period)2]], VfM_Metrics_2023_Consol_Source[[#This Row],[Tangible fixed assets Housing properties at valuation (Current period)2]] )</f>
        <v>398025</v>
      </c>
      <c r="AM47" s="84" vm="2569">
        <v>398025</v>
      </c>
      <c r="AN47" s="83" vm="2570">
        <v>0</v>
      </c>
      <c r="AO47" s="87">
        <f xml:space="preserve"> IFERROR( VfM_Metrics_2023_Consol_Source[[#This Row],[EBITDA MRI]] / VfM_Metrics_2023_Consol_Source[[#This Row],[Total interest]], "n/a" )</f>
        <v>0.51223676721684686</v>
      </c>
      <c r="AP4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5400</v>
      </c>
      <c r="AQ47" s="84" vm="3257">
        <v>11856</v>
      </c>
      <c r="AR47" s="84" vm="7222">
        <v>1969</v>
      </c>
      <c r="AS47" s="84" vm="7091">
        <v>-93</v>
      </c>
      <c r="AT47" s="84" vm="2581">
        <v>759</v>
      </c>
      <c r="AU47" s="84" vm="2582">
        <v>0</v>
      </c>
      <c r="AV47" s="84" vm="2583">
        <v>297</v>
      </c>
      <c r="AW47" s="84" vm="2584">
        <v>14548</v>
      </c>
      <c r="AX47" s="84" vm="2585">
        <v>10430</v>
      </c>
      <c r="AY47" s="3">
        <f xml:space="preserve"> - SUM( VfM_Metrics_2023_Consol_Source[[#This Row],[Interest capitalised]], VfM_Metrics_2023_Consol_Source[[#This Row],[Interest payable and financing costs]] )</f>
        <v>10542</v>
      </c>
      <c r="AZ47" s="84" vm="2586">
        <v>-830</v>
      </c>
      <c r="BA47" s="83" vm="2587">
        <v>-9712</v>
      </c>
      <c r="BB47" s="8">
        <f xml:space="preserve"> IFERROR( ( VfM_Metrics_2023_Consol_Source[[#This Row],[Total Costs]] / VfM_Metrics_2023_Consol_Source[[#This Row],[Total units for costs]] ) * 1000, "n/a" )</f>
        <v>4861.5197226646678</v>
      </c>
      <c r="BC4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51887</v>
      </c>
      <c r="BD47" s="84" vm="2588">
        <v>14154</v>
      </c>
      <c r="BE47" s="83" vm="2589">
        <v>2989</v>
      </c>
      <c r="BF47" s="83" vm="2590">
        <v>16853</v>
      </c>
      <c r="BG47" s="83" vm="2591">
        <v>744</v>
      </c>
      <c r="BH47" s="83" vm="2592">
        <v>0</v>
      </c>
      <c r="BI47" s="83" vm="2664">
        <v>0</v>
      </c>
      <c r="BJ47" s="83" vm="2584">
        <v>14548</v>
      </c>
      <c r="BK47" s="83" vm="2593">
        <v>946</v>
      </c>
      <c r="BL47" s="83" vm="2594">
        <v>0</v>
      </c>
      <c r="BM47" s="83" vm="2595">
        <v>0</v>
      </c>
      <c r="BN47" s="83" vm="2596">
        <v>0</v>
      </c>
      <c r="BO47" s="83" vm="3415">
        <v>1653</v>
      </c>
      <c r="BP47" s="5" vm="7221">
        <f xml:space="preserve"> VfM_Metrics_2023_Consol_Source[[#This Row],[Total social housing units owned and/or managed at period end]]</f>
        <v>10673</v>
      </c>
      <c r="BQ47" s="84" vm="7221">
        <v>10673</v>
      </c>
      <c r="BR47" s="7">
        <f xml:space="preserve"> IFERROR( VfM_Metrics_2023_Consol_Source[[#This Row],[SHL operating surplus / (deficit)]] / VfM_Metrics_2023_Consol_Source[[#This Row],[Turnover from social housing lettings]], "n/a" )</f>
        <v>0.15357189281536091</v>
      </c>
      <c r="BS47" s="5" vm="7845">
        <f xml:space="preserve"> VfM_Metrics_2023_Consol_Source[[#This Row],[Operating surplus/(deficit) (social housing lettings)]]</f>
        <v>8270</v>
      </c>
      <c r="BT47" s="84" vm="7845">
        <v>8270</v>
      </c>
      <c r="BU47" s="5" vm="2597">
        <f xml:space="preserve"> VfM_Metrics_2023_Consol_Source[[#This Row],[Turnover from social housing lettings]]</f>
        <v>53851</v>
      </c>
      <c r="BV47" s="84" vm="2597">
        <v>53851</v>
      </c>
      <c r="BW47" s="7">
        <f xml:space="preserve"> IFERROR( VfM_Metrics_2023_Consol_Source[[#This Row],[Net operating surplus]] / VfM_Metrics_2023_Consol_Source[[#This Row],[Overall turnover]], "n/a" )</f>
        <v>0.15206923873956238</v>
      </c>
      <c r="BX4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9980</v>
      </c>
      <c r="BY47" s="84" vm="2579">
        <v>11856</v>
      </c>
      <c r="BZ47" s="83" vm="2244">
        <v>1969</v>
      </c>
      <c r="CA47" s="83" vm="2580">
        <v>-93</v>
      </c>
      <c r="CB47" s="5" vm="2598">
        <f xml:space="preserve"> VfM_Metrics_2023_Consol_Source[[#This Row],[Turnover (overall)]]</f>
        <v>65628</v>
      </c>
      <c r="CC47" s="84" vm="2598">
        <v>65628</v>
      </c>
      <c r="CD47" s="7">
        <f xml:space="preserve"> IFERROR( VfM_Metrics_2023_Consol_Source[[#This Row],[Operating surplus including from JVs]] / VfM_Metrics_2023_Consol_Source[[#This Row],[Net assets]], "n/a" )</f>
        <v>2.7476818751723673E-2</v>
      </c>
      <c r="CE47" s="5">
        <f xml:space="preserve"> SUM( VfM_Metrics_2023_Consol_Source[[#This Row],[Operating surplus/(deficit) (overall)3]], VfM_Metrics_2023_Consol_Source[[#This Row],[Share of operating surplus/(deficit) in joint ventures or associates]] )</f>
        <v>11856</v>
      </c>
      <c r="CF47" s="84" vm="2579">
        <v>11856</v>
      </c>
      <c r="CG47" s="83" vm="2600">
        <v>0</v>
      </c>
      <c r="CH47" s="5" vm="2599">
        <f xml:space="preserve"> VfM_Metrics_2023_Consol_Source[[#This Row],[Total assets less current liabilities]]</f>
        <v>431491</v>
      </c>
      <c r="CI47" s="84" vm="2599">
        <v>431491</v>
      </c>
      <c r="CJ47" s="71" vm="7737">
        <f xml:space="preserve"> VfM_Metrics_2023_Consol_Source[[#This Row],[Total social housing units owned (Period end)]]</f>
        <v>10673</v>
      </c>
      <c r="CK47" s="103">
        <v>9.8094699113374841E-3</v>
      </c>
      <c r="CL47" s="6">
        <f xml:space="preserve"> -- ( VfM_Metrics_2023_Consol_Source[[#This Row],[% Supported housing (excl. HOP)]] &gt; 0.3 )</f>
        <v>0</v>
      </c>
      <c r="CM47" s="103">
        <v>0.13223920015091492</v>
      </c>
      <c r="CN47" s="6">
        <f xml:space="preserve"> -- ( VfM_Metrics_2023_Consol_Source[[#This Row],[% Housing for older people]] &gt; 0.3 )</f>
        <v>0</v>
      </c>
      <c r="CO47" s="103">
        <f xml:space="preserve"> VfM_Metrics_2023_Consol_Source[[#This Row],[% Supported housing (excl. HOP)]] + VfM_Metrics_2023_Consol_Source[[#This Row],[% Housing for older people]]</f>
        <v>0.14204867006225241</v>
      </c>
      <c r="CP47" s="6">
        <f xml:space="preserve"> -- ( VfM_Metrics_2023_Consol_Source[[#This Row],[SH specialist in RSH analysis]] + VfM_Metrics_2023_Consol_Source[[#This Row],[OP specialist in RSH analysis]] &gt; 0 )</f>
        <v>0</v>
      </c>
      <c r="CQ47" s="10">
        <f xml:space="preserve"> -- ( VfM_Metrics_2023_Consol_Source[[#This Row],[% SH and OP]] &gt; 0.3 )</f>
        <v>0</v>
      </c>
      <c r="CR47" s="104" t="s">
        <v>143</v>
      </c>
      <c r="CS47" s="124"/>
      <c r="CT47" s="105" t="s">
        <v>151</v>
      </c>
      <c r="CU4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47" s="85">
        <v>0</v>
      </c>
      <c r="CW47" s="85">
        <v>0</v>
      </c>
      <c r="CX47" s="85">
        <v>0</v>
      </c>
      <c r="CY47" s="85">
        <v>0</v>
      </c>
      <c r="CZ47" s="85">
        <v>1</v>
      </c>
      <c r="DA47" s="85">
        <v>0</v>
      </c>
      <c r="DB47" s="85">
        <v>0</v>
      </c>
      <c r="DC47" s="85">
        <v>0</v>
      </c>
      <c r="DD47" s="85">
        <v>0</v>
      </c>
      <c r="DE47" s="13">
        <v>0.96459033333600952</v>
      </c>
    </row>
    <row r="48" spans="1:109" x14ac:dyDescent="0.25">
      <c r="A48" s="4" t="s" vm="228">
        <v>220</v>
      </c>
      <c r="B48" s="2" t="s" vm="38">
        <v>221</v>
      </c>
      <c r="C48" s="72" vm="466">
        <v>45016</v>
      </c>
      <c r="D48" s="7">
        <f>IFERROR( VfM_Metrics_2023_Consol_Source[[#This Row],[Reinvestment Spend]] / VfM_Metrics_2023_Consol_Source[[#This Row],[Net Book Value of Housing Properties]], "n/a" )</f>
        <v>3.4832701549115004E-2</v>
      </c>
      <c r="E4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2334</v>
      </c>
      <c r="F48" s="83" vm="1146">
        <v>930</v>
      </c>
      <c r="G48" s="83" vm="1200">
        <v>0</v>
      </c>
      <c r="H48" s="83" vm="8600">
        <v>1397</v>
      </c>
      <c r="I48" s="83" vm="8735">
        <v>7</v>
      </c>
      <c r="J48" s="83" vm="1201">
        <v>0</v>
      </c>
      <c r="K48" s="5">
        <f xml:space="preserve"> SUM( VfM_Metrics_2023_Consol_Source[[#This Row],[Tangible fixed assets: Housing properties at cost (Current period)]],VfM_Metrics_2023_Consol_Source[[#This Row],[Tangible fixed assets Housing properties at valuation (Current period)]] )</f>
        <v>67006</v>
      </c>
      <c r="L48" s="84" vm="8458">
        <v>67006</v>
      </c>
      <c r="M48" s="83" vm="8661">
        <v>0</v>
      </c>
      <c r="N48" s="7">
        <f xml:space="preserve"> IFERROR( VfM_Metrics_2023_Consol_Source[[#This Row],[Total social units developed or newly built units acquired in-year]] / VfM_Metrics_2023_Consol_Source[[#This Row],[Social housing units owned (period end)]], "n/a" )</f>
        <v>7.2411296162201303E-3</v>
      </c>
      <c r="O48" s="5">
        <f xml:space="preserve"> SUM( VfM_Metrics_2023_Consol_Source[[#This Row],[Total social units developed or newly built units acquired in-year (owned)]], VfM_Metrics_2023_Consol_Source[[#This Row],[Total social leasehold units developed or newly built units acquired in-year (owned)]] )</f>
        <v>10</v>
      </c>
      <c r="P48" s="84" vm="1202">
        <v>10</v>
      </c>
      <c r="Q48" s="83" vm="8605">
        <v>0</v>
      </c>
      <c r="R48" s="5">
        <f xml:space="preserve"> SUM( VfM_Metrics_2023_Consol_Source[[#This Row],[Total social housing units owned (Period end)]], VfM_Metrics_2023_Consol_Source[[#This Row],[Total social leasehold units owned (Period end)]] )</f>
        <v>1381</v>
      </c>
      <c r="S48" s="84" vm="8485">
        <v>1381</v>
      </c>
      <c r="T48" s="83" vm="1203">
        <v>0</v>
      </c>
      <c r="U48" s="86">
        <f xml:space="preserve"> IFERROR( VfM_Metrics_2023_Consol_Source[[#This Row],[Total non-social housing units developed or newly built units acquired (owned)]] / VfM_Metrics_2023_Consol_Source[[#This Row],[Total social and non-social housing units owned (Period end)]], "n/a" )</f>
        <v>0</v>
      </c>
      <c r="V4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48" s="83" vm="8578">
        <v>0</v>
      </c>
      <c r="X48" s="83" vm="1249">
        <v>0</v>
      </c>
      <c r="Y48" s="83" vm="1204">
        <v>0</v>
      </c>
      <c r="Z4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1381</v>
      </c>
      <c r="AA48" s="84" vm="8763">
        <v>1381</v>
      </c>
      <c r="AB48" s="83" vm="1203">
        <v>0</v>
      </c>
      <c r="AC48" s="83" vm="1205">
        <v>0</v>
      </c>
      <c r="AD48" s="83" vm="1206">
        <v>0</v>
      </c>
      <c r="AE48" s="7">
        <f xml:space="preserve"> IFERROR( VfM_Metrics_2023_Consol_Source[[#This Row],[Total Net Debt]] / VfM_Metrics_2023_Consol_Source[[#This Row],[Net Book Value of Housing Properties2]], "n/a" )</f>
        <v>0.3290899322448736</v>
      </c>
      <c r="AF4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22051</v>
      </c>
      <c r="AG48" s="84" vm="8493">
        <v>8</v>
      </c>
      <c r="AH48" s="83" vm="1207">
        <v>29524</v>
      </c>
      <c r="AI48" s="83" vm="1328">
        <v>7481</v>
      </c>
      <c r="AJ48" s="83" vm="8547">
        <v>0</v>
      </c>
      <c r="AK48" s="83" vm="1209">
        <v>0</v>
      </c>
      <c r="AL48" s="5">
        <f xml:space="preserve"> SUM( VfM_Metrics_2023_Consol_Source[[#This Row],[Tangible fixed assets: Housing properties at cost (Current period)2]], VfM_Metrics_2023_Consol_Source[[#This Row],[Tangible fixed assets Housing properties at valuation (Current period)2]] )</f>
        <v>67006</v>
      </c>
      <c r="AM48" s="84" vm="8655">
        <v>67006</v>
      </c>
      <c r="AN48" s="83" vm="1186">
        <v>0</v>
      </c>
      <c r="AO48" s="87">
        <f xml:space="preserve"> IFERROR( VfM_Metrics_2023_Consol_Source[[#This Row],[EBITDA MRI]] / VfM_Metrics_2023_Consol_Source[[#This Row],[Total interest]], "n/a" )</f>
        <v>1.8472949389179756</v>
      </c>
      <c r="AP4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2117</v>
      </c>
      <c r="AQ48" s="84" vm="1210">
        <v>1813</v>
      </c>
      <c r="AR48" s="84" vm="1211">
        <v>68</v>
      </c>
      <c r="AS48" s="84" vm="1212">
        <v>0</v>
      </c>
      <c r="AT48" s="84" vm="8492">
        <v>327</v>
      </c>
      <c r="AU48" s="84" vm="1213">
        <v>0</v>
      </c>
      <c r="AV48" s="84" vm="1237">
        <v>174</v>
      </c>
      <c r="AW48" s="84" vm="1214">
        <v>1397</v>
      </c>
      <c r="AX48" s="84" vm="8456">
        <v>1922</v>
      </c>
      <c r="AY48" s="3">
        <f xml:space="preserve"> - SUM( VfM_Metrics_2023_Consol_Source[[#This Row],[Interest capitalised]], VfM_Metrics_2023_Consol_Source[[#This Row],[Interest payable and financing costs]] )</f>
        <v>1146</v>
      </c>
      <c r="AZ48" s="84" vm="8636">
        <v>-7</v>
      </c>
      <c r="BA48" s="83" vm="867">
        <v>-1139</v>
      </c>
      <c r="BB48" s="8">
        <f xml:space="preserve"> IFERROR( ( VfM_Metrics_2023_Consol_Source[[#This Row],[Total Costs]] / VfM_Metrics_2023_Consol_Source[[#This Row],[Total units for costs]] ) * 1000, "n/a" )</f>
        <v>4014.2247510668562</v>
      </c>
      <c r="BC4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5644</v>
      </c>
      <c r="BD48" s="84" vm="1102">
        <v>1400</v>
      </c>
      <c r="BE48" s="83" vm="1215">
        <v>351</v>
      </c>
      <c r="BF48" s="83" vm="8635">
        <v>1087</v>
      </c>
      <c r="BG48" s="83" vm="1216">
        <v>489</v>
      </c>
      <c r="BH48" s="83" vm="1486">
        <v>877</v>
      </c>
      <c r="BI48" s="83" vm="1217">
        <v>0</v>
      </c>
      <c r="BJ48" s="83" vm="1214">
        <v>1397</v>
      </c>
      <c r="BK48" s="83" vm="1413">
        <v>-208</v>
      </c>
      <c r="BL48" s="83" vm="1218">
        <v>251</v>
      </c>
      <c r="BM48" s="83" vm="1219">
        <v>0</v>
      </c>
      <c r="BN48" s="83" vm="1220">
        <v>0</v>
      </c>
      <c r="BO48" s="83" vm="1221">
        <v>0</v>
      </c>
      <c r="BP48" s="5" vm="8500">
        <f xml:space="preserve"> VfM_Metrics_2023_Consol_Source[[#This Row],[Total social housing units owned and/or managed at period end]]</f>
        <v>1406</v>
      </c>
      <c r="BQ48" s="84" vm="8500">
        <v>1406</v>
      </c>
      <c r="BR48" s="7">
        <f xml:space="preserve"> IFERROR( VfM_Metrics_2023_Consol_Source[[#This Row],[SHL operating surplus / (deficit)]] / VfM_Metrics_2023_Consol_Source[[#This Row],[Turnover from social housing lettings]], "n/a" )</f>
        <v>0.24533437013996889</v>
      </c>
      <c r="BS48" s="5" vm="8454">
        <f xml:space="preserve"> VfM_Metrics_2023_Consol_Source[[#This Row],[Operating surplus/(deficit) (social housing lettings)]]</f>
        <v>1893</v>
      </c>
      <c r="BT48" s="84" vm="8454">
        <v>1893</v>
      </c>
      <c r="BU48" s="5" vm="1222">
        <f xml:space="preserve"> VfM_Metrics_2023_Consol_Source[[#This Row],[Turnover from social housing lettings]]</f>
        <v>7716</v>
      </c>
      <c r="BV48" s="84" vm="1222">
        <v>7716</v>
      </c>
      <c r="BW48" s="7">
        <f xml:space="preserve"> IFERROR( VfM_Metrics_2023_Consol_Source[[#This Row],[Net operating surplus]] / VfM_Metrics_2023_Consol_Source[[#This Row],[Overall turnover]], "n/a" )</f>
        <v>0.22317431896661977</v>
      </c>
      <c r="BX4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1745</v>
      </c>
      <c r="BY48" s="84" vm="1210">
        <v>1813</v>
      </c>
      <c r="BZ48" s="83" vm="1211">
        <v>68</v>
      </c>
      <c r="CA48" s="83" vm="1208">
        <v>0</v>
      </c>
      <c r="CB48" s="5" vm="8490">
        <f xml:space="preserve"> VfM_Metrics_2023_Consol_Source[[#This Row],[Turnover (overall)]]</f>
        <v>7819</v>
      </c>
      <c r="CC48" s="84" vm="8490">
        <v>7819</v>
      </c>
      <c r="CD48" s="7">
        <f xml:space="preserve"> IFERROR( VfM_Metrics_2023_Consol_Source[[#This Row],[Operating surplus including from JVs]] / VfM_Metrics_2023_Consol_Source[[#This Row],[Net assets]], "n/a" )</f>
        <v>2.3612920031258141E-2</v>
      </c>
      <c r="CE48" s="5">
        <f xml:space="preserve"> SUM( VfM_Metrics_2023_Consol_Source[[#This Row],[Operating surplus/(deficit) (overall)3]], VfM_Metrics_2023_Consol_Source[[#This Row],[Share of operating surplus/(deficit) in joint ventures or associates]] )</f>
        <v>1813</v>
      </c>
      <c r="CF48" s="84" vm="974">
        <v>1813</v>
      </c>
      <c r="CG48" s="83" vm="8717">
        <v>0</v>
      </c>
      <c r="CH48" s="5" vm="1224">
        <f xml:space="preserve"> VfM_Metrics_2023_Consol_Source[[#This Row],[Total assets less current liabilities]]</f>
        <v>76780</v>
      </c>
      <c r="CI48" s="84" vm="1224">
        <v>76780</v>
      </c>
      <c r="CJ48" s="71" vm="8485">
        <f xml:space="preserve"> VfM_Metrics_2023_Consol_Source[[#This Row],[Total social housing units owned (Period end)]]</f>
        <v>1381</v>
      </c>
      <c r="CK48" s="103">
        <v>0</v>
      </c>
      <c r="CL48" s="6">
        <f xml:space="preserve"> -- ( VfM_Metrics_2023_Consol_Source[[#This Row],[% Supported housing (excl. HOP)]] &gt; 0.3 )</f>
        <v>0</v>
      </c>
      <c r="CM48" s="103">
        <v>0</v>
      </c>
      <c r="CN48" s="6">
        <f xml:space="preserve"> -- ( VfM_Metrics_2023_Consol_Source[[#This Row],[% Housing for older people]] &gt; 0.3 )</f>
        <v>0</v>
      </c>
      <c r="CO48" s="103">
        <f xml:space="preserve"> VfM_Metrics_2023_Consol_Source[[#This Row],[% Supported housing (excl. HOP)]] + VfM_Metrics_2023_Consol_Source[[#This Row],[% Housing for older people]]</f>
        <v>0</v>
      </c>
      <c r="CP48" s="6">
        <f xml:space="preserve"> -- ( VfM_Metrics_2023_Consol_Source[[#This Row],[SH specialist in RSH analysis]] + VfM_Metrics_2023_Consol_Source[[#This Row],[OP specialist in RSH analysis]] &gt; 0 )</f>
        <v>0</v>
      </c>
      <c r="CQ48" s="10">
        <f xml:space="preserve"> -- ( VfM_Metrics_2023_Consol_Source[[#This Row],[% SH and OP]] &gt; 0.3 )</f>
        <v>0</v>
      </c>
      <c r="CR48" s="104" t="s">
        <v>143</v>
      </c>
      <c r="CS48" s="124" t="s">
        <v>144</v>
      </c>
      <c r="CT48" s="105"/>
      <c r="CU4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48" s="85">
        <v>0</v>
      </c>
      <c r="CW48" s="85">
        <v>0</v>
      </c>
      <c r="CX48" s="85">
        <v>1</v>
      </c>
      <c r="CY48" s="85">
        <v>0</v>
      </c>
      <c r="CZ48" s="85">
        <v>0</v>
      </c>
      <c r="DA48" s="85">
        <v>0</v>
      </c>
      <c r="DB48" s="85">
        <v>0</v>
      </c>
      <c r="DC48" s="85">
        <v>0</v>
      </c>
      <c r="DD48" s="85">
        <v>0</v>
      </c>
      <c r="DE48" s="13">
        <v>0.97511902715076015</v>
      </c>
    </row>
    <row r="49" spans="1:109" x14ac:dyDescent="0.25">
      <c r="A49" s="4" t="s" vm="390">
        <v>222</v>
      </c>
      <c r="B49" s="2" t="s" vm="39">
        <v>223</v>
      </c>
      <c r="C49" s="72" vm="413">
        <v>45016</v>
      </c>
      <c r="D49" s="7">
        <f>IFERROR( VfM_Metrics_2023_Consol_Source[[#This Row],[Reinvestment Spend]] / VfM_Metrics_2023_Consol_Source[[#This Row],[Net Book Value of Housing Properties]], "n/a" )</f>
        <v>8.5099312850639E-2</v>
      </c>
      <c r="E4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35085</v>
      </c>
      <c r="F49" s="83" vm="7019">
        <v>177</v>
      </c>
      <c r="G49" s="83" vm="6592">
        <v>29835</v>
      </c>
      <c r="H49" s="83" vm="6593">
        <v>4445</v>
      </c>
      <c r="I49" s="83" vm="6594">
        <v>628</v>
      </c>
      <c r="J49" s="83" vm="6595">
        <v>0</v>
      </c>
      <c r="K49" s="5">
        <f xml:space="preserve"> SUM( VfM_Metrics_2023_Consol_Source[[#This Row],[Tangible fixed assets: Housing properties at cost (Current period)]],VfM_Metrics_2023_Consol_Source[[#This Row],[Tangible fixed assets Housing properties at valuation (Current period)]] )</f>
        <v>412283</v>
      </c>
      <c r="L49" s="84" vm="6596">
        <v>412283</v>
      </c>
      <c r="M49" s="83">
        <v>0</v>
      </c>
      <c r="N49" s="7">
        <f xml:space="preserve"> IFERROR( VfM_Metrics_2023_Consol_Source[[#This Row],[Total social units developed or newly built units acquired in-year]] / VfM_Metrics_2023_Consol_Source[[#This Row],[Social housing units owned (period end)]], "n/a" )</f>
        <v>3.8176225800615159E-2</v>
      </c>
      <c r="O49" s="5">
        <f xml:space="preserve"> SUM( VfM_Metrics_2023_Consol_Source[[#This Row],[Total social units developed or newly built units acquired in-year (owned)]], VfM_Metrics_2023_Consol_Source[[#This Row],[Total social leasehold units developed or newly built units acquired in-year (owned)]] )</f>
        <v>211</v>
      </c>
      <c r="P49" s="84" vm="6597">
        <v>211</v>
      </c>
      <c r="Q49" s="83">
        <v>0</v>
      </c>
      <c r="R49" s="5">
        <f xml:space="preserve"> SUM( VfM_Metrics_2023_Consol_Source[[#This Row],[Total social housing units owned (Period end)]], VfM_Metrics_2023_Consol_Source[[#This Row],[Total social leasehold units owned (Period end)]] )</f>
        <v>5527</v>
      </c>
      <c r="S49" s="84" vm="6590">
        <v>5386</v>
      </c>
      <c r="T49" s="83" vm="6598">
        <v>141</v>
      </c>
      <c r="U49" s="86">
        <f xml:space="preserve"> IFERROR( VfM_Metrics_2023_Consol_Source[[#This Row],[Total non-social housing units developed or newly built units acquired (owned)]] / VfM_Metrics_2023_Consol_Source[[#This Row],[Total social and non-social housing units owned (Period end)]], "n/a" )</f>
        <v>0</v>
      </c>
      <c r="V4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49" s="83">
        <v>0</v>
      </c>
      <c r="X49" s="83">
        <v>0</v>
      </c>
      <c r="Y49" s="83" vm="6599">
        <v>0</v>
      </c>
      <c r="Z4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5527</v>
      </c>
      <c r="AA49" s="84" vm="6590">
        <v>5386</v>
      </c>
      <c r="AB49" s="83" vm="6598">
        <v>141</v>
      </c>
      <c r="AC49" s="83" vm="6600">
        <v>0</v>
      </c>
      <c r="AD49" s="83" vm="6601">
        <v>0</v>
      </c>
      <c r="AE49" s="7">
        <f xml:space="preserve"> IFERROR( VfM_Metrics_2023_Consol_Source[[#This Row],[Total Net Debt]] / VfM_Metrics_2023_Consol_Source[[#This Row],[Net Book Value of Housing Properties2]], "n/a" )</f>
        <v>0.59561757336586763</v>
      </c>
      <c r="AF4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245563</v>
      </c>
      <c r="AG49" s="84" vm="6718">
        <v>157</v>
      </c>
      <c r="AH49" s="83" vm="6602">
        <v>255541</v>
      </c>
      <c r="AI49" s="83" vm="6603">
        <v>10135</v>
      </c>
      <c r="AJ49" s="83" vm="1675">
        <v>0</v>
      </c>
      <c r="AK49" s="83">
        <v>0</v>
      </c>
      <c r="AL49" s="5">
        <f xml:space="preserve"> SUM( VfM_Metrics_2023_Consol_Source[[#This Row],[Tangible fixed assets: Housing properties at cost (Current period)2]], VfM_Metrics_2023_Consol_Source[[#This Row],[Tangible fixed assets Housing properties at valuation (Current period)2]] )</f>
        <v>412283</v>
      </c>
      <c r="AM49" s="84" vm="6596">
        <v>412283</v>
      </c>
      <c r="AN49" s="83">
        <v>0</v>
      </c>
      <c r="AO49" s="87">
        <f xml:space="preserve"> IFERROR( VfM_Metrics_2023_Consol_Source[[#This Row],[EBITDA MRI]] / VfM_Metrics_2023_Consol_Source[[#This Row],[Total interest]], "n/a" )</f>
        <v>1.3828945104112889</v>
      </c>
      <c r="AP4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16072</v>
      </c>
      <c r="AQ49" s="84" vm="6604">
        <v>14704</v>
      </c>
      <c r="AR49" s="84" vm="6605">
        <v>1236</v>
      </c>
      <c r="AS49" s="84" vm="6606">
        <v>0</v>
      </c>
      <c r="AT49" s="84" vm="6607">
        <v>76</v>
      </c>
      <c r="AU49" s="84" vm="6608">
        <v>0</v>
      </c>
      <c r="AV49" s="84" vm="6717">
        <v>282</v>
      </c>
      <c r="AW49" s="84" vm="6609">
        <v>4445</v>
      </c>
      <c r="AX49" s="84" vm="6610">
        <v>6843</v>
      </c>
      <c r="AY49" s="3">
        <f xml:space="preserve"> - SUM( VfM_Metrics_2023_Consol_Source[[#This Row],[Interest capitalised]], VfM_Metrics_2023_Consol_Source[[#This Row],[Interest payable and financing costs]] )</f>
        <v>11622</v>
      </c>
      <c r="AZ49" s="84" vm="7236">
        <v>-628</v>
      </c>
      <c r="BA49" s="83" vm="6611">
        <v>-10994</v>
      </c>
      <c r="BB49" s="8">
        <f xml:space="preserve"> IFERROR( ( VfM_Metrics_2023_Consol_Source[[#This Row],[Total Costs]] / VfM_Metrics_2023_Consol_Source[[#This Row],[Total units for costs]] ) * 1000, "n/a" )</f>
        <v>3825.102116598589</v>
      </c>
      <c r="BC4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20602</v>
      </c>
      <c r="BD49" s="84" vm="6612">
        <v>6199</v>
      </c>
      <c r="BE49" s="83" vm="6613">
        <v>1346</v>
      </c>
      <c r="BF49" s="83" vm="6614">
        <v>3594</v>
      </c>
      <c r="BG49" s="83" vm="6615">
        <v>2561</v>
      </c>
      <c r="BH49" s="83" vm="6616">
        <v>921</v>
      </c>
      <c r="BI49" s="83" vm="6617">
        <v>0</v>
      </c>
      <c r="BJ49" s="83" vm="6609">
        <v>4445</v>
      </c>
      <c r="BK49" s="83" vm="6618">
        <v>847</v>
      </c>
      <c r="BL49" s="83">
        <v>0</v>
      </c>
      <c r="BM49" s="83">
        <v>0</v>
      </c>
      <c r="BN49" s="83" vm="6875">
        <v>689</v>
      </c>
      <c r="BO49" s="83">
        <v>0</v>
      </c>
      <c r="BP49" s="5" vm="6591">
        <f xml:space="preserve"> VfM_Metrics_2023_Consol_Source[[#This Row],[Total social housing units owned and/or managed at period end]]</f>
        <v>5386</v>
      </c>
      <c r="BQ49" s="84" vm="6591">
        <v>5386</v>
      </c>
      <c r="BR49" s="7">
        <f xml:space="preserve"> IFERROR( VfM_Metrics_2023_Consol_Source[[#This Row],[SHL operating surplus / (deficit)]] / VfM_Metrics_2023_Consol_Source[[#This Row],[Turnover from social housing lettings]], "n/a" )</f>
        <v>0.34390347420117623</v>
      </c>
      <c r="BS49" s="5" vm="6619">
        <f xml:space="preserve"> VfM_Metrics_2023_Consol_Source[[#This Row],[Operating surplus/(deficit) (social housing lettings)]]</f>
        <v>11344</v>
      </c>
      <c r="BT49" s="84" vm="6619">
        <v>11344</v>
      </c>
      <c r="BU49" s="5" vm="6620">
        <f xml:space="preserve"> VfM_Metrics_2023_Consol_Source[[#This Row],[Turnover from social housing lettings]]</f>
        <v>32986</v>
      </c>
      <c r="BV49" s="84" vm="6620">
        <v>32986</v>
      </c>
      <c r="BW49" s="7">
        <f xml:space="preserve"> IFERROR( VfM_Metrics_2023_Consol_Source[[#This Row],[Net operating surplus]] / VfM_Metrics_2023_Consol_Source[[#This Row],[Overall turnover]], "n/a" )</f>
        <v>0.34130765331981755</v>
      </c>
      <c r="BX4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13468</v>
      </c>
      <c r="BY49" s="84" vm="6604">
        <v>14704</v>
      </c>
      <c r="BZ49" s="83" vm="6605">
        <v>1236</v>
      </c>
      <c r="CA49" s="83" vm="6606">
        <v>0</v>
      </c>
      <c r="CB49" s="5" vm="6621">
        <f xml:space="preserve"> VfM_Metrics_2023_Consol_Source[[#This Row],[Turnover (overall)]]</f>
        <v>39460</v>
      </c>
      <c r="CC49" s="84" vm="6621">
        <v>39460</v>
      </c>
      <c r="CD49" s="7">
        <f xml:space="preserve"> IFERROR( VfM_Metrics_2023_Consol_Source[[#This Row],[Operating surplus including from JVs]] / VfM_Metrics_2023_Consol_Source[[#This Row],[Net assets]], "n/a" )</f>
        <v>3.5221776946312185E-2</v>
      </c>
      <c r="CE49" s="5">
        <f xml:space="preserve"> SUM( VfM_Metrics_2023_Consol_Source[[#This Row],[Operating surplus/(deficit) (overall)3]], VfM_Metrics_2023_Consol_Source[[#This Row],[Share of operating surplus/(deficit) in joint ventures or associates]] )</f>
        <v>14704</v>
      </c>
      <c r="CF49" s="84" vm="6604">
        <v>14704</v>
      </c>
      <c r="CG49" s="83" vm="6623">
        <v>0</v>
      </c>
      <c r="CH49" s="5" vm="6622">
        <f xml:space="preserve"> VfM_Metrics_2023_Consol_Source[[#This Row],[Total assets less current liabilities]]</f>
        <v>417469</v>
      </c>
      <c r="CI49" s="84" vm="6622">
        <v>417469</v>
      </c>
      <c r="CJ49" s="71" vm="6590">
        <f xml:space="preserve"> VfM_Metrics_2023_Consol_Source[[#This Row],[Total social housing units owned (Period end)]]</f>
        <v>5386</v>
      </c>
      <c r="CK49" s="103">
        <v>0</v>
      </c>
      <c r="CL49" s="6">
        <f xml:space="preserve"> -- ( VfM_Metrics_2023_Consol_Source[[#This Row],[% Supported housing (excl. HOP)]] &gt; 0.3 )</f>
        <v>0</v>
      </c>
      <c r="CM49" s="103">
        <v>0</v>
      </c>
      <c r="CN49" s="6">
        <f xml:space="preserve"> -- ( VfM_Metrics_2023_Consol_Source[[#This Row],[% Housing for older people]] &gt; 0.3 )</f>
        <v>0</v>
      </c>
      <c r="CO49" s="103">
        <f xml:space="preserve"> VfM_Metrics_2023_Consol_Source[[#This Row],[% Supported housing (excl. HOP)]] + VfM_Metrics_2023_Consol_Source[[#This Row],[% Housing for older people]]</f>
        <v>0</v>
      </c>
      <c r="CP49" s="6">
        <f xml:space="preserve"> -- ( VfM_Metrics_2023_Consol_Source[[#This Row],[SH specialist in RSH analysis]] + VfM_Metrics_2023_Consol_Source[[#This Row],[OP specialist in RSH analysis]] &gt; 0 )</f>
        <v>0</v>
      </c>
      <c r="CQ49" s="10">
        <f xml:space="preserve"> -- ( VfM_Metrics_2023_Consol_Source[[#This Row],[% SH and OP]] &gt; 0.3 )</f>
        <v>0</v>
      </c>
      <c r="CR49" s="104" t="s">
        <v>143</v>
      </c>
      <c r="CS49" s="124"/>
      <c r="CT49" s="105" t="s">
        <v>151</v>
      </c>
      <c r="CU4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49" s="85">
        <v>0</v>
      </c>
      <c r="CW49" s="85">
        <v>0.80614525139664805</v>
      </c>
      <c r="CX49" s="85">
        <v>0.17746741154562384</v>
      </c>
      <c r="CY49" s="85">
        <v>0</v>
      </c>
      <c r="CZ49" s="85">
        <v>1.6387337057728119E-2</v>
      </c>
      <c r="DA49" s="85">
        <v>0</v>
      </c>
      <c r="DB49" s="85">
        <v>0</v>
      </c>
      <c r="DC49" s="85">
        <v>0</v>
      </c>
      <c r="DD49" s="85">
        <v>0</v>
      </c>
      <c r="DE49" s="13">
        <v>1.022181386603412</v>
      </c>
    </row>
    <row r="50" spans="1:109" x14ac:dyDescent="0.25">
      <c r="A50" s="4" t="s" vm="302">
        <v>224</v>
      </c>
      <c r="B50" s="2" t="s" vm="40">
        <v>225</v>
      </c>
      <c r="C50" s="72" vm="506">
        <v>45016</v>
      </c>
      <c r="D50" s="7">
        <f>IFERROR( VfM_Metrics_2023_Consol_Source[[#This Row],[Reinvestment Spend]] / VfM_Metrics_2023_Consol_Source[[#This Row],[Net Book Value of Housing Properties]], "n/a" )</f>
        <v>0.12489563462442288</v>
      </c>
      <c r="E5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90352</v>
      </c>
      <c r="F50" s="83" vm="3421">
        <v>78723</v>
      </c>
      <c r="G50" s="83" vm="7617">
        <v>104</v>
      </c>
      <c r="H50" s="83" vm="3422">
        <v>9753</v>
      </c>
      <c r="I50" s="83" vm="7692">
        <v>1772</v>
      </c>
      <c r="J50" s="83" vm="3423">
        <v>0</v>
      </c>
      <c r="K50" s="5">
        <f xml:space="preserve"> SUM( VfM_Metrics_2023_Consol_Source[[#This Row],[Tangible fixed assets: Housing properties at cost (Current period)]],VfM_Metrics_2023_Consol_Source[[#This Row],[Tangible fixed assets Housing properties at valuation (Current period)]] )</f>
        <v>723420</v>
      </c>
      <c r="L50" s="84" vm="3424">
        <v>723420</v>
      </c>
      <c r="M50" s="83" vm="2455">
        <v>0</v>
      </c>
      <c r="N50" s="7">
        <f xml:space="preserve"> IFERROR( VfM_Metrics_2023_Consol_Source[[#This Row],[Total social units developed or newly built units acquired in-year]] / VfM_Metrics_2023_Consol_Source[[#This Row],[Social housing units owned (period end)]], "n/a" )</f>
        <v>1.8152085036794767E-2</v>
      </c>
      <c r="O50" s="5">
        <f xml:space="preserve"> SUM( VfM_Metrics_2023_Consol_Source[[#This Row],[Total social units developed or newly built units acquired in-year (owned)]], VfM_Metrics_2023_Consol_Source[[#This Row],[Total social leasehold units developed or newly built units acquired in-year (owned)]] )</f>
        <v>222</v>
      </c>
      <c r="P50" s="84" vm="3426">
        <v>222</v>
      </c>
      <c r="Q50" s="83" vm="3427">
        <v>0</v>
      </c>
      <c r="R50" s="5">
        <f xml:space="preserve"> SUM( VfM_Metrics_2023_Consol_Source[[#This Row],[Total social housing units owned (Period end)]], VfM_Metrics_2023_Consol_Source[[#This Row],[Total social leasehold units owned (Period end)]] )</f>
        <v>12230</v>
      </c>
      <c r="S50" s="84" vm="3419">
        <v>12230</v>
      </c>
      <c r="T50" s="83" vm="7452">
        <v>0</v>
      </c>
      <c r="U50" s="86">
        <f xml:space="preserve"> IFERROR( VfM_Metrics_2023_Consol_Source[[#This Row],[Total non-social housing units developed or newly built units acquired (owned)]] / VfM_Metrics_2023_Consol_Source[[#This Row],[Total social and non-social housing units owned (Period end)]], "n/a" )</f>
        <v>0</v>
      </c>
      <c r="V5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50" s="83" vm="3429">
        <v>0</v>
      </c>
      <c r="X50" s="83" vm="3430">
        <v>0</v>
      </c>
      <c r="Y50" s="83" vm="3431">
        <v>0</v>
      </c>
      <c r="Z5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13394</v>
      </c>
      <c r="AA50" s="84" vm="3419">
        <v>12230</v>
      </c>
      <c r="AB50" s="83" vm="3428">
        <v>0</v>
      </c>
      <c r="AC50" s="83" vm="3432">
        <v>100</v>
      </c>
      <c r="AD50" s="83" vm="7550">
        <v>1064</v>
      </c>
      <c r="AE50" s="7">
        <f xml:space="preserve"> IFERROR( VfM_Metrics_2023_Consol_Source[[#This Row],[Total Net Debt]] / VfM_Metrics_2023_Consol_Source[[#This Row],[Net Book Value of Housing Properties2]], "n/a" )</f>
        <v>0.56164607005612233</v>
      </c>
      <c r="AF5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406306</v>
      </c>
      <c r="AG50" s="84" vm="3433">
        <v>3857</v>
      </c>
      <c r="AH50" s="83" vm="3434">
        <v>409103</v>
      </c>
      <c r="AI50" s="83" vm="7944">
        <v>6654</v>
      </c>
      <c r="AJ50" s="83" vm="3435">
        <v>0</v>
      </c>
      <c r="AK50" s="83" vm="7549">
        <v>0</v>
      </c>
      <c r="AL50" s="5">
        <f xml:space="preserve"> SUM( VfM_Metrics_2023_Consol_Source[[#This Row],[Tangible fixed assets: Housing properties at cost (Current period)2]], VfM_Metrics_2023_Consol_Source[[#This Row],[Tangible fixed assets Housing properties at valuation (Current period)2]] )</f>
        <v>723420</v>
      </c>
      <c r="AM50" s="84" vm="3424">
        <v>723420</v>
      </c>
      <c r="AN50" s="83" vm="3425">
        <v>0</v>
      </c>
      <c r="AO50" s="87">
        <f xml:space="preserve"> IFERROR( VfM_Metrics_2023_Consol_Source[[#This Row],[EBITDA MRI]] / VfM_Metrics_2023_Consol_Source[[#This Row],[Total interest]], "n/a" )</f>
        <v>1.2588597842835132</v>
      </c>
      <c r="AP5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24510</v>
      </c>
      <c r="AQ50" s="84" vm="3385">
        <v>25079</v>
      </c>
      <c r="AR50" s="84" vm="3437">
        <v>4030</v>
      </c>
      <c r="AS50" s="84" vm="3438">
        <v>0</v>
      </c>
      <c r="AT50" s="84" vm="3439">
        <v>559</v>
      </c>
      <c r="AU50" s="84" vm="3440">
        <v>0</v>
      </c>
      <c r="AV50" s="84" vm="3441">
        <v>225</v>
      </c>
      <c r="AW50" s="84" vm="3442">
        <v>9753</v>
      </c>
      <c r="AX50" s="84" vm="3443">
        <v>13548</v>
      </c>
      <c r="AY50" s="3">
        <f xml:space="preserve"> - SUM( VfM_Metrics_2023_Consol_Source[[#This Row],[Interest capitalised]], VfM_Metrics_2023_Consol_Source[[#This Row],[Interest payable and financing costs]] )</f>
        <v>19470</v>
      </c>
      <c r="AZ50" s="84" vm="3444">
        <v>-1772</v>
      </c>
      <c r="BA50" s="83" vm="7548">
        <v>-17698</v>
      </c>
      <c r="BB50" s="8">
        <f xml:space="preserve"> IFERROR( ( VfM_Metrics_2023_Consol_Source[[#This Row],[Total Costs]] / VfM_Metrics_2023_Consol_Source[[#This Row],[Total units for costs]] ) * 1000, "n/a" )</f>
        <v>3749.8585172608941</v>
      </c>
      <c r="BC5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46382</v>
      </c>
      <c r="BD50" s="84" vm="7079">
        <v>14382</v>
      </c>
      <c r="BE50" s="83" vm="7676">
        <v>6229</v>
      </c>
      <c r="BF50" s="83" vm="3445">
        <v>6957</v>
      </c>
      <c r="BG50" s="83" vm="3446">
        <v>6501</v>
      </c>
      <c r="BH50" s="83" vm="3447">
        <v>0</v>
      </c>
      <c r="BI50" s="83" vm="3448">
        <v>0</v>
      </c>
      <c r="BJ50" s="83" vm="3442">
        <v>9753</v>
      </c>
      <c r="BK50" s="83" vm="3449">
        <v>0</v>
      </c>
      <c r="BL50" s="83" vm="7673">
        <v>1148</v>
      </c>
      <c r="BM50" s="83" vm="3450">
        <v>1243</v>
      </c>
      <c r="BN50" s="83" vm="7690">
        <v>0</v>
      </c>
      <c r="BO50" s="83" vm="3114">
        <v>169</v>
      </c>
      <c r="BP50" s="5" vm="3420">
        <f xml:space="preserve"> VfM_Metrics_2023_Consol_Source[[#This Row],[Total social housing units owned and/or managed at period end]]</f>
        <v>12369</v>
      </c>
      <c r="BQ50" s="84" vm="3420">
        <v>12369</v>
      </c>
      <c r="BR50" s="7">
        <f xml:space="preserve"> IFERROR( VfM_Metrics_2023_Consol_Source[[#This Row],[SHL operating surplus / (deficit)]] / VfM_Metrics_2023_Consol_Source[[#This Row],[Turnover from social housing lettings]], "n/a" )</f>
        <v>0.27766874175841028</v>
      </c>
      <c r="BS50" s="5" vm="3451">
        <f xml:space="preserve"> VfM_Metrics_2023_Consol_Source[[#This Row],[Operating surplus/(deficit) (social housing lettings)]]</f>
        <v>18109</v>
      </c>
      <c r="BT50" s="84" vm="3451">
        <v>18109</v>
      </c>
      <c r="BU50" s="5" vm="3452">
        <f xml:space="preserve"> VfM_Metrics_2023_Consol_Source[[#This Row],[Turnover from social housing lettings]]</f>
        <v>65218</v>
      </c>
      <c r="BV50" s="84" vm="3452">
        <v>65218</v>
      </c>
      <c r="BW50" s="7">
        <f xml:space="preserve"> IFERROR( VfM_Metrics_2023_Consol_Source[[#This Row],[Net operating surplus]] / VfM_Metrics_2023_Consol_Source[[#This Row],[Overall turnover]], "n/a" )</f>
        <v>0.26000222340254703</v>
      </c>
      <c r="BX5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21049</v>
      </c>
      <c r="BY50" s="84" vm="3137">
        <v>25079</v>
      </c>
      <c r="BZ50" s="83" vm="3437">
        <v>4030</v>
      </c>
      <c r="CA50" s="83" vm="3438">
        <v>0</v>
      </c>
      <c r="CB50" s="5" vm="4307">
        <f xml:space="preserve"> VfM_Metrics_2023_Consol_Source[[#This Row],[Turnover (overall)]]</f>
        <v>80957</v>
      </c>
      <c r="CC50" s="84" vm="4307">
        <v>80957</v>
      </c>
      <c r="CD50" s="7">
        <f xml:space="preserve"> IFERROR( VfM_Metrics_2023_Consol_Source[[#This Row],[Operating surplus including from JVs]] / VfM_Metrics_2023_Consol_Source[[#This Row],[Net assets]], "n/a" )</f>
        <v>3.3926778075584009E-2</v>
      </c>
      <c r="CE50" s="5">
        <f xml:space="preserve"> SUM( VfM_Metrics_2023_Consol_Source[[#This Row],[Operating surplus/(deficit) (overall)3]], VfM_Metrics_2023_Consol_Source[[#This Row],[Share of operating surplus/(deficit) in joint ventures or associates]] )</f>
        <v>25911</v>
      </c>
      <c r="CF50" s="84" vm="3436">
        <v>25079</v>
      </c>
      <c r="CG50" s="83" vm="3454">
        <v>832</v>
      </c>
      <c r="CH50" s="5" vm="3453">
        <f xml:space="preserve"> VfM_Metrics_2023_Consol_Source[[#This Row],[Total assets less current liabilities]]</f>
        <v>763733</v>
      </c>
      <c r="CI50" s="84" vm="3453">
        <v>763733</v>
      </c>
      <c r="CJ50" s="71" vm="3419">
        <f xml:space="preserve"> VfM_Metrics_2023_Consol_Source[[#This Row],[Total social housing units owned (Period end)]]</f>
        <v>12230</v>
      </c>
      <c r="CK50" s="103">
        <v>9.4448094612352169E-3</v>
      </c>
      <c r="CL50" s="6">
        <f xml:space="preserve"> -- ( VfM_Metrics_2023_Consol_Source[[#This Row],[% Supported housing (excl. HOP)]] &gt; 0.3 )</f>
        <v>0</v>
      </c>
      <c r="CM50" s="103">
        <v>9.2723390275952694E-2</v>
      </c>
      <c r="CN50" s="6">
        <f xml:space="preserve"> -- ( VfM_Metrics_2023_Consol_Source[[#This Row],[% Housing for older people]] &gt; 0.3 )</f>
        <v>0</v>
      </c>
      <c r="CO50" s="103">
        <f xml:space="preserve"> VfM_Metrics_2023_Consol_Source[[#This Row],[% Supported housing (excl. HOP)]] + VfM_Metrics_2023_Consol_Source[[#This Row],[% Housing for older people]]</f>
        <v>0.10216819973718791</v>
      </c>
      <c r="CP50" s="6">
        <f xml:space="preserve"> -- ( VfM_Metrics_2023_Consol_Source[[#This Row],[SH specialist in RSH analysis]] + VfM_Metrics_2023_Consol_Source[[#This Row],[OP specialist in RSH analysis]] &gt; 0 )</f>
        <v>0</v>
      </c>
      <c r="CQ50" s="10">
        <f xml:space="preserve"> -- ( VfM_Metrics_2023_Consol_Source[[#This Row],[% SH and OP]] &gt; 0.3 )</f>
        <v>0</v>
      </c>
      <c r="CR50" s="104" t="s">
        <v>143</v>
      </c>
      <c r="CS50" s="124"/>
      <c r="CT50" s="105" t="s">
        <v>151</v>
      </c>
      <c r="CU5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50" s="85">
        <v>0</v>
      </c>
      <c r="CW50" s="85">
        <v>2.4693376941946035E-2</v>
      </c>
      <c r="CX50" s="85">
        <v>0</v>
      </c>
      <c r="CY50" s="85">
        <v>2.5919869174161898E-2</v>
      </c>
      <c r="CZ50" s="85">
        <v>0</v>
      </c>
      <c r="DA50" s="85">
        <v>0.94938675388389204</v>
      </c>
      <c r="DB50" s="85">
        <v>0</v>
      </c>
      <c r="DC50" s="85">
        <v>0</v>
      </c>
      <c r="DD50" s="85">
        <v>0</v>
      </c>
      <c r="DE50" s="13">
        <v>1.0101324400329754</v>
      </c>
    </row>
    <row r="51" spans="1:109" x14ac:dyDescent="0.25">
      <c r="A51" s="4" t="s" vm="213">
        <v>226</v>
      </c>
      <c r="B51" s="2" t="s" vm="41">
        <v>227</v>
      </c>
      <c r="C51" s="72" vm="569">
        <v>45016</v>
      </c>
      <c r="D51" s="7">
        <f>IFERROR( VfM_Metrics_2023_Consol_Source[[#This Row],[Reinvestment Spend]] / VfM_Metrics_2023_Consol_Source[[#This Row],[Net Book Value of Housing Properties]], "n/a" )</f>
        <v>2.8887815498633829E-2</v>
      </c>
      <c r="E5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4007</v>
      </c>
      <c r="F51" s="83" vm="7930">
        <v>2621</v>
      </c>
      <c r="G51" s="83" vm="8927">
        <v>0</v>
      </c>
      <c r="H51" s="83" vm="8836">
        <v>1115</v>
      </c>
      <c r="I51" s="83" vm="853">
        <v>271</v>
      </c>
      <c r="J51" s="83" vm="8952">
        <v>0</v>
      </c>
      <c r="K51" s="5">
        <f xml:space="preserve"> SUM( VfM_Metrics_2023_Consol_Source[[#This Row],[Tangible fixed assets: Housing properties at cost (Current period)]],VfM_Metrics_2023_Consol_Source[[#This Row],[Tangible fixed assets Housing properties at valuation (Current period)]] )</f>
        <v>138709</v>
      </c>
      <c r="L51" s="84" vm="8816">
        <v>138709</v>
      </c>
      <c r="M51" s="83" vm="878">
        <v>0</v>
      </c>
      <c r="N51" s="7">
        <f xml:space="preserve"> IFERROR( VfM_Metrics_2023_Consol_Source[[#This Row],[Total social units developed or newly built units acquired in-year]] / VfM_Metrics_2023_Consol_Source[[#This Row],[Social housing units owned (period end)]], "n/a" )</f>
        <v>2.7333333333333334E-2</v>
      </c>
      <c r="O51" s="5">
        <f xml:space="preserve"> SUM( VfM_Metrics_2023_Consol_Source[[#This Row],[Total social units developed or newly built units acquired in-year (owned)]], VfM_Metrics_2023_Consol_Source[[#This Row],[Total social leasehold units developed or newly built units acquired in-year (owned)]] )</f>
        <v>41</v>
      </c>
      <c r="P51" s="84" vm="8958">
        <v>41</v>
      </c>
      <c r="Q51" s="83" vm="832">
        <v>0</v>
      </c>
      <c r="R51" s="5">
        <f xml:space="preserve"> SUM( VfM_Metrics_2023_Consol_Source[[#This Row],[Total social housing units owned (Period end)]], VfM_Metrics_2023_Consol_Source[[#This Row],[Total social leasehold units owned (Period end)]] )</f>
        <v>1500</v>
      </c>
      <c r="S51" s="84" vm="876">
        <v>1444</v>
      </c>
      <c r="T51" s="83" vm="879">
        <v>56</v>
      </c>
      <c r="U51" s="86">
        <f xml:space="preserve"> IFERROR( VfM_Metrics_2023_Consol_Source[[#This Row],[Total non-social housing units developed or newly built units acquired (owned)]] / VfM_Metrics_2023_Consol_Source[[#This Row],[Total social and non-social housing units owned (Period end)]], "n/a" )</f>
        <v>0</v>
      </c>
      <c r="V5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51" s="83" vm="8951">
        <v>0</v>
      </c>
      <c r="X51" s="83" vm="880">
        <v>0</v>
      </c>
      <c r="Y51" s="83" vm="881">
        <v>0</v>
      </c>
      <c r="Z5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1541</v>
      </c>
      <c r="AA51" s="84" vm="8879">
        <v>1444</v>
      </c>
      <c r="AB51" s="83" vm="8922">
        <v>56</v>
      </c>
      <c r="AC51" s="83" vm="882">
        <v>15</v>
      </c>
      <c r="AD51" s="83" vm="859">
        <v>26</v>
      </c>
      <c r="AE51" s="7">
        <f xml:space="preserve"> IFERROR( VfM_Metrics_2023_Consol_Source[[#This Row],[Total Net Debt]] / VfM_Metrics_2023_Consol_Source[[#This Row],[Net Book Value of Housing Properties2]], "n/a" )</f>
        <v>0.40283615338586537</v>
      </c>
      <c r="AF5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55877</v>
      </c>
      <c r="AG51" s="84" vm="1067">
        <v>6034</v>
      </c>
      <c r="AH51" s="83" vm="8919">
        <v>59976</v>
      </c>
      <c r="AI51" s="83" vm="8834">
        <v>10133</v>
      </c>
      <c r="AJ51" s="83" vm="884">
        <v>0</v>
      </c>
      <c r="AK51" s="83" vm="8939">
        <v>0</v>
      </c>
      <c r="AL51" s="5">
        <f xml:space="preserve"> SUM( VfM_Metrics_2023_Consol_Source[[#This Row],[Tangible fixed assets: Housing properties at cost (Current period)2]], VfM_Metrics_2023_Consol_Source[[#This Row],[Tangible fixed assets Housing properties at valuation (Current period)2]] )</f>
        <v>138709</v>
      </c>
      <c r="AM51" s="84" vm="8869">
        <v>138709</v>
      </c>
      <c r="AN51" s="83" vm="8710">
        <v>0</v>
      </c>
      <c r="AO51" s="87">
        <f xml:space="preserve"> IFERROR( VfM_Metrics_2023_Consol_Source[[#This Row],[EBITDA MRI]] / VfM_Metrics_2023_Consol_Source[[#This Row],[Total interest]], "n/a" )</f>
        <v>1.3420639078051335</v>
      </c>
      <c r="AP5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2562</v>
      </c>
      <c r="AQ51" s="84" vm="903">
        <v>2611</v>
      </c>
      <c r="AR51" s="84" vm="885">
        <v>76</v>
      </c>
      <c r="AS51" s="84" vm="8961">
        <v>0</v>
      </c>
      <c r="AT51" s="84" vm="886">
        <v>730</v>
      </c>
      <c r="AU51" s="84" vm="8914">
        <v>0</v>
      </c>
      <c r="AV51" s="84" vm="888">
        <v>157</v>
      </c>
      <c r="AW51" s="84" vm="8722">
        <v>1115</v>
      </c>
      <c r="AX51" s="84" vm="8936">
        <v>1715</v>
      </c>
      <c r="AY51" s="3">
        <f xml:space="preserve"> - SUM( VfM_Metrics_2023_Consol_Source[[#This Row],[Interest capitalised]], VfM_Metrics_2023_Consol_Source[[#This Row],[Interest payable and financing costs]] )</f>
        <v>1909</v>
      </c>
      <c r="AZ51" s="84" vm="8867">
        <v>-271</v>
      </c>
      <c r="BA51" s="83" vm="890">
        <v>-1638</v>
      </c>
      <c r="BB51" s="8">
        <f xml:space="preserve"> IFERROR( ( VfM_Metrics_2023_Consol_Source[[#This Row],[Total Costs]] / VfM_Metrics_2023_Consol_Source[[#This Row],[Total units for costs]] ) * 1000, "n/a" )</f>
        <v>7254.9420586230408</v>
      </c>
      <c r="BC5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10643</v>
      </c>
      <c r="BD51" s="84" vm="891">
        <v>4271</v>
      </c>
      <c r="BE51" s="83" vm="8949">
        <v>2581</v>
      </c>
      <c r="BF51" s="83" vm="1074">
        <v>2202</v>
      </c>
      <c r="BG51" s="83" vm="8950">
        <v>474</v>
      </c>
      <c r="BH51" s="83" vm="7927">
        <v>0</v>
      </c>
      <c r="BI51" s="83" vm="9151">
        <v>0</v>
      </c>
      <c r="BJ51" s="83" vm="889">
        <v>1115</v>
      </c>
      <c r="BK51" s="83" vm="8932">
        <v>0</v>
      </c>
      <c r="BL51" s="83" vm="892">
        <v>0</v>
      </c>
      <c r="BM51" s="83" vm="8865">
        <v>0</v>
      </c>
      <c r="BN51" s="83" vm="7926">
        <v>0</v>
      </c>
      <c r="BO51" s="83" vm="8910">
        <v>0</v>
      </c>
      <c r="BP51" s="5" vm="9132">
        <f xml:space="preserve"> VfM_Metrics_2023_Consol_Source[[#This Row],[Total social housing units owned and/or managed at period end]]</f>
        <v>1467</v>
      </c>
      <c r="BQ51" s="84" vm="9132">
        <v>1467</v>
      </c>
      <c r="BR51" s="7">
        <f xml:space="preserve"> IFERROR( VfM_Metrics_2023_Consol_Source[[#This Row],[SHL operating surplus / (deficit)]] / VfM_Metrics_2023_Consol_Source[[#This Row],[Turnover from social housing lettings]], "n/a" )</f>
        <v>0.1475917258040163</v>
      </c>
      <c r="BS51" s="5" vm="893">
        <f xml:space="preserve"> VfM_Metrics_2023_Consol_Source[[#This Row],[Operating surplus/(deficit) (social housing lettings)]]</f>
        <v>1955</v>
      </c>
      <c r="BT51" s="84" vm="893">
        <v>1955</v>
      </c>
      <c r="BU51" s="5" vm="9119">
        <f xml:space="preserve"> VfM_Metrics_2023_Consol_Source[[#This Row],[Turnover from social housing lettings]]</f>
        <v>13246</v>
      </c>
      <c r="BV51" s="84" vm="9119">
        <v>13246</v>
      </c>
      <c r="BW51" s="7">
        <f xml:space="preserve"> IFERROR( VfM_Metrics_2023_Consol_Source[[#This Row],[Net operating surplus]] / VfM_Metrics_2023_Consol_Source[[#This Row],[Overall turnover]], "n/a" )</f>
        <v>0.14667592431869467</v>
      </c>
      <c r="BX5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2535</v>
      </c>
      <c r="BY51" s="84" vm="8813">
        <v>2611</v>
      </c>
      <c r="BZ51" s="83" vm="8862">
        <v>76</v>
      </c>
      <c r="CA51" s="83" vm="8925">
        <v>0</v>
      </c>
      <c r="CB51" s="5" vm="8702">
        <f xml:space="preserve"> VfM_Metrics_2023_Consol_Source[[#This Row],[Turnover (overall)]]</f>
        <v>17283</v>
      </c>
      <c r="CC51" s="84" vm="8702">
        <v>17283</v>
      </c>
      <c r="CD51" s="7">
        <f xml:space="preserve"> IFERROR( VfM_Metrics_2023_Consol_Source[[#This Row],[Operating surplus including from JVs]] / VfM_Metrics_2023_Consol_Source[[#This Row],[Net assets]], "n/a" )</f>
        <v>1.8388230405724227E-2</v>
      </c>
      <c r="CE51" s="5">
        <f xml:space="preserve"> SUM( VfM_Metrics_2023_Consol_Source[[#This Row],[Operating surplus/(deficit) (overall)3]], VfM_Metrics_2023_Consol_Source[[#This Row],[Share of operating surplus/(deficit) in joint ventures or associates]] )</f>
        <v>2611</v>
      </c>
      <c r="CF51" s="84" vm="2961">
        <v>2611</v>
      </c>
      <c r="CG51" s="83" vm="894">
        <v>0</v>
      </c>
      <c r="CH51" s="5" vm="824">
        <f xml:space="preserve"> VfM_Metrics_2023_Consol_Source[[#This Row],[Total assets less current liabilities]]</f>
        <v>141993</v>
      </c>
      <c r="CI51" s="84" vm="824">
        <v>141993</v>
      </c>
      <c r="CJ51" s="71" vm="876">
        <f xml:space="preserve"> VfM_Metrics_2023_Consol_Source[[#This Row],[Total social housing units owned (Period end)]]</f>
        <v>1444</v>
      </c>
      <c r="CK51" s="103">
        <v>9.0845070422535215E-2</v>
      </c>
      <c r="CL51" s="6">
        <f xml:space="preserve"> -- ( VfM_Metrics_2023_Consol_Source[[#This Row],[% Supported housing (excl. HOP)]] &gt; 0.3 )</f>
        <v>0</v>
      </c>
      <c r="CM51" s="103">
        <v>0.22323943661971832</v>
      </c>
      <c r="CN51" s="6">
        <f xml:space="preserve"> -- ( VfM_Metrics_2023_Consol_Source[[#This Row],[% Housing for older people]] &gt; 0.3 )</f>
        <v>0</v>
      </c>
      <c r="CO51" s="103">
        <f xml:space="preserve"> VfM_Metrics_2023_Consol_Source[[#This Row],[% Supported housing (excl. HOP)]] + VfM_Metrics_2023_Consol_Source[[#This Row],[% Housing for older people]]</f>
        <v>0.31408450704225355</v>
      </c>
      <c r="CP51" s="6">
        <f xml:space="preserve"> -- ( VfM_Metrics_2023_Consol_Source[[#This Row],[SH specialist in RSH analysis]] + VfM_Metrics_2023_Consol_Source[[#This Row],[OP specialist in RSH analysis]] &gt; 0 )</f>
        <v>0</v>
      </c>
      <c r="CQ51" s="10">
        <f xml:space="preserve"> -- ( VfM_Metrics_2023_Consol_Source[[#This Row],[% SH and OP]] &gt; 0.3 )</f>
        <v>1</v>
      </c>
      <c r="CR51" s="104" t="s">
        <v>143</v>
      </c>
      <c r="CS51" s="124" t="s">
        <v>144</v>
      </c>
      <c r="CT51" s="105"/>
      <c r="CU5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51" s="85">
        <v>1</v>
      </c>
      <c r="CW51" s="85">
        <v>0</v>
      </c>
      <c r="CX51" s="85">
        <v>0</v>
      </c>
      <c r="CY51" s="85">
        <v>0</v>
      </c>
      <c r="CZ51" s="85">
        <v>0</v>
      </c>
      <c r="DA51" s="85">
        <v>0</v>
      </c>
      <c r="DB51" s="85">
        <v>0</v>
      </c>
      <c r="DC51" s="85">
        <v>0</v>
      </c>
      <c r="DD51" s="85">
        <v>0</v>
      </c>
      <c r="DE51" s="13">
        <v>1.1603700449887588</v>
      </c>
    </row>
    <row r="52" spans="1:109" x14ac:dyDescent="0.25">
      <c r="A52" s="4" t="s" vm="272">
        <v>228</v>
      </c>
      <c r="B52" s="2" t="s" vm="42">
        <v>229</v>
      </c>
      <c r="C52" s="72" vm="411">
        <v>45016</v>
      </c>
      <c r="D52" s="7">
        <f>IFERROR( VfM_Metrics_2023_Consol_Source[[#This Row],[Reinvestment Spend]] / VfM_Metrics_2023_Consol_Source[[#This Row],[Net Book Value of Housing Properties]], "n/a" )</f>
        <v>7.8895638906309962E-2</v>
      </c>
      <c r="E5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50571</v>
      </c>
      <c r="F52" s="83" vm="2400">
        <v>29802</v>
      </c>
      <c r="G52" s="83" vm="7812">
        <v>0</v>
      </c>
      <c r="H52" s="83" vm="2401">
        <v>17907</v>
      </c>
      <c r="I52" s="83" vm="2402">
        <v>2862</v>
      </c>
      <c r="J52" s="83" vm="2403">
        <v>0</v>
      </c>
      <c r="K52" s="5">
        <f xml:space="preserve"> SUM( VfM_Metrics_2023_Consol_Source[[#This Row],[Tangible fixed assets: Housing properties at cost (Current period)]],VfM_Metrics_2023_Consol_Source[[#This Row],[Tangible fixed assets Housing properties at valuation (Current period)]] )</f>
        <v>640986</v>
      </c>
      <c r="L52" s="84" vm="2404">
        <v>640986</v>
      </c>
      <c r="M52" s="83">
        <v>0</v>
      </c>
      <c r="N52" s="7">
        <f xml:space="preserve"> IFERROR( VfM_Metrics_2023_Consol_Source[[#This Row],[Total social units developed or newly built units acquired in-year]] / VfM_Metrics_2023_Consol_Source[[#This Row],[Social housing units owned (period end)]], "n/a" )</f>
        <v>1.3857355358960308E-2</v>
      </c>
      <c r="O52" s="5">
        <f xml:space="preserve"> SUM( VfM_Metrics_2023_Consol_Source[[#This Row],[Total social units developed or newly built units acquired in-year (owned)]], VfM_Metrics_2023_Consol_Source[[#This Row],[Total social leasehold units developed or newly built units acquired in-year (owned)]] )</f>
        <v>177</v>
      </c>
      <c r="P52" s="84" vm="2405">
        <v>177</v>
      </c>
      <c r="Q52" s="83">
        <v>0</v>
      </c>
      <c r="R52" s="5">
        <f xml:space="preserve"> SUM( VfM_Metrics_2023_Consol_Source[[#This Row],[Total social housing units owned (Period end)]], VfM_Metrics_2023_Consol_Source[[#This Row],[Total social leasehold units owned (Period end)]] )</f>
        <v>12773</v>
      </c>
      <c r="S52" s="84" vm="8041">
        <v>12773</v>
      </c>
      <c r="T52" s="83" vm="2120">
        <v>0</v>
      </c>
      <c r="U52" s="86">
        <f xml:space="preserve"> IFERROR( VfM_Metrics_2023_Consol_Source[[#This Row],[Total non-social housing units developed or newly built units acquired (owned)]] / VfM_Metrics_2023_Consol_Source[[#This Row],[Total social and non-social housing units owned (Period end)]], "n/a" )</f>
        <v>9.3062605752961079E-3</v>
      </c>
      <c r="V5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121</v>
      </c>
      <c r="W52" s="83" vm="2406">
        <v>5</v>
      </c>
      <c r="X52" s="83">
        <v>0</v>
      </c>
      <c r="Y52" s="83" vm="2700">
        <v>116</v>
      </c>
      <c r="Z5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13002</v>
      </c>
      <c r="AA52" s="84" vm="2398">
        <v>12773</v>
      </c>
      <c r="AB52" s="83" vm="8061">
        <v>0</v>
      </c>
      <c r="AC52" s="83" vm="7959">
        <v>229</v>
      </c>
      <c r="AD52" s="83" vm="3288">
        <v>0</v>
      </c>
      <c r="AE52" s="7">
        <f xml:space="preserve"> IFERROR( VfM_Metrics_2023_Consol_Source[[#This Row],[Total Net Debt]] / VfM_Metrics_2023_Consol_Source[[#This Row],[Net Book Value of Housing Properties2]], "n/a" )</f>
        <v>0.47674676201976329</v>
      </c>
      <c r="AF5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305588</v>
      </c>
      <c r="AG52" s="84" vm="7793">
        <v>5971</v>
      </c>
      <c r="AH52" s="83" vm="2408">
        <v>338908</v>
      </c>
      <c r="AI52" s="83" vm="3103">
        <v>39291</v>
      </c>
      <c r="AJ52" s="83" vm="1675">
        <v>0</v>
      </c>
      <c r="AK52" s="83">
        <v>0</v>
      </c>
      <c r="AL52" s="5">
        <f xml:space="preserve"> SUM( VfM_Metrics_2023_Consol_Source[[#This Row],[Tangible fixed assets: Housing properties at cost (Current period)2]], VfM_Metrics_2023_Consol_Source[[#This Row],[Tangible fixed assets Housing properties at valuation (Current period)2]] )</f>
        <v>640986</v>
      </c>
      <c r="AM52" s="84" vm="2177">
        <v>640986</v>
      </c>
      <c r="AN52" s="83">
        <v>0</v>
      </c>
      <c r="AO52" s="87">
        <f xml:space="preserve"> IFERROR( VfM_Metrics_2023_Consol_Source[[#This Row],[EBITDA MRI]] / VfM_Metrics_2023_Consol_Source[[#This Row],[Total interest]], "n/a" )</f>
        <v>1.8099374021909234</v>
      </c>
      <c r="AP5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23131</v>
      </c>
      <c r="AQ52" s="84" vm="2409">
        <v>32259</v>
      </c>
      <c r="AR52" s="84" vm="2410">
        <v>2878</v>
      </c>
      <c r="AS52" s="84">
        <v>0</v>
      </c>
      <c r="AT52" s="84" vm="2411">
        <v>1333</v>
      </c>
      <c r="AU52" s="84" vm="2412">
        <v>0</v>
      </c>
      <c r="AV52" s="84" vm="2413">
        <v>841</v>
      </c>
      <c r="AW52" s="84" vm="2414">
        <v>17907</v>
      </c>
      <c r="AX52" s="84" vm="2415">
        <v>12149</v>
      </c>
      <c r="AY52" s="3">
        <f xml:space="preserve"> - SUM( VfM_Metrics_2023_Consol_Source[[#This Row],[Interest capitalised]], VfM_Metrics_2023_Consol_Source[[#This Row],[Interest payable and financing costs]] )</f>
        <v>12780</v>
      </c>
      <c r="AZ52" s="84" vm="2416">
        <v>-2862</v>
      </c>
      <c r="BA52" s="83" vm="2417">
        <v>-9918</v>
      </c>
      <c r="BB52" s="8">
        <f xml:space="preserve"> IFERROR( ( VfM_Metrics_2023_Consol_Source[[#This Row],[Total Costs]] / VfM_Metrics_2023_Consol_Source[[#This Row],[Total units for costs]] ) * 1000, "n/a" )</f>
        <v>5132.936663274093</v>
      </c>
      <c r="BC5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65563</v>
      </c>
      <c r="BD52" s="84" vm="7097">
        <v>10210</v>
      </c>
      <c r="BE52" s="83" vm="2418">
        <v>3866</v>
      </c>
      <c r="BF52" s="83" vm="2419">
        <v>16791</v>
      </c>
      <c r="BG52" s="83" vm="2420">
        <v>0</v>
      </c>
      <c r="BH52" s="83" vm="7568">
        <v>9561</v>
      </c>
      <c r="BI52" s="83" vm="2422">
        <v>0</v>
      </c>
      <c r="BJ52" s="83" vm="2414">
        <v>17907</v>
      </c>
      <c r="BK52" s="83" vm="2423">
        <v>3683</v>
      </c>
      <c r="BL52" s="83" vm="2424">
        <v>389</v>
      </c>
      <c r="BM52" s="83">
        <v>0</v>
      </c>
      <c r="BN52" s="83">
        <v>0</v>
      </c>
      <c r="BO52" s="83" vm="2425">
        <v>3156</v>
      </c>
      <c r="BP52" s="5" vm="2399">
        <f xml:space="preserve"> VfM_Metrics_2023_Consol_Source[[#This Row],[Total social housing units owned and/or managed at period end]]</f>
        <v>12773</v>
      </c>
      <c r="BQ52" s="84" vm="2399">
        <v>12773</v>
      </c>
      <c r="BR52" s="7">
        <f xml:space="preserve"> IFERROR( VfM_Metrics_2023_Consol_Source[[#This Row],[SHL operating surplus / (deficit)]] / VfM_Metrics_2023_Consol_Source[[#This Row],[Turnover from social housing lettings]], "n/a" )</f>
        <v>0.25342575313249799</v>
      </c>
      <c r="BS52" s="5" vm="2426">
        <f xml:space="preserve"> VfM_Metrics_2023_Consol_Source[[#This Row],[Operating surplus/(deficit) (social housing lettings)]]</f>
        <v>19012</v>
      </c>
      <c r="BT52" s="84" vm="2426">
        <v>19012</v>
      </c>
      <c r="BU52" s="5" vm="2427">
        <f xml:space="preserve"> VfM_Metrics_2023_Consol_Source[[#This Row],[Turnover from social housing lettings]]</f>
        <v>75020</v>
      </c>
      <c r="BV52" s="84" vm="2427">
        <v>75020</v>
      </c>
      <c r="BW52" s="7">
        <f xml:space="preserve"> IFERROR( VfM_Metrics_2023_Consol_Source[[#This Row],[Net operating surplus]] / VfM_Metrics_2023_Consol_Source[[#This Row],[Overall turnover]], "n/a" )</f>
        <v>0.20732309689802139</v>
      </c>
      <c r="BX5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29381</v>
      </c>
      <c r="BY52" s="84" vm="3164">
        <v>32259</v>
      </c>
      <c r="BZ52" s="83" vm="2410">
        <v>2878</v>
      </c>
      <c r="CA52" s="83">
        <v>0</v>
      </c>
      <c r="CB52" s="5" vm="7744">
        <f xml:space="preserve"> VfM_Metrics_2023_Consol_Source[[#This Row],[Turnover (overall)]]</f>
        <v>141716</v>
      </c>
      <c r="CC52" s="84" vm="7744">
        <v>141716</v>
      </c>
      <c r="CD52" s="7">
        <f xml:space="preserve"> IFERROR( VfM_Metrics_2023_Consol_Source[[#This Row],[Operating surplus including from JVs]] / VfM_Metrics_2023_Consol_Source[[#This Row],[Net assets]], "n/a" )</f>
        <v>4.406864867892412E-2</v>
      </c>
      <c r="CE52" s="5">
        <f xml:space="preserve"> SUM( VfM_Metrics_2023_Consol_Source[[#This Row],[Operating surplus/(deficit) (overall)3]], VfM_Metrics_2023_Consol_Source[[#This Row],[Share of operating surplus/(deficit) in joint ventures or associates]] )</f>
        <v>32259</v>
      </c>
      <c r="CF52" s="84" vm="2409">
        <v>32259</v>
      </c>
      <c r="CG52" s="83">
        <v>0</v>
      </c>
      <c r="CH52" s="5" vm="2428">
        <f xml:space="preserve"> VfM_Metrics_2023_Consol_Source[[#This Row],[Total assets less current liabilities]]</f>
        <v>732017</v>
      </c>
      <c r="CI52" s="84" vm="2428">
        <v>732017</v>
      </c>
      <c r="CJ52" s="71" vm="8041">
        <f xml:space="preserve"> VfM_Metrics_2023_Consol_Source[[#This Row],[Total social housing units owned (Period end)]]</f>
        <v>12773</v>
      </c>
      <c r="CK52" s="103">
        <v>1.7672007540056552E-2</v>
      </c>
      <c r="CL52" s="6">
        <f xml:space="preserve"> -- ( VfM_Metrics_2023_Consol_Source[[#This Row],[% Supported housing (excl. HOP)]] &gt; 0.3 )</f>
        <v>0</v>
      </c>
      <c r="CM52" s="103">
        <v>0.14051209550738297</v>
      </c>
      <c r="CN52" s="6">
        <f xml:space="preserve"> -- ( VfM_Metrics_2023_Consol_Source[[#This Row],[% Housing for older people]] &gt; 0.3 )</f>
        <v>0</v>
      </c>
      <c r="CO52" s="103">
        <f xml:space="preserve"> VfM_Metrics_2023_Consol_Source[[#This Row],[% Supported housing (excl. HOP)]] + VfM_Metrics_2023_Consol_Source[[#This Row],[% Housing for older people]]</f>
        <v>0.15818410304743952</v>
      </c>
      <c r="CP52" s="6">
        <f xml:space="preserve"> -- ( VfM_Metrics_2023_Consol_Source[[#This Row],[SH specialist in RSH analysis]] + VfM_Metrics_2023_Consol_Source[[#This Row],[OP specialist in RSH analysis]] &gt; 0 )</f>
        <v>0</v>
      </c>
      <c r="CQ52" s="10">
        <f xml:space="preserve"> -- ( VfM_Metrics_2023_Consol_Source[[#This Row],[% SH and OP]] &gt; 0.3 )</f>
        <v>0</v>
      </c>
      <c r="CR52" s="104" t="s">
        <v>143</v>
      </c>
      <c r="CS52" s="124"/>
      <c r="CT52" s="105" t="s">
        <v>151</v>
      </c>
      <c r="CU5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52" s="85">
        <v>0</v>
      </c>
      <c r="CW52" s="85">
        <v>0</v>
      </c>
      <c r="CX52" s="85">
        <v>1</v>
      </c>
      <c r="CY52" s="85">
        <v>0</v>
      </c>
      <c r="CZ52" s="85">
        <v>0</v>
      </c>
      <c r="DA52" s="85">
        <v>0</v>
      </c>
      <c r="DB52" s="85">
        <v>0</v>
      </c>
      <c r="DC52" s="85">
        <v>0</v>
      </c>
      <c r="DD52" s="85">
        <v>0</v>
      </c>
      <c r="DE52" s="13">
        <v>0.97511902715076015</v>
      </c>
    </row>
    <row r="53" spans="1:109" x14ac:dyDescent="0.25">
      <c r="A53" s="4" t="s" vm="236">
        <v>230</v>
      </c>
      <c r="B53" s="2" t="s" vm="43">
        <v>231</v>
      </c>
      <c r="C53" s="72" vm="591">
        <v>45016</v>
      </c>
      <c r="D53" s="7">
        <f>IFERROR( VfM_Metrics_2023_Consol_Source[[#This Row],[Reinvestment Spend]] / VfM_Metrics_2023_Consol_Source[[#This Row],[Net Book Value of Housing Properties]], "n/a" )</f>
        <v>1.6219253658910374E-2</v>
      </c>
      <c r="E5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1270</v>
      </c>
      <c r="F53" s="83" vm="8124">
        <v>40</v>
      </c>
      <c r="G53" s="83" vm="1369">
        <v>0</v>
      </c>
      <c r="H53" s="83" vm="8393">
        <v>1230</v>
      </c>
      <c r="I53" s="83" vm="1525">
        <v>0</v>
      </c>
      <c r="J53" s="83" vm="8561">
        <v>0</v>
      </c>
      <c r="K53" s="5">
        <f xml:space="preserve"> SUM( VfM_Metrics_2023_Consol_Source[[#This Row],[Tangible fixed assets: Housing properties at cost (Current period)]],VfM_Metrics_2023_Consol_Source[[#This Row],[Tangible fixed assets Housing properties at valuation (Current period)]] )</f>
        <v>78302</v>
      </c>
      <c r="L53" s="84" vm="1370">
        <v>78302</v>
      </c>
      <c r="M53" s="83" vm="1371">
        <v>0</v>
      </c>
      <c r="N53" s="7">
        <f xml:space="preserve"> IFERROR( VfM_Metrics_2023_Consol_Source[[#This Row],[Total social units developed or newly built units acquired in-year]] / VfM_Metrics_2023_Consol_Source[[#This Row],[Social housing units owned (period end)]], "n/a" )</f>
        <v>0</v>
      </c>
      <c r="O53" s="5">
        <f xml:space="preserve"> SUM( VfM_Metrics_2023_Consol_Source[[#This Row],[Total social units developed or newly built units acquired in-year (owned)]], VfM_Metrics_2023_Consol_Source[[#This Row],[Total social leasehold units developed or newly built units acquired in-year (owned)]] )</f>
        <v>0</v>
      </c>
      <c r="P53" s="84" vm="1372">
        <v>0</v>
      </c>
      <c r="Q53" s="83" vm="1373">
        <v>0</v>
      </c>
      <c r="R53" s="5">
        <f xml:space="preserve"> SUM( VfM_Metrics_2023_Consol_Source[[#This Row],[Total social housing units owned (Period end)]], VfM_Metrics_2023_Consol_Source[[#This Row],[Total social leasehold units owned (Period end)]] )</f>
        <v>1800</v>
      </c>
      <c r="S53" s="84" vm="1367">
        <v>1784</v>
      </c>
      <c r="T53" s="83" vm="1374">
        <v>16</v>
      </c>
      <c r="U53" s="86">
        <f xml:space="preserve"> IFERROR( VfM_Metrics_2023_Consol_Source[[#This Row],[Total non-social housing units developed or newly built units acquired (owned)]] / VfM_Metrics_2023_Consol_Source[[#This Row],[Total social and non-social housing units owned (Period end)]], "n/a" )</f>
        <v>0</v>
      </c>
      <c r="V5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53" s="83" vm="1375">
        <v>0</v>
      </c>
      <c r="X53" s="83" vm="8414">
        <v>0</v>
      </c>
      <c r="Y53" s="83" vm="1376">
        <v>0</v>
      </c>
      <c r="Z5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1800</v>
      </c>
      <c r="AA53" s="84" vm="1249">
        <v>1784</v>
      </c>
      <c r="AB53" s="83" vm="1725">
        <v>16</v>
      </c>
      <c r="AC53" s="83" vm="1377">
        <v>0</v>
      </c>
      <c r="AD53" s="83" vm="8366">
        <v>0</v>
      </c>
      <c r="AE53" s="7">
        <f xml:space="preserve"> IFERROR( VfM_Metrics_2023_Consol_Source[[#This Row],[Total Net Debt]] / VfM_Metrics_2023_Consol_Source[[#This Row],[Net Book Value of Housing Properties2]], "n/a" )</f>
        <v>0.12159331817833516</v>
      </c>
      <c r="AF5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9521</v>
      </c>
      <c r="AG53" s="84" vm="8541">
        <v>834</v>
      </c>
      <c r="AH53" s="83" vm="1378">
        <v>17507</v>
      </c>
      <c r="AI53" s="83" vm="1379">
        <v>8820</v>
      </c>
      <c r="AJ53" s="83" vm="1380">
        <v>0</v>
      </c>
      <c r="AK53" s="83" vm="1381">
        <v>0</v>
      </c>
      <c r="AL53" s="5">
        <f xml:space="preserve"> SUM( VfM_Metrics_2023_Consol_Source[[#This Row],[Tangible fixed assets: Housing properties at cost (Current period)2]], VfM_Metrics_2023_Consol_Source[[#This Row],[Tangible fixed assets Housing properties at valuation (Current period)2]] )</f>
        <v>78302</v>
      </c>
      <c r="AM53" s="84" vm="1370">
        <v>78302</v>
      </c>
      <c r="AN53" s="83" vm="1371">
        <v>0</v>
      </c>
      <c r="AO53" s="87">
        <f xml:space="preserve"> IFERROR( VfM_Metrics_2023_Consol_Source[[#This Row],[EBITDA MRI]] / VfM_Metrics_2023_Consol_Source[[#This Row],[Total interest]], "n/a" )</f>
        <v>2.5971615720524017</v>
      </c>
      <c r="AP5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2379</v>
      </c>
      <c r="AQ53" s="84" vm="1382">
        <v>2105</v>
      </c>
      <c r="AR53" s="84" vm="1383">
        <v>92</v>
      </c>
      <c r="AS53" s="84" vm="1918">
        <v>0</v>
      </c>
      <c r="AT53" s="84" vm="1385">
        <v>437</v>
      </c>
      <c r="AU53" s="84" vm="8526">
        <v>14</v>
      </c>
      <c r="AV53" s="84" vm="8471">
        <v>77</v>
      </c>
      <c r="AW53" s="84" vm="1386">
        <v>1230</v>
      </c>
      <c r="AX53" s="84" vm="1387">
        <v>1970</v>
      </c>
      <c r="AY53" s="3">
        <f xml:space="preserve"> - SUM( VfM_Metrics_2023_Consol_Source[[#This Row],[Interest capitalised]], VfM_Metrics_2023_Consol_Source[[#This Row],[Interest payable and financing costs]] )</f>
        <v>916</v>
      </c>
      <c r="AZ53" s="84" vm="1410">
        <v>0</v>
      </c>
      <c r="BA53" s="83" vm="1388">
        <v>-916</v>
      </c>
      <c r="BB53" s="8">
        <f xml:space="preserve"> IFERROR( ( VfM_Metrics_2023_Consol_Source[[#This Row],[Total Costs]] / VfM_Metrics_2023_Consol_Source[[#This Row],[Total units for costs]] ) * 1000, "n/a" )</f>
        <v>3316.192560175055</v>
      </c>
      <c r="BC5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6062</v>
      </c>
      <c r="BD53" s="84" vm="1389">
        <v>1035</v>
      </c>
      <c r="BE53" s="83" vm="8418">
        <v>518</v>
      </c>
      <c r="BF53" s="83" vm="1390">
        <v>3137</v>
      </c>
      <c r="BG53" s="83" vm="1391">
        <v>95</v>
      </c>
      <c r="BH53" s="83" vm="1392">
        <v>0</v>
      </c>
      <c r="BI53" s="83" vm="1393">
        <v>7</v>
      </c>
      <c r="BJ53" s="83" vm="8507">
        <v>1230</v>
      </c>
      <c r="BK53" s="83" vm="8467">
        <v>0</v>
      </c>
      <c r="BL53" s="83" vm="1719">
        <v>0</v>
      </c>
      <c r="BM53" s="83" vm="2232">
        <v>0</v>
      </c>
      <c r="BN53" s="83" vm="1338">
        <v>40</v>
      </c>
      <c r="BO53" s="83" vm="1394">
        <v>0</v>
      </c>
      <c r="BP53" s="5" vm="8403">
        <f xml:space="preserve"> VfM_Metrics_2023_Consol_Source[[#This Row],[Total social housing units owned and/or managed at period end]]</f>
        <v>1828</v>
      </c>
      <c r="BQ53" s="84" vm="8403">
        <v>1828</v>
      </c>
      <c r="BR53" s="7">
        <f xml:space="preserve"> IFERROR( VfM_Metrics_2023_Consol_Source[[#This Row],[SHL operating surplus / (deficit)]] / VfM_Metrics_2023_Consol_Source[[#This Row],[Turnover from social housing lettings]], "n/a" )</f>
        <v>0.2287087912087912</v>
      </c>
      <c r="BS53" s="5" vm="8596">
        <f xml:space="preserve"> VfM_Metrics_2023_Consol_Source[[#This Row],[Operating surplus/(deficit) (social housing lettings)]]</f>
        <v>1998</v>
      </c>
      <c r="BT53" s="84" vm="8596">
        <v>1998</v>
      </c>
      <c r="BU53" s="5" vm="1395">
        <f xml:space="preserve"> VfM_Metrics_2023_Consol_Source[[#This Row],[Turnover from social housing lettings]]</f>
        <v>8736</v>
      </c>
      <c r="BV53" s="84" vm="1395">
        <v>8736</v>
      </c>
      <c r="BW53" s="7">
        <f xml:space="preserve"> IFERROR( VfM_Metrics_2023_Consol_Source[[#This Row],[Net operating surplus]] / VfM_Metrics_2023_Consol_Source[[#This Row],[Overall turnover]], "n/a" )</f>
        <v>0.2289841883744739</v>
      </c>
      <c r="BX5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2013</v>
      </c>
      <c r="BY53" s="84" vm="1382">
        <v>2105</v>
      </c>
      <c r="BZ53" s="83" vm="8465">
        <v>92</v>
      </c>
      <c r="CA53" s="83" vm="1384">
        <v>0</v>
      </c>
      <c r="CB53" s="5" vm="1396">
        <f xml:space="preserve"> VfM_Metrics_2023_Consol_Source[[#This Row],[Turnover (overall)]]</f>
        <v>8791</v>
      </c>
      <c r="CC53" s="84" vm="1396">
        <v>8791</v>
      </c>
      <c r="CD53" s="7">
        <f xml:space="preserve"> IFERROR( VfM_Metrics_2023_Consol_Source[[#This Row],[Operating surplus including from JVs]] / VfM_Metrics_2023_Consol_Source[[#This Row],[Net assets]], "n/a" )</f>
        <v>2.4561853865720754E-2</v>
      </c>
      <c r="CE53" s="5">
        <f xml:space="preserve"> SUM( VfM_Metrics_2023_Consol_Source[[#This Row],[Operating surplus/(deficit) (overall)3]], VfM_Metrics_2023_Consol_Source[[#This Row],[Share of operating surplus/(deficit) in joint ventures or associates]] )</f>
        <v>2105</v>
      </c>
      <c r="CF53" s="84" vm="8391">
        <v>2105</v>
      </c>
      <c r="CG53" s="83" vm="1945">
        <v>0</v>
      </c>
      <c r="CH53" s="5" vm="1397">
        <f xml:space="preserve"> VfM_Metrics_2023_Consol_Source[[#This Row],[Total assets less current liabilities]]</f>
        <v>85702</v>
      </c>
      <c r="CI53" s="84" vm="1397">
        <v>85702</v>
      </c>
      <c r="CJ53" s="71" vm="1367">
        <f xml:space="preserve"> VfM_Metrics_2023_Consol_Source[[#This Row],[Total social housing units owned (Period end)]]</f>
        <v>1784</v>
      </c>
      <c r="CK53" s="103">
        <v>0</v>
      </c>
      <c r="CL53" s="6">
        <f xml:space="preserve"> -- ( VfM_Metrics_2023_Consol_Source[[#This Row],[% Supported housing (excl. HOP)]] &gt; 0.3 )</f>
        <v>0</v>
      </c>
      <c r="CM53" s="103">
        <v>3.5127478753541073E-2</v>
      </c>
      <c r="CN53" s="6">
        <f xml:space="preserve"> -- ( VfM_Metrics_2023_Consol_Source[[#This Row],[% Housing for older people]] &gt; 0.3 )</f>
        <v>0</v>
      </c>
      <c r="CO53" s="103">
        <f xml:space="preserve"> VfM_Metrics_2023_Consol_Source[[#This Row],[% Supported housing (excl. HOP)]] + VfM_Metrics_2023_Consol_Source[[#This Row],[% Housing for older people]]</f>
        <v>3.5127478753541073E-2</v>
      </c>
      <c r="CP53" s="6">
        <f xml:space="preserve"> -- ( VfM_Metrics_2023_Consol_Source[[#This Row],[SH specialist in RSH analysis]] + VfM_Metrics_2023_Consol_Source[[#This Row],[OP specialist in RSH analysis]] &gt; 0 )</f>
        <v>0</v>
      </c>
      <c r="CQ53" s="10">
        <f xml:space="preserve"> -- ( VfM_Metrics_2023_Consol_Source[[#This Row],[% SH and OP]] &gt; 0.3 )</f>
        <v>0</v>
      </c>
      <c r="CR53" s="104" t="s">
        <v>143</v>
      </c>
      <c r="CS53" s="124" t="s">
        <v>144</v>
      </c>
      <c r="CT53" s="105"/>
      <c r="CU5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53" s="85">
        <v>0</v>
      </c>
      <c r="CW53" s="85">
        <v>0</v>
      </c>
      <c r="CX53" s="85">
        <v>0</v>
      </c>
      <c r="CY53" s="85">
        <v>0</v>
      </c>
      <c r="CZ53" s="85">
        <v>0</v>
      </c>
      <c r="DA53" s="85">
        <v>0</v>
      </c>
      <c r="DB53" s="85">
        <v>1</v>
      </c>
      <c r="DC53" s="85">
        <v>0</v>
      </c>
      <c r="DD53" s="85">
        <v>0</v>
      </c>
      <c r="DE53" s="13">
        <v>0.90654753410084521</v>
      </c>
    </row>
    <row r="54" spans="1:109" x14ac:dyDescent="0.25">
      <c r="A54" s="4" t="s" vm="217">
        <v>232</v>
      </c>
      <c r="B54" s="2" t="s" vm="44">
        <v>233</v>
      </c>
      <c r="C54" s="72" vm="456">
        <v>45016</v>
      </c>
      <c r="D54" s="7">
        <f>IFERROR( VfM_Metrics_2023_Consol_Source[[#This Row],[Reinvestment Spend]] / VfM_Metrics_2023_Consol_Source[[#This Row],[Net Book Value of Housing Properties]], "n/a" )</f>
        <v>9.9308085033894308E-2</v>
      </c>
      <c r="E5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19821</v>
      </c>
      <c r="F54" s="83" vm="8598">
        <v>0</v>
      </c>
      <c r="G54" s="83" vm="8791">
        <v>16278</v>
      </c>
      <c r="H54" s="83" vm="8832">
        <v>3543</v>
      </c>
      <c r="I54" s="83" vm="8820">
        <v>0</v>
      </c>
      <c r="J54" s="83" vm="1201">
        <v>0</v>
      </c>
      <c r="K54" s="5">
        <f xml:space="preserve"> SUM( VfM_Metrics_2023_Consol_Source[[#This Row],[Tangible fixed assets: Housing properties at cost (Current period)]],VfM_Metrics_2023_Consol_Source[[#This Row],[Tangible fixed assets Housing properties at valuation (Current period)]] )</f>
        <v>199591</v>
      </c>
      <c r="L54" s="84" vm="8918">
        <v>199591</v>
      </c>
      <c r="M54" s="83">
        <v>0</v>
      </c>
      <c r="N54" s="7">
        <f xml:space="preserve"> IFERROR( VfM_Metrics_2023_Consol_Source[[#This Row],[Total social units developed or newly built units acquired in-year]] / VfM_Metrics_2023_Consol_Source[[#This Row],[Social housing units owned (period end)]], "n/a" )</f>
        <v>4.9325463743676225E-2</v>
      </c>
      <c r="O54" s="5">
        <f xml:space="preserve"> SUM( VfM_Metrics_2023_Consol_Source[[#This Row],[Total social units developed or newly built units acquired in-year (owned)]], VfM_Metrics_2023_Consol_Source[[#This Row],[Total social leasehold units developed or newly built units acquired in-year (owned)]] )</f>
        <v>117</v>
      </c>
      <c r="P54" s="84" vm="949">
        <v>117</v>
      </c>
      <c r="Q54" s="83">
        <v>0</v>
      </c>
      <c r="R54" s="5">
        <f xml:space="preserve"> SUM( VfM_Metrics_2023_Consol_Source[[#This Row],[Total social housing units owned (Period end)]], VfM_Metrics_2023_Consol_Source[[#This Row],[Total social leasehold units owned (Period end)]] )</f>
        <v>2372</v>
      </c>
      <c r="S54" s="84" vm="947">
        <v>2372</v>
      </c>
      <c r="T54" s="83" vm="991">
        <v>0</v>
      </c>
      <c r="U54" s="86">
        <f xml:space="preserve"> IFERROR( VfM_Metrics_2023_Consol_Source[[#This Row],[Total non-social housing units developed or newly built units acquired (owned)]] / VfM_Metrics_2023_Consol_Source[[#This Row],[Total social and non-social housing units owned (Period end)]], "n/a" )</f>
        <v>0</v>
      </c>
      <c r="V5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54" s="83">
        <v>0</v>
      </c>
      <c r="X54" s="83">
        <v>0</v>
      </c>
      <c r="Y54" s="83" vm="951">
        <v>0</v>
      </c>
      <c r="Z5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3920</v>
      </c>
      <c r="AA54" s="84" vm="1225">
        <v>2372</v>
      </c>
      <c r="AB54" s="83" vm="8819">
        <v>0</v>
      </c>
      <c r="AC54" s="83" vm="8872">
        <v>60</v>
      </c>
      <c r="AD54" s="83" vm="8916">
        <v>1488</v>
      </c>
      <c r="AE54" s="7">
        <f xml:space="preserve"> IFERROR( VfM_Metrics_2023_Consol_Source[[#This Row],[Total Net Debt]] / VfM_Metrics_2023_Consol_Source[[#This Row],[Net Book Value of Housing Properties2]], "n/a" )</f>
        <v>0.42171240186180742</v>
      </c>
      <c r="AF5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84170</v>
      </c>
      <c r="AG54" s="84" vm="952">
        <v>10000</v>
      </c>
      <c r="AH54" s="83" vm="8769">
        <v>83147</v>
      </c>
      <c r="AI54" s="83" vm="953">
        <v>8977</v>
      </c>
      <c r="AJ54" s="83" vm="1675">
        <v>0</v>
      </c>
      <c r="AK54" s="83">
        <v>0</v>
      </c>
      <c r="AL54" s="5">
        <f xml:space="preserve"> SUM( VfM_Metrics_2023_Consol_Source[[#This Row],[Tangible fixed assets: Housing properties at cost (Current period)2]], VfM_Metrics_2023_Consol_Source[[#This Row],[Tangible fixed assets Housing properties at valuation (Current period)2]] )</f>
        <v>199591</v>
      </c>
      <c r="AM54" s="84" vm="8868">
        <v>199591</v>
      </c>
      <c r="AN54" s="83">
        <v>0</v>
      </c>
      <c r="AO54" s="87">
        <f xml:space="preserve"> IFERROR( VfM_Metrics_2023_Consol_Source[[#This Row],[EBITDA MRI]] / VfM_Metrics_2023_Consol_Source[[#This Row],[Total interest]], "n/a" )</f>
        <v>1.0014371945961482</v>
      </c>
      <c r="AP5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3484</v>
      </c>
      <c r="AQ54" s="84" vm="954">
        <v>4180</v>
      </c>
      <c r="AR54" s="84" vm="955">
        <v>728</v>
      </c>
      <c r="AS54" s="84">
        <v>0</v>
      </c>
      <c r="AT54" s="84" vm="9022">
        <v>590</v>
      </c>
      <c r="AU54" s="84" vm="8592">
        <v>0</v>
      </c>
      <c r="AV54" s="84" vm="8663">
        <v>363</v>
      </c>
      <c r="AW54" s="84" vm="8752">
        <v>3543</v>
      </c>
      <c r="AX54" s="84" vm="957">
        <v>3802</v>
      </c>
      <c r="AY54" s="3">
        <f xml:space="preserve"> - SUM( VfM_Metrics_2023_Consol_Source[[#This Row],[Interest capitalised]], VfM_Metrics_2023_Consol_Source[[#This Row],[Interest payable and financing costs]] )</f>
        <v>3479</v>
      </c>
      <c r="AZ54" s="84" vm="958">
        <v>0</v>
      </c>
      <c r="BA54" s="83" vm="1022">
        <v>-3479</v>
      </c>
      <c r="BB54" s="8">
        <f xml:space="preserve"> IFERROR( ( VfM_Metrics_2023_Consol_Source[[#This Row],[Total Costs]] / VfM_Metrics_2023_Consol_Source[[#This Row],[Total units for costs]] ) * 1000, "n/a" )</f>
        <v>5840.6408094435074</v>
      </c>
      <c r="BC5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13854</v>
      </c>
      <c r="BD54" s="84" vm="755">
        <v>2128</v>
      </c>
      <c r="BE54" s="83" vm="959">
        <v>3442</v>
      </c>
      <c r="BF54" s="83" vm="8590">
        <v>3919</v>
      </c>
      <c r="BG54" s="83" vm="960">
        <v>410</v>
      </c>
      <c r="BH54" s="83" vm="8626">
        <v>412</v>
      </c>
      <c r="BI54" s="83" vm="8766">
        <v>0</v>
      </c>
      <c r="BJ54" s="83" vm="8788">
        <v>3543</v>
      </c>
      <c r="BK54" s="83" vm="8720">
        <v>0</v>
      </c>
      <c r="BL54" s="83" vm="7920">
        <v>0</v>
      </c>
      <c r="BM54" s="83" vm="8893">
        <v>0</v>
      </c>
      <c r="BN54" s="83" vm="8761">
        <v>0</v>
      </c>
      <c r="BO54" s="83" vm="8586">
        <v>0</v>
      </c>
      <c r="BP54" s="5" vm="8649">
        <f xml:space="preserve"> VfM_Metrics_2023_Consol_Source[[#This Row],[Total social housing units owned and/or managed at period end]]</f>
        <v>2372</v>
      </c>
      <c r="BQ54" s="84" vm="8649">
        <v>2372</v>
      </c>
      <c r="BR54" s="7">
        <f xml:space="preserve"> IFERROR( VfM_Metrics_2023_Consol_Source[[#This Row],[SHL operating surplus / (deficit)]] / VfM_Metrics_2023_Consol_Source[[#This Row],[Turnover from social housing lettings]], "n/a" )</f>
        <v>0.1869249119618312</v>
      </c>
      <c r="BS54" s="5" vm="8866">
        <f xml:space="preserve"> VfM_Metrics_2023_Consol_Source[[#This Row],[Operating surplus/(deficit) (social housing lettings)]]</f>
        <v>3291</v>
      </c>
      <c r="BT54" s="84" vm="8866">
        <v>3291</v>
      </c>
      <c r="BU54" s="5" vm="1115">
        <f xml:space="preserve"> VfM_Metrics_2023_Consol_Source[[#This Row],[Turnover from social housing lettings]]</f>
        <v>17606</v>
      </c>
      <c r="BV54" s="84" vm="1115">
        <v>17606</v>
      </c>
      <c r="BW54" s="7">
        <f xml:space="preserve"> IFERROR( VfM_Metrics_2023_Consol_Source[[#This Row],[Net operating surplus]] / VfM_Metrics_2023_Consol_Source[[#This Row],[Overall turnover]], "n/a" )</f>
        <v>0.14281577096520623</v>
      </c>
      <c r="BX5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3452</v>
      </c>
      <c r="BY54" s="84" vm="954">
        <v>4180</v>
      </c>
      <c r="BZ54" s="83" vm="8765">
        <v>728</v>
      </c>
      <c r="CA54" s="83">
        <v>0</v>
      </c>
      <c r="CB54" s="5" vm="962">
        <f xml:space="preserve"> VfM_Metrics_2023_Consol_Source[[#This Row],[Turnover (overall)]]</f>
        <v>24171</v>
      </c>
      <c r="CC54" s="84" vm="962">
        <v>24171</v>
      </c>
      <c r="CD54" s="7">
        <f xml:space="preserve"> IFERROR( VfM_Metrics_2023_Consol_Source[[#This Row],[Operating surplus including from JVs]] / VfM_Metrics_2023_Consol_Source[[#This Row],[Net assets]], "n/a" )</f>
        <v>1.8690418701150041E-2</v>
      </c>
      <c r="CE54" s="5">
        <f xml:space="preserve"> SUM( VfM_Metrics_2023_Consol_Source[[#This Row],[Operating surplus/(deficit) (overall)3]], VfM_Metrics_2023_Consol_Source[[#This Row],[Share of operating surplus/(deficit) in joint ventures or associates]] )</f>
        <v>4180</v>
      </c>
      <c r="CF54" s="84" vm="8731">
        <v>4180</v>
      </c>
      <c r="CG54" s="83">
        <v>0</v>
      </c>
      <c r="CH54" s="5" vm="963">
        <f xml:space="preserve"> VfM_Metrics_2023_Consol_Source[[#This Row],[Total assets less current liabilities]]</f>
        <v>223644</v>
      </c>
      <c r="CI54" s="84" vm="963">
        <v>223644</v>
      </c>
      <c r="CJ54" s="71" vm="947">
        <f xml:space="preserve"> VfM_Metrics_2023_Consol_Source[[#This Row],[Total social housing units owned (Period end)]]</f>
        <v>2372</v>
      </c>
      <c r="CK54" s="103">
        <v>0</v>
      </c>
      <c r="CL54" s="6">
        <f xml:space="preserve"> -- ( VfM_Metrics_2023_Consol_Source[[#This Row],[% Supported housing (excl. HOP)]] &gt; 0.3 )</f>
        <v>0</v>
      </c>
      <c r="CM54" s="103">
        <v>0</v>
      </c>
      <c r="CN54" s="6">
        <f xml:space="preserve"> -- ( VfM_Metrics_2023_Consol_Source[[#This Row],[% Housing for older people]] &gt; 0.3 )</f>
        <v>0</v>
      </c>
      <c r="CO54" s="103">
        <f xml:space="preserve"> VfM_Metrics_2023_Consol_Source[[#This Row],[% Supported housing (excl. HOP)]] + VfM_Metrics_2023_Consol_Source[[#This Row],[% Housing for older people]]</f>
        <v>0</v>
      </c>
      <c r="CP54" s="6">
        <f xml:space="preserve"> -- ( VfM_Metrics_2023_Consol_Source[[#This Row],[SH specialist in RSH analysis]] + VfM_Metrics_2023_Consol_Source[[#This Row],[OP specialist in RSH analysis]] &gt; 0 )</f>
        <v>0</v>
      </c>
      <c r="CQ54" s="10">
        <f xml:space="preserve"> -- ( VfM_Metrics_2023_Consol_Source[[#This Row],[% SH and OP]] &gt; 0.3 )</f>
        <v>0</v>
      </c>
      <c r="CR54" s="104" t="s">
        <v>143</v>
      </c>
      <c r="CS54" s="124"/>
      <c r="CT54" s="105" t="s">
        <v>151</v>
      </c>
      <c r="CU5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54" s="85">
        <v>1</v>
      </c>
      <c r="CW54" s="85">
        <v>0</v>
      </c>
      <c r="CX54" s="85">
        <v>0</v>
      </c>
      <c r="CY54" s="85">
        <v>0</v>
      </c>
      <c r="CZ54" s="85">
        <v>0</v>
      </c>
      <c r="DA54" s="85">
        <v>0</v>
      </c>
      <c r="DB54" s="85">
        <v>0</v>
      </c>
      <c r="DC54" s="85">
        <v>0</v>
      </c>
      <c r="DD54" s="85">
        <v>0</v>
      </c>
      <c r="DE54" s="13">
        <v>1.1603700449887588</v>
      </c>
    </row>
    <row r="55" spans="1:109" x14ac:dyDescent="0.25">
      <c r="A55" s="4" t="s" vm="303">
        <v>234</v>
      </c>
      <c r="B55" s="2" t="s" vm="45">
        <v>235</v>
      </c>
      <c r="C55" s="72" vm="449">
        <v>45016</v>
      </c>
      <c r="D55" s="7">
        <f>IFERROR( VfM_Metrics_2023_Consol_Source[[#This Row],[Reinvestment Spend]] / VfM_Metrics_2023_Consol_Source[[#This Row],[Net Book Value of Housing Properties]], "n/a" )</f>
        <v>0.1045004005813462</v>
      </c>
      <c r="E5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103827</v>
      </c>
      <c r="F55" s="83" vm="3456">
        <v>85600</v>
      </c>
      <c r="G55" s="83" vm="7451">
        <v>0</v>
      </c>
      <c r="H55" s="83" vm="3457">
        <v>14584</v>
      </c>
      <c r="I55" s="83" vm="3458">
        <v>3643</v>
      </c>
      <c r="J55" s="83" vm="3464">
        <v>0</v>
      </c>
      <c r="K55" s="5">
        <f xml:space="preserve"> SUM( VfM_Metrics_2023_Consol_Source[[#This Row],[Tangible fixed assets: Housing properties at cost (Current period)]],VfM_Metrics_2023_Consol_Source[[#This Row],[Tangible fixed assets Housing properties at valuation (Current period)]] )</f>
        <v>993556</v>
      </c>
      <c r="L55" s="84" vm="7735">
        <v>993556</v>
      </c>
      <c r="M55" s="83">
        <v>0</v>
      </c>
      <c r="N55" s="7">
        <f xml:space="preserve"> IFERROR( VfM_Metrics_2023_Consol_Source[[#This Row],[Total social units developed or newly built units acquired in-year]] / VfM_Metrics_2023_Consol_Source[[#This Row],[Social housing units owned (period end)]], "n/a" )</f>
        <v>2.4969057740946026E-2</v>
      </c>
      <c r="O55" s="5">
        <f xml:space="preserve"> SUM( VfM_Metrics_2023_Consol_Source[[#This Row],[Total social units developed or newly built units acquired in-year (owned)]], VfM_Metrics_2023_Consol_Source[[#This Row],[Total social leasehold units developed or newly built units acquired in-year (owned)]] )</f>
        <v>464</v>
      </c>
      <c r="P55" s="84" vm="7708">
        <v>464</v>
      </c>
      <c r="Q55" s="83">
        <v>0</v>
      </c>
      <c r="R55" s="5">
        <f xml:space="preserve"> SUM( VfM_Metrics_2023_Consol_Source[[#This Row],[Total social housing units owned (Period end)]], VfM_Metrics_2023_Consol_Source[[#This Row],[Total social leasehold units owned (Period end)]] )</f>
        <v>18583</v>
      </c>
      <c r="S55" s="84" vm="3455">
        <v>18583</v>
      </c>
      <c r="T55" s="83" vm="3460">
        <v>0</v>
      </c>
      <c r="U55" s="86">
        <f xml:space="preserve"> IFERROR( VfM_Metrics_2023_Consol_Source[[#This Row],[Total non-social housing units developed or newly built units acquired (owned)]] / VfM_Metrics_2023_Consol_Source[[#This Row],[Total social and non-social housing units owned (Period end)]], "n/a" )</f>
        <v>0</v>
      </c>
      <c r="V5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55" s="83">
        <v>0</v>
      </c>
      <c r="X55" s="83">
        <v>0</v>
      </c>
      <c r="Y55" s="83">
        <v>0</v>
      </c>
      <c r="Z5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19268</v>
      </c>
      <c r="AA55" s="84" vm="7675">
        <v>18583</v>
      </c>
      <c r="AB55" s="83" vm="3460">
        <v>0</v>
      </c>
      <c r="AC55" s="83" vm="3461">
        <v>51</v>
      </c>
      <c r="AD55" s="83" vm="7689">
        <v>634</v>
      </c>
      <c r="AE55" s="7">
        <f xml:space="preserve"> IFERROR( VfM_Metrics_2023_Consol_Source[[#This Row],[Total Net Debt]] / VfM_Metrics_2023_Consol_Source[[#This Row],[Net Book Value of Housing Properties2]], "n/a" )</f>
        <v>0.48962715740230045</v>
      </c>
      <c r="AF5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486472</v>
      </c>
      <c r="AG55" s="84" vm="3462">
        <v>20159</v>
      </c>
      <c r="AH55" s="83" vm="3463">
        <v>509413</v>
      </c>
      <c r="AI55" s="83" vm="3464">
        <v>43100</v>
      </c>
      <c r="AJ55" s="83" vm="1675">
        <v>0</v>
      </c>
      <c r="AK55" s="83">
        <v>0</v>
      </c>
      <c r="AL55" s="5">
        <f xml:space="preserve"> SUM( VfM_Metrics_2023_Consol_Source[[#This Row],[Tangible fixed assets: Housing properties at cost (Current period)2]], VfM_Metrics_2023_Consol_Source[[#This Row],[Tangible fixed assets Housing properties at valuation (Current period)2]] )</f>
        <v>993556</v>
      </c>
      <c r="AM55" s="84" vm="3459">
        <v>993556</v>
      </c>
      <c r="AN55" s="83">
        <v>0</v>
      </c>
      <c r="AO55" s="87">
        <f xml:space="preserve"> IFERROR( VfM_Metrics_2023_Consol_Source[[#This Row],[EBITDA MRI]] / VfM_Metrics_2023_Consol_Source[[#This Row],[Total interest]], "n/a" )</f>
        <v>1.0132630623712959</v>
      </c>
      <c r="AP5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29031</v>
      </c>
      <c r="AQ55" s="84" vm="3465">
        <v>31426</v>
      </c>
      <c r="AR55" s="84" vm="3466">
        <v>5203</v>
      </c>
      <c r="AS55" s="84">
        <v>0</v>
      </c>
      <c r="AT55" s="84" vm="3467">
        <v>2539</v>
      </c>
      <c r="AU55" s="84" vm="6207">
        <v>1</v>
      </c>
      <c r="AV55" s="84" vm="3468">
        <v>149</v>
      </c>
      <c r="AW55" s="84" vm="3469">
        <v>14584</v>
      </c>
      <c r="AX55" s="84" vm="3470">
        <v>19783</v>
      </c>
      <c r="AY55" s="3">
        <f xml:space="preserve"> - SUM( VfM_Metrics_2023_Consol_Source[[#This Row],[Interest capitalised]], VfM_Metrics_2023_Consol_Source[[#This Row],[Interest payable and financing costs]] )</f>
        <v>28651</v>
      </c>
      <c r="AZ55" s="84" vm="3471">
        <v>-3643</v>
      </c>
      <c r="BA55" s="83" vm="3472">
        <v>-25008</v>
      </c>
      <c r="BB55" s="8">
        <f xml:space="preserve"> IFERROR( ( VfM_Metrics_2023_Consol_Source[[#This Row],[Total Costs]] / VfM_Metrics_2023_Consol_Source[[#This Row],[Total units for costs]] ) * 1000, "n/a" )</f>
        <v>3595.7895794603828</v>
      </c>
      <c r="BC5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71567</v>
      </c>
      <c r="BD55" s="84" vm="7077">
        <v>23345</v>
      </c>
      <c r="BE55" s="83" vm="3473">
        <v>9960</v>
      </c>
      <c r="BF55" s="83" vm="3474">
        <v>19408</v>
      </c>
      <c r="BG55" s="83" vm="3475">
        <v>3339</v>
      </c>
      <c r="BH55" s="83" vm="3476">
        <v>17</v>
      </c>
      <c r="BI55" s="83" vm="3477">
        <v>0</v>
      </c>
      <c r="BJ55" s="83" vm="3469">
        <v>14584</v>
      </c>
      <c r="BK55" s="83" vm="7599">
        <v>13</v>
      </c>
      <c r="BL55" s="83">
        <v>0</v>
      </c>
      <c r="BM55" s="83">
        <v>0</v>
      </c>
      <c r="BN55" s="83" vm="3478">
        <v>328</v>
      </c>
      <c r="BO55" s="83" vm="3479">
        <v>573</v>
      </c>
      <c r="BP55" s="5" vm="7564">
        <f xml:space="preserve"> VfM_Metrics_2023_Consol_Source[[#This Row],[Total social housing units owned and/or managed at period end]]</f>
        <v>19903</v>
      </c>
      <c r="BQ55" s="84" vm="7564">
        <v>19903</v>
      </c>
      <c r="BR55" s="7">
        <f xml:space="preserve"> IFERROR( VfM_Metrics_2023_Consol_Source[[#This Row],[SHL operating surplus / (deficit)]] / VfM_Metrics_2023_Consol_Source[[#This Row],[Turnover from social housing lettings]], "n/a" )</f>
        <v>0.23014180726632855</v>
      </c>
      <c r="BS55" s="5" vm="6999">
        <f xml:space="preserve"> VfM_Metrics_2023_Consol_Source[[#This Row],[Operating surplus/(deficit) (social housing lettings)]]</f>
        <v>22234</v>
      </c>
      <c r="BT55" s="84" vm="6999">
        <v>22234</v>
      </c>
      <c r="BU55" s="5" vm="3509">
        <f xml:space="preserve"> VfM_Metrics_2023_Consol_Source[[#This Row],[Turnover from social housing lettings]]</f>
        <v>96610</v>
      </c>
      <c r="BV55" s="84" vm="3509">
        <v>96610</v>
      </c>
      <c r="BW55" s="7">
        <f xml:space="preserve"> IFERROR( VfM_Metrics_2023_Consol_Source[[#This Row],[Net operating surplus]] / VfM_Metrics_2023_Consol_Source[[#This Row],[Overall turnover]], "n/a" )</f>
        <v>0.20169211244856364</v>
      </c>
      <c r="BX5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26223</v>
      </c>
      <c r="BY55" s="84" vm="3465">
        <v>31426</v>
      </c>
      <c r="BZ55" s="83" vm="7547">
        <v>5203</v>
      </c>
      <c r="CA55" s="83">
        <v>0</v>
      </c>
      <c r="CB55" s="5" vm="6998">
        <f xml:space="preserve"> VfM_Metrics_2023_Consol_Source[[#This Row],[Turnover (overall)]]</f>
        <v>130015</v>
      </c>
      <c r="CC55" s="84" vm="6998">
        <v>130015</v>
      </c>
      <c r="CD55" s="7">
        <f xml:space="preserve"> IFERROR( VfM_Metrics_2023_Consol_Source[[#This Row],[Operating surplus including from JVs]] / VfM_Metrics_2023_Consol_Source[[#This Row],[Net assets]], "n/a" )</f>
        <v>3.0239027455297218E-2</v>
      </c>
      <c r="CE55" s="5">
        <f xml:space="preserve"> SUM( VfM_Metrics_2023_Consol_Source[[#This Row],[Operating surplus/(deficit) (overall)3]], VfM_Metrics_2023_Consol_Source[[#This Row],[Share of operating surplus/(deficit) in joint ventures or associates]] )</f>
        <v>31426</v>
      </c>
      <c r="CF55" s="84" vm="3465">
        <v>31426</v>
      </c>
      <c r="CG55" s="83">
        <v>0</v>
      </c>
      <c r="CH55" s="5" vm="3480">
        <f xml:space="preserve"> VfM_Metrics_2023_Consol_Source[[#This Row],[Total assets less current liabilities]]</f>
        <v>1039253</v>
      </c>
      <c r="CI55" s="84" vm="3480">
        <v>1039253</v>
      </c>
      <c r="CJ55" s="71" vm="3455">
        <f xml:space="preserve"> VfM_Metrics_2023_Consol_Source[[#This Row],[Total social housing units owned (Period end)]]</f>
        <v>18583</v>
      </c>
      <c r="CK55" s="103">
        <v>3.0181979582778518E-2</v>
      </c>
      <c r="CL55" s="6">
        <f xml:space="preserve"> -- ( VfM_Metrics_2023_Consol_Source[[#This Row],[% Supported housing (excl. HOP)]] &gt; 0.3 )</f>
        <v>0</v>
      </c>
      <c r="CM55" s="103">
        <v>0.19346426986240567</v>
      </c>
      <c r="CN55" s="6">
        <f xml:space="preserve"> -- ( VfM_Metrics_2023_Consol_Source[[#This Row],[% Housing for older people]] &gt; 0.3 )</f>
        <v>0</v>
      </c>
      <c r="CO55" s="103">
        <f xml:space="preserve"> VfM_Metrics_2023_Consol_Source[[#This Row],[% Supported housing (excl. HOP)]] + VfM_Metrics_2023_Consol_Source[[#This Row],[% Housing for older people]]</f>
        <v>0.22364624944518419</v>
      </c>
      <c r="CP55" s="6">
        <f xml:space="preserve"> -- ( VfM_Metrics_2023_Consol_Source[[#This Row],[SH specialist in RSH analysis]] + VfM_Metrics_2023_Consol_Source[[#This Row],[OP specialist in RSH analysis]] &gt; 0 )</f>
        <v>0</v>
      </c>
      <c r="CQ55" s="10">
        <f xml:space="preserve"> -- ( VfM_Metrics_2023_Consol_Source[[#This Row],[% SH and OP]] &gt; 0.3 )</f>
        <v>0</v>
      </c>
      <c r="CR55" s="104" t="s">
        <v>143</v>
      </c>
      <c r="CS55" s="124" t="s">
        <v>144</v>
      </c>
      <c r="CT55" s="105"/>
      <c r="CU5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Midlands</v>
      </c>
      <c r="CV55" s="85">
        <v>0</v>
      </c>
      <c r="CW55" s="85">
        <v>0</v>
      </c>
      <c r="CX55" s="85">
        <v>0</v>
      </c>
      <c r="CY55" s="85">
        <v>0.99757615821076406</v>
      </c>
      <c r="CZ55" s="85">
        <v>2.2585798490607615E-3</v>
      </c>
      <c r="DA55" s="85">
        <v>5.5087313391725883E-5</v>
      </c>
      <c r="DB55" s="85">
        <v>0</v>
      </c>
      <c r="DC55" s="85">
        <v>0</v>
      </c>
      <c r="DD55" s="85">
        <v>1.1017462678345177E-4</v>
      </c>
      <c r="DE55" s="13">
        <v>0.9423886131057333</v>
      </c>
    </row>
    <row r="56" spans="1:109" x14ac:dyDescent="0.25">
      <c r="A56" s="4" t="s" vm="290">
        <v>236</v>
      </c>
      <c r="B56" s="2" t="s" vm="46">
        <v>237</v>
      </c>
      <c r="C56" s="72" vm="517">
        <v>45016</v>
      </c>
      <c r="D56" s="7">
        <f>IFERROR( VfM_Metrics_2023_Consol_Source[[#This Row],[Reinvestment Spend]] / VfM_Metrics_2023_Consol_Source[[#This Row],[Net Book Value of Housing Properties]], "n/a" )</f>
        <v>9.1831239534511916E-2</v>
      </c>
      <c r="E5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65481</v>
      </c>
      <c r="F56" s="83" vm="3006">
        <v>3909</v>
      </c>
      <c r="G56" s="83" vm="3007">
        <v>52767</v>
      </c>
      <c r="H56" s="83" vm="7754">
        <v>7633</v>
      </c>
      <c r="I56" s="83" vm="7969">
        <v>1172</v>
      </c>
      <c r="J56" s="83" vm="3009">
        <v>0</v>
      </c>
      <c r="K56" s="5">
        <f xml:space="preserve"> SUM( VfM_Metrics_2023_Consol_Source[[#This Row],[Tangible fixed assets: Housing properties at cost (Current period)]],VfM_Metrics_2023_Consol_Source[[#This Row],[Tangible fixed assets Housing properties at valuation (Current period)]] )</f>
        <v>713058</v>
      </c>
      <c r="L56" s="84" vm="3010">
        <v>713058</v>
      </c>
      <c r="M56" s="83">
        <v>0</v>
      </c>
      <c r="N56" s="7">
        <f xml:space="preserve"> IFERROR( VfM_Metrics_2023_Consol_Source[[#This Row],[Total social units developed or newly built units acquired in-year]] / VfM_Metrics_2023_Consol_Source[[#This Row],[Social housing units owned (period end)]], "n/a" )</f>
        <v>2.4871420895064097E-2</v>
      </c>
      <c r="O56" s="5">
        <f xml:space="preserve"> SUM( VfM_Metrics_2023_Consol_Source[[#This Row],[Total social units developed or newly built units acquired in-year (owned)]], VfM_Metrics_2023_Consol_Source[[#This Row],[Total social leasehold units developed or newly built units acquired in-year (owned)]] )</f>
        <v>324</v>
      </c>
      <c r="P56" s="84" vm="3011">
        <v>324</v>
      </c>
      <c r="Q56" s="83">
        <v>0</v>
      </c>
      <c r="R56" s="5">
        <f xml:space="preserve"> SUM( VfM_Metrics_2023_Consol_Source[[#This Row],[Total social housing units owned (Period end)]], VfM_Metrics_2023_Consol_Source[[#This Row],[Total social leasehold units owned (Period end)]] )</f>
        <v>13027</v>
      </c>
      <c r="S56" s="84" vm="7753">
        <v>12450</v>
      </c>
      <c r="T56" s="83" vm="3012">
        <v>577</v>
      </c>
      <c r="U56" s="86">
        <f xml:space="preserve"> IFERROR( VfM_Metrics_2023_Consol_Source[[#This Row],[Total non-social housing units developed or newly built units acquired (owned)]] / VfM_Metrics_2023_Consol_Source[[#This Row],[Total social and non-social housing units owned (Period end)]], "n/a" )</f>
        <v>0</v>
      </c>
      <c r="V5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56" s="83">
        <v>0</v>
      </c>
      <c r="X56" s="83">
        <v>0</v>
      </c>
      <c r="Y56" s="83">
        <v>0</v>
      </c>
      <c r="Z5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13027</v>
      </c>
      <c r="AA56" s="84" vm="3004">
        <v>12450</v>
      </c>
      <c r="AB56" s="83" vm="7850">
        <v>577</v>
      </c>
      <c r="AC56" s="83" vm="2542">
        <v>0</v>
      </c>
      <c r="AD56" s="83" vm="3013">
        <v>0</v>
      </c>
      <c r="AE56" s="7">
        <f xml:space="preserve"> IFERROR( VfM_Metrics_2023_Consol_Source[[#This Row],[Total Net Debt]] / VfM_Metrics_2023_Consol_Source[[#This Row],[Net Book Value of Housing Properties2]], "n/a" )</f>
        <v>0.51110148122593113</v>
      </c>
      <c r="AF5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364445</v>
      </c>
      <c r="AG56" s="84" vm="3014">
        <v>42468</v>
      </c>
      <c r="AH56" s="83" vm="3015">
        <v>336944</v>
      </c>
      <c r="AI56" s="83" vm="3016">
        <v>14967</v>
      </c>
      <c r="AJ56" s="83" vm="1675">
        <v>0</v>
      </c>
      <c r="AK56" s="83">
        <v>0</v>
      </c>
      <c r="AL56" s="5">
        <f xml:space="preserve"> SUM( VfM_Metrics_2023_Consol_Source[[#This Row],[Tangible fixed assets: Housing properties at cost (Current period)2]], VfM_Metrics_2023_Consol_Source[[#This Row],[Tangible fixed assets Housing properties at valuation (Current period)2]] )</f>
        <v>713058</v>
      </c>
      <c r="AM56" s="84" vm="3010">
        <v>713058</v>
      </c>
      <c r="AN56" s="83">
        <v>0</v>
      </c>
      <c r="AO56" s="87">
        <f xml:space="preserve"> IFERROR( VfM_Metrics_2023_Consol_Source[[#This Row],[EBITDA MRI]] / VfM_Metrics_2023_Consol_Source[[#This Row],[Total interest]], "n/a" )</f>
        <v>1.6382811382811382</v>
      </c>
      <c r="AP5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22913</v>
      </c>
      <c r="AQ56" s="84" vm="7686">
        <v>19685</v>
      </c>
      <c r="AR56" s="84" vm="7771">
        <v>988</v>
      </c>
      <c r="AS56" s="84" vm="3019">
        <v>-5</v>
      </c>
      <c r="AT56" s="84" vm="3020">
        <v>981</v>
      </c>
      <c r="AU56" s="84" vm="3021">
        <v>0</v>
      </c>
      <c r="AV56" s="84" vm="3022">
        <v>749</v>
      </c>
      <c r="AW56" s="84" vm="3023">
        <v>7633</v>
      </c>
      <c r="AX56" s="84" vm="3024">
        <v>12076</v>
      </c>
      <c r="AY56" s="3">
        <f xml:space="preserve"> - SUM( VfM_Metrics_2023_Consol_Source[[#This Row],[Interest capitalised]], VfM_Metrics_2023_Consol_Source[[#This Row],[Interest payable and financing costs]] )</f>
        <v>13986</v>
      </c>
      <c r="AZ56" s="84" vm="3025">
        <v>-1175</v>
      </c>
      <c r="BA56" s="83" vm="3026">
        <v>-12811</v>
      </c>
      <c r="BB56" s="8">
        <f xml:space="preserve"> IFERROR( ( VfM_Metrics_2023_Consol_Source[[#This Row],[Total Costs]] / VfM_Metrics_2023_Consol_Source[[#This Row],[Total units for costs]] ) * 1000, "n/a" )</f>
        <v>4190.1204819277109</v>
      </c>
      <c r="BC5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52167</v>
      </c>
      <c r="BD56" s="84" vm="3027">
        <v>16547</v>
      </c>
      <c r="BE56" s="83" vm="3028">
        <v>3385</v>
      </c>
      <c r="BF56" s="83" vm="3029">
        <v>9701</v>
      </c>
      <c r="BG56" s="83" vm="3030">
        <v>5552</v>
      </c>
      <c r="BH56" s="83" vm="3031">
        <v>6591</v>
      </c>
      <c r="BI56" s="83" vm="3032">
        <v>0</v>
      </c>
      <c r="BJ56" s="83" vm="7770">
        <v>7633</v>
      </c>
      <c r="BK56" s="83" vm="7752">
        <v>639</v>
      </c>
      <c r="BL56" s="83" vm="3033">
        <v>520</v>
      </c>
      <c r="BM56" s="83">
        <v>0</v>
      </c>
      <c r="BN56" s="83" vm="7083">
        <v>1559</v>
      </c>
      <c r="BO56" s="83" vm="3034">
        <v>40</v>
      </c>
      <c r="BP56" s="5" vm="3005">
        <f xml:space="preserve"> VfM_Metrics_2023_Consol_Source[[#This Row],[Total social housing units owned and/or managed at period end]]</f>
        <v>12450</v>
      </c>
      <c r="BQ56" s="84" vm="3005">
        <v>12450</v>
      </c>
      <c r="BR56" s="7">
        <f xml:space="preserve"> IFERROR( VfM_Metrics_2023_Consol_Source[[#This Row],[SHL operating surplus / (deficit)]] / VfM_Metrics_2023_Consol_Source[[#This Row],[Turnover from social housing lettings]], "n/a" )</f>
        <v>0.24982547395797686</v>
      </c>
      <c r="BS56" s="5" vm="3035">
        <f xml:space="preserve"> VfM_Metrics_2023_Consol_Source[[#This Row],[Operating surplus/(deficit) (social housing lettings)]]</f>
        <v>18251</v>
      </c>
      <c r="BT56" s="84" vm="3035">
        <v>18251</v>
      </c>
      <c r="BU56" s="5" vm="3036">
        <f xml:space="preserve"> VfM_Metrics_2023_Consol_Source[[#This Row],[Turnover from social housing lettings]]</f>
        <v>73055</v>
      </c>
      <c r="BV56" s="84" vm="3036">
        <v>73055</v>
      </c>
      <c r="BW56" s="7">
        <f xml:space="preserve"> IFERROR( VfM_Metrics_2023_Consol_Source[[#This Row],[Net operating surplus]] / VfM_Metrics_2023_Consol_Source[[#This Row],[Overall turnover]], "n/a" )</f>
        <v>0.21538142620232173</v>
      </c>
      <c r="BX5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18702</v>
      </c>
      <c r="BY56" s="84" vm="3017">
        <v>19685</v>
      </c>
      <c r="BZ56" s="83" vm="3018">
        <v>988</v>
      </c>
      <c r="CA56" s="83" vm="3019">
        <v>-5</v>
      </c>
      <c r="CB56" s="5" vm="3037">
        <f xml:space="preserve"> VfM_Metrics_2023_Consol_Source[[#This Row],[Turnover (overall)]]</f>
        <v>86832</v>
      </c>
      <c r="CC56" s="84" vm="3037">
        <v>86832</v>
      </c>
      <c r="CD56" s="7">
        <f xml:space="preserve"> IFERROR( VfM_Metrics_2023_Consol_Source[[#This Row],[Operating surplus including from JVs]] / VfM_Metrics_2023_Consol_Source[[#This Row],[Net assets]], "n/a" )</f>
        <v>2.8494956747304668E-2</v>
      </c>
      <c r="CE56" s="5">
        <f xml:space="preserve"> SUM( VfM_Metrics_2023_Consol_Source[[#This Row],[Operating surplus/(deficit) (overall)3]], VfM_Metrics_2023_Consol_Source[[#This Row],[Share of operating surplus/(deficit) in joint ventures or associates]] )</f>
        <v>19685</v>
      </c>
      <c r="CF56" s="84" vm="2347">
        <v>19685</v>
      </c>
      <c r="CG56" s="83">
        <v>0</v>
      </c>
      <c r="CH56" s="5" vm="3038">
        <f xml:space="preserve"> VfM_Metrics_2023_Consol_Source[[#This Row],[Total assets less current liabilities]]</f>
        <v>690824</v>
      </c>
      <c r="CI56" s="84" vm="3038">
        <v>690824</v>
      </c>
      <c r="CJ56" s="71" vm="7753">
        <f xml:space="preserve"> VfM_Metrics_2023_Consol_Source[[#This Row],[Total social housing units owned (Period end)]]</f>
        <v>12450</v>
      </c>
      <c r="CK56" s="103">
        <v>1.2070641607258587E-2</v>
      </c>
      <c r="CL56" s="6">
        <f xml:space="preserve"> -- ( VfM_Metrics_2023_Consol_Source[[#This Row],[% Supported housing (excl. HOP)]] &gt; 0.3 )</f>
        <v>0</v>
      </c>
      <c r="CM56" s="103">
        <v>5.1604018146467923E-2</v>
      </c>
      <c r="CN56" s="6">
        <f xml:space="preserve"> -- ( VfM_Metrics_2023_Consol_Source[[#This Row],[% Housing for older people]] &gt; 0.3 )</f>
        <v>0</v>
      </c>
      <c r="CO56" s="103">
        <f xml:space="preserve"> VfM_Metrics_2023_Consol_Source[[#This Row],[% Supported housing (excl. HOP)]] + VfM_Metrics_2023_Consol_Source[[#This Row],[% Housing for older people]]</f>
        <v>6.3674659753726506E-2</v>
      </c>
      <c r="CP56" s="6">
        <f xml:space="preserve"> -- ( VfM_Metrics_2023_Consol_Source[[#This Row],[SH specialist in RSH analysis]] + VfM_Metrics_2023_Consol_Source[[#This Row],[OP specialist in RSH analysis]] &gt; 0 )</f>
        <v>0</v>
      </c>
      <c r="CQ56" s="10">
        <f xml:space="preserve"> -- ( VfM_Metrics_2023_Consol_Source[[#This Row],[% SH and OP]] &gt; 0.3 )</f>
        <v>0</v>
      </c>
      <c r="CR56" s="104" t="s">
        <v>143</v>
      </c>
      <c r="CS56" s="124"/>
      <c r="CT56" s="105" t="s">
        <v>151</v>
      </c>
      <c r="CU5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56" s="85">
        <v>0</v>
      </c>
      <c r="CW56" s="85">
        <v>0</v>
      </c>
      <c r="CX56" s="85">
        <v>0</v>
      </c>
      <c r="CY56" s="85">
        <v>0</v>
      </c>
      <c r="CZ56" s="85">
        <v>0</v>
      </c>
      <c r="DA56" s="85">
        <v>1</v>
      </c>
      <c r="DB56" s="85">
        <v>0</v>
      </c>
      <c r="DC56" s="85">
        <v>0</v>
      </c>
      <c r="DD56" s="85">
        <v>0</v>
      </c>
      <c r="DE56" s="13">
        <v>1.0113701298544711</v>
      </c>
    </row>
    <row r="57" spans="1:109" x14ac:dyDescent="0.25">
      <c r="A57" s="4" t="s" vm="231">
        <v>238</v>
      </c>
      <c r="B57" s="2" t="s" vm="47">
        <v>239</v>
      </c>
      <c r="C57" s="72" vm="431">
        <v>45016</v>
      </c>
      <c r="D57" s="7">
        <f>IFERROR( VfM_Metrics_2023_Consol_Source[[#This Row],[Reinvestment Spend]] / VfM_Metrics_2023_Consol_Source[[#This Row],[Net Book Value of Housing Properties]], "n/a" )</f>
        <v>2.5498366399924238E-2</v>
      </c>
      <c r="E5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2154</v>
      </c>
      <c r="F57" s="83" vm="8477">
        <v>0</v>
      </c>
      <c r="G57" s="83" vm="1268">
        <v>0</v>
      </c>
      <c r="H57" s="83" vm="896">
        <v>2045</v>
      </c>
      <c r="I57" s="83" vm="1242">
        <v>109</v>
      </c>
      <c r="J57" s="83" vm="1269">
        <v>0</v>
      </c>
      <c r="K57" s="5">
        <f xml:space="preserve"> SUM( VfM_Metrics_2023_Consol_Source[[#This Row],[Tangible fixed assets: Housing properties at cost (Current period)]],VfM_Metrics_2023_Consol_Source[[#This Row],[Tangible fixed assets Housing properties at valuation (Current period)]] )</f>
        <v>84476</v>
      </c>
      <c r="L57" s="84">
        <v>0</v>
      </c>
      <c r="M57" s="83" vm="1270">
        <v>84476</v>
      </c>
      <c r="N57" s="7">
        <f xml:space="preserve"> IFERROR( VfM_Metrics_2023_Consol_Source[[#This Row],[Total social units developed or newly built units acquired in-year]] / VfM_Metrics_2023_Consol_Source[[#This Row],[Social housing units owned (period end)]], "n/a" )</f>
        <v>0</v>
      </c>
      <c r="O57" s="5">
        <f xml:space="preserve"> SUM( VfM_Metrics_2023_Consol_Source[[#This Row],[Total social units developed or newly built units acquired in-year (owned)]], VfM_Metrics_2023_Consol_Source[[#This Row],[Total social leasehold units developed or newly built units acquired in-year (owned)]] )</f>
        <v>0</v>
      </c>
      <c r="P57" s="84" vm="1271">
        <v>0</v>
      </c>
      <c r="Q57" s="83">
        <v>0</v>
      </c>
      <c r="R57" s="5">
        <f xml:space="preserve"> SUM( VfM_Metrics_2023_Consol_Source[[#This Row],[Total social housing units owned (Period end)]], VfM_Metrics_2023_Consol_Source[[#This Row],[Total social leasehold units owned (Period end)]] )</f>
        <v>1823</v>
      </c>
      <c r="S57" s="84" vm="1266">
        <v>1823</v>
      </c>
      <c r="T57" s="83" vm="8455">
        <v>0</v>
      </c>
      <c r="U57" s="86">
        <f xml:space="preserve"> IFERROR( VfM_Metrics_2023_Consol_Source[[#This Row],[Total non-social housing units developed or newly built units acquired (owned)]] / VfM_Metrics_2023_Consol_Source[[#This Row],[Total social and non-social housing units owned (Period end)]], "n/a" )</f>
        <v>0</v>
      </c>
      <c r="V5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57" s="83">
        <v>0</v>
      </c>
      <c r="X57" s="83">
        <v>0</v>
      </c>
      <c r="Y57" s="83">
        <v>0</v>
      </c>
      <c r="Z5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1832</v>
      </c>
      <c r="AA57" s="84" vm="8336">
        <v>1823</v>
      </c>
      <c r="AB57" s="83" vm="8452">
        <v>0</v>
      </c>
      <c r="AC57" s="83" vm="8164">
        <v>9</v>
      </c>
      <c r="AD57" s="83" vm="7905">
        <v>0</v>
      </c>
      <c r="AE57" s="7">
        <f xml:space="preserve"> IFERROR( VfM_Metrics_2023_Consol_Source[[#This Row],[Total Net Debt]] / VfM_Metrics_2023_Consol_Source[[#This Row],[Net Book Value of Housing Properties2]], "n/a" )</f>
        <v>0.4495004498319049</v>
      </c>
      <c r="AF5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37972</v>
      </c>
      <c r="AG57" s="84" vm="1252">
        <v>1152</v>
      </c>
      <c r="AH57" s="83" vm="1273">
        <v>39798</v>
      </c>
      <c r="AI57" s="83" vm="1274">
        <v>2978</v>
      </c>
      <c r="AJ57" s="83" vm="1675">
        <v>0</v>
      </c>
      <c r="AK57" s="83">
        <v>0</v>
      </c>
      <c r="AL57" s="5">
        <f xml:space="preserve"> SUM( VfM_Metrics_2023_Consol_Source[[#This Row],[Tangible fixed assets: Housing properties at cost (Current period)2]], VfM_Metrics_2023_Consol_Source[[#This Row],[Tangible fixed assets Housing properties at valuation (Current period)2]] )</f>
        <v>84476</v>
      </c>
      <c r="AM57" s="84">
        <v>0</v>
      </c>
      <c r="AN57" s="83" vm="8483">
        <v>84476</v>
      </c>
      <c r="AO57" s="87">
        <f xml:space="preserve"> IFERROR( VfM_Metrics_2023_Consol_Source[[#This Row],[EBITDA MRI]] / VfM_Metrics_2023_Consol_Source[[#This Row],[Total interest]], "n/a" )</f>
        <v>1.2853817504655494</v>
      </c>
      <c r="AP5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2761</v>
      </c>
      <c r="AQ57" s="84" vm="8185">
        <v>3693</v>
      </c>
      <c r="AR57" s="84" vm="1277">
        <v>317</v>
      </c>
      <c r="AS57" s="84">
        <v>0</v>
      </c>
      <c r="AT57" s="84" vm="8642">
        <v>0</v>
      </c>
      <c r="AU57" s="84" vm="1486">
        <v>261</v>
      </c>
      <c r="AV57" s="84" vm="8544">
        <v>141</v>
      </c>
      <c r="AW57" s="84" vm="1279">
        <v>2045</v>
      </c>
      <c r="AX57" s="84" vm="1332">
        <v>1550</v>
      </c>
      <c r="AY57" s="3">
        <f xml:space="preserve"> - SUM( VfM_Metrics_2023_Consol_Source[[#This Row],[Interest capitalised]], VfM_Metrics_2023_Consol_Source[[#This Row],[Interest payable and financing costs]] )</f>
        <v>2148</v>
      </c>
      <c r="AZ57" s="84" vm="8429">
        <v>-109</v>
      </c>
      <c r="BA57" s="83" vm="1280">
        <v>-2039</v>
      </c>
      <c r="BB57" s="8">
        <f xml:space="preserve"> IFERROR( ( VfM_Metrics_2023_Consol_Source[[#This Row],[Total Costs]] / VfM_Metrics_2023_Consol_Source[[#This Row],[Total units for costs]] ) * 1000, "n/a" )</f>
        <v>3822.3452440865631</v>
      </c>
      <c r="BC5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7595</v>
      </c>
      <c r="BD57" s="84" vm="8543">
        <v>2554</v>
      </c>
      <c r="BE57" s="83" vm="8444">
        <v>644</v>
      </c>
      <c r="BF57" s="83" vm="8399">
        <v>1386</v>
      </c>
      <c r="BG57" s="83" vm="1412">
        <v>573</v>
      </c>
      <c r="BH57" s="83" vm="1282">
        <v>0</v>
      </c>
      <c r="BI57" s="83" vm="1254">
        <v>0</v>
      </c>
      <c r="BJ57" s="83" vm="1279">
        <v>2045</v>
      </c>
      <c r="BK57" s="83" vm="8182">
        <v>79</v>
      </c>
      <c r="BL57" s="83">
        <v>0</v>
      </c>
      <c r="BM57" s="83">
        <v>0</v>
      </c>
      <c r="BN57" s="83" vm="8427">
        <v>150</v>
      </c>
      <c r="BO57" s="83" vm="8554">
        <v>164</v>
      </c>
      <c r="BP57" s="5" vm="8622">
        <f xml:space="preserve"> VfM_Metrics_2023_Consol_Source[[#This Row],[Total social housing units owned and/or managed at period end]]</f>
        <v>1987</v>
      </c>
      <c r="BQ57" s="84" vm="8622">
        <v>1987</v>
      </c>
      <c r="BR57" s="7">
        <f xml:space="preserve"> IFERROR( VfM_Metrics_2023_Consol_Source[[#This Row],[SHL operating surplus / (deficit)]] / VfM_Metrics_2023_Consol_Source[[#This Row],[Turnover from social housing lettings]], "n/a" )</f>
        <v>0.32979356887653832</v>
      </c>
      <c r="BS57" s="5" vm="1283">
        <f xml:space="preserve"> VfM_Metrics_2023_Consol_Source[[#This Row],[Operating surplus/(deficit) (social housing lettings)]]</f>
        <v>3323</v>
      </c>
      <c r="BT57" s="84" vm="1283">
        <v>3323</v>
      </c>
      <c r="BU57" s="5" vm="2825">
        <f xml:space="preserve"> VfM_Metrics_2023_Consol_Source[[#This Row],[Turnover from social housing lettings]]</f>
        <v>10076</v>
      </c>
      <c r="BV57" s="84" vm="2825">
        <v>10076</v>
      </c>
      <c r="BW57" s="7">
        <f xml:space="preserve"> IFERROR( VfM_Metrics_2023_Consol_Source[[#This Row],[Net operating surplus]] / VfM_Metrics_2023_Consol_Source[[#This Row],[Overall turnover]], "n/a" )</f>
        <v>0.30226519831676962</v>
      </c>
      <c r="BX5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3376</v>
      </c>
      <c r="BY57" s="84" vm="1226">
        <v>3693</v>
      </c>
      <c r="BZ57" s="83" vm="8668">
        <v>317</v>
      </c>
      <c r="CA57" s="83">
        <v>0</v>
      </c>
      <c r="CB57" s="5" vm="8511">
        <f xml:space="preserve"> VfM_Metrics_2023_Consol_Source[[#This Row],[Turnover (overall)]]</f>
        <v>11169</v>
      </c>
      <c r="CC57" s="84" vm="8511">
        <v>11169</v>
      </c>
      <c r="CD57" s="7">
        <f xml:space="preserve"> IFERROR( VfM_Metrics_2023_Consol_Source[[#This Row],[Operating surplus including from JVs]] / VfM_Metrics_2023_Consol_Source[[#This Row],[Net assets]], "n/a" )</f>
        <v>4.0944166038405248E-2</v>
      </c>
      <c r="CE57" s="5">
        <f xml:space="preserve"> SUM( VfM_Metrics_2023_Consol_Source[[#This Row],[Operating surplus/(deficit) (overall)3]], VfM_Metrics_2023_Consol_Source[[#This Row],[Share of operating surplus/(deficit) in joint ventures or associates]] )</f>
        <v>3693</v>
      </c>
      <c r="CF57" s="84" vm="8179">
        <v>3693</v>
      </c>
      <c r="CG57" s="83">
        <v>0</v>
      </c>
      <c r="CH57" s="5" vm="1341">
        <f xml:space="preserve"> VfM_Metrics_2023_Consol_Source[[#This Row],[Total assets less current liabilities]]</f>
        <v>90196</v>
      </c>
      <c r="CI57" s="84" vm="1341">
        <v>90196</v>
      </c>
      <c r="CJ57" s="71" vm="1266">
        <f xml:space="preserve"> VfM_Metrics_2023_Consol_Source[[#This Row],[Total social housing units owned (Period end)]]</f>
        <v>1823</v>
      </c>
      <c r="CK57" s="103">
        <v>4.4628099173553717E-2</v>
      </c>
      <c r="CL57" s="6">
        <f xml:space="preserve"> -- ( VfM_Metrics_2023_Consol_Source[[#This Row],[% Supported housing (excl. HOP)]] &gt; 0.3 )</f>
        <v>0</v>
      </c>
      <c r="CM57" s="103">
        <v>3.7465564738292011E-2</v>
      </c>
      <c r="CN57" s="6">
        <f xml:space="preserve"> -- ( VfM_Metrics_2023_Consol_Source[[#This Row],[% Housing for older people]] &gt; 0.3 )</f>
        <v>0</v>
      </c>
      <c r="CO57" s="103">
        <f xml:space="preserve"> VfM_Metrics_2023_Consol_Source[[#This Row],[% Supported housing (excl. HOP)]] + VfM_Metrics_2023_Consol_Source[[#This Row],[% Housing for older people]]</f>
        <v>8.2093663911845721E-2</v>
      </c>
      <c r="CP57" s="6">
        <f xml:space="preserve"> -- ( VfM_Metrics_2023_Consol_Source[[#This Row],[SH specialist in RSH analysis]] + VfM_Metrics_2023_Consol_Source[[#This Row],[OP specialist in RSH analysis]] &gt; 0 )</f>
        <v>0</v>
      </c>
      <c r="CQ57" s="10">
        <f xml:space="preserve"> -- ( VfM_Metrics_2023_Consol_Source[[#This Row],[% SH and OP]] &gt; 0.3 )</f>
        <v>0</v>
      </c>
      <c r="CR57" s="104" t="s">
        <v>143</v>
      </c>
      <c r="CS57" s="124"/>
      <c r="CT57" s="105" t="s">
        <v>151</v>
      </c>
      <c r="CU5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57" s="85">
        <v>0</v>
      </c>
      <c r="CW57" s="85">
        <v>0</v>
      </c>
      <c r="CX57" s="85">
        <v>0</v>
      </c>
      <c r="CY57" s="85">
        <v>0</v>
      </c>
      <c r="CZ57" s="85">
        <v>0</v>
      </c>
      <c r="DA57" s="85">
        <v>0</v>
      </c>
      <c r="DB57" s="85">
        <v>0</v>
      </c>
      <c r="DC57" s="85">
        <v>1</v>
      </c>
      <c r="DD57" s="85">
        <v>0</v>
      </c>
      <c r="DE57" s="13">
        <v>0.96105917141044694</v>
      </c>
    </row>
    <row r="58" spans="1:109" x14ac:dyDescent="0.25">
      <c r="A58" s="4" t="s" vm="237">
        <v>240</v>
      </c>
      <c r="B58" s="2" t="s" vm="48">
        <v>241</v>
      </c>
      <c r="C58" s="72" vm="430">
        <v>45016</v>
      </c>
      <c r="D58" s="7">
        <f>IFERROR( VfM_Metrics_2023_Consol_Source[[#This Row],[Reinvestment Spend]] / VfM_Metrics_2023_Consol_Source[[#This Row],[Net Book Value of Housing Properties]], "n/a" )</f>
        <v>1.2840644815043035E-2</v>
      </c>
      <c r="E5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646</v>
      </c>
      <c r="F58" s="83" vm="8400">
        <v>0</v>
      </c>
      <c r="G58" s="83" vm="1344">
        <v>0</v>
      </c>
      <c r="H58" s="83" vm="1399">
        <v>646</v>
      </c>
      <c r="I58" s="83" vm="1229">
        <v>0</v>
      </c>
      <c r="J58" s="83" vm="1553">
        <v>0</v>
      </c>
      <c r="K58" s="5">
        <f xml:space="preserve"> SUM( VfM_Metrics_2023_Consol_Source[[#This Row],[Tangible fixed assets: Housing properties at cost (Current period)]],VfM_Metrics_2023_Consol_Source[[#This Row],[Tangible fixed assets Housing properties at valuation (Current period)]] )</f>
        <v>50309</v>
      </c>
      <c r="L58" s="84" vm="8318">
        <v>50309</v>
      </c>
      <c r="M58" s="83" vm="8380">
        <v>0</v>
      </c>
      <c r="N58" s="7">
        <f xml:space="preserve"> IFERROR( VfM_Metrics_2023_Consol_Source[[#This Row],[Total social units developed or newly built units acquired in-year]] / VfM_Metrics_2023_Consol_Source[[#This Row],[Social housing units owned (period end)]], "n/a" )</f>
        <v>0</v>
      </c>
      <c r="O58" s="5">
        <f xml:space="preserve"> SUM( VfM_Metrics_2023_Consol_Source[[#This Row],[Total social units developed or newly built units acquired in-year (owned)]], VfM_Metrics_2023_Consol_Source[[#This Row],[Total social leasehold units developed or newly built units acquired in-year (owned)]] )</f>
        <v>0</v>
      </c>
      <c r="P58" s="84" vm="8454">
        <v>0</v>
      </c>
      <c r="Q58" s="83" vm="1187">
        <v>0</v>
      </c>
      <c r="R58" s="5">
        <f xml:space="preserve"> SUM( VfM_Metrics_2023_Consol_Source[[#This Row],[Total social housing units owned (Period end)]], VfM_Metrics_2023_Consol_Source[[#This Row],[Total social leasehold units owned (Period end)]] )</f>
        <v>1387</v>
      </c>
      <c r="S58" s="84" vm="8435">
        <v>1387</v>
      </c>
      <c r="T58" s="83" vm="8457">
        <v>0</v>
      </c>
      <c r="U58" s="86">
        <f xml:space="preserve"> IFERROR( VfM_Metrics_2023_Consol_Source[[#This Row],[Total non-social housing units developed or newly built units acquired (owned)]] / VfM_Metrics_2023_Consol_Source[[#This Row],[Total social and non-social housing units owned (Period end)]], "n/a" )</f>
        <v>0</v>
      </c>
      <c r="V5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58" s="83" vm="8398">
        <v>0</v>
      </c>
      <c r="X58" s="83" vm="1611">
        <v>0</v>
      </c>
      <c r="Y58" s="83" vm="8392">
        <v>0</v>
      </c>
      <c r="Z5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1407</v>
      </c>
      <c r="AA58" s="84" vm="1398">
        <v>1387</v>
      </c>
      <c r="AB58" s="83" vm="8269">
        <v>0</v>
      </c>
      <c r="AC58" s="83" vm="1401">
        <v>20</v>
      </c>
      <c r="AD58" s="83" vm="1259">
        <v>0</v>
      </c>
      <c r="AE58" s="7">
        <f xml:space="preserve"> IFERROR( VfM_Metrics_2023_Consol_Source[[#This Row],[Total Net Debt]] / VfM_Metrics_2023_Consol_Source[[#This Row],[Net Book Value of Housing Properties2]], "n/a" )</f>
        <v>0.2792939633067642</v>
      </c>
      <c r="AF5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14051</v>
      </c>
      <c r="AG58" s="84" vm="1305">
        <v>469</v>
      </c>
      <c r="AH58" s="83" vm="1253">
        <v>17280</v>
      </c>
      <c r="AI58" s="83" vm="8268">
        <v>3698</v>
      </c>
      <c r="AJ58" s="83" vm="1403">
        <v>0</v>
      </c>
      <c r="AK58" s="83" vm="1404">
        <v>0</v>
      </c>
      <c r="AL58" s="5">
        <f xml:space="preserve"> SUM( VfM_Metrics_2023_Consol_Source[[#This Row],[Tangible fixed assets: Housing properties at cost (Current period)2]], VfM_Metrics_2023_Consol_Source[[#This Row],[Tangible fixed assets Housing properties at valuation (Current period)2]] )</f>
        <v>50309</v>
      </c>
      <c r="AM58" s="84" vm="8116">
        <v>50309</v>
      </c>
      <c r="AN58" s="83" vm="1354">
        <v>0</v>
      </c>
      <c r="AO58" s="87">
        <f xml:space="preserve"> IFERROR( VfM_Metrics_2023_Consol_Source[[#This Row],[EBITDA MRI]] / VfM_Metrics_2023_Consol_Source[[#This Row],[Total interest]], "n/a" )</f>
        <v>1.927063339731286</v>
      </c>
      <c r="AP5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1004</v>
      </c>
      <c r="AQ58" s="84" vm="8449">
        <v>806</v>
      </c>
      <c r="AR58" s="84" vm="1406">
        <v>149</v>
      </c>
      <c r="AS58" s="84" vm="1407">
        <v>0</v>
      </c>
      <c r="AT58" s="84" vm="1071">
        <v>69</v>
      </c>
      <c r="AU58" s="84" vm="1358">
        <v>0</v>
      </c>
      <c r="AV58" s="84" vm="1408">
        <v>0</v>
      </c>
      <c r="AW58" s="84" vm="1409">
        <v>671</v>
      </c>
      <c r="AX58" s="84" vm="1257">
        <v>1087</v>
      </c>
      <c r="AY58" s="3">
        <f xml:space="preserve"> - SUM( VfM_Metrics_2023_Consol_Source[[#This Row],[Interest capitalised]], VfM_Metrics_2023_Consol_Source[[#This Row],[Interest payable and financing costs]] )</f>
        <v>521</v>
      </c>
      <c r="AZ58" s="84" vm="8433">
        <v>0</v>
      </c>
      <c r="BA58" s="83" vm="8439">
        <v>-521</v>
      </c>
      <c r="BB58" s="8">
        <f xml:space="preserve"> IFERROR( ( VfM_Metrics_2023_Consol_Source[[#This Row],[Total Costs]] / VfM_Metrics_2023_Consol_Source[[#This Row],[Total units for costs]] ) * 1000, "n/a" )</f>
        <v>3271.8096611391493</v>
      </c>
      <c r="BC5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4538</v>
      </c>
      <c r="BD58" s="84" vm="1411">
        <v>2462</v>
      </c>
      <c r="BE58" s="83" vm="8386">
        <v>170</v>
      </c>
      <c r="BF58" s="83" vm="8265">
        <v>993</v>
      </c>
      <c r="BG58" s="83" vm="1412">
        <v>0</v>
      </c>
      <c r="BH58" s="83" vm="8428">
        <v>242</v>
      </c>
      <c r="BI58" s="83" vm="8432">
        <v>0</v>
      </c>
      <c r="BJ58" s="83" vm="8407">
        <v>671</v>
      </c>
      <c r="BK58" s="83" vm="8337">
        <v>0</v>
      </c>
      <c r="BL58" s="83" vm="1414">
        <v>0</v>
      </c>
      <c r="BM58" s="83" vm="1453">
        <v>0</v>
      </c>
      <c r="BN58" s="83" vm="8375">
        <v>0</v>
      </c>
      <c r="BO58" s="83" vm="2233">
        <v>0</v>
      </c>
      <c r="BP58" s="5" vm="1368">
        <f xml:space="preserve"> VfM_Metrics_2023_Consol_Source[[#This Row],[Total social housing units owned and/or managed at period end]]</f>
        <v>1387</v>
      </c>
      <c r="BQ58" s="84" vm="1368">
        <v>1387</v>
      </c>
      <c r="BR58" s="7">
        <f xml:space="preserve"> IFERROR( VfM_Metrics_2023_Consol_Source[[#This Row],[SHL operating surplus / (deficit)]] / VfM_Metrics_2023_Consol_Source[[#This Row],[Turnover from social housing lettings]], "n/a" )</f>
        <v>0.11497466363795213</v>
      </c>
      <c r="BS58" s="5" vm="1415">
        <f xml:space="preserve"> VfM_Metrics_2023_Consol_Source[[#This Row],[Operating surplus/(deficit) (social housing lettings)]]</f>
        <v>658</v>
      </c>
      <c r="BT58" s="84" vm="1415">
        <v>658</v>
      </c>
      <c r="BU58" s="5" vm="1416">
        <f xml:space="preserve"> VfM_Metrics_2023_Consol_Source[[#This Row],[Turnover from social housing lettings]]</f>
        <v>5723</v>
      </c>
      <c r="BV58" s="84" vm="1416">
        <v>5723</v>
      </c>
      <c r="BW58" s="7">
        <f xml:space="preserve"> IFERROR( VfM_Metrics_2023_Consol_Source[[#This Row],[Net operating surplus]] / VfM_Metrics_2023_Consol_Source[[#This Row],[Overall turnover]], "n/a" )</f>
        <v>0.11481999300943727</v>
      </c>
      <c r="BX5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657</v>
      </c>
      <c r="BY58" s="84" vm="8063">
        <v>806</v>
      </c>
      <c r="BZ58" s="83" vm="1406">
        <v>149</v>
      </c>
      <c r="CA58" s="83" vm="1407">
        <v>0</v>
      </c>
      <c r="CB58" s="5" vm="1832">
        <f xml:space="preserve"> VfM_Metrics_2023_Consol_Source[[#This Row],[Turnover (overall)]]</f>
        <v>5722</v>
      </c>
      <c r="CC58" s="84" vm="1832">
        <v>5722</v>
      </c>
      <c r="CD58" s="7">
        <f xml:space="preserve"> IFERROR( VfM_Metrics_2023_Consol_Source[[#This Row],[Operating surplus including from JVs]] / VfM_Metrics_2023_Consol_Source[[#This Row],[Net assets]], "n/a" )</f>
        <v>1.5216734632230781E-2</v>
      </c>
      <c r="CE58" s="5">
        <f xml:space="preserve"> SUM( VfM_Metrics_2023_Consol_Source[[#This Row],[Operating surplus/(deficit) (overall)3]], VfM_Metrics_2023_Consol_Source[[#This Row],[Share of operating surplus/(deficit) in joint ventures or associates]] )</f>
        <v>806</v>
      </c>
      <c r="CF58" s="84" vm="1291">
        <v>806</v>
      </c>
      <c r="CG58" s="83" vm="1418">
        <v>0</v>
      </c>
      <c r="CH58" s="5" vm="1417">
        <f xml:space="preserve"> VfM_Metrics_2023_Consol_Source[[#This Row],[Total assets less current liabilities]]</f>
        <v>52968</v>
      </c>
      <c r="CI58" s="84" vm="1417">
        <v>52968</v>
      </c>
      <c r="CJ58" s="71" vm="8435">
        <f xml:space="preserve"> VfM_Metrics_2023_Consol_Source[[#This Row],[Total social housing units owned (Period end)]]</f>
        <v>1387</v>
      </c>
      <c r="CK58" s="103">
        <v>1.4450867052023121E-2</v>
      </c>
      <c r="CL58" s="6">
        <f xml:space="preserve"> -- ( VfM_Metrics_2023_Consol_Source[[#This Row],[% Supported housing (excl. HOP)]] &gt; 0.3 )</f>
        <v>0</v>
      </c>
      <c r="CM58" s="103">
        <v>0</v>
      </c>
      <c r="CN58" s="6">
        <f xml:space="preserve"> -- ( VfM_Metrics_2023_Consol_Source[[#This Row],[% Housing for older people]] &gt; 0.3 )</f>
        <v>0</v>
      </c>
      <c r="CO58" s="103">
        <f xml:space="preserve"> VfM_Metrics_2023_Consol_Source[[#This Row],[% Supported housing (excl. HOP)]] + VfM_Metrics_2023_Consol_Source[[#This Row],[% Housing for older people]]</f>
        <v>1.4450867052023121E-2</v>
      </c>
      <c r="CP58" s="6">
        <f xml:space="preserve"> -- ( VfM_Metrics_2023_Consol_Source[[#This Row],[SH specialist in RSH analysis]] + VfM_Metrics_2023_Consol_Source[[#This Row],[OP specialist in RSH analysis]] &gt; 0 )</f>
        <v>0</v>
      </c>
      <c r="CQ58" s="10">
        <f xml:space="preserve"> -- ( VfM_Metrics_2023_Consol_Source[[#This Row],[% SH and OP]] &gt; 0.3 )</f>
        <v>0</v>
      </c>
      <c r="CR58" s="104" t="s">
        <v>143</v>
      </c>
      <c r="CS58" s="124"/>
      <c r="CT58" s="105" t="s">
        <v>151</v>
      </c>
      <c r="CU5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58" s="85">
        <v>0</v>
      </c>
      <c r="CW58" s="85">
        <v>0</v>
      </c>
      <c r="CX58" s="85">
        <v>0</v>
      </c>
      <c r="CY58" s="85">
        <v>0</v>
      </c>
      <c r="CZ58" s="85">
        <v>1</v>
      </c>
      <c r="DA58" s="85">
        <v>0</v>
      </c>
      <c r="DB58" s="85">
        <v>0</v>
      </c>
      <c r="DC58" s="85">
        <v>0</v>
      </c>
      <c r="DD58" s="85">
        <v>0</v>
      </c>
      <c r="DE58" s="13">
        <v>0.96459033333600952</v>
      </c>
    </row>
    <row r="59" spans="1:109" x14ac:dyDescent="0.25">
      <c r="A59" s="4" t="s" vm="234">
        <v>242</v>
      </c>
      <c r="B59" s="2" t="s" vm="49">
        <v>243</v>
      </c>
      <c r="C59" s="72" vm="412">
        <v>45016</v>
      </c>
      <c r="D59" s="7">
        <f>IFERROR( VfM_Metrics_2023_Consol_Source[[#This Row],[Reinvestment Spend]] / VfM_Metrics_2023_Consol_Source[[#This Row],[Net Book Value of Housing Properties]], "n/a" )</f>
        <v>7.2708878351863959E-2</v>
      </c>
      <c r="E5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7115</v>
      </c>
      <c r="F59" s="83" vm="8618">
        <v>6140</v>
      </c>
      <c r="G59" s="83" vm="1268">
        <v>0</v>
      </c>
      <c r="H59" s="83" vm="1319">
        <v>817</v>
      </c>
      <c r="I59" s="83" vm="1320">
        <v>158</v>
      </c>
      <c r="J59" s="83" vm="1321">
        <v>0</v>
      </c>
      <c r="K59" s="5">
        <f xml:space="preserve"> SUM( VfM_Metrics_2023_Consol_Source[[#This Row],[Tangible fixed assets: Housing properties at cost (Current period)]],VfM_Metrics_2023_Consol_Source[[#This Row],[Tangible fixed assets Housing properties at valuation (Current period)]] )</f>
        <v>97856</v>
      </c>
      <c r="L59" s="84" vm="1322">
        <v>97856</v>
      </c>
      <c r="M59" s="83">
        <v>0</v>
      </c>
      <c r="N59" s="7">
        <f xml:space="preserve"> IFERROR( VfM_Metrics_2023_Consol_Source[[#This Row],[Total social units developed or newly built units acquired in-year]] / VfM_Metrics_2023_Consol_Source[[#This Row],[Social housing units owned (period end)]], "n/a" )</f>
        <v>1.2658227848101266E-2</v>
      </c>
      <c r="O59" s="5">
        <f xml:space="preserve"> SUM( VfM_Metrics_2023_Consol_Source[[#This Row],[Total social units developed or newly built units acquired in-year (owned)]], VfM_Metrics_2023_Consol_Source[[#This Row],[Total social leasehold units developed or newly built units acquired in-year (owned)]] )</f>
        <v>17</v>
      </c>
      <c r="P59" s="84" vm="1323">
        <v>17</v>
      </c>
      <c r="Q59" s="83">
        <v>0</v>
      </c>
      <c r="R59" s="5">
        <f xml:space="preserve"> SUM( VfM_Metrics_2023_Consol_Source[[#This Row],[Total social housing units owned (Period end)]], VfM_Metrics_2023_Consol_Source[[#This Row],[Total social leasehold units owned (Period end)]] )</f>
        <v>1343</v>
      </c>
      <c r="S59" s="84" vm="8419">
        <v>1343</v>
      </c>
      <c r="T59" s="83" vm="1272">
        <v>0</v>
      </c>
      <c r="U59" s="86">
        <f xml:space="preserve"> IFERROR( VfM_Metrics_2023_Consol_Source[[#This Row],[Total non-social housing units developed or newly built units acquired (owned)]] / VfM_Metrics_2023_Consol_Source[[#This Row],[Total social and non-social housing units owned (Period end)]], "n/a" )</f>
        <v>1.4892032762472078E-3</v>
      </c>
      <c r="V5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v>
      </c>
      <c r="W59" s="83">
        <v>0</v>
      </c>
      <c r="X59" s="83">
        <v>0</v>
      </c>
      <c r="Y59" s="83" vm="1324">
        <v>2</v>
      </c>
      <c r="Z5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1343</v>
      </c>
      <c r="AA59" s="84" vm="1318">
        <v>1343</v>
      </c>
      <c r="AB59" s="83" vm="8404">
        <v>0</v>
      </c>
      <c r="AC59" s="83" vm="1325">
        <v>0</v>
      </c>
      <c r="AD59" s="83" vm="8532">
        <v>0</v>
      </c>
      <c r="AE59" s="7">
        <f xml:space="preserve"> IFERROR( VfM_Metrics_2023_Consol_Source[[#This Row],[Total Net Debt]] / VfM_Metrics_2023_Consol_Source[[#This Row],[Net Book Value of Housing Properties2]], "n/a" )</f>
        <v>0.34692813930673644</v>
      </c>
      <c r="AF5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33949</v>
      </c>
      <c r="AG59" s="84" vm="1326">
        <v>938</v>
      </c>
      <c r="AH59" s="83" vm="1327">
        <v>37685</v>
      </c>
      <c r="AI59" s="83" vm="1328">
        <v>4674</v>
      </c>
      <c r="AJ59" s="83" vm="1675">
        <v>0</v>
      </c>
      <c r="AK59" s="83">
        <v>0</v>
      </c>
      <c r="AL59" s="5">
        <f xml:space="preserve"> SUM( VfM_Metrics_2023_Consol_Source[[#This Row],[Tangible fixed assets: Housing properties at cost (Current period)2]], VfM_Metrics_2023_Consol_Source[[#This Row],[Tangible fixed assets Housing properties at valuation (Current period)2]] )</f>
        <v>97856</v>
      </c>
      <c r="AM59" s="84" vm="2149">
        <v>97856</v>
      </c>
      <c r="AN59" s="83">
        <v>0</v>
      </c>
      <c r="AO59" s="87">
        <f xml:space="preserve"> IFERROR( VfM_Metrics_2023_Consol_Source[[#This Row],[EBITDA MRI]] / VfM_Metrics_2023_Consol_Source[[#This Row],[Total interest]], "n/a" )</f>
        <v>1.8363903154805576</v>
      </c>
      <c r="AP5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2503</v>
      </c>
      <c r="AQ59" s="84" vm="8609">
        <v>2449</v>
      </c>
      <c r="AR59" s="84" vm="8499">
        <v>464</v>
      </c>
      <c r="AS59" s="84">
        <v>0</v>
      </c>
      <c r="AT59" s="84" vm="1330">
        <v>482</v>
      </c>
      <c r="AU59" s="84" vm="8604">
        <v>0</v>
      </c>
      <c r="AV59" s="84" vm="1331">
        <v>14</v>
      </c>
      <c r="AW59" s="84" vm="1214">
        <v>817</v>
      </c>
      <c r="AX59" s="84" vm="1332">
        <v>1803</v>
      </c>
      <c r="AY59" s="3">
        <f xml:space="preserve"> - SUM( VfM_Metrics_2023_Consol_Source[[#This Row],[Interest capitalised]], VfM_Metrics_2023_Consol_Source[[#This Row],[Interest payable and financing costs]] )</f>
        <v>1363</v>
      </c>
      <c r="AZ59" s="84" vm="8498">
        <v>-158</v>
      </c>
      <c r="BA59" s="83" vm="1333">
        <v>-1205</v>
      </c>
      <c r="BB59" s="8">
        <f xml:space="preserve"> IFERROR( ( VfM_Metrics_2023_Consol_Source[[#This Row],[Total Costs]] / VfM_Metrics_2023_Consol_Source[[#This Row],[Total units for costs]] ) * 1000, "n/a" )</f>
        <v>3644.3949517446176</v>
      </c>
      <c r="BC5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4909</v>
      </c>
      <c r="BD59" s="84" vm="8402">
        <v>1099</v>
      </c>
      <c r="BE59" s="83" vm="1891">
        <v>760</v>
      </c>
      <c r="BF59" s="83" vm="1335">
        <v>807</v>
      </c>
      <c r="BG59" s="83" vm="8476">
        <v>576</v>
      </c>
      <c r="BH59" s="83" vm="8319">
        <v>699</v>
      </c>
      <c r="BI59" s="83" vm="8410">
        <v>0</v>
      </c>
      <c r="BJ59" s="83" vm="1140">
        <v>817</v>
      </c>
      <c r="BK59" s="83" vm="1336">
        <v>0</v>
      </c>
      <c r="BL59" s="83" vm="1337">
        <v>46</v>
      </c>
      <c r="BM59" s="83">
        <v>0</v>
      </c>
      <c r="BN59" s="83" vm="1305">
        <v>105</v>
      </c>
      <c r="BO59" s="83">
        <v>0</v>
      </c>
      <c r="BP59" s="5" vm="1226">
        <f xml:space="preserve"> VfM_Metrics_2023_Consol_Source[[#This Row],[Total social housing units owned and/or managed at period end]]</f>
        <v>1347</v>
      </c>
      <c r="BQ59" s="84" vm="1226">
        <v>1347</v>
      </c>
      <c r="BR59" s="7">
        <f xml:space="preserve"> IFERROR( VfM_Metrics_2023_Consol_Source[[#This Row],[SHL operating surplus / (deficit)]] / VfM_Metrics_2023_Consol_Source[[#This Row],[Turnover from social housing lettings]], "n/a" )</f>
        <v>0.21443298969072164</v>
      </c>
      <c r="BS59" s="5" vm="8284">
        <f xml:space="preserve"> VfM_Metrics_2023_Consol_Source[[#This Row],[Operating surplus/(deficit) (social housing lettings)]]</f>
        <v>1560</v>
      </c>
      <c r="BT59" s="84" vm="8284">
        <v>1560</v>
      </c>
      <c r="BU59" s="5" vm="1339">
        <f xml:space="preserve"> VfM_Metrics_2023_Consol_Source[[#This Row],[Turnover from social housing lettings]]</f>
        <v>7275</v>
      </c>
      <c r="BV59" s="84" vm="1339">
        <v>7275</v>
      </c>
      <c r="BW59" s="7">
        <f xml:space="preserve"> IFERROR( VfM_Metrics_2023_Consol_Source[[#This Row],[Net operating surplus]] / VfM_Metrics_2023_Consol_Source[[#This Row],[Overall turnover]], "n/a" )</f>
        <v>0.2211699164345404</v>
      </c>
      <c r="BX5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1985</v>
      </c>
      <c r="BY59" s="84" vm="1329">
        <v>2449</v>
      </c>
      <c r="BZ59" s="83" vm="1406">
        <v>464</v>
      </c>
      <c r="CA59" s="83">
        <v>0</v>
      </c>
      <c r="CB59" s="5" vm="1340">
        <f xml:space="preserve"> VfM_Metrics_2023_Consol_Source[[#This Row],[Turnover (overall)]]</f>
        <v>8975</v>
      </c>
      <c r="CC59" s="84" vm="1340">
        <v>8975</v>
      </c>
      <c r="CD59" s="7">
        <f xml:space="preserve"> IFERROR( VfM_Metrics_2023_Consol_Source[[#This Row],[Operating surplus including from JVs]] / VfM_Metrics_2023_Consol_Source[[#This Row],[Net assets]], "n/a" )</f>
        <v>2.4493184113934811E-2</v>
      </c>
      <c r="CE59" s="5">
        <f xml:space="preserve"> SUM( VfM_Metrics_2023_Consol_Source[[#This Row],[Operating surplus/(deficit) (overall)3]], VfM_Metrics_2023_Consol_Source[[#This Row],[Share of operating surplus/(deficit) in joint ventures or associates]] )</f>
        <v>2449</v>
      </c>
      <c r="CF59" s="84" vm="8113">
        <v>2449</v>
      </c>
      <c r="CG59" s="83">
        <v>0</v>
      </c>
      <c r="CH59" s="5" vm="8145">
        <f xml:space="preserve"> VfM_Metrics_2023_Consol_Source[[#This Row],[Total assets less current liabilities]]</f>
        <v>99987</v>
      </c>
      <c r="CI59" s="84" vm="8145">
        <v>99987</v>
      </c>
      <c r="CJ59" s="71" vm="8419">
        <f xml:space="preserve"> VfM_Metrics_2023_Consol_Source[[#This Row],[Total social housing units owned (Period end)]]</f>
        <v>1343</v>
      </c>
      <c r="CK59" s="103">
        <v>0</v>
      </c>
      <c r="CL59" s="6">
        <f xml:space="preserve"> -- ( VfM_Metrics_2023_Consol_Source[[#This Row],[% Supported housing (excl. HOP)]] &gt; 0.3 )</f>
        <v>0</v>
      </c>
      <c r="CM59" s="103">
        <v>0</v>
      </c>
      <c r="CN59" s="6">
        <f xml:space="preserve"> -- ( VfM_Metrics_2023_Consol_Source[[#This Row],[% Housing for older people]] &gt; 0.3 )</f>
        <v>0</v>
      </c>
      <c r="CO59" s="103">
        <f xml:space="preserve"> VfM_Metrics_2023_Consol_Source[[#This Row],[% Supported housing (excl. HOP)]] + VfM_Metrics_2023_Consol_Source[[#This Row],[% Housing for older people]]</f>
        <v>0</v>
      </c>
      <c r="CP59" s="6">
        <f xml:space="preserve"> -- ( VfM_Metrics_2023_Consol_Source[[#This Row],[SH specialist in RSH analysis]] + VfM_Metrics_2023_Consol_Source[[#This Row],[OP specialist in RSH analysis]] &gt; 0 )</f>
        <v>0</v>
      </c>
      <c r="CQ59" s="10">
        <f xml:space="preserve"> -- ( VfM_Metrics_2023_Consol_Source[[#This Row],[% SH and OP]] &gt; 0.3 )</f>
        <v>0</v>
      </c>
      <c r="CR59" s="104" t="s">
        <v>143</v>
      </c>
      <c r="CS59" s="124" t="s">
        <v>144</v>
      </c>
      <c r="CT59" s="105"/>
      <c r="CU5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59" s="85">
        <v>0</v>
      </c>
      <c r="CW59" s="85">
        <v>0.68950111690245719</v>
      </c>
      <c r="CX59" s="85">
        <v>7.520476545048399E-2</v>
      </c>
      <c r="CY59" s="85">
        <v>2.3082650781831721E-2</v>
      </c>
      <c r="CZ59" s="85">
        <v>0</v>
      </c>
      <c r="DA59" s="85">
        <v>0.2092330603127327</v>
      </c>
      <c r="DB59" s="85">
        <v>0</v>
      </c>
      <c r="DC59" s="85">
        <v>2.9784065524944155E-3</v>
      </c>
      <c r="DD59" s="85">
        <v>0</v>
      </c>
      <c r="DE59" s="13">
        <v>1.0223056268127158</v>
      </c>
    </row>
    <row r="60" spans="1:109" x14ac:dyDescent="0.25">
      <c r="A60" s="4" t="s" vm="316">
        <v>244</v>
      </c>
      <c r="B60" s="2" t="s" vm="50">
        <v>245</v>
      </c>
      <c r="C60" s="72" vm="470">
        <v>45016</v>
      </c>
      <c r="D60" s="7">
        <f>IFERROR( VfM_Metrics_2023_Consol_Source[[#This Row],[Reinvestment Spend]] / VfM_Metrics_2023_Consol_Source[[#This Row],[Net Book Value of Housing Properties]], "n/a" )</f>
        <v>2.1829675975909568E-2</v>
      </c>
      <c r="E6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8391</v>
      </c>
      <c r="F60" s="83" vm="3900">
        <v>5755</v>
      </c>
      <c r="G60" s="83" vm="3901">
        <v>0</v>
      </c>
      <c r="H60" s="83" vm="3902">
        <v>2636</v>
      </c>
      <c r="I60" s="83" vm="3903">
        <v>0</v>
      </c>
      <c r="J60" s="83" vm="3904">
        <v>0</v>
      </c>
      <c r="K60" s="5">
        <f xml:space="preserve"> SUM( VfM_Metrics_2023_Consol_Source[[#This Row],[Tangible fixed assets: Housing properties at cost (Current period)]],VfM_Metrics_2023_Consol_Source[[#This Row],[Tangible fixed assets Housing properties at valuation (Current period)]] )</f>
        <v>384385</v>
      </c>
      <c r="L60" s="84" vm="4640">
        <v>384385</v>
      </c>
      <c r="M60" s="83">
        <v>0</v>
      </c>
      <c r="N60" s="7">
        <f xml:space="preserve"> IFERROR( VfM_Metrics_2023_Consol_Source[[#This Row],[Total social units developed or newly built units acquired in-year]] / VfM_Metrics_2023_Consol_Source[[#This Row],[Social housing units owned (period end)]], "n/a" )</f>
        <v>1.500808127453244E-2</v>
      </c>
      <c r="O60" s="5">
        <f xml:space="preserve"> SUM( VfM_Metrics_2023_Consol_Source[[#This Row],[Total social units developed or newly built units acquired in-year (owned)]], VfM_Metrics_2023_Consol_Source[[#This Row],[Total social leasehold units developed or newly built units acquired in-year (owned)]] )</f>
        <v>65</v>
      </c>
      <c r="P60" s="84" vm="3906">
        <v>65</v>
      </c>
      <c r="Q60" s="83">
        <v>0</v>
      </c>
      <c r="R60" s="5">
        <f xml:space="preserve"> SUM( VfM_Metrics_2023_Consol_Source[[#This Row],[Total social housing units owned (Period end)]], VfM_Metrics_2023_Consol_Source[[#This Row],[Total social leasehold units owned (Period end)]] )</f>
        <v>4331</v>
      </c>
      <c r="S60" s="84" vm="3899">
        <v>4331</v>
      </c>
      <c r="T60" s="83" vm="3907">
        <v>0</v>
      </c>
      <c r="U60" s="86">
        <f xml:space="preserve"> IFERROR( VfM_Metrics_2023_Consol_Source[[#This Row],[Total non-social housing units developed or newly built units acquired (owned)]] / VfM_Metrics_2023_Consol_Source[[#This Row],[Total social and non-social housing units owned (Period end)]], "n/a" )</f>
        <v>0</v>
      </c>
      <c r="V6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60" s="83">
        <v>0</v>
      </c>
      <c r="X60" s="83">
        <v>0</v>
      </c>
      <c r="Y60" s="83">
        <v>0</v>
      </c>
      <c r="Z6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4685</v>
      </c>
      <c r="AA60" s="84" vm="7403">
        <v>4331</v>
      </c>
      <c r="AB60" s="83" vm="3907">
        <v>0</v>
      </c>
      <c r="AC60" s="83" vm="3908">
        <v>225</v>
      </c>
      <c r="AD60" s="83" vm="3909">
        <v>129</v>
      </c>
      <c r="AE60" s="7">
        <f xml:space="preserve"> IFERROR( VfM_Metrics_2023_Consol_Source[[#This Row],[Total Net Debt]] / VfM_Metrics_2023_Consol_Source[[#This Row],[Net Book Value of Housing Properties2]], "n/a" )</f>
        <v>0.56296421556512355</v>
      </c>
      <c r="AF6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216395</v>
      </c>
      <c r="AG60" s="84" vm="3910">
        <v>9311</v>
      </c>
      <c r="AH60" s="83" vm="3911">
        <v>218670</v>
      </c>
      <c r="AI60" s="83" vm="4262">
        <v>11586</v>
      </c>
      <c r="AJ60" s="83" vm="1675">
        <v>0</v>
      </c>
      <c r="AK60" s="83">
        <v>0</v>
      </c>
      <c r="AL60" s="5">
        <f xml:space="preserve"> SUM( VfM_Metrics_2023_Consol_Source[[#This Row],[Tangible fixed assets: Housing properties at cost (Current period)2]], VfM_Metrics_2023_Consol_Source[[#This Row],[Tangible fixed assets Housing properties at valuation (Current period)2]] )</f>
        <v>384385</v>
      </c>
      <c r="AM60" s="84" vm="3905">
        <v>384385</v>
      </c>
      <c r="AN60" s="83">
        <v>0</v>
      </c>
      <c r="AO60" s="87">
        <f xml:space="preserve"> IFERROR( VfM_Metrics_2023_Consol_Source[[#This Row],[EBITDA MRI]] / VfM_Metrics_2023_Consol_Source[[#This Row],[Total interest]], "n/a" )</f>
        <v>1.1283107710417892</v>
      </c>
      <c r="AP6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9585</v>
      </c>
      <c r="AQ60" s="84" vm="7553">
        <v>8849</v>
      </c>
      <c r="AR60" s="84" vm="7400">
        <v>1083</v>
      </c>
      <c r="AS60" s="84">
        <v>0</v>
      </c>
      <c r="AT60" s="84" vm="3915">
        <v>2032</v>
      </c>
      <c r="AU60" s="84" vm="3916">
        <v>0</v>
      </c>
      <c r="AV60" s="84" vm="3917">
        <v>74</v>
      </c>
      <c r="AW60" s="84" vm="3918">
        <v>2693</v>
      </c>
      <c r="AX60" s="84" vm="3919">
        <v>6470</v>
      </c>
      <c r="AY60" s="3">
        <f xml:space="preserve"> - SUM( VfM_Metrics_2023_Consol_Source[[#This Row],[Interest capitalised]], VfM_Metrics_2023_Consol_Source[[#This Row],[Interest payable and financing costs]] )</f>
        <v>8495</v>
      </c>
      <c r="AZ60" s="84">
        <v>0</v>
      </c>
      <c r="BA60" s="83" vm="3920">
        <v>-8495</v>
      </c>
      <c r="BB60" s="8">
        <f xml:space="preserve"> IFERROR( ( VfM_Metrics_2023_Consol_Source[[#This Row],[Total Costs]] / VfM_Metrics_2023_Consol_Source[[#This Row],[Total units for costs]] ) * 1000, "n/a" )</f>
        <v>5793.7788018433175</v>
      </c>
      <c r="BC6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25145</v>
      </c>
      <c r="BD60" s="84" vm="7438">
        <v>4952</v>
      </c>
      <c r="BE60" s="83" vm="3921">
        <v>4249</v>
      </c>
      <c r="BF60" s="83" vm="3922">
        <v>5780</v>
      </c>
      <c r="BG60" s="83" vm="3923">
        <v>1428</v>
      </c>
      <c r="BH60" s="83" vm="3924">
        <v>1084</v>
      </c>
      <c r="BI60" s="83" vm="3925">
        <v>127</v>
      </c>
      <c r="BJ60" s="83" vm="3918">
        <v>2693</v>
      </c>
      <c r="BK60" s="83" vm="3926">
        <v>-6</v>
      </c>
      <c r="BL60" s="83" vm="3927">
        <v>730</v>
      </c>
      <c r="BM60" s="83" vm="4802">
        <v>439</v>
      </c>
      <c r="BN60" s="83" vm="6989">
        <v>85</v>
      </c>
      <c r="BO60" s="83" vm="3928">
        <v>3584</v>
      </c>
      <c r="BP60" s="5" vm="7442">
        <f xml:space="preserve"> VfM_Metrics_2023_Consol_Source[[#This Row],[Total social housing units owned and/or managed at period end]]</f>
        <v>4340</v>
      </c>
      <c r="BQ60" s="84" vm="7442">
        <v>4340</v>
      </c>
      <c r="BR60" s="7">
        <f xml:space="preserve"> IFERROR( VfM_Metrics_2023_Consol_Source[[#This Row],[SHL operating surplus / (deficit)]] / VfM_Metrics_2023_Consol_Source[[#This Row],[Turnover from social housing lettings]], "n/a" )</f>
        <v>0.22539702992623137</v>
      </c>
      <c r="BS60" s="5" vm="3929">
        <f xml:space="preserve"> VfM_Metrics_2023_Consol_Source[[#This Row],[Operating surplus/(deficit) (social housing lettings)]]</f>
        <v>6997</v>
      </c>
      <c r="BT60" s="84" vm="3929">
        <v>6997</v>
      </c>
      <c r="BU60" s="5" vm="3930">
        <f xml:space="preserve"> VfM_Metrics_2023_Consol_Source[[#This Row],[Turnover from social housing lettings]]</f>
        <v>31043</v>
      </c>
      <c r="BV60" s="84" vm="3930">
        <v>31043</v>
      </c>
      <c r="BW60" s="7">
        <f xml:space="preserve"> IFERROR( VfM_Metrics_2023_Consol_Source[[#This Row],[Net operating surplus]] / VfM_Metrics_2023_Consol_Source[[#This Row],[Overall turnover]], "n/a" )</f>
        <v>0.1940772210421092</v>
      </c>
      <c r="BX6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7766</v>
      </c>
      <c r="BY60" s="84" vm="3913">
        <v>8849</v>
      </c>
      <c r="BZ60" s="83" vm="3914">
        <v>1083</v>
      </c>
      <c r="CA60" s="83">
        <v>0</v>
      </c>
      <c r="CB60" s="5" vm="3931">
        <f xml:space="preserve"> VfM_Metrics_2023_Consol_Source[[#This Row],[Turnover (overall)]]</f>
        <v>40015</v>
      </c>
      <c r="CC60" s="84" vm="3931">
        <v>40015</v>
      </c>
      <c r="CD60" s="7">
        <f xml:space="preserve"> IFERROR( VfM_Metrics_2023_Consol_Source[[#This Row],[Operating surplus including from JVs]] / VfM_Metrics_2023_Consol_Source[[#This Row],[Net assets]], "n/a" )</f>
        <v>2.0149464441853688E-2</v>
      </c>
      <c r="CE60" s="5">
        <f xml:space="preserve"> SUM( VfM_Metrics_2023_Consol_Source[[#This Row],[Operating surplus/(deficit) (overall)3]], VfM_Metrics_2023_Consol_Source[[#This Row],[Share of operating surplus/(deficit) in joint ventures or associates]] )</f>
        <v>8849</v>
      </c>
      <c r="CF60" s="84" vm="7693">
        <v>8849</v>
      </c>
      <c r="CG60" s="83">
        <v>0</v>
      </c>
      <c r="CH60" s="5" vm="3932">
        <f xml:space="preserve"> VfM_Metrics_2023_Consol_Source[[#This Row],[Total assets less current liabilities]]</f>
        <v>439168</v>
      </c>
      <c r="CI60" s="84" vm="3932">
        <v>439168</v>
      </c>
      <c r="CJ60" s="71" vm="3899">
        <f xml:space="preserve"> VfM_Metrics_2023_Consol_Source[[#This Row],[Total social housing units owned (Period end)]]</f>
        <v>4331</v>
      </c>
      <c r="CK60" s="103">
        <v>2.333641404805915E-2</v>
      </c>
      <c r="CL60" s="6">
        <f xml:space="preserve"> -- ( VfM_Metrics_2023_Consol_Source[[#This Row],[% Supported housing (excl. HOP)]] &gt; 0.3 )</f>
        <v>0</v>
      </c>
      <c r="CM60" s="103">
        <v>1.8022181146025877E-2</v>
      </c>
      <c r="CN60" s="6">
        <f xml:space="preserve"> -- ( VfM_Metrics_2023_Consol_Source[[#This Row],[% Housing for older people]] &gt; 0.3 )</f>
        <v>0</v>
      </c>
      <c r="CO60" s="103">
        <f xml:space="preserve"> VfM_Metrics_2023_Consol_Source[[#This Row],[% Supported housing (excl. HOP)]] + VfM_Metrics_2023_Consol_Source[[#This Row],[% Housing for older people]]</f>
        <v>4.1358595194085024E-2</v>
      </c>
      <c r="CP60" s="6">
        <f xml:space="preserve"> -- ( VfM_Metrics_2023_Consol_Source[[#This Row],[SH specialist in RSH analysis]] + VfM_Metrics_2023_Consol_Source[[#This Row],[OP specialist in RSH analysis]] &gt; 0 )</f>
        <v>0</v>
      </c>
      <c r="CQ60" s="10">
        <f xml:space="preserve"> -- ( VfM_Metrics_2023_Consol_Source[[#This Row],[% SH and OP]] &gt; 0.3 )</f>
        <v>0</v>
      </c>
      <c r="CR60" s="104" t="s">
        <v>143</v>
      </c>
      <c r="CS60" s="124" t="s">
        <v>144</v>
      </c>
      <c r="CT60" s="105"/>
      <c r="CU6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60" s="85">
        <v>0.18227964928472543</v>
      </c>
      <c r="CW60" s="85">
        <v>0</v>
      </c>
      <c r="CX60" s="85">
        <v>0</v>
      </c>
      <c r="CY60" s="85">
        <v>0</v>
      </c>
      <c r="CZ60" s="85">
        <v>0</v>
      </c>
      <c r="DA60" s="85">
        <v>0.8177203507152746</v>
      </c>
      <c r="DB60" s="85">
        <v>0</v>
      </c>
      <c r="DC60" s="85">
        <v>0</v>
      </c>
      <c r="DD60" s="85">
        <v>0</v>
      </c>
      <c r="DE60" s="13">
        <v>1.038529782128603</v>
      </c>
    </row>
    <row r="61" spans="1:109" x14ac:dyDescent="0.25">
      <c r="A61" s="4" t="s" vm="355">
        <v>246</v>
      </c>
      <c r="B61" s="2" t="s" vm="51">
        <v>247</v>
      </c>
      <c r="C61" s="72" vm="417">
        <v>45016</v>
      </c>
      <c r="D61" s="7">
        <f>IFERROR( VfM_Metrics_2023_Consol_Source[[#This Row],[Reinvestment Spend]] / VfM_Metrics_2023_Consol_Source[[#This Row],[Net Book Value of Housing Properties]], "n/a" )</f>
        <v>0.11554648982554903</v>
      </c>
      <c r="E6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51888</v>
      </c>
      <c r="F61" s="83" vm="5272">
        <v>41162</v>
      </c>
      <c r="G61" s="83" vm="5273">
        <v>0</v>
      </c>
      <c r="H61" s="83" vm="5274">
        <v>8976</v>
      </c>
      <c r="I61" s="83" vm="5275">
        <v>1750</v>
      </c>
      <c r="J61" s="83" vm="5276">
        <v>0</v>
      </c>
      <c r="K61" s="5">
        <f xml:space="preserve"> SUM( VfM_Metrics_2023_Consol_Source[[#This Row],[Tangible fixed assets: Housing properties at cost (Current period)]],VfM_Metrics_2023_Consol_Source[[#This Row],[Tangible fixed assets Housing properties at valuation (Current period)]] )</f>
        <v>449066</v>
      </c>
      <c r="L61" s="84" vm="5277">
        <v>449066</v>
      </c>
      <c r="M61" s="83">
        <v>0</v>
      </c>
      <c r="N61" s="7">
        <f xml:space="preserve"> IFERROR( VfM_Metrics_2023_Consol_Source[[#This Row],[Total social units developed or newly built units acquired in-year]] / VfM_Metrics_2023_Consol_Source[[#This Row],[Social housing units owned (period end)]], "n/a" )</f>
        <v>2.3003269500233535E-2</v>
      </c>
      <c r="O61" s="5">
        <f xml:space="preserve"> SUM( VfM_Metrics_2023_Consol_Source[[#This Row],[Total social units developed or newly built units acquired in-year (owned)]], VfM_Metrics_2023_Consol_Source[[#This Row],[Total social leasehold units developed or newly built units acquired in-year (owned)]] )</f>
        <v>197</v>
      </c>
      <c r="P61" s="84" vm="5278">
        <v>197</v>
      </c>
      <c r="Q61" s="83">
        <v>0</v>
      </c>
      <c r="R61" s="5">
        <f xml:space="preserve"> SUM( VfM_Metrics_2023_Consol_Source[[#This Row],[Total social housing units owned (Period end)]], VfM_Metrics_2023_Consol_Source[[#This Row],[Total social leasehold units owned (Period end)]] )</f>
        <v>8564</v>
      </c>
      <c r="S61" s="84" vm="5270">
        <v>8564</v>
      </c>
      <c r="T61" s="83" vm="5279">
        <v>0</v>
      </c>
      <c r="U61" s="86">
        <f xml:space="preserve"> IFERROR( VfM_Metrics_2023_Consol_Source[[#This Row],[Total non-social housing units developed or newly built units acquired (owned)]] / VfM_Metrics_2023_Consol_Source[[#This Row],[Total social and non-social housing units owned (Period end)]], "n/a" )</f>
        <v>0</v>
      </c>
      <c r="V6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61" s="83">
        <v>0</v>
      </c>
      <c r="X61" s="83">
        <v>0</v>
      </c>
      <c r="Y61" s="83">
        <v>0</v>
      </c>
      <c r="Z6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9251</v>
      </c>
      <c r="AA61" s="84" vm="5363">
        <v>8564</v>
      </c>
      <c r="AB61" s="83" vm="6672">
        <v>0</v>
      </c>
      <c r="AC61" s="83" vm="5445">
        <v>0</v>
      </c>
      <c r="AD61" s="83" vm="5280">
        <v>687</v>
      </c>
      <c r="AE61" s="7">
        <f xml:space="preserve"> IFERROR( VfM_Metrics_2023_Consol_Source[[#This Row],[Total Net Debt]] / VfM_Metrics_2023_Consol_Source[[#This Row],[Net Book Value of Housing Properties2]], "n/a" )</f>
        <v>0.43744349382941483</v>
      </c>
      <c r="AF6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196441</v>
      </c>
      <c r="AG61" s="84">
        <v>0</v>
      </c>
      <c r="AH61" s="83" vm="5281">
        <v>203271</v>
      </c>
      <c r="AI61" s="83" vm="5282">
        <v>6830</v>
      </c>
      <c r="AJ61" s="83" vm="1675">
        <v>0</v>
      </c>
      <c r="AK61" s="83">
        <v>0</v>
      </c>
      <c r="AL61" s="5">
        <f xml:space="preserve"> SUM( VfM_Metrics_2023_Consol_Source[[#This Row],[Tangible fixed assets: Housing properties at cost (Current period)2]], VfM_Metrics_2023_Consol_Source[[#This Row],[Tangible fixed assets Housing properties at valuation (Current period)2]] )</f>
        <v>449066</v>
      </c>
      <c r="AM61" s="84" vm="5277">
        <v>449066</v>
      </c>
      <c r="AN61" s="83">
        <v>0</v>
      </c>
      <c r="AO61" s="87">
        <f xml:space="preserve"> IFERROR( VfM_Metrics_2023_Consol_Source[[#This Row],[EBITDA MRI]] / VfM_Metrics_2023_Consol_Source[[#This Row],[Total interest]], "n/a" )</f>
        <v>1.1288957291265871</v>
      </c>
      <c r="AP6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8802</v>
      </c>
      <c r="AQ61" s="84" vm="5283">
        <v>12788</v>
      </c>
      <c r="AR61" s="84" vm="5284">
        <v>1998</v>
      </c>
      <c r="AS61" s="84">
        <v>0</v>
      </c>
      <c r="AT61" s="84" vm="5285">
        <v>150</v>
      </c>
      <c r="AU61" s="84" vm="5286">
        <v>1070</v>
      </c>
      <c r="AV61" s="84" vm="5287">
        <v>133</v>
      </c>
      <c r="AW61" s="84" vm="5288">
        <v>8976</v>
      </c>
      <c r="AX61" s="84" vm="5289">
        <v>8075</v>
      </c>
      <c r="AY61" s="3">
        <f xml:space="preserve"> - SUM( VfM_Metrics_2023_Consol_Source[[#This Row],[Interest capitalised]], VfM_Metrics_2023_Consol_Source[[#This Row],[Interest payable and financing costs]] )</f>
        <v>7797</v>
      </c>
      <c r="AZ61" s="84" vm="5290">
        <v>-1750</v>
      </c>
      <c r="BA61" s="83" vm="5291">
        <v>-6047</v>
      </c>
      <c r="BB61" s="8">
        <f xml:space="preserve"> IFERROR( ( VfM_Metrics_2023_Consol_Source[[#This Row],[Total Costs]] / VfM_Metrics_2023_Consol_Source[[#This Row],[Total units for costs]] ) * 1000, "n/a" )</f>
        <v>5461.0631848915828</v>
      </c>
      <c r="BC6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46845</v>
      </c>
      <c r="BD61" s="84" vm="7342">
        <v>12129</v>
      </c>
      <c r="BE61" s="83" vm="7038">
        <v>2023</v>
      </c>
      <c r="BF61" s="83" vm="5292">
        <v>15791</v>
      </c>
      <c r="BG61" s="83" vm="6921">
        <v>2398</v>
      </c>
      <c r="BH61" s="83" vm="5293">
        <v>4928</v>
      </c>
      <c r="BI61" s="83" vm="5294">
        <v>0</v>
      </c>
      <c r="BJ61" s="83" vm="5288">
        <v>8976</v>
      </c>
      <c r="BK61" s="83" vm="5295">
        <v>0</v>
      </c>
      <c r="BL61" s="83">
        <v>0</v>
      </c>
      <c r="BM61" s="83" vm="5296">
        <v>231</v>
      </c>
      <c r="BN61" s="83" vm="5297">
        <v>369</v>
      </c>
      <c r="BO61" s="83">
        <v>0</v>
      </c>
      <c r="BP61" s="5" vm="5271">
        <f xml:space="preserve"> VfM_Metrics_2023_Consol_Source[[#This Row],[Total social housing units owned and/or managed at period end]]</f>
        <v>8578</v>
      </c>
      <c r="BQ61" s="84" vm="5271">
        <v>8578</v>
      </c>
      <c r="BR61" s="7">
        <f xml:space="preserve"> IFERROR( VfM_Metrics_2023_Consol_Source[[#This Row],[SHL operating surplus / (deficit)]] / VfM_Metrics_2023_Consol_Source[[#This Row],[Turnover from social housing lettings]], "n/a" )</f>
        <v>0.12608900400282552</v>
      </c>
      <c r="BS61" s="5" vm="5298">
        <f xml:space="preserve"> VfM_Metrics_2023_Consol_Source[[#This Row],[Operating surplus/(deficit) (social housing lettings)]]</f>
        <v>6426</v>
      </c>
      <c r="BT61" s="84" vm="5298">
        <v>6426</v>
      </c>
      <c r="BU61" s="5" vm="5299">
        <f xml:space="preserve"> VfM_Metrics_2023_Consol_Source[[#This Row],[Turnover from social housing lettings]]</f>
        <v>50964</v>
      </c>
      <c r="BV61" s="84" vm="5299">
        <v>50964</v>
      </c>
      <c r="BW61" s="7">
        <f xml:space="preserve"> IFERROR( VfM_Metrics_2023_Consol_Source[[#This Row],[Net operating surplus]] / VfM_Metrics_2023_Consol_Source[[#This Row],[Overall turnover]], "n/a" )</f>
        <v>0.1752249179901913</v>
      </c>
      <c r="BX6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10790</v>
      </c>
      <c r="BY61" s="84" vm="5283">
        <v>12788</v>
      </c>
      <c r="BZ61" s="83" vm="5284">
        <v>1998</v>
      </c>
      <c r="CA61" s="83">
        <v>0</v>
      </c>
      <c r="CB61" s="5" vm="7306">
        <f xml:space="preserve"> VfM_Metrics_2023_Consol_Source[[#This Row],[Turnover (overall)]]</f>
        <v>61578</v>
      </c>
      <c r="CC61" s="84" vm="7306">
        <v>61578</v>
      </c>
      <c r="CD61" s="7">
        <f xml:space="preserve"> IFERROR( VfM_Metrics_2023_Consol_Source[[#This Row],[Operating surplus including from JVs]] / VfM_Metrics_2023_Consol_Source[[#This Row],[Net assets]], "n/a" )</f>
        <v>2.782310527438003E-2</v>
      </c>
      <c r="CE61" s="5">
        <f xml:space="preserve"> SUM( VfM_Metrics_2023_Consol_Source[[#This Row],[Operating surplus/(deficit) (overall)3]], VfM_Metrics_2023_Consol_Source[[#This Row],[Share of operating surplus/(deficit) in joint ventures or associates]] )</f>
        <v>12788</v>
      </c>
      <c r="CF61" s="84" vm="5283">
        <v>12788</v>
      </c>
      <c r="CG61" s="83">
        <v>0</v>
      </c>
      <c r="CH61" s="5" vm="6926">
        <f xml:space="preserve"> VfM_Metrics_2023_Consol_Source[[#This Row],[Total assets less current liabilities]]</f>
        <v>459618</v>
      </c>
      <c r="CI61" s="84" vm="6926">
        <v>459618</v>
      </c>
      <c r="CJ61" s="71" vm="5270">
        <f xml:space="preserve"> VfM_Metrics_2023_Consol_Source[[#This Row],[Total social housing units owned (Period end)]]</f>
        <v>8564</v>
      </c>
      <c r="CK61" s="103">
        <v>1.2945745557255502E-3</v>
      </c>
      <c r="CL61" s="6">
        <f xml:space="preserve"> -- ( VfM_Metrics_2023_Consol_Source[[#This Row],[% Supported housing (excl. HOP)]] &gt; 0.3 )</f>
        <v>0</v>
      </c>
      <c r="CM61" s="103">
        <v>7.4379192656231607E-2</v>
      </c>
      <c r="CN61" s="6">
        <f xml:space="preserve"> -- ( VfM_Metrics_2023_Consol_Source[[#This Row],[% Housing for older people]] &gt; 0.3 )</f>
        <v>0</v>
      </c>
      <c r="CO61" s="103">
        <f xml:space="preserve"> VfM_Metrics_2023_Consol_Source[[#This Row],[% Supported housing (excl. HOP)]] + VfM_Metrics_2023_Consol_Source[[#This Row],[% Housing for older people]]</f>
        <v>7.5673767211957163E-2</v>
      </c>
      <c r="CP61" s="6">
        <f xml:space="preserve"> -- ( VfM_Metrics_2023_Consol_Source[[#This Row],[SH specialist in RSH analysis]] + VfM_Metrics_2023_Consol_Source[[#This Row],[OP specialist in RSH analysis]] &gt; 0 )</f>
        <v>0</v>
      </c>
      <c r="CQ61" s="10">
        <f xml:space="preserve"> -- ( VfM_Metrics_2023_Consol_Source[[#This Row],[% SH and OP]] &gt; 0.3 )</f>
        <v>0</v>
      </c>
      <c r="CR61" s="104" t="s">
        <v>143</v>
      </c>
      <c r="CS61" s="124"/>
      <c r="CT61" s="105" t="s">
        <v>151</v>
      </c>
      <c r="CU6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61" s="85">
        <v>0</v>
      </c>
      <c r="CW61" s="85">
        <v>0.99311069593647827</v>
      </c>
      <c r="CX61" s="85">
        <v>0</v>
      </c>
      <c r="CY61" s="85">
        <v>6.3054647361046236E-3</v>
      </c>
      <c r="CZ61" s="85">
        <v>0</v>
      </c>
      <c r="DA61" s="85">
        <v>5.838393274170948E-4</v>
      </c>
      <c r="DB61" s="85">
        <v>0</v>
      </c>
      <c r="DC61" s="85">
        <v>0</v>
      </c>
      <c r="DD61" s="85">
        <v>0</v>
      </c>
      <c r="DE61" s="13">
        <v>1.0331233312550281</v>
      </c>
    </row>
    <row r="62" spans="1:109" x14ac:dyDescent="0.25">
      <c r="A62" s="4" t="s" vm="289">
        <v>248</v>
      </c>
      <c r="B62" s="2" t="s" vm="52">
        <v>249</v>
      </c>
      <c r="C62" s="72" vm="509">
        <v>45016</v>
      </c>
      <c r="D62" s="7">
        <f>IFERROR( VfM_Metrics_2023_Consol_Source[[#This Row],[Reinvestment Spend]] / VfM_Metrics_2023_Consol_Source[[#This Row],[Net Book Value of Housing Properties]], "n/a" )</f>
        <v>0.16910459863315186</v>
      </c>
      <c r="E6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36497</v>
      </c>
      <c r="F62" s="83" vm="2964">
        <v>23777</v>
      </c>
      <c r="G62" s="83" vm="2965">
        <v>0</v>
      </c>
      <c r="H62" s="83" vm="2966">
        <v>12016</v>
      </c>
      <c r="I62" s="83" vm="2967">
        <v>704</v>
      </c>
      <c r="J62" s="83" vm="3394">
        <v>0</v>
      </c>
      <c r="K62" s="5">
        <f xml:space="preserve"> SUM( VfM_Metrics_2023_Consol_Source[[#This Row],[Tangible fixed assets: Housing properties at cost (Current period)]],VfM_Metrics_2023_Consol_Source[[#This Row],[Tangible fixed assets Housing properties at valuation (Current period)]] )</f>
        <v>215825</v>
      </c>
      <c r="L62" s="84" vm="7827">
        <v>215825</v>
      </c>
      <c r="M62" s="83" vm="2969">
        <v>0</v>
      </c>
      <c r="N62" s="7">
        <f xml:space="preserve"> IFERROR( VfM_Metrics_2023_Consol_Source[[#This Row],[Total social units developed or newly built units acquired in-year]] / VfM_Metrics_2023_Consol_Source[[#This Row],[Social housing units owned (period end)]], "n/a" )</f>
        <v>1.14780004990435E-2</v>
      </c>
      <c r="O62" s="5">
        <f xml:space="preserve"> SUM( VfM_Metrics_2023_Consol_Source[[#This Row],[Total social units developed or newly built units acquired in-year (owned)]], VfM_Metrics_2023_Consol_Source[[#This Row],[Total social leasehold units developed or newly built units acquired in-year (owned)]] )</f>
        <v>138</v>
      </c>
      <c r="P62" s="84" vm="2970">
        <v>138</v>
      </c>
      <c r="Q62" s="83" vm="2971">
        <v>0</v>
      </c>
      <c r="R62" s="5">
        <f xml:space="preserve"> SUM( VfM_Metrics_2023_Consol_Source[[#This Row],[Total social housing units owned (Period end)]], VfM_Metrics_2023_Consol_Source[[#This Row],[Total social leasehold units owned (Period end)]] )</f>
        <v>12023</v>
      </c>
      <c r="S62" s="84" vm="7851">
        <v>11426</v>
      </c>
      <c r="T62" s="83" vm="2972">
        <v>597</v>
      </c>
      <c r="U62" s="86">
        <f xml:space="preserve"> IFERROR( VfM_Metrics_2023_Consol_Source[[#This Row],[Total non-social housing units developed or newly built units acquired (owned)]] / VfM_Metrics_2023_Consol_Source[[#This Row],[Total social and non-social housing units owned (Period end)]], "n/a" )</f>
        <v>0</v>
      </c>
      <c r="V6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62" s="83" vm="2973">
        <v>0</v>
      </c>
      <c r="X62" s="83" vm="2974">
        <v>0</v>
      </c>
      <c r="Y62" s="83" vm="7474">
        <v>0</v>
      </c>
      <c r="Z6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12023</v>
      </c>
      <c r="AA62" s="84" vm="2535">
        <v>11426</v>
      </c>
      <c r="AB62" s="83" vm="2972">
        <v>597</v>
      </c>
      <c r="AC62" s="83" vm="3461">
        <v>0</v>
      </c>
      <c r="AD62" s="83" vm="2975">
        <v>0</v>
      </c>
      <c r="AE62" s="7">
        <f xml:space="preserve"> IFERROR( VfM_Metrics_2023_Consol_Source[[#This Row],[Total Net Debt]] / VfM_Metrics_2023_Consol_Source[[#This Row],[Net Book Value of Housing Properties2]], "n/a" )</f>
        <v>0.13625390941735202</v>
      </c>
      <c r="AF6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29407</v>
      </c>
      <c r="AG62" s="84" vm="2976">
        <v>0</v>
      </c>
      <c r="AH62" s="83" vm="2977">
        <v>31974</v>
      </c>
      <c r="AI62" s="83" vm="2978">
        <v>2567</v>
      </c>
      <c r="AJ62" s="83" vm="2979">
        <v>0</v>
      </c>
      <c r="AK62" s="83" vm="2980">
        <v>0</v>
      </c>
      <c r="AL62" s="5">
        <f xml:space="preserve"> SUM( VfM_Metrics_2023_Consol_Source[[#This Row],[Tangible fixed assets: Housing properties at cost (Current period)2]], VfM_Metrics_2023_Consol_Source[[#This Row],[Tangible fixed assets Housing properties at valuation (Current period)2]] )</f>
        <v>215825</v>
      </c>
      <c r="AM62" s="84" vm="2968">
        <v>215825</v>
      </c>
      <c r="AN62" s="83" vm="2969">
        <v>0</v>
      </c>
      <c r="AO62" s="87">
        <f xml:space="preserve"> IFERROR( VfM_Metrics_2023_Consol_Source[[#This Row],[EBITDA MRI]] / VfM_Metrics_2023_Consol_Source[[#This Row],[Total interest]], "n/a" )</f>
        <v>1.0392087601554221</v>
      </c>
      <c r="AP6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2942</v>
      </c>
      <c r="AQ62" s="84" vm="2981">
        <v>10160</v>
      </c>
      <c r="AR62" s="84" vm="2982">
        <v>2555</v>
      </c>
      <c r="AS62" s="84" vm="2983">
        <v>0</v>
      </c>
      <c r="AT62" s="84" vm="2984">
        <v>230</v>
      </c>
      <c r="AU62" s="84" vm="2985">
        <v>0</v>
      </c>
      <c r="AV62" s="84" vm="2986">
        <v>84</v>
      </c>
      <c r="AW62" s="84" vm="2987">
        <v>12016</v>
      </c>
      <c r="AX62" s="84" vm="2988">
        <v>7499</v>
      </c>
      <c r="AY62" s="3">
        <f xml:space="preserve"> - SUM( VfM_Metrics_2023_Consol_Source[[#This Row],[Interest capitalised]], VfM_Metrics_2023_Consol_Source[[#This Row],[Interest payable and financing costs]] )</f>
        <v>2831</v>
      </c>
      <c r="AZ62" s="84" vm="2989">
        <v>-750</v>
      </c>
      <c r="BA62" s="83" vm="2990">
        <v>-2081</v>
      </c>
      <c r="BB62" s="8">
        <f xml:space="preserve"> IFERROR( ( VfM_Metrics_2023_Consol_Source[[#This Row],[Total Costs]] / VfM_Metrics_2023_Consol_Source[[#This Row],[Total units for costs]] ) * 1000, "n/a" )</f>
        <v>4241.8169088044806</v>
      </c>
      <c r="BC6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48467</v>
      </c>
      <c r="BD62" s="84" vm="2991">
        <v>13720</v>
      </c>
      <c r="BE62" s="83" vm="2992">
        <v>3627</v>
      </c>
      <c r="BF62" s="83" vm="2993">
        <v>9005</v>
      </c>
      <c r="BG62" s="83" vm="2994">
        <v>3748</v>
      </c>
      <c r="BH62" s="83" vm="2995">
        <v>5746</v>
      </c>
      <c r="BI62" s="83" vm="2996">
        <v>0</v>
      </c>
      <c r="BJ62" s="83" vm="2987">
        <v>12016</v>
      </c>
      <c r="BK62" s="83" vm="2997">
        <v>0</v>
      </c>
      <c r="BL62" s="83" vm="2998">
        <v>172</v>
      </c>
      <c r="BM62" s="83" vm="2999">
        <v>0</v>
      </c>
      <c r="BN62" s="83" vm="3000">
        <v>433</v>
      </c>
      <c r="BO62" s="83" vm="7470">
        <v>0</v>
      </c>
      <c r="BP62" s="5" vm="2963">
        <f xml:space="preserve"> VfM_Metrics_2023_Consol_Source[[#This Row],[Total social housing units owned and/or managed at period end]]</f>
        <v>11426</v>
      </c>
      <c r="BQ62" s="84" vm="2963">
        <v>11426</v>
      </c>
      <c r="BR62" s="7">
        <f xml:space="preserve"> IFERROR( VfM_Metrics_2023_Consol_Source[[#This Row],[SHL operating surplus / (deficit)]] / VfM_Metrics_2023_Consol_Source[[#This Row],[Turnover from social housing lettings]], "n/a" )</f>
        <v>0.13733262340018537</v>
      </c>
      <c r="BS62" s="5" vm="3001">
        <f xml:space="preserve"> VfM_Metrics_2023_Consol_Source[[#This Row],[Operating surplus/(deficit) (social housing lettings)]]</f>
        <v>6964</v>
      </c>
      <c r="BT62" s="84" vm="3001">
        <v>6964</v>
      </c>
      <c r="BU62" s="5" vm="3002">
        <f xml:space="preserve"> VfM_Metrics_2023_Consol_Source[[#This Row],[Turnover from social housing lettings]]</f>
        <v>50709</v>
      </c>
      <c r="BV62" s="84" vm="3002">
        <v>50709</v>
      </c>
      <c r="BW62" s="7">
        <f xml:space="preserve"> IFERROR( VfM_Metrics_2023_Consol_Source[[#This Row],[Net operating surplus]] / VfM_Metrics_2023_Consol_Source[[#This Row],[Overall turnover]], "n/a" )</f>
        <v>0.14005009023608705</v>
      </c>
      <c r="BX6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7605</v>
      </c>
      <c r="BY62" s="84" vm="2981">
        <v>10160</v>
      </c>
      <c r="BZ62" s="83" vm="2982">
        <v>2555</v>
      </c>
      <c r="CA62" s="83" vm="2983">
        <v>0</v>
      </c>
      <c r="CB62" s="5" vm="7687">
        <f xml:space="preserve"> VfM_Metrics_2023_Consol_Source[[#This Row],[Turnover (overall)]]</f>
        <v>54302</v>
      </c>
      <c r="CC62" s="84" vm="7687">
        <v>54302</v>
      </c>
      <c r="CD62" s="7">
        <f xml:space="preserve"> IFERROR( VfM_Metrics_2023_Consol_Source[[#This Row],[Operating surplus including from JVs]] / VfM_Metrics_2023_Consol_Source[[#This Row],[Net assets]], "n/a" )</f>
        <v>4.0441191104530129E-2</v>
      </c>
      <c r="CE62" s="5">
        <f xml:space="preserve"> SUM( VfM_Metrics_2023_Consol_Source[[#This Row],[Operating surplus/(deficit) (overall)3]], VfM_Metrics_2023_Consol_Source[[#This Row],[Share of operating surplus/(deficit) in joint ventures or associates]] )</f>
        <v>10160</v>
      </c>
      <c r="CF62" s="84" vm="2805">
        <v>10160</v>
      </c>
      <c r="CG62" s="83" vm="3003">
        <v>0</v>
      </c>
      <c r="CH62" s="5" vm="6416">
        <f xml:space="preserve"> VfM_Metrics_2023_Consol_Source[[#This Row],[Total assets less current liabilities]]</f>
        <v>251229</v>
      </c>
      <c r="CI62" s="84" vm="6416">
        <v>251229</v>
      </c>
      <c r="CJ62" s="71" vm="7851">
        <f xml:space="preserve"> VfM_Metrics_2023_Consol_Source[[#This Row],[Total social housing units owned (Period end)]]</f>
        <v>11426</v>
      </c>
      <c r="CK62" s="103">
        <v>0</v>
      </c>
      <c r="CL62" s="6">
        <f xml:space="preserve"> -- ( VfM_Metrics_2023_Consol_Source[[#This Row],[% Supported housing (excl. HOP)]] &gt; 0.3 )</f>
        <v>0</v>
      </c>
      <c r="CM62" s="103">
        <v>0</v>
      </c>
      <c r="CN62" s="6">
        <f xml:space="preserve"> -- ( VfM_Metrics_2023_Consol_Source[[#This Row],[% Housing for older people]] &gt; 0.3 )</f>
        <v>0</v>
      </c>
      <c r="CO62" s="103">
        <f xml:space="preserve"> VfM_Metrics_2023_Consol_Source[[#This Row],[% Supported housing (excl. HOP)]] + VfM_Metrics_2023_Consol_Source[[#This Row],[% Housing for older people]]</f>
        <v>0</v>
      </c>
      <c r="CP62" s="6">
        <f xml:space="preserve"> -- ( VfM_Metrics_2023_Consol_Source[[#This Row],[SH specialist in RSH analysis]] + VfM_Metrics_2023_Consol_Source[[#This Row],[OP specialist in RSH analysis]] &gt; 0 )</f>
        <v>0</v>
      </c>
      <c r="CQ62" s="10">
        <f xml:space="preserve"> -- ( VfM_Metrics_2023_Consol_Source[[#This Row],[% SH and OP]] &gt; 0.3 )</f>
        <v>0</v>
      </c>
      <c r="CR62" s="104" t="s">
        <v>143</v>
      </c>
      <c r="CS62" s="124"/>
      <c r="CT62" s="105" t="s">
        <v>151</v>
      </c>
      <c r="CU6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62" s="85">
        <v>0</v>
      </c>
      <c r="CW62" s="85">
        <v>0</v>
      </c>
      <c r="CX62" s="85">
        <v>0</v>
      </c>
      <c r="CY62" s="85">
        <v>0</v>
      </c>
      <c r="CZ62" s="85">
        <v>0</v>
      </c>
      <c r="DA62" s="85">
        <v>0</v>
      </c>
      <c r="DB62" s="85">
        <v>0</v>
      </c>
      <c r="DC62" s="85">
        <v>1</v>
      </c>
      <c r="DD62" s="85">
        <v>0</v>
      </c>
      <c r="DE62" s="13">
        <v>0.96105917141044694</v>
      </c>
    </row>
    <row r="63" spans="1:109" x14ac:dyDescent="0.25">
      <c r="A63" s="4" t="s" vm="224">
        <v>250</v>
      </c>
      <c r="B63" s="2" t="s" vm="53">
        <v>251</v>
      </c>
      <c r="C63" s="72" vm="570">
        <v>45016</v>
      </c>
      <c r="D63" s="7">
        <f>IFERROR( VfM_Metrics_2023_Consol_Source[[#This Row],[Reinvestment Spend]] / VfM_Metrics_2023_Consol_Source[[#This Row],[Net Book Value of Housing Properties]], "n/a" )</f>
        <v>3.6396893874029335E-2</v>
      </c>
      <c r="E6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5273</v>
      </c>
      <c r="F63" s="83" vm="1111">
        <v>3333</v>
      </c>
      <c r="G63" s="83" vm="1112">
        <v>0</v>
      </c>
      <c r="H63" s="83" vm="8537">
        <v>1874</v>
      </c>
      <c r="I63" s="83" vm="8803">
        <v>66</v>
      </c>
      <c r="J63" s="83" vm="1113">
        <v>0</v>
      </c>
      <c r="K63" s="5">
        <f xml:space="preserve"> SUM( VfM_Metrics_2023_Consol_Source[[#This Row],[Tangible fixed assets: Housing properties at cost (Current period)]],VfM_Metrics_2023_Consol_Source[[#This Row],[Tangible fixed assets Housing properties at valuation (Current period)]] )</f>
        <v>144875</v>
      </c>
      <c r="L63" s="84" vm="1453">
        <v>144875</v>
      </c>
      <c r="M63" s="83">
        <v>0</v>
      </c>
      <c r="N63" s="7">
        <f xml:space="preserve"> IFERROR( VfM_Metrics_2023_Consol_Source[[#This Row],[Total social units developed or newly built units acquired in-year]] / VfM_Metrics_2023_Consol_Source[[#This Row],[Social housing units owned (period end)]], "n/a" )</f>
        <v>5.7042562527424307E-3</v>
      </c>
      <c r="O63" s="5">
        <f xml:space="preserve"> SUM( VfM_Metrics_2023_Consol_Source[[#This Row],[Total social units developed or newly built units acquired in-year (owned)]], VfM_Metrics_2023_Consol_Source[[#This Row],[Total social leasehold units developed or newly built units acquired in-year (owned)]] )</f>
        <v>13</v>
      </c>
      <c r="P63" s="84" vm="1116">
        <v>13</v>
      </c>
      <c r="Q63" s="83">
        <v>0</v>
      </c>
      <c r="R63" s="5">
        <f xml:space="preserve"> SUM( VfM_Metrics_2023_Consol_Source[[#This Row],[Total social housing units owned (Period end)]], VfM_Metrics_2023_Consol_Source[[#This Row],[Total social leasehold units owned (Period end)]] )</f>
        <v>2279</v>
      </c>
      <c r="S63" s="84" vm="1301">
        <v>2276</v>
      </c>
      <c r="T63" s="83" vm="1117">
        <v>3</v>
      </c>
      <c r="U63" s="86">
        <f xml:space="preserve"> IFERROR( VfM_Metrics_2023_Consol_Source[[#This Row],[Total non-social housing units developed or newly built units acquired (owned)]] / VfM_Metrics_2023_Consol_Source[[#This Row],[Total social and non-social housing units owned (Period end)]], "n/a" )</f>
        <v>0</v>
      </c>
      <c r="V6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63" s="83">
        <v>0</v>
      </c>
      <c r="X63" s="83">
        <v>0</v>
      </c>
      <c r="Y63" s="83" vm="1118">
        <v>0</v>
      </c>
      <c r="Z6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2284</v>
      </c>
      <c r="AA63" s="84" vm="8646">
        <v>2276</v>
      </c>
      <c r="AB63" s="83" vm="8533">
        <v>3</v>
      </c>
      <c r="AC63" s="83" vm="8804">
        <v>5</v>
      </c>
      <c r="AD63" s="83" vm="8807">
        <v>0</v>
      </c>
      <c r="AE63" s="7">
        <f xml:space="preserve"> IFERROR( VfM_Metrics_2023_Consol_Source[[#This Row],[Total Net Debt]] / VfM_Metrics_2023_Consol_Source[[#This Row],[Net Book Value of Housing Properties2]], "n/a" )</f>
        <v>0.38511820534943919</v>
      </c>
      <c r="AF6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55794</v>
      </c>
      <c r="AG63" s="84" vm="1119">
        <v>160</v>
      </c>
      <c r="AH63" s="83" vm="1120">
        <v>47347</v>
      </c>
      <c r="AI63" s="83" vm="903">
        <v>2491</v>
      </c>
      <c r="AJ63" s="83" vm="1675">
        <v>0</v>
      </c>
      <c r="AK63" s="83" vm="1121">
        <v>10778</v>
      </c>
      <c r="AL63" s="5">
        <f xml:space="preserve"> SUM( VfM_Metrics_2023_Consol_Source[[#This Row],[Tangible fixed assets: Housing properties at cost (Current period)2]], VfM_Metrics_2023_Consol_Source[[#This Row],[Tangible fixed assets Housing properties at valuation (Current period)2]] )</f>
        <v>144875</v>
      </c>
      <c r="AM63" s="84" vm="1086">
        <v>144875</v>
      </c>
      <c r="AN63" s="83">
        <v>0</v>
      </c>
      <c r="AO63" s="87">
        <f xml:space="preserve"> IFERROR( VfM_Metrics_2023_Consol_Source[[#This Row],[EBITDA MRI]] / VfM_Metrics_2023_Consol_Source[[#This Row],[Total interest]], "n/a" )</f>
        <v>1.7692967409948541</v>
      </c>
      <c r="AP6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4126</v>
      </c>
      <c r="AQ63" s="84" vm="1122">
        <v>3835</v>
      </c>
      <c r="AR63" s="84" vm="8535">
        <v>-60</v>
      </c>
      <c r="AS63" s="84">
        <v>0</v>
      </c>
      <c r="AT63" s="84" vm="1123">
        <v>405</v>
      </c>
      <c r="AU63" s="84" vm="8783">
        <v>0</v>
      </c>
      <c r="AV63" s="84" vm="944">
        <v>37</v>
      </c>
      <c r="AW63" s="84" vm="1124">
        <v>1874</v>
      </c>
      <c r="AX63" s="84" vm="1125">
        <v>2473</v>
      </c>
      <c r="AY63" s="3">
        <f xml:space="preserve"> - SUM( VfM_Metrics_2023_Consol_Source[[#This Row],[Interest capitalised]], VfM_Metrics_2023_Consol_Source[[#This Row],[Interest payable and financing costs]] )</f>
        <v>2332</v>
      </c>
      <c r="AZ63" s="84" vm="8644">
        <v>-66</v>
      </c>
      <c r="BA63" s="83" vm="1127">
        <v>-2266</v>
      </c>
      <c r="BB63" s="8">
        <f xml:space="preserve"> IFERROR( ( VfM_Metrics_2023_Consol_Source[[#This Row],[Total Costs]] / VfM_Metrics_2023_Consol_Source[[#This Row],[Total units for costs]] ) * 1000, "n/a" )</f>
        <v>4317.3496076721885</v>
      </c>
      <c r="BC6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9904</v>
      </c>
      <c r="BD63" s="84" vm="1128">
        <v>3551</v>
      </c>
      <c r="BE63" s="83" vm="8772">
        <v>1176</v>
      </c>
      <c r="BF63" s="83" vm="8703">
        <v>1741</v>
      </c>
      <c r="BG63" s="83" vm="1129">
        <v>753</v>
      </c>
      <c r="BH63" s="83" vm="8802">
        <v>725</v>
      </c>
      <c r="BI63" s="83" vm="1130">
        <v>0</v>
      </c>
      <c r="BJ63" s="83" vm="1124">
        <v>1874</v>
      </c>
      <c r="BK63" s="83" vm="8768">
        <v>84</v>
      </c>
      <c r="BL63" s="83">
        <v>0</v>
      </c>
      <c r="BM63" s="83">
        <v>0</v>
      </c>
      <c r="BN63" s="83">
        <v>0</v>
      </c>
      <c r="BO63" s="83">
        <v>0</v>
      </c>
      <c r="BP63" s="5" vm="1110">
        <f xml:space="preserve"> VfM_Metrics_2023_Consol_Source[[#This Row],[Total social housing units owned and/or managed at period end]]</f>
        <v>2294</v>
      </c>
      <c r="BQ63" s="84" vm="1110">
        <v>2294</v>
      </c>
      <c r="BR63" s="7">
        <f xml:space="preserve"> IFERROR( VfM_Metrics_2023_Consol_Source[[#This Row],[SHL operating surplus / (deficit)]] / VfM_Metrics_2023_Consol_Source[[#This Row],[Turnover from social housing lettings]], "n/a" )</f>
        <v>0.21776486196222125</v>
      </c>
      <c r="BS63" s="5" vm="1126">
        <f xml:space="preserve"> VfM_Metrics_2023_Consol_Source[[#This Row],[Operating surplus/(deficit) (social housing lettings)]]</f>
        <v>3447</v>
      </c>
      <c r="BT63" s="84" vm="1126">
        <v>3447</v>
      </c>
      <c r="BU63" s="5" vm="8632">
        <f xml:space="preserve"> VfM_Metrics_2023_Consol_Source[[#This Row],[Turnover from social housing lettings]]</f>
        <v>15829</v>
      </c>
      <c r="BV63" s="84" vm="8632">
        <v>15829</v>
      </c>
      <c r="BW63" s="7">
        <f xml:space="preserve"> IFERROR( VfM_Metrics_2023_Consol_Source[[#This Row],[Net operating surplus]] / VfM_Metrics_2023_Consol_Source[[#This Row],[Overall turnover]], "n/a" )</f>
        <v>0.23342922210236125</v>
      </c>
      <c r="BX6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3895</v>
      </c>
      <c r="BY63" s="84" vm="1122">
        <v>3835</v>
      </c>
      <c r="BZ63" s="83" vm="8756">
        <v>-60</v>
      </c>
      <c r="CA63" s="83">
        <v>0</v>
      </c>
      <c r="CB63" s="5" vm="7914">
        <f xml:space="preserve"> VfM_Metrics_2023_Consol_Source[[#This Row],[Turnover (overall)]]</f>
        <v>16686</v>
      </c>
      <c r="CC63" s="84" vm="7914">
        <v>16686</v>
      </c>
      <c r="CD63" s="7">
        <f xml:space="preserve"> IFERROR( VfM_Metrics_2023_Consol_Source[[#This Row],[Operating surplus including from JVs]] / VfM_Metrics_2023_Consol_Source[[#This Row],[Net assets]], "n/a" )</f>
        <v>2.5673124556494262E-2</v>
      </c>
      <c r="CE63" s="5">
        <f xml:space="preserve"> SUM( VfM_Metrics_2023_Consol_Source[[#This Row],[Operating surplus/(deficit) (overall)3]], VfM_Metrics_2023_Consol_Source[[#This Row],[Share of operating surplus/(deficit) in joint ventures or associates]] )</f>
        <v>3835</v>
      </c>
      <c r="CF63" s="84" vm="8545">
        <v>3835</v>
      </c>
      <c r="CG63" s="83">
        <v>0</v>
      </c>
      <c r="CH63" s="5" vm="1580">
        <f xml:space="preserve"> VfM_Metrics_2023_Consol_Source[[#This Row],[Total assets less current liabilities]]</f>
        <v>149378</v>
      </c>
      <c r="CI63" s="84" vm="1580">
        <v>149378</v>
      </c>
      <c r="CJ63" s="71" vm="1301">
        <f xml:space="preserve"> VfM_Metrics_2023_Consol_Source[[#This Row],[Total social housing units owned (Period end)]]</f>
        <v>2276</v>
      </c>
      <c r="CK63" s="103">
        <v>2.0255394099515631E-2</v>
      </c>
      <c r="CL63" s="6">
        <f xml:space="preserve"> -- ( VfM_Metrics_2023_Consol_Source[[#This Row],[% Supported housing (excl. HOP)]] &gt; 0.3 )</f>
        <v>0</v>
      </c>
      <c r="CM63" s="103">
        <v>0.20387494495816821</v>
      </c>
      <c r="CN63" s="6">
        <f xml:space="preserve"> -- ( VfM_Metrics_2023_Consol_Source[[#This Row],[% Housing for older people]] &gt; 0.3 )</f>
        <v>0</v>
      </c>
      <c r="CO63" s="103">
        <f xml:space="preserve"> VfM_Metrics_2023_Consol_Source[[#This Row],[% Supported housing (excl. HOP)]] + VfM_Metrics_2023_Consol_Source[[#This Row],[% Housing for older people]]</f>
        <v>0.22413033905768384</v>
      </c>
      <c r="CP63" s="6">
        <f xml:space="preserve"> -- ( VfM_Metrics_2023_Consol_Source[[#This Row],[SH specialist in RSH analysis]] + VfM_Metrics_2023_Consol_Source[[#This Row],[OP specialist in RSH analysis]] &gt; 0 )</f>
        <v>0</v>
      </c>
      <c r="CQ63" s="10">
        <f xml:space="preserve"> -- ( VfM_Metrics_2023_Consol_Source[[#This Row],[% SH and OP]] &gt; 0.3 )</f>
        <v>0</v>
      </c>
      <c r="CR63" s="104" t="s">
        <v>143</v>
      </c>
      <c r="CS63" s="124" t="s">
        <v>144</v>
      </c>
      <c r="CT63" s="105"/>
      <c r="CU6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63" s="85">
        <v>0</v>
      </c>
      <c r="CW63" s="85">
        <v>0</v>
      </c>
      <c r="CX63" s="85">
        <v>0</v>
      </c>
      <c r="CY63" s="85">
        <v>0</v>
      </c>
      <c r="CZ63" s="85">
        <v>0</v>
      </c>
      <c r="DA63" s="85">
        <v>1</v>
      </c>
      <c r="DB63" s="85">
        <v>0</v>
      </c>
      <c r="DC63" s="85">
        <v>0</v>
      </c>
      <c r="DD63" s="85">
        <v>0</v>
      </c>
      <c r="DE63" s="13">
        <v>1.0113701298544711</v>
      </c>
    </row>
    <row r="64" spans="1:109" x14ac:dyDescent="0.25">
      <c r="A64" s="4" t="s" vm="255">
        <v>252</v>
      </c>
      <c r="B64" s="2" t="s" vm="54">
        <v>253</v>
      </c>
      <c r="C64" s="72" vm="414">
        <v>45016</v>
      </c>
      <c r="D64" s="7">
        <f>IFERROR( VfM_Metrics_2023_Consol_Source[[#This Row],[Reinvestment Spend]] / VfM_Metrics_2023_Consol_Source[[#This Row],[Net Book Value of Housing Properties]], "n/a" )</f>
        <v>8.6372255379854865E-2</v>
      </c>
      <c r="E6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169767</v>
      </c>
      <c r="F64" s="83" vm="1891">
        <v>120895</v>
      </c>
      <c r="G64" s="83" vm="1892">
        <v>0</v>
      </c>
      <c r="H64" s="83" vm="8039">
        <v>47361</v>
      </c>
      <c r="I64" s="83" vm="1893">
        <v>1511</v>
      </c>
      <c r="J64" s="83" vm="8154">
        <v>0</v>
      </c>
      <c r="K64" s="5">
        <f xml:space="preserve"> SUM( VfM_Metrics_2023_Consol_Source[[#This Row],[Tangible fixed assets: Housing properties at cost (Current period)]],VfM_Metrics_2023_Consol_Source[[#This Row],[Tangible fixed assets Housing properties at valuation (Current period)]] )</f>
        <v>1965527</v>
      </c>
      <c r="L64" s="84" vm="8192">
        <v>1965527</v>
      </c>
      <c r="M64" s="83">
        <v>0</v>
      </c>
      <c r="N64" s="7">
        <f xml:space="preserve"> IFERROR( VfM_Metrics_2023_Consol_Source[[#This Row],[Total social units developed or newly built units acquired in-year]] / VfM_Metrics_2023_Consol_Source[[#This Row],[Social housing units owned (period end)]], "n/a" )</f>
        <v>1.9581155071611966E-2</v>
      </c>
      <c r="O64" s="5">
        <f xml:space="preserve"> SUM( VfM_Metrics_2023_Consol_Source[[#This Row],[Total social units developed or newly built units acquired in-year (owned)]], VfM_Metrics_2023_Consol_Source[[#This Row],[Total social leasehold units developed or newly built units acquired in-year (owned)]] )</f>
        <v>633</v>
      </c>
      <c r="P64" s="84" vm="1895">
        <v>633</v>
      </c>
      <c r="Q64" s="83">
        <v>0</v>
      </c>
      <c r="R64" s="5">
        <f xml:space="preserve"> SUM( VfM_Metrics_2023_Consol_Source[[#This Row],[Total social housing units owned (Period end)]], VfM_Metrics_2023_Consol_Source[[#This Row],[Total social leasehold units owned (Period end)]] )</f>
        <v>32327</v>
      </c>
      <c r="S64" s="84" vm="1889">
        <v>31550</v>
      </c>
      <c r="T64" s="83" vm="8190">
        <v>777</v>
      </c>
      <c r="U64" s="86">
        <f xml:space="preserve"> IFERROR( VfM_Metrics_2023_Consol_Source[[#This Row],[Total non-social housing units developed or newly built units acquired (owned)]] / VfM_Metrics_2023_Consol_Source[[#This Row],[Total social and non-social housing units owned (Period end)]], "n/a" )</f>
        <v>3.4260984552503455E-3</v>
      </c>
      <c r="V6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114</v>
      </c>
      <c r="W64" s="83">
        <v>0</v>
      </c>
      <c r="X64" s="83">
        <v>0</v>
      </c>
      <c r="Y64" s="83" vm="8036">
        <v>114</v>
      </c>
      <c r="Z6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33274</v>
      </c>
      <c r="AA64" s="84" vm="8089">
        <v>31550</v>
      </c>
      <c r="AB64" s="83" vm="1896">
        <v>777</v>
      </c>
      <c r="AC64" s="83" vm="7994">
        <v>947</v>
      </c>
      <c r="AD64" s="83" vm="1897">
        <v>0</v>
      </c>
      <c r="AE64" s="7">
        <f xml:space="preserve"> IFERROR( VfM_Metrics_2023_Consol_Source[[#This Row],[Total Net Debt]] / VfM_Metrics_2023_Consol_Source[[#This Row],[Net Book Value of Housing Properties2]], "n/a" )</f>
        <v>0.44532535040220766</v>
      </c>
      <c r="AF6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875299</v>
      </c>
      <c r="AG64" s="84" vm="1898">
        <v>14138</v>
      </c>
      <c r="AH64" s="83" vm="1899">
        <v>900669</v>
      </c>
      <c r="AI64" s="83" vm="1900">
        <v>60228</v>
      </c>
      <c r="AJ64" s="83" vm="1675">
        <v>0</v>
      </c>
      <c r="AK64" s="83" vm="1901">
        <v>20720</v>
      </c>
      <c r="AL64" s="5">
        <f xml:space="preserve"> SUM( VfM_Metrics_2023_Consol_Source[[#This Row],[Tangible fixed assets: Housing properties at cost (Current period)2]], VfM_Metrics_2023_Consol_Source[[#This Row],[Tangible fixed assets Housing properties at valuation (Current period)2]] )</f>
        <v>1965527</v>
      </c>
      <c r="AM64" s="84" vm="1587">
        <v>1965527</v>
      </c>
      <c r="AN64" s="83">
        <v>0</v>
      </c>
      <c r="AO64" s="87">
        <f xml:space="preserve"> IFERROR( VfM_Metrics_2023_Consol_Source[[#This Row],[EBITDA MRI]] / VfM_Metrics_2023_Consol_Source[[#This Row],[Total interest]], "n/a" )</f>
        <v>1.305652559928973</v>
      </c>
      <c r="AP6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44118</v>
      </c>
      <c r="AQ64" s="84" vm="1902">
        <v>78538</v>
      </c>
      <c r="AR64" s="84" vm="1903">
        <v>17750</v>
      </c>
      <c r="AS64" s="84" vm="1904">
        <v>23</v>
      </c>
      <c r="AT64" s="84" vm="8016">
        <v>2392</v>
      </c>
      <c r="AU64" s="84" vm="1905">
        <v>0</v>
      </c>
      <c r="AV64" s="84" vm="1906">
        <v>1717</v>
      </c>
      <c r="AW64" s="84" vm="1907">
        <v>47361</v>
      </c>
      <c r="AX64" s="84" vm="1908">
        <v>31389</v>
      </c>
      <c r="AY64" s="3">
        <f xml:space="preserve"> - SUM( VfM_Metrics_2023_Consol_Source[[#This Row],[Interest capitalised]], VfM_Metrics_2023_Consol_Source[[#This Row],[Interest payable and financing costs]] )</f>
        <v>33790</v>
      </c>
      <c r="AZ64" s="84" vm="7992">
        <v>-1511</v>
      </c>
      <c r="BA64" s="83" vm="8189">
        <v>-32279</v>
      </c>
      <c r="BB64" s="8">
        <f xml:space="preserve"> IFERROR( ( VfM_Metrics_2023_Consol_Source[[#This Row],[Total Costs]] / VfM_Metrics_2023_Consol_Source[[#This Row],[Total units for costs]] ) * 1000, "n/a" )</f>
        <v>4380.3738906023791</v>
      </c>
      <c r="BC6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139182</v>
      </c>
      <c r="BD64" s="84" vm="7980">
        <v>31735</v>
      </c>
      <c r="BE64" s="83" vm="3058">
        <v>9952</v>
      </c>
      <c r="BF64" s="83" vm="1909">
        <v>38308</v>
      </c>
      <c r="BG64" s="83" vm="7990">
        <v>6662</v>
      </c>
      <c r="BH64" s="83" vm="1910">
        <v>0</v>
      </c>
      <c r="BI64" s="83" vm="8072">
        <v>0</v>
      </c>
      <c r="BJ64" s="83" vm="817">
        <v>47361</v>
      </c>
      <c r="BK64" s="83" vm="7663">
        <v>5164</v>
      </c>
      <c r="BL64" s="83">
        <v>0</v>
      </c>
      <c r="BM64" s="83">
        <v>0</v>
      </c>
      <c r="BN64" s="83">
        <v>0</v>
      </c>
      <c r="BO64" s="83">
        <v>0</v>
      </c>
      <c r="BP64" s="5" vm="1890">
        <f xml:space="preserve"> VfM_Metrics_2023_Consol_Source[[#This Row],[Total social housing units owned and/or managed at period end]]</f>
        <v>31774</v>
      </c>
      <c r="BQ64" s="84" vm="1890">
        <v>31774</v>
      </c>
      <c r="BR64" s="7">
        <f xml:space="preserve"> IFERROR( VfM_Metrics_2023_Consol_Source[[#This Row],[SHL operating surplus / (deficit)]] / VfM_Metrics_2023_Consol_Source[[#This Row],[Turnover from social housing lettings]], "n/a" )</f>
        <v>0.28380265231643226</v>
      </c>
      <c r="BS64" s="5" vm="8247">
        <f xml:space="preserve"> VfM_Metrics_2023_Consol_Source[[#This Row],[Operating surplus/(deficit) (social housing lettings)]]</f>
        <v>47359</v>
      </c>
      <c r="BT64" s="84" vm="8247">
        <v>47359</v>
      </c>
      <c r="BU64" s="5" vm="1912">
        <f xml:space="preserve"> VfM_Metrics_2023_Consol_Source[[#This Row],[Turnover from social housing lettings]]</f>
        <v>166873</v>
      </c>
      <c r="BV64" s="84" vm="1912">
        <v>166873</v>
      </c>
      <c r="BW64" s="7">
        <f xml:space="preserve"> IFERROR( VfM_Metrics_2023_Consol_Source[[#This Row],[Net operating surplus]] / VfM_Metrics_2023_Consol_Source[[#This Row],[Overall turnover]], "n/a" )</f>
        <v>0.24284338370173805</v>
      </c>
      <c r="BX6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60765</v>
      </c>
      <c r="BY64" s="84" vm="1902">
        <v>78538</v>
      </c>
      <c r="BZ64" s="83" vm="7950">
        <v>17750</v>
      </c>
      <c r="CA64" s="83" vm="1904">
        <v>23</v>
      </c>
      <c r="CB64" s="5" vm="1913">
        <f xml:space="preserve"> VfM_Metrics_2023_Consol_Source[[#This Row],[Turnover (overall)]]</f>
        <v>250223</v>
      </c>
      <c r="CC64" s="84" vm="1913">
        <v>250223</v>
      </c>
      <c r="CD64" s="7">
        <f xml:space="preserve"> IFERROR( VfM_Metrics_2023_Consol_Source[[#This Row],[Operating surplus including from JVs]] / VfM_Metrics_2023_Consol_Source[[#This Row],[Net assets]], "n/a" )</f>
        <v>3.7180599218135081E-2</v>
      </c>
      <c r="CE64" s="5">
        <f xml:space="preserve"> SUM( VfM_Metrics_2023_Consol_Source[[#This Row],[Operating surplus/(deficit) (overall)3]], VfM_Metrics_2023_Consol_Source[[#This Row],[Share of operating surplus/(deficit) in joint ventures or associates]] )</f>
        <v>79643</v>
      </c>
      <c r="CF64" s="84" vm="7105">
        <v>78538</v>
      </c>
      <c r="CG64" s="83" vm="1915">
        <v>1105</v>
      </c>
      <c r="CH64" s="5" vm="1914">
        <f xml:space="preserve"> VfM_Metrics_2023_Consol_Source[[#This Row],[Total assets less current liabilities]]</f>
        <v>2142058</v>
      </c>
      <c r="CI64" s="84" vm="1914">
        <v>2142058</v>
      </c>
      <c r="CJ64" s="71" vm="1889">
        <f xml:space="preserve"> VfM_Metrics_2023_Consol_Source[[#This Row],[Total social housing units owned (Period end)]]</f>
        <v>31550</v>
      </c>
      <c r="CK64" s="103">
        <v>7.7697108648579795E-3</v>
      </c>
      <c r="CL64" s="6">
        <f xml:space="preserve"> -- ( VfM_Metrics_2023_Consol_Source[[#This Row],[% Supported housing (excl. HOP)]] &gt; 0.3 )</f>
        <v>0</v>
      </c>
      <c r="CM64" s="103">
        <v>1.3437778626926506E-2</v>
      </c>
      <c r="CN64" s="6">
        <f xml:space="preserve"> -- ( VfM_Metrics_2023_Consol_Source[[#This Row],[% Housing for older people]] &gt; 0.3 )</f>
        <v>0</v>
      </c>
      <c r="CO64" s="103">
        <f xml:space="preserve"> VfM_Metrics_2023_Consol_Source[[#This Row],[% Supported housing (excl. HOP)]] + VfM_Metrics_2023_Consol_Source[[#This Row],[% Housing for older people]]</f>
        <v>2.1207489491784484E-2</v>
      </c>
      <c r="CP64" s="6">
        <f xml:space="preserve"> -- ( VfM_Metrics_2023_Consol_Source[[#This Row],[SH specialist in RSH analysis]] + VfM_Metrics_2023_Consol_Source[[#This Row],[OP specialist in RSH analysis]] &gt; 0 )</f>
        <v>0</v>
      </c>
      <c r="CQ64" s="10">
        <f xml:space="preserve"> -- ( VfM_Metrics_2023_Consol_Source[[#This Row],[% SH and OP]] &gt; 0.3 )</f>
        <v>0</v>
      </c>
      <c r="CR64" s="104" t="s">
        <v>143</v>
      </c>
      <c r="CS64" s="124"/>
      <c r="CT64" s="105" t="s">
        <v>151</v>
      </c>
      <c r="CU6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64" s="85">
        <v>0</v>
      </c>
      <c r="CW64" s="85">
        <v>0</v>
      </c>
      <c r="CX64" s="85">
        <v>0</v>
      </c>
      <c r="CY64" s="85">
        <v>0</v>
      </c>
      <c r="CZ64" s="85">
        <v>0</v>
      </c>
      <c r="DA64" s="85">
        <v>1</v>
      </c>
      <c r="DB64" s="85">
        <v>0</v>
      </c>
      <c r="DC64" s="85">
        <v>0</v>
      </c>
      <c r="DD64" s="85">
        <v>0</v>
      </c>
      <c r="DE64" s="13">
        <v>1.0113701298544711</v>
      </c>
    </row>
    <row r="65" spans="1:109" x14ac:dyDescent="0.25">
      <c r="A65" s="4" t="s" vm="296">
        <v>254</v>
      </c>
      <c r="B65" s="2" t="s" vm="55">
        <v>255</v>
      </c>
      <c r="C65" s="72" vm="503">
        <v>45016</v>
      </c>
      <c r="D65" s="7">
        <f>IFERROR( VfM_Metrics_2023_Consol_Source[[#This Row],[Reinvestment Spend]] / VfM_Metrics_2023_Consol_Source[[#This Row],[Net Book Value of Housing Properties]], "n/a" )</f>
        <v>6.7141445545031694E-2</v>
      </c>
      <c r="E6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27859</v>
      </c>
      <c r="F65" s="83" vm="3211">
        <v>15538</v>
      </c>
      <c r="G65" s="83" vm="3212">
        <v>0</v>
      </c>
      <c r="H65" s="83" vm="3213">
        <v>12321</v>
      </c>
      <c r="I65" s="83" vm="3214">
        <v>0</v>
      </c>
      <c r="J65" s="83" vm="3215">
        <v>0</v>
      </c>
      <c r="K65" s="5">
        <f xml:space="preserve"> SUM( VfM_Metrics_2023_Consol_Source[[#This Row],[Tangible fixed assets: Housing properties at cost (Current period)]],VfM_Metrics_2023_Consol_Source[[#This Row],[Tangible fixed assets Housing properties at valuation (Current period)]] )</f>
        <v>414930</v>
      </c>
      <c r="L65" s="84" vm="3216">
        <v>414930</v>
      </c>
      <c r="M65" s="83">
        <v>0</v>
      </c>
      <c r="N65" s="7">
        <f xml:space="preserve"> IFERROR( VfM_Metrics_2023_Consol_Source[[#This Row],[Total social units developed or newly built units acquired in-year]] / VfM_Metrics_2023_Consol_Source[[#This Row],[Social housing units owned (period end)]], "n/a" )</f>
        <v>8.9376053962900506E-3</v>
      </c>
      <c r="O65" s="5">
        <f xml:space="preserve"> SUM( VfM_Metrics_2023_Consol_Source[[#This Row],[Total social units developed or newly built units acquired in-year (owned)]], VfM_Metrics_2023_Consol_Source[[#This Row],[Total social leasehold units developed or newly built units acquired in-year (owned)]] )</f>
        <v>159</v>
      </c>
      <c r="P65" s="84" vm="3217">
        <v>159</v>
      </c>
      <c r="Q65" s="83">
        <v>0</v>
      </c>
      <c r="R65" s="5">
        <f xml:space="preserve"> SUM( VfM_Metrics_2023_Consol_Source[[#This Row],[Total social housing units owned (Period end)]], VfM_Metrics_2023_Consol_Source[[#This Row],[Total social leasehold units owned (Period end)]] )</f>
        <v>17790</v>
      </c>
      <c r="S65" s="84" vm="3209">
        <v>17790</v>
      </c>
      <c r="T65" s="83" vm="7559">
        <v>0</v>
      </c>
      <c r="U65" s="86">
        <f xml:space="preserve"> IFERROR( VfM_Metrics_2023_Consol_Source[[#This Row],[Total non-social housing units developed or newly built units acquired (owned)]] / VfM_Metrics_2023_Consol_Source[[#This Row],[Total social and non-social housing units owned (Period end)]], "n/a" )</f>
        <v>1.4838569409718448E-2</v>
      </c>
      <c r="V6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273</v>
      </c>
      <c r="W65" s="83" vm="1927">
        <v>273</v>
      </c>
      <c r="X65" s="83">
        <v>0</v>
      </c>
      <c r="Y65" s="83" vm="3219">
        <v>0</v>
      </c>
      <c r="Z6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18398</v>
      </c>
      <c r="AA65" s="84" vm="3209">
        <v>17790</v>
      </c>
      <c r="AB65" s="83" vm="3218">
        <v>0</v>
      </c>
      <c r="AC65" s="83" vm="3220">
        <v>608</v>
      </c>
      <c r="AD65" s="83" vm="7462">
        <v>0</v>
      </c>
      <c r="AE65" s="7">
        <f xml:space="preserve"> IFERROR( VfM_Metrics_2023_Consol_Source[[#This Row],[Total Net Debt]] / VfM_Metrics_2023_Consol_Source[[#This Row],[Net Book Value of Housing Properties2]], "n/a" )</f>
        <v>0.48408888246210202</v>
      </c>
      <c r="AF6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200863</v>
      </c>
      <c r="AG65" s="84" vm="3221">
        <v>15255</v>
      </c>
      <c r="AH65" s="83" vm="3222">
        <v>190964</v>
      </c>
      <c r="AI65" s="83" vm="7743">
        <v>5356</v>
      </c>
      <c r="AJ65" s="83" vm="1675">
        <v>0</v>
      </c>
      <c r="AK65" s="83">
        <v>0</v>
      </c>
      <c r="AL65" s="5">
        <f xml:space="preserve"> SUM( VfM_Metrics_2023_Consol_Source[[#This Row],[Tangible fixed assets: Housing properties at cost (Current period)2]], VfM_Metrics_2023_Consol_Source[[#This Row],[Tangible fixed assets Housing properties at valuation (Current period)2]] )</f>
        <v>414930</v>
      </c>
      <c r="AM65" s="84" vm="3216">
        <v>414930</v>
      </c>
      <c r="AN65" s="83">
        <v>0</v>
      </c>
      <c r="AO65" s="87">
        <f xml:space="preserve"> IFERROR( VfM_Metrics_2023_Consol_Source[[#This Row],[EBITDA MRI]] / VfM_Metrics_2023_Consol_Source[[#This Row],[Total interest]], "n/a" )</f>
        <v>1.4383534533940234</v>
      </c>
      <c r="AP6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14536</v>
      </c>
      <c r="AQ65" s="84" vm="3223">
        <v>22717</v>
      </c>
      <c r="AR65" s="84" vm="3224">
        <v>6496</v>
      </c>
      <c r="AS65" s="84">
        <v>0</v>
      </c>
      <c r="AT65" s="84" vm="3225">
        <v>4016</v>
      </c>
      <c r="AU65" s="84" vm="3226">
        <v>0</v>
      </c>
      <c r="AV65" s="84" vm="7721">
        <v>254</v>
      </c>
      <c r="AW65" s="84" vm="3227">
        <v>14252</v>
      </c>
      <c r="AX65" s="84" vm="3228">
        <v>16329</v>
      </c>
      <c r="AY65" s="3">
        <f xml:space="preserve"> - SUM( VfM_Metrics_2023_Consol_Source[[#This Row],[Interest capitalised]], VfM_Metrics_2023_Consol_Source[[#This Row],[Interest payable and financing costs]] )</f>
        <v>10106</v>
      </c>
      <c r="AZ65" s="84">
        <v>0</v>
      </c>
      <c r="BA65" s="83" vm="3229">
        <v>-10106</v>
      </c>
      <c r="BB65" s="8">
        <f xml:space="preserve"> IFERROR( ( VfM_Metrics_2023_Consol_Source[[#This Row],[Total Costs]] / VfM_Metrics_2023_Consol_Source[[#This Row],[Total units for costs]] ) * 1000, "n/a" )</f>
        <v>4025.4138894861321</v>
      </c>
      <c r="BC6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93611</v>
      </c>
      <c r="BD65" s="84" vm="3230">
        <v>24004</v>
      </c>
      <c r="BE65" s="83" vm="3231">
        <v>4301</v>
      </c>
      <c r="BF65" s="83" vm="3232">
        <v>18301</v>
      </c>
      <c r="BG65" s="83" vm="3233">
        <v>7053</v>
      </c>
      <c r="BH65" s="83" vm="3234">
        <v>1808</v>
      </c>
      <c r="BI65" s="83" vm="3191">
        <v>0</v>
      </c>
      <c r="BJ65" s="83" vm="7683">
        <v>14252</v>
      </c>
      <c r="BK65" s="83" vm="3236">
        <v>2917</v>
      </c>
      <c r="BL65" s="83" vm="3237">
        <v>0</v>
      </c>
      <c r="BM65" s="83">
        <v>0</v>
      </c>
      <c r="BN65" s="83" vm="3239">
        <v>20169</v>
      </c>
      <c r="BO65" s="83" vm="2565">
        <v>806</v>
      </c>
      <c r="BP65" s="5" vm="3210">
        <f xml:space="preserve"> VfM_Metrics_2023_Consol_Source[[#This Row],[Total social housing units owned and/or managed at period end]]</f>
        <v>23255</v>
      </c>
      <c r="BQ65" s="84" vm="3210">
        <v>23255</v>
      </c>
      <c r="BR65" s="7">
        <f xml:space="preserve"> IFERROR( VfM_Metrics_2023_Consol_Source[[#This Row],[SHL operating surplus / (deficit)]] / VfM_Metrics_2023_Consol_Source[[#This Row],[Turnover from social housing lettings]], "n/a" )</f>
        <v>0.15348069276905452</v>
      </c>
      <c r="BS65" s="5" vm="7742">
        <f xml:space="preserve"> VfM_Metrics_2023_Consol_Source[[#This Row],[Operating surplus/(deficit) (social housing lettings)]]</f>
        <v>13665</v>
      </c>
      <c r="BT65" s="84" vm="7742">
        <v>13665</v>
      </c>
      <c r="BU65" s="5" vm="3240">
        <f xml:space="preserve"> VfM_Metrics_2023_Consol_Source[[#This Row],[Turnover from social housing lettings]]</f>
        <v>89034</v>
      </c>
      <c r="BV65" s="84" vm="3240">
        <v>89034</v>
      </c>
      <c r="BW65" s="7">
        <f xml:space="preserve"> IFERROR( VfM_Metrics_2023_Consol_Source[[#This Row],[Net operating surplus]] / VfM_Metrics_2023_Consol_Source[[#This Row],[Overall turnover]], "n/a" )</f>
        <v>0.12834592712742809</v>
      </c>
      <c r="BX6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16221</v>
      </c>
      <c r="BY65" s="84" vm="3223">
        <v>22717</v>
      </c>
      <c r="BZ65" s="83" vm="3224">
        <v>6496</v>
      </c>
      <c r="CA65" s="83">
        <v>0</v>
      </c>
      <c r="CB65" s="5" vm="3241">
        <f xml:space="preserve"> VfM_Metrics_2023_Consol_Source[[#This Row],[Turnover (overall)]]</f>
        <v>126385</v>
      </c>
      <c r="CC65" s="84" vm="3241">
        <v>126385</v>
      </c>
      <c r="CD65" s="7">
        <f xml:space="preserve"> IFERROR( VfM_Metrics_2023_Consol_Source[[#This Row],[Operating surplus including from JVs]] / VfM_Metrics_2023_Consol_Source[[#This Row],[Net assets]], "n/a" )</f>
        <v>4.0153920119912048E-2</v>
      </c>
      <c r="CE65" s="5">
        <f xml:space="preserve"> SUM( VfM_Metrics_2023_Consol_Source[[#This Row],[Operating surplus/(deficit) (overall)3]], VfM_Metrics_2023_Consol_Source[[#This Row],[Share of operating surplus/(deficit) in joint ventures or associates]] )</f>
        <v>22717</v>
      </c>
      <c r="CF65" s="84" vm="3223">
        <v>22717</v>
      </c>
      <c r="CG65" s="83">
        <v>0</v>
      </c>
      <c r="CH65" s="5" vm="3242">
        <f xml:space="preserve"> VfM_Metrics_2023_Consol_Source[[#This Row],[Total assets less current liabilities]]</f>
        <v>565748</v>
      </c>
      <c r="CI65" s="84" vm="3242">
        <v>565748</v>
      </c>
      <c r="CJ65" s="71" vm="3209">
        <f xml:space="preserve"> VfM_Metrics_2023_Consol_Source[[#This Row],[Total social housing units owned (Period end)]]</f>
        <v>17790</v>
      </c>
      <c r="CK65" s="103">
        <v>7.8816058063052849E-2</v>
      </c>
      <c r="CL65" s="6">
        <f xml:space="preserve"> -- ( VfM_Metrics_2023_Consol_Source[[#This Row],[% Supported housing (excl. HOP)]] &gt; 0.3 )</f>
        <v>0</v>
      </c>
      <c r="CM65" s="103">
        <v>0</v>
      </c>
      <c r="CN65" s="6">
        <f xml:space="preserve"> -- ( VfM_Metrics_2023_Consol_Source[[#This Row],[% Housing for older people]] &gt; 0.3 )</f>
        <v>0</v>
      </c>
      <c r="CO65" s="103">
        <f xml:space="preserve"> VfM_Metrics_2023_Consol_Source[[#This Row],[% Supported housing (excl. HOP)]] + VfM_Metrics_2023_Consol_Source[[#This Row],[% Housing for older people]]</f>
        <v>7.8816058063052849E-2</v>
      </c>
      <c r="CP65" s="6">
        <f xml:space="preserve"> -- ( VfM_Metrics_2023_Consol_Source[[#This Row],[SH specialist in RSH analysis]] + VfM_Metrics_2023_Consol_Source[[#This Row],[OP specialist in RSH analysis]] &gt; 0 )</f>
        <v>0</v>
      </c>
      <c r="CQ65" s="10">
        <f xml:space="preserve"> -- ( VfM_Metrics_2023_Consol_Source[[#This Row],[% SH and OP]] &gt; 0.3 )</f>
        <v>0</v>
      </c>
      <c r="CR65" s="104" t="s">
        <v>143</v>
      </c>
      <c r="CS65" s="124"/>
      <c r="CT65" s="105" t="s">
        <v>151</v>
      </c>
      <c r="CU6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65" s="85">
        <v>0</v>
      </c>
      <c r="CW65" s="85">
        <v>0</v>
      </c>
      <c r="CX65" s="85">
        <v>0</v>
      </c>
      <c r="CY65" s="85">
        <v>0</v>
      </c>
      <c r="CZ65" s="85">
        <v>0</v>
      </c>
      <c r="DA65" s="85">
        <v>0</v>
      </c>
      <c r="DB65" s="85">
        <v>0</v>
      </c>
      <c r="DC65" s="85">
        <v>1</v>
      </c>
      <c r="DD65" s="85">
        <v>0</v>
      </c>
      <c r="DE65" s="13">
        <v>0.96105917141044694</v>
      </c>
    </row>
    <row r="66" spans="1:109" x14ac:dyDescent="0.25">
      <c r="A66" s="4" t="s" vm="200">
        <v>256</v>
      </c>
      <c r="B66" s="2" t="s" vm="56">
        <v>257</v>
      </c>
      <c r="C66" s="72" vm="462">
        <v>45016</v>
      </c>
      <c r="D66" s="7">
        <f>IFERROR( VfM_Metrics_2023_Consol_Source[[#This Row],[Reinvestment Spend]] / VfM_Metrics_2023_Consol_Source[[#This Row],[Net Book Value of Housing Properties]], "n/a" )</f>
        <v>6.4498138853222309E-2</v>
      </c>
      <c r="E6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4973</v>
      </c>
      <c r="F66" s="83" vm="626">
        <v>4228</v>
      </c>
      <c r="G66" s="83" vm="9207">
        <v>0</v>
      </c>
      <c r="H66" s="83" vm="598">
        <v>694</v>
      </c>
      <c r="I66" s="83" vm="9093">
        <v>51</v>
      </c>
      <c r="J66" s="83" vm="627">
        <v>0</v>
      </c>
      <c r="K66" s="5">
        <f xml:space="preserve"> SUM( VfM_Metrics_2023_Consol_Source[[#This Row],[Tangible fixed assets: Housing properties at cost (Current period)]],VfM_Metrics_2023_Consol_Source[[#This Row],[Tangible fixed assets Housing properties at valuation (Current period)]] )</f>
        <v>77103</v>
      </c>
      <c r="L66" s="84" vm="628">
        <v>77103</v>
      </c>
      <c r="M66" s="83">
        <v>0</v>
      </c>
      <c r="N66" s="7">
        <f xml:space="preserve"> IFERROR( VfM_Metrics_2023_Consol_Source[[#This Row],[Total social units developed or newly built units acquired in-year]] / VfM_Metrics_2023_Consol_Source[[#This Row],[Social housing units owned (period end)]], "n/a" )</f>
        <v>4.4153720359771054E-2</v>
      </c>
      <c r="O66" s="5">
        <f xml:space="preserve"> SUM( VfM_Metrics_2023_Consol_Source[[#This Row],[Total social units developed or newly built units acquired in-year (owned)]], VfM_Metrics_2023_Consol_Source[[#This Row],[Total social leasehold units developed or newly built units acquired in-year (owned)]] )</f>
        <v>54</v>
      </c>
      <c r="P66" s="84" vm="9198">
        <v>54</v>
      </c>
      <c r="Q66" s="83">
        <v>0</v>
      </c>
      <c r="R66" s="5">
        <f xml:space="preserve"> SUM( VfM_Metrics_2023_Consol_Source[[#This Row],[Total social housing units owned (Period end)]], VfM_Metrics_2023_Consol_Source[[#This Row],[Total social leasehold units owned (Period end)]] )</f>
        <v>1223</v>
      </c>
      <c r="S66" s="84" vm="624">
        <v>1223</v>
      </c>
      <c r="T66" s="83" vm="629">
        <v>0</v>
      </c>
      <c r="U66" s="86">
        <f xml:space="preserve"> IFERROR( VfM_Metrics_2023_Consol_Source[[#This Row],[Total non-social housing units developed or newly built units acquired (owned)]] / VfM_Metrics_2023_Consol_Source[[#This Row],[Total social and non-social housing units owned (Period end)]], "n/a" )</f>
        <v>0</v>
      </c>
      <c r="V6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66" s="83">
        <v>0</v>
      </c>
      <c r="X66" s="83">
        <v>0</v>
      </c>
      <c r="Y66" s="83">
        <v>0</v>
      </c>
      <c r="Z6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1223</v>
      </c>
      <c r="AA66" s="84" vm="9190">
        <v>1223</v>
      </c>
      <c r="AB66" s="83" vm="9087">
        <v>0</v>
      </c>
      <c r="AC66" s="83" vm="9213">
        <v>0</v>
      </c>
      <c r="AD66" s="83" vm="630">
        <v>0</v>
      </c>
      <c r="AE66" s="7">
        <f xml:space="preserve"> IFERROR( VfM_Metrics_2023_Consol_Source[[#This Row],[Total Net Debt]] / VfM_Metrics_2023_Consol_Source[[#This Row],[Net Book Value of Housing Properties2]], "n/a" )</f>
        <v>6.1320571184000625E-2</v>
      </c>
      <c r="AF6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4728</v>
      </c>
      <c r="AG66" s="84" vm="9082">
        <v>519</v>
      </c>
      <c r="AH66" s="83" vm="596">
        <v>12861</v>
      </c>
      <c r="AI66" s="83" vm="631">
        <v>8652</v>
      </c>
      <c r="AJ66" s="83" vm="1675">
        <v>0</v>
      </c>
      <c r="AK66" s="83">
        <v>0</v>
      </c>
      <c r="AL66" s="5">
        <f xml:space="preserve"> SUM( VfM_Metrics_2023_Consol_Source[[#This Row],[Tangible fixed assets: Housing properties at cost (Current period)2]], VfM_Metrics_2023_Consol_Source[[#This Row],[Tangible fixed assets Housing properties at valuation (Current period)2]] )</f>
        <v>77103</v>
      </c>
      <c r="AM66" s="84" vm="9135">
        <v>77103</v>
      </c>
      <c r="AN66" s="83">
        <v>0</v>
      </c>
      <c r="AO66" s="87">
        <f xml:space="preserve"> IFERROR( VfM_Metrics_2023_Consol_Source[[#This Row],[EBITDA MRI]] / VfM_Metrics_2023_Consol_Source[[#This Row],[Total interest]], "n/a" )</f>
        <v>2.7260273972602738</v>
      </c>
      <c r="AP6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1393</v>
      </c>
      <c r="AQ66" s="84" vm="688">
        <v>972</v>
      </c>
      <c r="AR66" s="84">
        <v>0</v>
      </c>
      <c r="AS66" s="84">
        <v>0</v>
      </c>
      <c r="AT66" s="84" vm="9187">
        <v>602</v>
      </c>
      <c r="AU66" s="84" vm="9212">
        <v>0</v>
      </c>
      <c r="AV66" s="84" vm="633">
        <v>50</v>
      </c>
      <c r="AW66" s="84" vm="9197">
        <v>694</v>
      </c>
      <c r="AX66" s="84" vm="9144">
        <v>1667</v>
      </c>
      <c r="AY66" s="3">
        <f xml:space="preserve"> - SUM( VfM_Metrics_2023_Consol_Source[[#This Row],[Interest capitalised]], VfM_Metrics_2023_Consol_Source[[#This Row],[Interest payable and financing costs]] )</f>
        <v>511</v>
      </c>
      <c r="AZ66" s="84" vm="783">
        <v>-51</v>
      </c>
      <c r="BA66" s="83" vm="634">
        <v>-460</v>
      </c>
      <c r="BB66" s="8">
        <f xml:space="preserve"> IFERROR( ( VfM_Metrics_2023_Consol_Source[[#This Row],[Total Costs]] / VfM_Metrics_2023_Consol_Source[[#This Row],[Total units for costs]] ) * 1000, "n/a" )</f>
        <v>28646.294881589001</v>
      </c>
      <c r="BC6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37498</v>
      </c>
      <c r="BD66" s="84" vm="597">
        <v>7193</v>
      </c>
      <c r="BE66" s="83" vm="9071">
        <v>10760</v>
      </c>
      <c r="BF66" s="83" vm="604">
        <v>5291</v>
      </c>
      <c r="BG66" s="83" vm="9099">
        <v>0</v>
      </c>
      <c r="BH66" s="83" vm="9186">
        <v>0</v>
      </c>
      <c r="BI66" s="83" vm="9211">
        <v>0</v>
      </c>
      <c r="BJ66" s="83" vm="9123">
        <v>694</v>
      </c>
      <c r="BK66" s="83" vm="9059">
        <v>1663</v>
      </c>
      <c r="BL66" s="83">
        <v>0</v>
      </c>
      <c r="BM66" s="83">
        <v>0</v>
      </c>
      <c r="BN66" s="83">
        <v>0</v>
      </c>
      <c r="BO66" s="83" vm="9185">
        <v>11897</v>
      </c>
      <c r="BP66" s="5" vm="625">
        <f xml:space="preserve"> VfM_Metrics_2023_Consol_Source[[#This Row],[Total social housing units owned and/or managed at period end]]</f>
        <v>1309</v>
      </c>
      <c r="BQ66" s="84" vm="625">
        <v>1309</v>
      </c>
      <c r="BR66" s="7">
        <f xml:space="preserve"> IFERROR( VfM_Metrics_2023_Consol_Source[[#This Row],[SHL operating surplus / (deficit)]] / VfM_Metrics_2023_Consol_Source[[#This Row],[Turnover from social housing lettings]], "n/a" )</f>
        <v>2.5755109423042141E-2</v>
      </c>
      <c r="BS66" s="5" vm="635">
        <f xml:space="preserve"> VfM_Metrics_2023_Consol_Source[[#This Row],[Operating surplus/(deficit) (social housing lettings)]]</f>
        <v>712</v>
      </c>
      <c r="BT66" s="84" vm="635">
        <v>712</v>
      </c>
      <c r="BU66" s="5" vm="9063">
        <f xml:space="preserve"> VfM_Metrics_2023_Consol_Source[[#This Row],[Turnover from social housing lettings]]</f>
        <v>27645</v>
      </c>
      <c r="BV66" s="84" vm="9063">
        <v>27645</v>
      </c>
      <c r="BW66" s="7">
        <f xml:space="preserve"> IFERROR( VfM_Metrics_2023_Consol_Source[[#This Row],[Net operating surplus]] / VfM_Metrics_2023_Consol_Source[[#This Row],[Overall turnover]], "n/a" )</f>
        <v>1.7418106228944161E-2</v>
      </c>
      <c r="BX6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972</v>
      </c>
      <c r="BY66" s="84" vm="632">
        <v>972</v>
      </c>
      <c r="BZ66" s="83">
        <v>0</v>
      </c>
      <c r="CA66" s="83">
        <v>0</v>
      </c>
      <c r="CB66" s="5" vm="9131">
        <f xml:space="preserve"> VfM_Metrics_2023_Consol_Source[[#This Row],[Turnover (overall)]]</f>
        <v>55804</v>
      </c>
      <c r="CC66" s="84" vm="9131">
        <v>55804</v>
      </c>
      <c r="CD66" s="7">
        <f xml:space="preserve"> IFERROR( VfM_Metrics_2023_Consol_Source[[#This Row],[Operating surplus including from JVs]] / VfM_Metrics_2023_Consol_Source[[#This Row],[Net assets]], "n/a" )</f>
        <v>1.1749205236374186E-2</v>
      </c>
      <c r="CE66" s="5">
        <f xml:space="preserve"> SUM( VfM_Metrics_2023_Consol_Source[[#This Row],[Operating surplus/(deficit) (overall)3]], VfM_Metrics_2023_Consol_Source[[#This Row],[Share of operating surplus/(deficit) in joint ventures or associates]] )</f>
        <v>972</v>
      </c>
      <c r="CF66" s="84" vm="632">
        <v>972</v>
      </c>
      <c r="CG66" s="83">
        <v>0</v>
      </c>
      <c r="CH66" s="5" vm="636">
        <f xml:space="preserve"> VfM_Metrics_2023_Consol_Source[[#This Row],[Total assets less current liabilities]]</f>
        <v>82729</v>
      </c>
      <c r="CI66" s="84" vm="636">
        <v>82729</v>
      </c>
      <c r="CJ66" s="71" vm="624">
        <f xml:space="preserve"> VfM_Metrics_2023_Consol_Source[[#This Row],[Total social housing units owned (Period end)]]</f>
        <v>1223</v>
      </c>
      <c r="CK66" s="103">
        <v>0.84791496320523307</v>
      </c>
      <c r="CL66" s="6">
        <f xml:space="preserve"> -- ( VfM_Metrics_2023_Consol_Source[[#This Row],[% Supported housing (excl. HOP)]] &gt; 0.3 )</f>
        <v>1</v>
      </c>
      <c r="CM66" s="103">
        <v>0</v>
      </c>
      <c r="CN66" s="6">
        <f xml:space="preserve"> -- ( VfM_Metrics_2023_Consol_Source[[#This Row],[% Housing for older people]] &gt; 0.3 )</f>
        <v>0</v>
      </c>
      <c r="CO66" s="103">
        <f xml:space="preserve"> VfM_Metrics_2023_Consol_Source[[#This Row],[% Supported housing (excl. HOP)]] + VfM_Metrics_2023_Consol_Source[[#This Row],[% Housing for older people]]</f>
        <v>0.84791496320523307</v>
      </c>
      <c r="CP66" s="6">
        <f xml:space="preserve"> -- ( VfM_Metrics_2023_Consol_Source[[#This Row],[SH specialist in RSH analysis]] + VfM_Metrics_2023_Consol_Source[[#This Row],[OP specialist in RSH analysis]] &gt; 0 )</f>
        <v>1</v>
      </c>
      <c r="CQ66" s="10">
        <f xml:space="preserve"> -- ( VfM_Metrics_2023_Consol_Source[[#This Row],[% SH and OP]] &gt; 0.3 )</f>
        <v>1</v>
      </c>
      <c r="CR66" s="104" t="s">
        <v>143</v>
      </c>
      <c r="CS66" s="124" t="s">
        <v>144</v>
      </c>
      <c r="CT66" s="105"/>
      <c r="CU6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Midlands</v>
      </c>
      <c r="CV66" s="85">
        <v>0</v>
      </c>
      <c r="CW66" s="85">
        <v>0</v>
      </c>
      <c r="CX66" s="85">
        <v>0</v>
      </c>
      <c r="CY66" s="85">
        <v>0.97327586206896555</v>
      </c>
      <c r="CZ66" s="85">
        <v>2.5862068965517241E-3</v>
      </c>
      <c r="DA66" s="85">
        <v>0</v>
      </c>
      <c r="DB66" s="85">
        <v>0</v>
      </c>
      <c r="DC66" s="85">
        <v>0</v>
      </c>
      <c r="DD66" s="85">
        <v>2.4137931034482758E-2</v>
      </c>
      <c r="DE66" s="13">
        <v>0.94244633051152416</v>
      </c>
    </row>
    <row r="67" spans="1:109" x14ac:dyDescent="0.25">
      <c r="A67" s="4" t="s" vm="388">
        <v>258</v>
      </c>
      <c r="B67" s="2" t="s" vm="57">
        <v>259</v>
      </c>
      <c r="C67" s="72" vm="453">
        <v>45016</v>
      </c>
      <c r="D67" s="7">
        <f>IFERROR( VfM_Metrics_2023_Consol_Source[[#This Row],[Reinvestment Spend]] / VfM_Metrics_2023_Consol_Source[[#This Row],[Net Book Value of Housing Properties]], "n/a" )</f>
        <v>0.10017830291775881</v>
      </c>
      <c r="E6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12192</v>
      </c>
      <c r="F67" s="83" vm="3627">
        <v>9038</v>
      </c>
      <c r="G67" s="83" vm="6506">
        <v>0</v>
      </c>
      <c r="H67" s="83" vm="6507">
        <v>3002</v>
      </c>
      <c r="I67" s="83" vm="6508">
        <v>152</v>
      </c>
      <c r="J67" s="83" vm="6509">
        <v>0</v>
      </c>
      <c r="K67" s="5">
        <f xml:space="preserve"> SUM( VfM_Metrics_2023_Consol_Source[[#This Row],[Tangible fixed assets: Housing properties at cost (Current period)]],VfM_Metrics_2023_Consol_Source[[#This Row],[Tangible fixed assets Housing properties at valuation (Current period)]] )</f>
        <v>121703</v>
      </c>
      <c r="L67" s="84" vm="6510">
        <v>121703</v>
      </c>
      <c r="M67" s="83" vm="6344">
        <v>0</v>
      </c>
      <c r="N67" s="7">
        <f xml:space="preserve"> IFERROR( VfM_Metrics_2023_Consol_Source[[#This Row],[Total social units developed or newly built units acquired in-year]] / VfM_Metrics_2023_Consol_Source[[#This Row],[Social housing units owned (period end)]], "n/a" )</f>
        <v>5.2804338518624237E-3</v>
      </c>
      <c r="O67" s="5">
        <f xml:space="preserve"> SUM( VfM_Metrics_2023_Consol_Source[[#This Row],[Total social units developed or newly built units acquired in-year (owned)]], VfM_Metrics_2023_Consol_Source[[#This Row],[Total social leasehold units developed or newly built units acquired in-year (owned)]] )</f>
        <v>37</v>
      </c>
      <c r="P67" s="84" vm="6511">
        <v>37</v>
      </c>
      <c r="Q67" s="83" vm="6512">
        <v>0</v>
      </c>
      <c r="R67" s="5">
        <f xml:space="preserve"> SUM( VfM_Metrics_2023_Consol_Source[[#This Row],[Total social housing units owned (Period end)]], VfM_Metrics_2023_Consol_Source[[#This Row],[Total social leasehold units owned (Period end)]] )</f>
        <v>7007</v>
      </c>
      <c r="S67" s="84" vm="6504">
        <v>6832</v>
      </c>
      <c r="T67" s="83" vm="6513">
        <v>175</v>
      </c>
      <c r="U67" s="86">
        <f xml:space="preserve"> IFERROR( VfM_Metrics_2023_Consol_Source[[#This Row],[Total non-social housing units developed or newly built units acquired (owned)]] / VfM_Metrics_2023_Consol_Source[[#This Row],[Total social and non-social housing units owned (Period end)]], "n/a" )</f>
        <v>0</v>
      </c>
      <c r="V6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67" s="83" vm="6514">
        <v>0</v>
      </c>
      <c r="X67" s="83" vm="6515">
        <v>0</v>
      </c>
      <c r="Y67" s="83" vm="6516">
        <v>0</v>
      </c>
      <c r="Z6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7015</v>
      </c>
      <c r="AA67" s="84" vm="6504">
        <v>6832</v>
      </c>
      <c r="AB67" s="83" vm="6513">
        <v>175</v>
      </c>
      <c r="AC67" s="83" vm="6517">
        <v>8</v>
      </c>
      <c r="AD67" s="83" vm="6518">
        <v>0</v>
      </c>
      <c r="AE67" s="7">
        <f xml:space="preserve"> IFERROR( VfM_Metrics_2023_Consol_Source[[#This Row],[Total Net Debt]] / VfM_Metrics_2023_Consol_Source[[#This Row],[Net Book Value of Housing Properties2]], "n/a" )</f>
        <v>0.23442314486906649</v>
      </c>
      <c r="AF6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28530</v>
      </c>
      <c r="AG67" s="84" vm="6519">
        <v>0</v>
      </c>
      <c r="AH67" s="83" vm="6520">
        <v>52500</v>
      </c>
      <c r="AI67" s="83" vm="6521">
        <v>23970</v>
      </c>
      <c r="AJ67" s="83" vm="6522">
        <v>0</v>
      </c>
      <c r="AK67" s="83" vm="6523">
        <v>0</v>
      </c>
      <c r="AL67" s="5">
        <f xml:space="preserve"> SUM( VfM_Metrics_2023_Consol_Source[[#This Row],[Tangible fixed assets: Housing properties at cost (Current period)2]], VfM_Metrics_2023_Consol_Source[[#This Row],[Tangible fixed assets Housing properties at valuation (Current period)2]] )</f>
        <v>121703</v>
      </c>
      <c r="AM67" s="84" vm="6510">
        <v>121703</v>
      </c>
      <c r="AN67" s="83" vm="6872">
        <v>0</v>
      </c>
      <c r="AO67" s="87">
        <f xml:space="preserve"> IFERROR( VfM_Metrics_2023_Consol_Source[[#This Row],[EBITDA MRI]] / VfM_Metrics_2023_Consol_Source[[#This Row],[Total interest]], "n/a" )</f>
        <v>2.8025672371638142</v>
      </c>
      <c r="AP6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4585</v>
      </c>
      <c r="AQ67" s="84" vm="6524">
        <v>5296</v>
      </c>
      <c r="AR67" s="84" vm="6525">
        <v>2333</v>
      </c>
      <c r="AS67" s="84" vm="6526">
        <v>0</v>
      </c>
      <c r="AT67" s="84" vm="6527">
        <v>88</v>
      </c>
      <c r="AU67" s="84" vm="6528">
        <v>0</v>
      </c>
      <c r="AV67" s="84" vm="6529">
        <v>57</v>
      </c>
      <c r="AW67" s="84" vm="6530">
        <v>3002</v>
      </c>
      <c r="AX67" s="84" vm="6531">
        <v>4655</v>
      </c>
      <c r="AY67" s="3">
        <f xml:space="preserve"> - SUM( VfM_Metrics_2023_Consol_Source[[#This Row],[Interest capitalised]], VfM_Metrics_2023_Consol_Source[[#This Row],[Interest payable and financing costs]] )</f>
        <v>1636</v>
      </c>
      <c r="AZ67" s="84" vm="6532">
        <v>-152</v>
      </c>
      <c r="BA67" s="83" vm="6533">
        <v>-1484</v>
      </c>
      <c r="BB67" s="8">
        <f xml:space="preserve"> IFERROR( ( VfM_Metrics_2023_Consol_Source[[#This Row],[Total Costs]] / VfM_Metrics_2023_Consol_Source[[#This Row],[Total units for costs]] ) * 1000, "n/a" )</f>
        <v>3968.2377049180327</v>
      </c>
      <c r="BC6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27111</v>
      </c>
      <c r="BD67" s="84" vm="6534">
        <v>5684</v>
      </c>
      <c r="BE67" s="83" vm="6875">
        <v>4956</v>
      </c>
      <c r="BF67" s="83" vm="6535">
        <v>7673</v>
      </c>
      <c r="BG67" s="83" vm="7232">
        <v>1654</v>
      </c>
      <c r="BH67" s="83" vm="6536">
        <v>3862</v>
      </c>
      <c r="BI67" s="83" vm="6537">
        <v>0</v>
      </c>
      <c r="BJ67" s="83" vm="7255">
        <v>3002</v>
      </c>
      <c r="BK67" s="83" vm="6538">
        <v>280</v>
      </c>
      <c r="BL67" s="83" vm="6539">
        <v>0</v>
      </c>
      <c r="BM67" s="83" vm="6540">
        <v>0</v>
      </c>
      <c r="BN67" s="83" vm="6541">
        <v>0</v>
      </c>
      <c r="BO67" s="83" vm="6542">
        <v>0</v>
      </c>
      <c r="BP67" s="5" vm="6505">
        <f xml:space="preserve"> VfM_Metrics_2023_Consol_Source[[#This Row],[Total social housing units owned and/or managed at period end]]</f>
        <v>6832</v>
      </c>
      <c r="BQ67" s="84" vm="6505">
        <v>6832</v>
      </c>
      <c r="BR67" s="7">
        <f xml:space="preserve"> IFERROR( VfM_Metrics_2023_Consol_Source[[#This Row],[SHL operating surplus / (deficit)]] / VfM_Metrics_2023_Consol_Source[[#This Row],[Turnover from social housing lettings]], "n/a" )</f>
        <v>7.7553232181563181E-2</v>
      </c>
      <c r="BS67" s="5" vm="6543">
        <f xml:space="preserve"> VfM_Metrics_2023_Consol_Source[[#This Row],[Operating surplus/(deficit) (social housing lettings)]]</f>
        <v>2433</v>
      </c>
      <c r="BT67" s="84" vm="6543">
        <v>2433</v>
      </c>
      <c r="BU67" s="5" vm="6544">
        <f xml:space="preserve"> VfM_Metrics_2023_Consol_Source[[#This Row],[Turnover from social housing lettings]]</f>
        <v>31372</v>
      </c>
      <c r="BV67" s="84" vm="6544">
        <v>31372</v>
      </c>
      <c r="BW67" s="7">
        <f xml:space="preserve"> IFERROR( VfM_Metrics_2023_Consol_Source[[#This Row],[Net operating surplus]] / VfM_Metrics_2023_Consol_Source[[#This Row],[Overall turnover]], "n/a" )</f>
        <v>9.0528567063855786E-2</v>
      </c>
      <c r="BX6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2963</v>
      </c>
      <c r="BY67" s="84" vm="6895">
        <v>5296</v>
      </c>
      <c r="BZ67" s="83" vm="6525">
        <v>2333</v>
      </c>
      <c r="CA67" s="83" vm="6526">
        <v>0</v>
      </c>
      <c r="CB67" s="5" vm="6545">
        <f xml:space="preserve"> VfM_Metrics_2023_Consol_Source[[#This Row],[Turnover (overall)]]</f>
        <v>32730</v>
      </c>
      <c r="CC67" s="84" vm="6545">
        <v>32730</v>
      </c>
      <c r="CD67" s="7">
        <f xml:space="preserve"> IFERROR( VfM_Metrics_2023_Consol_Source[[#This Row],[Operating surplus including from JVs]] / VfM_Metrics_2023_Consol_Source[[#This Row],[Net assets]], "n/a" )</f>
        <v>3.6472573258496607E-2</v>
      </c>
      <c r="CE67" s="5">
        <f xml:space="preserve"> SUM( VfM_Metrics_2023_Consol_Source[[#This Row],[Operating surplus/(deficit) (overall)3]], VfM_Metrics_2023_Consol_Source[[#This Row],[Share of operating surplus/(deficit) in joint ventures or associates]] )</f>
        <v>5296</v>
      </c>
      <c r="CF67" s="84" vm="7268">
        <v>5296</v>
      </c>
      <c r="CG67" s="83" vm="6547">
        <v>0</v>
      </c>
      <c r="CH67" s="5" vm="6546">
        <f xml:space="preserve"> VfM_Metrics_2023_Consol_Source[[#This Row],[Total assets less current liabilities]]</f>
        <v>145205</v>
      </c>
      <c r="CI67" s="84" vm="6546">
        <v>145205</v>
      </c>
      <c r="CJ67" s="71" vm="6504">
        <f xml:space="preserve"> VfM_Metrics_2023_Consol_Source[[#This Row],[Total social housing units owned (Period end)]]</f>
        <v>6832</v>
      </c>
      <c r="CK67" s="103">
        <v>4.1049699457557541E-3</v>
      </c>
      <c r="CL67" s="6">
        <f xml:space="preserve"> -- ( VfM_Metrics_2023_Consol_Source[[#This Row],[% Supported housing (excl. HOP)]] &gt; 0.3 )</f>
        <v>0</v>
      </c>
      <c r="CM67" s="103">
        <v>8.5471338513414458E-2</v>
      </c>
      <c r="CN67" s="6">
        <f xml:space="preserve"> -- ( VfM_Metrics_2023_Consol_Source[[#This Row],[% Housing for older people]] &gt; 0.3 )</f>
        <v>0</v>
      </c>
      <c r="CO67" s="103">
        <f xml:space="preserve"> VfM_Metrics_2023_Consol_Source[[#This Row],[% Supported housing (excl. HOP)]] + VfM_Metrics_2023_Consol_Source[[#This Row],[% Housing for older people]]</f>
        <v>8.9576308459170209E-2</v>
      </c>
      <c r="CP67" s="6">
        <f xml:space="preserve"> -- ( VfM_Metrics_2023_Consol_Source[[#This Row],[SH specialist in RSH analysis]] + VfM_Metrics_2023_Consol_Source[[#This Row],[OP specialist in RSH analysis]] &gt; 0 )</f>
        <v>0</v>
      </c>
      <c r="CQ67" s="10">
        <f xml:space="preserve"> -- ( VfM_Metrics_2023_Consol_Source[[#This Row],[% SH and OP]] &gt; 0.3 )</f>
        <v>0</v>
      </c>
      <c r="CR67" s="104" t="s">
        <v>143</v>
      </c>
      <c r="CS67" s="124"/>
      <c r="CT67" s="105" t="s">
        <v>151</v>
      </c>
      <c r="CU6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67" s="85">
        <v>0</v>
      </c>
      <c r="CW67" s="85">
        <v>0</v>
      </c>
      <c r="CX67" s="85">
        <v>0</v>
      </c>
      <c r="CY67" s="85">
        <v>0</v>
      </c>
      <c r="CZ67" s="85">
        <v>0</v>
      </c>
      <c r="DA67" s="85">
        <v>1</v>
      </c>
      <c r="DB67" s="85">
        <v>0</v>
      </c>
      <c r="DC67" s="85">
        <v>0</v>
      </c>
      <c r="DD67" s="85">
        <v>0</v>
      </c>
      <c r="DE67" s="13">
        <v>1.0113701298544711</v>
      </c>
    </row>
    <row r="68" spans="1:109" x14ac:dyDescent="0.25">
      <c r="A68" s="4" t="s" vm="288">
        <v>260</v>
      </c>
      <c r="B68" s="2" t="s" vm="58">
        <v>261</v>
      </c>
      <c r="C68" s="72" vm="520">
        <v>45016</v>
      </c>
      <c r="D68" s="7">
        <f>IFERROR( VfM_Metrics_2023_Consol_Source[[#This Row],[Reinvestment Spend]] / VfM_Metrics_2023_Consol_Source[[#This Row],[Net Book Value of Housing Properties]], "n/a" )</f>
        <v>0.11452563706057113</v>
      </c>
      <c r="E6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36660</v>
      </c>
      <c r="F68" s="83" vm="2934">
        <v>24779</v>
      </c>
      <c r="G68" s="83" vm="2935">
        <v>0</v>
      </c>
      <c r="H68" s="83" vm="2936">
        <v>11881</v>
      </c>
      <c r="I68" s="83" vm="2937">
        <v>0</v>
      </c>
      <c r="J68" s="83" vm="2938">
        <v>0</v>
      </c>
      <c r="K68" s="5">
        <f xml:space="preserve"> SUM( VfM_Metrics_2023_Consol_Source[[#This Row],[Tangible fixed assets: Housing properties at cost (Current period)]],VfM_Metrics_2023_Consol_Source[[#This Row],[Tangible fixed assets Housing properties at valuation (Current period)]] )</f>
        <v>320103</v>
      </c>
      <c r="L68" s="84" vm="2939">
        <v>320103</v>
      </c>
      <c r="M68" s="83">
        <v>0</v>
      </c>
      <c r="N68" s="7">
        <f xml:space="preserve"> IFERROR( VfM_Metrics_2023_Consol_Source[[#This Row],[Total social units developed or newly built units acquired in-year]] / VfM_Metrics_2023_Consol_Source[[#This Row],[Social housing units owned (period end)]], "n/a" )</f>
        <v>1.4309847957865447E-2</v>
      </c>
      <c r="O68" s="5">
        <f xml:space="preserve"> SUM( VfM_Metrics_2023_Consol_Source[[#This Row],[Total social units developed or newly built units acquired in-year (owned)]], VfM_Metrics_2023_Consol_Source[[#This Row],[Total social leasehold units developed or newly built units acquired in-year (owned)]] )</f>
        <v>144</v>
      </c>
      <c r="P68" s="84" vm="3283">
        <v>144</v>
      </c>
      <c r="Q68" s="83">
        <v>0</v>
      </c>
      <c r="R68" s="5">
        <f xml:space="preserve"> SUM( VfM_Metrics_2023_Consol_Source[[#This Row],[Total social housing units owned (Period end)]], VfM_Metrics_2023_Consol_Source[[#This Row],[Total social leasehold units owned (Period end)]] )</f>
        <v>10063</v>
      </c>
      <c r="S68" s="84" vm="2933">
        <v>10063</v>
      </c>
      <c r="T68" s="83" vm="2940">
        <v>0</v>
      </c>
      <c r="U68" s="86">
        <f xml:space="preserve"> IFERROR( VfM_Metrics_2023_Consol_Source[[#This Row],[Total non-social housing units developed or newly built units acquired (owned)]] / VfM_Metrics_2023_Consol_Source[[#This Row],[Total social and non-social housing units owned (Period end)]], "n/a" )</f>
        <v>3.8109756097560977E-4</v>
      </c>
      <c r="V6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4</v>
      </c>
      <c r="W68" s="83">
        <v>0</v>
      </c>
      <c r="X68" s="83" vm="7705">
        <v>4</v>
      </c>
      <c r="Y68" s="83">
        <v>0</v>
      </c>
      <c r="Z6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10496</v>
      </c>
      <c r="AA68" s="84" vm="2933">
        <v>10063</v>
      </c>
      <c r="AB68" s="83" vm="2940">
        <v>0</v>
      </c>
      <c r="AC68" s="83" vm="3461">
        <v>268</v>
      </c>
      <c r="AD68" s="83" vm="2941">
        <v>165</v>
      </c>
      <c r="AE68" s="7">
        <f xml:space="preserve"> IFERROR( VfM_Metrics_2023_Consol_Source[[#This Row],[Total Net Debt]] / VfM_Metrics_2023_Consol_Source[[#This Row],[Net Book Value of Housing Properties2]], "n/a" )</f>
        <v>0.81152004198648564</v>
      </c>
      <c r="AF6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259770</v>
      </c>
      <c r="AG68" s="84" vm="2976">
        <v>15876</v>
      </c>
      <c r="AH68" s="83" vm="2942">
        <v>324489</v>
      </c>
      <c r="AI68" s="83" vm="7774">
        <v>80595</v>
      </c>
      <c r="AJ68" s="83" vm="1675">
        <v>0</v>
      </c>
      <c r="AK68" s="83">
        <v>0</v>
      </c>
      <c r="AL68" s="5">
        <f xml:space="preserve"> SUM( VfM_Metrics_2023_Consol_Source[[#This Row],[Tangible fixed assets: Housing properties at cost (Current period)2]], VfM_Metrics_2023_Consol_Source[[#This Row],[Tangible fixed assets Housing properties at valuation (Current period)2]] )</f>
        <v>320103</v>
      </c>
      <c r="AM68" s="84" vm="2939">
        <v>320103</v>
      </c>
      <c r="AN68" s="83">
        <v>0</v>
      </c>
      <c r="AO68" s="87">
        <f xml:space="preserve"> IFERROR( VfM_Metrics_2023_Consol_Source[[#This Row],[EBITDA MRI]] / VfM_Metrics_2023_Consol_Source[[#This Row],[Total interest]], "n/a" )</f>
        <v>1.1035451615568961</v>
      </c>
      <c r="AP6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13354</v>
      </c>
      <c r="AQ68" s="84" vm="2943">
        <v>16665</v>
      </c>
      <c r="AR68" s="84" vm="2944">
        <v>1185</v>
      </c>
      <c r="AS68" s="84" vm="2945">
        <v>19</v>
      </c>
      <c r="AT68" s="84" vm="2946">
        <v>587</v>
      </c>
      <c r="AU68" s="84" vm="2947">
        <v>0</v>
      </c>
      <c r="AV68" s="84" vm="2948">
        <v>1735</v>
      </c>
      <c r="AW68" s="84" vm="2949">
        <v>11881</v>
      </c>
      <c r="AX68" s="84" vm="2950">
        <v>8626</v>
      </c>
      <c r="AY68" s="3">
        <f xml:space="preserve"> - SUM( VfM_Metrics_2023_Consol_Source[[#This Row],[Interest capitalised]], VfM_Metrics_2023_Consol_Source[[#This Row],[Interest payable and financing costs]] )</f>
        <v>12101</v>
      </c>
      <c r="AZ68" s="84" vm="2951">
        <v>0</v>
      </c>
      <c r="BA68" s="83" vm="2952">
        <v>-12101</v>
      </c>
      <c r="BB68" s="8">
        <f xml:space="preserve"> IFERROR( ( VfM_Metrics_2023_Consol_Source[[#This Row],[Total Costs]] / VfM_Metrics_2023_Consol_Source[[#This Row],[Total units for costs]] ) * 1000, "n/a" )</f>
        <v>4288.3392928088997</v>
      </c>
      <c r="BC6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43175</v>
      </c>
      <c r="BD68" s="84" vm="2953">
        <v>13530</v>
      </c>
      <c r="BE68" s="83" vm="2954">
        <v>2830</v>
      </c>
      <c r="BF68" s="83" vm="7084">
        <v>6030</v>
      </c>
      <c r="BG68" s="83" vm="2955">
        <v>2428</v>
      </c>
      <c r="BH68" s="83" vm="2956">
        <v>3561</v>
      </c>
      <c r="BI68" s="83" vm="7473">
        <v>0</v>
      </c>
      <c r="BJ68" s="83" vm="2949">
        <v>11881</v>
      </c>
      <c r="BK68" s="83" vm="2957">
        <v>2754</v>
      </c>
      <c r="BL68" s="83">
        <v>0</v>
      </c>
      <c r="BM68" s="83">
        <v>0</v>
      </c>
      <c r="BN68" s="83" vm="2958">
        <v>161</v>
      </c>
      <c r="BO68" s="83">
        <v>0</v>
      </c>
      <c r="BP68" s="5" vm="7472">
        <f xml:space="preserve"> VfM_Metrics_2023_Consol_Source[[#This Row],[Total social housing units owned and/or managed at period end]]</f>
        <v>10068</v>
      </c>
      <c r="BQ68" s="84" vm="7472">
        <v>10068</v>
      </c>
      <c r="BR68" s="7">
        <f xml:space="preserve"> IFERROR( VfM_Metrics_2023_Consol_Source[[#This Row],[SHL operating surplus / (deficit)]] / VfM_Metrics_2023_Consol_Source[[#This Row],[Turnover from social housing lettings]], "n/a" )</f>
        <v>0.27308425246867241</v>
      </c>
      <c r="BS68" s="5" vm="2959">
        <f xml:space="preserve"> VfM_Metrics_2023_Consol_Source[[#This Row],[Operating surplus/(deficit) (social housing lettings)]]</f>
        <v>14187</v>
      </c>
      <c r="BT68" s="84" vm="2959">
        <v>14187</v>
      </c>
      <c r="BU68" s="5" vm="7471">
        <f xml:space="preserve"> VfM_Metrics_2023_Consol_Source[[#This Row],[Turnover from social housing lettings]]</f>
        <v>51951</v>
      </c>
      <c r="BV68" s="84" vm="7471">
        <v>51951</v>
      </c>
      <c r="BW68" s="7">
        <f xml:space="preserve"> IFERROR( VfM_Metrics_2023_Consol_Source[[#This Row],[Net operating surplus]] / VfM_Metrics_2023_Consol_Source[[#This Row],[Overall turnover]], "n/a" )</f>
        <v>0.26033440536126218</v>
      </c>
      <c r="BX6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15461</v>
      </c>
      <c r="BY68" s="84" vm="2943">
        <v>16665</v>
      </c>
      <c r="BZ68" s="83" vm="2944">
        <v>1185</v>
      </c>
      <c r="CA68" s="83" vm="2945">
        <v>19</v>
      </c>
      <c r="CB68" s="5" vm="7925">
        <f xml:space="preserve"> VfM_Metrics_2023_Consol_Source[[#This Row],[Turnover (overall)]]</f>
        <v>59389</v>
      </c>
      <c r="CC68" s="84" vm="7925">
        <v>59389</v>
      </c>
      <c r="CD68" s="7">
        <f xml:space="preserve"> IFERROR( VfM_Metrics_2023_Consol_Source[[#This Row],[Operating surplus including from JVs]] / VfM_Metrics_2023_Consol_Source[[#This Row],[Net assets]], "n/a" )</f>
        <v>3.6604410979785756E-2</v>
      </c>
      <c r="CE68" s="5">
        <f xml:space="preserve"> SUM( VfM_Metrics_2023_Consol_Source[[#This Row],[Operating surplus/(deficit) (overall)3]], VfM_Metrics_2023_Consol_Source[[#This Row],[Share of operating surplus/(deficit) in joint ventures or associates]] )</f>
        <v>16665</v>
      </c>
      <c r="CF68" s="84" vm="2943">
        <v>16665</v>
      </c>
      <c r="CG68" s="83">
        <v>0</v>
      </c>
      <c r="CH68" s="5" vm="7587">
        <f xml:space="preserve"> VfM_Metrics_2023_Consol_Source[[#This Row],[Total assets less current liabilities]]</f>
        <v>455273</v>
      </c>
      <c r="CI68" s="84" vm="7587">
        <v>455273</v>
      </c>
      <c r="CJ68" s="71" vm="2933">
        <f xml:space="preserve"> VfM_Metrics_2023_Consol_Source[[#This Row],[Total social housing units owned (Period end)]]</f>
        <v>10063</v>
      </c>
      <c r="CK68" s="103">
        <v>2.008838891120932E-3</v>
      </c>
      <c r="CL68" s="6">
        <f xml:space="preserve"> -- ( VfM_Metrics_2023_Consol_Source[[#This Row],[% Supported housing (excl. HOP)]] &gt; 0.3 )</f>
        <v>0</v>
      </c>
      <c r="CM68" s="103">
        <v>0.31106870229007633</v>
      </c>
      <c r="CN68" s="6">
        <f xml:space="preserve"> -- ( VfM_Metrics_2023_Consol_Source[[#This Row],[% Housing for older people]] &gt; 0.3 )</f>
        <v>1</v>
      </c>
      <c r="CO68" s="103">
        <f xml:space="preserve"> VfM_Metrics_2023_Consol_Source[[#This Row],[% Supported housing (excl. HOP)]] + VfM_Metrics_2023_Consol_Source[[#This Row],[% Housing for older people]]</f>
        <v>0.31307754118119724</v>
      </c>
      <c r="CP68" s="6">
        <f xml:space="preserve"> -- ( VfM_Metrics_2023_Consol_Source[[#This Row],[SH specialist in RSH analysis]] + VfM_Metrics_2023_Consol_Source[[#This Row],[OP specialist in RSH analysis]] &gt; 0 )</f>
        <v>1</v>
      </c>
      <c r="CQ68" s="10">
        <f xml:space="preserve"> -- ( VfM_Metrics_2023_Consol_Source[[#This Row],[% SH and OP]] &gt; 0.3 )</f>
        <v>1</v>
      </c>
      <c r="CR68" s="104" t="s">
        <v>143</v>
      </c>
      <c r="CS68" s="124"/>
      <c r="CT68" s="105" t="s">
        <v>151</v>
      </c>
      <c r="CU6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Midlands</v>
      </c>
      <c r="CV68" s="85">
        <v>0</v>
      </c>
      <c r="CW68" s="85">
        <v>0</v>
      </c>
      <c r="CX68" s="85">
        <v>0</v>
      </c>
      <c r="CY68" s="85">
        <v>0.99479166666666663</v>
      </c>
      <c r="CZ68" s="85">
        <v>0</v>
      </c>
      <c r="DA68" s="85">
        <v>5.208333333333333E-3</v>
      </c>
      <c r="DB68" s="85">
        <v>0</v>
      </c>
      <c r="DC68" s="85">
        <v>0</v>
      </c>
      <c r="DD68" s="85">
        <v>0</v>
      </c>
      <c r="DE68" s="13">
        <v>0.94269385605361122</v>
      </c>
    </row>
    <row r="69" spans="1:109" x14ac:dyDescent="0.25">
      <c r="A69" s="4" t="s" vm="312">
        <v>262</v>
      </c>
      <c r="B69" s="2" t="s" vm="59">
        <v>263</v>
      </c>
      <c r="C69" s="72" vm="436">
        <v>45016</v>
      </c>
      <c r="D69" s="7">
        <f>IFERROR( VfM_Metrics_2023_Consol_Source[[#This Row],[Reinvestment Spend]] / VfM_Metrics_2023_Consol_Source[[#This Row],[Net Book Value of Housing Properties]], "n/a" )</f>
        <v>3.2281803463670704E-2</v>
      </c>
      <c r="E6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9212</v>
      </c>
      <c r="F69" s="83" vm="7618">
        <v>5902</v>
      </c>
      <c r="G69" s="83" vm="3749">
        <v>0</v>
      </c>
      <c r="H69" s="83" vm="3750">
        <v>3010</v>
      </c>
      <c r="I69" s="83" vm="3751">
        <v>300</v>
      </c>
      <c r="J69" s="83" vm="3752">
        <v>0</v>
      </c>
      <c r="K69" s="5">
        <f xml:space="preserve"> SUM( VfM_Metrics_2023_Consol_Source[[#This Row],[Tangible fixed assets: Housing properties at cost (Current period)]],VfM_Metrics_2023_Consol_Source[[#This Row],[Tangible fixed assets Housing properties at valuation (Current period)]] )</f>
        <v>285362</v>
      </c>
      <c r="L69" s="84" vm="3753">
        <v>285362</v>
      </c>
      <c r="M69" s="83" vm="7685">
        <v>0</v>
      </c>
      <c r="N69" s="7">
        <f xml:space="preserve"> IFERROR( VfM_Metrics_2023_Consol_Source[[#This Row],[Total social units developed or newly built units acquired in-year]] / VfM_Metrics_2023_Consol_Source[[#This Row],[Social housing units owned (period end)]], "n/a" )</f>
        <v>3.2797638570022957E-4</v>
      </c>
      <c r="O69" s="5">
        <f xml:space="preserve"> SUM( VfM_Metrics_2023_Consol_Source[[#This Row],[Total social units developed or newly built units acquired in-year (owned)]], VfM_Metrics_2023_Consol_Source[[#This Row],[Total social leasehold units developed or newly built units acquired in-year (owned)]] )</f>
        <v>1</v>
      </c>
      <c r="P69" s="84" vm="3250">
        <v>0</v>
      </c>
      <c r="Q69" s="83" vm="3755">
        <v>1</v>
      </c>
      <c r="R69" s="5">
        <f xml:space="preserve"> SUM( VfM_Metrics_2023_Consol_Source[[#This Row],[Total social housing units owned (Period end)]], VfM_Metrics_2023_Consol_Source[[#This Row],[Total social leasehold units owned (Period end)]] )</f>
        <v>3049</v>
      </c>
      <c r="S69" s="84" vm="3747">
        <v>2803</v>
      </c>
      <c r="T69" s="83" vm="7668">
        <v>246</v>
      </c>
      <c r="U69" s="86">
        <f xml:space="preserve"> IFERROR( VfM_Metrics_2023_Consol_Source[[#This Row],[Total non-social housing units developed or newly built units acquired (owned)]] / VfM_Metrics_2023_Consol_Source[[#This Row],[Total social and non-social housing units owned (Period end)]], "n/a" )</f>
        <v>0</v>
      </c>
      <c r="V6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69" s="83" vm="3757">
        <v>0</v>
      </c>
      <c r="X69" s="83" vm="3758">
        <v>0</v>
      </c>
      <c r="Y69" s="83" vm="3759">
        <v>0</v>
      </c>
      <c r="Z6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3049</v>
      </c>
      <c r="AA69" s="84" vm="3747">
        <v>2803</v>
      </c>
      <c r="AB69" s="83" vm="3756">
        <v>246</v>
      </c>
      <c r="AC69" s="83" vm="3760">
        <v>0</v>
      </c>
      <c r="AD69" s="83" vm="3761">
        <v>0</v>
      </c>
      <c r="AE69" s="7">
        <f xml:space="preserve"> IFERROR( VfM_Metrics_2023_Consol_Source[[#This Row],[Total Net Debt]] / VfM_Metrics_2023_Consol_Source[[#This Row],[Net Book Value of Housing Properties2]], "n/a" )</f>
        <v>0.27238735360699745</v>
      </c>
      <c r="AF6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77729</v>
      </c>
      <c r="AG69" s="84" vm="3762">
        <v>2899</v>
      </c>
      <c r="AH69" s="83" vm="3763">
        <v>114774</v>
      </c>
      <c r="AI69" s="83" vm="3764">
        <v>39944</v>
      </c>
      <c r="AJ69" s="83" vm="7726">
        <v>0</v>
      </c>
      <c r="AK69" s="83" vm="3765">
        <v>0</v>
      </c>
      <c r="AL69" s="5">
        <f xml:space="preserve"> SUM( VfM_Metrics_2023_Consol_Source[[#This Row],[Tangible fixed assets: Housing properties at cost (Current period)2]], VfM_Metrics_2023_Consol_Source[[#This Row],[Tangible fixed assets Housing properties at valuation (Current period)2]] )</f>
        <v>285362</v>
      </c>
      <c r="AM69" s="84" vm="3753">
        <v>285362</v>
      </c>
      <c r="AN69" s="83" vm="3754">
        <v>0</v>
      </c>
      <c r="AO69" s="87">
        <f xml:space="preserve"> IFERROR( VfM_Metrics_2023_Consol_Source[[#This Row],[EBITDA MRI]] / VfM_Metrics_2023_Consol_Source[[#This Row],[Total interest]], "n/a" )</f>
        <v>1.1914093959731544</v>
      </c>
      <c r="AP6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4438</v>
      </c>
      <c r="AQ69" s="84" vm="3766">
        <v>5561</v>
      </c>
      <c r="AR69" s="84" vm="3767">
        <v>1199</v>
      </c>
      <c r="AS69" s="84" vm="3768">
        <v>0</v>
      </c>
      <c r="AT69" s="84" vm="3769">
        <v>1319</v>
      </c>
      <c r="AU69" s="84" vm="3770">
        <v>0</v>
      </c>
      <c r="AV69" s="84" vm="3771">
        <v>132</v>
      </c>
      <c r="AW69" s="84" vm="7667">
        <v>3010</v>
      </c>
      <c r="AX69" s="84" vm="3772">
        <v>4273</v>
      </c>
      <c r="AY69" s="3">
        <f xml:space="preserve"> - SUM( VfM_Metrics_2023_Consol_Source[[#This Row],[Interest capitalised]], VfM_Metrics_2023_Consol_Source[[#This Row],[Interest payable and financing costs]] )</f>
        <v>3725</v>
      </c>
      <c r="AZ69" s="84" vm="3773">
        <v>-300</v>
      </c>
      <c r="BA69" s="83" vm="3774">
        <v>-3425</v>
      </c>
      <c r="BB69" s="8">
        <f xml:space="preserve"> IFERROR( ( VfM_Metrics_2023_Consol_Source[[#This Row],[Total Costs]] / VfM_Metrics_2023_Consol_Source[[#This Row],[Total units for costs]] ) * 1000, "n/a" )</f>
        <v>6936.8533713877987</v>
      </c>
      <c r="BC6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19444</v>
      </c>
      <c r="BD69" s="84" vm="3775">
        <v>4297</v>
      </c>
      <c r="BE69" s="83" vm="6990">
        <v>3440</v>
      </c>
      <c r="BF69" s="83" vm="3776">
        <v>2752</v>
      </c>
      <c r="BG69" s="83" vm="3898">
        <v>2988</v>
      </c>
      <c r="BH69" s="83" vm="7410">
        <v>2317</v>
      </c>
      <c r="BI69" s="83" vm="3777">
        <v>0</v>
      </c>
      <c r="BJ69" s="83" vm="3868">
        <v>3010</v>
      </c>
      <c r="BK69" s="83" vm="3778">
        <v>0</v>
      </c>
      <c r="BL69" s="83" vm="3779">
        <v>640</v>
      </c>
      <c r="BM69" s="83" vm="3780">
        <v>0</v>
      </c>
      <c r="BN69" s="83" vm="7922">
        <v>0</v>
      </c>
      <c r="BO69" s="83" vm="3781">
        <v>0</v>
      </c>
      <c r="BP69" s="5" vm="3748">
        <f xml:space="preserve"> VfM_Metrics_2023_Consol_Source[[#This Row],[Total social housing units owned and/or managed at period end]]</f>
        <v>2803</v>
      </c>
      <c r="BQ69" s="84" vm="3748">
        <v>2803</v>
      </c>
      <c r="BR69" s="7">
        <f xml:space="preserve"> IFERROR( VfM_Metrics_2023_Consol_Source[[#This Row],[SHL operating surplus / (deficit)]] / VfM_Metrics_2023_Consol_Source[[#This Row],[Turnover from social housing lettings]], "n/a" )</f>
        <v>0.15805342052741092</v>
      </c>
      <c r="BS69" s="5" vm="3782">
        <f xml:space="preserve"> VfM_Metrics_2023_Consol_Source[[#This Row],[Operating surplus/(deficit) (social housing lettings)]]</f>
        <v>3722</v>
      </c>
      <c r="BT69" s="84" vm="3782">
        <v>3722</v>
      </c>
      <c r="BU69" s="5" vm="7617">
        <f xml:space="preserve"> VfM_Metrics_2023_Consol_Source[[#This Row],[Turnover from social housing lettings]]</f>
        <v>23549</v>
      </c>
      <c r="BV69" s="84" vm="7617">
        <v>23549</v>
      </c>
      <c r="BW69" s="7">
        <f xml:space="preserve"> IFERROR( VfM_Metrics_2023_Consol_Source[[#This Row],[Net operating surplus]] / VfM_Metrics_2023_Consol_Source[[#This Row],[Overall turnover]], "n/a" )</f>
        <v>0.1384542136168862</v>
      </c>
      <c r="BX6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4362</v>
      </c>
      <c r="BY69" s="84" vm="3766">
        <v>5561</v>
      </c>
      <c r="BZ69" s="83" vm="3684">
        <v>1199</v>
      </c>
      <c r="CA69" s="83" vm="3768">
        <v>0</v>
      </c>
      <c r="CB69" s="5" vm="3783">
        <f xml:space="preserve"> VfM_Metrics_2023_Consol_Source[[#This Row],[Turnover (overall)]]</f>
        <v>31505</v>
      </c>
      <c r="CC69" s="84" vm="3783">
        <v>31505</v>
      </c>
      <c r="CD69" s="7">
        <f xml:space="preserve"> IFERROR( VfM_Metrics_2023_Consol_Source[[#This Row],[Operating surplus including from JVs]] / VfM_Metrics_2023_Consol_Source[[#This Row],[Net assets]], "n/a" )</f>
        <v>1.7313523913896275E-2</v>
      </c>
      <c r="CE69" s="5">
        <f xml:space="preserve"> SUM( VfM_Metrics_2023_Consol_Source[[#This Row],[Operating surplus/(deficit) (overall)3]], VfM_Metrics_2023_Consol_Source[[#This Row],[Share of operating surplus/(deficit) in joint ventures or associates]] )</f>
        <v>5561</v>
      </c>
      <c r="CF69" s="84" vm="7070">
        <v>5561</v>
      </c>
      <c r="CG69" s="83" vm="3785">
        <v>0</v>
      </c>
      <c r="CH69" s="5" vm="3784">
        <f xml:space="preserve"> VfM_Metrics_2023_Consol_Source[[#This Row],[Total assets less current liabilities]]</f>
        <v>321194</v>
      </c>
      <c r="CI69" s="84" vm="3784">
        <v>321194</v>
      </c>
      <c r="CJ69" s="71" vm="3747">
        <f xml:space="preserve"> VfM_Metrics_2023_Consol_Source[[#This Row],[Total social housing units owned (Period end)]]</f>
        <v>2803</v>
      </c>
      <c r="CK69" s="103">
        <v>3.6402569593147749E-2</v>
      </c>
      <c r="CL69" s="6">
        <f xml:space="preserve"> -- ( VfM_Metrics_2023_Consol_Source[[#This Row],[% Supported housing (excl. HOP)]] &gt; 0.3 )</f>
        <v>0</v>
      </c>
      <c r="CM69" s="103">
        <v>0.12955032119914348</v>
      </c>
      <c r="CN69" s="6">
        <f xml:space="preserve"> -- ( VfM_Metrics_2023_Consol_Source[[#This Row],[% Housing for older people]] &gt; 0.3 )</f>
        <v>0</v>
      </c>
      <c r="CO69" s="103">
        <f xml:space="preserve"> VfM_Metrics_2023_Consol_Source[[#This Row],[% Supported housing (excl. HOP)]] + VfM_Metrics_2023_Consol_Source[[#This Row],[% Housing for older people]]</f>
        <v>0.16595289079229122</v>
      </c>
      <c r="CP69" s="6">
        <f xml:space="preserve"> -- ( VfM_Metrics_2023_Consol_Source[[#This Row],[SH specialist in RSH analysis]] + VfM_Metrics_2023_Consol_Source[[#This Row],[OP specialist in RSH analysis]] &gt; 0 )</f>
        <v>0</v>
      </c>
      <c r="CQ69" s="10">
        <f xml:space="preserve"> -- ( VfM_Metrics_2023_Consol_Source[[#This Row],[% SH and OP]] &gt; 0.3 )</f>
        <v>0</v>
      </c>
      <c r="CR69" s="104" t="s">
        <v>143</v>
      </c>
      <c r="CS69" s="124" t="s">
        <v>144</v>
      </c>
      <c r="CT69" s="105"/>
      <c r="CU6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69" s="85">
        <v>0.99964323938637178</v>
      </c>
      <c r="CW69" s="85">
        <v>0</v>
      </c>
      <c r="CX69" s="85">
        <v>0</v>
      </c>
      <c r="CY69" s="85">
        <v>0</v>
      </c>
      <c r="CZ69" s="85">
        <v>0</v>
      </c>
      <c r="DA69" s="85">
        <v>3.5676061362825543E-4</v>
      </c>
      <c r="DB69" s="85">
        <v>0</v>
      </c>
      <c r="DC69" s="85">
        <v>0</v>
      </c>
      <c r="DD69" s="85">
        <v>0</v>
      </c>
      <c r="DE69" s="13">
        <v>1.1603168876876051</v>
      </c>
    </row>
    <row r="70" spans="1:109" x14ac:dyDescent="0.25">
      <c r="A70" s="4" t="s" vm="344">
        <v>264</v>
      </c>
      <c r="B70" s="2" t="s" vm="60">
        <v>265</v>
      </c>
      <c r="C70" s="72" vm="435">
        <v>45016</v>
      </c>
      <c r="D70" s="7">
        <f>IFERROR( VfM_Metrics_2023_Consol_Source[[#This Row],[Reinvestment Spend]] / VfM_Metrics_2023_Consol_Source[[#This Row],[Net Book Value of Housing Properties]], "n/a" )</f>
        <v>5.2965665949476097E-2</v>
      </c>
      <c r="E7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56398</v>
      </c>
      <c r="F70" s="83" vm="5125">
        <v>19807</v>
      </c>
      <c r="G70" s="83" vm="7416">
        <v>0</v>
      </c>
      <c r="H70" s="83" vm="4880">
        <v>36410</v>
      </c>
      <c r="I70" s="83" vm="4881">
        <v>181</v>
      </c>
      <c r="J70" s="83" vm="7460">
        <v>0</v>
      </c>
      <c r="K70" s="5">
        <f xml:space="preserve"> SUM( VfM_Metrics_2023_Consol_Source[[#This Row],[Tangible fixed assets: Housing properties at cost (Current period)]],VfM_Metrics_2023_Consol_Source[[#This Row],[Tangible fixed assets Housing properties at valuation (Current period)]] )</f>
        <v>1064803</v>
      </c>
      <c r="L70" s="84" vm="4882">
        <v>1064803</v>
      </c>
      <c r="M70" s="83">
        <v>0</v>
      </c>
      <c r="N70" s="7">
        <f xml:space="preserve"> IFERROR( VfM_Metrics_2023_Consol_Source[[#This Row],[Total social units developed or newly built units acquired in-year]] / VfM_Metrics_2023_Consol_Source[[#This Row],[Social housing units owned (period end)]], "n/a" )</f>
        <v>2.0736308937009213E-3</v>
      </c>
      <c r="O70" s="5">
        <f xml:space="preserve"> SUM( VfM_Metrics_2023_Consol_Source[[#This Row],[Total social units developed or newly built units acquired in-year (owned)]], VfM_Metrics_2023_Consol_Source[[#This Row],[Total social leasehold units developed or newly built units acquired in-year (owned)]] )</f>
        <v>61</v>
      </c>
      <c r="P70" s="84" vm="4883">
        <v>54</v>
      </c>
      <c r="Q70" s="83" vm="4884">
        <v>7</v>
      </c>
      <c r="R70" s="5">
        <f xml:space="preserve"> SUM( VfM_Metrics_2023_Consol_Source[[#This Row],[Total social housing units owned (Period end)]], VfM_Metrics_2023_Consol_Source[[#This Row],[Total social leasehold units owned (Period end)]] )</f>
        <v>29417</v>
      </c>
      <c r="S70" s="84" vm="5642">
        <v>28701</v>
      </c>
      <c r="T70" s="83" vm="4885">
        <v>716</v>
      </c>
      <c r="U70" s="86">
        <f xml:space="preserve"> IFERROR( VfM_Metrics_2023_Consol_Source[[#This Row],[Total non-social housing units developed or newly built units acquired (owned)]] / VfM_Metrics_2023_Consol_Source[[#This Row],[Total social and non-social housing units owned (Period end)]], "n/a" )</f>
        <v>6.3672809352154427E-3</v>
      </c>
      <c r="V7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189</v>
      </c>
      <c r="W70" s="83" vm="4886">
        <v>0</v>
      </c>
      <c r="X70" s="83" vm="4887">
        <v>0</v>
      </c>
      <c r="Y70" s="83" vm="4888">
        <v>189</v>
      </c>
      <c r="Z7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29683</v>
      </c>
      <c r="AA70" s="84" vm="4878">
        <v>28701</v>
      </c>
      <c r="AB70" s="83" vm="4885">
        <v>716</v>
      </c>
      <c r="AC70" s="83" vm="4889">
        <v>62</v>
      </c>
      <c r="AD70" s="83" vm="4890">
        <v>204</v>
      </c>
      <c r="AE70" s="7">
        <f xml:space="preserve"> IFERROR( VfM_Metrics_2023_Consol_Source[[#This Row],[Total Net Debt]] / VfM_Metrics_2023_Consol_Source[[#This Row],[Net Book Value of Housing Properties2]], "n/a" )</f>
        <v>0.46135857994389573</v>
      </c>
      <c r="AF7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491256</v>
      </c>
      <c r="AG70" s="84" vm="3048">
        <v>5477</v>
      </c>
      <c r="AH70" s="83" vm="4891">
        <v>507651</v>
      </c>
      <c r="AI70" s="83" vm="4892">
        <v>21872</v>
      </c>
      <c r="AJ70" s="83" vm="1675">
        <v>0</v>
      </c>
      <c r="AK70" s="83">
        <v>0</v>
      </c>
      <c r="AL70" s="5">
        <f xml:space="preserve"> SUM( VfM_Metrics_2023_Consol_Source[[#This Row],[Tangible fixed assets: Housing properties at cost (Current period)2]], VfM_Metrics_2023_Consol_Source[[#This Row],[Tangible fixed assets Housing properties at valuation (Current period)2]] )</f>
        <v>1064803</v>
      </c>
      <c r="AM70" s="84" vm="7397">
        <v>1064803</v>
      </c>
      <c r="AN70" s="83">
        <v>0</v>
      </c>
      <c r="AO70" s="87">
        <f xml:space="preserve"> IFERROR( VfM_Metrics_2023_Consol_Source[[#This Row],[EBITDA MRI]] / VfM_Metrics_2023_Consol_Source[[#This Row],[Total interest]], "n/a" )</f>
        <v>0.90063275478101024</v>
      </c>
      <c r="AP7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25478</v>
      </c>
      <c r="AQ70" s="84" vm="7421">
        <v>29996</v>
      </c>
      <c r="AR70" s="84" vm="6960">
        <v>3862</v>
      </c>
      <c r="AS70" s="84" vm="3949">
        <v>28</v>
      </c>
      <c r="AT70" s="84" vm="4895">
        <v>210</v>
      </c>
      <c r="AU70" s="84" vm="4896">
        <v>0</v>
      </c>
      <c r="AV70" s="84" vm="4897">
        <v>6102</v>
      </c>
      <c r="AW70" s="84" vm="4898">
        <v>36410</v>
      </c>
      <c r="AX70" s="84" vm="4899">
        <v>29890</v>
      </c>
      <c r="AY70" s="3">
        <f xml:space="preserve"> - SUM( VfM_Metrics_2023_Consol_Source[[#This Row],[Interest capitalised]], VfM_Metrics_2023_Consol_Source[[#This Row],[Interest payable and financing costs]] )</f>
        <v>28289</v>
      </c>
      <c r="AZ70" s="84" vm="7378">
        <v>-181</v>
      </c>
      <c r="BA70" s="83" vm="7372">
        <v>-28108</v>
      </c>
      <c r="BB70" s="8">
        <f xml:space="preserve"> IFERROR( ( VfM_Metrics_2023_Consol_Source[[#This Row],[Total Costs]] / VfM_Metrics_2023_Consol_Source[[#This Row],[Total units for costs]] ) * 1000, "n/a" )</f>
        <v>4037.9901107319452</v>
      </c>
      <c r="BC7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115963</v>
      </c>
      <c r="BD70" s="84" vm="4538">
        <v>21687</v>
      </c>
      <c r="BE70" s="83" vm="6966">
        <v>3563</v>
      </c>
      <c r="BF70" s="83" vm="4900">
        <v>37077</v>
      </c>
      <c r="BG70" s="83" vm="4949">
        <v>7212</v>
      </c>
      <c r="BH70" s="83" vm="4901">
        <v>6854</v>
      </c>
      <c r="BI70" s="83" vm="4902">
        <v>1700</v>
      </c>
      <c r="BJ70" s="83" vm="5180">
        <v>36410</v>
      </c>
      <c r="BK70" s="83" vm="4903">
        <v>189</v>
      </c>
      <c r="BL70" s="83">
        <v>0</v>
      </c>
      <c r="BM70" s="83">
        <v>0</v>
      </c>
      <c r="BN70" s="83">
        <v>0</v>
      </c>
      <c r="BO70" s="83" vm="4904">
        <v>1271</v>
      </c>
      <c r="BP70" s="5" vm="4879">
        <f xml:space="preserve"> VfM_Metrics_2023_Consol_Source[[#This Row],[Total social housing units owned and/or managed at period end]]</f>
        <v>28718</v>
      </c>
      <c r="BQ70" s="84" vm="4879">
        <v>28718</v>
      </c>
      <c r="BR70" s="7">
        <f xml:space="preserve"> IFERROR( VfM_Metrics_2023_Consol_Source[[#This Row],[SHL operating surplus / (deficit)]] / VfM_Metrics_2023_Consol_Source[[#This Row],[Turnover from social housing lettings]], "n/a" )</f>
        <v>0.18378436376734952</v>
      </c>
      <c r="BS70" s="5" vm="7352">
        <f xml:space="preserve"> VfM_Metrics_2023_Consol_Source[[#This Row],[Operating surplus/(deficit) (social housing lettings)]]</f>
        <v>23980</v>
      </c>
      <c r="BT70" s="84" vm="7352">
        <v>23980</v>
      </c>
      <c r="BU70" s="5" vm="4587">
        <f xml:space="preserve"> VfM_Metrics_2023_Consol_Source[[#This Row],[Turnover from social housing lettings]]</f>
        <v>130479</v>
      </c>
      <c r="BV70" s="84" vm="4587">
        <v>130479</v>
      </c>
      <c r="BW70" s="7">
        <f xml:space="preserve"> IFERROR( VfM_Metrics_2023_Consol_Source[[#This Row],[Net operating surplus]] / VfM_Metrics_2023_Consol_Source[[#This Row],[Overall turnover]], "n/a" )</f>
        <v>0.14288138097870406</v>
      </c>
      <c r="BX7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26106</v>
      </c>
      <c r="BY70" s="84" vm="4893">
        <v>29996</v>
      </c>
      <c r="BZ70" s="83" vm="4894">
        <v>3862</v>
      </c>
      <c r="CA70" s="83" vm="7040">
        <v>28</v>
      </c>
      <c r="CB70" s="5" vm="4905">
        <f xml:space="preserve"> VfM_Metrics_2023_Consol_Source[[#This Row],[Turnover (overall)]]</f>
        <v>182711</v>
      </c>
      <c r="CC70" s="84" vm="4905">
        <v>182711</v>
      </c>
      <c r="CD70" s="7">
        <f xml:space="preserve"> IFERROR( VfM_Metrics_2023_Consol_Source[[#This Row],[Operating surplus including from JVs]] / VfM_Metrics_2023_Consol_Source[[#This Row],[Net assets]], "n/a" )</f>
        <v>2.5615909942945762E-2</v>
      </c>
      <c r="CE70" s="5">
        <f xml:space="preserve"> SUM( VfM_Metrics_2023_Consol_Source[[#This Row],[Operating surplus/(deficit) (overall)3]], VfM_Metrics_2023_Consol_Source[[#This Row],[Share of operating surplus/(deficit) in joint ventures or associates]] )</f>
        <v>29996</v>
      </c>
      <c r="CF70" s="84" vm="4681">
        <v>29996</v>
      </c>
      <c r="CG70" s="83">
        <v>0</v>
      </c>
      <c r="CH70" s="5" vm="4906">
        <f xml:space="preserve"> VfM_Metrics_2023_Consol_Source[[#This Row],[Total assets less current liabilities]]</f>
        <v>1170991</v>
      </c>
      <c r="CI70" s="84" vm="4906">
        <v>1170991</v>
      </c>
      <c r="CJ70" s="71" vm="5642">
        <f xml:space="preserve"> VfM_Metrics_2023_Consol_Source[[#This Row],[Total social housing units owned (Period end)]]</f>
        <v>28701</v>
      </c>
      <c r="CK70" s="103">
        <v>4.6672007244610084E-3</v>
      </c>
      <c r="CL70" s="6">
        <f xml:space="preserve"> -- ( VfM_Metrics_2023_Consol_Source[[#This Row],[% Supported housing (excl. HOP)]] &gt; 0.3 )</f>
        <v>0</v>
      </c>
      <c r="CM70" s="103">
        <v>6.6525025251645709E-3</v>
      </c>
      <c r="CN70" s="6">
        <f xml:space="preserve"> -- ( VfM_Metrics_2023_Consol_Source[[#This Row],[% Housing for older people]] &gt; 0.3 )</f>
        <v>0</v>
      </c>
      <c r="CO70" s="103">
        <f xml:space="preserve"> VfM_Metrics_2023_Consol_Source[[#This Row],[% Supported housing (excl. HOP)]] + VfM_Metrics_2023_Consol_Source[[#This Row],[% Housing for older people]]</f>
        <v>1.1319703249625579E-2</v>
      </c>
      <c r="CP70" s="6">
        <f xml:space="preserve"> -- ( VfM_Metrics_2023_Consol_Source[[#This Row],[SH specialist in RSH analysis]] + VfM_Metrics_2023_Consol_Source[[#This Row],[OP specialist in RSH analysis]] &gt; 0 )</f>
        <v>0</v>
      </c>
      <c r="CQ70" s="10">
        <f xml:space="preserve"> -- ( VfM_Metrics_2023_Consol_Source[[#This Row],[% SH and OP]] &gt; 0.3 )</f>
        <v>0</v>
      </c>
      <c r="CR70" s="104" t="s">
        <v>143</v>
      </c>
      <c r="CS70" s="124"/>
      <c r="CT70" s="105" t="s">
        <v>151</v>
      </c>
      <c r="CU7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70" s="85">
        <v>0</v>
      </c>
      <c r="CW70" s="85">
        <v>0</v>
      </c>
      <c r="CX70" s="85">
        <v>0</v>
      </c>
      <c r="CY70" s="85">
        <v>0</v>
      </c>
      <c r="CZ70" s="85">
        <v>0</v>
      </c>
      <c r="DA70" s="85">
        <v>0</v>
      </c>
      <c r="DB70" s="85">
        <v>1</v>
      </c>
      <c r="DC70" s="85">
        <v>0</v>
      </c>
      <c r="DD70" s="85">
        <v>0</v>
      </c>
      <c r="DE70" s="13">
        <v>0.90654753410084521</v>
      </c>
    </row>
    <row r="71" spans="1:109" x14ac:dyDescent="0.25">
      <c r="A71" s="4" t="s" vm="322">
        <v>266</v>
      </c>
      <c r="B71" s="2" t="s" vm="61">
        <v>267</v>
      </c>
      <c r="C71" s="72" vm="416">
        <v>45016</v>
      </c>
      <c r="D71" s="7">
        <f>IFERROR( VfM_Metrics_2023_Consol_Source[[#This Row],[Reinvestment Spend]] / VfM_Metrics_2023_Consol_Source[[#This Row],[Net Book Value of Housing Properties]], "n/a" )</f>
        <v>0.15812378736462931</v>
      </c>
      <c r="E7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20456</v>
      </c>
      <c r="F71" s="83" vm="4112">
        <v>14291</v>
      </c>
      <c r="G71" s="83" vm="4113">
        <v>0</v>
      </c>
      <c r="H71" s="83" vm="4114">
        <v>5899</v>
      </c>
      <c r="I71" s="83" vm="7525">
        <v>266</v>
      </c>
      <c r="J71" s="83" vm="4115">
        <v>0</v>
      </c>
      <c r="K71" s="5">
        <f xml:space="preserve"> SUM( VfM_Metrics_2023_Consol_Source[[#This Row],[Tangible fixed assets: Housing properties at cost (Current period)]],VfM_Metrics_2023_Consol_Source[[#This Row],[Tangible fixed assets Housing properties at valuation (Current period)]] )</f>
        <v>129367</v>
      </c>
      <c r="L71" s="84" vm="4116">
        <v>129367</v>
      </c>
      <c r="M71" s="83" vm="4117">
        <v>0</v>
      </c>
      <c r="N71" s="7">
        <f xml:space="preserve"> IFERROR( VfM_Metrics_2023_Consol_Source[[#This Row],[Total social units developed or newly built units acquired in-year]] / VfM_Metrics_2023_Consol_Source[[#This Row],[Social housing units owned (period end)]], "n/a" )</f>
        <v>2.129757444291067E-2</v>
      </c>
      <c r="O71" s="5">
        <f xml:space="preserve"> SUM( VfM_Metrics_2023_Consol_Source[[#This Row],[Total social units developed or newly built units acquired in-year (owned)]], VfM_Metrics_2023_Consol_Source[[#This Row],[Total social leasehold units developed or newly built units acquired in-year (owned)]] )</f>
        <v>108</v>
      </c>
      <c r="P71" s="84" vm="7778">
        <v>105</v>
      </c>
      <c r="Q71" s="83" vm="4118">
        <v>3</v>
      </c>
      <c r="R71" s="5">
        <f xml:space="preserve"> SUM( VfM_Metrics_2023_Consol_Source[[#This Row],[Total social housing units owned (Period end)]], VfM_Metrics_2023_Consol_Source[[#This Row],[Total social leasehold units owned (Period end)]] )</f>
        <v>5071</v>
      </c>
      <c r="S71" s="84" vm="4110">
        <v>4756</v>
      </c>
      <c r="T71" s="83" vm="4119">
        <v>315</v>
      </c>
      <c r="U71" s="86">
        <f xml:space="preserve"> IFERROR( VfM_Metrics_2023_Consol_Source[[#This Row],[Total non-social housing units developed or newly built units acquired (owned)]] / VfM_Metrics_2023_Consol_Source[[#This Row],[Total social and non-social housing units owned (Period end)]], "n/a" )</f>
        <v>0</v>
      </c>
      <c r="V7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71" s="83" vm="4120">
        <v>0</v>
      </c>
      <c r="X71" s="83" vm="5061">
        <v>0</v>
      </c>
      <c r="Y71" s="83" vm="4121">
        <v>0</v>
      </c>
      <c r="Z7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5071</v>
      </c>
      <c r="AA71" s="84" vm="4110">
        <v>4756</v>
      </c>
      <c r="AB71" s="83" vm="4119">
        <v>315</v>
      </c>
      <c r="AC71" s="83" vm="4122">
        <v>0</v>
      </c>
      <c r="AD71" s="83" vm="3870">
        <v>0</v>
      </c>
      <c r="AE71" s="7">
        <f xml:space="preserve"> IFERROR( VfM_Metrics_2023_Consol_Source[[#This Row],[Total Net Debt]] / VfM_Metrics_2023_Consol_Source[[#This Row],[Net Book Value of Housing Properties2]], "n/a" )</f>
        <v>0.53168891602959023</v>
      </c>
      <c r="AF7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68783</v>
      </c>
      <c r="AG71" s="84" vm="4123">
        <v>0</v>
      </c>
      <c r="AH71" s="83" vm="7596">
        <v>71800</v>
      </c>
      <c r="AI71" s="83" vm="4232">
        <v>3017</v>
      </c>
      <c r="AJ71" s="83" vm="4124">
        <v>0</v>
      </c>
      <c r="AK71" s="83" vm="4125">
        <v>0</v>
      </c>
      <c r="AL71" s="5">
        <f xml:space="preserve"> SUM( VfM_Metrics_2023_Consol_Source[[#This Row],[Tangible fixed assets: Housing properties at cost (Current period)2]], VfM_Metrics_2023_Consol_Source[[#This Row],[Tangible fixed assets Housing properties at valuation (Current period)2]] )</f>
        <v>129367</v>
      </c>
      <c r="AM71" s="84" vm="4116">
        <v>129367</v>
      </c>
      <c r="AN71" s="83" vm="7294">
        <v>0</v>
      </c>
      <c r="AO71" s="87">
        <f xml:space="preserve"> IFERROR( VfM_Metrics_2023_Consol_Source[[#This Row],[EBITDA MRI]] / VfM_Metrics_2023_Consol_Source[[#This Row],[Total interest]], "n/a" )</f>
        <v>0.80233990147783252</v>
      </c>
      <c r="AP7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2606</v>
      </c>
      <c r="AQ71" s="84" vm="4126">
        <v>6879</v>
      </c>
      <c r="AR71" s="84" vm="4127">
        <v>2416</v>
      </c>
      <c r="AS71" s="84" vm="4128">
        <v>0</v>
      </c>
      <c r="AT71" s="84" vm="3784">
        <v>108</v>
      </c>
      <c r="AU71" s="84" vm="4129">
        <v>0</v>
      </c>
      <c r="AV71" s="84" vm="4130">
        <v>8</v>
      </c>
      <c r="AW71" s="84" vm="4131">
        <v>5899</v>
      </c>
      <c r="AX71" s="84" vm="4132">
        <v>4142</v>
      </c>
      <c r="AY71" s="3">
        <f xml:space="preserve"> - SUM( VfM_Metrics_2023_Consol_Source[[#This Row],[Interest capitalised]], VfM_Metrics_2023_Consol_Source[[#This Row],[Interest payable and financing costs]] )</f>
        <v>3248</v>
      </c>
      <c r="AZ71" s="84" vm="4133">
        <v>-266</v>
      </c>
      <c r="BA71" s="83" vm="4134">
        <v>-2982</v>
      </c>
      <c r="BB71" s="8">
        <f xml:space="preserve"> IFERROR( ( VfM_Metrics_2023_Consol_Source[[#This Row],[Total Costs]] / VfM_Metrics_2023_Consol_Source[[#This Row],[Total units for costs]] ) * 1000, "n/a" )</f>
        <v>4645.4526360008404</v>
      </c>
      <c r="BC7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22117</v>
      </c>
      <c r="BD71" s="84" vm="4135">
        <v>6740</v>
      </c>
      <c r="BE71" s="83" vm="4136">
        <v>2589</v>
      </c>
      <c r="BF71" s="83" vm="6983">
        <v>5384</v>
      </c>
      <c r="BG71" s="83" vm="7061">
        <v>582</v>
      </c>
      <c r="BH71" s="83" vm="4137">
        <v>8</v>
      </c>
      <c r="BI71" s="83" vm="7369">
        <v>0</v>
      </c>
      <c r="BJ71" s="83" vm="7356">
        <v>5899</v>
      </c>
      <c r="BK71" s="83" vm="4023">
        <v>384</v>
      </c>
      <c r="BL71" s="83" vm="4138">
        <v>101</v>
      </c>
      <c r="BM71" s="83" vm="4139">
        <v>429</v>
      </c>
      <c r="BN71" s="83" vm="4140">
        <v>1</v>
      </c>
      <c r="BO71" s="83" vm="4141">
        <v>0</v>
      </c>
      <c r="BP71" s="5" vm="4111">
        <f xml:space="preserve"> VfM_Metrics_2023_Consol_Source[[#This Row],[Total social housing units owned and/or managed at period end]]</f>
        <v>4761</v>
      </c>
      <c r="BQ71" s="84" vm="4111">
        <v>4761</v>
      </c>
      <c r="BR71" s="7">
        <f xml:space="preserve"> IFERROR( VfM_Metrics_2023_Consol_Source[[#This Row],[SHL operating surplus / (deficit)]] / VfM_Metrics_2023_Consol_Source[[#This Row],[Turnover from social housing lettings]], "n/a" )</f>
        <v>0.16199430690934186</v>
      </c>
      <c r="BS71" s="5" vm="4142">
        <f xml:space="preserve"> VfM_Metrics_2023_Consol_Source[[#This Row],[Operating surplus/(deficit) (social housing lettings)]]</f>
        <v>3756</v>
      </c>
      <c r="BT71" s="84" vm="4142">
        <v>3756</v>
      </c>
      <c r="BU71" s="5" vm="4143">
        <f xml:space="preserve"> VfM_Metrics_2023_Consol_Source[[#This Row],[Turnover from social housing lettings]]</f>
        <v>23186</v>
      </c>
      <c r="BV71" s="84" vm="4143">
        <v>23186</v>
      </c>
      <c r="BW71" s="7">
        <f xml:space="preserve"> IFERROR( VfM_Metrics_2023_Consol_Source[[#This Row],[Net operating surplus]] / VfM_Metrics_2023_Consol_Source[[#This Row],[Overall turnover]], "n/a" )</f>
        <v>0.16767479430439192</v>
      </c>
      <c r="BX7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4463</v>
      </c>
      <c r="BY71" s="84" vm="4126">
        <v>6879</v>
      </c>
      <c r="BZ71" s="83" vm="4127">
        <v>2416</v>
      </c>
      <c r="CA71" s="83" vm="4128">
        <v>0</v>
      </c>
      <c r="CB71" s="5" vm="4144">
        <f xml:space="preserve"> VfM_Metrics_2023_Consol_Source[[#This Row],[Turnover (overall)]]</f>
        <v>26617</v>
      </c>
      <c r="CC71" s="84" vm="4144">
        <v>26617</v>
      </c>
      <c r="CD71" s="7">
        <f xml:space="preserve"> IFERROR( VfM_Metrics_2023_Consol_Source[[#This Row],[Operating surplus including from JVs]] / VfM_Metrics_2023_Consol_Source[[#This Row],[Net assets]], "n/a" )</f>
        <v>3.1752259446285645E-2</v>
      </c>
      <c r="CE71" s="5">
        <f xml:space="preserve"> SUM( VfM_Metrics_2023_Consol_Source[[#This Row],[Operating surplus/(deficit) (overall)3]], VfM_Metrics_2023_Consol_Source[[#This Row],[Share of operating surplus/(deficit) in joint ventures or associates]] )</f>
        <v>6879</v>
      </c>
      <c r="CF71" s="84" vm="4126">
        <v>6879</v>
      </c>
      <c r="CG71" s="83" vm="4348">
        <v>0</v>
      </c>
      <c r="CH71" s="5" vm="7430">
        <f xml:space="preserve"> VfM_Metrics_2023_Consol_Source[[#This Row],[Total assets less current liabilities]]</f>
        <v>216646</v>
      </c>
      <c r="CI71" s="84" vm="7430">
        <v>216646</v>
      </c>
      <c r="CJ71" s="71" vm="4110">
        <f xml:space="preserve"> VfM_Metrics_2023_Consol_Source[[#This Row],[Total social housing units owned (Period end)]]</f>
        <v>4756</v>
      </c>
      <c r="CK71" s="103">
        <v>1.5443198646075735E-2</v>
      </c>
      <c r="CL71" s="6">
        <f xml:space="preserve"> -- ( VfM_Metrics_2023_Consol_Source[[#This Row],[% Supported housing (excl. HOP)]] &gt; 0.3 )</f>
        <v>0</v>
      </c>
      <c r="CM71" s="103">
        <v>6.1349693251533742E-2</v>
      </c>
      <c r="CN71" s="6">
        <f xml:space="preserve"> -- ( VfM_Metrics_2023_Consol_Source[[#This Row],[% Housing for older people]] &gt; 0.3 )</f>
        <v>0</v>
      </c>
      <c r="CO71" s="103">
        <f xml:space="preserve"> VfM_Metrics_2023_Consol_Source[[#This Row],[% Supported housing (excl. HOP)]] + VfM_Metrics_2023_Consol_Source[[#This Row],[% Housing for older people]]</f>
        <v>7.6792891897609475E-2</v>
      </c>
      <c r="CP71" s="6">
        <f xml:space="preserve"> -- ( VfM_Metrics_2023_Consol_Source[[#This Row],[SH specialist in RSH analysis]] + VfM_Metrics_2023_Consol_Source[[#This Row],[OP specialist in RSH analysis]] &gt; 0 )</f>
        <v>0</v>
      </c>
      <c r="CQ71" s="10">
        <f xml:space="preserve"> -- ( VfM_Metrics_2023_Consol_Source[[#This Row],[% SH and OP]] &gt; 0.3 )</f>
        <v>0</v>
      </c>
      <c r="CR71" s="104" t="s">
        <v>168</v>
      </c>
      <c r="CS71" s="124">
        <v>42079</v>
      </c>
      <c r="CT71" s="105" t="s">
        <v>169</v>
      </c>
      <c r="CU7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71" s="85">
        <v>0</v>
      </c>
      <c r="CW71" s="85">
        <v>0</v>
      </c>
      <c r="CX71" s="85">
        <v>1</v>
      </c>
      <c r="CY71" s="85">
        <v>0</v>
      </c>
      <c r="CZ71" s="85">
        <v>0</v>
      </c>
      <c r="DA71" s="85">
        <v>0</v>
      </c>
      <c r="DB71" s="85">
        <v>0</v>
      </c>
      <c r="DC71" s="85">
        <v>0</v>
      </c>
      <c r="DD71" s="85">
        <v>0</v>
      </c>
      <c r="DE71" s="13">
        <v>0.97511902715076015</v>
      </c>
    </row>
    <row r="72" spans="1:109" x14ac:dyDescent="0.25">
      <c r="A72" s="4" t="s" vm="309">
        <v>268</v>
      </c>
      <c r="B72" s="2" t="s" vm="62">
        <v>269</v>
      </c>
      <c r="C72" s="72" vm="475">
        <v>45016</v>
      </c>
      <c r="D72" s="7">
        <f>IFERROR( VfM_Metrics_2023_Consol_Source[[#This Row],[Reinvestment Spend]] / VfM_Metrics_2023_Consol_Source[[#This Row],[Net Book Value of Housing Properties]], "n/a" )</f>
        <v>8.244655354232576E-2</v>
      </c>
      <c r="E7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10320</v>
      </c>
      <c r="F72" s="83" vm="3638">
        <v>9633</v>
      </c>
      <c r="G72" s="83" vm="3639">
        <v>0</v>
      </c>
      <c r="H72" s="83" vm="3640">
        <v>687</v>
      </c>
      <c r="I72" s="83" vm="3641">
        <v>0</v>
      </c>
      <c r="J72" s="83" vm="3642">
        <v>0</v>
      </c>
      <c r="K72" s="5">
        <f xml:space="preserve"> SUM( VfM_Metrics_2023_Consol_Source[[#This Row],[Tangible fixed assets: Housing properties at cost (Current period)]],VfM_Metrics_2023_Consol_Source[[#This Row],[Tangible fixed assets Housing properties at valuation (Current period)]] )</f>
        <v>125172</v>
      </c>
      <c r="L72" s="84" vm="3643">
        <v>125172</v>
      </c>
      <c r="M72" s="83">
        <v>0</v>
      </c>
      <c r="N72" s="7">
        <f xml:space="preserve"> IFERROR( VfM_Metrics_2023_Consol_Source[[#This Row],[Total social units developed or newly built units acquired in-year]] / VfM_Metrics_2023_Consol_Source[[#This Row],[Social housing units owned (period end)]], "n/a" )</f>
        <v>0.10295769374766005</v>
      </c>
      <c r="O72" s="5">
        <f xml:space="preserve"> SUM( VfM_Metrics_2023_Consol_Source[[#This Row],[Total social units developed or newly built units acquired in-year (owned)]], VfM_Metrics_2023_Consol_Source[[#This Row],[Total social leasehold units developed or newly built units acquired in-year (owned)]] )</f>
        <v>275</v>
      </c>
      <c r="P72" s="84" vm="3644">
        <v>275</v>
      </c>
      <c r="Q72" s="83">
        <v>0</v>
      </c>
      <c r="R72" s="5">
        <f xml:space="preserve"> SUM( VfM_Metrics_2023_Consol_Source[[#This Row],[Total social housing units owned (Period end)]], VfM_Metrics_2023_Consol_Source[[#This Row],[Total social leasehold units owned (Period end)]] )</f>
        <v>2671</v>
      </c>
      <c r="S72" s="84" vm="3636">
        <v>2671</v>
      </c>
      <c r="T72" s="83" vm="7414">
        <v>0</v>
      </c>
      <c r="U72" s="86">
        <f xml:space="preserve"> IFERROR( VfM_Metrics_2023_Consol_Source[[#This Row],[Total non-social housing units developed or newly built units acquired (owned)]] / VfM_Metrics_2023_Consol_Source[[#This Row],[Total social and non-social housing units owned (Period end)]], "n/a" )</f>
        <v>0</v>
      </c>
      <c r="V7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72" s="83">
        <v>0</v>
      </c>
      <c r="X72" s="83">
        <v>0</v>
      </c>
      <c r="Y72" s="83" vm="3646">
        <v>0</v>
      </c>
      <c r="Z7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2675</v>
      </c>
      <c r="AA72" s="84" vm="3636">
        <v>2671</v>
      </c>
      <c r="AB72" s="83" vm="3645">
        <v>0</v>
      </c>
      <c r="AC72" s="83" vm="3647">
        <v>4</v>
      </c>
      <c r="AD72" s="83" vm="3648">
        <v>0</v>
      </c>
      <c r="AE72" s="7">
        <f xml:space="preserve"> IFERROR( VfM_Metrics_2023_Consol_Source[[#This Row],[Total Net Debt]] / VfM_Metrics_2023_Consol_Source[[#This Row],[Net Book Value of Housing Properties2]], "n/a" )</f>
        <v>0.43765378838717922</v>
      </c>
      <c r="AF7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54782</v>
      </c>
      <c r="AG72" s="84" vm="7413">
        <v>1075</v>
      </c>
      <c r="AH72" s="83" vm="3649">
        <v>61134</v>
      </c>
      <c r="AI72" s="83" vm="3650">
        <v>7427</v>
      </c>
      <c r="AJ72" s="83" vm="1675">
        <v>0</v>
      </c>
      <c r="AK72" s="83">
        <v>0</v>
      </c>
      <c r="AL72" s="5">
        <f xml:space="preserve"> SUM( VfM_Metrics_2023_Consol_Source[[#This Row],[Tangible fixed assets: Housing properties at cost (Current period)2]], VfM_Metrics_2023_Consol_Source[[#This Row],[Tangible fixed assets Housing properties at valuation (Current period)2]] )</f>
        <v>125172</v>
      </c>
      <c r="AM72" s="84" vm="3475">
        <v>125172</v>
      </c>
      <c r="AN72" s="83">
        <v>0</v>
      </c>
      <c r="AO72" s="87">
        <f xml:space="preserve"> IFERROR( VfM_Metrics_2023_Consol_Source[[#This Row],[EBITDA MRI]] / VfM_Metrics_2023_Consol_Source[[#This Row],[Total interest]], "n/a" )</f>
        <v>1.5244444444444445</v>
      </c>
      <c r="AP7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3773</v>
      </c>
      <c r="AQ72" s="84" vm="3651">
        <v>3275</v>
      </c>
      <c r="AR72" s="84" vm="3652">
        <v>65</v>
      </c>
      <c r="AS72" s="84" vm="3653">
        <v>-74</v>
      </c>
      <c r="AT72" s="84" vm="3654">
        <v>255</v>
      </c>
      <c r="AU72" s="84" vm="3655">
        <v>0</v>
      </c>
      <c r="AV72" s="84" vm="3656">
        <v>5</v>
      </c>
      <c r="AW72" s="84" vm="3657">
        <v>687</v>
      </c>
      <c r="AX72" s="84" vm="7201">
        <v>1426</v>
      </c>
      <c r="AY72" s="3">
        <f xml:space="preserve"> - SUM( VfM_Metrics_2023_Consol_Source[[#This Row],[Interest capitalised]], VfM_Metrics_2023_Consol_Source[[#This Row],[Interest payable and financing costs]] )</f>
        <v>2475</v>
      </c>
      <c r="AZ72" s="84">
        <v>0</v>
      </c>
      <c r="BA72" s="83" vm="3658">
        <v>-2475</v>
      </c>
      <c r="BB72" s="8">
        <f xml:space="preserve"> IFERROR( ( VfM_Metrics_2023_Consol_Source[[#This Row],[Total Costs]] / VfM_Metrics_2023_Consol_Source[[#This Row],[Total units for costs]] ) * 1000, "n/a" )</f>
        <v>9220.516660426807</v>
      </c>
      <c r="BC7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24628</v>
      </c>
      <c r="BD72" s="84" vm="3659">
        <v>6724</v>
      </c>
      <c r="BE72" s="83" vm="7446">
        <v>2150</v>
      </c>
      <c r="BF72" s="83" vm="3660">
        <v>1696</v>
      </c>
      <c r="BG72" s="83" vm="3736">
        <v>1159</v>
      </c>
      <c r="BH72" s="83" vm="3661">
        <v>1803</v>
      </c>
      <c r="BI72" s="83" vm="3662">
        <v>9567</v>
      </c>
      <c r="BJ72" s="83" vm="3657">
        <v>687</v>
      </c>
      <c r="BK72" s="83" vm="3663">
        <v>842</v>
      </c>
      <c r="BL72" s="83">
        <v>0</v>
      </c>
      <c r="BM72" s="83">
        <v>0</v>
      </c>
      <c r="BN72" s="83">
        <v>0</v>
      </c>
      <c r="BO72" s="83">
        <v>0</v>
      </c>
      <c r="BP72" s="5" vm="3637">
        <f xml:space="preserve"> VfM_Metrics_2023_Consol_Source[[#This Row],[Total social housing units owned and/or managed at period end]]</f>
        <v>2671</v>
      </c>
      <c r="BQ72" s="84" vm="3637">
        <v>2671</v>
      </c>
      <c r="BR72" s="7">
        <f xml:space="preserve"> IFERROR( VfM_Metrics_2023_Consol_Source[[#This Row],[SHL operating surplus / (deficit)]] / VfM_Metrics_2023_Consol_Source[[#This Row],[Turnover from social housing lettings]], "n/a" )</f>
        <v>0.11368827973994025</v>
      </c>
      <c r="BS72" s="5" vm="3664">
        <f xml:space="preserve"> VfM_Metrics_2023_Consol_Source[[#This Row],[Operating surplus/(deficit) (social housing lettings)]]</f>
        <v>3235</v>
      </c>
      <c r="BT72" s="84" vm="3664">
        <v>3235</v>
      </c>
      <c r="BU72" s="5" vm="2960">
        <f xml:space="preserve"> VfM_Metrics_2023_Consol_Source[[#This Row],[Turnover from social housing lettings]]</f>
        <v>28455</v>
      </c>
      <c r="BV72" s="84" vm="2960">
        <v>28455</v>
      </c>
      <c r="BW72" s="7">
        <f xml:space="preserve"> IFERROR( VfM_Metrics_2023_Consol_Source[[#This Row],[Net operating surplus]] / VfM_Metrics_2023_Consol_Source[[#This Row],[Overall turnover]], "n/a" )</f>
        <v>0.11507866979710552</v>
      </c>
      <c r="BX7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3284</v>
      </c>
      <c r="BY72" s="84" vm="3651">
        <v>3275</v>
      </c>
      <c r="BZ72" s="83" vm="3652">
        <v>65</v>
      </c>
      <c r="CA72" s="83" vm="3653">
        <v>-74</v>
      </c>
      <c r="CB72" s="5" vm="3665">
        <f xml:space="preserve"> VfM_Metrics_2023_Consol_Source[[#This Row],[Turnover (overall)]]</f>
        <v>28537</v>
      </c>
      <c r="CC72" s="84" vm="3665">
        <v>28537</v>
      </c>
      <c r="CD72" s="7">
        <f xml:space="preserve"> IFERROR( VfM_Metrics_2023_Consol_Source[[#This Row],[Operating surplus including from JVs]] / VfM_Metrics_2023_Consol_Source[[#This Row],[Net assets]], "n/a" )</f>
        <v>2.5196959438665598E-2</v>
      </c>
      <c r="CE72" s="5">
        <f xml:space="preserve"> SUM( VfM_Metrics_2023_Consol_Source[[#This Row],[Operating surplus/(deficit) (overall)3]], VfM_Metrics_2023_Consol_Source[[#This Row],[Share of operating surplus/(deficit) in joint ventures or associates]] )</f>
        <v>3275</v>
      </c>
      <c r="CF72" s="84" vm="3651">
        <v>3275</v>
      </c>
      <c r="CG72" s="83">
        <v>0</v>
      </c>
      <c r="CH72" s="5" vm="3666">
        <f xml:space="preserve"> VfM_Metrics_2023_Consol_Source[[#This Row],[Total assets less current liabilities]]</f>
        <v>129976</v>
      </c>
      <c r="CI72" s="84" vm="3666">
        <v>129976</v>
      </c>
      <c r="CJ72" s="71" vm="3636">
        <f xml:space="preserve"> VfM_Metrics_2023_Consol_Source[[#This Row],[Total social housing units owned (Period end)]]</f>
        <v>2671</v>
      </c>
      <c r="CK72" s="103">
        <v>0.97603893672781727</v>
      </c>
      <c r="CL72" s="6">
        <f xml:space="preserve"> -- ( VfM_Metrics_2023_Consol_Source[[#This Row],[% Supported housing (excl. HOP)]] &gt; 0.3 )</f>
        <v>1</v>
      </c>
      <c r="CM72" s="103">
        <v>0</v>
      </c>
      <c r="CN72" s="6">
        <f xml:space="preserve"> -- ( VfM_Metrics_2023_Consol_Source[[#This Row],[% Housing for older people]] &gt; 0.3 )</f>
        <v>0</v>
      </c>
      <c r="CO72" s="103">
        <f xml:space="preserve"> VfM_Metrics_2023_Consol_Source[[#This Row],[% Supported housing (excl. HOP)]] + VfM_Metrics_2023_Consol_Source[[#This Row],[% Housing for older people]]</f>
        <v>0.97603893672781727</v>
      </c>
      <c r="CP72" s="6">
        <f xml:space="preserve"> -- ( VfM_Metrics_2023_Consol_Source[[#This Row],[SH specialist in RSH analysis]] + VfM_Metrics_2023_Consol_Source[[#This Row],[OP specialist in RSH analysis]] &gt; 0 )</f>
        <v>1</v>
      </c>
      <c r="CQ72" s="10">
        <f xml:space="preserve"> -- ( VfM_Metrics_2023_Consol_Source[[#This Row],[% SH and OP]] &gt; 0.3 )</f>
        <v>1</v>
      </c>
      <c r="CR72" s="104" t="s">
        <v>143</v>
      </c>
      <c r="CS72" s="124" t="s">
        <v>144</v>
      </c>
      <c r="CT72" s="105"/>
      <c r="CU7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72" s="85">
        <v>7.9698651863600312E-2</v>
      </c>
      <c r="CW72" s="85">
        <v>0.16613798572561458</v>
      </c>
      <c r="CX72" s="85">
        <v>0.15067406819984139</v>
      </c>
      <c r="CY72" s="85">
        <v>0.15741475019825535</v>
      </c>
      <c r="CZ72" s="85">
        <v>7.1371927042030131E-2</v>
      </c>
      <c r="DA72" s="85">
        <v>7.5337034099920694E-2</v>
      </c>
      <c r="DB72" s="85">
        <v>4.4012688342585253E-2</v>
      </c>
      <c r="DC72" s="85">
        <v>7.6526566217287872E-2</v>
      </c>
      <c r="DD72" s="85">
        <v>0.1788263283108644</v>
      </c>
      <c r="DE72" s="13">
        <v>0.98688354671373213</v>
      </c>
    </row>
    <row r="73" spans="1:109" x14ac:dyDescent="0.25">
      <c r="A73" s="4" t="s" vm="361">
        <v>270</v>
      </c>
      <c r="B73" s="2" t="s" vm="63">
        <v>271</v>
      </c>
      <c r="C73" s="72" vm="422">
        <v>45016</v>
      </c>
      <c r="D73" s="7">
        <f>IFERROR( VfM_Metrics_2023_Consol_Source[[#This Row],[Reinvestment Spend]] / VfM_Metrics_2023_Consol_Source[[#This Row],[Net Book Value of Housing Properties]], "n/a" )</f>
        <v>6.4768570792070726E-2</v>
      </c>
      <c r="E7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34016</v>
      </c>
      <c r="F73" s="83" vm="5473">
        <v>0</v>
      </c>
      <c r="G73" s="83" vm="5474">
        <v>25287</v>
      </c>
      <c r="H73" s="83" vm="5575">
        <v>6959</v>
      </c>
      <c r="I73" s="83" vm="5475">
        <v>1770</v>
      </c>
      <c r="J73" s="83" vm="5476">
        <v>0</v>
      </c>
      <c r="K73" s="5">
        <f xml:space="preserve"> SUM( VfM_Metrics_2023_Consol_Source[[#This Row],[Tangible fixed assets: Housing properties at cost (Current period)]],VfM_Metrics_2023_Consol_Source[[#This Row],[Tangible fixed assets Housing properties at valuation (Current period)]] )</f>
        <v>525193</v>
      </c>
      <c r="L73" s="84" vm="5477">
        <v>525193</v>
      </c>
      <c r="M73" s="83" vm="5478">
        <v>0</v>
      </c>
      <c r="N73" s="7">
        <f xml:space="preserve"> IFERROR( VfM_Metrics_2023_Consol_Source[[#This Row],[Total social units developed or newly built units acquired in-year]] / VfM_Metrics_2023_Consol_Source[[#This Row],[Social housing units owned (period end)]], "n/a" )</f>
        <v>3.0497398039452984E-2</v>
      </c>
      <c r="O73" s="5">
        <f xml:space="preserve"> SUM( VfM_Metrics_2023_Consol_Source[[#This Row],[Total social units developed or newly built units acquired in-year (owned)]], VfM_Metrics_2023_Consol_Source[[#This Row],[Total social leasehold units developed or newly built units acquired in-year (owned)]] )</f>
        <v>252</v>
      </c>
      <c r="P73" s="84" vm="5479">
        <v>252</v>
      </c>
      <c r="Q73" s="83">
        <v>0</v>
      </c>
      <c r="R73" s="5">
        <f xml:space="preserve"> SUM( VfM_Metrics_2023_Consol_Source[[#This Row],[Total social housing units owned (Period end)]], VfM_Metrics_2023_Consol_Source[[#This Row],[Total social leasehold units owned (Period end)]] )</f>
        <v>8263</v>
      </c>
      <c r="S73" s="84" vm="5471">
        <v>7783</v>
      </c>
      <c r="T73" s="83" vm="5480">
        <v>480</v>
      </c>
      <c r="U73" s="86">
        <f xml:space="preserve"> IFERROR( VfM_Metrics_2023_Consol_Source[[#This Row],[Total non-social housing units developed or newly built units acquired (owned)]] / VfM_Metrics_2023_Consol_Source[[#This Row],[Total social and non-social housing units owned (Period end)]], "n/a" )</f>
        <v>0</v>
      </c>
      <c r="V7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73" s="83">
        <v>0</v>
      </c>
      <c r="X73" s="83">
        <v>0</v>
      </c>
      <c r="Y73" s="83">
        <v>0</v>
      </c>
      <c r="Z7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8455</v>
      </c>
      <c r="AA73" s="84" vm="5471">
        <v>7783</v>
      </c>
      <c r="AB73" s="83" vm="5480">
        <v>480</v>
      </c>
      <c r="AC73" s="83" vm="5481">
        <v>192</v>
      </c>
      <c r="AD73" s="83" vm="5482">
        <v>0</v>
      </c>
      <c r="AE73" s="7">
        <f xml:space="preserve"> IFERROR( VfM_Metrics_2023_Consol_Source[[#This Row],[Total Net Debt]] / VfM_Metrics_2023_Consol_Source[[#This Row],[Net Book Value of Housing Properties2]], "n/a" )</f>
        <v>0.56455626788628177</v>
      </c>
      <c r="AF7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296501</v>
      </c>
      <c r="AG73" s="84" vm="5483">
        <v>3666</v>
      </c>
      <c r="AH73" s="83" vm="5484">
        <v>302471</v>
      </c>
      <c r="AI73" s="83" vm="5485">
        <v>9636</v>
      </c>
      <c r="AJ73" s="83" vm="1675">
        <v>0</v>
      </c>
      <c r="AK73" s="83">
        <v>0</v>
      </c>
      <c r="AL73" s="5">
        <f xml:space="preserve"> SUM( VfM_Metrics_2023_Consol_Source[[#This Row],[Tangible fixed assets: Housing properties at cost (Current period)2]], VfM_Metrics_2023_Consol_Source[[#This Row],[Tangible fixed assets Housing properties at valuation (Current period)2]] )</f>
        <v>525193</v>
      </c>
      <c r="AM73" s="84" vm="5477">
        <v>525193</v>
      </c>
      <c r="AN73" s="83" vm="5478">
        <v>0</v>
      </c>
      <c r="AO73" s="87">
        <f xml:space="preserve"> IFERROR( VfM_Metrics_2023_Consol_Source[[#This Row],[EBITDA MRI]] / VfM_Metrics_2023_Consol_Source[[#This Row],[Total interest]], "n/a" )</f>
        <v>1.0909863945578231</v>
      </c>
      <c r="AP7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11547</v>
      </c>
      <c r="AQ73" s="84" vm="5486">
        <v>12551</v>
      </c>
      <c r="AR73" s="84" vm="5487">
        <v>2599</v>
      </c>
      <c r="AS73" s="84" vm="5488">
        <v>0</v>
      </c>
      <c r="AT73" s="84" vm="7503">
        <v>382</v>
      </c>
      <c r="AU73" s="84" vm="7253">
        <v>0</v>
      </c>
      <c r="AV73" s="84" vm="5489">
        <v>227</v>
      </c>
      <c r="AW73" s="84" vm="5490">
        <v>6959</v>
      </c>
      <c r="AX73" s="84" vm="5491">
        <v>8709</v>
      </c>
      <c r="AY73" s="3">
        <f xml:space="preserve"> - SUM( VfM_Metrics_2023_Consol_Source[[#This Row],[Interest capitalised]], VfM_Metrics_2023_Consol_Source[[#This Row],[Interest payable and financing costs]] )</f>
        <v>10584</v>
      </c>
      <c r="AZ73" s="84" vm="5492">
        <v>-2256</v>
      </c>
      <c r="BA73" s="83" vm="5493">
        <v>-8328</v>
      </c>
      <c r="BB73" s="8">
        <f xml:space="preserve"> IFERROR( ( VfM_Metrics_2023_Consol_Source[[#This Row],[Total Costs]] / VfM_Metrics_2023_Consol_Source[[#This Row],[Total units for costs]] ) * 1000, "n/a" )</f>
        <v>5144.2888346395985</v>
      </c>
      <c r="BC7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40038</v>
      </c>
      <c r="BD73" s="84" vm="5494">
        <v>10649</v>
      </c>
      <c r="BE73" s="83" vm="5495">
        <v>2772</v>
      </c>
      <c r="BF73" s="83" vm="5496">
        <v>10146</v>
      </c>
      <c r="BG73" s="83" vm="5355">
        <v>9155</v>
      </c>
      <c r="BH73" s="83" vm="5497">
        <v>0</v>
      </c>
      <c r="BI73" s="83" vm="5908">
        <v>0</v>
      </c>
      <c r="BJ73" s="83" vm="6946">
        <v>6959</v>
      </c>
      <c r="BK73" s="83" vm="5498">
        <v>282</v>
      </c>
      <c r="BL73" s="83">
        <v>0</v>
      </c>
      <c r="BM73" s="83">
        <v>0</v>
      </c>
      <c r="BN73" s="83" vm="5232">
        <v>3</v>
      </c>
      <c r="BO73" s="83" vm="5499">
        <v>72</v>
      </c>
      <c r="BP73" s="5" vm="5472">
        <f xml:space="preserve"> VfM_Metrics_2023_Consol_Source[[#This Row],[Total social housing units owned and/or managed at period end]]</f>
        <v>7783</v>
      </c>
      <c r="BQ73" s="84" vm="5472">
        <v>7783</v>
      </c>
      <c r="BR73" s="7">
        <f xml:space="preserve"> IFERROR( VfM_Metrics_2023_Consol_Source[[#This Row],[SHL operating surplus / (deficit)]] / VfM_Metrics_2023_Consol_Source[[#This Row],[Turnover from social housing lettings]], "n/a" )</f>
        <v>0.11260974678712304</v>
      </c>
      <c r="BS73" s="5" vm="5500">
        <f xml:space="preserve"> VfM_Metrics_2023_Consol_Source[[#This Row],[Operating surplus/(deficit) (social housing lettings)]]</f>
        <v>5310</v>
      </c>
      <c r="BT73" s="84" vm="5500">
        <v>5310</v>
      </c>
      <c r="BU73" s="5" vm="5501">
        <f xml:space="preserve"> VfM_Metrics_2023_Consol_Source[[#This Row],[Turnover from social housing lettings]]</f>
        <v>47154</v>
      </c>
      <c r="BV73" s="84" vm="5501">
        <v>47154</v>
      </c>
      <c r="BW73" s="7">
        <f xml:space="preserve"> IFERROR( VfM_Metrics_2023_Consol_Source[[#This Row],[Net operating surplus]] / VfM_Metrics_2023_Consol_Source[[#This Row],[Overall turnover]], "n/a" )</f>
        <v>0.14873710955014199</v>
      </c>
      <c r="BX7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9952</v>
      </c>
      <c r="BY73" s="84" vm="5486">
        <v>12551</v>
      </c>
      <c r="BZ73" s="83" vm="5487">
        <v>2599</v>
      </c>
      <c r="CA73" s="83" vm="5488">
        <v>0</v>
      </c>
      <c r="CB73" s="5" vm="5502">
        <f xml:space="preserve"> VfM_Metrics_2023_Consol_Source[[#This Row],[Turnover (overall)]]</f>
        <v>66910</v>
      </c>
      <c r="CC73" s="84" vm="5502">
        <v>66910</v>
      </c>
      <c r="CD73" s="7">
        <f xml:space="preserve"> IFERROR( VfM_Metrics_2023_Consol_Source[[#This Row],[Operating surplus including from JVs]] / VfM_Metrics_2023_Consol_Source[[#This Row],[Net assets]], "n/a" )</f>
        <v>2.1952132422902559E-2</v>
      </c>
      <c r="CE73" s="5">
        <f xml:space="preserve"> SUM( VfM_Metrics_2023_Consol_Source[[#This Row],[Operating surplus/(deficit) (overall)3]], VfM_Metrics_2023_Consol_Source[[#This Row],[Share of operating surplus/(deficit) in joint ventures or associates]] )</f>
        <v>12551</v>
      </c>
      <c r="CF73" s="84" vm="5486">
        <v>12551</v>
      </c>
      <c r="CG73" s="83" vm="5504">
        <v>0</v>
      </c>
      <c r="CH73" s="5" vm="5503">
        <f xml:space="preserve"> VfM_Metrics_2023_Consol_Source[[#This Row],[Total assets less current liabilities]]</f>
        <v>571744</v>
      </c>
      <c r="CI73" s="84" vm="5503">
        <v>571744</v>
      </c>
      <c r="CJ73" s="71" vm="5471">
        <f xml:space="preserve"> VfM_Metrics_2023_Consol_Source[[#This Row],[Total social housing units owned (Period end)]]</f>
        <v>7783</v>
      </c>
      <c r="CK73" s="103">
        <v>0</v>
      </c>
      <c r="CL73" s="6">
        <f xml:space="preserve"> -- ( VfM_Metrics_2023_Consol_Source[[#This Row],[% Supported housing (excl. HOP)]] &gt; 0.3 )</f>
        <v>0</v>
      </c>
      <c r="CM73" s="103">
        <v>0.12736773350751143</v>
      </c>
      <c r="CN73" s="6">
        <f xml:space="preserve"> -- ( VfM_Metrics_2023_Consol_Source[[#This Row],[% Housing for older people]] &gt; 0.3 )</f>
        <v>0</v>
      </c>
      <c r="CO73" s="103">
        <f xml:space="preserve"> VfM_Metrics_2023_Consol_Source[[#This Row],[% Supported housing (excl. HOP)]] + VfM_Metrics_2023_Consol_Source[[#This Row],[% Housing for older people]]</f>
        <v>0.12736773350751143</v>
      </c>
      <c r="CP73" s="6">
        <f xml:space="preserve"> -- ( VfM_Metrics_2023_Consol_Source[[#This Row],[SH specialist in RSH analysis]] + VfM_Metrics_2023_Consol_Source[[#This Row],[OP specialist in RSH analysis]] &gt; 0 )</f>
        <v>0</v>
      </c>
      <c r="CQ73" s="10">
        <f xml:space="preserve"> -- ( VfM_Metrics_2023_Consol_Source[[#This Row],[% SH and OP]] &gt; 0.3 )</f>
        <v>0</v>
      </c>
      <c r="CR73" s="104" t="s">
        <v>143</v>
      </c>
      <c r="CS73" s="124"/>
      <c r="CT73" s="105" t="s">
        <v>151</v>
      </c>
      <c r="CU7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73" s="85">
        <v>3.5971223021582736E-3</v>
      </c>
      <c r="CW73" s="85">
        <v>0.99640287769784175</v>
      </c>
      <c r="CX73" s="85">
        <v>0</v>
      </c>
      <c r="CY73" s="85">
        <v>0</v>
      </c>
      <c r="CZ73" s="85">
        <v>0</v>
      </c>
      <c r="DA73" s="85">
        <v>0</v>
      </c>
      <c r="DB73" s="85">
        <v>0</v>
      </c>
      <c r="DC73" s="85">
        <v>0</v>
      </c>
      <c r="DD73" s="85">
        <v>0</v>
      </c>
      <c r="DE73" s="13">
        <v>1.0341681605333464</v>
      </c>
    </row>
    <row r="74" spans="1:109" x14ac:dyDescent="0.25">
      <c r="A74" s="4" t="s" vm="292">
        <v>272</v>
      </c>
      <c r="B74" s="2" t="s" vm="64">
        <v>273</v>
      </c>
      <c r="C74" s="72" vm="513">
        <v>45016</v>
      </c>
      <c r="D74" s="7">
        <f>IFERROR( VfM_Metrics_2023_Consol_Source[[#This Row],[Reinvestment Spend]] / VfM_Metrics_2023_Consol_Source[[#This Row],[Net Book Value of Housing Properties]], "n/a" )</f>
        <v>6.2850516339934617E-2</v>
      </c>
      <c r="E7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44009</v>
      </c>
      <c r="F74" s="83" vm="3071">
        <v>32552</v>
      </c>
      <c r="G74" s="83" vm="3072">
        <v>0</v>
      </c>
      <c r="H74" s="83" vm="3073">
        <v>9265</v>
      </c>
      <c r="I74" s="83" vm="3074">
        <v>2192</v>
      </c>
      <c r="J74" s="83" vm="7662">
        <v>0</v>
      </c>
      <c r="K74" s="5">
        <f xml:space="preserve"> SUM( VfM_Metrics_2023_Consol_Source[[#This Row],[Tangible fixed assets: Housing properties at cost (Current period)]],VfM_Metrics_2023_Consol_Source[[#This Row],[Tangible fixed assets Housing properties at valuation (Current period)]] )</f>
        <v>700217</v>
      </c>
      <c r="L74" s="84" vm="3075">
        <v>700217</v>
      </c>
      <c r="M74" s="83" vm="3076">
        <v>0</v>
      </c>
      <c r="N74" s="7">
        <f xml:space="preserve"> IFERROR( VfM_Metrics_2023_Consol_Source[[#This Row],[Total social units developed or newly built units acquired in-year]] / VfM_Metrics_2023_Consol_Source[[#This Row],[Social housing units owned (period end)]], "n/a" )</f>
        <v>2.1916290845794762E-2</v>
      </c>
      <c r="O74" s="5">
        <f xml:space="preserve"> SUM( VfM_Metrics_2023_Consol_Source[[#This Row],[Total social units developed or newly built units acquired in-year (owned)]], VfM_Metrics_2023_Consol_Source[[#This Row],[Total social leasehold units developed or newly built units acquired in-year (owned)]] )</f>
        <v>277</v>
      </c>
      <c r="P74" s="84" vm="7603">
        <v>277</v>
      </c>
      <c r="Q74" s="83" vm="3077">
        <v>0</v>
      </c>
      <c r="R74" s="5">
        <f xml:space="preserve"> SUM( VfM_Metrics_2023_Consol_Source[[#This Row],[Total social housing units owned (Period end)]], VfM_Metrics_2023_Consol_Source[[#This Row],[Total social leasehold units owned (Period end)]] )</f>
        <v>12639</v>
      </c>
      <c r="S74" s="84" vm="1916">
        <v>12266</v>
      </c>
      <c r="T74" s="83" vm="3078">
        <v>373</v>
      </c>
      <c r="U74" s="86">
        <f xml:space="preserve"> IFERROR( VfM_Metrics_2023_Consol_Source[[#This Row],[Total non-social housing units developed or newly built units acquired (owned)]] / VfM_Metrics_2023_Consol_Source[[#This Row],[Total social and non-social housing units owned (Period end)]], "n/a" )</f>
        <v>3.9108330074305825E-4</v>
      </c>
      <c r="V7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5</v>
      </c>
      <c r="W74" s="83" vm="3079">
        <v>0</v>
      </c>
      <c r="X74" s="83" vm="7842">
        <v>0</v>
      </c>
      <c r="Y74" s="83" vm="7465">
        <v>5</v>
      </c>
      <c r="Z7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12785</v>
      </c>
      <c r="AA74" s="84" vm="3069">
        <v>12266</v>
      </c>
      <c r="AB74" s="83" vm="3078">
        <v>373</v>
      </c>
      <c r="AC74" s="83" vm="3080">
        <v>146</v>
      </c>
      <c r="AD74" s="83" vm="7747">
        <v>0</v>
      </c>
      <c r="AE74" s="7">
        <f xml:space="preserve"> IFERROR( VfM_Metrics_2023_Consol_Source[[#This Row],[Total Net Debt]] / VfM_Metrics_2023_Consol_Source[[#This Row],[Net Book Value of Housing Properties2]], "n/a" )</f>
        <v>0.48194202654320017</v>
      </c>
      <c r="AF7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337464</v>
      </c>
      <c r="AG74" s="84" vm="7976">
        <v>1929</v>
      </c>
      <c r="AH74" s="83" vm="3081">
        <v>344974</v>
      </c>
      <c r="AI74" s="83" vm="7082">
        <v>9439</v>
      </c>
      <c r="AJ74" s="83" vm="3082">
        <v>0</v>
      </c>
      <c r="AK74" s="83" vm="3083">
        <v>0</v>
      </c>
      <c r="AL74" s="5">
        <f xml:space="preserve"> SUM( VfM_Metrics_2023_Consol_Source[[#This Row],[Tangible fixed assets: Housing properties at cost (Current period)2]], VfM_Metrics_2023_Consol_Source[[#This Row],[Tangible fixed assets Housing properties at valuation (Current period)2]] )</f>
        <v>700217</v>
      </c>
      <c r="AM74" s="84" vm="7769">
        <v>700217</v>
      </c>
      <c r="AN74" s="83" vm="3076">
        <v>0</v>
      </c>
      <c r="AO74" s="87">
        <f xml:space="preserve"> IFERROR( VfM_Metrics_2023_Consol_Source[[#This Row],[EBITDA MRI]] / VfM_Metrics_2023_Consol_Source[[#This Row],[Total interest]], "n/a" )</f>
        <v>1.4620513712529715</v>
      </c>
      <c r="AP7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25216</v>
      </c>
      <c r="AQ74" s="84" vm="3188">
        <v>26825</v>
      </c>
      <c r="AR74" s="84" vm="3085">
        <v>3213</v>
      </c>
      <c r="AS74" s="84" vm="7466">
        <v>86</v>
      </c>
      <c r="AT74" s="84" vm="3087">
        <v>357</v>
      </c>
      <c r="AU74" s="84" vm="2194">
        <v>0</v>
      </c>
      <c r="AV74" s="84" vm="3088">
        <v>292</v>
      </c>
      <c r="AW74" s="84" vm="3089">
        <v>9265</v>
      </c>
      <c r="AX74" s="84" vm="7563">
        <v>11020</v>
      </c>
      <c r="AY74" s="3">
        <f xml:space="preserve"> - SUM( VfM_Metrics_2023_Consol_Source[[#This Row],[Interest capitalised]], VfM_Metrics_2023_Consol_Source[[#This Row],[Interest payable and financing costs]] )</f>
        <v>17247</v>
      </c>
      <c r="AZ74" s="84" vm="3090">
        <v>-2192</v>
      </c>
      <c r="BA74" s="83" vm="3091">
        <v>-15055</v>
      </c>
      <c r="BB74" s="8">
        <f xml:space="preserve"> IFERROR( ( VfM_Metrics_2023_Consol_Source[[#This Row],[Total Costs]] / VfM_Metrics_2023_Consol_Source[[#This Row],[Total units for costs]] ) * 1000, "n/a" )</f>
        <v>4086.048920404749</v>
      </c>
      <c r="BC7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51284</v>
      </c>
      <c r="BD74" s="84" vm="3092">
        <v>9935</v>
      </c>
      <c r="BE74" s="83" vm="7212">
        <v>2663</v>
      </c>
      <c r="BF74" s="83" vm="3093">
        <v>13839</v>
      </c>
      <c r="BG74" s="83" vm="3094">
        <v>3587</v>
      </c>
      <c r="BH74" s="83" vm="3095">
        <v>7327</v>
      </c>
      <c r="BI74" s="83" vm="3046">
        <v>477</v>
      </c>
      <c r="BJ74" s="83" vm="3089">
        <v>9265</v>
      </c>
      <c r="BK74" s="83" vm="7463">
        <v>2186</v>
      </c>
      <c r="BL74" s="83" vm="3096">
        <v>0</v>
      </c>
      <c r="BM74" s="83" vm="7899">
        <v>1000</v>
      </c>
      <c r="BN74" s="83" vm="3097">
        <v>86</v>
      </c>
      <c r="BO74" s="83" vm="3098">
        <v>919</v>
      </c>
      <c r="BP74" s="5" vm="3070">
        <f xml:space="preserve"> VfM_Metrics_2023_Consol_Source[[#This Row],[Total social housing units owned and/or managed at period end]]</f>
        <v>12551</v>
      </c>
      <c r="BQ74" s="84" vm="3070">
        <v>12551</v>
      </c>
      <c r="BR74" s="7">
        <f xml:space="preserve"> IFERROR( VfM_Metrics_2023_Consol_Source[[#This Row],[SHL operating surplus / (deficit)]] / VfM_Metrics_2023_Consol_Source[[#This Row],[Turnover from social housing lettings]], "n/a" )</f>
        <v>0.26809944974215666</v>
      </c>
      <c r="BS74" s="5" vm="3099">
        <f xml:space="preserve"> VfM_Metrics_2023_Consol_Source[[#This Row],[Operating surplus/(deficit) (social housing lettings)]]</f>
        <v>18612</v>
      </c>
      <c r="BT74" s="84" vm="3099">
        <v>18612</v>
      </c>
      <c r="BU74" s="5" vm="3417">
        <f xml:space="preserve"> VfM_Metrics_2023_Consol_Source[[#This Row],[Turnover from social housing lettings]]</f>
        <v>69422</v>
      </c>
      <c r="BV74" s="84" vm="3417">
        <v>69422</v>
      </c>
      <c r="BW74" s="7">
        <f xml:space="preserve"> IFERROR( VfM_Metrics_2023_Consol_Source[[#This Row],[Net operating surplus]] / VfM_Metrics_2023_Consol_Source[[#This Row],[Overall turnover]], "n/a" )</f>
        <v>0.25701644179821925</v>
      </c>
      <c r="BX7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23526</v>
      </c>
      <c r="BY74" s="84" vm="3084">
        <v>26825</v>
      </c>
      <c r="BZ74" s="83" vm="3085">
        <v>3213</v>
      </c>
      <c r="CA74" s="83" vm="3086">
        <v>86</v>
      </c>
      <c r="CB74" s="5" vm="3100">
        <f xml:space="preserve"> VfM_Metrics_2023_Consol_Source[[#This Row],[Turnover (overall)]]</f>
        <v>91535</v>
      </c>
      <c r="CC74" s="84" vm="3100">
        <v>91535</v>
      </c>
      <c r="CD74" s="7">
        <f xml:space="preserve"> IFERROR( VfM_Metrics_2023_Consol_Source[[#This Row],[Operating surplus including from JVs]] / VfM_Metrics_2023_Consol_Source[[#This Row],[Net assets]], "n/a" )</f>
        <v>3.5884271385420483E-2</v>
      </c>
      <c r="CE74" s="5">
        <f xml:space="preserve"> SUM( VfM_Metrics_2023_Consol_Source[[#This Row],[Operating surplus/(deficit) (overall)3]], VfM_Metrics_2023_Consol_Source[[#This Row],[Share of operating surplus/(deficit) in joint ventures or associates]] )</f>
        <v>26825</v>
      </c>
      <c r="CF74" s="84" vm="3084">
        <v>26825</v>
      </c>
      <c r="CG74" s="83" vm="3102">
        <v>0</v>
      </c>
      <c r="CH74" s="5" vm="3101">
        <f xml:space="preserve"> VfM_Metrics_2023_Consol_Source[[#This Row],[Total assets less current liabilities]]</f>
        <v>747542</v>
      </c>
      <c r="CI74" s="84" vm="3101">
        <v>747542</v>
      </c>
      <c r="CJ74" s="71" vm="1916">
        <f xml:space="preserve"> VfM_Metrics_2023_Consol_Source[[#This Row],[Total social housing units owned (Period end)]]</f>
        <v>12266</v>
      </c>
      <c r="CK74" s="103">
        <v>2.9102268990463663E-2</v>
      </c>
      <c r="CL74" s="6">
        <f xml:space="preserve"> -- ( VfM_Metrics_2023_Consol_Source[[#This Row],[% Supported housing (excl. HOP)]] &gt; 0.3 )</f>
        <v>0</v>
      </c>
      <c r="CM74" s="103">
        <v>8.3196317000986522E-2</v>
      </c>
      <c r="CN74" s="6">
        <f xml:space="preserve"> -- ( VfM_Metrics_2023_Consol_Source[[#This Row],[% Housing for older people]] &gt; 0.3 )</f>
        <v>0</v>
      </c>
      <c r="CO74" s="103">
        <f xml:space="preserve"> VfM_Metrics_2023_Consol_Source[[#This Row],[% Supported housing (excl. HOP)]] + VfM_Metrics_2023_Consol_Source[[#This Row],[% Housing for older people]]</f>
        <v>0.11229858599145018</v>
      </c>
      <c r="CP74" s="6">
        <f xml:space="preserve"> -- ( VfM_Metrics_2023_Consol_Source[[#This Row],[SH specialist in RSH analysis]] + VfM_Metrics_2023_Consol_Source[[#This Row],[OP specialist in RSH analysis]] &gt; 0 )</f>
        <v>0</v>
      </c>
      <c r="CQ74" s="10">
        <f xml:space="preserve"> -- ( VfM_Metrics_2023_Consol_Source[[#This Row],[% SH and OP]] &gt; 0.3 )</f>
        <v>0</v>
      </c>
      <c r="CR74" s="104" t="s">
        <v>143</v>
      </c>
      <c r="CS74" s="124"/>
      <c r="CT74" s="105" t="s">
        <v>151</v>
      </c>
      <c r="CU7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74" s="85">
        <v>0</v>
      </c>
      <c r="CW74" s="85">
        <v>4.984782429875792E-2</v>
      </c>
      <c r="CX74" s="85">
        <v>0</v>
      </c>
      <c r="CY74" s="85">
        <v>0.35954594061034795</v>
      </c>
      <c r="CZ74" s="85">
        <v>0</v>
      </c>
      <c r="DA74" s="85">
        <v>0.59060623509089416</v>
      </c>
      <c r="DB74" s="85">
        <v>0</v>
      </c>
      <c r="DC74" s="85">
        <v>0</v>
      </c>
      <c r="DD74" s="85">
        <v>0</v>
      </c>
      <c r="DE74" s="13">
        <v>0.98766229689972607</v>
      </c>
    </row>
    <row r="75" spans="1:109" x14ac:dyDescent="0.25">
      <c r="A75" s="4" t="s" vm="345">
        <v>274</v>
      </c>
      <c r="B75" s="2" t="s" vm="65">
        <v>275</v>
      </c>
      <c r="C75" s="72" vm="571">
        <v>45016</v>
      </c>
      <c r="D75" s="7">
        <f>IFERROR( VfM_Metrics_2023_Consol_Source[[#This Row],[Reinvestment Spend]] / VfM_Metrics_2023_Consol_Source[[#This Row],[Net Book Value of Housing Properties]], "n/a" )</f>
        <v>8.0753039605739013E-2</v>
      </c>
      <c r="E7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115978</v>
      </c>
      <c r="F75" s="83" vm="4909">
        <v>99085</v>
      </c>
      <c r="G75" s="83" vm="4910">
        <v>0</v>
      </c>
      <c r="H75" s="83" vm="4911">
        <v>13746</v>
      </c>
      <c r="I75" s="83" vm="4912">
        <v>3147</v>
      </c>
      <c r="J75" s="83" vm="4913">
        <v>0</v>
      </c>
      <c r="K75" s="5">
        <f xml:space="preserve"> SUM( VfM_Metrics_2023_Consol_Source[[#This Row],[Tangible fixed assets: Housing properties at cost (Current period)]],VfM_Metrics_2023_Consol_Source[[#This Row],[Tangible fixed assets Housing properties at valuation (Current period)]] )</f>
        <v>1436206</v>
      </c>
      <c r="L75" s="84" vm="7323">
        <v>1436206</v>
      </c>
      <c r="M75" s="83">
        <v>0</v>
      </c>
      <c r="N75" s="7">
        <f xml:space="preserve"> IFERROR( VfM_Metrics_2023_Consol_Source[[#This Row],[Total social units developed or newly built units acquired in-year]] / VfM_Metrics_2023_Consol_Source[[#This Row],[Social housing units owned (period end)]], "n/a" )</f>
        <v>2.8868822561273964E-2</v>
      </c>
      <c r="O75" s="5">
        <f xml:space="preserve"> SUM( VfM_Metrics_2023_Consol_Source[[#This Row],[Total social units developed or newly built units acquired in-year (owned)]], VfM_Metrics_2023_Consol_Source[[#This Row],[Total social leasehold units developed or newly built units acquired in-year (owned)]] )</f>
        <v>649</v>
      </c>
      <c r="P75" s="84" vm="4914">
        <v>649</v>
      </c>
      <c r="Q75" s="83">
        <v>0</v>
      </c>
      <c r="R75" s="5">
        <f xml:space="preserve"> SUM( VfM_Metrics_2023_Consol_Source[[#This Row],[Total social housing units owned (Period end)]], VfM_Metrics_2023_Consol_Source[[#This Row],[Total social leasehold units owned (Period end)]] )</f>
        <v>22481</v>
      </c>
      <c r="S75" s="84" vm="4907">
        <v>21331</v>
      </c>
      <c r="T75" s="83" vm="4915">
        <v>1150</v>
      </c>
      <c r="U75" s="86">
        <f xml:space="preserve"> IFERROR( VfM_Metrics_2023_Consol_Source[[#This Row],[Total non-social housing units developed or newly built units acquired (owned)]] / VfM_Metrics_2023_Consol_Source[[#This Row],[Total social and non-social housing units owned (Period end)]], "n/a" )</f>
        <v>1.6179814588070667E-3</v>
      </c>
      <c r="V7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37</v>
      </c>
      <c r="W75" s="83">
        <v>0</v>
      </c>
      <c r="X75" s="83">
        <v>0</v>
      </c>
      <c r="Y75" s="83" vm="4916">
        <v>37</v>
      </c>
      <c r="Z7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22868</v>
      </c>
      <c r="AA75" s="84" vm="4907">
        <v>21331</v>
      </c>
      <c r="AB75" s="83" vm="5257">
        <v>1150</v>
      </c>
      <c r="AC75" s="83" vm="4917">
        <v>289</v>
      </c>
      <c r="AD75" s="83" vm="4918">
        <v>98</v>
      </c>
      <c r="AE75" s="7">
        <f xml:space="preserve"> IFERROR( VfM_Metrics_2023_Consol_Source[[#This Row],[Total Net Debt]] / VfM_Metrics_2023_Consol_Source[[#This Row],[Net Book Value of Housing Properties2]], "n/a" )</f>
        <v>0.41681207291990147</v>
      </c>
      <c r="AF7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598628</v>
      </c>
      <c r="AG75" s="84" vm="4919">
        <v>12655</v>
      </c>
      <c r="AH75" s="83" vm="4920">
        <v>679246</v>
      </c>
      <c r="AI75" s="83" vm="4921">
        <v>96369</v>
      </c>
      <c r="AJ75" s="83" vm="1675">
        <v>0</v>
      </c>
      <c r="AK75" s="83" vm="4922">
        <v>3096</v>
      </c>
      <c r="AL75" s="5">
        <f xml:space="preserve"> SUM( VfM_Metrics_2023_Consol_Source[[#This Row],[Tangible fixed assets: Housing properties at cost (Current period)2]], VfM_Metrics_2023_Consol_Source[[#This Row],[Tangible fixed assets Housing properties at valuation (Current period)2]] )</f>
        <v>1436206</v>
      </c>
      <c r="AM75" s="84" vm="6965">
        <v>1436206</v>
      </c>
      <c r="AN75" s="83">
        <v>0</v>
      </c>
      <c r="AO75" s="87">
        <f xml:space="preserve"> IFERROR( VfM_Metrics_2023_Consol_Source[[#This Row],[EBITDA MRI]] / VfM_Metrics_2023_Consol_Source[[#This Row],[Total interest]], "n/a" )</f>
        <v>1.4689018783659529</v>
      </c>
      <c r="AP7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44731</v>
      </c>
      <c r="AQ75" s="84" vm="4923">
        <v>45911</v>
      </c>
      <c r="AR75" s="84" vm="4924">
        <v>6146</v>
      </c>
      <c r="AS75" s="84" vm="4925">
        <v>248</v>
      </c>
      <c r="AT75" s="84" vm="4926">
        <v>6542</v>
      </c>
      <c r="AU75" s="84" vm="4927">
        <v>0</v>
      </c>
      <c r="AV75" s="84" vm="4928">
        <v>2149</v>
      </c>
      <c r="AW75" s="84" vm="4929">
        <v>13746</v>
      </c>
      <c r="AX75" s="84" vm="7422">
        <v>23353</v>
      </c>
      <c r="AY75" s="3">
        <f xml:space="preserve"> - SUM( VfM_Metrics_2023_Consol_Source[[#This Row],[Interest capitalised]], VfM_Metrics_2023_Consol_Source[[#This Row],[Interest payable and financing costs]] )</f>
        <v>30452</v>
      </c>
      <c r="AZ75" s="84" vm="5148">
        <v>-3347</v>
      </c>
      <c r="BA75" s="83" vm="4931">
        <v>-27105</v>
      </c>
      <c r="BB75" s="8">
        <f xml:space="preserve"> IFERROR( ( VfM_Metrics_2023_Consol_Source[[#This Row],[Total Costs]] / VfM_Metrics_2023_Consol_Source[[#This Row],[Total units for costs]] ) * 1000, "n/a" )</f>
        <v>3941.7922570165147</v>
      </c>
      <c r="BC7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87358</v>
      </c>
      <c r="BD75" s="84" vm="4932">
        <v>27232</v>
      </c>
      <c r="BE75" s="83" vm="4933">
        <v>12655</v>
      </c>
      <c r="BF75" s="83" vm="4934">
        <v>15055</v>
      </c>
      <c r="BG75" s="83" vm="4935">
        <v>3630</v>
      </c>
      <c r="BH75" s="83" vm="4936">
        <v>7448</v>
      </c>
      <c r="BI75" s="83" vm="4937">
        <v>103</v>
      </c>
      <c r="BJ75" s="83" vm="5146">
        <v>13746</v>
      </c>
      <c r="BK75" s="83" vm="4938">
        <v>143</v>
      </c>
      <c r="BL75" s="83">
        <v>0</v>
      </c>
      <c r="BM75" s="83" vm="4939">
        <v>1630</v>
      </c>
      <c r="BN75" s="83" vm="4940">
        <v>3875</v>
      </c>
      <c r="BO75" s="83" vm="4941">
        <v>1841</v>
      </c>
      <c r="BP75" s="5" vm="4908">
        <f xml:space="preserve"> VfM_Metrics_2023_Consol_Source[[#This Row],[Total social housing units owned and/or managed at period end]]</f>
        <v>22162</v>
      </c>
      <c r="BQ75" s="84" vm="4908">
        <v>22162</v>
      </c>
      <c r="BR75" s="7">
        <f xml:space="preserve"> IFERROR( VfM_Metrics_2023_Consol_Source[[#This Row],[SHL operating surplus / (deficit)]] / VfM_Metrics_2023_Consol_Source[[#This Row],[Turnover from social housing lettings]], "n/a" )</f>
        <v>0.26382021360759494</v>
      </c>
      <c r="BS75" s="5" vm="4942">
        <f xml:space="preserve"> VfM_Metrics_2023_Consol_Source[[#This Row],[Operating surplus/(deficit) (social housing lettings)]]</f>
        <v>32013</v>
      </c>
      <c r="BT75" s="84" vm="4942">
        <v>32013</v>
      </c>
      <c r="BU75" s="5" vm="4943">
        <f xml:space="preserve"> VfM_Metrics_2023_Consol_Source[[#This Row],[Turnover from social housing lettings]]</f>
        <v>121344</v>
      </c>
      <c r="BV75" s="84" vm="4943">
        <v>121344</v>
      </c>
      <c r="BW75" s="7">
        <f xml:space="preserve"> IFERROR( VfM_Metrics_2023_Consol_Source[[#This Row],[Net operating surplus]] / VfM_Metrics_2023_Consol_Source[[#This Row],[Overall turnover]], "n/a" )</f>
        <v>0.23556376859110012</v>
      </c>
      <c r="BX7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39517</v>
      </c>
      <c r="BY75" s="84" vm="4923">
        <v>45911</v>
      </c>
      <c r="BZ75" s="83" vm="4924">
        <v>6146</v>
      </c>
      <c r="CA75" s="83" vm="5218">
        <v>248</v>
      </c>
      <c r="CB75" s="5" vm="4944">
        <f xml:space="preserve"> VfM_Metrics_2023_Consol_Source[[#This Row],[Turnover (overall)]]</f>
        <v>167755</v>
      </c>
      <c r="CC75" s="84" vm="4944">
        <v>167755</v>
      </c>
      <c r="CD75" s="7">
        <f xml:space="preserve"> IFERROR( VfM_Metrics_2023_Consol_Source[[#This Row],[Operating surplus including from JVs]] / VfM_Metrics_2023_Consol_Source[[#This Row],[Net assets]], "n/a" )</f>
        <v>2.9776985332195218E-2</v>
      </c>
      <c r="CE75" s="5">
        <f xml:space="preserve"> SUM( VfM_Metrics_2023_Consol_Source[[#This Row],[Operating surplus/(deficit) (overall)3]], VfM_Metrics_2023_Consol_Source[[#This Row],[Share of operating surplus/(deficit) in joint ventures or associates]] )</f>
        <v>45943</v>
      </c>
      <c r="CF75" s="84" vm="4923">
        <v>45911</v>
      </c>
      <c r="CG75" s="83" vm="4945">
        <v>32</v>
      </c>
      <c r="CH75" s="5" vm="7415">
        <f xml:space="preserve"> VfM_Metrics_2023_Consol_Source[[#This Row],[Total assets less current liabilities]]</f>
        <v>1542903</v>
      </c>
      <c r="CI75" s="84" vm="7415">
        <v>1542903</v>
      </c>
      <c r="CJ75" s="71" vm="4907">
        <f xml:space="preserve"> VfM_Metrics_2023_Consol_Source[[#This Row],[Total social housing units owned (Period end)]]</f>
        <v>21331</v>
      </c>
      <c r="CK75" s="103">
        <v>6.2836453718260202E-2</v>
      </c>
      <c r="CL75" s="6">
        <f xml:space="preserve"> -- ( VfM_Metrics_2023_Consol_Source[[#This Row],[% Supported housing (excl. HOP)]] &gt; 0.3 )</f>
        <v>0</v>
      </c>
      <c r="CM75" s="103">
        <v>2.2771664046496116E-2</v>
      </c>
      <c r="CN75" s="6">
        <f xml:space="preserve"> -- ( VfM_Metrics_2023_Consol_Source[[#This Row],[% Housing for older people]] &gt; 0.3 )</f>
        <v>0</v>
      </c>
      <c r="CO75" s="103">
        <f xml:space="preserve"> VfM_Metrics_2023_Consol_Source[[#This Row],[% Supported housing (excl. HOP)]] + VfM_Metrics_2023_Consol_Source[[#This Row],[% Housing for older people]]</f>
        <v>8.5608117764756325E-2</v>
      </c>
      <c r="CP75" s="6">
        <f xml:space="preserve"> -- ( VfM_Metrics_2023_Consol_Source[[#This Row],[SH specialist in RSH analysis]] + VfM_Metrics_2023_Consol_Source[[#This Row],[OP specialist in RSH analysis]] &gt; 0 )</f>
        <v>0</v>
      </c>
      <c r="CQ75" s="10">
        <f xml:space="preserve"> -- ( VfM_Metrics_2023_Consol_Source[[#This Row],[% SH and OP]] &gt; 0.3 )</f>
        <v>0</v>
      </c>
      <c r="CR75" s="104" t="s">
        <v>143</v>
      </c>
      <c r="CS75" s="124" t="s">
        <v>144</v>
      </c>
      <c r="CT75" s="105"/>
      <c r="CU7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75" s="85">
        <v>0</v>
      </c>
      <c r="CW75" s="85">
        <v>4.725451280597297E-5</v>
      </c>
      <c r="CX75" s="85">
        <v>0</v>
      </c>
      <c r="CY75" s="85">
        <v>1.8807296096777244E-2</v>
      </c>
      <c r="CZ75" s="85">
        <v>4.1583971269256214E-3</v>
      </c>
      <c r="DA75" s="85">
        <v>0</v>
      </c>
      <c r="DB75" s="85">
        <v>0</v>
      </c>
      <c r="DC75" s="85">
        <v>0.83772800302428885</v>
      </c>
      <c r="DD75" s="85">
        <v>0.13925904923920235</v>
      </c>
      <c r="DE75" s="13">
        <v>0.95843181224467244</v>
      </c>
    </row>
    <row r="76" spans="1:109" x14ac:dyDescent="0.25">
      <c r="A76" s="4" t="s" vm="373">
        <v>276</v>
      </c>
      <c r="B76" s="2" t="s" vm="66">
        <v>277</v>
      </c>
      <c r="C76" s="72" vm="418">
        <v>45016</v>
      </c>
      <c r="D76" s="7">
        <f>IFERROR( VfM_Metrics_2023_Consol_Source[[#This Row],[Reinvestment Spend]] / VfM_Metrics_2023_Consol_Source[[#This Row],[Net Book Value of Housing Properties]], "n/a" )</f>
        <v>5.3993397527847743E-2</v>
      </c>
      <c r="E7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7867</v>
      </c>
      <c r="F76" s="83" vm="5918">
        <v>396</v>
      </c>
      <c r="G76" s="83" vm="5919">
        <v>2445</v>
      </c>
      <c r="H76" s="83" vm="5920">
        <v>5026</v>
      </c>
      <c r="I76" s="83" vm="5921">
        <v>0</v>
      </c>
      <c r="J76" s="83" vm="5922">
        <v>0</v>
      </c>
      <c r="K76" s="5">
        <f xml:space="preserve"> SUM( VfM_Metrics_2023_Consol_Source[[#This Row],[Tangible fixed assets: Housing properties at cost (Current period)]],VfM_Metrics_2023_Consol_Source[[#This Row],[Tangible fixed assets Housing properties at valuation (Current period)]] )</f>
        <v>145703</v>
      </c>
      <c r="L76" s="84" vm="5923">
        <v>145703</v>
      </c>
      <c r="M76" s="83" vm="5924">
        <v>0</v>
      </c>
      <c r="N76" s="7">
        <f xml:space="preserve"> IFERROR( VfM_Metrics_2023_Consol_Source[[#This Row],[Total social units developed or newly built units acquired in-year]] / VfM_Metrics_2023_Consol_Source[[#This Row],[Social housing units owned (period end)]], "n/a" )</f>
        <v>2.5033699210475638E-3</v>
      </c>
      <c r="O76" s="5">
        <f xml:space="preserve"> SUM( VfM_Metrics_2023_Consol_Source[[#This Row],[Total social units developed or newly built units acquired in-year (owned)]], VfM_Metrics_2023_Consol_Source[[#This Row],[Total social leasehold units developed or newly built units acquired in-year (owned)]] )</f>
        <v>13</v>
      </c>
      <c r="P76" s="84" vm="5925">
        <v>13</v>
      </c>
      <c r="Q76" s="83">
        <v>0</v>
      </c>
      <c r="R76" s="5">
        <f xml:space="preserve"> SUM( VfM_Metrics_2023_Consol_Source[[#This Row],[Total social housing units owned (Period end)]], VfM_Metrics_2023_Consol_Source[[#This Row],[Total social leasehold units owned (Period end)]] )</f>
        <v>5193</v>
      </c>
      <c r="S76" s="84" vm="5916">
        <v>5078</v>
      </c>
      <c r="T76" s="83" vm="5926">
        <v>115</v>
      </c>
      <c r="U76" s="86">
        <f xml:space="preserve"> IFERROR( VfM_Metrics_2023_Consol_Source[[#This Row],[Total non-social housing units developed or newly built units acquired (owned)]] / VfM_Metrics_2023_Consol_Source[[#This Row],[Total social and non-social housing units owned (Period end)]], "n/a" )</f>
        <v>0</v>
      </c>
      <c r="V7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76" s="83" vm="7027">
        <v>0</v>
      </c>
      <c r="X76" s="83">
        <v>0</v>
      </c>
      <c r="Y76" s="83" vm="5927">
        <v>0</v>
      </c>
      <c r="Z7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5226</v>
      </c>
      <c r="AA76" s="84" vm="5916">
        <v>5078</v>
      </c>
      <c r="AB76" s="83" vm="5926">
        <v>115</v>
      </c>
      <c r="AC76" s="83" vm="5928">
        <v>33</v>
      </c>
      <c r="AD76" s="83" vm="5929">
        <v>0</v>
      </c>
      <c r="AE76" s="7">
        <f xml:space="preserve"> IFERROR( VfM_Metrics_2023_Consol_Source[[#This Row],[Total Net Debt]] / VfM_Metrics_2023_Consol_Source[[#This Row],[Net Book Value of Housing Properties2]], "n/a" )</f>
        <v>0.34797499021983075</v>
      </c>
      <c r="AF7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50701</v>
      </c>
      <c r="AG76" s="84" vm="5930">
        <v>0</v>
      </c>
      <c r="AH76" s="83" vm="5931">
        <v>59862</v>
      </c>
      <c r="AI76" s="83" vm="5932">
        <v>9161</v>
      </c>
      <c r="AJ76" s="83" vm="5933">
        <v>0</v>
      </c>
      <c r="AK76" s="83" vm="5934">
        <v>0</v>
      </c>
      <c r="AL76" s="5">
        <f xml:space="preserve"> SUM( VfM_Metrics_2023_Consol_Source[[#This Row],[Tangible fixed assets: Housing properties at cost (Current period)2]], VfM_Metrics_2023_Consol_Source[[#This Row],[Tangible fixed assets Housing properties at valuation (Current period)2]] )</f>
        <v>145703</v>
      </c>
      <c r="AM76" s="84" vm="5923">
        <v>145703</v>
      </c>
      <c r="AN76" s="83" vm="7375">
        <v>0</v>
      </c>
      <c r="AO76" s="87">
        <f xml:space="preserve"> IFERROR( VfM_Metrics_2023_Consol_Source[[#This Row],[EBITDA MRI]] / VfM_Metrics_2023_Consol_Source[[#This Row],[Total interest]], "n/a" )</f>
        <v>1.0775967413441956</v>
      </c>
      <c r="AP7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5291</v>
      </c>
      <c r="AQ76" s="84" vm="5935">
        <v>6084</v>
      </c>
      <c r="AR76" s="84" vm="5936">
        <v>579</v>
      </c>
      <c r="AS76" s="84" vm="5937">
        <v>0</v>
      </c>
      <c r="AT76" s="84" vm="7218">
        <v>93</v>
      </c>
      <c r="AU76" s="84" vm="5938">
        <v>0</v>
      </c>
      <c r="AV76" s="84" vm="7208">
        <v>244</v>
      </c>
      <c r="AW76" s="84" vm="5939">
        <v>5319</v>
      </c>
      <c r="AX76" s="84" vm="5940">
        <v>4954</v>
      </c>
      <c r="AY76" s="3">
        <f xml:space="preserve"> - SUM( VfM_Metrics_2023_Consol_Source[[#This Row],[Interest capitalised]], VfM_Metrics_2023_Consol_Source[[#This Row],[Interest payable and financing costs]] )</f>
        <v>4910</v>
      </c>
      <c r="AZ76" s="84" vm="6906">
        <v>0</v>
      </c>
      <c r="BA76" s="83" vm="5941">
        <v>-4910</v>
      </c>
      <c r="BB76" s="8">
        <f xml:space="preserve"> IFERROR( ( VfM_Metrics_2023_Consol_Source[[#This Row],[Total Costs]] / VfM_Metrics_2023_Consol_Source[[#This Row],[Total units for costs]] ) * 1000, "n/a" )</f>
        <v>4454.7748447204967</v>
      </c>
      <c r="BC7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22951</v>
      </c>
      <c r="BD76" s="84" vm="5942">
        <v>6975</v>
      </c>
      <c r="BE76" s="83" vm="2719">
        <v>753</v>
      </c>
      <c r="BF76" s="83" vm="5943">
        <v>6174</v>
      </c>
      <c r="BG76" s="83" vm="5944">
        <v>664</v>
      </c>
      <c r="BH76" s="83" vm="5945">
        <v>1864</v>
      </c>
      <c r="BI76" s="83" vm="5946">
        <v>496</v>
      </c>
      <c r="BJ76" s="83" vm="5939">
        <v>5319</v>
      </c>
      <c r="BK76" s="83" vm="5947">
        <v>0</v>
      </c>
      <c r="BL76" s="83" vm="7173">
        <v>0</v>
      </c>
      <c r="BM76" s="83" vm="5948">
        <v>0</v>
      </c>
      <c r="BN76" s="83" vm="5949">
        <v>408</v>
      </c>
      <c r="BO76" s="83" vm="5950">
        <v>298</v>
      </c>
      <c r="BP76" s="5" vm="5917">
        <f xml:space="preserve"> VfM_Metrics_2023_Consol_Source[[#This Row],[Total social housing units owned and/or managed at period end]]</f>
        <v>5152</v>
      </c>
      <c r="BQ76" s="84" vm="5917">
        <v>5152</v>
      </c>
      <c r="BR76" s="7">
        <f xml:space="preserve"> IFERROR( VfM_Metrics_2023_Consol_Source[[#This Row],[SHL operating surplus / (deficit)]] / VfM_Metrics_2023_Consol_Source[[#This Row],[Turnover from social housing lettings]], "n/a" )</f>
        <v>0.16449272489394601</v>
      </c>
      <c r="BS76" s="5" vm="5951">
        <f xml:space="preserve"> VfM_Metrics_2023_Consol_Source[[#This Row],[Operating surplus/(deficit) (social housing lettings)]]</f>
        <v>4149</v>
      </c>
      <c r="BT76" s="84" vm="5951">
        <v>4149</v>
      </c>
      <c r="BU76" s="5" vm="5952">
        <f xml:space="preserve"> VfM_Metrics_2023_Consol_Source[[#This Row],[Turnover from social housing lettings]]</f>
        <v>25223</v>
      </c>
      <c r="BV76" s="84" vm="5952">
        <v>25223</v>
      </c>
      <c r="BW76" s="7">
        <f xml:space="preserve"> IFERROR( VfM_Metrics_2023_Consol_Source[[#This Row],[Net operating surplus]] / VfM_Metrics_2023_Consol_Source[[#This Row],[Overall turnover]], "n/a" )</f>
        <v>0.19349736379613358</v>
      </c>
      <c r="BX7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5505</v>
      </c>
      <c r="BY76" s="84" vm="5935">
        <v>6084</v>
      </c>
      <c r="BZ76" s="83" vm="5936">
        <v>579</v>
      </c>
      <c r="CA76" s="83" vm="5937">
        <v>0</v>
      </c>
      <c r="CB76" s="5" vm="5953">
        <f xml:space="preserve"> VfM_Metrics_2023_Consol_Source[[#This Row],[Turnover (overall)]]</f>
        <v>28450</v>
      </c>
      <c r="CC76" s="84" vm="5953">
        <v>28450</v>
      </c>
      <c r="CD76" s="7">
        <f xml:space="preserve"> IFERROR( VfM_Metrics_2023_Consol_Source[[#This Row],[Operating surplus including from JVs]] / VfM_Metrics_2023_Consol_Source[[#This Row],[Net assets]], "n/a" )</f>
        <v>3.7777087860912759E-2</v>
      </c>
      <c r="CE76" s="5">
        <f xml:space="preserve"> SUM( VfM_Metrics_2023_Consol_Source[[#This Row],[Operating surplus/(deficit) (overall)3]], VfM_Metrics_2023_Consol_Source[[#This Row],[Share of operating surplus/(deficit) in joint ventures or associates]] )</f>
        <v>6084</v>
      </c>
      <c r="CF76" s="84" vm="7239">
        <v>6084</v>
      </c>
      <c r="CG76" s="83" vm="6224">
        <v>0</v>
      </c>
      <c r="CH76" s="5" vm="5954">
        <f xml:space="preserve"> VfM_Metrics_2023_Consol_Source[[#This Row],[Total assets less current liabilities]]</f>
        <v>161050</v>
      </c>
      <c r="CI76" s="84" vm="5954">
        <v>161050</v>
      </c>
      <c r="CJ76" s="71" vm="5916">
        <f xml:space="preserve"> VfM_Metrics_2023_Consol_Source[[#This Row],[Total social housing units owned (Period end)]]</f>
        <v>5078</v>
      </c>
      <c r="CK76" s="103">
        <v>4.8143053645116916E-2</v>
      </c>
      <c r="CL76" s="6">
        <f xml:space="preserve"> -- ( VfM_Metrics_2023_Consol_Source[[#This Row],[% Supported housing (excl. HOP)]] &gt; 0.3 )</f>
        <v>0</v>
      </c>
      <c r="CM76" s="103">
        <v>0</v>
      </c>
      <c r="CN76" s="6">
        <f xml:space="preserve"> -- ( VfM_Metrics_2023_Consol_Source[[#This Row],[% Housing for older people]] &gt; 0.3 )</f>
        <v>0</v>
      </c>
      <c r="CO76" s="103">
        <f xml:space="preserve"> VfM_Metrics_2023_Consol_Source[[#This Row],[% Supported housing (excl. HOP)]] + VfM_Metrics_2023_Consol_Source[[#This Row],[% Housing for older people]]</f>
        <v>4.8143053645116916E-2</v>
      </c>
      <c r="CP76" s="6">
        <f xml:space="preserve"> -- ( VfM_Metrics_2023_Consol_Source[[#This Row],[SH specialist in RSH analysis]] + VfM_Metrics_2023_Consol_Source[[#This Row],[OP specialist in RSH analysis]] &gt; 0 )</f>
        <v>0</v>
      </c>
      <c r="CQ76" s="10">
        <f xml:space="preserve"> -- ( VfM_Metrics_2023_Consol_Source[[#This Row],[% SH and OP]] &gt; 0.3 )</f>
        <v>0</v>
      </c>
      <c r="CR76" s="104" t="s">
        <v>143</v>
      </c>
      <c r="CS76" s="124"/>
      <c r="CT76" s="105" t="s">
        <v>151</v>
      </c>
      <c r="CU7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Midlands</v>
      </c>
      <c r="CV76" s="85">
        <v>0</v>
      </c>
      <c r="CW76" s="85">
        <v>0</v>
      </c>
      <c r="CX76" s="85">
        <v>0</v>
      </c>
      <c r="CY76" s="85">
        <v>1</v>
      </c>
      <c r="CZ76" s="85">
        <v>0</v>
      </c>
      <c r="DA76" s="85">
        <v>0</v>
      </c>
      <c r="DB76" s="85">
        <v>0</v>
      </c>
      <c r="DC76" s="85">
        <v>0</v>
      </c>
      <c r="DD76" s="85">
        <v>0</v>
      </c>
      <c r="DE76" s="13">
        <v>0.94233429441067484</v>
      </c>
    </row>
    <row r="77" spans="1:109" x14ac:dyDescent="0.25">
      <c r="A77" s="4" t="s" vm="340">
        <v>278</v>
      </c>
      <c r="B77" s="2" t="s" vm="67">
        <v>279</v>
      </c>
      <c r="C77" s="72" vm="504">
        <v>45016</v>
      </c>
      <c r="D77" s="7">
        <f>IFERROR( VfM_Metrics_2023_Consol_Source[[#This Row],[Reinvestment Spend]] / VfM_Metrics_2023_Consol_Source[[#This Row],[Net Book Value of Housing Properties]], "n/a" )</f>
        <v>6.9603909884597207E-2</v>
      </c>
      <c r="E7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137389</v>
      </c>
      <c r="F77" s="83" vm="4742">
        <v>122426</v>
      </c>
      <c r="G77" s="83" vm="4743">
        <v>0</v>
      </c>
      <c r="H77" s="83" vm="4744">
        <v>11418</v>
      </c>
      <c r="I77" s="83" vm="3903">
        <v>3545</v>
      </c>
      <c r="J77" s="83" vm="4745">
        <v>0</v>
      </c>
      <c r="K77" s="5">
        <f xml:space="preserve"> SUM( VfM_Metrics_2023_Consol_Source[[#This Row],[Tangible fixed assets: Housing properties at cost (Current period)]],VfM_Metrics_2023_Consol_Source[[#This Row],[Tangible fixed assets Housing properties at valuation (Current period)]] )</f>
        <v>1973869</v>
      </c>
      <c r="L77" s="84" vm="4746">
        <v>1973869</v>
      </c>
      <c r="M77" s="83" vm="4747">
        <v>0</v>
      </c>
      <c r="N77" s="7">
        <f xml:space="preserve"> IFERROR( VfM_Metrics_2023_Consol_Source[[#This Row],[Total social units developed or newly built units acquired in-year]] / VfM_Metrics_2023_Consol_Source[[#This Row],[Social housing units owned (period end)]], "n/a" )</f>
        <v>1.6555530006898137E-2</v>
      </c>
      <c r="O77" s="5">
        <f xml:space="preserve"> SUM( VfM_Metrics_2023_Consol_Source[[#This Row],[Total social units developed or newly built units acquired in-year (owned)]], VfM_Metrics_2023_Consol_Source[[#This Row],[Total social leasehold units developed or newly built units acquired in-year (owned)]] )</f>
        <v>432</v>
      </c>
      <c r="P77" s="84" vm="4748">
        <v>432</v>
      </c>
      <c r="Q77" s="83">
        <v>0</v>
      </c>
      <c r="R77" s="5">
        <f xml:space="preserve"> SUM( VfM_Metrics_2023_Consol_Source[[#This Row],[Total social housing units owned (Period end)]], VfM_Metrics_2023_Consol_Source[[#This Row],[Total social leasehold units owned (Period end)]] )</f>
        <v>26094</v>
      </c>
      <c r="S77" s="84" vm="4741">
        <v>25313</v>
      </c>
      <c r="T77" s="83" vm="4749">
        <v>781</v>
      </c>
      <c r="U77" s="86">
        <f xml:space="preserve"> IFERROR( VfM_Metrics_2023_Consol_Source[[#This Row],[Total non-social housing units developed or newly built units acquired (owned)]] / VfM_Metrics_2023_Consol_Source[[#This Row],[Total social and non-social housing units owned (Period end)]], "n/a" )</f>
        <v>1.9507343941248471E-3</v>
      </c>
      <c r="V7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51</v>
      </c>
      <c r="W77" s="83" vm="4750">
        <v>0</v>
      </c>
      <c r="X77" s="83">
        <v>0</v>
      </c>
      <c r="Y77" s="83" vm="4710">
        <v>51</v>
      </c>
      <c r="Z7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26144</v>
      </c>
      <c r="AA77" s="84" vm="4741">
        <v>25313</v>
      </c>
      <c r="AB77" s="83" vm="4749">
        <v>781</v>
      </c>
      <c r="AC77" s="83" vm="4751">
        <v>50</v>
      </c>
      <c r="AD77" s="83" vm="7363">
        <v>0</v>
      </c>
      <c r="AE77" s="7">
        <f xml:space="preserve"> IFERROR( VfM_Metrics_2023_Consol_Source[[#This Row],[Total Net Debt]] / VfM_Metrics_2023_Consol_Source[[#This Row],[Net Book Value of Housing Properties2]], "n/a" )</f>
        <v>0.53547018571141247</v>
      </c>
      <c r="AF7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1056948</v>
      </c>
      <c r="AG77" s="84" vm="4753">
        <v>28618</v>
      </c>
      <c r="AH77" s="83" vm="4754">
        <v>1060405</v>
      </c>
      <c r="AI77" s="83" vm="4755">
        <v>93072</v>
      </c>
      <c r="AJ77" s="83" vm="4756">
        <v>0</v>
      </c>
      <c r="AK77" s="83" vm="4757">
        <v>60997</v>
      </c>
      <c r="AL77" s="5">
        <f xml:space="preserve"> SUM( VfM_Metrics_2023_Consol_Source[[#This Row],[Tangible fixed assets: Housing properties at cost (Current period)2]], VfM_Metrics_2023_Consol_Source[[#This Row],[Tangible fixed assets Housing properties at valuation (Current period)2]] )</f>
        <v>1973869</v>
      </c>
      <c r="AM77" s="84" vm="7327">
        <v>1973869</v>
      </c>
      <c r="AN77" s="83" vm="4747">
        <v>0</v>
      </c>
      <c r="AO77" s="87">
        <f xml:space="preserve"> IFERROR( VfM_Metrics_2023_Consol_Source[[#This Row],[EBITDA MRI]] / VfM_Metrics_2023_Consol_Source[[#This Row],[Total interest]], "n/a" )</f>
        <v>0.55868144359192951</v>
      </c>
      <c r="AP7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27524</v>
      </c>
      <c r="AQ77" s="84" vm="4758">
        <v>23757</v>
      </c>
      <c r="AR77" s="84" vm="4759">
        <v>6191</v>
      </c>
      <c r="AS77" s="84" vm="3493">
        <v>0</v>
      </c>
      <c r="AT77" s="84" vm="4761">
        <v>3041</v>
      </c>
      <c r="AU77" s="84" vm="7512">
        <v>0</v>
      </c>
      <c r="AV77" s="84" vm="4762">
        <v>1193</v>
      </c>
      <c r="AW77" s="84" vm="4763">
        <v>11418</v>
      </c>
      <c r="AX77" s="84" vm="4764">
        <v>23224</v>
      </c>
      <c r="AY77" s="3">
        <f xml:space="preserve"> - SUM( VfM_Metrics_2023_Consol_Source[[#This Row],[Interest capitalised]], VfM_Metrics_2023_Consol_Source[[#This Row],[Interest payable and financing costs]] )</f>
        <v>49266</v>
      </c>
      <c r="AZ77" s="84" vm="4765">
        <v>-4139</v>
      </c>
      <c r="BA77" s="83" vm="4766">
        <v>-45127</v>
      </c>
      <c r="BB77" s="8">
        <f xml:space="preserve"> IFERROR( ( VfM_Metrics_2023_Consol_Source[[#This Row],[Total Costs]] / VfM_Metrics_2023_Consol_Source[[#This Row],[Total units for costs]] ) * 1000, "n/a" )</f>
        <v>4452.3431140741895</v>
      </c>
      <c r="BC7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114866</v>
      </c>
      <c r="BD77" s="84" vm="7315">
        <v>18949</v>
      </c>
      <c r="BE77" s="83" vm="7362">
        <v>19493</v>
      </c>
      <c r="BF77" s="83" vm="7050">
        <v>32041</v>
      </c>
      <c r="BG77" s="83" vm="4767">
        <v>16605</v>
      </c>
      <c r="BH77" s="83" vm="7404">
        <v>0</v>
      </c>
      <c r="BI77" s="83" vm="4768">
        <v>1164</v>
      </c>
      <c r="BJ77" s="83" vm="3010">
        <v>11418</v>
      </c>
      <c r="BK77" s="83" vm="4769">
        <v>13011</v>
      </c>
      <c r="BL77" s="83" vm="7359">
        <v>-427</v>
      </c>
      <c r="BM77" s="83" vm="4770">
        <v>0</v>
      </c>
      <c r="BN77" s="83" vm="4771">
        <v>1060</v>
      </c>
      <c r="BO77" s="83" vm="4772">
        <v>1552</v>
      </c>
      <c r="BP77" s="5" vm="6962">
        <f xml:space="preserve"> VfM_Metrics_2023_Consol_Source[[#This Row],[Total social housing units owned and/or managed at period end]]</f>
        <v>25799</v>
      </c>
      <c r="BQ77" s="84" vm="6962">
        <v>25799</v>
      </c>
      <c r="BR77" s="7">
        <f xml:space="preserve"> IFERROR( VfM_Metrics_2023_Consol_Source[[#This Row],[SHL operating surplus / (deficit)]] / VfM_Metrics_2023_Consol_Source[[#This Row],[Turnover from social housing lettings]], "n/a" )</f>
        <v>0.15190419341329717</v>
      </c>
      <c r="BS77" s="5" vm="6972">
        <f xml:space="preserve"> VfM_Metrics_2023_Consol_Source[[#This Row],[Operating surplus/(deficit) (social housing lettings)]]</f>
        <v>24303</v>
      </c>
      <c r="BT77" s="84" vm="6972">
        <v>24303</v>
      </c>
      <c r="BU77" s="5" vm="4773">
        <f xml:space="preserve"> VfM_Metrics_2023_Consol_Source[[#This Row],[Turnover from social housing lettings]]</f>
        <v>159989</v>
      </c>
      <c r="BV77" s="84" vm="4773">
        <v>159989</v>
      </c>
      <c r="BW77" s="7">
        <f xml:space="preserve"> IFERROR( VfM_Metrics_2023_Consol_Source[[#This Row],[Net operating surplus]] / VfM_Metrics_2023_Consol_Source[[#This Row],[Overall turnover]], "n/a" )</f>
        <v>8.1938613676648939E-2</v>
      </c>
      <c r="BX7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17566</v>
      </c>
      <c r="BY77" s="84" vm="4758">
        <v>23757</v>
      </c>
      <c r="BZ77" s="83" vm="5696">
        <v>6191</v>
      </c>
      <c r="CA77" s="83" vm="4760">
        <v>0</v>
      </c>
      <c r="CB77" s="5" vm="7043">
        <f xml:space="preserve"> VfM_Metrics_2023_Consol_Source[[#This Row],[Turnover (overall)]]</f>
        <v>214380</v>
      </c>
      <c r="CC77" s="84" vm="7043">
        <v>214380</v>
      </c>
      <c r="CD77" s="7">
        <f xml:space="preserve"> IFERROR( VfM_Metrics_2023_Consol_Source[[#This Row],[Operating surplus including from JVs]] / VfM_Metrics_2023_Consol_Source[[#This Row],[Net assets]], "n/a" )</f>
        <v>1.1530664148537189E-2</v>
      </c>
      <c r="CE77" s="5">
        <f xml:space="preserve"> SUM( VfM_Metrics_2023_Consol_Source[[#This Row],[Operating surplus/(deficit) (overall)3]], VfM_Metrics_2023_Consol_Source[[#This Row],[Share of operating surplus/(deficit) in joint ventures or associates]] )</f>
        <v>23689</v>
      </c>
      <c r="CF77" s="84" vm="4758">
        <v>23757</v>
      </c>
      <c r="CG77" s="83" vm="4775">
        <v>-68</v>
      </c>
      <c r="CH77" s="5" vm="4774">
        <f xml:space="preserve"> VfM_Metrics_2023_Consol_Source[[#This Row],[Total assets less current liabilities]]</f>
        <v>2054435</v>
      </c>
      <c r="CI77" s="84" vm="4774">
        <v>2054435</v>
      </c>
      <c r="CJ77" s="71" vm="4741">
        <f xml:space="preserve"> VfM_Metrics_2023_Consol_Source[[#This Row],[Total social housing units owned (Period end)]]</f>
        <v>25313</v>
      </c>
      <c r="CK77" s="103">
        <v>4.0750501514376744E-2</v>
      </c>
      <c r="CL77" s="6">
        <f xml:space="preserve"> -- ( VfM_Metrics_2023_Consol_Source[[#This Row],[% Supported housing (excl. HOP)]] &gt; 0.3 )</f>
        <v>0</v>
      </c>
      <c r="CM77" s="103">
        <v>7.5246823742280616E-2</v>
      </c>
      <c r="CN77" s="6">
        <f xml:space="preserve"> -- ( VfM_Metrics_2023_Consol_Source[[#This Row],[% Housing for older people]] &gt; 0.3 )</f>
        <v>0</v>
      </c>
      <c r="CO77" s="103">
        <f xml:space="preserve"> VfM_Metrics_2023_Consol_Source[[#This Row],[% Supported housing (excl. HOP)]] + VfM_Metrics_2023_Consol_Source[[#This Row],[% Housing for older people]]</f>
        <v>0.11599732525665736</v>
      </c>
      <c r="CP77" s="6">
        <f xml:space="preserve"> -- ( VfM_Metrics_2023_Consol_Source[[#This Row],[SH specialist in RSH analysis]] + VfM_Metrics_2023_Consol_Source[[#This Row],[OP specialist in RSH analysis]] &gt; 0 )</f>
        <v>0</v>
      </c>
      <c r="CQ77" s="10">
        <f xml:space="preserve"> -- ( VfM_Metrics_2023_Consol_Source[[#This Row],[% SH and OP]] &gt; 0.3 )</f>
        <v>0</v>
      </c>
      <c r="CR77" s="104" t="s">
        <v>143</v>
      </c>
      <c r="CS77" s="124" t="s">
        <v>144</v>
      </c>
      <c r="CT77" s="105"/>
      <c r="CU7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77" s="85">
        <v>0</v>
      </c>
      <c r="CW77" s="85">
        <v>0.14541110889906431</v>
      </c>
      <c r="CX77" s="85">
        <v>0.35253832371092975</v>
      </c>
      <c r="CY77" s="85">
        <v>2.0704758112681664E-3</v>
      </c>
      <c r="CZ77" s="85">
        <v>0.4999800915787378</v>
      </c>
      <c r="DA77" s="85">
        <v>0</v>
      </c>
      <c r="DB77" s="85">
        <v>0</v>
      </c>
      <c r="DC77" s="85">
        <v>0</v>
      </c>
      <c r="DD77" s="85">
        <v>0</v>
      </c>
      <c r="DE77" s="13">
        <v>0.97830716016111086</v>
      </c>
    </row>
    <row r="78" spans="1:109" x14ac:dyDescent="0.25">
      <c r="A78" s="4" t="s" vm="311">
        <v>280</v>
      </c>
      <c r="B78" s="2" t="s" vm="68">
        <v>281</v>
      </c>
      <c r="C78" s="72" vm="467">
        <v>45016</v>
      </c>
      <c r="D78" s="7">
        <f>IFERROR( VfM_Metrics_2023_Consol_Source[[#This Row],[Reinvestment Spend]] / VfM_Metrics_2023_Consol_Source[[#This Row],[Net Book Value of Housing Properties]], "n/a" )</f>
        <v>3.8147572178803706E-2</v>
      </c>
      <c r="E7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7678</v>
      </c>
      <c r="F78" s="83" vm="3707">
        <v>2647</v>
      </c>
      <c r="G78" s="83" vm="3708">
        <v>0</v>
      </c>
      <c r="H78" s="83" vm="3709">
        <v>5031</v>
      </c>
      <c r="I78" s="83" vm="3710">
        <v>0</v>
      </c>
      <c r="J78" s="83" vm="3904">
        <v>0</v>
      </c>
      <c r="K78" s="5">
        <f xml:space="preserve"> SUM( VfM_Metrics_2023_Consol_Source[[#This Row],[Tangible fixed assets: Housing properties at cost (Current period)]],VfM_Metrics_2023_Consol_Source[[#This Row],[Tangible fixed assets Housing properties at valuation (Current period)]] )</f>
        <v>201271</v>
      </c>
      <c r="L78" s="84" vm="3711">
        <v>201271</v>
      </c>
      <c r="M78" s="83" vm="3712">
        <v>0</v>
      </c>
      <c r="N78" s="7">
        <f xml:space="preserve"> IFERROR( VfM_Metrics_2023_Consol_Source[[#This Row],[Total social units developed or newly built units acquired in-year]] / VfM_Metrics_2023_Consol_Source[[#This Row],[Social housing units owned (period end)]], "n/a" )</f>
        <v>0</v>
      </c>
      <c r="O78" s="5">
        <f xml:space="preserve"> SUM( VfM_Metrics_2023_Consol_Source[[#This Row],[Total social units developed or newly built units acquired in-year (owned)]], VfM_Metrics_2023_Consol_Source[[#This Row],[Total social leasehold units developed or newly built units acquired in-year (owned)]] )</f>
        <v>0</v>
      </c>
      <c r="P78" s="84" vm="3713">
        <v>0</v>
      </c>
      <c r="Q78" s="83" vm="3714">
        <v>0</v>
      </c>
      <c r="R78" s="5">
        <f xml:space="preserve"> SUM( VfM_Metrics_2023_Consol_Source[[#This Row],[Total social housing units owned (Period end)]], VfM_Metrics_2023_Consol_Source[[#This Row],[Total social leasehold units owned (Period end)]] )</f>
        <v>3320</v>
      </c>
      <c r="S78" s="84" vm="3705">
        <v>3320</v>
      </c>
      <c r="T78" s="83" vm="3715">
        <v>0</v>
      </c>
      <c r="U78" s="86">
        <f xml:space="preserve"> IFERROR( VfM_Metrics_2023_Consol_Source[[#This Row],[Total non-social housing units developed or newly built units acquired (owned)]] / VfM_Metrics_2023_Consol_Source[[#This Row],[Total social and non-social housing units owned (Period end)]], "n/a" )</f>
        <v>0</v>
      </c>
      <c r="V7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78" s="83" vm="3716">
        <v>0</v>
      </c>
      <c r="X78" s="83" vm="3717">
        <v>0</v>
      </c>
      <c r="Y78" s="83" vm="3718">
        <v>0</v>
      </c>
      <c r="Z7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3320</v>
      </c>
      <c r="AA78" s="84" vm="7665">
        <v>3320</v>
      </c>
      <c r="AB78" s="83" vm="3715">
        <v>0</v>
      </c>
      <c r="AC78" s="83" vm="3719">
        <v>0</v>
      </c>
      <c r="AD78" s="83" vm="3720">
        <v>0</v>
      </c>
      <c r="AE78" s="7">
        <f xml:space="preserve"> IFERROR( VfM_Metrics_2023_Consol_Source[[#This Row],[Total Net Debt]] / VfM_Metrics_2023_Consol_Source[[#This Row],[Net Book Value of Housing Properties2]], "n/a" )</f>
        <v>0.1008938197753278</v>
      </c>
      <c r="AF7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20307</v>
      </c>
      <c r="AG78" s="84" vm="3721">
        <v>2417</v>
      </c>
      <c r="AH78" s="83" vm="3619">
        <v>22045</v>
      </c>
      <c r="AI78" s="83" vm="3722">
        <v>4155</v>
      </c>
      <c r="AJ78" s="83" vm="3723">
        <v>0</v>
      </c>
      <c r="AK78" s="83" vm="3724">
        <v>0</v>
      </c>
      <c r="AL78" s="5">
        <f xml:space="preserve"> SUM( VfM_Metrics_2023_Consol_Source[[#This Row],[Tangible fixed assets: Housing properties at cost (Current period)2]], VfM_Metrics_2023_Consol_Source[[#This Row],[Tangible fixed assets Housing properties at valuation (Current period)2]] )</f>
        <v>201271</v>
      </c>
      <c r="AM78" s="84" vm="3711">
        <v>201271</v>
      </c>
      <c r="AN78" s="83" vm="4571">
        <v>0</v>
      </c>
      <c r="AO78" s="87">
        <f xml:space="preserve"> IFERROR( VfM_Metrics_2023_Consol_Source[[#This Row],[EBITDA MRI]] / VfM_Metrics_2023_Consol_Source[[#This Row],[Total interest]], "n/a" )</f>
        <v>-0.39828897338403041</v>
      </c>
      <c r="AP7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-838</v>
      </c>
      <c r="AQ78" s="84" vm="3725">
        <v>4436</v>
      </c>
      <c r="AR78" s="84" vm="3726">
        <v>2757</v>
      </c>
      <c r="AS78" s="84" vm="3727">
        <v>0</v>
      </c>
      <c r="AT78" s="84" vm="3728">
        <v>1351</v>
      </c>
      <c r="AU78" s="84" vm="3729">
        <v>0</v>
      </c>
      <c r="AV78" s="84" vm="3730">
        <v>37</v>
      </c>
      <c r="AW78" s="84" vm="3731">
        <v>5031</v>
      </c>
      <c r="AX78" s="84" vm="3732">
        <v>3828</v>
      </c>
      <c r="AY78" s="3">
        <f xml:space="preserve"> - SUM( VfM_Metrics_2023_Consol_Source[[#This Row],[Interest capitalised]], VfM_Metrics_2023_Consol_Source[[#This Row],[Interest payable and financing costs]] )</f>
        <v>2104</v>
      </c>
      <c r="AZ78" s="84" vm="7071">
        <v>0</v>
      </c>
      <c r="BA78" s="83" vm="3733">
        <v>-2104</v>
      </c>
      <c r="BB78" s="8">
        <f xml:space="preserve"> IFERROR( ( VfM_Metrics_2023_Consol_Source[[#This Row],[Total Costs]] / VfM_Metrics_2023_Consol_Source[[#This Row],[Total units for costs]] ) * 1000, "n/a" )</f>
        <v>7226.7546490701861</v>
      </c>
      <c r="BC7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24094</v>
      </c>
      <c r="BD78" s="84" vm="2620">
        <v>4588</v>
      </c>
      <c r="BE78" s="83" vm="3734">
        <v>5762</v>
      </c>
      <c r="BF78" s="83" vm="3735">
        <v>6149</v>
      </c>
      <c r="BG78" s="83" vm="3736">
        <v>1382</v>
      </c>
      <c r="BH78" s="83" vm="7661">
        <v>1059</v>
      </c>
      <c r="BI78" s="83" vm="3737">
        <v>0</v>
      </c>
      <c r="BJ78" s="83" vm="3731">
        <v>5031</v>
      </c>
      <c r="BK78" s="83" vm="3959">
        <v>0</v>
      </c>
      <c r="BL78" s="83" vm="3739">
        <v>0</v>
      </c>
      <c r="BM78" s="83" vm="3740">
        <v>0</v>
      </c>
      <c r="BN78" s="83" vm="3741">
        <v>123</v>
      </c>
      <c r="BO78" s="83" vm="3742">
        <v>0</v>
      </c>
      <c r="BP78" s="5" vm="3706">
        <f xml:space="preserve"> VfM_Metrics_2023_Consol_Source[[#This Row],[Total social housing units owned and/or managed at period end]]</f>
        <v>3334</v>
      </c>
      <c r="BQ78" s="84" vm="3706">
        <v>3334</v>
      </c>
      <c r="BR78" s="7">
        <f xml:space="preserve"> IFERROR( VfM_Metrics_2023_Consol_Source[[#This Row],[SHL operating surplus / (deficit)]] / VfM_Metrics_2023_Consol_Source[[#This Row],[Turnover from social housing lettings]], "n/a" )</f>
        <v>-8.8964014056314221E-4</v>
      </c>
      <c r="BS78" s="5" vm="6991">
        <f xml:space="preserve"> VfM_Metrics_2023_Consol_Source[[#This Row],[Operating surplus/(deficit) (social housing lettings)]]</f>
        <v>-20</v>
      </c>
      <c r="BT78" s="84" vm="6991">
        <v>-20</v>
      </c>
      <c r="BU78" s="5" vm="3743">
        <f xml:space="preserve"> VfM_Metrics_2023_Consol_Source[[#This Row],[Turnover from social housing lettings]]</f>
        <v>22481</v>
      </c>
      <c r="BV78" s="84" vm="3743">
        <v>22481</v>
      </c>
      <c r="BW78" s="7">
        <f xml:space="preserve"> IFERROR( VfM_Metrics_2023_Consol_Source[[#This Row],[Net operating surplus]] / VfM_Metrics_2023_Consol_Source[[#This Row],[Overall turnover]], "n/a" )</f>
        <v>6.6985836824256934E-2</v>
      </c>
      <c r="BX7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1679</v>
      </c>
      <c r="BY78" s="84" vm="3725">
        <v>4436</v>
      </c>
      <c r="BZ78" s="83" vm="3726">
        <v>2757</v>
      </c>
      <c r="CA78" s="83" vm="3727">
        <v>0</v>
      </c>
      <c r="CB78" s="5" vm="3744">
        <f xml:space="preserve"> VfM_Metrics_2023_Consol_Source[[#This Row],[Turnover (overall)]]</f>
        <v>25065</v>
      </c>
      <c r="CC78" s="84" vm="3744">
        <v>25065</v>
      </c>
      <c r="CD78" s="7">
        <f xml:space="preserve"> IFERROR( VfM_Metrics_2023_Consol_Source[[#This Row],[Operating surplus including from JVs]] / VfM_Metrics_2023_Consol_Source[[#This Row],[Net assets]], "n/a" )</f>
        <v>2.2351998629453647E-2</v>
      </c>
      <c r="CE78" s="5">
        <f xml:space="preserve"> SUM( VfM_Metrics_2023_Consol_Source[[#This Row],[Operating surplus/(deficit) (overall)3]], VfM_Metrics_2023_Consol_Source[[#This Row],[Share of operating surplus/(deficit) in joint ventures or associates]] )</f>
        <v>4436</v>
      </c>
      <c r="CF78" s="84" vm="3725">
        <v>4436</v>
      </c>
      <c r="CG78" s="83" vm="3746">
        <v>0</v>
      </c>
      <c r="CH78" s="5" vm="3745">
        <f xml:space="preserve"> VfM_Metrics_2023_Consol_Source[[#This Row],[Total assets less current liabilities]]</f>
        <v>198461</v>
      </c>
      <c r="CI78" s="84" vm="3745">
        <v>198461</v>
      </c>
      <c r="CJ78" s="71" vm="3705">
        <f xml:space="preserve"> VfM_Metrics_2023_Consol_Source[[#This Row],[Total social housing units owned (Period end)]]</f>
        <v>3320</v>
      </c>
      <c r="CK78" s="103">
        <v>0.39323789217179411</v>
      </c>
      <c r="CL78" s="6">
        <f xml:space="preserve"> -- ( VfM_Metrics_2023_Consol_Source[[#This Row],[% Supported housing (excl. HOP)]] &gt; 0.3 )</f>
        <v>1</v>
      </c>
      <c r="CM78" s="103">
        <v>7.4322266219920802E-2</v>
      </c>
      <c r="CN78" s="6">
        <f xml:space="preserve"> -- ( VfM_Metrics_2023_Consol_Source[[#This Row],[% Housing for older people]] &gt; 0.3 )</f>
        <v>0</v>
      </c>
      <c r="CO78" s="103">
        <f xml:space="preserve"> VfM_Metrics_2023_Consol_Source[[#This Row],[% Supported housing (excl. HOP)]] + VfM_Metrics_2023_Consol_Source[[#This Row],[% Housing for older people]]</f>
        <v>0.46756015839171494</v>
      </c>
      <c r="CP78" s="6">
        <f xml:space="preserve"> -- ( VfM_Metrics_2023_Consol_Source[[#This Row],[SH specialist in RSH analysis]] + VfM_Metrics_2023_Consol_Source[[#This Row],[OP specialist in RSH analysis]] &gt; 0 )</f>
        <v>1</v>
      </c>
      <c r="CQ78" s="10">
        <f xml:space="preserve"> -- ( VfM_Metrics_2023_Consol_Source[[#This Row],[% SH and OP]] &gt; 0.3 )</f>
        <v>1</v>
      </c>
      <c r="CR78" s="104" t="s">
        <v>143</v>
      </c>
      <c r="CS78" s="124" t="s">
        <v>144</v>
      </c>
      <c r="CT78" s="105"/>
      <c r="CU7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78" s="85">
        <v>0.2916923076923077</v>
      </c>
      <c r="CW78" s="85">
        <v>0.12553846153846154</v>
      </c>
      <c r="CX78" s="85">
        <v>0.11138461538461539</v>
      </c>
      <c r="CY78" s="85">
        <v>1.0153846153846154E-2</v>
      </c>
      <c r="CZ78" s="85">
        <v>4.2769230769230768E-2</v>
      </c>
      <c r="DA78" s="85">
        <v>9.1692307692307698E-2</v>
      </c>
      <c r="DB78" s="85">
        <v>0.13292307692307692</v>
      </c>
      <c r="DC78" s="85">
        <v>1.3846153846153847E-2</v>
      </c>
      <c r="DD78" s="85">
        <v>0.18</v>
      </c>
      <c r="DE78" s="13">
        <v>1.0242474027055117</v>
      </c>
    </row>
    <row r="79" spans="1:109" x14ac:dyDescent="0.25">
      <c r="A79" s="4" t="s" vm="387">
        <v>282</v>
      </c>
      <c r="B79" s="2" t="s" vm="69">
        <v>283</v>
      </c>
      <c r="C79" s="72" vm="455">
        <v>45016</v>
      </c>
      <c r="D79" s="7">
        <f>IFERROR( VfM_Metrics_2023_Consol_Source[[#This Row],[Reinvestment Spend]] / VfM_Metrics_2023_Consol_Source[[#This Row],[Net Book Value of Housing Properties]], "n/a" )</f>
        <v>7.4760794249464968E-2</v>
      </c>
      <c r="E7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15580</v>
      </c>
      <c r="F79" s="83" vm="6466">
        <v>12028</v>
      </c>
      <c r="G79" s="83" vm="6467">
        <v>0</v>
      </c>
      <c r="H79" s="83" vm="6468">
        <v>2841</v>
      </c>
      <c r="I79" s="83" vm="6469">
        <v>711</v>
      </c>
      <c r="J79" s="83" vm="6470">
        <v>0</v>
      </c>
      <c r="K79" s="5">
        <f xml:space="preserve"> SUM( VfM_Metrics_2023_Consol_Source[[#This Row],[Tangible fixed assets: Housing properties at cost (Current period)]],VfM_Metrics_2023_Consol_Source[[#This Row],[Tangible fixed assets Housing properties at valuation (Current period)]] )</f>
        <v>208398</v>
      </c>
      <c r="L79" s="84" vm="6471">
        <v>208398</v>
      </c>
      <c r="M79" s="83" vm="6472">
        <v>0</v>
      </c>
      <c r="N79" s="7">
        <f xml:space="preserve"> IFERROR( VfM_Metrics_2023_Consol_Source[[#This Row],[Total social units developed or newly built units acquired in-year]] / VfM_Metrics_2023_Consol_Source[[#This Row],[Social housing units owned (period end)]], "n/a" )</f>
        <v>2.5977504017139795E-2</v>
      </c>
      <c r="O79" s="5">
        <f xml:space="preserve"> SUM( VfM_Metrics_2023_Consol_Source[[#This Row],[Total social units developed or newly built units acquired in-year (owned)]], VfM_Metrics_2023_Consol_Source[[#This Row],[Total social leasehold units developed or newly built units acquired in-year (owned)]] )</f>
        <v>194</v>
      </c>
      <c r="P79" s="84" vm="5791">
        <v>194</v>
      </c>
      <c r="Q79" s="83" vm="6473">
        <v>0</v>
      </c>
      <c r="R79" s="5">
        <f xml:space="preserve"> SUM( VfM_Metrics_2023_Consol_Source[[#This Row],[Total social housing units owned (Period end)]], VfM_Metrics_2023_Consol_Source[[#This Row],[Total social leasehold units owned (Period end)]] )</f>
        <v>7468</v>
      </c>
      <c r="S79" s="84" vm="6464">
        <v>7330</v>
      </c>
      <c r="T79" s="83" vm="6474">
        <v>138</v>
      </c>
      <c r="U79" s="86">
        <f xml:space="preserve"> IFERROR( VfM_Metrics_2023_Consol_Source[[#This Row],[Total non-social housing units developed or newly built units acquired (owned)]] / VfM_Metrics_2023_Consol_Source[[#This Row],[Total social and non-social housing units owned (Period end)]], "n/a" )</f>
        <v>0</v>
      </c>
      <c r="V7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79" s="83" vm="6475">
        <v>0</v>
      </c>
      <c r="X79" s="83" vm="6476">
        <v>0</v>
      </c>
      <c r="Y79" s="83" vm="6477">
        <v>0</v>
      </c>
      <c r="Z7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7853</v>
      </c>
      <c r="AA79" s="84" vm="6464">
        <v>7330</v>
      </c>
      <c r="AB79" s="83" vm="6474">
        <v>138</v>
      </c>
      <c r="AC79" s="83" vm="6478">
        <v>385</v>
      </c>
      <c r="AD79" s="83" vm="6479">
        <v>0</v>
      </c>
      <c r="AE79" s="7">
        <f xml:space="preserve"> IFERROR( VfM_Metrics_2023_Consol_Source[[#This Row],[Total Net Debt]] / VfM_Metrics_2023_Consol_Source[[#This Row],[Net Book Value of Housing Properties2]], "n/a" )</f>
        <v>0.77659574468085102</v>
      </c>
      <c r="AF7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161841</v>
      </c>
      <c r="AG79" s="84" vm="6480">
        <v>5000</v>
      </c>
      <c r="AH79" s="83" vm="6898">
        <v>164245</v>
      </c>
      <c r="AI79" s="83" vm="7178">
        <v>7404</v>
      </c>
      <c r="AJ79" s="83" vm="6481">
        <v>0</v>
      </c>
      <c r="AK79" s="83" vm="6482">
        <v>0</v>
      </c>
      <c r="AL79" s="5">
        <f xml:space="preserve"> SUM( VfM_Metrics_2023_Consol_Source[[#This Row],[Tangible fixed assets: Housing properties at cost (Current period)2]], VfM_Metrics_2023_Consol_Source[[#This Row],[Tangible fixed assets Housing properties at valuation (Current period)2]] )</f>
        <v>208398</v>
      </c>
      <c r="AM79" s="84" vm="6471">
        <v>208398</v>
      </c>
      <c r="AN79" s="83" vm="7002">
        <v>0</v>
      </c>
      <c r="AO79" s="87">
        <f xml:space="preserve"> IFERROR( VfM_Metrics_2023_Consol_Source[[#This Row],[EBITDA MRI]] / VfM_Metrics_2023_Consol_Source[[#This Row],[Total interest]], "n/a" )</f>
        <v>1.0704208221843834</v>
      </c>
      <c r="AP7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8801</v>
      </c>
      <c r="AQ79" s="84" vm="6483">
        <v>7372</v>
      </c>
      <c r="AR79" s="84" vm="6484">
        <v>841</v>
      </c>
      <c r="AS79" s="84" vm="6485">
        <v>-1</v>
      </c>
      <c r="AT79" s="84" vm="6486">
        <v>363</v>
      </c>
      <c r="AU79" s="84" vm="7171">
        <v>71</v>
      </c>
      <c r="AV79" s="84" vm="6487">
        <v>1</v>
      </c>
      <c r="AW79" s="84" vm="6488">
        <v>2841</v>
      </c>
      <c r="AX79" s="84" vm="6489">
        <v>5543</v>
      </c>
      <c r="AY79" s="3">
        <f xml:space="preserve"> - SUM( VfM_Metrics_2023_Consol_Source[[#This Row],[Interest capitalised]], VfM_Metrics_2023_Consol_Source[[#This Row],[Interest payable and financing costs]] )</f>
        <v>8222</v>
      </c>
      <c r="AZ79" s="84" vm="6490">
        <v>-843</v>
      </c>
      <c r="BA79" s="83" vm="6878">
        <v>-7379</v>
      </c>
      <c r="BB79" s="8">
        <f xml:space="preserve"> IFERROR( ( VfM_Metrics_2023_Consol_Source[[#This Row],[Total Costs]] / VfM_Metrics_2023_Consol_Source[[#This Row],[Total units for costs]] ) * 1000, "n/a" )</f>
        <v>4008.8640392745124</v>
      </c>
      <c r="BC7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29397</v>
      </c>
      <c r="BD79" s="84" vm="7177">
        <v>10963</v>
      </c>
      <c r="BE79" s="83" vm="6491">
        <v>2153</v>
      </c>
      <c r="BF79" s="83" vm="6492">
        <v>7890</v>
      </c>
      <c r="BG79" s="83" vm="6493">
        <v>2401</v>
      </c>
      <c r="BH79" s="83" vm="7141">
        <v>2535</v>
      </c>
      <c r="BI79" s="83" vm="6876">
        <v>0</v>
      </c>
      <c r="BJ79" s="83" vm="6488">
        <v>2841</v>
      </c>
      <c r="BK79" s="83" vm="6494">
        <v>614</v>
      </c>
      <c r="BL79" s="83" vm="6495">
        <v>0</v>
      </c>
      <c r="BM79" s="83" vm="6496">
        <v>0</v>
      </c>
      <c r="BN79" s="83" vm="6497">
        <v>0</v>
      </c>
      <c r="BO79" s="83" vm="6498">
        <v>0</v>
      </c>
      <c r="BP79" s="5" vm="6465">
        <f xml:space="preserve"> VfM_Metrics_2023_Consol_Source[[#This Row],[Total social housing units owned and/or managed at period end]]</f>
        <v>7333</v>
      </c>
      <c r="BQ79" s="84" vm="6465">
        <v>7333</v>
      </c>
      <c r="BR79" s="7">
        <f xml:space="preserve"> IFERROR( VfM_Metrics_2023_Consol_Source[[#This Row],[SHL operating surplus / (deficit)]] / VfM_Metrics_2023_Consol_Source[[#This Row],[Turnover from social housing lettings]], "n/a" )</f>
        <v>0.11051941668032116</v>
      </c>
      <c r="BS79" s="5" vm="6499">
        <f xml:space="preserve"> VfM_Metrics_2023_Consol_Source[[#This Row],[Operating surplus/(deficit) (social housing lettings)]]</f>
        <v>4047</v>
      </c>
      <c r="BT79" s="84" vm="6499">
        <v>4047</v>
      </c>
      <c r="BU79" s="5" vm="6500">
        <f xml:space="preserve"> VfM_Metrics_2023_Consol_Source[[#This Row],[Turnover from social housing lettings]]</f>
        <v>36618</v>
      </c>
      <c r="BV79" s="84" vm="6500">
        <v>36618</v>
      </c>
      <c r="BW79" s="7">
        <f xml:space="preserve"> IFERROR( VfM_Metrics_2023_Consol_Source[[#This Row],[Net operating surplus]] / VfM_Metrics_2023_Consol_Source[[#This Row],[Overall turnover]], "n/a" )</f>
        <v>0.12703722431833211</v>
      </c>
      <c r="BX7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6532</v>
      </c>
      <c r="BY79" s="84" vm="6483">
        <v>7372</v>
      </c>
      <c r="BZ79" s="83" vm="6484">
        <v>841</v>
      </c>
      <c r="CA79" s="83" vm="6485">
        <v>-1</v>
      </c>
      <c r="CB79" s="5" vm="6501">
        <f xml:space="preserve"> VfM_Metrics_2023_Consol_Source[[#This Row],[Turnover (overall)]]</f>
        <v>51418</v>
      </c>
      <c r="CC79" s="84" vm="6501">
        <v>51418</v>
      </c>
      <c r="CD79" s="7">
        <f xml:space="preserve"> IFERROR( VfM_Metrics_2023_Consol_Source[[#This Row],[Operating surplus including from JVs]] / VfM_Metrics_2023_Consol_Source[[#This Row],[Net assets]], "n/a" )</f>
        <v>2.8917855559783313E-2</v>
      </c>
      <c r="CE79" s="5">
        <f xml:space="preserve"> SUM( VfM_Metrics_2023_Consol_Source[[#This Row],[Operating surplus/(deficit) (overall)3]], VfM_Metrics_2023_Consol_Source[[#This Row],[Share of operating surplus/(deficit) in joint ventures or associates]] )</f>
        <v>7372</v>
      </c>
      <c r="CF79" s="84" vm="6483">
        <v>7372</v>
      </c>
      <c r="CG79" s="83" vm="6503">
        <v>0</v>
      </c>
      <c r="CH79" s="5" vm="6502">
        <f xml:space="preserve"> VfM_Metrics_2023_Consol_Source[[#This Row],[Total assets less current liabilities]]</f>
        <v>254929</v>
      </c>
      <c r="CI79" s="84" vm="6502">
        <v>254929</v>
      </c>
      <c r="CJ79" s="71" vm="6464">
        <f xml:space="preserve"> VfM_Metrics_2023_Consol_Source[[#This Row],[Total social housing units owned (Period end)]]</f>
        <v>7330</v>
      </c>
      <c r="CK79" s="103">
        <v>1.7662481026631708E-2</v>
      </c>
      <c r="CL79" s="6">
        <f xml:space="preserve"> -- ( VfM_Metrics_2023_Consol_Source[[#This Row],[% Supported housing (excl. HOP)]] &gt; 0.3 )</f>
        <v>0</v>
      </c>
      <c r="CM79" s="103">
        <v>0</v>
      </c>
      <c r="CN79" s="6">
        <f xml:space="preserve"> -- ( VfM_Metrics_2023_Consol_Source[[#This Row],[% Housing for older people]] &gt; 0.3 )</f>
        <v>0</v>
      </c>
      <c r="CO79" s="103">
        <f xml:space="preserve"> VfM_Metrics_2023_Consol_Source[[#This Row],[% Supported housing (excl. HOP)]] + VfM_Metrics_2023_Consol_Source[[#This Row],[% Housing for older people]]</f>
        <v>1.7662481026631708E-2</v>
      </c>
      <c r="CP79" s="6">
        <f xml:space="preserve"> -- ( VfM_Metrics_2023_Consol_Source[[#This Row],[SH specialist in RSH analysis]] + VfM_Metrics_2023_Consol_Source[[#This Row],[OP specialist in RSH analysis]] &gt; 0 )</f>
        <v>0</v>
      </c>
      <c r="CQ79" s="10">
        <f xml:space="preserve"> -- ( VfM_Metrics_2023_Consol_Source[[#This Row],[% SH and OP]] &gt; 0.3 )</f>
        <v>0</v>
      </c>
      <c r="CR79" s="104" t="s">
        <v>143</v>
      </c>
      <c r="CS79" s="124"/>
      <c r="CT79" s="105" t="s">
        <v>151</v>
      </c>
      <c r="CU7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79" s="85">
        <v>0</v>
      </c>
      <c r="CW79" s="85">
        <v>0</v>
      </c>
      <c r="CX79" s="85">
        <v>0</v>
      </c>
      <c r="CY79" s="85">
        <v>0</v>
      </c>
      <c r="CZ79" s="85">
        <v>0</v>
      </c>
      <c r="DA79" s="85">
        <v>0</v>
      </c>
      <c r="DB79" s="85">
        <v>0</v>
      </c>
      <c r="DC79" s="85">
        <v>1</v>
      </c>
      <c r="DD79" s="85">
        <v>0</v>
      </c>
      <c r="DE79" s="13">
        <v>0.96105917141044694</v>
      </c>
    </row>
    <row r="80" spans="1:109" x14ac:dyDescent="0.25">
      <c r="A80" s="4" t="s" vm="395">
        <v>284</v>
      </c>
      <c r="B80" s="2" t="s" vm="70">
        <v>285</v>
      </c>
      <c r="C80" s="72" vm="522">
        <v>45016</v>
      </c>
      <c r="D80" s="7">
        <f>IFERROR( VfM_Metrics_2023_Consol_Source[[#This Row],[Reinvestment Spend]] / VfM_Metrics_2023_Consol_Source[[#This Row],[Net Book Value of Housing Properties]], "n/a" )</f>
        <v>2.6817271163696157E-2</v>
      </c>
      <c r="E8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11351</v>
      </c>
      <c r="F80" s="83" vm="6783">
        <v>7954</v>
      </c>
      <c r="G80" s="83" vm="6894">
        <v>0</v>
      </c>
      <c r="H80" s="83" vm="6784">
        <v>3113</v>
      </c>
      <c r="I80" s="83" vm="6867">
        <v>284</v>
      </c>
      <c r="J80" s="83" vm="6785">
        <v>0</v>
      </c>
      <c r="K80" s="5">
        <f xml:space="preserve"> SUM( VfM_Metrics_2023_Consol_Source[[#This Row],[Tangible fixed assets: Housing properties at cost (Current period)]],VfM_Metrics_2023_Consol_Source[[#This Row],[Tangible fixed assets Housing properties at valuation (Current period)]] )</f>
        <v>423272</v>
      </c>
      <c r="L80" s="84" vm="6786">
        <v>423272</v>
      </c>
      <c r="M80" s="83" vm="6787">
        <v>0</v>
      </c>
      <c r="N80" s="7">
        <f xml:space="preserve"> IFERROR( VfM_Metrics_2023_Consol_Source[[#This Row],[Total social units developed or newly built units acquired in-year]] / VfM_Metrics_2023_Consol_Source[[#This Row],[Social housing units owned (period end)]], "n/a" )</f>
        <v>6.3598952487841373E-3</v>
      </c>
      <c r="O80" s="5">
        <f xml:space="preserve"> SUM( VfM_Metrics_2023_Consol_Source[[#This Row],[Total social units developed or newly built units acquired in-year (owned)]], VfM_Metrics_2023_Consol_Source[[#This Row],[Total social leasehold units developed or newly built units acquired in-year (owned)]] )</f>
        <v>34</v>
      </c>
      <c r="P80" s="84" vm="6788">
        <v>34</v>
      </c>
      <c r="Q80" s="83" vm="6642">
        <v>0</v>
      </c>
      <c r="R80" s="5">
        <f xml:space="preserve"> SUM( VfM_Metrics_2023_Consol_Source[[#This Row],[Total social housing units owned (Period end)]], VfM_Metrics_2023_Consol_Source[[#This Row],[Total social leasehold units owned (Period end)]] )</f>
        <v>5346</v>
      </c>
      <c r="S80" s="84" vm="6781">
        <v>5075</v>
      </c>
      <c r="T80" s="83" vm="6781">
        <v>271</v>
      </c>
      <c r="U80" s="86">
        <f xml:space="preserve"> IFERROR( VfM_Metrics_2023_Consol_Source[[#This Row],[Total non-social housing units developed or newly built units acquired (owned)]] / VfM_Metrics_2023_Consol_Source[[#This Row],[Total social and non-social housing units owned (Period end)]], "n/a" )</f>
        <v>1.4771048744460858E-3</v>
      </c>
      <c r="V8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11</v>
      </c>
      <c r="W80" s="83" vm="6790">
        <v>0</v>
      </c>
      <c r="X80" s="83" vm="6791">
        <v>11</v>
      </c>
      <c r="Y80" s="83" vm="6792">
        <v>0</v>
      </c>
      <c r="Z8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7447</v>
      </c>
      <c r="AA80" s="84" vm="6781">
        <v>5075</v>
      </c>
      <c r="AB80" s="83" vm="6789">
        <v>271</v>
      </c>
      <c r="AC80" s="83" vm="7199">
        <v>7</v>
      </c>
      <c r="AD80" s="83" vm="6793">
        <v>2094</v>
      </c>
      <c r="AE80" s="7">
        <f xml:space="preserve"> IFERROR( VfM_Metrics_2023_Consol_Source[[#This Row],[Total Net Debt]] / VfM_Metrics_2023_Consol_Source[[#This Row],[Net Book Value of Housing Properties2]], "n/a" )</f>
        <v>0.53606900527320489</v>
      </c>
      <c r="AF8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226903</v>
      </c>
      <c r="AG80" s="84" vm="6794">
        <v>4979</v>
      </c>
      <c r="AH80" s="83" vm="6863">
        <v>226095</v>
      </c>
      <c r="AI80" s="83" vm="6795">
        <v>4171</v>
      </c>
      <c r="AJ80" s="83" vm="6796">
        <v>0</v>
      </c>
      <c r="AK80" s="83" vm="6797">
        <v>0</v>
      </c>
      <c r="AL80" s="5">
        <f xml:space="preserve"> SUM( VfM_Metrics_2023_Consol_Source[[#This Row],[Tangible fixed assets: Housing properties at cost (Current period)2]], VfM_Metrics_2023_Consol_Source[[#This Row],[Tangible fixed assets Housing properties at valuation (Current period)2]] )</f>
        <v>423272</v>
      </c>
      <c r="AM80" s="84" vm="6786">
        <v>423272</v>
      </c>
      <c r="AN80" s="83" vm="6787">
        <v>0</v>
      </c>
      <c r="AO80" s="87">
        <f xml:space="preserve"> IFERROR( VfM_Metrics_2023_Consol_Source[[#This Row],[EBITDA MRI]] / VfM_Metrics_2023_Consol_Source[[#This Row],[Total interest]], "n/a" )</f>
        <v>1.329421768707483</v>
      </c>
      <c r="AP8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15634</v>
      </c>
      <c r="AQ80" s="84" vm="6798">
        <v>16819</v>
      </c>
      <c r="AR80" s="84" vm="6799">
        <v>2644</v>
      </c>
      <c r="AS80" s="84" vm="6800">
        <v>0</v>
      </c>
      <c r="AT80" s="84" vm="6801">
        <v>1816</v>
      </c>
      <c r="AU80" s="84" vm="6802">
        <v>0</v>
      </c>
      <c r="AV80" s="84" vm="6803">
        <v>40</v>
      </c>
      <c r="AW80" s="84" vm="6804">
        <v>3113</v>
      </c>
      <c r="AX80" s="84" vm="6805">
        <v>6348</v>
      </c>
      <c r="AY80" s="3">
        <f xml:space="preserve"> - SUM( VfM_Metrics_2023_Consol_Source[[#This Row],[Interest capitalised]], VfM_Metrics_2023_Consol_Source[[#This Row],[Interest payable and financing costs]] )</f>
        <v>11760</v>
      </c>
      <c r="AZ80" s="84" vm="6806">
        <v>-284</v>
      </c>
      <c r="BA80" s="83" vm="6807">
        <v>-11476</v>
      </c>
      <c r="BB80" s="8">
        <f xml:space="preserve"> IFERROR( ( VfM_Metrics_2023_Consol_Source[[#This Row],[Total Costs]] / VfM_Metrics_2023_Consol_Source[[#This Row],[Total units for costs]] ) * 1000, "n/a" )</f>
        <v>3142.5762045231072</v>
      </c>
      <c r="BC8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15980</v>
      </c>
      <c r="BD80" s="84" vm="6808">
        <v>3203</v>
      </c>
      <c r="BE80" s="83" vm="7001">
        <v>1505</v>
      </c>
      <c r="BF80" s="83" vm="6810">
        <v>4752</v>
      </c>
      <c r="BG80" s="83" vm="6811">
        <v>1183</v>
      </c>
      <c r="BH80" s="83" vm="6812">
        <v>1490</v>
      </c>
      <c r="BI80" s="83" vm="6813">
        <v>27</v>
      </c>
      <c r="BJ80" s="83" vm="6804">
        <v>3113</v>
      </c>
      <c r="BK80" s="83" vm="6814">
        <v>104</v>
      </c>
      <c r="BL80" s="83" vm="6893">
        <v>427</v>
      </c>
      <c r="BM80" s="83" vm="7229">
        <v>109</v>
      </c>
      <c r="BN80" s="83" vm="6815">
        <v>37</v>
      </c>
      <c r="BO80" s="83" vm="6816">
        <v>30</v>
      </c>
      <c r="BP80" s="5" vm="6782">
        <f xml:space="preserve"> VfM_Metrics_2023_Consol_Source[[#This Row],[Total social housing units owned and/or managed at period end]]</f>
        <v>5085</v>
      </c>
      <c r="BQ80" s="84" vm="6782">
        <v>5085</v>
      </c>
      <c r="BR80" s="7">
        <f xml:space="preserve"> IFERROR( VfM_Metrics_2023_Consol_Source[[#This Row],[SHL operating surplus / (deficit)]] / VfM_Metrics_2023_Consol_Source[[#This Row],[Turnover from social housing lettings]], "n/a" )</f>
        <v>0.42503883587483754</v>
      </c>
      <c r="BS80" s="5" vm="6817">
        <f xml:space="preserve"> VfM_Metrics_2023_Consol_Source[[#This Row],[Operating surplus/(deficit) (social housing lettings)]]</f>
        <v>13407</v>
      </c>
      <c r="BT80" s="84" vm="6817">
        <v>13407</v>
      </c>
      <c r="BU80" s="5" vm="6742">
        <f xml:space="preserve"> VfM_Metrics_2023_Consol_Source[[#This Row],[Turnover from social housing lettings]]</f>
        <v>31543</v>
      </c>
      <c r="BV80" s="84" vm="6742">
        <v>31543</v>
      </c>
      <c r="BW80" s="7">
        <f xml:space="preserve"> IFERROR( VfM_Metrics_2023_Consol_Source[[#This Row],[Net operating surplus]] / VfM_Metrics_2023_Consol_Source[[#This Row],[Overall turnover]], "n/a" )</f>
        <v>0.40549818348256428</v>
      </c>
      <c r="BX8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14175</v>
      </c>
      <c r="BY80" s="84" vm="6798">
        <v>16819</v>
      </c>
      <c r="BZ80" s="83" vm="6799">
        <v>2644</v>
      </c>
      <c r="CA80" s="83" vm="6800">
        <v>0</v>
      </c>
      <c r="CB80" s="5" vm="6818">
        <f xml:space="preserve"> VfM_Metrics_2023_Consol_Source[[#This Row],[Turnover (overall)]]</f>
        <v>34957</v>
      </c>
      <c r="CC80" s="84" vm="6818">
        <v>34957</v>
      </c>
      <c r="CD80" s="7">
        <f xml:space="preserve"> IFERROR( VfM_Metrics_2023_Consol_Source[[#This Row],[Operating surplus including from JVs]] / VfM_Metrics_2023_Consol_Source[[#This Row],[Net assets]], "n/a" )</f>
        <v>3.9329626182648104E-2</v>
      </c>
      <c r="CE80" s="5">
        <f xml:space="preserve"> SUM( VfM_Metrics_2023_Consol_Source[[#This Row],[Operating surplus/(deficit) (overall)3]], VfM_Metrics_2023_Consol_Source[[#This Row],[Share of operating surplus/(deficit) in joint ventures or associates]] )</f>
        <v>16819</v>
      </c>
      <c r="CF80" s="84" vm="6798">
        <v>16819</v>
      </c>
      <c r="CG80" s="83" vm="6819">
        <v>0</v>
      </c>
      <c r="CH80" s="5" vm="6862">
        <f xml:space="preserve"> VfM_Metrics_2023_Consol_Source[[#This Row],[Total assets less current liabilities]]</f>
        <v>427642</v>
      </c>
      <c r="CI80" s="84" vm="6862">
        <v>427642</v>
      </c>
      <c r="CJ80" s="71" vm="6781">
        <f xml:space="preserve"> VfM_Metrics_2023_Consol_Source[[#This Row],[Total social housing units owned (Period end)]]</f>
        <v>5075</v>
      </c>
      <c r="CK80" s="103">
        <v>0</v>
      </c>
      <c r="CL80" s="6">
        <f xml:space="preserve"> -- ( VfM_Metrics_2023_Consol_Source[[#This Row],[% Supported housing (excl. HOP)]] &gt; 0.3 )</f>
        <v>0</v>
      </c>
      <c r="CM80" s="103">
        <v>0</v>
      </c>
      <c r="CN80" s="6">
        <f xml:space="preserve"> -- ( VfM_Metrics_2023_Consol_Source[[#This Row],[% Housing for older people]] &gt; 0.3 )</f>
        <v>0</v>
      </c>
      <c r="CO80" s="103">
        <f xml:space="preserve"> VfM_Metrics_2023_Consol_Source[[#This Row],[% Supported housing (excl. HOP)]] + VfM_Metrics_2023_Consol_Source[[#This Row],[% Housing for older people]]</f>
        <v>0</v>
      </c>
      <c r="CP80" s="6">
        <f xml:space="preserve"> -- ( VfM_Metrics_2023_Consol_Source[[#This Row],[SH specialist in RSH analysis]] + VfM_Metrics_2023_Consol_Source[[#This Row],[OP specialist in RSH analysis]] &gt; 0 )</f>
        <v>0</v>
      </c>
      <c r="CQ80" s="10">
        <f xml:space="preserve"> -- ( VfM_Metrics_2023_Consol_Source[[#This Row],[% SH and OP]] &gt; 0.3 )</f>
        <v>0</v>
      </c>
      <c r="CR80" s="104" t="s">
        <v>143</v>
      </c>
      <c r="CS80" s="124" t="s">
        <v>144</v>
      </c>
      <c r="CT80" s="105"/>
      <c r="CU8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80" s="85">
        <v>5.1737756714060029E-2</v>
      </c>
      <c r="CW80" s="85">
        <v>0.26599526066350709</v>
      </c>
      <c r="CX80" s="85">
        <v>0.29601105845181674</v>
      </c>
      <c r="CY80" s="85">
        <v>8.0963665086887827E-3</v>
      </c>
      <c r="CZ80" s="85">
        <v>0</v>
      </c>
      <c r="DA80" s="85">
        <v>0.37815955766192733</v>
      </c>
      <c r="DB80" s="85">
        <v>0</v>
      </c>
      <c r="DC80" s="85">
        <v>0</v>
      </c>
      <c r="DD80" s="85">
        <v>0</v>
      </c>
      <c r="DE80" s="13">
        <v>1.0137323645217675</v>
      </c>
    </row>
    <row r="81" spans="1:109" x14ac:dyDescent="0.25">
      <c r="A81" s="4" t="s" vm="313">
        <v>286</v>
      </c>
      <c r="B81" s="2" t="s" vm="71">
        <v>287</v>
      </c>
      <c r="C81" s="72" vm="458">
        <v>45016</v>
      </c>
      <c r="D81" s="7">
        <f>IFERROR( VfM_Metrics_2023_Consol_Source[[#This Row],[Reinvestment Spend]] / VfM_Metrics_2023_Consol_Source[[#This Row],[Net Book Value of Housing Properties]], "n/a" )</f>
        <v>3.6425466693808146E-2</v>
      </c>
      <c r="E8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18252</v>
      </c>
      <c r="F81" s="83" vm="3788">
        <v>8193</v>
      </c>
      <c r="G81" s="83" vm="3789">
        <v>0</v>
      </c>
      <c r="H81" s="83" vm="2936">
        <v>7968</v>
      </c>
      <c r="I81" s="83" vm="3790">
        <v>2091</v>
      </c>
      <c r="J81" s="83" vm="3791">
        <v>0</v>
      </c>
      <c r="K81" s="5">
        <f xml:space="preserve"> SUM( VfM_Metrics_2023_Consol_Source[[#This Row],[Tangible fixed assets: Housing properties at cost (Current period)]],VfM_Metrics_2023_Consol_Source[[#This Row],[Tangible fixed assets Housing properties at valuation (Current period)]] )</f>
        <v>501078</v>
      </c>
      <c r="L81" s="84" vm="7684">
        <v>501078</v>
      </c>
      <c r="M81" s="83" vm="3793">
        <v>0</v>
      </c>
      <c r="N81" s="7">
        <f xml:space="preserve"> IFERROR( VfM_Metrics_2023_Consol_Source[[#This Row],[Total social units developed or newly built units acquired in-year]] / VfM_Metrics_2023_Consol_Source[[#This Row],[Social housing units owned (period end)]], "n/a" )</f>
        <v>5.6293627561360051E-3</v>
      </c>
      <c r="O81" s="5">
        <f xml:space="preserve"> SUM( VfM_Metrics_2023_Consol_Source[[#This Row],[Total social units developed or newly built units acquired in-year (owned)]], VfM_Metrics_2023_Consol_Source[[#This Row],[Total social leasehold units developed or newly built units acquired in-year (owned)]] )</f>
        <v>25</v>
      </c>
      <c r="P81" s="84" vm="3794">
        <v>15</v>
      </c>
      <c r="Q81" s="83" vm="3795">
        <v>10</v>
      </c>
      <c r="R81" s="5">
        <f xml:space="preserve"> SUM( VfM_Metrics_2023_Consol_Source[[#This Row],[Total social housing units owned (Period end)]], VfM_Metrics_2023_Consol_Source[[#This Row],[Total social leasehold units owned (Period end)]] )</f>
        <v>4441</v>
      </c>
      <c r="S81" s="84" vm="3786">
        <v>4313</v>
      </c>
      <c r="T81" s="83" vm="3796">
        <v>128</v>
      </c>
      <c r="U81" s="86">
        <f xml:space="preserve"> IFERROR( VfM_Metrics_2023_Consol_Source[[#This Row],[Total non-social housing units developed or newly built units acquired (owned)]] / VfM_Metrics_2023_Consol_Source[[#This Row],[Total social and non-social housing units owned (Period end)]], "n/a" )</f>
        <v>8.94254415381176E-4</v>
      </c>
      <c r="V8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4</v>
      </c>
      <c r="W81" s="83" vm="3797">
        <v>0</v>
      </c>
      <c r="X81" s="83" vm="3798">
        <v>4</v>
      </c>
      <c r="Y81" s="83" vm="3799">
        <v>0</v>
      </c>
      <c r="Z8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4473</v>
      </c>
      <c r="AA81" s="84" vm="3822">
        <v>4313</v>
      </c>
      <c r="AB81" s="83" vm="3796">
        <v>128</v>
      </c>
      <c r="AC81" s="83" vm="3800">
        <v>0</v>
      </c>
      <c r="AD81" s="83" vm="3801">
        <v>32</v>
      </c>
      <c r="AE81" s="7">
        <f xml:space="preserve"> IFERROR( VfM_Metrics_2023_Consol_Source[[#This Row],[Total Net Debt]] / VfM_Metrics_2023_Consol_Source[[#This Row],[Net Book Value of Housing Properties2]], "n/a" )</f>
        <v>0.47036389544142826</v>
      </c>
      <c r="AF8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235689</v>
      </c>
      <c r="AG81" s="84" vm="3802">
        <v>599</v>
      </c>
      <c r="AH81" s="83" vm="3803">
        <v>306534</v>
      </c>
      <c r="AI81" s="83" vm="3804">
        <v>71444</v>
      </c>
      <c r="AJ81" s="83" vm="7639">
        <v>0</v>
      </c>
      <c r="AK81" s="83" vm="3805">
        <v>0</v>
      </c>
      <c r="AL81" s="5">
        <f xml:space="preserve"> SUM( VfM_Metrics_2023_Consol_Source[[#This Row],[Tangible fixed assets: Housing properties at cost (Current period)2]], VfM_Metrics_2023_Consol_Source[[#This Row],[Tangible fixed assets Housing properties at valuation (Current period)2]] )</f>
        <v>501078</v>
      </c>
      <c r="AM81" s="84" vm="3792">
        <v>501078</v>
      </c>
      <c r="AN81" s="83" vm="3793">
        <v>0</v>
      </c>
      <c r="AO81" s="87">
        <f xml:space="preserve"> IFERROR( VfM_Metrics_2023_Consol_Source[[#This Row],[EBITDA MRI]] / VfM_Metrics_2023_Consol_Source[[#This Row],[Total interest]], "n/a" )</f>
        <v>0.12657474456899118</v>
      </c>
      <c r="AP8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1276</v>
      </c>
      <c r="AQ81" s="84" vm="3806">
        <v>3735</v>
      </c>
      <c r="AR81" s="84" vm="3807">
        <v>1733</v>
      </c>
      <c r="AS81" s="84" vm="3808">
        <v>0</v>
      </c>
      <c r="AT81" s="84" vm="3809">
        <v>1873</v>
      </c>
      <c r="AU81" s="84" vm="3729">
        <v>0</v>
      </c>
      <c r="AV81" s="84" vm="3810">
        <v>370</v>
      </c>
      <c r="AW81" s="84" vm="3811">
        <v>7968</v>
      </c>
      <c r="AX81" s="84" vm="3812">
        <v>8745</v>
      </c>
      <c r="AY81" s="3">
        <f xml:space="preserve"> - SUM( VfM_Metrics_2023_Consol_Source[[#This Row],[Interest capitalised]], VfM_Metrics_2023_Consol_Source[[#This Row],[Interest payable and financing costs]] )</f>
        <v>10081</v>
      </c>
      <c r="AZ81" s="84" vm="7440">
        <v>-2091</v>
      </c>
      <c r="BA81" s="83" vm="3813">
        <v>-7990</v>
      </c>
      <c r="BB81" s="8">
        <f xml:space="preserve"> IFERROR( ( VfM_Metrics_2023_Consol_Source[[#This Row],[Total Costs]] / VfM_Metrics_2023_Consol_Source[[#This Row],[Total units for costs]] ) * 1000, "n/a" )</f>
        <v>6893.5580697298547</v>
      </c>
      <c r="BC8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29856</v>
      </c>
      <c r="BD81" s="84" vm="3814">
        <v>4544</v>
      </c>
      <c r="BE81" s="83" vm="3815">
        <v>2760</v>
      </c>
      <c r="BF81" s="83" vm="3816">
        <v>5563</v>
      </c>
      <c r="BG81" s="83" vm="7444">
        <v>2153</v>
      </c>
      <c r="BH81" s="83" vm="3817">
        <v>3435</v>
      </c>
      <c r="BI81" s="83" vm="3818">
        <v>0</v>
      </c>
      <c r="BJ81" s="83" vm="3811">
        <v>7968</v>
      </c>
      <c r="BK81" s="83" vm="3819">
        <v>469</v>
      </c>
      <c r="BL81" s="83" vm="3820">
        <v>957</v>
      </c>
      <c r="BM81" s="83" vm="7069">
        <v>0</v>
      </c>
      <c r="BN81" s="83" vm="3821">
        <v>1911</v>
      </c>
      <c r="BO81" s="83" vm="3986">
        <v>96</v>
      </c>
      <c r="BP81" s="5" vm="3787">
        <f xml:space="preserve"> VfM_Metrics_2023_Consol_Source[[#This Row],[Total social housing units owned and/or managed at period end]]</f>
        <v>4331</v>
      </c>
      <c r="BQ81" s="84" vm="3787">
        <v>4331</v>
      </c>
      <c r="BR81" s="7">
        <f xml:space="preserve"> IFERROR( VfM_Metrics_2023_Consol_Source[[#This Row],[SHL operating surplus / (deficit)]] / VfM_Metrics_2023_Consol_Source[[#This Row],[Turnover from social housing lettings]], "n/a" )</f>
        <v>0.10398630313994056</v>
      </c>
      <c r="BS81" s="5" vm="3712">
        <f xml:space="preserve"> VfM_Metrics_2023_Consol_Source[[#This Row],[Operating surplus/(deficit) (social housing lettings)]]</f>
        <v>3219</v>
      </c>
      <c r="BT81" s="84" vm="3712">
        <v>3219</v>
      </c>
      <c r="BU81" s="5" vm="3823">
        <f xml:space="preserve"> VfM_Metrics_2023_Consol_Source[[#This Row],[Turnover from social housing lettings]]</f>
        <v>30956</v>
      </c>
      <c r="BV81" s="84" vm="3823">
        <v>30956</v>
      </c>
      <c r="BW81" s="7">
        <f xml:space="preserve"> IFERROR( VfM_Metrics_2023_Consol_Source[[#This Row],[Net operating surplus]] / VfM_Metrics_2023_Consol_Source[[#This Row],[Overall turnover]], "n/a" )</f>
        <v>6.0856613065021124E-2</v>
      </c>
      <c r="BX8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2002</v>
      </c>
      <c r="BY81" s="84" vm="7068">
        <v>3735</v>
      </c>
      <c r="BZ81" s="83" vm="3807">
        <v>1733</v>
      </c>
      <c r="CA81" s="83" vm="3808">
        <v>0</v>
      </c>
      <c r="CB81" s="5" vm="3824">
        <f xml:space="preserve"> VfM_Metrics_2023_Consol_Source[[#This Row],[Turnover (overall)]]</f>
        <v>32897</v>
      </c>
      <c r="CC81" s="84" vm="3824">
        <v>32897</v>
      </c>
      <c r="CD81" s="7">
        <f xml:space="preserve"> IFERROR( VfM_Metrics_2023_Consol_Source[[#This Row],[Operating surplus including from JVs]] / VfM_Metrics_2023_Consol_Source[[#This Row],[Net assets]], "n/a" )</f>
        <v>6.2416026630838029E-3</v>
      </c>
      <c r="CE81" s="5">
        <f xml:space="preserve"> SUM( VfM_Metrics_2023_Consol_Source[[#This Row],[Operating surplus/(deficit) (overall)3]], VfM_Metrics_2023_Consol_Source[[#This Row],[Share of operating surplus/(deficit) in joint ventures or associates]] )</f>
        <v>3735</v>
      </c>
      <c r="CF81" s="84" vm="3806">
        <v>3735</v>
      </c>
      <c r="CG81" s="83" vm="3825">
        <v>0</v>
      </c>
      <c r="CH81" s="5" vm="7637">
        <f xml:space="preserve"> VfM_Metrics_2023_Consol_Source[[#This Row],[Total assets less current liabilities]]</f>
        <v>598404</v>
      </c>
      <c r="CI81" s="84" vm="7637">
        <v>598404</v>
      </c>
      <c r="CJ81" s="71" vm="3786">
        <f xml:space="preserve"> VfM_Metrics_2023_Consol_Source[[#This Row],[Total social housing units owned (Period end)]]</f>
        <v>4313</v>
      </c>
      <c r="CK81" s="103">
        <v>5.5594324261456156E-2</v>
      </c>
      <c r="CL81" s="6">
        <f xml:space="preserve"> -- ( VfM_Metrics_2023_Consol_Source[[#This Row],[% Supported housing (excl. HOP)]] &gt; 0.3 )</f>
        <v>0</v>
      </c>
      <c r="CM81" s="103">
        <v>0</v>
      </c>
      <c r="CN81" s="6">
        <f xml:space="preserve"> -- ( VfM_Metrics_2023_Consol_Source[[#This Row],[% Housing for older people]] &gt; 0.3 )</f>
        <v>0</v>
      </c>
      <c r="CO81" s="103">
        <f xml:space="preserve"> VfM_Metrics_2023_Consol_Source[[#This Row],[% Supported housing (excl. HOP)]] + VfM_Metrics_2023_Consol_Source[[#This Row],[% Housing for older people]]</f>
        <v>5.5594324261456156E-2</v>
      </c>
      <c r="CP81" s="6">
        <f xml:space="preserve"> -- ( VfM_Metrics_2023_Consol_Source[[#This Row],[SH specialist in RSH analysis]] + VfM_Metrics_2023_Consol_Source[[#This Row],[OP specialist in RSH analysis]] &gt; 0 )</f>
        <v>0</v>
      </c>
      <c r="CQ81" s="10">
        <f xml:space="preserve"> -- ( VfM_Metrics_2023_Consol_Source[[#This Row],[% SH and OP]] &gt; 0.3 )</f>
        <v>0</v>
      </c>
      <c r="CR81" s="104" t="s">
        <v>143</v>
      </c>
      <c r="CS81" s="124" t="s">
        <v>144</v>
      </c>
      <c r="CT81" s="105"/>
      <c r="CU8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81" s="85">
        <v>0.99765203099319089</v>
      </c>
      <c r="CW81" s="85">
        <v>2.3479690068091102E-3</v>
      </c>
      <c r="CX81" s="85">
        <v>0</v>
      </c>
      <c r="CY81" s="85">
        <v>0</v>
      </c>
      <c r="CZ81" s="85">
        <v>0</v>
      </c>
      <c r="DA81" s="85">
        <v>0</v>
      </c>
      <c r="DB81" s="85">
        <v>0</v>
      </c>
      <c r="DC81" s="85">
        <v>0</v>
      </c>
      <c r="DD81" s="85">
        <v>0</v>
      </c>
      <c r="DE81" s="13">
        <v>1.1600726571349755</v>
      </c>
    </row>
    <row r="82" spans="1:109" x14ac:dyDescent="0.25">
      <c r="A82" s="4" t="s" vm="349">
        <v>288</v>
      </c>
      <c r="B82" s="2" t="s" vm="72">
        <v>289</v>
      </c>
      <c r="C82" s="72" vm="420">
        <v>45016</v>
      </c>
      <c r="D82" s="7">
        <f>IFERROR( VfM_Metrics_2023_Consol_Source[[#This Row],[Reinvestment Spend]] / VfM_Metrics_2023_Consol_Source[[#This Row],[Net Book Value of Housing Properties]], "n/a" )</f>
        <v>0.11007676260539605</v>
      </c>
      <c r="E8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113658</v>
      </c>
      <c r="F82" s="83" vm="5052">
        <v>106975</v>
      </c>
      <c r="G82" s="83" vm="5053">
        <v>0</v>
      </c>
      <c r="H82" s="83" vm="7268">
        <v>2159</v>
      </c>
      <c r="I82" s="83" vm="5054">
        <v>4524</v>
      </c>
      <c r="J82" s="83" vm="5055">
        <v>0</v>
      </c>
      <c r="K82" s="5">
        <f xml:space="preserve"> SUM( VfM_Metrics_2023_Consol_Source[[#This Row],[Tangible fixed assets: Housing properties at cost (Current period)]],VfM_Metrics_2023_Consol_Source[[#This Row],[Tangible fixed assets Housing properties at valuation (Current period)]] )</f>
        <v>1032534</v>
      </c>
      <c r="L82" s="84" vm="4668">
        <v>1032534</v>
      </c>
      <c r="M82" s="83" vm="7350">
        <v>0</v>
      </c>
      <c r="N82" s="7">
        <f xml:space="preserve"> IFERROR( VfM_Metrics_2023_Consol_Source[[#This Row],[Total social units developed or newly built units acquired in-year]] / VfM_Metrics_2023_Consol_Source[[#This Row],[Social housing units owned (period end)]], "n/a" )</f>
        <v>7.3795600111389581E-2</v>
      </c>
      <c r="O82" s="5">
        <f xml:space="preserve"> SUM( VfM_Metrics_2023_Consol_Source[[#This Row],[Total social units developed or newly built units acquired in-year (owned)]], VfM_Metrics_2023_Consol_Source[[#This Row],[Total social leasehold units developed or newly built units acquired in-year (owned)]] )</f>
        <v>530</v>
      </c>
      <c r="P82" s="84" vm="7261">
        <v>530</v>
      </c>
      <c r="Q82" s="83" vm="5058">
        <v>0</v>
      </c>
      <c r="R82" s="5">
        <f xml:space="preserve"> SUM( VfM_Metrics_2023_Consol_Source[[#This Row],[Total social housing units owned (Period end)]], VfM_Metrics_2023_Consol_Source[[#This Row],[Total social leasehold units owned (Period end)]] )</f>
        <v>7182</v>
      </c>
      <c r="S82" s="84" vm="5050">
        <v>6980</v>
      </c>
      <c r="T82" s="83" vm="5059">
        <v>202</v>
      </c>
      <c r="U82" s="86">
        <f xml:space="preserve"> IFERROR( VfM_Metrics_2023_Consol_Source[[#This Row],[Total non-social housing units developed or newly built units acquired (owned)]] / VfM_Metrics_2023_Consol_Source[[#This Row],[Total social and non-social housing units owned (Period end)]], "n/a" )</f>
        <v>0</v>
      </c>
      <c r="V8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82" s="83" vm="5060">
        <v>0</v>
      </c>
      <c r="X82" s="83" vm="5061">
        <v>0</v>
      </c>
      <c r="Y82" s="83" vm="5062">
        <v>0</v>
      </c>
      <c r="Z8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8141</v>
      </c>
      <c r="AA82" s="84" vm="7260">
        <v>6980</v>
      </c>
      <c r="AB82" s="83" vm="5059">
        <v>202</v>
      </c>
      <c r="AC82" s="83" vm="5063">
        <v>341</v>
      </c>
      <c r="AD82" s="83" vm="5064">
        <v>618</v>
      </c>
      <c r="AE82" s="7">
        <f xml:space="preserve"> IFERROR( VfM_Metrics_2023_Consol_Source[[#This Row],[Total Net Debt]] / VfM_Metrics_2023_Consol_Source[[#This Row],[Net Book Value of Housing Properties2]], "n/a" )</f>
        <v>0.63196853566081113</v>
      </c>
      <c r="AF8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652529</v>
      </c>
      <c r="AG82" s="84" vm="5065">
        <v>4846</v>
      </c>
      <c r="AH82" s="83" vm="5066">
        <v>664501</v>
      </c>
      <c r="AI82" s="83" vm="5067">
        <v>16818</v>
      </c>
      <c r="AJ82" s="83" vm="5068">
        <v>0</v>
      </c>
      <c r="AK82" s="83" vm="5069">
        <v>0</v>
      </c>
      <c r="AL82" s="5">
        <f xml:space="preserve"> SUM( VfM_Metrics_2023_Consol_Source[[#This Row],[Tangible fixed assets: Housing properties at cost (Current period)2]], VfM_Metrics_2023_Consol_Source[[#This Row],[Tangible fixed assets Housing properties at valuation (Current period)2]] )</f>
        <v>1032534</v>
      </c>
      <c r="AM82" s="84" vm="5056">
        <v>1032534</v>
      </c>
      <c r="AN82" s="83" vm="5057">
        <v>0</v>
      </c>
      <c r="AO82" s="87">
        <f xml:space="preserve"> IFERROR( VfM_Metrics_2023_Consol_Source[[#This Row],[EBITDA MRI]] / VfM_Metrics_2023_Consol_Source[[#This Row],[Total interest]], "n/a" )</f>
        <v>1.6787606682036971</v>
      </c>
      <c r="AP8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41504</v>
      </c>
      <c r="AQ82" s="84" vm="5070">
        <v>38356</v>
      </c>
      <c r="AR82" s="84" vm="7197">
        <v>3501</v>
      </c>
      <c r="AS82" s="84" vm="5072">
        <v>0</v>
      </c>
      <c r="AT82" s="84" vm="5073">
        <v>2303</v>
      </c>
      <c r="AU82" s="84" vm="5074">
        <v>0</v>
      </c>
      <c r="AV82" s="84" vm="5075">
        <v>40</v>
      </c>
      <c r="AW82" s="84" vm="5076">
        <v>2159</v>
      </c>
      <c r="AX82" s="84" vm="5077">
        <v>11071</v>
      </c>
      <c r="AY82" s="3">
        <f xml:space="preserve"> - SUM( VfM_Metrics_2023_Consol_Source[[#This Row],[Interest capitalised]], VfM_Metrics_2023_Consol_Source[[#This Row],[Interest payable and financing costs]] )</f>
        <v>24723</v>
      </c>
      <c r="AZ82" s="84" vm="5078">
        <v>-4524</v>
      </c>
      <c r="BA82" s="83" vm="5079">
        <v>-20199</v>
      </c>
      <c r="BB82" s="8">
        <f xml:space="preserve"> IFERROR( ( VfM_Metrics_2023_Consol_Source[[#This Row],[Total Costs]] / VfM_Metrics_2023_Consol_Source[[#This Row],[Total units for costs]] ) * 1000, "n/a" )</f>
        <v>6765.6821378340364</v>
      </c>
      <c r="BC8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48104</v>
      </c>
      <c r="BD82" s="84" vm="5080">
        <v>7942</v>
      </c>
      <c r="BE82" s="83" vm="5081">
        <v>7138</v>
      </c>
      <c r="BF82" s="83" vm="5082">
        <v>6727</v>
      </c>
      <c r="BG82" s="83" vm="5083">
        <v>1022</v>
      </c>
      <c r="BH82" s="83" vm="5084">
        <v>3266</v>
      </c>
      <c r="BI82" s="83" vm="5085">
        <v>121</v>
      </c>
      <c r="BJ82" s="83" vm="5076">
        <v>2159</v>
      </c>
      <c r="BK82" s="83" vm="5086">
        <v>14120</v>
      </c>
      <c r="BL82" s="83" vm="5295">
        <v>0</v>
      </c>
      <c r="BM82" s="83" vm="5087">
        <v>0</v>
      </c>
      <c r="BN82" s="83" vm="5088">
        <v>3956</v>
      </c>
      <c r="BO82" s="83" vm="5089">
        <v>1653</v>
      </c>
      <c r="BP82" s="5" vm="5051">
        <f xml:space="preserve"> VfM_Metrics_2023_Consol_Source[[#This Row],[Total social housing units owned and/or managed at period end]]</f>
        <v>7110</v>
      </c>
      <c r="BQ82" s="84" vm="5051">
        <v>7110</v>
      </c>
      <c r="BR82" s="7">
        <f xml:space="preserve"> IFERROR( VfM_Metrics_2023_Consol_Source[[#This Row],[SHL operating surplus / (deficit)]] / VfM_Metrics_2023_Consol_Source[[#This Row],[Turnover from social housing lettings]], "n/a" )</f>
        <v>0.34278662035446644</v>
      </c>
      <c r="BS82" s="5" vm="5090">
        <f xml:space="preserve"> VfM_Metrics_2023_Consol_Source[[#This Row],[Operating surplus/(deficit) (social housing lettings)]]</f>
        <v>26942</v>
      </c>
      <c r="BT82" s="84" vm="5090">
        <v>26942</v>
      </c>
      <c r="BU82" s="5" vm="5091">
        <f xml:space="preserve"> VfM_Metrics_2023_Consol_Source[[#This Row],[Turnover from social housing lettings]]</f>
        <v>78597</v>
      </c>
      <c r="BV82" s="84" vm="5091">
        <v>78597</v>
      </c>
      <c r="BW82" s="7">
        <f xml:space="preserve"> IFERROR( VfM_Metrics_2023_Consol_Source[[#This Row],[Net operating surplus]] / VfM_Metrics_2023_Consol_Source[[#This Row],[Overall turnover]], "n/a" )</f>
        <v>0.31144450202834317</v>
      </c>
      <c r="BX8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34855</v>
      </c>
      <c r="BY82" s="84" vm="7265">
        <v>38356</v>
      </c>
      <c r="BZ82" s="83" vm="5071">
        <v>3501</v>
      </c>
      <c r="CA82" s="83" vm="5072">
        <v>0</v>
      </c>
      <c r="CB82" s="5" vm="4905">
        <f xml:space="preserve"> VfM_Metrics_2023_Consol_Source[[#This Row],[Turnover (overall)]]</f>
        <v>111914</v>
      </c>
      <c r="CC82" s="84" vm="4905">
        <v>111914</v>
      </c>
      <c r="CD82" s="7">
        <f xml:space="preserve"> IFERROR( VfM_Metrics_2023_Consol_Source[[#This Row],[Operating surplus including from JVs]] / VfM_Metrics_2023_Consol_Source[[#This Row],[Net assets]], "n/a" )</f>
        <v>3.599528521449271E-2</v>
      </c>
      <c r="CE82" s="5">
        <f xml:space="preserve"> SUM( VfM_Metrics_2023_Consol_Source[[#This Row],[Operating surplus/(deficit) (overall)3]], VfM_Metrics_2023_Consol_Source[[#This Row],[Share of operating surplus/(deficit) in joint ventures or associates]] )</f>
        <v>38356</v>
      </c>
      <c r="CF82" s="84" vm="7196">
        <v>38356</v>
      </c>
      <c r="CG82" s="83" vm="5093">
        <v>0</v>
      </c>
      <c r="CH82" s="5" vm="5092">
        <f xml:space="preserve"> VfM_Metrics_2023_Consol_Source[[#This Row],[Total assets less current liabilities]]</f>
        <v>1065584</v>
      </c>
      <c r="CI82" s="84" vm="5092">
        <v>1065584</v>
      </c>
      <c r="CJ82" s="71" vm="5050">
        <f xml:space="preserve"> VfM_Metrics_2023_Consol_Source[[#This Row],[Total social housing units owned (Period end)]]</f>
        <v>6980</v>
      </c>
      <c r="CK82" s="103">
        <v>5.5989946942194918E-2</v>
      </c>
      <c r="CL82" s="6">
        <f xml:space="preserve"> -- ( VfM_Metrics_2023_Consol_Source[[#This Row],[% Supported housing (excl. HOP)]] &gt; 0.3 )</f>
        <v>0</v>
      </c>
      <c r="CM82" s="103">
        <v>1.1309690030717677E-2</v>
      </c>
      <c r="CN82" s="6">
        <f xml:space="preserve"> -- ( VfM_Metrics_2023_Consol_Source[[#This Row],[% Housing for older people]] &gt; 0.3 )</f>
        <v>0</v>
      </c>
      <c r="CO82" s="103">
        <f xml:space="preserve"> VfM_Metrics_2023_Consol_Source[[#This Row],[% Supported housing (excl. HOP)]] + VfM_Metrics_2023_Consol_Source[[#This Row],[% Housing for older people]]</f>
        <v>6.7299636972912594E-2</v>
      </c>
      <c r="CP82" s="6">
        <f xml:space="preserve"> -- ( VfM_Metrics_2023_Consol_Source[[#This Row],[SH specialist in RSH analysis]] + VfM_Metrics_2023_Consol_Source[[#This Row],[OP specialist in RSH analysis]] &gt; 0 )</f>
        <v>0</v>
      </c>
      <c r="CQ82" s="10">
        <f xml:space="preserve"> -- ( VfM_Metrics_2023_Consol_Source[[#This Row],[% SH and OP]] &gt; 0.3 )</f>
        <v>0</v>
      </c>
      <c r="CR82" s="104" t="s">
        <v>143</v>
      </c>
      <c r="CS82" s="124" t="s">
        <v>144</v>
      </c>
      <c r="CT82" s="105"/>
      <c r="CU8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82" s="85">
        <v>0</v>
      </c>
      <c r="CW82" s="85">
        <v>0.22642551428965899</v>
      </c>
      <c r="CX82" s="85">
        <v>0</v>
      </c>
      <c r="CY82" s="85">
        <v>0</v>
      </c>
      <c r="CZ82" s="85">
        <v>0</v>
      </c>
      <c r="DA82" s="85">
        <v>0.77357448571034104</v>
      </c>
      <c r="DB82" s="85">
        <v>0</v>
      </c>
      <c r="DC82" s="85">
        <v>0</v>
      </c>
      <c r="DD82" s="85">
        <v>0</v>
      </c>
      <c r="DE82" s="13">
        <v>1.0164290256519286</v>
      </c>
    </row>
    <row r="83" spans="1:109" x14ac:dyDescent="0.25">
      <c r="A83" s="4" t="s" vm="243">
        <v>290</v>
      </c>
      <c r="B83" s="2" t="s" vm="73">
        <v>291</v>
      </c>
      <c r="C83" s="72" vm="479">
        <v>45016</v>
      </c>
      <c r="D83" s="7">
        <f>IFERROR( VfM_Metrics_2023_Consol_Source[[#This Row],[Reinvestment Spend]] / VfM_Metrics_2023_Consol_Source[[#This Row],[Net Book Value of Housing Properties]], "n/a" )</f>
        <v>5.9697279518802812E-2</v>
      </c>
      <c r="E8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162846</v>
      </c>
      <c r="F83" s="83" vm="1551">
        <v>112891</v>
      </c>
      <c r="G83" s="83" vm="8260">
        <v>0</v>
      </c>
      <c r="H83" s="83" vm="1552">
        <v>45695</v>
      </c>
      <c r="I83" s="83" vm="8351">
        <v>4260</v>
      </c>
      <c r="J83" s="83" vm="8230">
        <v>0</v>
      </c>
      <c r="K83" s="5">
        <f xml:space="preserve"> SUM( VfM_Metrics_2023_Consol_Source[[#This Row],[Tangible fixed assets: Housing properties at cost (Current period)]],VfM_Metrics_2023_Consol_Source[[#This Row],[Tangible fixed assets Housing properties at valuation (Current period)]] )</f>
        <v>2727863</v>
      </c>
      <c r="L83" s="84" vm="1554">
        <v>2727863</v>
      </c>
      <c r="M83" s="83" vm="1555">
        <v>0</v>
      </c>
      <c r="N83" s="7">
        <f xml:space="preserve"> IFERROR( VfM_Metrics_2023_Consol_Source[[#This Row],[Total social units developed or newly built units acquired in-year]] / VfM_Metrics_2023_Consol_Source[[#This Row],[Social housing units owned (period end)]], "n/a" )</f>
        <v>1.3626398548533415E-2</v>
      </c>
      <c r="O83" s="5">
        <f xml:space="preserve"> SUM( VfM_Metrics_2023_Consol_Source[[#This Row],[Total social units developed or newly built units acquired in-year (owned)]], VfM_Metrics_2023_Consol_Source[[#This Row],[Total social leasehold units developed or newly built units acquired in-year (owned)]] )</f>
        <v>721</v>
      </c>
      <c r="P83" s="84" vm="1556">
        <v>721</v>
      </c>
      <c r="Q83" s="83" vm="8291">
        <v>0</v>
      </c>
      <c r="R83" s="5">
        <f xml:space="preserve"> SUM( VfM_Metrics_2023_Consol_Source[[#This Row],[Total social housing units owned (Period end)]], VfM_Metrics_2023_Consol_Source[[#This Row],[Total social leasehold units owned (Period end)]] )</f>
        <v>52912</v>
      </c>
      <c r="S83" s="84" vm="1549">
        <v>50973</v>
      </c>
      <c r="T83" s="83" vm="1557">
        <v>1939</v>
      </c>
      <c r="U83" s="86">
        <f xml:space="preserve"> IFERROR( VfM_Metrics_2023_Consol_Source[[#This Row],[Total non-social housing units developed or newly built units acquired (owned)]] / VfM_Metrics_2023_Consol_Source[[#This Row],[Total social and non-social housing units owned (Period end)]], "n/a" )</f>
        <v>4.4371287483002935E-3</v>
      </c>
      <c r="V8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248</v>
      </c>
      <c r="W83" s="83" vm="1558">
        <v>0</v>
      </c>
      <c r="X83" s="83" vm="1559">
        <v>91</v>
      </c>
      <c r="Y83" s="83" vm="1988">
        <v>157</v>
      </c>
      <c r="Z8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55892</v>
      </c>
      <c r="AA83" s="84" vm="1549">
        <v>50973</v>
      </c>
      <c r="AB83" s="83" vm="1557">
        <v>1939</v>
      </c>
      <c r="AC83" s="83" vm="8258">
        <v>419</v>
      </c>
      <c r="AD83" s="83" vm="1429">
        <v>2561</v>
      </c>
      <c r="AE83" s="7">
        <f xml:space="preserve"> IFERROR( VfM_Metrics_2023_Consol_Source[[#This Row],[Total Net Debt]] / VfM_Metrics_2023_Consol_Source[[#This Row],[Net Book Value of Housing Properties2]], "n/a" )</f>
        <v>0.42162014734610936</v>
      </c>
      <c r="AF8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1150122</v>
      </c>
      <c r="AG83" s="84" vm="1560">
        <v>18273</v>
      </c>
      <c r="AH83" s="83" vm="1561">
        <v>1180071</v>
      </c>
      <c r="AI83" s="83" vm="1307">
        <v>48222</v>
      </c>
      <c r="AJ83" s="83" vm="1562">
        <v>0</v>
      </c>
      <c r="AK83" s="83" vm="1563">
        <v>0</v>
      </c>
      <c r="AL83" s="5">
        <f xml:space="preserve"> SUM( VfM_Metrics_2023_Consol_Source[[#This Row],[Tangible fixed assets: Housing properties at cost (Current period)2]], VfM_Metrics_2023_Consol_Source[[#This Row],[Tangible fixed assets Housing properties at valuation (Current period)2]] )</f>
        <v>2727863</v>
      </c>
      <c r="AM83" s="84" vm="1329">
        <v>2727863</v>
      </c>
      <c r="AN83" s="83" vm="1639">
        <v>0</v>
      </c>
      <c r="AO83" s="87">
        <f xml:space="preserve"> IFERROR( VfM_Metrics_2023_Consol_Source[[#This Row],[EBITDA MRI]] / VfM_Metrics_2023_Consol_Source[[#This Row],[Total interest]], "n/a" )</f>
        <v>0.974587500680692</v>
      </c>
      <c r="AP8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53691</v>
      </c>
      <c r="AQ83" s="84" vm="1356">
        <v>68631</v>
      </c>
      <c r="AR83" s="84" vm="1565">
        <v>19412</v>
      </c>
      <c r="AS83" s="84" vm="1566">
        <v>0</v>
      </c>
      <c r="AT83" s="84" vm="1232">
        <v>9212</v>
      </c>
      <c r="AU83" s="84" vm="1567">
        <v>390</v>
      </c>
      <c r="AV83" s="84" vm="1568">
        <v>2830</v>
      </c>
      <c r="AW83" s="84" vm="1569">
        <v>45695</v>
      </c>
      <c r="AX83" s="84" vm="1570">
        <v>56939</v>
      </c>
      <c r="AY83" s="3">
        <f xml:space="preserve"> - SUM( VfM_Metrics_2023_Consol_Source[[#This Row],[Interest capitalised]], VfM_Metrics_2023_Consol_Source[[#This Row],[Interest payable and financing costs]] )</f>
        <v>55091</v>
      </c>
      <c r="AZ83" s="84" vm="1126">
        <v>-6169</v>
      </c>
      <c r="BA83" s="83" vm="8242">
        <v>-48922</v>
      </c>
      <c r="BB83" s="8">
        <f xml:space="preserve"> IFERROR( ( VfM_Metrics_2023_Consol_Source[[#This Row],[Total Costs]] / VfM_Metrics_2023_Consol_Source[[#This Row],[Total units for costs]] ) * 1000, "n/a" )</f>
        <v>6153.0456852791876</v>
      </c>
      <c r="BC8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315159</v>
      </c>
      <c r="BD83" s="84" vm="1823">
        <v>60687</v>
      </c>
      <c r="BE83" s="83" vm="1571">
        <v>38580</v>
      </c>
      <c r="BF83" s="83" vm="8270">
        <v>62922</v>
      </c>
      <c r="BG83" s="83" vm="8308">
        <v>24674</v>
      </c>
      <c r="BH83" s="83" vm="1572">
        <v>18729</v>
      </c>
      <c r="BI83" s="83" vm="1573">
        <v>2463</v>
      </c>
      <c r="BJ83" s="83" vm="8238">
        <v>45695</v>
      </c>
      <c r="BK83" s="83" vm="8201">
        <v>15</v>
      </c>
      <c r="BL83" s="83" vm="1574">
        <v>5052</v>
      </c>
      <c r="BM83" s="83" vm="8441">
        <v>3345</v>
      </c>
      <c r="BN83" s="83" vm="1575">
        <v>8265</v>
      </c>
      <c r="BO83" s="83" vm="8325">
        <v>44732</v>
      </c>
      <c r="BP83" s="5" vm="1550">
        <f xml:space="preserve"> VfM_Metrics_2023_Consol_Source[[#This Row],[Total social housing units owned and/or managed at period end]]</f>
        <v>51220</v>
      </c>
      <c r="BQ83" s="84" vm="1550">
        <v>51220</v>
      </c>
      <c r="BR83" s="7">
        <f xml:space="preserve"> IFERROR( VfM_Metrics_2023_Consol_Source[[#This Row],[SHL operating surplus / (deficit)]] / VfM_Metrics_2023_Consol_Source[[#This Row],[Turnover from social housing lettings]], "n/a" )</f>
        <v>0.17749846523763238</v>
      </c>
      <c r="BS83" s="5" vm="8304">
        <f xml:space="preserve"> VfM_Metrics_2023_Consol_Source[[#This Row],[Operating surplus/(deficit) (social housing lettings)]]</f>
        <v>55513</v>
      </c>
      <c r="BT83" s="84" vm="8304">
        <v>55513</v>
      </c>
      <c r="BU83" s="5" vm="8228">
        <f xml:space="preserve"> VfM_Metrics_2023_Consol_Source[[#This Row],[Turnover from social housing lettings]]</f>
        <v>312752</v>
      </c>
      <c r="BV83" s="84" vm="8228">
        <v>312752</v>
      </c>
      <c r="BW83" s="7">
        <f xml:space="preserve"> IFERROR( VfM_Metrics_2023_Consol_Source[[#This Row],[Net operating surplus]] / VfM_Metrics_2023_Consol_Source[[#This Row],[Overall turnover]], "n/a" )</f>
        <v>0.10686053353191878</v>
      </c>
      <c r="BX8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49219</v>
      </c>
      <c r="BY83" s="84" vm="1564">
        <v>68631</v>
      </c>
      <c r="BZ83" s="83" vm="2642">
        <v>19412</v>
      </c>
      <c r="CA83" s="83" vm="1588">
        <v>0</v>
      </c>
      <c r="CB83" s="5" vm="8307">
        <f xml:space="preserve"> VfM_Metrics_2023_Consol_Source[[#This Row],[Turnover (overall)]]</f>
        <v>460591</v>
      </c>
      <c r="CC83" s="84" vm="8307">
        <v>460591</v>
      </c>
      <c r="CD83" s="7">
        <f xml:space="preserve"> IFERROR( VfM_Metrics_2023_Consol_Source[[#This Row],[Operating surplus including from JVs]] / VfM_Metrics_2023_Consol_Source[[#This Row],[Net assets]], "n/a" )</f>
        <v>2.459705238925658E-2</v>
      </c>
      <c r="CE83" s="5">
        <f xml:space="preserve"> SUM( VfM_Metrics_2023_Consol_Source[[#This Row],[Operating surplus/(deficit) (overall)3]], VfM_Metrics_2023_Consol_Source[[#This Row],[Share of operating surplus/(deficit) in joint ventures or associates]] )</f>
        <v>70947</v>
      </c>
      <c r="CF83" s="84" vm="1564">
        <v>68631</v>
      </c>
      <c r="CG83" s="83" vm="1132">
        <v>2316</v>
      </c>
      <c r="CH83" s="5" vm="8196">
        <f xml:space="preserve"> VfM_Metrics_2023_Consol_Source[[#This Row],[Total assets less current liabilities]]</f>
        <v>2884370</v>
      </c>
      <c r="CI83" s="84" vm="8196">
        <v>2884370</v>
      </c>
      <c r="CJ83" s="71" vm="1549">
        <f xml:space="preserve"> VfM_Metrics_2023_Consol_Source[[#This Row],[Total social housing units owned (Period end)]]</f>
        <v>50973</v>
      </c>
      <c r="CK83" s="103">
        <v>8.3588584465240076E-2</v>
      </c>
      <c r="CL83" s="6">
        <f xml:space="preserve"> -- ( VfM_Metrics_2023_Consol_Source[[#This Row],[% Supported housing (excl. HOP)]] &gt; 0.3 )</f>
        <v>0</v>
      </c>
      <c r="CM83" s="103">
        <v>3.2615813599780309E-2</v>
      </c>
      <c r="CN83" s="6">
        <f xml:space="preserve"> -- ( VfM_Metrics_2023_Consol_Source[[#This Row],[% Housing for older people]] &gt; 0.3 )</f>
        <v>0</v>
      </c>
      <c r="CO83" s="103">
        <f xml:space="preserve"> VfM_Metrics_2023_Consol_Source[[#This Row],[% Supported housing (excl. HOP)]] + VfM_Metrics_2023_Consol_Source[[#This Row],[% Housing for older people]]</f>
        <v>0.11620439806502039</v>
      </c>
      <c r="CP83" s="6">
        <f xml:space="preserve"> -- ( VfM_Metrics_2023_Consol_Source[[#This Row],[SH specialist in RSH analysis]] + VfM_Metrics_2023_Consol_Source[[#This Row],[OP specialist in RSH analysis]] &gt; 0 )</f>
        <v>0</v>
      </c>
      <c r="CQ83" s="10">
        <f xml:space="preserve"> -- ( VfM_Metrics_2023_Consol_Source[[#This Row],[% SH and OP]] &gt; 0.3 )</f>
        <v>0</v>
      </c>
      <c r="CR83" s="104" t="s">
        <v>143</v>
      </c>
      <c r="CS83" s="124" t="s">
        <v>144</v>
      </c>
      <c r="CT83" s="105"/>
      <c r="CU8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83" s="85">
        <v>8.0234791889007465E-2</v>
      </c>
      <c r="CW83" s="85">
        <v>0.14029882604055496</v>
      </c>
      <c r="CX83" s="85">
        <v>1.1718249733191036E-2</v>
      </c>
      <c r="CY83" s="85">
        <v>2.3991462113127002E-2</v>
      </c>
      <c r="CZ83" s="85">
        <v>4.6744930629669156E-3</v>
      </c>
      <c r="DA83" s="85">
        <v>0.10542155816435432</v>
      </c>
      <c r="DB83" s="85">
        <v>0.31054429028815367</v>
      </c>
      <c r="DC83" s="85">
        <v>0.2087086446104589</v>
      </c>
      <c r="DD83" s="85">
        <v>0.11440768409818571</v>
      </c>
      <c r="DE83" s="13">
        <v>0.97346756993378458</v>
      </c>
    </row>
    <row r="84" spans="1:109" x14ac:dyDescent="0.25">
      <c r="A84" s="4" t="s" vm="315">
        <v>292</v>
      </c>
      <c r="B84" s="2" t="s" vm="74">
        <v>293</v>
      </c>
      <c r="C84" s="72" vm="588">
        <v>45016</v>
      </c>
      <c r="D84" s="7">
        <f>IFERROR( VfM_Metrics_2023_Consol_Source[[#This Row],[Reinvestment Spend]] / VfM_Metrics_2023_Consol_Source[[#This Row],[Net Book Value of Housing Properties]], "n/a" )</f>
        <v>2.727839845743776E-2</v>
      </c>
      <c r="E8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4329</v>
      </c>
      <c r="F84" s="83" vm="3859">
        <v>2950</v>
      </c>
      <c r="G84" s="83" vm="3860">
        <v>0</v>
      </c>
      <c r="H84" s="83" vm="3861">
        <v>1144</v>
      </c>
      <c r="I84" s="83" vm="3862">
        <v>235</v>
      </c>
      <c r="J84" s="83" vm="3863">
        <v>0</v>
      </c>
      <c r="K84" s="5">
        <f xml:space="preserve"> SUM( VfM_Metrics_2023_Consol_Source[[#This Row],[Tangible fixed assets: Housing properties at cost (Current period)]],VfM_Metrics_2023_Consol_Source[[#This Row],[Tangible fixed assets Housing properties at valuation (Current period)]] )</f>
        <v>158697</v>
      </c>
      <c r="L84" s="84" vm="3864">
        <v>158697</v>
      </c>
      <c r="M84" s="83" vm="3865">
        <v>0</v>
      </c>
      <c r="N84" s="7">
        <f xml:space="preserve"> IFERROR( VfM_Metrics_2023_Consol_Source[[#This Row],[Total social units developed or newly built units acquired in-year]] / VfM_Metrics_2023_Consol_Source[[#This Row],[Social housing units owned (period end)]], "n/a" )</f>
        <v>6.9532237673830596E-3</v>
      </c>
      <c r="O84" s="5">
        <f xml:space="preserve"> SUM( VfM_Metrics_2023_Consol_Source[[#This Row],[Total social units developed or newly built units acquired in-year (owned)]], VfM_Metrics_2023_Consol_Source[[#This Row],[Total social leasehold units developed or newly built units acquired in-year (owned)]] )</f>
        <v>22</v>
      </c>
      <c r="P84" s="84" vm="3866">
        <v>22</v>
      </c>
      <c r="Q84" s="83">
        <v>0</v>
      </c>
      <c r="R84" s="5">
        <f xml:space="preserve"> SUM( VfM_Metrics_2023_Consol_Source[[#This Row],[Total social housing units owned (Period end)]], VfM_Metrics_2023_Consol_Source[[#This Row],[Total social leasehold units owned (Period end)]] )</f>
        <v>3164</v>
      </c>
      <c r="S84" s="84" vm="3857">
        <v>3121</v>
      </c>
      <c r="T84" s="83" vm="3867">
        <v>43</v>
      </c>
      <c r="U84" s="86">
        <f xml:space="preserve"> IFERROR( VfM_Metrics_2023_Consol_Source[[#This Row],[Total non-social housing units developed or newly built units acquired (owned)]] / VfM_Metrics_2023_Consol_Source[[#This Row],[Total social and non-social housing units owned (Period end)]], "n/a" )</f>
        <v>0</v>
      </c>
      <c r="V8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84" s="83" vm="3868">
        <v>0</v>
      </c>
      <c r="X84" s="83">
        <v>0</v>
      </c>
      <c r="Y84" s="83" vm="3869">
        <v>0</v>
      </c>
      <c r="Z8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3219</v>
      </c>
      <c r="AA84" s="84" vm="7445">
        <v>3121</v>
      </c>
      <c r="AB84" s="83" vm="3867">
        <v>43</v>
      </c>
      <c r="AC84" s="83" vm="7589">
        <v>55</v>
      </c>
      <c r="AD84" s="83" vm="3870">
        <v>0</v>
      </c>
      <c r="AE84" s="7">
        <f xml:space="preserve"> IFERROR( VfM_Metrics_2023_Consol_Source[[#This Row],[Total Net Debt]] / VfM_Metrics_2023_Consol_Source[[#This Row],[Net Book Value of Housing Properties2]], "n/a" )</f>
        <v>0.45286930439768869</v>
      </c>
      <c r="AF8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71869</v>
      </c>
      <c r="AG84" s="84" vm="3871">
        <v>4494</v>
      </c>
      <c r="AH84" s="83" vm="3872">
        <v>73047</v>
      </c>
      <c r="AI84" s="83" vm="3873">
        <v>5672</v>
      </c>
      <c r="AJ84" s="83" vm="3874">
        <v>0</v>
      </c>
      <c r="AK84" s="83" vm="3875">
        <v>0</v>
      </c>
      <c r="AL84" s="5">
        <f xml:space="preserve"> SUM( VfM_Metrics_2023_Consol_Source[[#This Row],[Tangible fixed assets: Housing properties at cost (Current period)2]], VfM_Metrics_2023_Consol_Source[[#This Row],[Tangible fixed assets Housing properties at valuation (Current period)2]] )</f>
        <v>158697</v>
      </c>
      <c r="AM84" s="84" vm="3864">
        <v>158697</v>
      </c>
      <c r="AN84" s="83" vm="3865">
        <v>0</v>
      </c>
      <c r="AO84" s="87">
        <f xml:space="preserve"> IFERROR( VfM_Metrics_2023_Consol_Source[[#This Row],[EBITDA MRI]] / VfM_Metrics_2023_Consol_Source[[#This Row],[Total interest]], "n/a" )</f>
        <v>1.1376916401504193</v>
      </c>
      <c r="AP8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3933</v>
      </c>
      <c r="AQ84" s="84" vm="3876">
        <v>3074</v>
      </c>
      <c r="AR84" s="84" vm="3877">
        <v>461</v>
      </c>
      <c r="AS84" s="84" vm="3878">
        <v>0</v>
      </c>
      <c r="AT84" s="84" vm="3879">
        <v>1028</v>
      </c>
      <c r="AU84" s="84" vm="3880">
        <v>0</v>
      </c>
      <c r="AV84" s="84" vm="3881">
        <v>29</v>
      </c>
      <c r="AW84" s="84" vm="3882">
        <v>1144</v>
      </c>
      <c r="AX84" s="84" vm="3883">
        <v>3463</v>
      </c>
      <c r="AY84" s="3">
        <f xml:space="preserve"> - SUM( VfM_Metrics_2023_Consol_Source[[#This Row],[Interest capitalised]], VfM_Metrics_2023_Consol_Source[[#This Row],[Interest payable and financing costs]] )</f>
        <v>3457</v>
      </c>
      <c r="AZ84" s="84" vm="3884">
        <v>-235</v>
      </c>
      <c r="BA84" s="83" vm="3885">
        <v>-3222</v>
      </c>
      <c r="BB84" s="8">
        <f xml:space="preserve"> IFERROR( ( VfM_Metrics_2023_Consol_Source[[#This Row],[Total Costs]] / VfM_Metrics_2023_Consol_Source[[#This Row],[Total units for costs]] ) * 1000, "n/a" )</f>
        <v>6214.090494989372</v>
      </c>
      <c r="BC8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20463</v>
      </c>
      <c r="BD84" s="84" vm="3814">
        <v>3238</v>
      </c>
      <c r="BE84" s="83" vm="3886">
        <v>2669</v>
      </c>
      <c r="BF84" s="83" vm="3887">
        <v>3311</v>
      </c>
      <c r="BG84" s="83" vm="3888">
        <v>670</v>
      </c>
      <c r="BH84" s="83" vm="3889">
        <v>1161</v>
      </c>
      <c r="BI84" s="83" vm="3890">
        <v>0</v>
      </c>
      <c r="BJ84" s="83" vm="3882">
        <v>1144</v>
      </c>
      <c r="BK84" s="83" vm="4211">
        <v>8</v>
      </c>
      <c r="BL84" s="83" vm="3891">
        <v>56</v>
      </c>
      <c r="BM84" s="83" vm="3892">
        <v>95</v>
      </c>
      <c r="BN84" s="83" vm="3893">
        <v>0</v>
      </c>
      <c r="BO84" s="83" vm="3894">
        <v>8111</v>
      </c>
      <c r="BP84" s="5" vm="3858">
        <f xml:space="preserve"> VfM_Metrics_2023_Consol_Source[[#This Row],[Total social housing units owned and/or managed at period end]]</f>
        <v>3293</v>
      </c>
      <c r="BQ84" s="84" vm="3858">
        <v>3293</v>
      </c>
      <c r="BR84" s="7">
        <f xml:space="preserve"> IFERROR( VfM_Metrics_2023_Consol_Source[[#This Row],[SHL operating surplus / (deficit)]] / VfM_Metrics_2023_Consol_Source[[#This Row],[Turnover from social housing lettings]], "n/a" )</f>
        <v>0.12231131475117729</v>
      </c>
      <c r="BS84" s="5" vm="3895">
        <f xml:space="preserve"> VfM_Metrics_2023_Consol_Source[[#This Row],[Operating surplus/(deficit) (social housing lettings)]]</f>
        <v>1922</v>
      </c>
      <c r="BT84" s="84" vm="3895">
        <v>1922</v>
      </c>
      <c r="BU84" s="5" vm="3896">
        <f xml:space="preserve"> VfM_Metrics_2023_Consol_Source[[#This Row],[Turnover from social housing lettings]]</f>
        <v>15714</v>
      </c>
      <c r="BV84" s="84" vm="3896">
        <v>15714</v>
      </c>
      <c r="BW84" s="7">
        <f xml:space="preserve"> IFERROR( VfM_Metrics_2023_Consol_Source[[#This Row],[Net operating surplus]] / VfM_Metrics_2023_Consol_Source[[#This Row],[Overall turnover]], "n/a" )</f>
        <v>9.7394610309739463E-2</v>
      </c>
      <c r="BX8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2613</v>
      </c>
      <c r="BY84" s="84" vm="3876">
        <v>3074</v>
      </c>
      <c r="BZ84" s="83" vm="3877">
        <v>461</v>
      </c>
      <c r="CA84" s="83" vm="3878">
        <v>0</v>
      </c>
      <c r="CB84" s="5" vm="4165">
        <f xml:space="preserve"> VfM_Metrics_2023_Consol_Source[[#This Row],[Turnover (overall)]]</f>
        <v>26829</v>
      </c>
      <c r="CC84" s="84" vm="4165">
        <v>26829</v>
      </c>
      <c r="CD84" s="7">
        <f xml:space="preserve"> IFERROR( VfM_Metrics_2023_Consol_Source[[#This Row],[Operating surplus including from JVs]] / VfM_Metrics_2023_Consol_Source[[#This Row],[Net assets]], "n/a" )</f>
        <v>1.8531133389196E-2</v>
      </c>
      <c r="CE84" s="5">
        <f xml:space="preserve"> SUM( VfM_Metrics_2023_Consol_Source[[#This Row],[Operating surplus/(deficit) (overall)3]], VfM_Metrics_2023_Consol_Source[[#This Row],[Share of operating surplus/(deficit) in joint ventures or associates]] )</f>
        <v>3074</v>
      </c>
      <c r="CF84" s="84" vm="7301">
        <v>3074</v>
      </c>
      <c r="CG84" s="83" vm="3898">
        <v>0</v>
      </c>
      <c r="CH84" s="5" vm="3897">
        <f xml:space="preserve"> VfM_Metrics_2023_Consol_Source[[#This Row],[Total assets less current liabilities]]</f>
        <v>165883</v>
      </c>
      <c r="CI84" s="84" vm="3897">
        <v>165883</v>
      </c>
      <c r="CJ84" s="71" vm="3857">
        <f xml:space="preserve"> VfM_Metrics_2023_Consol_Source[[#This Row],[Total social housing units owned (Period end)]]</f>
        <v>3121</v>
      </c>
      <c r="CK84" s="103">
        <v>4.6804389928986445E-2</v>
      </c>
      <c r="CL84" s="6">
        <f xml:space="preserve"> -- ( VfM_Metrics_2023_Consol_Source[[#This Row],[% Supported housing (excl. HOP)]] &gt; 0.3 )</f>
        <v>0</v>
      </c>
      <c r="CM84" s="103">
        <v>0.14138153647514526</v>
      </c>
      <c r="CN84" s="6">
        <f xml:space="preserve"> -- ( VfM_Metrics_2023_Consol_Source[[#This Row],[% Housing for older people]] &gt; 0.3 )</f>
        <v>0</v>
      </c>
      <c r="CO84" s="103">
        <f xml:space="preserve"> VfM_Metrics_2023_Consol_Source[[#This Row],[% Supported housing (excl. HOP)]] + VfM_Metrics_2023_Consol_Source[[#This Row],[% Housing for older people]]</f>
        <v>0.1881859264041317</v>
      </c>
      <c r="CP84" s="6">
        <f xml:space="preserve"> -- ( VfM_Metrics_2023_Consol_Source[[#This Row],[SH specialist in RSH analysis]] + VfM_Metrics_2023_Consol_Source[[#This Row],[OP specialist in RSH analysis]] &gt; 0 )</f>
        <v>0</v>
      </c>
      <c r="CQ84" s="10">
        <f xml:space="preserve"> -- ( VfM_Metrics_2023_Consol_Source[[#This Row],[% SH and OP]] &gt; 0.3 )</f>
        <v>0</v>
      </c>
      <c r="CR84" s="104" t="s">
        <v>143</v>
      </c>
      <c r="CS84" s="124" t="s">
        <v>144</v>
      </c>
      <c r="CT84" s="105"/>
      <c r="CU8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84" s="85">
        <v>0</v>
      </c>
      <c r="CW84" s="85">
        <v>0</v>
      </c>
      <c r="CX84" s="85">
        <v>0</v>
      </c>
      <c r="CY84" s="85">
        <v>0</v>
      </c>
      <c r="CZ84" s="85">
        <v>0.96701502286087526</v>
      </c>
      <c r="DA84" s="85">
        <v>0</v>
      </c>
      <c r="DB84" s="85">
        <v>0</v>
      </c>
      <c r="DC84" s="85">
        <v>3.2984977139124752E-2</v>
      </c>
      <c r="DD84" s="85">
        <v>0</v>
      </c>
      <c r="DE84" s="13">
        <v>0.96447385804062036</v>
      </c>
    </row>
    <row r="85" spans="1:109" x14ac:dyDescent="0.25">
      <c r="A85" s="4" t="s" vm="268">
        <v>294</v>
      </c>
      <c r="B85" s="2" t="s" vm="75">
        <v>295</v>
      </c>
      <c r="C85" s="72" vm="516">
        <v>45016</v>
      </c>
      <c r="D85" s="7">
        <f>IFERROR( VfM_Metrics_2023_Consol_Source[[#This Row],[Reinvestment Spend]] / VfM_Metrics_2023_Consol_Source[[#This Row],[Net Book Value of Housing Properties]], "n/a" )</f>
        <v>5.3293284972170944E-2</v>
      </c>
      <c r="E8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76419</v>
      </c>
      <c r="F85" s="83" vm="1679">
        <v>45658</v>
      </c>
      <c r="G85" s="83" vm="2281">
        <v>0</v>
      </c>
      <c r="H85" s="83" vm="2282">
        <v>30301</v>
      </c>
      <c r="I85" s="83" vm="2283">
        <v>460</v>
      </c>
      <c r="J85" s="83" vm="2284">
        <v>0</v>
      </c>
      <c r="K85" s="5">
        <f xml:space="preserve"> SUM( VfM_Metrics_2023_Consol_Source[[#This Row],[Tangible fixed assets: Housing properties at cost (Current period)]],VfM_Metrics_2023_Consol_Source[[#This Row],[Tangible fixed assets Housing properties at valuation (Current period)]] )</f>
        <v>1433933</v>
      </c>
      <c r="L85" s="84" vm="7817">
        <v>1433933</v>
      </c>
      <c r="M85" s="83">
        <v>0</v>
      </c>
      <c r="N85" s="7">
        <f xml:space="preserve"> IFERROR( VfM_Metrics_2023_Consol_Source[[#This Row],[Total social units developed or newly built units acquired in-year]] / VfM_Metrics_2023_Consol_Source[[#This Row],[Social housing units owned (period end)]], "n/a" )</f>
        <v>1.4027764294728667E-2</v>
      </c>
      <c r="O85" s="5">
        <f xml:space="preserve"> SUM( VfM_Metrics_2023_Consol_Source[[#This Row],[Total social units developed or newly built units acquired in-year (owned)]], VfM_Metrics_2023_Consol_Source[[#This Row],[Total social leasehold units developed or newly built units acquired in-year (owned)]] )</f>
        <v>289</v>
      </c>
      <c r="P85" s="84" vm="2286">
        <v>265</v>
      </c>
      <c r="Q85" s="83" vm="2287">
        <v>24</v>
      </c>
      <c r="R85" s="5">
        <f xml:space="preserve"> SUM( VfM_Metrics_2023_Consol_Source[[#This Row],[Total social housing units owned (Period end)]], VfM_Metrics_2023_Consol_Source[[#This Row],[Total social leasehold units owned (Period end)]] )</f>
        <v>20602</v>
      </c>
      <c r="S85" s="84" vm="2279">
        <v>19733</v>
      </c>
      <c r="T85" s="83" vm="2288">
        <v>869</v>
      </c>
      <c r="U85" s="86">
        <f xml:space="preserve"> IFERROR( VfM_Metrics_2023_Consol_Source[[#This Row],[Total non-social housing units developed or newly built units acquired (owned)]] / VfM_Metrics_2023_Consol_Source[[#This Row],[Total social and non-social housing units owned (Period end)]], "n/a" )</f>
        <v>1.1257563675594539E-3</v>
      </c>
      <c r="V8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24</v>
      </c>
      <c r="W85" s="83">
        <v>0</v>
      </c>
      <c r="X85" s="83">
        <v>0</v>
      </c>
      <c r="Y85" s="83" vm="3287">
        <v>24</v>
      </c>
      <c r="Z8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21319</v>
      </c>
      <c r="AA85" s="84" vm="2279">
        <v>19733</v>
      </c>
      <c r="AB85" s="83" vm="7890">
        <v>869</v>
      </c>
      <c r="AC85" s="83" vm="2289">
        <v>209</v>
      </c>
      <c r="AD85" s="83" vm="7846">
        <v>508</v>
      </c>
      <c r="AE85" s="7">
        <f xml:space="preserve"> IFERROR( VfM_Metrics_2023_Consol_Source[[#This Row],[Total Net Debt]] / VfM_Metrics_2023_Consol_Source[[#This Row],[Net Book Value of Housing Properties2]], "n/a" )</f>
        <v>0.4329232955793611</v>
      </c>
      <c r="AF8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620783</v>
      </c>
      <c r="AG85" s="84" vm="2290">
        <v>14530</v>
      </c>
      <c r="AH85" s="83" vm="7757">
        <v>702448</v>
      </c>
      <c r="AI85" s="83" vm="2291">
        <v>96195</v>
      </c>
      <c r="AJ85" s="83" vm="1675">
        <v>0</v>
      </c>
      <c r="AK85" s="83">
        <v>0</v>
      </c>
      <c r="AL85" s="5">
        <f xml:space="preserve"> SUM( VfM_Metrics_2023_Consol_Source[[#This Row],[Tangible fixed assets: Housing properties at cost (Current period)2]], VfM_Metrics_2023_Consol_Source[[#This Row],[Tangible fixed assets Housing properties at valuation (Current period)2]] )</f>
        <v>1433933</v>
      </c>
      <c r="AM85" s="84" vm="2285">
        <v>1433933</v>
      </c>
      <c r="AN85" s="83">
        <v>0</v>
      </c>
      <c r="AO85" s="87">
        <f xml:space="preserve"> IFERROR( VfM_Metrics_2023_Consol_Source[[#This Row],[EBITDA MRI]] / VfM_Metrics_2023_Consol_Source[[#This Row],[Total interest]], "n/a" )</f>
        <v>1.3086024341535099</v>
      </c>
      <c r="AP8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34729</v>
      </c>
      <c r="AQ85" s="84" vm="2292">
        <v>26440</v>
      </c>
      <c r="AR85" s="84" vm="2293">
        <v>278</v>
      </c>
      <c r="AS85" s="84">
        <v>0</v>
      </c>
      <c r="AT85" s="84" vm="2103">
        <v>781</v>
      </c>
      <c r="AU85" s="84" vm="7888">
        <v>0</v>
      </c>
      <c r="AV85" s="84" vm="7626">
        <v>9206</v>
      </c>
      <c r="AW85" s="84" vm="8019">
        <v>30301</v>
      </c>
      <c r="AX85" s="84" vm="2295">
        <v>30443</v>
      </c>
      <c r="AY85" s="3">
        <f xml:space="preserve"> - SUM( VfM_Metrics_2023_Consol_Source[[#This Row],[Interest capitalised]], VfM_Metrics_2023_Consol_Source[[#This Row],[Interest payable and financing costs]] )</f>
        <v>26539</v>
      </c>
      <c r="AZ85" s="84" vm="2296">
        <v>-528</v>
      </c>
      <c r="BA85" s="83" vm="2297">
        <v>-26011</v>
      </c>
      <c r="BB85" s="8">
        <f xml:space="preserve"> IFERROR( ( VfM_Metrics_2023_Consol_Source[[#This Row],[Total Costs]] / VfM_Metrics_2023_Consol_Source[[#This Row],[Total units for costs]] ) * 1000, "n/a" )</f>
        <v>7635.6219937753467</v>
      </c>
      <c r="BC8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161921</v>
      </c>
      <c r="BD85" s="84" vm="2298">
        <v>34103</v>
      </c>
      <c r="BE85" s="83" vm="2299">
        <v>57135</v>
      </c>
      <c r="BF85" s="83" vm="2300">
        <v>15751</v>
      </c>
      <c r="BG85" s="83" vm="2301">
        <v>11242</v>
      </c>
      <c r="BH85" s="83" vm="2302">
        <v>2443</v>
      </c>
      <c r="BI85" s="83" vm="2303">
        <v>501</v>
      </c>
      <c r="BJ85" s="83" vm="2294">
        <v>30301</v>
      </c>
      <c r="BK85" s="83" vm="2304">
        <v>1675</v>
      </c>
      <c r="BL85" s="83" vm="7870">
        <v>1934</v>
      </c>
      <c r="BM85" s="83">
        <v>0</v>
      </c>
      <c r="BN85" s="83" vm="7954">
        <v>2290</v>
      </c>
      <c r="BO85" s="83" vm="2305">
        <v>4546</v>
      </c>
      <c r="BP85" s="5" vm="2280">
        <f xml:space="preserve"> VfM_Metrics_2023_Consol_Source[[#This Row],[Total social housing units owned and/or managed at period end]]</f>
        <v>21206</v>
      </c>
      <c r="BQ85" s="84" vm="2280">
        <v>21206</v>
      </c>
      <c r="BR85" s="7">
        <f xml:space="preserve"> IFERROR( VfM_Metrics_2023_Consol_Source[[#This Row],[SHL operating surplus / (deficit)]] / VfM_Metrics_2023_Consol_Source[[#This Row],[Turnover from social housing lettings]], "n/a" )</f>
        <v>0.14801834133013833</v>
      </c>
      <c r="BS85" s="5" vm="2306">
        <f xml:space="preserve"> VfM_Metrics_2023_Consol_Source[[#This Row],[Operating surplus/(deficit) (social housing lettings)]]</f>
        <v>26438</v>
      </c>
      <c r="BT85" s="84" vm="2306">
        <v>26438</v>
      </c>
      <c r="BU85" s="5" vm="2307">
        <f xml:space="preserve"> VfM_Metrics_2023_Consol_Source[[#This Row],[Turnover from social housing lettings]]</f>
        <v>178613</v>
      </c>
      <c r="BV85" s="84" vm="2307">
        <v>178613</v>
      </c>
      <c r="BW85" s="7">
        <f xml:space="preserve"> IFERROR( VfM_Metrics_2023_Consol_Source[[#This Row],[Net operating surplus]] / VfM_Metrics_2023_Consol_Source[[#This Row],[Overall turnover]], "n/a" )</f>
        <v>0.10400731493996979</v>
      </c>
      <c r="BX8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26162</v>
      </c>
      <c r="BY85" s="84" vm="2292">
        <v>26440</v>
      </c>
      <c r="BZ85" s="83" vm="2293">
        <v>278</v>
      </c>
      <c r="CA85" s="83">
        <v>0</v>
      </c>
      <c r="CB85" s="5" vm="2308">
        <f xml:space="preserve"> VfM_Metrics_2023_Consol_Source[[#This Row],[Turnover (overall)]]</f>
        <v>251540</v>
      </c>
      <c r="CC85" s="84" vm="2308">
        <v>251540</v>
      </c>
      <c r="CD85" s="7">
        <f xml:space="preserve"> IFERROR( VfM_Metrics_2023_Consol_Source[[#This Row],[Operating surplus including from JVs]] / VfM_Metrics_2023_Consol_Source[[#This Row],[Net assets]], "n/a" )</f>
        <v>1.6473489457652105E-2</v>
      </c>
      <c r="CE85" s="5">
        <f xml:space="preserve"> SUM( VfM_Metrics_2023_Consol_Source[[#This Row],[Operating surplus/(deficit) (overall)3]], VfM_Metrics_2023_Consol_Source[[#This Row],[Share of operating surplus/(deficit) in joint ventures or associates]] )</f>
        <v>26440</v>
      </c>
      <c r="CF85" s="84" vm="7579">
        <v>26440</v>
      </c>
      <c r="CG85" s="83">
        <v>0</v>
      </c>
      <c r="CH85" s="5" vm="8070">
        <f xml:space="preserve"> VfM_Metrics_2023_Consol_Source[[#This Row],[Total assets less current liabilities]]</f>
        <v>1605003</v>
      </c>
      <c r="CI85" s="84" vm="8070">
        <v>1605003</v>
      </c>
      <c r="CJ85" s="71" vm="2279">
        <f xml:space="preserve"> VfM_Metrics_2023_Consol_Source[[#This Row],[Total social housing units owned (Period end)]]</f>
        <v>19733</v>
      </c>
      <c r="CK85" s="103">
        <v>8.5643101837433819E-3</v>
      </c>
      <c r="CL85" s="6">
        <f xml:space="preserve"> -- ( VfM_Metrics_2023_Consol_Source[[#This Row],[% Supported housing (excl. HOP)]] &gt; 0.3 )</f>
        <v>0</v>
      </c>
      <c r="CM85" s="103">
        <v>0.91363022941970307</v>
      </c>
      <c r="CN85" s="6">
        <f xml:space="preserve"> -- ( VfM_Metrics_2023_Consol_Source[[#This Row],[% Housing for older people]] &gt; 0.3 )</f>
        <v>1</v>
      </c>
      <c r="CO85" s="103">
        <f xml:space="preserve"> VfM_Metrics_2023_Consol_Source[[#This Row],[% Supported housing (excl. HOP)]] + VfM_Metrics_2023_Consol_Source[[#This Row],[% Housing for older people]]</f>
        <v>0.92219453960344644</v>
      </c>
      <c r="CP85" s="6">
        <f xml:space="preserve"> -- ( VfM_Metrics_2023_Consol_Source[[#This Row],[SH specialist in RSH analysis]] + VfM_Metrics_2023_Consol_Source[[#This Row],[OP specialist in RSH analysis]] &gt; 0 )</f>
        <v>1</v>
      </c>
      <c r="CQ85" s="10">
        <f xml:space="preserve"> -- ( VfM_Metrics_2023_Consol_Source[[#This Row],[% SH and OP]] &gt; 0.3 )</f>
        <v>1</v>
      </c>
      <c r="CR85" s="104" t="s">
        <v>143</v>
      </c>
      <c r="CS85" s="124" t="s">
        <v>144</v>
      </c>
      <c r="CT85" s="105"/>
      <c r="CU8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85" s="85">
        <v>7.3153078633097238E-2</v>
      </c>
      <c r="CW85" s="85">
        <v>0.17453342294370056</v>
      </c>
      <c r="CX85" s="85">
        <v>8.9334643023315924E-2</v>
      </c>
      <c r="CY85" s="85">
        <v>7.3256475210670524E-2</v>
      </c>
      <c r="CZ85" s="85">
        <v>0.1304864808974823</v>
      </c>
      <c r="DA85" s="85">
        <v>0.10592979372382774</v>
      </c>
      <c r="DB85" s="85">
        <v>8.4681797032518227E-2</v>
      </c>
      <c r="DC85" s="85">
        <v>0.13922349170242465</v>
      </c>
      <c r="DD85" s="85">
        <v>0.12940081683296284</v>
      </c>
      <c r="DE85" s="13">
        <v>0.98724722123456488</v>
      </c>
    </row>
    <row r="86" spans="1:109" x14ac:dyDescent="0.25">
      <c r="A86" s="4" t="s" vm="377">
        <v>296</v>
      </c>
      <c r="B86" s="2" t="s" vm="76">
        <v>297</v>
      </c>
      <c r="C86" s="72" vm="579">
        <v>45016</v>
      </c>
      <c r="D86" s="7">
        <f>IFERROR( VfM_Metrics_2023_Consol_Source[[#This Row],[Reinvestment Spend]] / VfM_Metrics_2023_Consol_Source[[#This Row],[Net Book Value of Housing Properties]], "n/a" )</f>
        <v>2.2673479546124073E-2</v>
      </c>
      <c r="E8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11160</v>
      </c>
      <c r="F86" s="83" vm="6078">
        <v>0</v>
      </c>
      <c r="G86" s="83" vm="7022">
        <v>7474</v>
      </c>
      <c r="H86" s="83" vm="6079">
        <v>3686</v>
      </c>
      <c r="I86" s="83" vm="6080">
        <v>0</v>
      </c>
      <c r="J86" s="83" vm="5834">
        <v>0</v>
      </c>
      <c r="K86" s="5">
        <f xml:space="preserve"> SUM( VfM_Metrics_2023_Consol_Source[[#This Row],[Tangible fixed assets: Housing properties at cost (Current period)]],VfM_Metrics_2023_Consol_Source[[#This Row],[Tangible fixed assets Housing properties at valuation (Current period)]] )</f>
        <v>492205</v>
      </c>
      <c r="L86" s="84" vm="6081">
        <v>492205</v>
      </c>
      <c r="M86" s="83" vm="6082">
        <v>0</v>
      </c>
      <c r="N86" s="7">
        <f xml:space="preserve"> IFERROR( VfM_Metrics_2023_Consol_Source[[#This Row],[Total social units developed or newly built units acquired in-year]] / VfM_Metrics_2023_Consol_Source[[#This Row],[Social housing units owned (period end)]], "n/a" )</f>
        <v>5.6346846141806231E-3</v>
      </c>
      <c r="O86" s="5">
        <f xml:space="preserve"> SUM( VfM_Metrics_2023_Consol_Source[[#This Row],[Total social units developed or newly built units acquired in-year (owned)]], VfM_Metrics_2023_Consol_Source[[#This Row],[Total social leasehold units developed or newly built units acquired in-year (owned)]] )</f>
        <v>36</v>
      </c>
      <c r="P86" s="84" vm="6083">
        <v>36</v>
      </c>
      <c r="Q86" s="83">
        <v>0</v>
      </c>
      <c r="R86" s="5">
        <f xml:space="preserve"> SUM( VfM_Metrics_2023_Consol_Source[[#This Row],[Total social housing units owned (Period end)]], VfM_Metrics_2023_Consol_Source[[#This Row],[Total social leasehold units owned (Period end)]] )</f>
        <v>6389</v>
      </c>
      <c r="S86" s="84" vm="6076">
        <v>6389</v>
      </c>
      <c r="T86" s="83" vm="6084">
        <v>0</v>
      </c>
      <c r="U86" s="86">
        <f xml:space="preserve"> IFERROR( VfM_Metrics_2023_Consol_Source[[#This Row],[Total non-social housing units developed or newly built units acquired (owned)]] / VfM_Metrics_2023_Consol_Source[[#This Row],[Total social and non-social housing units owned (Period end)]], "n/a" )</f>
        <v>0</v>
      </c>
      <c r="V8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86" s="83">
        <v>0</v>
      </c>
      <c r="X86" s="83">
        <v>0</v>
      </c>
      <c r="Y86" s="83">
        <v>0</v>
      </c>
      <c r="Z8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6436</v>
      </c>
      <c r="AA86" s="84" vm="6076">
        <v>6389</v>
      </c>
      <c r="AB86" s="83" vm="6084">
        <v>0</v>
      </c>
      <c r="AC86" s="83" vm="6085">
        <v>47</v>
      </c>
      <c r="AD86" s="83" vm="6086">
        <v>0</v>
      </c>
      <c r="AE86" s="7">
        <f xml:space="preserve"> IFERROR( VfM_Metrics_2023_Consol_Source[[#This Row],[Total Net Debt]] / VfM_Metrics_2023_Consol_Source[[#This Row],[Net Book Value of Housing Properties2]], "n/a" )</f>
        <v>0.64691947460915677</v>
      </c>
      <c r="AF8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318417</v>
      </c>
      <c r="AG86" s="84" vm="6087">
        <v>2500</v>
      </c>
      <c r="AH86" s="83" vm="6088">
        <v>325323</v>
      </c>
      <c r="AI86" s="83" vm="6089">
        <v>9406</v>
      </c>
      <c r="AJ86" s="83" vm="6090">
        <v>0</v>
      </c>
      <c r="AK86" s="83" vm="6091">
        <v>0</v>
      </c>
      <c r="AL86" s="5">
        <f xml:space="preserve"> SUM( VfM_Metrics_2023_Consol_Source[[#This Row],[Tangible fixed assets: Housing properties at cost (Current period)2]], VfM_Metrics_2023_Consol_Source[[#This Row],[Tangible fixed assets Housing properties at valuation (Current period)2]] )</f>
        <v>492205</v>
      </c>
      <c r="AM86" s="84" vm="6081">
        <v>492205</v>
      </c>
      <c r="AN86" s="83" vm="6082">
        <v>0</v>
      </c>
      <c r="AO86" s="87">
        <f xml:space="preserve"> IFERROR( VfM_Metrics_2023_Consol_Source[[#This Row],[EBITDA MRI]] / VfM_Metrics_2023_Consol_Source[[#This Row],[Total interest]], "n/a" )</f>
        <v>1.5211705661977803</v>
      </c>
      <c r="AP8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21520</v>
      </c>
      <c r="AQ86" s="84" vm="6092">
        <v>19253</v>
      </c>
      <c r="AR86" s="84" vm="6093">
        <v>896</v>
      </c>
      <c r="AS86" s="84" vm="6094">
        <v>64</v>
      </c>
      <c r="AT86" s="84" vm="6095">
        <v>642</v>
      </c>
      <c r="AU86" s="84" vm="6096">
        <v>0</v>
      </c>
      <c r="AV86" s="84" vm="6097">
        <v>1826</v>
      </c>
      <c r="AW86" s="84" vm="6098">
        <v>3686</v>
      </c>
      <c r="AX86" s="84" vm="6099">
        <v>5729</v>
      </c>
      <c r="AY86" s="3">
        <f xml:space="preserve"> - SUM( VfM_Metrics_2023_Consol_Source[[#This Row],[Interest capitalised]], VfM_Metrics_2023_Consol_Source[[#This Row],[Interest payable and financing costs]] )</f>
        <v>14147</v>
      </c>
      <c r="AZ86" s="84" vm="6100">
        <v>-89</v>
      </c>
      <c r="BA86" s="83" vm="6101">
        <v>-14058</v>
      </c>
      <c r="BB86" s="8">
        <f xml:space="preserve"> IFERROR( ( VfM_Metrics_2023_Consol_Source[[#This Row],[Total Costs]] / VfM_Metrics_2023_Consol_Source[[#This Row],[Total units for costs]] ) * 1000, "n/a" )</f>
        <v>4277.0386601972141</v>
      </c>
      <c r="BC8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27326</v>
      </c>
      <c r="BD86" s="84" vm="6102">
        <v>10125</v>
      </c>
      <c r="BE86" s="83" vm="6103">
        <v>3596</v>
      </c>
      <c r="BF86" s="83" vm="6104">
        <v>4022</v>
      </c>
      <c r="BG86" s="83" vm="6105">
        <v>5121</v>
      </c>
      <c r="BH86" s="83" vm="6106">
        <v>0</v>
      </c>
      <c r="BI86" s="83" vm="7269">
        <v>0</v>
      </c>
      <c r="BJ86" s="83" vm="6098">
        <v>3686</v>
      </c>
      <c r="BK86" s="83" vm="6107">
        <v>718</v>
      </c>
      <c r="BL86" s="83">
        <v>0</v>
      </c>
      <c r="BM86" s="83">
        <v>0</v>
      </c>
      <c r="BN86" s="83" vm="6108">
        <v>58</v>
      </c>
      <c r="BO86" s="83">
        <v>0</v>
      </c>
      <c r="BP86" s="5" vm="6077">
        <f xml:space="preserve"> VfM_Metrics_2023_Consol_Source[[#This Row],[Total social housing units owned and/or managed at period end]]</f>
        <v>6389</v>
      </c>
      <c r="BQ86" s="84" vm="6077">
        <v>6389</v>
      </c>
      <c r="BR86" s="7">
        <f xml:space="preserve"> IFERROR( VfM_Metrics_2023_Consol_Source[[#This Row],[SHL operating surplus / (deficit)]] / VfM_Metrics_2023_Consol_Source[[#This Row],[Turnover from social housing lettings]], "n/a" )</f>
        <v>0.35506343200534163</v>
      </c>
      <c r="BS86" s="5" vm="6110">
        <f xml:space="preserve"> VfM_Metrics_2023_Consol_Source[[#This Row],[Operating surplus/(deficit) (social housing lettings)]]</f>
        <v>15953</v>
      </c>
      <c r="BT86" s="84" vm="6110">
        <v>15953</v>
      </c>
      <c r="BU86" s="5" vm="4949">
        <f xml:space="preserve"> VfM_Metrics_2023_Consol_Source[[#This Row],[Turnover from social housing lettings]]</f>
        <v>44930</v>
      </c>
      <c r="BV86" s="84" vm="4949">
        <v>44930</v>
      </c>
      <c r="BW86" s="7">
        <f xml:space="preserve"> IFERROR( VfM_Metrics_2023_Consol_Source[[#This Row],[Net operating surplus]] / VfM_Metrics_2023_Consol_Source[[#This Row],[Overall turnover]], "n/a" )</f>
        <v>0.34072156307623536</v>
      </c>
      <c r="BX8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18293</v>
      </c>
      <c r="BY86" s="84" vm="6092">
        <v>19253</v>
      </c>
      <c r="BZ86" s="83" vm="7005">
        <v>896</v>
      </c>
      <c r="CA86" s="83" vm="7206">
        <v>64</v>
      </c>
      <c r="CB86" s="5" vm="6111">
        <f xml:space="preserve"> VfM_Metrics_2023_Consol_Source[[#This Row],[Turnover (overall)]]</f>
        <v>53689</v>
      </c>
      <c r="CC86" s="84" vm="6111">
        <v>53689</v>
      </c>
      <c r="CD86" s="7">
        <f xml:space="preserve"> IFERROR( VfM_Metrics_2023_Consol_Source[[#This Row],[Operating surplus including from JVs]] / VfM_Metrics_2023_Consol_Source[[#This Row],[Net assets]], "n/a" )</f>
        <v>3.7126097218579825E-2</v>
      </c>
      <c r="CE86" s="5">
        <f xml:space="preserve"> SUM( VfM_Metrics_2023_Consol_Source[[#This Row],[Operating surplus/(deficit) (overall)3]], VfM_Metrics_2023_Consol_Source[[#This Row],[Share of operating surplus/(deficit) in joint ventures or associates]] )</f>
        <v>19253</v>
      </c>
      <c r="CF86" s="84" vm="6092">
        <v>19253</v>
      </c>
      <c r="CG86" s="83">
        <v>0</v>
      </c>
      <c r="CH86" s="5" vm="6112">
        <f xml:space="preserve"> VfM_Metrics_2023_Consol_Source[[#This Row],[Total assets less current liabilities]]</f>
        <v>518584</v>
      </c>
      <c r="CI86" s="84" vm="6112">
        <v>518584</v>
      </c>
      <c r="CJ86" s="71" vm="6076">
        <f xml:space="preserve"> VfM_Metrics_2023_Consol_Source[[#This Row],[Total social housing units owned (Period end)]]</f>
        <v>6389</v>
      </c>
      <c r="CK86" s="103">
        <v>4.2976773581924477E-2</v>
      </c>
      <c r="CL86" s="6">
        <f xml:space="preserve"> -- ( VfM_Metrics_2023_Consol_Source[[#This Row],[% Supported housing (excl. HOP)]] &gt; 0.3 )</f>
        <v>0</v>
      </c>
      <c r="CM86" s="103">
        <v>4.7242850371306683E-2</v>
      </c>
      <c r="CN86" s="6">
        <f xml:space="preserve"> -- ( VfM_Metrics_2023_Consol_Source[[#This Row],[% Housing for older people]] &gt; 0.3 )</f>
        <v>0</v>
      </c>
      <c r="CO86" s="103">
        <f xml:space="preserve"> VfM_Metrics_2023_Consol_Source[[#This Row],[% Supported housing (excl. HOP)]] + VfM_Metrics_2023_Consol_Source[[#This Row],[% Housing for older people]]</f>
        <v>9.0219623953231159E-2</v>
      </c>
      <c r="CP86" s="6">
        <f xml:space="preserve"> -- ( VfM_Metrics_2023_Consol_Source[[#This Row],[SH specialist in RSH analysis]] + VfM_Metrics_2023_Consol_Source[[#This Row],[OP specialist in RSH analysis]] &gt; 0 )</f>
        <v>0</v>
      </c>
      <c r="CQ86" s="10">
        <f xml:space="preserve"> -- ( VfM_Metrics_2023_Consol_Source[[#This Row],[% SH and OP]] &gt; 0.3 )</f>
        <v>0</v>
      </c>
      <c r="CR86" s="104" t="s">
        <v>143</v>
      </c>
      <c r="CS86" s="124" t="s">
        <v>144</v>
      </c>
      <c r="CT86" s="105"/>
      <c r="CU8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86" s="85">
        <v>0</v>
      </c>
      <c r="CW86" s="85">
        <v>0.99824314827828531</v>
      </c>
      <c r="CX86" s="85">
        <v>0</v>
      </c>
      <c r="CY86" s="85">
        <v>0</v>
      </c>
      <c r="CZ86" s="85">
        <v>0</v>
      </c>
      <c r="DA86" s="85">
        <v>1.7568517217146872E-3</v>
      </c>
      <c r="DB86" s="85">
        <v>0</v>
      </c>
      <c r="DC86" s="85">
        <v>0</v>
      </c>
      <c r="DD86" s="85">
        <v>0</v>
      </c>
      <c r="DE86" s="13">
        <v>1.0336733057289238</v>
      </c>
    </row>
    <row r="87" spans="1:109" x14ac:dyDescent="0.25">
      <c r="A87" s="4" t="s" vm="225">
        <v>298</v>
      </c>
      <c r="B87" s="2" t="s" vm="77">
        <v>299</v>
      </c>
      <c r="C87" s="72" vm="421">
        <v>45016</v>
      </c>
      <c r="D87" s="7">
        <f>IFERROR( VfM_Metrics_2023_Consol_Source[[#This Row],[Reinvestment Spend]] / VfM_Metrics_2023_Consol_Source[[#This Row],[Net Book Value of Housing Properties]], "n/a" )</f>
        <v>8.9974017049968859E-3</v>
      </c>
      <c r="E8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838</v>
      </c>
      <c r="F87" s="83" vm="8376">
        <v>0</v>
      </c>
      <c r="G87" s="83" vm="1134">
        <v>0</v>
      </c>
      <c r="H87" s="83" vm="8640">
        <v>838</v>
      </c>
      <c r="I87" s="83" vm="1135">
        <v>0</v>
      </c>
      <c r="J87" s="83" vm="1136">
        <v>0</v>
      </c>
      <c r="K87" s="5">
        <f xml:space="preserve"> SUM( VfM_Metrics_2023_Consol_Source[[#This Row],[Tangible fixed assets: Housing properties at cost (Current period)]],VfM_Metrics_2023_Consol_Source[[#This Row],[Tangible fixed assets Housing properties at valuation (Current period)]] )</f>
        <v>93138</v>
      </c>
      <c r="L87" s="84" vm="1086">
        <v>93138</v>
      </c>
      <c r="M87" s="83" vm="1138">
        <v>0</v>
      </c>
      <c r="N87" s="7">
        <f xml:space="preserve"> IFERROR( VfM_Metrics_2023_Consol_Source[[#This Row],[Total social units developed or newly built units acquired in-year]] / VfM_Metrics_2023_Consol_Source[[#This Row],[Social housing units owned (period end)]], "n/a" )</f>
        <v>0</v>
      </c>
      <c r="O87" s="5">
        <f xml:space="preserve"> SUM( VfM_Metrics_2023_Consol_Source[[#This Row],[Total social units developed or newly built units acquired in-year (owned)]], VfM_Metrics_2023_Consol_Source[[#This Row],[Total social leasehold units developed or newly built units acquired in-year (owned)]] )</f>
        <v>0</v>
      </c>
      <c r="P87" s="84" vm="8700">
        <v>0</v>
      </c>
      <c r="Q87" s="83" vm="1139">
        <v>0</v>
      </c>
      <c r="R87" s="5">
        <f xml:space="preserve"> SUM( VfM_Metrics_2023_Consol_Source[[#This Row],[Total social housing units owned (Period end)]], VfM_Metrics_2023_Consol_Source[[#This Row],[Total social leasehold units owned (Period end)]] )</f>
        <v>1384</v>
      </c>
      <c r="S87" s="84" vm="1133">
        <v>1368</v>
      </c>
      <c r="T87" s="83" vm="1140">
        <v>16</v>
      </c>
      <c r="U87" s="86">
        <f xml:space="preserve"> IFERROR( VfM_Metrics_2023_Consol_Source[[#This Row],[Total non-social housing units developed or newly built units acquired (owned)]] / VfM_Metrics_2023_Consol_Source[[#This Row],[Total social and non-social housing units owned (Period end)]], "n/a" )</f>
        <v>0</v>
      </c>
      <c r="V8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87" s="83" vm="1141">
        <v>0</v>
      </c>
      <c r="X87" s="83" vm="1190">
        <v>0</v>
      </c>
      <c r="Y87" s="83" vm="1142">
        <v>0</v>
      </c>
      <c r="Z8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1388</v>
      </c>
      <c r="AA87" s="84" vm="8512">
        <v>1368</v>
      </c>
      <c r="AB87" s="83" vm="1140">
        <v>16</v>
      </c>
      <c r="AC87" s="83" vm="1143">
        <v>0</v>
      </c>
      <c r="AD87" s="83" vm="1206">
        <v>4</v>
      </c>
      <c r="AE87" s="7">
        <f xml:space="preserve"> IFERROR( VfM_Metrics_2023_Consol_Source[[#This Row],[Total Net Debt]] / VfM_Metrics_2023_Consol_Source[[#This Row],[Net Book Value of Housing Properties2]], "n/a" )</f>
        <v>0.24114754450385451</v>
      </c>
      <c r="AF8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22460</v>
      </c>
      <c r="AG87" s="84" vm="1144">
        <v>1119</v>
      </c>
      <c r="AH87" s="83" vm="8373">
        <v>28374</v>
      </c>
      <c r="AI87" s="83" vm="8523">
        <v>7033</v>
      </c>
      <c r="AJ87" s="83" vm="1095">
        <v>0</v>
      </c>
      <c r="AK87" s="83" vm="8527">
        <v>0</v>
      </c>
      <c r="AL87" s="5">
        <f xml:space="preserve"> SUM( VfM_Metrics_2023_Consol_Source[[#This Row],[Tangible fixed assets: Housing properties at cost (Current period)2]], VfM_Metrics_2023_Consol_Source[[#This Row],[Tangible fixed assets Housing properties at valuation (Current period)2]] )</f>
        <v>93138</v>
      </c>
      <c r="AM87" s="84" vm="1137">
        <v>93138</v>
      </c>
      <c r="AN87" s="83" vm="1138">
        <v>0</v>
      </c>
      <c r="AO87" s="87">
        <f xml:space="preserve"> IFERROR( VfM_Metrics_2023_Consol_Source[[#This Row],[EBITDA MRI]] / VfM_Metrics_2023_Consol_Source[[#This Row],[Total interest]], "n/a" )</f>
        <v>2.1857485988791034</v>
      </c>
      <c r="AP8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2730</v>
      </c>
      <c r="AQ87" s="84" vm="8631">
        <v>2766</v>
      </c>
      <c r="AR87" s="84" vm="1147">
        <v>728</v>
      </c>
      <c r="AS87" s="84" vm="1148">
        <v>0</v>
      </c>
      <c r="AT87" s="84" vm="1149">
        <v>58</v>
      </c>
      <c r="AU87" s="84" vm="8510">
        <v>0</v>
      </c>
      <c r="AV87" s="84" vm="8630">
        <v>74</v>
      </c>
      <c r="AW87" s="84" vm="8781">
        <v>838</v>
      </c>
      <c r="AX87" s="84" vm="8697">
        <v>1514</v>
      </c>
      <c r="AY87" s="3">
        <f xml:space="preserve"> - SUM( VfM_Metrics_2023_Consol_Source[[#This Row],[Interest capitalised]], VfM_Metrics_2023_Consol_Source[[#This Row],[Interest payable and financing costs]] )</f>
        <v>1249</v>
      </c>
      <c r="AZ87" s="84" vm="1152">
        <v>0</v>
      </c>
      <c r="BA87" s="83" vm="1153">
        <v>-1249</v>
      </c>
      <c r="BB87" s="8">
        <f xml:space="preserve"> IFERROR( ( VfM_Metrics_2023_Consol_Source[[#This Row],[Total Costs]] / VfM_Metrics_2023_Consol_Source[[#This Row],[Total units for costs]] ) * 1000, "n/a" )</f>
        <v>4313.3640552995394</v>
      </c>
      <c r="BC8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6552</v>
      </c>
      <c r="BD87" s="84" vm="1154">
        <v>1549</v>
      </c>
      <c r="BE87" s="83" vm="8685">
        <v>1476</v>
      </c>
      <c r="BF87" s="83" vm="8525">
        <v>1181</v>
      </c>
      <c r="BG87" s="83" vm="8743">
        <v>930</v>
      </c>
      <c r="BH87" s="83" vm="8762">
        <v>407</v>
      </c>
      <c r="BI87" s="83" vm="8372">
        <v>106</v>
      </c>
      <c r="BJ87" s="83" vm="1294">
        <v>838</v>
      </c>
      <c r="BK87" s="83" vm="8885">
        <v>46</v>
      </c>
      <c r="BL87" s="83" vm="1155">
        <v>0</v>
      </c>
      <c r="BM87" s="83" vm="8540">
        <v>0</v>
      </c>
      <c r="BN87" s="83" vm="1156">
        <v>0</v>
      </c>
      <c r="BO87" s="83" vm="1157">
        <v>19</v>
      </c>
      <c r="BP87" s="5" vm="990">
        <f xml:space="preserve"> VfM_Metrics_2023_Consol_Source[[#This Row],[Total social housing units owned and/or managed at period end]]</f>
        <v>1519</v>
      </c>
      <c r="BQ87" s="84" vm="990">
        <v>1519</v>
      </c>
      <c r="BR87" s="7">
        <f xml:space="preserve"> IFERROR( VfM_Metrics_2023_Consol_Source[[#This Row],[SHL operating surplus / (deficit)]] / VfM_Metrics_2023_Consol_Source[[#This Row],[Turnover from social housing lettings]], "n/a" )</f>
        <v>0.21018134149005899</v>
      </c>
      <c r="BS87" s="5" vm="1415">
        <f xml:space="preserve"> VfM_Metrics_2023_Consol_Source[[#This Row],[Operating surplus/(deficit) (social housing lettings)]]</f>
        <v>1924</v>
      </c>
      <c r="BT87" s="84" vm="1415">
        <v>1924</v>
      </c>
      <c r="BU87" s="5" vm="8615">
        <f xml:space="preserve"> VfM_Metrics_2023_Consol_Source[[#This Row],[Turnover from social housing lettings]]</f>
        <v>9154</v>
      </c>
      <c r="BV87" s="84" vm="8615">
        <v>9154</v>
      </c>
      <c r="BW87" s="7">
        <f xml:space="preserve"> IFERROR( VfM_Metrics_2023_Consol_Source[[#This Row],[Net operating surplus]] / VfM_Metrics_2023_Consol_Source[[#This Row],[Overall turnover]], "n/a" )</f>
        <v>0.21944653817163778</v>
      </c>
      <c r="BX8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2038</v>
      </c>
      <c r="BY87" s="84" vm="1146">
        <v>2766</v>
      </c>
      <c r="BZ87" s="83" vm="8755">
        <v>728</v>
      </c>
      <c r="CA87" s="83" vm="1148">
        <v>0</v>
      </c>
      <c r="CB87" s="5" vm="1159">
        <f xml:space="preserve"> VfM_Metrics_2023_Consol_Source[[#This Row],[Turnover (overall)]]</f>
        <v>9287</v>
      </c>
      <c r="CC87" s="84" vm="1159">
        <v>9287</v>
      </c>
      <c r="CD87" s="7">
        <f xml:space="preserve"> IFERROR( VfM_Metrics_2023_Consol_Source[[#This Row],[Operating surplus including from JVs]] / VfM_Metrics_2023_Consol_Source[[#This Row],[Net assets]], "n/a" )</f>
        <v>2.805700664401278E-2</v>
      </c>
      <c r="CE87" s="5">
        <f xml:space="preserve"> SUM( VfM_Metrics_2023_Consol_Source[[#This Row],[Operating surplus/(deficit) (overall)3]], VfM_Metrics_2023_Consol_Source[[#This Row],[Share of operating surplus/(deficit) in joint ventures or associates]] )</f>
        <v>2766</v>
      </c>
      <c r="CF87" s="84" vm="1146">
        <v>2766</v>
      </c>
      <c r="CG87" s="83" vm="1082">
        <v>0</v>
      </c>
      <c r="CH87" s="5" vm="8539">
        <f xml:space="preserve"> VfM_Metrics_2023_Consol_Source[[#This Row],[Total assets less current liabilities]]</f>
        <v>98585</v>
      </c>
      <c r="CI87" s="84" vm="8539">
        <v>98585</v>
      </c>
      <c r="CJ87" s="71" vm="1133">
        <f xml:space="preserve"> VfM_Metrics_2023_Consol_Source[[#This Row],[Total social housing units owned (Period end)]]</f>
        <v>1368</v>
      </c>
      <c r="CK87" s="103">
        <v>0</v>
      </c>
      <c r="CL87" s="6">
        <f xml:space="preserve"> -- ( VfM_Metrics_2023_Consol_Source[[#This Row],[% Supported housing (excl. HOP)]] &gt; 0.3 )</f>
        <v>0</v>
      </c>
      <c r="CM87" s="103">
        <v>0</v>
      </c>
      <c r="CN87" s="6">
        <f xml:space="preserve"> -- ( VfM_Metrics_2023_Consol_Source[[#This Row],[% Housing for older people]] &gt; 0.3 )</f>
        <v>0</v>
      </c>
      <c r="CO87" s="103">
        <f xml:space="preserve"> VfM_Metrics_2023_Consol_Source[[#This Row],[% Supported housing (excl. HOP)]] + VfM_Metrics_2023_Consol_Source[[#This Row],[% Housing for older people]]</f>
        <v>0</v>
      </c>
      <c r="CP87" s="6">
        <f xml:space="preserve"> -- ( VfM_Metrics_2023_Consol_Source[[#This Row],[SH specialist in RSH analysis]] + VfM_Metrics_2023_Consol_Source[[#This Row],[OP specialist in RSH analysis]] &gt; 0 )</f>
        <v>0</v>
      </c>
      <c r="CQ87" s="10">
        <f xml:space="preserve"> -- ( VfM_Metrics_2023_Consol_Source[[#This Row],[% SH and OP]] &gt; 0.3 )</f>
        <v>0</v>
      </c>
      <c r="CR87" s="104" t="s">
        <v>143</v>
      </c>
      <c r="CS87" s="124" t="s">
        <v>144</v>
      </c>
      <c r="CT87" s="105"/>
      <c r="CU8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87" s="85">
        <v>0</v>
      </c>
      <c r="CW87" s="85">
        <v>1.827485380116959E-2</v>
      </c>
      <c r="CX87" s="85">
        <v>0</v>
      </c>
      <c r="CY87" s="85">
        <v>0</v>
      </c>
      <c r="CZ87" s="85">
        <v>0</v>
      </c>
      <c r="DA87" s="85">
        <v>0.98172514619883045</v>
      </c>
      <c r="DB87" s="85">
        <v>0</v>
      </c>
      <c r="DC87" s="85">
        <v>0</v>
      </c>
      <c r="DD87" s="85">
        <v>0</v>
      </c>
      <c r="DE87" s="13">
        <v>1.0117784344635339</v>
      </c>
    </row>
    <row r="88" spans="1:109" x14ac:dyDescent="0.25">
      <c r="A88" s="4" t="s" vm="245">
        <v>300</v>
      </c>
      <c r="B88" s="2" t="s" vm="78">
        <v>301</v>
      </c>
      <c r="C88" s="72" vm="508">
        <v>45016</v>
      </c>
      <c r="D88" s="7">
        <f>IFERROR( VfM_Metrics_2023_Consol_Source[[#This Row],[Reinvestment Spend]] / VfM_Metrics_2023_Consol_Source[[#This Row],[Net Book Value of Housing Properties]], "n/a" )</f>
        <v>4.5009685531306312E-2</v>
      </c>
      <c r="E8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146500</v>
      </c>
      <c r="F88" s="83" vm="1745">
        <v>81193</v>
      </c>
      <c r="G88" s="83" vm="1603">
        <v>0</v>
      </c>
      <c r="H88" s="83" vm="2010">
        <v>57523</v>
      </c>
      <c r="I88" s="83" vm="1604">
        <v>7784</v>
      </c>
      <c r="J88" s="83" vm="1605">
        <v>0</v>
      </c>
      <c r="K88" s="5">
        <f xml:space="preserve"> SUM( VfM_Metrics_2023_Consol_Source[[#This Row],[Tangible fixed assets: Housing properties at cost (Current period)]],VfM_Metrics_2023_Consol_Source[[#This Row],[Tangible fixed assets Housing properties at valuation (Current period)]] )</f>
        <v>3254855</v>
      </c>
      <c r="L88" s="84" vm="8341">
        <v>3254855</v>
      </c>
      <c r="M88" s="83" vm="1607">
        <v>0</v>
      </c>
      <c r="N88" s="7">
        <f xml:space="preserve"> IFERROR( VfM_Metrics_2023_Consol_Source[[#This Row],[Total social units developed or newly built units acquired in-year]] / VfM_Metrics_2023_Consol_Source[[#This Row],[Social housing units owned (period end)]], "n/a" )</f>
        <v>1.2509069801189958E-2</v>
      </c>
      <c r="O88" s="5">
        <f xml:space="preserve"> SUM( VfM_Metrics_2023_Consol_Source[[#This Row],[Total social units developed or newly built units acquired in-year (owned)]], VfM_Metrics_2023_Consol_Source[[#This Row],[Total social leasehold units developed or newly built units acquired in-year (owned)]] )</f>
        <v>431</v>
      </c>
      <c r="P88" s="84" vm="8105">
        <v>431</v>
      </c>
      <c r="Q88" s="83" vm="1608">
        <v>0</v>
      </c>
      <c r="R88" s="5">
        <f xml:space="preserve"> SUM( VfM_Metrics_2023_Consol_Source[[#This Row],[Total social housing units owned (Period end)]], VfM_Metrics_2023_Consol_Source[[#This Row],[Total social leasehold units owned (Period end)]] )</f>
        <v>34455</v>
      </c>
      <c r="S88" s="84" vm="1601">
        <v>34455</v>
      </c>
      <c r="T88" s="83" vm="1609">
        <v>0</v>
      </c>
      <c r="U88" s="86">
        <f xml:space="preserve"> IFERROR( VfM_Metrics_2023_Consol_Source[[#This Row],[Total non-social housing units developed or newly built units acquired (owned)]] / VfM_Metrics_2023_Consol_Source[[#This Row],[Total social and non-social housing units owned (Period end)]], "n/a" )</f>
        <v>4.7535038714103693E-3</v>
      </c>
      <c r="V8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194</v>
      </c>
      <c r="W88" s="83" vm="1610">
        <v>0</v>
      </c>
      <c r="X88" s="83">
        <v>0</v>
      </c>
      <c r="Y88" s="83" vm="1612">
        <v>194</v>
      </c>
      <c r="Z8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40812</v>
      </c>
      <c r="AA88" s="84" vm="1601">
        <v>34455</v>
      </c>
      <c r="AB88" s="83" vm="1609">
        <v>0</v>
      </c>
      <c r="AC88" s="83" vm="1406">
        <v>68</v>
      </c>
      <c r="AD88" s="83" vm="1613">
        <v>6289</v>
      </c>
      <c r="AE88" s="7">
        <f xml:space="preserve"> IFERROR( VfM_Metrics_2023_Consol_Source[[#This Row],[Total Net Debt]] / VfM_Metrics_2023_Consol_Source[[#This Row],[Net Book Value of Housing Properties2]], "n/a" )</f>
        <v>0.45455757629756166</v>
      </c>
      <c r="AF8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1479519</v>
      </c>
      <c r="AG88" s="84" vm="1614">
        <v>11095</v>
      </c>
      <c r="AH88" s="83" vm="8406">
        <v>1567015</v>
      </c>
      <c r="AI88" s="83" vm="1615">
        <v>98591</v>
      </c>
      <c r="AJ88" s="83" vm="1675">
        <v>0</v>
      </c>
      <c r="AK88" s="83">
        <v>0</v>
      </c>
      <c r="AL88" s="5">
        <f xml:space="preserve"> SUM( VfM_Metrics_2023_Consol_Source[[#This Row],[Tangible fixed assets: Housing properties at cost (Current period)2]], VfM_Metrics_2023_Consol_Source[[#This Row],[Tangible fixed assets Housing properties at valuation (Current period)2]] )</f>
        <v>3254855</v>
      </c>
      <c r="AM88" s="84" vm="1606">
        <v>3254855</v>
      </c>
      <c r="AN88" s="83" vm="1607">
        <v>0</v>
      </c>
      <c r="AO88" s="87">
        <f xml:space="preserve"> IFERROR( VfM_Metrics_2023_Consol_Source[[#This Row],[EBITDA MRI]] / VfM_Metrics_2023_Consol_Source[[#This Row],[Total interest]], "n/a" )</f>
        <v>0.73830924025665989</v>
      </c>
      <c r="AP8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59143</v>
      </c>
      <c r="AQ88" s="84" vm="1616">
        <v>94294</v>
      </c>
      <c r="AR88" s="84" vm="1617">
        <v>38918</v>
      </c>
      <c r="AS88" s="84" vm="1618">
        <v>0</v>
      </c>
      <c r="AT88" s="84" vm="8203">
        <v>12186</v>
      </c>
      <c r="AU88" s="84" vm="1619">
        <v>0</v>
      </c>
      <c r="AV88" s="84" vm="8310">
        <v>2417</v>
      </c>
      <c r="AW88" s="84" vm="7872">
        <v>36858</v>
      </c>
      <c r="AX88" s="84" vm="8309">
        <v>50394</v>
      </c>
      <c r="AY88" s="3">
        <f xml:space="preserve"> - SUM( VfM_Metrics_2023_Consol_Source[[#This Row],[Interest capitalised]], VfM_Metrics_2023_Consol_Source[[#This Row],[Interest payable and financing costs]] )</f>
        <v>80106</v>
      </c>
      <c r="AZ88" s="84" vm="1621">
        <v>-10927</v>
      </c>
      <c r="BA88" s="83" vm="1622">
        <v>-69179</v>
      </c>
      <c r="BB88" s="8">
        <f xml:space="preserve"> IFERROR( ( VfM_Metrics_2023_Consol_Source[[#This Row],[Total Costs]] / VfM_Metrics_2023_Consol_Source[[#This Row],[Total units for costs]] ) * 1000, "n/a" )</f>
        <v>5782.1143960616855</v>
      </c>
      <c r="BC8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212591</v>
      </c>
      <c r="BD88" s="84" vm="1623">
        <v>63721</v>
      </c>
      <c r="BE88" s="83" vm="1624">
        <v>30796</v>
      </c>
      <c r="BF88" s="83" vm="8049">
        <v>33747</v>
      </c>
      <c r="BG88" s="83" vm="1625">
        <v>21972</v>
      </c>
      <c r="BH88" s="83" vm="1626">
        <v>1722</v>
      </c>
      <c r="BI88" s="83" vm="1627">
        <v>93</v>
      </c>
      <c r="BJ88" s="83" vm="1620">
        <v>36858</v>
      </c>
      <c r="BK88" s="83" vm="1628">
        <v>0</v>
      </c>
      <c r="BL88" s="83" vm="8299">
        <v>0</v>
      </c>
      <c r="BM88" s="83" vm="8052">
        <v>2644</v>
      </c>
      <c r="BN88" s="83" vm="8198">
        <v>21038</v>
      </c>
      <c r="BO88" s="83" vm="8379">
        <v>0</v>
      </c>
      <c r="BP88" s="5" vm="1602">
        <f xml:space="preserve"> VfM_Metrics_2023_Consol_Source[[#This Row],[Total social housing units owned and/or managed at period end]]</f>
        <v>36767</v>
      </c>
      <c r="BQ88" s="84" vm="1602">
        <v>36767</v>
      </c>
      <c r="BR88" s="7">
        <f xml:space="preserve"> IFERROR( VfM_Metrics_2023_Consol_Source[[#This Row],[SHL operating surplus / (deficit)]] / VfM_Metrics_2023_Consol_Source[[#This Row],[Turnover from social housing lettings]], "n/a" )</f>
        <v>0.24583590258175955</v>
      </c>
      <c r="BS88" s="5" vm="1630">
        <f xml:space="preserve"> VfM_Metrics_2023_Consol_Source[[#This Row],[Operating surplus/(deficit) (social housing lettings)]]</f>
        <v>64188</v>
      </c>
      <c r="BT88" s="84" vm="1630">
        <v>64188</v>
      </c>
      <c r="BU88" s="5" vm="1631">
        <f xml:space="preserve"> VfM_Metrics_2023_Consol_Source[[#This Row],[Turnover from social housing lettings]]</f>
        <v>261101</v>
      </c>
      <c r="BV88" s="84" vm="1631">
        <v>261101</v>
      </c>
      <c r="BW88" s="7">
        <f xml:space="preserve"> IFERROR( VfM_Metrics_2023_Consol_Source[[#This Row],[Net operating surplus]] / VfM_Metrics_2023_Consol_Source[[#This Row],[Overall turnover]], "n/a" )</f>
        <v>0.15239353285173718</v>
      </c>
      <c r="BX8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55376</v>
      </c>
      <c r="BY88" s="84" vm="1616">
        <v>94294</v>
      </c>
      <c r="BZ88" s="83" vm="2735">
        <v>38918</v>
      </c>
      <c r="CA88" s="83" vm="8051">
        <v>0</v>
      </c>
      <c r="CB88" s="5" vm="2141">
        <f xml:space="preserve"> VfM_Metrics_2023_Consol_Source[[#This Row],[Turnover (overall)]]</f>
        <v>363375</v>
      </c>
      <c r="CC88" s="84" vm="2141">
        <v>363375</v>
      </c>
      <c r="CD88" s="7">
        <f xml:space="preserve"> IFERROR( VfM_Metrics_2023_Consol_Source[[#This Row],[Operating surplus including from JVs]] / VfM_Metrics_2023_Consol_Source[[#This Row],[Net assets]], "n/a" )</f>
        <v>2.7692030856635418E-2</v>
      </c>
      <c r="CE88" s="5">
        <f xml:space="preserve"> SUM( VfM_Metrics_2023_Consol_Source[[#This Row],[Operating surplus/(deficit) (overall)3]], VfM_Metrics_2023_Consol_Source[[#This Row],[Share of operating surplus/(deficit) in joint ventures or associates]] )</f>
        <v>99415</v>
      </c>
      <c r="CF88" s="84" vm="8288">
        <v>94294</v>
      </c>
      <c r="CG88" s="83" vm="1496">
        <v>5121</v>
      </c>
      <c r="CH88" s="5" vm="1269">
        <f xml:space="preserve"> VfM_Metrics_2023_Consol_Source[[#This Row],[Total assets less current liabilities]]</f>
        <v>3590022</v>
      </c>
      <c r="CI88" s="84" vm="1269">
        <v>3590022</v>
      </c>
      <c r="CJ88" s="71" vm="1601">
        <f xml:space="preserve"> VfM_Metrics_2023_Consol_Source[[#This Row],[Total social housing units owned (Period end)]]</f>
        <v>34455</v>
      </c>
      <c r="CK88" s="103">
        <v>3.4118744896768922E-2</v>
      </c>
      <c r="CL88" s="6">
        <f xml:space="preserve"> -- ( VfM_Metrics_2023_Consol_Source[[#This Row],[% Supported housing (excl. HOP)]] &gt; 0.3 )</f>
        <v>0</v>
      </c>
      <c r="CM88" s="103">
        <v>4.2254753295229208E-2</v>
      </c>
      <c r="CN88" s="6">
        <f xml:space="preserve"> -- ( VfM_Metrics_2023_Consol_Source[[#This Row],[% Housing for older people]] &gt; 0.3 )</f>
        <v>0</v>
      </c>
      <c r="CO88" s="103">
        <f xml:space="preserve"> VfM_Metrics_2023_Consol_Source[[#This Row],[% Supported housing (excl. HOP)]] + VfM_Metrics_2023_Consol_Source[[#This Row],[% Housing for older people]]</f>
        <v>7.6373498191998124E-2</v>
      </c>
      <c r="CP88" s="6">
        <f xml:space="preserve"> -- ( VfM_Metrics_2023_Consol_Source[[#This Row],[SH specialist in RSH analysis]] + VfM_Metrics_2023_Consol_Source[[#This Row],[OP specialist in RSH analysis]] &gt; 0 )</f>
        <v>0</v>
      </c>
      <c r="CQ88" s="10">
        <f xml:space="preserve"> -- ( VfM_Metrics_2023_Consol_Source[[#This Row],[% SH and OP]] &gt; 0.3 )</f>
        <v>0</v>
      </c>
      <c r="CR88" s="104" t="s">
        <v>143</v>
      </c>
      <c r="CS88" s="124" t="s">
        <v>144</v>
      </c>
      <c r="CT88" s="105"/>
      <c r="CU8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88" s="85">
        <v>0.4638433064210557</v>
      </c>
      <c r="CW88" s="85">
        <v>0.49672097700311874</v>
      </c>
      <c r="CX88" s="85">
        <v>0</v>
      </c>
      <c r="CY88" s="85">
        <v>5.7710804745110611E-3</v>
      </c>
      <c r="CZ88" s="85">
        <v>0</v>
      </c>
      <c r="DA88" s="85">
        <v>3.3664636101314524E-2</v>
      </c>
      <c r="DB88" s="85">
        <v>0</v>
      </c>
      <c r="DC88" s="85">
        <v>0</v>
      </c>
      <c r="DD88" s="85">
        <v>0</v>
      </c>
      <c r="DE88" s="13">
        <v>1.0911822845529033</v>
      </c>
    </row>
    <row r="89" spans="1:109" x14ac:dyDescent="0.25">
      <c r="A89" s="4" t="s" vm="304">
        <v>302</v>
      </c>
      <c r="B89" s="2" t="s" vm="79">
        <v>303</v>
      </c>
      <c r="C89" s="72" vm="472">
        <v>45016</v>
      </c>
      <c r="D89" s="7">
        <f>IFERROR( VfM_Metrics_2023_Consol_Source[[#This Row],[Reinvestment Spend]] / VfM_Metrics_2023_Consol_Source[[#This Row],[Net Book Value of Housing Properties]], "n/a" )</f>
        <v>5.8761061946902657E-2</v>
      </c>
      <c r="E8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166</v>
      </c>
      <c r="F89" s="83" vm="3483">
        <v>0</v>
      </c>
      <c r="G89" s="83" vm="3484">
        <v>166</v>
      </c>
      <c r="H89" s="83" vm="2363">
        <v>0</v>
      </c>
      <c r="I89" s="83" vm="3485">
        <v>0</v>
      </c>
      <c r="J89" s="83" vm="3486">
        <v>0</v>
      </c>
      <c r="K89" s="5">
        <f xml:space="preserve"> SUM( VfM_Metrics_2023_Consol_Source[[#This Row],[Tangible fixed assets: Housing properties at cost (Current period)]],VfM_Metrics_2023_Consol_Source[[#This Row],[Tangible fixed assets Housing properties at valuation (Current period)]] )</f>
        <v>2825</v>
      </c>
      <c r="L89" s="84" vm="3487">
        <v>2825</v>
      </c>
      <c r="M89" s="83">
        <v>0</v>
      </c>
      <c r="N89" s="7">
        <f xml:space="preserve"> IFERROR( VfM_Metrics_2023_Consol_Source[[#This Row],[Total social units developed or newly built units acquired in-year]] / VfM_Metrics_2023_Consol_Source[[#This Row],[Social housing units owned (period end)]], "n/a" )</f>
        <v>0.11229377328366152</v>
      </c>
      <c r="O89" s="5">
        <f xml:space="preserve"> SUM( VfM_Metrics_2023_Consol_Source[[#This Row],[Total social units developed or newly built units acquired in-year (owned)]], VfM_Metrics_2023_Consol_Source[[#This Row],[Total social leasehold units developed or newly built units acquired in-year (owned)]] )</f>
        <v>422</v>
      </c>
      <c r="P89" s="84" vm="3488">
        <v>422</v>
      </c>
      <c r="Q89" s="83">
        <v>0</v>
      </c>
      <c r="R89" s="5">
        <f xml:space="preserve"> SUM( VfM_Metrics_2023_Consol_Source[[#This Row],[Total social housing units owned (Period end)]], VfM_Metrics_2023_Consol_Source[[#This Row],[Total social leasehold units owned (Period end)]] )</f>
        <v>3758</v>
      </c>
      <c r="S89" s="84" vm="3482">
        <v>3758</v>
      </c>
      <c r="T89" s="83" vm="3489">
        <v>0</v>
      </c>
      <c r="U89" s="86">
        <f xml:space="preserve"> IFERROR( VfM_Metrics_2023_Consol_Source[[#This Row],[Total non-social housing units developed or newly built units acquired (owned)]] / VfM_Metrics_2023_Consol_Source[[#This Row],[Total social and non-social housing units owned (Period end)]], "n/a" )</f>
        <v>0</v>
      </c>
      <c r="V8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89" s="83">
        <v>0</v>
      </c>
      <c r="X89" s="83">
        <v>0</v>
      </c>
      <c r="Y89" s="83">
        <v>0</v>
      </c>
      <c r="Z8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3758</v>
      </c>
      <c r="AA89" s="84" vm="7825">
        <v>3758</v>
      </c>
      <c r="AB89" s="83" vm="3489">
        <v>0</v>
      </c>
      <c r="AC89" s="83" vm="3490">
        <v>0</v>
      </c>
      <c r="AD89" s="83" vm="6997">
        <v>0</v>
      </c>
      <c r="AE89" s="7">
        <f xml:space="preserve"> IFERROR( VfM_Metrics_2023_Consol_Source[[#This Row],[Total Net Debt]] / VfM_Metrics_2023_Consol_Source[[#This Row],[Net Book Value of Housing Properties2]], "n/a" )</f>
        <v>-7.2028318584070794</v>
      </c>
      <c r="AF8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-20348</v>
      </c>
      <c r="AG89" s="84">
        <v>0</v>
      </c>
      <c r="AH89" s="83">
        <v>0</v>
      </c>
      <c r="AI89" s="83" vm="3491">
        <v>20348</v>
      </c>
      <c r="AJ89" s="83" vm="1675">
        <v>0</v>
      </c>
      <c r="AK89" s="83">
        <v>0</v>
      </c>
      <c r="AL89" s="5">
        <f xml:space="preserve"> SUM( VfM_Metrics_2023_Consol_Source[[#This Row],[Tangible fixed assets: Housing properties at cost (Current period)2]], VfM_Metrics_2023_Consol_Source[[#This Row],[Tangible fixed assets Housing properties at valuation (Current period)2]] )</f>
        <v>2825</v>
      </c>
      <c r="AM89" s="84" vm="3487">
        <v>2825</v>
      </c>
      <c r="AN89" s="83">
        <v>0</v>
      </c>
      <c r="AO89" s="87" t="str">
        <f xml:space="preserve"> IFERROR( VfM_Metrics_2023_Consol_Source[[#This Row],[EBITDA MRI]] / VfM_Metrics_2023_Consol_Source[[#This Row],[Total interest]], "n/a" )</f>
        <v>n/a</v>
      </c>
      <c r="AP8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3744</v>
      </c>
      <c r="AQ89" s="84" vm="3492">
        <v>3281</v>
      </c>
      <c r="AR89" s="84">
        <v>0</v>
      </c>
      <c r="AS89" s="84">
        <v>0</v>
      </c>
      <c r="AT89" s="84" vm="3494">
        <v>0</v>
      </c>
      <c r="AU89" s="84" vm="3495">
        <v>0</v>
      </c>
      <c r="AV89" s="84" vm="3496">
        <v>361</v>
      </c>
      <c r="AW89" s="84" vm="3497">
        <v>0</v>
      </c>
      <c r="AX89" s="84" vm="3498">
        <v>102</v>
      </c>
      <c r="AY89" s="3">
        <f xml:space="preserve"> - SUM( VfM_Metrics_2023_Consol_Source[[#This Row],[Interest capitalised]], VfM_Metrics_2023_Consol_Source[[#This Row],[Interest payable and financing costs]] )</f>
        <v>0</v>
      </c>
      <c r="AZ89" s="84">
        <v>0</v>
      </c>
      <c r="BA89" s="83" vm="7418">
        <v>0</v>
      </c>
      <c r="BB89" s="8">
        <f xml:space="preserve"> IFERROR( ( VfM_Metrics_2023_Consol_Source[[#This Row],[Total Costs]] / VfM_Metrics_2023_Consol_Source[[#This Row],[Total units for costs]] ) * 1000, "n/a" )</f>
        <v>16439.595529536986</v>
      </c>
      <c r="BC8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61780</v>
      </c>
      <c r="BD89" s="84" vm="3472">
        <v>7335</v>
      </c>
      <c r="BE89" s="83" vm="3499">
        <v>5503</v>
      </c>
      <c r="BF89" s="83" vm="3500">
        <v>3294</v>
      </c>
      <c r="BG89" s="83" vm="3501">
        <v>3877</v>
      </c>
      <c r="BH89" s="83" vm="3502">
        <v>0</v>
      </c>
      <c r="BI89" s="83" vm="3503">
        <v>39184</v>
      </c>
      <c r="BJ89" s="83" vm="3497">
        <v>0</v>
      </c>
      <c r="BK89" s="83" vm="3504">
        <v>0</v>
      </c>
      <c r="BL89" s="83" vm="3505">
        <v>309</v>
      </c>
      <c r="BM89" s="83">
        <v>0</v>
      </c>
      <c r="BN89" s="83" vm="3506">
        <v>1391</v>
      </c>
      <c r="BO89" s="83" vm="3507">
        <v>887</v>
      </c>
      <c r="BP89" s="5" vm="7417">
        <f xml:space="preserve"> VfM_Metrics_2023_Consol_Source[[#This Row],[Total social housing units owned and/or managed at period end]]</f>
        <v>3758</v>
      </c>
      <c r="BQ89" s="84" vm="7417">
        <v>3758</v>
      </c>
      <c r="BR89" s="7">
        <f xml:space="preserve"> IFERROR( VfM_Metrics_2023_Consol_Source[[#This Row],[SHL operating surplus / (deficit)]] / VfM_Metrics_2023_Consol_Source[[#This Row],[Turnover from social housing lettings]], "n/a" )</f>
        <v>5.5904173352185171E-2</v>
      </c>
      <c r="BS89" s="5" vm="3508">
        <f xml:space="preserve"> VfM_Metrics_2023_Consol_Source[[#This Row],[Operating surplus/(deficit) (social housing lettings)]]</f>
        <v>3519</v>
      </c>
      <c r="BT89" s="84" vm="3508">
        <v>3519</v>
      </c>
      <c r="BU89" s="5" vm="3509">
        <f xml:space="preserve"> VfM_Metrics_2023_Consol_Source[[#This Row],[Turnover from social housing lettings]]</f>
        <v>62947</v>
      </c>
      <c r="BV89" s="84" vm="3509">
        <v>62947</v>
      </c>
      <c r="BW89" s="7">
        <f xml:space="preserve"> IFERROR( VfM_Metrics_2023_Consol_Source[[#This Row],[Net operating surplus]] / VfM_Metrics_2023_Consol_Source[[#This Row],[Overall turnover]], "n/a" )</f>
        <v>4.9980196813210247E-2</v>
      </c>
      <c r="BX8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3281</v>
      </c>
      <c r="BY89" s="84" vm="3492">
        <v>3281</v>
      </c>
      <c r="BZ89" s="83">
        <v>0</v>
      </c>
      <c r="CA89" s="83">
        <v>0</v>
      </c>
      <c r="CB89" s="5">
        <f xml:space="preserve"> VfM_Metrics_2023_Consol_Source[[#This Row],[Turnover (overall)]]</f>
        <v>65646</v>
      </c>
      <c r="CC89" s="84">
        <v>65646</v>
      </c>
      <c r="CD89" s="7">
        <f xml:space="preserve"> IFERROR( VfM_Metrics_2023_Consol_Source[[#This Row],[Operating surplus including from JVs]] / VfM_Metrics_2023_Consol_Source[[#This Row],[Net assets]], "n/a" )</f>
        <v>0.14566037735849058</v>
      </c>
      <c r="CE89" s="5">
        <f xml:space="preserve"> SUM( VfM_Metrics_2023_Consol_Source[[#This Row],[Operating surplus/(deficit) (overall)3]], VfM_Metrics_2023_Consol_Source[[#This Row],[Share of operating surplus/(deficit) in joint ventures or associates]] )</f>
        <v>3281</v>
      </c>
      <c r="CF89" s="84" vm="6996">
        <v>3281</v>
      </c>
      <c r="CG89" s="83">
        <v>0</v>
      </c>
      <c r="CH89" s="5">
        <f xml:space="preserve"> VfM_Metrics_2023_Consol_Source[[#This Row],[Total assets less current liabilities]]</f>
        <v>22525</v>
      </c>
      <c r="CI89" s="84">
        <v>22525</v>
      </c>
      <c r="CJ89" s="71" vm="3482">
        <f xml:space="preserve"> VfM_Metrics_2023_Consol_Source[[#This Row],[Total social housing units owned (Period end)]]</f>
        <v>3758</v>
      </c>
      <c r="CK89" s="103">
        <v>0.96487493347525277</v>
      </c>
      <c r="CL89" s="6">
        <f xml:space="preserve"> -- ( VfM_Metrics_2023_Consol_Source[[#This Row],[% Supported housing (excl. HOP)]] &gt; 0.3 )</f>
        <v>1</v>
      </c>
      <c r="CM89" s="103">
        <v>3.3262373602980309E-2</v>
      </c>
      <c r="CN89" s="6">
        <f xml:space="preserve"> -- ( VfM_Metrics_2023_Consol_Source[[#This Row],[% Housing for older people]] &gt; 0.3 )</f>
        <v>0</v>
      </c>
      <c r="CO89" s="103">
        <f xml:space="preserve"> VfM_Metrics_2023_Consol_Source[[#This Row],[% Supported housing (excl. HOP)]] + VfM_Metrics_2023_Consol_Source[[#This Row],[% Housing for older people]]</f>
        <v>0.99813730707823312</v>
      </c>
      <c r="CP89" s="6">
        <f xml:space="preserve"> -- ( VfM_Metrics_2023_Consol_Source[[#This Row],[SH specialist in RSH analysis]] + VfM_Metrics_2023_Consol_Source[[#This Row],[OP specialist in RSH analysis]] &gt; 0 )</f>
        <v>1</v>
      </c>
      <c r="CQ89" s="10">
        <f xml:space="preserve"> -- ( VfM_Metrics_2023_Consol_Source[[#This Row],[% SH and OP]] &gt; 0.3 )</f>
        <v>1</v>
      </c>
      <c r="CR89" s="104" t="s">
        <v>143</v>
      </c>
      <c r="CS89" s="124" t="s">
        <v>144</v>
      </c>
      <c r="CT89" s="105"/>
      <c r="CU8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89" s="85">
        <v>2.415591545429591E-2</v>
      </c>
      <c r="CW89" s="85">
        <v>5.9566291517979687E-2</v>
      </c>
      <c r="CX89" s="85">
        <v>5.3252813615152349E-2</v>
      </c>
      <c r="CY89" s="85">
        <v>0.14054350809772165</v>
      </c>
      <c r="CZ89" s="85">
        <v>0.2034037880867417</v>
      </c>
      <c r="DA89" s="85">
        <v>6.0664287674993135E-2</v>
      </c>
      <c r="DB89" s="85">
        <v>7.987922042272852E-2</v>
      </c>
      <c r="DC89" s="85">
        <v>0.24348064781773263</v>
      </c>
      <c r="DD89" s="85">
        <v>0.13505352731265441</v>
      </c>
      <c r="DE89" s="13">
        <v>0.96551039520231197</v>
      </c>
    </row>
    <row r="90" spans="1:109" x14ac:dyDescent="0.25">
      <c r="A90" s="4" t="s" vm="339">
        <v>304</v>
      </c>
      <c r="B90" s="2" t="s" vm="80">
        <v>305</v>
      </c>
      <c r="C90" s="72" vm="459">
        <v>45016</v>
      </c>
      <c r="D90" s="7">
        <f>IFERROR( VfM_Metrics_2023_Consol_Source[[#This Row],[Reinvestment Spend]] / VfM_Metrics_2023_Consol_Source[[#This Row],[Net Book Value of Housing Properties]], "n/a" )</f>
        <v>0.11045786123070164</v>
      </c>
      <c r="E9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48773</v>
      </c>
      <c r="F90" s="83" vm="4699">
        <v>14519</v>
      </c>
      <c r="G90" s="83" vm="4700">
        <v>14839</v>
      </c>
      <c r="H90" s="83" vm="3481">
        <v>18864</v>
      </c>
      <c r="I90" s="83" vm="4701">
        <v>551</v>
      </c>
      <c r="J90" s="83" vm="4702">
        <v>0</v>
      </c>
      <c r="K90" s="5">
        <f xml:space="preserve"> SUM( VfM_Metrics_2023_Consol_Source[[#This Row],[Tangible fixed assets: Housing properties at cost (Current period)]],VfM_Metrics_2023_Consol_Source[[#This Row],[Tangible fixed assets Housing properties at valuation (Current period)]] )</f>
        <v>441553</v>
      </c>
      <c r="L90" s="84" vm="4703">
        <v>441553</v>
      </c>
      <c r="M90" s="83" vm="4704">
        <v>0</v>
      </c>
      <c r="N90" s="7">
        <f xml:space="preserve"> IFERROR( VfM_Metrics_2023_Consol_Source[[#This Row],[Total social units developed or newly built units acquired in-year]] / VfM_Metrics_2023_Consol_Source[[#This Row],[Social housing units owned (period end)]], "n/a" )</f>
        <v>4.3010752688172043E-3</v>
      </c>
      <c r="O90" s="5">
        <f xml:space="preserve"> SUM( VfM_Metrics_2023_Consol_Source[[#This Row],[Total social units developed or newly built units acquired in-year (owned)]], VfM_Metrics_2023_Consol_Source[[#This Row],[Total social leasehold units developed or newly built units acquired in-year (owned)]] )</f>
        <v>96</v>
      </c>
      <c r="P90" s="84" vm="4705">
        <v>84</v>
      </c>
      <c r="Q90" s="83" vm="4706">
        <v>12</v>
      </c>
      <c r="R90" s="5">
        <f xml:space="preserve"> SUM( VfM_Metrics_2023_Consol_Source[[#This Row],[Total social housing units owned (Period end)]], VfM_Metrics_2023_Consol_Source[[#This Row],[Total social leasehold units owned (Period end)]] )</f>
        <v>22320</v>
      </c>
      <c r="S90" s="84" vm="4697">
        <v>21192</v>
      </c>
      <c r="T90" s="83" vm="4707">
        <v>1128</v>
      </c>
      <c r="U90" s="86">
        <f xml:space="preserve"> IFERROR( VfM_Metrics_2023_Consol_Source[[#This Row],[Total non-social housing units developed or newly built units acquired (owned)]] / VfM_Metrics_2023_Consol_Source[[#This Row],[Total social and non-social housing units owned (Period end)]], "n/a" )</f>
        <v>0</v>
      </c>
      <c r="V9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90" s="83" vm="4708">
        <v>0</v>
      </c>
      <c r="X90" s="83" vm="4709">
        <v>0</v>
      </c>
      <c r="Y90" s="83" vm="4710">
        <v>0</v>
      </c>
      <c r="Z9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22340</v>
      </c>
      <c r="AA90" s="84" vm="4697">
        <v>21192</v>
      </c>
      <c r="AB90" s="83" vm="4707">
        <v>1128</v>
      </c>
      <c r="AC90" s="83" vm="4711">
        <v>20</v>
      </c>
      <c r="AD90" s="83" vm="4853">
        <v>0</v>
      </c>
      <c r="AE90" s="7">
        <f xml:space="preserve"> IFERROR( VfM_Metrics_2023_Consol_Source[[#This Row],[Total Net Debt]] / VfM_Metrics_2023_Consol_Source[[#This Row],[Net Book Value of Housing Properties2]], "n/a" )</f>
        <v>0.61820211843198891</v>
      </c>
      <c r="AF9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272969</v>
      </c>
      <c r="AG90" s="84" vm="4712">
        <v>73</v>
      </c>
      <c r="AH90" s="83" vm="4713">
        <v>279634</v>
      </c>
      <c r="AI90" s="83" vm="4714">
        <v>6738</v>
      </c>
      <c r="AJ90" s="83" vm="4715">
        <v>0</v>
      </c>
      <c r="AK90" s="83" vm="4716">
        <v>0</v>
      </c>
      <c r="AL90" s="5">
        <f xml:space="preserve"> SUM( VfM_Metrics_2023_Consol_Source[[#This Row],[Tangible fixed assets: Housing properties at cost (Current period)2]], VfM_Metrics_2023_Consol_Source[[#This Row],[Tangible fixed assets Housing properties at valuation (Current period)2]] )</f>
        <v>441553</v>
      </c>
      <c r="AM90" s="84" vm="4703">
        <v>441553</v>
      </c>
      <c r="AN90" s="83" vm="4704">
        <v>0</v>
      </c>
      <c r="AO90" s="87">
        <f xml:space="preserve"> IFERROR( VfM_Metrics_2023_Consol_Source[[#This Row],[EBITDA MRI]] / VfM_Metrics_2023_Consol_Source[[#This Row],[Total interest]], "n/a" )</f>
        <v>0.12554112554112554</v>
      </c>
      <c r="AP9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1508</v>
      </c>
      <c r="AQ90" s="84" vm="4717">
        <v>11960</v>
      </c>
      <c r="AR90" s="84" vm="4718">
        <v>6359</v>
      </c>
      <c r="AS90" s="84" vm="4719">
        <v>44</v>
      </c>
      <c r="AT90" s="84" vm="4720">
        <v>898</v>
      </c>
      <c r="AU90" s="84" vm="4721">
        <v>1057</v>
      </c>
      <c r="AV90" s="84" vm="7405">
        <v>213</v>
      </c>
      <c r="AW90" s="84" vm="4722">
        <v>18864</v>
      </c>
      <c r="AX90" s="84" vm="4723">
        <v>16557</v>
      </c>
      <c r="AY90" s="3">
        <f xml:space="preserve"> - SUM( VfM_Metrics_2023_Consol_Source[[#This Row],[Interest capitalised]], VfM_Metrics_2023_Consol_Source[[#This Row],[Interest payable and financing costs]] )</f>
        <v>12012</v>
      </c>
      <c r="AZ90" s="84" vm="4724">
        <v>-551</v>
      </c>
      <c r="BA90" s="83" vm="4725">
        <v>-11461</v>
      </c>
      <c r="BB90" s="8">
        <f xml:space="preserve"> IFERROR( ( VfM_Metrics_2023_Consol_Source[[#This Row],[Total Costs]] / VfM_Metrics_2023_Consol_Source[[#This Row],[Total units for costs]] ) * 1000, "n/a" )</f>
        <v>4534.7519048504</v>
      </c>
      <c r="BC9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97606</v>
      </c>
      <c r="BD90" s="84" vm="4726">
        <v>28049</v>
      </c>
      <c r="BE90" s="83" vm="4727">
        <v>10650</v>
      </c>
      <c r="BF90" s="83" vm="4728">
        <v>24661</v>
      </c>
      <c r="BG90" s="83" vm="4729">
        <v>3378</v>
      </c>
      <c r="BH90" s="83" vm="4730">
        <v>1562</v>
      </c>
      <c r="BI90" s="83" vm="4731">
        <v>0</v>
      </c>
      <c r="BJ90" s="83" vm="4722">
        <v>18864</v>
      </c>
      <c r="BK90" s="83" vm="4732">
        <v>9882</v>
      </c>
      <c r="BL90" s="83" vm="4733">
        <v>0</v>
      </c>
      <c r="BM90" s="83" vm="4734">
        <v>0</v>
      </c>
      <c r="BN90" s="83" vm="4735">
        <v>160</v>
      </c>
      <c r="BO90" s="83" vm="4736">
        <v>400</v>
      </c>
      <c r="BP90" s="5" vm="4698">
        <f xml:space="preserve"> VfM_Metrics_2023_Consol_Source[[#This Row],[Total social housing units owned and/or managed at period end]]</f>
        <v>21524</v>
      </c>
      <c r="BQ90" s="84" vm="4698">
        <v>21524</v>
      </c>
      <c r="BR90" s="7">
        <f xml:space="preserve"> IFERROR( VfM_Metrics_2023_Consol_Source[[#This Row],[SHL operating surplus / (deficit)]] / VfM_Metrics_2023_Consol_Source[[#This Row],[Turnover from social housing lettings]], "n/a" )</f>
        <v>3.9072294191391556E-2</v>
      </c>
      <c r="BS90" s="5" vm="4737">
        <f xml:space="preserve"> VfM_Metrics_2023_Consol_Source[[#This Row],[Operating surplus/(deficit) (social housing lettings)]]</f>
        <v>3927</v>
      </c>
      <c r="BT90" s="84" vm="4737">
        <v>3927</v>
      </c>
      <c r="BU90" s="5" vm="4738">
        <f xml:space="preserve"> VfM_Metrics_2023_Consol_Source[[#This Row],[Turnover from social housing lettings]]</f>
        <v>100506</v>
      </c>
      <c r="BV90" s="84" vm="4738">
        <v>100506</v>
      </c>
      <c r="BW90" s="7">
        <f xml:space="preserve"> IFERROR( VfM_Metrics_2023_Consol_Source[[#This Row],[Net operating surplus]] / VfM_Metrics_2023_Consol_Source[[#This Row],[Overall turnover]], "n/a" )</f>
        <v>5.3204526741091093E-2</v>
      </c>
      <c r="BX9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5557</v>
      </c>
      <c r="BY90" s="84" vm="4717">
        <v>11960</v>
      </c>
      <c r="BZ90" s="83" vm="4718">
        <v>6359</v>
      </c>
      <c r="CA90" s="83" vm="4719">
        <v>44</v>
      </c>
      <c r="CB90" s="5" vm="4739">
        <f xml:space="preserve"> VfM_Metrics_2023_Consol_Source[[#This Row],[Turnover (overall)]]</f>
        <v>104446</v>
      </c>
      <c r="CC90" s="84" vm="4739">
        <v>104446</v>
      </c>
      <c r="CD90" s="7">
        <f xml:space="preserve"> IFERROR( VfM_Metrics_2023_Consol_Source[[#This Row],[Operating surplus including from JVs]] / VfM_Metrics_2023_Consol_Source[[#This Row],[Net assets]], "n/a" )</f>
        <v>2.6568390279878888E-2</v>
      </c>
      <c r="CE90" s="5">
        <f xml:space="preserve"> SUM( VfM_Metrics_2023_Consol_Source[[#This Row],[Operating surplus/(deficit) (overall)3]], VfM_Metrics_2023_Consol_Source[[#This Row],[Share of operating surplus/(deficit) in joint ventures or associates]] )</f>
        <v>11960</v>
      </c>
      <c r="CF90" s="84" vm="4717">
        <v>11960</v>
      </c>
      <c r="CG90" s="83" vm="4740">
        <v>0</v>
      </c>
      <c r="CH90" s="5" vm="4627">
        <f xml:space="preserve"> VfM_Metrics_2023_Consol_Source[[#This Row],[Total assets less current liabilities]]</f>
        <v>450159</v>
      </c>
      <c r="CI90" s="84" vm="4627">
        <v>450159</v>
      </c>
      <c r="CJ90" s="71" vm="4697">
        <f xml:space="preserve"> VfM_Metrics_2023_Consol_Source[[#This Row],[Total social housing units owned (Period end)]]</f>
        <v>21192</v>
      </c>
      <c r="CK90" s="103">
        <v>3.0689329556185078E-3</v>
      </c>
      <c r="CL90" s="6">
        <f xml:space="preserve"> -- ( VfM_Metrics_2023_Consol_Source[[#This Row],[% Supported housing (excl. HOP)]] &gt; 0.3 )</f>
        <v>0</v>
      </c>
      <c r="CM90" s="103">
        <v>3.375826251180359E-2</v>
      </c>
      <c r="CN90" s="6">
        <f xml:space="preserve"> -- ( VfM_Metrics_2023_Consol_Source[[#This Row],[% Housing for older people]] &gt; 0.3 )</f>
        <v>0</v>
      </c>
      <c r="CO90" s="103">
        <f xml:space="preserve"> VfM_Metrics_2023_Consol_Source[[#This Row],[% Supported housing (excl. HOP)]] + VfM_Metrics_2023_Consol_Source[[#This Row],[% Housing for older people]]</f>
        <v>3.6827195467422094E-2</v>
      </c>
      <c r="CP90" s="6">
        <f xml:space="preserve"> -- ( VfM_Metrics_2023_Consol_Source[[#This Row],[SH specialist in RSH analysis]] + VfM_Metrics_2023_Consol_Source[[#This Row],[OP specialist in RSH analysis]] &gt; 0 )</f>
        <v>0</v>
      </c>
      <c r="CQ90" s="10">
        <f xml:space="preserve"> -- ( VfM_Metrics_2023_Consol_Source[[#This Row],[% SH and OP]] &gt; 0.3 )</f>
        <v>0</v>
      </c>
      <c r="CR90" s="104" t="s">
        <v>143</v>
      </c>
      <c r="CS90" s="124"/>
      <c r="CT90" s="105" t="s">
        <v>151</v>
      </c>
      <c r="CU9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90" s="85">
        <v>0</v>
      </c>
      <c r="CW90" s="85">
        <v>0</v>
      </c>
      <c r="CX90" s="85">
        <v>0</v>
      </c>
      <c r="CY90" s="85">
        <v>0</v>
      </c>
      <c r="CZ90" s="85">
        <v>0</v>
      </c>
      <c r="DA90" s="85">
        <v>0</v>
      </c>
      <c r="DB90" s="85">
        <v>0</v>
      </c>
      <c r="DC90" s="85">
        <v>1.8875047187617969E-4</v>
      </c>
      <c r="DD90" s="85">
        <v>0.99981124952812384</v>
      </c>
      <c r="DE90" s="13">
        <v>0.94459432275279764</v>
      </c>
    </row>
    <row r="91" spans="1:109" x14ac:dyDescent="0.25">
      <c r="A91" s="4" t="s" vm="216">
        <v>306</v>
      </c>
      <c r="B91" s="2" t="s" vm="81">
        <v>307</v>
      </c>
      <c r="C91" s="72" vm="524">
        <v>45016</v>
      </c>
      <c r="D91" s="7">
        <f>IFERROR( VfM_Metrics_2023_Consol_Source[[#This Row],[Reinvestment Spend]] / VfM_Metrics_2023_Consol_Source[[#This Row],[Net Book Value of Housing Properties]], "n/a" )</f>
        <v>7.7051904551709814E-3</v>
      </c>
      <c r="E9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1187</v>
      </c>
      <c r="F91" s="83" vm="1183">
        <v>0</v>
      </c>
      <c r="G91" s="83" vm="8882">
        <v>0</v>
      </c>
      <c r="H91" s="83" vm="8921">
        <v>1117</v>
      </c>
      <c r="I91" s="83" vm="8654">
        <v>70</v>
      </c>
      <c r="J91" s="83" vm="1230">
        <v>0</v>
      </c>
      <c r="K91" s="5">
        <f xml:space="preserve"> SUM( VfM_Metrics_2023_Consol_Source[[#This Row],[Tangible fixed assets: Housing properties at cost (Current period)]],VfM_Metrics_2023_Consol_Source[[#This Row],[Tangible fixed assets Housing properties at valuation (Current period)]] )</f>
        <v>154052</v>
      </c>
      <c r="L91" s="84" vm="934">
        <v>154052</v>
      </c>
      <c r="M91" s="83" vm="831">
        <v>0</v>
      </c>
      <c r="N91" s="7">
        <f xml:space="preserve"> IFERROR( VfM_Metrics_2023_Consol_Source[[#This Row],[Total social units developed or newly built units acquired in-year]] / VfM_Metrics_2023_Consol_Source[[#This Row],[Social housing units owned (period end)]], "n/a" )</f>
        <v>0</v>
      </c>
      <c r="O91" s="5">
        <f xml:space="preserve"> SUM( VfM_Metrics_2023_Consol_Source[[#This Row],[Total social units developed or newly built units acquired in-year (owned)]], VfM_Metrics_2023_Consol_Source[[#This Row],[Total social leasehold units developed or newly built units acquired in-year (owned)]] )</f>
        <v>0</v>
      </c>
      <c r="P91" s="84" vm="8881">
        <v>0</v>
      </c>
      <c r="Q91" s="83" vm="1277">
        <v>0</v>
      </c>
      <c r="R91" s="5">
        <f xml:space="preserve"> SUM( VfM_Metrics_2023_Consol_Source[[#This Row],[Total social housing units owned (Period end)]], VfM_Metrics_2023_Consol_Source[[#This Row],[Total social leasehold units owned (Period end)]] )</f>
        <v>1332</v>
      </c>
      <c r="S91" s="84" vm="933">
        <v>1332</v>
      </c>
      <c r="T91" s="83" vm="935">
        <v>0</v>
      </c>
      <c r="U91" s="86">
        <f xml:space="preserve"> IFERROR( VfM_Metrics_2023_Consol_Source[[#This Row],[Total non-social housing units developed or newly built units acquired (owned)]] / VfM_Metrics_2023_Consol_Source[[#This Row],[Total social and non-social housing units owned (Period end)]], "n/a" )</f>
        <v>0</v>
      </c>
      <c r="V9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91" s="83" vm="901">
        <v>0</v>
      </c>
      <c r="X91" s="83" vm="9037">
        <v>0</v>
      </c>
      <c r="Y91" s="83" vm="936">
        <v>0</v>
      </c>
      <c r="Z9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1332</v>
      </c>
      <c r="AA91" s="84" vm="8659">
        <v>1332</v>
      </c>
      <c r="AB91" s="83" vm="950">
        <v>0</v>
      </c>
      <c r="AC91" s="83" vm="937">
        <v>0</v>
      </c>
      <c r="AD91" s="83" vm="937">
        <v>0</v>
      </c>
      <c r="AE91" s="7">
        <f xml:space="preserve"> IFERROR( VfM_Metrics_2023_Consol_Source[[#This Row],[Total Net Debt]] / VfM_Metrics_2023_Consol_Source[[#This Row],[Net Book Value of Housing Properties2]], "n/a" )</f>
        <v>0.30246280476722148</v>
      </c>
      <c r="AF9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46595</v>
      </c>
      <c r="AG91" s="84" vm="8823">
        <v>9017</v>
      </c>
      <c r="AH91" s="83" vm="8896">
        <v>53619</v>
      </c>
      <c r="AI91" s="83" vm="8641">
        <v>16041</v>
      </c>
      <c r="AJ91" s="83" vm="1169">
        <v>0</v>
      </c>
      <c r="AK91" s="83" vm="938">
        <v>0</v>
      </c>
      <c r="AL91" s="5">
        <f xml:space="preserve"> SUM( VfM_Metrics_2023_Consol_Source[[#This Row],[Tangible fixed assets: Housing properties at cost (Current period)2]], VfM_Metrics_2023_Consol_Source[[#This Row],[Tangible fixed assets Housing properties at valuation (Current period)2]] )</f>
        <v>154052</v>
      </c>
      <c r="AM91" s="84" vm="934">
        <v>154052</v>
      </c>
      <c r="AN91" s="83" vm="8657">
        <v>0</v>
      </c>
      <c r="AO91" s="87">
        <f xml:space="preserve"> IFERROR( VfM_Metrics_2023_Consol_Source[[#This Row],[EBITDA MRI]] / VfM_Metrics_2023_Consol_Source[[#This Row],[Total interest]], "n/a" )</f>
        <v>0.8956086286594761</v>
      </c>
      <c r="AP9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2325</v>
      </c>
      <c r="AQ91" s="84" vm="8684">
        <v>2640</v>
      </c>
      <c r="AR91" s="84" vm="940">
        <v>549</v>
      </c>
      <c r="AS91" s="84" vm="8744">
        <v>0</v>
      </c>
      <c r="AT91" s="84" vm="8801">
        <v>807</v>
      </c>
      <c r="AU91" s="84" vm="8860">
        <v>0</v>
      </c>
      <c r="AV91" s="84" vm="8637">
        <v>186</v>
      </c>
      <c r="AW91" s="84" vm="941">
        <v>1117</v>
      </c>
      <c r="AX91" s="84" vm="800">
        <v>1972</v>
      </c>
      <c r="AY91" s="3">
        <f xml:space="preserve"> - SUM( VfM_Metrics_2023_Consol_Source[[#This Row],[Interest capitalised]], VfM_Metrics_2023_Consol_Source[[#This Row],[Interest payable and financing costs]] )</f>
        <v>2596</v>
      </c>
      <c r="AZ91" s="84" vm="8876">
        <v>-70</v>
      </c>
      <c r="BA91" s="83" vm="8645">
        <v>-2526</v>
      </c>
      <c r="BB91" s="8">
        <f xml:space="preserve"> IFERROR( ( VfM_Metrics_2023_Consol_Source[[#This Row],[Total Costs]] / VfM_Metrics_2023_Consol_Source[[#This Row],[Total units for costs]] ) * 1000, "n/a" )</f>
        <v>6002.2522522522522</v>
      </c>
      <c r="BC9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7995</v>
      </c>
      <c r="BD91" s="84" vm="1000">
        <v>1790</v>
      </c>
      <c r="BE91" s="83" vm="8821">
        <v>888</v>
      </c>
      <c r="BF91" s="83" vm="8740">
        <v>1939</v>
      </c>
      <c r="BG91" s="83" vm="942">
        <v>1726</v>
      </c>
      <c r="BH91" s="83" vm="8895">
        <v>365</v>
      </c>
      <c r="BI91" s="83" vm="1095">
        <v>0</v>
      </c>
      <c r="BJ91" s="83" vm="8799">
        <v>1117</v>
      </c>
      <c r="BK91" s="83" vm="943">
        <v>130</v>
      </c>
      <c r="BL91" s="83" vm="8770">
        <v>40</v>
      </c>
      <c r="BM91" s="83" vm="8738">
        <v>0</v>
      </c>
      <c r="BN91" s="83" vm="8845">
        <v>0</v>
      </c>
      <c r="BO91" s="83" vm="8822">
        <v>0</v>
      </c>
      <c r="BP91" s="5" vm="8627">
        <f xml:space="preserve"> VfM_Metrics_2023_Consol_Source[[#This Row],[Total social housing units owned and/or managed at period end]]</f>
        <v>1332</v>
      </c>
      <c r="BQ91" s="84" vm="8627">
        <v>1332</v>
      </c>
      <c r="BR91" s="7">
        <f xml:space="preserve"> IFERROR( VfM_Metrics_2023_Consol_Source[[#This Row],[SHL operating surplus / (deficit)]] / VfM_Metrics_2023_Consol_Source[[#This Row],[Turnover from social housing lettings]], "n/a" )</f>
        <v>0.19708503527664314</v>
      </c>
      <c r="BS91" s="5" vm="945">
        <f xml:space="preserve"> VfM_Metrics_2023_Consol_Source[[#This Row],[Operating surplus/(deficit) (social housing lettings)]]</f>
        <v>2123</v>
      </c>
      <c r="BT91" s="84" vm="945">
        <v>2123</v>
      </c>
      <c r="BU91" s="5" vm="1146">
        <f xml:space="preserve"> VfM_Metrics_2023_Consol_Source[[#This Row],[Turnover from social housing lettings]]</f>
        <v>10772</v>
      </c>
      <c r="BV91" s="84" vm="1146">
        <v>10772</v>
      </c>
      <c r="BW91" s="7">
        <f xml:space="preserve"> IFERROR( VfM_Metrics_2023_Consol_Source[[#This Row],[Net operating surplus]] / VfM_Metrics_2023_Consol_Source[[#This Row],[Overall turnover]], "n/a" )</f>
        <v>0.19397031539888682</v>
      </c>
      <c r="BX9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2091</v>
      </c>
      <c r="BY91" s="84" vm="8764">
        <v>2640</v>
      </c>
      <c r="BZ91" s="83" vm="943">
        <v>549</v>
      </c>
      <c r="CA91" s="83" vm="975">
        <v>0</v>
      </c>
      <c r="CB91" s="5" vm="8611">
        <f xml:space="preserve"> VfM_Metrics_2023_Consol_Source[[#This Row],[Turnover (overall)]]</f>
        <v>10780</v>
      </c>
      <c r="CC91" s="84" vm="8611">
        <v>10780</v>
      </c>
      <c r="CD91" s="7">
        <f xml:space="preserve"> IFERROR( VfM_Metrics_2023_Consol_Source[[#This Row],[Operating surplus including from JVs]] / VfM_Metrics_2023_Consol_Source[[#This Row],[Net assets]], "n/a" )</f>
        <v>1.621362681635611E-2</v>
      </c>
      <c r="CE91" s="5">
        <f xml:space="preserve"> SUM( VfM_Metrics_2023_Consol_Source[[#This Row],[Operating surplus/(deficit) (overall)3]], VfM_Metrics_2023_Consol_Source[[#This Row],[Share of operating surplus/(deficit) in joint ventures or associates]] )</f>
        <v>2640</v>
      </c>
      <c r="CF91" s="84" vm="9025">
        <v>2640</v>
      </c>
      <c r="CG91" s="83" vm="8737">
        <v>0</v>
      </c>
      <c r="CH91" s="5" vm="8614">
        <f xml:space="preserve"> VfM_Metrics_2023_Consol_Source[[#This Row],[Total assets less current liabilities]]</f>
        <v>162826</v>
      </c>
      <c r="CI91" s="84" vm="8614">
        <v>162826</v>
      </c>
      <c r="CJ91" s="71" vm="933">
        <f xml:space="preserve"> VfM_Metrics_2023_Consol_Source[[#This Row],[Total social housing units owned (Period end)]]</f>
        <v>1332</v>
      </c>
      <c r="CK91" s="103">
        <v>0</v>
      </c>
      <c r="CL91" s="6">
        <f xml:space="preserve"> -- ( VfM_Metrics_2023_Consol_Source[[#This Row],[% Supported housing (excl. HOP)]] &gt; 0.3 )</f>
        <v>0</v>
      </c>
      <c r="CM91" s="103">
        <v>0</v>
      </c>
      <c r="CN91" s="6">
        <f xml:space="preserve"> -- ( VfM_Metrics_2023_Consol_Source[[#This Row],[% Housing for older people]] &gt; 0.3 )</f>
        <v>0</v>
      </c>
      <c r="CO91" s="103">
        <f xml:space="preserve"> VfM_Metrics_2023_Consol_Source[[#This Row],[% Supported housing (excl. HOP)]] + VfM_Metrics_2023_Consol_Source[[#This Row],[% Housing for older people]]</f>
        <v>0</v>
      </c>
      <c r="CP91" s="6">
        <f xml:space="preserve"> -- ( VfM_Metrics_2023_Consol_Source[[#This Row],[SH specialist in RSH analysis]] + VfM_Metrics_2023_Consol_Source[[#This Row],[OP specialist in RSH analysis]] &gt; 0 )</f>
        <v>0</v>
      </c>
      <c r="CQ91" s="10">
        <f xml:space="preserve"> -- ( VfM_Metrics_2023_Consol_Source[[#This Row],[% SH and OP]] &gt; 0.3 )</f>
        <v>0</v>
      </c>
      <c r="CR91" s="104" t="s">
        <v>143</v>
      </c>
      <c r="CS91" s="124" t="s">
        <v>144</v>
      </c>
      <c r="CT91" s="105"/>
      <c r="CU9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91" s="85">
        <v>0.93348450491307633</v>
      </c>
      <c r="CW91" s="85">
        <v>6.6515495086923657E-2</v>
      </c>
      <c r="CX91" s="85">
        <v>0</v>
      </c>
      <c r="CY91" s="85">
        <v>0</v>
      </c>
      <c r="CZ91" s="85">
        <v>0</v>
      </c>
      <c r="DA91" s="85">
        <v>0</v>
      </c>
      <c r="DB91" s="85">
        <v>0</v>
      </c>
      <c r="DC91" s="85">
        <v>0</v>
      </c>
      <c r="DD91" s="85">
        <v>0</v>
      </c>
      <c r="DE91" s="13">
        <v>1.1519453595393858</v>
      </c>
    </row>
    <row r="92" spans="1:109" x14ac:dyDescent="0.25">
      <c r="A92" s="4" t="s" vm="389">
        <v>308</v>
      </c>
      <c r="B92" s="2" t="s" vm="82">
        <v>309</v>
      </c>
      <c r="C92" s="72" vm="463">
        <v>45016</v>
      </c>
      <c r="D92" s="7">
        <f>IFERROR( VfM_Metrics_2023_Consol_Source[[#This Row],[Reinvestment Spend]] / VfM_Metrics_2023_Consol_Source[[#This Row],[Net Book Value of Housing Properties]], "n/a" )</f>
        <v>5.7461176890581306E-2</v>
      </c>
      <c r="E9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19315</v>
      </c>
      <c r="F92" s="83" vm="6550">
        <v>11595</v>
      </c>
      <c r="G92" s="83" vm="6551">
        <v>0</v>
      </c>
      <c r="H92" s="83" vm="6552">
        <v>7720</v>
      </c>
      <c r="I92" s="83" vm="6553">
        <v>0</v>
      </c>
      <c r="J92" s="83" vm="6554">
        <v>0</v>
      </c>
      <c r="K92" s="5">
        <f xml:space="preserve"> SUM( VfM_Metrics_2023_Consol_Source[[#This Row],[Tangible fixed assets: Housing properties at cost (Current period)]],VfM_Metrics_2023_Consol_Source[[#This Row],[Tangible fixed assets Housing properties at valuation (Current period)]] )</f>
        <v>336140</v>
      </c>
      <c r="L92" s="84" vm="6555">
        <v>336140</v>
      </c>
      <c r="M92" s="83" vm="6556">
        <v>0</v>
      </c>
      <c r="N92" s="7">
        <f xml:space="preserve"> IFERROR( VfM_Metrics_2023_Consol_Source[[#This Row],[Total social units developed or newly built units acquired in-year]] / VfM_Metrics_2023_Consol_Source[[#This Row],[Social housing units owned (period end)]], "n/a" )</f>
        <v>9.3811074918566783E-3</v>
      </c>
      <c r="O92" s="5">
        <f xml:space="preserve"> SUM( VfM_Metrics_2023_Consol_Source[[#This Row],[Total social units developed or newly built units acquired in-year (owned)]], VfM_Metrics_2023_Consol_Source[[#This Row],[Total social leasehold units developed or newly built units acquired in-year (owned)]] )</f>
        <v>72</v>
      </c>
      <c r="P92" s="84" vm="6557">
        <v>72</v>
      </c>
      <c r="Q92" s="83">
        <v>0</v>
      </c>
      <c r="R92" s="5">
        <f xml:space="preserve"> SUM( VfM_Metrics_2023_Consol_Source[[#This Row],[Total social housing units owned (Period end)]], VfM_Metrics_2023_Consol_Source[[#This Row],[Total social leasehold units owned (Period end)]] )</f>
        <v>7675</v>
      </c>
      <c r="S92" s="84" vm="6548">
        <v>7423</v>
      </c>
      <c r="T92" s="83" vm="6558">
        <v>252</v>
      </c>
      <c r="U92" s="86">
        <f xml:space="preserve"> IFERROR( VfM_Metrics_2023_Consol_Source[[#This Row],[Total non-social housing units developed or newly built units acquired (owned)]] / VfM_Metrics_2023_Consol_Source[[#This Row],[Total social and non-social housing units owned (Period end)]], "n/a" )</f>
        <v>0</v>
      </c>
      <c r="V9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92" s="83">
        <v>0</v>
      </c>
      <c r="X92" s="83">
        <v>0</v>
      </c>
      <c r="Y92" s="83" vm="6559">
        <v>0</v>
      </c>
      <c r="Z9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7774</v>
      </c>
      <c r="AA92" s="84" vm="6548">
        <v>7423</v>
      </c>
      <c r="AB92" s="83" vm="6558">
        <v>252</v>
      </c>
      <c r="AC92" s="83" vm="6560">
        <v>99</v>
      </c>
      <c r="AD92" s="83" vm="6561">
        <v>0</v>
      </c>
      <c r="AE92" s="7">
        <f xml:space="preserve"> IFERROR( VfM_Metrics_2023_Consol_Source[[#This Row],[Total Net Debt]] / VfM_Metrics_2023_Consol_Source[[#This Row],[Net Book Value of Housing Properties2]], "n/a" )</f>
        <v>0.42561730231451184</v>
      </c>
      <c r="AF9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143067</v>
      </c>
      <c r="AG92" s="84" vm="6562">
        <v>6706</v>
      </c>
      <c r="AH92" s="83" vm="6563">
        <v>153923</v>
      </c>
      <c r="AI92" s="83" vm="6564">
        <v>17562</v>
      </c>
      <c r="AJ92" s="83" vm="6565">
        <v>0</v>
      </c>
      <c r="AK92" s="83" vm="6566">
        <v>0</v>
      </c>
      <c r="AL92" s="5">
        <f xml:space="preserve"> SUM( VfM_Metrics_2023_Consol_Source[[#This Row],[Tangible fixed assets: Housing properties at cost (Current period)2]], VfM_Metrics_2023_Consol_Source[[#This Row],[Tangible fixed assets Housing properties at valuation (Current period)2]] )</f>
        <v>336140</v>
      </c>
      <c r="AM92" s="84" vm="6555">
        <v>336140</v>
      </c>
      <c r="AN92" s="83" vm="6556">
        <v>0</v>
      </c>
      <c r="AO92" s="87">
        <f xml:space="preserve"> IFERROR( VfM_Metrics_2023_Consol_Source[[#This Row],[EBITDA MRI]] / VfM_Metrics_2023_Consol_Source[[#This Row],[Total interest]], "n/a" )</f>
        <v>1.0591226031377106</v>
      </c>
      <c r="AP9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7291</v>
      </c>
      <c r="AQ92" s="84" vm="7176">
        <v>10587</v>
      </c>
      <c r="AR92" s="84" vm="6568">
        <v>541</v>
      </c>
      <c r="AS92" s="84" vm="6569">
        <v>933</v>
      </c>
      <c r="AT92" s="84" vm="6570">
        <v>1366</v>
      </c>
      <c r="AU92" s="84" vm="6571">
        <v>0</v>
      </c>
      <c r="AV92" s="84" vm="6572">
        <v>191</v>
      </c>
      <c r="AW92" s="84" vm="4722">
        <v>7720</v>
      </c>
      <c r="AX92" s="84" vm="6574">
        <v>7073</v>
      </c>
      <c r="AY92" s="3">
        <f xml:space="preserve"> - SUM( VfM_Metrics_2023_Consol_Source[[#This Row],[Interest capitalised]], VfM_Metrics_2023_Consol_Source[[#This Row],[Interest payable and financing costs]] )</f>
        <v>6884</v>
      </c>
      <c r="AZ92" s="84" vm="6575">
        <v>0</v>
      </c>
      <c r="BA92" s="83" vm="6576">
        <v>-6884</v>
      </c>
      <c r="BB92" s="8">
        <f xml:space="preserve"> IFERROR( ( VfM_Metrics_2023_Consol_Source[[#This Row],[Total Costs]] / VfM_Metrics_2023_Consol_Source[[#This Row],[Total units for costs]] ) * 1000, "n/a" )</f>
        <v>3868.1126229287347</v>
      </c>
      <c r="BC9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28713</v>
      </c>
      <c r="BD92" s="84" vm="6577">
        <v>4345</v>
      </c>
      <c r="BE92" s="83" vm="6578">
        <v>3309</v>
      </c>
      <c r="BF92" s="83" vm="6869">
        <v>8031</v>
      </c>
      <c r="BG92" s="83" vm="6579">
        <v>4103</v>
      </c>
      <c r="BH92" s="83" vm="6580">
        <v>15</v>
      </c>
      <c r="BI92" s="83" vm="6581">
        <v>0</v>
      </c>
      <c r="BJ92" s="83" vm="6573">
        <v>7720</v>
      </c>
      <c r="BK92" s="83" vm="6582">
        <v>5</v>
      </c>
      <c r="BL92" s="83" vm="6583">
        <v>104</v>
      </c>
      <c r="BM92" s="83" vm="6868">
        <v>491</v>
      </c>
      <c r="BN92" s="83" vm="6584">
        <v>0</v>
      </c>
      <c r="BO92" s="83" vm="6585">
        <v>590</v>
      </c>
      <c r="BP92" s="5" vm="6549">
        <f xml:space="preserve"> VfM_Metrics_2023_Consol_Source[[#This Row],[Total social housing units owned and/or managed at period end]]</f>
        <v>7423</v>
      </c>
      <c r="BQ92" s="84" vm="6549">
        <v>7423</v>
      </c>
      <c r="BR92" s="7">
        <f xml:space="preserve"> IFERROR( VfM_Metrics_2023_Consol_Source[[#This Row],[SHL operating surplus / (deficit)]] / VfM_Metrics_2023_Consol_Source[[#This Row],[Turnover from social housing lettings]], "n/a" )</f>
        <v>0.2958954137666393</v>
      </c>
      <c r="BS92" s="5" vm="6586">
        <f xml:space="preserve"> VfM_Metrics_2023_Consol_Source[[#This Row],[Operating surplus/(deficit) (social housing lettings)]]</f>
        <v>11181</v>
      </c>
      <c r="BT92" s="84" vm="6586">
        <v>11181</v>
      </c>
      <c r="BU92" s="5" vm="6587">
        <f xml:space="preserve"> VfM_Metrics_2023_Consol_Source[[#This Row],[Turnover from social housing lettings]]</f>
        <v>37787</v>
      </c>
      <c r="BV92" s="84" vm="6587">
        <v>37787</v>
      </c>
      <c r="BW92" s="7">
        <f xml:space="preserve"> IFERROR( VfM_Metrics_2023_Consol_Source[[#This Row],[Net operating surplus]] / VfM_Metrics_2023_Consol_Source[[#This Row],[Overall turnover]], "n/a" )</f>
        <v>0.22816725087631448</v>
      </c>
      <c r="BX9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9113</v>
      </c>
      <c r="BY92" s="84" vm="6567">
        <v>10587</v>
      </c>
      <c r="BZ92" s="83" vm="6568">
        <v>541</v>
      </c>
      <c r="CA92" s="83" vm="6896">
        <v>933</v>
      </c>
      <c r="CB92" s="5" vm="7307">
        <f xml:space="preserve"> VfM_Metrics_2023_Consol_Source[[#This Row],[Turnover (overall)]]</f>
        <v>39940</v>
      </c>
      <c r="CC92" s="84" vm="7307">
        <v>39940</v>
      </c>
      <c r="CD92" s="7">
        <f xml:space="preserve"> IFERROR( VfM_Metrics_2023_Consol_Source[[#This Row],[Operating surplus including from JVs]] / VfM_Metrics_2023_Consol_Source[[#This Row],[Net assets]], "n/a" )</f>
        <v>2.9796767302642503E-2</v>
      </c>
      <c r="CE92" s="5">
        <f xml:space="preserve"> SUM( VfM_Metrics_2023_Consol_Source[[#This Row],[Operating surplus/(deficit) (overall)3]], VfM_Metrics_2023_Consol_Source[[#This Row],[Share of operating surplus/(deficit) in joint ventures or associates]] )</f>
        <v>10587</v>
      </c>
      <c r="CF92" s="84" vm="6567">
        <v>10587</v>
      </c>
      <c r="CG92" s="83" vm="6589">
        <v>0</v>
      </c>
      <c r="CH92" s="5" vm="6588">
        <f xml:space="preserve"> VfM_Metrics_2023_Consol_Source[[#This Row],[Total assets less current liabilities]]</f>
        <v>355307</v>
      </c>
      <c r="CI92" s="84" vm="6588">
        <v>355307</v>
      </c>
      <c r="CJ92" s="71" vm="6548">
        <f xml:space="preserve"> VfM_Metrics_2023_Consol_Source[[#This Row],[Total social housing units owned (Period end)]]</f>
        <v>7423</v>
      </c>
      <c r="CK92" s="103">
        <v>3.5524703960800326E-2</v>
      </c>
      <c r="CL92" s="6">
        <f xml:space="preserve"> -- ( VfM_Metrics_2023_Consol_Source[[#This Row],[% Supported housing (excl. HOP)]] &gt; 0.3 )</f>
        <v>0</v>
      </c>
      <c r="CM92" s="103">
        <v>6.2202259425615899E-2</v>
      </c>
      <c r="CN92" s="6">
        <f xml:space="preserve"> -- ( VfM_Metrics_2023_Consol_Source[[#This Row],[% Housing for older people]] &gt; 0.3 )</f>
        <v>0</v>
      </c>
      <c r="CO92" s="103">
        <f xml:space="preserve"> VfM_Metrics_2023_Consol_Source[[#This Row],[% Supported housing (excl. HOP)]] + VfM_Metrics_2023_Consol_Source[[#This Row],[% Housing for older people]]</f>
        <v>9.7726963386416232E-2</v>
      </c>
      <c r="CP92" s="6">
        <f xml:space="preserve"> -- ( VfM_Metrics_2023_Consol_Source[[#This Row],[SH specialist in RSH analysis]] + VfM_Metrics_2023_Consol_Source[[#This Row],[OP specialist in RSH analysis]] &gt; 0 )</f>
        <v>0</v>
      </c>
      <c r="CQ92" s="10">
        <f xml:space="preserve"> -- ( VfM_Metrics_2023_Consol_Source[[#This Row],[% SH and OP]] &gt; 0.3 )</f>
        <v>0</v>
      </c>
      <c r="CR92" s="104" t="s">
        <v>143</v>
      </c>
      <c r="CS92" s="124" t="s">
        <v>144</v>
      </c>
      <c r="CT92" s="105"/>
      <c r="CU9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92" s="85">
        <v>0</v>
      </c>
      <c r="CW92" s="85">
        <v>0</v>
      </c>
      <c r="CX92" s="85">
        <v>0</v>
      </c>
      <c r="CY92" s="85">
        <v>0</v>
      </c>
      <c r="CZ92" s="85">
        <v>0</v>
      </c>
      <c r="DA92" s="85">
        <v>0</v>
      </c>
      <c r="DB92" s="85">
        <v>0</v>
      </c>
      <c r="DC92" s="85">
        <v>1</v>
      </c>
      <c r="DD92" s="85">
        <v>0</v>
      </c>
      <c r="DE92" s="13">
        <v>0.96105917141044694</v>
      </c>
    </row>
    <row r="93" spans="1:109" x14ac:dyDescent="0.25">
      <c r="A93" s="4" t="s" vm="210">
        <v>310</v>
      </c>
      <c r="B93" s="2" t="s" vm="83">
        <v>311</v>
      </c>
      <c r="C93" s="72" vm="527">
        <v>45016</v>
      </c>
      <c r="D93" s="7">
        <f>IFERROR( VfM_Metrics_2023_Consol_Source[[#This Row],[Reinvestment Spend]] / VfM_Metrics_2023_Consol_Source[[#This Row],[Net Book Value of Housing Properties]], "n/a" )</f>
        <v>2.4900793981890938E-2</v>
      </c>
      <c r="E9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7461</v>
      </c>
      <c r="F93" s="83" vm="806">
        <v>3865</v>
      </c>
      <c r="G93" s="83" vm="737">
        <v>0</v>
      </c>
      <c r="H93" s="83" vm="807">
        <v>3073</v>
      </c>
      <c r="I93" s="83" vm="8890">
        <v>523</v>
      </c>
      <c r="J93" s="83" vm="8990">
        <v>0</v>
      </c>
      <c r="K93" s="5">
        <f xml:space="preserve"> SUM( VfM_Metrics_2023_Consol_Source[[#This Row],[Tangible fixed assets: Housing properties at cost (Current period)]],VfM_Metrics_2023_Consol_Source[[#This Row],[Tangible fixed assets Housing properties at valuation (Current period)]] )</f>
        <v>299629</v>
      </c>
      <c r="L93" s="84" vm="8734">
        <v>299629</v>
      </c>
      <c r="M93" s="83" vm="809">
        <v>0</v>
      </c>
      <c r="N93" s="7">
        <f xml:space="preserve"> IFERROR( VfM_Metrics_2023_Consol_Source[[#This Row],[Total social units developed or newly built units acquired in-year]] / VfM_Metrics_2023_Consol_Source[[#This Row],[Social housing units owned (period end)]], "n/a" )</f>
        <v>3.7037037037037035E-2</v>
      </c>
      <c r="O93" s="5">
        <f xml:space="preserve"> SUM( VfM_Metrics_2023_Consol_Source[[#This Row],[Total social units developed or newly built units acquired in-year (owned)]], VfM_Metrics_2023_Consol_Source[[#This Row],[Total social leasehold units developed or newly built units acquired in-year (owned)]] )</f>
        <v>97</v>
      </c>
      <c r="P93" s="84" vm="8917">
        <v>97</v>
      </c>
      <c r="Q93" s="83" vm="810">
        <v>0</v>
      </c>
      <c r="R93" s="5">
        <f xml:space="preserve"> SUM( VfM_Metrics_2023_Consol_Source[[#This Row],[Total social housing units owned (Period end)]], VfM_Metrics_2023_Consol_Source[[#This Row],[Total social leasehold units owned (Period end)]] )</f>
        <v>2619</v>
      </c>
      <c r="S93" s="84" vm="8995">
        <v>2403</v>
      </c>
      <c r="T93" s="83" vm="811">
        <v>216</v>
      </c>
      <c r="U93" s="86">
        <f xml:space="preserve"> IFERROR( VfM_Metrics_2023_Consol_Source[[#This Row],[Total non-social housing units developed or newly built units acquired (owned)]] / VfM_Metrics_2023_Consol_Source[[#This Row],[Total social and non-social housing units owned (Period end)]], "n/a" )</f>
        <v>3.7921880925293893E-4</v>
      </c>
      <c r="V9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v>
      </c>
      <c r="W93" s="83" vm="812">
        <v>0</v>
      </c>
      <c r="X93" s="83" vm="813">
        <v>0</v>
      </c>
      <c r="Y93" s="83" vm="970">
        <v>1</v>
      </c>
      <c r="Z9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2637</v>
      </c>
      <c r="AA93" s="84" vm="804">
        <v>2403</v>
      </c>
      <c r="AB93" s="83" vm="811">
        <v>216</v>
      </c>
      <c r="AC93" s="83" vm="8999">
        <v>18</v>
      </c>
      <c r="AD93" s="83" vm="8888">
        <v>0</v>
      </c>
      <c r="AE93" s="7">
        <f xml:space="preserve"> IFERROR( VfM_Metrics_2023_Consol_Source[[#This Row],[Total Net Debt]] / VfM_Metrics_2023_Consol_Source[[#This Row],[Net Book Value of Housing Properties2]], "n/a" )</f>
        <v>0.28555980896375183</v>
      </c>
      <c r="AF9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85562</v>
      </c>
      <c r="AG93" s="84" vm="815">
        <v>3782</v>
      </c>
      <c r="AH93" s="83" vm="816">
        <v>95573</v>
      </c>
      <c r="AI93" s="83" vm="8979">
        <v>13793</v>
      </c>
      <c r="AJ93" s="83" vm="8887">
        <v>0</v>
      </c>
      <c r="AK93" s="83" vm="8732">
        <v>0</v>
      </c>
      <c r="AL93" s="5">
        <f xml:space="preserve"> SUM( VfM_Metrics_2023_Consol_Source[[#This Row],[Tangible fixed assets: Housing properties at cost (Current period)2]], VfM_Metrics_2023_Consol_Source[[#This Row],[Tangible fixed assets Housing properties at valuation (Current period)2]] )</f>
        <v>299629</v>
      </c>
      <c r="AM93" s="84" vm="9021">
        <v>299629</v>
      </c>
      <c r="AN93" s="83" vm="809">
        <v>0</v>
      </c>
      <c r="AO93" s="87">
        <f xml:space="preserve"> IFERROR( VfM_Metrics_2023_Consol_Source[[#This Row],[EBITDA MRI]] / VfM_Metrics_2023_Consol_Source[[#This Row],[Total interest]], "n/a" )</f>
        <v>0.30557753164556961</v>
      </c>
      <c r="AP9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1545</v>
      </c>
      <c r="AQ93" s="84" vm="8915">
        <v>7049</v>
      </c>
      <c r="AR93" s="84" vm="955">
        <v>5202</v>
      </c>
      <c r="AS93" s="84" vm="8988">
        <v>0</v>
      </c>
      <c r="AT93" s="84" vm="8974">
        <v>1428</v>
      </c>
      <c r="AU93" s="84" vm="999">
        <v>0</v>
      </c>
      <c r="AV93" s="84" vm="8973">
        <v>130</v>
      </c>
      <c r="AW93" s="84" vm="8883">
        <v>3073</v>
      </c>
      <c r="AX93" s="84" vm="819">
        <v>4069</v>
      </c>
      <c r="AY93" s="3">
        <f xml:space="preserve"> - SUM( VfM_Metrics_2023_Consol_Source[[#This Row],[Interest capitalised]], VfM_Metrics_2023_Consol_Source[[#This Row],[Interest payable and financing costs]] )</f>
        <v>5056</v>
      </c>
      <c r="AZ93" s="84" vm="8980">
        <v>-523</v>
      </c>
      <c r="BA93" s="83" vm="842">
        <v>-4533</v>
      </c>
      <c r="BB93" s="8">
        <f xml:space="preserve"> IFERROR( ( VfM_Metrics_2023_Consol_Source[[#This Row],[Total Costs]] / VfM_Metrics_2023_Consol_Source[[#This Row],[Total units for costs]] ) * 1000, "n/a" )</f>
        <v>8261.3399916770704</v>
      </c>
      <c r="BC9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19852</v>
      </c>
      <c r="BD93" s="84" vm="9146">
        <v>3872</v>
      </c>
      <c r="BE93" s="83" vm="8727">
        <v>4773</v>
      </c>
      <c r="BF93" s="83" vm="9017">
        <v>4935</v>
      </c>
      <c r="BG93" s="83" vm="8832">
        <v>1934</v>
      </c>
      <c r="BH93" s="83" vm="8981">
        <v>962</v>
      </c>
      <c r="BI93" s="83" vm="820">
        <v>0</v>
      </c>
      <c r="BJ93" s="83" vm="866">
        <v>3073</v>
      </c>
      <c r="BK93" s="83" vm="821">
        <v>0</v>
      </c>
      <c r="BL93" s="83" vm="8911">
        <v>25</v>
      </c>
      <c r="BM93" s="83" vm="822">
        <v>0</v>
      </c>
      <c r="BN93" s="83" vm="8830">
        <v>278</v>
      </c>
      <c r="BO93" s="83" vm="804">
        <v>0</v>
      </c>
      <c r="BP93" s="5" vm="805">
        <f xml:space="preserve"> VfM_Metrics_2023_Consol_Source[[#This Row],[Total social housing units owned and/or managed at period end]]</f>
        <v>2403</v>
      </c>
      <c r="BQ93" s="84" vm="805">
        <v>2403</v>
      </c>
      <c r="BR93" s="7">
        <f xml:space="preserve"> IFERROR( VfM_Metrics_2023_Consol_Source[[#This Row],[SHL operating surplus / (deficit)]] / VfM_Metrics_2023_Consol_Source[[#This Row],[Turnover from social housing lettings]], "n/a" )</f>
        <v>2.3157595026811559E-2</v>
      </c>
      <c r="BS93" s="5" vm="8967">
        <f xml:space="preserve"> VfM_Metrics_2023_Consol_Source[[#This Row],[Operating surplus/(deficit) (social housing lettings)]]</f>
        <v>488</v>
      </c>
      <c r="BT93" s="84" vm="8967">
        <v>488</v>
      </c>
      <c r="BU93" s="5" vm="8780">
        <f xml:space="preserve"> VfM_Metrics_2023_Consol_Source[[#This Row],[Turnover from social housing lettings]]</f>
        <v>21073</v>
      </c>
      <c r="BV93" s="84" vm="8780">
        <v>21073</v>
      </c>
      <c r="BW93" s="7">
        <f xml:space="preserve"> IFERROR( VfM_Metrics_2023_Consol_Source[[#This Row],[Net operating surplus]] / VfM_Metrics_2023_Consol_Source[[#This Row],[Overall turnover]], "n/a" )</f>
        <v>7.1263214754224868E-2</v>
      </c>
      <c r="BX9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1847</v>
      </c>
      <c r="BY93" s="84" vm="8982">
        <v>7049</v>
      </c>
      <c r="BZ93" s="83" vm="817">
        <v>5202</v>
      </c>
      <c r="CA93" s="83" vm="818">
        <v>0</v>
      </c>
      <c r="CB93" s="5" vm="8953">
        <f xml:space="preserve"> VfM_Metrics_2023_Consol_Source[[#This Row],[Turnover (overall)]]</f>
        <v>25918</v>
      </c>
      <c r="CC93" s="84" vm="8953">
        <v>25918</v>
      </c>
      <c r="CD93" s="7">
        <f xml:space="preserve"> IFERROR( VfM_Metrics_2023_Consol_Source[[#This Row],[Operating surplus including from JVs]] / VfM_Metrics_2023_Consol_Source[[#This Row],[Net assets]], "n/a" )</f>
        <v>2.235520966135774E-2</v>
      </c>
      <c r="CE93" s="5">
        <f xml:space="preserve"> SUM( VfM_Metrics_2023_Consol_Source[[#This Row],[Operating surplus/(deficit) (overall)3]], VfM_Metrics_2023_Consol_Source[[#This Row],[Share of operating surplus/(deficit) in joint ventures or associates]] )</f>
        <v>7049</v>
      </c>
      <c r="CF93" s="84" vm="8871">
        <v>7049</v>
      </c>
      <c r="CG93" s="83" vm="825">
        <v>0</v>
      </c>
      <c r="CH93" s="5" vm="815">
        <f xml:space="preserve"> VfM_Metrics_2023_Consol_Source[[#This Row],[Total assets less current liabilities]]</f>
        <v>315318</v>
      </c>
      <c r="CI93" s="84" vm="815">
        <v>315318</v>
      </c>
      <c r="CJ93" s="71" vm="8995">
        <f xml:space="preserve"> VfM_Metrics_2023_Consol_Source[[#This Row],[Total social housing units owned (Period end)]]</f>
        <v>2403</v>
      </c>
      <c r="CK93" s="103">
        <v>2.9635901778154106E-2</v>
      </c>
      <c r="CL93" s="6">
        <f xml:space="preserve"> -- ( VfM_Metrics_2023_Consol_Source[[#This Row],[% Supported housing (excl. HOP)]] &gt; 0.3 )</f>
        <v>0</v>
      </c>
      <c r="CM93" s="103">
        <v>1.7781541066892465E-2</v>
      </c>
      <c r="CN93" s="6">
        <f xml:space="preserve"> -- ( VfM_Metrics_2023_Consol_Source[[#This Row],[% Housing for older people]] &gt; 0.3 )</f>
        <v>0</v>
      </c>
      <c r="CO93" s="103">
        <f xml:space="preserve"> VfM_Metrics_2023_Consol_Source[[#This Row],[% Supported housing (excl. HOP)]] + VfM_Metrics_2023_Consol_Source[[#This Row],[% Housing for older people]]</f>
        <v>4.7417442845046572E-2</v>
      </c>
      <c r="CP93" s="6">
        <f xml:space="preserve"> -- ( VfM_Metrics_2023_Consol_Source[[#This Row],[SH specialist in RSH analysis]] + VfM_Metrics_2023_Consol_Source[[#This Row],[OP specialist in RSH analysis]] &gt; 0 )</f>
        <v>0</v>
      </c>
      <c r="CQ93" s="10">
        <f xml:space="preserve"> -- ( VfM_Metrics_2023_Consol_Source[[#This Row],[% SH and OP]] &gt; 0.3 )</f>
        <v>0</v>
      </c>
      <c r="CR93" s="104" t="s">
        <v>143</v>
      </c>
      <c r="CS93" s="124" t="s">
        <v>144</v>
      </c>
      <c r="CT93" s="105"/>
      <c r="CU9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93" s="85">
        <v>1</v>
      </c>
      <c r="CW93" s="85">
        <v>0</v>
      </c>
      <c r="CX93" s="85">
        <v>0</v>
      </c>
      <c r="CY93" s="85">
        <v>0</v>
      </c>
      <c r="CZ93" s="85">
        <v>0</v>
      </c>
      <c r="DA93" s="85">
        <v>0</v>
      </c>
      <c r="DB93" s="85">
        <v>0</v>
      </c>
      <c r="DC93" s="85">
        <v>0</v>
      </c>
      <c r="DD93" s="85">
        <v>0</v>
      </c>
      <c r="DE93" s="13">
        <v>1.1603700449887588</v>
      </c>
    </row>
    <row r="94" spans="1:109" x14ac:dyDescent="0.25">
      <c r="A94" s="4" t="s" vm="262">
        <v>312</v>
      </c>
      <c r="B94" s="2" t="s" vm="84">
        <v>313</v>
      </c>
      <c r="C94" s="72" vm="424">
        <v>45016</v>
      </c>
      <c r="D94" s="7">
        <f>IFERROR( VfM_Metrics_2023_Consol_Source[[#This Row],[Reinvestment Spend]] / VfM_Metrics_2023_Consol_Source[[#This Row],[Net Book Value of Housing Properties]], "n/a" )</f>
        <v>9.5002748971257905E-2</v>
      </c>
      <c r="E9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145495</v>
      </c>
      <c r="F94" s="83" vm="2094">
        <v>101388</v>
      </c>
      <c r="G94" s="83" vm="2095">
        <v>28556</v>
      </c>
      <c r="H94" s="83" vm="2096">
        <v>10229</v>
      </c>
      <c r="I94" s="83" vm="8174">
        <v>5322</v>
      </c>
      <c r="J94" s="83" vm="2040">
        <v>0</v>
      </c>
      <c r="K94" s="5">
        <f xml:space="preserve"> SUM( VfM_Metrics_2023_Consol_Source[[#This Row],[Tangible fixed assets: Housing properties at cost (Current period)]],VfM_Metrics_2023_Consol_Source[[#This Row],[Tangible fixed assets Housing properties at valuation (Current period)]] )</f>
        <v>1531482</v>
      </c>
      <c r="L94" s="84" vm="1778">
        <v>1531482</v>
      </c>
      <c r="M94" s="83">
        <v>0</v>
      </c>
      <c r="N94" s="7">
        <f xml:space="preserve"> IFERROR( VfM_Metrics_2023_Consol_Source[[#This Row],[Total social units developed or newly built units acquired in-year]] / VfM_Metrics_2023_Consol_Source[[#This Row],[Social housing units owned (period end)]], "n/a" )</f>
        <v>2.0110579539920358E-2</v>
      </c>
      <c r="O94" s="5">
        <f xml:space="preserve"> SUM( VfM_Metrics_2023_Consol_Source[[#This Row],[Total social units developed or newly built units acquired in-year (owned)]], VfM_Metrics_2023_Consol_Source[[#This Row],[Total social leasehold units developed or newly built units acquired in-year (owned)]] )</f>
        <v>702</v>
      </c>
      <c r="P94" s="84" vm="7960">
        <v>702</v>
      </c>
      <c r="Q94" s="83">
        <v>0</v>
      </c>
      <c r="R94" s="5">
        <f xml:space="preserve"> SUM( VfM_Metrics_2023_Consol_Source[[#This Row],[Total social housing units owned (Period end)]], VfM_Metrics_2023_Consol_Source[[#This Row],[Total social leasehold units owned (Period end)]] )</f>
        <v>34907</v>
      </c>
      <c r="S94" s="84" vm="7978">
        <v>33428</v>
      </c>
      <c r="T94" s="83" vm="2098">
        <v>1479</v>
      </c>
      <c r="U94" s="86">
        <f xml:space="preserve"> IFERROR( VfM_Metrics_2023_Consol_Source[[#This Row],[Total non-social housing units developed or newly built units acquired (owned)]] / VfM_Metrics_2023_Consol_Source[[#This Row],[Total social and non-social housing units owned (Period end)]], "n/a" )</f>
        <v>0</v>
      </c>
      <c r="V9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94" s="83">
        <v>0</v>
      </c>
      <c r="X94" s="83">
        <v>0</v>
      </c>
      <c r="Y94" s="83">
        <v>0</v>
      </c>
      <c r="Z9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34990</v>
      </c>
      <c r="AA94" s="84" vm="7640">
        <v>33428</v>
      </c>
      <c r="AB94" s="83" vm="2098">
        <v>1479</v>
      </c>
      <c r="AC94" s="83" vm="7777">
        <v>83</v>
      </c>
      <c r="AD94" s="83" vm="2099">
        <v>0</v>
      </c>
      <c r="AE94" s="7">
        <f xml:space="preserve"> IFERROR( VfM_Metrics_2023_Consol_Source[[#This Row],[Total Net Debt]] / VfM_Metrics_2023_Consol_Source[[#This Row],[Net Book Value of Housing Properties2]], "n/a" )</f>
        <v>0.45695999038839502</v>
      </c>
      <c r="AF9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699826</v>
      </c>
      <c r="AG94" s="84" vm="1869">
        <v>12026</v>
      </c>
      <c r="AH94" s="83" vm="2100">
        <v>797315</v>
      </c>
      <c r="AI94" s="83" vm="7111">
        <v>109515</v>
      </c>
      <c r="AJ94" s="83" vm="1675">
        <v>0</v>
      </c>
      <c r="AK94" s="83">
        <v>0</v>
      </c>
      <c r="AL94" s="5">
        <f xml:space="preserve"> SUM( VfM_Metrics_2023_Consol_Source[[#This Row],[Tangible fixed assets: Housing properties at cost (Current period)2]], VfM_Metrics_2023_Consol_Source[[#This Row],[Tangible fixed assets Housing properties at valuation (Current period)2]] )</f>
        <v>1531482</v>
      </c>
      <c r="AM94" s="84" vm="7902">
        <v>1531482</v>
      </c>
      <c r="AN94" s="83">
        <v>0</v>
      </c>
      <c r="AO94" s="87">
        <f xml:space="preserve"> IFERROR( VfM_Metrics_2023_Consol_Source[[#This Row],[EBITDA MRI]] / VfM_Metrics_2023_Consol_Source[[#This Row],[Total interest]], "n/a" )</f>
        <v>1.2426570998727</v>
      </c>
      <c r="AP9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53689</v>
      </c>
      <c r="AQ94" s="84" vm="2102">
        <v>48809</v>
      </c>
      <c r="AR94" s="84" vm="2103">
        <v>5698</v>
      </c>
      <c r="AS94" s="84">
        <v>0</v>
      </c>
      <c r="AT94" s="84" vm="3594">
        <v>3248</v>
      </c>
      <c r="AU94" s="84" vm="2104">
        <v>0</v>
      </c>
      <c r="AV94" s="84" vm="8155">
        <v>2237</v>
      </c>
      <c r="AW94" s="84" vm="7776">
        <v>10229</v>
      </c>
      <c r="AX94" s="84" vm="2105">
        <v>21818</v>
      </c>
      <c r="AY94" s="3">
        <f xml:space="preserve"> - SUM( VfM_Metrics_2023_Consol_Source[[#This Row],[Interest capitalised]], VfM_Metrics_2023_Consol_Source[[#This Row],[Interest payable and financing costs]] )</f>
        <v>43205</v>
      </c>
      <c r="AZ94" s="84" vm="2106">
        <v>-5322</v>
      </c>
      <c r="BA94" s="83" vm="2107">
        <v>-37883</v>
      </c>
      <c r="BB94" s="8">
        <f xml:space="preserve"> IFERROR( ( VfM_Metrics_2023_Consol_Source[[#This Row],[Total Costs]] / VfM_Metrics_2023_Consol_Source[[#This Row],[Total units for costs]] ) * 1000, "n/a" )</f>
        <v>3982.2180225066577</v>
      </c>
      <c r="BC9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139071</v>
      </c>
      <c r="BD94" s="84" vm="2108">
        <v>34857</v>
      </c>
      <c r="BE94" s="83" vm="7800">
        <v>11238</v>
      </c>
      <c r="BF94" s="83" vm="8067">
        <v>31105</v>
      </c>
      <c r="BG94" s="83" vm="2109">
        <v>27473</v>
      </c>
      <c r="BH94" s="83" vm="7638">
        <v>9125</v>
      </c>
      <c r="BI94" s="83" vm="7970">
        <v>183</v>
      </c>
      <c r="BJ94" s="83" vm="2098">
        <v>10229</v>
      </c>
      <c r="BK94" s="83" vm="2110">
        <v>716</v>
      </c>
      <c r="BL94" s="83">
        <v>0</v>
      </c>
      <c r="BM94" s="83">
        <v>0</v>
      </c>
      <c r="BN94" s="83" vm="1629">
        <v>13870</v>
      </c>
      <c r="BO94" s="83" vm="2111">
        <v>275</v>
      </c>
      <c r="BP94" s="5" vm="8151">
        <f xml:space="preserve"> VfM_Metrics_2023_Consol_Source[[#This Row],[Total social housing units owned and/or managed at period end]]</f>
        <v>34923</v>
      </c>
      <c r="BQ94" s="84" vm="8151">
        <v>34923</v>
      </c>
      <c r="BR94" s="7">
        <f xml:space="preserve"> IFERROR( VfM_Metrics_2023_Consol_Source[[#This Row],[SHL operating surplus / (deficit)]] / VfM_Metrics_2023_Consol_Source[[#This Row],[Turnover from social housing lettings]], "n/a" )</f>
        <v>0.2132540504271675</v>
      </c>
      <c r="BS94" s="5" vm="2112">
        <f xml:space="preserve"> VfM_Metrics_2023_Consol_Source[[#This Row],[Operating surplus/(deficit) (social housing lettings)]]</f>
        <v>36868</v>
      </c>
      <c r="BT94" s="84" vm="2112">
        <v>36868</v>
      </c>
      <c r="BU94" s="5" vm="1365">
        <f xml:space="preserve"> VfM_Metrics_2023_Consol_Source[[#This Row],[Turnover from social housing lettings]]</f>
        <v>172883</v>
      </c>
      <c r="BV94" s="84" vm="1365">
        <v>172883</v>
      </c>
      <c r="BW94" s="7">
        <f xml:space="preserve"> IFERROR( VfM_Metrics_2023_Consol_Source[[#This Row],[Net operating surplus]] / VfM_Metrics_2023_Consol_Source[[#This Row],[Overall turnover]], "n/a" )</f>
        <v>0.21462353386303443</v>
      </c>
      <c r="BX9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43111</v>
      </c>
      <c r="BY94" s="84" vm="2102">
        <v>48809</v>
      </c>
      <c r="BZ94" s="83" vm="2103">
        <v>5698</v>
      </c>
      <c r="CA94" s="83">
        <v>0</v>
      </c>
      <c r="CB94" s="5" vm="8073">
        <f xml:space="preserve"> VfM_Metrics_2023_Consol_Source[[#This Row],[Turnover (overall)]]</f>
        <v>200868</v>
      </c>
      <c r="CC94" s="84" vm="8073">
        <v>200868</v>
      </c>
      <c r="CD94" s="7">
        <f xml:space="preserve"> IFERROR( VfM_Metrics_2023_Consol_Source[[#This Row],[Operating surplus including from JVs]] / VfM_Metrics_2023_Consol_Source[[#This Row],[Net assets]], "n/a" )</f>
        <v>2.9938312686044879E-2</v>
      </c>
      <c r="CE94" s="5">
        <f xml:space="preserve"> SUM( VfM_Metrics_2023_Consol_Source[[#This Row],[Operating surplus/(deficit) (overall)3]], VfM_Metrics_2023_Consol_Source[[#This Row],[Share of operating surplus/(deficit) in joint ventures or associates]] )</f>
        <v>48809</v>
      </c>
      <c r="CF94" s="84" vm="8093">
        <v>48809</v>
      </c>
      <c r="CG94" s="83">
        <v>0</v>
      </c>
      <c r="CH94" s="5" vm="2113">
        <f xml:space="preserve"> VfM_Metrics_2023_Consol_Source[[#This Row],[Total assets less current liabilities]]</f>
        <v>1630319</v>
      </c>
      <c r="CI94" s="84" vm="2113">
        <v>1630319</v>
      </c>
      <c r="CJ94" s="71" vm="7978">
        <f xml:space="preserve"> VfM_Metrics_2023_Consol_Source[[#This Row],[Total social housing units owned (Period end)]]</f>
        <v>33428</v>
      </c>
      <c r="CK94" s="103">
        <v>2.0427724195770682E-2</v>
      </c>
      <c r="CL94" s="6">
        <f xml:space="preserve"> -- ( VfM_Metrics_2023_Consol_Source[[#This Row],[% Supported housing (excl. HOP)]] &gt; 0.3 )</f>
        <v>0</v>
      </c>
      <c r="CM94" s="103">
        <v>9.3092913197148505E-2</v>
      </c>
      <c r="CN94" s="6">
        <f xml:space="preserve"> -- ( VfM_Metrics_2023_Consol_Source[[#This Row],[% Housing for older people]] &gt; 0.3 )</f>
        <v>0</v>
      </c>
      <c r="CO94" s="103">
        <f xml:space="preserve"> VfM_Metrics_2023_Consol_Source[[#This Row],[% Supported housing (excl. HOP)]] + VfM_Metrics_2023_Consol_Source[[#This Row],[% Housing for older people]]</f>
        <v>0.11352063739291919</v>
      </c>
      <c r="CP94" s="6">
        <f xml:space="preserve"> -- ( VfM_Metrics_2023_Consol_Source[[#This Row],[SH specialist in RSH analysis]] + VfM_Metrics_2023_Consol_Source[[#This Row],[OP specialist in RSH analysis]] &gt; 0 )</f>
        <v>0</v>
      </c>
      <c r="CQ94" s="10">
        <f xml:space="preserve"> -- ( VfM_Metrics_2023_Consol_Source[[#This Row],[% SH and OP]] &gt; 0.3 )</f>
        <v>0</v>
      </c>
      <c r="CR94" s="104" t="s">
        <v>143</v>
      </c>
      <c r="CS94" s="124"/>
      <c r="CT94" s="105" t="s">
        <v>151</v>
      </c>
      <c r="CU9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94" s="85">
        <v>0</v>
      </c>
      <c r="CW94" s="85">
        <v>0</v>
      </c>
      <c r="CX94" s="85">
        <v>0</v>
      </c>
      <c r="CY94" s="85">
        <v>9.7732907195555427E-2</v>
      </c>
      <c r="CZ94" s="85">
        <v>8.960841124286867E-5</v>
      </c>
      <c r="DA94" s="85">
        <v>0</v>
      </c>
      <c r="DB94" s="85">
        <v>0</v>
      </c>
      <c r="DC94" s="85">
        <v>0.90158009498491587</v>
      </c>
      <c r="DD94" s="85">
        <v>5.9738940828579106E-4</v>
      </c>
      <c r="DE94" s="13">
        <v>0.95921961338310668</v>
      </c>
    </row>
    <row r="95" spans="1:109" x14ac:dyDescent="0.25">
      <c r="A95" s="4" t="s" vm="318">
        <v>314</v>
      </c>
      <c r="B95" s="2" t="s" vm="85">
        <v>315</v>
      </c>
      <c r="C95" s="72" vm="482">
        <v>45016</v>
      </c>
      <c r="D95" s="7">
        <f>IFERROR( VfM_Metrics_2023_Consol_Source[[#This Row],[Reinvestment Spend]] / VfM_Metrics_2023_Consol_Source[[#This Row],[Net Book Value of Housing Properties]], "n/a" )</f>
        <v>5.6831905431709365E-2</v>
      </c>
      <c r="E9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8000</v>
      </c>
      <c r="F95" s="83" vm="3964">
        <v>4117</v>
      </c>
      <c r="G95" s="83" vm="3965">
        <v>0</v>
      </c>
      <c r="H95" s="83" vm="3966">
        <v>3739</v>
      </c>
      <c r="I95" s="83" vm="4073">
        <v>144</v>
      </c>
      <c r="J95" s="83" vm="3967">
        <v>0</v>
      </c>
      <c r="K95" s="5">
        <f xml:space="preserve"> SUM( VfM_Metrics_2023_Consol_Source[[#This Row],[Tangible fixed assets: Housing properties at cost (Current period)]],VfM_Metrics_2023_Consol_Source[[#This Row],[Tangible fixed assets Housing properties at valuation (Current period)]] )</f>
        <v>140766</v>
      </c>
      <c r="L95" s="84" vm="3968">
        <v>140766</v>
      </c>
      <c r="M95" s="83">
        <v>0</v>
      </c>
      <c r="N95" s="7">
        <f xml:space="preserve"> IFERROR( VfM_Metrics_2023_Consol_Source[[#This Row],[Total social units developed or newly built units acquired in-year]] / VfM_Metrics_2023_Consol_Source[[#This Row],[Social housing units owned (period end)]], "n/a" )</f>
        <v>2.6067776218167233E-3</v>
      </c>
      <c r="O95" s="5">
        <f xml:space="preserve"> SUM( VfM_Metrics_2023_Consol_Source[[#This Row],[Total social units developed or newly built units acquired in-year (owned)]], VfM_Metrics_2023_Consol_Source[[#This Row],[Total social leasehold units developed or newly built units acquired in-year (owned)]] )</f>
        <v>13</v>
      </c>
      <c r="P95" s="84" vm="3969">
        <v>13</v>
      </c>
      <c r="Q95" s="83">
        <v>0</v>
      </c>
      <c r="R95" s="5">
        <f xml:space="preserve"> SUM( VfM_Metrics_2023_Consol_Source[[#This Row],[Total social housing units owned (Period end)]], VfM_Metrics_2023_Consol_Source[[#This Row],[Total social leasehold units owned (Period end)]] )</f>
        <v>4987</v>
      </c>
      <c r="S95" s="84" vm="7439">
        <v>4908</v>
      </c>
      <c r="T95" s="83" vm="3970">
        <v>79</v>
      </c>
      <c r="U95" s="86">
        <f xml:space="preserve"> IFERROR( VfM_Metrics_2023_Consol_Source[[#This Row],[Total non-social housing units developed or newly built units acquired (owned)]] / VfM_Metrics_2023_Consol_Source[[#This Row],[Total social and non-social housing units owned (Period end)]], "n/a" )</f>
        <v>0</v>
      </c>
      <c r="V9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95" s="83">
        <v>0</v>
      </c>
      <c r="X95" s="83">
        <v>0</v>
      </c>
      <c r="Y95" s="83">
        <v>0</v>
      </c>
      <c r="Z9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4987</v>
      </c>
      <c r="AA95" s="84" vm="3962">
        <v>4908</v>
      </c>
      <c r="AB95" s="83" vm="3970">
        <v>79</v>
      </c>
      <c r="AC95" s="83" vm="3971">
        <v>0</v>
      </c>
      <c r="AD95" s="83" vm="4766">
        <v>0</v>
      </c>
      <c r="AE95" s="7">
        <f xml:space="preserve"> IFERROR( VfM_Metrics_2023_Consol_Source[[#This Row],[Total Net Debt]] / VfM_Metrics_2023_Consol_Source[[#This Row],[Net Book Value of Housing Properties2]], "n/a" )</f>
        <v>0.50855320176747221</v>
      </c>
      <c r="AF9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71587</v>
      </c>
      <c r="AG95" s="84" vm="3972">
        <v>2392</v>
      </c>
      <c r="AH95" s="83" vm="3973">
        <v>73302</v>
      </c>
      <c r="AI95" s="83" vm="3974">
        <v>4107</v>
      </c>
      <c r="AJ95" s="83" vm="1675">
        <v>0</v>
      </c>
      <c r="AK95" s="83">
        <v>0</v>
      </c>
      <c r="AL95" s="5">
        <f xml:space="preserve"> SUM( VfM_Metrics_2023_Consol_Source[[#This Row],[Tangible fixed assets: Housing properties at cost (Current period)2]], VfM_Metrics_2023_Consol_Source[[#This Row],[Tangible fixed assets Housing properties at valuation (Current period)2]] )</f>
        <v>140766</v>
      </c>
      <c r="AM95" s="84" vm="3968">
        <v>140766</v>
      </c>
      <c r="AN95" s="83">
        <v>0</v>
      </c>
      <c r="AO95" s="87">
        <f xml:space="preserve"> IFERROR( VfM_Metrics_2023_Consol_Source[[#This Row],[EBITDA MRI]] / VfM_Metrics_2023_Consol_Source[[#This Row],[Total interest]], "n/a" )</f>
        <v>1.0232362821948489</v>
      </c>
      <c r="AP9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3655</v>
      </c>
      <c r="AQ95" s="84" vm="3975">
        <v>3583</v>
      </c>
      <c r="AR95" s="84" vm="7531">
        <v>4</v>
      </c>
      <c r="AS95" s="84">
        <v>0</v>
      </c>
      <c r="AT95" s="84" vm="3977">
        <v>45</v>
      </c>
      <c r="AU95" s="84" vm="3978">
        <v>0</v>
      </c>
      <c r="AV95" s="84" vm="3979">
        <v>19</v>
      </c>
      <c r="AW95" s="84" vm="3980">
        <v>3739</v>
      </c>
      <c r="AX95" s="84" vm="3981">
        <v>3841</v>
      </c>
      <c r="AY95" s="3">
        <f xml:space="preserve"> - SUM( VfM_Metrics_2023_Consol_Source[[#This Row],[Interest capitalised]], VfM_Metrics_2023_Consol_Source[[#This Row],[Interest payable and financing costs]] )</f>
        <v>3572</v>
      </c>
      <c r="AZ95" s="84" vm="3982">
        <v>-144</v>
      </c>
      <c r="BA95" s="83" vm="7530">
        <v>-3428</v>
      </c>
      <c r="BB95" s="8">
        <f xml:space="preserve"> IFERROR( ( VfM_Metrics_2023_Consol_Source[[#This Row],[Total Costs]] / VfM_Metrics_2023_Consol_Source[[#This Row],[Total units for costs]] ) * 1000, "n/a" )</f>
        <v>5033.0695881517549</v>
      </c>
      <c r="BC9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24808</v>
      </c>
      <c r="BD95" s="84" vm="3983">
        <v>7405</v>
      </c>
      <c r="BE95" s="83" vm="3984">
        <v>6869</v>
      </c>
      <c r="BF95" s="83" vm="7167">
        <v>2867</v>
      </c>
      <c r="BG95" s="83" vm="3985">
        <v>1824</v>
      </c>
      <c r="BH95" s="83" vm="3986">
        <v>0</v>
      </c>
      <c r="BI95" s="83" vm="3987">
        <v>0</v>
      </c>
      <c r="BJ95" s="83" vm="3980">
        <v>3739</v>
      </c>
      <c r="BK95" s="83" vm="7651">
        <v>0</v>
      </c>
      <c r="BL95" s="83" vm="4268">
        <v>130</v>
      </c>
      <c r="BM95" s="83">
        <v>0</v>
      </c>
      <c r="BN95" s="83" vm="3988">
        <v>1974</v>
      </c>
      <c r="BO95" s="83">
        <v>0</v>
      </c>
      <c r="BP95" s="5" vm="3963">
        <f xml:space="preserve"> VfM_Metrics_2023_Consol_Source[[#This Row],[Total social housing units owned and/or managed at period end]]</f>
        <v>4929</v>
      </c>
      <c r="BQ95" s="84" vm="3963">
        <v>4929</v>
      </c>
      <c r="BR95" s="7">
        <f xml:space="preserve"> IFERROR( VfM_Metrics_2023_Consol_Source[[#This Row],[SHL operating surplus / (deficit)]] / VfM_Metrics_2023_Consol_Source[[#This Row],[Turnover from social housing lettings]], "n/a" )</f>
        <v>0.14701873271799665</v>
      </c>
      <c r="BS95" s="5" vm="3989">
        <f xml:space="preserve"> VfM_Metrics_2023_Consol_Source[[#This Row],[Operating surplus/(deficit) (social housing lettings)]]</f>
        <v>3775</v>
      </c>
      <c r="BT95" s="84" vm="3989">
        <v>3775</v>
      </c>
      <c r="BU95" s="5" vm="3990">
        <f xml:space="preserve"> VfM_Metrics_2023_Consol_Source[[#This Row],[Turnover from social housing lettings]]</f>
        <v>25677</v>
      </c>
      <c r="BV95" s="84" vm="3990">
        <v>25677</v>
      </c>
      <c r="BW95" s="7">
        <f xml:space="preserve"> IFERROR( VfM_Metrics_2023_Consol_Source[[#This Row],[Net operating surplus]] / VfM_Metrics_2023_Consol_Source[[#This Row],[Overall turnover]], "n/a" )</f>
        <v>0.12973972304792286</v>
      </c>
      <c r="BX9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3579</v>
      </c>
      <c r="BY95" s="84" vm="4996">
        <v>3583</v>
      </c>
      <c r="BZ95" s="83" vm="3976">
        <v>4</v>
      </c>
      <c r="CA95" s="83">
        <v>0</v>
      </c>
      <c r="CB95" s="5" vm="3991">
        <f xml:space="preserve"> VfM_Metrics_2023_Consol_Source[[#This Row],[Turnover (overall)]]</f>
        <v>27586</v>
      </c>
      <c r="CC95" s="84" vm="3991">
        <v>27586</v>
      </c>
      <c r="CD95" s="7">
        <f xml:space="preserve"> IFERROR( VfM_Metrics_2023_Consol_Source[[#This Row],[Operating surplus including from JVs]] / VfM_Metrics_2023_Consol_Source[[#This Row],[Net assets]], "n/a" )</f>
        <v>2.5282781882201854E-2</v>
      </c>
      <c r="CE95" s="5">
        <f xml:space="preserve"> SUM( VfM_Metrics_2023_Consol_Source[[#This Row],[Operating surplus/(deficit) (overall)3]], VfM_Metrics_2023_Consol_Source[[#This Row],[Share of operating surplus/(deficit) in joint ventures or associates]] )</f>
        <v>3583</v>
      </c>
      <c r="CF95" s="84" vm="7298">
        <v>3583</v>
      </c>
      <c r="CG95" s="83">
        <v>0</v>
      </c>
      <c r="CH95" s="5" vm="3992">
        <f xml:space="preserve"> VfM_Metrics_2023_Consol_Source[[#This Row],[Total assets less current liabilities]]</f>
        <v>141717</v>
      </c>
      <c r="CI95" s="84" vm="3992">
        <v>141717</v>
      </c>
      <c r="CJ95" s="71" vm="7439">
        <f xml:space="preserve"> VfM_Metrics_2023_Consol_Source[[#This Row],[Total social housing units owned (Period end)]]</f>
        <v>4908</v>
      </c>
      <c r="CK95" s="103">
        <v>1.8207855973813421E-2</v>
      </c>
      <c r="CL95" s="6">
        <f xml:space="preserve"> -- ( VfM_Metrics_2023_Consol_Source[[#This Row],[% Supported housing (excl. HOP)]] &gt; 0.3 )</f>
        <v>0</v>
      </c>
      <c r="CM95" s="103">
        <v>0.49549918166939444</v>
      </c>
      <c r="CN95" s="6">
        <f xml:space="preserve"> -- ( VfM_Metrics_2023_Consol_Source[[#This Row],[% Housing for older people]] &gt; 0.3 )</f>
        <v>1</v>
      </c>
      <c r="CO95" s="103">
        <f xml:space="preserve"> VfM_Metrics_2023_Consol_Source[[#This Row],[% Supported housing (excl. HOP)]] + VfM_Metrics_2023_Consol_Source[[#This Row],[% Housing for older people]]</f>
        <v>0.51370703764320791</v>
      </c>
      <c r="CP95" s="6">
        <f xml:space="preserve"> -- ( VfM_Metrics_2023_Consol_Source[[#This Row],[SH specialist in RSH analysis]] + VfM_Metrics_2023_Consol_Source[[#This Row],[OP specialist in RSH analysis]] &gt; 0 )</f>
        <v>1</v>
      </c>
      <c r="CQ95" s="10">
        <f xml:space="preserve"> -- ( VfM_Metrics_2023_Consol_Source[[#This Row],[% SH and OP]] &gt; 0.3 )</f>
        <v>1</v>
      </c>
      <c r="CR95" s="104" t="s">
        <v>143</v>
      </c>
      <c r="CS95" s="124" t="s">
        <v>144</v>
      </c>
      <c r="CT95" s="105"/>
      <c r="CU9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95" s="85">
        <v>0</v>
      </c>
      <c r="CW95" s="85">
        <v>0</v>
      </c>
      <c r="CX95" s="85">
        <v>0</v>
      </c>
      <c r="CY95" s="85">
        <v>6.9981583793738492E-2</v>
      </c>
      <c r="CZ95" s="85">
        <v>0</v>
      </c>
      <c r="DA95" s="85">
        <v>1.0026601186822181E-2</v>
      </c>
      <c r="DB95" s="85">
        <v>0.21424186617556784</v>
      </c>
      <c r="DC95" s="85">
        <v>0.45979128299570288</v>
      </c>
      <c r="DD95" s="85">
        <v>0.24595866584816861</v>
      </c>
      <c r="DE95" s="13">
        <v>0.94452411114073842</v>
      </c>
    </row>
    <row r="96" spans="1:109" x14ac:dyDescent="0.25">
      <c r="A96" s="4" t="s" vm="207">
        <v>316</v>
      </c>
      <c r="B96" s="2" t="s" vm="86">
        <v>317</v>
      </c>
      <c r="C96" s="72" vm="552">
        <v>44926</v>
      </c>
      <c r="D96" s="7">
        <f>IFERROR( VfM_Metrics_2023_Consol_Source[[#This Row],[Reinvestment Spend]] / VfM_Metrics_2023_Consol_Source[[#This Row],[Net Book Value of Housing Properties]], "n/a" )</f>
        <v>2.0537136398000602E-2</v>
      </c>
      <c r="E9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2798</v>
      </c>
      <c r="F96" s="83" vm="9072">
        <v>813</v>
      </c>
      <c r="G96" s="83" vm="752">
        <v>0</v>
      </c>
      <c r="H96" s="83" vm="8946">
        <v>1951</v>
      </c>
      <c r="I96" s="83" vm="698">
        <v>34</v>
      </c>
      <c r="J96" s="83" vm="753">
        <v>0</v>
      </c>
      <c r="K96" s="5">
        <f xml:space="preserve"> SUM( VfM_Metrics_2023_Consol_Source[[#This Row],[Tangible fixed assets: Housing properties at cost (Current period)]],VfM_Metrics_2023_Consol_Source[[#This Row],[Tangible fixed assets Housing properties at valuation (Current period)]] )</f>
        <v>136241</v>
      </c>
      <c r="L96" s="84" vm="754">
        <v>136241</v>
      </c>
      <c r="M96" s="83" vm="9062">
        <v>0</v>
      </c>
      <c r="N96" s="7">
        <f xml:space="preserve"> IFERROR( VfM_Metrics_2023_Consol_Source[[#This Row],[Total social units developed or newly built units acquired in-year]] / VfM_Metrics_2023_Consol_Source[[#This Row],[Social housing units owned (period end)]], "n/a" )</f>
        <v>8.2610491532424622E-4</v>
      </c>
      <c r="O96" s="5">
        <f xml:space="preserve"> SUM( VfM_Metrics_2023_Consol_Source[[#This Row],[Total social units developed or newly built units acquired in-year (owned)]], VfM_Metrics_2023_Consol_Source[[#This Row],[Total social leasehold units developed or newly built units acquired in-year (owned)]] )</f>
        <v>2</v>
      </c>
      <c r="P96" s="84" vm="755">
        <v>2</v>
      </c>
      <c r="Q96" s="83" vm="756">
        <v>0</v>
      </c>
      <c r="R96" s="5">
        <f xml:space="preserve"> SUM( VfM_Metrics_2023_Consol_Source[[#This Row],[Total social housing units owned (Period end)]], VfM_Metrics_2023_Consol_Source[[#This Row],[Total social leasehold units owned (Period end)]] )</f>
        <v>2421</v>
      </c>
      <c r="S96" s="84" vm="9045">
        <v>2154</v>
      </c>
      <c r="T96" s="83" vm="757">
        <v>267</v>
      </c>
      <c r="U96" s="86">
        <f xml:space="preserve"> IFERROR( VfM_Metrics_2023_Consol_Source[[#This Row],[Total non-social housing units developed or newly built units acquired (owned)]] / VfM_Metrics_2023_Consol_Source[[#This Row],[Total social and non-social housing units owned (Period end)]], "n/a" )</f>
        <v>0</v>
      </c>
      <c r="V9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96" s="83" vm="778">
        <v>0</v>
      </c>
      <c r="X96" s="83" vm="9043">
        <v>0</v>
      </c>
      <c r="Y96" s="83" vm="9105">
        <v>0</v>
      </c>
      <c r="Z9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2616</v>
      </c>
      <c r="AA96" s="84" vm="8945">
        <v>2154</v>
      </c>
      <c r="AB96" s="83" vm="757">
        <v>267</v>
      </c>
      <c r="AC96" s="83" vm="758">
        <v>0</v>
      </c>
      <c r="AD96" s="83" vm="779">
        <v>195</v>
      </c>
      <c r="AE96" s="7">
        <f xml:space="preserve"> IFERROR( VfM_Metrics_2023_Consol_Source[[#This Row],[Total Net Debt]] / VfM_Metrics_2023_Consol_Source[[#This Row],[Net Book Value of Housing Properties2]], "n/a" )</f>
        <v>0.29780315763977072</v>
      </c>
      <c r="AF9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40573</v>
      </c>
      <c r="AG96" s="84" vm="759">
        <v>1073</v>
      </c>
      <c r="AH96" s="83" vm="8863">
        <v>45664</v>
      </c>
      <c r="AI96" s="83" vm="9074">
        <v>6164</v>
      </c>
      <c r="AJ96" s="83" vm="9020">
        <v>0</v>
      </c>
      <c r="AK96" s="83" vm="760">
        <v>0</v>
      </c>
      <c r="AL96" s="5">
        <f xml:space="preserve"> SUM( VfM_Metrics_2023_Consol_Source[[#This Row],[Tangible fixed assets: Housing properties at cost (Current period)2]], VfM_Metrics_2023_Consol_Source[[#This Row],[Tangible fixed assets Housing properties at valuation (Current period)2]] )</f>
        <v>136241</v>
      </c>
      <c r="AM96" s="84" vm="8944">
        <v>136241</v>
      </c>
      <c r="AN96" s="83" vm="9111">
        <v>0</v>
      </c>
      <c r="AO96" s="87">
        <f xml:space="preserve"> IFERROR( VfM_Metrics_2023_Consol_Source[[#This Row],[EBITDA MRI]] / VfM_Metrics_2023_Consol_Source[[#This Row],[Total interest]], "n/a" )</f>
        <v>0.24505622334238078</v>
      </c>
      <c r="AP9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632</v>
      </c>
      <c r="AQ96" s="84" vm="9122">
        <v>1524</v>
      </c>
      <c r="AR96" s="84" vm="762">
        <v>2186</v>
      </c>
      <c r="AS96" s="84" vm="9193">
        <v>0</v>
      </c>
      <c r="AT96" s="84" vm="8861">
        <v>510</v>
      </c>
      <c r="AU96" s="84" vm="9058">
        <v>30</v>
      </c>
      <c r="AV96" s="84" vm="671">
        <v>256</v>
      </c>
      <c r="AW96" s="84" vm="9121">
        <v>1985</v>
      </c>
      <c r="AX96" s="84" vm="8941">
        <v>3563</v>
      </c>
      <c r="AY96" s="3">
        <f xml:space="preserve"> - SUM( VfM_Metrics_2023_Consol_Source[[#This Row],[Interest capitalised]], VfM_Metrics_2023_Consol_Source[[#This Row],[Interest payable and financing costs]] )</f>
        <v>2579</v>
      </c>
      <c r="AZ96" s="84" vm="9100">
        <v>-34</v>
      </c>
      <c r="BA96" s="83" vm="766">
        <v>-2545</v>
      </c>
      <c r="BB96" s="8">
        <f xml:space="preserve"> IFERROR( ( VfM_Metrics_2023_Consol_Source[[#This Row],[Total Costs]] / VfM_Metrics_2023_Consol_Source[[#This Row],[Total units for costs]] ) * 1000, "n/a" )</f>
        <v>8779.0157845868143</v>
      </c>
      <c r="BC9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18910</v>
      </c>
      <c r="BD96" s="84" vm="767">
        <v>3213</v>
      </c>
      <c r="BE96" s="83" vm="768">
        <v>1499</v>
      </c>
      <c r="BF96" s="83" vm="8859">
        <v>1612</v>
      </c>
      <c r="BG96" s="83" vm="9056">
        <v>628</v>
      </c>
      <c r="BH96" s="83" vm="9015">
        <v>339</v>
      </c>
      <c r="BI96" s="83" vm="733">
        <v>0</v>
      </c>
      <c r="BJ96" s="83" vm="8938">
        <v>1985</v>
      </c>
      <c r="BK96" s="83" vm="9089">
        <v>5000</v>
      </c>
      <c r="BL96" s="83" vm="8857">
        <v>0</v>
      </c>
      <c r="BM96" s="83" vm="9029">
        <v>1930</v>
      </c>
      <c r="BN96" s="83" vm="721">
        <v>697</v>
      </c>
      <c r="BO96" s="83" vm="9109">
        <v>2007</v>
      </c>
      <c r="BP96" s="5" vm="8935">
        <f xml:space="preserve"> VfM_Metrics_2023_Consol_Source[[#This Row],[Total social housing units owned and/or managed at period end]]</f>
        <v>2154</v>
      </c>
      <c r="BQ96" s="84" vm="8935">
        <v>2154</v>
      </c>
      <c r="BR96" s="7">
        <f xml:space="preserve"> IFERROR( VfM_Metrics_2023_Consol_Source[[#This Row],[SHL operating surplus / (deficit)]] / VfM_Metrics_2023_Consol_Source[[#This Row],[Turnover from social housing lettings]], "n/a" )</f>
        <v>1.0959257349149047E-2</v>
      </c>
      <c r="BS96" s="5" vm="8933">
        <f xml:space="preserve"> VfM_Metrics_2023_Consol_Source[[#This Row],[Operating surplus/(deficit) (social housing lettings)]]</f>
        <v>170</v>
      </c>
      <c r="BT96" s="84" vm="8933">
        <v>170</v>
      </c>
      <c r="BU96" s="5" vm="770">
        <f xml:space="preserve"> VfM_Metrics_2023_Consol_Source[[#This Row],[Turnover from social housing lettings]]</f>
        <v>15512</v>
      </c>
      <c r="BV96" s="84" vm="770">
        <v>15512</v>
      </c>
      <c r="BW96" s="7">
        <f xml:space="preserve"> IFERROR( VfM_Metrics_2023_Consol_Source[[#This Row],[Net operating surplus]] / VfM_Metrics_2023_Consol_Source[[#This Row],[Overall turnover]], "n/a" )</f>
        <v>-2.6142242230383445E-2</v>
      </c>
      <c r="BX9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-662</v>
      </c>
      <c r="BY96" s="84" vm="761">
        <v>1524</v>
      </c>
      <c r="BZ96" s="83" vm="762">
        <v>2186</v>
      </c>
      <c r="CA96" s="83" vm="8930">
        <v>0</v>
      </c>
      <c r="CB96" s="5" vm="771">
        <f xml:space="preserve"> VfM_Metrics_2023_Consol_Source[[#This Row],[Turnover (overall)]]</f>
        <v>25323</v>
      </c>
      <c r="CC96" s="84" vm="771">
        <v>25323</v>
      </c>
      <c r="CD96" s="7">
        <f xml:space="preserve"> IFERROR( VfM_Metrics_2023_Consol_Source[[#This Row],[Operating surplus including from JVs]] / VfM_Metrics_2023_Consol_Source[[#This Row],[Net assets]], "n/a" )</f>
        <v>7.6261008807045633E-3</v>
      </c>
      <c r="CE96" s="5">
        <f xml:space="preserve"> SUM( VfM_Metrics_2023_Consol_Source[[#This Row],[Operating surplus/(deficit) (overall)3]], VfM_Metrics_2023_Consol_Source[[#This Row],[Share of operating surplus/(deficit) in joint ventures or associates]] )</f>
        <v>1524</v>
      </c>
      <c r="CF96" s="84" vm="8991">
        <v>1524</v>
      </c>
      <c r="CG96" s="83" vm="772">
        <v>0</v>
      </c>
      <c r="CH96" s="5" vm="9180">
        <f xml:space="preserve"> VfM_Metrics_2023_Consol_Source[[#This Row],[Total assets less current liabilities]]</f>
        <v>199840</v>
      </c>
      <c r="CI96" s="84" vm="9180">
        <v>199840</v>
      </c>
      <c r="CJ96" s="71" vm="9045">
        <f xml:space="preserve"> VfM_Metrics_2023_Consol_Source[[#This Row],[Total social housing units owned (Period end)]]</f>
        <v>2154</v>
      </c>
      <c r="CK96" s="103">
        <v>2.1561017680034499E-2</v>
      </c>
      <c r="CL96" s="6">
        <f xml:space="preserve"> -- ( VfM_Metrics_2023_Consol_Source[[#This Row],[% Supported housing (excl. HOP)]] &gt; 0.3 )</f>
        <v>0</v>
      </c>
      <c r="CM96" s="103">
        <v>0.13885295385942217</v>
      </c>
      <c r="CN96" s="6">
        <f xml:space="preserve"> -- ( VfM_Metrics_2023_Consol_Source[[#This Row],[% Housing for older people]] &gt; 0.3 )</f>
        <v>0</v>
      </c>
      <c r="CO96" s="103">
        <f xml:space="preserve"> VfM_Metrics_2023_Consol_Source[[#This Row],[% Supported housing (excl. HOP)]] + VfM_Metrics_2023_Consol_Source[[#This Row],[% Housing for older people]]</f>
        <v>0.16041397153945666</v>
      </c>
      <c r="CP96" s="6">
        <f xml:space="preserve"> -- ( VfM_Metrics_2023_Consol_Source[[#This Row],[SH specialist in RSH analysis]] + VfM_Metrics_2023_Consol_Source[[#This Row],[OP specialist in RSH analysis]] &gt; 0 )</f>
        <v>0</v>
      </c>
      <c r="CQ96" s="10">
        <f xml:space="preserve"> -- ( VfM_Metrics_2023_Consol_Source[[#This Row],[% SH and OP]] &gt; 0.3 )</f>
        <v>0</v>
      </c>
      <c r="CR96" s="104" t="s">
        <v>143</v>
      </c>
      <c r="CS96" s="124" t="s">
        <v>144</v>
      </c>
      <c r="CT96" s="105"/>
      <c r="CU9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96" s="85">
        <v>0</v>
      </c>
      <c r="CW96" s="85">
        <v>0</v>
      </c>
      <c r="CX96" s="85">
        <v>0</v>
      </c>
      <c r="CY96" s="85">
        <v>0</v>
      </c>
      <c r="CZ96" s="85">
        <v>0</v>
      </c>
      <c r="DA96" s="85">
        <v>0</v>
      </c>
      <c r="DB96" s="85">
        <v>9.3453724604966135E-2</v>
      </c>
      <c r="DC96" s="85">
        <v>0</v>
      </c>
      <c r="DD96" s="85">
        <v>0.90654627539503385</v>
      </c>
      <c r="DE96" s="13">
        <v>0.9410358907948122</v>
      </c>
    </row>
    <row r="97" spans="1:109" x14ac:dyDescent="0.25">
      <c r="A97" s="4" t="s" vm="265">
        <v>318</v>
      </c>
      <c r="B97" s="2" t="s" vm="87">
        <v>319</v>
      </c>
      <c r="C97" s="72" vm="518">
        <v>45016</v>
      </c>
      <c r="D97" s="7">
        <f>IFERROR( VfM_Metrics_2023_Consol_Source[[#This Row],[Reinvestment Spend]] / VfM_Metrics_2023_Consol_Source[[#This Row],[Net Book Value of Housing Properties]], "n/a" )</f>
        <v>0.10721303184491367</v>
      </c>
      <c r="E9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125498</v>
      </c>
      <c r="F97" s="83" vm="7948">
        <v>69354</v>
      </c>
      <c r="G97" s="83" vm="2174">
        <v>25618</v>
      </c>
      <c r="H97" s="83" vm="8135">
        <v>30526</v>
      </c>
      <c r="I97" s="83" vm="2175">
        <v>0</v>
      </c>
      <c r="J97" s="83" vm="2176">
        <v>0</v>
      </c>
      <c r="K97" s="5">
        <f xml:space="preserve"> SUM( VfM_Metrics_2023_Consol_Source[[#This Row],[Tangible fixed assets: Housing properties at cost (Current period)]],VfM_Metrics_2023_Consol_Source[[#This Row],[Tangible fixed assets Housing properties at valuation (Current period)]] )</f>
        <v>1170548</v>
      </c>
      <c r="L97" s="84" vm="7813">
        <v>1170548</v>
      </c>
      <c r="M97" s="83" vm="2178">
        <v>0</v>
      </c>
      <c r="N97" s="7">
        <f xml:space="preserve"> IFERROR( VfM_Metrics_2023_Consol_Source[[#This Row],[Total social units developed or newly built units acquired in-year]] / VfM_Metrics_2023_Consol_Source[[#This Row],[Social housing units owned (period end)]], "n/a" )</f>
        <v>1.7051864745511396E-2</v>
      </c>
      <c r="O97" s="5">
        <f xml:space="preserve"> SUM( VfM_Metrics_2023_Consol_Source[[#This Row],[Total social units developed or newly built units acquired in-year (owned)]], VfM_Metrics_2023_Consol_Source[[#This Row],[Total social leasehold units developed or newly built units acquired in-year (owned)]] )</f>
        <v>529</v>
      </c>
      <c r="P97" s="84" vm="2179">
        <v>529</v>
      </c>
      <c r="Q97" s="83" vm="2180">
        <v>0</v>
      </c>
      <c r="R97" s="5">
        <f xml:space="preserve"> SUM( VfM_Metrics_2023_Consol_Source[[#This Row],[Total social housing units owned (Period end)]], VfM_Metrics_2023_Consol_Source[[#This Row],[Total social leasehold units owned (Period end)]] )</f>
        <v>31023</v>
      </c>
      <c r="S97" s="84" vm="2172">
        <v>30403</v>
      </c>
      <c r="T97" s="83" vm="7767">
        <v>620</v>
      </c>
      <c r="U97" s="86">
        <f xml:space="preserve"> IFERROR( VfM_Metrics_2023_Consol_Source[[#This Row],[Total non-social housing units developed or newly built units acquired (owned)]] / VfM_Metrics_2023_Consol_Source[[#This Row],[Total social and non-social housing units owned (Period end)]], "n/a" )</f>
        <v>0</v>
      </c>
      <c r="V9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97" s="83" vm="2182">
        <v>0</v>
      </c>
      <c r="X97" s="83" vm="2183">
        <v>0</v>
      </c>
      <c r="Y97" s="83" vm="2184">
        <v>0</v>
      </c>
      <c r="Z9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31578</v>
      </c>
      <c r="AA97" s="84" vm="1351">
        <v>30403</v>
      </c>
      <c r="AB97" s="83" vm="2181">
        <v>620</v>
      </c>
      <c r="AC97" s="83" vm="2185">
        <v>514</v>
      </c>
      <c r="AD97" s="83" vm="2186">
        <v>41</v>
      </c>
      <c r="AE97" s="7">
        <f xml:space="preserve"> IFERROR( VfM_Metrics_2023_Consol_Source[[#This Row],[Total Net Debt]] / VfM_Metrics_2023_Consol_Source[[#This Row],[Net Book Value of Housing Properties2]], "n/a" )</f>
        <v>0.38177503186541689</v>
      </c>
      <c r="AF9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446886</v>
      </c>
      <c r="AG97" s="84" vm="2187">
        <v>4299</v>
      </c>
      <c r="AH97" s="83" vm="2188">
        <v>474339</v>
      </c>
      <c r="AI97" s="83" vm="2189">
        <v>31752</v>
      </c>
      <c r="AJ97" s="83" vm="2190">
        <v>0</v>
      </c>
      <c r="AK97" s="83" vm="7796">
        <v>0</v>
      </c>
      <c r="AL97" s="5">
        <f xml:space="preserve"> SUM( VfM_Metrics_2023_Consol_Source[[#This Row],[Tangible fixed assets: Housing properties at cost (Current period)2]], VfM_Metrics_2023_Consol_Source[[#This Row],[Tangible fixed assets Housing properties at valuation (Current period)2]] )</f>
        <v>1170548</v>
      </c>
      <c r="AM97" s="84" vm="2177">
        <v>1170548</v>
      </c>
      <c r="AN97" s="83" vm="2178">
        <v>0</v>
      </c>
      <c r="AO97" s="87">
        <f xml:space="preserve"> IFERROR( VfM_Metrics_2023_Consol_Source[[#This Row],[EBITDA MRI]] / VfM_Metrics_2023_Consol_Source[[#This Row],[Total interest]], "n/a" )</f>
        <v>1.8196147997972631</v>
      </c>
      <c r="AP9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35901</v>
      </c>
      <c r="AQ97" s="84" vm="2191">
        <v>46566</v>
      </c>
      <c r="AR97" s="84" vm="2192">
        <v>3273</v>
      </c>
      <c r="AS97" s="84" vm="2193">
        <v>-346</v>
      </c>
      <c r="AT97" s="84" vm="3728">
        <v>5132</v>
      </c>
      <c r="AU97" s="84" vm="8132">
        <v>0</v>
      </c>
      <c r="AV97" s="84" vm="2195">
        <v>1931</v>
      </c>
      <c r="AW97" s="84" vm="2196">
        <v>30526</v>
      </c>
      <c r="AX97" s="84" vm="2197">
        <v>25989</v>
      </c>
      <c r="AY97" s="3">
        <f xml:space="preserve"> - SUM( VfM_Metrics_2023_Consol_Source[[#This Row],[Interest capitalised]], VfM_Metrics_2023_Consol_Source[[#This Row],[Interest payable and financing costs]] )</f>
        <v>19730</v>
      </c>
      <c r="AZ97" s="84" vm="2198">
        <v>0</v>
      </c>
      <c r="BA97" s="83" vm="2199">
        <v>-19730</v>
      </c>
      <c r="BB97" s="8">
        <f xml:space="preserve"> IFERROR( ( VfM_Metrics_2023_Consol_Source[[#This Row],[Total Costs]] / VfM_Metrics_2023_Consol_Source[[#This Row],[Total units for costs]] ) * 1000, "n/a" )</f>
        <v>3809.2062246632668</v>
      </c>
      <c r="BC9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116516</v>
      </c>
      <c r="BD97" s="84" vm="2739">
        <v>19526</v>
      </c>
      <c r="BE97" s="83" vm="2200">
        <v>18532</v>
      </c>
      <c r="BF97" s="83" vm="2201">
        <v>27774</v>
      </c>
      <c r="BG97" s="83" vm="7811">
        <v>9825</v>
      </c>
      <c r="BH97" s="83" vm="7519">
        <v>0</v>
      </c>
      <c r="BI97" s="83" vm="2202">
        <v>0</v>
      </c>
      <c r="BJ97" s="83" vm="989">
        <v>30526</v>
      </c>
      <c r="BK97" s="83" vm="2203">
        <v>1742</v>
      </c>
      <c r="BL97" s="83" vm="2204">
        <v>1035</v>
      </c>
      <c r="BM97" s="83" vm="2205">
        <v>3657</v>
      </c>
      <c r="BN97" s="83" vm="2206">
        <v>1683</v>
      </c>
      <c r="BO97" s="83" vm="2207">
        <v>2216</v>
      </c>
      <c r="BP97" s="5" vm="2173">
        <f xml:space="preserve"> VfM_Metrics_2023_Consol_Source[[#This Row],[Total social housing units owned and/or managed at period end]]</f>
        <v>30588</v>
      </c>
      <c r="BQ97" s="84" vm="2173">
        <v>30588</v>
      </c>
      <c r="BR97" s="7">
        <f xml:space="preserve"> IFERROR( VfM_Metrics_2023_Consol_Source[[#This Row],[SHL operating surplus / (deficit)]] / VfM_Metrics_2023_Consol_Source[[#This Row],[Turnover from social housing lettings]], "n/a" )</f>
        <v>0.28950909956727883</v>
      </c>
      <c r="BS97" s="5" vm="7810">
        <f xml:space="preserve"> VfM_Metrics_2023_Consol_Source[[#This Row],[Operating surplus/(deficit) (social housing lettings)]]</f>
        <v>41949</v>
      </c>
      <c r="BT97" s="84" vm="7810">
        <v>41949</v>
      </c>
      <c r="BU97" s="5" vm="2208">
        <f xml:space="preserve"> VfM_Metrics_2023_Consol_Source[[#This Row],[Turnover from social housing lettings]]</f>
        <v>144897</v>
      </c>
      <c r="BV97" s="84" vm="2208">
        <v>144897</v>
      </c>
      <c r="BW97" s="7">
        <f xml:space="preserve"> IFERROR( VfM_Metrics_2023_Consol_Source[[#This Row],[Net operating surplus]] / VfM_Metrics_2023_Consol_Source[[#This Row],[Overall turnover]], "n/a" )</f>
        <v>0.26351416632448493</v>
      </c>
      <c r="BX9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43639</v>
      </c>
      <c r="BY97" s="84" vm="4493">
        <v>46566</v>
      </c>
      <c r="BZ97" s="83" vm="3165">
        <v>3273</v>
      </c>
      <c r="CA97" s="83" vm="7896">
        <v>-346</v>
      </c>
      <c r="CB97" s="5" vm="7809">
        <f xml:space="preserve"> VfM_Metrics_2023_Consol_Source[[#This Row],[Turnover (overall)]]</f>
        <v>165604</v>
      </c>
      <c r="CC97" s="84" vm="7809">
        <v>165604</v>
      </c>
      <c r="CD97" s="7">
        <f xml:space="preserve"> IFERROR( VfM_Metrics_2023_Consol_Source[[#This Row],[Operating surplus including from JVs]] / VfM_Metrics_2023_Consol_Source[[#This Row],[Net assets]], "n/a" )</f>
        <v>3.6914486117629153E-2</v>
      </c>
      <c r="CE97" s="5">
        <f xml:space="preserve"> SUM( VfM_Metrics_2023_Consol_Source[[#This Row],[Operating surplus/(deficit) (overall)3]], VfM_Metrics_2023_Consol_Source[[#This Row],[Share of operating surplus/(deficit) in joint ventures or associates]] )</f>
        <v>46566</v>
      </c>
      <c r="CF97" s="84" vm="2191">
        <v>46566</v>
      </c>
      <c r="CG97" s="83" vm="7957">
        <v>0</v>
      </c>
      <c r="CH97" s="5" vm="4068">
        <f xml:space="preserve"> VfM_Metrics_2023_Consol_Source[[#This Row],[Total assets less current liabilities]]</f>
        <v>1261456</v>
      </c>
      <c r="CI97" s="84" vm="4068">
        <v>1261456</v>
      </c>
      <c r="CJ97" s="71" vm="2172">
        <f xml:space="preserve"> VfM_Metrics_2023_Consol_Source[[#This Row],[Total social housing units owned (Period end)]]</f>
        <v>30403</v>
      </c>
      <c r="CK97" s="103">
        <v>2.133914709477092E-2</v>
      </c>
      <c r="CL97" s="6">
        <f xml:space="preserve"> -- ( VfM_Metrics_2023_Consol_Source[[#This Row],[% Supported housing (excl. HOP)]] &gt; 0.3 )</f>
        <v>0</v>
      </c>
      <c r="CM97" s="103">
        <v>3.2239949790242133E-2</v>
      </c>
      <c r="CN97" s="6">
        <f xml:space="preserve"> -- ( VfM_Metrics_2023_Consol_Source[[#This Row],[% Housing for older people]] &gt; 0.3 )</f>
        <v>0</v>
      </c>
      <c r="CO97" s="103">
        <f xml:space="preserve"> VfM_Metrics_2023_Consol_Source[[#This Row],[% Supported housing (excl. HOP)]] + VfM_Metrics_2023_Consol_Source[[#This Row],[% Housing for older people]]</f>
        <v>5.3579096885013056E-2</v>
      </c>
      <c r="CP97" s="6">
        <f xml:space="preserve"> -- ( VfM_Metrics_2023_Consol_Source[[#This Row],[SH specialist in RSH analysis]] + VfM_Metrics_2023_Consol_Source[[#This Row],[OP specialist in RSH analysis]] &gt; 0 )</f>
        <v>0</v>
      </c>
      <c r="CQ97" s="10">
        <f xml:space="preserve"> -- ( VfM_Metrics_2023_Consol_Source[[#This Row],[% SH and OP]] &gt; 0.3 )</f>
        <v>0</v>
      </c>
      <c r="CR97" s="104" t="s">
        <v>143</v>
      </c>
      <c r="CS97" s="124"/>
      <c r="CT97" s="105" t="s">
        <v>151</v>
      </c>
      <c r="CU9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97" s="85">
        <v>0</v>
      </c>
      <c r="CW97" s="85">
        <v>0</v>
      </c>
      <c r="CX97" s="85">
        <v>0</v>
      </c>
      <c r="CY97" s="85">
        <v>0</v>
      </c>
      <c r="CZ97" s="85">
        <v>0</v>
      </c>
      <c r="DA97" s="85">
        <v>0</v>
      </c>
      <c r="DB97" s="85">
        <v>0.89318503405837635</v>
      </c>
      <c r="DC97" s="85">
        <v>0</v>
      </c>
      <c r="DD97" s="85">
        <v>0.10681496594162361</v>
      </c>
      <c r="DE97" s="13">
        <v>0.91061116851823154</v>
      </c>
    </row>
    <row r="98" spans="1:109" x14ac:dyDescent="0.25">
      <c r="A98" s="4" t="s" vm="330">
        <v>320</v>
      </c>
      <c r="B98" s="2" t="s" vm="88">
        <v>321</v>
      </c>
      <c r="C98" s="72" vm="572">
        <v>45016</v>
      </c>
      <c r="D98" s="7">
        <f>IFERROR( VfM_Metrics_2023_Consol_Source[[#This Row],[Reinvestment Spend]] / VfM_Metrics_2023_Consol_Source[[#This Row],[Net Book Value of Housing Properties]], "n/a" )</f>
        <v>0.10201933915739045</v>
      </c>
      <c r="E9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23169</v>
      </c>
      <c r="F98" s="83" vm="4389">
        <v>6361</v>
      </c>
      <c r="G98" s="83" vm="7625">
        <v>13089</v>
      </c>
      <c r="H98" s="83" vm="7588">
        <v>3719</v>
      </c>
      <c r="I98" s="83" vm="4390">
        <v>0</v>
      </c>
      <c r="J98" s="83" vm="4391">
        <v>0</v>
      </c>
      <c r="K98" s="5">
        <f xml:space="preserve"> SUM( VfM_Metrics_2023_Consol_Source[[#This Row],[Tangible fixed assets: Housing properties at cost (Current period)]],VfM_Metrics_2023_Consol_Source[[#This Row],[Tangible fixed assets Housing properties at valuation (Current period)]] )</f>
        <v>227104</v>
      </c>
      <c r="L98" s="84" vm="4392">
        <v>227104</v>
      </c>
      <c r="M98" s="83">
        <v>0</v>
      </c>
      <c r="N98" s="7">
        <f xml:space="preserve"> IFERROR( VfM_Metrics_2023_Consol_Source[[#This Row],[Total social units developed or newly built units acquired in-year]] / VfM_Metrics_2023_Consol_Source[[#This Row],[Social housing units owned (period end)]], "n/a" )</f>
        <v>1.8918317382595147E-2</v>
      </c>
      <c r="O98" s="5">
        <f xml:space="preserve"> SUM( VfM_Metrics_2023_Consol_Source[[#This Row],[Total social units developed or newly built units acquired in-year (owned)]], VfM_Metrics_2023_Consol_Source[[#This Row],[Total social leasehold units developed or newly built units acquired in-year (owned)]] )</f>
        <v>85</v>
      </c>
      <c r="P98" s="84" vm="4456">
        <v>85</v>
      </c>
      <c r="Q98" s="83">
        <v>0</v>
      </c>
      <c r="R98" s="5">
        <f xml:space="preserve"> SUM( VfM_Metrics_2023_Consol_Source[[#This Row],[Total social housing units owned (Period end)]], VfM_Metrics_2023_Consol_Source[[#This Row],[Total social leasehold units owned (Period end)]] )</f>
        <v>4493</v>
      </c>
      <c r="S98" s="84" vm="4387">
        <v>4452</v>
      </c>
      <c r="T98" s="83" vm="4393">
        <v>41</v>
      </c>
      <c r="U98" s="86">
        <f xml:space="preserve"> IFERROR( VfM_Metrics_2023_Consol_Source[[#This Row],[Total non-social housing units developed or newly built units acquired (owned)]] / VfM_Metrics_2023_Consol_Source[[#This Row],[Total social and non-social housing units owned (Period end)]], "n/a" )</f>
        <v>0</v>
      </c>
      <c r="V9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98" s="83">
        <v>0</v>
      </c>
      <c r="X98" s="83">
        <v>0</v>
      </c>
      <c r="Y98" s="83">
        <v>0</v>
      </c>
      <c r="Z9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4578</v>
      </c>
      <c r="AA98" s="84" vm="4387">
        <v>4452</v>
      </c>
      <c r="AB98" s="83" vm="4393">
        <v>41</v>
      </c>
      <c r="AC98" s="83" vm="4394">
        <v>85</v>
      </c>
      <c r="AD98" s="83" vm="7645">
        <v>0</v>
      </c>
      <c r="AE98" s="7">
        <f xml:space="preserve"> IFERROR( VfM_Metrics_2023_Consol_Source[[#This Row],[Total Net Debt]] / VfM_Metrics_2023_Consol_Source[[#This Row],[Net Book Value of Housing Properties2]], "n/a" )</f>
        <v>0.26667077638438774</v>
      </c>
      <c r="AF9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60562</v>
      </c>
      <c r="AG98" s="84" vm="4395">
        <v>3943</v>
      </c>
      <c r="AH98" s="83" vm="4396">
        <v>58045</v>
      </c>
      <c r="AI98" s="83" vm="2983">
        <v>1426</v>
      </c>
      <c r="AJ98" s="83" vm="1675">
        <v>0</v>
      </c>
      <c r="AK98" s="83">
        <v>0</v>
      </c>
      <c r="AL98" s="5">
        <f xml:space="preserve"> SUM( VfM_Metrics_2023_Consol_Source[[#This Row],[Tangible fixed assets: Housing properties at cost (Current period)2]], VfM_Metrics_2023_Consol_Source[[#This Row],[Tangible fixed assets Housing properties at valuation (Current period)2]] )</f>
        <v>227104</v>
      </c>
      <c r="AM98" s="84" vm="4392">
        <v>227104</v>
      </c>
      <c r="AN98" s="83">
        <v>0</v>
      </c>
      <c r="AO98" s="87">
        <f xml:space="preserve"> IFERROR( VfM_Metrics_2023_Consol_Source[[#This Row],[EBITDA MRI]] / VfM_Metrics_2023_Consol_Source[[#This Row],[Total interest]], "n/a" )</f>
        <v>2.1486191860465116</v>
      </c>
      <c r="AP9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5913</v>
      </c>
      <c r="AQ98" s="84" vm="7674">
        <v>6706</v>
      </c>
      <c r="AR98" s="84" vm="4398">
        <v>802</v>
      </c>
      <c r="AS98" s="84" vm="4399">
        <v>-1</v>
      </c>
      <c r="AT98" s="84" vm="4400">
        <v>1778</v>
      </c>
      <c r="AU98" s="84" vm="7052">
        <v>0</v>
      </c>
      <c r="AV98" s="84" vm="4406">
        <v>155</v>
      </c>
      <c r="AW98" s="84" vm="7288">
        <v>3719</v>
      </c>
      <c r="AX98" s="84" vm="4401">
        <v>5350</v>
      </c>
      <c r="AY98" s="3">
        <f xml:space="preserve"> - SUM( VfM_Metrics_2023_Consol_Source[[#This Row],[Interest capitalised]], VfM_Metrics_2023_Consol_Source[[#This Row],[Interest payable and financing costs]] )</f>
        <v>2752</v>
      </c>
      <c r="AZ98" s="84">
        <v>0</v>
      </c>
      <c r="BA98" s="83" vm="4402">
        <v>-2752</v>
      </c>
      <c r="BB98" s="8">
        <f xml:space="preserve"> IFERROR( ( VfM_Metrics_2023_Consol_Source[[#This Row],[Total Costs]] / VfM_Metrics_2023_Consol_Source[[#This Row],[Total units for costs]] ) * 1000, "n/a" )</f>
        <v>4232.9290206648693</v>
      </c>
      <c r="BC9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18845</v>
      </c>
      <c r="BD98" s="84" vm="4403">
        <v>5350</v>
      </c>
      <c r="BE98" s="83" vm="4404">
        <v>1015</v>
      </c>
      <c r="BF98" s="83" vm="4405">
        <v>4691</v>
      </c>
      <c r="BG98" s="83" vm="7396">
        <v>875</v>
      </c>
      <c r="BH98" s="83" vm="2883">
        <v>1665</v>
      </c>
      <c r="BI98" s="83" vm="4407">
        <v>4</v>
      </c>
      <c r="BJ98" s="83" vm="7428">
        <v>3719</v>
      </c>
      <c r="BK98" s="83" vm="4408">
        <v>0</v>
      </c>
      <c r="BL98" s="83" vm="4409">
        <v>281</v>
      </c>
      <c r="BM98" s="83">
        <v>0</v>
      </c>
      <c r="BN98" s="83" vm="7162">
        <v>1245</v>
      </c>
      <c r="BO98" s="83">
        <v>0</v>
      </c>
      <c r="BP98" s="5" vm="4388">
        <f xml:space="preserve"> VfM_Metrics_2023_Consol_Source[[#This Row],[Total social housing units owned and/or managed at period end]]</f>
        <v>4452</v>
      </c>
      <c r="BQ98" s="84" vm="4388">
        <v>4452</v>
      </c>
      <c r="BR98" s="7">
        <f xml:space="preserve"> IFERROR( VfM_Metrics_2023_Consol_Source[[#This Row],[SHL operating surplus / (deficit)]] / VfM_Metrics_2023_Consol_Source[[#This Row],[Turnover from social housing lettings]], "n/a" )</f>
        <v>0.17258471521268925</v>
      </c>
      <c r="BS98" s="5" vm="4411">
        <f xml:space="preserve"> VfM_Metrics_2023_Consol_Source[[#This Row],[Operating surplus/(deficit) (social housing lettings)]]</f>
        <v>3830</v>
      </c>
      <c r="BT98" s="84" vm="4411">
        <v>3830</v>
      </c>
      <c r="BU98" s="5" vm="7057">
        <f xml:space="preserve"> VfM_Metrics_2023_Consol_Source[[#This Row],[Turnover from social housing lettings]]</f>
        <v>22192</v>
      </c>
      <c r="BV98" s="84" vm="7057">
        <v>22192</v>
      </c>
      <c r="BW98" s="7">
        <f xml:space="preserve"> IFERROR( VfM_Metrics_2023_Consol_Source[[#This Row],[Net operating surplus]] / VfM_Metrics_2023_Consol_Source[[#This Row],[Overall turnover]], "n/a" )</f>
        <v>0.21270081406238744</v>
      </c>
      <c r="BX9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5905</v>
      </c>
      <c r="BY98" s="84" vm="4397">
        <v>6706</v>
      </c>
      <c r="BZ98" s="83" vm="4398">
        <v>802</v>
      </c>
      <c r="CA98" s="83" vm="7477">
        <v>-1</v>
      </c>
      <c r="CB98" s="5" vm="4412">
        <f xml:space="preserve"> VfM_Metrics_2023_Consol_Source[[#This Row],[Turnover (overall)]]</f>
        <v>27762</v>
      </c>
      <c r="CC98" s="84" vm="4412">
        <v>27762</v>
      </c>
      <c r="CD98" s="7">
        <f xml:space="preserve"> IFERROR( VfM_Metrics_2023_Consol_Source[[#This Row],[Operating surplus including from JVs]] / VfM_Metrics_2023_Consol_Source[[#This Row],[Net assets]], "n/a" )</f>
        <v>2.8749158660544716E-2</v>
      </c>
      <c r="CE98" s="5">
        <f xml:space="preserve"> SUM( VfM_Metrics_2023_Consol_Source[[#This Row],[Operating surplus/(deficit) (overall)3]], VfM_Metrics_2023_Consol_Source[[#This Row],[Share of operating surplus/(deficit) in joint ventures or associates]] )</f>
        <v>6706</v>
      </c>
      <c r="CF98" s="84" vm="4397">
        <v>6706</v>
      </c>
      <c r="CG98" s="83">
        <v>0</v>
      </c>
      <c r="CH98" s="5" vm="4182">
        <f xml:space="preserve"> VfM_Metrics_2023_Consol_Source[[#This Row],[Total assets less current liabilities]]</f>
        <v>233259</v>
      </c>
      <c r="CI98" s="84" vm="4182">
        <v>233259</v>
      </c>
      <c r="CJ98" s="71" vm="4387">
        <f xml:space="preserve"> VfM_Metrics_2023_Consol_Source[[#This Row],[Total social housing units owned (Period end)]]</f>
        <v>4452</v>
      </c>
      <c r="CK98" s="103">
        <v>4.6741573033707864E-2</v>
      </c>
      <c r="CL98" s="6">
        <f xml:space="preserve"> -- ( VfM_Metrics_2023_Consol_Source[[#This Row],[% Supported housing (excl. HOP)]] &gt; 0.3 )</f>
        <v>0</v>
      </c>
      <c r="CM98" s="103">
        <v>5.7078651685393257E-2</v>
      </c>
      <c r="CN98" s="6">
        <f xml:space="preserve"> -- ( VfM_Metrics_2023_Consol_Source[[#This Row],[% Housing for older people]] &gt; 0.3 )</f>
        <v>0</v>
      </c>
      <c r="CO98" s="103">
        <f xml:space="preserve"> VfM_Metrics_2023_Consol_Source[[#This Row],[% Supported housing (excl. HOP)]] + VfM_Metrics_2023_Consol_Source[[#This Row],[% Housing for older people]]</f>
        <v>0.10382022471910113</v>
      </c>
      <c r="CP98" s="6">
        <f xml:space="preserve"> -- ( VfM_Metrics_2023_Consol_Source[[#This Row],[SH specialist in RSH analysis]] + VfM_Metrics_2023_Consol_Source[[#This Row],[OP specialist in RSH analysis]] &gt; 0 )</f>
        <v>0</v>
      </c>
      <c r="CQ98" s="10">
        <f xml:space="preserve"> -- ( VfM_Metrics_2023_Consol_Source[[#This Row],[% SH and OP]] &gt; 0.3 )</f>
        <v>0</v>
      </c>
      <c r="CR98" s="104" t="s">
        <v>143</v>
      </c>
      <c r="CS98" s="124" t="s">
        <v>144</v>
      </c>
      <c r="CT98" s="105"/>
      <c r="CU9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98" s="85">
        <v>0</v>
      </c>
      <c r="CW98" s="85">
        <v>0</v>
      </c>
      <c r="CX98" s="85">
        <v>0</v>
      </c>
      <c r="CY98" s="85">
        <v>2.2386389075442132E-4</v>
      </c>
      <c r="CZ98" s="85">
        <v>0</v>
      </c>
      <c r="DA98" s="85">
        <v>0</v>
      </c>
      <c r="DB98" s="85">
        <v>0</v>
      </c>
      <c r="DC98" s="85">
        <v>0</v>
      </c>
      <c r="DD98" s="85">
        <v>0.99977613610924554</v>
      </c>
      <c r="DE98" s="13">
        <v>0.94459070917525034</v>
      </c>
    </row>
    <row r="99" spans="1:109" x14ac:dyDescent="0.25">
      <c r="A99" s="4" t="s" vm="299">
        <v>322</v>
      </c>
      <c r="B99" s="2" t="s" vm="89">
        <v>323</v>
      </c>
      <c r="C99" s="72" vm="510">
        <v>45016</v>
      </c>
      <c r="D99" s="7">
        <f>IFERROR( VfM_Metrics_2023_Consol_Source[[#This Row],[Reinvestment Spend]] / VfM_Metrics_2023_Consol_Source[[#This Row],[Net Book Value of Housing Properties]], "n/a" )</f>
        <v>5.8194103194103196E-2</v>
      </c>
      <c r="E9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18948</v>
      </c>
      <c r="F99" s="83" vm="3312">
        <v>0</v>
      </c>
      <c r="G99" s="83" vm="3313">
        <v>5028</v>
      </c>
      <c r="H99" s="83" vm="3314">
        <v>13920</v>
      </c>
      <c r="I99" s="83" vm="3315">
        <v>0</v>
      </c>
      <c r="J99" s="83" vm="3316">
        <v>0</v>
      </c>
      <c r="K99" s="5">
        <f xml:space="preserve"> SUM( VfM_Metrics_2023_Consol_Source[[#This Row],[Tangible fixed assets: Housing properties at cost (Current period)]],VfM_Metrics_2023_Consol_Source[[#This Row],[Tangible fixed assets Housing properties at valuation (Current period)]] )</f>
        <v>325600</v>
      </c>
      <c r="L99" s="84" vm="3317">
        <v>325600</v>
      </c>
      <c r="M99" s="83" vm="3318">
        <v>0</v>
      </c>
      <c r="N99" s="7">
        <f xml:space="preserve"> IFERROR( VfM_Metrics_2023_Consol_Source[[#This Row],[Total social units developed or newly built units acquired in-year]] / VfM_Metrics_2023_Consol_Source[[#This Row],[Social housing units owned (period end)]], "n/a" )</f>
        <v>6.2882809309922419E-3</v>
      </c>
      <c r="O99" s="5">
        <f xml:space="preserve"> SUM( VfM_Metrics_2023_Consol_Source[[#This Row],[Total social units developed or newly built units acquired in-year (owned)]], VfM_Metrics_2023_Consol_Source[[#This Row],[Total social leasehold units developed or newly built units acquired in-year (owned)]] )</f>
        <v>77</v>
      </c>
      <c r="P99" s="84" vm="7758">
        <v>77</v>
      </c>
      <c r="Q99" s="83" vm="3319">
        <v>0</v>
      </c>
      <c r="R99" s="5">
        <f xml:space="preserve"> SUM( VfM_Metrics_2023_Consol_Source[[#This Row],[Total social housing units owned (Period end)]], VfM_Metrics_2023_Consol_Source[[#This Row],[Total social leasehold units owned (Period end)]] )</f>
        <v>12245</v>
      </c>
      <c r="S99" s="84" vm="3311">
        <v>12245</v>
      </c>
      <c r="T99" s="83" vm="3320">
        <v>0</v>
      </c>
      <c r="U99" s="86">
        <f xml:space="preserve"> IFERROR( VfM_Metrics_2023_Consol_Source[[#This Row],[Total non-social housing units developed or newly built units acquired (owned)]] / VfM_Metrics_2023_Consol_Source[[#This Row],[Total social and non-social housing units owned (Period end)]], "n/a" )</f>
        <v>0</v>
      </c>
      <c r="V9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99" s="83" vm="7458">
        <v>0</v>
      </c>
      <c r="X99" s="83" vm="3321">
        <v>0</v>
      </c>
      <c r="Y99" s="83" vm="3322">
        <v>0</v>
      </c>
      <c r="Z9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12642</v>
      </c>
      <c r="AA99" s="84" vm="7569">
        <v>12245</v>
      </c>
      <c r="AB99" s="83" vm="3320">
        <v>0</v>
      </c>
      <c r="AC99" s="83" vm="3323">
        <v>31</v>
      </c>
      <c r="AD99" s="83" vm="7756">
        <v>366</v>
      </c>
      <c r="AE99" s="7">
        <f xml:space="preserve"> IFERROR( VfM_Metrics_2023_Consol_Source[[#This Row],[Total Net Debt]] / VfM_Metrics_2023_Consol_Source[[#This Row],[Net Book Value of Housing Properties2]], "n/a" )</f>
        <v>0.55354729729729735</v>
      </c>
      <c r="AF9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180235</v>
      </c>
      <c r="AG99" s="84" vm="3325">
        <v>0</v>
      </c>
      <c r="AH99" s="83" vm="3326">
        <v>194682</v>
      </c>
      <c r="AI99" s="83" vm="3327">
        <v>14447</v>
      </c>
      <c r="AJ99" s="83" vm="3328">
        <v>0</v>
      </c>
      <c r="AK99" s="83" vm="3329">
        <v>0</v>
      </c>
      <c r="AL99" s="5">
        <f xml:space="preserve"> SUM( VfM_Metrics_2023_Consol_Source[[#This Row],[Tangible fixed assets: Housing properties at cost (Current period)2]], VfM_Metrics_2023_Consol_Source[[#This Row],[Tangible fixed assets Housing properties at valuation (Current period)2]] )</f>
        <v>325600</v>
      </c>
      <c r="AM99" s="84" vm="7457">
        <v>325600</v>
      </c>
      <c r="AN99" s="83" vm="3318">
        <v>0</v>
      </c>
      <c r="AO99" s="87">
        <f xml:space="preserve"> IFERROR( VfM_Metrics_2023_Consol_Source[[#This Row],[EBITDA MRI]] / VfM_Metrics_2023_Consol_Source[[#This Row],[Total interest]], "n/a" )</f>
        <v>1.1572831650297413</v>
      </c>
      <c r="AP9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8366</v>
      </c>
      <c r="AQ99" s="84" vm="3330">
        <v>13837</v>
      </c>
      <c r="AR99" s="84" vm="3331">
        <v>1566</v>
      </c>
      <c r="AS99" s="84" vm="3332">
        <v>0</v>
      </c>
      <c r="AT99" s="84" vm="3333">
        <v>772</v>
      </c>
      <c r="AU99" s="84" vm="3334">
        <v>0</v>
      </c>
      <c r="AV99" s="84" vm="3335">
        <v>153</v>
      </c>
      <c r="AW99" s="84" vm="3336">
        <v>13920</v>
      </c>
      <c r="AX99" s="84" vm="3337">
        <v>10634</v>
      </c>
      <c r="AY99" s="3">
        <f xml:space="preserve"> - SUM( VfM_Metrics_2023_Consol_Source[[#This Row],[Interest capitalised]], VfM_Metrics_2023_Consol_Source[[#This Row],[Interest payable and financing costs]] )</f>
        <v>7229</v>
      </c>
      <c r="AZ99" s="84" vm="3338">
        <v>0</v>
      </c>
      <c r="BA99" s="83" vm="3339">
        <v>-7229</v>
      </c>
      <c r="BB99" s="8">
        <f xml:space="preserve"> IFERROR( ( VfM_Metrics_2023_Consol_Source[[#This Row],[Total Costs]] / VfM_Metrics_2023_Consol_Source[[#This Row],[Total units for costs]] ) * 1000, "n/a" )</f>
        <v>3861.269789456504</v>
      </c>
      <c r="BC9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47316</v>
      </c>
      <c r="BD99" s="84" vm="3534">
        <v>17693</v>
      </c>
      <c r="BE99" s="83" vm="7453">
        <v>3031</v>
      </c>
      <c r="BF99" s="83" vm="3340">
        <v>12157</v>
      </c>
      <c r="BG99" s="83" vm="3341">
        <v>515</v>
      </c>
      <c r="BH99" s="83" vm="3342">
        <v>0</v>
      </c>
      <c r="BI99" s="83" vm="3343">
        <v>0</v>
      </c>
      <c r="BJ99" s="83" vm="3336">
        <v>13920</v>
      </c>
      <c r="BK99" s="83" vm="3344">
        <v>0</v>
      </c>
      <c r="BL99" s="83" vm="3345">
        <v>0</v>
      </c>
      <c r="BM99" s="83" vm="3346">
        <v>0</v>
      </c>
      <c r="BN99" s="83" vm="3347">
        <v>0</v>
      </c>
      <c r="BO99" s="83" vm="7540">
        <v>0</v>
      </c>
      <c r="BP99" s="5" vm="7712">
        <f xml:space="preserve"> VfM_Metrics_2023_Consol_Source[[#This Row],[Total social housing units owned and/or managed at period end]]</f>
        <v>12254</v>
      </c>
      <c r="BQ99" s="84" vm="7712">
        <v>12254</v>
      </c>
      <c r="BR99" s="7">
        <f xml:space="preserve"> IFERROR( VfM_Metrics_2023_Consol_Source[[#This Row],[SHL operating surplus / (deficit)]] / VfM_Metrics_2023_Consol_Source[[#This Row],[Turnover from social housing lettings]], "n/a" )</f>
        <v>0.19850986491129718</v>
      </c>
      <c r="BS99" s="5" vm="3348">
        <f xml:space="preserve"> VfM_Metrics_2023_Consol_Source[[#This Row],[Operating surplus/(deficit) (social housing lettings)]]</f>
        <v>10977</v>
      </c>
      <c r="BT99" s="84" vm="3348">
        <v>10977</v>
      </c>
      <c r="BU99" s="5" vm="3657">
        <f xml:space="preserve"> VfM_Metrics_2023_Consol_Source[[#This Row],[Turnover from social housing lettings]]</f>
        <v>55297</v>
      </c>
      <c r="BV99" s="84" vm="3657">
        <v>55297</v>
      </c>
      <c r="BW99" s="7">
        <f xml:space="preserve"> IFERROR( VfM_Metrics_2023_Consol_Source[[#This Row],[Net operating surplus]] / VfM_Metrics_2023_Consol_Source[[#This Row],[Overall turnover]], "n/a" )</f>
        <v>0.21271690328843587</v>
      </c>
      <c r="BX9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12271</v>
      </c>
      <c r="BY99" s="84" vm="1902">
        <v>13837</v>
      </c>
      <c r="BZ99" s="83" vm="3331">
        <v>1566</v>
      </c>
      <c r="CA99" s="83" vm="3332">
        <v>0</v>
      </c>
      <c r="CB99" s="5" vm="3349">
        <f xml:space="preserve"> VfM_Metrics_2023_Consol_Source[[#This Row],[Turnover (overall)]]</f>
        <v>57687</v>
      </c>
      <c r="CC99" s="84" vm="3349">
        <v>57687</v>
      </c>
      <c r="CD99" s="7">
        <f xml:space="preserve"> IFERROR( VfM_Metrics_2023_Consol_Source[[#This Row],[Operating surplus including from JVs]] / VfM_Metrics_2023_Consol_Source[[#This Row],[Net assets]], "n/a" )</f>
        <v>4.0947803905089397E-2</v>
      </c>
      <c r="CE99" s="5">
        <f xml:space="preserve"> SUM( VfM_Metrics_2023_Consol_Source[[#This Row],[Operating surplus/(deficit) (overall)3]], VfM_Metrics_2023_Consol_Source[[#This Row],[Share of operating surplus/(deficit) in joint ventures or associates]] )</f>
        <v>13837</v>
      </c>
      <c r="CF99" s="84" vm="3330">
        <v>13837</v>
      </c>
      <c r="CG99" s="83" vm="7785">
        <v>0</v>
      </c>
      <c r="CH99" s="5" vm="3350">
        <f xml:space="preserve"> VfM_Metrics_2023_Consol_Source[[#This Row],[Total assets less current liabilities]]</f>
        <v>337918</v>
      </c>
      <c r="CI99" s="84" vm="3350">
        <v>337918</v>
      </c>
      <c r="CJ99" s="71" vm="3311">
        <f xml:space="preserve"> VfM_Metrics_2023_Consol_Source[[#This Row],[Total social housing units owned (Period end)]]</f>
        <v>12245</v>
      </c>
      <c r="CK99" s="103">
        <v>1.6425755584756898E-3</v>
      </c>
      <c r="CL99" s="6">
        <f xml:space="preserve"> -- ( VfM_Metrics_2023_Consol_Source[[#This Row],[% Supported housing (excl. HOP)]] &gt; 0.3 )</f>
        <v>0</v>
      </c>
      <c r="CM99" s="103">
        <v>0.139865308804205</v>
      </c>
      <c r="CN99" s="6">
        <f xml:space="preserve"> -- ( VfM_Metrics_2023_Consol_Source[[#This Row],[% Housing for older people]] &gt; 0.3 )</f>
        <v>0</v>
      </c>
      <c r="CO99" s="103">
        <f xml:space="preserve"> VfM_Metrics_2023_Consol_Source[[#This Row],[% Supported housing (excl. HOP)]] + VfM_Metrics_2023_Consol_Source[[#This Row],[% Housing for older people]]</f>
        <v>0.14150788436268069</v>
      </c>
      <c r="CP99" s="6">
        <f xml:space="preserve"> -- ( VfM_Metrics_2023_Consol_Source[[#This Row],[SH specialist in RSH analysis]] + VfM_Metrics_2023_Consol_Source[[#This Row],[OP specialist in RSH analysis]] &gt; 0 )</f>
        <v>0</v>
      </c>
      <c r="CQ99" s="10">
        <f xml:space="preserve"> -- ( VfM_Metrics_2023_Consol_Source[[#This Row],[% SH and OP]] &gt; 0.3 )</f>
        <v>0</v>
      </c>
      <c r="CR99" s="104" t="s">
        <v>143</v>
      </c>
      <c r="CS99" s="124"/>
      <c r="CT99" s="105" t="s">
        <v>151</v>
      </c>
      <c r="CU9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99" s="85">
        <v>0</v>
      </c>
      <c r="CW99" s="85">
        <v>0</v>
      </c>
      <c r="CX99" s="85">
        <v>0</v>
      </c>
      <c r="CY99" s="85">
        <v>0.41254315304948214</v>
      </c>
      <c r="CZ99" s="85">
        <v>0</v>
      </c>
      <c r="DA99" s="85">
        <v>0</v>
      </c>
      <c r="DB99" s="85">
        <v>0</v>
      </c>
      <c r="DC99" s="85">
        <v>0</v>
      </c>
      <c r="DD99" s="85">
        <v>0.58745684695051781</v>
      </c>
      <c r="DE99" s="13">
        <v>0.94366013752208233</v>
      </c>
    </row>
    <row r="100" spans="1:109" x14ac:dyDescent="0.25">
      <c r="A100" s="4" t="s" vm="256">
        <v>324</v>
      </c>
      <c r="B100" s="2" t="s" vm="90">
        <v>325</v>
      </c>
      <c r="C100" s="72" vm="476">
        <v>45016</v>
      </c>
      <c r="D100" s="7">
        <f>IFERROR( VfM_Metrics_2023_Consol_Source[[#This Row],[Reinvestment Spend]] / VfM_Metrics_2023_Consol_Source[[#This Row],[Net Book Value of Housing Properties]], "n/a" )</f>
        <v>5.7551110741053436E-2</v>
      </c>
      <c r="E10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133401</v>
      </c>
      <c r="F100" s="83" vm="1918">
        <v>36127</v>
      </c>
      <c r="G100" s="83" vm="1919">
        <v>69649</v>
      </c>
      <c r="H100" s="83" vm="1920">
        <v>24330</v>
      </c>
      <c r="I100" s="83" vm="1921">
        <v>3295</v>
      </c>
      <c r="J100" s="83" vm="1922">
        <v>0</v>
      </c>
      <c r="K100" s="5">
        <f xml:space="preserve"> SUM( VfM_Metrics_2023_Consol_Source[[#This Row],[Tangible fixed assets: Housing properties at cost (Current period)]],VfM_Metrics_2023_Consol_Source[[#This Row],[Tangible fixed assets Housing properties at valuation (Current period)]] )</f>
        <v>2317957</v>
      </c>
      <c r="L100" s="84" vm="1923">
        <v>2317957</v>
      </c>
      <c r="M100" s="83" vm="1924">
        <v>0</v>
      </c>
      <c r="N100" s="7">
        <f xml:space="preserve"> IFERROR( VfM_Metrics_2023_Consol_Source[[#This Row],[Total social units developed or newly built units acquired in-year]] / VfM_Metrics_2023_Consol_Source[[#This Row],[Social housing units owned (period end)]], "n/a" )</f>
        <v>2.5049387593836427E-2</v>
      </c>
      <c r="O100" s="5">
        <f xml:space="preserve"> SUM( VfM_Metrics_2023_Consol_Source[[#This Row],[Total social units developed or newly built units acquired in-year (owned)]], VfM_Metrics_2023_Consol_Source[[#This Row],[Total social leasehold units developed or newly built units acquired in-year (owned)]] )</f>
        <v>951</v>
      </c>
      <c r="P100" s="84" vm="1916">
        <v>951</v>
      </c>
      <c r="Q100" s="83" vm="1925">
        <v>0</v>
      </c>
      <c r="R100" s="5">
        <f xml:space="preserve"> SUM( VfM_Metrics_2023_Consol_Source[[#This Row],[Total social housing units owned (Period end)]], VfM_Metrics_2023_Consol_Source[[#This Row],[Total social leasehold units owned (Period end)]] )</f>
        <v>37965</v>
      </c>
      <c r="S100" s="84" vm="1916">
        <v>36983</v>
      </c>
      <c r="T100" s="83" vm="8032">
        <v>982</v>
      </c>
      <c r="U100" s="86">
        <f xml:space="preserve"> IFERROR( VfM_Metrics_2023_Consol_Source[[#This Row],[Total non-social housing units developed or newly built units acquired (owned)]] / VfM_Metrics_2023_Consol_Source[[#This Row],[Total social and non-social housing units owned (Period end)]], "n/a" )</f>
        <v>5.1582649472450177E-3</v>
      </c>
      <c r="V10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198</v>
      </c>
      <c r="W100" s="83" vm="1927">
        <v>37</v>
      </c>
      <c r="X100" s="83" vm="1928">
        <v>0</v>
      </c>
      <c r="Y100" s="83" vm="7819">
        <v>161</v>
      </c>
      <c r="Z10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38385</v>
      </c>
      <c r="AA100" s="84" vm="1916">
        <v>36983</v>
      </c>
      <c r="AB100" s="83" vm="1926">
        <v>982</v>
      </c>
      <c r="AC100" s="83" vm="1930">
        <v>138</v>
      </c>
      <c r="AD100" s="83" vm="1931">
        <v>282</v>
      </c>
      <c r="AE100" s="7">
        <f xml:space="preserve"> IFERROR( VfM_Metrics_2023_Consol_Source[[#This Row],[Total Net Debt]] / VfM_Metrics_2023_Consol_Source[[#This Row],[Net Book Value of Housing Properties2]], "n/a" )</f>
        <v>0.40529008950554302</v>
      </c>
      <c r="AF10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939445</v>
      </c>
      <c r="AG100" s="84" vm="2258">
        <v>9622</v>
      </c>
      <c r="AH100" s="83" vm="1932">
        <v>951173</v>
      </c>
      <c r="AI100" s="83" vm="7937">
        <v>21350</v>
      </c>
      <c r="AJ100" s="83" vm="8029">
        <v>0</v>
      </c>
      <c r="AK100" s="83" vm="1933">
        <v>0</v>
      </c>
      <c r="AL100" s="5">
        <f xml:space="preserve"> SUM( VfM_Metrics_2023_Consol_Source[[#This Row],[Tangible fixed assets: Housing properties at cost (Current period)2]], VfM_Metrics_2023_Consol_Source[[#This Row],[Tangible fixed assets Housing properties at valuation (Current period)2]] )</f>
        <v>2317957</v>
      </c>
      <c r="AM100" s="84" vm="1923">
        <v>2317957</v>
      </c>
      <c r="AN100" s="83" vm="8129">
        <v>0</v>
      </c>
      <c r="AO100" s="87">
        <f xml:space="preserve"> IFERROR( VfM_Metrics_2023_Consol_Source[[#This Row],[EBITDA MRI]] / VfM_Metrics_2023_Consol_Source[[#This Row],[Total interest]], "n/a" )</f>
        <v>2.0279397844208984</v>
      </c>
      <c r="AP10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66413</v>
      </c>
      <c r="AQ100" s="84" vm="3084">
        <v>76893</v>
      </c>
      <c r="AR100" s="84" vm="1935">
        <v>15645</v>
      </c>
      <c r="AS100" s="84" vm="1936">
        <v>54</v>
      </c>
      <c r="AT100" s="84" vm="1818">
        <v>8082</v>
      </c>
      <c r="AU100" s="84" vm="8088">
        <v>0</v>
      </c>
      <c r="AV100" s="84" vm="1938">
        <v>811</v>
      </c>
      <c r="AW100" s="84" vm="2324">
        <v>24330</v>
      </c>
      <c r="AX100" s="84" vm="1549">
        <v>36820</v>
      </c>
      <c r="AY100" s="3">
        <f xml:space="preserve"> - SUM( VfM_Metrics_2023_Consol_Source[[#This Row],[Interest capitalised]], VfM_Metrics_2023_Consol_Source[[#This Row],[Interest payable and financing costs]] )</f>
        <v>32749</v>
      </c>
      <c r="AZ100" s="84" vm="8188">
        <v>-3295</v>
      </c>
      <c r="BA100" s="83" vm="2075">
        <v>-29454</v>
      </c>
      <c r="BB100" s="8">
        <f xml:space="preserve"> IFERROR( ( VfM_Metrics_2023_Consol_Source[[#This Row],[Total Costs]] / VfM_Metrics_2023_Consol_Source[[#This Row],[Total units for costs]] ) * 1000, "n/a" )</f>
        <v>4189.9251007219527</v>
      </c>
      <c r="BC10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154956</v>
      </c>
      <c r="BD100" s="84" vm="1939">
        <v>41335</v>
      </c>
      <c r="BE100" s="83" vm="1940">
        <v>16929</v>
      </c>
      <c r="BF100" s="83" vm="7949">
        <v>29575</v>
      </c>
      <c r="BG100" s="83" vm="1941">
        <v>12219</v>
      </c>
      <c r="BH100" s="83" vm="8186">
        <v>23203</v>
      </c>
      <c r="BI100" s="83" vm="1942">
        <v>0</v>
      </c>
      <c r="BJ100" s="83" vm="1568">
        <v>24330</v>
      </c>
      <c r="BK100" s="83" vm="7660">
        <v>0</v>
      </c>
      <c r="BL100" s="83" vm="7935">
        <v>2830</v>
      </c>
      <c r="BM100" s="83" vm="8120">
        <v>0</v>
      </c>
      <c r="BN100" s="83" vm="7818">
        <v>5</v>
      </c>
      <c r="BO100" s="83" vm="8183">
        <v>4530</v>
      </c>
      <c r="BP100" s="5" vm="1917">
        <f xml:space="preserve"> VfM_Metrics_2023_Consol_Source[[#This Row],[Total social housing units owned and/or managed at period end]]</f>
        <v>36983</v>
      </c>
      <c r="BQ100" s="84" vm="1917">
        <v>36983</v>
      </c>
      <c r="BR100" s="7">
        <f xml:space="preserve"> IFERROR( VfM_Metrics_2023_Consol_Source[[#This Row],[SHL operating surplus / (deficit)]] / VfM_Metrics_2023_Consol_Source[[#This Row],[Turnover from social housing lettings]], "n/a" )</f>
        <v>0.23070853327152305</v>
      </c>
      <c r="BS100" s="5" vm="1943">
        <f xml:space="preserve"> VfM_Metrics_2023_Consol_Source[[#This Row],[Operating surplus/(deficit) (social housing lettings)]]</f>
        <v>46781</v>
      </c>
      <c r="BT100" s="84" vm="1943">
        <v>46781</v>
      </c>
      <c r="BU100" s="5" vm="1944">
        <f xml:space="preserve"> VfM_Metrics_2023_Consol_Source[[#This Row],[Turnover from social housing lettings]]</f>
        <v>202771</v>
      </c>
      <c r="BV100" s="84" vm="1944">
        <v>202771</v>
      </c>
      <c r="BW100" s="7">
        <f xml:space="preserve"> IFERROR( VfM_Metrics_2023_Consol_Source[[#This Row],[Net operating surplus]] / VfM_Metrics_2023_Consol_Source[[#This Row],[Overall turnover]], "n/a" )</f>
        <v>0.20408408288226995</v>
      </c>
      <c r="BX10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61194</v>
      </c>
      <c r="BY100" s="84" vm="1934">
        <v>76893</v>
      </c>
      <c r="BZ100" s="83" vm="1935">
        <v>15645</v>
      </c>
      <c r="CA100" s="83" vm="1936">
        <v>54</v>
      </c>
      <c r="CB100" s="5" vm="7849">
        <f xml:space="preserve"> VfM_Metrics_2023_Consol_Source[[#This Row],[Turnover (overall)]]</f>
        <v>299847</v>
      </c>
      <c r="CC100" s="84" vm="7849">
        <v>299847</v>
      </c>
      <c r="CD100" s="7">
        <f xml:space="preserve"> IFERROR( VfM_Metrics_2023_Consol_Source[[#This Row],[Operating surplus including from JVs]] / VfM_Metrics_2023_Consol_Source[[#This Row],[Net assets]], "n/a" )</f>
        <v>3.142180447256563E-2</v>
      </c>
      <c r="CE100" s="5">
        <f xml:space="preserve"> SUM( VfM_Metrics_2023_Consol_Source[[#This Row],[Operating surplus/(deficit) (overall)3]], VfM_Metrics_2023_Consol_Source[[#This Row],[Share of operating surplus/(deficit) in joint ventures or associates]] )</f>
        <v>76895</v>
      </c>
      <c r="CF100" s="84" vm="8183">
        <v>76893</v>
      </c>
      <c r="CG100" s="83" vm="1945">
        <v>2</v>
      </c>
      <c r="CH100" s="5" vm="7932">
        <f xml:space="preserve"> VfM_Metrics_2023_Consol_Source[[#This Row],[Total assets less current liabilities]]</f>
        <v>2447186</v>
      </c>
      <c r="CI100" s="84" vm="7932">
        <v>2447186</v>
      </c>
      <c r="CJ100" s="71" vm="1916">
        <f xml:space="preserve"> VfM_Metrics_2023_Consol_Source[[#This Row],[Total social housing units owned (Period end)]]</f>
        <v>36983</v>
      </c>
      <c r="CK100" s="103">
        <v>3.6951438359889066E-2</v>
      </c>
      <c r="CL100" s="6">
        <f xml:space="preserve"> -- ( VfM_Metrics_2023_Consol_Source[[#This Row],[% Supported housing (excl. HOP)]] &gt; 0.3 )</f>
        <v>0</v>
      </c>
      <c r="CM100" s="103">
        <v>4.9921148512697806E-2</v>
      </c>
      <c r="CN100" s="6">
        <f xml:space="preserve"> -- ( VfM_Metrics_2023_Consol_Source[[#This Row],[% Housing for older people]] &gt; 0.3 )</f>
        <v>0</v>
      </c>
      <c r="CO100" s="103">
        <f xml:space="preserve"> VfM_Metrics_2023_Consol_Source[[#This Row],[% Supported housing (excl. HOP)]] + VfM_Metrics_2023_Consol_Source[[#This Row],[% Housing for older people]]</f>
        <v>8.6872586872586866E-2</v>
      </c>
      <c r="CP100" s="6">
        <f xml:space="preserve"> -- ( VfM_Metrics_2023_Consol_Source[[#This Row],[SH specialist in RSH analysis]] + VfM_Metrics_2023_Consol_Source[[#This Row],[OP specialist in RSH analysis]] &gt; 0 )</f>
        <v>0</v>
      </c>
      <c r="CQ100" s="10">
        <f xml:space="preserve"> -- ( VfM_Metrics_2023_Consol_Source[[#This Row],[% SH and OP]] &gt; 0.3 )</f>
        <v>0</v>
      </c>
      <c r="CR100" s="104" t="s">
        <v>143</v>
      </c>
      <c r="CS100" s="124" t="s">
        <v>144</v>
      </c>
      <c r="CT100" s="105"/>
      <c r="CU10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100" s="85">
        <v>0</v>
      </c>
      <c r="CW100" s="85">
        <v>5.4177050601365261E-5</v>
      </c>
      <c r="CX100" s="85">
        <v>0.99986455737349655</v>
      </c>
      <c r="CY100" s="85">
        <v>8.1265575902047895E-5</v>
      </c>
      <c r="CZ100" s="85">
        <v>0</v>
      </c>
      <c r="DA100" s="85">
        <v>0</v>
      </c>
      <c r="DB100" s="85">
        <v>0</v>
      </c>
      <c r="DC100" s="85">
        <v>0</v>
      </c>
      <c r="DD100" s="85">
        <v>0</v>
      </c>
      <c r="DE100" s="13">
        <v>0.97511953730526235</v>
      </c>
    </row>
    <row r="101" spans="1:109" x14ac:dyDescent="0.25">
      <c r="A101" s="4" t="s" vm="381">
        <v>326</v>
      </c>
      <c r="B101" s="2" t="s" vm="91">
        <v>327</v>
      </c>
      <c r="C101" s="72" vm="464">
        <v>45016</v>
      </c>
      <c r="D101" s="7">
        <f>IFERROR( VfM_Metrics_2023_Consol_Source[[#This Row],[Reinvestment Spend]] / VfM_Metrics_2023_Consol_Source[[#This Row],[Net Book Value of Housing Properties]], "n/a" )</f>
        <v>0.1452192385632752</v>
      </c>
      <c r="E10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29668</v>
      </c>
      <c r="F101" s="83" vm="6227">
        <v>7193</v>
      </c>
      <c r="G101" s="83" vm="6228">
        <v>9827</v>
      </c>
      <c r="H101" s="83" vm="6229">
        <v>12648</v>
      </c>
      <c r="I101" s="83" vm="6230">
        <v>0</v>
      </c>
      <c r="J101" s="83" vm="6231">
        <v>0</v>
      </c>
      <c r="K101" s="5">
        <f xml:space="preserve"> SUM( VfM_Metrics_2023_Consol_Source[[#This Row],[Tangible fixed assets: Housing properties at cost (Current period)]],VfM_Metrics_2023_Consol_Source[[#This Row],[Tangible fixed assets Housing properties at valuation (Current period)]] )</f>
        <v>204298</v>
      </c>
      <c r="L101" s="84" vm="6232">
        <v>204298</v>
      </c>
      <c r="M101" s="83">
        <v>0</v>
      </c>
      <c r="N101" s="7">
        <f xml:space="preserve"> IFERROR( VfM_Metrics_2023_Consol_Source[[#This Row],[Total social units developed or newly built units acquired in-year]] / VfM_Metrics_2023_Consol_Source[[#This Row],[Social housing units owned (period end)]], "n/a" )</f>
        <v>1.2706043956043956E-2</v>
      </c>
      <c r="O101" s="5">
        <f xml:space="preserve"> SUM( VfM_Metrics_2023_Consol_Source[[#This Row],[Total social units developed or newly built units acquired in-year (owned)]], VfM_Metrics_2023_Consol_Source[[#This Row],[Total social leasehold units developed or newly built units acquired in-year (owned)]] )</f>
        <v>111</v>
      </c>
      <c r="P101" s="84" vm="6233">
        <v>111</v>
      </c>
      <c r="Q101" s="83">
        <v>0</v>
      </c>
      <c r="R101" s="5">
        <f xml:space="preserve"> SUM( VfM_Metrics_2023_Consol_Source[[#This Row],[Total social housing units owned (Period end)]], VfM_Metrics_2023_Consol_Source[[#This Row],[Total social leasehold units owned (Period end)]] )</f>
        <v>8736</v>
      </c>
      <c r="S101" s="84" vm="6225">
        <v>8670</v>
      </c>
      <c r="T101" s="83" vm="6234">
        <v>66</v>
      </c>
      <c r="U101" s="86">
        <f xml:space="preserve"> IFERROR( VfM_Metrics_2023_Consol_Source[[#This Row],[Total non-social housing units developed or newly built units acquired (owned)]] / VfM_Metrics_2023_Consol_Source[[#This Row],[Total social and non-social housing units owned (Period end)]], "n/a" )</f>
        <v>0</v>
      </c>
      <c r="V10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01" s="83">
        <v>0</v>
      </c>
      <c r="X101" s="83">
        <v>0</v>
      </c>
      <c r="Y101" s="83">
        <v>0</v>
      </c>
      <c r="Z10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8736</v>
      </c>
      <c r="AA101" s="84" vm="6225">
        <v>8670</v>
      </c>
      <c r="AB101" s="83" vm="6234">
        <v>66</v>
      </c>
      <c r="AC101" s="83" vm="6236">
        <v>0</v>
      </c>
      <c r="AD101" s="83" vm="6237">
        <v>0</v>
      </c>
      <c r="AE101" s="7">
        <f xml:space="preserve"> IFERROR( VfM_Metrics_2023_Consol_Source[[#This Row],[Total Net Debt]] / VfM_Metrics_2023_Consol_Source[[#This Row],[Net Book Value of Housing Properties2]], "n/a" )</f>
        <v>0.53748445897659303</v>
      </c>
      <c r="AF10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109807</v>
      </c>
      <c r="AG101" s="84">
        <v>0</v>
      </c>
      <c r="AH101" s="83" vm="6238">
        <v>116485</v>
      </c>
      <c r="AI101" s="83" vm="6239">
        <v>6678</v>
      </c>
      <c r="AJ101" s="83" vm="1675">
        <v>0</v>
      </c>
      <c r="AK101" s="83">
        <v>0</v>
      </c>
      <c r="AL101" s="5">
        <f xml:space="preserve"> SUM( VfM_Metrics_2023_Consol_Source[[#This Row],[Tangible fixed assets: Housing properties at cost (Current period)2]], VfM_Metrics_2023_Consol_Source[[#This Row],[Tangible fixed assets Housing properties at valuation (Current period)2]] )</f>
        <v>204298</v>
      </c>
      <c r="AM101" s="84" vm="7310">
        <v>204298</v>
      </c>
      <c r="AN101" s="83">
        <v>0</v>
      </c>
      <c r="AO101" s="87">
        <f xml:space="preserve"> IFERROR( VfM_Metrics_2023_Consol_Source[[#This Row],[EBITDA MRI]] / VfM_Metrics_2023_Consol_Source[[#This Row],[Total interest]], "n/a" )</f>
        <v>0.6942040388145817</v>
      </c>
      <c r="AP10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2647</v>
      </c>
      <c r="AQ101" s="84" vm="6240">
        <v>9265</v>
      </c>
      <c r="AR101" s="84" vm="6241">
        <v>1283</v>
      </c>
      <c r="AS101" s="84" vm="6242">
        <v>5</v>
      </c>
      <c r="AT101" s="84" vm="7237">
        <v>546</v>
      </c>
      <c r="AU101" s="84" vm="6243">
        <v>0</v>
      </c>
      <c r="AV101" s="84" vm="6244">
        <v>57</v>
      </c>
      <c r="AW101" s="84" vm="6245">
        <v>12648</v>
      </c>
      <c r="AX101" s="84" vm="6246">
        <v>7807</v>
      </c>
      <c r="AY101" s="3">
        <f xml:space="preserve"> - SUM( VfM_Metrics_2023_Consol_Source[[#This Row],[Interest capitalised]], VfM_Metrics_2023_Consol_Source[[#This Row],[Interest payable and financing costs]] )</f>
        <v>3813</v>
      </c>
      <c r="AZ101" s="84">
        <v>0</v>
      </c>
      <c r="BA101" s="83" vm="6247">
        <v>-3813</v>
      </c>
      <c r="BB101" s="8">
        <f xml:space="preserve"> IFERROR( ( VfM_Metrics_2023_Consol_Source[[#This Row],[Total Costs]] / VfM_Metrics_2023_Consol_Source[[#This Row],[Total units for costs]] ) * 1000, "n/a" )</f>
        <v>4158.246828143022</v>
      </c>
      <c r="BC10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36052</v>
      </c>
      <c r="BD101" s="84" vm="6248">
        <v>10766</v>
      </c>
      <c r="BE101" s="83" vm="6406">
        <v>182</v>
      </c>
      <c r="BF101" s="83" vm="6249">
        <v>9746</v>
      </c>
      <c r="BG101" s="83" vm="6250">
        <v>801</v>
      </c>
      <c r="BH101" s="83" vm="6251">
        <v>947</v>
      </c>
      <c r="BI101" s="83" vm="6252">
        <v>0</v>
      </c>
      <c r="BJ101" s="83" vm="6245">
        <v>12648</v>
      </c>
      <c r="BK101" s="83" vm="6253">
        <v>796</v>
      </c>
      <c r="BL101" s="83">
        <v>0</v>
      </c>
      <c r="BM101" s="83">
        <v>0</v>
      </c>
      <c r="BN101" s="83" vm="6254">
        <v>166</v>
      </c>
      <c r="BO101" s="83">
        <v>0</v>
      </c>
      <c r="BP101" s="5" vm="6226">
        <f xml:space="preserve"> VfM_Metrics_2023_Consol_Source[[#This Row],[Total social housing units owned and/or managed at period end]]</f>
        <v>8670</v>
      </c>
      <c r="BQ101" s="84" vm="6226">
        <v>8670</v>
      </c>
      <c r="BR101" s="7">
        <f xml:space="preserve"> IFERROR( VfM_Metrics_2023_Consol_Source[[#This Row],[SHL operating surplus / (deficit)]] / VfM_Metrics_2023_Consol_Source[[#This Row],[Turnover from social housing lettings]], "n/a" )</f>
        <v>0.18346103038309114</v>
      </c>
      <c r="BS101" s="5" vm="6255">
        <f xml:space="preserve"> VfM_Metrics_2023_Consol_Source[[#This Row],[Operating surplus/(deficit) (social housing lettings)]]</f>
        <v>6944</v>
      </c>
      <c r="BT101" s="84" vm="6255">
        <v>6944</v>
      </c>
      <c r="BU101" s="5" vm="6256">
        <f xml:space="preserve"> VfM_Metrics_2023_Consol_Source[[#This Row],[Turnover from social housing lettings]]</f>
        <v>37850</v>
      </c>
      <c r="BV101" s="84" vm="6256">
        <v>37850</v>
      </c>
      <c r="BW101" s="7">
        <f xml:space="preserve"> IFERROR( VfM_Metrics_2023_Consol_Source[[#This Row],[Net operating surplus]] / VfM_Metrics_2023_Consol_Source[[#This Row],[Overall turnover]], "n/a" )</f>
        <v>0.20290997888739093</v>
      </c>
      <c r="BX10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7977</v>
      </c>
      <c r="BY101" s="84" vm="6240">
        <v>9265</v>
      </c>
      <c r="BZ101" s="83" vm="6241">
        <v>1283</v>
      </c>
      <c r="CA101" s="83" vm="6242">
        <v>5</v>
      </c>
      <c r="CB101" s="5" vm="6181">
        <f xml:space="preserve"> VfM_Metrics_2023_Consol_Source[[#This Row],[Turnover (overall)]]</f>
        <v>39313</v>
      </c>
      <c r="CC101" s="84" vm="6181">
        <v>39313</v>
      </c>
      <c r="CD101" s="7">
        <f xml:space="preserve"> IFERROR( VfM_Metrics_2023_Consol_Source[[#This Row],[Operating surplus including from JVs]] / VfM_Metrics_2023_Consol_Source[[#This Row],[Net assets]], "n/a" )</f>
        <v>4.2480123978688868E-2</v>
      </c>
      <c r="CE101" s="5">
        <f xml:space="preserve"> SUM( VfM_Metrics_2023_Consol_Source[[#This Row],[Operating surplus/(deficit) (overall)3]], VfM_Metrics_2023_Consol_Source[[#This Row],[Share of operating surplus/(deficit) in joint ventures or associates]] )</f>
        <v>9265</v>
      </c>
      <c r="CF101" s="84" vm="6169">
        <v>9265</v>
      </c>
      <c r="CG101" s="83">
        <v>0</v>
      </c>
      <c r="CH101" s="5" vm="6257">
        <f xml:space="preserve"> VfM_Metrics_2023_Consol_Source[[#This Row],[Total assets less current liabilities]]</f>
        <v>218102</v>
      </c>
      <c r="CI101" s="84" vm="6257">
        <v>218102</v>
      </c>
      <c r="CJ101" s="71" vm="6225">
        <f xml:space="preserve"> VfM_Metrics_2023_Consol_Source[[#This Row],[Total social housing units owned (Period end)]]</f>
        <v>8670</v>
      </c>
      <c r="CK101" s="103">
        <v>0</v>
      </c>
      <c r="CL101" s="6">
        <f xml:space="preserve"> -- ( VfM_Metrics_2023_Consol_Source[[#This Row],[% Supported housing (excl. HOP)]] &gt; 0.3 )</f>
        <v>0</v>
      </c>
      <c r="CM101" s="103">
        <v>0</v>
      </c>
      <c r="CN101" s="6">
        <f xml:space="preserve"> -- ( VfM_Metrics_2023_Consol_Source[[#This Row],[% Housing for older people]] &gt; 0.3 )</f>
        <v>0</v>
      </c>
      <c r="CO101" s="103">
        <f xml:space="preserve"> VfM_Metrics_2023_Consol_Source[[#This Row],[% Supported housing (excl. HOP)]] + VfM_Metrics_2023_Consol_Source[[#This Row],[% Housing for older people]]</f>
        <v>0</v>
      </c>
      <c r="CP101" s="6">
        <f xml:space="preserve"> -- ( VfM_Metrics_2023_Consol_Source[[#This Row],[SH specialist in RSH analysis]] + VfM_Metrics_2023_Consol_Source[[#This Row],[OP specialist in RSH analysis]] &gt; 0 )</f>
        <v>0</v>
      </c>
      <c r="CQ101" s="10">
        <f xml:space="preserve"> -- ( VfM_Metrics_2023_Consol_Source[[#This Row],[% SH and OP]] &gt; 0.3 )</f>
        <v>0</v>
      </c>
      <c r="CR101" s="104" t="s">
        <v>143</v>
      </c>
      <c r="CS101" s="124"/>
      <c r="CT101" s="105" t="s">
        <v>151</v>
      </c>
      <c r="CU10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101" s="85">
        <v>0</v>
      </c>
      <c r="CW101" s="85">
        <v>0</v>
      </c>
      <c r="CX101" s="85">
        <v>0</v>
      </c>
      <c r="CY101" s="85">
        <v>0</v>
      </c>
      <c r="CZ101" s="85">
        <v>0</v>
      </c>
      <c r="DA101" s="85">
        <v>0</v>
      </c>
      <c r="DB101" s="85">
        <v>1</v>
      </c>
      <c r="DC101" s="85">
        <v>0</v>
      </c>
      <c r="DD101" s="85">
        <v>0</v>
      </c>
      <c r="DE101" s="13">
        <v>0.90654753410084521</v>
      </c>
    </row>
    <row r="102" spans="1:109" x14ac:dyDescent="0.25">
      <c r="A102" s="4" t="s" vm="295">
        <v>328</v>
      </c>
      <c r="B102" s="2" t="s" vm="92">
        <v>329</v>
      </c>
      <c r="C102" s="72" vm="525">
        <v>45016</v>
      </c>
      <c r="D102" s="7">
        <f>IFERROR( VfM_Metrics_2023_Consol_Source[[#This Row],[Reinvestment Spend]] / VfM_Metrics_2023_Consol_Source[[#This Row],[Net Book Value of Housing Properties]], "n/a" )</f>
        <v>0.12214971341758166</v>
      </c>
      <c r="E10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35377</v>
      </c>
      <c r="F102" s="83" vm="3184">
        <v>23206</v>
      </c>
      <c r="G102" s="83" vm="3185">
        <v>0</v>
      </c>
      <c r="H102" s="83" vm="3186">
        <v>12171</v>
      </c>
      <c r="I102" s="83" vm="3852">
        <v>0</v>
      </c>
      <c r="J102" s="83" vm="7766">
        <v>0</v>
      </c>
      <c r="K102" s="5">
        <f xml:space="preserve"> SUM( VfM_Metrics_2023_Consol_Source[[#This Row],[Tangible fixed assets: Housing properties at cost (Current period)]],VfM_Metrics_2023_Consol_Source[[#This Row],[Tangible fixed assets Housing properties at valuation (Current period)]] )</f>
        <v>289620</v>
      </c>
      <c r="L102" s="84" vm="2312">
        <v>289620</v>
      </c>
      <c r="M102" s="83">
        <v>0</v>
      </c>
      <c r="N102" s="7">
        <f xml:space="preserve"> IFERROR( VfM_Metrics_2023_Consol_Source[[#This Row],[Total social units developed or newly built units acquired in-year]] / VfM_Metrics_2023_Consol_Source[[#This Row],[Social housing units owned (period end)]], "n/a" )</f>
        <v>9.7971148653860987E-3</v>
      </c>
      <c r="O102" s="5">
        <f xml:space="preserve"> SUM( VfM_Metrics_2023_Consol_Source[[#This Row],[Total social units developed or newly built units acquired in-year (owned)]], VfM_Metrics_2023_Consol_Source[[#This Row],[Total social leasehold units developed or newly built units acquired in-year (owned)]] )</f>
        <v>127</v>
      </c>
      <c r="P102" s="84" vm="3187">
        <v>127</v>
      </c>
      <c r="Q102" s="83">
        <v>0</v>
      </c>
      <c r="R102" s="5">
        <f xml:space="preserve"> SUM( VfM_Metrics_2023_Consol_Source[[#This Row],[Total social housing units owned (Period end)]], VfM_Metrics_2023_Consol_Source[[#This Row],[Total social leasehold units owned (Period end)]] )</f>
        <v>12963</v>
      </c>
      <c r="S102" s="84" vm="3182">
        <v>12963</v>
      </c>
      <c r="T102" s="83" vm="3188">
        <v>0</v>
      </c>
      <c r="U102" s="86">
        <f xml:space="preserve"> IFERROR( VfM_Metrics_2023_Consol_Source[[#This Row],[Total non-social housing units developed or newly built units acquired (owned)]] / VfM_Metrics_2023_Consol_Source[[#This Row],[Total social and non-social housing units owned (Period end)]], "n/a" )</f>
        <v>0</v>
      </c>
      <c r="V10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02" s="83">
        <v>0</v>
      </c>
      <c r="X102" s="83">
        <v>0</v>
      </c>
      <c r="Y102" s="83">
        <v>0</v>
      </c>
      <c r="Z10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12963</v>
      </c>
      <c r="AA102" s="84" vm="3182">
        <v>12963</v>
      </c>
      <c r="AB102" s="83" vm="3188">
        <v>0</v>
      </c>
      <c r="AC102" s="83" vm="3189">
        <v>0</v>
      </c>
      <c r="AD102" s="83" vm="7462">
        <v>0</v>
      </c>
      <c r="AE102" s="7">
        <f xml:space="preserve"> IFERROR( VfM_Metrics_2023_Consol_Source[[#This Row],[Total Net Debt]] / VfM_Metrics_2023_Consol_Source[[#This Row],[Net Book Value of Housing Properties2]], "n/a" )</f>
        <v>0.45280022097921413</v>
      </c>
      <c r="AF10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131140</v>
      </c>
      <c r="AG102" s="84" vm="7722">
        <v>163</v>
      </c>
      <c r="AH102" s="83" vm="2205">
        <v>166719</v>
      </c>
      <c r="AI102" s="83" vm="7677">
        <v>35742</v>
      </c>
      <c r="AJ102" s="83" vm="1675">
        <v>0</v>
      </c>
      <c r="AK102" s="83">
        <v>0</v>
      </c>
      <c r="AL102" s="5">
        <f xml:space="preserve"> SUM( VfM_Metrics_2023_Consol_Source[[#This Row],[Tangible fixed assets: Housing properties at cost (Current period)2]], VfM_Metrics_2023_Consol_Source[[#This Row],[Tangible fixed assets Housing properties at valuation (Current period)2]] )</f>
        <v>289620</v>
      </c>
      <c r="AM102" s="84" vm="7762">
        <v>289620</v>
      </c>
      <c r="AN102" s="83">
        <v>0</v>
      </c>
      <c r="AO102" s="87">
        <f xml:space="preserve"> IFERROR( VfM_Metrics_2023_Consol_Source[[#This Row],[EBITDA MRI]] / VfM_Metrics_2023_Consol_Source[[#This Row],[Total interest]], "n/a" )</f>
        <v>1.3607209446861404</v>
      </c>
      <c r="AP10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10947</v>
      </c>
      <c r="AQ102" s="84" vm="3190">
        <v>20871</v>
      </c>
      <c r="AR102" s="84" vm="3191">
        <v>5202</v>
      </c>
      <c r="AS102" s="84">
        <v>0</v>
      </c>
      <c r="AT102" s="84" vm="3192">
        <v>510</v>
      </c>
      <c r="AU102" s="84" vm="3193">
        <v>360</v>
      </c>
      <c r="AV102" s="84" vm="3194">
        <v>366</v>
      </c>
      <c r="AW102" s="84" vm="3195">
        <v>12171</v>
      </c>
      <c r="AX102" s="84" vm="3196">
        <v>7953</v>
      </c>
      <c r="AY102" s="3">
        <f xml:space="preserve"> - SUM( VfM_Metrics_2023_Consol_Source[[#This Row],[Interest capitalised]], VfM_Metrics_2023_Consol_Source[[#This Row],[Interest payable and financing costs]] )</f>
        <v>8045</v>
      </c>
      <c r="AZ102" s="84">
        <v>0</v>
      </c>
      <c r="BA102" s="83" vm="3197">
        <v>-8045</v>
      </c>
      <c r="BB102" s="8">
        <f xml:space="preserve"> IFERROR( ( VfM_Metrics_2023_Consol_Source[[#This Row],[Total Costs]] / VfM_Metrics_2023_Consol_Source[[#This Row],[Total units for costs]] ) * 1000, "n/a" )</f>
        <v>4033.1713337961892</v>
      </c>
      <c r="BC10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52282</v>
      </c>
      <c r="BD102" s="84" vm="3198">
        <v>17070</v>
      </c>
      <c r="BE102" s="83" vm="3199">
        <v>3415</v>
      </c>
      <c r="BF102" s="83" vm="3200">
        <v>15029</v>
      </c>
      <c r="BG102" s="83" vm="7698">
        <v>0</v>
      </c>
      <c r="BH102" s="83" vm="3201">
        <v>3499</v>
      </c>
      <c r="BI102" s="83" vm="7780">
        <v>0</v>
      </c>
      <c r="BJ102" s="83" vm="3195">
        <v>12171</v>
      </c>
      <c r="BK102" s="83" vm="3202">
        <v>138</v>
      </c>
      <c r="BL102" s="83">
        <v>0</v>
      </c>
      <c r="BM102" s="83" vm="3203">
        <v>723</v>
      </c>
      <c r="BN102" s="83" vm="3204">
        <v>68</v>
      </c>
      <c r="BO102" s="83" vm="3205">
        <v>169</v>
      </c>
      <c r="BP102" s="5" vm="3183">
        <f xml:space="preserve"> VfM_Metrics_2023_Consol_Source[[#This Row],[Total social housing units owned and/or managed at period end]]</f>
        <v>12963</v>
      </c>
      <c r="BQ102" s="84" vm="3183">
        <v>12963</v>
      </c>
      <c r="BR102" s="7">
        <f xml:space="preserve"> IFERROR( VfM_Metrics_2023_Consol_Source[[#This Row],[SHL operating surplus / (deficit)]] / VfM_Metrics_2023_Consol_Source[[#This Row],[Turnover from social housing lettings]], "n/a" )</f>
        <v>0.25290988487495036</v>
      </c>
      <c r="BS102" s="5" vm="3206">
        <f xml:space="preserve"> VfM_Metrics_2023_Consol_Source[[#This Row],[Operating surplus/(deficit) (social housing lettings)]]</f>
        <v>15927</v>
      </c>
      <c r="BT102" s="84" vm="3206">
        <v>15927</v>
      </c>
      <c r="BU102" s="5" vm="5695">
        <f xml:space="preserve"> VfM_Metrics_2023_Consol_Source[[#This Row],[Turnover from social housing lettings]]</f>
        <v>62975</v>
      </c>
      <c r="BV102" s="84" vm="5695">
        <v>62975</v>
      </c>
      <c r="BW102" s="7">
        <f xml:space="preserve"> IFERROR( VfM_Metrics_2023_Consol_Source[[#This Row],[Net operating surplus]] / VfM_Metrics_2023_Consol_Source[[#This Row],[Overall turnover]], "n/a" )</f>
        <v>0.23125285948315302</v>
      </c>
      <c r="BX10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15669</v>
      </c>
      <c r="BY102" s="84" vm="3190">
        <v>20871</v>
      </c>
      <c r="BZ102" s="83" vm="2321">
        <v>5202</v>
      </c>
      <c r="CA102" s="83">
        <v>0</v>
      </c>
      <c r="CB102" s="5" vm="3207">
        <f xml:space="preserve"> VfM_Metrics_2023_Consol_Source[[#This Row],[Turnover (overall)]]</f>
        <v>67757</v>
      </c>
      <c r="CC102" s="84" vm="3207">
        <v>67757</v>
      </c>
      <c r="CD102" s="7">
        <f xml:space="preserve"> IFERROR( VfM_Metrics_2023_Consol_Source[[#This Row],[Operating surplus including from JVs]] / VfM_Metrics_2023_Consol_Source[[#This Row],[Net assets]], "n/a" )</f>
        <v>6.3773226306188494E-2</v>
      </c>
      <c r="CE102" s="5">
        <f xml:space="preserve"> SUM( VfM_Metrics_2023_Consol_Source[[#This Row],[Operating surplus/(deficit) (overall)3]], VfM_Metrics_2023_Consol_Source[[#This Row],[Share of operating surplus/(deficit) in joint ventures or associates]] )</f>
        <v>20871</v>
      </c>
      <c r="CF102" s="84" vm="3190">
        <v>20871</v>
      </c>
      <c r="CG102" s="83">
        <v>0</v>
      </c>
      <c r="CH102" s="5" vm="3208">
        <f xml:space="preserve"> VfM_Metrics_2023_Consol_Source[[#This Row],[Total assets less current liabilities]]</f>
        <v>327269</v>
      </c>
      <c r="CI102" s="84" vm="3208">
        <v>327269</v>
      </c>
      <c r="CJ102" s="71" vm="3182">
        <f xml:space="preserve"> VfM_Metrics_2023_Consol_Source[[#This Row],[Total social housing units owned (Period end)]]</f>
        <v>12963</v>
      </c>
      <c r="CK102" s="103">
        <v>1.0066594393681276E-3</v>
      </c>
      <c r="CL102" s="6">
        <f xml:space="preserve"> -- ( VfM_Metrics_2023_Consol_Source[[#This Row],[% Supported housing (excl. HOP)]] &gt; 0.3 )</f>
        <v>0</v>
      </c>
      <c r="CM102" s="103">
        <v>4.4447886015177324E-2</v>
      </c>
      <c r="CN102" s="6">
        <f xml:space="preserve"> -- ( VfM_Metrics_2023_Consol_Source[[#This Row],[% Housing for older people]] &gt; 0.3 )</f>
        <v>0</v>
      </c>
      <c r="CO102" s="103">
        <f xml:space="preserve"> VfM_Metrics_2023_Consol_Source[[#This Row],[% Supported housing (excl. HOP)]] + VfM_Metrics_2023_Consol_Source[[#This Row],[% Housing for older people]]</f>
        <v>4.5454545454545449E-2</v>
      </c>
      <c r="CP102" s="6">
        <f xml:space="preserve"> -- ( VfM_Metrics_2023_Consol_Source[[#This Row],[SH specialist in RSH analysis]] + VfM_Metrics_2023_Consol_Source[[#This Row],[OP specialist in RSH analysis]] &gt; 0 )</f>
        <v>0</v>
      </c>
      <c r="CQ102" s="10">
        <f xml:space="preserve"> -- ( VfM_Metrics_2023_Consol_Source[[#This Row],[% SH and OP]] &gt; 0.3 )</f>
        <v>0</v>
      </c>
      <c r="CR102" s="104" t="s">
        <v>143</v>
      </c>
      <c r="CS102" s="124"/>
      <c r="CT102" s="105" t="s">
        <v>151</v>
      </c>
      <c r="CU10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02" s="85">
        <v>0</v>
      </c>
      <c r="CW102" s="85">
        <v>0</v>
      </c>
      <c r="CX102" s="85">
        <v>0</v>
      </c>
      <c r="CY102" s="85">
        <v>0</v>
      </c>
      <c r="CZ102" s="85">
        <v>0</v>
      </c>
      <c r="DA102" s="85">
        <v>0</v>
      </c>
      <c r="DB102" s="85">
        <v>0</v>
      </c>
      <c r="DC102" s="85">
        <v>1</v>
      </c>
      <c r="DD102" s="85">
        <v>0</v>
      </c>
      <c r="DE102" s="13">
        <v>0.96105917141044694</v>
      </c>
    </row>
    <row r="103" spans="1:109" x14ac:dyDescent="0.25">
      <c r="A103" s="4" t="s" vm="212">
        <v>330</v>
      </c>
      <c r="B103" s="2" t="s" vm="93">
        <v>331</v>
      </c>
      <c r="C103" s="72" vm="468">
        <v>45016</v>
      </c>
      <c r="D103" s="7">
        <f>IFERROR( VfM_Metrics_2023_Consol_Source[[#This Row],[Reinvestment Spend]] / VfM_Metrics_2023_Consol_Source[[#This Row],[Net Book Value of Housing Properties]], "n/a" )</f>
        <v>3.15702969097615E-2</v>
      </c>
      <c r="E10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19285</v>
      </c>
      <c r="F103" s="83" vm="8726">
        <v>0</v>
      </c>
      <c r="G103" s="83" vm="8775">
        <v>15957</v>
      </c>
      <c r="H103" s="83" vm="8949">
        <v>3328</v>
      </c>
      <c r="I103" s="83" vm="853">
        <v>0</v>
      </c>
      <c r="J103" s="83" vm="8971">
        <v>0</v>
      </c>
      <c r="K103" s="5">
        <f xml:space="preserve"> SUM( VfM_Metrics_2023_Consol_Source[[#This Row],[Tangible fixed assets: Housing properties at cost (Current period)]],VfM_Metrics_2023_Consol_Source[[#This Row],[Tangible fixed assets Housing properties at valuation (Current period)]] )</f>
        <v>610859</v>
      </c>
      <c r="L103" s="84" vm="776">
        <v>610859</v>
      </c>
      <c r="M103" s="83" vm="855">
        <v>0</v>
      </c>
      <c r="N103" s="7">
        <f xml:space="preserve"> IFERROR( VfM_Metrics_2023_Consol_Source[[#This Row],[Total social units developed or newly built units acquired in-year]] / VfM_Metrics_2023_Consol_Source[[#This Row],[Social housing units owned (period end)]], "n/a" )</f>
        <v>3.3333333333333333E-2</v>
      </c>
      <c r="O103" s="5">
        <f xml:space="preserve"> SUM( VfM_Metrics_2023_Consol_Source[[#This Row],[Total social units developed or newly built units acquired in-year (owned)]], VfM_Metrics_2023_Consol_Source[[#This Row],[Total social leasehold units developed or newly built units acquired in-year (owned)]] )</f>
        <v>45</v>
      </c>
      <c r="P103" s="84" vm="856">
        <v>45</v>
      </c>
      <c r="Q103" s="83" vm="916">
        <v>0</v>
      </c>
      <c r="R103" s="5">
        <f xml:space="preserve"> SUM( VfM_Metrics_2023_Consol_Source[[#This Row],[Total social housing units owned (Period end)]], VfM_Metrics_2023_Consol_Source[[#This Row],[Total social leasehold units owned (Period end)]] )</f>
        <v>1350</v>
      </c>
      <c r="S103" s="84" vm="848">
        <v>1350</v>
      </c>
      <c r="T103" s="83" vm="8721">
        <v>0</v>
      </c>
      <c r="U103" s="86">
        <f xml:space="preserve"> IFERROR( VfM_Metrics_2023_Consol_Source[[#This Row],[Total non-social housing units developed or newly built units acquired (owned)]] / VfM_Metrics_2023_Consol_Source[[#This Row],[Total social and non-social housing units owned (Period end)]], "n/a" )</f>
        <v>0</v>
      </c>
      <c r="V10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03" s="83" vm="858">
        <v>0</v>
      </c>
      <c r="X103" s="83" vm="8970">
        <v>0</v>
      </c>
      <c r="Y103" s="83" vm="762">
        <v>0</v>
      </c>
      <c r="Z10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2800</v>
      </c>
      <c r="AA103" s="84" vm="852">
        <v>1350</v>
      </c>
      <c r="AB103" s="83" vm="8975">
        <v>0</v>
      </c>
      <c r="AC103" s="83" vm="8940">
        <v>1448</v>
      </c>
      <c r="AD103" s="83" vm="8947">
        <v>2</v>
      </c>
      <c r="AE103" s="7">
        <f xml:space="preserve"> IFERROR( VfM_Metrics_2023_Consol_Source[[#This Row],[Total Net Debt]] / VfM_Metrics_2023_Consol_Source[[#This Row],[Net Book Value of Housing Properties2]], "n/a" )</f>
        <v>0.604859713943807</v>
      </c>
      <c r="AF10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369484</v>
      </c>
      <c r="AG103" s="84" vm="860">
        <v>21107</v>
      </c>
      <c r="AH103" s="83" vm="8899">
        <v>355436</v>
      </c>
      <c r="AI103" s="83" vm="861">
        <v>7059</v>
      </c>
      <c r="AJ103" s="83" vm="8742">
        <v>0</v>
      </c>
      <c r="AK103" s="83" vm="9154">
        <v>0</v>
      </c>
      <c r="AL103" s="5">
        <f xml:space="preserve"> SUM( VfM_Metrics_2023_Consol_Source[[#This Row],[Tangible fixed assets: Housing properties at cost (Current period)2]], VfM_Metrics_2023_Consol_Source[[#This Row],[Tangible fixed assets Housing properties at valuation (Current period)2]] )</f>
        <v>610859</v>
      </c>
      <c r="AM103" s="84" vm="854">
        <v>610859</v>
      </c>
      <c r="AN103" s="83" vm="855">
        <v>0</v>
      </c>
      <c r="AO103" s="87">
        <f xml:space="preserve"> IFERROR( VfM_Metrics_2023_Consol_Source[[#This Row],[EBITDA MRI]] / VfM_Metrics_2023_Consol_Source[[#This Row],[Total interest]], "n/a" )</f>
        <v>1.9005235602094241</v>
      </c>
      <c r="AP10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24684</v>
      </c>
      <c r="AQ103" s="84" vm="862">
        <v>21553</v>
      </c>
      <c r="AR103" s="84" vm="762">
        <v>0</v>
      </c>
      <c r="AS103" s="84" vm="8719">
        <v>0</v>
      </c>
      <c r="AT103" s="84" vm="864">
        <v>826</v>
      </c>
      <c r="AU103" s="84" vm="799">
        <v>0</v>
      </c>
      <c r="AV103" s="84" vm="865">
        <v>0</v>
      </c>
      <c r="AW103" s="84" vm="866">
        <v>3328</v>
      </c>
      <c r="AX103" s="84" vm="8894">
        <v>7285</v>
      </c>
      <c r="AY103" s="3">
        <f xml:space="preserve"> - SUM( VfM_Metrics_2023_Consol_Source[[#This Row],[Interest capitalised]], VfM_Metrics_2023_Consol_Source[[#This Row],[Interest payable and financing costs]] )</f>
        <v>12988</v>
      </c>
      <c r="AZ103" s="84" vm="9107">
        <v>0</v>
      </c>
      <c r="BA103" s="83" vm="8843">
        <v>-12988</v>
      </c>
      <c r="BB103" s="8">
        <f xml:space="preserve"> IFERROR( ( VfM_Metrics_2023_Consol_Source[[#This Row],[Total Costs]] / VfM_Metrics_2023_Consol_Source[[#This Row],[Total units for costs]] ) * 1000, "n/a" )</f>
        <v>7632.5925925925922</v>
      </c>
      <c r="BC10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10304</v>
      </c>
      <c r="BD103" s="84" vm="8874">
        <v>2829</v>
      </c>
      <c r="BE103" s="83" vm="8773">
        <v>1573</v>
      </c>
      <c r="BF103" s="83" vm="868">
        <v>2074</v>
      </c>
      <c r="BG103" s="83" vm="869">
        <v>364</v>
      </c>
      <c r="BH103" s="83" vm="870">
        <v>0</v>
      </c>
      <c r="BI103" s="83" vm="8955">
        <v>0</v>
      </c>
      <c r="BJ103" s="83" vm="8733">
        <v>3328</v>
      </c>
      <c r="BK103" s="83" vm="8969">
        <v>136</v>
      </c>
      <c r="BL103" s="83" vm="930">
        <v>0</v>
      </c>
      <c r="BM103" s="83" vm="871">
        <v>0</v>
      </c>
      <c r="BN103" s="83" vm="872">
        <v>0</v>
      </c>
      <c r="BO103" s="83" vm="8966">
        <v>0</v>
      </c>
      <c r="BP103" s="5" vm="881">
        <f xml:space="preserve"> VfM_Metrics_2023_Consol_Source[[#This Row],[Total social housing units owned and/or managed at period end]]</f>
        <v>1350</v>
      </c>
      <c r="BQ103" s="84" vm="881">
        <v>1350</v>
      </c>
      <c r="BR103" s="7">
        <f xml:space="preserve"> IFERROR( VfM_Metrics_2023_Consol_Source[[#This Row],[SHL operating surplus / (deficit)]] / VfM_Metrics_2023_Consol_Source[[#This Row],[Turnover from social housing lettings]], "n/a" )</f>
        <v>0.35274407856730211</v>
      </c>
      <c r="BS103" s="5" vm="785">
        <f xml:space="preserve"> VfM_Metrics_2023_Consol_Source[[#This Row],[Operating surplus/(deficit) (social housing lettings)]]</f>
        <v>6106</v>
      </c>
      <c r="BT103" s="84" vm="785">
        <v>6106</v>
      </c>
      <c r="BU103" s="5" vm="8954">
        <f xml:space="preserve"> VfM_Metrics_2023_Consol_Source[[#This Row],[Turnover from social housing lettings]]</f>
        <v>17310</v>
      </c>
      <c r="BV103" s="84" vm="8954">
        <v>17310</v>
      </c>
      <c r="BW103" s="7">
        <f xml:space="preserve"> IFERROR( VfM_Metrics_2023_Consol_Source[[#This Row],[Net operating surplus]] / VfM_Metrics_2023_Consol_Source[[#This Row],[Overall turnover]], "n/a" )</f>
        <v>0.54421270578729419</v>
      </c>
      <c r="BX10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21553</v>
      </c>
      <c r="BY103" s="84" vm="8886">
        <v>21553</v>
      </c>
      <c r="BZ103" s="83" vm="922">
        <v>0</v>
      </c>
      <c r="CA103" s="83" vm="863">
        <v>0</v>
      </c>
      <c r="CB103" s="5" vm="8838">
        <f xml:space="preserve"> VfM_Metrics_2023_Consol_Source[[#This Row],[Turnover (overall)]]</f>
        <v>39604</v>
      </c>
      <c r="CC103" s="84" vm="8838">
        <v>39604</v>
      </c>
      <c r="CD103" s="7">
        <f xml:space="preserve"> IFERROR( VfM_Metrics_2023_Consol_Source[[#This Row],[Operating surplus including from JVs]] / VfM_Metrics_2023_Consol_Source[[#This Row],[Net assets]], "n/a" )</f>
        <v>3.6257593268297444E-2</v>
      </c>
      <c r="CE103" s="5">
        <f xml:space="preserve"> SUM( VfM_Metrics_2023_Consol_Source[[#This Row],[Operating surplus/(deficit) (overall)3]], VfM_Metrics_2023_Consol_Source[[#This Row],[Share of operating surplus/(deficit) in joint ventures or associates]] )</f>
        <v>21553</v>
      </c>
      <c r="CF103" s="84" vm="8712">
        <v>21553</v>
      </c>
      <c r="CG103" s="83" vm="875">
        <v>0</v>
      </c>
      <c r="CH103" s="5" vm="874">
        <f xml:space="preserve"> VfM_Metrics_2023_Consol_Source[[#This Row],[Total assets less current liabilities]]</f>
        <v>594441</v>
      </c>
      <c r="CI103" s="84" vm="874">
        <v>594441</v>
      </c>
      <c r="CJ103" s="71" vm="848">
        <f xml:space="preserve"> VfM_Metrics_2023_Consol_Source[[#This Row],[Total social housing units owned (Period end)]]</f>
        <v>1350</v>
      </c>
      <c r="CK103" s="103">
        <v>0</v>
      </c>
      <c r="CL103" s="6">
        <f xml:space="preserve"> -- ( VfM_Metrics_2023_Consol_Source[[#This Row],[% Supported housing (excl. HOP)]] &gt; 0.3 )</f>
        <v>0</v>
      </c>
      <c r="CM103" s="103">
        <v>0</v>
      </c>
      <c r="CN103" s="6">
        <f xml:space="preserve"> -- ( VfM_Metrics_2023_Consol_Source[[#This Row],[% Housing for older people]] &gt; 0.3 )</f>
        <v>0</v>
      </c>
      <c r="CO103" s="103">
        <f xml:space="preserve"> VfM_Metrics_2023_Consol_Source[[#This Row],[% Supported housing (excl. HOP)]] + VfM_Metrics_2023_Consol_Source[[#This Row],[% Housing for older people]]</f>
        <v>0</v>
      </c>
      <c r="CP103" s="6">
        <f xml:space="preserve"> -- ( VfM_Metrics_2023_Consol_Source[[#This Row],[SH specialist in RSH analysis]] + VfM_Metrics_2023_Consol_Source[[#This Row],[OP specialist in RSH analysis]] &gt; 0 )</f>
        <v>0</v>
      </c>
      <c r="CQ103" s="10">
        <f xml:space="preserve"> -- ( VfM_Metrics_2023_Consol_Source[[#This Row],[% SH and OP]] &gt; 0.3 )</f>
        <v>0</v>
      </c>
      <c r="CR103" s="104" t="s">
        <v>143</v>
      </c>
      <c r="CS103" s="124" t="s">
        <v>144</v>
      </c>
      <c r="CT103" s="105"/>
      <c r="CU10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03" s="85">
        <v>0.83851851851851855</v>
      </c>
      <c r="CW103" s="85">
        <v>3.7037037037037038E-3</v>
      </c>
      <c r="CX103" s="85">
        <v>0</v>
      </c>
      <c r="CY103" s="85">
        <v>0</v>
      </c>
      <c r="CZ103" s="85">
        <v>0</v>
      </c>
      <c r="DA103" s="85">
        <v>0.15777777777777777</v>
      </c>
      <c r="DB103" s="85">
        <v>0</v>
      </c>
      <c r="DC103" s="85">
        <v>0</v>
      </c>
      <c r="DD103" s="85">
        <v>0</v>
      </c>
      <c r="DE103" s="13">
        <v>1.1363920676863624</v>
      </c>
    </row>
    <row r="104" spans="1:109" x14ac:dyDescent="0.25">
      <c r="A104" s="4" t="s" vm="240">
        <v>332</v>
      </c>
      <c r="B104" s="2" t="s" vm="94">
        <v>333</v>
      </c>
      <c r="C104" s="72" vm="531">
        <v>45016</v>
      </c>
      <c r="D104" s="7">
        <f>IFERROR( VfM_Metrics_2023_Consol_Source[[#This Row],[Reinvestment Spend]] / VfM_Metrics_2023_Consol_Source[[#This Row],[Net Book Value of Housing Properties]], "n/a" )</f>
        <v>6.1298335004089259E-2</v>
      </c>
      <c r="E10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695990</v>
      </c>
      <c r="F104" s="83" vm="1465">
        <v>555710</v>
      </c>
      <c r="G104" s="83" vm="1466">
        <v>0</v>
      </c>
      <c r="H104" s="83" vm="1467">
        <v>117747</v>
      </c>
      <c r="I104" s="83" vm="8329">
        <v>22533</v>
      </c>
      <c r="J104" s="83" vm="1468">
        <v>0</v>
      </c>
      <c r="K104" s="5">
        <f xml:space="preserve"> SUM( VfM_Metrics_2023_Consol_Source[[#This Row],[Tangible fixed assets: Housing properties at cost (Current period)]],VfM_Metrics_2023_Consol_Source[[#This Row],[Tangible fixed assets Housing properties at valuation (Current period)]] )</f>
        <v>11354142</v>
      </c>
      <c r="L104" s="84" vm="1469">
        <v>11354142</v>
      </c>
      <c r="M104" s="83" vm="1470">
        <v>0</v>
      </c>
      <c r="N104" s="7">
        <f xml:space="preserve"> IFERROR( VfM_Metrics_2023_Consol_Source[[#This Row],[Total social units developed or newly built units acquired in-year]] / VfM_Metrics_2023_Consol_Source[[#This Row],[Social housing units owned (period end)]], "n/a" )</f>
        <v>3.1225867105395697E-2</v>
      </c>
      <c r="O104" s="5">
        <f xml:space="preserve"> SUM( VfM_Metrics_2023_Consol_Source[[#This Row],[Total social units developed or newly built units acquired in-year (owned)]], VfM_Metrics_2023_Consol_Source[[#This Row],[Total social leasehold units developed or newly built units acquired in-year (owned)]] )</f>
        <v>2790</v>
      </c>
      <c r="P104" s="84" vm="1471">
        <v>2790</v>
      </c>
      <c r="Q104" s="83" vm="1472">
        <v>0</v>
      </c>
      <c r="R104" s="5">
        <f xml:space="preserve"> SUM( VfM_Metrics_2023_Consol_Source[[#This Row],[Total social housing units owned (Period end)]], VfM_Metrics_2023_Consol_Source[[#This Row],[Total social leasehold units owned (Period end)]] )</f>
        <v>89349</v>
      </c>
      <c r="S104" s="84" vm="1464">
        <v>88736</v>
      </c>
      <c r="T104" s="83" vm="8339">
        <v>613</v>
      </c>
      <c r="U104" s="86">
        <f xml:space="preserve"> IFERROR( VfM_Metrics_2023_Consol_Source[[#This Row],[Total non-social housing units developed or newly built units acquired (owned)]] / VfM_Metrics_2023_Consol_Source[[#This Row],[Total social and non-social housing units owned (Period end)]], "n/a" )</f>
        <v>6.5167525649515801E-3</v>
      </c>
      <c r="V10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679</v>
      </c>
      <c r="W104" s="83" vm="1473">
        <v>9</v>
      </c>
      <c r="X104" s="83" vm="1474">
        <v>241</v>
      </c>
      <c r="Y104" s="83" vm="1475">
        <v>429</v>
      </c>
      <c r="Z10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104193</v>
      </c>
      <c r="AA104" s="84" vm="1464">
        <v>88736</v>
      </c>
      <c r="AB104" s="83" vm="8338">
        <v>613</v>
      </c>
      <c r="AC104" s="83" vm="1476">
        <v>3775</v>
      </c>
      <c r="AD104" s="83" vm="8430">
        <v>11069</v>
      </c>
      <c r="AE104" s="7">
        <f xml:space="preserve"> IFERROR( VfM_Metrics_2023_Consol_Source[[#This Row],[Total Net Debt]] / VfM_Metrics_2023_Consol_Source[[#This Row],[Net Book Value of Housing Properties2]], "n/a" )</f>
        <v>0.46627398177687052</v>
      </c>
      <c r="AF10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5294141</v>
      </c>
      <c r="AG104" s="84" vm="1402">
        <v>316220</v>
      </c>
      <c r="AH104" s="83" vm="8243">
        <v>5124274</v>
      </c>
      <c r="AI104" s="83" vm="1477">
        <v>146353</v>
      </c>
      <c r="AJ104" s="83" vm="1478">
        <v>0</v>
      </c>
      <c r="AK104" s="83" vm="8413">
        <v>0</v>
      </c>
      <c r="AL104" s="5">
        <f xml:space="preserve"> SUM( VfM_Metrics_2023_Consol_Source[[#This Row],[Tangible fixed assets: Housing properties at cost (Current period)2]], VfM_Metrics_2023_Consol_Source[[#This Row],[Tangible fixed assets Housing properties at valuation (Current period)2]] )</f>
        <v>11354142</v>
      </c>
      <c r="AM104" s="84" vm="1469">
        <v>11354142</v>
      </c>
      <c r="AN104" s="83" vm="8085">
        <v>0</v>
      </c>
      <c r="AO104" s="87">
        <f xml:space="preserve"> IFERROR( VfM_Metrics_2023_Consol_Source[[#This Row],[EBITDA MRI]] / VfM_Metrics_2023_Consol_Source[[#This Row],[Total interest]], "n/a" )</f>
        <v>0.17519683008120854</v>
      </c>
      <c r="AP10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33957</v>
      </c>
      <c r="AQ104" s="84" vm="1276">
        <v>228232</v>
      </c>
      <c r="AR104" s="84" vm="1479">
        <v>151770</v>
      </c>
      <c r="AS104" s="84" vm="8440">
        <v>25</v>
      </c>
      <c r="AT104" s="84" vm="1126">
        <v>25634</v>
      </c>
      <c r="AU104" s="84" vm="1480">
        <v>0</v>
      </c>
      <c r="AV104" s="84" vm="1481">
        <v>1390</v>
      </c>
      <c r="AW104" s="84" vm="1482">
        <v>117747</v>
      </c>
      <c r="AX104" s="84" vm="8241">
        <v>99511</v>
      </c>
      <c r="AY104" s="3">
        <f xml:space="preserve"> - SUM( VfM_Metrics_2023_Consol_Source[[#This Row],[Interest capitalised]], VfM_Metrics_2023_Consol_Source[[#This Row],[Interest payable and financing costs]] )</f>
        <v>193822</v>
      </c>
      <c r="AZ104" s="84" vm="1483">
        <v>-45048</v>
      </c>
      <c r="BA104" s="83" vm="8243">
        <v>-148774</v>
      </c>
      <c r="BB104" s="8">
        <f xml:space="preserve"> IFERROR( ( VfM_Metrics_2023_Consol_Source[[#This Row],[Total Costs]] / VfM_Metrics_2023_Consol_Source[[#This Row],[Total units for costs]] ) * 1000, "n/a" )</f>
        <v>7625.6759035467376</v>
      </c>
      <c r="BC10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678342</v>
      </c>
      <c r="BD104" s="84" vm="2521">
        <v>73757</v>
      </c>
      <c r="BE104" s="83" vm="1484">
        <v>90580</v>
      </c>
      <c r="BF104" s="83" vm="1485">
        <v>172723</v>
      </c>
      <c r="BG104" s="83" vm="8353">
        <v>56720</v>
      </c>
      <c r="BH104" s="83" vm="1486">
        <v>0</v>
      </c>
      <c r="BI104" s="83" vm="1487">
        <v>0</v>
      </c>
      <c r="BJ104" s="83" vm="1482">
        <v>117747</v>
      </c>
      <c r="BK104" s="83" vm="1262">
        <v>643</v>
      </c>
      <c r="BL104" s="83" vm="8356">
        <v>143271</v>
      </c>
      <c r="BM104" s="83" vm="1488">
        <v>10444</v>
      </c>
      <c r="BN104" s="83" vm="1489">
        <v>1548</v>
      </c>
      <c r="BO104" s="83" vm="8565">
        <v>10909</v>
      </c>
      <c r="BP104" s="5" vm="8084">
        <f xml:space="preserve"> VfM_Metrics_2023_Consol_Source[[#This Row],[Total social housing units owned and/or managed at period end]]</f>
        <v>88955</v>
      </c>
      <c r="BQ104" s="84" vm="8084">
        <v>88955</v>
      </c>
      <c r="BR104" s="7">
        <f xml:space="preserve"> IFERROR( VfM_Metrics_2023_Consol_Source[[#This Row],[SHL operating surplus / (deficit)]] / VfM_Metrics_2023_Consol_Source[[#This Row],[Turnover from social housing lettings]], "n/a" )</f>
        <v>0.25105201953639816</v>
      </c>
      <c r="BS104" s="5" vm="1490">
        <f xml:space="preserve"> VfM_Metrics_2023_Consol_Source[[#This Row],[Operating surplus/(deficit) (social housing lettings)]]</f>
        <v>161916</v>
      </c>
      <c r="BT104" s="84" vm="1490">
        <v>161916</v>
      </c>
      <c r="BU104" s="5" vm="1491">
        <f xml:space="preserve"> VfM_Metrics_2023_Consol_Source[[#This Row],[Turnover from social housing lettings]]</f>
        <v>644950</v>
      </c>
      <c r="BV104" s="84" vm="1491">
        <v>644950</v>
      </c>
      <c r="BW104" s="7">
        <f xml:space="preserve"> IFERROR( VfM_Metrics_2023_Consol_Source[[#This Row],[Net operating surplus]] / VfM_Metrics_2023_Consol_Source[[#This Row],[Overall turnover]], "n/a" )</f>
        <v>6.4984905124606043E-2</v>
      </c>
      <c r="BX10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76437</v>
      </c>
      <c r="BY104" s="84" vm="8334">
        <v>228232</v>
      </c>
      <c r="BZ104" s="83" vm="1479">
        <v>151770</v>
      </c>
      <c r="CA104" s="83" vm="7140">
        <v>25</v>
      </c>
      <c r="CB104" s="5" vm="8431">
        <f xml:space="preserve"> VfM_Metrics_2023_Consol_Source[[#This Row],[Turnover (overall)]]</f>
        <v>1176227</v>
      </c>
      <c r="CC104" s="84" vm="8431">
        <v>1176227</v>
      </c>
      <c r="CD104" s="7">
        <f xml:space="preserve"> IFERROR( VfM_Metrics_2023_Consol_Source[[#This Row],[Operating surplus including from JVs]] / VfM_Metrics_2023_Consol_Source[[#This Row],[Net assets]], "n/a" )</f>
        <v>1.8778592503139624E-2</v>
      </c>
      <c r="CE104" s="5">
        <f xml:space="preserve"> SUM( VfM_Metrics_2023_Consol_Source[[#This Row],[Operating surplus/(deficit) (overall)3]], VfM_Metrics_2023_Consol_Source[[#This Row],[Share of operating surplus/(deficit) in joint ventures or associates]] )</f>
        <v>247605</v>
      </c>
      <c r="CF104" s="84" vm="1329">
        <v>228232</v>
      </c>
      <c r="CG104" s="83" vm="1493">
        <v>19373</v>
      </c>
      <c r="CH104" s="5" vm="1492">
        <f xml:space="preserve"> VfM_Metrics_2023_Consol_Source[[#This Row],[Total assets less current liabilities]]</f>
        <v>13185493</v>
      </c>
      <c r="CI104" s="84" vm="1492">
        <v>13185493</v>
      </c>
      <c r="CJ104" s="71" vm="1464">
        <f xml:space="preserve"> VfM_Metrics_2023_Consol_Source[[#This Row],[Total social housing units owned (Period end)]]</f>
        <v>88736</v>
      </c>
      <c r="CK104" s="103">
        <v>2.7788560337938122E-2</v>
      </c>
      <c r="CL104" s="6">
        <f xml:space="preserve"> -- ( VfM_Metrics_2023_Consol_Source[[#This Row],[% Supported housing (excl. HOP)]] &gt; 0.3 )</f>
        <v>0</v>
      </c>
      <c r="CM104" s="103">
        <v>5.6935723256079464E-2</v>
      </c>
      <c r="CN104" s="6">
        <f xml:space="preserve"> -- ( VfM_Metrics_2023_Consol_Source[[#This Row],[% Housing for older people]] &gt; 0.3 )</f>
        <v>0</v>
      </c>
      <c r="CO104" s="103">
        <f xml:space="preserve"> VfM_Metrics_2023_Consol_Source[[#This Row],[% Supported housing (excl. HOP)]] + VfM_Metrics_2023_Consol_Source[[#This Row],[% Housing for older people]]</f>
        <v>8.4724283594017583E-2</v>
      </c>
      <c r="CP104" s="6">
        <f xml:space="preserve"> -- ( VfM_Metrics_2023_Consol_Source[[#This Row],[SH specialist in RSH analysis]] + VfM_Metrics_2023_Consol_Source[[#This Row],[OP specialist in RSH analysis]] &gt; 0 )</f>
        <v>0</v>
      </c>
      <c r="CQ104" s="10">
        <f xml:space="preserve"> -- ( VfM_Metrics_2023_Consol_Source[[#This Row],[% SH and OP]] &gt; 0.3 )</f>
        <v>0</v>
      </c>
      <c r="CR104" s="104" t="s">
        <v>143</v>
      </c>
      <c r="CS104" s="124" t="s">
        <v>144</v>
      </c>
      <c r="CT104" s="105"/>
      <c r="CU10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04" s="85">
        <v>0.76900419807700993</v>
      </c>
      <c r="CW104" s="85">
        <v>8.4221098722520649E-2</v>
      </c>
      <c r="CX104" s="85">
        <v>7.8996072766668166E-5</v>
      </c>
      <c r="CY104" s="85">
        <v>3.3855459757143503E-5</v>
      </c>
      <c r="CZ104" s="85">
        <v>2.7648625468333862E-3</v>
      </c>
      <c r="DA104" s="85">
        <v>3.7534419717419762E-2</v>
      </c>
      <c r="DB104" s="85">
        <v>1.1285153252381168E-5</v>
      </c>
      <c r="DC104" s="85">
        <v>0.10635128425044012</v>
      </c>
      <c r="DD104" s="85">
        <v>0</v>
      </c>
      <c r="DE104" s="13">
        <v>1.1223470353341685</v>
      </c>
    </row>
    <row r="105" spans="1:109" x14ac:dyDescent="0.25">
      <c r="A105" s="4" t="s" vm="341">
        <v>334</v>
      </c>
      <c r="B105" s="2" t="s" vm="95">
        <v>335</v>
      </c>
      <c r="C105" s="72" vm="428">
        <v>45016</v>
      </c>
      <c r="D105" s="7">
        <f>IFERROR( VfM_Metrics_2023_Consol_Source[[#This Row],[Reinvestment Spend]] / VfM_Metrics_2023_Consol_Source[[#This Row],[Net Book Value of Housing Properties]], "n/a" )</f>
        <v>6.8565815472386799E-2</v>
      </c>
      <c r="E10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90882</v>
      </c>
      <c r="F105" s="83" vm="4778">
        <v>76021</v>
      </c>
      <c r="G105" s="83" vm="4779">
        <v>0</v>
      </c>
      <c r="H105" s="83" vm="4780">
        <v>11961</v>
      </c>
      <c r="I105" s="83" vm="4781">
        <v>2900</v>
      </c>
      <c r="J105" s="83" vm="4782">
        <v>0</v>
      </c>
      <c r="K105" s="5">
        <f xml:space="preserve"> SUM( VfM_Metrics_2023_Consol_Source[[#This Row],[Tangible fixed assets: Housing properties at cost (Current period)]],VfM_Metrics_2023_Consol_Source[[#This Row],[Tangible fixed assets Housing properties at valuation (Current period)]] )</f>
        <v>1325471</v>
      </c>
      <c r="L105" s="84" vm="7497">
        <v>1325471</v>
      </c>
      <c r="M105" s="83">
        <v>0</v>
      </c>
      <c r="N105" s="7">
        <f xml:space="preserve"> IFERROR( VfM_Metrics_2023_Consol_Source[[#This Row],[Total social units developed or newly built units acquired in-year]] / VfM_Metrics_2023_Consol_Source[[#This Row],[Social housing units owned (period end)]], "n/a" )</f>
        <v>2.5313867419130578E-2</v>
      </c>
      <c r="O105" s="5">
        <f xml:space="preserve"> SUM( VfM_Metrics_2023_Consol_Source[[#This Row],[Total social units developed or newly built units acquired in-year (owned)]], VfM_Metrics_2023_Consol_Source[[#This Row],[Total social leasehold units developed or newly built units acquired in-year (owned)]] )</f>
        <v>619</v>
      </c>
      <c r="P105" s="84" vm="4783">
        <v>619</v>
      </c>
      <c r="Q105" s="83" vm="4784">
        <v>0</v>
      </c>
      <c r="R105" s="5">
        <f xml:space="preserve"> SUM( VfM_Metrics_2023_Consol_Source[[#This Row],[Total social housing units owned (Period end)]], VfM_Metrics_2023_Consol_Source[[#This Row],[Total social leasehold units owned (Period end)]] )</f>
        <v>24453</v>
      </c>
      <c r="S105" s="84" vm="4776">
        <v>22549</v>
      </c>
      <c r="T105" s="83" vm="4785">
        <v>1904</v>
      </c>
      <c r="U105" s="86">
        <f xml:space="preserve"> IFERROR( VfM_Metrics_2023_Consol_Source[[#This Row],[Total non-social housing units developed or newly built units acquired (owned)]] / VfM_Metrics_2023_Consol_Source[[#This Row],[Total social and non-social housing units owned (Period end)]], "n/a" )</f>
        <v>0</v>
      </c>
      <c r="V10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05" s="83" vm="4786">
        <v>0</v>
      </c>
      <c r="X105" s="83">
        <v>0</v>
      </c>
      <c r="Y105" s="83" vm="4787">
        <v>0</v>
      </c>
      <c r="Z10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24531</v>
      </c>
      <c r="AA105" s="84" vm="4776">
        <v>22549</v>
      </c>
      <c r="AB105" s="83" vm="4785">
        <v>1904</v>
      </c>
      <c r="AC105" s="83" vm="7386">
        <v>78</v>
      </c>
      <c r="AD105" s="83" vm="4080">
        <v>0</v>
      </c>
      <c r="AE105" s="7">
        <f xml:space="preserve"> IFERROR( VfM_Metrics_2023_Consol_Source[[#This Row],[Total Net Debt]] / VfM_Metrics_2023_Consol_Source[[#This Row],[Net Book Value of Housing Properties2]], "n/a" )</f>
        <v>0.51150723026003586</v>
      </c>
      <c r="AF10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677988</v>
      </c>
      <c r="AG105" s="84" vm="4788">
        <v>14969</v>
      </c>
      <c r="AH105" s="83" vm="4789">
        <v>706842</v>
      </c>
      <c r="AI105" s="83" vm="4790">
        <v>43823</v>
      </c>
      <c r="AJ105" s="83" vm="1675">
        <v>0</v>
      </c>
      <c r="AK105" s="83">
        <v>0</v>
      </c>
      <c r="AL105" s="5">
        <f xml:space="preserve"> SUM( VfM_Metrics_2023_Consol_Source[[#This Row],[Tangible fixed assets: Housing properties at cost (Current period)2]], VfM_Metrics_2023_Consol_Source[[#This Row],[Tangible fixed assets Housing properties at valuation (Current period)2]] )</f>
        <v>1325471</v>
      </c>
      <c r="AM105" s="84" vm="7049">
        <v>1325471</v>
      </c>
      <c r="AN105" s="83">
        <v>0</v>
      </c>
      <c r="AO105" s="87">
        <f xml:space="preserve"> IFERROR( VfM_Metrics_2023_Consol_Source[[#This Row],[EBITDA MRI]] / VfM_Metrics_2023_Consol_Source[[#This Row],[Total interest]], "n/a" )</f>
        <v>1.1790504131241768</v>
      </c>
      <c r="AP10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39385</v>
      </c>
      <c r="AQ105" s="84" vm="7461">
        <v>36744</v>
      </c>
      <c r="AR105" s="84" vm="4792">
        <v>4454</v>
      </c>
      <c r="AS105" s="84" vm="7325">
        <v>-267</v>
      </c>
      <c r="AT105" s="84" vm="4793">
        <v>3036</v>
      </c>
      <c r="AU105" s="84" vm="7153">
        <v>0</v>
      </c>
      <c r="AV105" s="84" vm="4794">
        <v>1370</v>
      </c>
      <c r="AW105" s="84" vm="4795">
        <v>11961</v>
      </c>
      <c r="AX105" s="84" vm="4796">
        <v>20455</v>
      </c>
      <c r="AY105" s="3">
        <f xml:space="preserve"> - SUM( VfM_Metrics_2023_Consol_Source[[#This Row],[Interest capitalised]], VfM_Metrics_2023_Consol_Source[[#This Row],[Interest payable and financing costs]] )</f>
        <v>33404</v>
      </c>
      <c r="AZ105" s="84" vm="4797">
        <v>-3234</v>
      </c>
      <c r="BA105" s="83" vm="4798">
        <v>-30170</v>
      </c>
      <c r="BB105" s="8">
        <f xml:space="preserve"> IFERROR( ( VfM_Metrics_2023_Consol_Source[[#This Row],[Total Costs]] / VfM_Metrics_2023_Consol_Source[[#This Row],[Total units for costs]] ) * 1000, "n/a" )</f>
        <v>4418.4751381215474</v>
      </c>
      <c r="BC10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99968</v>
      </c>
      <c r="BD105" s="84" vm="4799">
        <v>23878</v>
      </c>
      <c r="BE105" s="83" vm="3486">
        <v>12267</v>
      </c>
      <c r="BF105" s="83" vm="3922">
        <v>20422</v>
      </c>
      <c r="BG105" s="83" vm="4800">
        <v>10156</v>
      </c>
      <c r="BH105" s="83" vm="4801">
        <v>1016</v>
      </c>
      <c r="BI105" s="83" vm="4802">
        <v>230</v>
      </c>
      <c r="BJ105" s="83" vm="4795">
        <v>11961</v>
      </c>
      <c r="BK105" s="83" vm="5681">
        <v>9851</v>
      </c>
      <c r="BL105" s="83" vm="5563">
        <v>1076</v>
      </c>
      <c r="BM105" s="83">
        <v>0</v>
      </c>
      <c r="BN105" s="83" vm="4803">
        <v>6318</v>
      </c>
      <c r="BO105" s="83" vm="4804">
        <v>2793</v>
      </c>
      <c r="BP105" s="5" vm="4777">
        <f xml:space="preserve"> VfM_Metrics_2023_Consol_Source[[#This Row],[Total social housing units owned and/or managed at period end]]</f>
        <v>22625</v>
      </c>
      <c r="BQ105" s="84" vm="4777">
        <v>22625</v>
      </c>
      <c r="BR105" s="7">
        <f xml:space="preserve"> IFERROR( VfM_Metrics_2023_Consol_Source[[#This Row],[SHL operating surplus / (deficit)]] / VfM_Metrics_2023_Consol_Source[[#This Row],[Turnover from social housing lettings]], "n/a" )</f>
        <v>0.2311346276257161</v>
      </c>
      <c r="BS105" s="5" vm="4805">
        <f xml:space="preserve"> VfM_Metrics_2023_Consol_Source[[#This Row],[Operating surplus/(deficit) (social housing lettings)]]</f>
        <v>29049</v>
      </c>
      <c r="BT105" s="84" vm="4805">
        <v>29049</v>
      </c>
      <c r="BU105" s="5" vm="4806">
        <f xml:space="preserve"> VfM_Metrics_2023_Consol_Source[[#This Row],[Turnover from social housing lettings]]</f>
        <v>125680</v>
      </c>
      <c r="BV105" s="84" vm="4806">
        <v>125680</v>
      </c>
      <c r="BW105" s="7">
        <f xml:space="preserve"> IFERROR( VfM_Metrics_2023_Consol_Source[[#This Row],[Net operating surplus]] / VfM_Metrics_2023_Consol_Source[[#This Row],[Overall turnover]], "n/a" )</f>
        <v>0.20680959186914405</v>
      </c>
      <c r="BX10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32557</v>
      </c>
      <c r="BY105" s="84" vm="4791">
        <v>36744</v>
      </c>
      <c r="BZ105" s="83" vm="4792">
        <v>4454</v>
      </c>
      <c r="CA105" s="83" vm="7401">
        <v>-267</v>
      </c>
      <c r="CB105" s="5" vm="4807">
        <f xml:space="preserve"> VfM_Metrics_2023_Consol_Source[[#This Row],[Turnover (overall)]]</f>
        <v>157425</v>
      </c>
      <c r="CC105" s="84" vm="4807">
        <v>157425</v>
      </c>
      <c r="CD105" s="7">
        <f xml:space="preserve"> IFERROR( VfM_Metrics_2023_Consol_Source[[#This Row],[Operating surplus including from JVs]] / VfM_Metrics_2023_Consol_Source[[#This Row],[Net assets]], "n/a" )</f>
        <v>2.655058876543237E-2</v>
      </c>
      <c r="CE105" s="5">
        <f xml:space="preserve"> SUM( VfM_Metrics_2023_Consol_Source[[#This Row],[Operating surplus/(deficit) (overall)3]], VfM_Metrics_2023_Consol_Source[[#This Row],[Share of operating surplus/(deficit) in joint ventures or associates]] )</f>
        <v>36295</v>
      </c>
      <c r="CF105" s="84" vm="4791">
        <v>36744</v>
      </c>
      <c r="CG105" s="83" vm="4809">
        <v>-449</v>
      </c>
      <c r="CH105" s="5" vm="4808">
        <f xml:space="preserve"> VfM_Metrics_2023_Consol_Source[[#This Row],[Total assets less current liabilities]]</f>
        <v>1367013</v>
      </c>
      <c r="CI105" s="84" vm="4808">
        <v>1367013</v>
      </c>
      <c r="CJ105" s="71" vm="4776">
        <f xml:space="preserve"> VfM_Metrics_2023_Consol_Source[[#This Row],[Total social housing units owned (Period end)]]</f>
        <v>22549</v>
      </c>
      <c r="CK105" s="103">
        <v>2.2470404288586106E-2</v>
      </c>
      <c r="CL105" s="6">
        <f xml:space="preserve"> -- ( VfM_Metrics_2023_Consol_Source[[#This Row],[% Supported housing (excl. HOP)]] &gt; 0.3 )</f>
        <v>0</v>
      </c>
      <c r="CM105" s="103">
        <v>5.2669198123743578E-2</v>
      </c>
      <c r="CN105" s="6">
        <f xml:space="preserve"> -- ( VfM_Metrics_2023_Consol_Source[[#This Row],[% Housing for older people]] &gt; 0.3 )</f>
        <v>0</v>
      </c>
      <c r="CO105" s="103">
        <f xml:space="preserve"> VfM_Metrics_2023_Consol_Source[[#This Row],[% Supported housing (excl. HOP)]] + VfM_Metrics_2023_Consol_Source[[#This Row],[% Housing for older people]]</f>
        <v>7.5139602412329684E-2</v>
      </c>
      <c r="CP105" s="6">
        <f xml:space="preserve"> -- ( VfM_Metrics_2023_Consol_Source[[#This Row],[SH specialist in RSH analysis]] + VfM_Metrics_2023_Consol_Source[[#This Row],[OP specialist in RSH analysis]] &gt; 0 )</f>
        <v>0</v>
      </c>
      <c r="CQ105" s="10">
        <f xml:space="preserve"> -- ( VfM_Metrics_2023_Consol_Source[[#This Row],[% SH and OP]] &gt; 0.3 )</f>
        <v>0</v>
      </c>
      <c r="CR105" s="104" t="s">
        <v>143</v>
      </c>
      <c r="CS105" s="124" t="s">
        <v>144</v>
      </c>
      <c r="CT105" s="105"/>
      <c r="CU10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Midlands</v>
      </c>
      <c r="CV105" s="85">
        <v>4.4499822000712E-5</v>
      </c>
      <c r="CW105" s="85">
        <v>0</v>
      </c>
      <c r="CX105" s="85">
        <v>0</v>
      </c>
      <c r="CY105" s="85">
        <v>0.625</v>
      </c>
      <c r="CZ105" s="85">
        <v>0.1242435030259879</v>
      </c>
      <c r="DA105" s="85">
        <v>0.16300284798860804</v>
      </c>
      <c r="DB105" s="85">
        <v>0</v>
      </c>
      <c r="DC105" s="85">
        <v>0</v>
      </c>
      <c r="DD105" s="85">
        <v>8.7709149163403347E-2</v>
      </c>
      <c r="DE105" s="13">
        <v>0.9565601555265284</v>
      </c>
    </row>
    <row r="106" spans="1:109" x14ac:dyDescent="0.25">
      <c r="A106" s="4" t="s" vm="199">
        <v>336</v>
      </c>
      <c r="B106" s="2" t="s" vm="96">
        <v>337</v>
      </c>
      <c r="C106" s="72" vm="486">
        <v>45016</v>
      </c>
      <c r="D106" s="7">
        <f>IFERROR( VfM_Metrics_2023_Consol_Source[[#This Row],[Reinvestment Spend]] / VfM_Metrics_2023_Consol_Source[[#This Row],[Net Book Value of Housing Properties]], "n/a" )</f>
        <v>3.7959952577334581E-2</v>
      </c>
      <c r="E10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5219</v>
      </c>
      <c r="F106" s="83" vm="9181">
        <v>0</v>
      </c>
      <c r="G106" s="83" vm="9103">
        <v>858</v>
      </c>
      <c r="H106" s="83" vm="607">
        <v>4361</v>
      </c>
      <c r="I106" s="83" vm="595">
        <v>0</v>
      </c>
      <c r="J106" s="83" vm="9202">
        <v>0</v>
      </c>
      <c r="K106" s="5">
        <f xml:space="preserve"> SUM( VfM_Metrics_2023_Consol_Source[[#This Row],[Tangible fixed assets: Housing properties at cost (Current period)]],VfM_Metrics_2023_Consol_Source[[#This Row],[Tangible fixed assets Housing properties at valuation (Current period)]] )</f>
        <v>137487</v>
      </c>
      <c r="L106" s="84" vm="9176">
        <v>137487</v>
      </c>
      <c r="M106" s="83">
        <v>0</v>
      </c>
      <c r="N106" s="7">
        <f xml:space="preserve"> IFERROR( VfM_Metrics_2023_Consol_Source[[#This Row],[Total social units developed or newly built units acquired in-year]] / VfM_Metrics_2023_Consol_Source[[#This Row],[Social housing units owned (period end)]], "n/a" )</f>
        <v>4.7808764940239041E-3</v>
      </c>
      <c r="O106" s="5">
        <f xml:space="preserve"> SUM( VfM_Metrics_2023_Consol_Source[[#This Row],[Total social units developed or newly built units acquired in-year (owned)]], VfM_Metrics_2023_Consol_Source[[#This Row],[Total social leasehold units developed or newly built units acquired in-year (owned)]] )</f>
        <v>6</v>
      </c>
      <c r="P106" s="84" vm="9152">
        <v>6</v>
      </c>
      <c r="Q106" s="83">
        <v>0</v>
      </c>
      <c r="R106" s="5">
        <f xml:space="preserve"> SUM( VfM_Metrics_2023_Consol_Source[[#This Row],[Total social housing units owned (Period end)]], VfM_Metrics_2023_Consol_Source[[#This Row],[Total social leasehold units owned (Period end)]] )</f>
        <v>1255</v>
      </c>
      <c r="S106" s="84" vm="9175">
        <v>1255</v>
      </c>
      <c r="T106" s="83" vm="712">
        <v>0</v>
      </c>
      <c r="U106" s="86">
        <f xml:space="preserve"> IFERROR( VfM_Metrics_2023_Consol_Source[[#This Row],[Total non-social housing units developed or newly built units acquired (owned)]] / VfM_Metrics_2023_Consol_Source[[#This Row],[Total social and non-social housing units owned (Period end)]], "n/a" )</f>
        <v>0</v>
      </c>
      <c r="V10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06" s="83">
        <v>0</v>
      </c>
      <c r="X106" s="83">
        <v>0</v>
      </c>
      <c r="Y106" s="83">
        <v>0</v>
      </c>
      <c r="Z10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1299</v>
      </c>
      <c r="AA106" s="84" vm="9042">
        <v>1255</v>
      </c>
      <c r="AB106" s="83" vm="741">
        <v>0</v>
      </c>
      <c r="AC106" s="83" vm="9208">
        <v>44</v>
      </c>
      <c r="AD106" s="83" vm="609">
        <v>0</v>
      </c>
      <c r="AE106" s="7">
        <f xml:space="preserve"> IFERROR( VfM_Metrics_2023_Consol_Source[[#This Row],[Total Net Debt]] / VfM_Metrics_2023_Consol_Source[[#This Row],[Net Book Value of Housing Properties2]], "n/a" )</f>
        <v>0.15199982543804141</v>
      </c>
      <c r="AF10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20898</v>
      </c>
      <c r="AG106" s="84" vm="610">
        <v>21866</v>
      </c>
      <c r="AH106" s="83" vm="611">
        <v>3134</v>
      </c>
      <c r="AI106" s="83" vm="9145">
        <v>4119</v>
      </c>
      <c r="AJ106" s="83" vm="1675">
        <v>0</v>
      </c>
      <c r="AK106" s="83" vm="9174">
        <v>17</v>
      </c>
      <c r="AL106" s="5">
        <f xml:space="preserve"> SUM( VfM_Metrics_2023_Consol_Source[[#This Row],[Tangible fixed assets: Housing properties at cost (Current period)2]], VfM_Metrics_2023_Consol_Source[[#This Row],[Tangible fixed assets Housing properties at valuation (Current period)2]] )</f>
        <v>137487</v>
      </c>
      <c r="AM106" s="84" vm="608">
        <v>137487</v>
      </c>
      <c r="AN106" s="83">
        <v>0</v>
      </c>
      <c r="AO106" s="87">
        <f xml:space="preserve"> IFERROR( VfM_Metrics_2023_Consol_Source[[#This Row],[EBITDA MRI]] / VfM_Metrics_2023_Consol_Source[[#This Row],[Total interest]], "n/a" )</f>
        <v>-2.3613101330603889</v>
      </c>
      <c r="AP10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-2307</v>
      </c>
      <c r="AQ106" s="84" vm="612">
        <v>-1577</v>
      </c>
      <c r="AR106" s="84" vm="613">
        <v>38</v>
      </c>
      <c r="AS106" s="84" vm="614">
        <v>0</v>
      </c>
      <c r="AT106" s="84" vm="615">
        <v>888</v>
      </c>
      <c r="AU106" s="84" vm="9143">
        <v>0</v>
      </c>
      <c r="AV106" s="84" vm="9199">
        <v>352</v>
      </c>
      <c r="AW106" s="84" vm="9170">
        <v>4361</v>
      </c>
      <c r="AX106" s="84" vm="9038">
        <v>4205</v>
      </c>
      <c r="AY106" s="3">
        <f xml:space="preserve"> - SUM( VfM_Metrics_2023_Consol_Source[[#This Row],[Interest capitalised]], VfM_Metrics_2023_Consol_Source[[#This Row],[Interest payable and financing costs]] )</f>
        <v>977</v>
      </c>
      <c r="AZ106" s="84">
        <v>0</v>
      </c>
      <c r="BA106" s="83" vm="616">
        <v>-977</v>
      </c>
      <c r="BB106" s="8">
        <f xml:space="preserve"> IFERROR( ( VfM_Metrics_2023_Consol_Source[[#This Row],[Total Costs]] / VfM_Metrics_2023_Consol_Source[[#This Row],[Total units for costs]] ) * 1000, "n/a" )</f>
        <v>30446.12244897959</v>
      </c>
      <c r="BC10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74593</v>
      </c>
      <c r="BD106" s="84" vm="617">
        <v>12850</v>
      </c>
      <c r="BE106" s="83" vm="748">
        <v>12879</v>
      </c>
      <c r="BF106" s="83" vm="618">
        <v>2268</v>
      </c>
      <c r="BG106" s="83" vm="9141">
        <v>0</v>
      </c>
      <c r="BH106" s="83" vm="619">
        <v>272</v>
      </c>
      <c r="BI106" s="83" vm="9167">
        <v>0</v>
      </c>
      <c r="BJ106" s="83" vm="9035">
        <v>4361</v>
      </c>
      <c r="BK106" s="83" vm="620">
        <v>0</v>
      </c>
      <c r="BL106" s="83">
        <v>0</v>
      </c>
      <c r="BM106" s="83">
        <v>0</v>
      </c>
      <c r="BN106" s="83">
        <v>0</v>
      </c>
      <c r="BO106" s="83" vm="621">
        <v>41963</v>
      </c>
      <c r="BP106" s="5" vm="606">
        <f xml:space="preserve"> VfM_Metrics_2023_Consol_Source[[#This Row],[Total social housing units owned and/or managed at period end]]</f>
        <v>2450</v>
      </c>
      <c r="BQ106" s="84" vm="606">
        <v>2450</v>
      </c>
      <c r="BR106" s="7">
        <f xml:space="preserve"> IFERROR( VfM_Metrics_2023_Consol_Source[[#This Row],[SHL operating surplus / (deficit)]] / VfM_Metrics_2023_Consol_Source[[#This Row],[Turnover from social housing lettings]], "n/a" )</f>
        <v>-5.9482583010796494E-2</v>
      </c>
      <c r="BS106" s="5" vm="9032">
        <f xml:space="preserve"> VfM_Metrics_2023_Consol_Source[[#This Row],[Operating surplus/(deficit) (social housing lettings)]]</f>
        <v>-1752</v>
      </c>
      <c r="BT106" s="84" vm="9032">
        <v>-1752</v>
      </c>
      <c r="BU106" s="5" vm="622">
        <f xml:space="preserve"> VfM_Metrics_2023_Consol_Source[[#This Row],[Turnover from social housing lettings]]</f>
        <v>29454</v>
      </c>
      <c r="BV106" s="84" vm="622">
        <v>29454</v>
      </c>
      <c r="BW106" s="7">
        <f xml:space="preserve"> IFERROR( VfM_Metrics_2023_Consol_Source[[#This Row],[Net operating surplus]] / VfM_Metrics_2023_Consol_Source[[#This Row],[Overall turnover]], "n/a" )</f>
        <v>-2.0374435445209799E-2</v>
      </c>
      <c r="BX10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-1615</v>
      </c>
      <c r="BY106" s="84" vm="9163">
        <v>-1577</v>
      </c>
      <c r="BZ106" s="83" vm="9179">
        <v>38</v>
      </c>
      <c r="CA106" s="83" vm="9031">
        <v>0</v>
      </c>
      <c r="CB106" s="5" vm="9101">
        <f xml:space="preserve"> VfM_Metrics_2023_Consol_Source[[#This Row],[Turnover (overall)]]</f>
        <v>79266</v>
      </c>
      <c r="CC106" s="84" vm="9101">
        <v>79266</v>
      </c>
      <c r="CD106" s="7">
        <f xml:space="preserve"> IFERROR( VfM_Metrics_2023_Consol_Source[[#This Row],[Operating surplus including from JVs]] / VfM_Metrics_2023_Consol_Source[[#This Row],[Net assets]], "n/a" )</f>
        <v>-9.3357802510063929E-3</v>
      </c>
      <c r="CE106" s="5">
        <f xml:space="preserve"> SUM( VfM_Metrics_2023_Consol_Source[[#This Row],[Operating surplus/(deficit) (overall)3]], VfM_Metrics_2023_Consol_Source[[#This Row],[Share of operating surplus/(deficit) in joint ventures or associates]] )</f>
        <v>-1577</v>
      </c>
      <c r="CF106" s="84" vm="612">
        <v>-1577</v>
      </c>
      <c r="CG106" s="83" vm="9157">
        <v>0</v>
      </c>
      <c r="CH106" s="5" vm="623">
        <f xml:space="preserve"> VfM_Metrics_2023_Consol_Source[[#This Row],[Total assets less current liabilities]]</f>
        <v>168920</v>
      </c>
      <c r="CI106" s="84" vm="623">
        <v>168920</v>
      </c>
      <c r="CJ106" s="71" vm="9175">
        <f xml:space="preserve"> VfM_Metrics_2023_Consol_Source[[#This Row],[Total social housing units owned (Period end)]]</f>
        <v>1255</v>
      </c>
      <c r="CK106" s="103">
        <v>0.94895397489539746</v>
      </c>
      <c r="CL106" s="6">
        <f xml:space="preserve"> -- ( VfM_Metrics_2023_Consol_Source[[#This Row],[% Supported housing (excl. HOP)]] &gt; 0.3 )</f>
        <v>1</v>
      </c>
      <c r="CM106" s="103">
        <v>0</v>
      </c>
      <c r="CN106" s="6">
        <f xml:space="preserve"> -- ( VfM_Metrics_2023_Consol_Source[[#This Row],[% Housing for older people]] &gt; 0.3 )</f>
        <v>0</v>
      </c>
      <c r="CO106" s="103">
        <f xml:space="preserve"> VfM_Metrics_2023_Consol_Source[[#This Row],[% Supported housing (excl. HOP)]] + VfM_Metrics_2023_Consol_Source[[#This Row],[% Housing for older people]]</f>
        <v>0.94895397489539746</v>
      </c>
      <c r="CP106" s="6">
        <f xml:space="preserve"> -- ( VfM_Metrics_2023_Consol_Source[[#This Row],[SH specialist in RSH analysis]] + VfM_Metrics_2023_Consol_Source[[#This Row],[OP specialist in RSH analysis]] &gt; 0 )</f>
        <v>1</v>
      </c>
      <c r="CQ106" s="10">
        <f xml:space="preserve"> -- ( VfM_Metrics_2023_Consol_Source[[#This Row],[% SH and OP]] &gt; 0.3 )</f>
        <v>1</v>
      </c>
      <c r="CR106" s="104" t="s">
        <v>143</v>
      </c>
      <c r="CS106" s="124" t="s">
        <v>144</v>
      </c>
      <c r="CT106" s="105"/>
      <c r="CU10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06" s="85">
        <v>0.82931034482758625</v>
      </c>
      <c r="CW106" s="85">
        <v>0.16982758620689656</v>
      </c>
      <c r="CX106" s="85">
        <v>0</v>
      </c>
      <c r="CY106" s="85">
        <v>0</v>
      </c>
      <c r="CZ106" s="85">
        <v>0</v>
      </c>
      <c r="DA106" s="85">
        <v>8.6206896551724137E-4</v>
      </c>
      <c r="DB106" s="85">
        <v>0</v>
      </c>
      <c r="DC106" s="85">
        <v>0</v>
      </c>
      <c r="DD106" s="85">
        <v>0</v>
      </c>
      <c r="DE106" s="13">
        <v>1.1387316615063199</v>
      </c>
    </row>
    <row r="107" spans="1:109" x14ac:dyDescent="0.25">
      <c r="A107" s="4" t="s" vm="276">
        <v>338</v>
      </c>
      <c r="B107" s="2" t="s" vm="97">
        <v>339</v>
      </c>
      <c r="C107" s="72" vm="553">
        <v>45016</v>
      </c>
      <c r="D107" s="7">
        <f>IFERROR( VfM_Metrics_2023_Consol_Source[[#This Row],[Reinvestment Spend]] / VfM_Metrics_2023_Consol_Source[[#This Row],[Net Book Value of Housing Properties]], "n/a" )</f>
        <v>6.4939281771543608E-2</v>
      </c>
      <c r="E10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15000</v>
      </c>
      <c r="F107" s="83" vm="2537">
        <v>12433</v>
      </c>
      <c r="G107" s="83" vm="7740">
        <v>90</v>
      </c>
      <c r="H107" s="83" vm="2538">
        <v>2477</v>
      </c>
      <c r="I107" s="83" vm="7871">
        <v>0</v>
      </c>
      <c r="J107" s="83" vm="7859">
        <v>0</v>
      </c>
      <c r="K107" s="5">
        <f xml:space="preserve"> SUM( VfM_Metrics_2023_Consol_Source[[#This Row],[Tangible fixed assets: Housing properties at cost (Current period)]],VfM_Metrics_2023_Consol_Source[[#This Row],[Tangible fixed assets Housing properties at valuation (Current period)]] )</f>
        <v>230985</v>
      </c>
      <c r="L107" s="84" vm="2539">
        <v>230985</v>
      </c>
      <c r="M107" s="83">
        <v>0</v>
      </c>
      <c r="N107" s="7">
        <f xml:space="preserve"> IFERROR( VfM_Metrics_2023_Consol_Source[[#This Row],[Total social units developed or newly built units acquired in-year]] / VfM_Metrics_2023_Consol_Source[[#This Row],[Social housing units owned (period end)]], "n/a" )</f>
        <v>2.7420214791682536E-3</v>
      </c>
      <c r="O107" s="5">
        <f xml:space="preserve"> SUM( VfM_Metrics_2023_Consol_Source[[#This Row],[Total social units developed or newly built units acquired in-year (owned)]], VfM_Metrics_2023_Consol_Source[[#This Row],[Total social leasehold units developed or newly built units acquired in-year (owned)]] )</f>
        <v>36</v>
      </c>
      <c r="P107" s="84" vm="2540">
        <v>36</v>
      </c>
      <c r="Q107" s="83">
        <v>0</v>
      </c>
      <c r="R107" s="5">
        <f xml:space="preserve"> SUM( VfM_Metrics_2023_Consol_Source[[#This Row],[Total social housing units owned (Period end)]], VfM_Metrics_2023_Consol_Source[[#This Row],[Total social leasehold units owned (Period end)]] )</f>
        <v>13129</v>
      </c>
      <c r="S107" s="84" vm="2535">
        <v>12634</v>
      </c>
      <c r="T107" s="83" vm="2541">
        <v>495</v>
      </c>
      <c r="U107" s="86">
        <f xml:space="preserve"> IFERROR( VfM_Metrics_2023_Consol_Source[[#This Row],[Total non-social housing units developed or newly built units acquired (owned)]] / VfM_Metrics_2023_Consol_Source[[#This Row],[Total social and non-social housing units owned (Period end)]], "n/a" )</f>
        <v>0</v>
      </c>
      <c r="V10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07" s="83">
        <v>0</v>
      </c>
      <c r="X107" s="83">
        <v>0</v>
      </c>
      <c r="Y107" s="83">
        <v>0</v>
      </c>
      <c r="Z10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13133</v>
      </c>
      <c r="AA107" s="84" vm="2535">
        <v>12634</v>
      </c>
      <c r="AB107" s="83" vm="2608">
        <v>495</v>
      </c>
      <c r="AC107" s="83" vm="2542">
        <v>4</v>
      </c>
      <c r="AD107" s="83" vm="2543">
        <v>0</v>
      </c>
      <c r="AE107" s="7">
        <f xml:space="preserve"> IFERROR( VfM_Metrics_2023_Consol_Source[[#This Row],[Total Net Debt]] / VfM_Metrics_2023_Consol_Source[[#This Row],[Net Book Value of Housing Properties2]], "n/a" )</f>
        <v>0.31718076931402472</v>
      </c>
      <c r="AF10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73264</v>
      </c>
      <c r="AG107" s="84">
        <v>0</v>
      </c>
      <c r="AH107" s="83" vm="7739">
        <v>87391</v>
      </c>
      <c r="AI107" s="83" vm="7789">
        <v>14127</v>
      </c>
      <c r="AJ107" s="83" vm="1675">
        <v>0</v>
      </c>
      <c r="AK107" s="83">
        <v>0</v>
      </c>
      <c r="AL107" s="5">
        <f xml:space="preserve"> SUM( VfM_Metrics_2023_Consol_Source[[#This Row],[Tangible fixed assets: Housing properties at cost (Current period)2]], VfM_Metrics_2023_Consol_Source[[#This Row],[Tangible fixed assets Housing properties at valuation (Current period)2]] )</f>
        <v>230985</v>
      </c>
      <c r="AM107" s="84" vm="2539">
        <v>230985</v>
      </c>
      <c r="AN107" s="83">
        <v>0</v>
      </c>
      <c r="AO107" s="87">
        <f xml:space="preserve"> IFERROR( VfM_Metrics_2023_Consol_Source[[#This Row],[EBITDA MRI]] / VfM_Metrics_2023_Consol_Source[[#This Row],[Total interest]], "n/a" )</f>
        <v>1.2447280799112097</v>
      </c>
      <c r="AP10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4486</v>
      </c>
      <c r="AQ107" s="84" vm="2544">
        <v>924</v>
      </c>
      <c r="AR107" s="84" vm="2545">
        <v>3388</v>
      </c>
      <c r="AS107" s="84" vm="7502">
        <v>0</v>
      </c>
      <c r="AT107" s="84" vm="2547">
        <v>346</v>
      </c>
      <c r="AU107" s="84" vm="2548">
        <v>0</v>
      </c>
      <c r="AV107" s="84" vm="2549">
        <v>38</v>
      </c>
      <c r="AW107" s="84" vm="2550">
        <v>2477</v>
      </c>
      <c r="AX107" s="84" vm="2551">
        <v>9735</v>
      </c>
      <c r="AY107" s="3">
        <f xml:space="preserve"> - SUM( VfM_Metrics_2023_Consol_Source[[#This Row],[Interest capitalised]], VfM_Metrics_2023_Consol_Source[[#This Row],[Interest payable and financing costs]] )</f>
        <v>3604</v>
      </c>
      <c r="AZ107" s="84">
        <v>0</v>
      </c>
      <c r="BA107" s="83" vm="4616">
        <v>-3604</v>
      </c>
      <c r="BB107" s="8">
        <f xml:space="preserve"> IFERROR( ( VfM_Metrics_2023_Consol_Source[[#This Row],[Total Costs]] / VfM_Metrics_2023_Consol_Source[[#This Row],[Total units for costs]] ) * 1000, "n/a" )</f>
        <v>4956.1749842072022</v>
      </c>
      <c r="BC10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62765</v>
      </c>
      <c r="BD107" s="84" vm="2552">
        <v>25224</v>
      </c>
      <c r="BE107" s="83" vm="2553">
        <v>3762</v>
      </c>
      <c r="BF107" s="83" vm="2554">
        <v>10984</v>
      </c>
      <c r="BG107" s="83" vm="2555">
        <v>7959</v>
      </c>
      <c r="BH107" s="83" vm="2556">
        <v>11678</v>
      </c>
      <c r="BI107" s="83" vm="2557">
        <v>539</v>
      </c>
      <c r="BJ107" s="83" vm="2550">
        <v>2477</v>
      </c>
      <c r="BK107" s="83" vm="2558">
        <v>74</v>
      </c>
      <c r="BL107" s="83" vm="2559">
        <v>68</v>
      </c>
      <c r="BM107" s="83">
        <v>0</v>
      </c>
      <c r="BN107" s="83">
        <v>0</v>
      </c>
      <c r="BO107" s="83">
        <v>0</v>
      </c>
      <c r="BP107" s="5" vm="2536">
        <f xml:space="preserve"> VfM_Metrics_2023_Consol_Source[[#This Row],[Total social housing units owned and/or managed at period end]]</f>
        <v>12664</v>
      </c>
      <c r="BQ107" s="84" vm="2536">
        <v>12664</v>
      </c>
      <c r="BR107" s="7">
        <f xml:space="preserve"> IFERROR( VfM_Metrics_2023_Consol_Source[[#This Row],[SHL operating surplus / (deficit)]] / VfM_Metrics_2023_Consol_Source[[#This Row],[Turnover from social housing lettings]], "n/a" )</f>
        <v>-5.945618420056048E-2</v>
      </c>
      <c r="BS107" s="5" vm="2560">
        <f xml:space="preserve"> VfM_Metrics_2023_Consol_Source[[#This Row],[Operating surplus/(deficit) (social housing lettings)]]</f>
        <v>-3925</v>
      </c>
      <c r="BT107" s="84" vm="2560">
        <v>-3925</v>
      </c>
      <c r="BU107" s="5" vm="7835">
        <f xml:space="preserve"> VfM_Metrics_2023_Consol_Source[[#This Row],[Turnover from social housing lettings]]</f>
        <v>66015</v>
      </c>
      <c r="BV107" s="84" vm="7835">
        <v>66015</v>
      </c>
      <c r="BW107" s="7">
        <f xml:space="preserve"> IFERROR( VfM_Metrics_2023_Consol_Source[[#This Row],[Net operating surplus]] / VfM_Metrics_2023_Consol_Source[[#This Row],[Overall turnover]], "n/a" )</f>
        <v>-3.540026435262341E-2</v>
      </c>
      <c r="BX10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-2464</v>
      </c>
      <c r="BY107" s="84" vm="2544">
        <v>924</v>
      </c>
      <c r="BZ107" s="83" vm="2545">
        <v>3388</v>
      </c>
      <c r="CA107" s="83" vm="2546">
        <v>0</v>
      </c>
      <c r="CB107" s="5" vm="7869">
        <f xml:space="preserve"> VfM_Metrics_2023_Consol_Source[[#This Row],[Turnover (overall)]]</f>
        <v>69604</v>
      </c>
      <c r="CC107" s="84" vm="7869">
        <v>69604</v>
      </c>
      <c r="CD107" s="7">
        <f xml:space="preserve"> IFERROR( VfM_Metrics_2023_Consol_Source[[#This Row],[Operating surplus including from JVs]] / VfM_Metrics_2023_Consol_Source[[#This Row],[Net assets]], "n/a" )</f>
        <v>5.3010513879778905E-3</v>
      </c>
      <c r="CE107" s="5">
        <f xml:space="preserve"> SUM( VfM_Metrics_2023_Consol_Source[[#This Row],[Operating surplus/(deficit) (overall)3]], VfM_Metrics_2023_Consol_Source[[#This Row],[Share of operating surplus/(deficit) in joint ventures or associates]] )</f>
        <v>1382</v>
      </c>
      <c r="CF107" s="84" vm="7702">
        <v>924</v>
      </c>
      <c r="CG107" s="83" vm="2562">
        <v>458</v>
      </c>
      <c r="CH107" s="5" vm="2505">
        <f xml:space="preserve"> VfM_Metrics_2023_Consol_Source[[#This Row],[Total assets less current liabilities]]</f>
        <v>260703</v>
      </c>
      <c r="CI107" s="84" vm="2505">
        <v>260703</v>
      </c>
      <c r="CJ107" s="71" vm="2535">
        <f xml:space="preserve"> VfM_Metrics_2023_Consol_Source[[#This Row],[Total social housing units owned (Period end)]]</f>
        <v>12634</v>
      </c>
      <c r="CK107" s="103">
        <v>1.9891788669637173E-3</v>
      </c>
      <c r="CL107" s="6">
        <f xml:space="preserve"> -- ( VfM_Metrics_2023_Consol_Source[[#This Row],[% Supported housing (excl. HOP)]] &gt; 0.3 )</f>
        <v>0</v>
      </c>
      <c r="CM107" s="103">
        <v>0.12866008911521323</v>
      </c>
      <c r="CN107" s="6">
        <f xml:space="preserve"> -- ( VfM_Metrics_2023_Consol_Source[[#This Row],[% Housing for older people]] &gt; 0.3 )</f>
        <v>0</v>
      </c>
      <c r="CO107" s="103">
        <f xml:space="preserve"> VfM_Metrics_2023_Consol_Source[[#This Row],[% Supported housing (excl. HOP)]] + VfM_Metrics_2023_Consol_Source[[#This Row],[% Housing for older people]]</f>
        <v>0.13064926798217696</v>
      </c>
      <c r="CP107" s="6">
        <f xml:space="preserve"> -- ( VfM_Metrics_2023_Consol_Source[[#This Row],[SH specialist in RSH analysis]] + VfM_Metrics_2023_Consol_Source[[#This Row],[OP specialist in RSH analysis]] &gt; 0 )</f>
        <v>0</v>
      </c>
      <c r="CQ107" s="10">
        <f xml:space="preserve"> -- ( VfM_Metrics_2023_Consol_Source[[#This Row],[% SH and OP]] &gt; 0.3 )</f>
        <v>0</v>
      </c>
      <c r="CR107" s="104" t="s">
        <v>143</v>
      </c>
      <c r="CS107" s="124"/>
      <c r="CT107" s="105" t="s">
        <v>151</v>
      </c>
      <c r="CU10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07" s="85">
        <v>0</v>
      </c>
      <c r="CW107" s="85">
        <v>0</v>
      </c>
      <c r="CX107" s="85">
        <v>0</v>
      </c>
      <c r="CY107" s="85">
        <v>0</v>
      </c>
      <c r="CZ107" s="85">
        <v>0</v>
      </c>
      <c r="DA107" s="85">
        <v>0</v>
      </c>
      <c r="DB107" s="85">
        <v>0</v>
      </c>
      <c r="DC107" s="85">
        <v>1</v>
      </c>
      <c r="DD107" s="85">
        <v>0</v>
      </c>
      <c r="DE107" s="13">
        <v>0.96105917141044694</v>
      </c>
    </row>
    <row r="108" spans="1:109" x14ac:dyDescent="0.25">
      <c r="A108" s="4" t="s" vm="368">
        <v>340</v>
      </c>
      <c r="B108" s="2" t="s" vm="98">
        <v>341</v>
      </c>
      <c r="C108" s="72" vm="523">
        <v>45016</v>
      </c>
      <c r="D108" s="7">
        <f>IFERROR( VfM_Metrics_2023_Consol_Source[[#This Row],[Reinvestment Spend]] / VfM_Metrics_2023_Consol_Source[[#This Row],[Net Book Value of Housing Properties]], "n/a" )</f>
        <v>5.4986608255128314E-2</v>
      </c>
      <c r="E10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21187</v>
      </c>
      <c r="F108" s="83" vm="5723">
        <v>13473</v>
      </c>
      <c r="G108" s="83" vm="5724">
        <v>111</v>
      </c>
      <c r="H108" s="83" vm="5725">
        <v>7343</v>
      </c>
      <c r="I108" s="83" vm="5726">
        <v>260</v>
      </c>
      <c r="J108" s="83" vm="5727">
        <v>0</v>
      </c>
      <c r="K108" s="5">
        <f xml:space="preserve"> SUM( VfM_Metrics_2023_Consol_Source[[#This Row],[Tangible fixed assets: Housing properties at cost (Current period)]],VfM_Metrics_2023_Consol_Source[[#This Row],[Tangible fixed assets Housing properties at valuation (Current period)]] )</f>
        <v>385312</v>
      </c>
      <c r="L108" s="84" vm="5577">
        <v>385312</v>
      </c>
      <c r="M108" s="83" vm="5729">
        <v>0</v>
      </c>
      <c r="N108" s="7">
        <f xml:space="preserve"> IFERROR( VfM_Metrics_2023_Consol_Source[[#This Row],[Total social units developed or newly built units acquired in-year]] / VfM_Metrics_2023_Consol_Source[[#This Row],[Social housing units owned (period end)]], "n/a" )</f>
        <v>9.6339113680154135E-3</v>
      </c>
      <c r="O108" s="5">
        <f xml:space="preserve"> SUM( VfM_Metrics_2023_Consol_Source[[#This Row],[Total social units developed or newly built units acquired in-year (owned)]], VfM_Metrics_2023_Consol_Source[[#This Row],[Total social leasehold units developed or newly built units acquired in-year (owned)]] )</f>
        <v>85</v>
      </c>
      <c r="P108" s="84" vm="4518">
        <v>85</v>
      </c>
      <c r="Q108" s="83">
        <v>0</v>
      </c>
      <c r="R108" s="5">
        <f xml:space="preserve"> SUM( VfM_Metrics_2023_Consol_Source[[#This Row],[Total social housing units owned (Period end)]], VfM_Metrics_2023_Consol_Source[[#This Row],[Total social leasehold units owned (Period end)]] )</f>
        <v>8823</v>
      </c>
      <c r="S108" s="84" vm="6908">
        <v>8450</v>
      </c>
      <c r="T108" s="83" vm="5730">
        <v>373</v>
      </c>
      <c r="U108" s="86">
        <f xml:space="preserve"> IFERROR( VfM_Metrics_2023_Consol_Source[[#This Row],[Total non-social housing units developed or newly built units acquired (owned)]] / VfM_Metrics_2023_Consol_Source[[#This Row],[Total social and non-social housing units owned (Period end)]], "n/a" )</f>
        <v>0</v>
      </c>
      <c r="V10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08" s="83">
        <v>0</v>
      </c>
      <c r="X108" s="83">
        <v>0</v>
      </c>
      <c r="Y108" s="83" vm="5732">
        <v>0</v>
      </c>
      <c r="Z10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8997</v>
      </c>
      <c r="AA108" s="84" vm="5721">
        <v>8450</v>
      </c>
      <c r="AB108" s="83" vm="6890">
        <v>373</v>
      </c>
      <c r="AC108" s="83" vm="5733">
        <v>62</v>
      </c>
      <c r="AD108" s="83" vm="5734">
        <v>112</v>
      </c>
      <c r="AE108" s="7">
        <f xml:space="preserve"> IFERROR( VfM_Metrics_2023_Consol_Source[[#This Row],[Total Net Debt]] / VfM_Metrics_2023_Consol_Source[[#This Row],[Net Book Value of Housing Properties2]], "n/a" )</f>
        <v>0.262335458018437</v>
      </c>
      <c r="AF10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101081</v>
      </c>
      <c r="AG108" s="84" vm="5735">
        <v>0</v>
      </c>
      <c r="AH108" s="83" vm="5736">
        <v>118612</v>
      </c>
      <c r="AI108" s="83" vm="7279">
        <v>17531</v>
      </c>
      <c r="AJ108" s="83" vm="5851">
        <v>0</v>
      </c>
      <c r="AK108" s="83" vm="5738">
        <v>0</v>
      </c>
      <c r="AL108" s="5">
        <f xml:space="preserve"> SUM( VfM_Metrics_2023_Consol_Source[[#This Row],[Tangible fixed assets: Housing properties at cost (Current period)2]], VfM_Metrics_2023_Consol_Source[[#This Row],[Tangible fixed assets Housing properties at valuation (Current period)2]] )</f>
        <v>385312</v>
      </c>
      <c r="AM108" s="84" vm="5728">
        <v>385312</v>
      </c>
      <c r="AN108" s="83" vm="7220">
        <v>0</v>
      </c>
      <c r="AO108" s="87">
        <f xml:space="preserve"> IFERROR( VfM_Metrics_2023_Consol_Source[[#This Row],[EBITDA MRI]] / VfM_Metrics_2023_Consol_Source[[#This Row],[Total interest]], "n/a" )</f>
        <v>2.5849735957753239</v>
      </c>
      <c r="AP10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10769</v>
      </c>
      <c r="AQ108" s="84" vm="5739">
        <v>9329</v>
      </c>
      <c r="AR108" s="84" vm="7184">
        <v>641</v>
      </c>
      <c r="AS108" s="84" vm="5741">
        <v>114</v>
      </c>
      <c r="AT108" s="84" vm="5742">
        <v>90</v>
      </c>
      <c r="AU108" s="84" vm="5743">
        <v>0</v>
      </c>
      <c r="AV108" s="84" vm="5744">
        <v>213</v>
      </c>
      <c r="AW108" s="84" vm="5745">
        <v>7343</v>
      </c>
      <c r="AX108" s="84" vm="5746">
        <v>9415</v>
      </c>
      <c r="AY108" s="3">
        <f xml:space="preserve"> - SUM( VfM_Metrics_2023_Consol_Source[[#This Row],[Interest capitalised]], VfM_Metrics_2023_Consol_Source[[#This Row],[Interest payable and financing costs]] )</f>
        <v>4166</v>
      </c>
      <c r="AZ108" s="84" vm="5747">
        <v>-260</v>
      </c>
      <c r="BA108" s="83" vm="5902">
        <v>-3906</v>
      </c>
      <c r="BB108" s="8">
        <f xml:space="preserve"> IFERROR( ( VfM_Metrics_2023_Consol_Source[[#This Row],[Total Costs]] / VfM_Metrics_2023_Consol_Source[[#This Row],[Total units for costs]] ) * 1000, "n/a" )</f>
        <v>4582.1513002364072</v>
      </c>
      <c r="BC10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38765</v>
      </c>
      <c r="BD108" s="84" vm="5748">
        <v>12953</v>
      </c>
      <c r="BE108" s="83" vm="5749">
        <v>4311</v>
      </c>
      <c r="BF108" s="83" vm="5750">
        <v>7542</v>
      </c>
      <c r="BG108" s="83" vm="7329">
        <v>3296</v>
      </c>
      <c r="BH108" s="83" vm="5751">
        <v>2001</v>
      </c>
      <c r="BI108" s="83" vm="5752">
        <v>271</v>
      </c>
      <c r="BJ108" s="83" vm="5745">
        <v>7343</v>
      </c>
      <c r="BK108" s="83" vm="5753">
        <v>560</v>
      </c>
      <c r="BL108" s="83" vm="5754">
        <v>180</v>
      </c>
      <c r="BM108" s="83">
        <v>0</v>
      </c>
      <c r="BN108" s="83" vm="5755">
        <v>302</v>
      </c>
      <c r="BO108" s="83" vm="5756">
        <v>6</v>
      </c>
      <c r="BP108" s="5" vm="5722">
        <f xml:space="preserve"> VfM_Metrics_2023_Consol_Source[[#This Row],[Total social housing units owned and/or managed at period end]]</f>
        <v>8460</v>
      </c>
      <c r="BQ108" s="84" vm="5722">
        <v>8460</v>
      </c>
      <c r="BR108" s="7">
        <f xml:space="preserve"> IFERROR( VfM_Metrics_2023_Consol_Source[[#This Row],[SHL operating surplus / (deficit)]] / VfM_Metrics_2023_Consol_Source[[#This Row],[Turnover from social housing lettings]], "n/a" )</f>
        <v>0.16492482388812954</v>
      </c>
      <c r="BS108" s="5" vm="5757">
        <f xml:space="preserve"> VfM_Metrics_2023_Consol_Source[[#This Row],[Operating surplus/(deficit) (social housing lettings)]]</f>
        <v>7843</v>
      </c>
      <c r="BT108" s="84" vm="5757">
        <v>7843</v>
      </c>
      <c r="BU108" s="5" vm="5758">
        <f xml:space="preserve"> VfM_Metrics_2023_Consol_Source[[#This Row],[Turnover from social housing lettings]]</f>
        <v>47555</v>
      </c>
      <c r="BV108" s="84" vm="5758">
        <v>47555</v>
      </c>
      <c r="BW108" s="7">
        <f xml:space="preserve"> IFERROR( VfM_Metrics_2023_Consol_Source[[#This Row],[Net operating surplus]] / VfM_Metrics_2023_Consol_Source[[#This Row],[Overall turnover]], "n/a" )</f>
        <v>0.16125331477685204</v>
      </c>
      <c r="BX10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8574</v>
      </c>
      <c r="BY108" s="84" vm="5739">
        <v>9329</v>
      </c>
      <c r="BZ108" s="83" vm="5740">
        <v>641</v>
      </c>
      <c r="CA108" s="83" vm="7247">
        <v>114</v>
      </c>
      <c r="CB108" s="5" vm="7219">
        <f xml:space="preserve"> VfM_Metrics_2023_Consol_Source[[#This Row],[Turnover (overall)]]</f>
        <v>53171</v>
      </c>
      <c r="CC108" s="84" vm="7219">
        <v>53171</v>
      </c>
      <c r="CD108" s="7">
        <f xml:space="preserve"> IFERROR( VfM_Metrics_2023_Consol_Source[[#This Row],[Operating surplus including from JVs]] / VfM_Metrics_2023_Consol_Source[[#This Row],[Net assets]], "n/a" )</f>
        <v>2.3557188490334963E-2</v>
      </c>
      <c r="CE108" s="5">
        <f xml:space="preserve"> SUM( VfM_Metrics_2023_Consol_Source[[#This Row],[Operating surplus/(deficit) (overall)3]], VfM_Metrics_2023_Consol_Source[[#This Row],[Share of operating surplus/(deficit) in joint ventures or associates]] )</f>
        <v>9329</v>
      </c>
      <c r="CF108" s="84" vm="5739">
        <v>9329</v>
      </c>
      <c r="CG108" s="83" vm="5760">
        <v>0</v>
      </c>
      <c r="CH108" s="5" vm="5759">
        <f xml:space="preserve"> VfM_Metrics_2023_Consol_Source[[#This Row],[Total assets less current liabilities]]</f>
        <v>396015</v>
      </c>
      <c r="CI108" s="84" vm="5759">
        <v>396015</v>
      </c>
      <c r="CJ108" s="71" vm="6908">
        <f xml:space="preserve"> VfM_Metrics_2023_Consol_Source[[#This Row],[Total social housing units owned (Period end)]]</f>
        <v>8450</v>
      </c>
      <c r="CK108" s="103">
        <v>2.5439847836424157E-2</v>
      </c>
      <c r="CL108" s="6">
        <f xml:space="preserve"> -- ( VfM_Metrics_2023_Consol_Source[[#This Row],[% Supported housing (excl. HOP)]] &gt; 0.3 )</f>
        <v>0</v>
      </c>
      <c r="CM108" s="103">
        <v>0.21944840703756538</v>
      </c>
      <c r="CN108" s="6">
        <f xml:space="preserve"> -- ( VfM_Metrics_2023_Consol_Source[[#This Row],[% Housing for older people]] &gt; 0.3 )</f>
        <v>0</v>
      </c>
      <c r="CO108" s="103">
        <f xml:space="preserve"> VfM_Metrics_2023_Consol_Source[[#This Row],[% Supported housing (excl. HOP)]] + VfM_Metrics_2023_Consol_Source[[#This Row],[% Housing for older people]]</f>
        <v>0.24488825487398955</v>
      </c>
      <c r="CP108" s="6">
        <f xml:space="preserve"> -- ( VfM_Metrics_2023_Consol_Source[[#This Row],[SH specialist in RSH analysis]] + VfM_Metrics_2023_Consol_Source[[#This Row],[OP specialist in RSH analysis]] &gt; 0 )</f>
        <v>0</v>
      </c>
      <c r="CQ108" s="10">
        <f xml:space="preserve"> -- ( VfM_Metrics_2023_Consol_Source[[#This Row],[% SH and OP]] &gt; 0.3 )</f>
        <v>0</v>
      </c>
      <c r="CR108" s="104" t="s">
        <v>143</v>
      </c>
      <c r="CS108" s="124"/>
      <c r="CT108" s="105" t="s">
        <v>151</v>
      </c>
      <c r="CU10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108" s="85">
        <v>0</v>
      </c>
      <c r="CW108" s="85">
        <v>0</v>
      </c>
      <c r="CX108" s="85">
        <v>1</v>
      </c>
      <c r="CY108" s="85">
        <v>0</v>
      </c>
      <c r="CZ108" s="85">
        <v>0</v>
      </c>
      <c r="DA108" s="85">
        <v>0</v>
      </c>
      <c r="DB108" s="85">
        <v>0</v>
      </c>
      <c r="DC108" s="85">
        <v>0</v>
      </c>
      <c r="DD108" s="85">
        <v>0</v>
      </c>
      <c r="DE108" s="13">
        <v>0.97511902715076015</v>
      </c>
    </row>
    <row r="109" spans="1:109" x14ac:dyDescent="0.25">
      <c r="A109" s="4" t="s" vm="232">
        <v>342</v>
      </c>
      <c r="B109" s="2" t="s" vm="99">
        <v>343</v>
      </c>
      <c r="C109" s="72" vm="573">
        <v>45016</v>
      </c>
      <c r="D109" s="7">
        <f>IFERROR( VfM_Metrics_2023_Consol_Source[[#This Row],[Reinvestment Spend]] / VfM_Metrics_2023_Consol_Source[[#This Row],[Net Book Value of Housing Properties]], "n/a" )</f>
        <v>1.4867966290809801E-2</v>
      </c>
      <c r="E10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1639</v>
      </c>
      <c r="F109" s="83" vm="1285">
        <v>0</v>
      </c>
      <c r="G109" s="83" vm="1286">
        <v>1086</v>
      </c>
      <c r="H109" s="83" vm="8434">
        <v>553</v>
      </c>
      <c r="I109" s="83" vm="1184">
        <v>0</v>
      </c>
      <c r="J109" s="83" vm="1287">
        <v>0</v>
      </c>
      <c r="K109" s="5">
        <f xml:space="preserve"> SUM( VfM_Metrics_2023_Consol_Source[[#This Row],[Tangible fixed assets: Housing properties at cost (Current period)]],VfM_Metrics_2023_Consol_Source[[#This Row],[Tangible fixed assets Housing properties at valuation (Current period)]] )</f>
        <v>110237</v>
      </c>
      <c r="L109" s="84" vm="8425">
        <v>110237</v>
      </c>
      <c r="M109" s="83">
        <v>0</v>
      </c>
      <c r="N109" s="7">
        <f xml:space="preserve"> IFERROR( VfM_Metrics_2023_Consol_Source[[#This Row],[Total social units developed or newly built units acquired in-year]] / VfM_Metrics_2023_Consol_Source[[#This Row],[Social housing units owned (period end)]], "n/a" )</f>
        <v>3.5893754486719309E-3</v>
      </c>
      <c r="O109" s="5">
        <f xml:space="preserve"> SUM( VfM_Metrics_2023_Consol_Source[[#This Row],[Total social units developed or newly built units acquired in-year (owned)]], VfM_Metrics_2023_Consol_Source[[#This Row],[Total social leasehold units developed or newly built units acquired in-year (owned)]] )</f>
        <v>5</v>
      </c>
      <c r="P109" s="84" vm="8529">
        <v>5</v>
      </c>
      <c r="Q109" s="83">
        <v>0</v>
      </c>
      <c r="R109" s="5">
        <f xml:space="preserve"> SUM( VfM_Metrics_2023_Consol_Source[[#This Row],[Total social housing units owned (Period end)]], VfM_Metrics_2023_Consol_Source[[#This Row],[Total social leasehold units owned (Period end)]] )</f>
        <v>1393</v>
      </c>
      <c r="S109" s="84" vm="8394">
        <v>1393</v>
      </c>
      <c r="T109" s="83" vm="1289">
        <v>0</v>
      </c>
      <c r="U109" s="86">
        <f xml:space="preserve"> IFERROR( VfM_Metrics_2023_Consol_Source[[#This Row],[Total non-social housing units developed or newly built units acquired (owned)]] / VfM_Metrics_2023_Consol_Source[[#This Row],[Total social and non-social housing units owned (Period end)]], "n/a" )</f>
        <v>0</v>
      </c>
      <c r="V10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09" s="83">
        <v>0</v>
      </c>
      <c r="X109" s="83">
        <v>0</v>
      </c>
      <c r="Y109" s="83">
        <v>0</v>
      </c>
      <c r="Z10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1394</v>
      </c>
      <c r="AA109" s="84" vm="8423">
        <v>1393</v>
      </c>
      <c r="AB109" s="83" vm="8550">
        <v>0</v>
      </c>
      <c r="AC109" s="83" vm="1270">
        <v>1</v>
      </c>
      <c r="AD109" s="83" vm="1290">
        <v>0</v>
      </c>
      <c r="AE109" s="7">
        <f xml:space="preserve"> IFERROR( VfM_Metrics_2023_Consol_Source[[#This Row],[Total Net Debt]] / VfM_Metrics_2023_Consol_Source[[#This Row],[Net Book Value of Housing Properties2]], "n/a" )</f>
        <v>0.44095902464689712</v>
      </c>
      <c r="AF10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48610</v>
      </c>
      <c r="AG109" s="84" vm="8383">
        <v>1290</v>
      </c>
      <c r="AH109" s="83" vm="8421">
        <v>48949</v>
      </c>
      <c r="AI109" s="83" vm="8472">
        <v>1629</v>
      </c>
      <c r="AJ109" s="83" vm="1675">
        <v>0</v>
      </c>
      <c r="AK109" s="83">
        <v>0</v>
      </c>
      <c r="AL109" s="5">
        <f xml:space="preserve"> SUM( VfM_Metrics_2023_Consol_Source[[#This Row],[Tangible fixed assets: Housing properties at cost (Current period)2]], VfM_Metrics_2023_Consol_Source[[#This Row],[Tangible fixed assets Housing properties at valuation (Current period)2]] )</f>
        <v>110237</v>
      </c>
      <c r="AM109" s="84" vm="8331">
        <v>110237</v>
      </c>
      <c r="AN109" s="83">
        <v>0</v>
      </c>
      <c r="AO109" s="87">
        <f xml:space="preserve"> IFERROR( VfM_Metrics_2023_Consol_Source[[#This Row],[EBITDA MRI]] / VfM_Metrics_2023_Consol_Source[[#This Row],[Total interest]], "n/a" )</f>
        <v>1.7828134196586227</v>
      </c>
      <c r="AP10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3029</v>
      </c>
      <c r="AQ109" s="84" vm="1291">
        <v>2515</v>
      </c>
      <c r="AR109" s="84" vm="8581">
        <v>150</v>
      </c>
      <c r="AS109" s="84">
        <v>0</v>
      </c>
      <c r="AT109" s="84" vm="8420">
        <v>500</v>
      </c>
      <c r="AU109" s="84" vm="8660">
        <v>0</v>
      </c>
      <c r="AV109" s="84" vm="1408">
        <v>22</v>
      </c>
      <c r="AW109" s="84" vm="1294">
        <v>553</v>
      </c>
      <c r="AX109" s="84" vm="8521">
        <v>1695</v>
      </c>
      <c r="AY109" s="3">
        <f xml:space="preserve"> - SUM( VfM_Metrics_2023_Consol_Source[[#This Row],[Interest capitalised]], VfM_Metrics_2023_Consol_Source[[#This Row],[Interest payable and financing costs]] )</f>
        <v>1699</v>
      </c>
      <c r="AZ109" s="84">
        <v>0</v>
      </c>
      <c r="BA109" s="83" vm="8327">
        <v>-1699</v>
      </c>
      <c r="BB109" s="8">
        <f xml:space="preserve"> IFERROR( ( VfM_Metrics_2023_Consol_Source[[#This Row],[Total Costs]] / VfM_Metrics_2023_Consol_Source[[#This Row],[Total units for costs]] ) * 1000, "n/a" )</f>
        <v>3779.6123474515434</v>
      </c>
      <c r="BC10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5265</v>
      </c>
      <c r="BD109" s="84" vm="1295">
        <v>2420</v>
      </c>
      <c r="BE109" s="83" vm="1365">
        <v>301</v>
      </c>
      <c r="BF109" s="83" vm="1100">
        <v>1062</v>
      </c>
      <c r="BG109" s="83" vm="1296">
        <v>707</v>
      </c>
      <c r="BH109" s="83" vm="8177">
        <v>54</v>
      </c>
      <c r="BI109" s="83" vm="7125">
        <v>0</v>
      </c>
      <c r="BJ109" s="83" vm="1294">
        <v>553</v>
      </c>
      <c r="BK109" s="83" vm="1442">
        <v>0</v>
      </c>
      <c r="BL109" s="83" vm="1297">
        <v>11</v>
      </c>
      <c r="BM109" s="83" vm="1860">
        <v>157</v>
      </c>
      <c r="BN109" s="83" vm="2004">
        <v>0</v>
      </c>
      <c r="BO109" s="83">
        <v>0</v>
      </c>
      <c r="BP109" s="5" vm="1284">
        <f xml:space="preserve"> VfM_Metrics_2023_Consol_Source[[#This Row],[Total social housing units owned and/or managed at period end]]</f>
        <v>1393</v>
      </c>
      <c r="BQ109" s="84" vm="1284">
        <v>1393</v>
      </c>
      <c r="BR109" s="7">
        <f xml:space="preserve"> IFERROR( VfM_Metrics_2023_Consol_Source[[#This Row],[SHL operating surplus / (deficit)]] / VfM_Metrics_2023_Consol_Source[[#This Row],[Turnover from social housing lettings]], "n/a" )</f>
        <v>0.27885847408270237</v>
      </c>
      <c r="BS109" s="5" vm="8415">
        <f xml:space="preserve"> VfM_Metrics_2023_Consol_Source[[#This Row],[Operating surplus/(deficit) (social housing lettings)]]</f>
        <v>2394</v>
      </c>
      <c r="BT109" s="84" vm="8415">
        <v>2394</v>
      </c>
      <c r="BU109" s="5" vm="8625">
        <f xml:space="preserve"> VfM_Metrics_2023_Consol_Source[[#This Row],[Turnover from social housing lettings]]</f>
        <v>8585</v>
      </c>
      <c r="BV109" s="84" vm="8625">
        <v>8585</v>
      </c>
      <c r="BW109" s="7">
        <f xml:space="preserve"> IFERROR( VfM_Metrics_2023_Consol_Source[[#This Row],[Net operating surplus]] / VfM_Metrics_2023_Consol_Source[[#This Row],[Overall turnover]], "n/a" )</f>
        <v>0.27096700274977087</v>
      </c>
      <c r="BX10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2365</v>
      </c>
      <c r="BY109" s="84" vm="1291">
        <v>2515</v>
      </c>
      <c r="BZ109" s="83" vm="1292">
        <v>150</v>
      </c>
      <c r="CA109" s="83">
        <v>0</v>
      </c>
      <c r="CB109" s="5" vm="1299">
        <f xml:space="preserve"> VfM_Metrics_2023_Consol_Source[[#This Row],[Turnover (overall)]]</f>
        <v>8728</v>
      </c>
      <c r="CC109" s="84" vm="1299">
        <v>8728</v>
      </c>
      <c r="CD109" s="7">
        <f xml:space="preserve"> IFERROR( VfM_Metrics_2023_Consol_Source[[#This Row],[Operating surplus including from JVs]] / VfM_Metrics_2023_Consol_Source[[#This Row],[Net assets]], "n/a" )</f>
        <v>2.2511636233440744E-2</v>
      </c>
      <c r="CE109" s="5">
        <f xml:space="preserve"> SUM( VfM_Metrics_2023_Consol_Source[[#This Row],[Operating surplus/(deficit) (overall)3]], VfM_Metrics_2023_Consol_Source[[#This Row],[Share of operating surplus/(deficit) in joint ventures or associates]] )</f>
        <v>2515</v>
      </c>
      <c r="CF109" s="84" vm="1291">
        <v>2515</v>
      </c>
      <c r="CG109" s="83">
        <v>0</v>
      </c>
      <c r="CH109" s="5" vm="1300">
        <f xml:space="preserve"> VfM_Metrics_2023_Consol_Source[[#This Row],[Total assets less current liabilities]]</f>
        <v>111720</v>
      </c>
      <c r="CI109" s="84" vm="1300">
        <v>111720</v>
      </c>
      <c r="CJ109" s="71" vm="8394">
        <f xml:space="preserve"> VfM_Metrics_2023_Consol_Source[[#This Row],[Total social housing units owned (Period end)]]</f>
        <v>1393</v>
      </c>
      <c r="CK109" s="103">
        <v>0</v>
      </c>
      <c r="CL109" s="6">
        <f xml:space="preserve"> -- ( VfM_Metrics_2023_Consol_Source[[#This Row],[% Supported housing (excl. HOP)]] &gt; 0.3 )</f>
        <v>0</v>
      </c>
      <c r="CM109" s="103">
        <v>0</v>
      </c>
      <c r="CN109" s="6">
        <f xml:space="preserve"> -- ( VfM_Metrics_2023_Consol_Source[[#This Row],[% Housing for older people]] &gt; 0.3 )</f>
        <v>0</v>
      </c>
      <c r="CO109" s="103">
        <f xml:space="preserve"> VfM_Metrics_2023_Consol_Source[[#This Row],[% Supported housing (excl. HOP)]] + VfM_Metrics_2023_Consol_Source[[#This Row],[% Housing for older people]]</f>
        <v>0</v>
      </c>
      <c r="CP109" s="6">
        <f xml:space="preserve"> -- ( VfM_Metrics_2023_Consol_Source[[#This Row],[SH specialist in RSH analysis]] + VfM_Metrics_2023_Consol_Source[[#This Row],[OP specialist in RSH analysis]] &gt; 0 )</f>
        <v>0</v>
      </c>
      <c r="CQ109" s="10">
        <f xml:space="preserve"> -- ( VfM_Metrics_2023_Consol_Source[[#This Row],[% SH and OP]] &gt; 0.3 )</f>
        <v>0</v>
      </c>
      <c r="CR109" s="104" t="s">
        <v>143</v>
      </c>
      <c r="CS109" s="124" t="s">
        <v>144</v>
      </c>
      <c r="CT109" s="105"/>
      <c r="CU10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109" s="85">
        <v>0</v>
      </c>
      <c r="CW109" s="85">
        <v>0</v>
      </c>
      <c r="CX109" s="85">
        <v>0</v>
      </c>
      <c r="CY109" s="85">
        <v>0</v>
      </c>
      <c r="CZ109" s="85">
        <v>0</v>
      </c>
      <c r="DA109" s="85">
        <v>0</v>
      </c>
      <c r="DB109" s="85">
        <v>0</v>
      </c>
      <c r="DC109" s="85">
        <v>0</v>
      </c>
      <c r="DD109" s="85">
        <v>1</v>
      </c>
      <c r="DE109" s="13">
        <v>0.94459121441814442</v>
      </c>
    </row>
    <row r="110" spans="1:109" x14ac:dyDescent="0.25">
      <c r="A110" s="4" t="s" vm="258">
        <v>344</v>
      </c>
      <c r="B110" s="2" t="s" vm="100">
        <v>345</v>
      </c>
      <c r="C110" s="72" vm="429">
        <v>45016</v>
      </c>
      <c r="D110" s="7">
        <f>IFERROR( VfM_Metrics_2023_Consol_Source[[#This Row],[Reinvestment Spend]] / VfM_Metrics_2023_Consol_Source[[#This Row],[Net Book Value of Housing Properties]], "n/a" )</f>
        <v>6.8243380423946315E-2</v>
      </c>
      <c r="E11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119998</v>
      </c>
      <c r="F110" s="83" vm="8071">
        <v>83752</v>
      </c>
      <c r="G110" s="83" vm="8119">
        <v>13710</v>
      </c>
      <c r="H110" s="83" vm="8114">
        <v>20722</v>
      </c>
      <c r="I110" s="83" vm="1984">
        <v>1814</v>
      </c>
      <c r="J110" s="83" vm="1985">
        <v>0</v>
      </c>
      <c r="K110" s="5">
        <f xml:space="preserve"> SUM( VfM_Metrics_2023_Consol_Source[[#This Row],[Tangible fixed assets: Housing properties at cost (Current period)]],VfM_Metrics_2023_Consol_Source[[#This Row],[Tangible fixed assets Housing properties at valuation (Current period)]] )</f>
        <v>1758383</v>
      </c>
      <c r="L110" s="84" vm="1606">
        <v>1758383</v>
      </c>
      <c r="M110" s="83">
        <v>0</v>
      </c>
      <c r="N110" s="7">
        <f xml:space="preserve"> IFERROR( VfM_Metrics_2023_Consol_Source[[#This Row],[Total social units developed or newly built units acquired in-year]] / VfM_Metrics_2023_Consol_Source[[#This Row],[Social housing units owned (period end)]], "n/a" )</f>
        <v>2.0884126780443987E-2</v>
      </c>
      <c r="O110" s="5">
        <f xml:space="preserve"> SUM( VfM_Metrics_2023_Consol_Source[[#This Row],[Total social units developed or newly built units acquired in-year (owned)]], VfM_Metrics_2023_Consol_Source[[#This Row],[Total social leasehold units developed or newly built units acquired in-year (owned)]] )</f>
        <v>651</v>
      </c>
      <c r="P110" s="84" vm="7654">
        <v>651</v>
      </c>
      <c r="Q110" s="83">
        <v>0</v>
      </c>
      <c r="R110" s="5">
        <f xml:space="preserve"> SUM( VfM_Metrics_2023_Consol_Source[[#This Row],[Total social housing units owned (Period end)]], VfM_Metrics_2023_Consol_Source[[#This Row],[Total social leasehold units owned (Period end)]] )</f>
        <v>31172</v>
      </c>
      <c r="S110" s="84" vm="1982">
        <v>31172</v>
      </c>
      <c r="T110" s="83" vm="1987">
        <v>0</v>
      </c>
      <c r="U110" s="86">
        <f xml:space="preserve"> IFERROR( VfM_Metrics_2023_Consol_Source[[#This Row],[Total non-social housing units developed or newly built units acquired (owned)]] / VfM_Metrics_2023_Consol_Source[[#This Row],[Total social and non-social housing units owned (Period end)]], "n/a" )</f>
        <v>6.6615911686334218E-4</v>
      </c>
      <c r="V11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21</v>
      </c>
      <c r="W110" s="83">
        <v>0</v>
      </c>
      <c r="X110" s="83">
        <v>0</v>
      </c>
      <c r="Y110" s="83" vm="1988">
        <v>21</v>
      </c>
      <c r="Z11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31524</v>
      </c>
      <c r="AA110" s="84" vm="1982">
        <v>31172</v>
      </c>
      <c r="AB110" s="83" vm="1987">
        <v>0</v>
      </c>
      <c r="AC110" s="83" vm="1989">
        <v>352</v>
      </c>
      <c r="AD110" s="83" vm="1624">
        <v>0</v>
      </c>
      <c r="AE110" s="7">
        <f xml:space="preserve"> IFERROR( VfM_Metrics_2023_Consol_Source[[#This Row],[Total Net Debt]] / VfM_Metrics_2023_Consol_Source[[#This Row],[Net Book Value of Housing Properties2]], "n/a" )</f>
        <v>0.30165726124513259</v>
      </c>
      <c r="AF11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530429</v>
      </c>
      <c r="AG110" s="84" vm="1990">
        <v>12636</v>
      </c>
      <c r="AH110" s="83" vm="8082">
        <v>615453</v>
      </c>
      <c r="AI110" s="83" vm="1991">
        <v>101053</v>
      </c>
      <c r="AJ110" s="83" vm="1675">
        <v>0</v>
      </c>
      <c r="AK110" s="83" vm="1992">
        <v>3393</v>
      </c>
      <c r="AL110" s="5">
        <f xml:space="preserve"> SUM( VfM_Metrics_2023_Consol_Source[[#This Row],[Tangible fixed assets: Housing properties at cost (Current period)2]], VfM_Metrics_2023_Consol_Source[[#This Row],[Tangible fixed assets Housing properties at valuation (Current period)2]] )</f>
        <v>1758383</v>
      </c>
      <c r="AM110" s="84" vm="1986">
        <v>1758383</v>
      </c>
      <c r="AN110" s="83">
        <v>0</v>
      </c>
      <c r="AO110" s="87">
        <f xml:space="preserve"> IFERROR( VfM_Metrics_2023_Consol_Source[[#This Row],[EBITDA MRI]] / VfM_Metrics_2023_Consol_Source[[#This Row],[Total interest]], "n/a" )</f>
        <v>2.375151004868763</v>
      </c>
      <c r="AP11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64882</v>
      </c>
      <c r="AQ110" s="84" vm="1993">
        <v>63307</v>
      </c>
      <c r="AR110" s="84" vm="1994">
        <v>4014</v>
      </c>
      <c r="AS110" s="84">
        <v>0</v>
      </c>
      <c r="AT110" s="84" vm="8177">
        <v>8036</v>
      </c>
      <c r="AU110" s="84" vm="1995">
        <v>0</v>
      </c>
      <c r="AV110" s="84" vm="2150">
        <v>2606</v>
      </c>
      <c r="AW110" s="84" vm="1996">
        <v>20722</v>
      </c>
      <c r="AX110" s="84" vm="1997">
        <v>31741</v>
      </c>
      <c r="AY110" s="3">
        <f xml:space="preserve"> - SUM( VfM_Metrics_2023_Consol_Source[[#This Row],[Interest capitalised]], VfM_Metrics_2023_Consol_Source[[#This Row],[Interest payable and financing costs]] )</f>
        <v>27317</v>
      </c>
      <c r="AZ110" s="84" vm="1998">
        <v>-1815</v>
      </c>
      <c r="BA110" s="83" vm="1999">
        <v>-25502</v>
      </c>
      <c r="BB110" s="8">
        <f xml:space="preserve"> IFERROR( ( VfM_Metrics_2023_Consol_Source[[#This Row],[Total Costs]] / VfM_Metrics_2023_Consol_Source[[#This Row],[Total units for costs]] ) * 1000, "n/a" )</f>
        <v>4069.6675098284222</v>
      </c>
      <c r="BC11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133538</v>
      </c>
      <c r="BD110" s="84" vm="2000">
        <v>31717</v>
      </c>
      <c r="BE110" s="83" vm="8111">
        <v>28956</v>
      </c>
      <c r="BF110" s="83" vm="8173">
        <v>31381</v>
      </c>
      <c r="BG110" s="83" vm="2001">
        <v>8606</v>
      </c>
      <c r="BH110" s="83" vm="8128">
        <v>8819</v>
      </c>
      <c r="BI110" s="83" vm="2002">
        <v>794</v>
      </c>
      <c r="BJ110" s="83" vm="1996">
        <v>20722</v>
      </c>
      <c r="BK110" s="83" vm="7652">
        <v>0</v>
      </c>
      <c r="BL110" s="83" vm="2003">
        <v>60</v>
      </c>
      <c r="BM110" s="83">
        <v>0</v>
      </c>
      <c r="BN110" s="83" vm="2004">
        <v>2483</v>
      </c>
      <c r="BO110" s="83">
        <v>0</v>
      </c>
      <c r="BP110" s="5" vm="1983">
        <f xml:space="preserve"> VfM_Metrics_2023_Consol_Source[[#This Row],[Total social housing units owned and/or managed at period end]]</f>
        <v>32813</v>
      </c>
      <c r="BQ110" s="84" vm="1983">
        <v>32813</v>
      </c>
      <c r="BR110" s="7">
        <f xml:space="preserve"> IFERROR( VfM_Metrics_2023_Consol_Source[[#This Row],[SHL operating surplus / (deficit)]] / VfM_Metrics_2023_Consol_Source[[#This Row],[Turnover from social housing lettings]], "n/a" )</f>
        <v>0.28180155083882502</v>
      </c>
      <c r="BS110" s="5" vm="8095">
        <f xml:space="preserve"> VfM_Metrics_2023_Consol_Source[[#This Row],[Operating surplus/(deficit) (social housing lettings)]]</f>
        <v>54222</v>
      </c>
      <c r="BT110" s="84" vm="8095">
        <v>54222</v>
      </c>
      <c r="BU110" s="5" vm="2005">
        <f xml:space="preserve"> VfM_Metrics_2023_Consol_Source[[#This Row],[Turnover from social housing lettings]]</f>
        <v>192412</v>
      </c>
      <c r="BV110" s="84" vm="2005">
        <v>192412</v>
      </c>
      <c r="BW110" s="7">
        <f xml:space="preserve"> IFERROR( VfM_Metrics_2023_Consol_Source[[#This Row],[Net operating surplus]] / VfM_Metrics_2023_Consol_Source[[#This Row],[Overall turnover]], "n/a" )</f>
        <v>0.26814002812863197</v>
      </c>
      <c r="BX11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59293</v>
      </c>
      <c r="BY110" s="84" vm="2023">
        <v>63307</v>
      </c>
      <c r="BZ110" s="83" vm="8127">
        <v>4014</v>
      </c>
      <c r="CA110" s="83">
        <v>0</v>
      </c>
      <c r="CB110" s="5" vm="8026">
        <f xml:space="preserve"> VfM_Metrics_2023_Consol_Source[[#This Row],[Turnover (overall)]]</f>
        <v>221127</v>
      </c>
      <c r="CC110" s="84" vm="8026">
        <v>221127</v>
      </c>
      <c r="CD110" s="7">
        <f xml:space="preserve"> IFERROR( VfM_Metrics_2023_Consol_Source[[#This Row],[Operating surplus including from JVs]] / VfM_Metrics_2023_Consol_Source[[#This Row],[Net assets]], "n/a" )</f>
        <v>3.3220947348259242E-2</v>
      </c>
      <c r="CE110" s="5">
        <f xml:space="preserve"> SUM( VfM_Metrics_2023_Consol_Source[[#This Row],[Operating surplus/(deficit) (overall)3]], VfM_Metrics_2023_Consol_Source[[#This Row],[Share of operating surplus/(deficit) in joint ventures or associates]] )</f>
        <v>63307</v>
      </c>
      <c r="CF110" s="84" vm="1993">
        <v>63307</v>
      </c>
      <c r="CG110" s="83">
        <v>0</v>
      </c>
      <c r="CH110" s="5" vm="2006">
        <f xml:space="preserve"> VfM_Metrics_2023_Consol_Source[[#This Row],[Total assets less current liabilities]]</f>
        <v>1905635</v>
      </c>
      <c r="CI110" s="84" vm="2006">
        <v>1905635</v>
      </c>
      <c r="CJ110" s="71" vm="1982">
        <f xml:space="preserve"> VfM_Metrics_2023_Consol_Source[[#This Row],[Total social housing units owned (Period end)]]</f>
        <v>31172</v>
      </c>
      <c r="CK110" s="103">
        <v>3.2362564384981696E-2</v>
      </c>
      <c r="CL110" s="6">
        <f xml:space="preserve"> -- ( VfM_Metrics_2023_Consol_Source[[#This Row],[% Supported housing (excl. HOP)]] &gt; 0.3 )</f>
        <v>0</v>
      </c>
      <c r="CM110" s="103">
        <v>8.8924163400174935E-2</v>
      </c>
      <c r="CN110" s="6">
        <f xml:space="preserve"> -- ( VfM_Metrics_2023_Consol_Source[[#This Row],[% Housing for older people]] &gt; 0.3 )</f>
        <v>0</v>
      </c>
      <c r="CO110" s="103">
        <f xml:space="preserve"> VfM_Metrics_2023_Consol_Source[[#This Row],[% Supported housing (excl. HOP)]] + VfM_Metrics_2023_Consol_Source[[#This Row],[% Housing for older people]]</f>
        <v>0.12128672778515663</v>
      </c>
      <c r="CP110" s="6">
        <f xml:space="preserve"> -- ( VfM_Metrics_2023_Consol_Source[[#This Row],[SH specialist in RSH analysis]] + VfM_Metrics_2023_Consol_Source[[#This Row],[OP specialist in RSH analysis]] &gt; 0 )</f>
        <v>0</v>
      </c>
      <c r="CQ110" s="10">
        <f xml:space="preserve"> -- ( VfM_Metrics_2023_Consol_Source[[#This Row],[% SH and OP]] &gt; 0.3 )</f>
        <v>0</v>
      </c>
      <c r="CR110" s="104" t="s">
        <v>143</v>
      </c>
      <c r="CS110" s="124" t="s">
        <v>144</v>
      </c>
      <c r="CT110" s="105"/>
      <c r="CU11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10" s="85">
        <v>0</v>
      </c>
      <c r="CW110" s="85">
        <v>3.2345710958726873E-3</v>
      </c>
      <c r="CX110" s="85">
        <v>6.4691421917453741E-4</v>
      </c>
      <c r="CY110" s="85">
        <v>0.10007762970630095</v>
      </c>
      <c r="CZ110" s="85">
        <v>0.89604088497865186</v>
      </c>
      <c r="DA110" s="85">
        <v>0</v>
      </c>
      <c r="DB110" s="85">
        <v>0</v>
      </c>
      <c r="DC110" s="85">
        <v>0</v>
      </c>
      <c r="DD110" s="85">
        <v>0</v>
      </c>
      <c r="DE110" s="13">
        <v>0.96259339362563145</v>
      </c>
    </row>
    <row r="111" spans="1:109" x14ac:dyDescent="0.25">
      <c r="A111" s="4" t="s" vm="300">
        <v>346</v>
      </c>
      <c r="B111" s="2" t="s" vm="101">
        <v>347</v>
      </c>
      <c r="C111" s="72" vm="511">
        <v>45016</v>
      </c>
      <c r="D111" s="7">
        <f>IFERROR( VfM_Metrics_2023_Consol_Source[[#This Row],[Reinvestment Spend]] / VfM_Metrics_2023_Consol_Source[[#This Row],[Net Book Value of Housing Properties]], "n/a" )</f>
        <v>5.4514056998885972E-2</v>
      </c>
      <c r="E11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92779</v>
      </c>
      <c r="F111" s="83" vm="3353">
        <v>79603</v>
      </c>
      <c r="G111" s="83" vm="3354">
        <v>0</v>
      </c>
      <c r="H111" s="83" vm="3355">
        <v>9788</v>
      </c>
      <c r="I111" s="83" vm="3356">
        <v>3388</v>
      </c>
      <c r="J111" s="83" vm="3346">
        <v>0</v>
      </c>
      <c r="K111" s="5">
        <f xml:space="preserve"> SUM( VfM_Metrics_2023_Consol_Source[[#This Row],[Tangible fixed assets: Housing properties at cost (Current period)]],VfM_Metrics_2023_Consol_Source[[#This Row],[Tangible fixed assets Housing properties at valuation (Current period)]] )</f>
        <v>1701928</v>
      </c>
      <c r="L111" s="84" vm="3424">
        <v>1701928</v>
      </c>
      <c r="M111" s="83" vm="3358">
        <v>0</v>
      </c>
      <c r="N111" s="7">
        <f xml:space="preserve"> IFERROR( VfM_Metrics_2023_Consol_Source[[#This Row],[Total social units developed or newly built units acquired in-year]] / VfM_Metrics_2023_Consol_Source[[#This Row],[Social housing units owned (period end)]], "n/a" )</f>
        <v>2.2297749626654307E-2</v>
      </c>
      <c r="O111" s="5">
        <f xml:space="preserve"> SUM( VfM_Metrics_2023_Consol_Source[[#This Row],[Total social units developed or newly built units acquired in-year (owned)]], VfM_Metrics_2023_Consol_Source[[#This Row],[Total social leasehold units developed or newly built units acquired in-year (owned)]] )</f>
        <v>433</v>
      </c>
      <c r="P111" s="84" vm="7695">
        <v>433</v>
      </c>
      <c r="Q111" s="83" vm="3359">
        <v>0</v>
      </c>
      <c r="R111" s="5">
        <f xml:space="preserve"> SUM( VfM_Metrics_2023_Consol_Source[[#This Row],[Total social housing units owned (Period end)]], VfM_Metrics_2023_Consol_Source[[#This Row],[Total social leasehold units owned (Period end)]] )</f>
        <v>19419</v>
      </c>
      <c r="S111" s="84" vm="3351">
        <v>18326</v>
      </c>
      <c r="T111" s="83" vm="7554">
        <v>1093</v>
      </c>
      <c r="U111" s="86">
        <f xml:space="preserve"> IFERROR( VfM_Metrics_2023_Consol_Source[[#This Row],[Total non-social housing units developed or newly built units acquired (owned)]] / VfM_Metrics_2023_Consol_Source[[#This Row],[Total social and non-social housing units owned (Period end)]], "n/a" )</f>
        <v>1.3355249640435586E-3</v>
      </c>
      <c r="V11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26</v>
      </c>
      <c r="W111" s="83" vm="3361">
        <v>0</v>
      </c>
      <c r="X111" s="83" vm="7700">
        <v>0</v>
      </c>
      <c r="Y111" s="83" vm="3362">
        <v>26</v>
      </c>
      <c r="Z11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19468</v>
      </c>
      <c r="AA111" s="84" vm="3351">
        <v>18326</v>
      </c>
      <c r="AB111" s="83" vm="3360">
        <v>1093</v>
      </c>
      <c r="AC111" s="83" vm="3363">
        <v>49</v>
      </c>
      <c r="AD111" s="83" vm="3364">
        <v>0</v>
      </c>
      <c r="AE111" s="7">
        <f xml:space="preserve"> IFERROR( VfM_Metrics_2023_Consol_Source[[#This Row],[Total Net Debt]] / VfM_Metrics_2023_Consol_Source[[#This Row],[Net Book Value of Housing Properties2]], "n/a" )</f>
        <v>0.30766283885099721</v>
      </c>
      <c r="AF11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523620</v>
      </c>
      <c r="AG111" s="84" vm="3365">
        <v>8684</v>
      </c>
      <c r="AH111" s="83" vm="3366">
        <v>546958</v>
      </c>
      <c r="AI111" s="83" vm="3367">
        <v>32061</v>
      </c>
      <c r="AJ111" s="83" vm="7592">
        <v>0</v>
      </c>
      <c r="AK111" s="83" vm="4946">
        <v>39</v>
      </c>
      <c r="AL111" s="5">
        <f xml:space="preserve"> SUM( VfM_Metrics_2023_Consol_Source[[#This Row],[Tangible fixed assets: Housing properties at cost (Current period)2]], VfM_Metrics_2023_Consol_Source[[#This Row],[Tangible fixed assets Housing properties at valuation (Current period)2]] )</f>
        <v>1701928</v>
      </c>
      <c r="AM111" s="84" vm="3357">
        <v>1701928</v>
      </c>
      <c r="AN111" s="83" vm="3358">
        <v>0</v>
      </c>
      <c r="AO111" s="87">
        <f xml:space="preserve"> IFERROR( VfM_Metrics_2023_Consol_Source[[#This Row],[EBITDA MRI]] / VfM_Metrics_2023_Consol_Source[[#This Row],[Total interest]], "n/a" )</f>
        <v>2.0294516931895314</v>
      </c>
      <c r="AP11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53817</v>
      </c>
      <c r="AQ111" s="84" vm="7552">
        <v>61655</v>
      </c>
      <c r="AR111" s="84" vm="3369">
        <v>15813</v>
      </c>
      <c r="AS111" s="84" vm="3370">
        <v>3</v>
      </c>
      <c r="AT111" s="84" vm="7454">
        <v>5292</v>
      </c>
      <c r="AU111" s="84" vm="3371">
        <v>0</v>
      </c>
      <c r="AV111" s="84" vm="3372">
        <v>984</v>
      </c>
      <c r="AW111" s="84" vm="3373">
        <v>9788</v>
      </c>
      <c r="AX111" s="84" vm="3374">
        <v>22074</v>
      </c>
      <c r="AY111" s="3">
        <f xml:space="preserve"> - SUM( VfM_Metrics_2023_Consol_Source[[#This Row],[Interest capitalised]], VfM_Metrics_2023_Consol_Source[[#This Row],[Interest payable and financing costs]] )</f>
        <v>26518</v>
      </c>
      <c r="AZ111" s="84" vm="3375">
        <v>-3388</v>
      </c>
      <c r="BA111" s="83" vm="3376">
        <v>-23130</v>
      </c>
      <c r="BB111" s="8">
        <f xml:space="preserve"> IFERROR( ( VfM_Metrics_2023_Consol_Source[[#This Row],[Total Costs]] / VfM_Metrics_2023_Consol_Source[[#This Row],[Total units for costs]] ) * 1000, "n/a" )</f>
        <v>3835.0327358591821</v>
      </c>
      <c r="BC11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71462</v>
      </c>
      <c r="BD111" s="84" vm="3377">
        <v>23437</v>
      </c>
      <c r="BE111" s="83" vm="2921">
        <v>13692</v>
      </c>
      <c r="BF111" s="83" vm="7738">
        <v>13138</v>
      </c>
      <c r="BG111" s="83" vm="3378">
        <v>5065</v>
      </c>
      <c r="BH111" s="83" vm="3379">
        <v>3563</v>
      </c>
      <c r="BI111" s="83" vm="3380">
        <v>0</v>
      </c>
      <c r="BJ111" s="83" vm="3912">
        <v>9788</v>
      </c>
      <c r="BK111" s="83" vm="3381">
        <v>0</v>
      </c>
      <c r="BL111" s="83" vm="3382">
        <v>2384</v>
      </c>
      <c r="BM111" s="83" vm="7694">
        <v>1036</v>
      </c>
      <c r="BN111" s="83" vm="3383">
        <v>-641</v>
      </c>
      <c r="BO111" s="83" vm="3384">
        <v>0</v>
      </c>
      <c r="BP111" s="5" vm="3352">
        <f xml:space="preserve"> VfM_Metrics_2023_Consol_Source[[#This Row],[Total social housing units owned and/or managed at period end]]</f>
        <v>18634</v>
      </c>
      <c r="BQ111" s="84" vm="3352">
        <v>18634</v>
      </c>
      <c r="BR111" s="7">
        <f xml:space="preserve"> IFERROR( VfM_Metrics_2023_Consol_Source[[#This Row],[SHL operating surplus / (deficit)]] / VfM_Metrics_2023_Consol_Source[[#This Row],[Turnover from social housing lettings]], "n/a" )</f>
        <v>0.34568782938481996</v>
      </c>
      <c r="BS111" s="5" vm="3385">
        <f xml:space="preserve"> VfM_Metrics_2023_Consol_Source[[#This Row],[Operating surplus/(deficit) (social housing lettings)]]</f>
        <v>42111</v>
      </c>
      <c r="BT111" s="84" vm="3385">
        <v>42111</v>
      </c>
      <c r="BU111" s="5" vm="3386">
        <f xml:space="preserve"> VfM_Metrics_2023_Consol_Source[[#This Row],[Turnover from social housing lettings]]</f>
        <v>121818</v>
      </c>
      <c r="BV111" s="84" vm="3386">
        <v>121818</v>
      </c>
      <c r="BW111" s="7">
        <f xml:space="preserve"> IFERROR( VfM_Metrics_2023_Consol_Source[[#This Row],[Net operating surplus]] / VfM_Metrics_2023_Consol_Source[[#This Row],[Overall turnover]], "n/a" )</f>
        <v>0.28692772818888568</v>
      </c>
      <c r="BX11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45839</v>
      </c>
      <c r="BY111" s="84" vm="3368">
        <v>61655</v>
      </c>
      <c r="BZ111" s="83" vm="3369">
        <v>15813</v>
      </c>
      <c r="CA111" s="83" vm="3370">
        <v>3</v>
      </c>
      <c r="CB111" s="5" vm="3387">
        <f xml:space="preserve"> VfM_Metrics_2023_Consol_Source[[#This Row],[Turnover (overall)]]</f>
        <v>159758</v>
      </c>
      <c r="CC111" s="84" vm="3387">
        <v>159758</v>
      </c>
      <c r="CD111" s="7">
        <f xml:space="preserve"> IFERROR( VfM_Metrics_2023_Consol_Source[[#This Row],[Operating surplus including from JVs]] / VfM_Metrics_2023_Consol_Source[[#This Row],[Net assets]], "n/a" )</f>
        <v>3.509895508665864E-2</v>
      </c>
      <c r="CE111" s="5">
        <f xml:space="preserve"> SUM( VfM_Metrics_2023_Consol_Source[[#This Row],[Operating surplus/(deficit) (overall)3]], VfM_Metrics_2023_Consol_Source[[#This Row],[Share of operating surplus/(deficit) in joint ventures or associates]] )</f>
        <v>61655</v>
      </c>
      <c r="CF111" s="84" vm="3368">
        <v>61655</v>
      </c>
      <c r="CG111" s="83" vm="3389">
        <v>0</v>
      </c>
      <c r="CH111" s="5" vm="3388">
        <f xml:space="preserve"> VfM_Metrics_2023_Consol_Source[[#This Row],[Total assets less current liabilities]]</f>
        <v>1756605</v>
      </c>
      <c r="CI111" s="84" vm="3388">
        <v>1756605</v>
      </c>
      <c r="CJ111" s="71" vm="3351">
        <f xml:space="preserve"> VfM_Metrics_2023_Consol_Source[[#This Row],[Total social housing units owned (Period end)]]</f>
        <v>18326</v>
      </c>
      <c r="CK111" s="103">
        <v>1.1748633879781421E-2</v>
      </c>
      <c r="CL111" s="6">
        <f xml:space="preserve"> -- ( VfM_Metrics_2023_Consol_Source[[#This Row],[% Supported housing (excl. HOP)]] &gt; 0.3 )</f>
        <v>0</v>
      </c>
      <c r="CM111" s="103">
        <v>8.0327868852459017E-2</v>
      </c>
      <c r="CN111" s="6">
        <f xml:space="preserve"> -- ( VfM_Metrics_2023_Consol_Source[[#This Row],[% Housing for older people]] &gt; 0.3 )</f>
        <v>0</v>
      </c>
      <c r="CO111" s="103">
        <f xml:space="preserve"> VfM_Metrics_2023_Consol_Source[[#This Row],[% Supported housing (excl. HOP)]] + VfM_Metrics_2023_Consol_Source[[#This Row],[% Housing for older people]]</f>
        <v>9.2076502732240439E-2</v>
      </c>
      <c r="CP111" s="6">
        <f xml:space="preserve"> -- ( VfM_Metrics_2023_Consol_Source[[#This Row],[SH specialist in RSH analysis]] + VfM_Metrics_2023_Consol_Source[[#This Row],[OP specialist in RSH analysis]] &gt; 0 )</f>
        <v>0</v>
      </c>
      <c r="CQ111" s="10">
        <f xml:space="preserve"> -- ( VfM_Metrics_2023_Consol_Source[[#This Row],[% SH and OP]] &gt; 0.3 )</f>
        <v>0</v>
      </c>
      <c r="CR111" s="104" t="s">
        <v>143</v>
      </c>
      <c r="CS111" s="124" t="s">
        <v>144</v>
      </c>
      <c r="CT111" s="105"/>
      <c r="CU11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11" s="85">
        <v>0.20618444055944055</v>
      </c>
      <c r="CW111" s="85">
        <v>0.56293706293706292</v>
      </c>
      <c r="CX111" s="85">
        <v>3.8243006993006995E-3</v>
      </c>
      <c r="CY111" s="85">
        <v>0</v>
      </c>
      <c r="CZ111" s="85">
        <v>0</v>
      </c>
      <c r="DA111" s="85">
        <v>0.22705419580419581</v>
      </c>
      <c r="DB111" s="85">
        <v>0</v>
      </c>
      <c r="DC111" s="85">
        <v>0</v>
      </c>
      <c r="DD111" s="85">
        <v>0</v>
      </c>
      <c r="DE111" s="13">
        <v>1.054530339796665</v>
      </c>
    </row>
    <row r="112" spans="1:109" x14ac:dyDescent="0.25">
      <c r="A112" s="4" t="s" vm="369">
        <v>348</v>
      </c>
      <c r="B112" s="2" t="s" vm="102">
        <v>349</v>
      </c>
      <c r="C112" s="72" vm="480">
        <v>45016</v>
      </c>
      <c r="D112" s="7">
        <f>IFERROR( VfM_Metrics_2023_Consol_Source[[#This Row],[Reinvestment Spend]] / VfM_Metrics_2023_Consol_Source[[#This Row],[Net Book Value of Housing Properties]], "n/a" )</f>
        <v>5.2812356428712071E-2</v>
      </c>
      <c r="E11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21726</v>
      </c>
      <c r="F112" s="83" vm="7008">
        <v>14798</v>
      </c>
      <c r="G112" s="83" vm="5763">
        <v>0</v>
      </c>
      <c r="H112" s="83" vm="5764">
        <v>6810</v>
      </c>
      <c r="I112" s="83" vm="5765">
        <v>118</v>
      </c>
      <c r="J112" s="83" vm="5766">
        <v>0</v>
      </c>
      <c r="K112" s="5">
        <f xml:space="preserve"> SUM( VfM_Metrics_2023_Consol_Source[[#This Row],[Tangible fixed assets: Housing properties at cost (Current period)]],VfM_Metrics_2023_Consol_Source[[#This Row],[Tangible fixed assets Housing properties at valuation (Current period)]] )</f>
        <v>411381</v>
      </c>
      <c r="L112" s="84" vm="5767">
        <v>411381</v>
      </c>
      <c r="M112" s="83" vm="5768">
        <v>0</v>
      </c>
      <c r="N112" s="7">
        <f xml:space="preserve"> IFERROR( VfM_Metrics_2023_Consol_Source[[#This Row],[Total social units developed or newly built units acquired in-year]] / VfM_Metrics_2023_Consol_Source[[#This Row],[Social housing units owned (period end)]], "n/a" )</f>
        <v>2.000919963201472E-2</v>
      </c>
      <c r="O112" s="5">
        <f xml:space="preserve"> SUM( VfM_Metrics_2023_Consol_Source[[#This Row],[Total social units developed or newly built units acquired in-year (owned)]], VfM_Metrics_2023_Consol_Source[[#This Row],[Total social leasehold units developed or newly built units acquired in-year (owned)]] )</f>
        <v>174</v>
      </c>
      <c r="P112" s="84" vm="5769">
        <v>170</v>
      </c>
      <c r="Q112" s="83" vm="5770">
        <v>4</v>
      </c>
      <c r="R112" s="5">
        <f xml:space="preserve"> SUM( VfM_Metrics_2023_Consol_Source[[#This Row],[Total social housing units owned (Period end)]], VfM_Metrics_2023_Consol_Source[[#This Row],[Total social leasehold units owned (Period end)]] )</f>
        <v>8696</v>
      </c>
      <c r="S112" s="84" vm="5761">
        <v>8558</v>
      </c>
      <c r="T112" s="83" vm="5771">
        <v>138</v>
      </c>
      <c r="U112" s="86">
        <f xml:space="preserve"> IFERROR( VfM_Metrics_2023_Consol_Source[[#This Row],[Total non-social housing units developed or newly built units acquired (owned)]] / VfM_Metrics_2023_Consol_Source[[#This Row],[Total social and non-social housing units owned (Period end)]], "n/a" )</f>
        <v>7.9051383399209485E-4</v>
      </c>
      <c r="V11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7</v>
      </c>
      <c r="W112" s="83" vm="5772">
        <v>7</v>
      </c>
      <c r="X112" s="83" vm="5773">
        <v>0</v>
      </c>
      <c r="Y112" s="83" vm="6907">
        <v>0</v>
      </c>
      <c r="Z11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8855</v>
      </c>
      <c r="AA112" s="84" vm="5761">
        <v>8558</v>
      </c>
      <c r="AB112" s="83" vm="5771">
        <v>138</v>
      </c>
      <c r="AC112" s="83" vm="5774">
        <v>159</v>
      </c>
      <c r="AD112" s="83" vm="5775">
        <v>0</v>
      </c>
      <c r="AE112" s="7">
        <f xml:space="preserve"> IFERROR( VfM_Metrics_2023_Consol_Source[[#This Row],[Total Net Debt]] / VfM_Metrics_2023_Consol_Source[[#This Row],[Net Book Value of Housing Properties2]], "n/a" )</f>
        <v>0.44179240169088996</v>
      </c>
      <c r="AF11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181745</v>
      </c>
      <c r="AG112" s="84" vm="5776">
        <v>1956</v>
      </c>
      <c r="AH112" s="83" vm="5777">
        <v>183520</v>
      </c>
      <c r="AI112" s="83" vm="5778">
        <v>3731</v>
      </c>
      <c r="AJ112" s="83" vm="5779">
        <v>0</v>
      </c>
      <c r="AK112" s="83" vm="5780">
        <v>0</v>
      </c>
      <c r="AL112" s="5">
        <f xml:space="preserve"> SUM( VfM_Metrics_2023_Consol_Source[[#This Row],[Tangible fixed assets: Housing properties at cost (Current period)2]], VfM_Metrics_2023_Consol_Source[[#This Row],[Tangible fixed assets Housing properties at valuation (Current period)2]] )</f>
        <v>411381</v>
      </c>
      <c r="AM112" s="84" vm="5767">
        <v>411381</v>
      </c>
      <c r="AN112" s="83" vm="5768">
        <v>0</v>
      </c>
      <c r="AO112" s="87">
        <f xml:space="preserve"> IFERROR( VfM_Metrics_2023_Consol_Source[[#This Row],[EBITDA MRI]] / VfM_Metrics_2023_Consol_Source[[#This Row],[Total interest]], "n/a" )</f>
        <v>1.1724803707040803</v>
      </c>
      <c r="AP11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9109</v>
      </c>
      <c r="AQ112" s="84" vm="7246">
        <v>9603</v>
      </c>
      <c r="AR112" s="84" vm="5782">
        <v>1379</v>
      </c>
      <c r="AS112" s="84" vm="5783">
        <v>0</v>
      </c>
      <c r="AT112" s="84" vm="5784">
        <v>2223</v>
      </c>
      <c r="AU112" s="84" vm="5785">
        <v>0</v>
      </c>
      <c r="AV112" s="84" vm="5786">
        <v>699</v>
      </c>
      <c r="AW112" s="84" vm="5787">
        <v>6810</v>
      </c>
      <c r="AX112" s="84" vm="5788">
        <v>9219</v>
      </c>
      <c r="AY112" s="3">
        <f xml:space="preserve"> - SUM( VfM_Metrics_2023_Consol_Source[[#This Row],[Interest capitalised]], VfM_Metrics_2023_Consol_Source[[#This Row],[Interest payable and financing costs]] )</f>
        <v>7769</v>
      </c>
      <c r="AZ112" s="84" vm="5789">
        <v>-118</v>
      </c>
      <c r="BA112" s="83" vm="5790">
        <v>-7651</v>
      </c>
      <c r="BB112" s="8">
        <f xml:space="preserve"> IFERROR( ( VfM_Metrics_2023_Consol_Source[[#This Row],[Total Costs]] / VfM_Metrics_2023_Consol_Source[[#This Row],[Total units for costs]] ) * 1000, "n/a" )</f>
        <v>4570.7117852975498</v>
      </c>
      <c r="BC11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39171</v>
      </c>
      <c r="BD112" s="84" vm="5791">
        <v>7175</v>
      </c>
      <c r="BE112" s="83" vm="5792">
        <v>7068</v>
      </c>
      <c r="BF112" s="83" vm="5793">
        <v>14539</v>
      </c>
      <c r="BG112" s="83" vm="5794">
        <v>3019</v>
      </c>
      <c r="BH112" s="83" vm="7030">
        <v>0</v>
      </c>
      <c r="BI112" s="83" vm="7026">
        <v>314</v>
      </c>
      <c r="BJ112" s="83" vm="5787">
        <v>6810</v>
      </c>
      <c r="BK112" s="83" vm="5795">
        <v>0</v>
      </c>
      <c r="BL112" s="83" vm="7144">
        <v>150</v>
      </c>
      <c r="BM112" s="83" vm="7211">
        <v>0</v>
      </c>
      <c r="BN112" s="83" vm="5796">
        <v>30</v>
      </c>
      <c r="BO112" s="83" vm="5797">
        <v>66</v>
      </c>
      <c r="BP112" s="5" vm="5762">
        <f xml:space="preserve"> VfM_Metrics_2023_Consol_Source[[#This Row],[Total social housing units owned and/or managed at period end]]</f>
        <v>8570</v>
      </c>
      <c r="BQ112" s="84" vm="5762">
        <v>8570</v>
      </c>
      <c r="BR112" s="7">
        <f xml:space="preserve"> IFERROR( VfM_Metrics_2023_Consol_Source[[#This Row],[SHL operating surplus / (deficit)]] / VfM_Metrics_2023_Consol_Source[[#This Row],[Turnover from social housing lettings]], "n/a" )</f>
        <v>0.1338320153879034</v>
      </c>
      <c r="BS112" s="5" vm="5798">
        <f xml:space="preserve"> VfM_Metrics_2023_Consol_Source[[#This Row],[Operating surplus/(deficit) (social housing lettings)]]</f>
        <v>6262</v>
      </c>
      <c r="BT112" s="84" vm="5798">
        <v>6262</v>
      </c>
      <c r="BU112" s="5" vm="5799">
        <f xml:space="preserve"> VfM_Metrics_2023_Consol_Source[[#This Row],[Turnover from social housing lettings]]</f>
        <v>46790</v>
      </c>
      <c r="BV112" s="84" vm="5799">
        <v>46790</v>
      </c>
      <c r="BW112" s="7">
        <f xml:space="preserve"> IFERROR( VfM_Metrics_2023_Consol_Source[[#This Row],[Net operating surplus]] / VfM_Metrics_2023_Consol_Source[[#This Row],[Overall turnover]], "n/a" )</f>
        <v>0.15377423757970121</v>
      </c>
      <c r="BX11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8224</v>
      </c>
      <c r="BY112" s="84" vm="5781">
        <v>9603</v>
      </c>
      <c r="BZ112" s="83" vm="5782">
        <v>1379</v>
      </c>
      <c r="CA112" s="83" vm="5783">
        <v>0</v>
      </c>
      <c r="CB112" s="5" vm="5800">
        <f xml:space="preserve"> VfM_Metrics_2023_Consol_Source[[#This Row],[Turnover (overall)]]</f>
        <v>53481</v>
      </c>
      <c r="CC112" s="84" vm="5800">
        <v>53481</v>
      </c>
      <c r="CD112" s="7">
        <f xml:space="preserve"> IFERROR( VfM_Metrics_2023_Consol_Source[[#This Row],[Operating surplus including from JVs]] / VfM_Metrics_2023_Consol_Source[[#This Row],[Net assets]], "n/a" )</f>
        <v>2.2357307158622101E-2</v>
      </c>
      <c r="CE112" s="5">
        <f xml:space="preserve"> SUM( VfM_Metrics_2023_Consol_Source[[#This Row],[Operating surplus/(deficit) (overall)3]], VfM_Metrics_2023_Consol_Source[[#This Row],[Share of operating surplus/(deficit) in joint ventures or associates]] )</f>
        <v>9603</v>
      </c>
      <c r="CF112" s="84" vm="6944">
        <v>9603</v>
      </c>
      <c r="CG112" s="83" vm="5802">
        <v>0</v>
      </c>
      <c r="CH112" s="5" vm="5801">
        <f xml:space="preserve"> VfM_Metrics_2023_Consol_Source[[#This Row],[Total assets less current liabilities]]</f>
        <v>429524</v>
      </c>
      <c r="CI112" s="84" vm="5801">
        <v>429524</v>
      </c>
      <c r="CJ112" s="71" vm="5761">
        <f xml:space="preserve"> VfM_Metrics_2023_Consol_Source[[#This Row],[Total social housing units owned (Period end)]]</f>
        <v>8558</v>
      </c>
      <c r="CK112" s="103">
        <v>7.6070291307937257E-2</v>
      </c>
      <c r="CL112" s="6">
        <f xml:space="preserve"> -- ( VfM_Metrics_2023_Consol_Source[[#This Row],[% Supported housing (excl. HOP)]] &gt; 0.3 )</f>
        <v>0</v>
      </c>
      <c r="CM112" s="103">
        <v>7.2060384479301798E-2</v>
      </c>
      <c r="CN112" s="6">
        <f xml:space="preserve"> -- ( VfM_Metrics_2023_Consol_Source[[#This Row],[% Housing for older people]] &gt; 0.3 )</f>
        <v>0</v>
      </c>
      <c r="CO112" s="103">
        <f xml:space="preserve"> VfM_Metrics_2023_Consol_Source[[#This Row],[% Supported housing (excl. HOP)]] + VfM_Metrics_2023_Consol_Source[[#This Row],[% Housing for older people]]</f>
        <v>0.14813067578723904</v>
      </c>
      <c r="CP112" s="6">
        <f xml:space="preserve"> -- ( VfM_Metrics_2023_Consol_Source[[#This Row],[SH specialist in RSH analysis]] + VfM_Metrics_2023_Consol_Source[[#This Row],[OP specialist in RSH analysis]] &gt; 0 )</f>
        <v>0</v>
      </c>
      <c r="CQ112" s="10">
        <f xml:space="preserve"> -- ( VfM_Metrics_2023_Consol_Source[[#This Row],[% SH and OP]] &gt; 0.3 )</f>
        <v>0</v>
      </c>
      <c r="CR112" s="104" t="s">
        <v>143</v>
      </c>
      <c r="CS112" s="124" t="s">
        <v>144</v>
      </c>
      <c r="CT112" s="105"/>
      <c r="CU11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12" s="85">
        <v>0</v>
      </c>
      <c r="CW112" s="85">
        <v>0</v>
      </c>
      <c r="CX112" s="85">
        <v>0</v>
      </c>
      <c r="CY112" s="85">
        <v>0</v>
      </c>
      <c r="CZ112" s="85">
        <v>2.3369946249123628E-4</v>
      </c>
      <c r="DA112" s="85">
        <v>0</v>
      </c>
      <c r="DB112" s="85">
        <v>0</v>
      </c>
      <c r="DC112" s="85">
        <v>0.98130404300070107</v>
      </c>
      <c r="DD112" s="85">
        <v>1.8462257536807667E-2</v>
      </c>
      <c r="DE112" s="13">
        <v>0.96075596097799398</v>
      </c>
    </row>
    <row r="113" spans="1:109" x14ac:dyDescent="0.25">
      <c r="A113" s="4" t="s" vm="218">
        <v>350</v>
      </c>
      <c r="B113" s="2" t="s" vm="103">
        <v>351</v>
      </c>
      <c r="C113" s="72" vm="469">
        <v>45016</v>
      </c>
      <c r="D113" s="7">
        <f>IFERROR( VfM_Metrics_2023_Consol_Source[[#This Row],[Reinvestment Spend]] / VfM_Metrics_2023_Consol_Source[[#This Row],[Net Book Value of Housing Properties]], "n/a" )</f>
        <v>6.7473304902641404E-2</v>
      </c>
      <c r="E11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8164</v>
      </c>
      <c r="F113" s="83" vm="8624">
        <v>5807</v>
      </c>
      <c r="G113" s="83" vm="9012">
        <v>0</v>
      </c>
      <c r="H113" s="83" vm="8643">
        <v>2186</v>
      </c>
      <c r="I113" s="83" vm="965">
        <v>171</v>
      </c>
      <c r="J113" s="83" vm="966">
        <v>0</v>
      </c>
      <c r="K113" s="5">
        <f xml:space="preserve"> SUM( VfM_Metrics_2023_Consol_Source[[#This Row],[Tangible fixed assets: Housing properties at cost (Current period)]],VfM_Metrics_2023_Consol_Source[[#This Row],[Tangible fixed assets Housing properties at valuation (Current period)]] )</f>
        <v>120996</v>
      </c>
      <c r="L113" s="84" vm="8792">
        <v>120996</v>
      </c>
      <c r="M113" s="83" vm="967">
        <v>0</v>
      </c>
      <c r="N113" s="7">
        <f xml:space="preserve"> IFERROR( VfM_Metrics_2023_Consol_Source[[#This Row],[Total social units developed or newly built units acquired in-year]] / VfM_Metrics_2023_Consol_Source[[#This Row],[Social housing units owned (period end)]], "n/a" )</f>
        <v>2.6378896882494004E-2</v>
      </c>
      <c r="O113" s="5">
        <f xml:space="preserve"> SUM( VfM_Metrics_2023_Consol_Source[[#This Row],[Total social units developed or newly built units acquired in-year (owned)]], VfM_Metrics_2023_Consol_Source[[#This Row],[Total social leasehold units developed or newly built units acquired in-year (owned)]] )</f>
        <v>44</v>
      </c>
      <c r="P113" s="84" vm="6638">
        <v>44</v>
      </c>
      <c r="Q113" s="83" vm="968">
        <v>0</v>
      </c>
      <c r="R113" s="5">
        <f xml:space="preserve"> SUM( VfM_Metrics_2023_Consol_Source[[#This Row],[Total social housing units owned (Period end)]], VfM_Metrics_2023_Consol_Source[[#This Row],[Total social leasehold units owned (Period end)]] )</f>
        <v>1668</v>
      </c>
      <c r="S113" s="84" vm="1035">
        <v>1579</v>
      </c>
      <c r="T113" s="83" vm="8621">
        <v>89</v>
      </c>
      <c r="U113" s="86">
        <f xml:space="preserve"> IFERROR( VfM_Metrics_2023_Consol_Source[[#This Row],[Total non-social housing units developed or newly built units acquired (owned)]] / VfM_Metrics_2023_Consol_Source[[#This Row],[Total social and non-social housing units owned (Period end)]], "n/a" )</f>
        <v>0</v>
      </c>
      <c r="V11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13" s="83" vm="969">
        <v>0</v>
      </c>
      <c r="X113" s="83" vm="8587">
        <v>0</v>
      </c>
      <c r="Y113" s="83" vm="970">
        <v>0</v>
      </c>
      <c r="Z11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1668</v>
      </c>
      <c r="AA113" s="84" vm="7919">
        <v>1579</v>
      </c>
      <c r="AB113" s="83" vm="8913">
        <v>89</v>
      </c>
      <c r="AC113" s="83" vm="6625">
        <v>0</v>
      </c>
      <c r="AD113" s="83" vm="971">
        <v>0</v>
      </c>
      <c r="AE113" s="7">
        <f xml:space="preserve"> IFERROR( VfM_Metrics_2023_Consol_Source[[#This Row],[Total Net Debt]] / VfM_Metrics_2023_Consol_Source[[#This Row],[Net Book Value of Housing Properties2]], "n/a" )</f>
        <v>0.61582201064497999</v>
      </c>
      <c r="AF11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74512</v>
      </c>
      <c r="AG113" s="84" vm="8582">
        <v>487</v>
      </c>
      <c r="AH113" s="83" vm="972">
        <v>75461</v>
      </c>
      <c r="AI113" s="83" vm="1094">
        <v>1436</v>
      </c>
      <c r="AJ113" s="83" vm="8729">
        <v>0</v>
      </c>
      <c r="AK113" s="83" vm="973">
        <v>0</v>
      </c>
      <c r="AL113" s="5">
        <f xml:space="preserve"> SUM( VfM_Metrics_2023_Consol_Source[[#This Row],[Tangible fixed assets: Housing properties at cost (Current period)2]], VfM_Metrics_2023_Consol_Source[[#This Row],[Tangible fixed assets Housing properties at valuation (Current period)2]] )</f>
        <v>120996</v>
      </c>
      <c r="AM113" s="84" vm="7918">
        <v>120996</v>
      </c>
      <c r="AN113" s="83" vm="1060">
        <v>0</v>
      </c>
      <c r="AO113" s="87">
        <f xml:space="preserve"> IFERROR( VfM_Metrics_2023_Consol_Source[[#This Row],[EBITDA MRI]] / VfM_Metrics_2023_Consol_Source[[#This Row],[Total interest]], "n/a" )</f>
        <v>0.89723926380368102</v>
      </c>
      <c r="AP11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3510</v>
      </c>
      <c r="AQ113" s="84" vm="974">
        <v>4582</v>
      </c>
      <c r="AR113" s="84" vm="8896">
        <v>510</v>
      </c>
      <c r="AS113" s="84" vm="975">
        <v>0</v>
      </c>
      <c r="AT113" s="84" vm="976">
        <v>203</v>
      </c>
      <c r="AU113" s="84" vm="8638">
        <v>0</v>
      </c>
      <c r="AV113" s="84" vm="8704">
        <v>7</v>
      </c>
      <c r="AW113" s="84" vm="977">
        <v>2186</v>
      </c>
      <c r="AX113" s="84" vm="978">
        <v>1820</v>
      </c>
      <c r="AY113" s="3">
        <f xml:space="preserve"> - SUM( VfM_Metrics_2023_Consol_Source[[#This Row],[Interest capitalised]], VfM_Metrics_2023_Consol_Source[[#This Row],[Interest payable and financing costs]] )</f>
        <v>3912</v>
      </c>
      <c r="AZ113" s="84" vm="979">
        <v>-171</v>
      </c>
      <c r="BA113" s="83" vm="980">
        <v>-3741</v>
      </c>
      <c r="BB113" s="8">
        <f xml:space="preserve"> IFERROR( ( VfM_Metrics_2023_Consol_Source[[#This Row],[Total Costs]] / VfM_Metrics_2023_Consol_Source[[#This Row],[Total units for costs]] ) * 1000, "n/a" )</f>
        <v>5720.709309689677</v>
      </c>
      <c r="BC11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9033</v>
      </c>
      <c r="BD113" s="84" vm="981">
        <v>1467</v>
      </c>
      <c r="BE113" s="83" vm="982">
        <v>1939</v>
      </c>
      <c r="BF113" s="83" vm="983">
        <v>1516</v>
      </c>
      <c r="BG113" s="83" vm="1026">
        <v>1272</v>
      </c>
      <c r="BH113" s="83" vm="8634">
        <v>222</v>
      </c>
      <c r="BI113" s="83" vm="8701">
        <v>0</v>
      </c>
      <c r="BJ113" s="83" vm="977">
        <v>2186</v>
      </c>
      <c r="BK113" s="83" vm="8584">
        <v>110</v>
      </c>
      <c r="BL113" s="83" vm="7139">
        <v>243</v>
      </c>
      <c r="BM113" s="83" vm="985">
        <v>0</v>
      </c>
      <c r="BN113" s="83" vm="8847">
        <v>11</v>
      </c>
      <c r="BO113" s="83" vm="8834">
        <v>67</v>
      </c>
      <c r="BP113" s="5" vm="8849">
        <f xml:space="preserve"> VfM_Metrics_2023_Consol_Source[[#This Row],[Total social housing units owned and/or managed at period end]]</f>
        <v>1579</v>
      </c>
      <c r="BQ113" s="84" vm="8849">
        <v>1579</v>
      </c>
      <c r="BR113" s="7">
        <f xml:space="preserve"> IFERROR( VfM_Metrics_2023_Consol_Source[[#This Row],[SHL operating surplus / (deficit)]] / VfM_Metrics_2023_Consol_Source[[#This Row],[Turnover from social housing lettings]], "n/a" )</f>
        <v>0.30221959659042957</v>
      </c>
      <c r="BS113" s="5" vm="986">
        <f xml:space="preserve"> VfM_Metrics_2023_Consol_Source[[#This Row],[Operating surplus/(deficit) (social housing lettings)]]</f>
        <v>3581</v>
      </c>
      <c r="BT113" s="84" vm="986">
        <v>3581</v>
      </c>
      <c r="BU113" s="5" vm="7916">
        <f xml:space="preserve"> VfM_Metrics_2023_Consol_Source[[#This Row],[Turnover from social housing lettings]]</f>
        <v>11849</v>
      </c>
      <c r="BV113" s="84" vm="7916">
        <v>11849</v>
      </c>
      <c r="BW113" s="7">
        <f xml:space="preserve"> IFERROR( VfM_Metrics_2023_Consol_Source[[#This Row],[Net operating surplus]] / VfM_Metrics_2023_Consol_Source[[#This Row],[Overall turnover]], "n/a" )</f>
        <v>0.29601628380343126</v>
      </c>
      <c r="BX11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4072</v>
      </c>
      <c r="BY113" s="84" vm="8570">
        <v>4582</v>
      </c>
      <c r="BZ113" s="83" vm="979">
        <v>510</v>
      </c>
      <c r="CA113" s="83" vm="975">
        <v>0</v>
      </c>
      <c r="CB113" s="5" vm="987">
        <f xml:space="preserve"> VfM_Metrics_2023_Consol_Source[[#This Row],[Turnover (overall)]]</f>
        <v>13756</v>
      </c>
      <c r="CC113" s="84" vm="987">
        <v>13756</v>
      </c>
      <c r="CD113" s="7">
        <f xml:space="preserve"> IFERROR( VfM_Metrics_2023_Consol_Source[[#This Row],[Operating surplus including from JVs]] / VfM_Metrics_2023_Consol_Source[[#This Row],[Net assets]], "n/a" )</f>
        <v>3.7905047112449436E-2</v>
      </c>
      <c r="CE113" s="5">
        <f xml:space="preserve"> SUM( VfM_Metrics_2023_Consol_Source[[#This Row],[Operating surplus/(deficit) (overall)3]], VfM_Metrics_2023_Consol_Source[[#This Row],[Share of operating surplus/(deficit) in joint ventures or associates]] )</f>
        <v>4582</v>
      </c>
      <c r="CF113" s="84" vm="796">
        <v>4582</v>
      </c>
      <c r="CG113" s="83" vm="988">
        <v>0</v>
      </c>
      <c r="CH113" s="5" vm="8786">
        <f xml:space="preserve"> VfM_Metrics_2023_Consol_Source[[#This Row],[Total assets less current liabilities]]</f>
        <v>120881</v>
      </c>
      <c r="CI113" s="84" vm="8786">
        <v>120881</v>
      </c>
      <c r="CJ113" s="71" vm="1035">
        <f xml:space="preserve"> VfM_Metrics_2023_Consol_Source[[#This Row],[Total social housing units owned (Period end)]]</f>
        <v>1579</v>
      </c>
      <c r="CK113" s="103">
        <v>3.2092426187419767E-2</v>
      </c>
      <c r="CL113" s="6">
        <f xml:space="preserve"> -- ( VfM_Metrics_2023_Consol_Source[[#This Row],[% Supported housing (excl. HOP)]] &gt; 0.3 )</f>
        <v>0</v>
      </c>
      <c r="CM113" s="103">
        <v>0.18421052631578946</v>
      </c>
      <c r="CN113" s="6">
        <f xml:space="preserve"> -- ( VfM_Metrics_2023_Consol_Source[[#This Row],[% Housing for older people]] &gt; 0.3 )</f>
        <v>0</v>
      </c>
      <c r="CO113" s="103">
        <f xml:space="preserve"> VfM_Metrics_2023_Consol_Source[[#This Row],[% Supported housing (excl. HOP)]] + VfM_Metrics_2023_Consol_Source[[#This Row],[% Housing for older people]]</f>
        <v>0.21630295250320924</v>
      </c>
      <c r="CP113" s="6">
        <f xml:space="preserve"> -- ( VfM_Metrics_2023_Consol_Source[[#This Row],[SH specialist in RSH analysis]] + VfM_Metrics_2023_Consol_Source[[#This Row],[OP specialist in RSH analysis]] &gt; 0 )</f>
        <v>0</v>
      </c>
      <c r="CQ113" s="10">
        <f xml:space="preserve"> -- ( VfM_Metrics_2023_Consol_Source[[#This Row],[% SH and OP]] &gt; 0.3 )</f>
        <v>0</v>
      </c>
      <c r="CR113" s="104" t="s">
        <v>143</v>
      </c>
      <c r="CS113" s="124" t="s">
        <v>144</v>
      </c>
      <c r="CT113" s="105"/>
      <c r="CU11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13" s="85">
        <v>1.8577834721332478E-2</v>
      </c>
      <c r="CW113" s="85">
        <v>0.98142216527866755</v>
      </c>
      <c r="CX113" s="85">
        <v>0</v>
      </c>
      <c r="CY113" s="85">
        <v>0</v>
      </c>
      <c r="CZ113" s="85">
        <v>0</v>
      </c>
      <c r="DA113" s="85">
        <v>0</v>
      </c>
      <c r="DB113" s="85">
        <v>0</v>
      </c>
      <c r="DC113" s="85">
        <v>0</v>
      </c>
      <c r="DD113" s="85">
        <v>0</v>
      </c>
      <c r="DE113" s="13">
        <v>1.0360655799207257</v>
      </c>
    </row>
    <row r="114" spans="1:109" x14ac:dyDescent="0.25">
      <c r="A114" s="4" t="s" vm="367">
        <v>352</v>
      </c>
      <c r="B114" s="2" t="s" vm="104">
        <v>353</v>
      </c>
      <c r="C114" s="72" vm="529">
        <v>45016</v>
      </c>
      <c r="D114" s="7">
        <f>IFERROR( VfM_Metrics_2023_Consol_Source[[#This Row],[Reinvestment Spend]] / VfM_Metrics_2023_Consol_Source[[#This Row],[Net Book Value of Housing Properties]], "n/a" )</f>
        <v>4.9794520249451982E-2</v>
      </c>
      <c r="E11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11426</v>
      </c>
      <c r="F114" s="83" vm="5679">
        <v>2936</v>
      </c>
      <c r="G114" s="83" vm="4511">
        <v>3367</v>
      </c>
      <c r="H114" s="83" vm="6909">
        <v>5043</v>
      </c>
      <c r="I114" s="83" vm="6913">
        <v>80</v>
      </c>
      <c r="J114" s="83" vm="5682">
        <v>0</v>
      </c>
      <c r="K114" s="5">
        <f xml:space="preserve"> SUM( VfM_Metrics_2023_Consol_Source[[#This Row],[Tangible fixed assets: Housing properties at cost (Current period)]],VfM_Metrics_2023_Consol_Source[[#This Row],[Tangible fixed assets Housing properties at valuation (Current period)]] )</f>
        <v>229463</v>
      </c>
      <c r="L114" s="84" vm="5683">
        <v>229463</v>
      </c>
      <c r="M114" s="83" vm="5684">
        <v>0</v>
      </c>
      <c r="N114" s="7">
        <f xml:space="preserve"> IFERROR( VfM_Metrics_2023_Consol_Source[[#This Row],[Total social units developed or newly built units acquired in-year]] / VfM_Metrics_2023_Consol_Source[[#This Row],[Social housing units owned (period end)]], "n/a" )</f>
        <v>6.7579583852036282E-3</v>
      </c>
      <c r="O114" s="5">
        <f xml:space="preserve"> SUM( VfM_Metrics_2023_Consol_Source[[#This Row],[Total social units developed or newly built units acquired in-year (owned)]], VfM_Metrics_2023_Consol_Source[[#This Row],[Total social leasehold units developed or newly built units acquired in-year (owned)]] )</f>
        <v>38</v>
      </c>
      <c r="P114" s="84" vm="5685">
        <v>38</v>
      </c>
      <c r="Q114" s="83" vm="5686">
        <v>0</v>
      </c>
      <c r="R114" s="5">
        <f xml:space="preserve"> SUM( VfM_Metrics_2023_Consol_Source[[#This Row],[Total social housing units owned (Period end)]], VfM_Metrics_2023_Consol_Source[[#This Row],[Total social leasehold units owned (Period end)]] )</f>
        <v>5623</v>
      </c>
      <c r="S114" s="84" vm="5677">
        <v>5600</v>
      </c>
      <c r="T114" s="83" vm="5687">
        <v>23</v>
      </c>
      <c r="U114" s="86">
        <f xml:space="preserve"> IFERROR( VfM_Metrics_2023_Consol_Source[[#This Row],[Total non-social housing units developed or newly built units acquired (owned)]] / VfM_Metrics_2023_Consol_Source[[#This Row],[Total social and non-social housing units owned (Period end)]], "n/a" )</f>
        <v>0</v>
      </c>
      <c r="V11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14" s="83" vm="5688">
        <v>0</v>
      </c>
      <c r="X114" s="83" vm="5689">
        <v>0</v>
      </c>
      <c r="Y114" s="83" vm="6045">
        <v>0</v>
      </c>
      <c r="Z11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5782</v>
      </c>
      <c r="AA114" s="84" vm="7029">
        <v>5600</v>
      </c>
      <c r="AB114" s="83" vm="5687">
        <v>23</v>
      </c>
      <c r="AC114" s="83" vm="5556">
        <v>0</v>
      </c>
      <c r="AD114" s="83" vm="5690">
        <v>159</v>
      </c>
      <c r="AE114" s="7">
        <f xml:space="preserve"> IFERROR( VfM_Metrics_2023_Consol_Source[[#This Row],[Total Net Debt]] / VfM_Metrics_2023_Consol_Source[[#This Row],[Net Book Value of Housing Properties2]], "n/a" )</f>
        <v>0.2507724556900241</v>
      </c>
      <c r="AF11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57543</v>
      </c>
      <c r="AG114" s="84" vm="5691">
        <v>441</v>
      </c>
      <c r="AH114" s="83" vm="5692">
        <v>70498</v>
      </c>
      <c r="AI114" s="83" vm="7185">
        <v>13396</v>
      </c>
      <c r="AJ114" s="83" vm="5693">
        <v>0</v>
      </c>
      <c r="AK114" s="83" vm="5694">
        <v>0</v>
      </c>
      <c r="AL114" s="5">
        <f xml:space="preserve"> SUM( VfM_Metrics_2023_Consol_Source[[#This Row],[Tangible fixed assets: Housing properties at cost (Current period)2]], VfM_Metrics_2023_Consol_Source[[#This Row],[Tangible fixed assets Housing properties at valuation (Current period)2]] )</f>
        <v>229463</v>
      </c>
      <c r="AM114" s="84" vm="5683">
        <v>229463</v>
      </c>
      <c r="AN114" s="83" vm="5684">
        <v>0</v>
      </c>
      <c r="AO114" s="87">
        <f xml:space="preserve"> IFERROR( VfM_Metrics_2023_Consol_Source[[#This Row],[EBITDA MRI]] / VfM_Metrics_2023_Consol_Source[[#This Row],[Total interest]], "n/a" )</f>
        <v>1.6569051580698835</v>
      </c>
      <c r="AP11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4979</v>
      </c>
      <c r="AQ114" s="84" vm="5853">
        <v>6236</v>
      </c>
      <c r="AR114" s="84" vm="5696">
        <v>838</v>
      </c>
      <c r="AS114" s="84" vm="5697">
        <v>8</v>
      </c>
      <c r="AT114" s="84" vm="5698">
        <v>1133</v>
      </c>
      <c r="AU114" s="84" vm="5699">
        <v>0</v>
      </c>
      <c r="AV114" s="84" vm="5700">
        <v>168</v>
      </c>
      <c r="AW114" s="84" vm="5701">
        <v>5043</v>
      </c>
      <c r="AX114" s="84" vm="5702">
        <v>5597</v>
      </c>
      <c r="AY114" s="3">
        <f xml:space="preserve"> - SUM( VfM_Metrics_2023_Consol_Source[[#This Row],[Interest capitalised]], VfM_Metrics_2023_Consol_Source[[#This Row],[Interest payable and financing costs]] )</f>
        <v>3005</v>
      </c>
      <c r="AZ114" s="84" vm="5703">
        <v>-80</v>
      </c>
      <c r="BA114" s="83" vm="5704">
        <v>-2925</v>
      </c>
      <c r="BB114" s="8">
        <f xml:space="preserve"> IFERROR( ( VfM_Metrics_2023_Consol_Source[[#This Row],[Total Costs]] / VfM_Metrics_2023_Consol_Source[[#This Row],[Total units for costs]] ) * 1000, "n/a" )</f>
        <v>4621.7857142857138</v>
      </c>
      <c r="BC11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25882</v>
      </c>
      <c r="BD114" s="84" vm="5705">
        <v>6578</v>
      </c>
      <c r="BE114" s="83" vm="5706">
        <v>2533</v>
      </c>
      <c r="BF114" s="83" vm="5707">
        <v>6824</v>
      </c>
      <c r="BG114" s="83" vm="5708">
        <v>2931</v>
      </c>
      <c r="BH114" s="83" vm="5709">
        <v>167</v>
      </c>
      <c r="BI114" s="83" vm="5710">
        <v>4</v>
      </c>
      <c r="BJ114" s="83" vm="5701">
        <v>5043</v>
      </c>
      <c r="BK114" s="83" vm="5711">
        <v>0</v>
      </c>
      <c r="BL114" s="83" vm="5712">
        <v>703</v>
      </c>
      <c r="BM114" s="83" vm="5713">
        <v>0</v>
      </c>
      <c r="BN114" s="83" vm="5714">
        <v>911</v>
      </c>
      <c r="BO114" s="83" vm="5715">
        <v>188</v>
      </c>
      <c r="BP114" s="5" vm="5678">
        <f xml:space="preserve"> VfM_Metrics_2023_Consol_Source[[#This Row],[Total social housing units owned and/or managed at period end]]</f>
        <v>5600</v>
      </c>
      <c r="BQ114" s="84" vm="5678">
        <v>5600</v>
      </c>
      <c r="BR114" s="7">
        <f xml:space="preserve"> IFERROR( VfM_Metrics_2023_Consol_Source[[#This Row],[SHL operating surplus / (deficit)]] / VfM_Metrics_2023_Consol_Source[[#This Row],[Turnover from social housing lettings]], "n/a" )</f>
        <v>0.2026167248523606</v>
      </c>
      <c r="BS114" s="5" vm="5716">
        <f xml:space="preserve"> VfM_Metrics_2023_Consol_Source[[#This Row],[Operating surplus/(deficit) (social housing lettings)]]</f>
        <v>6210</v>
      </c>
      <c r="BT114" s="84" vm="5716">
        <v>6210</v>
      </c>
      <c r="BU114" s="5" vm="5717">
        <f xml:space="preserve"> VfM_Metrics_2023_Consol_Source[[#This Row],[Turnover from social housing lettings]]</f>
        <v>30649</v>
      </c>
      <c r="BV114" s="84" vm="5717">
        <v>30649</v>
      </c>
      <c r="BW114" s="7">
        <f xml:space="preserve"> IFERROR( VfM_Metrics_2023_Consol_Source[[#This Row],[Net operating surplus]] / VfM_Metrics_2023_Consol_Source[[#This Row],[Overall turnover]], "n/a" )</f>
        <v>0.16142557651991615</v>
      </c>
      <c r="BX11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5390</v>
      </c>
      <c r="BY114" s="84" vm="5695">
        <v>6236</v>
      </c>
      <c r="BZ114" s="83" vm="5696">
        <v>838</v>
      </c>
      <c r="CA114" s="83" vm="5697">
        <v>8</v>
      </c>
      <c r="CB114" s="5" vm="5718">
        <f xml:space="preserve"> VfM_Metrics_2023_Consol_Source[[#This Row],[Turnover (overall)]]</f>
        <v>33390</v>
      </c>
      <c r="CC114" s="84" vm="5718">
        <v>33390</v>
      </c>
      <c r="CD114" s="7">
        <f xml:space="preserve"> IFERROR( VfM_Metrics_2023_Consol_Source[[#This Row],[Operating surplus including from JVs]] / VfM_Metrics_2023_Consol_Source[[#This Row],[Net assets]], "n/a" )</f>
        <v>2.5964833389543283E-2</v>
      </c>
      <c r="CE114" s="5">
        <f xml:space="preserve"> SUM( VfM_Metrics_2023_Consol_Source[[#This Row],[Operating surplus/(deficit) (overall)3]], VfM_Metrics_2023_Consol_Source[[#This Row],[Share of operating surplus/(deficit) in joint ventures or associates]] )</f>
        <v>6236</v>
      </c>
      <c r="CF114" s="84" vm="5695">
        <v>6236</v>
      </c>
      <c r="CG114" s="83" vm="5720">
        <v>0</v>
      </c>
      <c r="CH114" s="5" vm="5719">
        <f xml:space="preserve"> VfM_Metrics_2023_Consol_Source[[#This Row],[Total assets less current liabilities]]</f>
        <v>240171</v>
      </c>
      <c r="CI114" s="84" vm="5719">
        <v>240171</v>
      </c>
      <c r="CJ114" s="71" vm="5677">
        <f xml:space="preserve"> VfM_Metrics_2023_Consol_Source[[#This Row],[Total social housing units owned (Period end)]]</f>
        <v>5600</v>
      </c>
      <c r="CK114" s="103">
        <v>6.5667380442541043E-2</v>
      </c>
      <c r="CL114" s="6">
        <f xml:space="preserve"> -- ( VfM_Metrics_2023_Consol_Source[[#This Row],[% Supported housing (excl. HOP)]] &gt; 0.3 )</f>
        <v>0</v>
      </c>
      <c r="CM114" s="103">
        <v>3.6045681655960025E-2</v>
      </c>
      <c r="CN114" s="6">
        <f xml:space="preserve"> -- ( VfM_Metrics_2023_Consol_Source[[#This Row],[% Housing for older people]] &gt; 0.3 )</f>
        <v>0</v>
      </c>
      <c r="CO114" s="103">
        <f xml:space="preserve"> VfM_Metrics_2023_Consol_Source[[#This Row],[% Supported housing (excl. HOP)]] + VfM_Metrics_2023_Consol_Source[[#This Row],[% Housing for older people]]</f>
        <v>0.10171306209850106</v>
      </c>
      <c r="CP114" s="6">
        <f xml:space="preserve"> -- ( VfM_Metrics_2023_Consol_Source[[#This Row],[SH specialist in RSH analysis]] + VfM_Metrics_2023_Consol_Source[[#This Row],[OP specialist in RSH analysis]] &gt; 0 )</f>
        <v>0</v>
      </c>
      <c r="CQ114" s="10">
        <f xml:space="preserve"> -- ( VfM_Metrics_2023_Consol_Source[[#This Row],[% SH and OP]] &gt; 0.3 )</f>
        <v>0</v>
      </c>
      <c r="CR114" s="104" t="s">
        <v>143</v>
      </c>
      <c r="CS114" s="124" t="s">
        <v>144</v>
      </c>
      <c r="CT114" s="105"/>
      <c r="CU11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14" s="85">
        <v>0</v>
      </c>
      <c r="CW114" s="85">
        <v>1.1380057803468208E-2</v>
      </c>
      <c r="CX114" s="85">
        <v>0</v>
      </c>
      <c r="CY114" s="85">
        <v>6.7015895953757232E-2</v>
      </c>
      <c r="CZ114" s="85">
        <v>1.1199421965317919E-2</v>
      </c>
      <c r="DA114" s="85">
        <v>0.13890895953757226</v>
      </c>
      <c r="DB114" s="85">
        <v>0</v>
      </c>
      <c r="DC114" s="85">
        <v>0.7322976878612717</v>
      </c>
      <c r="DD114" s="85">
        <v>3.919797687861272E-2</v>
      </c>
      <c r="DE114" s="13">
        <v>0.96701378600720767</v>
      </c>
    </row>
    <row r="115" spans="1:109" x14ac:dyDescent="0.25">
      <c r="A115" s="4" t="s" vm="223">
        <v>354</v>
      </c>
      <c r="B115" s="2" t="s" vm="105">
        <v>355</v>
      </c>
      <c r="C115" s="72" vm="473">
        <v>45016</v>
      </c>
      <c r="D115" s="7">
        <f>IFERROR( VfM_Metrics_2023_Consol_Source[[#This Row],[Reinvestment Spend]] / VfM_Metrics_2023_Consol_Source[[#This Row],[Net Book Value of Housing Properties]], "n/a" )</f>
        <v>5.9375823333572851E-2</v>
      </c>
      <c r="E11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4958</v>
      </c>
      <c r="F115" s="83" vm="1083">
        <v>0</v>
      </c>
      <c r="G115" s="83" vm="8572">
        <v>3980</v>
      </c>
      <c r="H115" s="83" vm="1084">
        <v>860</v>
      </c>
      <c r="I115" s="83" vm="1085">
        <v>118</v>
      </c>
      <c r="J115" s="83" vm="1136">
        <v>0</v>
      </c>
      <c r="K115" s="5">
        <f xml:space="preserve"> SUM( VfM_Metrics_2023_Consol_Source[[#This Row],[Tangible fixed assets: Housing properties at cost (Current period)]],VfM_Metrics_2023_Consol_Source[[#This Row],[Tangible fixed assets Housing properties at valuation (Current period)]] )</f>
        <v>83502</v>
      </c>
      <c r="L115" s="84" vm="8672">
        <v>83502</v>
      </c>
      <c r="M115" s="83" vm="1087">
        <v>0</v>
      </c>
      <c r="N115" s="7">
        <f xml:space="preserve"> IFERROR( VfM_Metrics_2023_Consol_Source[[#This Row],[Total social units developed or newly built units acquired in-year]] / VfM_Metrics_2023_Consol_Source[[#This Row],[Social housing units owned (period end)]], "n/a" )</f>
        <v>1.7170891251022075E-2</v>
      </c>
      <c r="O115" s="5">
        <f xml:space="preserve"> SUM( VfM_Metrics_2023_Consol_Source[[#This Row],[Total social units developed or newly built units acquired in-year (owned)]], VfM_Metrics_2023_Consol_Source[[#This Row],[Total social leasehold units developed or newly built units acquired in-year (owned)]] )</f>
        <v>21</v>
      </c>
      <c r="P115" s="84" vm="1088">
        <v>21</v>
      </c>
      <c r="Q115" s="83" vm="1089">
        <v>0</v>
      </c>
      <c r="R115" s="5">
        <f xml:space="preserve"> SUM( VfM_Metrics_2023_Consol_Source[[#This Row],[Total social housing units owned (Period end)]], VfM_Metrics_2023_Consol_Source[[#This Row],[Total social leasehold units owned (Period end)]] )</f>
        <v>1223</v>
      </c>
      <c r="S115" s="84" vm="8666">
        <v>1223</v>
      </c>
      <c r="T115" s="83" vm="8825">
        <v>0</v>
      </c>
      <c r="U115" s="86">
        <f xml:space="preserve"> IFERROR( VfM_Metrics_2023_Consol_Source[[#This Row],[Total non-social housing units developed or newly built units acquired (owned)]] / VfM_Metrics_2023_Consol_Source[[#This Row],[Total social and non-social housing units owned (Period end)]], "n/a" )</f>
        <v>0</v>
      </c>
      <c r="V11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15" s="83">
        <v>0</v>
      </c>
      <c r="X115" s="83" vm="1091">
        <v>0</v>
      </c>
      <c r="Y115" s="83" vm="8662">
        <v>0</v>
      </c>
      <c r="Z11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1225</v>
      </c>
      <c r="AA115" s="84" vm="906">
        <v>1223</v>
      </c>
      <c r="AB115" s="83" vm="1090">
        <v>0</v>
      </c>
      <c r="AC115" s="83" vm="8551">
        <v>2</v>
      </c>
      <c r="AD115" s="83" vm="1092">
        <v>0</v>
      </c>
      <c r="AE115" s="7">
        <f xml:space="preserve"> IFERROR( VfM_Metrics_2023_Consol_Source[[#This Row],[Total Net Debt]] / VfM_Metrics_2023_Consol_Source[[#This Row],[Net Book Value of Housing Properties2]], "n/a" )</f>
        <v>0.37894900720940816</v>
      </c>
      <c r="AF11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31643</v>
      </c>
      <c r="AG115" s="84" vm="1093">
        <v>657</v>
      </c>
      <c r="AH115" s="83" vm="8558">
        <v>32329</v>
      </c>
      <c r="AI115" s="83" vm="1094">
        <v>1343</v>
      </c>
      <c r="AJ115" s="83" vm="1095">
        <v>0</v>
      </c>
      <c r="AK115" s="83" vm="1145">
        <v>0</v>
      </c>
      <c r="AL115" s="5">
        <f xml:space="preserve"> SUM( VfM_Metrics_2023_Consol_Source[[#This Row],[Tangible fixed assets: Housing properties at cost (Current period)2]], VfM_Metrics_2023_Consol_Source[[#This Row],[Tangible fixed assets Housing properties at valuation (Current period)2]] )</f>
        <v>83502</v>
      </c>
      <c r="AM115" s="84" vm="8656">
        <v>83502</v>
      </c>
      <c r="AN115" s="83" vm="8800">
        <v>0</v>
      </c>
      <c r="AO115" s="87">
        <f xml:space="preserve"> IFERROR( VfM_Metrics_2023_Consol_Source[[#This Row],[EBITDA MRI]] / VfM_Metrics_2023_Consol_Source[[#This Row],[Total interest]], "n/a" )</f>
        <v>1.2010008340283569</v>
      </c>
      <c r="AP11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1440</v>
      </c>
      <c r="AQ115" s="84" vm="8806">
        <v>1754</v>
      </c>
      <c r="AR115" s="84" vm="1097">
        <v>67</v>
      </c>
      <c r="AS115" s="84" vm="1098">
        <v>0</v>
      </c>
      <c r="AT115" s="84" vm="1099">
        <v>380</v>
      </c>
      <c r="AU115" s="84" vm="1094">
        <v>0</v>
      </c>
      <c r="AV115" s="84" vm="1151">
        <v>15</v>
      </c>
      <c r="AW115" s="84" vm="1100">
        <v>860</v>
      </c>
      <c r="AX115" s="84" vm="8798">
        <v>978</v>
      </c>
      <c r="AY115" s="3">
        <f xml:space="preserve"> - SUM( VfM_Metrics_2023_Consol_Source[[#This Row],[Interest capitalised]], VfM_Metrics_2023_Consol_Source[[#This Row],[Interest payable and financing costs]] )</f>
        <v>1199</v>
      </c>
      <c r="AZ115" s="84" vm="8387">
        <v>-118</v>
      </c>
      <c r="BA115" s="83" vm="1101">
        <v>-1081</v>
      </c>
      <c r="BB115" s="8">
        <f xml:space="preserve"> IFERROR( ( VfM_Metrics_2023_Consol_Source[[#This Row],[Total Costs]] / VfM_Metrics_2023_Consol_Source[[#This Row],[Total units for costs]] ) * 1000, "n/a" )</f>
        <v>4655.4487179487178</v>
      </c>
      <c r="BC11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5810</v>
      </c>
      <c r="BD115" s="84" vm="8812">
        <v>1095</v>
      </c>
      <c r="BE115" s="83" vm="8785">
        <v>1655</v>
      </c>
      <c r="BF115" s="83" vm="8382">
        <v>1290</v>
      </c>
      <c r="BG115" s="83" vm="1244">
        <v>663</v>
      </c>
      <c r="BH115" s="83" vm="1103">
        <v>0</v>
      </c>
      <c r="BI115" s="83" vm="8705">
        <v>100</v>
      </c>
      <c r="BJ115" s="83" vm="1100">
        <v>860</v>
      </c>
      <c r="BK115" s="83" vm="1105">
        <v>0</v>
      </c>
      <c r="BL115" s="83" vm="8518">
        <v>82</v>
      </c>
      <c r="BM115" s="83">
        <v>0</v>
      </c>
      <c r="BN115" s="83">
        <v>0</v>
      </c>
      <c r="BO115" s="83" vm="8653">
        <v>65</v>
      </c>
      <c r="BP115" s="5" vm="1086">
        <f xml:space="preserve"> VfM_Metrics_2023_Consol_Source[[#This Row],[Total social housing units owned and/or managed at period end]]</f>
        <v>1248</v>
      </c>
      <c r="BQ115" s="84" vm="1086">
        <v>1248</v>
      </c>
      <c r="BR115" s="7">
        <f xml:space="preserve"> IFERROR( VfM_Metrics_2023_Consol_Source[[#This Row],[SHL operating surplus / (deficit)]] / VfM_Metrics_2023_Consol_Source[[#This Row],[Turnover from social housing lettings]], "n/a" )</f>
        <v>0.21699134199134198</v>
      </c>
      <c r="BS115" s="5" vm="1107">
        <f xml:space="preserve"> VfM_Metrics_2023_Consol_Source[[#This Row],[Operating surplus/(deficit) (social housing lettings)]]</f>
        <v>1604</v>
      </c>
      <c r="BT115" s="84" vm="1107">
        <v>1604</v>
      </c>
      <c r="BU115" s="5" vm="1108">
        <f xml:space="preserve"> VfM_Metrics_2023_Consol_Source[[#This Row],[Turnover from social housing lettings]]</f>
        <v>7392</v>
      </c>
      <c r="BV115" s="84" vm="1108">
        <v>7392</v>
      </c>
      <c r="BW115" s="7">
        <f xml:space="preserve"> IFERROR( VfM_Metrics_2023_Consol_Source[[#This Row],[Net operating surplus]] / VfM_Metrics_2023_Consol_Source[[#This Row],[Overall turnover]], "n/a" )</f>
        <v>0.22130394857667585</v>
      </c>
      <c r="BX11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1687</v>
      </c>
      <c r="BY115" s="84" vm="1096">
        <v>1754</v>
      </c>
      <c r="BZ115" s="83" vm="8549">
        <v>67</v>
      </c>
      <c r="CA115" s="83" vm="8909">
        <v>0</v>
      </c>
      <c r="CB115" s="5" vm="8650">
        <f xml:space="preserve"> VfM_Metrics_2023_Consol_Source[[#This Row],[Turnover (overall)]]</f>
        <v>7623</v>
      </c>
      <c r="CC115" s="84" vm="8650">
        <v>7623</v>
      </c>
      <c r="CD115" s="7">
        <f xml:space="preserve"> IFERROR( VfM_Metrics_2023_Consol_Source[[#This Row],[Operating surplus including from JVs]] / VfM_Metrics_2023_Consol_Source[[#This Row],[Net assets]], "n/a" )</f>
        <v>2.0817261473824133E-2</v>
      </c>
      <c r="CE115" s="5">
        <f xml:space="preserve"> SUM( VfM_Metrics_2023_Consol_Source[[#This Row],[Operating surplus/(deficit) (overall)3]], VfM_Metrics_2023_Consol_Source[[#This Row],[Share of operating surplus/(deficit) in joint ventures or associates]] )</f>
        <v>1754</v>
      </c>
      <c r="CF115" s="84" vm="1096">
        <v>1754</v>
      </c>
      <c r="CG115" s="83" vm="1109">
        <v>0</v>
      </c>
      <c r="CH115" s="5" vm="1180">
        <f xml:space="preserve"> VfM_Metrics_2023_Consol_Source[[#This Row],[Total assets less current liabilities]]</f>
        <v>84257</v>
      </c>
      <c r="CI115" s="84" vm="1180">
        <v>84257</v>
      </c>
      <c r="CJ115" s="71" vm="8666">
        <f xml:space="preserve"> VfM_Metrics_2023_Consol_Source[[#This Row],[Total social housing units owned (Period end)]]</f>
        <v>1223</v>
      </c>
      <c r="CK115" s="103">
        <v>2.8594771241830064E-2</v>
      </c>
      <c r="CL115" s="6">
        <f xml:space="preserve"> -- ( VfM_Metrics_2023_Consol_Source[[#This Row],[% Supported housing (excl. HOP)]] &gt; 0.3 )</f>
        <v>0</v>
      </c>
      <c r="CM115" s="103">
        <v>0.22058823529411764</v>
      </c>
      <c r="CN115" s="6">
        <f xml:space="preserve"> -- ( VfM_Metrics_2023_Consol_Source[[#This Row],[% Housing for older people]] &gt; 0.3 )</f>
        <v>0</v>
      </c>
      <c r="CO115" s="103">
        <f xml:space="preserve"> VfM_Metrics_2023_Consol_Source[[#This Row],[% Supported housing (excl. HOP)]] + VfM_Metrics_2023_Consol_Source[[#This Row],[% Housing for older people]]</f>
        <v>0.24918300653594772</v>
      </c>
      <c r="CP115" s="6">
        <f xml:space="preserve"> -- ( VfM_Metrics_2023_Consol_Source[[#This Row],[SH specialist in RSH analysis]] + VfM_Metrics_2023_Consol_Source[[#This Row],[OP specialist in RSH analysis]] &gt; 0 )</f>
        <v>0</v>
      </c>
      <c r="CQ115" s="10">
        <f xml:space="preserve"> -- ( VfM_Metrics_2023_Consol_Source[[#This Row],[% SH and OP]] &gt; 0.3 )</f>
        <v>0</v>
      </c>
      <c r="CR115" s="104" t="s">
        <v>143</v>
      </c>
      <c r="CS115" s="124" t="s">
        <v>144</v>
      </c>
      <c r="CT115" s="105"/>
      <c r="CU11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15" s="85">
        <v>0</v>
      </c>
      <c r="CW115" s="85">
        <v>0</v>
      </c>
      <c r="CX115" s="85">
        <v>0</v>
      </c>
      <c r="CY115" s="85">
        <v>0</v>
      </c>
      <c r="CZ115" s="85">
        <v>1</v>
      </c>
      <c r="DA115" s="85">
        <v>0</v>
      </c>
      <c r="DB115" s="85">
        <v>0</v>
      </c>
      <c r="DC115" s="85">
        <v>0</v>
      </c>
      <c r="DD115" s="85">
        <v>0</v>
      </c>
      <c r="DE115" s="13">
        <v>0.96459033333600952</v>
      </c>
    </row>
    <row r="116" spans="1:109" x14ac:dyDescent="0.25">
      <c r="A116" s="4" t="s" vm="346">
        <v>356</v>
      </c>
      <c r="B116" s="2" t="s" vm="106">
        <v>357</v>
      </c>
      <c r="C116" s="72" vm="536">
        <v>45016</v>
      </c>
      <c r="D116" s="7">
        <f>IFERROR( VfM_Metrics_2023_Consol_Source[[#This Row],[Reinvestment Spend]] / VfM_Metrics_2023_Consol_Source[[#This Row],[Net Book Value of Housing Properties]], "n/a" )</f>
        <v>5.8292519753063168E-2</v>
      </c>
      <c r="E11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71187</v>
      </c>
      <c r="F116" s="83" vm="4952">
        <v>42801</v>
      </c>
      <c r="G116" s="83" vm="4953">
        <v>0</v>
      </c>
      <c r="H116" s="83" vm="7045">
        <v>25895</v>
      </c>
      <c r="I116" s="83" vm="4954">
        <v>2491</v>
      </c>
      <c r="J116" s="83" vm="7180">
        <v>0</v>
      </c>
      <c r="K116" s="5">
        <f xml:space="preserve"> SUM( VfM_Metrics_2023_Consol_Source[[#This Row],[Tangible fixed assets: Housing properties at cost (Current period)]],VfM_Metrics_2023_Consol_Source[[#This Row],[Tangible fixed assets Housing properties at valuation (Current period)]] )</f>
        <v>1221203</v>
      </c>
      <c r="L116" s="84" vm="7384">
        <v>1221203</v>
      </c>
      <c r="M116" s="83" vm="4949">
        <v>0</v>
      </c>
      <c r="N116" s="7">
        <f xml:space="preserve"> IFERROR( VfM_Metrics_2023_Consol_Source[[#This Row],[Total social units developed or newly built units acquired in-year]] / VfM_Metrics_2023_Consol_Source[[#This Row],[Social housing units owned (period end)]], "n/a" )</f>
        <v>5.7838293770333775E-3</v>
      </c>
      <c r="O116" s="5">
        <f xml:space="preserve"> SUM( VfM_Metrics_2023_Consol_Source[[#This Row],[Total social units developed or newly built units acquired in-year (owned)]], VfM_Metrics_2023_Consol_Source[[#This Row],[Total social leasehold units developed or newly built units acquired in-year (owned)]] )</f>
        <v>48</v>
      </c>
      <c r="P116" s="84" vm="4975">
        <v>48</v>
      </c>
      <c r="Q116" s="83" vm="4957">
        <v>0</v>
      </c>
      <c r="R116" s="5">
        <f xml:space="preserve"> SUM( VfM_Metrics_2023_Consol_Source[[#This Row],[Total social housing units owned (Period end)]], VfM_Metrics_2023_Consol_Source[[#This Row],[Total social leasehold units owned (Period end)]] )</f>
        <v>8299</v>
      </c>
      <c r="S116" s="84" vm="4950">
        <v>7436</v>
      </c>
      <c r="T116" s="83" vm="4958">
        <v>863</v>
      </c>
      <c r="U116" s="86">
        <f xml:space="preserve"> IFERROR( VfM_Metrics_2023_Consol_Source[[#This Row],[Total non-social housing units developed or newly built units acquired (owned)]] / VfM_Metrics_2023_Consol_Source[[#This Row],[Total social and non-social housing units owned (Period end)]], "n/a" )</f>
        <v>0</v>
      </c>
      <c r="V11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16" s="83" vm="5170">
        <v>0</v>
      </c>
      <c r="X116" s="83" vm="7381">
        <v>0</v>
      </c>
      <c r="Y116" s="83" vm="7464">
        <v>0</v>
      </c>
      <c r="Z11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8381</v>
      </c>
      <c r="AA116" s="84" vm="7044">
        <v>7436</v>
      </c>
      <c r="AB116" s="83" vm="4958">
        <v>863</v>
      </c>
      <c r="AC116" s="83" vm="4959">
        <v>82</v>
      </c>
      <c r="AD116" s="83" vm="4960">
        <v>0</v>
      </c>
      <c r="AE116" s="7">
        <f xml:space="preserve"> IFERROR( VfM_Metrics_2023_Consol_Source[[#This Row],[Total Net Debt]] / VfM_Metrics_2023_Consol_Source[[#This Row],[Net Book Value of Housing Properties2]], "n/a" )</f>
        <v>0.48134912868704055</v>
      </c>
      <c r="AF11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587825</v>
      </c>
      <c r="AG116" s="84" vm="4961">
        <v>6132</v>
      </c>
      <c r="AH116" s="83" vm="4962">
        <v>623148</v>
      </c>
      <c r="AI116" s="83" vm="4963">
        <v>41455</v>
      </c>
      <c r="AJ116" s="83" vm="4964">
        <v>0</v>
      </c>
      <c r="AK116" s="83" vm="4965">
        <v>0</v>
      </c>
      <c r="AL116" s="5">
        <f xml:space="preserve"> SUM( VfM_Metrics_2023_Consol_Source[[#This Row],[Tangible fixed assets: Housing properties at cost (Current period)2]], VfM_Metrics_2023_Consol_Source[[#This Row],[Tangible fixed assets Housing properties at valuation (Current period)2]] )</f>
        <v>1221203</v>
      </c>
      <c r="AM116" s="84" vm="4955">
        <v>1221203</v>
      </c>
      <c r="AN116" s="83" vm="4956">
        <v>0</v>
      </c>
      <c r="AO116" s="87">
        <f xml:space="preserve"> IFERROR( VfM_Metrics_2023_Consol_Source[[#This Row],[EBITDA MRI]] / VfM_Metrics_2023_Consol_Source[[#This Row],[Total interest]], "n/a" )</f>
        <v>0.30577098993755719</v>
      </c>
      <c r="AP11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7688</v>
      </c>
      <c r="AQ116" s="84" vm="4966">
        <v>30990</v>
      </c>
      <c r="AR116" s="84" vm="4967">
        <v>5218</v>
      </c>
      <c r="AS116" s="84" vm="4968">
        <v>0</v>
      </c>
      <c r="AT116" s="84" vm="4969">
        <v>3804</v>
      </c>
      <c r="AU116" s="84" vm="4970">
        <v>0</v>
      </c>
      <c r="AV116" s="84" vm="6934">
        <v>1466</v>
      </c>
      <c r="AW116" s="84" vm="4971">
        <v>25895</v>
      </c>
      <c r="AX116" s="84" vm="4972">
        <v>10149</v>
      </c>
      <c r="AY116" s="3">
        <f xml:space="preserve"> - SUM( VfM_Metrics_2023_Consol_Source[[#This Row],[Interest capitalised]], VfM_Metrics_2023_Consol_Source[[#This Row],[Interest payable and financing costs]] )</f>
        <v>25143</v>
      </c>
      <c r="AZ116" s="84" vm="4930">
        <v>-2491</v>
      </c>
      <c r="BA116" s="83" vm="4973">
        <v>-22652</v>
      </c>
      <c r="BB116" s="8">
        <f xml:space="preserve"> IFERROR( ( VfM_Metrics_2023_Consol_Source[[#This Row],[Total Costs]] / VfM_Metrics_2023_Consol_Source[[#This Row],[Total units for costs]] ) * 1000, "n/a" )</f>
        <v>11816.971490048412</v>
      </c>
      <c r="BC11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87871</v>
      </c>
      <c r="BD116" s="84" vm="4974">
        <v>8940</v>
      </c>
      <c r="BE116" s="83" vm="7254">
        <v>15690</v>
      </c>
      <c r="BF116" s="83" vm="4976">
        <v>11966</v>
      </c>
      <c r="BG116" s="83" vm="4977">
        <v>9673</v>
      </c>
      <c r="BH116" s="83" vm="5228">
        <v>1620</v>
      </c>
      <c r="BI116" s="83" vm="7299">
        <v>0</v>
      </c>
      <c r="BJ116" s="83" vm="4464">
        <v>25895</v>
      </c>
      <c r="BK116" s="83" vm="4978">
        <v>0</v>
      </c>
      <c r="BL116" s="83" vm="4979">
        <v>1825</v>
      </c>
      <c r="BM116" s="83" vm="7312">
        <v>74</v>
      </c>
      <c r="BN116" s="83" vm="4980">
        <v>215</v>
      </c>
      <c r="BO116" s="83" vm="4981">
        <v>11973</v>
      </c>
      <c r="BP116" s="5" vm="4951">
        <f xml:space="preserve"> VfM_Metrics_2023_Consol_Source[[#This Row],[Total social housing units owned and/or managed at period end]]</f>
        <v>7436</v>
      </c>
      <c r="BQ116" s="84" vm="4951">
        <v>7436</v>
      </c>
      <c r="BR116" s="7">
        <f xml:space="preserve"> IFERROR( VfM_Metrics_2023_Consol_Source[[#This Row],[SHL operating surplus / (deficit)]] / VfM_Metrics_2023_Consol_Source[[#This Row],[Turnover from social housing lettings]], "n/a" )</f>
        <v>0.19053726462960874</v>
      </c>
      <c r="BS116" s="5" vm="4982">
        <f xml:space="preserve"> VfM_Metrics_2023_Consol_Source[[#This Row],[Operating surplus/(deficit) (social housing lettings)]]</f>
        <v>13519</v>
      </c>
      <c r="BT116" s="84" vm="4982">
        <v>13519</v>
      </c>
      <c r="BU116" s="5" vm="6933">
        <f xml:space="preserve"> VfM_Metrics_2023_Consol_Source[[#This Row],[Turnover from social housing lettings]]</f>
        <v>70952</v>
      </c>
      <c r="BV116" s="84" vm="6933">
        <v>70952</v>
      </c>
      <c r="BW116" s="7">
        <f xml:space="preserve"> IFERROR( VfM_Metrics_2023_Consol_Source[[#This Row],[Net operating surplus]] / VfM_Metrics_2023_Consol_Source[[#This Row],[Overall turnover]], "n/a" )</f>
        <v>0.22125686813186812</v>
      </c>
      <c r="BX11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25772</v>
      </c>
      <c r="BY116" s="84" vm="4966">
        <v>30990</v>
      </c>
      <c r="BZ116" s="83" vm="3526">
        <v>5218</v>
      </c>
      <c r="CA116" s="83" vm="4968">
        <v>0</v>
      </c>
      <c r="CB116" s="5" vm="4983">
        <f xml:space="preserve"> VfM_Metrics_2023_Consol_Source[[#This Row],[Turnover (overall)]]</f>
        <v>116480</v>
      </c>
      <c r="CC116" s="84" vm="4983">
        <v>116480</v>
      </c>
      <c r="CD116" s="7">
        <f xml:space="preserve"> IFERROR( VfM_Metrics_2023_Consol_Source[[#This Row],[Operating surplus including from JVs]] / VfM_Metrics_2023_Consol_Source[[#This Row],[Net assets]], "n/a" )</f>
        <v>2.3409249657207174E-2</v>
      </c>
      <c r="CE116" s="5">
        <f xml:space="preserve"> SUM( VfM_Metrics_2023_Consol_Source[[#This Row],[Operating surplus/(deficit) (overall)3]], VfM_Metrics_2023_Consol_Source[[#This Row],[Share of operating surplus/(deficit) in joint ventures or associates]] )</f>
        <v>29928</v>
      </c>
      <c r="CF116" s="84" vm="4966">
        <v>30990</v>
      </c>
      <c r="CG116" s="83" vm="4985">
        <v>-1062</v>
      </c>
      <c r="CH116" s="5" vm="4984">
        <f xml:space="preserve"> VfM_Metrics_2023_Consol_Source[[#This Row],[Total assets less current liabilities]]</f>
        <v>1278469</v>
      </c>
      <c r="CI116" s="84" vm="4984">
        <v>1278469</v>
      </c>
      <c r="CJ116" s="71" vm="4950">
        <f xml:space="preserve"> VfM_Metrics_2023_Consol_Source[[#This Row],[Total social housing units owned (Period end)]]</f>
        <v>7436</v>
      </c>
      <c r="CK116" s="103">
        <v>5.2747252747252747E-2</v>
      </c>
      <c r="CL116" s="6">
        <f xml:space="preserve"> -- ( VfM_Metrics_2023_Consol_Source[[#This Row],[% Supported housing (excl. HOP)]] &gt; 0.3 )</f>
        <v>0</v>
      </c>
      <c r="CM116" s="103">
        <v>2.651098901098901E-2</v>
      </c>
      <c r="CN116" s="6">
        <f xml:space="preserve"> -- ( VfM_Metrics_2023_Consol_Source[[#This Row],[% Housing for older people]] &gt; 0.3 )</f>
        <v>0</v>
      </c>
      <c r="CO116" s="103">
        <f xml:space="preserve"> VfM_Metrics_2023_Consol_Source[[#This Row],[% Supported housing (excl. HOP)]] + VfM_Metrics_2023_Consol_Source[[#This Row],[% Housing for older people]]</f>
        <v>7.9258241758241754E-2</v>
      </c>
      <c r="CP116" s="6">
        <f xml:space="preserve"> -- ( VfM_Metrics_2023_Consol_Source[[#This Row],[SH specialist in RSH analysis]] + VfM_Metrics_2023_Consol_Source[[#This Row],[OP specialist in RSH analysis]] &gt; 0 )</f>
        <v>0</v>
      </c>
      <c r="CQ116" s="10">
        <f xml:space="preserve"> -- ( VfM_Metrics_2023_Consol_Source[[#This Row],[% SH and OP]] &gt; 0.3 )</f>
        <v>0</v>
      </c>
      <c r="CR116" s="104" t="s">
        <v>143</v>
      </c>
      <c r="CS116" s="124" t="s">
        <v>144</v>
      </c>
      <c r="CT116" s="105"/>
      <c r="CU11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16" s="85">
        <v>1</v>
      </c>
      <c r="CW116" s="85">
        <v>0</v>
      </c>
      <c r="CX116" s="85">
        <v>0</v>
      </c>
      <c r="CY116" s="85">
        <v>0</v>
      </c>
      <c r="CZ116" s="85">
        <v>0</v>
      </c>
      <c r="DA116" s="85">
        <v>0</v>
      </c>
      <c r="DB116" s="85">
        <v>0</v>
      </c>
      <c r="DC116" s="85">
        <v>0</v>
      </c>
      <c r="DD116" s="85">
        <v>0</v>
      </c>
      <c r="DE116" s="13">
        <v>1.1603700449887588</v>
      </c>
    </row>
    <row r="117" spans="1:109" x14ac:dyDescent="0.25">
      <c r="A117" s="4" t="s" vm="329">
        <v>358</v>
      </c>
      <c r="B117" s="2" t="s" vm="107">
        <v>359</v>
      </c>
      <c r="C117" s="72" vm="433">
        <v>45016</v>
      </c>
      <c r="D117" s="7">
        <f>IFERROR( VfM_Metrics_2023_Consol_Source[[#This Row],[Reinvestment Spend]] / VfM_Metrics_2023_Consol_Source[[#This Row],[Net Book Value of Housing Properties]], "n/a" )</f>
        <v>3.2480917460991666E-2</v>
      </c>
      <c r="E11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5200</v>
      </c>
      <c r="F117" s="83" vm="4351">
        <v>660</v>
      </c>
      <c r="G117" s="83" vm="4352">
        <v>942</v>
      </c>
      <c r="H117" s="83" vm="7060">
        <v>3538</v>
      </c>
      <c r="I117" s="83" vm="4353">
        <v>60</v>
      </c>
      <c r="J117" s="83" vm="4354">
        <v>0</v>
      </c>
      <c r="K117" s="5">
        <f xml:space="preserve"> SUM( VfM_Metrics_2023_Consol_Source[[#This Row],[Tangible fixed assets: Housing properties at cost (Current period)]],VfM_Metrics_2023_Consol_Source[[#This Row],[Tangible fixed assets Housing properties at valuation (Current period)]] )</f>
        <v>160094</v>
      </c>
      <c r="L117" s="84" vm="4355">
        <v>160094</v>
      </c>
      <c r="M117" s="83" vm="7163">
        <v>0</v>
      </c>
      <c r="N117" s="7">
        <f xml:space="preserve"> IFERROR( VfM_Metrics_2023_Consol_Source[[#This Row],[Total social units developed or newly built units acquired in-year]] / VfM_Metrics_2023_Consol_Source[[#This Row],[Social housing units owned (period end)]], "n/a" )</f>
        <v>3.3013205282112846E-3</v>
      </c>
      <c r="O117" s="5">
        <f xml:space="preserve"> SUM( VfM_Metrics_2023_Consol_Source[[#This Row],[Total social units developed or newly built units acquired in-year (owned)]], VfM_Metrics_2023_Consol_Source[[#This Row],[Total social leasehold units developed or newly built units acquired in-year (owned)]] )</f>
        <v>11</v>
      </c>
      <c r="P117" s="84" vm="4357">
        <v>11</v>
      </c>
      <c r="Q117" s="83">
        <v>0</v>
      </c>
      <c r="R117" s="5">
        <f xml:space="preserve"> SUM( VfM_Metrics_2023_Consol_Source[[#This Row],[Total social housing units owned (Period end)]], VfM_Metrics_2023_Consol_Source[[#This Row],[Total social leasehold units owned (Period end)]] )</f>
        <v>3332</v>
      </c>
      <c r="S117" s="84" vm="4349">
        <v>3332</v>
      </c>
      <c r="T117" s="83" vm="4358">
        <v>0</v>
      </c>
      <c r="U117" s="86">
        <f xml:space="preserve"> IFERROR( VfM_Metrics_2023_Consol_Source[[#This Row],[Total non-social housing units developed or newly built units acquired (owned)]] / VfM_Metrics_2023_Consol_Source[[#This Row],[Total social and non-social housing units owned (Period end)]], "n/a" )</f>
        <v>7.5823855351414404E-3</v>
      </c>
      <c r="V11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26</v>
      </c>
      <c r="W117" s="83">
        <v>0</v>
      </c>
      <c r="X117" s="83">
        <v>0</v>
      </c>
      <c r="Y117" s="83" vm="4359">
        <v>26</v>
      </c>
      <c r="Z11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3429</v>
      </c>
      <c r="AA117" s="84" vm="4349">
        <v>3332</v>
      </c>
      <c r="AB117" s="83" vm="4358">
        <v>0</v>
      </c>
      <c r="AC117" s="83" vm="4360">
        <v>8</v>
      </c>
      <c r="AD117" s="83" vm="4361">
        <v>89</v>
      </c>
      <c r="AE117" s="7">
        <f xml:space="preserve"> IFERROR( VfM_Metrics_2023_Consol_Source[[#This Row],[Total Net Debt]] / VfM_Metrics_2023_Consol_Source[[#This Row],[Net Book Value of Housing Properties2]], "n/a" )</f>
        <v>0.56763526428223421</v>
      </c>
      <c r="AF11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90875</v>
      </c>
      <c r="AG117" s="84" vm="4362">
        <v>15000</v>
      </c>
      <c r="AH117" s="83" vm="4363">
        <v>88979</v>
      </c>
      <c r="AI117" s="83" vm="4364">
        <v>13120</v>
      </c>
      <c r="AJ117" s="83" vm="4365">
        <v>0</v>
      </c>
      <c r="AK117" s="83" vm="4366">
        <v>16</v>
      </c>
      <c r="AL117" s="5">
        <f xml:space="preserve"> SUM( VfM_Metrics_2023_Consol_Source[[#This Row],[Tangible fixed assets: Housing properties at cost (Current period)2]], VfM_Metrics_2023_Consol_Source[[#This Row],[Tangible fixed assets Housing properties at valuation (Current period)2]] )</f>
        <v>160094</v>
      </c>
      <c r="AM117" s="84" vm="4355">
        <v>160094</v>
      </c>
      <c r="AN117" s="83" vm="4356">
        <v>0</v>
      </c>
      <c r="AO117" s="87">
        <f xml:space="preserve"> IFERROR( VfM_Metrics_2023_Consol_Source[[#This Row],[EBITDA MRI]] / VfM_Metrics_2023_Consol_Source[[#This Row],[Total interest]], "n/a" )</f>
        <v>0.87774167343623066</v>
      </c>
      <c r="AP11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4322</v>
      </c>
      <c r="AQ117" s="84" vm="4367">
        <v>5012</v>
      </c>
      <c r="AR117" s="84" vm="4368">
        <v>546</v>
      </c>
      <c r="AS117" s="84" vm="4369">
        <v>0</v>
      </c>
      <c r="AT117" s="84" vm="4370">
        <v>156</v>
      </c>
      <c r="AU117" s="84" vm="4371">
        <v>0</v>
      </c>
      <c r="AV117" s="84" vm="4365">
        <v>99</v>
      </c>
      <c r="AW117" s="84" vm="4373">
        <v>3538</v>
      </c>
      <c r="AX117" s="84" vm="4374">
        <v>3451</v>
      </c>
      <c r="AY117" s="3">
        <f xml:space="preserve"> - SUM( VfM_Metrics_2023_Consol_Source[[#This Row],[Interest capitalised]], VfM_Metrics_2023_Consol_Source[[#This Row],[Interest payable and financing costs]] )</f>
        <v>4924</v>
      </c>
      <c r="AZ117" s="84" vm="4375">
        <v>-117</v>
      </c>
      <c r="BA117" s="83" vm="4376">
        <v>-4807</v>
      </c>
      <c r="BB117" s="8">
        <f xml:space="preserve"> IFERROR( ( VfM_Metrics_2023_Consol_Source[[#This Row],[Total Costs]] / VfM_Metrics_2023_Consol_Source[[#This Row],[Total units for costs]] ) * 1000, "n/a" )</f>
        <v>4299.5818399044201</v>
      </c>
      <c r="BC11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14395</v>
      </c>
      <c r="BD117" s="84" vm="6976">
        <v>2094</v>
      </c>
      <c r="BE117" s="83" vm="4377">
        <v>1009</v>
      </c>
      <c r="BF117" s="83" vm="4378">
        <v>3350</v>
      </c>
      <c r="BG117" s="83" vm="7398">
        <v>1051</v>
      </c>
      <c r="BH117" s="83" vm="4379">
        <v>2845</v>
      </c>
      <c r="BI117" s="83" vm="7387">
        <v>0</v>
      </c>
      <c r="BJ117" s="83" vm="4373">
        <v>3538</v>
      </c>
      <c r="BK117" s="83" vm="4380">
        <v>0</v>
      </c>
      <c r="BL117" s="83" vm="4381">
        <v>0</v>
      </c>
      <c r="BM117" s="83" vm="7574">
        <v>0</v>
      </c>
      <c r="BN117" s="83" vm="4382">
        <v>0</v>
      </c>
      <c r="BO117" s="83" vm="4383">
        <v>508</v>
      </c>
      <c r="BP117" s="5" vm="4350">
        <f xml:space="preserve"> VfM_Metrics_2023_Consol_Source[[#This Row],[Total social housing units owned and/or managed at period end]]</f>
        <v>3348</v>
      </c>
      <c r="BQ117" s="84" vm="4350">
        <v>3348</v>
      </c>
      <c r="BR117" s="7">
        <f xml:space="preserve"> IFERROR( VfM_Metrics_2023_Consol_Source[[#This Row],[SHL operating surplus / (deficit)]] / VfM_Metrics_2023_Consol_Source[[#This Row],[Turnover from social housing lettings]], "n/a" )</f>
        <v>0.18834433876537227</v>
      </c>
      <c r="BS117" s="5" vm="6979">
        <f xml:space="preserve"> VfM_Metrics_2023_Consol_Source[[#This Row],[Operating surplus/(deficit) (social housing lettings)]]</f>
        <v>3109</v>
      </c>
      <c r="BT117" s="84" vm="6979">
        <v>3109</v>
      </c>
      <c r="BU117" s="5" vm="4384">
        <f xml:space="preserve"> VfM_Metrics_2023_Consol_Source[[#This Row],[Turnover from social housing lettings]]</f>
        <v>16507</v>
      </c>
      <c r="BV117" s="84" vm="4384">
        <v>16507</v>
      </c>
      <c r="BW117" s="7">
        <f xml:space="preserve"> IFERROR( VfM_Metrics_2023_Consol_Source[[#This Row],[Net operating surplus]] / VfM_Metrics_2023_Consol_Source[[#This Row],[Overall turnover]], "n/a" )</f>
        <v>0.19436828132480308</v>
      </c>
      <c r="BX11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4466</v>
      </c>
      <c r="BY117" s="84" vm="4367">
        <v>5012</v>
      </c>
      <c r="BZ117" s="83" vm="5487">
        <v>546</v>
      </c>
      <c r="CA117" s="83" vm="4369">
        <v>0</v>
      </c>
      <c r="CB117" s="5" vm="4216">
        <f xml:space="preserve"> VfM_Metrics_2023_Consol_Source[[#This Row],[Turnover (overall)]]</f>
        <v>22977</v>
      </c>
      <c r="CC117" s="84" vm="4216">
        <v>22977</v>
      </c>
      <c r="CD117" s="7">
        <f xml:space="preserve"> IFERROR( VfM_Metrics_2023_Consol_Source[[#This Row],[Operating surplus including from JVs]] / VfM_Metrics_2023_Consol_Source[[#This Row],[Net assets]], "n/a" )</f>
        <v>2.9823403103680042E-2</v>
      </c>
      <c r="CE117" s="5">
        <f xml:space="preserve"> SUM( VfM_Metrics_2023_Consol_Source[[#This Row],[Operating surplus/(deficit) (overall)3]], VfM_Metrics_2023_Consol_Source[[#This Row],[Share of operating surplus/(deficit) in joint ventures or associates]] )</f>
        <v>5014</v>
      </c>
      <c r="CF117" s="84" vm="4367">
        <v>5012</v>
      </c>
      <c r="CG117" s="83" vm="4386">
        <v>2</v>
      </c>
      <c r="CH117" s="5" vm="4385">
        <f xml:space="preserve"> VfM_Metrics_2023_Consol_Source[[#This Row],[Total assets less current liabilities]]</f>
        <v>168123</v>
      </c>
      <c r="CI117" s="84" vm="4385">
        <v>168123</v>
      </c>
      <c r="CJ117" s="71" vm="4349">
        <f xml:space="preserve"> VfM_Metrics_2023_Consol_Source[[#This Row],[Total social housing units owned (Period end)]]</f>
        <v>3332</v>
      </c>
      <c r="CK117" s="103">
        <v>0</v>
      </c>
      <c r="CL117" s="6">
        <f xml:space="preserve"> -- ( VfM_Metrics_2023_Consol_Source[[#This Row],[% Supported housing (excl. HOP)]] &gt; 0.3 )</f>
        <v>0</v>
      </c>
      <c r="CM117" s="103">
        <v>0.15324519230769232</v>
      </c>
      <c r="CN117" s="6">
        <f xml:space="preserve"> -- ( VfM_Metrics_2023_Consol_Source[[#This Row],[% Housing for older people]] &gt; 0.3 )</f>
        <v>0</v>
      </c>
      <c r="CO117" s="103">
        <f xml:space="preserve"> VfM_Metrics_2023_Consol_Source[[#This Row],[% Supported housing (excl. HOP)]] + VfM_Metrics_2023_Consol_Source[[#This Row],[% Housing for older people]]</f>
        <v>0.15324519230769232</v>
      </c>
      <c r="CP117" s="6">
        <f xml:space="preserve"> -- ( VfM_Metrics_2023_Consol_Source[[#This Row],[SH specialist in RSH analysis]] + VfM_Metrics_2023_Consol_Source[[#This Row],[OP specialist in RSH analysis]] &gt; 0 )</f>
        <v>0</v>
      </c>
      <c r="CQ117" s="10">
        <f xml:space="preserve"> -- ( VfM_Metrics_2023_Consol_Source[[#This Row],[% SH and OP]] &gt; 0.3 )</f>
        <v>0</v>
      </c>
      <c r="CR117" s="104" t="s">
        <v>143</v>
      </c>
      <c r="CS117" s="124"/>
      <c r="CT117" s="105" t="s">
        <v>151</v>
      </c>
      <c r="CU11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117" s="85">
        <v>0</v>
      </c>
      <c r="CW117" s="85">
        <v>0</v>
      </c>
      <c r="CX117" s="85">
        <v>1</v>
      </c>
      <c r="CY117" s="85">
        <v>0</v>
      </c>
      <c r="CZ117" s="85">
        <v>0</v>
      </c>
      <c r="DA117" s="85">
        <v>0</v>
      </c>
      <c r="DB117" s="85">
        <v>0</v>
      </c>
      <c r="DC117" s="85">
        <v>0</v>
      </c>
      <c r="DD117" s="85">
        <v>0</v>
      </c>
      <c r="DE117" s="13">
        <v>0.97511902715076015</v>
      </c>
    </row>
    <row r="118" spans="1:109" x14ac:dyDescent="0.25">
      <c r="A118" s="4" t="s" vm="219">
        <v>360</v>
      </c>
      <c r="B118" s="2" t="s" vm="108">
        <v>361</v>
      </c>
      <c r="C118" s="72" vm="490">
        <v>45016</v>
      </c>
      <c r="D118" s="7">
        <f>IFERROR( VfM_Metrics_2023_Consol_Source[[#This Row],[Reinvestment Spend]] / VfM_Metrics_2023_Consol_Source[[#This Row],[Net Book Value of Housing Properties]], "n/a" )</f>
        <v>4.1580930493573129E-2</v>
      </c>
      <c r="E11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6224</v>
      </c>
      <c r="F118" s="83" vm="991">
        <v>5280</v>
      </c>
      <c r="G118" s="83" vm="992">
        <v>0</v>
      </c>
      <c r="H118" s="83" vm="993">
        <v>944</v>
      </c>
      <c r="I118" s="83" vm="994">
        <v>0</v>
      </c>
      <c r="J118" s="83" vm="8818">
        <v>0</v>
      </c>
      <c r="K118" s="5">
        <f xml:space="preserve"> SUM( VfM_Metrics_2023_Consol_Source[[#This Row],[Tangible fixed assets: Housing properties at cost (Current period)]],VfM_Metrics_2023_Consol_Source[[#This Row],[Tangible fixed assets Housing properties at valuation (Current period)]] )</f>
        <v>149684</v>
      </c>
      <c r="L118" s="84" vm="8617">
        <v>149684</v>
      </c>
      <c r="M118" s="83">
        <v>0</v>
      </c>
      <c r="N118" s="7">
        <f xml:space="preserve"> IFERROR( VfM_Metrics_2023_Consol_Source[[#This Row],[Total social units developed or newly built units acquired in-year]] / VfM_Metrics_2023_Consol_Source[[#This Row],[Social housing units owned (period end)]], "n/a" )</f>
        <v>3.7488284910965321E-2</v>
      </c>
      <c r="O118" s="5">
        <f xml:space="preserve"> SUM( VfM_Metrics_2023_Consol_Source[[#This Row],[Total social units developed or newly built units acquired in-year (owned)]], VfM_Metrics_2023_Consol_Source[[#This Row],[Total social leasehold units developed or newly built units acquired in-year (owned)]] )</f>
        <v>40</v>
      </c>
      <c r="P118" s="84" vm="8580">
        <v>40</v>
      </c>
      <c r="Q118" s="83">
        <v>0</v>
      </c>
      <c r="R118" s="5">
        <f xml:space="preserve"> SUM( VfM_Metrics_2023_Consol_Source[[#This Row],[Total social housing units owned (Period end)]], VfM_Metrics_2023_Consol_Source[[#This Row],[Total social leasehold units owned (Period end)]] )</f>
        <v>1067</v>
      </c>
      <c r="S118" s="84" vm="989">
        <v>1067</v>
      </c>
      <c r="T118" s="83" vm="8546">
        <v>0</v>
      </c>
      <c r="U118" s="86">
        <f xml:space="preserve"> IFERROR( VfM_Metrics_2023_Consol_Source[[#This Row],[Total non-social housing units developed or newly built units acquired (owned)]] / VfM_Metrics_2023_Consol_Source[[#This Row],[Total social and non-social housing units owned (Period end)]], "n/a" )</f>
        <v>0</v>
      </c>
      <c r="V11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18" s="83">
        <v>0</v>
      </c>
      <c r="X118" s="83">
        <v>0</v>
      </c>
      <c r="Y118" s="83" vm="996">
        <v>0</v>
      </c>
      <c r="Z11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1067</v>
      </c>
      <c r="AA118" s="84" vm="989">
        <v>1067</v>
      </c>
      <c r="AB118" s="83" vm="8628">
        <v>0</v>
      </c>
      <c r="AC118" s="83" vm="8695">
        <v>0</v>
      </c>
      <c r="AD118" s="83" vm="8725">
        <v>0</v>
      </c>
      <c r="AE118" s="7">
        <f xml:space="preserve"> IFERROR( VfM_Metrics_2023_Consol_Source[[#This Row],[Total Net Debt]] / VfM_Metrics_2023_Consol_Source[[#This Row],[Net Book Value of Housing Properties2]], "n/a" )</f>
        <v>0.4398599716736592</v>
      </c>
      <c r="AF11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65840</v>
      </c>
      <c r="AG118" s="84" vm="8544">
        <v>1715</v>
      </c>
      <c r="AH118" s="83" vm="8625">
        <v>65091</v>
      </c>
      <c r="AI118" s="83" vm="8692">
        <v>966</v>
      </c>
      <c r="AJ118" s="83" vm="1675">
        <v>0</v>
      </c>
      <c r="AK118" s="83">
        <v>0</v>
      </c>
      <c r="AL118" s="5">
        <f xml:space="preserve"> SUM( VfM_Metrics_2023_Consol_Source[[#This Row],[Tangible fixed assets: Housing properties at cost (Current period)2]], VfM_Metrics_2023_Consol_Source[[#This Row],[Tangible fixed assets Housing properties at valuation (Current period)2]] )</f>
        <v>149684</v>
      </c>
      <c r="AM118" s="84" vm="808">
        <v>149684</v>
      </c>
      <c r="AN118" s="83">
        <v>0</v>
      </c>
      <c r="AO118" s="87">
        <f xml:space="preserve"> IFERROR( VfM_Metrics_2023_Consol_Source[[#This Row],[EBITDA MRI]] / VfM_Metrics_2023_Consol_Source[[#This Row],[Total interest]], "n/a" )</f>
        <v>1.6456665506439263</v>
      </c>
      <c r="AP11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4728</v>
      </c>
      <c r="AQ118" s="84" vm="8721">
        <v>4164</v>
      </c>
      <c r="AR118" s="84" vm="8777">
        <v>71</v>
      </c>
      <c r="AS118" s="84">
        <v>0</v>
      </c>
      <c r="AT118" s="84" vm="8616">
        <v>639</v>
      </c>
      <c r="AU118" s="84" vm="8978">
        <v>0</v>
      </c>
      <c r="AV118" s="84">
        <v>0</v>
      </c>
      <c r="AW118" s="84" vm="8686">
        <v>944</v>
      </c>
      <c r="AX118" s="84" vm="1001">
        <v>2218</v>
      </c>
      <c r="AY118" s="3">
        <f xml:space="preserve"> - SUM( VfM_Metrics_2023_Consol_Source[[#This Row],[Interest capitalised]], VfM_Metrics_2023_Consol_Source[[#This Row],[Interest payable and financing costs]] )</f>
        <v>2873</v>
      </c>
      <c r="AZ118" s="84" vm="8793">
        <v>-88</v>
      </c>
      <c r="BA118" s="83" vm="7915">
        <v>-2785</v>
      </c>
      <c r="BB118" s="8">
        <f xml:space="preserve"> IFERROR( ( VfM_Metrics_2023_Consol_Source[[#This Row],[Total Costs]] / VfM_Metrics_2023_Consol_Source[[#This Row],[Total units for costs]] ) * 1000, "n/a" )</f>
        <v>5455.4826616682285</v>
      </c>
      <c r="BC11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5821</v>
      </c>
      <c r="BD118" s="84" vm="8968">
        <v>1271</v>
      </c>
      <c r="BE118" s="83" vm="8577">
        <v>932</v>
      </c>
      <c r="BF118" s="83" vm="8760">
        <v>1259</v>
      </c>
      <c r="BG118" s="83" vm="1002">
        <v>103</v>
      </c>
      <c r="BH118" s="83" vm="8613">
        <v>557</v>
      </c>
      <c r="BI118" s="83" vm="1003">
        <v>8</v>
      </c>
      <c r="BJ118" s="83" vm="8790">
        <v>944</v>
      </c>
      <c r="BK118" s="83" vm="8776">
        <v>492</v>
      </c>
      <c r="BL118" s="83">
        <v>0</v>
      </c>
      <c r="BM118" s="83">
        <v>0</v>
      </c>
      <c r="BN118" s="83" vm="799">
        <v>255</v>
      </c>
      <c r="BO118" s="83">
        <v>0</v>
      </c>
      <c r="BP118" s="5" vm="8612">
        <f xml:space="preserve"> VfM_Metrics_2023_Consol_Source[[#This Row],[Total social housing units owned and/or managed at period end]]</f>
        <v>1067</v>
      </c>
      <c r="BQ118" s="84" vm="8612">
        <v>1067</v>
      </c>
      <c r="BR118" s="7">
        <f xml:space="preserve"> IFERROR( VfM_Metrics_2023_Consol_Source[[#This Row],[SHL operating surplus / (deficit)]] / VfM_Metrics_2023_Consol_Source[[#This Row],[Turnover from social housing lettings]], "n/a" )</f>
        <v>0.28240208877284595</v>
      </c>
      <c r="BS118" s="5" vm="8542">
        <f xml:space="preserve"> VfM_Metrics_2023_Consol_Source[[#This Row],[Operating surplus/(deficit) (social housing lettings)]]</f>
        <v>2704</v>
      </c>
      <c r="BT118" s="84" vm="8542">
        <v>2704</v>
      </c>
      <c r="BU118" s="5" vm="8608">
        <f xml:space="preserve"> VfM_Metrics_2023_Consol_Source[[#This Row],[Turnover from social housing lettings]]</f>
        <v>9575</v>
      </c>
      <c r="BV118" s="84" vm="8608">
        <v>9575</v>
      </c>
      <c r="BW118" s="7">
        <f xml:space="preserve"> IFERROR( VfM_Metrics_2023_Consol_Source[[#This Row],[Net operating surplus]] / VfM_Metrics_2023_Consol_Source[[#This Row],[Overall turnover]], "n/a" )</f>
        <v>0.30506074383245135</v>
      </c>
      <c r="BX11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4093</v>
      </c>
      <c r="BY118" s="84" vm="997">
        <v>4164</v>
      </c>
      <c r="BZ118" s="83" vm="998">
        <v>71</v>
      </c>
      <c r="CA118" s="83">
        <v>0</v>
      </c>
      <c r="CB118" s="5" vm="8590">
        <f xml:space="preserve"> VfM_Metrics_2023_Consol_Source[[#This Row],[Turnover (overall)]]</f>
        <v>13417</v>
      </c>
      <c r="CC118" s="84" vm="8590">
        <v>13417</v>
      </c>
      <c r="CD118" s="7">
        <f xml:space="preserve"> IFERROR( VfM_Metrics_2023_Consol_Source[[#This Row],[Operating surplus including from JVs]] / VfM_Metrics_2023_Consol_Source[[#This Row],[Net assets]], "n/a" )</f>
        <v>2.7763331599791975E-2</v>
      </c>
      <c r="CE118" s="5">
        <f xml:space="preserve"> SUM( VfM_Metrics_2023_Consol_Source[[#This Row],[Operating surplus/(deficit) (overall)3]], VfM_Metrics_2023_Consol_Source[[#This Row],[Share of operating surplus/(deficit) in joint ventures or associates]] )</f>
        <v>4164</v>
      </c>
      <c r="CF118" s="84" vm="997">
        <v>4164</v>
      </c>
      <c r="CG118" s="83">
        <v>0</v>
      </c>
      <c r="CH118" s="5" vm="2237">
        <f xml:space="preserve"> VfM_Metrics_2023_Consol_Source[[#This Row],[Total assets less current liabilities]]</f>
        <v>149982</v>
      </c>
      <c r="CI118" s="84" vm="2237">
        <v>149982</v>
      </c>
      <c r="CJ118" s="71" vm="989">
        <f xml:space="preserve"> VfM_Metrics_2023_Consol_Source[[#This Row],[Total social housing units owned (Period end)]]</f>
        <v>1067</v>
      </c>
      <c r="CK118" s="103">
        <v>0</v>
      </c>
      <c r="CL118" s="6">
        <f xml:space="preserve"> -- ( VfM_Metrics_2023_Consol_Source[[#This Row],[% Supported housing (excl. HOP)]] &gt; 0.3 )</f>
        <v>0</v>
      </c>
      <c r="CM118" s="103">
        <v>0</v>
      </c>
      <c r="CN118" s="6">
        <f xml:space="preserve"> -- ( VfM_Metrics_2023_Consol_Source[[#This Row],[% Housing for older people]] &gt; 0.3 )</f>
        <v>0</v>
      </c>
      <c r="CO118" s="103">
        <f xml:space="preserve"> VfM_Metrics_2023_Consol_Source[[#This Row],[% Supported housing (excl. HOP)]] + VfM_Metrics_2023_Consol_Source[[#This Row],[% Housing for older people]]</f>
        <v>0</v>
      </c>
      <c r="CP118" s="6">
        <f xml:space="preserve"> -- ( VfM_Metrics_2023_Consol_Source[[#This Row],[SH specialist in RSH analysis]] + VfM_Metrics_2023_Consol_Source[[#This Row],[OP specialist in RSH analysis]] &gt; 0 )</f>
        <v>0</v>
      </c>
      <c r="CQ118" s="10">
        <f xml:space="preserve"> -- ( VfM_Metrics_2023_Consol_Source[[#This Row],[% SH and OP]] &gt; 0.3 )</f>
        <v>0</v>
      </c>
      <c r="CR118" s="104" t="s">
        <v>143</v>
      </c>
      <c r="CS118" s="124" t="s">
        <v>144</v>
      </c>
      <c r="CT118" s="105"/>
      <c r="CU11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18" s="85">
        <v>1</v>
      </c>
      <c r="CW118" s="85">
        <v>0</v>
      </c>
      <c r="CX118" s="85">
        <v>0</v>
      </c>
      <c r="CY118" s="85">
        <v>0</v>
      </c>
      <c r="CZ118" s="85">
        <v>0</v>
      </c>
      <c r="DA118" s="85">
        <v>0</v>
      </c>
      <c r="DB118" s="85">
        <v>0</v>
      </c>
      <c r="DC118" s="85">
        <v>0</v>
      </c>
      <c r="DD118" s="85">
        <v>0</v>
      </c>
      <c r="DE118" s="13">
        <v>1.1603700449887588</v>
      </c>
    </row>
    <row r="119" spans="1:109" x14ac:dyDescent="0.25">
      <c r="A119" s="4" t="s" vm="328">
        <v>362</v>
      </c>
      <c r="B119" s="2" t="s" vm="109">
        <v>363</v>
      </c>
      <c r="C119" s="72" vm="558">
        <v>45016</v>
      </c>
      <c r="D119" s="7">
        <f>IFERROR( VfM_Metrics_2023_Consol_Source[[#This Row],[Reinvestment Spend]] / VfM_Metrics_2023_Consol_Source[[#This Row],[Net Book Value of Housing Properties]], "n/a" )</f>
        <v>6.6287638740516755E-2</v>
      </c>
      <c r="E11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14644</v>
      </c>
      <c r="F119" s="83" vm="4311">
        <v>568</v>
      </c>
      <c r="G119" s="83" vm="4312">
        <v>11135</v>
      </c>
      <c r="H119" s="83" vm="7062">
        <v>2834</v>
      </c>
      <c r="I119" s="83" vm="4314">
        <v>107</v>
      </c>
      <c r="J119" s="83" vm="4315">
        <v>0</v>
      </c>
      <c r="K119" s="5">
        <f xml:space="preserve"> SUM( VfM_Metrics_2023_Consol_Source[[#This Row],[Tangible fixed assets: Housing properties at cost (Current period)]],VfM_Metrics_2023_Consol_Source[[#This Row],[Tangible fixed assets Housing properties at valuation (Current period)]] )</f>
        <v>220916</v>
      </c>
      <c r="L119" s="84" vm="4316">
        <v>220916</v>
      </c>
      <c r="M119" s="83" vm="4317">
        <v>0</v>
      </c>
      <c r="N119" s="7">
        <f xml:space="preserve"> IFERROR( VfM_Metrics_2023_Consol_Source[[#This Row],[Total social units developed or newly built units acquired in-year]] / VfM_Metrics_2023_Consol_Source[[#This Row],[Social housing units owned (period end)]], "n/a" )</f>
        <v>1.7703722988804998E-2</v>
      </c>
      <c r="O119" s="5">
        <f xml:space="preserve"> SUM( VfM_Metrics_2023_Consol_Source[[#This Row],[Total social units developed or newly built units acquired in-year (owned)]], VfM_Metrics_2023_Consol_Source[[#This Row],[Total social leasehold units developed or newly built units acquired in-year (owned)]] )</f>
        <v>68</v>
      </c>
      <c r="P119" s="84" vm="4318">
        <v>68</v>
      </c>
      <c r="Q119" s="83" vm="4319">
        <v>0</v>
      </c>
      <c r="R119" s="5">
        <f xml:space="preserve"> SUM( VfM_Metrics_2023_Consol_Source[[#This Row],[Total social housing units owned (Period end)]], VfM_Metrics_2023_Consol_Source[[#This Row],[Total social leasehold units owned (Period end)]] )</f>
        <v>3841</v>
      </c>
      <c r="S119" s="84" vm="4309">
        <v>3827</v>
      </c>
      <c r="T119" s="83" vm="4320">
        <v>14</v>
      </c>
      <c r="U119" s="86">
        <f xml:space="preserve"> IFERROR( VfM_Metrics_2023_Consol_Source[[#This Row],[Total non-social housing units developed or newly built units acquired (owned)]] / VfM_Metrics_2023_Consol_Source[[#This Row],[Total social and non-social housing units owned (Period end)]], "n/a" )</f>
        <v>0</v>
      </c>
      <c r="V11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19" s="83" vm="4321">
        <v>0</v>
      </c>
      <c r="X119" s="83" vm="4322">
        <v>0</v>
      </c>
      <c r="Y119" s="83" vm="4323">
        <v>0</v>
      </c>
      <c r="Z11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3841</v>
      </c>
      <c r="AA119" s="84" vm="7429">
        <v>3827</v>
      </c>
      <c r="AB119" s="83" vm="4320">
        <v>14</v>
      </c>
      <c r="AC119" s="83" vm="7527">
        <v>0</v>
      </c>
      <c r="AD119" s="83" vm="4324">
        <v>0</v>
      </c>
      <c r="AE119" s="7">
        <f xml:space="preserve"> IFERROR( VfM_Metrics_2023_Consol_Source[[#This Row],[Total Net Debt]] / VfM_Metrics_2023_Consol_Source[[#This Row],[Net Book Value of Housing Properties2]], "n/a" )</f>
        <v>0.47177660287167972</v>
      </c>
      <c r="AF11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104223</v>
      </c>
      <c r="AG119" s="84" vm="4325">
        <v>37</v>
      </c>
      <c r="AH119" s="83" vm="4326">
        <v>111241</v>
      </c>
      <c r="AI119" s="83" vm="4327">
        <v>7055</v>
      </c>
      <c r="AJ119" s="83" vm="4328">
        <v>0</v>
      </c>
      <c r="AK119" s="83" vm="4329">
        <v>0</v>
      </c>
      <c r="AL119" s="5">
        <f xml:space="preserve"> SUM( VfM_Metrics_2023_Consol_Source[[#This Row],[Tangible fixed assets: Housing properties at cost (Current period)2]], VfM_Metrics_2023_Consol_Source[[#This Row],[Tangible fixed assets Housing properties at valuation (Current period)2]] )</f>
        <v>220916</v>
      </c>
      <c r="AM119" s="84" vm="7054">
        <v>220916</v>
      </c>
      <c r="AN119" s="83" vm="4317">
        <v>0</v>
      </c>
      <c r="AO119" s="87">
        <f xml:space="preserve"> IFERROR( VfM_Metrics_2023_Consol_Source[[#This Row],[EBITDA MRI]] / VfM_Metrics_2023_Consol_Source[[#This Row],[Total interest]], "n/a" )</f>
        <v>1.6940459110473458</v>
      </c>
      <c r="AP11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4723</v>
      </c>
      <c r="AQ119" s="84" vm="4330">
        <v>5242</v>
      </c>
      <c r="AR119" s="84" vm="4331">
        <v>115</v>
      </c>
      <c r="AS119" s="84" vm="4332">
        <v>0</v>
      </c>
      <c r="AT119" s="84" vm="4370">
        <v>945</v>
      </c>
      <c r="AU119" s="84" vm="7724">
        <v>0</v>
      </c>
      <c r="AV119" s="84" vm="4333">
        <v>25</v>
      </c>
      <c r="AW119" s="84" vm="4334">
        <v>2834</v>
      </c>
      <c r="AX119" s="84" vm="4335">
        <v>3350</v>
      </c>
      <c r="AY119" s="3">
        <f xml:space="preserve"> - SUM( VfM_Metrics_2023_Consol_Source[[#This Row],[Interest capitalised]], VfM_Metrics_2023_Consol_Source[[#This Row],[Interest payable and financing costs]] )</f>
        <v>2788</v>
      </c>
      <c r="AZ119" s="84" vm="4336">
        <v>-107</v>
      </c>
      <c r="BA119" s="83" vm="4337">
        <v>-2681</v>
      </c>
      <c r="BB119" s="8">
        <f xml:space="preserve"> IFERROR( ( VfM_Metrics_2023_Consol_Source[[#This Row],[Total Costs]] / VfM_Metrics_2023_Consol_Source[[#This Row],[Total units for costs]] ) * 1000, "n/a" )</f>
        <v>4330.8251167618055</v>
      </c>
      <c r="BC11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16691</v>
      </c>
      <c r="BD119" s="84" vm="4338">
        <v>4811</v>
      </c>
      <c r="BE119" s="83" vm="6977">
        <v>2006</v>
      </c>
      <c r="BF119" s="83" vm="4339">
        <v>3744</v>
      </c>
      <c r="BG119" s="83" vm="4340">
        <v>1739</v>
      </c>
      <c r="BH119" s="83" vm="4341">
        <v>1294</v>
      </c>
      <c r="BI119" s="83" vm="7541">
        <v>263</v>
      </c>
      <c r="BJ119" s="83" vm="7526">
        <v>2834</v>
      </c>
      <c r="BK119" s="83" vm="6982">
        <v>0</v>
      </c>
      <c r="BL119" s="83" vm="3252">
        <v>0</v>
      </c>
      <c r="BM119" s="83" vm="2999">
        <v>0</v>
      </c>
      <c r="BN119" s="83" vm="4342">
        <v>0</v>
      </c>
      <c r="BO119" s="83" vm="4343">
        <v>0</v>
      </c>
      <c r="BP119" s="5" vm="4310">
        <f xml:space="preserve"> VfM_Metrics_2023_Consol_Source[[#This Row],[Total social housing units owned and/or managed at period end]]</f>
        <v>3854</v>
      </c>
      <c r="BQ119" s="84" vm="4310">
        <v>3854</v>
      </c>
      <c r="BR119" s="7">
        <f xml:space="preserve"> IFERROR( VfM_Metrics_2023_Consol_Source[[#This Row],[SHL operating surplus / (deficit)]] / VfM_Metrics_2023_Consol_Source[[#This Row],[Turnover from social housing lettings]], "n/a" )</f>
        <v>0.21737941096015317</v>
      </c>
      <c r="BS119" s="5" vm="4344">
        <f xml:space="preserve"> VfM_Metrics_2023_Consol_Source[[#This Row],[Operating surplus/(deficit) (social housing lettings)]]</f>
        <v>4768</v>
      </c>
      <c r="BT119" s="84" vm="4344">
        <v>4768</v>
      </c>
      <c r="BU119" s="5" vm="4345">
        <f xml:space="preserve"> VfM_Metrics_2023_Consol_Source[[#This Row],[Turnover from social housing lettings]]</f>
        <v>21934</v>
      </c>
      <c r="BV119" s="84" vm="4345">
        <v>21934</v>
      </c>
      <c r="BW119" s="7">
        <f xml:space="preserve"> IFERROR( VfM_Metrics_2023_Consol_Source[[#This Row],[Net operating surplus]] / VfM_Metrics_2023_Consol_Source[[#This Row],[Overall turnover]], "n/a" )</f>
        <v>0.22907823600375318</v>
      </c>
      <c r="BX11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5127</v>
      </c>
      <c r="BY119" s="84" vm="7351">
        <v>5242</v>
      </c>
      <c r="BZ119" s="83" vm="7606">
        <v>115</v>
      </c>
      <c r="CA119" s="83" vm="7336">
        <v>0</v>
      </c>
      <c r="CB119" s="5" vm="4346">
        <f xml:space="preserve"> VfM_Metrics_2023_Consol_Source[[#This Row],[Turnover (overall)]]</f>
        <v>22381</v>
      </c>
      <c r="CC119" s="84" vm="4346">
        <v>22381</v>
      </c>
      <c r="CD119" s="7">
        <f xml:space="preserve"> IFERROR( VfM_Metrics_2023_Consol_Source[[#This Row],[Operating surplus including from JVs]] / VfM_Metrics_2023_Consol_Source[[#This Row],[Net assets]], "n/a" )</f>
        <v>2.3087934109978198E-2</v>
      </c>
      <c r="CE119" s="5">
        <f xml:space="preserve"> SUM( VfM_Metrics_2023_Consol_Source[[#This Row],[Operating surplus/(deficit) (overall)3]], VfM_Metrics_2023_Consol_Source[[#This Row],[Share of operating surplus/(deficit) in joint ventures or associates]] )</f>
        <v>5242</v>
      </c>
      <c r="CF119" s="84" vm="4330">
        <v>5242</v>
      </c>
      <c r="CG119" s="83" vm="4348">
        <v>0</v>
      </c>
      <c r="CH119" s="5" vm="4347">
        <f xml:space="preserve"> VfM_Metrics_2023_Consol_Source[[#This Row],[Total assets less current liabilities]]</f>
        <v>227045</v>
      </c>
      <c r="CI119" s="84" vm="4347">
        <v>227045</v>
      </c>
      <c r="CJ119" s="71" vm="4309">
        <f xml:space="preserve"> VfM_Metrics_2023_Consol_Source[[#This Row],[Total social housing units owned (Period end)]]</f>
        <v>3827</v>
      </c>
      <c r="CK119" s="103">
        <v>0.10559330893883952</v>
      </c>
      <c r="CL119" s="6">
        <f xml:space="preserve"> -- ( VfM_Metrics_2023_Consol_Source[[#This Row],[% Supported housing (excl. HOP)]] &gt; 0.3 )</f>
        <v>0</v>
      </c>
      <c r="CM119" s="103">
        <v>5.0444328280188189E-2</v>
      </c>
      <c r="CN119" s="6">
        <f xml:space="preserve"> -- ( VfM_Metrics_2023_Consol_Source[[#This Row],[% Housing for older people]] &gt; 0.3 )</f>
        <v>0</v>
      </c>
      <c r="CO119" s="103">
        <f xml:space="preserve"> VfM_Metrics_2023_Consol_Source[[#This Row],[% Supported housing (excl. HOP)]] + VfM_Metrics_2023_Consol_Source[[#This Row],[% Housing for older people]]</f>
        <v>0.15603763721902769</v>
      </c>
      <c r="CP119" s="6">
        <f xml:space="preserve"> -- ( VfM_Metrics_2023_Consol_Source[[#This Row],[SH specialist in RSH analysis]] + VfM_Metrics_2023_Consol_Source[[#This Row],[OP specialist in RSH analysis]] &gt; 0 )</f>
        <v>0</v>
      </c>
      <c r="CQ119" s="10">
        <f xml:space="preserve"> -- ( VfM_Metrics_2023_Consol_Source[[#This Row],[% SH and OP]] &gt; 0.3 )</f>
        <v>0</v>
      </c>
      <c r="CR119" s="104" t="s">
        <v>143</v>
      </c>
      <c r="CS119" s="124" t="s">
        <v>144</v>
      </c>
      <c r="CT119" s="105"/>
      <c r="CU11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119" s="85">
        <v>0</v>
      </c>
      <c r="CW119" s="85">
        <v>0</v>
      </c>
      <c r="CX119" s="85">
        <v>0</v>
      </c>
      <c r="CY119" s="85">
        <v>0</v>
      </c>
      <c r="CZ119" s="85">
        <v>0</v>
      </c>
      <c r="DA119" s="85">
        <v>0</v>
      </c>
      <c r="DB119" s="85">
        <v>0.97358786610878656</v>
      </c>
      <c r="DC119" s="85">
        <v>0</v>
      </c>
      <c r="DD119" s="85">
        <v>2.6412133891213389E-2</v>
      </c>
      <c r="DE119" s="13">
        <v>0.90755234887910019</v>
      </c>
    </row>
    <row r="120" spans="1:109" x14ac:dyDescent="0.25">
      <c r="A120" s="4" t="s" vm="239">
        <v>364</v>
      </c>
      <c r="B120" s="2" t="s" vm="110">
        <v>365</v>
      </c>
      <c r="C120" s="72" vm="594">
        <v>45016</v>
      </c>
      <c r="D120" s="7">
        <f>IFERROR( VfM_Metrics_2023_Consol_Source[[#This Row],[Reinvestment Spend]] / VfM_Metrics_2023_Consol_Source[[#This Row],[Net Book Value of Housing Properties]], "n/a" )</f>
        <v>3.5111658890160519E-2</v>
      </c>
      <c r="E12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239300</v>
      </c>
      <c r="F120" s="83" vm="1450">
        <v>194200</v>
      </c>
      <c r="G120" s="83" vm="8357">
        <v>0</v>
      </c>
      <c r="H120" s="83" vm="8354">
        <v>39700</v>
      </c>
      <c r="I120" s="83" vm="8317">
        <v>5400</v>
      </c>
      <c r="J120" s="83" vm="8445">
        <v>0</v>
      </c>
      <c r="K120" s="5">
        <f xml:space="preserve"> SUM( VfM_Metrics_2023_Consol_Source[[#This Row],[Tangible fixed assets: Housing properties at cost (Current period)]],VfM_Metrics_2023_Consol_Source[[#This Row],[Tangible fixed assets Housing properties at valuation (Current period)]] )</f>
        <v>6815400</v>
      </c>
      <c r="L120" s="84" vm="8438">
        <v>6815400</v>
      </c>
      <c r="M120" s="83">
        <v>0</v>
      </c>
      <c r="N120" s="7">
        <f xml:space="preserve"> IFERROR( VfM_Metrics_2023_Consol_Source[[#This Row],[Total social units developed or newly built units acquired in-year]] / VfM_Metrics_2023_Consol_Source[[#This Row],[Social housing units owned (period end)]], "n/a" )</f>
        <v>7.3610415623435151E-3</v>
      </c>
      <c r="O120" s="5">
        <f xml:space="preserve"> SUM( VfM_Metrics_2023_Consol_Source[[#This Row],[Total social units developed or newly built units acquired in-year (owned)]], VfM_Metrics_2023_Consol_Source[[#This Row],[Total social leasehold units developed or newly built units acquired in-year (owned)]] )</f>
        <v>441</v>
      </c>
      <c r="P120" s="84" vm="1451">
        <v>277</v>
      </c>
      <c r="Q120" s="83" vm="8352">
        <v>164</v>
      </c>
      <c r="R120" s="5">
        <f xml:space="preserve"> SUM( VfM_Metrics_2023_Consol_Source[[#This Row],[Total social housing units owned (Period end)]], VfM_Metrics_2023_Consol_Source[[#This Row],[Total social leasehold units owned (Period end)]] )</f>
        <v>59910</v>
      </c>
      <c r="S120" s="84" vm="1448">
        <v>50459</v>
      </c>
      <c r="T120" s="83" vm="8254">
        <v>9451</v>
      </c>
      <c r="U120" s="86">
        <f xml:space="preserve"> IFERROR( VfM_Metrics_2023_Consol_Source[[#This Row],[Total non-social housing units developed or newly built units acquired (owned)]] / VfM_Metrics_2023_Consol_Source[[#This Row],[Total social and non-social housing units owned (Period end)]], "n/a" )</f>
        <v>2.8455729451679983E-3</v>
      </c>
      <c r="V12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182</v>
      </c>
      <c r="W120" s="83" vm="1449">
        <v>18</v>
      </c>
      <c r="X120" s="83">
        <v>0</v>
      </c>
      <c r="Y120" s="83" vm="8362">
        <v>164</v>
      </c>
      <c r="Z12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63959</v>
      </c>
      <c r="AA120" s="84" vm="8442">
        <v>50459</v>
      </c>
      <c r="AB120" s="83" vm="8251">
        <v>9451</v>
      </c>
      <c r="AC120" s="83" vm="8384">
        <v>4049</v>
      </c>
      <c r="AD120" s="83" vm="1452">
        <v>0</v>
      </c>
      <c r="AE120" s="7">
        <f xml:space="preserve"> IFERROR( VfM_Metrics_2023_Consol_Source[[#This Row],[Total Net Debt]] / VfM_Metrics_2023_Consol_Source[[#This Row],[Net Book Value of Housing Properties2]], "n/a" )</f>
        <v>0.47612759339143707</v>
      </c>
      <c r="AF12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3245000</v>
      </c>
      <c r="AG120" s="84" vm="8343">
        <v>30100</v>
      </c>
      <c r="AH120" s="83" vm="8060">
        <v>3275100</v>
      </c>
      <c r="AI120" s="83" vm="7837">
        <v>60200</v>
      </c>
      <c r="AJ120" s="83" vm="1675">
        <v>0</v>
      </c>
      <c r="AK120" s="83">
        <v>0</v>
      </c>
      <c r="AL120" s="5">
        <f xml:space="preserve"> SUM( VfM_Metrics_2023_Consol_Source[[#This Row],[Tangible fixed assets: Housing properties at cost (Current period)2]], VfM_Metrics_2023_Consol_Source[[#This Row],[Tangible fixed assets Housing properties at valuation (Current period)2]] )</f>
        <v>6815400</v>
      </c>
      <c r="AM120" s="84" vm="8589">
        <v>6815400</v>
      </c>
      <c r="AN120" s="83">
        <v>0</v>
      </c>
      <c r="AO120" s="87">
        <f xml:space="preserve"> IFERROR( VfM_Metrics_2023_Consol_Source[[#This Row],[EBITDA MRI]] / VfM_Metrics_2023_Consol_Source[[#This Row],[Total interest]], "n/a" )</f>
        <v>0.96851975887474884</v>
      </c>
      <c r="AP12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144600</v>
      </c>
      <c r="AQ120" s="84" vm="7889">
        <v>173400</v>
      </c>
      <c r="AR120" s="84" vm="1479">
        <v>50800</v>
      </c>
      <c r="AS120" s="84">
        <v>0</v>
      </c>
      <c r="AT120" s="84" vm="995">
        <v>12900</v>
      </c>
      <c r="AU120" s="84" vm="1455">
        <v>0</v>
      </c>
      <c r="AV120" s="84" vm="1456">
        <v>7000</v>
      </c>
      <c r="AW120" s="84" vm="1457">
        <v>39700</v>
      </c>
      <c r="AX120" s="84" vm="8250">
        <v>67600</v>
      </c>
      <c r="AY120" s="3">
        <f xml:space="preserve"> - SUM( VfM_Metrics_2023_Consol_Source[[#This Row],[Interest capitalised]], VfM_Metrics_2023_Consol_Source[[#This Row],[Interest payable and financing costs]] )</f>
        <v>149300</v>
      </c>
      <c r="AZ120" s="84" vm="1458">
        <v>-9900</v>
      </c>
      <c r="BA120" s="83" vm="8298">
        <v>-139400</v>
      </c>
      <c r="BB120" s="8">
        <f xml:space="preserve"> IFERROR( ( VfM_Metrics_2023_Consol_Source[[#This Row],[Total Costs]] / VfM_Metrics_2023_Consol_Source[[#This Row],[Total units for costs]] ) * 1000, "n/a" )</f>
        <v>8167.0168067226887</v>
      </c>
      <c r="BC12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435400</v>
      </c>
      <c r="BD120" s="84" vm="1881">
        <v>88900</v>
      </c>
      <c r="BE120" s="83" vm="1511">
        <v>60100</v>
      </c>
      <c r="BF120" s="83" vm="8249">
        <v>111200</v>
      </c>
      <c r="BG120" s="83" vm="1459">
        <v>13000</v>
      </c>
      <c r="BH120" s="83" vm="1460">
        <v>44700</v>
      </c>
      <c r="BI120" s="83" vm="8568">
        <v>39500</v>
      </c>
      <c r="BJ120" s="83" vm="1457">
        <v>39700</v>
      </c>
      <c r="BK120" s="83" vm="2033">
        <v>0</v>
      </c>
      <c r="BL120" s="83" vm="8315">
        <v>21200</v>
      </c>
      <c r="BM120" s="83" vm="1778">
        <v>1300</v>
      </c>
      <c r="BN120" s="83" vm="1461">
        <v>4700</v>
      </c>
      <c r="BO120" s="83" vm="8287">
        <v>11100</v>
      </c>
      <c r="BP120" s="5" vm="8058">
        <f xml:space="preserve"> VfM_Metrics_2023_Consol_Source[[#This Row],[Total social housing units owned and/or managed at period end]]</f>
        <v>53312</v>
      </c>
      <c r="BQ120" s="84" vm="8058">
        <v>53312</v>
      </c>
      <c r="BR120" s="7">
        <f xml:space="preserve"> IFERROR( VfM_Metrics_2023_Consol_Source[[#This Row],[SHL operating surplus / (deficit)]] / VfM_Metrics_2023_Consol_Source[[#This Row],[Turnover from social housing lettings]], "n/a" )</f>
        <v>0.18844513377278016</v>
      </c>
      <c r="BS120" s="5" vm="1307">
        <f xml:space="preserve"> VfM_Metrics_2023_Consol_Source[[#This Row],[Operating surplus/(deficit) (social housing lettings)]]</f>
        <v>97200</v>
      </c>
      <c r="BT120" s="84" vm="1307">
        <v>97200</v>
      </c>
      <c r="BU120" s="5" vm="8284">
        <f xml:space="preserve"> VfM_Metrics_2023_Consol_Source[[#This Row],[Turnover from social housing lettings]]</f>
        <v>515800</v>
      </c>
      <c r="BV120" s="84" vm="8284">
        <v>515800</v>
      </c>
      <c r="BW120" s="7">
        <f xml:space="preserve"> IFERROR( VfM_Metrics_2023_Consol_Source[[#This Row],[Net operating surplus]] / VfM_Metrics_2023_Consol_Source[[#This Row],[Overall turnover]], "n/a" )</f>
        <v>0.16838346380991623</v>
      </c>
      <c r="BX12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122600</v>
      </c>
      <c r="BY120" s="84" vm="1453">
        <v>173400</v>
      </c>
      <c r="BZ120" s="83" vm="1454">
        <v>50800</v>
      </c>
      <c r="CA120" s="83">
        <v>0</v>
      </c>
      <c r="CB120" s="5" vm="1462">
        <f xml:space="preserve"> VfM_Metrics_2023_Consol_Source[[#This Row],[Turnover (overall)]]</f>
        <v>728100</v>
      </c>
      <c r="CC120" s="84" vm="1462">
        <v>728100</v>
      </c>
      <c r="CD120" s="7">
        <f xml:space="preserve"> IFERROR( VfM_Metrics_2023_Consol_Source[[#This Row],[Operating surplus including from JVs]] / VfM_Metrics_2023_Consol_Source[[#This Row],[Net assets]], "n/a" )</f>
        <v>2.1902476089394909E-2</v>
      </c>
      <c r="CE120" s="5">
        <f xml:space="preserve"> SUM( VfM_Metrics_2023_Consol_Source[[#This Row],[Operating surplus/(deficit) (overall)3]], VfM_Metrics_2023_Consol_Source[[#This Row],[Share of operating surplus/(deficit) in joint ventures or associates]] )</f>
        <v>181600</v>
      </c>
      <c r="CF120" s="84" vm="1453">
        <v>173400</v>
      </c>
      <c r="CG120" s="83" vm="8314">
        <v>8200</v>
      </c>
      <c r="CH120" s="5" vm="1463">
        <f xml:space="preserve"> VfM_Metrics_2023_Consol_Source[[#This Row],[Total assets less current liabilities]]</f>
        <v>8291300</v>
      </c>
      <c r="CI120" s="84" vm="1463">
        <v>8291300</v>
      </c>
      <c r="CJ120" s="71" vm="1448">
        <f xml:space="preserve"> VfM_Metrics_2023_Consol_Source[[#This Row],[Total social housing units owned (Period end)]]</f>
        <v>50459</v>
      </c>
      <c r="CK120" s="103">
        <v>4.8052228125551398E-2</v>
      </c>
      <c r="CL120" s="6">
        <f xml:space="preserve"> -- ( VfM_Metrics_2023_Consol_Source[[#This Row],[% Supported housing (excl. HOP)]] &gt; 0.3 )</f>
        <v>0</v>
      </c>
      <c r="CM120" s="103">
        <v>3.3524810320152136E-2</v>
      </c>
      <c r="CN120" s="6">
        <f xml:space="preserve"> -- ( VfM_Metrics_2023_Consol_Source[[#This Row],[% Housing for older people]] &gt; 0.3 )</f>
        <v>0</v>
      </c>
      <c r="CO120" s="103">
        <f xml:space="preserve"> VfM_Metrics_2023_Consol_Source[[#This Row],[% Supported housing (excl. HOP)]] + VfM_Metrics_2023_Consol_Source[[#This Row],[% Housing for older people]]</f>
        <v>8.1577038445703534E-2</v>
      </c>
      <c r="CP120" s="6">
        <f xml:space="preserve"> -- ( VfM_Metrics_2023_Consol_Source[[#This Row],[SH specialist in RSH analysis]] + VfM_Metrics_2023_Consol_Source[[#This Row],[OP specialist in RSH analysis]] &gt; 0 )</f>
        <v>0</v>
      </c>
      <c r="CQ120" s="10">
        <f xml:space="preserve"> -- ( VfM_Metrics_2023_Consol_Source[[#This Row],[% SH and OP]] &gt; 0.3 )</f>
        <v>0</v>
      </c>
      <c r="CR120" s="104" t="s">
        <v>143</v>
      </c>
      <c r="CS120" s="124" t="s">
        <v>144</v>
      </c>
      <c r="CT120" s="105"/>
      <c r="CU12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20" s="85">
        <v>0.89620458456122309</v>
      </c>
      <c r="CW120" s="85">
        <v>4.5687387512114083E-3</v>
      </c>
      <c r="CX120" s="85">
        <v>1.5822471865667214E-4</v>
      </c>
      <c r="CY120" s="85">
        <v>0</v>
      </c>
      <c r="CZ120" s="85">
        <v>0</v>
      </c>
      <c r="DA120" s="85">
        <v>9.9028895789244675E-2</v>
      </c>
      <c r="DB120" s="85">
        <v>0</v>
      </c>
      <c r="DC120" s="85">
        <v>1.9778089832084018E-5</v>
      </c>
      <c r="DD120" s="85">
        <v>1.9778089832084018E-5</v>
      </c>
      <c r="DE120" s="13">
        <v>1.1449985619800322</v>
      </c>
    </row>
    <row r="121" spans="1:109" x14ac:dyDescent="0.25">
      <c r="A121" s="4" t="s" vm="270">
        <v>366</v>
      </c>
      <c r="B121" s="2" t="s" vm="111">
        <v>367</v>
      </c>
      <c r="C121" s="72" vm="582">
        <v>45016</v>
      </c>
      <c r="D121" s="7">
        <f>IFERROR( VfM_Metrics_2023_Consol_Source[[#This Row],[Reinvestment Spend]] / VfM_Metrics_2023_Consol_Source[[#This Row],[Net Book Value of Housing Properties]], "n/a" )</f>
        <v>8.2367804488067908E-2</v>
      </c>
      <c r="E12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56460</v>
      </c>
      <c r="F121" s="83" vm="2336">
        <v>47258</v>
      </c>
      <c r="G121" s="83" vm="2337">
        <v>0</v>
      </c>
      <c r="H121" s="83" vm="2338">
        <v>7572</v>
      </c>
      <c r="I121" s="83" vm="7750">
        <v>1630</v>
      </c>
      <c r="J121" s="83" vm="8006">
        <v>0</v>
      </c>
      <c r="K121" s="5">
        <f xml:space="preserve"> SUM( VfM_Metrics_2023_Consol_Source[[#This Row],[Tangible fixed assets: Housing properties at cost (Current period)]],VfM_Metrics_2023_Consol_Source[[#This Row],[Tangible fixed assets Housing properties at valuation (Current period)]] )</f>
        <v>685462</v>
      </c>
      <c r="L121" s="84" vm="2339">
        <v>685462</v>
      </c>
      <c r="M121" s="83" vm="8010">
        <v>0</v>
      </c>
      <c r="N121" s="7">
        <f xml:space="preserve"> IFERROR( VfM_Metrics_2023_Consol_Source[[#This Row],[Total social units developed or newly built units acquired in-year]] / VfM_Metrics_2023_Consol_Source[[#This Row],[Social housing units owned (period end)]], "n/a" )</f>
        <v>1.4768140198877622E-2</v>
      </c>
      <c r="O121" s="5">
        <f xml:space="preserve"> SUM( VfM_Metrics_2023_Consol_Source[[#This Row],[Total social units developed or newly built units acquired in-year (owned)]], VfM_Metrics_2023_Consol_Source[[#This Row],[Total social leasehold units developed or newly built units acquired in-year (owned)]] )</f>
        <v>150</v>
      </c>
      <c r="P121" s="84" vm="7961">
        <v>140</v>
      </c>
      <c r="Q121" s="83" vm="2340">
        <v>10</v>
      </c>
      <c r="R121" s="5">
        <f xml:space="preserve"> SUM( VfM_Metrics_2023_Consol_Source[[#This Row],[Total social housing units owned (Period end)]], VfM_Metrics_2023_Consol_Source[[#This Row],[Total social leasehold units owned (Period end)]] )</f>
        <v>10157</v>
      </c>
      <c r="S121" s="84" vm="2335">
        <v>10024</v>
      </c>
      <c r="T121" s="83" vm="2341">
        <v>133</v>
      </c>
      <c r="U121" s="86">
        <f xml:space="preserve"> IFERROR( VfM_Metrics_2023_Consol_Source[[#This Row],[Total non-social housing units developed or newly built units acquired (owned)]] / VfM_Metrics_2023_Consol_Source[[#This Row],[Total social and non-social housing units owned (Period end)]], "n/a" )</f>
        <v>0</v>
      </c>
      <c r="V12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21" s="83">
        <v>0</v>
      </c>
      <c r="X121" s="83">
        <v>0</v>
      </c>
      <c r="Y121" s="83" vm="2342">
        <v>0</v>
      </c>
      <c r="Z12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10157</v>
      </c>
      <c r="AA121" s="84" vm="1660">
        <v>10024</v>
      </c>
      <c r="AB121" s="83" vm="2341">
        <v>133</v>
      </c>
      <c r="AC121" s="83" vm="8002">
        <v>0</v>
      </c>
      <c r="AD121" s="83" vm="2343">
        <v>0</v>
      </c>
      <c r="AE121" s="7">
        <f xml:space="preserve"> IFERROR( VfM_Metrics_2023_Consol_Source[[#This Row],[Total Net Debt]] / VfM_Metrics_2023_Consol_Source[[#This Row],[Net Book Value of Housing Properties2]], "n/a" )</f>
        <v>0.4500424531192101</v>
      </c>
      <c r="AF12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308487</v>
      </c>
      <c r="AG121" s="84" vm="1672">
        <v>16367</v>
      </c>
      <c r="AH121" s="83" vm="2344">
        <v>321996</v>
      </c>
      <c r="AI121" s="83" vm="2345">
        <v>29876</v>
      </c>
      <c r="AJ121" s="83" vm="7571">
        <v>0</v>
      </c>
      <c r="AK121" s="83" vm="2346">
        <v>0</v>
      </c>
      <c r="AL121" s="5">
        <f xml:space="preserve"> SUM( VfM_Metrics_2023_Consol_Source[[#This Row],[Tangible fixed assets: Housing properties at cost (Current period)2]], VfM_Metrics_2023_Consol_Source[[#This Row],[Tangible fixed assets Housing properties at valuation (Current period)2]] )</f>
        <v>685462</v>
      </c>
      <c r="AM121" s="84" vm="2339">
        <v>685462</v>
      </c>
      <c r="AN121" s="83" vm="2097">
        <v>0</v>
      </c>
      <c r="AO121" s="87">
        <f xml:space="preserve"> IFERROR( VfM_Metrics_2023_Consol_Source[[#This Row],[EBITDA MRI]] / VfM_Metrics_2023_Consol_Source[[#This Row],[Total interest]], "n/a" )</f>
        <v>1.2244480187161866</v>
      </c>
      <c r="AP12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16748</v>
      </c>
      <c r="AQ121" s="84" vm="2347">
        <v>20003</v>
      </c>
      <c r="AR121" s="84" vm="2348">
        <v>4622</v>
      </c>
      <c r="AS121" s="84">
        <v>0</v>
      </c>
      <c r="AT121" s="84" vm="2349">
        <v>3276</v>
      </c>
      <c r="AU121" s="84" vm="2350">
        <v>0</v>
      </c>
      <c r="AV121" s="84" vm="2351">
        <v>555</v>
      </c>
      <c r="AW121" s="84" vm="2352">
        <v>7833</v>
      </c>
      <c r="AX121" s="84" vm="3311">
        <v>11921</v>
      </c>
      <c r="AY121" s="3">
        <f xml:space="preserve"> - SUM( VfM_Metrics_2023_Consol_Source[[#This Row],[Interest capitalised]], VfM_Metrics_2023_Consol_Source[[#This Row],[Interest payable and financing costs]] )</f>
        <v>13678</v>
      </c>
      <c r="AZ121" s="84" vm="7886">
        <v>-1630</v>
      </c>
      <c r="BA121" s="83" vm="2353">
        <v>-12048</v>
      </c>
      <c r="BB121" s="8">
        <f xml:space="preserve"> IFERROR( ( VfM_Metrics_2023_Consol_Source[[#This Row],[Total Costs]] / VfM_Metrics_2023_Consol_Source[[#This Row],[Total units for costs]] ) * 1000, "n/a" )</f>
        <v>6402.0351157222658</v>
      </c>
      <c r="BC12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64174</v>
      </c>
      <c r="BD121" s="84" vm="8001">
        <v>10565</v>
      </c>
      <c r="BE121" s="83" vm="2354">
        <v>5367</v>
      </c>
      <c r="BF121" s="83" vm="7816">
        <v>10548</v>
      </c>
      <c r="BG121" s="83" vm="2133">
        <v>2758</v>
      </c>
      <c r="BH121" s="83" vm="2355">
        <v>5515</v>
      </c>
      <c r="BI121" s="83" vm="2356">
        <v>39</v>
      </c>
      <c r="BJ121" s="83" vm="2352">
        <v>7833</v>
      </c>
      <c r="BK121" s="83" vm="7787">
        <v>10527</v>
      </c>
      <c r="BL121" s="83" vm="3345">
        <v>792</v>
      </c>
      <c r="BM121" s="83" vm="7099">
        <v>0</v>
      </c>
      <c r="BN121" s="83" vm="7798">
        <v>2197</v>
      </c>
      <c r="BO121" s="83" vm="2357">
        <v>8033</v>
      </c>
      <c r="BP121" s="5" vm="7882">
        <f xml:space="preserve"> VfM_Metrics_2023_Consol_Source[[#This Row],[Total social housing units owned and/or managed at period end]]</f>
        <v>10024</v>
      </c>
      <c r="BQ121" s="84" vm="7882">
        <v>10024</v>
      </c>
      <c r="BR121" s="7">
        <f xml:space="preserve"> IFERROR( VfM_Metrics_2023_Consol_Source[[#This Row],[SHL operating surplus / (deficit)]] / VfM_Metrics_2023_Consol_Source[[#This Row],[Turnover from social housing lettings]], "n/a" )</f>
        <v>0.2313557465914691</v>
      </c>
      <c r="BS121" s="5" vm="7231">
        <f xml:space="preserve"> VfM_Metrics_2023_Consol_Source[[#This Row],[Operating surplus/(deficit) (social housing lettings)]]</f>
        <v>16901</v>
      </c>
      <c r="BT121" s="84" vm="7231">
        <v>16901</v>
      </c>
      <c r="BU121" s="5" vm="2358">
        <f xml:space="preserve"> VfM_Metrics_2023_Consol_Source[[#This Row],[Turnover from social housing lettings]]</f>
        <v>73052</v>
      </c>
      <c r="BV121" s="84" vm="2358">
        <v>73052</v>
      </c>
      <c r="BW121" s="7">
        <f xml:space="preserve"> IFERROR( VfM_Metrics_2023_Consol_Source[[#This Row],[Net operating surplus]] / VfM_Metrics_2023_Consol_Source[[#This Row],[Overall turnover]], "n/a" )</f>
        <v>0.17023984770169012</v>
      </c>
      <c r="BX12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15381</v>
      </c>
      <c r="BY121" s="84" vm="2347">
        <v>20003</v>
      </c>
      <c r="BZ121" s="83" vm="2348">
        <v>4622</v>
      </c>
      <c r="CA121" s="83">
        <v>0</v>
      </c>
      <c r="CB121" s="5" vm="7749">
        <f xml:space="preserve"> VfM_Metrics_2023_Consol_Source[[#This Row],[Turnover (overall)]]</f>
        <v>90349</v>
      </c>
      <c r="CC121" s="84" vm="7749">
        <v>90349</v>
      </c>
      <c r="CD121" s="7">
        <f xml:space="preserve"> IFERROR( VfM_Metrics_2023_Consol_Source[[#This Row],[Operating surplus including from JVs]] / VfM_Metrics_2023_Consol_Source[[#This Row],[Net assets]], "n/a" )</f>
        <v>2.8191006326608602E-2</v>
      </c>
      <c r="CE121" s="5">
        <f xml:space="preserve"> SUM( VfM_Metrics_2023_Consol_Source[[#This Row],[Operating surplus/(deficit) (overall)3]], VfM_Metrics_2023_Consol_Source[[#This Row],[Share of operating surplus/(deficit) in joint ventures or associates]] )</f>
        <v>20582</v>
      </c>
      <c r="CF121" s="84" vm="7814">
        <v>20003</v>
      </c>
      <c r="CG121" s="83" vm="7797">
        <v>579</v>
      </c>
      <c r="CH121" s="5" vm="2359">
        <f xml:space="preserve"> VfM_Metrics_2023_Consol_Source[[#This Row],[Total assets less current liabilities]]</f>
        <v>730091</v>
      </c>
      <c r="CI121" s="84" vm="2359">
        <v>730091</v>
      </c>
      <c r="CJ121" s="71" vm="2335">
        <f xml:space="preserve"> VfM_Metrics_2023_Consol_Source[[#This Row],[Total social housing units owned (Period end)]]</f>
        <v>10024</v>
      </c>
      <c r="CK121" s="103">
        <v>5.8032128514056223E-2</v>
      </c>
      <c r="CL121" s="6">
        <f xml:space="preserve"> -- ( VfM_Metrics_2023_Consol_Source[[#This Row],[% Supported housing (excl. HOP)]] &gt; 0.3 )</f>
        <v>0</v>
      </c>
      <c r="CM121" s="103">
        <v>3.3333333333333333E-2</v>
      </c>
      <c r="CN121" s="6">
        <f xml:space="preserve"> -- ( VfM_Metrics_2023_Consol_Source[[#This Row],[% Housing for older people]] &gt; 0.3 )</f>
        <v>0</v>
      </c>
      <c r="CO121" s="103">
        <f xml:space="preserve"> VfM_Metrics_2023_Consol_Source[[#This Row],[% Supported housing (excl. HOP)]] + VfM_Metrics_2023_Consol_Source[[#This Row],[% Housing for older people]]</f>
        <v>9.1365461847389556E-2</v>
      </c>
      <c r="CP121" s="6">
        <f xml:space="preserve"> -- ( VfM_Metrics_2023_Consol_Source[[#This Row],[SH specialist in RSH analysis]] + VfM_Metrics_2023_Consol_Source[[#This Row],[OP specialist in RSH analysis]] &gt; 0 )</f>
        <v>0</v>
      </c>
      <c r="CQ121" s="10">
        <f xml:space="preserve"> -- ( VfM_Metrics_2023_Consol_Source[[#This Row],[% SH and OP]] &gt; 0.3 )</f>
        <v>0</v>
      </c>
      <c r="CR121" s="104" t="s">
        <v>143</v>
      </c>
      <c r="CS121" s="124" t="s">
        <v>144</v>
      </c>
      <c r="CT121" s="105"/>
      <c r="CU12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Midlands</v>
      </c>
      <c r="CV121" s="85">
        <v>0</v>
      </c>
      <c r="CW121" s="85">
        <v>0</v>
      </c>
      <c r="CX121" s="85">
        <v>0</v>
      </c>
      <c r="CY121" s="85">
        <v>1</v>
      </c>
      <c r="CZ121" s="85">
        <v>0</v>
      </c>
      <c r="DA121" s="85">
        <v>0</v>
      </c>
      <c r="DB121" s="85">
        <v>0</v>
      </c>
      <c r="DC121" s="85">
        <v>0</v>
      </c>
      <c r="DD121" s="85">
        <v>0</v>
      </c>
      <c r="DE121" s="13">
        <v>0.94233429441067484</v>
      </c>
    </row>
    <row r="122" spans="1:109" x14ac:dyDescent="0.25">
      <c r="A122" s="4" t="s" vm="362">
        <v>368</v>
      </c>
      <c r="B122" s="2" t="s" vm="112">
        <v>369</v>
      </c>
      <c r="C122" s="72" vm="434">
        <v>45016</v>
      </c>
      <c r="D122" s="7">
        <f>IFERROR( VfM_Metrics_2023_Consol_Source[[#This Row],[Reinvestment Spend]] / VfM_Metrics_2023_Consol_Source[[#This Row],[Net Book Value of Housing Properties]], "n/a" )</f>
        <v>0.18089843937784886</v>
      </c>
      <c r="E12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41393</v>
      </c>
      <c r="F122" s="83" vm="5304">
        <v>34856</v>
      </c>
      <c r="G122" s="83" vm="5507">
        <v>0</v>
      </c>
      <c r="H122" s="83" vm="5508">
        <v>6051</v>
      </c>
      <c r="I122" s="83" vm="5509">
        <v>486</v>
      </c>
      <c r="J122" s="83" vm="7187">
        <v>0</v>
      </c>
      <c r="K122" s="5">
        <f xml:space="preserve"> SUM( VfM_Metrics_2023_Consol_Source[[#This Row],[Tangible fixed assets: Housing properties at cost (Current period)]],VfM_Metrics_2023_Consol_Source[[#This Row],[Tangible fixed assets Housing properties at valuation (Current period)]] )</f>
        <v>228819</v>
      </c>
      <c r="L122" s="84" vm="5510">
        <v>228819</v>
      </c>
      <c r="M122" s="83">
        <v>0</v>
      </c>
      <c r="N122" s="7">
        <f xml:space="preserve"> IFERROR( VfM_Metrics_2023_Consol_Source[[#This Row],[Total social units developed or newly built units acquired in-year]] / VfM_Metrics_2023_Consol_Source[[#This Row],[Social housing units owned (period end)]], "n/a" )</f>
        <v>3.875338753387534E-2</v>
      </c>
      <c r="O122" s="5">
        <f xml:space="preserve"> SUM( VfM_Metrics_2023_Consol_Source[[#This Row],[Total social units developed or newly built units acquired in-year (owned)]], VfM_Metrics_2023_Consol_Source[[#This Row],[Total social leasehold units developed or newly built units acquired in-year (owned)]] )</f>
        <v>286</v>
      </c>
      <c r="P122" s="84" vm="5511">
        <v>285</v>
      </c>
      <c r="Q122" s="83" vm="5494">
        <v>1</v>
      </c>
      <c r="R122" s="5">
        <f xml:space="preserve"> SUM( VfM_Metrics_2023_Consol_Source[[#This Row],[Total social housing units owned (Period end)]], VfM_Metrics_2023_Consol_Source[[#This Row],[Total social leasehold units owned (Period end)]] )</f>
        <v>7380</v>
      </c>
      <c r="S122" s="84" vm="5505">
        <v>6868</v>
      </c>
      <c r="T122" s="83" vm="5512">
        <v>512</v>
      </c>
      <c r="U122" s="86">
        <f xml:space="preserve"> IFERROR( VfM_Metrics_2023_Consol_Source[[#This Row],[Total non-social housing units developed or newly built units acquired (owned)]] / VfM_Metrics_2023_Consol_Source[[#This Row],[Total social and non-social housing units owned (Period end)]], "n/a" )</f>
        <v>4.0360554284945513E-4</v>
      </c>
      <c r="V12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v>
      </c>
      <c r="W122" s="83">
        <v>0</v>
      </c>
      <c r="X122" s="83" vm="5513">
        <v>3</v>
      </c>
      <c r="Y122" s="83">
        <v>0</v>
      </c>
      <c r="Z12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7433</v>
      </c>
      <c r="AA122" s="84" vm="5505">
        <v>6868</v>
      </c>
      <c r="AB122" s="83" vm="6945">
        <v>512</v>
      </c>
      <c r="AC122" s="83" vm="5514">
        <v>3</v>
      </c>
      <c r="AD122" s="83" vm="5515">
        <v>50</v>
      </c>
      <c r="AE122" s="7">
        <f xml:space="preserve"> IFERROR( VfM_Metrics_2023_Consol_Source[[#This Row],[Total Net Debt]] / VfM_Metrics_2023_Consol_Source[[#This Row],[Net Book Value of Housing Properties2]], "n/a" )</f>
        <v>0.49408484435296018</v>
      </c>
      <c r="AF12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113056</v>
      </c>
      <c r="AG122" s="84">
        <v>0</v>
      </c>
      <c r="AH122" s="83" vm="5516">
        <v>123822</v>
      </c>
      <c r="AI122" s="83" vm="5517">
        <v>10766</v>
      </c>
      <c r="AJ122" s="83" vm="1675">
        <v>0</v>
      </c>
      <c r="AK122" s="83">
        <v>0</v>
      </c>
      <c r="AL122" s="5">
        <f xml:space="preserve"> SUM( VfM_Metrics_2023_Consol_Source[[#This Row],[Tangible fixed assets: Housing properties at cost (Current period)2]], VfM_Metrics_2023_Consol_Source[[#This Row],[Tangible fixed assets Housing properties at valuation (Current period)2]] )</f>
        <v>228819</v>
      </c>
      <c r="AM122" s="84" vm="5510">
        <v>228819</v>
      </c>
      <c r="AN122" s="83">
        <v>0</v>
      </c>
      <c r="AO122" s="87">
        <f xml:space="preserve"> IFERROR( VfM_Metrics_2023_Consol_Source[[#This Row],[EBITDA MRI]] / VfM_Metrics_2023_Consol_Source[[#This Row],[Total interest]], "n/a" )</f>
        <v>2.0848886213124622</v>
      </c>
      <c r="AP12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10389</v>
      </c>
      <c r="AQ122" s="84" vm="5519">
        <v>10073</v>
      </c>
      <c r="AR122" s="84" vm="5520">
        <v>941</v>
      </c>
      <c r="AS122" s="84">
        <v>0</v>
      </c>
      <c r="AT122" s="84" vm="5521">
        <v>206</v>
      </c>
      <c r="AU122" s="84" vm="5522">
        <v>0</v>
      </c>
      <c r="AV122" s="84" vm="5744">
        <v>255</v>
      </c>
      <c r="AW122" s="84" vm="7223">
        <v>6051</v>
      </c>
      <c r="AX122" s="84" vm="5524">
        <v>7259</v>
      </c>
      <c r="AY122" s="3">
        <f xml:space="preserve"> - SUM( VfM_Metrics_2023_Consol_Source[[#This Row],[Interest capitalised]], VfM_Metrics_2023_Consol_Source[[#This Row],[Interest payable and financing costs]] )</f>
        <v>4983</v>
      </c>
      <c r="AZ122" s="84" vm="7276">
        <v>-486</v>
      </c>
      <c r="BA122" s="83" vm="5525">
        <v>-4497</v>
      </c>
      <c r="BB122" s="8">
        <f xml:space="preserve"> IFERROR( ( VfM_Metrics_2023_Consol_Source[[#This Row],[Total Costs]] / VfM_Metrics_2023_Consol_Source[[#This Row],[Total units for costs]] ) * 1000, "n/a" )</f>
        <v>4932.7386009629008</v>
      </c>
      <c r="BC12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34835</v>
      </c>
      <c r="BD122" s="84" vm="5526">
        <v>8796</v>
      </c>
      <c r="BE122" s="83" vm="5527">
        <v>3911</v>
      </c>
      <c r="BF122" s="83" vm="5528">
        <v>8621</v>
      </c>
      <c r="BG122" s="83" vm="5529">
        <v>2406</v>
      </c>
      <c r="BH122" s="83" vm="6916">
        <v>2512</v>
      </c>
      <c r="BI122" s="83" vm="7011">
        <v>0</v>
      </c>
      <c r="BJ122" s="83" vm="5523">
        <v>6051</v>
      </c>
      <c r="BK122" s="83" vm="5530">
        <v>0</v>
      </c>
      <c r="BL122" s="83" vm="5531">
        <v>507</v>
      </c>
      <c r="BM122" s="83" vm="5532">
        <v>492</v>
      </c>
      <c r="BN122" s="83" vm="6942">
        <v>69</v>
      </c>
      <c r="BO122" s="83" vm="5533">
        <v>1470</v>
      </c>
      <c r="BP122" s="5" vm="5506">
        <f xml:space="preserve"> VfM_Metrics_2023_Consol_Source[[#This Row],[Total social housing units owned and/or managed at period end]]</f>
        <v>7062</v>
      </c>
      <c r="BQ122" s="84" vm="5506">
        <v>7062</v>
      </c>
      <c r="BR122" s="7">
        <f xml:space="preserve"> IFERROR( VfM_Metrics_2023_Consol_Source[[#This Row],[SHL operating surplus / (deficit)]] / VfM_Metrics_2023_Consol_Source[[#This Row],[Turnover from social housing lettings]], "n/a" )</f>
        <v>0.15846174460672652</v>
      </c>
      <c r="BS122" s="5" vm="5534">
        <f xml:space="preserve"> VfM_Metrics_2023_Consol_Source[[#This Row],[Operating surplus/(deficit) (social housing lettings)]]</f>
        <v>5913</v>
      </c>
      <c r="BT122" s="84" vm="5534">
        <v>5913</v>
      </c>
      <c r="BU122" s="5" vm="5535">
        <f xml:space="preserve"> VfM_Metrics_2023_Consol_Source[[#This Row],[Turnover from social housing lettings]]</f>
        <v>37315</v>
      </c>
      <c r="BV122" s="84" vm="5535">
        <v>37315</v>
      </c>
      <c r="BW122" s="7">
        <f xml:space="preserve"> IFERROR( VfM_Metrics_2023_Consol_Source[[#This Row],[Net operating surplus]] / VfM_Metrics_2023_Consol_Source[[#This Row],[Overall turnover]], "n/a" )</f>
        <v>0.17630024325263524</v>
      </c>
      <c r="BX12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9132</v>
      </c>
      <c r="BY122" s="84" vm="5519">
        <v>10073</v>
      </c>
      <c r="BZ122" s="83" vm="5520">
        <v>941</v>
      </c>
      <c r="CA122" s="83">
        <v>0</v>
      </c>
      <c r="CB122" s="5" vm="5536">
        <f xml:space="preserve"> VfM_Metrics_2023_Consol_Source[[#This Row],[Turnover (overall)]]</f>
        <v>51798</v>
      </c>
      <c r="CC122" s="84" vm="5536">
        <v>51798</v>
      </c>
      <c r="CD122" s="7">
        <f xml:space="preserve"> IFERROR( VfM_Metrics_2023_Consol_Source[[#This Row],[Operating surplus including from JVs]] / VfM_Metrics_2023_Consol_Source[[#This Row],[Net assets]], "n/a" )</f>
        <v>3.8842102015948669E-2</v>
      </c>
      <c r="CE122" s="5">
        <f xml:space="preserve"> SUM( VfM_Metrics_2023_Consol_Source[[#This Row],[Operating surplus/(deficit) (overall)3]], VfM_Metrics_2023_Consol_Source[[#This Row],[Share of operating surplus/(deficit) in joint ventures or associates]] )</f>
        <v>10073</v>
      </c>
      <c r="CF122" s="84" vm="5695">
        <v>10073</v>
      </c>
      <c r="CG122" s="83">
        <v>0</v>
      </c>
      <c r="CH122" s="5" vm="5537">
        <f xml:space="preserve"> VfM_Metrics_2023_Consol_Source[[#This Row],[Total assets less current liabilities]]</f>
        <v>259332</v>
      </c>
      <c r="CI122" s="84" vm="5537">
        <v>259332</v>
      </c>
      <c r="CJ122" s="71" vm="5505">
        <f xml:space="preserve"> VfM_Metrics_2023_Consol_Source[[#This Row],[Total social housing units owned (Period end)]]</f>
        <v>6868</v>
      </c>
      <c r="CK122" s="103">
        <v>6.9229636176167328E-3</v>
      </c>
      <c r="CL122" s="6">
        <f xml:space="preserve"> -- ( VfM_Metrics_2023_Consol_Source[[#This Row],[% Supported housing (excl. HOP)]] &gt; 0.3 )</f>
        <v>0</v>
      </c>
      <c r="CM122" s="103">
        <v>0</v>
      </c>
      <c r="CN122" s="6">
        <f xml:space="preserve"> -- ( VfM_Metrics_2023_Consol_Source[[#This Row],[% Housing for older people]] &gt; 0.3 )</f>
        <v>0</v>
      </c>
      <c r="CO122" s="103">
        <f xml:space="preserve"> VfM_Metrics_2023_Consol_Source[[#This Row],[% Supported housing (excl. HOP)]] + VfM_Metrics_2023_Consol_Source[[#This Row],[% Housing for older people]]</f>
        <v>6.9229636176167328E-3</v>
      </c>
      <c r="CP122" s="6">
        <f xml:space="preserve"> -- ( VfM_Metrics_2023_Consol_Source[[#This Row],[SH specialist in RSH analysis]] + VfM_Metrics_2023_Consol_Source[[#This Row],[OP specialist in RSH analysis]] &gt; 0 )</f>
        <v>0</v>
      </c>
      <c r="CQ122" s="10">
        <f xml:space="preserve"> -- ( VfM_Metrics_2023_Consol_Source[[#This Row],[% SH and OP]] &gt; 0.3 )</f>
        <v>0</v>
      </c>
      <c r="CR122" s="104" t="s">
        <v>143</v>
      </c>
      <c r="CS122" s="124"/>
      <c r="CT122" s="105" t="s">
        <v>151</v>
      </c>
      <c r="CU12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122" s="85">
        <v>0</v>
      </c>
      <c r="CW122" s="85">
        <v>0</v>
      </c>
      <c r="CX122" s="85">
        <v>1</v>
      </c>
      <c r="CY122" s="85">
        <v>0</v>
      </c>
      <c r="CZ122" s="85">
        <v>0</v>
      </c>
      <c r="DA122" s="85">
        <v>0</v>
      </c>
      <c r="DB122" s="85">
        <v>0</v>
      </c>
      <c r="DC122" s="85">
        <v>0</v>
      </c>
      <c r="DD122" s="85">
        <v>0</v>
      </c>
      <c r="DE122" s="13">
        <v>0.97511902715076015</v>
      </c>
    </row>
    <row r="123" spans="1:109" x14ac:dyDescent="0.25">
      <c r="A123" s="4" t="s" vm="334">
        <v>370</v>
      </c>
      <c r="B123" s="2" t="s" vm="113">
        <v>371</v>
      </c>
      <c r="C123" s="72" vm="514">
        <v>45016</v>
      </c>
      <c r="D123" s="7">
        <f>IFERROR( VfM_Metrics_2023_Consol_Source[[#This Row],[Reinvestment Spend]] / VfM_Metrics_2023_Consol_Source[[#This Row],[Net Book Value of Housing Properties]], "n/a" )</f>
        <v>8.3032725780870856E-2</v>
      </c>
      <c r="E12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16596</v>
      </c>
      <c r="F123" s="83" vm="4514">
        <v>0</v>
      </c>
      <c r="G123" s="83" vm="7420">
        <v>12785</v>
      </c>
      <c r="H123" s="83" vm="4515">
        <v>3545</v>
      </c>
      <c r="I123" s="83" vm="4516">
        <v>266</v>
      </c>
      <c r="J123" s="83" vm="4517">
        <v>0</v>
      </c>
      <c r="K123" s="5">
        <f xml:space="preserve"> SUM( VfM_Metrics_2023_Consol_Source[[#This Row],[Tangible fixed assets: Housing properties at cost (Current period)]],VfM_Metrics_2023_Consol_Source[[#This Row],[Tangible fixed assets Housing properties at valuation (Current period)]] )</f>
        <v>199873</v>
      </c>
      <c r="L123" s="84" vm="4518">
        <v>199873</v>
      </c>
      <c r="M123" s="83" vm="4519">
        <v>0</v>
      </c>
      <c r="N123" s="7">
        <f xml:space="preserve"> IFERROR( VfM_Metrics_2023_Consol_Source[[#This Row],[Total social units developed or newly built units acquired in-year]] / VfM_Metrics_2023_Consol_Source[[#This Row],[Social housing units owned (period end)]], "n/a" )</f>
        <v>1.7893544733861833E-2</v>
      </c>
      <c r="O123" s="5">
        <f xml:space="preserve"> SUM( VfM_Metrics_2023_Consol_Source[[#This Row],[Total social units developed or newly built units acquired in-year (owned)]], VfM_Metrics_2023_Consol_Source[[#This Row],[Total social leasehold units developed or newly built units acquired in-year (owned)]] )</f>
        <v>79</v>
      </c>
      <c r="P123" s="84" vm="4520">
        <v>75</v>
      </c>
      <c r="Q123" s="83" vm="4521">
        <v>4</v>
      </c>
      <c r="R123" s="5">
        <f xml:space="preserve"> SUM( VfM_Metrics_2023_Consol_Source[[#This Row],[Total social housing units owned (Period end)]], VfM_Metrics_2023_Consol_Source[[#This Row],[Total social leasehold units owned (Period end)]] )</f>
        <v>4415</v>
      </c>
      <c r="S123" s="84" vm="4513">
        <v>4271</v>
      </c>
      <c r="T123" s="83" vm="4522">
        <v>144</v>
      </c>
      <c r="U123" s="86">
        <f xml:space="preserve"> IFERROR( VfM_Metrics_2023_Consol_Source[[#This Row],[Total non-social housing units developed or newly built units acquired (owned)]] / VfM_Metrics_2023_Consol_Source[[#This Row],[Total social and non-social housing units owned (Period end)]], "n/a" )</f>
        <v>8.154020385050963E-3</v>
      </c>
      <c r="V12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36</v>
      </c>
      <c r="W123" s="83" vm="4523">
        <v>0</v>
      </c>
      <c r="X123" s="83" vm="4524">
        <v>0</v>
      </c>
      <c r="Y123" s="83" vm="7048">
        <v>36</v>
      </c>
      <c r="Z12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4415</v>
      </c>
      <c r="AA123" s="84" vm="7347">
        <v>4271</v>
      </c>
      <c r="AB123" s="83" vm="4522">
        <v>144</v>
      </c>
      <c r="AC123" s="83" vm="4525">
        <v>0</v>
      </c>
      <c r="AD123" s="83" vm="4526">
        <v>0</v>
      </c>
      <c r="AE123" s="7">
        <f xml:space="preserve"> IFERROR( VfM_Metrics_2023_Consol_Source[[#This Row],[Total Net Debt]] / VfM_Metrics_2023_Consol_Source[[#This Row],[Net Book Value of Housing Properties2]], "n/a" )</f>
        <v>0.56582930160652012</v>
      </c>
      <c r="AF12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113094</v>
      </c>
      <c r="AG123" s="84" vm="4527">
        <v>0</v>
      </c>
      <c r="AH123" s="83" vm="4528">
        <v>119334</v>
      </c>
      <c r="AI123" s="83" vm="4529">
        <v>6240</v>
      </c>
      <c r="AJ123" s="83" vm="7355">
        <v>0</v>
      </c>
      <c r="AK123" s="83" vm="4530">
        <v>0</v>
      </c>
      <c r="AL123" s="5">
        <f xml:space="preserve"> SUM( VfM_Metrics_2023_Consol_Source[[#This Row],[Tangible fixed assets: Housing properties at cost (Current period)2]], VfM_Metrics_2023_Consol_Source[[#This Row],[Tangible fixed assets Housing properties at valuation (Current period)2]] )</f>
        <v>199873</v>
      </c>
      <c r="AM123" s="84" vm="4518">
        <v>199873</v>
      </c>
      <c r="AN123" s="83" vm="4519">
        <v>0</v>
      </c>
      <c r="AO123" s="87">
        <f xml:space="preserve"> IFERROR( VfM_Metrics_2023_Consol_Source[[#This Row],[EBITDA MRI]] / VfM_Metrics_2023_Consol_Source[[#This Row],[Total interest]], "n/a" )</f>
        <v>0.61797185587177383</v>
      </c>
      <c r="AP12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9793</v>
      </c>
      <c r="AQ123" s="84" vm="4531">
        <v>25597</v>
      </c>
      <c r="AR123" s="84" vm="7536">
        <v>16252</v>
      </c>
      <c r="AS123" s="84" vm="4532">
        <v>0</v>
      </c>
      <c r="AT123" s="84" vm="4533">
        <v>650</v>
      </c>
      <c r="AU123" s="84" vm="4534">
        <v>0</v>
      </c>
      <c r="AV123" s="84" vm="4535">
        <v>21</v>
      </c>
      <c r="AW123" s="84" vm="4536">
        <v>3545</v>
      </c>
      <c r="AX123" s="84" vm="4537">
        <v>4622</v>
      </c>
      <c r="AY123" s="3">
        <f xml:space="preserve"> - SUM( VfM_Metrics_2023_Consol_Source[[#This Row],[Interest capitalised]], VfM_Metrics_2023_Consol_Source[[#This Row],[Interest payable and financing costs]] )</f>
        <v>15847</v>
      </c>
      <c r="AZ123" s="84" vm="7382">
        <v>-267</v>
      </c>
      <c r="BA123" s="83" vm="7425">
        <v>-15580</v>
      </c>
      <c r="BB123" s="8">
        <f xml:space="preserve"> IFERROR( ( VfM_Metrics_2023_Consol_Source[[#This Row],[Total Costs]] / VfM_Metrics_2023_Consol_Source[[#This Row],[Total units for costs]] ) * 1000, "n/a" )</f>
        <v>3014.1409877585479</v>
      </c>
      <c r="BC12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14281</v>
      </c>
      <c r="BD123" s="84" vm="4204">
        <v>3699</v>
      </c>
      <c r="BE123" s="83" vm="4975">
        <v>956</v>
      </c>
      <c r="BF123" s="83" vm="4539">
        <v>3221</v>
      </c>
      <c r="BG123" s="83" vm="4540">
        <v>2374</v>
      </c>
      <c r="BH123" s="83" vm="2268">
        <v>486</v>
      </c>
      <c r="BI123" s="83" vm="4541">
        <v>0</v>
      </c>
      <c r="BJ123" s="83" vm="4536">
        <v>3545</v>
      </c>
      <c r="BK123" s="83" vm="7535">
        <v>0</v>
      </c>
      <c r="BL123" s="83" vm="5563">
        <v>0</v>
      </c>
      <c r="BM123" s="83" vm="4542">
        <v>0</v>
      </c>
      <c r="BN123" s="83" vm="4543">
        <v>0</v>
      </c>
      <c r="BO123" s="83" vm="4544">
        <v>0</v>
      </c>
      <c r="BP123" s="5" vm="6971">
        <f xml:space="preserve"> VfM_Metrics_2023_Consol_Source[[#This Row],[Total social housing units owned and/or managed at period end]]</f>
        <v>4738</v>
      </c>
      <c r="BQ123" s="84" vm="6971">
        <v>4738</v>
      </c>
      <c r="BR123" s="7">
        <f xml:space="preserve"> IFERROR( VfM_Metrics_2023_Consol_Source[[#This Row],[SHL operating surplus / (deficit)]] / VfM_Metrics_2023_Consol_Source[[#This Row],[Turnover from social housing lettings]], "n/a" )</f>
        <v>0.3516878449493005</v>
      </c>
      <c r="BS123" s="5" vm="4545">
        <f xml:space="preserve"> VfM_Metrics_2023_Consol_Source[[#This Row],[Operating surplus/(deficit) (social housing lettings)]]</f>
        <v>8220</v>
      </c>
      <c r="BT123" s="84" vm="4545">
        <v>8220</v>
      </c>
      <c r="BU123" s="5" vm="4546">
        <f xml:space="preserve"> VfM_Metrics_2023_Consol_Source[[#This Row],[Turnover from social housing lettings]]</f>
        <v>23373</v>
      </c>
      <c r="BV123" s="84" vm="4546">
        <v>23373</v>
      </c>
      <c r="BW123" s="7">
        <f xml:space="preserve"> IFERROR( VfM_Metrics_2023_Consol_Source[[#This Row],[Net operating surplus]] / VfM_Metrics_2023_Consol_Source[[#This Row],[Overall turnover]], "n/a" )</f>
        <v>0.25042205965109737</v>
      </c>
      <c r="BX12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9345</v>
      </c>
      <c r="BY123" s="84" vm="4531">
        <v>25597</v>
      </c>
      <c r="BZ123" s="83" vm="7424">
        <v>16252</v>
      </c>
      <c r="CA123" s="83" vm="4532">
        <v>0</v>
      </c>
      <c r="CB123" s="5" vm="4547">
        <f xml:space="preserve"> VfM_Metrics_2023_Consol_Source[[#This Row],[Turnover (overall)]]</f>
        <v>37317</v>
      </c>
      <c r="CC123" s="84" vm="4547">
        <v>37317</v>
      </c>
      <c r="CD123" s="7">
        <f xml:space="preserve"> IFERROR( VfM_Metrics_2023_Consol_Source[[#This Row],[Operating surplus including from JVs]] / VfM_Metrics_2023_Consol_Source[[#This Row],[Net assets]], "n/a" )</f>
        <v>0.1179117538688283</v>
      </c>
      <c r="CE123" s="5">
        <f xml:space="preserve"> SUM( VfM_Metrics_2023_Consol_Source[[#This Row],[Operating surplus/(deficit) (overall)3]], VfM_Metrics_2023_Consol_Source[[#This Row],[Share of operating surplus/(deficit) in joint ventures or associates]] )</f>
        <v>25601</v>
      </c>
      <c r="CF123" s="84" vm="4531">
        <v>25597</v>
      </c>
      <c r="CG123" s="83" vm="4549">
        <v>4</v>
      </c>
      <c r="CH123" s="5" vm="4548">
        <f xml:space="preserve"> VfM_Metrics_2023_Consol_Source[[#This Row],[Total assets less current liabilities]]</f>
        <v>217120</v>
      </c>
      <c r="CI123" s="84" vm="4548">
        <v>217120</v>
      </c>
      <c r="CJ123" s="71" vm="4513">
        <f xml:space="preserve"> VfM_Metrics_2023_Consol_Source[[#This Row],[Total social housing units owned (Period end)]]</f>
        <v>4271</v>
      </c>
      <c r="CK123" s="103">
        <v>2.9635901778154107E-3</v>
      </c>
      <c r="CL123" s="6">
        <f xml:space="preserve"> -- ( VfM_Metrics_2023_Consol_Source[[#This Row],[% Supported housing (excl. HOP)]] &gt; 0.3 )</f>
        <v>0</v>
      </c>
      <c r="CM123" s="103">
        <v>0.13230313293818799</v>
      </c>
      <c r="CN123" s="6">
        <f xml:space="preserve"> -- ( VfM_Metrics_2023_Consol_Source[[#This Row],[% Housing for older people]] &gt; 0.3 )</f>
        <v>0</v>
      </c>
      <c r="CO123" s="103">
        <f xml:space="preserve"> VfM_Metrics_2023_Consol_Source[[#This Row],[% Supported housing (excl. HOP)]] + VfM_Metrics_2023_Consol_Source[[#This Row],[% Housing for older people]]</f>
        <v>0.13526672311600341</v>
      </c>
      <c r="CP123" s="6">
        <f xml:space="preserve"> -- ( VfM_Metrics_2023_Consol_Source[[#This Row],[SH specialist in RSH analysis]] + VfM_Metrics_2023_Consol_Source[[#This Row],[OP specialist in RSH analysis]] &gt; 0 )</f>
        <v>0</v>
      </c>
      <c r="CQ123" s="10">
        <f xml:space="preserve"> -- ( VfM_Metrics_2023_Consol_Source[[#This Row],[% SH and OP]] &gt; 0.3 )</f>
        <v>0</v>
      </c>
      <c r="CR123" s="104" t="s">
        <v>143</v>
      </c>
      <c r="CS123" s="124"/>
      <c r="CT123" s="105" t="s">
        <v>151</v>
      </c>
      <c r="CU12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123" s="85">
        <v>0</v>
      </c>
      <c r="CW123" s="85">
        <v>0</v>
      </c>
      <c r="CX123" s="85">
        <v>1</v>
      </c>
      <c r="CY123" s="85">
        <v>0</v>
      </c>
      <c r="CZ123" s="85">
        <v>0</v>
      </c>
      <c r="DA123" s="85">
        <v>0</v>
      </c>
      <c r="DB123" s="85">
        <v>0</v>
      </c>
      <c r="DC123" s="85">
        <v>0</v>
      </c>
      <c r="DD123" s="85">
        <v>0</v>
      </c>
      <c r="DE123" s="13">
        <v>0.97511902715076015</v>
      </c>
    </row>
    <row r="124" spans="1:109" x14ac:dyDescent="0.25">
      <c r="A124" s="4" t="s" vm="347">
        <v>372</v>
      </c>
      <c r="B124" s="2" t="s" vm="114">
        <v>373</v>
      </c>
      <c r="C124" s="72" vm="485">
        <v>45016</v>
      </c>
      <c r="D124" s="7">
        <f>IFERROR( VfM_Metrics_2023_Consol_Source[[#This Row],[Reinvestment Spend]] / VfM_Metrics_2023_Consol_Source[[#This Row],[Net Book Value of Housing Properties]], "n/a" )</f>
        <v>3.7235413742731933E-2</v>
      </c>
      <c r="E12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22100</v>
      </c>
      <c r="F124" s="83" vm="4988">
        <v>14713</v>
      </c>
      <c r="G124" s="83" vm="7376">
        <v>0</v>
      </c>
      <c r="H124" s="83" vm="6935">
        <v>7387</v>
      </c>
      <c r="I124" s="83" vm="7337">
        <v>0</v>
      </c>
      <c r="J124" s="83" vm="6958">
        <v>0</v>
      </c>
      <c r="K124" s="5">
        <f xml:space="preserve"> SUM( VfM_Metrics_2023_Consol_Source[[#This Row],[Tangible fixed assets: Housing properties at cost (Current period)]],VfM_Metrics_2023_Consol_Source[[#This Row],[Tangible fixed assets Housing properties at valuation (Current period)]] )</f>
        <v>593521</v>
      </c>
      <c r="L124" s="84" vm="4989">
        <v>593521</v>
      </c>
      <c r="M124" s="83">
        <v>0</v>
      </c>
      <c r="N124" s="7">
        <f xml:space="preserve"> IFERROR( VfM_Metrics_2023_Consol_Source[[#This Row],[Total social units developed or newly built units acquired in-year]] / VfM_Metrics_2023_Consol_Source[[#This Row],[Social housing units owned (period end)]], "n/a" )</f>
        <v>1.4538676607642124E-2</v>
      </c>
      <c r="O124" s="5">
        <f xml:space="preserve"> SUM( VfM_Metrics_2023_Consol_Source[[#This Row],[Total social units developed or newly built units acquired in-year (owned)]], VfM_Metrics_2023_Consol_Source[[#This Row],[Total social leasehold units developed or newly built units acquired in-year (owned)]] )</f>
        <v>78</v>
      </c>
      <c r="P124" s="84" vm="4990">
        <v>75</v>
      </c>
      <c r="Q124" s="83" vm="4991">
        <v>3</v>
      </c>
      <c r="R124" s="5">
        <f xml:space="preserve"> SUM( VfM_Metrics_2023_Consol_Source[[#This Row],[Total social housing units owned (Period end)]], VfM_Metrics_2023_Consol_Source[[#This Row],[Total social leasehold units owned (Period end)]] )</f>
        <v>5365</v>
      </c>
      <c r="S124" s="84" vm="4986">
        <v>5050</v>
      </c>
      <c r="T124" s="83" vm="4992">
        <v>315</v>
      </c>
      <c r="U124" s="86">
        <f xml:space="preserve"> IFERROR( VfM_Metrics_2023_Consol_Source[[#This Row],[Total non-social housing units developed or newly built units acquired (owned)]] / VfM_Metrics_2023_Consol_Source[[#This Row],[Total social and non-social housing units owned (Period end)]], "n/a" )</f>
        <v>0</v>
      </c>
      <c r="V12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24" s="83">
        <v>0</v>
      </c>
      <c r="X124" s="83">
        <v>0</v>
      </c>
      <c r="Y124" s="83">
        <v>0</v>
      </c>
      <c r="Z12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5365</v>
      </c>
      <c r="AA124" s="84" vm="4986">
        <v>5050</v>
      </c>
      <c r="AB124" s="83" vm="4992">
        <v>315</v>
      </c>
      <c r="AC124" s="83" vm="4993">
        <v>0</v>
      </c>
      <c r="AD124" s="83" vm="4994">
        <v>0</v>
      </c>
      <c r="AE124" s="7">
        <f xml:space="preserve"> IFERROR( VfM_Metrics_2023_Consol_Source[[#This Row],[Total Net Debt]] / VfM_Metrics_2023_Consol_Source[[#This Row],[Net Book Value of Housing Properties2]], "n/a" )</f>
        <v>0.45153920417306209</v>
      </c>
      <c r="AF12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267998</v>
      </c>
      <c r="AG124" s="84" vm="7322">
        <v>20993</v>
      </c>
      <c r="AH124" s="83" vm="4995">
        <v>261085</v>
      </c>
      <c r="AI124" s="83" vm="4948">
        <v>14080</v>
      </c>
      <c r="AJ124" s="83" vm="1675">
        <v>0</v>
      </c>
      <c r="AK124" s="83">
        <v>0</v>
      </c>
      <c r="AL124" s="5">
        <f xml:space="preserve"> SUM( VfM_Metrics_2023_Consol_Source[[#This Row],[Tangible fixed assets: Housing properties at cost (Current period)2]], VfM_Metrics_2023_Consol_Source[[#This Row],[Tangible fixed assets Housing properties at valuation (Current period)2]] )</f>
        <v>593521</v>
      </c>
      <c r="AM124" s="84" vm="4989">
        <v>593521</v>
      </c>
      <c r="AN124" s="83">
        <v>0</v>
      </c>
      <c r="AO124" s="87">
        <f xml:space="preserve"> IFERROR( VfM_Metrics_2023_Consol_Source[[#This Row],[EBITDA MRI]] / VfM_Metrics_2023_Consol_Source[[#This Row],[Total interest]], "n/a" )</f>
        <v>0.19265481190242159</v>
      </c>
      <c r="AP12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2156</v>
      </c>
      <c r="AQ124" s="84" vm="4996">
        <v>10848</v>
      </c>
      <c r="AR124" s="84" vm="4997">
        <v>8332</v>
      </c>
      <c r="AS124" s="84">
        <v>0</v>
      </c>
      <c r="AT124" s="84" vm="4998">
        <v>1980</v>
      </c>
      <c r="AU124" s="84" vm="4999">
        <v>97</v>
      </c>
      <c r="AV124" s="84" vm="5000">
        <v>170</v>
      </c>
      <c r="AW124" s="84" vm="5001">
        <v>7387</v>
      </c>
      <c r="AX124" s="84" vm="5002">
        <v>8934</v>
      </c>
      <c r="AY124" s="3">
        <f xml:space="preserve"> - SUM( VfM_Metrics_2023_Consol_Source[[#This Row],[Interest capitalised]], VfM_Metrics_2023_Consol_Source[[#This Row],[Interest payable and financing costs]] )</f>
        <v>11191</v>
      </c>
      <c r="AZ124" s="84" vm="5003">
        <v>-2273</v>
      </c>
      <c r="BA124" s="83" vm="5004">
        <v>-8918</v>
      </c>
      <c r="BB124" s="8">
        <f xml:space="preserve"> IFERROR( ( VfM_Metrics_2023_Consol_Source[[#This Row],[Total Costs]] / VfM_Metrics_2023_Consol_Source[[#This Row],[Total units for costs]] ) * 1000, "n/a" )</f>
        <v>9321.3861386138615</v>
      </c>
      <c r="BC12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47073</v>
      </c>
      <c r="BD124" s="84" vm="5005">
        <v>9537</v>
      </c>
      <c r="BE124" s="83" vm="5006">
        <v>12558</v>
      </c>
      <c r="BF124" s="83" vm="3660">
        <v>9746</v>
      </c>
      <c r="BG124" s="83" vm="5007">
        <v>2526</v>
      </c>
      <c r="BH124" s="83" vm="5008">
        <v>448</v>
      </c>
      <c r="BI124" s="83" vm="5009">
        <v>0</v>
      </c>
      <c r="BJ124" s="83" vm="5001">
        <v>7387</v>
      </c>
      <c r="BK124" s="83" vm="5010">
        <v>0</v>
      </c>
      <c r="BL124" s="83">
        <v>0</v>
      </c>
      <c r="BM124" s="83">
        <v>0</v>
      </c>
      <c r="BN124" s="83" vm="5011">
        <v>4516</v>
      </c>
      <c r="BO124" s="83" vm="5012">
        <v>355</v>
      </c>
      <c r="BP124" s="5" vm="4987">
        <f xml:space="preserve"> VfM_Metrics_2023_Consol_Source[[#This Row],[Total social housing units owned and/or managed at period end]]</f>
        <v>5050</v>
      </c>
      <c r="BQ124" s="84" vm="4987">
        <v>5050</v>
      </c>
      <c r="BR124" s="7">
        <f xml:space="preserve"> IFERROR( VfM_Metrics_2023_Consol_Source[[#This Row],[SHL operating surplus / (deficit)]] / VfM_Metrics_2023_Consol_Source[[#This Row],[Turnover from social housing lettings]], "n/a" )</f>
        <v>8.1869987336428876E-2</v>
      </c>
      <c r="BS124" s="5" vm="5013">
        <f xml:space="preserve"> VfM_Metrics_2023_Consol_Source[[#This Row],[Operating surplus/(deficit) (social housing lettings)]]</f>
        <v>3879</v>
      </c>
      <c r="BT124" s="84" vm="5013">
        <v>3879</v>
      </c>
      <c r="BU124" s="5" vm="5014">
        <f xml:space="preserve"> VfM_Metrics_2023_Consol_Source[[#This Row],[Turnover from social housing lettings]]</f>
        <v>47380</v>
      </c>
      <c r="BV124" s="84" vm="5014">
        <v>47380</v>
      </c>
      <c r="BW124" s="7">
        <f xml:space="preserve"> IFERROR( VfM_Metrics_2023_Consol_Source[[#This Row],[Net operating surplus]] / VfM_Metrics_2023_Consol_Source[[#This Row],[Overall turnover]], "n/a" )</f>
        <v>4.3956043956043959E-2</v>
      </c>
      <c r="BX12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2516</v>
      </c>
      <c r="BY124" s="84" vm="4996">
        <v>10848</v>
      </c>
      <c r="BZ124" s="83" vm="4997">
        <v>8332</v>
      </c>
      <c r="CA124" s="83">
        <v>0</v>
      </c>
      <c r="CB124" s="5" vm="5015">
        <f xml:space="preserve"> VfM_Metrics_2023_Consol_Source[[#This Row],[Turnover (overall)]]</f>
        <v>57239</v>
      </c>
      <c r="CC124" s="84" vm="5015">
        <v>57239</v>
      </c>
      <c r="CD124" s="7">
        <f xml:space="preserve"> IFERROR( VfM_Metrics_2023_Consol_Source[[#This Row],[Operating surplus including from JVs]] / VfM_Metrics_2023_Consol_Source[[#This Row],[Net assets]], "n/a" )</f>
        <v>1.7701858793081785E-2</v>
      </c>
      <c r="CE124" s="5">
        <f xml:space="preserve"> SUM( VfM_Metrics_2023_Consol_Source[[#This Row],[Operating surplus/(deficit) (overall)3]], VfM_Metrics_2023_Consol_Source[[#This Row],[Share of operating surplus/(deficit) in joint ventures or associates]] )</f>
        <v>10848</v>
      </c>
      <c r="CF124" s="84" vm="4996">
        <v>10848</v>
      </c>
      <c r="CG124" s="83">
        <v>0</v>
      </c>
      <c r="CH124" s="5" vm="7507">
        <f xml:space="preserve"> VfM_Metrics_2023_Consol_Source[[#This Row],[Total assets less current liabilities]]</f>
        <v>612817</v>
      </c>
      <c r="CI124" s="84" vm="7507">
        <v>612817</v>
      </c>
      <c r="CJ124" s="71" vm="4986">
        <f xml:space="preserve"> VfM_Metrics_2023_Consol_Source[[#This Row],[Total social housing units owned (Period end)]]</f>
        <v>5050</v>
      </c>
      <c r="CK124" s="103">
        <v>5.120359037127703E-2</v>
      </c>
      <c r="CL124" s="6">
        <f xml:space="preserve"> -- ( VfM_Metrics_2023_Consol_Source[[#This Row],[% Supported housing (excl. HOP)]] &gt; 0.3 )</f>
        <v>0</v>
      </c>
      <c r="CM124" s="103">
        <v>2.7947776417788658E-2</v>
      </c>
      <c r="CN124" s="6">
        <f xml:space="preserve"> -- ( VfM_Metrics_2023_Consol_Source[[#This Row],[% Housing for older people]] &gt; 0.3 )</f>
        <v>0</v>
      </c>
      <c r="CO124" s="103">
        <f xml:space="preserve"> VfM_Metrics_2023_Consol_Source[[#This Row],[% Supported housing (excl. HOP)]] + VfM_Metrics_2023_Consol_Source[[#This Row],[% Housing for older people]]</f>
        <v>7.9151366789065689E-2</v>
      </c>
      <c r="CP124" s="6">
        <f xml:space="preserve"> -- ( VfM_Metrics_2023_Consol_Source[[#This Row],[SH specialist in RSH analysis]] + VfM_Metrics_2023_Consol_Source[[#This Row],[OP specialist in RSH analysis]] &gt; 0 )</f>
        <v>0</v>
      </c>
      <c r="CQ124" s="10">
        <f xml:space="preserve"> -- ( VfM_Metrics_2023_Consol_Source[[#This Row],[% SH and OP]] &gt; 0.3 )</f>
        <v>0</v>
      </c>
      <c r="CR124" s="104" t="s">
        <v>143</v>
      </c>
      <c r="CS124" s="124" t="s">
        <v>144</v>
      </c>
      <c r="CT124" s="105"/>
      <c r="CU12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24" s="85">
        <v>1</v>
      </c>
      <c r="CW124" s="85">
        <v>0</v>
      </c>
      <c r="CX124" s="85">
        <v>0</v>
      </c>
      <c r="CY124" s="85">
        <v>0</v>
      </c>
      <c r="CZ124" s="85">
        <v>0</v>
      </c>
      <c r="DA124" s="85">
        <v>0</v>
      </c>
      <c r="DB124" s="85">
        <v>0</v>
      </c>
      <c r="DC124" s="85">
        <v>0</v>
      </c>
      <c r="DD124" s="85">
        <v>0</v>
      </c>
      <c r="DE124" s="13">
        <v>1.1603700449887588</v>
      </c>
    </row>
    <row r="125" spans="1:109" x14ac:dyDescent="0.25">
      <c r="A125" s="4" t="s" vm="275">
        <v>374</v>
      </c>
      <c r="B125" s="2" t="s" vm="115">
        <v>375</v>
      </c>
      <c r="C125" s="72" vm="474">
        <v>45016</v>
      </c>
      <c r="D125" s="7">
        <f>IFERROR( VfM_Metrics_2023_Consol_Source[[#This Row],[Reinvestment Spend]] / VfM_Metrics_2023_Consol_Source[[#This Row],[Net Book Value of Housing Properties]], "n/a" )</f>
        <v>0.1273011628608007</v>
      </c>
      <c r="E12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35896</v>
      </c>
      <c r="F125" s="83" vm="2497">
        <v>19531</v>
      </c>
      <c r="G125" s="83" vm="7836">
        <v>0</v>
      </c>
      <c r="H125" s="83" vm="2498">
        <v>15315</v>
      </c>
      <c r="I125" s="83" vm="8015">
        <v>1050</v>
      </c>
      <c r="J125" s="83" vm="2499">
        <v>0</v>
      </c>
      <c r="K125" s="5">
        <f xml:space="preserve"> SUM( VfM_Metrics_2023_Consol_Source[[#This Row],[Tangible fixed assets: Housing properties at cost (Current period)]],VfM_Metrics_2023_Consol_Source[[#This Row],[Tangible fixed assets Housing properties at valuation (Current period)]] )</f>
        <v>281977</v>
      </c>
      <c r="L125" s="84" vm="2500">
        <v>281977</v>
      </c>
      <c r="M125" s="83" vm="2501">
        <v>0</v>
      </c>
      <c r="N125" s="7">
        <f xml:space="preserve"> IFERROR( VfM_Metrics_2023_Consol_Source[[#This Row],[Total social units developed or newly built units acquired in-year]] / VfM_Metrics_2023_Consol_Source[[#This Row],[Social housing units owned (period end)]], "n/a" )</f>
        <v>1.0430686406460296E-2</v>
      </c>
      <c r="O125" s="5">
        <f xml:space="preserve"> SUM( VfM_Metrics_2023_Consol_Source[[#This Row],[Total social units developed or newly built units acquired in-year (owned)]], VfM_Metrics_2023_Consol_Source[[#This Row],[Total social leasehold units developed or newly built units acquired in-year (owned)]] )</f>
        <v>124</v>
      </c>
      <c r="P125" s="84" vm="2502">
        <v>124</v>
      </c>
      <c r="Q125" s="83" vm="2503">
        <v>0</v>
      </c>
      <c r="R125" s="5">
        <f xml:space="preserve"> SUM( VfM_Metrics_2023_Consol_Source[[#This Row],[Total social housing units owned (Period end)]], VfM_Metrics_2023_Consol_Source[[#This Row],[Total social leasehold units owned (Period end)]] )</f>
        <v>11888</v>
      </c>
      <c r="S125" s="84" vm="2495">
        <v>11888</v>
      </c>
      <c r="T125" s="83" vm="2916">
        <v>0</v>
      </c>
      <c r="U125" s="86">
        <f xml:space="preserve"> IFERROR( VfM_Metrics_2023_Consol_Source[[#This Row],[Total non-social housing units developed or newly built units acquired (owned)]] / VfM_Metrics_2023_Consol_Source[[#This Row],[Total social and non-social housing units owned (Period end)]], "n/a" )</f>
        <v>4.8603610553926866E-3</v>
      </c>
      <c r="V12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63</v>
      </c>
      <c r="W125" s="83" vm="2505">
        <v>63</v>
      </c>
      <c r="X125" s="83" vm="2506">
        <v>0</v>
      </c>
      <c r="Y125" s="83" vm="2507">
        <v>0</v>
      </c>
      <c r="Z12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12962</v>
      </c>
      <c r="AA125" s="84" vm="7704">
        <v>11888</v>
      </c>
      <c r="AB125" s="83" vm="2504">
        <v>0</v>
      </c>
      <c r="AC125" s="83" vm="2508">
        <v>310</v>
      </c>
      <c r="AD125" s="83" vm="2509">
        <v>764</v>
      </c>
      <c r="AE125" s="7">
        <f xml:space="preserve"> IFERROR( VfM_Metrics_2023_Consol_Source[[#This Row],[Total Net Debt]] / VfM_Metrics_2023_Consol_Source[[#This Row],[Net Book Value of Housing Properties2]], "n/a" )</f>
        <v>0.55319405483425954</v>
      </c>
      <c r="AF12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155988</v>
      </c>
      <c r="AG125" s="84" vm="2155">
        <v>8567</v>
      </c>
      <c r="AH125" s="83" vm="7995">
        <v>170644</v>
      </c>
      <c r="AI125" s="83" vm="2510">
        <v>23223</v>
      </c>
      <c r="AJ125" s="83" vm="2511">
        <v>0</v>
      </c>
      <c r="AK125" s="83" vm="2512">
        <v>0</v>
      </c>
      <c r="AL125" s="5">
        <f xml:space="preserve"> SUM( VfM_Metrics_2023_Consol_Source[[#This Row],[Tangible fixed assets: Housing properties at cost (Current period)2]], VfM_Metrics_2023_Consol_Source[[#This Row],[Tangible fixed assets Housing properties at valuation (Current period)2]] )</f>
        <v>281977</v>
      </c>
      <c r="AM125" s="84" vm="2500">
        <v>281977</v>
      </c>
      <c r="AN125" s="83" vm="2501">
        <v>0</v>
      </c>
      <c r="AO125" s="87">
        <f xml:space="preserve"> IFERROR( VfM_Metrics_2023_Consol_Source[[#This Row],[EBITDA MRI]] / VfM_Metrics_2023_Consol_Source[[#This Row],[Total interest]], "n/a" )</f>
        <v>-0.27488464073829927</v>
      </c>
      <c r="AP12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-2502</v>
      </c>
      <c r="AQ125" s="84" vm="2513">
        <v>21472</v>
      </c>
      <c r="AR125" s="84" vm="2514">
        <v>15636</v>
      </c>
      <c r="AS125" s="84" vm="2515">
        <v>0</v>
      </c>
      <c r="AT125" s="84" vm="2516">
        <v>3829</v>
      </c>
      <c r="AU125" s="84" vm="2517">
        <v>0</v>
      </c>
      <c r="AV125" s="84" vm="2518">
        <v>958</v>
      </c>
      <c r="AW125" s="84" vm="2519">
        <v>15315</v>
      </c>
      <c r="AX125" s="84" vm="7703">
        <v>9848</v>
      </c>
      <c r="AY125" s="3">
        <f xml:space="preserve"> - SUM( VfM_Metrics_2023_Consol_Source[[#This Row],[Interest capitalised]], VfM_Metrics_2023_Consol_Source[[#This Row],[Interest payable and financing costs]] )</f>
        <v>9102</v>
      </c>
      <c r="AZ125" s="84" vm="2520">
        <v>-1223</v>
      </c>
      <c r="BA125" s="83" vm="7966">
        <v>-7879</v>
      </c>
      <c r="BB125" s="8">
        <f xml:space="preserve"> IFERROR( ( VfM_Metrics_2023_Consol_Source[[#This Row],[Total Costs]] / VfM_Metrics_2023_Consol_Source[[#This Row],[Total units for costs]] ) * 1000, "n/a" )</f>
        <v>5000</v>
      </c>
      <c r="BC12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59440</v>
      </c>
      <c r="BD125" s="84" vm="7873">
        <v>20306</v>
      </c>
      <c r="BE125" s="83" vm="2621">
        <v>4709</v>
      </c>
      <c r="BF125" s="83" vm="2522">
        <v>10615</v>
      </c>
      <c r="BG125" s="83" vm="2523">
        <v>0</v>
      </c>
      <c r="BH125" s="83" vm="2524">
        <v>6640</v>
      </c>
      <c r="BI125" s="83" vm="2525">
        <v>0</v>
      </c>
      <c r="BJ125" s="83" vm="1482">
        <v>15315</v>
      </c>
      <c r="BK125" s="83" vm="2526">
        <v>1357</v>
      </c>
      <c r="BL125" s="83" vm="2527">
        <v>498</v>
      </c>
      <c r="BM125" s="83" vm="2528">
        <v>0</v>
      </c>
      <c r="BN125" s="83" vm="2529">
        <v>0</v>
      </c>
      <c r="BO125" s="83" vm="2530">
        <v>0</v>
      </c>
      <c r="BP125" s="5" vm="2496">
        <f xml:space="preserve"> VfM_Metrics_2023_Consol_Source[[#This Row],[Total social housing units owned and/or managed at period end]]</f>
        <v>11888</v>
      </c>
      <c r="BQ125" s="84" vm="2496">
        <v>11888</v>
      </c>
      <c r="BR125" s="7">
        <f xml:space="preserve"> IFERROR( VfM_Metrics_2023_Consol_Source[[#This Row],[SHL operating surplus / (deficit)]] / VfM_Metrics_2023_Consol_Source[[#This Row],[Turnover from social housing lettings]], "n/a" )</f>
        <v>8.5301768536461875E-2</v>
      </c>
      <c r="BS125" s="5" vm="2531">
        <f xml:space="preserve"> VfM_Metrics_2023_Consol_Source[[#This Row],[Operating surplus/(deficit) (social housing lettings)]]</f>
        <v>4886</v>
      </c>
      <c r="BT125" s="84" vm="2531">
        <v>4886</v>
      </c>
      <c r="BU125" s="5" vm="2532">
        <f xml:space="preserve"> VfM_Metrics_2023_Consol_Source[[#This Row],[Turnover from social housing lettings]]</f>
        <v>57279</v>
      </c>
      <c r="BV125" s="84" vm="2532">
        <v>57279</v>
      </c>
      <c r="BW125" s="7">
        <f xml:space="preserve"> IFERROR( VfM_Metrics_2023_Consol_Source[[#This Row],[Net operating surplus]] / VfM_Metrics_2023_Consol_Source[[#This Row],[Overall turnover]], "n/a" )</f>
        <v>8.759869112305245E-2</v>
      </c>
      <c r="BX12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5836</v>
      </c>
      <c r="BY125" s="84" vm="2521">
        <v>21472</v>
      </c>
      <c r="BZ125" s="83" vm="2514">
        <v>15636</v>
      </c>
      <c r="CA125" s="83" vm="2515">
        <v>0</v>
      </c>
      <c r="CB125" s="5" vm="2533">
        <f xml:space="preserve"> VfM_Metrics_2023_Consol_Source[[#This Row],[Turnover (overall)]]</f>
        <v>66622</v>
      </c>
      <c r="CC125" s="84" vm="2533">
        <v>66622</v>
      </c>
      <c r="CD125" s="7">
        <f xml:space="preserve"> IFERROR( VfM_Metrics_2023_Consol_Source[[#This Row],[Operating surplus including from JVs]] / VfM_Metrics_2023_Consol_Source[[#This Row],[Net assets]], "n/a" )</f>
        <v>6.122367513130357E-2</v>
      </c>
      <c r="CE125" s="5">
        <f xml:space="preserve"> SUM( VfM_Metrics_2023_Consol_Source[[#This Row],[Operating surplus/(deficit) (overall)3]], VfM_Metrics_2023_Consol_Source[[#This Row],[Share of operating surplus/(deficit) in joint ventures or associates]] )</f>
        <v>21472</v>
      </c>
      <c r="CF125" s="84" vm="2513">
        <v>21472</v>
      </c>
      <c r="CG125" s="83">
        <v>0</v>
      </c>
      <c r="CH125" s="5" vm="2534">
        <f xml:space="preserve"> VfM_Metrics_2023_Consol_Source[[#This Row],[Total assets less current liabilities]]</f>
        <v>350714</v>
      </c>
      <c r="CI125" s="84" vm="2534">
        <v>350714</v>
      </c>
      <c r="CJ125" s="71" vm="2495">
        <f xml:space="preserve"> VfM_Metrics_2023_Consol_Source[[#This Row],[Total social housing units owned (Period end)]]</f>
        <v>11888</v>
      </c>
      <c r="CK125" s="103">
        <v>5.0603019313485704E-4</v>
      </c>
      <c r="CL125" s="6">
        <f xml:space="preserve"> -- ( VfM_Metrics_2023_Consol_Source[[#This Row],[% Supported housing (excl. HOP)]] &gt; 0.3 )</f>
        <v>0</v>
      </c>
      <c r="CM125" s="103">
        <v>2.0241207725394283E-2</v>
      </c>
      <c r="CN125" s="6">
        <f xml:space="preserve"> -- ( VfM_Metrics_2023_Consol_Source[[#This Row],[% Housing for older people]] &gt; 0.3 )</f>
        <v>0</v>
      </c>
      <c r="CO125" s="103">
        <f xml:space="preserve"> VfM_Metrics_2023_Consol_Source[[#This Row],[% Supported housing (excl. HOP)]] + VfM_Metrics_2023_Consol_Source[[#This Row],[% Housing for older people]]</f>
        <v>2.074723791852914E-2</v>
      </c>
      <c r="CP125" s="6">
        <f xml:space="preserve"> -- ( VfM_Metrics_2023_Consol_Source[[#This Row],[SH specialist in RSH analysis]] + VfM_Metrics_2023_Consol_Source[[#This Row],[OP specialist in RSH analysis]] &gt; 0 )</f>
        <v>0</v>
      </c>
      <c r="CQ125" s="10">
        <f xml:space="preserve"> -- ( VfM_Metrics_2023_Consol_Source[[#This Row],[% SH and OP]] &gt; 0.3 )</f>
        <v>0</v>
      </c>
      <c r="CR125" s="104" t="s">
        <v>143</v>
      </c>
      <c r="CS125" s="124"/>
      <c r="CT125" s="105" t="s">
        <v>151</v>
      </c>
      <c r="CU12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25" s="85">
        <v>0</v>
      </c>
      <c r="CW125" s="85">
        <v>0</v>
      </c>
      <c r="CX125" s="85">
        <v>0</v>
      </c>
      <c r="CY125" s="85">
        <v>0</v>
      </c>
      <c r="CZ125" s="85">
        <v>0</v>
      </c>
      <c r="DA125" s="85">
        <v>0</v>
      </c>
      <c r="DB125" s="85">
        <v>0</v>
      </c>
      <c r="DC125" s="85">
        <v>1</v>
      </c>
      <c r="DD125" s="85">
        <v>0</v>
      </c>
      <c r="DE125" s="13">
        <v>0.96105917141044694</v>
      </c>
    </row>
    <row r="126" spans="1:109" x14ac:dyDescent="0.25">
      <c r="A126" s="4" t="s" vm="297">
        <v>376</v>
      </c>
      <c r="B126" s="2" t="s" vm="116">
        <v>377</v>
      </c>
      <c r="C126" s="72" vm="542">
        <v>45016</v>
      </c>
      <c r="D126" s="7">
        <f>IFERROR( VfM_Metrics_2023_Consol_Source[[#This Row],[Reinvestment Spend]] / VfM_Metrics_2023_Consol_Source[[#This Row],[Net Book Value of Housing Properties]], "n/a" )</f>
        <v>0.11830470637434977</v>
      </c>
      <c r="E12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39322</v>
      </c>
      <c r="F126" s="83" vm="3244">
        <v>28487</v>
      </c>
      <c r="G126" s="83" vm="3245">
        <v>0</v>
      </c>
      <c r="H126" s="83" vm="3246">
        <v>10180</v>
      </c>
      <c r="I126" s="83" vm="3247">
        <v>655</v>
      </c>
      <c r="J126" s="83" vm="3248">
        <v>0</v>
      </c>
      <c r="K126" s="5">
        <f xml:space="preserve"> SUM( VfM_Metrics_2023_Consol_Source[[#This Row],[Tangible fixed assets: Housing properties at cost (Current period)]],VfM_Metrics_2023_Consol_Source[[#This Row],[Tangible fixed assets Housing properties at valuation (Current period)]] )</f>
        <v>332379</v>
      </c>
      <c r="L126" s="84" vm="3249">
        <v>332379</v>
      </c>
      <c r="M126" s="83">
        <v>0</v>
      </c>
      <c r="N126" s="7">
        <f xml:space="preserve"> IFERROR( VfM_Metrics_2023_Consol_Source[[#This Row],[Total social units developed or newly built units acquired in-year]] / VfM_Metrics_2023_Consol_Source[[#This Row],[Social housing units owned (period end)]], "n/a" )</f>
        <v>1.1963302752293578E-2</v>
      </c>
      <c r="O126" s="5">
        <f xml:space="preserve"> SUM( VfM_Metrics_2023_Consol_Source[[#This Row],[Total social units developed or newly built units acquired in-year (owned)]], VfM_Metrics_2023_Consol_Source[[#This Row],[Total social leasehold units developed or newly built units acquired in-year (owned)]] )</f>
        <v>163</v>
      </c>
      <c r="P126" s="84" vm="3250">
        <v>159</v>
      </c>
      <c r="Q126" s="83" vm="3251">
        <v>4</v>
      </c>
      <c r="R126" s="5">
        <f xml:space="preserve"> SUM( VfM_Metrics_2023_Consol_Source[[#This Row],[Total social housing units owned (Period end)]], VfM_Metrics_2023_Consol_Source[[#This Row],[Total social leasehold units owned (Period end)]] )</f>
        <v>13625</v>
      </c>
      <c r="S126" s="84" vm="3243">
        <v>13007</v>
      </c>
      <c r="T126" s="83" vm="3252">
        <v>618</v>
      </c>
      <c r="U126" s="86">
        <f xml:space="preserve"> IFERROR( VfM_Metrics_2023_Consol_Source[[#This Row],[Total non-social housing units developed or newly built units acquired (owned)]] / VfM_Metrics_2023_Consol_Source[[#This Row],[Total social and non-social housing units owned (Period end)]], "n/a" )</f>
        <v>0</v>
      </c>
      <c r="V12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26" s="83" vm="3253">
        <v>0</v>
      </c>
      <c r="X126" s="83" vm="4850">
        <v>0</v>
      </c>
      <c r="Y126" s="83" vm="7621">
        <v>0</v>
      </c>
      <c r="Z12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13711</v>
      </c>
      <c r="AA126" s="84" vm="7597">
        <v>13007</v>
      </c>
      <c r="AB126" s="83" vm="3252">
        <v>618</v>
      </c>
      <c r="AC126" s="83" vm="7653">
        <v>86</v>
      </c>
      <c r="AD126" s="83" vm="2701">
        <v>0</v>
      </c>
      <c r="AE126" s="7">
        <f xml:space="preserve"> IFERROR( VfM_Metrics_2023_Consol_Source[[#This Row],[Total Net Debt]] / VfM_Metrics_2023_Consol_Source[[#This Row],[Net Book Value of Housing Properties2]], "n/a" )</f>
        <v>0.72343318922073896</v>
      </c>
      <c r="AF12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240454</v>
      </c>
      <c r="AG126" s="84" vm="3254">
        <v>-150</v>
      </c>
      <c r="AH126" s="83" vm="3255">
        <v>246079</v>
      </c>
      <c r="AI126" s="83" vm="3256">
        <v>5475</v>
      </c>
      <c r="AJ126" s="83" vm="1675">
        <v>0</v>
      </c>
      <c r="AK126" s="83">
        <v>0</v>
      </c>
      <c r="AL126" s="5">
        <f xml:space="preserve"> SUM( VfM_Metrics_2023_Consol_Source[[#This Row],[Tangible fixed assets: Housing properties at cost (Current period)2]], VfM_Metrics_2023_Consol_Source[[#This Row],[Tangible fixed assets Housing properties at valuation (Current period)2]] )</f>
        <v>332379</v>
      </c>
      <c r="AM126" s="84" vm="7682">
        <v>332379</v>
      </c>
      <c r="AN126" s="83">
        <v>0</v>
      </c>
      <c r="AO126" s="87">
        <f xml:space="preserve"> IFERROR( VfM_Metrics_2023_Consol_Source[[#This Row],[EBITDA MRI]] / VfM_Metrics_2023_Consol_Source[[#This Row],[Total interest]], "n/a" )</f>
        <v>1.4024241367282875</v>
      </c>
      <c r="AP12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16083</v>
      </c>
      <c r="AQ126" s="84" vm="3257">
        <v>18150</v>
      </c>
      <c r="AR126" s="84" vm="3258">
        <v>1627</v>
      </c>
      <c r="AS126" s="84" vm="3259">
        <v>785</v>
      </c>
      <c r="AT126" s="84" vm="3260">
        <v>434</v>
      </c>
      <c r="AU126" s="84" vm="3261">
        <v>0</v>
      </c>
      <c r="AV126" s="84" vm="3262">
        <v>532</v>
      </c>
      <c r="AW126" s="84" vm="3263">
        <v>10180</v>
      </c>
      <c r="AX126" s="84" vm="7729">
        <v>10427</v>
      </c>
      <c r="AY126" s="3">
        <f xml:space="preserve"> - SUM( VfM_Metrics_2023_Consol_Source[[#This Row],[Interest capitalised]], VfM_Metrics_2023_Consol_Source[[#This Row],[Interest payable and financing costs]] )</f>
        <v>11468</v>
      </c>
      <c r="AZ126" s="84" vm="3264">
        <v>-1890</v>
      </c>
      <c r="BA126" s="83" vm="3265">
        <v>-9578</v>
      </c>
      <c r="BB126" s="8">
        <f xml:space="preserve"> IFERROR( ( VfM_Metrics_2023_Consol_Source[[#This Row],[Total Costs]] / VfM_Metrics_2023_Consol_Source[[#This Row],[Total units for costs]] ) * 1000, "n/a" )</f>
        <v>3995.2333358960559</v>
      </c>
      <c r="BC12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51966</v>
      </c>
      <c r="BD126" s="84" vm="3266">
        <v>11551</v>
      </c>
      <c r="BE126" s="83" vm="3267">
        <v>4598</v>
      </c>
      <c r="BF126" s="83" vm="7595">
        <v>7530</v>
      </c>
      <c r="BG126" s="83" vm="2591">
        <v>10277</v>
      </c>
      <c r="BH126" s="83" vm="2332">
        <v>8144</v>
      </c>
      <c r="BI126" s="83" vm="3268">
        <v>0</v>
      </c>
      <c r="BJ126" s="83" vm="3373">
        <v>10180</v>
      </c>
      <c r="BK126" s="83" vm="3269">
        <v>-314</v>
      </c>
      <c r="BL126" s="83">
        <v>0</v>
      </c>
      <c r="BM126" s="83">
        <v>0</v>
      </c>
      <c r="BN126" s="83">
        <v>0</v>
      </c>
      <c r="BO126" s="83">
        <v>0</v>
      </c>
      <c r="BP126" s="5" vm="7556">
        <f xml:space="preserve"> VfM_Metrics_2023_Consol_Source[[#This Row],[Total social housing units owned and/or managed at period end]]</f>
        <v>13007</v>
      </c>
      <c r="BQ126" s="84" vm="7556">
        <v>13007</v>
      </c>
      <c r="BR126" s="7">
        <f xml:space="preserve"> IFERROR( VfM_Metrics_2023_Consol_Source[[#This Row],[SHL operating surplus / (deficit)]] / VfM_Metrics_2023_Consol_Source[[#This Row],[Turnover from social housing lettings]], "n/a" )</f>
        <v>0.22045451163067581</v>
      </c>
      <c r="BS126" s="5" vm="3271">
        <f xml:space="preserve"> VfM_Metrics_2023_Consol_Source[[#This Row],[Operating surplus/(deficit) (social housing lettings)]]</f>
        <v>14813</v>
      </c>
      <c r="BT126" s="84" vm="3271">
        <v>14813</v>
      </c>
      <c r="BU126" s="5" vm="3272">
        <f xml:space="preserve"> VfM_Metrics_2023_Consol_Source[[#This Row],[Turnover from social housing lettings]]</f>
        <v>67193</v>
      </c>
      <c r="BV126" s="84" vm="3272">
        <v>67193</v>
      </c>
      <c r="BW126" s="7">
        <f xml:space="preserve"> IFERROR( VfM_Metrics_2023_Consol_Source[[#This Row],[Net operating surplus]] / VfM_Metrics_2023_Consol_Source[[#This Row],[Overall turnover]], "n/a" )</f>
        <v>0.22681482122011329</v>
      </c>
      <c r="BX12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15738</v>
      </c>
      <c r="BY126" s="84" vm="7582">
        <v>18150</v>
      </c>
      <c r="BZ126" s="83" vm="7459">
        <v>1627</v>
      </c>
      <c r="CA126" s="83" vm="7719">
        <v>785</v>
      </c>
      <c r="CB126" s="5" vm="3273">
        <f xml:space="preserve"> VfM_Metrics_2023_Consol_Source[[#This Row],[Turnover (overall)]]</f>
        <v>69387</v>
      </c>
      <c r="CC126" s="84" vm="3273">
        <v>69387</v>
      </c>
      <c r="CD126" s="7">
        <f xml:space="preserve"> IFERROR( VfM_Metrics_2023_Consol_Source[[#This Row],[Operating surplus including from JVs]] / VfM_Metrics_2023_Consol_Source[[#This Row],[Net assets]], "n/a" )</f>
        <v>5.0165421513917792E-2</v>
      </c>
      <c r="CE126" s="5">
        <f xml:space="preserve"> SUM( VfM_Metrics_2023_Consol_Source[[#This Row],[Operating surplus/(deficit) (overall)3]], VfM_Metrics_2023_Consol_Source[[#This Row],[Share of operating surplus/(deficit) in joint ventures or associates]] )</f>
        <v>18150</v>
      </c>
      <c r="CF126" s="84" vm="7456">
        <v>18150</v>
      </c>
      <c r="CG126" s="83">
        <v>0</v>
      </c>
      <c r="CH126" s="5" vm="3274">
        <f xml:space="preserve"> VfM_Metrics_2023_Consol_Source[[#This Row],[Total assets less current liabilities]]</f>
        <v>361803</v>
      </c>
      <c r="CI126" s="84" vm="3274">
        <v>361803</v>
      </c>
      <c r="CJ126" s="71" vm="3243">
        <f xml:space="preserve"> VfM_Metrics_2023_Consol_Source[[#This Row],[Total social housing units owned (Period end)]]</f>
        <v>13007</v>
      </c>
      <c r="CK126" s="103">
        <v>7.5940601677310149E-2</v>
      </c>
      <c r="CL126" s="6">
        <f xml:space="preserve"> -- ( VfM_Metrics_2023_Consol_Source[[#This Row],[% Supported housing (excl. HOP)]] &gt; 0.3 )</f>
        <v>0</v>
      </c>
      <c r="CM126" s="103">
        <v>0</v>
      </c>
      <c r="CN126" s="6">
        <f xml:space="preserve"> -- ( VfM_Metrics_2023_Consol_Source[[#This Row],[% Housing for older people]] &gt; 0.3 )</f>
        <v>0</v>
      </c>
      <c r="CO126" s="103">
        <f xml:space="preserve"> VfM_Metrics_2023_Consol_Source[[#This Row],[% Supported housing (excl. HOP)]] + VfM_Metrics_2023_Consol_Source[[#This Row],[% Housing for older people]]</f>
        <v>7.5940601677310149E-2</v>
      </c>
      <c r="CP126" s="6">
        <f xml:space="preserve"> -- ( VfM_Metrics_2023_Consol_Source[[#This Row],[SH specialist in RSH analysis]] + VfM_Metrics_2023_Consol_Source[[#This Row],[OP specialist in RSH analysis]] &gt; 0 )</f>
        <v>0</v>
      </c>
      <c r="CQ126" s="10">
        <f xml:space="preserve"> -- ( VfM_Metrics_2023_Consol_Source[[#This Row],[% SH and OP]] &gt; 0.3 )</f>
        <v>0</v>
      </c>
      <c r="CR126" s="104" t="s">
        <v>143</v>
      </c>
      <c r="CS126" s="124"/>
      <c r="CT126" s="105" t="s">
        <v>151</v>
      </c>
      <c r="CU12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26" s="85">
        <v>0</v>
      </c>
      <c r="CW126" s="85">
        <v>0</v>
      </c>
      <c r="CX126" s="85">
        <v>0</v>
      </c>
      <c r="CY126" s="85">
        <v>0</v>
      </c>
      <c r="CZ126" s="85">
        <v>0</v>
      </c>
      <c r="DA126" s="85">
        <v>0</v>
      </c>
      <c r="DB126" s="85">
        <v>0</v>
      </c>
      <c r="DC126" s="85">
        <v>1</v>
      </c>
      <c r="DD126" s="85">
        <v>0</v>
      </c>
      <c r="DE126" s="13">
        <v>0.96105917141044694</v>
      </c>
    </row>
    <row r="127" spans="1:109" x14ac:dyDescent="0.25">
      <c r="A127" s="4" t="s" vm="301">
        <v>378</v>
      </c>
      <c r="B127" s="2" t="s" vm="117">
        <v>379</v>
      </c>
      <c r="C127" s="72" vm="478">
        <v>45016</v>
      </c>
      <c r="D127" s="7">
        <f>IFERROR( VfM_Metrics_2023_Consol_Source[[#This Row],[Reinvestment Spend]] / VfM_Metrics_2023_Consol_Source[[#This Row],[Net Book Value of Housing Properties]], "n/a" )</f>
        <v>9.4996911132628523E-2</v>
      </c>
      <c r="E12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21682</v>
      </c>
      <c r="F127" s="83" vm="3391">
        <v>15452</v>
      </c>
      <c r="G127" s="83" vm="3392">
        <v>0</v>
      </c>
      <c r="H127" s="83" vm="2401">
        <v>6230</v>
      </c>
      <c r="I127" s="83" vm="3393">
        <v>0</v>
      </c>
      <c r="J127" s="83" vm="3394">
        <v>0</v>
      </c>
      <c r="K127" s="5">
        <f xml:space="preserve"> SUM( VfM_Metrics_2023_Consol_Source[[#This Row],[Tangible fixed assets: Housing properties at cost (Current period)]],VfM_Metrics_2023_Consol_Source[[#This Row],[Tangible fixed assets Housing properties at valuation (Current period)]] )</f>
        <v>228239</v>
      </c>
      <c r="L127" s="84" vm="3395">
        <v>228239</v>
      </c>
      <c r="M127" s="83">
        <v>0</v>
      </c>
      <c r="N127" s="7">
        <f xml:space="preserve"> IFERROR( VfM_Metrics_2023_Consol_Source[[#This Row],[Total social units developed or newly built units acquired in-year]] / VfM_Metrics_2023_Consol_Source[[#This Row],[Social housing units owned (period end)]], "n/a" )</f>
        <v>9.35285781766651E-3</v>
      </c>
      <c r="O127" s="5">
        <f xml:space="preserve"> SUM( VfM_Metrics_2023_Consol_Source[[#This Row],[Total social units developed or newly built units acquired in-year (owned)]], VfM_Metrics_2023_Consol_Source[[#This Row],[Total social leasehold units developed or newly built units acquired in-year (owned)]] )</f>
        <v>99</v>
      </c>
      <c r="P127" s="84" vm="3396">
        <v>94</v>
      </c>
      <c r="Q127" s="83" vm="3397">
        <v>5</v>
      </c>
      <c r="R127" s="5">
        <f xml:space="preserve"> SUM( VfM_Metrics_2023_Consol_Source[[#This Row],[Total social housing units owned (Period end)]], VfM_Metrics_2023_Consol_Source[[#This Row],[Total social leasehold units owned (Period end)]] )</f>
        <v>10585</v>
      </c>
      <c r="S127" s="84" vm="3390">
        <v>10289</v>
      </c>
      <c r="T127" s="83" vm="3390">
        <v>296</v>
      </c>
      <c r="U127" s="86">
        <f xml:space="preserve"> IFERROR( VfM_Metrics_2023_Consol_Source[[#This Row],[Total non-social housing units developed or newly built units acquired (owned)]] / VfM_Metrics_2023_Consol_Source[[#This Row],[Total social and non-social housing units owned (Period end)]], "n/a" )</f>
        <v>1.889466225791214E-4</v>
      </c>
      <c r="V12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v>
      </c>
      <c r="W127" s="83">
        <v>0</v>
      </c>
      <c r="X127" s="83">
        <v>0</v>
      </c>
      <c r="Y127" s="83" vm="7711">
        <v>2</v>
      </c>
      <c r="Z12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10585</v>
      </c>
      <c r="AA127" s="84" vm="3390">
        <v>10289</v>
      </c>
      <c r="AB127" s="83" vm="3398">
        <v>296</v>
      </c>
      <c r="AC127" s="83" vm="7601">
        <v>0</v>
      </c>
      <c r="AD127" s="83" vm="3399">
        <v>0</v>
      </c>
      <c r="AE127" s="7">
        <f xml:space="preserve"> IFERROR( VfM_Metrics_2023_Consol_Source[[#This Row],[Total Net Debt]] / VfM_Metrics_2023_Consol_Source[[#This Row],[Net Book Value of Housing Properties2]], "n/a" )</f>
        <v>0.1745319599192075</v>
      </c>
      <c r="AF12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39835</v>
      </c>
      <c r="AG127" s="84">
        <v>0</v>
      </c>
      <c r="AH127" s="83" vm="3400">
        <v>98813</v>
      </c>
      <c r="AI127" s="83" vm="3401">
        <v>58978</v>
      </c>
      <c r="AJ127" s="83" vm="1675">
        <v>0</v>
      </c>
      <c r="AK127" s="83">
        <v>0</v>
      </c>
      <c r="AL127" s="5">
        <f xml:space="preserve"> SUM( VfM_Metrics_2023_Consol_Source[[#This Row],[Tangible fixed assets: Housing properties at cost (Current period)2]], VfM_Metrics_2023_Consol_Source[[#This Row],[Tangible fixed assets Housing properties at valuation (Current period)2]] )</f>
        <v>228239</v>
      </c>
      <c r="AM127" s="84" vm="3415">
        <v>228239</v>
      </c>
      <c r="AN127" s="83">
        <v>0</v>
      </c>
      <c r="AO127" s="87">
        <f xml:space="preserve"> IFERROR( VfM_Metrics_2023_Consol_Source[[#This Row],[EBITDA MRI]] / VfM_Metrics_2023_Consol_Source[[#This Row],[Total interest]], "n/a" )</f>
        <v>2.1754677754677756</v>
      </c>
      <c r="AP12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10464</v>
      </c>
      <c r="AQ127" s="84" vm="7646">
        <v>9875</v>
      </c>
      <c r="AR127" s="84" vm="3403">
        <v>3075</v>
      </c>
      <c r="AS127" s="84">
        <v>0</v>
      </c>
      <c r="AT127" s="84" vm="7751">
        <v>3165</v>
      </c>
      <c r="AU127" s="84" vm="3404">
        <v>0</v>
      </c>
      <c r="AV127" s="84" vm="7078">
        <v>1236</v>
      </c>
      <c r="AW127" s="84" vm="3405">
        <v>6230</v>
      </c>
      <c r="AX127" s="84" vm="3406">
        <v>11823</v>
      </c>
      <c r="AY127" s="3">
        <f xml:space="preserve"> - SUM( VfM_Metrics_2023_Consol_Source[[#This Row],[Interest capitalised]], VfM_Metrics_2023_Consol_Source[[#This Row],[Interest payable and financing costs]] )</f>
        <v>4810</v>
      </c>
      <c r="AZ127" s="84">
        <v>0</v>
      </c>
      <c r="BA127" s="83" vm="3407">
        <v>-4810</v>
      </c>
      <c r="BB127" s="8">
        <f xml:space="preserve"> IFERROR( ( VfM_Metrics_2023_Consol_Source[[#This Row],[Total Costs]] / VfM_Metrics_2023_Consol_Source[[#This Row],[Total units for costs]] ) * 1000, "n/a" )</f>
        <v>3812.8518734226363</v>
      </c>
      <c r="BC12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39280</v>
      </c>
      <c r="BD127" s="84" vm="3408">
        <v>16374</v>
      </c>
      <c r="BE127" s="83" vm="3409">
        <v>1770</v>
      </c>
      <c r="BF127" s="83" vm="7710">
        <v>9216</v>
      </c>
      <c r="BG127" s="83" vm="3410">
        <v>3544</v>
      </c>
      <c r="BH127" s="83" vm="3411">
        <v>1360</v>
      </c>
      <c r="BI127" s="83" vm="3412">
        <v>33</v>
      </c>
      <c r="BJ127" s="83" vm="3405">
        <v>6230</v>
      </c>
      <c r="BK127" s="83" vm="3413">
        <v>455</v>
      </c>
      <c r="BL127" s="83">
        <v>0</v>
      </c>
      <c r="BM127" s="83">
        <v>0</v>
      </c>
      <c r="BN127" s="83" vm="3414">
        <v>175</v>
      </c>
      <c r="BO127" s="83" vm="4410">
        <v>123</v>
      </c>
      <c r="BP127" s="5" vm="7697">
        <f xml:space="preserve"> VfM_Metrics_2023_Consol_Source[[#This Row],[Total social housing units owned and/or managed at period end]]</f>
        <v>10302</v>
      </c>
      <c r="BQ127" s="84" vm="7697">
        <v>10302</v>
      </c>
      <c r="BR127" s="7">
        <f xml:space="preserve"> IFERROR( VfM_Metrics_2023_Consol_Source[[#This Row],[SHL operating surplus / (deficit)]] / VfM_Metrics_2023_Consol_Source[[#This Row],[Turnover from social housing lettings]], "n/a" )</f>
        <v>0.11843798887106675</v>
      </c>
      <c r="BS127" s="5" vm="3416">
        <f xml:space="preserve"> VfM_Metrics_2023_Consol_Source[[#This Row],[Operating surplus/(deficit) (social housing lettings)]]</f>
        <v>5981</v>
      </c>
      <c r="BT127" s="84" vm="3416">
        <v>5981</v>
      </c>
      <c r="BU127" s="5" vm="3417">
        <f xml:space="preserve"> VfM_Metrics_2023_Consol_Source[[#This Row],[Turnover from social housing lettings]]</f>
        <v>50499</v>
      </c>
      <c r="BV127" s="84" vm="3417">
        <v>50499</v>
      </c>
      <c r="BW127" s="7">
        <f xml:space="preserve"> IFERROR( VfM_Metrics_2023_Consol_Source[[#This Row],[Net operating surplus]] / VfM_Metrics_2023_Consol_Source[[#This Row],[Overall turnover]], "n/a" )</f>
        <v>0.13008627781072446</v>
      </c>
      <c r="BX12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6800</v>
      </c>
      <c r="BY127" s="84" vm="3402">
        <v>9875</v>
      </c>
      <c r="BZ127" s="83" vm="3403">
        <v>3075</v>
      </c>
      <c r="CA127" s="83">
        <v>0</v>
      </c>
      <c r="CB127" s="5" vm="3418">
        <f xml:space="preserve"> VfM_Metrics_2023_Consol_Source[[#This Row],[Turnover (overall)]]</f>
        <v>52273</v>
      </c>
      <c r="CC127" s="84" vm="3418">
        <v>52273</v>
      </c>
      <c r="CD127" s="7">
        <f xml:space="preserve"> IFERROR( VfM_Metrics_2023_Consol_Source[[#This Row],[Operating surplus including from JVs]] / VfM_Metrics_2023_Consol_Source[[#This Row],[Net assets]], "n/a" )</f>
        <v>3.4503120130255832E-2</v>
      </c>
      <c r="CE127" s="5">
        <f xml:space="preserve"> SUM( VfM_Metrics_2023_Consol_Source[[#This Row],[Operating surplus/(deficit) (overall)3]], VfM_Metrics_2023_Consol_Source[[#This Row],[Share of operating surplus/(deficit) in joint ventures or associates]] )</f>
        <v>9875</v>
      </c>
      <c r="CF127" s="84" vm="3402">
        <v>9875</v>
      </c>
      <c r="CG127" s="83">
        <v>0</v>
      </c>
      <c r="CH127" s="5" vm="7076">
        <f xml:space="preserve"> VfM_Metrics_2023_Consol_Source[[#This Row],[Total assets less current liabilities]]</f>
        <v>286206</v>
      </c>
      <c r="CI127" s="84" vm="7076">
        <v>286206</v>
      </c>
      <c r="CJ127" s="71" vm="3390">
        <f xml:space="preserve"> VfM_Metrics_2023_Consol_Source[[#This Row],[Total social housing units owned (Period end)]]</f>
        <v>10289</v>
      </c>
      <c r="CK127" s="103">
        <v>3.5005834305717621E-3</v>
      </c>
      <c r="CL127" s="6">
        <f xml:space="preserve"> -- ( VfM_Metrics_2023_Consol_Source[[#This Row],[% Supported housing (excl. HOP)]] &gt; 0.3 )</f>
        <v>0</v>
      </c>
      <c r="CM127" s="103">
        <v>0</v>
      </c>
      <c r="CN127" s="6">
        <f xml:space="preserve"> -- ( VfM_Metrics_2023_Consol_Source[[#This Row],[% Housing for older people]] &gt; 0.3 )</f>
        <v>0</v>
      </c>
      <c r="CO127" s="103">
        <f xml:space="preserve"> VfM_Metrics_2023_Consol_Source[[#This Row],[% Supported housing (excl. HOP)]] + VfM_Metrics_2023_Consol_Source[[#This Row],[% Housing for older people]]</f>
        <v>3.5005834305717621E-3</v>
      </c>
      <c r="CP127" s="6">
        <f xml:space="preserve"> -- ( VfM_Metrics_2023_Consol_Source[[#This Row],[SH specialist in RSH analysis]] + VfM_Metrics_2023_Consol_Source[[#This Row],[OP specialist in RSH analysis]] &gt; 0 )</f>
        <v>0</v>
      </c>
      <c r="CQ127" s="10">
        <f xml:space="preserve"> -- ( VfM_Metrics_2023_Consol_Source[[#This Row],[% SH and OP]] &gt; 0.3 )</f>
        <v>0</v>
      </c>
      <c r="CR127" s="104" t="s">
        <v>143</v>
      </c>
      <c r="CS127" s="124"/>
      <c r="CT127" s="105" t="s">
        <v>151</v>
      </c>
      <c r="CU12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127" s="85">
        <v>0</v>
      </c>
      <c r="CW127" s="85">
        <v>0</v>
      </c>
      <c r="CX127" s="85">
        <v>0</v>
      </c>
      <c r="CY127" s="85">
        <v>2.5269705510739624E-2</v>
      </c>
      <c r="CZ127" s="85">
        <v>0</v>
      </c>
      <c r="DA127" s="85">
        <v>0</v>
      </c>
      <c r="DB127" s="85">
        <v>0</v>
      </c>
      <c r="DC127" s="85">
        <v>0</v>
      </c>
      <c r="DD127" s="85">
        <v>0.97473029448926041</v>
      </c>
      <c r="DE127" s="13">
        <v>0.94453418271419443</v>
      </c>
    </row>
    <row r="128" spans="1:109" x14ac:dyDescent="0.25">
      <c r="A128" s="4" t="s" vm="338">
        <v>380</v>
      </c>
      <c r="B128" s="2" t="s" vm="118">
        <v>381</v>
      </c>
      <c r="C128" s="72" vm="540">
        <v>45016</v>
      </c>
      <c r="D128" s="7">
        <f>IFERROR( VfM_Metrics_2023_Consol_Source[[#This Row],[Reinvestment Spend]] / VfM_Metrics_2023_Consol_Source[[#This Row],[Net Book Value of Housing Properties]], "n/a" )</f>
        <v>7.5821478222284744E-2</v>
      </c>
      <c r="E12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87317</v>
      </c>
      <c r="F128" s="83" vm="4665">
        <v>50838</v>
      </c>
      <c r="G128" s="83" vm="4666">
        <v>5017</v>
      </c>
      <c r="H128" s="83" vm="4667">
        <v>29471</v>
      </c>
      <c r="I128" s="83" vm="7389">
        <v>1991</v>
      </c>
      <c r="J128" s="83" vm="6974">
        <v>0</v>
      </c>
      <c r="K128" s="5">
        <f xml:space="preserve"> SUM( VfM_Metrics_2023_Consol_Source[[#This Row],[Tangible fixed assets: Housing properties at cost (Current period)]],VfM_Metrics_2023_Consol_Source[[#This Row],[Tangible fixed assets Housing properties at valuation (Current period)]] )</f>
        <v>1151613</v>
      </c>
      <c r="L128" s="84" vm="4668">
        <v>1151613</v>
      </c>
      <c r="M128" s="83" vm="4669">
        <v>0</v>
      </c>
      <c r="N128" s="7">
        <f xml:space="preserve"> IFERROR( VfM_Metrics_2023_Consol_Source[[#This Row],[Total social units developed or newly built units acquired in-year]] / VfM_Metrics_2023_Consol_Source[[#This Row],[Social housing units owned (period end)]], "n/a" )</f>
        <v>8.8266176663604149E-3</v>
      </c>
      <c r="O128" s="5">
        <f xml:space="preserve"> SUM( VfM_Metrics_2023_Consol_Source[[#This Row],[Total social units developed or newly built units acquired in-year (owned)]], VfM_Metrics_2023_Consol_Source[[#This Row],[Total social leasehold units developed or newly built units acquired in-year (owned)]] )</f>
        <v>269</v>
      </c>
      <c r="P128" s="84" vm="4670">
        <v>269</v>
      </c>
      <c r="Q128" s="83" vm="4671">
        <v>0</v>
      </c>
      <c r="R128" s="5">
        <f xml:space="preserve"> SUM( VfM_Metrics_2023_Consol_Source[[#This Row],[Total social housing units owned (Period end)]], VfM_Metrics_2023_Consol_Source[[#This Row],[Total social leasehold units owned (Period end)]] )</f>
        <v>30476</v>
      </c>
      <c r="S128" s="84" vm="7345">
        <v>29686</v>
      </c>
      <c r="T128" s="83" vm="4672">
        <v>790</v>
      </c>
      <c r="U128" s="86">
        <f xml:space="preserve"> IFERROR( VfM_Metrics_2023_Consol_Source[[#This Row],[Total non-social housing units developed or newly built units acquired (owned)]] / VfM_Metrics_2023_Consol_Source[[#This Row],[Total social and non-social housing units owned (Period end)]], "n/a" )</f>
        <v>0</v>
      </c>
      <c r="V12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28" s="83" vm="4673">
        <v>0</v>
      </c>
      <c r="X128" s="83" vm="4674">
        <v>0</v>
      </c>
      <c r="Y128" s="83" vm="4675">
        <v>0</v>
      </c>
      <c r="Z12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34647</v>
      </c>
      <c r="AA128" s="84" vm="4664">
        <v>29686</v>
      </c>
      <c r="AB128" s="83" vm="4672">
        <v>790</v>
      </c>
      <c r="AC128" s="83" vm="7344">
        <v>156</v>
      </c>
      <c r="AD128" s="83" vm="4676">
        <v>4015</v>
      </c>
      <c r="AE128" s="7">
        <f xml:space="preserve"> IFERROR( VfM_Metrics_2023_Consol_Source[[#This Row],[Total Net Debt]] / VfM_Metrics_2023_Consol_Source[[#This Row],[Net Book Value of Housing Properties2]], "n/a" )</f>
        <v>0.27071941702637953</v>
      </c>
      <c r="AF12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311764</v>
      </c>
      <c r="AG128" s="84" vm="4677">
        <v>5995</v>
      </c>
      <c r="AH128" s="83" vm="7380">
        <v>371805</v>
      </c>
      <c r="AI128" s="83" vm="4678">
        <v>66036</v>
      </c>
      <c r="AJ128" s="83" vm="4679">
        <v>0</v>
      </c>
      <c r="AK128" s="83" vm="4680">
        <v>0</v>
      </c>
      <c r="AL128" s="5">
        <f xml:space="preserve"> SUM( VfM_Metrics_2023_Consol_Source[[#This Row],[Tangible fixed assets: Housing properties at cost (Current period)2]], VfM_Metrics_2023_Consol_Source[[#This Row],[Tangible fixed assets Housing properties at valuation (Current period)2]] )</f>
        <v>1151613</v>
      </c>
      <c r="AM128" s="84" vm="4668">
        <v>1151613</v>
      </c>
      <c r="AN128" s="83" vm="4669">
        <v>0</v>
      </c>
      <c r="AO128" s="87">
        <f xml:space="preserve"> IFERROR( VfM_Metrics_2023_Consol_Source[[#This Row],[EBITDA MRI]] / VfM_Metrics_2023_Consol_Source[[#This Row],[Total interest]], "n/a" )</f>
        <v>0.52116935483870963</v>
      </c>
      <c r="AP12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8272</v>
      </c>
      <c r="AQ128" s="84" vm="4681">
        <v>17108</v>
      </c>
      <c r="AR128" s="84" vm="4682">
        <v>551</v>
      </c>
      <c r="AS128" s="84" vm="4683">
        <v>-46</v>
      </c>
      <c r="AT128" s="84" vm="7551">
        <v>6226</v>
      </c>
      <c r="AU128" s="84" vm="4684">
        <v>0</v>
      </c>
      <c r="AV128" s="84" vm="4372">
        <v>3916</v>
      </c>
      <c r="AW128" s="84" vm="4685">
        <v>29471</v>
      </c>
      <c r="AX128" s="84" vm="7317">
        <v>23450</v>
      </c>
      <c r="AY128" s="3">
        <f xml:space="preserve"> - SUM( VfM_Metrics_2023_Consol_Source[[#This Row],[Interest capitalised]], VfM_Metrics_2023_Consol_Source[[#This Row],[Interest payable and financing costs]] )</f>
        <v>15872</v>
      </c>
      <c r="AZ128" s="84" vm="7408">
        <v>-3016</v>
      </c>
      <c r="BA128" s="83" vm="4931">
        <v>-12856</v>
      </c>
      <c r="BB128" s="8">
        <f xml:space="preserve"> IFERROR( ( VfM_Metrics_2023_Consol_Source[[#This Row],[Total Costs]] / VfM_Metrics_2023_Consol_Source[[#This Row],[Total units for costs]] ) * 1000, "n/a" )</f>
        <v>4627.0953828056072</v>
      </c>
      <c r="BC12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141603</v>
      </c>
      <c r="BD128" s="84" vm="4686">
        <v>30301</v>
      </c>
      <c r="BE128" s="83" vm="4687">
        <v>14338</v>
      </c>
      <c r="BF128" s="83" vm="4688">
        <v>36753</v>
      </c>
      <c r="BG128" s="83" vm="6964">
        <v>20601</v>
      </c>
      <c r="BH128" s="83" vm="4689">
        <v>1252</v>
      </c>
      <c r="BI128" s="83" vm="7284">
        <v>0</v>
      </c>
      <c r="BJ128" s="83" vm="4685">
        <v>29471</v>
      </c>
      <c r="BK128" s="83" vm="4690">
        <v>156</v>
      </c>
      <c r="BL128" s="83" vm="4691">
        <v>1242</v>
      </c>
      <c r="BM128" s="83" vm="4692">
        <v>3028</v>
      </c>
      <c r="BN128" s="83" vm="4693">
        <v>302</v>
      </c>
      <c r="BO128" s="83" vm="4694">
        <v>4159</v>
      </c>
      <c r="BP128" s="5" vm="7407">
        <f xml:space="preserve"> VfM_Metrics_2023_Consol_Source[[#This Row],[Total social housing units owned and/or managed at period end]]</f>
        <v>30603</v>
      </c>
      <c r="BQ128" s="84" vm="7407">
        <v>30603</v>
      </c>
      <c r="BR128" s="7">
        <f xml:space="preserve"> IFERROR( VfM_Metrics_2023_Consol_Source[[#This Row],[SHL operating surplus / (deficit)]] / VfM_Metrics_2023_Consol_Source[[#This Row],[Turnover from social housing lettings]], "n/a" )</f>
        <v>0.1444947291401317</v>
      </c>
      <c r="BS128" s="5" vm="2629">
        <f xml:space="preserve"> VfM_Metrics_2023_Consol_Source[[#This Row],[Operating surplus/(deficit) (social housing lettings)]]</f>
        <v>21328</v>
      </c>
      <c r="BT128" s="84" vm="2629">
        <v>21328</v>
      </c>
      <c r="BU128" s="5" vm="4695">
        <f xml:space="preserve"> VfM_Metrics_2023_Consol_Source[[#This Row],[Turnover from social housing lettings]]</f>
        <v>147604</v>
      </c>
      <c r="BV128" s="84" vm="4695">
        <v>147604</v>
      </c>
      <c r="BW128" s="7">
        <f xml:space="preserve"> IFERROR( VfM_Metrics_2023_Consol_Source[[#This Row],[Net operating surplus]] / VfM_Metrics_2023_Consol_Source[[#This Row],[Overall turnover]], "n/a" )</f>
        <v>9.8063304372478718E-2</v>
      </c>
      <c r="BX12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16603</v>
      </c>
      <c r="BY128" s="84" vm="6963">
        <v>17108</v>
      </c>
      <c r="BZ128" s="83" vm="4682">
        <v>551</v>
      </c>
      <c r="CA128" s="83" vm="4683">
        <v>-46</v>
      </c>
      <c r="CB128" s="5" vm="7406">
        <f xml:space="preserve"> VfM_Metrics_2023_Consol_Source[[#This Row],[Turnover (overall)]]</f>
        <v>169309</v>
      </c>
      <c r="CC128" s="84" vm="7406">
        <v>169309</v>
      </c>
      <c r="CD128" s="7">
        <f xml:space="preserve"> IFERROR( VfM_Metrics_2023_Consol_Source[[#This Row],[Operating surplus including from JVs]] / VfM_Metrics_2023_Consol_Source[[#This Row],[Net assets]], "n/a" )</f>
        <v>1.3667300475986601E-2</v>
      </c>
      <c r="CE128" s="5">
        <f xml:space="preserve"> SUM( VfM_Metrics_2023_Consol_Source[[#This Row],[Operating surplus/(deficit) (overall)3]], VfM_Metrics_2023_Consol_Source[[#This Row],[Share of operating surplus/(deficit) in joint ventures or associates]] )</f>
        <v>17366</v>
      </c>
      <c r="CF128" s="84" vm="4681">
        <v>17108</v>
      </c>
      <c r="CG128" s="83" vm="7566">
        <v>258</v>
      </c>
      <c r="CH128" s="5" vm="4696">
        <f xml:space="preserve"> VfM_Metrics_2023_Consol_Source[[#This Row],[Total assets less current liabilities]]</f>
        <v>1270624</v>
      </c>
      <c r="CI128" s="84" vm="4696">
        <v>1270624</v>
      </c>
      <c r="CJ128" s="71" vm="7345">
        <f xml:space="preserve"> VfM_Metrics_2023_Consol_Source[[#This Row],[Total social housing units owned (Period end)]]</f>
        <v>29686</v>
      </c>
      <c r="CK128" s="103">
        <v>6.5031875063244177E-2</v>
      </c>
      <c r="CL128" s="6">
        <f xml:space="preserve"> -- ( VfM_Metrics_2023_Consol_Source[[#This Row],[% Supported housing (excl. HOP)]] &gt; 0.3 )</f>
        <v>0</v>
      </c>
      <c r="CM128" s="103">
        <v>0.13067089418828212</v>
      </c>
      <c r="CN128" s="6">
        <f xml:space="preserve"> -- ( VfM_Metrics_2023_Consol_Source[[#This Row],[% Housing for older people]] &gt; 0.3 )</f>
        <v>0</v>
      </c>
      <c r="CO128" s="103">
        <f xml:space="preserve"> VfM_Metrics_2023_Consol_Source[[#This Row],[% Supported housing (excl. HOP)]] + VfM_Metrics_2023_Consol_Source[[#This Row],[% Housing for older people]]</f>
        <v>0.1957027692515263</v>
      </c>
      <c r="CP128" s="6">
        <f xml:space="preserve"> -- ( VfM_Metrics_2023_Consol_Source[[#This Row],[SH specialist in RSH analysis]] + VfM_Metrics_2023_Consol_Source[[#This Row],[OP specialist in RSH analysis]] &gt; 0 )</f>
        <v>0</v>
      </c>
      <c r="CQ128" s="10">
        <f xml:space="preserve"> -- ( VfM_Metrics_2023_Consol_Source[[#This Row],[% SH and OP]] &gt; 0.3 )</f>
        <v>0</v>
      </c>
      <c r="CR128" s="104" t="s">
        <v>143</v>
      </c>
      <c r="CS128" s="124"/>
      <c r="CT128" s="105" t="s">
        <v>151</v>
      </c>
      <c r="CU12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28" s="85">
        <v>0</v>
      </c>
      <c r="CW128" s="85">
        <v>0</v>
      </c>
      <c r="CX128" s="85">
        <v>0</v>
      </c>
      <c r="CY128" s="85">
        <v>1.3507125008441954E-4</v>
      </c>
      <c r="CZ128" s="85">
        <v>0</v>
      </c>
      <c r="DA128" s="85">
        <v>0</v>
      </c>
      <c r="DB128" s="85">
        <v>0</v>
      </c>
      <c r="DC128" s="85">
        <v>0.99986492874991562</v>
      </c>
      <c r="DD128" s="85">
        <v>0</v>
      </c>
      <c r="DE128" s="13">
        <v>0.96105664221790288</v>
      </c>
    </row>
    <row r="129" spans="1:109" x14ac:dyDescent="0.25">
      <c r="A129" s="4" t="s" vm="253">
        <v>382</v>
      </c>
      <c r="B129" s="2" t="s" vm="119">
        <v>383</v>
      </c>
      <c r="C129" s="72" vm="438">
        <v>45016</v>
      </c>
      <c r="D129" s="7">
        <f>IFERROR( VfM_Metrics_2023_Consol_Source[[#This Row],[Reinvestment Spend]] / VfM_Metrics_2023_Consol_Source[[#This Row],[Net Book Value of Housing Properties]], "n/a" )</f>
        <v>6.7644551525743946E-2</v>
      </c>
      <c r="E12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205517</v>
      </c>
      <c r="F129" s="83" vm="1947">
        <v>154464</v>
      </c>
      <c r="G129" s="83" vm="1850">
        <v>0</v>
      </c>
      <c r="H129" s="83" vm="1836">
        <v>42336</v>
      </c>
      <c r="I129" s="83" vm="7110">
        <v>8717</v>
      </c>
      <c r="J129" s="83" vm="7894">
        <v>0</v>
      </c>
      <c r="K129" s="5">
        <f xml:space="preserve"> SUM( VfM_Metrics_2023_Consol_Source[[#This Row],[Tangible fixed assets: Housing properties at cost (Current period)]],VfM_Metrics_2023_Consol_Source[[#This Row],[Tangible fixed assets Housing properties at valuation (Current period)]] )</f>
        <v>3038190</v>
      </c>
      <c r="L129" s="84" vm="1837">
        <v>3038190</v>
      </c>
      <c r="M129" s="83" vm="1838">
        <v>0</v>
      </c>
      <c r="N129" s="7">
        <f xml:space="preserve"> IFERROR( VfM_Metrics_2023_Consol_Source[[#This Row],[Total social units developed or newly built units acquired in-year]] / VfM_Metrics_2023_Consol_Source[[#This Row],[Social housing units owned (period end)]], "n/a" )</f>
        <v>2.1081233017895624E-2</v>
      </c>
      <c r="O129" s="5">
        <f xml:space="preserve"> SUM( VfM_Metrics_2023_Consol_Source[[#This Row],[Total social units developed or newly built units acquired in-year (owned)]], VfM_Metrics_2023_Consol_Source[[#This Row],[Total social leasehold units developed or newly built units acquired in-year (owned)]] )</f>
        <v>900</v>
      </c>
      <c r="P129" s="84" vm="1581">
        <v>900</v>
      </c>
      <c r="Q129" s="83" vm="8153">
        <v>0</v>
      </c>
      <c r="R129" s="5">
        <f xml:space="preserve"> SUM( VfM_Metrics_2023_Consol_Source[[#This Row],[Total social housing units owned (Period end)]], VfM_Metrics_2023_Consol_Source[[#This Row],[Total social leasehold units owned (Period end)]] )</f>
        <v>42692</v>
      </c>
      <c r="S129" s="84" vm="1834">
        <v>40339</v>
      </c>
      <c r="T129" s="83" vm="8081">
        <v>2353</v>
      </c>
      <c r="U129" s="86">
        <f xml:space="preserve"> IFERROR( VfM_Metrics_2023_Consol_Source[[#This Row],[Total non-social housing units developed or newly built units acquired (owned)]] / VfM_Metrics_2023_Consol_Source[[#This Row],[Total social and non-social housing units owned (Period end)]], "n/a" )</f>
        <v>7.5379145853021919E-3</v>
      </c>
      <c r="V12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335</v>
      </c>
      <c r="W129" s="83" vm="1840">
        <v>0</v>
      </c>
      <c r="X129" s="83" vm="1841">
        <v>0</v>
      </c>
      <c r="Y129" s="83" vm="1653">
        <v>335</v>
      </c>
      <c r="Z12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44442</v>
      </c>
      <c r="AA129" s="84" vm="1834">
        <v>40339</v>
      </c>
      <c r="AB129" s="83" vm="1839">
        <v>2353</v>
      </c>
      <c r="AC129" s="83" vm="1842">
        <v>194</v>
      </c>
      <c r="AD129" s="83" vm="1843">
        <v>1556</v>
      </c>
      <c r="AE129" s="7">
        <f xml:space="preserve"> IFERROR( VfM_Metrics_2023_Consol_Source[[#This Row],[Total Net Debt]] / VfM_Metrics_2023_Consol_Source[[#This Row],[Net Book Value of Housing Properties2]], "n/a" )</f>
        <v>0.49102952744890871</v>
      </c>
      <c r="AF12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1491841</v>
      </c>
      <c r="AG129" s="84" vm="1844">
        <v>12914</v>
      </c>
      <c r="AH129" s="83" vm="1754">
        <v>1545703</v>
      </c>
      <c r="AI129" s="83" vm="8080">
        <v>66776</v>
      </c>
      <c r="AJ129" s="83" vm="1355">
        <v>0</v>
      </c>
      <c r="AK129" s="83" vm="1845">
        <v>0</v>
      </c>
      <c r="AL129" s="5">
        <f xml:space="preserve"> SUM( VfM_Metrics_2023_Consol_Source[[#This Row],[Tangible fixed assets: Housing properties at cost (Current period)2]], VfM_Metrics_2023_Consol_Source[[#This Row],[Tangible fixed assets Housing properties at valuation (Current period)2]] )</f>
        <v>3038190</v>
      </c>
      <c r="AM129" s="84" vm="7985">
        <v>3038190</v>
      </c>
      <c r="AN129" s="83" vm="1838">
        <v>0</v>
      </c>
      <c r="AO129" s="87">
        <f xml:space="preserve"> IFERROR( VfM_Metrics_2023_Consol_Source[[#This Row],[EBITDA MRI]] / VfM_Metrics_2023_Consol_Source[[#This Row],[Total interest]], "n/a" )</f>
        <v>1.6917325357829525</v>
      </c>
      <c r="AP12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102947</v>
      </c>
      <c r="AQ129" s="84" vm="8078">
        <v>135224</v>
      </c>
      <c r="AR129" s="84" vm="1839">
        <v>30142</v>
      </c>
      <c r="AS129" s="84" vm="1848">
        <v>-17</v>
      </c>
      <c r="AT129" s="84" vm="1849">
        <v>12355</v>
      </c>
      <c r="AU129" s="84" vm="1787">
        <v>0</v>
      </c>
      <c r="AV129" s="84" vm="8202">
        <v>3092</v>
      </c>
      <c r="AW129" s="84" vm="1851">
        <v>42336</v>
      </c>
      <c r="AX129" s="84" vm="1852">
        <v>49447</v>
      </c>
      <c r="AY129" s="3">
        <f xml:space="preserve"> - SUM( VfM_Metrics_2023_Consol_Source[[#This Row],[Interest capitalised]], VfM_Metrics_2023_Consol_Source[[#This Row],[Interest payable and financing costs]] )</f>
        <v>60853</v>
      </c>
      <c r="AZ129" s="84" vm="1853">
        <v>-8717</v>
      </c>
      <c r="BA129" s="83" vm="1854">
        <v>-52136</v>
      </c>
      <c r="BB129" s="8">
        <f xml:space="preserve"> IFERROR( ( VfM_Metrics_2023_Consol_Source[[#This Row],[Total Costs]] / VfM_Metrics_2023_Consol_Source[[#This Row],[Total units for costs]] ) * 1000, "n/a" )</f>
        <v>4436.227967971442</v>
      </c>
      <c r="BC12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178953</v>
      </c>
      <c r="BD129" s="84" vm="1855">
        <v>32657</v>
      </c>
      <c r="BE129" s="83" vm="1856">
        <v>31526</v>
      </c>
      <c r="BF129" s="83" vm="1438">
        <v>37327</v>
      </c>
      <c r="BG129" s="83" vm="1857">
        <v>21095</v>
      </c>
      <c r="BH129" s="83" vm="1858">
        <v>0</v>
      </c>
      <c r="BI129" s="83" vm="8046">
        <v>0</v>
      </c>
      <c r="BJ129" s="83" vm="8102">
        <v>42336</v>
      </c>
      <c r="BK129" s="83" vm="1859">
        <v>109</v>
      </c>
      <c r="BL129" s="83" vm="1608">
        <v>0</v>
      </c>
      <c r="BM129" s="83" vm="1860">
        <v>3627</v>
      </c>
      <c r="BN129" s="83" vm="1861">
        <v>10236</v>
      </c>
      <c r="BO129" s="83" vm="1862">
        <v>40</v>
      </c>
      <c r="BP129" s="5" vm="1835">
        <f xml:space="preserve"> VfM_Metrics_2023_Consol_Source[[#This Row],[Total social housing units owned and/or managed at period end]]</f>
        <v>40339</v>
      </c>
      <c r="BQ129" s="84" vm="1835">
        <v>40339</v>
      </c>
      <c r="BR129" s="7">
        <f xml:space="preserve"> IFERROR( VfM_Metrics_2023_Consol_Source[[#This Row],[SHL operating surplus / (deficit)]] / VfM_Metrics_2023_Consol_Source[[#This Row],[Turnover from social housing lettings]], "n/a" )</f>
        <v>0.34954262084521159</v>
      </c>
      <c r="BS129" s="5" vm="1863">
        <f xml:space="preserve"> VfM_Metrics_2023_Consol_Source[[#This Row],[Operating surplus/(deficit) (social housing lettings)]]</f>
        <v>89262</v>
      </c>
      <c r="BT129" s="84" vm="1863">
        <v>89262</v>
      </c>
      <c r="BU129" s="5" vm="1864">
        <f xml:space="preserve"> VfM_Metrics_2023_Consol_Source[[#This Row],[Turnover from social housing lettings]]</f>
        <v>255368</v>
      </c>
      <c r="BV129" s="84" vm="1864">
        <v>255368</v>
      </c>
      <c r="BW129" s="7">
        <f xml:space="preserve"> IFERROR( VfM_Metrics_2023_Consol_Source[[#This Row],[Net operating surplus]] / VfM_Metrics_2023_Consol_Source[[#This Row],[Overall turnover]], "n/a" )</f>
        <v>0.25124788433403139</v>
      </c>
      <c r="BX12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105099</v>
      </c>
      <c r="BY129" s="84" vm="1846">
        <v>135224</v>
      </c>
      <c r="BZ129" s="83" vm="1847">
        <v>30142</v>
      </c>
      <c r="CA129" s="83" vm="8137">
        <v>-17</v>
      </c>
      <c r="CB129" s="5" vm="8166">
        <f xml:space="preserve"> VfM_Metrics_2023_Consol_Source[[#This Row],[Turnover (overall)]]</f>
        <v>418308</v>
      </c>
      <c r="CC129" s="84" vm="8166">
        <v>418308</v>
      </c>
      <c r="CD129" s="7">
        <f xml:space="preserve"> IFERROR( VfM_Metrics_2023_Consol_Source[[#This Row],[Operating surplus including from JVs]] / VfM_Metrics_2023_Consol_Source[[#This Row],[Net assets]], "n/a" )</f>
        <v>4.1848237316617638E-2</v>
      </c>
      <c r="CE129" s="5">
        <f xml:space="preserve"> SUM( VfM_Metrics_2023_Consol_Source[[#This Row],[Operating surplus/(deficit) (overall)3]], VfM_Metrics_2023_Consol_Source[[#This Row],[Share of operating surplus/(deficit) in joint ventures or associates]] )</f>
        <v>135224</v>
      </c>
      <c r="CF129" s="84" vm="1846">
        <v>135224</v>
      </c>
      <c r="CG129" s="83" vm="1800">
        <v>0</v>
      </c>
      <c r="CH129" s="5" vm="8212">
        <f xml:space="preserve"> VfM_Metrics_2023_Consol_Source[[#This Row],[Total assets less current liabilities]]</f>
        <v>3231295</v>
      </c>
      <c r="CI129" s="84" vm="8212">
        <v>3231295</v>
      </c>
      <c r="CJ129" s="71" vm="1834">
        <f xml:space="preserve"> VfM_Metrics_2023_Consol_Source[[#This Row],[Total social housing units owned (Period end)]]</f>
        <v>40339</v>
      </c>
      <c r="CK129" s="103">
        <v>1.5823257202567546E-2</v>
      </c>
      <c r="CL129" s="6">
        <f xml:space="preserve"> -- ( VfM_Metrics_2023_Consol_Source[[#This Row],[% Supported housing (excl. HOP)]] &gt; 0.3 )</f>
        <v>0</v>
      </c>
      <c r="CM129" s="103">
        <v>6.7845947156291983E-2</v>
      </c>
      <c r="CN129" s="6">
        <f xml:space="preserve"> -- ( VfM_Metrics_2023_Consol_Source[[#This Row],[% Housing for older people]] &gt; 0.3 )</f>
        <v>0</v>
      </c>
      <c r="CO129" s="103">
        <f xml:space="preserve"> VfM_Metrics_2023_Consol_Source[[#This Row],[% Supported housing (excl. HOP)]] + VfM_Metrics_2023_Consol_Source[[#This Row],[% Housing for older people]]</f>
        <v>8.3669204358859522E-2</v>
      </c>
      <c r="CP129" s="6">
        <f xml:space="preserve"> -- ( VfM_Metrics_2023_Consol_Source[[#This Row],[SH specialist in RSH analysis]] + VfM_Metrics_2023_Consol_Source[[#This Row],[OP specialist in RSH analysis]] &gt; 0 )</f>
        <v>0</v>
      </c>
      <c r="CQ129" s="10">
        <f xml:space="preserve"> -- ( VfM_Metrics_2023_Consol_Source[[#This Row],[% SH and OP]] &gt; 0.3 )</f>
        <v>0</v>
      </c>
      <c r="CR129" s="104" t="s">
        <v>143</v>
      </c>
      <c r="CS129" s="124" t="s">
        <v>144</v>
      </c>
      <c r="CT129" s="105"/>
      <c r="CU12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29" s="85">
        <v>0.12815871047737135</v>
      </c>
      <c r="CW129" s="85">
        <v>0.27320520768753875</v>
      </c>
      <c r="CX129" s="85">
        <v>0</v>
      </c>
      <c r="CY129" s="85">
        <v>0.10492250464972101</v>
      </c>
      <c r="CZ129" s="85">
        <v>0.34060756354618721</v>
      </c>
      <c r="DA129" s="85">
        <v>0.15310601363918164</v>
      </c>
      <c r="DB129" s="85">
        <v>0</v>
      </c>
      <c r="DC129" s="85">
        <v>0</v>
      </c>
      <c r="DD129" s="85">
        <v>0</v>
      </c>
      <c r="DE129" s="13">
        <v>1.0133928692974183</v>
      </c>
    </row>
    <row r="130" spans="1:109" x14ac:dyDescent="0.25">
      <c r="A130" s="4" t="s" vm="348">
        <v>384</v>
      </c>
      <c r="B130" s="2" t="s" vm="120">
        <v>385</v>
      </c>
      <c r="C130" s="72" vm="494">
        <v>45016</v>
      </c>
      <c r="D130" s="7">
        <f>IFERROR( VfM_Metrics_2023_Consol_Source[[#This Row],[Reinvestment Spend]] / VfM_Metrics_2023_Consol_Source[[#This Row],[Net Book Value of Housing Properties]], "n/a" )</f>
        <v>8.4231461452665024E-2</v>
      </c>
      <c r="E13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79749</v>
      </c>
      <c r="F130" s="83" vm="5017">
        <v>70767</v>
      </c>
      <c r="G130" s="83" vm="5018">
        <v>0</v>
      </c>
      <c r="H130" s="83" vm="5019">
        <v>6912</v>
      </c>
      <c r="I130" s="83" vm="5020">
        <v>2070</v>
      </c>
      <c r="J130" s="83" vm="5021">
        <v>0</v>
      </c>
      <c r="K130" s="5">
        <f xml:space="preserve"> SUM( VfM_Metrics_2023_Consol_Source[[#This Row],[Tangible fixed assets: Housing properties at cost (Current period)]],VfM_Metrics_2023_Consol_Source[[#This Row],[Tangible fixed assets Housing properties at valuation (Current period)]] )</f>
        <v>946784</v>
      </c>
      <c r="L130" s="84" vm="5022">
        <v>946784</v>
      </c>
      <c r="M130" s="83">
        <v>0</v>
      </c>
      <c r="N130" s="7">
        <f xml:space="preserve"> IFERROR( VfM_Metrics_2023_Consol_Source[[#This Row],[Total social units developed or newly built units acquired in-year]] / VfM_Metrics_2023_Consol_Source[[#This Row],[Social housing units owned (period end)]], "n/a" )</f>
        <v>1.6461494417406242E-2</v>
      </c>
      <c r="O130" s="5">
        <f xml:space="preserve"> SUM( VfM_Metrics_2023_Consol_Source[[#This Row],[Total social units developed or newly built units acquired in-year (owned)]], VfM_Metrics_2023_Consol_Source[[#This Row],[Total social leasehold units developed or newly built units acquired in-year (owned)]] )</f>
        <v>115</v>
      </c>
      <c r="P130" s="84" vm="6956">
        <v>115</v>
      </c>
      <c r="Q130" s="83">
        <v>0</v>
      </c>
      <c r="R130" s="5">
        <f xml:space="preserve"> SUM( VfM_Metrics_2023_Consol_Source[[#This Row],[Total social housing units owned (Period end)]], VfM_Metrics_2023_Consol_Source[[#This Row],[Total social leasehold units owned (Period end)]] )</f>
        <v>6986</v>
      </c>
      <c r="S130" s="84" vm="5016">
        <v>6729</v>
      </c>
      <c r="T130" s="83" vm="5023">
        <v>257</v>
      </c>
      <c r="U130" s="86">
        <f xml:space="preserve"> IFERROR( VfM_Metrics_2023_Consol_Source[[#This Row],[Total non-social housing units developed or newly built units acquired (owned)]] / VfM_Metrics_2023_Consol_Source[[#This Row],[Total social and non-social housing units owned (Period end)]], "n/a" )</f>
        <v>5.1733057423693739E-4</v>
      </c>
      <c r="V13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4</v>
      </c>
      <c r="W130" s="83">
        <v>0</v>
      </c>
      <c r="X130" s="83" vm="5024">
        <v>4</v>
      </c>
      <c r="Y130" s="83">
        <v>0</v>
      </c>
      <c r="Z13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7732</v>
      </c>
      <c r="AA130" s="84" vm="5016">
        <v>6729</v>
      </c>
      <c r="AB130" s="83" vm="5023">
        <v>257</v>
      </c>
      <c r="AC130" s="83" vm="5025">
        <v>191</v>
      </c>
      <c r="AD130" s="83" vm="5026">
        <v>555</v>
      </c>
      <c r="AE130" s="7">
        <f xml:space="preserve"> IFERROR( VfM_Metrics_2023_Consol_Source[[#This Row],[Total Net Debt]] / VfM_Metrics_2023_Consol_Source[[#This Row],[Net Book Value of Housing Properties2]], "n/a" )</f>
        <v>0.52664704937979523</v>
      </c>
      <c r="AF13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498621</v>
      </c>
      <c r="AG130" s="84" vm="5027">
        <v>90544</v>
      </c>
      <c r="AH130" s="83" vm="5028">
        <v>413950</v>
      </c>
      <c r="AI130" s="83" vm="5029">
        <v>5873</v>
      </c>
      <c r="AJ130" s="83" vm="1675">
        <v>0</v>
      </c>
      <c r="AK130" s="83">
        <v>0</v>
      </c>
      <c r="AL130" s="5">
        <f xml:space="preserve"> SUM( VfM_Metrics_2023_Consol_Source[[#This Row],[Tangible fixed assets: Housing properties at cost (Current period)2]], VfM_Metrics_2023_Consol_Source[[#This Row],[Tangible fixed assets Housing properties at valuation (Current period)2]] )</f>
        <v>946784</v>
      </c>
      <c r="AM130" s="84" vm="5022">
        <v>946784</v>
      </c>
      <c r="AN130" s="83">
        <v>0</v>
      </c>
      <c r="AO130" s="87">
        <f xml:space="preserve"> IFERROR( VfM_Metrics_2023_Consol_Source[[#This Row],[EBITDA MRI]] / VfM_Metrics_2023_Consol_Source[[#This Row],[Total interest]], "n/a" )</f>
        <v>0.61129300936297315</v>
      </c>
      <c r="AP13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10642</v>
      </c>
      <c r="AQ130" s="84" vm="5030">
        <v>12470</v>
      </c>
      <c r="AR130" s="84" vm="5031">
        <v>1312</v>
      </c>
      <c r="AS130" s="84">
        <v>0</v>
      </c>
      <c r="AT130" s="84" vm="5032">
        <v>1876</v>
      </c>
      <c r="AU130" s="84" vm="5033">
        <v>0</v>
      </c>
      <c r="AV130" s="84" vm="5034">
        <v>97</v>
      </c>
      <c r="AW130" s="84" vm="5035">
        <v>6912</v>
      </c>
      <c r="AX130" s="84" vm="5036">
        <v>8175</v>
      </c>
      <c r="AY130" s="3">
        <f xml:space="preserve"> - SUM( VfM_Metrics_2023_Consol_Source[[#This Row],[Interest capitalised]], VfM_Metrics_2023_Consol_Source[[#This Row],[Interest payable and financing costs]] )</f>
        <v>17409</v>
      </c>
      <c r="AZ130" s="84" vm="4096">
        <v>-2070</v>
      </c>
      <c r="BA130" s="83" vm="6955">
        <v>-15339</v>
      </c>
      <c r="BB130" s="8">
        <f xml:space="preserve"> IFERROR( ( VfM_Metrics_2023_Consol_Source[[#This Row],[Total Costs]] / VfM_Metrics_2023_Consol_Source[[#This Row],[Total units for costs]] ) * 1000, "n/a" )</f>
        <v>7181.4941333729394</v>
      </c>
      <c r="BC13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48353</v>
      </c>
      <c r="BD130" s="84" vm="5037">
        <v>10240</v>
      </c>
      <c r="BE130" s="83" vm="5038">
        <v>8452</v>
      </c>
      <c r="BF130" s="83" vm="5039">
        <v>7099</v>
      </c>
      <c r="BG130" s="83" vm="5040">
        <v>3954</v>
      </c>
      <c r="BH130" s="83" vm="5041">
        <v>0</v>
      </c>
      <c r="BI130" s="83" vm="5042">
        <v>0</v>
      </c>
      <c r="BJ130" s="83" vm="5035">
        <v>6912</v>
      </c>
      <c r="BK130" s="83" vm="5043">
        <v>8764</v>
      </c>
      <c r="BL130" s="83">
        <v>0</v>
      </c>
      <c r="BM130" s="83" vm="5044">
        <v>292</v>
      </c>
      <c r="BN130" s="83">
        <v>0</v>
      </c>
      <c r="BO130" s="83" vm="5045">
        <v>2640</v>
      </c>
      <c r="BP130" s="5" vm="7343">
        <f xml:space="preserve"> VfM_Metrics_2023_Consol_Source[[#This Row],[Total social housing units owned and/or managed at period end]]</f>
        <v>6733</v>
      </c>
      <c r="BQ130" s="84" vm="7343">
        <v>6733</v>
      </c>
      <c r="BR130" s="7">
        <f xml:space="preserve"> IFERROR( VfM_Metrics_2023_Consol_Source[[#This Row],[SHL operating surplus / (deficit)]] / VfM_Metrics_2023_Consol_Source[[#This Row],[Turnover from social housing lettings]], "n/a" )</f>
        <v>0.10597012077617295</v>
      </c>
      <c r="BS130" s="5" vm="5046">
        <f xml:space="preserve"> VfM_Metrics_2023_Consol_Source[[#This Row],[Operating surplus/(deficit) (social housing lettings)]]</f>
        <v>5554</v>
      </c>
      <c r="BT130" s="84" vm="5046">
        <v>5554</v>
      </c>
      <c r="BU130" s="5" vm="5047">
        <f xml:space="preserve"> VfM_Metrics_2023_Consol_Source[[#This Row],[Turnover from social housing lettings]]</f>
        <v>52411</v>
      </c>
      <c r="BV130" s="84" vm="5047">
        <v>52411</v>
      </c>
      <c r="BW130" s="7">
        <f xml:space="preserve"> IFERROR( VfM_Metrics_2023_Consol_Source[[#This Row],[Net operating surplus]] / VfM_Metrics_2023_Consol_Source[[#This Row],[Overall turnover]], "n/a" )</f>
        <v>0.16310480923841544</v>
      </c>
      <c r="BX13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11158</v>
      </c>
      <c r="BY130" s="84" vm="5030">
        <v>12470</v>
      </c>
      <c r="BZ130" s="83" vm="5031">
        <v>1312</v>
      </c>
      <c r="CA130" s="83">
        <v>0</v>
      </c>
      <c r="CB130" s="5" vm="6932">
        <f xml:space="preserve"> VfM_Metrics_2023_Consol_Source[[#This Row],[Turnover (overall)]]</f>
        <v>68410</v>
      </c>
      <c r="CC130" s="84" vm="6932">
        <v>68410</v>
      </c>
      <c r="CD130" s="7">
        <f xml:space="preserve"> IFERROR( VfM_Metrics_2023_Consol_Source[[#This Row],[Operating surplus including from JVs]] / VfM_Metrics_2023_Consol_Source[[#This Row],[Net assets]], "n/a" )</f>
        <v>1.4659148486942823E-2</v>
      </c>
      <c r="CE130" s="5">
        <f xml:space="preserve"> SUM( VfM_Metrics_2023_Consol_Source[[#This Row],[Operating surplus/(deficit) (overall)3]], VfM_Metrics_2023_Consol_Source[[#This Row],[Share of operating surplus/(deficit) in joint ventures or associates]] )</f>
        <v>13511</v>
      </c>
      <c r="CF130" s="84" vm="7252">
        <v>12470</v>
      </c>
      <c r="CG130" s="83" vm="5049">
        <v>1041</v>
      </c>
      <c r="CH130" s="5" vm="5048">
        <f xml:space="preserve"> VfM_Metrics_2023_Consol_Source[[#This Row],[Total assets less current liabilities]]</f>
        <v>921677</v>
      </c>
      <c r="CI130" s="84" vm="5048">
        <v>921677</v>
      </c>
      <c r="CJ130" s="71" vm="5016">
        <f xml:space="preserve"> VfM_Metrics_2023_Consol_Source[[#This Row],[Total social housing units owned (Period end)]]</f>
        <v>6729</v>
      </c>
      <c r="CK130" s="103">
        <v>4.4390243902439022E-2</v>
      </c>
      <c r="CL130" s="6">
        <f xml:space="preserve"> -- ( VfM_Metrics_2023_Consol_Source[[#This Row],[% Supported housing (excl. HOP)]] &gt; 0.3 )</f>
        <v>0</v>
      </c>
      <c r="CM130" s="103">
        <v>6.5365853658536588E-2</v>
      </c>
      <c r="CN130" s="6">
        <f xml:space="preserve"> -- ( VfM_Metrics_2023_Consol_Source[[#This Row],[% Housing for older people]] &gt; 0.3 )</f>
        <v>0</v>
      </c>
      <c r="CO130" s="103">
        <f xml:space="preserve"> VfM_Metrics_2023_Consol_Source[[#This Row],[% Supported housing (excl. HOP)]] + VfM_Metrics_2023_Consol_Source[[#This Row],[% Housing for older people]]</f>
        <v>0.10975609756097561</v>
      </c>
      <c r="CP130" s="6">
        <f xml:space="preserve"> -- ( VfM_Metrics_2023_Consol_Source[[#This Row],[SH specialist in RSH analysis]] + VfM_Metrics_2023_Consol_Source[[#This Row],[OP specialist in RSH analysis]] &gt; 0 )</f>
        <v>0</v>
      </c>
      <c r="CQ130" s="10">
        <f xml:space="preserve"> -- ( VfM_Metrics_2023_Consol_Source[[#This Row],[% SH and OP]] &gt; 0.3 )</f>
        <v>0</v>
      </c>
      <c r="CR130" s="104" t="s">
        <v>143</v>
      </c>
      <c r="CS130" s="124" t="s">
        <v>144</v>
      </c>
      <c r="CT130" s="105"/>
      <c r="CU13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30" s="85">
        <v>0.78719948018193631</v>
      </c>
      <c r="CW130" s="85">
        <v>4.8732943469785572E-4</v>
      </c>
      <c r="CX130" s="85">
        <v>0</v>
      </c>
      <c r="CY130" s="85">
        <v>0</v>
      </c>
      <c r="CZ130" s="85">
        <v>0</v>
      </c>
      <c r="DA130" s="85">
        <v>0.21231319038336582</v>
      </c>
      <c r="DB130" s="85">
        <v>0</v>
      </c>
      <c r="DC130" s="85">
        <v>0</v>
      </c>
      <c r="DD130" s="85">
        <v>0</v>
      </c>
      <c r="DE130" s="13">
        <v>1.1286736737182432</v>
      </c>
    </row>
    <row r="131" spans="1:109" x14ac:dyDescent="0.25">
      <c r="A131" s="4" t="s" vm="308">
        <v>386</v>
      </c>
      <c r="B131" s="2" t="s" vm="121">
        <v>387</v>
      </c>
      <c r="C131" s="72" vm="560">
        <v>44926</v>
      </c>
      <c r="D131" s="7">
        <f>IFERROR( VfM_Metrics_2023_Consol_Source[[#This Row],[Reinvestment Spend]] / VfM_Metrics_2023_Consol_Source[[#This Row],[Net Book Value of Housing Properties]], "n/a" )</f>
        <v>3.7495938921377515E-2</v>
      </c>
      <c r="E13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9233</v>
      </c>
      <c r="F131" s="83" vm="7561">
        <v>6946</v>
      </c>
      <c r="G131" s="83" vm="3609">
        <v>0</v>
      </c>
      <c r="H131" s="83" vm="3610">
        <v>2287</v>
      </c>
      <c r="I131" s="83" vm="3611">
        <v>0</v>
      </c>
      <c r="J131" s="83" vm="3612">
        <v>0</v>
      </c>
      <c r="K131" s="5">
        <f xml:space="preserve"> SUM( VfM_Metrics_2023_Consol_Source[[#This Row],[Tangible fixed assets: Housing properties at cost (Current period)]],VfM_Metrics_2023_Consol_Source[[#This Row],[Tangible fixed assets Housing properties at valuation (Current period)]] )</f>
        <v>246240</v>
      </c>
      <c r="L131" s="84" vm="7820">
        <v>246240</v>
      </c>
      <c r="M131" s="83">
        <v>0</v>
      </c>
      <c r="N131" s="7">
        <f xml:space="preserve"> IFERROR( VfM_Metrics_2023_Consol_Source[[#This Row],[Total social units developed or newly built units acquired in-year]] / VfM_Metrics_2023_Consol_Source[[#This Row],[Social housing units owned (period end)]], "n/a" )</f>
        <v>9.3579412529243566E-3</v>
      </c>
      <c r="O131" s="5">
        <v>36</v>
      </c>
      <c r="P131" s="84" vm="3607">
        <v>3847</v>
      </c>
      <c r="Q131" s="83">
        <v>0</v>
      </c>
      <c r="R131" s="5">
        <f xml:space="preserve"> SUM( VfM_Metrics_2023_Consol_Source[[#This Row],[Total social housing units owned (Period end)]], VfM_Metrics_2023_Consol_Source[[#This Row],[Total social leasehold units owned (Period end)]] )</f>
        <v>3847</v>
      </c>
      <c r="S131" s="84" vm="3607">
        <v>3847</v>
      </c>
      <c r="T131" s="83" vm="3621">
        <v>0</v>
      </c>
      <c r="U131" s="86">
        <f xml:space="preserve"> IFERROR( VfM_Metrics_2023_Consol_Source[[#This Row],[Total non-social housing units developed or newly built units acquired (owned)]] / VfM_Metrics_2023_Consol_Source[[#This Row],[Total social and non-social housing units owned (Period end)]], "n/a" )</f>
        <v>3.6165469407976221E-2</v>
      </c>
      <c r="V13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146</v>
      </c>
      <c r="W131" s="83" vm="3615">
        <v>130</v>
      </c>
      <c r="X131" s="83">
        <v>0</v>
      </c>
      <c r="Y131" s="83" vm="3616">
        <v>16</v>
      </c>
      <c r="Z13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4037</v>
      </c>
      <c r="AA131" s="84" vm="5048">
        <v>3847</v>
      </c>
      <c r="AB131" s="83" vm="3614">
        <v>0</v>
      </c>
      <c r="AC131" s="83" vm="3617">
        <v>190</v>
      </c>
      <c r="AD131" s="83" vm="3618">
        <v>0</v>
      </c>
      <c r="AE131" s="7">
        <f xml:space="preserve"> IFERROR( VfM_Metrics_2023_Consol_Source[[#This Row],[Total Net Debt]] / VfM_Metrics_2023_Consol_Source[[#This Row],[Net Book Value of Housing Properties2]], "n/a" )</f>
        <v>0.43252923976608187</v>
      </c>
      <c r="AF13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106506</v>
      </c>
      <c r="AG131" s="84" vm="7590">
        <v>2878</v>
      </c>
      <c r="AH131" s="83" vm="3619">
        <v>107887</v>
      </c>
      <c r="AI131" s="83" vm="7670">
        <v>4259</v>
      </c>
      <c r="AJ131" s="83" vm="1675">
        <v>0</v>
      </c>
      <c r="AK131" s="83">
        <v>0</v>
      </c>
      <c r="AL131" s="5">
        <f xml:space="preserve"> SUM( VfM_Metrics_2023_Consol_Source[[#This Row],[Tangible fixed assets: Housing properties at cost (Current period)2]], VfM_Metrics_2023_Consol_Source[[#This Row],[Tangible fixed assets Housing properties at valuation (Current period)2]] )</f>
        <v>246240</v>
      </c>
      <c r="AM131" s="84" vm="3613">
        <v>246240</v>
      </c>
      <c r="AN131" s="83">
        <v>0</v>
      </c>
      <c r="AO131" s="87">
        <f xml:space="preserve"> IFERROR( VfM_Metrics_2023_Consol_Source[[#This Row],[EBITDA MRI]] / VfM_Metrics_2023_Consol_Source[[#This Row],[Total interest]], "n/a" )</f>
        <v>1.6671368124118477</v>
      </c>
      <c r="AP13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5910</v>
      </c>
      <c r="AQ131" s="84" vm="3620">
        <v>5926</v>
      </c>
      <c r="AR131" s="84" vm="7370">
        <v>426</v>
      </c>
      <c r="AS131" s="84">
        <v>0</v>
      </c>
      <c r="AT131" s="84" vm="3594">
        <v>911</v>
      </c>
      <c r="AU131" s="84" vm="3687">
        <v>176</v>
      </c>
      <c r="AV131" s="84" vm="3622">
        <v>60</v>
      </c>
      <c r="AW131" s="84" vm="7636">
        <v>2287</v>
      </c>
      <c r="AX131" s="84" vm="3624">
        <v>3724</v>
      </c>
      <c r="AY131" s="3">
        <f xml:space="preserve"> - SUM( VfM_Metrics_2023_Consol_Source[[#This Row],[Interest capitalised]], VfM_Metrics_2023_Consol_Source[[#This Row],[Interest payable and financing costs]] )</f>
        <v>3545</v>
      </c>
      <c r="AZ131" s="84">
        <v>0</v>
      </c>
      <c r="BA131" s="83" vm="7073">
        <v>-3545</v>
      </c>
      <c r="BB131" s="8">
        <f xml:space="preserve"> IFERROR( ( VfM_Metrics_2023_Consol_Source[[#This Row],[Total Costs]] / VfM_Metrics_2023_Consol_Source[[#This Row],[Total units for costs]] ) * 1000, "n/a" )</f>
        <v>10012.856775520699</v>
      </c>
      <c r="BC13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38940</v>
      </c>
      <c r="BD131" s="84" vm="3598">
        <v>6548</v>
      </c>
      <c r="BE131" s="83" vm="3625">
        <v>2570</v>
      </c>
      <c r="BF131" s="83" vm="3626">
        <v>3390</v>
      </c>
      <c r="BG131" s="83" vm="7669">
        <v>1447</v>
      </c>
      <c r="BH131" s="83" vm="6993">
        <v>0</v>
      </c>
      <c r="BI131" s="83" vm="3627">
        <v>361</v>
      </c>
      <c r="BJ131" s="83" vm="3623">
        <v>2287</v>
      </c>
      <c r="BK131" s="83" vm="3628">
        <v>0</v>
      </c>
      <c r="BL131" s="83" vm="3629">
        <v>8865</v>
      </c>
      <c r="BM131" s="83" vm="3238">
        <v>49</v>
      </c>
      <c r="BN131" s="83" vm="3630">
        <v>9386</v>
      </c>
      <c r="BO131" s="83" vm="3631">
        <v>4037</v>
      </c>
      <c r="BP131" s="5" vm="3608">
        <f xml:space="preserve"> VfM_Metrics_2023_Consol_Source[[#This Row],[Total social housing units owned and/or managed at period end]]</f>
        <v>3889</v>
      </c>
      <c r="BQ131" s="84" vm="3608">
        <v>3889</v>
      </c>
      <c r="BR131" s="7">
        <f xml:space="preserve"> IFERROR( VfM_Metrics_2023_Consol_Source[[#This Row],[SHL operating surplus / (deficit)]] / VfM_Metrics_2023_Consol_Source[[#This Row],[Turnover from social housing lettings]], "n/a" )</f>
        <v>0.19595750427658234</v>
      </c>
      <c r="BS131" s="5" vm="3632">
        <f xml:space="preserve"> VfM_Metrics_2023_Consol_Source[[#This Row],[Operating surplus/(deficit) (social housing lettings)]]</f>
        <v>4353</v>
      </c>
      <c r="BT131" s="84" vm="3632">
        <v>4353</v>
      </c>
      <c r="BU131" s="5" vm="3633">
        <f xml:space="preserve"> VfM_Metrics_2023_Consol_Source[[#This Row],[Turnover from social housing lettings]]</f>
        <v>22214</v>
      </c>
      <c r="BV131" s="84" vm="3633">
        <v>22214</v>
      </c>
      <c r="BW131" s="7">
        <f xml:space="preserve"> IFERROR( VfM_Metrics_2023_Consol_Source[[#This Row],[Net operating surplus]] / VfM_Metrics_2023_Consol_Source[[#This Row],[Overall turnover]], "n/a" )</f>
        <v>0.10587306781651235</v>
      </c>
      <c r="BX13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5500</v>
      </c>
      <c r="BY131" s="84" vm="3620">
        <v>5926</v>
      </c>
      <c r="BZ131" s="83" vm="3621">
        <v>426</v>
      </c>
      <c r="CA131" s="83">
        <v>0</v>
      </c>
      <c r="CB131" s="5" vm="3634">
        <f xml:space="preserve"> VfM_Metrics_2023_Consol_Source[[#This Row],[Turnover (overall)]]</f>
        <v>51949</v>
      </c>
      <c r="CC131" s="84" vm="3634">
        <v>51949</v>
      </c>
      <c r="CD131" s="7">
        <f xml:space="preserve"> IFERROR( VfM_Metrics_2023_Consol_Source[[#This Row],[Operating surplus including from JVs]] / VfM_Metrics_2023_Consol_Source[[#This Row],[Net assets]], "n/a" )</f>
        <v>2.2521187245848059E-2</v>
      </c>
      <c r="CE131" s="5">
        <f xml:space="preserve"> SUM( VfM_Metrics_2023_Consol_Source[[#This Row],[Operating surplus/(deficit) (overall)3]], VfM_Metrics_2023_Consol_Source[[#This Row],[Share of operating surplus/(deficit) in joint ventures or associates]] )</f>
        <v>5926</v>
      </c>
      <c r="CF131" s="84" vm="7202">
        <v>5926</v>
      </c>
      <c r="CG131" s="83">
        <v>0</v>
      </c>
      <c r="CH131" s="5" vm="3635">
        <f xml:space="preserve"> VfM_Metrics_2023_Consol_Source[[#This Row],[Total assets less current liabilities]]</f>
        <v>263130</v>
      </c>
      <c r="CI131" s="84" vm="3635">
        <v>263130</v>
      </c>
      <c r="CJ131" s="71" vm="3607">
        <f xml:space="preserve"> VfM_Metrics_2023_Consol_Source[[#This Row],[Total social housing units owned (Period end)]]</f>
        <v>3847</v>
      </c>
      <c r="CK131" s="103">
        <v>0.10132501948558068</v>
      </c>
      <c r="CL131" s="6">
        <f xml:space="preserve"> -- ( VfM_Metrics_2023_Consol_Source[[#This Row],[% Supported housing (excl. HOP)]] &gt; 0.3 )</f>
        <v>0</v>
      </c>
      <c r="CM131" s="103">
        <v>0.11119771369186801</v>
      </c>
      <c r="CN131" s="6">
        <f xml:space="preserve"> -- ( VfM_Metrics_2023_Consol_Source[[#This Row],[% Housing for older people]] &gt; 0.3 )</f>
        <v>0</v>
      </c>
      <c r="CO131" s="103">
        <f xml:space="preserve"> VfM_Metrics_2023_Consol_Source[[#This Row],[% Supported housing (excl. HOP)]] + VfM_Metrics_2023_Consol_Source[[#This Row],[% Housing for older people]]</f>
        <v>0.21252273317744869</v>
      </c>
      <c r="CP131" s="6">
        <f xml:space="preserve"> -- ( VfM_Metrics_2023_Consol_Source[[#This Row],[SH specialist in RSH analysis]] + VfM_Metrics_2023_Consol_Source[[#This Row],[OP specialist in RSH analysis]] &gt; 0 )</f>
        <v>0</v>
      </c>
      <c r="CQ131" s="10">
        <f xml:space="preserve"> -- ( VfM_Metrics_2023_Consol_Source[[#This Row],[% SH and OP]] &gt; 0.3 )</f>
        <v>0</v>
      </c>
      <c r="CR131" s="104" t="s">
        <v>143</v>
      </c>
      <c r="CS131" s="124" t="s">
        <v>144</v>
      </c>
      <c r="CT131" s="105"/>
      <c r="CU13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131" s="85">
        <v>0</v>
      </c>
      <c r="CW131" s="85">
        <v>0</v>
      </c>
      <c r="CX131" s="85">
        <v>0</v>
      </c>
      <c r="CY131" s="85">
        <v>0</v>
      </c>
      <c r="CZ131" s="85">
        <v>0</v>
      </c>
      <c r="DA131" s="85">
        <v>1</v>
      </c>
      <c r="DB131" s="85">
        <v>0</v>
      </c>
      <c r="DC131" s="85">
        <v>0</v>
      </c>
      <c r="DD131" s="85">
        <v>0</v>
      </c>
      <c r="DE131" s="13">
        <v>1.0113701298544711</v>
      </c>
    </row>
    <row r="132" spans="1:109" x14ac:dyDescent="0.25">
      <c r="A132" s="4" t="s" vm="287">
        <v>388</v>
      </c>
      <c r="B132" s="2" t="s" vm="122">
        <v>389</v>
      </c>
      <c r="C132" s="72" vm="562">
        <v>45016</v>
      </c>
      <c r="D132" s="7">
        <f>IFERROR( VfM_Metrics_2023_Consol_Source[[#This Row],[Reinvestment Spend]] / VfM_Metrics_2023_Consol_Source[[#This Row],[Net Book Value of Housing Properties]], "n/a" )</f>
        <v>6.7325251006994574E-2</v>
      </c>
      <c r="E13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102125</v>
      </c>
      <c r="F132" s="83" vm="2899">
        <v>91893</v>
      </c>
      <c r="G132" s="83" vm="2900">
        <v>0</v>
      </c>
      <c r="H132" s="83" vm="2901">
        <v>8100</v>
      </c>
      <c r="I132" s="83" vm="2902">
        <v>2132</v>
      </c>
      <c r="J132" s="83" vm="2903">
        <v>0</v>
      </c>
      <c r="K132" s="5">
        <f xml:space="preserve"> SUM( VfM_Metrics_2023_Consol_Source[[#This Row],[Tangible fixed assets: Housing properties at cost (Current period)]],VfM_Metrics_2023_Consol_Source[[#This Row],[Tangible fixed assets Housing properties at valuation (Current period)]] )</f>
        <v>1516890</v>
      </c>
      <c r="L132" s="84" vm="2904">
        <v>1516890</v>
      </c>
      <c r="M132" s="83">
        <v>0</v>
      </c>
      <c r="N132" s="7">
        <f xml:space="preserve"> IFERROR( VfM_Metrics_2023_Consol_Source[[#This Row],[Total social units developed or newly built units acquired in-year]] / VfM_Metrics_2023_Consol_Source[[#This Row],[Social housing units owned (period end)]], "n/a" )</f>
        <v>2.9693741677762984E-2</v>
      </c>
      <c r="O132" s="5">
        <f xml:space="preserve"> SUM( VfM_Metrics_2023_Consol_Source[[#This Row],[Total social units developed or newly built units acquired in-year (owned)]], VfM_Metrics_2023_Consol_Source[[#This Row],[Total social leasehold units developed or newly built units acquired in-year (owned)]] )</f>
        <v>446</v>
      </c>
      <c r="P132" s="84" vm="2905">
        <v>446</v>
      </c>
      <c r="Q132" s="83">
        <v>0</v>
      </c>
      <c r="R132" s="5">
        <f xml:space="preserve"> SUM( VfM_Metrics_2023_Consol_Source[[#This Row],[Total social housing units owned (Period end)]], VfM_Metrics_2023_Consol_Source[[#This Row],[Total social leasehold units owned (Period end)]] )</f>
        <v>15020</v>
      </c>
      <c r="S132" s="84" vm="2897">
        <v>15020</v>
      </c>
      <c r="T132" s="83" vm="2907">
        <v>0</v>
      </c>
      <c r="U132" s="86">
        <f xml:space="preserve"> IFERROR( VfM_Metrics_2023_Consol_Source[[#This Row],[Total non-social housing units developed or newly built units acquired (owned)]] / VfM_Metrics_2023_Consol_Source[[#This Row],[Total social and non-social housing units owned (Period end)]], "n/a" )</f>
        <v>0</v>
      </c>
      <c r="V13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32" s="83">
        <v>0</v>
      </c>
      <c r="X132" s="83">
        <v>0</v>
      </c>
      <c r="Y132" s="83">
        <v>0</v>
      </c>
      <c r="Z13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16142</v>
      </c>
      <c r="AA132" s="84" vm="2897">
        <v>15020</v>
      </c>
      <c r="AB132" s="83" vm="2907">
        <v>0</v>
      </c>
      <c r="AC132" s="83" vm="2908">
        <v>313</v>
      </c>
      <c r="AD132" s="83" vm="2909">
        <v>809</v>
      </c>
      <c r="AE132" s="7">
        <f xml:space="preserve"> IFERROR( VfM_Metrics_2023_Consol_Source[[#This Row],[Total Net Debt]] / VfM_Metrics_2023_Consol_Source[[#This Row],[Net Book Value of Housing Properties2]], "n/a" )</f>
        <v>0.55483456282261734</v>
      </c>
      <c r="AF13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841623</v>
      </c>
      <c r="AG132" s="84" vm="2910">
        <v>3838</v>
      </c>
      <c r="AH132" s="83" vm="7475">
        <v>855478</v>
      </c>
      <c r="AI132" s="83" vm="2911">
        <v>17693</v>
      </c>
      <c r="AJ132" s="83" vm="1675">
        <v>0</v>
      </c>
      <c r="AK132" s="83">
        <v>0</v>
      </c>
      <c r="AL132" s="5">
        <f xml:space="preserve"> SUM( VfM_Metrics_2023_Consol_Source[[#This Row],[Tangible fixed assets: Housing properties at cost (Current period)2]], VfM_Metrics_2023_Consol_Source[[#This Row],[Tangible fixed assets Housing properties at valuation (Current period)2]] )</f>
        <v>1516890</v>
      </c>
      <c r="AM132" s="84" vm="2904">
        <v>1516890</v>
      </c>
      <c r="AN132" s="83">
        <v>0</v>
      </c>
      <c r="AO132" s="87">
        <f xml:space="preserve"> IFERROR( VfM_Metrics_2023_Consol_Source[[#This Row],[EBITDA MRI]] / VfM_Metrics_2023_Consol_Source[[#This Row],[Total interest]], "n/a" )</f>
        <v>1.4250862179077788</v>
      </c>
      <c r="AP13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44628</v>
      </c>
      <c r="AQ132" s="84" vm="2912">
        <v>47614</v>
      </c>
      <c r="AR132" s="84" vm="2847">
        <v>6840</v>
      </c>
      <c r="AS132" s="84">
        <v>0</v>
      </c>
      <c r="AT132" s="84" vm="2914">
        <v>400</v>
      </c>
      <c r="AU132" s="84" vm="2915">
        <v>0</v>
      </c>
      <c r="AV132" s="84" vm="2916">
        <v>395</v>
      </c>
      <c r="AW132" s="84" vm="2917">
        <v>8100</v>
      </c>
      <c r="AX132" s="84" vm="2918">
        <v>11959</v>
      </c>
      <c r="AY132" s="3">
        <f xml:space="preserve"> - SUM( VfM_Metrics_2023_Consol_Source[[#This Row],[Interest capitalised]], VfM_Metrics_2023_Consol_Source[[#This Row],[Interest payable and financing costs]] )</f>
        <v>31316</v>
      </c>
      <c r="AZ132" s="84" vm="7479">
        <v>-2179</v>
      </c>
      <c r="BA132" s="83" vm="2919">
        <v>-29137</v>
      </c>
      <c r="BB132" s="8">
        <f xml:space="preserve"> IFERROR( ( VfM_Metrics_2023_Consol_Source[[#This Row],[Total Costs]] / VfM_Metrics_2023_Consol_Source[[#This Row],[Total units for costs]] ) * 1000, "n/a" )</f>
        <v>4289.4475686404239</v>
      </c>
      <c r="BC13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64835</v>
      </c>
      <c r="BD132" s="84" vm="2920">
        <v>11121</v>
      </c>
      <c r="BE132" s="83" vm="2921">
        <v>8014</v>
      </c>
      <c r="BF132" s="83" vm="2922">
        <v>20578</v>
      </c>
      <c r="BG132" s="83" vm="2923">
        <v>9869</v>
      </c>
      <c r="BH132" s="83" vm="2924">
        <v>0</v>
      </c>
      <c r="BI132" s="83" vm="2925">
        <v>2651</v>
      </c>
      <c r="BJ132" s="83" vm="2917">
        <v>8100</v>
      </c>
      <c r="BK132" s="83" vm="2926">
        <v>3012</v>
      </c>
      <c r="BL132" s="83" vm="2927">
        <v>87</v>
      </c>
      <c r="BM132" s="83">
        <v>0</v>
      </c>
      <c r="BN132" s="83" vm="2928">
        <v>1381</v>
      </c>
      <c r="BO132" s="83" vm="2929">
        <v>22</v>
      </c>
      <c r="BP132" s="5" vm="2898">
        <f xml:space="preserve"> VfM_Metrics_2023_Consol_Source[[#This Row],[Total social housing units owned and/or managed at period end]]</f>
        <v>15115</v>
      </c>
      <c r="BQ132" s="84" vm="2898">
        <v>15115</v>
      </c>
      <c r="BR132" s="7">
        <f xml:space="preserve"> IFERROR( VfM_Metrics_2023_Consol_Source[[#This Row],[SHL operating surplus / (deficit)]] / VfM_Metrics_2023_Consol_Source[[#This Row],[Turnover from social housing lettings]], "n/a" )</f>
        <v>0.35481310219593759</v>
      </c>
      <c r="BS132" s="5" vm="2930">
        <f xml:space="preserve"> VfM_Metrics_2023_Consol_Source[[#This Row],[Operating surplus/(deficit) (social housing lettings)]]</f>
        <v>35757</v>
      </c>
      <c r="BT132" s="84" vm="2930">
        <v>35757</v>
      </c>
      <c r="BU132" s="5" vm="7680">
        <f xml:space="preserve"> VfM_Metrics_2023_Consol_Source[[#This Row],[Turnover from social housing lettings]]</f>
        <v>100777</v>
      </c>
      <c r="BV132" s="84" vm="7680">
        <v>100777</v>
      </c>
      <c r="BW132" s="7">
        <f xml:space="preserve"> IFERROR( VfM_Metrics_2023_Consol_Source[[#This Row],[Net operating surplus]] / VfM_Metrics_2023_Consol_Source[[#This Row],[Overall turnover]], "n/a" )</f>
        <v>0.33340692587595566</v>
      </c>
      <c r="BX13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40774</v>
      </c>
      <c r="BY132" s="84" vm="2912">
        <v>47614</v>
      </c>
      <c r="BZ132" s="83" vm="2913">
        <v>6840</v>
      </c>
      <c r="CA132" s="83">
        <v>0</v>
      </c>
      <c r="CB132" s="5" vm="2931">
        <f xml:space="preserve"> VfM_Metrics_2023_Consol_Source[[#This Row],[Turnover (overall)]]</f>
        <v>122295</v>
      </c>
      <c r="CC132" s="84" vm="2931">
        <v>122295</v>
      </c>
      <c r="CD132" s="7">
        <f xml:space="preserve"> IFERROR( VfM_Metrics_2023_Consol_Source[[#This Row],[Operating surplus including from JVs]] / VfM_Metrics_2023_Consol_Source[[#This Row],[Net assets]], "n/a" )</f>
        <v>3.0039089805610864E-2</v>
      </c>
      <c r="CE132" s="5">
        <f xml:space="preserve"> SUM( VfM_Metrics_2023_Consol_Source[[#This Row],[Operating surplus/(deficit) (overall)3]], VfM_Metrics_2023_Consol_Source[[#This Row],[Share of operating surplus/(deficit) in joint ventures or associates]] )</f>
        <v>47614</v>
      </c>
      <c r="CF132" s="84" vm="2912">
        <v>47614</v>
      </c>
      <c r="CG132" s="83">
        <v>0</v>
      </c>
      <c r="CH132" s="5" vm="2932">
        <f xml:space="preserve"> VfM_Metrics_2023_Consol_Source[[#This Row],[Total assets less current liabilities]]</f>
        <v>1585068</v>
      </c>
      <c r="CI132" s="84" vm="2932">
        <v>1585068</v>
      </c>
      <c r="CJ132" s="71" vm="2897">
        <f xml:space="preserve"> VfM_Metrics_2023_Consol_Source[[#This Row],[Total social housing units owned (Period end)]]</f>
        <v>15020</v>
      </c>
      <c r="CK132" s="103">
        <v>9.1662735054256258E-3</v>
      </c>
      <c r="CL132" s="6">
        <f xml:space="preserve"> -- ( VfM_Metrics_2023_Consol_Source[[#This Row],[% Supported housing (excl. HOP)]] &gt; 0.3 )</f>
        <v>0</v>
      </c>
      <c r="CM132" s="103">
        <v>1.684976747320887E-3</v>
      </c>
      <c r="CN132" s="6">
        <f xml:space="preserve"> -- ( VfM_Metrics_2023_Consol_Source[[#This Row],[% Housing for older people]] &gt; 0.3 )</f>
        <v>0</v>
      </c>
      <c r="CO132" s="103">
        <f xml:space="preserve"> VfM_Metrics_2023_Consol_Source[[#This Row],[% Supported housing (excl. HOP)]] + VfM_Metrics_2023_Consol_Source[[#This Row],[% Housing for older people]]</f>
        <v>1.0851250252746513E-2</v>
      </c>
      <c r="CP132" s="6">
        <f xml:space="preserve"> -- ( VfM_Metrics_2023_Consol_Source[[#This Row],[SH specialist in RSH analysis]] + VfM_Metrics_2023_Consol_Source[[#This Row],[OP specialist in RSH analysis]] &gt; 0 )</f>
        <v>0</v>
      </c>
      <c r="CQ132" s="10">
        <f xml:space="preserve"> -- ( VfM_Metrics_2023_Consol_Source[[#This Row],[% SH and OP]] &gt; 0.3 )</f>
        <v>0</v>
      </c>
      <c r="CR132" s="104" t="s">
        <v>143</v>
      </c>
      <c r="CS132" s="124" t="s">
        <v>144</v>
      </c>
      <c r="CT132" s="105"/>
      <c r="CU13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32" s="85">
        <v>5.5157641073699713E-2</v>
      </c>
      <c r="CW132" s="85">
        <v>0.68458397483097932</v>
      </c>
      <c r="CX132" s="85">
        <v>0</v>
      </c>
      <c r="CY132" s="85">
        <v>0</v>
      </c>
      <c r="CZ132" s="85">
        <v>0</v>
      </c>
      <c r="DA132" s="85">
        <v>0.26025838409532098</v>
      </c>
      <c r="DB132" s="85">
        <v>0</v>
      </c>
      <c r="DC132" s="85">
        <v>0</v>
      </c>
      <c r="DD132" s="85">
        <v>0</v>
      </c>
      <c r="DE132" s="13">
        <v>1.0348838820034116</v>
      </c>
    </row>
    <row r="133" spans="1:109" x14ac:dyDescent="0.25">
      <c r="A133" s="4" t="s" vm="337">
        <v>390</v>
      </c>
      <c r="B133" s="2" t="s" vm="123">
        <v>391</v>
      </c>
      <c r="C133" s="72" vm="581">
        <v>45016</v>
      </c>
      <c r="D133" s="7">
        <f>IFERROR( VfM_Metrics_2023_Consol_Source[[#This Row],[Reinvestment Spend]] / VfM_Metrics_2023_Consol_Source[[#This Row],[Net Book Value of Housing Properties]], "n/a" )</f>
        <v>7.0499652574388214E-2</v>
      </c>
      <c r="E13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148639</v>
      </c>
      <c r="F133" s="83" vm="4631">
        <v>126607</v>
      </c>
      <c r="G133" s="83" vm="4632">
        <v>0</v>
      </c>
      <c r="H133" s="83" vm="4313">
        <v>16695</v>
      </c>
      <c r="I133" s="83" vm="4633">
        <v>5337</v>
      </c>
      <c r="J133" s="83" vm="4634">
        <v>0</v>
      </c>
      <c r="K133" s="5">
        <f xml:space="preserve"> SUM( VfM_Metrics_2023_Consol_Source[[#This Row],[Tangible fixed assets: Housing properties at cost (Current period)]],VfM_Metrics_2023_Consol_Source[[#This Row],[Tangible fixed assets Housing properties at valuation (Current period)]] )</f>
        <v>2108365</v>
      </c>
      <c r="L133" s="84" vm="4419">
        <v>2108365</v>
      </c>
      <c r="M133" s="83">
        <v>0</v>
      </c>
      <c r="N133" s="7">
        <f xml:space="preserve"> IFERROR( VfM_Metrics_2023_Consol_Source[[#This Row],[Total social units developed or newly built units acquired in-year]] / VfM_Metrics_2023_Consol_Source[[#This Row],[Social housing units owned (period end)]], "n/a" )</f>
        <v>1.2201409176834507E-2</v>
      </c>
      <c r="O133" s="5">
        <f xml:space="preserve"> SUM( VfM_Metrics_2023_Consol_Source[[#This Row],[Total social units developed or newly built units acquired in-year (owned)]], VfM_Metrics_2023_Consol_Source[[#This Row],[Total social leasehold units developed or newly built units acquired in-year (owned)]] )</f>
        <v>284</v>
      </c>
      <c r="P133" s="84" vm="4636">
        <v>284</v>
      </c>
      <c r="Q133" s="83" vm="4637">
        <v>0</v>
      </c>
      <c r="R133" s="5">
        <f xml:space="preserve"> SUM( VfM_Metrics_2023_Consol_Source[[#This Row],[Total social housing units owned (Period end)]], VfM_Metrics_2023_Consol_Source[[#This Row],[Total social leasehold units owned (Period end)]] )</f>
        <v>23276</v>
      </c>
      <c r="S133" s="84" vm="4629">
        <v>21692</v>
      </c>
      <c r="T133" s="83" vm="4878">
        <v>1584</v>
      </c>
      <c r="U133" s="86">
        <f xml:space="preserve"> IFERROR( VfM_Metrics_2023_Consol_Source[[#This Row],[Total non-social housing units developed or newly built units acquired (owned)]] / VfM_Metrics_2023_Consol_Source[[#This Row],[Total social and non-social housing units owned (Period end)]], "n/a" )</f>
        <v>0</v>
      </c>
      <c r="V13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33" s="83">
        <v>0</v>
      </c>
      <c r="X133" s="83">
        <v>0</v>
      </c>
      <c r="Y133" s="83">
        <v>0</v>
      </c>
      <c r="Z13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23642</v>
      </c>
      <c r="AA133" s="84" vm="4629">
        <v>21692</v>
      </c>
      <c r="AB133" s="83" vm="5843">
        <v>1584</v>
      </c>
      <c r="AC133" s="83" vm="4638">
        <v>366</v>
      </c>
      <c r="AD133" s="83" vm="4639">
        <v>0</v>
      </c>
      <c r="AE133" s="7">
        <f xml:space="preserve"> IFERROR( VfM_Metrics_2023_Consol_Source[[#This Row],[Total Net Debt]] / VfM_Metrics_2023_Consol_Source[[#This Row],[Net Book Value of Housing Properties2]], "n/a" )</f>
        <v>0.4990819900728764</v>
      </c>
      <c r="AF13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1052247</v>
      </c>
      <c r="AG133" s="84" vm="7051">
        <v>32270</v>
      </c>
      <c r="AH133" s="83" vm="4640">
        <v>1048514</v>
      </c>
      <c r="AI133" s="83" vm="4641">
        <v>28537</v>
      </c>
      <c r="AJ133" s="83" vm="4642">
        <v>0</v>
      </c>
      <c r="AK133" s="83" vm="4643">
        <v>0</v>
      </c>
      <c r="AL133" s="5">
        <f xml:space="preserve"> SUM( VfM_Metrics_2023_Consol_Source[[#This Row],[Tangible fixed assets: Housing properties at cost (Current period)2]], VfM_Metrics_2023_Consol_Source[[#This Row],[Tangible fixed assets Housing properties at valuation (Current period)2]] )</f>
        <v>2108365</v>
      </c>
      <c r="AM133" s="84" vm="4635">
        <v>2108365</v>
      </c>
      <c r="AN133" s="83">
        <v>0</v>
      </c>
      <c r="AO133" s="87">
        <f xml:space="preserve"> IFERROR( VfM_Metrics_2023_Consol_Source[[#This Row],[EBITDA MRI]] / VfM_Metrics_2023_Consol_Source[[#This Row],[Total interest]], "n/a" )</f>
        <v>0.8772255464647698</v>
      </c>
      <c r="AP13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35918</v>
      </c>
      <c r="AQ133" s="84" vm="4644">
        <v>39323</v>
      </c>
      <c r="AR133" s="84" vm="4645">
        <v>5445</v>
      </c>
      <c r="AS133" s="84" vm="4646">
        <v>-21</v>
      </c>
      <c r="AT133" s="84" vm="4647">
        <v>5502</v>
      </c>
      <c r="AU133" s="84" vm="4648">
        <v>0</v>
      </c>
      <c r="AV133" s="84" vm="4649">
        <v>410</v>
      </c>
      <c r="AW133" s="84" vm="4650">
        <v>16695</v>
      </c>
      <c r="AX133" s="84" vm="4651">
        <v>23806</v>
      </c>
      <c r="AY133" s="3">
        <f xml:space="preserve"> - SUM( VfM_Metrics_2023_Consol_Source[[#This Row],[Interest capitalised]], VfM_Metrics_2023_Consol_Source[[#This Row],[Interest payable and financing costs]] )</f>
        <v>40945</v>
      </c>
      <c r="AZ133" s="84" vm="4652">
        <v>-6743</v>
      </c>
      <c r="BA133" s="83" vm="7583">
        <v>-34202</v>
      </c>
      <c r="BB133" s="8">
        <f xml:space="preserve"> IFERROR( ( VfM_Metrics_2023_Consol_Source[[#This Row],[Total Costs]] / VfM_Metrics_2023_Consol_Source[[#This Row],[Total units for costs]] ) * 1000, "n/a" )</f>
        <v>5539.8555661534265</v>
      </c>
      <c r="BC13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121971</v>
      </c>
      <c r="BD133" s="84" vm="4653">
        <v>37577</v>
      </c>
      <c r="BE133" s="83" vm="4654">
        <v>22553</v>
      </c>
      <c r="BF133" s="83" vm="4655">
        <v>21287</v>
      </c>
      <c r="BG133" s="83" vm="4656">
        <v>19627</v>
      </c>
      <c r="BH133" s="83" vm="4657">
        <v>852</v>
      </c>
      <c r="BI133" s="83" vm="2742">
        <v>394</v>
      </c>
      <c r="BJ133" s="83" vm="4650">
        <v>16695</v>
      </c>
      <c r="BK133" s="83" vm="4658">
        <v>0</v>
      </c>
      <c r="BL133" s="83" vm="4659">
        <v>2006</v>
      </c>
      <c r="BM133" s="83" vm="6496">
        <v>288</v>
      </c>
      <c r="BN133" s="83" vm="4660">
        <v>692</v>
      </c>
      <c r="BO133" s="83">
        <v>0</v>
      </c>
      <c r="BP133" s="5" vm="4630">
        <f xml:space="preserve"> VfM_Metrics_2023_Consol_Source[[#This Row],[Total social housing units owned and/or managed at period end]]</f>
        <v>22017</v>
      </c>
      <c r="BQ133" s="84" vm="4630">
        <v>22017</v>
      </c>
      <c r="BR133" s="7">
        <f xml:space="preserve"> IFERROR( VfM_Metrics_2023_Consol_Source[[#This Row],[SHL operating surplus / (deficit)]] / VfM_Metrics_2023_Consol_Source[[#This Row],[Turnover from social housing lettings]], "n/a" )</f>
        <v>0.18716332007630873</v>
      </c>
      <c r="BS133" s="5" vm="4661">
        <f xml:space="preserve"> VfM_Metrics_2023_Consol_Source[[#This Row],[Operating surplus/(deficit) (social housing lettings)]]</f>
        <v>28942</v>
      </c>
      <c r="BT133" s="84" vm="4661">
        <v>28942</v>
      </c>
      <c r="BU133" s="5" vm="4662">
        <f xml:space="preserve"> VfM_Metrics_2023_Consol_Source[[#This Row],[Turnover from social housing lettings]]</f>
        <v>154635</v>
      </c>
      <c r="BV133" s="84" vm="4662">
        <v>154635</v>
      </c>
      <c r="BW133" s="7">
        <f xml:space="preserve"> IFERROR( VfM_Metrics_2023_Consol_Source[[#This Row],[Net operating surplus]] / VfM_Metrics_2023_Consol_Source[[#This Row],[Overall turnover]], "n/a" )</f>
        <v>0.18739393135320098</v>
      </c>
      <c r="BX13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33899</v>
      </c>
      <c r="BY133" s="84" vm="7046">
        <v>39323</v>
      </c>
      <c r="BZ133" s="83" vm="7409">
        <v>5445</v>
      </c>
      <c r="CA133" s="83" vm="7390">
        <v>-21</v>
      </c>
      <c r="CB133" s="5" vm="2463">
        <f xml:space="preserve"> VfM_Metrics_2023_Consol_Source[[#This Row],[Turnover (overall)]]</f>
        <v>180897</v>
      </c>
      <c r="CC133" s="84" vm="2463">
        <v>180897</v>
      </c>
      <c r="CD133" s="7">
        <f xml:space="preserve"> IFERROR( VfM_Metrics_2023_Consol_Source[[#This Row],[Operating surplus including from JVs]] / VfM_Metrics_2023_Consol_Source[[#This Row],[Net assets]], "n/a" )</f>
        <v>1.8296277512696378E-2</v>
      </c>
      <c r="CE133" s="5">
        <f xml:space="preserve"> SUM( VfM_Metrics_2023_Consol_Source[[#This Row],[Operating surplus/(deficit) (overall)3]], VfM_Metrics_2023_Consol_Source[[#This Row],[Share of operating surplus/(deficit) in joint ventures or associates]] )</f>
        <v>39323</v>
      </c>
      <c r="CF133" s="84" vm="4644">
        <v>39323</v>
      </c>
      <c r="CG133" s="83" vm="4663">
        <v>0</v>
      </c>
      <c r="CH133" s="5" vm="4448">
        <f xml:space="preserve"> VfM_Metrics_2023_Consol_Source[[#This Row],[Total assets less current liabilities]]</f>
        <v>2149235</v>
      </c>
      <c r="CI133" s="84" vm="4448">
        <v>2149235</v>
      </c>
      <c r="CJ133" s="71" vm="4629">
        <f xml:space="preserve"> VfM_Metrics_2023_Consol_Source[[#This Row],[Total social housing units owned (Period end)]]</f>
        <v>21692</v>
      </c>
      <c r="CK133" s="103">
        <v>2.8043870609468276E-2</v>
      </c>
      <c r="CL133" s="6">
        <f xml:space="preserve"> -- ( VfM_Metrics_2023_Consol_Source[[#This Row],[% Supported housing (excl. HOP)]] &gt; 0.3 )</f>
        <v>0</v>
      </c>
      <c r="CM133" s="103">
        <v>0.10532648433523069</v>
      </c>
      <c r="CN133" s="6">
        <f xml:space="preserve"> -- ( VfM_Metrics_2023_Consol_Source[[#This Row],[% Housing for older people]] &gt; 0.3 )</f>
        <v>0</v>
      </c>
      <c r="CO133" s="103">
        <f xml:space="preserve"> VfM_Metrics_2023_Consol_Source[[#This Row],[% Supported housing (excl. HOP)]] + VfM_Metrics_2023_Consol_Source[[#This Row],[% Housing for older people]]</f>
        <v>0.13337035494469895</v>
      </c>
      <c r="CP133" s="6">
        <f xml:space="preserve"> -- ( VfM_Metrics_2023_Consol_Source[[#This Row],[SH specialist in RSH analysis]] + VfM_Metrics_2023_Consol_Source[[#This Row],[OP specialist in RSH analysis]] &gt; 0 )</f>
        <v>0</v>
      </c>
      <c r="CQ133" s="10">
        <f xml:space="preserve"> -- ( VfM_Metrics_2023_Consol_Source[[#This Row],[% SH and OP]] &gt; 0.3 )</f>
        <v>0</v>
      </c>
      <c r="CR133" s="104" t="s">
        <v>143</v>
      </c>
      <c r="CS133" s="124" t="s">
        <v>144</v>
      </c>
      <c r="CT133" s="105"/>
      <c r="CU13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33" s="85">
        <v>0.35583815028901733</v>
      </c>
      <c r="CW133" s="85">
        <v>0.26053179190751447</v>
      </c>
      <c r="CX133" s="85">
        <v>0</v>
      </c>
      <c r="CY133" s="85">
        <v>0.36763005780346819</v>
      </c>
      <c r="CZ133" s="85">
        <v>1.3364161849710983E-2</v>
      </c>
      <c r="DA133" s="85">
        <v>2.5895953757225434E-3</v>
      </c>
      <c r="DB133" s="85">
        <v>4.6242774566473991E-5</v>
      </c>
      <c r="DC133" s="85">
        <v>0</v>
      </c>
      <c r="DD133" s="85">
        <v>0</v>
      </c>
      <c r="DE133" s="13">
        <v>1.0442012286713025</v>
      </c>
    </row>
    <row r="134" spans="1:109" x14ac:dyDescent="0.25">
      <c r="A134" s="4" t="s" vm="242">
        <v>392</v>
      </c>
      <c r="B134" s="2" t="s" vm="124">
        <v>393</v>
      </c>
      <c r="C134" s="72" vm="439">
        <v>45016</v>
      </c>
      <c r="D134" s="7">
        <f>IFERROR( VfM_Metrics_2023_Consol_Source[[#This Row],[Reinvestment Spend]] / VfM_Metrics_2023_Consol_Source[[#This Row],[Net Book Value of Housing Properties]], "n/a" )</f>
        <v>5.5630991456985697E-2</v>
      </c>
      <c r="E13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616394</v>
      </c>
      <c r="F134" s="83" vm="8424">
        <v>393537</v>
      </c>
      <c r="G134" s="83" vm="1523">
        <v>0</v>
      </c>
      <c r="H134" s="83" vm="1524">
        <v>179154</v>
      </c>
      <c r="I134" s="83" vm="1525">
        <v>43703</v>
      </c>
      <c r="J134" s="83" vm="8236">
        <v>0</v>
      </c>
      <c r="K134" s="5">
        <f xml:space="preserve"> SUM( VfM_Metrics_2023_Consol_Source[[#This Row],[Tangible fixed assets: Housing properties at cost (Current period)]],VfM_Metrics_2023_Consol_Source[[#This Row],[Tangible fixed assets Housing properties at valuation (Current period)]] )</f>
        <v>11080047</v>
      </c>
      <c r="L134" s="84" vm="1059">
        <v>11080047</v>
      </c>
      <c r="M134" s="83">
        <v>0</v>
      </c>
      <c r="N134" s="7">
        <f xml:space="preserve"> IFERROR( VfM_Metrics_2023_Consol_Source[[#This Row],[Total social units developed or newly built units acquired in-year]] / VfM_Metrics_2023_Consol_Source[[#This Row],[Social housing units owned (period end)]], "n/a" )</f>
        <v>2.4222801810714394E-2</v>
      </c>
      <c r="O134" s="5">
        <f xml:space="preserve"> SUM( VfM_Metrics_2023_Consol_Source[[#This Row],[Total social units developed or newly built units acquired in-year (owned)]], VfM_Metrics_2023_Consol_Source[[#This Row],[Total social leasehold units developed or newly built units acquired in-year (owned)]] )</f>
        <v>2424</v>
      </c>
      <c r="P134" s="84" vm="1526">
        <v>2175</v>
      </c>
      <c r="Q134" s="83" vm="1527">
        <v>249</v>
      </c>
      <c r="R134" s="5">
        <f xml:space="preserve"> SUM( VfM_Metrics_2023_Consol_Source[[#This Row],[Total social housing units owned (Period end)]], VfM_Metrics_2023_Consol_Source[[#This Row],[Total social leasehold units owned (Period end)]] )</f>
        <v>100071</v>
      </c>
      <c r="S134" s="84" vm="1522">
        <v>92799</v>
      </c>
      <c r="T134" s="83" vm="1528">
        <v>7272</v>
      </c>
      <c r="U134" s="86">
        <f xml:space="preserve"> IFERROR( VfM_Metrics_2023_Consol_Source[[#This Row],[Total non-social housing units developed or newly built units acquired (owned)]] / VfM_Metrics_2023_Consol_Source[[#This Row],[Total social and non-social housing units owned (Period end)]], "n/a" )</f>
        <v>7.3905898222648642E-3</v>
      </c>
      <c r="V13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778</v>
      </c>
      <c r="W134" s="83" vm="1529">
        <v>0</v>
      </c>
      <c r="X134" s="83" vm="1530">
        <v>253</v>
      </c>
      <c r="Y134" s="83" vm="1531">
        <v>525</v>
      </c>
      <c r="Z13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105269</v>
      </c>
      <c r="AA134" s="84" vm="1522">
        <v>92799</v>
      </c>
      <c r="AB134" s="83" vm="1528">
        <v>7272</v>
      </c>
      <c r="AC134" s="83" vm="8294">
        <v>867</v>
      </c>
      <c r="AD134" s="83" vm="1532">
        <v>4331</v>
      </c>
      <c r="AE134" s="7">
        <f xml:space="preserve"> IFERROR( VfM_Metrics_2023_Consol_Source[[#This Row],[Total Net Debt]] / VfM_Metrics_2023_Consol_Source[[#This Row],[Net Book Value of Housing Properties2]], "n/a" )</f>
        <v>0.41413082453531108</v>
      </c>
      <c r="AF13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4588589</v>
      </c>
      <c r="AG134" s="84" vm="1533">
        <v>108000</v>
      </c>
      <c r="AH134" s="83" vm="1534">
        <v>4622600</v>
      </c>
      <c r="AI134" s="83" vm="1535">
        <v>142011</v>
      </c>
      <c r="AJ134" s="83" vm="1675">
        <v>0</v>
      </c>
      <c r="AK134" s="83">
        <v>0</v>
      </c>
      <c r="AL134" s="5">
        <f xml:space="preserve"> SUM( VfM_Metrics_2023_Consol_Source[[#This Row],[Tangible fixed assets: Housing properties at cost (Current period)2]], VfM_Metrics_2023_Consol_Source[[#This Row],[Tangible fixed assets Housing properties at valuation (Current period)2]] )</f>
        <v>11080047</v>
      </c>
      <c r="AM134" s="84" vm="8231">
        <v>11080047</v>
      </c>
      <c r="AN134" s="83">
        <v>0</v>
      </c>
      <c r="AO134" s="87">
        <f xml:space="preserve"> IFERROR( VfM_Metrics_2023_Consol_Source[[#This Row],[EBITDA MRI]] / VfM_Metrics_2023_Consol_Source[[#This Row],[Total interest]], "n/a" )</f>
        <v>0.69228373815845545</v>
      </c>
      <c r="AP13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126717</v>
      </c>
      <c r="AQ134" s="84" vm="1536">
        <v>257382</v>
      </c>
      <c r="AR134" s="84" vm="8283">
        <v>72268</v>
      </c>
      <c r="AS134" s="84">
        <v>0</v>
      </c>
      <c r="AT134" s="84" vm="1538">
        <v>14183</v>
      </c>
      <c r="AU134" s="84" vm="7135">
        <v>9023</v>
      </c>
      <c r="AV134" s="84" vm="1539">
        <v>1014</v>
      </c>
      <c r="AW134" s="84" vm="7834">
        <v>179154</v>
      </c>
      <c r="AX134" s="84" vm="1541">
        <v>142949</v>
      </c>
      <c r="AY134" s="3">
        <f xml:space="preserve"> - SUM( VfM_Metrics_2023_Consol_Source[[#This Row],[Interest capitalised]], VfM_Metrics_2023_Consol_Source[[#This Row],[Interest payable and financing costs]] )</f>
        <v>183042</v>
      </c>
      <c r="AZ134" s="84" vm="1682">
        <v>-43703</v>
      </c>
      <c r="BA134" s="83" vm="8461">
        <v>-139339</v>
      </c>
      <c r="BB134" s="8">
        <f xml:space="preserve"> IFERROR( ( VfM_Metrics_2023_Consol_Source[[#This Row],[Total Costs]] / VfM_Metrics_2023_Consol_Source[[#This Row],[Total units for costs]] ) * 1000, "n/a" )</f>
        <v>6707.2418776427767</v>
      </c>
      <c r="BC13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626557</v>
      </c>
      <c r="BD134" s="84" vm="1542">
        <v>148416</v>
      </c>
      <c r="BE134" s="83" vm="1543">
        <v>87642</v>
      </c>
      <c r="BF134" s="83" vm="1544">
        <v>92705</v>
      </c>
      <c r="BG134" s="83" vm="1545">
        <v>84362</v>
      </c>
      <c r="BH134" s="83" vm="8292">
        <v>0</v>
      </c>
      <c r="BI134" s="83" vm="1546">
        <v>0</v>
      </c>
      <c r="BJ134" s="83" vm="1540">
        <v>179154</v>
      </c>
      <c r="BK134" s="83" vm="8347">
        <v>0</v>
      </c>
      <c r="BL134" s="83">
        <v>0</v>
      </c>
      <c r="BM134" s="83">
        <v>0</v>
      </c>
      <c r="BN134" s="83" vm="8408">
        <v>8816</v>
      </c>
      <c r="BO134" s="83" vm="8290">
        <v>25462</v>
      </c>
      <c r="BP134" s="5" vm="1773">
        <f xml:space="preserve"> VfM_Metrics_2023_Consol_Source[[#This Row],[Total social housing units owned and/or managed at period end]]</f>
        <v>93415</v>
      </c>
      <c r="BQ134" s="84" vm="1773">
        <v>93415</v>
      </c>
      <c r="BR134" s="7">
        <f xml:space="preserve"> IFERROR( VfM_Metrics_2023_Consol_Source[[#This Row],[SHL operating surplus / (deficit)]] / VfM_Metrics_2023_Consol_Source[[#This Row],[Turnover from social housing lettings]], "n/a" )</f>
        <v>0.24144698247544072</v>
      </c>
      <c r="BS134" s="5" vm="8409">
        <f xml:space="preserve"> VfM_Metrics_2023_Consol_Source[[#This Row],[Operating surplus/(deficit) (social housing lettings)]]</f>
        <v>171628</v>
      </c>
      <c r="BT134" s="84" vm="8409">
        <v>171628</v>
      </c>
      <c r="BU134" s="5" vm="8285">
        <f xml:space="preserve"> VfM_Metrics_2023_Consol_Source[[#This Row],[Turnover from social housing lettings]]</f>
        <v>710831</v>
      </c>
      <c r="BV134" s="84" vm="8285">
        <v>710831</v>
      </c>
      <c r="BW134" s="7">
        <f xml:space="preserve"> IFERROR( VfM_Metrics_2023_Consol_Source[[#This Row],[Net operating surplus]] / VfM_Metrics_2023_Consol_Source[[#This Row],[Overall turnover]], "n/a" )</f>
        <v>0.16655464891657693</v>
      </c>
      <c r="BX13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185114</v>
      </c>
      <c r="BY134" s="84" vm="2102">
        <v>257382</v>
      </c>
      <c r="BZ134" s="83" vm="1537">
        <v>72268</v>
      </c>
      <c r="CA134" s="83">
        <v>0</v>
      </c>
      <c r="CB134" s="5" vm="8459">
        <f xml:space="preserve"> VfM_Metrics_2023_Consol_Source[[#This Row],[Turnover (overall)]]</f>
        <v>1111431</v>
      </c>
      <c r="CC134" s="84" vm="8459">
        <v>1111431</v>
      </c>
      <c r="CD134" s="7">
        <f xml:space="preserve"> IFERROR( VfM_Metrics_2023_Consol_Source[[#This Row],[Operating surplus including from JVs]] / VfM_Metrics_2023_Consol_Source[[#This Row],[Net assets]], "n/a" )</f>
        <v>2.1832480898300862E-2</v>
      </c>
      <c r="CE134" s="5">
        <f xml:space="preserve"> SUM( VfM_Metrics_2023_Consol_Source[[#This Row],[Operating surplus/(deficit) (overall)3]], VfM_Metrics_2023_Consol_Source[[#This Row],[Share of operating surplus/(deficit) in joint ventures or associates]] )</f>
        <v>266304</v>
      </c>
      <c r="CF134" s="84" vm="1709">
        <v>257382</v>
      </c>
      <c r="CG134" s="83" vm="1548">
        <v>8922</v>
      </c>
      <c r="CH134" s="5" vm="8281">
        <f xml:space="preserve"> VfM_Metrics_2023_Consol_Source[[#This Row],[Total assets less current liabilities]]</f>
        <v>12197606</v>
      </c>
      <c r="CI134" s="84" vm="8281">
        <v>12197606</v>
      </c>
      <c r="CJ134" s="71" vm="1522">
        <f xml:space="preserve"> VfM_Metrics_2023_Consol_Source[[#This Row],[Total social housing units owned (Period end)]]</f>
        <v>92799</v>
      </c>
      <c r="CK134" s="103">
        <v>3.8766375545851529E-2</v>
      </c>
      <c r="CL134" s="6">
        <f xml:space="preserve"> -- ( VfM_Metrics_2023_Consol_Source[[#This Row],[% Supported housing (excl. HOP)]] &gt; 0.3 )</f>
        <v>0</v>
      </c>
      <c r="CM134" s="103">
        <v>2.836244541484716E-2</v>
      </c>
      <c r="CN134" s="6">
        <f xml:space="preserve"> -- ( VfM_Metrics_2023_Consol_Source[[#This Row],[% Housing for older people]] &gt; 0.3 )</f>
        <v>0</v>
      </c>
      <c r="CO134" s="103">
        <f xml:space="preserve"> VfM_Metrics_2023_Consol_Source[[#This Row],[% Supported housing (excl. HOP)]] + VfM_Metrics_2023_Consol_Source[[#This Row],[% Housing for older people]]</f>
        <v>6.7128820960698693E-2</v>
      </c>
      <c r="CP134" s="6">
        <f xml:space="preserve"> -- ( VfM_Metrics_2023_Consol_Source[[#This Row],[SH specialist in RSH analysis]] + VfM_Metrics_2023_Consol_Source[[#This Row],[OP specialist in RSH analysis]] &gt; 0 )</f>
        <v>0</v>
      </c>
      <c r="CQ134" s="10">
        <f xml:space="preserve"> -- ( VfM_Metrics_2023_Consol_Source[[#This Row],[% SH and OP]] &gt; 0.3 )</f>
        <v>0</v>
      </c>
      <c r="CR134" s="104" t="s">
        <v>143</v>
      </c>
      <c r="CS134" s="124" t="s">
        <v>144</v>
      </c>
      <c r="CT134" s="105"/>
      <c r="CU13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34" s="85">
        <v>0.68377649157926801</v>
      </c>
      <c r="CW134" s="85">
        <v>0.19320901692849993</v>
      </c>
      <c r="CX134" s="85">
        <v>6.5276992036206969E-5</v>
      </c>
      <c r="CY134" s="85">
        <v>1.0444318725793115E-3</v>
      </c>
      <c r="CZ134" s="85">
        <v>0</v>
      </c>
      <c r="DA134" s="85">
        <v>0.12189390312894381</v>
      </c>
      <c r="DB134" s="85">
        <v>0</v>
      </c>
      <c r="DC134" s="85">
        <v>0</v>
      </c>
      <c r="DD134" s="85">
        <v>1.0879498672701162E-5</v>
      </c>
      <c r="DE134" s="13">
        <v>1.1174943315494983</v>
      </c>
    </row>
    <row r="135" spans="1:109" x14ac:dyDescent="0.25">
      <c r="A135" s="4" t="s" vm="357">
        <v>394</v>
      </c>
      <c r="B135" s="2" t="s" vm="125">
        <v>395</v>
      </c>
      <c r="C135" s="72" vm="592">
        <v>45016</v>
      </c>
      <c r="D135" s="7">
        <f>IFERROR( VfM_Metrics_2023_Consol_Source[[#This Row],[Reinvestment Spend]] / VfM_Metrics_2023_Consol_Source[[#This Row],[Net Book Value of Housing Properties]], "n/a" )</f>
        <v>3.3053470462078377E-2</v>
      </c>
      <c r="E13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10850</v>
      </c>
      <c r="F135" s="83" vm="6924">
        <v>4875</v>
      </c>
      <c r="G135" s="83" vm="5337">
        <v>0</v>
      </c>
      <c r="H135" s="83" vm="7300">
        <v>5335</v>
      </c>
      <c r="I135" s="83" vm="5338">
        <v>640</v>
      </c>
      <c r="J135" s="83" vm="5339">
        <v>0</v>
      </c>
      <c r="K135" s="5">
        <f xml:space="preserve"> SUM( VfM_Metrics_2023_Consol_Source[[#This Row],[Tangible fixed assets: Housing properties at cost (Current period)]],VfM_Metrics_2023_Consol_Source[[#This Row],[Tangible fixed assets Housing properties at valuation (Current period)]] )</f>
        <v>328256</v>
      </c>
      <c r="L135" s="84" vm="5340">
        <v>328256</v>
      </c>
      <c r="M135" s="83">
        <v>0</v>
      </c>
      <c r="N135" s="7">
        <f xml:space="preserve"> IFERROR( VfM_Metrics_2023_Consol_Source[[#This Row],[Total social units developed or newly built units acquired in-year]] / VfM_Metrics_2023_Consol_Source[[#This Row],[Social housing units owned (period end)]], "n/a" )</f>
        <v>1.17096018735363E-3</v>
      </c>
      <c r="O135" s="5">
        <f xml:space="preserve"> SUM( VfM_Metrics_2023_Consol_Source[[#This Row],[Total social units developed or newly built units acquired in-year (owned)]], VfM_Metrics_2023_Consol_Source[[#This Row],[Total social leasehold units developed or newly built units acquired in-year (owned)]] )</f>
        <v>9</v>
      </c>
      <c r="P135" s="84" vm="5341">
        <v>3</v>
      </c>
      <c r="Q135" s="83" vm="5342">
        <v>6</v>
      </c>
      <c r="R135" s="5">
        <f xml:space="preserve"> SUM( VfM_Metrics_2023_Consol_Source[[#This Row],[Total social housing units owned (Period end)]], VfM_Metrics_2023_Consol_Source[[#This Row],[Total social leasehold units owned (Period end)]] )</f>
        <v>7686</v>
      </c>
      <c r="S135" s="84" vm="5335">
        <v>6498</v>
      </c>
      <c r="T135" s="83" vm="5343">
        <v>1188</v>
      </c>
      <c r="U135" s="86">
        <f xml:space="preserve"> IFERROR( VfM_Metrics_2023_Consol_Source[[#This Row],[Total non-social housing units developed or newly built units acquired (owned)]] / VfM_Metrics_2023_Consol_Source[[#This Row],[Total social and non-social housing units owned (Period end)]], "n/a" )</f>
        <v>0</v>
      </c>
      <c r="V13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35" s="83">
        <v>0</v>
      </c>
      <c r="X135" s="83">
        <v>0</v>
      </c>
      <c r="Y135" s="83">
        <v>0</v>
      </c>
      <c r="Z13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7690</v>
      </c>
      <c r="AA135" s="84" vm="5335">
        <v>6498</v>
      </c>
      <c r="AB135" s="83" vm="5343">
        <v>1188</v>
      </c>
      <c r="AC135" s="83" vm="5344">
        <v>4</v>
      </c>
      <c r="AD135" s="83" vm="5345">
        <v>0</v>
      </c>
      <c r="AE135" s="7">
        <f xml:space="preserve"> IFERROR( VfM_Metrics_2023_Consol_Source[[#This Row],[Total Net Debt]] / VfM_Metrics_2023_Consol_Source[[#This Row],[Net Book Value of Housing Properties2]], "n/a" )</f>
        <v>0.46586810294404368</v>
      </c>
      <c r="AF13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152924</v>
      </c>
      <c r="AG135" s="84">
        <v>0</v>
      </c>
      <c r="AH135" s="83" vm="5346">
        <v>169132</v>
      </c>
      <c r="AI135" s="83" vm="7013">
        <v>16208</v>
      </c>
      <c r="AJ135" s="83" vm="1675">
        <v>0</v>
      </c>
      <c r="AK135" s="83">
        <v>0</v>
      </c>
      <c r="AL135" s="5">
        <f xml:space="preserve"> SUM( VfM_Metrics_2023_Consol_Source[[#This Row],[Tangible fixed assets: Housing properties at cost (Current period)2]], VfM_Metrics_2023_Consol_Source[[#This Row],[Tangible fixed assets Housing properties at valuation (Current period)2]] )</f>
        <v>328256</v>
      </c>
      <c r="AM135" s="84" vm="5340">
        <v>328256</v>
      </c>
      <c r="AN135" s="83">
        <v>0</v>
      </c>
      <c r="AO135" s="87">
        <f xml:space="preserve"> IFERROR( VfM_Metrics_2023_Consol_Source[[#This Row],[EBITDA MRI]] / VfM_Metrics_2023_Consol_Source[[#This Row],[Total interest]], "n/a" )</f>
        <v>1.2419470293486041</v>
      </c>
      <c r="AP13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6940</v>
      </c>
      <c r="AQ135" s="84" vm="7225">
        <v>8822</v>
      </c>
      <c r="AR135" s="84" vm="5347">
        <v>3606</v>
      </c>
      <c r="AS135" s="84">
        <v>0</v>
      </c>
      <c r="AT135" s="84" vm="6920">
        <v>137</v>
      </c>
      <c r="AU135" s="84" vm="5348">
        <v>0</v>
      </c>
      <c r="AV135" s="84" vm="5349">
        <v>322</v>
      </c>
      <c r="AW135" s="84" vm="4898">
        <v>5335</v>
      </c>
      <c r="AX135" s="84" vm="5350">
        <v>6874</v>
      </c>
      <c r="AY135" s="3">
        <f xml:space="preserve"> - SUM( VfM_Metrics_2023_Consol_Source[[#This Row],[Interest capitalised]], VfM_Metrics_2023_Consol_Source[[#This Row],[Interest payable and financing costs]] )</f>
        <v>5588</v>
      </c>
      <c r="AZ135" s="84" vm="5351">
        <v>-640</v>
      </c>
      <c r="BA135" s="83" vm="7505">
        <v>-4948</v>
      </c>
      <c r="BB135" s="8">
        <f xml:space="preserve"> IFERROR( ( VfM_Metrics_2023_Consol_Source[[#This Row],[Total Costs]] / VfM_Metrics_2023_Consol_Source[[#This Row],[Total units for costs]] ) * 1000, "n/a" )</f>
        <v>5439.2120652508456</v>
      </c>
      <c r="BC13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35344</v>
      </c>
      <c r="BD135" s="84" vm="5352">
        <v>7037</v>
      </c>
      <c r="BE135" s="83" vm="5353">
        <v>3368</v>
      </c>
      <c r="BF135" s="83" vm="5354">
        <v>10712</v>
      </c>
      <c r="BG135" s="83" vm="6919">
        <v>4465</v>
      </c>
      <c r="BH135" s="83" vm="4901">
        <v>2173</v>
      </c>
      <c r="BI135" s="83" vm="5356">
        <v>0</v>
      </c>
      <c r="BJ135" s="83" vm="7382">
        <v>5335</v>
      </c>
      <c r="BK135" s="83" vm="5357">
        <v>1284</v>
      </c>
      <c r="BL135" s="83" vm="5358">
        <v>665</v>
      </c>
      <c r="BM135" s="83">
        <v>0</v>
      </c>
      <c r="BN135" s="83" vm="5359">
        <v>305</v>
      </c>
      <c r="BO135" s="83">
        <v>0</v>
      </c>
      <c r="BP135" s="5" vm="5336">
        <f xml:space="preserve"> VfM_Metrics_2023_Consol_Source[[#This Row],[Total social housing units owned and/or managed at period end]]</f>
        <v>6498</v>
      </c>
      <c r="BQ135" s="84" vm="5336">
        <v>6498</v>
      </c>
      <c r="BR135" s="7">
        <f xml:space="preserve"> IFERROR( VfM_Metrics_2023_Consol_Source[[#This Row],[SHL operating surplus / (deficit)]] / VfM_Metrics_2023_Consol_Source[[#This Row],[Turnover from social housing lettings]], "n/a" )</f>
        <v>0.12914918443854118</v>
      </c>
      <c r="BS135" s="5" vm="5360">
        <f xml:space="preserve"> VfM_Metrics_2023_Consol_Source[[#This Row],[Operating surplus/(deficit) (social housing lettings)]]</f>
        <v>5202</v>
      </c>
      <c r="BT135" s="84" vm="5360">
        <v>5202</v>
      </c>
      <c r="BU135" s="5" vm="5361">
        <f xml:space="preserve"> VfM_Metrics_2023_Consol_Source[[#This Row],[Turnover from social housing lettings]]</f>
        <v>40279</v>
      </c>
      <c r="BV135" s="84" vm="5361">
        <v>40279</v>
      </c>
      <c r="BW135" s="7">
        <f xml:space="preserve"> IFERROR( VfM_Metrics_2023_Consol_Source[[#This Row],[Net operating surplus]] / VfM_Metrics_2023_Consol_Source[[#This Row],[Overall turnover]], "n/a" )</f>
        <v>0.12139548956175669</v>
      </c>
      <c r="BX13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5216</v>
      </c>
      <c r="BY135" s="84" vm="5253">
        <v>8822</v>
      </c>
      <c r="BZ135" s="83" vm="5347">
        <v>3606</v>
      </c>
      <c r="CA135" s="83">
        <v>0</v>
      </c>
      <c r="CB135" s="5" vm="5362">
        <f xml:space="preserve"> VfM_Metrics_2023_Consol_Source[[#This Row],[Turnover (overall)]]</f>
        <v>42967</v>
      </c>
      <c r="CC135" s="84" vm="5362">
        <v>42967</v>
      </c>
      <c r="CD135" s="7">
        <f xml:space="preserve"> IFERROR( VfM_Metrics_2023_Consol_Source[[#This Row],[Operating surplus including from JVs]] / VfM_Metrics_2023_Consol_Source[[#This Row],[Net assets]], "n/a" )</f>
        <v>2.5682080184449854E-2</v>
      </c>
      <c r="CE135" s="5">
        <f xml:space="preserve"> SUM( VfM_Metrics_2023_Consol_Source[[#This Row],[Operating surplus/(deficit) (overall)3]], VfM_Metrics_2023_Consol_Source[[#This Row],[Share of operating surplus/(deficit) in joint ventures or associates]] )</f>
        <v>8822</v>
      </c>
      <c r="CF135" s="84" vm="5141">
        <v>8822</v>
      </c>
      <c r="CG135" s="83">
        <v>0</v>
      </c>
      <c r="CH135" s="5" vm="7192">
        <f xml:space="preserve"> VfM_Metrics_2023_Consol_Source[[#This Row],[Total assets less current liabilities]]</f>
        <v>343508</v>
      </c>
      <c r="CI135" s="84" vm="7192">
        <v>343508</v>
      </c>
      <c r="CJ135" s="71" vm="5335">
        <f xml:space="preserve"> VfM_Metrics_2023_Consol_Source[[#This Row],[Total social housing units owned (Period end)]]</f>
        <v>6498</v>
      </c>
      <c r="CK135" s="103">
        <v>0</v>
      </c>
      <c r="CL135" s="6">
        <f xml:space="preserve"> -- ( VfM_Metrics_2023_Consol_Source[[#This Row],[% Supported housing (excl. HOP)]] &gt; 0.3 )</f>
        <v>0</v>
      </c>
      <c r="CM135" s="103">
        <v>0</v>
      </c>
      <c r="CN135" s="6">
        <f xml:space="preserve"> -- ( VfM_Metrics_2023_Consol_Source[[#This Row],[% Housing for older people]] &gt; 0.3 )</f>
        <v>0</v>
      </c>
      <c r="CO135" s="103">
        <f xml:space="preserve"> VfM_Metrics_2023_Consol_Source[[#This Row],[% Supported housing (excl. HOP)]] + VfM_Metrics_2023_Consol_Source[[#This Row],[% Housing for older people]]</f>
        <v>0</v>
      </c>
      <c r="CP135" s="6">
        <f xml:space="preserve"> -- ( VfM_Metrics_2023_Consol_Source[[#This Row],[SH specialist in RSH analysis]] + VfM_Metrics_2023_Consol_Source[[#This Row],[OP specialist in RSH analysis]] &gt; 0 )</f>
        <v>0</v>
      </c>
      <c r="CQ135" s="10">
        <f xml:space="preserve"> -- ( VfM_Metrics_2023_Consol_Source[[#This Row],[% SH and OP]] &gt; 0.3 )</f>
        <v>0</v>
      </c>
      <c r="CR135" s="104" t="s">
        <v>143</v>
      </c>
      <c r="CS135" s="124"/>
      <c r="CT135" s="105" t="s">
        <v>151</v>
      </c>
      <c r="CU13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35" s="85">
        <v>1</v>
      </c>
      <c r="CW135" s="85">
        <v>0</v>
      </c>
      <c r="CX135" s="85">
        <v>0</v>
      </c>
      <c r="CY135" s="85">
        <v>0</v>
      </c>
      <c r="CZ135" s="85">
        <v>0</v>
      </c>
      <c r="DA135" s="85">
        <v>0</v>
      </c>
      <c r="DB135" s="85">
        <v>0</v>
      </c>
      <c r="DC135" s="85">
        <v>0</v>
      </c>
      <c r="DD135" s="85">
        <v>0</v>
      </c>
      <c r="DE135" s="13">
        <v>1.1603700449887588</v>
      </c>
    </row>
    <row r="136" spans="1:109" x14ac:dyDescent="0.25">
      <c r="A136" s="4" t="s" vm="220">
        <v>396</v>
      </c>
      <c r="B136" s="2" t="s" vm="126">
        <v>397</v>
      </c>
      <c r="C136" s="72" vm="489">
        <v>45016</v>
      </c>
      <c r="D136" s="7">
        <f>IFERROR( VfM_Metrics_2023_Consol_Source[[#This Row],[Reinvestment Spend]] / VfM_Metrics_2023_Consol_Source[[#This Row],[Net Book Value of Housing Properties]], "n/a" )</f>
        <v>3.5333643719092499E-2</v>
      </c>
      <c r="E13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2808</v>
      </c>
      <c r="F136" s="83" vm="1004">
        <v>1754</v>
      </c>
      <c r="G136" s="83" vm="1005">
        <v>0</v>
      </c>
      <c r="H136" s="83" vm="1324">
        <v>1054</v>
      </c>
      <c r="I136" s="83" vm="1006">
        <v>0</v>
      </c>
      <c r="J136" s="83" vm="8759">
        <v>0</v>
      </c>
      <c r="K136" s="5">
        <f xml:space="preserve"> SUM( VfM_Metrics_2023_Consol_Source[[#This Row],[Tangible fixed assets: Housing properties at cost (Current period)]],VfM_Metrics_2023_Consol_Source[[#This Row],[Tangible fixed assets Housing properties at valuation (Current period)]] )</f>
        <v>79471</v>
      </c>
      <c r="L136" s="84" vm="1007">
        <v>79471</v>
      </c>
      <c r="M136" s="83">
        <v>0</v>
      </c>
      <c r="N136" s="7">
        <f xml:space="preserve"> IFERROR( VfM_Metrics_2023_Consol_Source[[#This Row],[Total social units developed or newly built units acquired in-year]] / VfM_Metrics_2023_Consol_Source[[#This Row],[Social housing units owned (period end)]], "n/a" )</f>
        <v>2.5892232330300909E-2</v>
      </c>
      <c r="O136" s="5">
        <f xml:space="preserve"> SUM( VfM_Metrics_2023_Consol_Source[[#This Row],[Total social units developed or newly built units acquired in-year (owned)]], VfM_Metrics_2023_Consol_Source[[#This Row],[Total social leasehold units developed or newly built units acquired in-year (owned)]] )</f>
        <v>37</v>
      </c>
      <c r="P136" s="84" vm="1008">
        <v>37</v>
      </c>
      <c r="Q136" s="83" vm="857">
        <v>0</v>
      </c>
      <c r="R136" s="5">
        <f xml:space="preserve"> SUM( VfM_Metrics_2023_Consol_Source[[#This Row],[Total social housing units owned (Period end)]], VfM_Metrics_2023_Consol_Source[[#This Row],[Total social leasehold units owned (Period end)]] )</f>
        <v>1429</v>
      </c>
      <c r="S136" s="84" vm="1022">
        <v>1429</v>
      </c>
      <c r="T136" s="83" vm="1009">
        <v>0</v>
      </c>
      <c r="U136" s="86">
        <f xml:space="preserve"> IFERROR( VfM_Metrics_2023_Consol_Source[[#This Row],[Total non-social housing units developed or newly built units acquired (owned)]] / VfM_Metrics_2023_Consol_Source[[#This Row],[Total social and non-social housing units owned (Period end)]], "n/a" )</f>
        <v>0</v>
      </c>
      <c r="V13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36" s="83" vm="8817">
        <v>0</v>
      </c>
      <c r="X136" s="83" vm="1010">
        <v>0</v>
      </c>
      <c r="Y136" s="83" vm="1011">
        <v>0</v>
      </c>
      <c r="Z13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1429</v>
      </c>
      <c r="AA136" s="84" vm="8588">
        <v>1429</v>
      </c>
      <c r="AB136" s="83" vm="1009">
        <v>0</v>
      </c>
      <c r="AC136" s="83" vm="1012">
        <v>0</v>
      </c>
      <c r="AD136" s="83" vm="814">
        <v>0</v>
      </c>
      <c r="AE136" s="7">
        <f xml:space="preserve"> IFERROR( VfM_Metrics_2023_Consol_Source[[#This Row],[Total Net Debt]] / VfM_Metrics_2023_Consol_Source[[#This Row],[Net Book Value of Housing Properties2]], "n/a" )</f>
        <v>0.15102364384492456</v>
      </c>
      <c r="AF13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12002</v>
      </c>
      <c r="AG136" s="84" vm="8530">
        <v>457</v>
      </c>
      <c r="AH136" s="83" vm="1191">
        <v>17014</v>
      </c>
      <c r="AI136" s="83" vm="1013">
        <v>5469</v>
      </c>
      <c r="AJ136" s="83" vm="8791">
        <v>0</v>
      </c>
      <c r="AK136" s="83" vm="1014">
        <v>0</v>
      </c>
      <c r="AL136" s="5">
        <f xml:space="preserve"> SUM( VfM_Metrics_2023_Consol_Source[[#This Row],[Tangible fixed assets: Housing properties at cost (Current period)2]], VfM_Metrics_2023_Consol_Source[[#This Row],[Tangible fixed assets Housing properties at valuation (Current period)2]] )</f>
        <v>79471</v>
      </c>
      <c r="AM136" s="84" vm="1007">
        <v>79471</v>
      </c>
      <c r="AN136" s="83">
        <v>0</v>
      </c>
      <c r="AO136" s="87">
        <f xml:space="preserve"> IFERROR( VfM_Metrics_2023_Consol_Source[[#This Row],[EBITDA MRI]] / VfM_Metrics_2023_Consol_Source[[#This Row],[Total interest]], "n/a" )</f>
        <v>3.1987041036717061</v>
      </c>
      <c r="AP13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1481</v>
      </c>
      <c r="AQ136" s="84" vm="1015">
        <v>1354</v>
      </c>
      <c r="AR136" s="84">
        <v>0</v>
      </c>
      <c r="AS136" s="84" vm="1016">
        <v>318</v>
      </c>
      <c r="AT136" s="84" vm="8519">
        <v>373</v>
      </c>
      <c r="AU136" s="84" vm="1017">
        <v>0</v>
      </c>
      <c r="AV136" s="84" vm="1018">
        <v>128</v>
      </c>
      <c r="AW136" s="84" vm="1019">
        <v>1054</v>
      </c>
      <c r="AX136" s="84" vm="1020">
        <v>1744</v>
      </c>
      <c r="AY136" s="3">
        <f xml:space="preserve"> - SUM( VfM_Metrics_2023_Consol_Source[[#This Row],[Interest capitalised]], VfM_Metrics_2023_Consol_Source[[#This Row],[Interest payable and financing costs]] )</f>
        <v>463</v>
      </c>
      <c r="AZ136" s="84" vm="1021">
        <v>0</v>
      </c>
      <c r="BA136" s="83" vm="8573">
        <v>-463</v>
      </c>
      <c r="BB136" s="8">
        <f xml:space="preserve"> IFERROR( ( VfM_Metrics_2023_Consol_Source[[#This Row],[Total Costs]] / VfM_Metrics_2023_Consol_Source[[#This Row],[Total units for costs]] ) * 1000, "n/a" )</f>
        <v>5125.2624212736182</v>
      </c>
      <c r="BC13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7324</v>
      </c>
      <c r="BD136" s="84" vm="1023">
        <v>2530</v>
      </c>
      <c r="BE136" s="83" vm="1024">
        <v>1388</v>
      </c>
      <c r="BF136" s="83" vm="1025">
        <v>1121</v>
      </c>
      <c r="BG136" s="83" vm="1026">
        <v>363</v>
      </c>
      <c r="BH136" s="83" vm="1027">
        <v>586</v>
      </c>
      <c r="BI136" s="83" vm="1028">
        <v>11</v>
      </c>
      <c r="BJ136" s="83" vm="1019">
        <v>1054</v>
      </c>
      <c r="BK136" s="83" vm="1073">
        <v>271</v>
      </c>
      <c r="BL136" s="83" vm="1029">
        <v>0</v>
      </c>
      <c r="BM136" s="83" vm="1030">
        <v>0</v>
      </c>
      <c r="BN136" s="83" vm="8815">
        <v>0</v>
      </c>
      <c r="BO136" s="83" vm="1031">
        <v>0</v>
      </c>
      <c r="BP136" s="5" vm="8751">
        <f xml:space="preserve"> VfM_Metrics_2023_Consol_Source[[#This Row],[Total social housing units owned and/or managed at period end]]</f>
        <v>1429</v>
      </c>
      <c r="BQ136" s="84" vm="8751">
        <v>1429</v>
      </c>
      <c r="BR136" s="7">
        <f xml:space="preserve"> IFERROR( VfM_Metrics_2023_Consol_Source[[#This Row],[SHL operating surplus / (deficit)]] / VfM_Metrics_2023_Consol_Source[[#This Row],[Turnover from social housing lettings]], "n/a" )</f>
        <v>0.11012816150618124</v>
      </c>
      <c r="BS136" s="5" vm="1078">
        <f xml:space="preserve"> VfM_Metrics_2023_Consol_Source[[#This Row],[Operating surplus/(deficit) (social housing lettings)]]</f>
        <v>971</v>
      </c>
      <c r="BT136" s="84" vm="1078">
        <v>971</v>
      </c>
      <c r="BU136" s="5" vm="1158">
        <f xml:space="preserve"> VfM_Metrics_2023_Consol_Source[[#This Row],[Turnover from social housing lettings]]</f>
        <v>8817</v>
      </c>
      <c r="BV136" s="84" vm="1158">
        <v>8817</v>
      </c>
      <c r="BW136" s="7">
        <f xml:space="preserve"> IFERROR( VfM_Metrics_2023_Consol_Source[[#This Row],[Net operating surplus]] / VfM_Metrics_2023_Consol_Source[[#This Row],[Overall turnover]], "n/a" )</f>
        <v>0.11662726556343578</v>
      </c>
      <c r="BX13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1036</v>
      </c>
      <c r="BY136" s="84" vm="1015">
        <v>1354</v>
      </c>
      <c r="BZ136" s="83">
        <v>0</v>
      </c>
      <c r="CA136" s="83" vm="1212">
        <v>318</v>
      </c>
      <c r="CB136" s="5" vm="1032">
        <f xml:space="preserve"> VfM_Metrics_2023_Consol_Source[[#This Row],[Turnover (overall)]]</f>
        <v>8883</v>
      </c>
      <c r="CC136" s="84" vm="1032">
        <v>8883</v>
      </c>
      <c r="CD136" s="7">
        <f xml:space="preserve"> IFERROR( VfM_Metrics_2023_Consol_Source[[#This Row],[Operating surplus including from JVs]] / VfM_Metrics_2023_Consol_Source[[#This Row],[Net assets]], "n/a" )</f>
        <v>1.5729553903345725E-2</v>
      </c>
      <c r="CE136" s="5">
        <f xml:space="preserve"> SUM( VfM_Metrics_2023_Consol_Source[[#This Row],[Operating surplus/(deficit) (overall)3]], VfM_Metrics_2023_Consol_Source[[#This Row],[Share of operating surplus/(deficit) in joint ventures or associates]] )</f>
        <v>1354</v>
      </c>
      <c r="CF136" s="84" vm="1015">
        <v>1354</v>
      </c>
      <c r="CG136" s="83">
        <v>0</v>
      </c>
      <c r="CH136" s="5" vm="1033">
        <f xml:space="preserve"> VfM_Metrics_2023_Consol_Source[[#This Row],[Total assets less current liabilities]]</f>
        <v>86080</v>
      </c>
      <c r="CI136" s="84" vm="1033">
        <v>86080</v>
      </c>
      <c r="CJ136" s="71" vm="1022">
        <f xml:space="preserve"> VfM_Metrics_2023_Consol_Source[[#This Row],[Total social housing units owned (Period end)]]</f>
        <v>1429</v>
      </c>
      <c r="CK136" s="103">
        <v>0</v>
      </c>
      <c r="CL136" s="6">
        <f xml:space="preserve"> -- ( VfM_Metrics_2023_Consol_Source[[#This Row],[% Supported housing (excl. HOP)]] &gt; 0.3 )</f>
        <v>0</v>
      </c>
      <c r="CM136" s="103">
        <v>0.13365990202939118</v>
      </c>
      <c r="CN136" s="6">
        <f xml:space="preserve"> -- ( VfM_Metrics_2023_Consol_Source[[#This Row],[% Housing for older people]] &gt; 0.3 )</f>
        <v>0</v>
      </c>
      <c r="CO136" s="103">
        <f xml:space="preserve"> VfM_Metrics_2023_Consol_Source[[#This Row],[% Supported housing (excl. HOP)]] + VfM_Metrics_2023_Consol_Source[[#This Row],[% Housing for older people]]</f>
        <v>0.13365990202939118</v>
      </c>
      <c r="CP136" s="6">
        <f xml:space="preserve"> -- ( VfM_Metrics_2023_Consol_Source[[#This Row],[SH specialist in RSH analysis]] + VfM_Metrics_2023_Consol_Source[[#This Row],[OP specialist in RSH analysis]] &gt; 0 )</f>
        <v>0</v>
      </c>
      <c r="CQ136" s="10">
        <f xml:space="preserve"> -- ( VfM_Metrics_2023_Consol_Source[[#This Row],[% SH and OP]] &gt; 0.3 )</f>
        <v>0</v>
      </c>
      <c r="CR136" s="104" t="s">
        <v>143</v>
      </c>
      <c r="CS136" s="124" t="s">
        <v>144</v>
      </c>
      <c r="CT136" s="105"/>
      <c r="CU13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136" s="85">
        <v>0</v>
      </c>
      <c r="CW136" s="85">
        <v>0</v>
      </c>
      <c r="CX136" s="85">
        <v>0</v>
      </c>
      <c r="CY136" s="85">
        <v>0</v>
      </c>
      <c r="CZ136" s="85">
        <v>0</v>
      </c>
      <c r="DA136" s="85">
        <v>0</v>
      </c>
      <c r="DB136" s="85">
        <v>0</v>
      </c>
      <c r="DC136" s="85">
        <v>0</v>
      </c>
      <c r="DD136" s="85">
        <v>1</v>
      </c>
      <c r="DE136" s="13">
        <v>0.94459121441814442</v>
      </c>
    </row>
    <row r="137" spans="1:109" x14ac:dyDescent="0.25">
      <c r="A137" s="4" t="s" vm="267">
        <v>398</v>
      </c>
      <c r="B137" s="2" t="s" vm="127">
        <v>399</v>
      </c>
      <c r="C137" s="72" vm="477">
        <v>45016</v>
      </c>
      <c r="D137" s="7">
        <f>IFERROR( VfM_Metrics_2023_Consol_Source[[#This Row],[Reinvestment Spend]] / VfM_Metrics_2023_Consol_Source[[#This Row],[Net Book Value of Housing Properties]], "n/a" )</f>
        <v>9.1512191959518124E-2</v>
      </c>
      <c r="E13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417826</v>
      </c>
      <c r="F137" s="83" vm="2241">
        <v>345997</v>
      </c>
      <c r="G137" s="83" vm="7893">
        <v>0</v>
      </c>
      <c r="H137" s="83" vm="2242">
        <v>66400</v>
      </c>
      <c r="I137" s="83" vm="2243">
        <v>5429</v>
      </c>
      <c r="J137" s="83" vm="7965">
        <v>0</v>
      </c>
      <c r="K137" s="5">
        <f xml:space="preserve"> SUM( VfM_Metrics_2023_Consol_Source[[#This Row],[Tangible fixed assets: Housing properties at cost (Current period)]],VfM_Metrics_2023_Consol_Source[[#This Row],[Tangible fixed assets Housing properties at valuation (Current period)]] )</f>
        <v>4565796</v>
      </c>
      <c r="L137" s="84" vm="2245">
        <v>4565796</v>
      </c>
      <c r="M137" s="83" vm="2246">
        <v>0</v>
      </c>
      <c r="N137" s="7">
        <f xml:space="preserve"> IFERROR( VfM_Metrics_2023_Consol_Source[[#This Row],[Total social units developed or newly built units acquired in-year]] / VfM_Metrics_2023_Consol_Source[[#This Row],[Social housing units owned (period end)]], "n/a" )</f>
        <v>2.1459749456073731E-2</v>
      </c>
      <c r="O137" s="5">
        <f xml:space="preserve"> SUM( VfM_Metrics_2023_Consol_Source[[#This Row],[Total social units developed or newly built units acquired in-year (owned)]], VfM_Metrics_2023_Consol_Source[[#This Row],[Total social leasehold units developed or newly built units acquired in-year (owned)]] )</f>
        <v>1588</v>
      </c>
      <c r="P137" s="84" vm="8066">
        <v>1588</v>
      </c>
      <c r="Q137" s="83" vm="2247">
        <v>0</v>
      </c>
      <c r="R137" s="5">
        <f xml:space="preserve"> SUM( VfM_Metrics_2023_Consol_Source[[#This Row],[Total social housing units owned (Period end)]], VfM_Metrics_2023_Consol_Source[[#This Row],[Total social leasehold units owned (Period end)]] )</f>
        <v>73999</v>
      </c>
      <c r="S137" s="84" vm="2239">
        <v>70663</v>
      </c>
      <c r="T137" s="83" vm="2248">
        <v>3336</v>
      </c>
      <c r="U137" s="86">
        <f xml:space="preserve"> IFERROR( VfM_Metrics_2023_Consol_Source[[#This Row],[Total non-social housing units developed or newly built units acquired (owned)]] / VfM_Metrics_2023_Consol_Source[[#This Row],[Total social and non-social housing units owned (Period end)]], "n/a" )</f>
        <v>5.4692205758342365E-3</v>
      </c>
      <c r="V13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454</v>
      </c>
      <c r="W137" s="83" vm="2249">
        <v>166</v>
      </c>
      <c r="X137" s="83" vm="2250">
        <v>0</v>
      </c>
      <c r="Y137" s="83" vm="2407">
        <v>288</v>
      </c>
      <c r="Z13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83010</v>
      </c>
      <c r="AA137" s="84" vm="2239">
        <v>70663</v>
      </c>
      <c r="AB137" s="83" vm="2248">
        <v>3336</v>
      </c>
      <c r="AC137" s="83" vm="2251">
        <v>8484</v>
      </c>
      <c r="AD137" s="83" vm="4752">
        <v>527</v>
      </c>
      <c r="AE137" s="7">
        <f xml:space="preserve"> IFERROR( VfM_Metrics_2023_Consol_Source[[#This Row],[Total Net Debt]] / VfM_Metrics_2023_Consol_Source[[#This Row],[Net Book Value of Housing Properties2]], "n/a" )</f>
        <v>0.71431575129506442</v>
      </c>
      <c r="AF13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3261420</v>
      </c>
      <c r="AG137" s="84" vm="2252">
        <v>90368</v>
      </c>
      <c r="AH137" s="83" vm="2253">
        <v>3027352</v>
      </c>
      <c r="AI137" s="83" vm="2254">
        <v>66598</v>
      </c>
      <c r="AJ137" s="83" vm="2255">
        <v>0</v>
      </c>
      <c r="AK137" s="83" vm="7892">
        <v>210298</v>
      </c>
      <c r="AL137" s="5">
        <f xml:space="preserve"> SUM( VfM_Metrics_2023_Consol_Source[[#This Row],[Tangible fixed assets: Housing properties at cost (Current period)2]], VfM_Metrics_2023_Consol_Source[[#This Row],[Tangible fixed assets Housing properties at valuation (Current period)2]] )</f>
        <v>4565796</v>
      </c>
      <c r="AM137" s="84" vm="7805">
        <v>4565796</v>
      </c>
      <c r="AN137" s="83" vm="2246">
        <v>0</v>
      </c>
      <c r="AO137" s="87">
        <f xml:space="preserve"> IFERROR( VfM_Metrics_2023_Consol_Source[[#This Row],[EBITDA MRI]] / VfM_Metrics_2023_Consol_Source[[#This Row],[Total interest]], "n/a" )</f>
        <v>1.3488639694308449</v>
      </c>
      <c r="AP13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124256</v>
      </c>
      <c r="AQ137" s="84" vm="2256">
        <v>170313</v>
      </c>
      <c r="AR137" s="84" vm="2257">
        <v>14761</v>
      </c>
      <c r="AS137" s="84" vm="2258">
        <v>895</v>
      </c>
      <c r="AT137" s="84" vm="2259">
        <v>22360</v>
      </c>
      <c r="AU137" s="84" vm="2260">
        <v>828</v>
      </c>
      <c r="AV137" s="84" vm="2482">
        <v>6512</v>
      </c>
      <c r="AW137" s="84" vm="2261">
        <v>66400</v>
      </c>
      <c r="AX137" s="84" vm="2262">
        <v>52675</v>
      </c>
      <c r="AY137" s="3">
        <f xml:space="preserve"> - SUM( VfM_Metrics_2023_Consol_Source[[#This Row],[Interest capitalised]], VfM_Metrics_2023_Consol_Source[[#This Row],[Interest payable and financing costs]] )</f>
        <v>92119</v>
      </c>
      <c r="AZ137" s="84" vm="8083">
        <v>-5429</v>
      </c>
      <c r="BA137" s="83" vm="2263">
        <v>-86690</v>
      </c>
      <c r="BB137" s="8">
        <f xml:space="preserve"> IFERROR( ( VfM_Metrics_2023_Consol_Source[[#This Row],[Total Costs]] / VfM_Metrics_2023_Consol_Source[[#This Row],[Total units for costs]] ) * 1000, "n/a" )</f>
        <v>3361.500317863954</v>
      </c>
      <c r="BC13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264382</v>
      </c>
      <c r="BD137" s="84" vm="2264">
        <v>66970</v>
      </c>
      <c r="BE137" s="83" vm="2265">
        <v>43653</v>
      </c>
      <c r="BF137" s="83" vm="2266">
        <v>58454</v>
      </c>
      <c r="BG137" s="83" vm="2267">
        <v>20527</v>
      </c>
      <c r="BH137" s="83" vm="2268">
        <v>5153</v>
      </c>
      <c r="BI137" s="83" vm="2269">
        <v>0</v>
      </c>
      <c r="BJ137" s="83" vm="2261">
        <v>66400</v>
      </c>
      <c r="BK137" s="83" vm="2270">
        <v>710</v>
      </c>
      <c r="BL137" s="83" vm="2271">
        <v>0</v>
      </c>
      <c r="BM137" s="83" vm="2272">
        <v>0</v>
      </c>
      <c r="BN137" s="83" vm="2273">
        <v>82</v>
      </c>
      <c r="BO137" s="83" vm="2274">
        <v>2433</v>
      </c>
      <c r="BP137" s="5" vm="2240">
        <f xml:space="preserve"> VfM_Metrics_2023_Consol_Source[[#This Row],[Total social housing units owned and/or managed at period end]]</f>
        <v>78650</v>
      </c>
      <c r="BQ137" s="84" vm="2240">
        <v>78650</v>
      </c>
      <c r="BR137" s="7">
        <f xml:space="preserve"> IFERROR( VfM_Metrics_2023_Consol_Source[[#This Row],[SHL operating surplus / (deficit)]] / VfM_Metrics_2023_Consol_Source[[#This Row],[Turnover from social housing lettings]], "n/a" )</f>
        <v>0.40655239114831082</v>
      </c>
      <c r="BS137" s="5" vm="2275">
        <f xml:space="preserve"> VfM_Metrics_2023_Consol_Source[[#This Row],[Operating surplus/(deficit) (social housing lettings)]]</f>
        <v>167091</v>
      </c>
      <c r="BT137" s="84" vm="2275">
        <v>167091</v>
      </c>
      <c r="BU137" s="5" vm="7511">
        <f xml:space="preserve"> VfM_Metrics_2023_Consol_Source[[#This Row],[Turnover from social housing lettings]]</f>
        <v>410995</v>
      </c>
      <c r="BV137" s="84" vm="7511">
        <v>410995</v>
      </c>
      <c r="BW137" s="7">
        <f xml:space="preserve"> IFERROR( VfM_Metrics_2023_Consol_Source[[#This Row],[Net operating surplus]] / VfM_Metrics_2023_Consol_Source[[#This Row],[Overall turnover]], "n/a" )</f>
        <v>0.18202886200918283</v>
      </c>
      <c r="BX13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154657</v>
      </c>
      <c r="BY137" s="84" vm="2256">
        <v>170313</v>
      </c>
      <c r="BZ137" s="83" vm="7955">
        <v>14761</v>
      </c>
      <c r="CA137" s="83" vm="2258">
        <v>895</v>
      </c>
      <c r="CB137" s="5" vm="2276">
        <f xml:space="preserve"> VfM_Metrics_2023_Consol_Source[[#This Row],[Turnover (overall)]]</f>
        <v>849629</v>
      </c>
      <c r="CC137" s="84" vm="2276">
        <v>849629</v>
      </c>
      <c r="CD137" s="7">
        <f xml:space="preserve"> IFERROR( VfM_Metrics_2023_Consol_Source[[#This Row],[Operating surplus including from JVs]] / VfM_Metrics_2023_Consol_Source[[#This Row],[Net assets]], "n/a" )</f>
        <v>3.0304413673196272E-2</v>
      </c>
      <c r="CE137" s="5">
        <f xml:space="preserve"> SUM( VfM_Metrics_2023_Consol_Source[[#This Row],[Operating surplus/(deficit) (overall)3]], VfM_Metrics_2023_Consol_Source[[#This Row],[Share of operating surplus/(deficit) in joint ventures or associates]] )</f>
        <v>170603</v>
      </c>
      <c r="CF137" s="84" vm="2256">
        <v>170313</v>
      </c>
      <c r="CG137" s="83" vm="2278">
        <v>290</v>
      </c>
      <c r="CH137" s="5" vm="2277">
        <f xml:space="preserve"> VfM_Metrics_2023_Consol_Source[[#This Row],[Total assets less current liabilities]]</f>
        <v>5629642</v>
      </c>
      <c r="CI137" s="84" vm="2277">
        <v>5629642</v>
      </c>
      <c r="CJ137" s="71" vm="2239">
        <f xml:space="preserve"> VfM_Metrics_2023_Consol_Source[[#This Row],[Total social housing units owned (Period end)]]</f>
        <v>70663</v>
      </c>
      <c r="CK137" s="103">
        <v>4.9455902508297692E-2</v>
      </c>
      <c r="CL137" s="6">
        <f xml:space="preserve"> -- ( VfM_Metrics_2023_Consol_Source[[#This Row],[% Supported housing (excl. HOP)]] &gt; 0.3 )</f>
        <v>0</v>
      </c>
      <c r="CM137" s="103">
        <v>6.6051288825773213E-2</v>
      </c>
      <c r="CN137" s="6">
        <f xml:space="preserve"> -- ( VfM_Metrics_2023_Consol_Source[[#This Row],[% Housing for older people]] &gt; 0.3 )</f>
        <v>0</v>
      </c>
      <c r="CO137" s="103">
        <f xml:space="preserve"> VfM_Metrics_2023_Consol_Source[[#This Row],[% Supported housing (excl. HOP)]] + VfM_Metrics_2023_Consol_Source[[#This Row],[% Housing for older people]]</f>
        <v>0.1155071913340709</v>
      </c>
      <c r="CP137" s="6">
        <f xml:space="preserve"> -- ( VfM_Metrics_2023_Consol_Source[[#This Row],[SH specialist in RSH analysis]] + VfM_Metrics_2023_Consol_Source[[#This Row],[OP specialist in RSH analysis]] &gt; 0 )</f>
        <v>0</v>
      </c>
      <c r="CQ137" s="10">
        <f xml:space="preserve"> -- ( VfM_Metrics_2023_Consol_Source[[#This Row],[% SH and OP]] &gt; 0.3 )</f>
        <v>0</v>
      </c>
      <c r="CR137" s="104" t="s">
        <v>143</v>
      </c>
      <c r="CS137" s="124" t="s">
        <v>144</v>
      </c>
      <c r="CT137" s="105"/>
      <c r="CU13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37" s="85">
        <v>4.087922783680753E-2</v>
      </c>
      <c r="CW137" s="85">
        <v>9.5936410090031635E-2</v>
      </c>
      <c r="CX137" s="85">
        <v>5.0871927974693809E-2</v>
      </c>
      <c r="CY137" s="85">
        <v>0.17346094573769161</v>
      </c>
      <c r="CZ137" s="85">
        <v>5.1585692270257116E-3</v>
      </c>
      <c r="DA137" s="85">
        <v>0.1873793495011761</v>
      </c>
      <c r="DB137" s="85">
        <v>8.1060913293860004E-2</v>
      </c>
      <c r="DC137" s="85">
        <v>0.20262795036093761</v>
      </c>
      <c r="DD137" s="85">
        <v>0.16262470597777598</v>
      </c>
      <c r="DE137" s="13">
        <v>0.97599275885331038</v>
      </c>
    </row>
    <row r="138" spans="1:109" x14ac:dyDescent="0.25">
      <c r="A138" s="4" t="s" vm="266">
        <v>400</v>
      </c>
      <c r="B138" s="2" t="s" vm="128">
        <v>401</v>
      </c>
      <c r="C138" s="72" vm="533">
        <v>45016</v>
      </c>
      <c r="D138" s="7">
        <f>IFERROR( VfM_Metrics_2023_Consol_Source[[#This Row],[Reinvestment Spend]] / VfM_Metrics_2023_Consol_Source[[#This Row],[Net Book Value of Housing Properties]], "n/a" )</f>
        <v>9.363038520878883E-2</v>
      </c>
      <c r="E13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274971</v>
      </c>
      <c r="F138" s="83" vm="2210">
        <v>246483</v>
      </c>
      <c r="G138" s="83" vm="2211">
        <v>0</v>
      </c>
      <c r="H138" s="83" vm="7764">
        <v>24377</v>
      </c>
      <c r="I138" s="83" vm="2212">
        <v>4111</v>
      </c>
      <c r="J138" s="83" vm="2213">
        <v>0</v>
      </c>
      <c r="K138" s="5">
        <f xml:space="preserve"> SUM( VfM_Metrics_2023_Consol_Source[[#This Row],[Tangible fixed assets: Housing properties at cost (Current period)]],VfM_Metrics_2023_Consol_Source[[#This Row],[Tangible fixed assets Housing properties at valuation (Current period)]] )</f>
        <v>2936771</v>
      </c>
      <c r="L138" s="84" vm="2214">
        <v>2936771</v>
      </c>
      <c r="M138" s="83" vm="2215">
        <v>0</v>
      </c>
      <c r="N138" s="7">
        <f xml:space="preserve"> IFERROR( VfM_Metrics_2023_Consol_Source[[#This Row],[Total social units developed or newly built units acquired in-year]] / VfM_Metrics_2023_Consol_Source[[#This Row],[Social housing units owned (period end)]], "n/a" )</f>
        <v>2.244142514617423E-2</v>
      </c>
      <c r="O138" s="5">
        <f xml:space="preserve"> SUM( VfM_Metrics_2023_Consol_Source[[#This Row],[Total social units developed or newly built units acquired in-year (owned)]], VfM_Metrics_2023_Consol_Source[[#This Row],[Total social leasehold units developed or newly built units acquired in-year (owned)]] )</f>
        <v>1067</v>
      </c>
      <c r="P138" s="84" vm="7839">
        <v>1067</v>
      </c>
      <c r="Q138" s="83">
        <v>0</v>
      </c>
      <c r="R138" s="5">
        <f xml:space="preserve"> SUM( VfM_Metrics_2023_Consol_Source[[#This Row],[Total social housing units owned (Period end)]], VfM_Metrics_2023_Consol_Source[[#This Row],[Total social leasehold units owned (Period end)]] )</f>
        <v>47546</v>
      </c>
      <c r="S138" s="84" vm="7895">
        <v>46401</v>
      </c>
      <c r="T138" s="83" vm="7632">
        <v>1145</v>
      </c>
      <c r="U138" s="86">
        <f xml:space="preserve"> IFERROR( VfM_Metrics_2023_Consol_Source[[#This Row],[Total non-social housing units developed or newly built units acquired (owned)]] / VfM_Metrics_2023_Consol_Source[[#This Row],[Total social and non-social housing units owned (Period end)]], "n/a" )</f>
        <v>0</v>
      </c>
      <c r="V13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38" s="83" vm="2217">
        <v>0</v>
      </c>
      <c r="X138" s="83">
        <v>0</v>
      </c>
      <c r="Y138" s="83" vm="2218">
        <v>0</v>
      </c>
      <c r="Z13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48082</v>
      </c>
      <c r="AA138" s="84" vm="1342">
        <v>46401</v>
      </c>
      <c r="AB138" s="83" vm="2216">
        <v>1145</v>
      </c>
      <c r="AC138" s="83" vm="7763">
        <v>111</v>
      </c>
      <c r="AD138" s="83" vm="2219">
        <v>425</v>
      </c>
      <c r="AE138" s="7">
        <f xml:space="preserve"> IFERROR( VfM_Metrics_2023_Consol_Source[[#This Row],[Total Net Debt]] / VfM_Metrics_2023_Consol_Source[[#This Row],[Net Book Value of Housing Properties2]], "n/a" )</f>
        <v>0.43413361137112838</v>
      </c>
      <c r="AF13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1274951</v>
      </c>
      <c r="AG138" s="84" vm="8017">
        <v>14073</v>
      </c>
      <c r="AH138" s="83" vm="2220">
        <v>1378934</v>
      </c>
      <c r="AI138" s="83" vm="7104">
        <v>118056</v>
      </c>
      <c r="AJ138" s="83" vm="7761">
        <v>0</v>
      </c>
      <c r="AK138" s="83" vm="8025">
        <v>0</v>
      </c>
      <c r="AL138" s="5">
        <f xml:space="preserve"> SUM( VfM_Metrics_2023_Consol_Source[[#This Row],[Tangible fixed assets: Housing properties at cost (Current period)2]], VfM_Metrics_2023_Consol_Source[[#This Row],[Tangible fixed assets Housing properties at valuation (Current period)2]] )</f>
        <v>2936771</v>
      </c>
      <c r="AM138" s="84" vm="7516">
        <v>2936771</v>
      </c>
      <c r="AN138" s="83" vm="2215">
        <v>0</v>
      </c>
      <c r="AO138" s="87">
        <f xml:space="preserve"> IFERROR( VfM_Metrics_2023_Consol_Source[[#This Row],[EBITDA MRI]] / VfM_Metrics_2023_Consol_Source[[#This Row],[Total interest]], "n/a" )</f>
        <v>1.8686332199763096</v>
      </c>
      <c r="AP13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97808</v>
      </c>
      <c r="AQ138" s="84" vm="7760">
        <v>92256</v>
      </c>
      <c r="AR138" s="84" vm="2410">
        <v>10749</v>
      </c>
      <c r="AS138" s="84" vm="7515">
        <v>0</v>
      </c>
      <c r="AT138" s="84" vm="7630">
        <v>5081</v>
      </c>
      <c r="AU138" s="84" vm="2222">
        <v>0</v>
      </c>
      <c r="AV138" s="84" vm="2223">
        <v>3974</v>
      </c>
      <c r="AW138" s="84" vm="2224">
        <v>24377</v>
      </c>
      <c r="AX138" s="84" vm="7792">
        <v>41785</v>
      </c>
      <c r="AY138" s="3">
        <f xml:space="preserve"> - SUM( VfM_Metrics_2023_Consol_Source[[#This Row],[Interest capitalised]], VfM_Metrics_2023_Consol_Source[[#This Row],[Interest payable and financing costs]] )</f>
        <v>52342</v>
      </c>
      <c r="AZ138" s="84" vm="8123">
        <v>-4111</v>
      </c>
      <c r="BA138" s="83" vm="2225">
        <v>-48231</v>
      </c>
      <c r="BB138" s="8">
        <f xml:space="preserve"> IFERROR( ( VfM_Metrics_2023_Consol_Source[[#This Row],[Total Costs]] / VfM_Metrics_2023_Consol_Source[[#This Row],[Total units for costs]] ) * 1000, "n/a" )</f>
        <v>3435.5422465422894</v>
      </c>
      <c r="BC13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159471</v>
      </c>
      <c r="BD138" s="84" vm="2226">
        <v>30196</v>
      </c>
      <c r="BE138" s="83" vm="2227">
        <v>27473</v>
      </c>
      <c r="BF138" s="83" vm="2228">
        <v>52178</v>
      </c>
      <c r="BG138" s="83" vm="2229">
        <v>7493</v>
      </c>
      <c r="BH138" s="83" vm="2230">
        <v>12009</v>
      </c>
      <c r="BI138" s="83" vm="2525">
        <v>0</v>
      </c>
      <c r="BJ138" s="83" vm="2224">
        <v>24377</v>
      </c>
      <c r="BK138" s="83" vm="8057">
        <v>0</v>
      </c>
      <c r="BL138" s="83" vm="2231">
        <v>4339</v>
      </c>
      <c r="BM138" s="83" vm="2232">
        <v>0</v>
      </c>
      <c r="BN138" s="83" vm="7791">
        <v>856</v>
      </c>
      <c r="BO138" s="83" vm="7629">
        <v>550</v>
      </c>
      <c r="BP138" s="5" vm="2209">
        <f xml:space="preserve"> VfM_Metrics_2023_Consol_Source[[#This Row],[Total social housing units owned and/or managed at period end]]</f>
        <v>46418</v>
      </c>
      <c r="BQ138" s="84" vm="2209">
        <v>46418</v>
      </c>
      <c r="BR138" s="7">
        <f xml:space="preserve"> IFERROR( VfM_Metrics_2023_Consol_Source[[#This Row],[SHL operating surplus / (deficit)]] / VfM_Metrics_2023_Consol_Source[[#This Row],[Turnover from social housing lettings]], "n/a" )</f>
        <v>0.32062486652886402</v>
      </c>
      <c r="BS138" s="5" vm="2234">
        <f xml:space="preserve"> VfM_Metrics_2023_Consol_Source[[#This Row],[Operating surplus/(deficit) (social housing lettings)]]</f>
        <v>79573</v>
      </c>
      <c r="BT138" s="84" vm="2234">
        <v>79573</v>
      </c>
      <c r="BU138" s="5" vm="2235">
        <f xml:space="preserve"> VfM_Metrics_2023_Consol_Source[[#This Row],[Turnover from social housing lettings]]</f>
        <v>248181</v>
      </c>
      <c r="BV138" s="84" vm="2235">
        <v>248181</v>
      </c>
      <c r="BW138" s="7">
        <f xml:space="preserve"> IFERROR( VfM_Metrics_2023_Consol_Source[[#This Row],[Net operating surplus]] / VfM_Metrics_2023_Consol_Source[[#This Row],[Overall turnover]], "n/a" )</f>
        <v>0.27170177374352888</v>
      </c>
      <c r="BX13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81507</v>
      </c>
      <c r="BY138" s="84" vm="7514">
        <v>92256</v>
      </c>
      <c r="BZ138" s="83" vm="7947">
        <v>10749</v>
      </c>
      <c r="CA138" s="83" vm="1936">
        <v>0</v>
      </c>
      <c r="CB138" s="5" vm="2236">
        <f xml:space="preserve"> VfM_Metrics_2023_Consol_Source[[#This Row],[Turnover (overall)]]</f>
        <v>299987</v>
      </c>
      <c r="CC138" s="84" vm="2236">
        <v>299987</v>
      </c>
      <c r="CD138" s="7">
        <f xml:space="preserve"> IFERROR( VfM_Metrics_2023_Consol_Source[[#This Row],[Operating surplus including from JVs]] / VfM_Metrics_2023_Consol_Source[[#This Row],[Net assets]], "n/a" )</f>
        <v>3.0423085877549189E-2</v>
      </c>
      <c r="CE138" s="5">
        <f xml:space="preserve"> SUM( VfM_Metrics_2023_Consol_Source[[#This Row],[Operating surplus/(deficit) (overall)3]], VfM_Metrics_2023_Consol_Source[[#This Row],[Share of operating surplus/(deficit) in joint ventures or associates]] )</f>
        <v>92256</v>
      </c>
      <c r="CF138" s="84" vm="2221">
        <v>92256</v>
      </c>
      <c r="CG138" s="83" vm="2238">
        <v>0</v>
      </c>
      <c r="CH138" s="5" vm="2237">
        <f xml:space="preserve"> VfM_Metrics_2023_Consol_Source[[#This Row],[Total assets less current liabilities]]</f>
        <v>3032434</v>
      </c>
      <c r="CI138" s="84" vm="2237">
        <v>3032434</v>
      </c>
      <c r="CJ138" s="71" vm="7895">
        <f xml:space="preserve"> VfM_Metrics_2023_Consol_Source[[#This Row],[Total social housing units owned (Period end)]]</f>
        <v>46401</v>
      </c>
      <c r="CK138" s="103">
        <v>7.2223306656256101E-3</v>
      </c>
      <c r="CL138" s="6">
        <f xml:space="preserve"> -- ( VfM_Metrics_2023_Consol_Source[[#This Row],[% Supported housing (excl. HOP)]] &gt; 0.3 )</f>
        <v>0</v>
      </c>
      <c r="CM138" s="103">
        <v>6.4545513696401852E-2</v>
      </c>
      <c r="CN138" s="6">
        <f xml:space="preserve"> -- ( VfM_Metrics_2023_Consol_Source[[#This Row],[% Housing for older people]] &gt; 0.3 )</f>
        <v>0</v>
      </c>
      <c r="CO138" s="103">
        <f xml:space="preserve"> VfM_Metrics_2023_Consol_Source[[#This Row],[% Supported housing (excl. HOP)]] + VfM_Metrics_2023_Consol_Source[[#This Row],[% Housing for older people]]</f>
        <v>7.1767844362027461E-2</v>
      </c>
      <c r="CP138" s="6">
        <f xml:space="preserve"> -- ( VfM_Metrics_2023_Consol_Source[[#This Row],[SH specialist in RSH analysis]] + VfM_Metrics_2023_Consol_Source[[#This Row],[OP specialist in RSH analysis]] &gt; 0 )</f>
        <v>0</v>
      </c>
      <c r="CQ138" s="10">
        <f xml:space="preserve"> -- ( VfM_Metrics_2023_Consol_Source[[#This Row],[% SH and OP]] &gt; 0.3 )</f>
        <v>0</v>
      </c>
      <c r="CR138" s="104" t="s">
        <v>143</v>
      </c>
      <c r="CS138" s="124" t="s">
        <v>144</v>
      </c>
      <c r="CT138" s="105"/>
      <c r="CU13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38" s="85">
        <v>0</v>
      </c>
      <c r="CW138" s="85">
        <v>7.3705308075257001E-3</v>
      </c>
      <c r="CX138" s="85">
        <v>7.8015560009482557E-3</v>
      </c>
      <c r="CY138" s="85">
        <v>0.44445162819766815</v>
      </c>
      <c r="CZ138" s="85">
        <v>0.53927717075063042</v>
      </c>
      <c r="DA138" s="85">
        <v>8.6205038684511112E-4</v>
      </c>
      <c r="DB138" s="85">
        <v>0</v>
      </c>
      <c r="DC138" s="85">
        <v>2.3706385638240556E-4</v>
      </c>
      <c r="DD138" s="85">
        <v>0</v>
      </c>
      <c r="DE138" s="13">
        <v>0.95532969771047882</v>
      </c>
    </row>
    <row r="139" spans="1:109" x14ac:dyDescent="0.25">
      <c r="A139" s="4" t="s" vm="274">
        <v>402</v>
      </c>
      <c r="B139" s="2" t="s" vm="129">
        <v>403</v>
      </c>
      <c r="C139" s="72" vm="483">
        <v>45016</v>
      </c>
      <c r="D139" s="7">
        <f>IFERROR( VfM_Metrics_2023_Consol_Source[[#This Row],[Reinvestment Spend]] / VfM_Metrics_2023_Consol_Source[[#This Row],[Net Book Value of Housing Properties]], "n/a" )</f>
        <v>6.4566446574194983E-2</v>
      </c>
      <c r="E13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41931</v>
      </c>
      <c r="F139" s="83" vm="2468">
        <v>11517</v>
      </c>
      <c r="G139" s="83" vm="2469">
        <v>19297</v>
      </c>
      <c r="H139" s="83" vm="2538">
        <v>10865</v>
      </c>
      <c r="I139" s="83" vm="2470">
        <v>252</v>
      </c>
      <c r="J139" s="83" vm="2471">
        <v>0</v>
      </c>
      <c r="K139" s="5">
        <f xml:space="preserve"> SUM( VfM_Metrics_2023_Consol_Source[[#This Row],[Tangible fixed assets: Housing properties at cost (Current period)]],VfM_Metrics_2023_Consol_Source[[#This Row],[Tangible fixed assets Housing properties at valuation (Current period)]] )</f>
        <v>649424</v>
      </c>
      <c r="L139" s="84" vm="2472">
        <v>649424</v>
      </c>
      <c r="M139" s="83">
        <v>0</v>
      </c>
      <c r="N139" s="7">
        <f xml:space="preserve"> IFERROR( VfM_Metrics_2023_Consol_Source[[#This Row],[Total social units developed or newly built units acquired in-year]] / VfM_Metrics_2023_Consol_Source[[#This Row],[Social housing units owned (period end)]], "n/a" )</f>
        <v>1.0665685913938948E-2</v>
      </c>
      <c r="O139" s="5">
        <f xml:space="preserve"> SUM( VfM_Metrics_2023_Consol_Source[[#This Row],[Total social units developed or newly built units acquired in-year (owned)]], VfM_Metrics_2023_Consol_Source[[#This Row],[Total social leasehold units developed or newly built units acquired in-year (owned)]] )</f>
        <v>145</v>
      </c>
      <c r="P139" s="84" vm="8021">
        <v>145</v>
      </c>
      <c r="Q139" s="83">
        <v>0</v>
      </c>
      <c r="R139" s="5">
        <f xml:space="preserve"> SUM( VfM_Metrics_2023_Consol_Source[[#This Row],[Total social housing units owned (Period end)]], VfM_Metrics_2023_Consol_Source[[#This Row],[Total social leasehold units owned (Period end)]] )</f>
        <v>13595</v>
      </c>
      <c r="S139" s="84" vm="8103">
        <v>13355</v>
      </c>
      <c r="T139" s="83" vm="2473">
        <v>240</v>
      </c>
      <c r="U139" s="86">
        <f xml:space="preserve"> IFERROR( VfM_Metrics_2023_Consol_Source[[#This Row],[Total non-social housing units developed or newly built units acquired (owned)]] / VfM_Metrics_2023_Consol_Source[[#This Row],[Total social and non-social housing units owned (Period end)]], "n/a" )</f>
        <v>0</v>
      </c>
      <c r="V13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39" s="83">
        <v>0</v>
      </c>
      <c r="X139" s="83">
        <v>0</v>
      </c>
      <c r="Y139" s="83">
        <v>0</v>
      </c>
      <c r="Z13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13616</v>
      </c>
      <c r="AA139" s="84" vm="2466">
        <v>13355</v>
      </c>
      <c r="AB139" s="83" vm="1808">
        <v>240</v>
      </c>
      <c r="AC139" s="83" vm="2474">
        <v>21</v>
      </c>
      <c r="AD139" s="83" vm="2475">
        <v>0</v>
      </c>
      <c r="AE139" s="7">
        <f xml:space="preserve"> IFERROR( VfM_Metrics_2023_Consol_Source[[#This Row],[Total Net Debt]] / VfM_Metrics_2023_Consol_Source[[#This Row],[Net Book Value of Housing Properties2]], "n/a" )</f>
        <v>0.50340147576929706</v>
      </c>
      <c r="AF13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326921</v>
      </c>
      <c r="AG139" s="84" vm="2476">
        <v>1655</v>
      </c>
      <c r="AH139" s="83" vm="2477">
        <v>372620</v>
      </c>
      <c r="AI139" s="83" vm="2478">
        <v>47354</v>
      </c>
      <c r="AJ139" s="83" vm="1675">
        <v>0</v>
      </c>
      <c r="AK139" s="83">
        <v>0</v>
      </c>
      <c r="AL139" s="5">
        <f xml:space="preserve"> SUM( VfM_Metrics_2023_Consol_Source[[#This Row],[Tangible fixed assets: Housing properties at cost (Current period)2]], VfM_Metrics_2023_Consol_Source[[#This Row],[Tangible fixed assets Housing properties at valuation (Current period)2]] )</f>
        <v>649424</v>
      </c>
      <c r="AM139" s="84" vm="7958">
        <v>649424</v>
      </c>
      <c r="AN139" s="83">
        <v>0</v>
      </c>
      <c r="AO139" s="87">
        <f xml:space="preserve"> IFERROR( VfM_Metrics_2023_Consol_Source[[#This Row],[EBITDA MRI]] / VfM_Metrics_2023_Consol_Source[[#This Row],[Total interest]], "n/a" )</f>
        <v>0.42851935554421522</v>
      </c>
      <c r="AP13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5878</v>
      </c>
      <c r="AQ139" s="84" vm="3223">
        <v>8668</v>
      </c>
      <c r="AR139" s="84" vm="2479">
        <v>1742</v>
      </c>
      <c r="AS139" s="84">
        <v>0</v>
      </c>
      <c r="AT139" s="84" vm="2480">
        <v>3875</v>
      </c>
      <c r="AU139" s="84" vm="2481">
        <v>0</v>
      </c>
      <c r="AV139" s="84" vm="7875">
        <v>373</v>
      </c>
      <c r="AW139" s="84" vm="2483">
        <v>10865</v>
      </c>
      <c r="AX139" s="84" vm="2484">
        <v>13319</v>
      </c>
      <c r="AY139" s="3">
        <f xml:space="preserve"> - SUM( VfM_Metrics_2023_Consol_Source[[#This Row],[Interest capitalised]], VfM_Metrics_2023_Consol_Source[[#This Row],[Interest payable and financing costs]] )</f>
        <v>13717</v>
      </c>
      <c r="AZ139" s="84" vm="2485">
        <v>-252</v>
      </c>
      <c r="BA139" s="83" vm="2486">
        <v>-13465</v>
      </c>
      <c r="BB139" s="8">
        <f xml:space="preserve"> IFERROR( ( VfM_Metrics_2023_Consol_Source[[#This Row],[Total Costs]] / VfM_Metrics_2023_Consol_Source[[#This Row],[Total units for costs]] ) * 1000, "n/a" )</f>
        <v>5049.2699363534257</v>
      </c>
      <c r="BC13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67433</v>
      </c>
      <c r="BD139" s="84" vm="7500">
        <v>16096</v>
      </c>
      <c r="BE139" s="83" vm="7874">
        <v>5779</v>
      </c>
      <c r="BF139" s="83" vm="2487">
        <v>19921</v>
      </c>
      <c r="BG139" s="83" vm="2488">
        <v>0</v>
      </c>
      <c r="BH139" s="83" vm="2489">
        <v>4675</v>
      </c>
      <c r="BI139" s="83" vm="8000">
        <v>0</v>
      </c>
      <c r="BJ139" s="83" vm="2483">
        <v>10865</v>
      </c>
      <c r="BK139" s="83" vm="7499">
        <v>44</v>
      </c>
      <c r="BL139" s="83" vm="2490">
        <v>7</v>
      </c>
      <c r="BM139" s="83" vm="7096">
        <v>1583</v>
      </c>
      <c r="BN139" s="83" vm="2491">
        <v>2171</v>
      </c>
      <c r="BO139" s="83" vm="7504">
        <v>6292</v>
      </c>
      <c r="BP139" s="5" vm="2467">
        <f xml:space="preserve"> VfM_Metrics_2023_Consol_Source[[#This Row],[Total social housing units owned and/or managed at period end]]</f>
        <v>13355</v>
      </c>
      <c r="BQ139" s="84" vm="2467">
        <v>13355</v>
      </c>
      <c r="BR139" s="7">
        <f xml:space="preserve"> IFERROR( VfM_Metrics_2023_Consol_Source[[#This Row],[SHL operating surplus / (deficit)]] / VfM_Metrics_2023_Consol_Source[[#This Row],[Turnover from social housing lettings]], "n/a" )</f>
        <v>0.18190194856229167</v>
      </c>
      <c r="BS139" s="5" vm="2492">
        <f xml:space="preserve"> VfM_Metrics_2023_Consol_Source[[#This Row],[Operating surplus/(deficit) (social housing lettings)]]</f>
        <v>13424</v>
      </c>
      <c r="BT139" s="84" vm="2492">
        <v>13424</v>
      </c>
      <c r="BU139" s="5" vm="2493">
        <f xml:space="preserve"> VfM_Metrics_2023_Consol_Source[[#This Row],[Turnover from social housing lettings]]</f>
        <v>73798</v>
      </c>
      <c r="BV139" s="84" vm="2493">
        <v>73798</v>
      </c>
      <c r="BW139" s="7">
        <f xml:space="preserve"> IFERROR( VfM_Metrics_2023_Consol_Source[[#This Row],[Net operating surplus]] / VfM_Metrics_2023_Consol_Source[[#This Row],[Overall turnover]], "n/a" )</f>
        <v>8.178737172750139E-2</v>
      </c>
      <c r="BX13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6926</v>
      </c>
      <c r="BY139" s="84" vm="7953">
        <v>8668</v>
      </c>
      <c r="BZ139" s="83" vm="2479">
        <v>1742</v>
      </c>
      <c r="CA139" s="83">
        <v>0</v>
      </c>
      <c r="CB139" s="5" vm="1692">
        <f xml:space="preserve"> VfM_Metrics_2023_Consol_Source[[#This Row],[Turnover (overall)]]</f>
        <v>84683</v>
      </c>
      <c r="CC139" s="84" vm="1692">
        <v>84683</v>
      </c>
      <c r="CD139" s="7">
        <f xml:space="preserve"> IFERROR( VfM_Metrics_2023_Consol_Source[[#This Row],[Operating surplus including from JVs]] / VfM_Metrics_2023_Consol_Source[[#This Row],[Net assets]], "n/a" )</f>
        <v>1.2522917024839238E-2</v>
      </c>
      <c r="CE139" s="5">
        <f xml:space="preserve"> SUM( VfM_Metrics_2023_Consol_Source[[#This Row],[Operating surplus/(deficit) (overall)3]], VfM_Metrics_2023_Consol_Source[[#This Row],[Share of operating surplus/(deficit) in joint ventures or associates]] )</f>
        <v>8668</v>
      </c>
      <c r="CF139" s="84" vm="7847">
        <v>8668</v>
      </c>
      <c r="CG139" s="83">
        <v>0</v>
      </c>
      <c r="CH139" s="5" vm="2494">
        <f xml:space="preserve"> VfM_Metrics_2023_Consol_Source[[#This Row],[Total assets less current liabilities]]</f>
        <v>692171</v>
      </c>
      <c r="CI139" s="84" vm="2494">
        <v>692171</v>
      </c>
      <c r="CJ139" s="71" vm="8103">
        <f xml:space="preserve"> VfM_Metrics_2023_Consol_Source[[#This Row],[Total social housing units owned (Period end)]]</f>
        <v>13355</v>
      </c>
      <c r="CK139" s="103">
        <v>1.9192537085181219E-2</v>
      </c>
      <c r="CL139" s="6">
        <f xml:space="preserve"> -- ( VfM_Metrics_2023_Consol_Source[[#This Row],[% Supported housing (excl. HOP)]] &gt; 0.3 )</f>
        <v>0</v>
      </c>
      <c r="CM139" s="103">
        <v>2.8750573482183819E-2</v>
      </c>
      <c r="CN139" s="6">
        <f xml:space="preserve"> -- ( VfM_Metrics_2023_Consol_Source[[#This Row],[% Housing for older people]] &gt; 0.3 )</f>
        <v>0</v>
      </c>
      <c r="CO139" s="103">
        <f xml:space="preserve"> VfM_Metrics_2023_Consol_Source[[#This Row],[% Supported housing (excl. HOP)]] + VfM_Metrics_2023_Consol_Source[[#This Row],[% Housing for older people]]</f>
        <v>4.7943110567365041E-2</v>
      </c>
      <c r="CP139" s="6">
        <f xml:space="preserve"> -- ( VfM_Metrics_2023_Consol_Source[[#This Row],[SH specialist in RSH analysis]] + VfM_Metrics_2023_Consol_Source[[#This Row],[OP specialist in RSH analysis]] &gt; 0 )</f>
        <v>0</v>
      </c>
      <c r="CQ139" s="10">
        <f xml:space="preserve"> -- ( VfM_Metrics_2023_Consol_Source[[#This Row],[% SH and OP]] &gt; 0.3 )</f>
        <v>0</v>
      </c>
      <c r="CR139" s="104" t="s">
        <v>143</v>
      </c>
      <c r="CS139" s="124" t="s">
        <v>144</v>
      </c>
      <c r="CT139" s="105"/>
      <c r="CU13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39" s="85">
        <v>0</v>
      </c>
      <c r="CW139" s="85">
        <v>0</v>
      </c>
      <c r="CX139" s="85">
        <v>0</v>
      </c>
      <c r="CY139" s="85">
        <v>0</v>
      </c>
      <c r="CZ139" s="85">
        <v>1.4487228364468167E-3</v>
      </c>
      <c r="DA139" s="85">
        <v>0</v>
      </c>
      <c r="DB139" s="85">
        <v>0</v>
      </c>
      <c r="DC139" s="85">
        <v>0.99855127716355319</v>
      </c>
      <c r="DD139" s="85">
        <v>0</v>
      </c>
      <c r="DE139" s="13">
        <v>0.96106428708536762</v>
      </c>
    </row>
    <row r="140" spans="1:109" x14ac:dyDescent="0.25">
      <c r="A140" s="4" t="s" vm="286">
        <v>404</v>
      </c>
      <c r="B140" s="2" t="s" vm="130">
        <v>405</v>
      </c>
      <c r="C140" s="72" vm="544">
        <v>45016</v>
      </c>
      <c r="D140" s="7">
        <f>IFERROR( VfM_Metrics_2023_Consol_Source[[#This Row],[Reinvestment Spend]] / VfM_Metrics_2023_Consol_Source[[#This Row],[Net Book Value of Housing Properties]], "n/a" )</f>
        <v>3.3182202998072952E-2</v>
      </c>
      <c r="E14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18304</v>
      </c>
      <c r="F140" s="83" vm="2866">
        <v>10341</v>
      </c>
      <c r="G140" s="83" vm="2867">
        <v>0</v>
      </c>
      <c r="H140" s="83" vm="7962">
        <v>7775</v>
      </c>
      <c r="I140" s="83" vm="7689">
        <v>188</v>
      </c>
      <c r="J140" s="83" vm="2868">
        <v>0</v>
      </c>
      <c r="K140" s="5">
        <f xml:space="preserve"> SUM( VfM_Metrics_2023_Consol_Source[[#This Row],[Tangible fixed assets: Housing properties at cost (Current period)]],VfM_Metrics_2023_Consol_Source[[#This Row],[Tangible fixed assets Housing properties at valuation (Current period)]] )</f>
        <v>551621</v>
      </c>
      <c r="L140" s="84" vm="2869">
        <v>551621</v>
      </c>
      <c r="M140" s="83">
        <v>0</v>
      </c>
      <c r="N140" s="7">
        <f xml:space="preserve"> IFERROR( VfM_Metrics_2023_Consol_Source[[#This Row],[Total social units developed or newly built units acquired in-year]] / VfM_Metrics_2023_Consol_Source[[#This Row],[Social housing units owned (period end)]], "n/a" )</f>
        <v>7.5302245250431776E-3</v>
      </c>
      <c r="O140" s="5">
        <f xml:space="preserve"> SUM( VfM_Metrics_2023_Consol_Source[[#This Row],[Total social units developed or newly built units acquired in-year (owned)]], VfM_Metrics_2023_Consol_Source[[#This Row],[Total social leasehold units developed or newly built units acquired in-year (owned)]] )</f>
        <v>109</v>
      </c>
      <c r="P140" s="84" vm="2870">
        <v>109</v>
      </c>
      <c r="Q140" s="83">
        <v>0</v>
      </c>
      <c r="R140" s="5">
        <f xml:space="preserve"> SUM( VfM_Metrics_2023_Consol_Source[[#This Row],[Total social housing units owned (Period end)]], VfM_Metrics_2023_Consol_Source[[#This Row],[Total social leasehold units owned (Period end)]] )</f>
        <v>14475</v>
      </c>
      <c r="S140" s="84" vm="2864">
        <v>14475</v>
      </c>
      <c r="T140" s="83" vm="7979">
        <v>0</v>
      </c>
      <c r="U140" s="86">
        <f xml:space="preserve"> IFERROR( VfM_Metrics_2023_Consol_Source[[#This Row],[Total non-social housing units developed or newly built units acquired (owned)]] / VfM_Metrics_2023_Consol_Source[[#This Row],[Total social and non-social housing units owned (Period end)]], "n/a" )</f>
        <v>7.4165636588380713E-4</v>
      </c>
      <c r="V14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12</v>
      </c>
      <c r="W140" s="83">
        <v>0</v>
      </c>
      <c r="X140" s="83">
        <v>0</v>
      </c>
      <c r="Y140" s="83" vm="7483">
        <v>12</v>
      </c>
      <c r="Z14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16180</v>
      </c>
      <c r="AA140" s="84" vm="2864">
        <v>14475</v>
      </c>
      <c r="AB140" s="83" vm="2871">
        <v>0</v>
      </c>
      <c r="AC140" s="83" vm="2872">
        <v>9</v>
      </c>
      <c r="AD140" s="83" vm="2873">
        <v>1696</v>
      </c>
      <c r="AE140" s="7">
        <f xml:space="preserve"> IFERROR( VfM_Metrics_2023_Consol_Source[[#This Row],[Total Net Debt]] / VfM_Metrics_2023_Consol_Source[[#This Row],[Net Book Value of Housing Properties2]], "n/a" )</f>
        <v>0.16927020544903112</v>
      </c>
      <c r="AF14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93373</v>
      </c>
      <c r="AG140" s="84">
        <v>0</v>
      </c>
      <c r="AH140" s="83" vm="2874">
        <v>121784</v>
      </c>
      <c r="AI140" s="83" vm="2875">
        <v>28411</v>
      </c>
      <c r="AJ140" s="83" vm="1675">
        <v>0</v>
      </c>
      <c r="AK140" s="83">
        <v>0</v>
      </c>
      <c r="AL140" s="5">
        <f xml:space="preserve"> SUM( VfM_Metrics_2023_Consol_Source[[#This Row],[Tangible fixed assets: Housing properties at cost (Current period)2]], VfM_Metrics_2023_Consol_Source[[#This Row],[Tangible fixed assets Housing properties at valuation (Current period)2]] )</f>
        <v>551621</v>
      </c>
      <c r="AM140" s="84" vm="2869">
        <v>551621</v>
      </c>
      <c r="AN140" s="83">
        <v>0</v>
      </c>
      <c r="AO140" s="87">
        <f xml:space="preserve"> IFERROR( VfM_Metrics_2023_Consol_Source[[#This Row],[EBITDA MRI]] / VfM_Metrics_2023_Consol_Source[[#This Row],[Total interest]], "n/a" )</f>
        <v>2.243314424635332</v>
      </c>
      <c r="AP14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11073</v>
      </c>
      <c r="AQ140" s="84" vm="2876">
        <v>5861</v>
      </c>
      <c r="AR140" s="84" vm="2877">
        <v>757</v>
      </c>
      <c r="AS140" s="84" vm="2878">
        <v>18</v>
      </c>
      <c r="AT140" s="84" vm="2879">
        <v>457</v>
      </c>
      <c r="AU140" s="84" vm="2880">
        <v>0</v>
      </c>
      <c r="AV140" s="84" vm="2881">
        <v>129</v>
      </c>
      <c r="AW140" s="84" vm="2882">
        <v>7775</v>
      </c>
      <c r="AX140" s="84" vm="2883">
        <v>14090</v>
      </c>
      <c r="AY140" s="3">
        <f xml:space="preserve"> - SUM( VfM_Metrics_2023_Consol_Source[[#This Row],[Interest capitalised]], VfM_Metrics_2023_Consol_Source[[#This Row],[Interest payable and financing costs]] )</f>
        <v>4936</v>
      </c>
      <c r="AZ140" s="84" vm="2884">
        <v>-188</v>
      </c>
      <c r="BA140" s="83" vm="2885">
        <v>-4748</v>
      </c>
      <c r="BB140" s="8">
        <f xml:space="preserve"> IFERROR( ( VfM_Metrics_2023_Consol_Source[[#This Row],[Total Costs]] / VfM_Metrics_2023_Consol_Source[[#This Row],[Total units for costs]] ) * 1000, "n/a" )</f>
        <v>4309.6373056994817</v>
      </c>
      <c r="BC14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62382</v>
      </c>
      <c r="BD140" s="84" vm="2886">
        <v>11591</v>
      </c>
      <c r="BE140" s="83" vm="2887">
        <v>6988</v>
      </c>
      <c r="BF140" s="83" vm="2888">
        <v>16654</v>
      </c>
      <c r="BG140" s="83" vm="2889">
        <v>4400</v>
      </c>
      <c r="BH140" s="83" vm="2890">
        <v>9937</v>
      </c>
      <c r="BI140" s="83" vm="2891">
        <v>0</v>
      </c>
      <c r="BJ140" s="83" vm="2882">
        <v>7775</v>
      </c>
      <c r="BK140" s="83" vm="7852">
        <v>2415</v>
      </c>
      <c r="BL140" s="83" vm="7478">
        <v>1078</v>
      </c>
      <c r="BM140" s="83" vm="2892">
        <v>812</v>
      </c>
      <c r="BN140" s="83" vm="2893">
        <v>732</v>
      </c>
      <c r="BO140" s="83">
        <v>0</v>
      </c>
      <c r="BP140" s="5" vm="2865">
        <f xml:space="preserve"> VfM_Metrics_2023_Consol_Source[[#This Row],[Total social housing units owned and/or managed at period end]]</f>
        <v>14475</v>
      </c>
      <c r="BQ140" s="84" vm="2865">
        <v>14475</v>
      </c>
      <c r="BR140" s="7">
        <f xml:space="preserve"> IFERROR( VfM_Metrics_2023_Consol_Source[[#This Row],[SHL operating surplus / (deficit)]] / VfM_Metrics_2023_Consol_Source[[#This Row],[Turnover from social housing lettings]], "n/a" )</f>
        <v>4.2896555815954196E-2</v>
      </c>
      <c r="BS140" s="5" vm="2894">
        <f xml:space="preserve"> VfM_Metrics_2023_Consol_Source[[#This Row],[Operating surplus/(deficit) (social housing lettings)]]</f>
        <v>2892</v>
      </c>
      <c r="BT140" s="84" vm="2894">
        <v>2892</v>
      </c>
      <c r="BU140" s="5" vm="7085">
        <f xml:space="preserve"> VfM_Metrics_2023_Consol_Source[[#This Row],[Turnover from social housing lettings]]</f>
        <v>67418</v>
      </c>
      <c r="BV140" s="84" vm="7085">
        <v>67418</v>
      </c>
      <c r="BW140" s="7">
        <f xml:space="preserve"> IFERROR( VfM_Metrics_2023_Consol_Source[[#This Row],[Net operating surplus]] / VfM_Metrics_2023_Consol_Source[[#This Row],[Overall turnover]], "n/a" )</f>
        <v>6.5337478482053388E-2</v>
      </c>
      <c r="BX14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5086</v>
      </c>
      <c r="BY140" s="84" vm="7927">
        <v>5861</v>
      </c>
      <c r="BZ140" s="83" vm="2877">
        <v>757</v>
      </c>
      <c r="CA140" s="83" vm="2878">
        <v>18</v>
      </c>
      <c r="CB140" s="5" vm="2895">
        <f xml:space="preserve"> VfM_Metrics_2023_Consol_Source[[#This Row],[Turnover (overall)]]</f>
        <v>77842</v>
      </c>
      <c r="CC140" s="84" vm="2895">
        <v>77842</v>
      </c>
      <c r="CD140" s="7">
        <f xml:space="preserve"> IFERROR( VfM_Metrics_2023_Consol_Source[[#This Row],[Operating surplus including from JVs]] / VfM_Metrics_2023_Consol_Source[[#This Row],[Net assets]], "n/a" )</f>
        <v>9.5035486292740431E-3</v>
      </c>
      <c r="CE140" s="5">
        <f xml:space="preserve"> SUM( VfM_Metrics_2023_Consol_Source[[#This Row],[Operating surplus/(deficit) (overall)3]], VfM_Metrics_2023_Consol_Source[[#This Row],[Share of operating surplus/(deficit) in joint ventures or associates]] )</f>
        <v>5861</v>
      </c>
      <c r="CF140" s="84" vm="2876">
        <v>5861</v>
      </c>
      <c r="CG140" s="83">
        <v>0</v>
      </c>
      <c r="CH140" s="5" vm="2896">
        <f xml:space="preserve"> VfM_Metrics_2023_Consol_Source[[#This Row],[Total assets less current liabilities]]</f>
        <v>616717</v>
      </c>
      <c r="CI140" s="84" vm="2896">
        <v>616717</v>
      </c>
      <c r="CJ140" s="71" vm="2864">
        <f xml:space="preserve"> VfM_Metrics_2023_Consol_Source[[#This Row],[Total social housing units owned (Period end)]]</f>
        <v>14475</v>
      </c>
      <c r="CK140" s="103">
        <v>9.2487548422800228E-2</v>
      </c>
      <c r="CL140" s="6">
        <f xml:space="preserve"> -- ( VfM_Metrics_2023_Consol_Source[[#This Row],[% Supported housing (excl. HOP)]] &gt; 0.3 )</f>
        <v>0</v>
      </c>
      <c r="CM140" s="103">
        <v>0</v>
      </c>
      <c r="CN140" s="6">
        <f xml:space="preserve"> -- ( VfM_Metrics_2023_Consol_Source[[#This Row],[% Housing for older people]] &gt; 0.3 )</f>
        <v>0</v>
      </c>
      <c r="CO140" s="103">
        <f xml:space="preserve"> VfM_Metrics_2023_Consol_Source[[#This Row],[% Supported housing (excl. HOP)]] + VfM_Metrics_2023_Consol_Source[[#This Row],[% Housing for older people]]</f>
        <v>9.2487548422800228E-2</v>
      </c>
      <c r="CP140" s="6">
        <f xml:space="preserve"> -- ( VfM_Metrics_2023_Consol_Source[[#This Row],[SH specialist in RSH analysis]] + VfM_Metrics_2023_Consol_Source[[#This Row],[OP specialist in RSH analysis]] &gt; 0 )</f>
        <v>0</v>
      </c>
      <c r="CQ140" s="10">
        <f xml:space="preserve"> -- ( VfM_Metrics_2023_Consol_Source[[#This Row],[% SH and OP]] &gt; 0.3 )</f>
        <v>0</v>
      </c>
      <c r="CR140" s="104" t="s">
        <v>143</v>
      </c>
      <c r="CS140" s="124"/>
      <c r="CT140" s="105" t="s">
        <v>151</v>
      </c>
      <c r="CU14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140" s="85">
        <v>0</v>
      </c>
      <c r="CW140" s="85">
        <v>0</v>
      </c>
      <c r="CX140" s="85">
        <v>1</v>
      </c>
      <c r="CY140" s="85">
        <v>0</v>
      </c>
      <c r="CZ140" s="85">
        <v>0</v>
      </c>
      <c r="DA140" s="85">
        <v>0</v>
      </c>
      <c r="DB140" s="85">
        <v>0</v>
      </c>
      <c r="DC140" s="85">
        <v>0</v>
      </c>
      <c r="DD140" s="85">
        <v>0</v>
      </c>
      <c r="DE140" s="13">
        <v>0.97511902715076015</v>
      </c>
    </row>
    <row r="141" spans="1:109" x14ac:dyDescent="0.25">
      <c r="A141" s="4" t="s" vm="350">
        <v>406</v>
      </c>
      <c r="B141" s="2" t="s" vm="131">
        <v>407</v>
      </c>
      <c r="C141" s="72" vm="521">
        <v>45016</v>
      </c>
      <c r="D141" s="7">
        <f>IFERROR( VfM_Metrics_2023_Consol_Source[[#This Row],[Reinvestment Spend]] / VfM_Metrics_2023_Consol_Source[[#This Row],[Net Book Value of Housing Properties]], "n/a" )</f>
        <v>5.4476524103917352E-2</v>
      </c>
      <c r="E14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28365</v>
      </c>
      <c r="F141" s="83" vm="5094">
        <v>24192</v>
      </c>
      <c r="G141" s="83" vm="5095">
        <v>0</v>
      </c>
      <c r="H141" s="83" vm="4880">
        <v>4173</v>
      </c>
      <c r="I141" s="83" vm="5096">
        <v>0</v>
      </c>
      <c r="J141" s="83" vm="5097">
        <v>0</v>
      </c>
      <c r="K141" s="5">
        <f xml:space="preserve"> SUM( VfM_Metrics_2023_Consol_Source[[#This Row],[Tangible fixed assets: Housing properties at cost (Current period)]],VfM_Metrics_2023_Consol_Source[[#This Row],[Tangible fixed assets Housing properties at valuation (Current period)]] )</f>
        <v>520683</v>
      </c>
      <c r="L141" s="84" vm="5098">
        <v>520683</v>
      </c>
      <c r="M141" s="83">
        <v>0</v>
      </c>
      <c r="N141" s="7">
        <f xml:space="preserve"> IFERROR( VfM_Metrics_2023_Consol_Source[[#This Row],[Total social units developed or newly built units acquired in-year]] / VfM_Metrics_2023_Consol_Source[[#This Row],[Social housing units owned (period end)]], "n/a" )</f>
        <v>5.6412185031966908E-3</v>
      </c>
      <c r="O141" s="5">
        <f xml:space="preserve"> SUM( VfM_Metrics_2023_Consol_Source[[#This Row],[Total social units developed or newly built units acquired in-year (owned)]], VfM_Metrics_2023_Consol_Source[[#This Row],[Total social leasehold units developed or newly built units acquired in-year (owned)]] )</f>
        <v>30</v>
      </c>
      <c r="P141" s="84" vm="5099">
        <v>30</v>
      </c>
      <c r="Q141" s="83">
        <v>0</v>
      </c>
      <c r="R141" s="5">
        <f xml:space="preserve"> SUM( VfM_Metrics_2023_Consol_Source[[#This Row],[Total social housing units owned (Period end)]], VfM_Metrics_2023_Consol_Source[[#This Row],[Total social leasehold units owned (Period end)]] )</f>
        <v>5318</v>
      </c>
      <c r="S141" s="84" vm="7349">
        <v>5318</v>
      </c>
      <c r="T141" s="83" vm="5100">
        <v>0</v>
      </c>
      <c r="U141" s="86">
        <f xml:space="preserve"> IFERROR( VfM_Metrics_2023_Consol_Source[[#This Row],[Total non-social housing units developed or newly built units acquired (owned)]] / VfM_Metrics_2023_Consol_Source[[#This Row],[Total social and non-social housing units owned (Period end)]], "n/a" )</f>
        <v>1.0828531690840453E-2</v>
      </c>
      <c r="V14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109</v>
      </c>
      <c r="W141" s="83">
        <v>0</v>
      </c>
      <c r="X141" s="83" vm="5101">
        <v>109</v>
      </c>
      <c r="Y141" s="83">
        <v>0</v>
      </c>
      <c r="Z14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10066</v>
      </c>
      <c r="AA141" s="84" vm="6931">
        <v>5318</v>
      </c>
      <c r="AB141" s="83" vm="5100">
        <v>0</v>
      </c>
      <c r="AC141" s="83" vm="5102">
        <v>573</v>
      </c>
      <c r="AD141" s="83" vm="5103">
        <v>4175</v>
      </c>
      <c r="AE141" s="7">
        <f xml:space="preserve"> IFERROR( VfM_Metrics_2023_Consol_Source[[#This Row],[Total Net Debt]] / VfM_Metrics_2023_Consol_Source[[#This Row],[Net Book Value of Housing Properties2]], "n/a" )</f>
        <v>0.58241578849319064</v>
      </c>
      <c r="AF14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303254</v>
      </c>
      <c r="AG141" s="84" vm="5104">
        <v>0</v>
      </c>
      <c r="AH141" s="83" vm="5105">
        <v>274768</v>
      </c>
      <c r="AI141" s="83" vm="5106">
        <v>25155</v>
      </c>
      <c r="AJ141" s="83" vm="1675">
        <v>0</v>
      </c>
      <c r="AK141" s="83" vm="5107">
        <v>53641</v>
      </c>
      <c r="AL141" s="5">
        <f xml:space="preserve"> SUM( VfM_Metrics_2023_Consol_Source[[#This Row],[Tangible fixed assets: Housing properties at cost (Current period)2]], VfM_Metrics_2023_Consol_Source[[#This Row],[Tangible fixed assets Housing properties at valuation (Current period)2]] )</f>
        <v>520683</v>
      </c>
      <c r="AM141" s="84" vm="5098">
        <v>520683</v>
      </c>
      <c r="AN141" s="83">
        <v>0</v>
      </c>
      <c r="AO141" s="87">
        <f xml:space="preserve"> IFERROR( VfM_Metrics_2023_Consol_Source[[#This Row],[EBITDA MRI]] / VfM_Metrics_2023_Consol_Source[[#This Row],[Total interest]], "n/a" )</f>
        <v>1.4961629881154499</v>
      </c>
      <c r="AP14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22031</v>
      </c>
      <c r="AQ141" s="84" vm="5108">
        <v>19908</v>
      </c>
      <c r="AR141" s="84" vm="5109">
        <v>3719</v>
      </c>
      <c r="AS141" s="84">
        <v>0</v>
      </c>
      <c r="AT141" s="84" vm="5110">
        <v>3189</v>
      </c>
      <c r="AU141" s="84" vm="5111">
        <v>0</v>
      </c>
      <c r="AV141" s="84" vm="7330">
        <v>1709</v>
      </c>
      <c r="AW141" s="84" vm="5112">
        <v>4173</v>
      </c>
      <c r="AX141" s="84" vm="4374">
        <v>11495</v>
      </c>
      <c r="AY141" s="3">
        <f xml:space="preserve"> - SUM( VfM_Metrics_2023_Consol_Source[[#This Row],[Interest capitalised]], VfM_Metrics_2023_Consol_Source[[#This Row],[Interest payable and financing costs]] )</f>
        <v>14725</v>
      </c>
      <c r="AZ141" s="84" vm="4926">
        <v>-2483</v>
      </c>
      <c r="BA141" s="83" vm="5113">
        <v>-12242</v>
      </c>
      <c r="BB141" s="8">
        <f xml:space="preserve"> IFERROR( ( VfM_Metrics_2023_Consol_Source[[#This Row],[Total Costs]] / VfM_Metrics_2023_Consol_Source[[#This Row],[Total units for costs]] ) * 1000, "n/a" )</f>
        <v>6499.7285067873308</v>
      </c>
      <c r="BC14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35911</v>
      </c>
      <c r="BD141" s="84" vm="5114">
        <v>10422</v>
      </c>
      <c r="BE141" s="83" vm="5115">
        <v>8364</v>
      </c>
      <c r="BF141" s="83" vm="5116">
        <v>7852</v>
      </c>
      <c r="BG141" s="83" vm="5651">
        <v>621</v>
      </c>
      <c r="BH141" s="83" vm="5117">
        <v>0</v>
      </c>
      <c r="BI141" s="83" vm="5118">
        <v>1665</v>
      </c>
      <c r="BJ141" s="83" vm="5112">
        <v>4173</v>
      </c>
      <c r="BK141" s="83" vm="5119">
        <v>2814</v>
      </c>
      <c r="BL141" s="83">
        <v>0</v>
      </c>
      <c r="BM141" s="83">
        <v>0</v>
      </c>
      <c r="BN141" s="83">
        <v>0</v>
      </c>
      <c r="BO141" s="83">
        <v>0</v>
      </c>
      <c r="BP141" s="5" vm="7328">
        <f xml:space="preserve"> VfM_Metrics_2023_Consol_Source[[#This Row],[Total social housing units owned and/or managed at period end]]</f>
        <v>5525</v>
      </c>
      <c r="BQ141" s="84" vm="7328">
        <v>5525</v>
      </c>
      <c r="BR141" s="7">
        <f xml:space="preserve"> IFERROR( VfM_Metrics_2023_Consol_Source[[#This Row],[SHL operating surplus / (deficit)]] / VfM_Metrics_2023_Consol_Source[[#This Row],[Turnover from social housing lettings]], "n/a" )</f>
        <v>0.10764600409836066</v>
      </c>
      <c r="BS141" s="5" vm="5120">
        <f xml:space="preserve"> VfM_Metrics_2023_Consol_Source[[#This Row],[Operating surplus/(deficit) (social housing lettings)]]</f>
        <v>5043</v>
      </c>
      <c r="BT141" s="84" vm="5120">
        <v>5043</v>
      </c>
      <c r="BU141" s="5" vm="5638">
        <f xml:space="preserve"> VfM_Metrics_2023_Consol_Source[[#This Row],[Turnover from social housing lettings]]</f>
        <v>46848</v>
      </c>
      <c r="BV141" s="84" vm="5638">
        <v>46848</v>
      </c>
      <c r="BW141" s="7">
        <f xml:space="preserve"> IFERROR( VfM_Metrics_2023_Consol_Source[[#This Row],[Net operating surplus]] / VfM_Metrics_2023_Consol_Source[[#This Row],[Overall turnover]], "n/a" )</f>
        <v>0.18289348818292739</v>
      </c>
      <c r="BX14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16189</v>
      </c>
      <c r="BY141" s="84" vm="5108">
        <v>19908</v>
      </c>
      <c r="BZ141" s="83" vm="5109">
        <v>3719</v>
      </c>
      <c r="CA141" s="83">
        <v>0</v>
      </c>
      <c r="CB141" s="5" vm="5121">
        <f xml:space="preserve"> VfM_Metrics_2023_Consol_Source[[#This Row],[Turnover (overall)]]</f>
        <v>88516</v>
      </c>
      <c r="CC141" s="84" vm="5121">
        <v>88516</v>
      </c>
      <c r="CD141" s="7">
        <f xml:space="preserve"> IFERROR( VfM_Metrics_2023_Consol_Source[[#This Row],[Operating surplus including from JVs]] / VfM_Metrics_2023_Consol_Source[[#This Row],[Net assets]], "n/a" )</f>
        <v>3.1403187915611301E-2</v>
      </c>
      <c r="CE141" s="5">
        <f xml:space="preserve"> SUM( VfM_Metrics_2023_Consol_Source[[#This Row],[Operating surplus/(deficit) (overall)3]], VfM_Metrics_2023_Consol_Source[[#This Row],[Share of operating surplus/(deficit) in joint ventures or associates]] )</f>
        <v>20519</v>
      </c>
      <c r="CF141" s="84" vm="5108">
        <v>19908</v>
      </c>
      <c r="CG141" s="83" vm="7379">
        <v>611</v>
      </c>
      <c r="CH141" s="5" vm="5122">
        <f xml:space="preserve"> VfM_Metrics_2023_Consol_Source[[#This Row],[Total assets less current liabilities]]</f>
        <v>653405</v>
      </c>
      <c r="CI141" s="84" vm="5122">
        <v>653405</v>
      </c>
      <c r="CJ141" s="71" vm="7349">
        <f xml:space="preserve"> VfM_Metrics_2023_Consol_Source[[#This Row],[Total social housing units owned (Period end)]]</f>
        <v>5318</v>
      </c>
      <c r="CK141" s="103">
        <v>0</v>
      </c>
      <c r="CL141" s="6">
        <f xml:space="preserve"> -- ( VfM_Metrics_2023_Consol_Source[[#This Row],[% Supported housing (excl. HOP)]] &gt; 0.3 )</f>
        <v>0</v>
      </c>
      <c r="CM141" s="103">
        <v>0</v>
      </c>
      <c r="CN141" s="6">
        <f xml:space="preserve"> -- ( VfM_Metrics_2023_Consol_Source[[#This Row],[% Housing for older people]] &gt; 0.3 )</f>
        <v>0</v>
      </c>
      <c r="CO141" s="103">
        <f xml:space="preserve"> VfM_Metrics_2023_Consol_Source[[#This Row],[% Supported housing (excl. HOP)]] + VfM_Metrics_2023_Consol_Source[[#This Row],[% Housing for older people]]</f>
        <v>0</v>
      </c>
      <c r="CP141" s="6">
        <f xml:space="preserve"> -- ( VfM_Metrics_2023_Consol_Source[[#This Row],[SH specialist in RSH analysis]] + VfM_Metrics_2023_Consol_Source[[#This Row],[OP specialist in RSH analysis]] &gt; 0 )</f>
        <v>0</v>
      </c>
      <c r="CQ141" s="10">
        <f xml:space="preserve"> -- ( VfM_Metrics_2023_Consol_Source[[#This Row],[% SH and OP]] &gt; 0.3 )</f>
        <v>0</v>
      </c>
      <c r="CR141" s="104" t="s">
        <v>143</v>
      </c>
      <c r="CS141" s="124"/>
      <c r="CT141" s="105" t="s">
        <v>151</v>
      </c>
      <c r="CU14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41" s="85">
        <v>1</v>
      </c>
      <c r="CW141" s="85">
        <v>0</v>
      </c>
      <c r="CX141" s="85">
        <v>0</v>
      </c>
      <c r="CY141" s="85">
        <v>0</v>
      </c>
      <c r="CZ141" s="85">
        <v>0</v>
      </c>
      <c r="DA141" s="85">
        <v>0</v>
      </c>
      <c r="DB141" s="85">
        <v>0</v>
      </c>
      <c r="DC141" s="85">
        <v>0</v>
      </c>
      <c r="DD141" s="85">
        <v>0</v>
      </c>
      <c r="DE141" s="13">
        <v>1.1603700449887588</v>
      </c>
    </row>
    <row r="142" spans="1:109" x14ac:dyDescent="0.25">
      <c r="A142" s="4" t="s" vm="317">
        <v>408</v>
      </c>
      <c r="B142" s="2" t="s" vm="132">
        <v>409</v>
      </c>
      <c r="C142" s="72" vm="499">
        <v>45016</v>
      </c>
      <c r="D142" s="7">
        <f>IFERROR( VfM_Metrics_2023_Consol_Source[[#This Row],[Reinvestment Spend]] / VfM_Metrics_2023_Consol_Source[[#This Row],[Net Book Value of Housing Properties]], "n/a" )</f>
        <v>8.8646318570534663E-2</v>
      </c>
      <c r="E14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8925</v>
      </c>
      <c r="F142" s="83" vm="3935">
        <v>3959</v>
      </c>
      <c r="G142" s="83" vm="7691">
        <v>0</v>
      </c>
      <c r="H142" s="83" vm="3937">
        <v>4966</v>
      </c>
      <c r="I142" s="83" vm="5681">
        <v>0</v>
      </c>
      <c r="J142" s="83" vm="3938">
        <v>0</v>
      </c>
      <c r="K142" s="5">
        <f xml:space="preserve"> SUM( VfM_Metrics_2023_Consol_Source[[#This Row],[Tangible fixed assets: Housing properties at cost (Current period)]],VfM_Metrics_2023_Consol_Source[[#This Row],[Tangible fixed assets Housing properties at valuation (Current period)]] )</f>
        <v>100681</v>
      </c>
      <c r="L142" s="84" vm="3939">
        <v>100681</v>
      </c>
      <c r="M142" s="83">
        <v>0</v>
      </c>
      <c r="N142" s="7">
        <f xml:space="preserve"> IFERROR( VfM_Metrics_2023_Consol_Source[[#This Row],[Total social units developed or newly built units acquired in-year]] / VfM_Metrics_2023_Consol_Source[[#This Row],[Social housing units owned (period end)]], "n/a" )</f>
        <v>7.1267816954238561E-3</v>
      </c>
      <c r="O142" s="5">
        <f xml:space="preserve"> SUM( VfM_Metrics_2023_Consol_Source[[#This Row],[Total social units developed or newly built units acquired in-year (owned)]], VfM_Metrics_2023_Consol_Source[[#This Row],[Total social leasehold units developed or newly built units acquired in-year (owned)]] )</f>
        <v>19</v>
      </c>
      <c r="P142" s="84" vm="3940">
        <v>19</v>
      </c>
      <c r="Q142" s="83">
        <v>0</v>
      </c>
      <c r="R142" s="5">
        <f xml:space="preserve"> SUM( VfM_Metrics_2023_Consol_Source[[#This Row],[Total social housing units owned (Period end)]], VfM_Metrics_2023_Consol_Source[[#This Row],[Total social leasehold units owned (Period end)]] )</f>
        <v>2666</v>
      </c>
      <c r="S142" s="84" vm="3933">
        <v>2666</v>
      </c>
      <c r="T142" s="83" vm="3941">
        <v>0</v>
      </c>
      <c r="U142" s="86">
        <f xml:space="preserve"> IFERROR( VfM_Metrics_2023_Consol_Source[[#This Row],[Total non-social housing units developed or newly built units acquired (owned)]] / VfM_Metrics_2023_Consol_Source[[#This Row],[Total social and non-social housing units owned (Period end)]], "n/a" )</f>
        <v>1.4540167211922936E-3</v>
      </c>
      <c r="V14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4</v>
      </c>
      <c r="W142" s="83" vm="7664">
        <v>4</v>
      </c>
      <c r="X142" s="83">
        <v>0</v>
      </c>
      <c r="Y142" s="83" vm="4157">
        <v>0</v>
      </c>
      <c r="Z14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2751</v>
      </c>
      <c r="AA142" s="84" vm="7581">
        <v>2666</v>
      </c>
      <c r="AB142" s="83" vm="3941">
        <v>0</v>
      </c>
      <c r="AC142" s="83" vm="3942">
        <v>85</v>
      </c>
      <c r="AD142" s="83" vm="3943">
        <v>0</v>
      </c>
      <c r="AE142" s="7">
        <f xml:space="preserve"> IFERROR( VfM_Metrics_2023_Consol_Source[[#This Row],[Total Net Debt]] / VfM_Metrics_2023_Consol_Source[[#This Row],[Net Book Value of Housing Properties2]], "n/a" )</f>
        <v>-1.5891776998639266E-4</v>
      </c>
      <c r="AF14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-16</v>
      </c>
      <c r="AG142" s="84" vm="3944">
        <v>1086</v>
      </c>
      <c r="AH142" s="83" vm="3945">
        <v>9332</v>
      </c>
      <c r="AI142" s="83" vm="3946">
        <v>10434</v>
      </c>
      <c r="AJ142" s="83" vm="1675">
        <v>0</v>
      </c>
      <c r="AK142" s="83">
        <v>0</v>
      </c>
      <c r="AL142" s="5">
        <f xml:space="preserve"> SUM( VfM_Metrics_2023_Consol_Source[[#This Row],[Tangible fixed assets: Housing properties at cost (Current period)2]], VfM_Metrics_2023_Consol_Source[[#This Row],[Tangible fixed assets Housing properties at valuation (Current period)2]] )</f>
        <v>100681</v>
      </c>
      <c r="AM142" s="84" vm="3939">
        <v>100681</v>
      </c>
      <c r="AN142" s="83">
        <v>0</v>
      </c>
      <c r="AO142" s="87">
        <f xml:space="preserve"> IFERROR( VfM_Metrics_2023_Consol_Source[[#This Row],[EBITDA MRI]] / VfM_Metrics_2023_Consol_Source[[#This Row],[Total interest]], "n/a" )</f>
        <v>0.25092707045735474</v>
      </c>
      <c r="AP14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203</v>
      </c>
      <c r="AQ142" s="84" vm="7193">
        <v>4432</v>
      </c>
      <c r="AR142" s="84" vm="3948">
        <v>545</v>
      </c>
      <c r="AS142" s="84">
        <v>0</v>
      </c>
      <c r="AT142" s="84" vm="3950">
        <v>0</v>
      </c>
      <c r="AU142" s="84" vm="3951">
        <v>631</v>
      </c>
      <c r="AV142" s="84" vm="7612">
        <v>54</v>
      </c>
      <c r="AW142" s="84" vm="3952">
        <v>4966</v>
      </c>
      <c r="AX142" s="84" vm="3953">
        <v>1859</v>
      </c>
      <c r="AY142" s="3">
        <f xml:space="preserve"> - SUM( VfM_Metrics_2023_Consol_Source[[#This Row],[Interest capitalised]], VfM_Metrics_2023_Consol_Source[[#This Row],[Interest payable and financing costs]] )</f>
        <v>809</v>
      </c>
      <c r="AZ142" s="84">
        <v>0</v>
      </c>
      <c r="BA142" s="83" vm="3954">
        <v>-809</v>
      </c>
      <c r="BB142" s="8">
        <f xml:space="preserve"> IFERROR( ( VfM_Metrics_2023_Consol_Source[[#This Row],[Total Costs]] / VfM_Metrics_2023_Consol_Source[[#This Row],[Total units for costs]] ) * 1000, "n/a" )</f>
        <v>5280.9452363090768</v>
      </c>
      <c r="BC14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14079</v>
      </c>
      <c r="BD142" s="84" vm="7436">
        <v>2881</v>
      </c>
      <c r="BE142" s="83" vm="3955">
        <v>1084</v>
      </c>
      <c r="BF142" s="83" vm="3956">
        <v>2450</v>
      </c>
      <c r="BG142" s="83" vm="3957">
        <v>1263</v>
      </c>
      <c r="BH142" s="83" vm="3958">
        <v>735</v>
      </c>
      <c r="BI142" s="83" vm="7534">
        <v>0</v>
      </c>
      <c r="BJ142" s="83" vm="3952">
        <v>4966</v>
      </c>
      <c r="BK142" s="83" vm="3959">
        <v>197</v>
      </c>
      <c r="BL142" s="83">
        <v>0</v>
      </c>
      <c r="BM142" s="83">
        <v>0</v>
      </c>
      <c r="BN142" s="83" vm="3960">
        <v>503</v>
      </c>
      <c r="BO142" s="83">
        <v>0</v>
      </c>
      <c r="BP142" s="5" vm="3934">
        <f xml:space="preserve"> VfM_Metrics_2023_Consol_Source[[#This Row],[Total social housing units owned and/or managed at period end]]</f>
        <v>2666</v>
      </c>
      <c r="BQ142" s="84" vm="3934">
        <v>2666</v>
      </c>
      <c r="BR142" s="7">
        <f xml:space="preserve"> IFERROR( VfM_Metrics_2023_Consol_Source[[#This Row],[SHL operating surplus / (deficit)]] / VfM_Metrics_2023_Consol_Source[[#This Row],[Turnover from social housing lettings]], "n/a" )</f>
        <v>0.23861633372502938</v>
      </c>
      <c r="BS142" s="5" vm="7365">
        <f xml:space="preserve"> VfM_Metrics_2023_Consol_Source[[#This Row],[Operating surplus/(deficit) (social housing lettings)]]</f>
        <v>3249</v>
      </c>
      <c r="BT142" s="84" vm="7365">
        <v>3249</v>
      </c>
      <c r="BU142" s="5" vm="7627">
        <f xml:space="preserve"> VfM_Metrics_2023_Consol_Source[[#This Row],[Turnover from social housing lettings]]</f>
        <v>13616</v>
      </c>
      <c r="BV142" s="84" vm="7627">
        <v>13616</v>
      </c>
      <c r="BW142" s="7">
        <f xml:space="preserve"> IFERROR( VfM_Metrics_2023_Consol_Source[[#This Row],[Net operating surplus]] / VfM_Metrics_2023_Consol_Source[[#This Row],[Overall turnover]], "n/a" )</f>
        <v>0.25757073752567755</v>
      </c>
      <c r="BX14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3887</v>
      </c>
      <c r="BY142" s="84" vm="3947">
        <v>4432</v>
      </c>
      <c r="BZ142" s="83" vm="3948">
        <v>545</v>
      </c>
      <c r="CA142" s="83">
        <v>0</v>
      </c>
      <c r="CB142" s="5" vm="3961">
        <f xml:space="preserve"> VfM_Metrics_2023_Consol_Source[[#This Row],[Turnover (overall)]]</f>
        <v>15091</v>
      </c>
      <c r="CC142" s="84" vm="3961">
        <v>15091</v>
      </c>
      <c r="CD142" s="7">
        <f xml:space="preserve"> IFERROR( VfM_Metrics_2023_Consol_Source[[#This Row],[Operating surplus including from JVs]] / VfM_Metrics_2023_Consol_Source[[#This Row],[Net assets]], "n/a" )</f>
        <v>3.880570878206812E-2</v>
      </c>
      <c r="CE142" s="5">
        <f xml:space="preserve"> SUM( VfM_Metrics_2023_Consol_Source[[#This Row],[Operating surplus/(deficit) (overall)3]], VfM_Metrics_2023_Consol_Source[[#This Row],[Share of operating surplus/(deficit) in joint ventures or associates]] )</f>
        <v>4432</v>
      </c>
      <c r="CF142" s="84" vm="3947">
        <v>4432</v>
      </c>
      <c r="CG142" s="83">
        <v>0</v>
      </c>
      <c r="CH142" s="5" vm="7435">
        <f xml:space="preserve"> VfM_Metrics_2023_Consol_Source[[#This Row],[Total assets less current liabilities]]</f>
        <v>114210</v>
      </c>
      <c r="CI142" s="84" vm="7435">
        <v>114210</v>
      </c>
      <c r="CJ142" s="71" vm="3933">
        <f xml:space="preserve"> VfM_Metrics_2023_Consol_Source[[#This Row],[Total social housing units owned (Period end)]]</f>
        <v>2666</v>
      </c>
      <c r="CK142" s="103">
        <v>1.9140625000000001E-2</v>
      </c>
      <c r="CL142" s="6">
        <f xml:space="preserve"> -- ( VfM_Metrics_2023_Consol_Source[[#This Row],[% Supported housing (excl. HOP)]] &gt; 0.3 )</f>
        <v>0</v>
      </c>
      <c r="CM142" s="103">
        <v>7.7734374999999994E-2</v>
      </c>
      <c r="CN142" s="6">
        <f xml:space="preserve"> -- ( VfM_Metrics_2023_Consol_Source[[#This Row],[% Housing for older people]] &gt; 0.3 )</f>
        <v>0</v>
      </c>
      <c r="CO142" s="103">
        <f xml:space="preserve"> VfM_Metrics_2023_Consol_Source[[#This Row],[% Supported housing (excl. HOP)]] + VfM_Metrics_2023_Consol_Source[[#This Row],[% Housing for older people]]</f>
        <v>9.6874999999999989E-2</v>
      </c>
      <c r="CP142" s="6">
        <f xml:space="preserve"> -- ( VfM_Metrics_2023_Consol_Source[[#This Row],[SH specialist in RSH analysis]] + VfM_Metrics_2023_Consol_Source[[#This Row],[OP specialist in RSH analysis]] &gt; 0 )</f>
        <v>0</v>
      </c>
      <c r="CQ142" s="10">
        <f xml:space="preserve"> -- ( VfM_Metrics_2023_Consol_Source[[#This Row],[% SH and OP]] &gt; 0.3 )</f>
        <v>0</v>
      </c>
      <c r="CR142" s="104" t="s">
        <v>143</v>
      </c>
      <c r="CS142" s="124" t="s">
        <v>144</v>
      </c>
      <c r="CT142" s="105"/>
      <c r="CU14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42" s="85">
        <v>0</v>
      </c>
      <c r="CW142" s="85">
        <v>0</v>
      </c>
      <c r="CX142" s="85">
        <v>0</v>
      </c>
      <c r="CY142" s="85">
        <v>0</v>
      </c>
      <c r="CZ142" s="85">
        <v>0</v>
      </c>
      <c r="DA142" s="85">
        <v>0</v>
      </c>
      <c r="DB142" s="85">
        <v>0</v>
      </c>
      <c r="DC142" s="85">
        <v>1</v>
      </c>
      <c r="DD142" s="85">
        <v>0</v>
      </c>
      <c r="DE142" s="13">
        <v>0.96105917141044694</v>
      </c>
    </row>
    <row r="143" spans="1:109" x14ac:dyDescent="0.25">
      <c r="A143" s="4" t="s" vm="269">
        <v>410</v>
      </c>
      <c r="B143" s="2" t="s" vm="133">
        <v>411</v>
      </c>
      <c r="C143" s="72" vm="554">
        <v>45016</v>
      </c>
      <c r="D143" s="7">
        <f>IFERROR( VfM_Metrics_2023_Consol_Source[[#This Row],[Reinvestment Spend]] / VfM_Metrics_2023_Consol_Source[[#This Row],[Net Book Value of Housing Properties]], "n/a" )</f>
        <v>6.6482276138374249E-2</v>
      </c>
      <c r="E14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39228</v>
      </c>
      <c r="F143" s="83" vm="2310">
        <v>5297</v>
      </c>
      <c r="G143" s="83" vm="7510">
        <v>23957</v>
      </c>
      <c r="H143" s="83" vm="8020">
        <v>9375</v>
      </c>
      <c r="I143" s="83" vm="2311">
        <v>599</v>
      </c>
      <c r="J143" s="83" vm="8022">
        <v>0</v>
      </c>
      <c r="K143" s="5">
        <f xml:space="preserve"> SUM( VfM_Metrics_2023_Consol_Source[[#This Row],[Tangible fixed assets: Housing properties at cost (Current period)]],VfM_Metrics_2023_Consol_Source[[#This Row],[Tangible fixed assets Housing properties at valuation (Current period)]] )</f>
        <v>590052</v>
      </c>
      <c r="L143" s="84" vm="2312">
        <v>590052</v>
      </c>
      <c r="M143" s="83">
        <v>0</v>
      </c>
      <c r="N143" s="7">
        <f xml:space="preserve"> IFERROR( VfM_Metrics_2023_Consol_Source[[#This Row],[Total social units developed or newly built units acquired in-year]] / VfM_Metrics_2023_Consol_Source[[#This Row],[Social housing units owned (period end)]], "n/a" )</f>
        <v>1.2858290918832038E-2</v>
      </c>
      <c r="O143" s="5">
        <f xml:space="preserve"> SUM( VfM_Metrics_2023_Consol_Source[[#This Row],[Total social units developed or newly built units acquired in-year (owned)]], VfM_Metrics_2023_Consol_Source[[#This Row],[Total social leasehold units developed or newly built units acquired in-year (owned)]] )</f>
        <v>144</v>
      </c>
      <c r="P143" s="84" vm="2313">
        <v>144</v>
      </c>
      <c r="Q143" s="83" vm="7755">
        <v>0</v>
      </c>
      <c r="R143" s="5">
        <f xml:space="preserve"> SUM( VfM_Metrics_2023_Consol_Source[[#This Row],[Total social housing units owned (Period end)]], VfM_Metrics_2023_Consol_Source[[#This Row],[Total social leasehold units owned (Period end)]] )</f>
        <v>11199</v>
      </c>
      <c r="S143" s="84" vm="2309">
        <v>11000</v>
      </c>
      <c r="T143" s="83" vm="2314">
        <v>199</v>
      </c>
      <c r="U143" s="86">
        <f xml:space="preserve"> IFERROR( VfM_Metrics_2023_Consol_Source[[#This Row],[Total non-social housing units developed or newly built units acquired (owned)]] / VfM_Metrics_2023_Consol_Source[[#This Row],[Total social and non-social housing units owned (Period end)]], "n/a" )</f>
        <v>3.2105441027374111E-3</v>
      </c>
      <c r="V14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38</v>
      </c>
      <c r="W143" s="83" vm="7799">
        <v>0</v>
      </c>
      <c r="X143" s="83" vm="2315">
        <v>0</v>
      </c>
      <c r="Y143" s="83" vm="1829">
        <v>38</v>
      </c>
      <c r="Z14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11836</v>
      </c>
      <c r="AA143" s="84" vm="2309">
        <v>11000</v>
      </c>
      <c r="AB143" s="83" vm="2314">
        <v>199</v>
      </c>
      <c r="AC143" s="83" vm="2316">
        <v>637</v>
      </c>
      <c r="AD143" s="83" vm="2317">
        <v>0</v>
      </c>
      <c r="AE143" s="7">
        <f xml:space="preserve"> IFERROR( VfM_Metrics_2023_Consol_Source[[#This Row],[Total Net Debt]] / VfM_Metrics_2023_Consol_Source[[#This Row],[Net Book Value of Housing Properties2]], "n/a" )</f>
        <v>0.43361940981472819</v>
      </c>
      <c r="AF14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255858</v>
      </c>
      <c r="AG143" s="84" vm="2318">
        <v>7999</v>
      </c>
      <c r="AH143" s="83" vm="2319">
        <v>256838</v>
      </c>
      <c r="AI143" s="83" vm="7790">
        <v>9059</v>
      </c>
      <c r="AJ143" s="83" vm="1675">
        <v>0</v>
      </c>
      <c r="AK143" s="83" vm="7578">
        <v>80</v>
      </c>
      <c r="AL143" s="5">
        <f xml:space="preserve"> SUM( VfM_Metrics_2023_Consol_Source[[#This Row],[Tangible fixed assets: Housing properties at cost (Current period)2]], VfM_Metrics_2023_Consol_Source[[#This Row],[Tangible fixed assets Housing properties at valuation (Current period)2]] )</f>
        <v>590052</v>
      </c>
      <c r="AM143" s="84" vm="2312">
        <v>590052</v>
      </c>
      <c r="AN143" s="83">
        <v>0</v>
      </c>
      <c r="AO143" s="87">
        <f xml:space="preserve"> IFERROR( VfM_Metrics_2023_Consol_Source[[#This Row],[EBITDA MRI]] / VfM_Metrics_2023_Consol_Source[[#This Row],[Total interest]], "n/a" )</f>
        <v>2.1907192575406031</v>
      </c>
      <c r="AP14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18884</v>
      </c>
      <c r="AQ143" s="84" vm="4264">
        <v>16741</v>
      </c>
      <c r="AR143" s="84" vm="2321">
        <v>677</v>
      </c>
      <c r="AS143" s="84" vm="2322">
        <v>0</v>
      </c>
      <c r="AT143" s="84" vm="2323">
        <v>308</v>
      </c>
      <c r="AU143" s="84" vm="2616">
        <v>0</v>
      </c>
      <c r="AV143" s="84" vm="7945">
        <v>393</v>
      </c>
      <c r="AW143" s="84" vm="7577">
        <v>9375</v>
      </c>
      <c r="AX143" s="84" vm="2325">
        <v>12110</v>
      </c>
      <c r="AY143" s="3">
        <f xml:space="preserve"> - SUM( VfM_Metrics_2023_Consol_Source[[#This Row],[Interest capitalised]], VfM_Metrics_2023_Consol_Source[[#This Row],[Interest payable and financing costs]] )</f>
        <v>8620</v>
      </c>
      <c r="AZ143" s="84" vm="7095">
        <v>-599</v>
      </c>
      <c r="BA143" s="83" vm="2326">
        <v>-8021</v>
      </c>
      <c r="BB143" s="8">
        <f xml:space="preserve"> IFERROR( ( VfM_Metrics_2023_Consol_Source[[#This Row],[Total Costs]] / VfM_Metrics_2023_Consol_Source[[#This Row],[Total units for costs]] ) * 1000, "n/a" )</f>
        <v>6834.0750158931969</v>
      </c>
      <c r="BC14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75250</v>
      </c>
      <c r="BD143" s="84" vm="6736">
        <v>13062</v>
      </c>
      <c r="BE143" s="83" vm="2327">
        <v>13213</v>
      </c>
      <c r="BF143" s="83" vm="8016">
        <v>11806</v>
      </c>
      <c r="BG143" s="83" vm="2328">
        <v>3240</v>
      </c>
      <c r="BH143" s="83" vm="2329">
        <v>6433</v>
      </c>
      <c r="BI143" s="83" vm="2330">
        <v>13121</v>
      </c>
      <c r="BJ143" s="83" vm="2324">
        <v>9375</v>
      </c>
      <c r="BK143" s="83" vm="2331">
        <v>4367</v>
      </c>
      <c r="BL143" s="83">
        <v>0</v>
      </c>
      <c r="BM143" s="83">
        <v>0</v>
      </c>
      <c r="BN143" s="83">
        <v>0</v>
      </c>
      <c r="BO143" s="83" vm="7575">
        <v>633</v>
      </c>
      <c r="BP143" s="5" vm="7233">
        <f xml:space="preserve"> VfM_Metrics_2023_Consol_Source[[#This Row],[Total social housing units owned and/or managed at period end]]</f>
        <v>11011</v>
      </c>
      <c r="BQ143" s="84" vm="7233">
        <v>11011</v>
      </c>
      <c r="BR143" s="7">
        <f xml:space="preserve"> IFERROR( VfM_Metrics_2023_Consol_Source[[#This Row],[SHL operating surplus / (deficit)]] / VfM_Metrics_2023_Consol_Source[[#This Row],[Turnover from social housing lettings]], "n/a" )</f>
        <v>0.15098172725953543</v>
      </c>
      <c r="BS143" s="5" vm="2332">
        <f xml:space="preserve"> VfM_Metrics_2023_Consol_Source[[#This Row],[Operating surplus/(deficit) (social housing lettings)]]</f>
        <v>13526</v>
      </c>
      <c r="BT143" s="84" vm="2332">
        <v>13526</v>
      </c>
      <c r="BU143" s="5" vm="2561">
        <f xml:space="preserve"> VfM_Metrics_2023_Consol_Source[[#This Row],[Turnover from social housing lettings]]</f>
        <v>89587</v>
      </c>
      <c r="BV143" s="84" vm="2561">
        <v>89587</v>
      </c>
      <c r="BW143" s="7">
        <f xml:space="preserve"> IFERROR( VfM_Metrics_2023_Consol_Source[[#This Row],[Net operating surplus]] / VfM_Metrics_2023_Consol_Source[[#This Row],[Overall turnover]], "n/a" )</f>
        <v>0.1385615953904808</v>
      </c>
      <c r="BX14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16064</v>
      </c>
      <c r="BY143" s="84" vm="2320">
        <v>16741</v>
      </c>
      <c r="BZ143" s="83" vm="2321">
        <v>677</v>
      </c>
      <c r="CA143" s="83" vm="7573">
        <v>0</v>
      </c>
      <c r="CB143" s="5" vm="2333">
        <f xml:space="preserve"> VfM_Metrics_2023_Consol_Source[[#This Row],[Turnover (overall)]]</f>
        <v>115934</v>
      </c>
      <c r="CC143" s="84" vm="2333">
        <v>115934</v>
      </c>
      <c r="CD143" s="7">
        <f xml:space="preserve"> IFERROR( VfM_Metrics_2023_Consol_Source[[#This Row],[Operating surplus including from JVs]] / VfM_Metrics_2023_Consol_Source[[#This Row],[Net assets]], "n/a" )</f>
        <v>2.7395813702618222E-2</v>
      </c>
      <c r="CE143" s="5">
        <f xml:space="preserve"> SUM( VfM_Metrics_2023_Consol_Source[[#This Row],[Operating surplus/(deficit) (overall)3]], VfM_Metrics_2023_Consol_Source[[#This Row],[Share of operating surplus/(deficit) in joint ventures or associates]] )</f>
        <v>16863</v>
      </c>
      <c r="CF143" s="84" vm="2320">
        <v>16741</v>
      </c>
      <c r="CG143" s="83" vm="7868">
        <v>122</v>
      </c>
      <c r="CH143" s="5" vm="2334">
        <f xml:space="preserve"> VfM_Metrics_2023_Consol_Source[[#This Row],[Total assets less current liabilities]]</f>
        <v>615532</v>
      </c>
      <c r="CI143" s="84" vm="2334">
        <v>615532</v>
      </c>
      <c r="CJ143" s="71" vm="2309">
        <f xml:space="preserve"> VfM_Metrics_2023_Consol_Source[[#This Row],[Total social housing units owned (Period end)]]</f>
        <v>11000</v>
      </c>
      <c r="CK143" s="103">
        <v>0.39135194307608101</v>
      </c>
      <c r="CL143" s="6">
        <f xml:space="preserve"> -- ( VfM_Metrics_2023_Consol_Source[[#This Row],[% Supported housing (excl. HOP)]] &gt; 0.3 )</f>
        <v>1</v>
      </c>
      <c r="CM143" s="103">
        <v>0.11065498996533479</v>
      </c>
      <c r="CN143" s="6">
        <f xml:space="preserve"> -- ( VfM_Metrics_2023_Consol_Source[[#This Row],[% Housing for older people]] &gt; 0.3 )</f>
        <v>0</v>
      </c>
      <c r="CO143" s="103">
        <f xml:space="preserve"> VfM_Metrics_2023_Consol_Source[[#This Row],[% Supported housing (excl. HOP)]] + VfM_Metrics_2023_Consol_Source[[#This Row],[% Housing for older people]]</f>
        <v>0.50200693304141586</v>
      </c>
      <c r="CP143" s="6">
        <f xml:space="preserve"> -- ( VfM_Metrics_2023_Consol_Source[[#This Row],[SH specialist in RSH analysis]] + VfM_Metrics_2023_Consol_Source[[#This Row],[OP specialist in RSH analysis]] &gt; 0 )</f>
        <v>1</v>
      </c>
      <c r="CQ143" s="10">
        <f xml:space="preserve"> -- ( VfM_Metrics_2023_Consol_Source[[#This Row],[% SH and OP]] &gt; 0.3 )</f>
        <v>1</v>
      </c>
      <c r="CR143" s="104" t="s">
        <v>143</v>
      </c>
      <c r="CS143" s="124" t="s">
        <v>144</v>
      </c>
      <c r="CT143" s="105"/>
      <c r="CU14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43" s="85">
        <v>1.8509991711944011E-2</v>
      </c>
      <c r="CW143" s="85">
        <v>3.1770881296620312E-2</v>
      </c>
      <c r="CX143" s="85">
        <v>1.1787457408601161E-2</v>
      </c>
      <c r="CY143" s="85">
        <v>6.6212358412376826E-2</v>
      </c>
      <c r="CZ143" s="85">
        <v>4.8807440832489175E-3</v>
      </c>
      <c r="DA143" s="85">
        <v>3.3336402983700157E-2</v>
      </c>
      <c r="DB143" s="85">
        <v>2.3206556773183534E-2</v>
      </c>
      <c r="DC143" s="85">
        <v>0.72888847960217329</v>
      </c>
      <c r="DD143" s="85">
        <v>8.1407127728151757E-2</v>
      </c>
      <c r="DE143" s="13">
        <v>0.96507137243371444</v>
      </c>
    </row>
    <row r="144" spans="1:109" x14ac:dyDescent="0.25">
      <c r="A144" s="4" t="s" vm="230">
        <v>412</v>
      </c>
      <c r="B144" s="2" t="s" vm="134">
        <v>413</v>
      </c>
      <c r="C144" s="72" vm="563">
        <v>45016</v>
      </c>
      <c r="D144" s="7">
        <f>IFERROR( VfM_Metrics_2023_Consol_Source[[#This Row],[Reinvestment Spend]] / VfM_Metrics_2023_Consol_Source[[#This Row],[Net Book Value of Housing Properties]], "n/a" )</f>
        <v>7.9024356466494708E-2</v>
      </c>
      <c r="E14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4565</v>
      </c>
      <c r="F144" s="83" vm="8486">
        <v>3283</v>
      </c>
      <c r="G144" s="83" vm="8439">
        <v>0</v>
      </c>
      <c r="H144" s="83" vm="1036">
        <v>1282</v>
      </c>
      <c r="I144" s="83" vm="8688">
        <v>0</v>
      </c>
      <c r="J144" s="83" vm="7130">
        <v>0</v>
      </c>
      <c r="K144" s="5">
        <f xml:space="preserve"> SUM( VfM_Metrics_2023_Consol_Source[[#This Row],[Tangible fixed assets: Housing properties at cost (Current period)]],VfM_Metrics_2023_Consol_Source[[#This Row],[Tangible fixed assets Housing properties at valuation (Current period)]] )</f>
        <v>57767</v>
      </c>
      <c r="L144" s="84" vm="1243">
        <v>57767</v>
      </c>
      <c r="M144" s="83" vm="8484">
        <v>0</v>
      </c>
      <c r="N144" s="7">
        <f xml:space="preserve"> IFERROR( VfM_Metrics_2023_Consol_Source[[#This Row],[Total social units developed or newly built units acquired in-year]] / VfM_Metrics_2023_Consol_Source[[#This Row],[Social housing units owned (period end)]], "n/a" )</f>
        <v>1.7283950617283949E-2</v>
      </c>
      <c r="O144" s="5">
        <f xml:space="preserve"> SUM( VfM_Metrics_2023_Consol_Source[[#This Row],[Total social units developed or newly built units acquired in-year (owned)]], VfM_Metrics_2023_Consol_Source[[#This Row],[Total social leasehold units developed or newly built units acquired in-year (owned)]] )</f>
        <v>28</v>
      </c>
      <c r="P144" s="84" vm="1245">
        <v>28</v>
      </c>
      <c r="Q144" s="83" vm="1246">
        <v>0</v>
      </c>
      <c r="R144" s="5">
        <f xml:space="preserve"> SUM( VfM_Metrics_2023_Consol_Source[[#This Row],[Total social housing units owned (Period end)]], VfM_Metrics_2023_Consol_Source[[#This Row],[Total social leasehold units owned (Period end)]] )</f>
        <v>1620</v>
      </c>
      <c r="S144" s="84" vm="1365">
        <v>1547</v>
      </c>
      <c r="T144" s="83" vm="1247">
        <v>73</v>
      </c>
      <c r="U144" s="86">
        <f xml:space="preserve"> IFERROR( VfM_Metrics_2023_Consol_Source[[#This Row],[Total non-social housing units developed or newly built units acquired (owned)]] / VfM_Metrics_2023_Consol_Source[[#This Row],[Total social and non-social housing units owned (Period end)]], "n/a" )</f>
        <v>0</v>
      </c>
      <c r="V14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44" s="83" vm="1248">
        <v>0</v>
      </c>
      <c r="X144" s="83" vm="8482">
        <v>0</v>
      </c>
      <c r="Y144" s="83" vm="8464">
        <v>0</v>
      </c>
      <c r="Z14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1620</v>
      </c>
      <c r="AA144" s="84" vm="8437">
        <v>1547</v>
      </c>
      <c r="AB144" s="83" vm="8562">
        <v>73</v>
      </c>
      <c r="AC144" s="83" vm="1250">
        <v>0</v>
      </c>
      <c r="AD144" s="83" vm="1251">
        <v>0</v>
      </c>
      <c r="AE144" s="7">
        <f xml:space="preserve"> IFERROR( VfM_Metrics_2023_Consol_Source[[#This Row],[Total Net Debt]] / VfM_Metrics_2023_Consol_Source[[#This Row],[Net Book Value of Housing Properties2]], "n/a" )</f>
        <v>0.17120501324285492</v>
      </c>
      <c r="AF14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9890</v>
      </c>
      <c r="AG144" s="84" vm="8560">
        <v>397</v>
      </c>
      <c r="AH144" s="83" vm="1253">
        <v>17079</v>
      </c>
      <c r="AI144" s="83" vm="7907">
        <v>7586</v>
      </c>
      <c r="AJ144" s="83" vm="1275">
        <v>0</v>
      </c>
      <c r="AK144" s="83" vm="8453">
        <v>0</v>
      </c>
      <c r="AL144" s="5">
        <f xml:space="preserve"> SUM( VfM_Metrics_2023_Consol_Source[[#This Row],[Tangible fixed assets: Housing properties at cost (Current period)2]], VfM_Metrics_2023_Consol_Source[[#This Row],[Tangible fixed assets Housing properties at valuation (Current period)2]] )</f>
        <v>57767</v>
      </c>
      <c r="AM144" s="84" vm="1243">
        <v>57767</v>
      </c>
      <c r="AN144" s="83" vm="1244">
        <v>0</v>
      </c>
      <c r="AO144" s="87">
        <f xml:space="preserve"> IFERROR( VfM_Metrics_2023_Consol_Source[[#This Row],[EBITDA MRI]] / VfM_Metrics_2023_Consol_Source[[#This Row],[Total interest]], "n/a" )</f>
        <v>2.3929961089494163</v>
      </c>
      <c r="AP14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1845</v>
      </c>
      <c r="AQ144" s="84" vm="8344">
        <v>1340</v>
      </c>
      <c r="AR144" s="84" vm="1434">
        <v>0</v>
      </c>
      <c r="AS144" s="84" vm="1288">
        <v>0</v>
      </c>
      <c r="AT144" s="84" vm="1256">
        <v>336</v>
      </c>
      <c r="AU144" s="84" vm="1047">
        <v>0</v>
      </c>
      <c r="AV144" s="84" vm="1608">
        <v>88</v>
      </c>
      <c r="AW144" s="84" vm="8200">
        <v>1282</v>
      </c>
      <c r="AX144" s="84" vm="8575">
        <v>2035</v>
      </c>
      <c r="AY144" s="3">
        <f xml:space="preserve"> - SUM( VfM_Metrics_2023_Consol_Source[[#This Row],[Interest capitalised]], VfM_Metrics_2023_Consol_Source[[#This Row],[Interest payable and financing costs]] )</f>
        <v>771</v>
      </c>
      <c r="AZ144" s="84" vm="8690">
        <v>0</v>
      </c>
      <c r="BA144" s="83" vm="1258">
        <v>-771</v>
      </c>
      <c r="BB144" s="8">
        <f xml:space="preserve"> IFERROR( ( VfM_Metrics_2023_Consol_Source[[#This Row],[Total Costs]] / VfM_Metrics_2023_Consol_Source[[#This Row],[Total units for costs]] ) * 1000, "n/a" )</f>
        <v>3837.7504848093085</v>
      </c>
      <c r="BC14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5937</v>
      </c>
      <c r="BD144" s="84" vm="1050">
        <v>1039</v>
      </c>
      <c r="BE144" s="83" vm="8342">
        <v>1141</v>
      </c>
      <c r="BF144" s="83" vm="1260">
        <v>2267</v>
      </c>
      <c r="BG144" s="83" vm="1261">
        <v>42</v>
      </c>
      <c r="BH144" s="83" vm="8548">
        <v>0</v>
      </c>
      <c r="BI144" s="83" vm="8167">
        <v>33</v>
      </c>
      <c r="BJ144" s="83" vm="8193">
        <v>1282</v>
      </c>
      <c r="BK144" s="83" vm="1195">
        <v>27</v>
      </c>
      <c r="BL144" s="83" vm="1263">
        <v>0</v>
      </c>
      <c r="BM144" s="83" vm="8683">
        <v>0</v>
      </c>
      <c r="BN144" s="83" vm="8412">
        <v>106</v>
      </c>
      <c r="BO144" s="83" vm="1364">
        <v>0</v>
      </c>
      <c r="BP144" s="5" vm="8481">
        <f xml:space="preserve"> VfM_Metrics_2023_Consol_Source[[#This Row],[Total social housing units owned and/or managed at period end]]</f>
        <v>1547</v>
      </c>
      <c r="BQ144" s="84" vm="8481">
        <v>1547</v>
      </c>
      <c r="BR144" s="7">
        <f xml:space="preserve"> IFERROR( VfM_Metrics_2023_Consol_Source[[#This Row],[SHL operating surplus / (deficit)]] / VfM_Metrics_2023_Consol_Source[[#This Row],[Turnover from social housing lettings]], "n/a" )</f>
        <v>0.16506471869793668</v>
      </c>
      <c r="BS144" s="5" vm="8411">
        <f xml:space="preserve"> VfM_Metrics_2023_Consol_Source[[#This Row],[Operating surplus/(deficit) (social housing lettings)]]</f>
        <v>1288</v>
      </c>
      <c r="BT144" s="84" vm="8411">
        <v>1288</v>
      </c>
      <c r="BU144" s="5" vm="8538">
        <f xml:space="preserve"> VfM_Metrics_2023_Consol_Source[[#This Row],[Turnover from social housing lettings]]</f>
        <v>7803</v>
      </c>
      <c r="BV144" s="84" vm="8538">
        <v>7803</v>
      </c>
      <c r="BW144" s="7">
        <f xml:space="preserve"> IFERROR( VfM_Metrics_2023_Consol_Source[[#This Row],[Net operating surplus]] / VfM_Metrics_2023_Consol_Source[[#This Row],[Overall turnover]], "n/a" )</f>
        <v>0.16829942225571465</v>
      </c>
      <c r="BX14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1340</v>
      </c>
      <c r="BY144" s="84" vm="1254">
        <v>1340</v>
      </c>
      <c r="BZ144" s="83" vm="1255">
        <v>0</v>
      </c>
      <c r="CA144" s="83" vm="8340">
        <v>0</v>
      </c>
      <c r="CB144" s="5" vm="1037">
        <f xml:space="preserve"> VfM_Metrics_2023_Consol_Source[[#This Row],[Turnover (overall)]]</f>
        <v>7962</v>
      </c>
      <c r="CC144" s="84" vm="1037">
        <v>7962</v>
      </c>
      <c r="CD144" s="7">
        <f xml:space="preserve"> IFERROR( VfM_Metrics_2023_Consol_Source[[#This Row],[Operating surplus including from JVs]] / VfM_Metrics_2023_Consol_Source[[#This Row],[Net assets]], "n/a" )</f>
        <v>2.0918216019606924E-2</v>
      </c>
      <c r="CE144" s="5">
        <f xml:space="preserve"> SUM( VfM_Metrics_2023_Consol_Source[[#This Row],[Operating surplus/(deficit) (overall)3]], VfM_Metrics_2023_Consol_Source[[#This Row],[Share of operating surplus/(deficit) in joint ventures or associates]] )</f>
        <v>1340</v>
      </c>
      <c r="CF144" s="84" vm="1136">
        <v>1340</v>
      </c>
      <c r="CG144" s="83" vm="1265">
        <v>0</v>
      </c>
      <c r="CH144" s="5" vm="1264">
        <f xml:space="preserve"> VfM_Metrics_2023_Consol_Source[[#This Row],[Total assets less current liabilities]]</f>
        <v>64059</v>
      </c>
      <c r="CI144" s="84" vm="1264">
        <v>64059</v>
      </c>
      <c r="CJ144" s="71" vm="1365">
        <f xml:space="preserve"> VfM_Metrics_2023_Consol_Source[[#This Row],[Total social housing units owned (Period end)]]</f>
        <v>1547</v>
      </c>
      <c r="CK144" s="103">
        <v>0.30389129092032119</v>
      </c>
      <c r="CL144" s="6">
        <f xml:space="preserve"> -- ( VfM_Metrics_2023_Consol_Source[[#This Row],[% Supported housing (excl. HOP)]] &gt; 0.3 )</f>
        <v>1</v>
      </c>
      <c r="CM144" s="103">
        <v>0.26436071649166154</v>
      </c>
      <c r="CN144" s="6">
        <f xml:space="preserve"> -- ( VfM_Metrics_2023_Consol_Source[[#This Row],[% Housing for older people]] &gt; 0.3 )</f>
        <v>0</v>
      </c>
      <c r="CO144" s="103">
        <f xml:space="preserve"> VfM_Metrics_2023_Consol_Source[[#This Row],[% Supported housing (excl. HOP)]] + VfM_Metrics_2023_Consol_Source[[#This Row],[% Housing for older people]]</f>
        <v>0.56825200741198278</v>
      </c>
      <c r="CP144" s="6">
        <f xml:space="preserve"> -- ( VfM_Metrics_2023_Consol_Source[[#This Row],[SH specialist in RSH analysis]] + VfM_Metrics_2023_Consol_Source[[#This Row],[OP specialist in RSH analysis]] &gt; 0 )</f>
        <v>1</v>
      </c>
      <c r="CQ144" s="10">
        <f xml:space="preserve"> -- ( VfM_Metrics_2023_Consol_Source[[#This Row],[% SH and OP]] &gt; 0.3 )</f>
        <v>1</v>
      </c>
      <c r="CR144" s="104" t="s">
        <v>143</v>
      </c>
      <c r="CS144" s="124" t="s">
        <v>144</v>
      </c>
      <c r="CT144" s="105"/>
      <c r="CU14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144" s="85">
        <v>1.3588634959851761E-2</v>
      </c>
      <c r="CW144" s="85">
        <v>0</v>
      </c>
      <c r="CX144" s="85">
        <v>0</v>
      </c>
      <c r="CY144" s="85">
        <v>0</v>
      </c>
      <c r="CZ144" s="85">
        <v>1.8529956763434219E-2</v>
      </c>
      <c r="DA144" s="85">
        <v>0</v>
      </c>
      <c r="DB144" s="85">
        <v>0.58307597282273005</v>
      </c>
      <c r="DC144" s="85">
        <v>1.2353304508956147E-3</v>
      </c>
      <c r="DD144" s="85">
        <v>0.3835701050030883</v>
      </c>
      <c r="DE144" s="13">
        <v>0.92573192444565744</v>
      </c>
    </row>
    <row r="145" spans="1:109" x14ac:dyDescent="0.25">
      <c r="A145" s="4" t="s" vm="359">
        <v>414</v>
      </c>
      <c r="B145" s="2" t="s" vm="135">
        <v>415</v>
      </c>
      <c r="C145" s="72" vm="574">
        <v>45016</v>
      </c>
      <c r="D145" s="7">
        <f>IFERROR( VfM_Metrics_2023_Consol_Source[[#This Row],[Reinvestment Spend]] / VfM_Metrics_2023_Consol_Source[[#This Row],[Net Book Value of Housing Properties]], "n/a" )</f>
        <v>2.2922042934520603E-2</v>
      </c>
      <c r="E14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8083</v>
      </c>
      <c r="F145" s="83" vm="5403">
        <v>5356</v>
      </c>
      <c r="G145" s="83" vm="5404">
        <v>0</v>
      </c>
      <c r="H145" s="83" vm="4188">
        <v>2670</v>
      </c>
      <c r="I145" s="83" vm="5405">
        <v>57</v>
      </c>
      <c r="J145" s="83" vm="5406">
        <v>0</v>
      </c>
      <c r="K145" s="5">
        <f xml:space="preserve"> SUM( VfM_Metrics_2023_Consol_Source[[#This Row],[Tangible fixed assets: Housing properties at cost (Current period)]],VfM_Metrics_2023_Consol_Source[[#This Row],[Tangible fixed assets Housing properties at valuation (Current period)]] )</f>
        <v>352630</v>
      </c>
      <c r="L145" s="84" vm="5407">
        <v>352630</v>
      </c>
      <c r="M145" s="83" vm="5408">
        <v>0</v>
      </c>
      <c r="N145" s="7">
        <f xml:space="preserve"> IFERROR( VfM_Metrics_2023_Consol_Source[[#This Row],[Total social units developed or newly built units acquired in-year]] / VfM_Metrics_2023_Consol_Source[[#This Row],[Social housing units owned (period end)]], "n/a" )</f>
        <v>2.6407227241139679E-3</v>
      </c>
      <c r="O145" s="5">
        <f xml:space="preserve"> SUM( VfM_Metrics_2023_Consol_Source[[#This Row],[Total social units developed or newly built units acquired in-year (owned)]], VfM_Metrics_2023_Consol_Source[[#This Row],[Total social leasehold units developed or newly built units acquired in-year (owned)]] )</f>
        <v>19</v>
      </c>
      <c r="P145" s="84" vm="7190">
        <v>19</v>
      </c>
      <c r="Q145" s="83">
        <v>0</v>
      </c>
      <c r="R145" s="5">
        <f xml:space="preserve"> SUM( VfM_Metrics_2023_Consol_Source[[#This Row],[Total social housing units owned (Period end)]], VfM_Metrics_2023_Consol_Source[[#This Row],[Total social leasehold units owned (Period end)]] )</f>
        <v>7195</v>
      </c>
      <c r="S145" s="84" vm="5401">
        <v>6337</v>
      </c>
      <c r="T145" s="83" vm="5409">
        <v>858</v>
      </c>
      <c r="U145" s="86">
        <f xml:space="preserve"> IFERROR( VfM_Metrics_2023_Consol_Source[[#This Row],[Total non-social housing units developed or newly built units acquired (owned)]] / VfM_Metrics_2023_Consol_Source[[#This Row],[Total social and non-social housing units owned (Period end)]], "n/a" )</f>
        <v>0</v>
      </c>
      <c r="V14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45" s="83">
        <v>0</v>
      </c>
      <c r="X145" s="83">
        <v>0</v>
      </c>
      <c r="Y145" s="83" vm="5410">
        <v>0</v>
      </c>
      <c r="Z14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7195</v>
      </c>
      <c r="AA145" s="84" vm="5401">
        <v>6337</v>
      </c>
      <c r="AB145" s="83" vm="5409">
        <v>858</v>
      </c>
      <c r="AC145" s="83" vm="5411">
        <v>0</v>
      </c>
      <c r="AD145" s="83" vm="7339">
        <v>0</v>
      </c>
      <c r="AE145" s="7">
        <f xml:space="preserve"> IFERROR( VfM_Metrics_2023_Consol_Source[[#This Row],[Total Net Debt]] / VfM_Metrics_2023_Consol_Source[[#This Row],[Net Book Value of Housing Properties2]], "n/a" )</f>
        <v>0.57546436775090037</v>
      </c>
      <c r="AF14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202926</v>
      </c>
      <c r="AG145" s="84" vm="5412">
        <v>350</v>
      </c>
      <c r="AH145" s="83" vm="5413">
        <v>211360</v>
      </c>
      <c r="AI145" s="83" vm="5414">
        <v>8784</v>
      </c>
      <c r="AJ145" s="83" vm="1675">
        <v>0</v>
      </c>
      <c r="AK145" s="83">
        <v>0</v>
      </c>
      <c r="AL145" s="5">
        <f xml:space="preserve"> SUM( VfM_Metrics_2023_Consol_Source[[#This Row],[Tangible fixed assets: Housing properties at cost (Current period)2]], VfM_Metrics_2023_Consol_Source[[#This Row],[Tangible fixed assets Housing properties at valuation (Current period)2]] )</f>
        <v>352630</v>
      </c>
      <c r="AM145" s="84" vm="5407">
        <v>352630</v>
      </c>
      <c r="AN145" s="83" vm="5408">
        <v>0</v>
      </c>
      <c r="AO145" s="87">
        <f xml:space="preserve"> IFERROR( VfM_Metrics_2023_Consol_Source[[#This Row],[EBITDA MRI]] / VfM_Metrics_2023_Consol_Source[[#This Row],[Total interest]], "n/a" )</f>
        <v>1.607968881412952</v>
      </c>
      <c r="AP14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15295</v>
      </c>
      <c r="AQ145" s="84" vm="5415">
        <v>17186</v>
      </c>
      <c r="AR145" s="84" vm="2525">
        <v>4028</v>
      </c>
      <c r="AS145" s="84" vm="5417">
        <v>0</v>
      </c>
      <c r="AT145" s="84" vm="5418">
        <v>477</v>
      </c>
      <c r="AU145" s="84" vm="5419">
        <v>0</v>
      </c>
      <c r="AV145" s="84" vm="5420">
        <v>157</v>
      </c>
      <c r="AW145" s="84" vm="5421">
        <v>2713</v>
      </c>
      <c r="AX145" s="84" vm="7278">
        <v>5170</v>
      </c>
      <c r="AY145" s="3">
        <f xml:space="preserve"> - SUM( VfM_Metrics_2023_Consol_Source[[#This Row],[Interest capitalised]], VfM_Metrics_2023_Consol_Source[[#This Row],[Interest payable and financing costs]] )</f>
        <v>9512</v>
      </c>
      <c r="AZ145" s="84" vm="5422">
        <v>-57</v>
      </c>
      <c r="BA145" s="83" vm="5423">
        <v>-9455</v>
      </c>
      <c r="BB145" s="8">
        <f xml:space="preserve"> IFERROR( ( VfM_Metrics_2023_Consol_Source[[#This Row],[Total Costs]] / VfM_Metrics_2023_Consol_Source[[#This Row],[Total units for costs]] ) * 1000, "n/a" )</f>
        <v>5253.2467532467526</v>
      </c>
      <c r="BC14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33978</v>
      </c>
      <c r="BD145" s="84" vm="5424">
        <v>6727</v>
      </c>
      <c r="BE145" s="83" vm="5425">
        <v>3293</v>
      </c>
      <c r="BF145" s="83" vm="5426">
        <v>7475</v>
      </c>
      <c r="BG145" s="83" vm="5427">
        <v>1524</v>
      </c>
      <c r="BH145" s="83" vm="5428">
        <v>6576</v>
      </c>
      <c r="BI145" s="83" vm="5429">
        <v>0</v>
      </c>
      <c r="BJ145" s="83" vm="5421">
        <v>2713</v>
      </c>
      <c r="BK145" s="83" vm="7189">
        <v>2064</v>
      </c>
      <c r="BL145" s="83" vm="5430">
        <v>1673</v>
      </c>
      <c r="BM145" s="83" vm="5431">
        <v>1423</v>
      </c>
      <c r="BN145" s="83" vm="5432">
        <v>0</v>
      </c>
      <c r="BO145" s="83" vm="5433">
        <v>510</v>
      </c>
      <c r="BP145" s="5" vm="5402">
        <f xml:space="preserve"> VfM_Metrics_2023_Consol_Source[[#This Row],[Total social housing units owned and/or managed at period end]]</f>
        <v>6468</v>
      </c>
      <c r="BQ145" s="84" vm="5402">
        <v>6468</v>
      </c>
      <c r="BR145" s="7">
        <f xml:space="preserve"> IFERROR( VfM_Metrics_2023_Consol_Source[[#This Row],[SHL operating surplus / (deficit)]] / VfM_Metrics_2023_Consol_Source[[#This Row],[Turnover from social housing lettings]], "n/a" )</f>
        <v>0.30026583673734031</v>
      </c>
      <c r="BS145" s="5" vm="5434">
        <f xml:space="preserve"> VfM_Metrics_2023_Consol_Source[[#This Row],[Operating surplus/(deficit) (social housing lettings)]]</f>
        <v>13893</v>
      </c>
      <c r="BT145" s="84" vm="5434">
        <v>13893</v>
      </c>
      <c r="BU145" s="5" vm="5435">
        <f xml:space="preserve"> VfM_Metrics_2023_Consol_Source[[#This Row],[Turnover from social housing lettings]]</f>
        <v>46269</v>
      </c>
      <c r="BV145" s="84" vm="5435">
        <v>46269</v>
      </c>
      <c r="BW145" s="7">
        <f xml:space="preserve"> IFERROR( VfM_Metrics_2023_Consol_Source[[#This Row],[Net operating surplus]] / VfM_Metrics_2023_Consol_Source[[#This Row],[Overall turnover]], "n/a" )</f>
        <v>0.23340547060701741</v>
      </c>
      <c r="BX14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13158</v>
      </c>
      <c r="BY145" s="84" vm="5415">
        <v>17186</v>
      </c>
      <c r="BZ145" s="83" vm="5416">
        <v>4028</v>
      </c>
      <c r="CA145" s="83" vm="5417">
        <v>0</v>
      </c>
      <c r="CB145" s="5" vm="7012">
        <f xml:space="preserve"> VfM_Metrics_2023_Consol_Source[[#This Row],[Turnover (overall)]]</f>
        <v>56374</v>
      </c>
      <c r="CC145" s="84" vm="7012">
        <v>56374</v>
      </c>
      <c r="CD145" s="7">
        <f xml:space="preserve"> IFERROR( VfM_Metrics_2023_Consol_Source[[#This Row],[Operating surplus including from JVs]] / VfM_Metrics_2023_Consol_Source[[#This Row],[Net assets]], "n/a" )</f>
        <v>4.5967112090639681E-2</v>
      </c>
      <c r="CE145" s="5">
        <f xml:space="preserve"> SUM( VfM_Metrics_2023_Consol_Source[[#This Row],[Operating surplus/(deficit) (overall)3]], VfM_Metrics_2023_Consol_Source[[#This Row],[Share of operating surplus/(deficit) in joint ventures or associates]] )</f>
        <v>17186</v>
      </c>
      <c r="CF145" s="84" vm="5415">
        <v>17186</v>
      </c>
      <c r="CG145" s="83">
        <v>0</v>
      </c>
      <c r="CH145" s="5" vm="5436">
        <f xml:space="preserve"> VfM_Metrics_2023_Consol_Source[[#This Row],[Total assets less current liabilities]]</f>
        <v>373876</v>
      </c>
      <c r="CI145" s="84" vm="5436">
        <v>373876</v>
      </c>
      <c r="CJ145" s="71" vm="5401">
        <f xml:space="preserve"> VfM_Metrics_2023_Consol_Source[[#This Row],[Total social housing units owned (Period end)]]</f>
        <v>6337</v>
      </c>
      <c r="CK145" s="103">
        <v>0</v>
      </c>
      <c r="CL145" s="6">
        <f xml:space="preserve"> -- ( VfM_Metrics_2023_Consol_Source[[#This Row],[% Supported housing (excl. HOP)]] &gt; 0.3 )</f>
        <v>0</v>
      </c>
      <c r="CM145" s="103">
        <v>5.4199683042789222E-2</v>
      </c>
      <c r="CN145" s="6">
        <f xml:space="preserve"> -- ( VfM_Metrics_2023_Consol_Source[[#This Row],[% Housing for older people]] &gt; 0.3 )</f>
        <v>0</v>
      </c>
      <c r="CO145" s="103">
        <f xml:space="preserve"> VfM_Metrics_2023_Consol_Source[[#This Row],[% Supported housing (excl. HOP)]] + VfM_Metrics_2023_Consol_Source[[#This Row],[% Housing for older people]]</f>
        <v>5.4199683042789222E-2</v>
      </c>
      <c r="CP145" s="6">
        <f xml:space="preserve"> -- ( VfM_Metrics_2023_Consol_Source[[#This Row],[SH specialist in RSH analysis]] + VfM_Metrics_2023_Consol_Source[[#This Row],[OP specialist in RSH analysis]] &gt; 0 )</f>
        <v>0</v>
      </c>
      <c r="CQ145" s="10">
        <f xml:space="preserve"> -- ( VfM_Metrics_2023_Consol_Source[[#This Row],[% SH and OP]] &gt; 0.3 )</f>
        <v>0</v>
      </c>
      <c r="CR145" s="104" t="s">
        <v>143</v>
      </c>
      <c r="CS145" s="124"/>
      <c r="CT145" s="105" t="s">
        <v>151</v>
      </c>
      <c r="CU14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45" s="85">
        <v>1.266624445851805E-3</v>
      </c>
      <c r="CW145" s="85">
        <v>0.99873337555414821</v>
      </c>
      <c r="CX145" s="85">
        <v>0</v>
      </c>
      <c r="CY145" s="85">
        <v>0</v>
      </c>
      <c r="CZ145" s="85">
        <v>0</v>
      </c>
      <c r="DA145" s="85">
        <v>0</v>
      </c>
      <c r="DB145" s="85">
        <v>0</v>
      </c>
      <c r="DC145" s="85">
        <v>0</v>
      </c>
      <c r="DD145" s="85">
        <v>0</v>
      </c>
      <c r="DE145" s="13">
        <v>1.0338729855315794</v>
      </c>
    </row>
    <row r="146" spans="1:109" x14ac:dyDescent="0.25">
      <c r="A146" s="4" t="s" vm="356">
        <v>416</v>
      </c>
      <c r="B146" s="2" t="s" vm="136">
        <v>417</v>
      </c>
      <c r="C146" s="72" vm="442">
        <v>45016</v>
      </c>
      <c r="D146" s="7">
        <f>IFERROR( VfM_Metrics_2023_Consol_Source[[#This Row],[Reinvestment Spend]] / VfM_Metrics_2023_Consol_Source[[#This Row],[Net Book Value of Housing Properties]], "n/a" )</f>
        <v>9.7255166154378778E-2</v>
      </c>
      <c r="E14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20788</v>
      </c>
      <c r="F146" s="83" vm="5301">
        <v>15088</v>
      </c>
      <c r="G146" s="83" vm="5302">
        <v>0</v>
      </c>
      <c r="H146" s="83" vm="5303">
        <v>5359</v>
      </c>
      <c r="I146" s="83" vm="7368">
        <v>341</v>
      </c>
      <c r="J146" s="83" vm="5304">
        <v>0</v>
      </c>
      <c r="K146" s="5">
        <f xml:space="preserve"> SUM( VfM_Metrics_2023_Consol_Source[[#This Row],[Tangible fixed assets: Housing properties at cost (Current period)]],VfM_Metrics_2023_Consol_Source[[#This Row],[Tangible fixed assets Housing properties at valuation (Current period)]] )</f>
        <v>213747</v>
      </c>
      <c r="L146" s="84" vm="5305">
        <v>213747</v>
      </c>
      <c r="M146" s="83" vm="5306">
        <v>0</v>
      </c>
      <c r="N146" s="7">
        <f xml:space="preserve"> IFERROR( VfM_Metrics_2023_Consol_Source[[#This Row],[Total social units developed or newly built units acquired in-year]] / VfM_Metrics_2023_Consol_Source[[#This Row],[Social housing units owned (period end)]], "n/a" )</f>
        <v>1.4479638009049773E-3</v>
      </c>
      <c r="O146" s="5">
        <f xml:space="preserve"> SUM( VfM_Metrics_2023_Consol_Source[[#This Row],[Total social units developed or newly built units acquired in-year (owned)]], VfM_Metrics_2023_Consol_Source[[#This Row],[Total social leasehold units developed or newly built units acquired in-year (owned)]] )</f>
        <v>8</v>
      </c>
      <c r="P146" s="84" vm="7257">
        <v>8</v>
      </c>
      <c r="Q146" s="83" vm="5307">
        <v>0</v>
      </c>
      <c r="R146" s="5">
        <f xml:space="preserve"> SUM( VfM_Metrics_2023_Consol_Source[[#This Row],[Total social housing units owned (Period end)]], VfM_Metrics_2023_Consol_Source[[#This Row],[Total social leasehold units owned (Period end)]] )</f>
        <v>5525</v>
      </c>
      <c r="S146" s="84" vm="5300">
        <v>5525</v>
      </c>
      <c r="T146" s="83" vm="5308">
        <v>0</v>
      </c>
      <c r="U146" s="86">
        <f xml:space="preserve"> IFERROR( VfM_Metrics_2023_Consol_Source[[#This Row],[Total non-social housing units developed or newly built units acquired (owned)]] / VfM_Metrics_2023_Consol_Source[[#This Row],[Total social and non-social housing units owned (Period end)]], "n/a" )</f>
        <v>2.1621621621621622E-3</v>
      </c>
      <c r="V14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14</v>
      </c>
      <c r="W146" s="83" vm="7341">
        <v>14</v>
      </c>
      <c r="X146" s="83" vm="5309">
        <v>0</v>
      </c>
      <c r="Y146" s="83" vm="5310">
        <v>0</v>
      </c>
      <c r="Z14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6475</v>
      </c>
      <c r="AA146" s="84" vm="5300">
        <v>5525</v>
      </c>
      <c r="AB146" s="83" vm="5308">
        <v>0</v>
      </c>
      <c r="AC146" s="83" vm="5311">
        <v>286</v>
      </c>
      <c r="AD146" s="83" vm="5312">
        <v>664</v>
      </c>
      <c r="AE146" s="7">
        <f xml:space="preserve"> IFERROR( VfM_Metrics_2023_Consol_Source[[#This Row],[Total Net Debt]] / VfM_Metrics_2023_Consol_Source[[#This Row],[Net Book Value of Housing Properties2]], "n/a" )</f>
        <v>0.34590894842968556</v>
      </c>
      <c r="AF14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73937</v>
      </c>
      <c r="AG146" s="84" vm="5313">
        <v>0</v>
      </c>
      <c r="AH146" s="83" vm="4048">
        <v>79504</v>
      </c>
      <c r="AI146" s="83" vm="5314">
        <v>5567</v>
      </c>
      <c r="AJ146" s="83" vm="6274">
        <v>0</v>
      </c>
      <c r="AK146" s="83" vm="5315">
        <v>0</v>
      </c>
      <c r="AL146" s="5">
        <f xml:space="preserve"> SUM( VfM_Metrics_2023_Consol_Source[[#This Row],[Tangible fixed assets: Housing properties at cost (Current period)2]], VfM_Metrics_2023_Consol_Source[[#This Row],[Tangible fixed assets Housing properties at valuation (Current period)2]] )</f>
        <v>213747</v>
      </c>
      <c r="AM146" s="84" vm="5305">
        <v>213747</v>
      </c>
      <c r="AN146" s="83" vm="6950">
        <v>0</v>
      </c>
      <c r="AO146" s="87">
        <f xml:space="preserve"> IFERROR( VfM_Metrics_2023_Consol_Source[[#This Row],[EBITDA MRI]] / VfM_Metrics_2023_Consol_Source[[#This Row],[Total interest]], "n/a" )</f>
        <v>1.5226420536486875</v>
      </c>
      <c r="AP14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5279</v>
      </c>
      <c r="AQ146" s="84" vm="4047">
        <v>8834</v>
      </c>
      <c r="AR146" s="84" vm="5317">
        <v>2068</v>
      </c>
      <c r="AS146" s="84" vm="5318">
        <v>0</v>
      </c>
      <c r="AT146" s="84" vm="7148">
        <v>0</v>
      </c>
      <c r="AU146" s="84" vm="7277">
        <v>0</v>
      </c>
      <c r="AV146" s="84" vm="7305">
        <v>49</v>
      </c>
      <c r="AW146" s="84" vm="5319">
        <v>5359</v>
      </c>
      <c r="AX146" s="84" vm="5320">
        <v>3823</v>
      </c>
      <c r="AY146" s="3">
        <f xml:space="preserve"> - SUM( VfM_Metrics_2023_Consol_Source[[#This Row],[Interest capitalised]], VfM_Metrics_2023_Consol_Source[[#This Row],[Interest payable and financing costs]] )</f>
        <v>3467</v>
      </c>
      <c r="AZ146" s="84" vm="5351">
        <v>-341</v>
      </c>
      <c r="BA146" s="83" vm="5321">
        <v>-3126</v>
      </c>
      <c r="BB146" s="8">
        <f xml:space="preserve"> IFERROR( ( VfM_Metrics_2023_Consol_Source[[#This Row],[Total Costs]] / VfM_Metrics_2023_Consol_Source[[#This Row],[Total units for costs]] ) * 1000, "n/a" )</f>
        <v>5455.2036199095028</v>
      </c>
      <c r="BC14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30140</v>
      </c>
      <c r="BD146" s="84" vm="5322">
        <v>8090</v>
      </c>
      <c r="BE146" s="83" vm="5323">
        <v>2296</v>
      </c>
      <c r="BF146" s="83" vm="5324">
        <v>4515</v>
      </c>
      <c r="BG146" s="83" vm="5325">
        <v>2555</v>
      </c>
      <c r="BH146" s="83" vm="5084">
        <v>8436</v>
      </c>
      <c r="BI146" s="83" vm="5326">
        <v>0</v>
      </c>
      <c r="BJ146" s="83" vm="5319">
        <v>5359</v>
      </c>
      <c r="BK146" s="83" vm="5327">
        <v>-4687</v>
      </c>
      <c r="BL146" s="83" vm="5328">
        <v>1904</v>
      </c>
      <c r="BM146" s="83" vm="5329">
        <v>0</v>
      </c>
      <c r="BN146" s="83" vm="5330">
        <v>1672</v>
      </c>
      <c r="BO146" s="83" vm="5331">
        <v>0</v>
      </c>
      <c r="BP146" s="5" vm="5051">
        <f xml:space="preserve"> VfM_Metrics_2023_Consol_Source[[#This Row],[Total social housing units owned and/or managed at period end]]</f>
        <v>5525</v>
      </c>
      <c r="BQ146" s="84" vm="5051">
        <v>5525</v>
      </c>
      <c r="BR146" s="7">
        <f xml:space="preserve"> IFERROR( VfM_Metrics_2023_Consol_Source[[#This Row],[SHL operating surplus / (deficit)]] / VfM_Metrics_2023_Consol_Source[[#This Row],[Turnover from social housing lettings]], "n/a" )</f>
        <v>0.2345011186949503</v>
      </c>
      <c r="BS146" s="5" vm="5332">
        <f xml:space="preserve"> VfM_Metrics_2023_Consol_Source[[#This Row],[Operating surplus/(deficit) (social housing lettings)]]</f>
        <v>8280</v>
      </c>
      <c r="BT146" s="84" vm="5332">
        <v>8280</v>
      </c>
      <c r="BU146" s="5" vm="5535">
        <f xml:space="preserve"> VfM_Metrics_2023_Consol_Source[[#This Row],[Turnover from social housing lettings]]</f>
        <v>35309</v>
      </c>
      <c r="BV146" s="84" vm="5535">
        <v>35309</v>
      </c>
      <c r="BW146" s="7">
        <f xml:space="preserve"> IFERROR( VfM_Metrics_2023_Consol_Source[[#This Row],[Net operating surplus]] / VfM_Metrics_2023_Consol_Source[[#This Row],[Overall turnover]], "n/a" )</f>
        <v>0.16764953664700927</v>
      </c>
      <c r="BX14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6766</v>
      </c>
      <c r="BY146" s="84" vm="5316">
        <v>8834</v>
      </c>
      <c r="BZ146" s="83" vm="5317">
        <v>2068</v>
      </c>
      <c r="CA146" s="83" vm="7335">
        <v>0</v>
      </c>
      <c r="CB146" s="5" vm="5333">
        <f xml:space="preserve"> VfM_Metrics_2023_Consol_Source[[#This Row],[Turnover (overall)]]</f>
        <v>40358</v>
      </c>
      <c r="CC146" s="84" vm="5333">
        <v>40358</v>
      </c>
      <c r="CD146" s="7">
        <f xml:space="preserve"> IFERROR( VfM_Metrics_2023_Consol_Source[[#This Row],[Operating surplus including from JVs]] / VfM_Metrics_2023_Consol_Source[[#This Row],[Net assets]], "n/a" )</f>
        <v>2.8432663124116912E-2</v>
      </c>
      <c r="CE146" s="5">
        <f xml:space="preserve"> SUM( VfM_Metrics_2023_Consol_Source[[#This Row],[Operating surplus/(deficit) (overall)3]], VfM_Metrics_2023_Consol_Source[[#This Row],[Share of operating surplus/(deficit) in joint ventures or associates]] )</f>
        <v>8834</v>
      </c>
      <c r="CF146" s="84" vm="5316">
        <v>8834</v>
      </c>
      <c r="CG146" s="83" vm="5334">
        <v>0</v>
      </c>
      <c r="CH146" s="5" vm="7340">
        <f xml:space="preserve"> VfM_Metrics_2023_Consol_Source[[#This Row],[Total assets less current liabilities]]</f>
        <v>310699</v>
      </c>
      <c r="CI146" s="84" vm="7340">
        <v>310699</v>
      </c>
      <c r="CJ146" s="71" vm="5300">
        <f xml:space="preserve"> VfM_Metrics_2023_Consol_Source[[#This Row],[Total social housing units owned (Period end)]]</f>
        <v>5525</v>
      </c>
      <c r="CK146" s="103">
        <v>0</v>
      </c>
      <c r="CL146" s="6">
        <f xml:space="preserve"> -- ( VfM_Metrics_2023_Consol_Source[[#This Row],[% Supported housing (excl. HOP)]] &gt; 0.3 )</f>
        <v>0</v>
      </c>
      <c r="CM146" s="103">
        <v>0.31312217194570136</v>
      </c>
      <c r="CN146" s="6">
        <f xml:space="preserve"> -- ( VfM_Metrics_2023_Consol_Source[[#This Row],[% Housing for older people]] &gt; 0.3 )</f>
        <v>1</v>
      </c>
      <c r="CO146" s="103">
        <f xml:space="preserve"> VfM_Metrics_2023_Consol_Source[[#This Row],[% Supported housing (excl. HOP)]] + VfM_Metrics_2023_Consol_Source[[#This Row],[% Housing for older people]]</f>
        <v>0.31312217194570136</v>
      </c>
      <c r="CP146" s="6">
        <f xml:space="preserve"> -- ( VfM_Metrics_2023_Consol_Source[[#This Row],[SH specialist in RSH analysis]] + VfM_Metrics_2023_Consol_Source[[#This Row],[OP specialist in RSH analysis]] &gt; 0 )</f>
        <v>1</v>
      </c>
      <c r="CQ146" s="10">
        <f xml:space="preserve"> -- ( VfM_Metrics_2023_Consol_Source[[#This Row],[% SH and OP]] &gt; 0.3 )</f>
        <v>1</v>
      </c>
      <c r="CR146" s="104" t="s">
        <v>143</v>
      </c>
      <c r="CS146" s="124"/>
      <c r="CT146" s="105" t="s">
        <v>151</v>
      </c>
      <c r="CU14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46" s="85">
        <v>0</v>
      </c>
      <c r="CW146" s="85">
        <v>1</v>
      </c>
      <c r="CX146" s="85">
        <v>0</v>
      </c>
      <c r="CY146" s="85">
        <v>0</v>
      </c>
      <c r="CZ146" s="85">
        <v>0</v>
      </c>
      <c r="DA146" s="85">
        <v>0</v>
      </c>
      <c r="DB146" s="85">
        <v>0</v>
      </c>
      <c r="DC146" s="85">
        <v>0</v>
      </c>
      <c r="DD146" s="85">
        <v>0</v>
      </c>
      <c r="DE146" s="13">
        <v>1.0337125580623883</v>
      </c>
    </row>
    <row r="147" spans="1:109" x14ac:dyDescent="0.25">
      <c r="A147" s="4" t="s" vm="283">
        <v>418</v>
      </c>
      <c r="B147" s="2" t="s" vm="137">
        <v>419</v>
      </c>
      <c r="C147" s="72" vm="583">
        <v>45016</v>
      </c>
      <c r="D147" s="7">
        <f>IFERROR( VfM_Metrics_2023_Consol_Source[[#This Row],[Reinvestment Spend]] / VfM_Metrics_2023_Consol_Source[[#This Row],[Net Book Value of Housing Properties]], "n/a" )</f>
        <v>3.0270149450862059E-2</v>
      </c>
      <c r="E14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14897</v>
      </c>
      <c r="F147" s="83" vm="2754">
        <v>3809</v>
      </c>
      <c r="G147" s="83" vm="2755">
        <v>814</v>
      </c>
      <c r="H147" s="83" vm="2756">
        <v>10071</v>
      </c>
      <c r="I147" s="83" vm="2757">
        <v>203</v>
      </c>
      <c r="J147" s="83" vm="2758">
        <v>0</v>
      </c>
      <c r="K147" s="5">
        <f xml:space="preserve"> SUM( VfM_Metrics_2023_Consol_Source[[#This Row],[Tangible fixed assets: Housing properties at cost (Current period)]],VfM_Metrics_2023_Consol_Source[[#This Row],[Tangible fixed assets Housing properties at valuation (Current period)]] )</f>
        <v>492135</v>
      </c>
      <c r="L147" s="84" vm="2759">
        <v>492135</v>
      </c>
      <c r="M147" s="83">
        <v>0</v>
      </c>
      <c r="N147" s="7">
        <f xml:space="preserve"> IFERROR( VfM_Metrics_2023_Consol_Source[[#This Row],[Total social units developed or newly built units acquired in-year]] / VfM_Metrics_2023_Consol_Source[[#This Row],[Social housing units owned (period end)]], "n/a" )</f>
        <v>1.5772870662460569E-4</v>
      </c>
      <c r="O147" s="5">
        <f xml:space="preserve"> SUM( VfM_Metrics_2023_Consol_Source[[#This Row],[Total social units developed or newly built units acquired in-year (owned)]], VfM_Metrics_2023_Consol_Source[[#This Row],[Total social leasehold units developed or newly built units acquired in-year (owned)]] )</f>
        <v>2</v>
      </c>
      <c r="P147" s="84" vm="2760">
        <v>2</v>
      </c>
      <c r="Q147" s="83">
        <v>0</v>
      </c>
      <c r="R147" s="5">
        <f xml:space="preserve"> SUM( VfM_Metrics_2023_Consol_Source[[#This Row],[Total social housing units owned (Period end)]], VfM_Metrics_2023_Consol_Source[[#This Row],[Total social leasehold units owned (Period end)]] )</f>
        <v>12680</v>
      </c>
      <c r="S147" s="84" vm="2752">
        <v>12133</v>
      </c>
      <c r="T147" s="83" vm="2341">
        <v>547</v>
      </c>
      <c r="U147" s="86">
        <f xml:space="preserve"> IFERROR( VfM_Metrics_2023_Consol_Source[[#This Row],[Total non-social housing units developed or newly built units acquired (owned)]] / VfM_Metrics_2023_Consol_Source[[#This Row],[Total social and non-social housing units owned (Period end)]], "n/a" )</f>
        <v>2.3230602446956791E-4</v>
      </c>
      <c r="V14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v>
      </c>
      <c r="W147" s="83" vm="2762">
        <v>3</v>
      </c>
      <c r="X147" s="83">
        <v>0</v>
      </c>
      <c r="Y147" s="83" vm="2729">
        <v>0</v>
      </c>
      <c r="Z14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12914</v>
      </c>
      <c r="AA147" s="84" vm="2752">
        <v>12133</v>
      </c>
      <c r="AB147" s="83" vm="2761">
        <v>547</v>
      </c>
      <c r="AC147" s="83" vm="2763">
        <v>193</v>
      </c>
      <c r="AD147" s="83" vm="2764">
        <v>41</v>
      </c>
      <c r="AE147" s="7">
        <f xml:space="preserve"> IFERROR( VfM_Metrics_2023_Consol_Source[[#This Row],[Total Net Debt]] / VfM_Metrics_2023_Consol_Source[[#This Row],[Net Book Value of Housing Properties2]], "n/a" )</f>
        <v>0.41307974437908296</v>
      </c>
      <c r="AF14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203291</v>
      </c>
      <c r="AG147" s="84" vm="2765">
        <v>8239</v>
      </c>
      <c r="AH147" s="83" vm="2766">
        <v>206988</v>
      </c>
      <c r="AI147" s="83" vm="7485">
        <v>11936</v>
      </c>
      <c r="AJ147" s="83" vm="1675">
        <v>0</v>
      </c>
      <c r="AK147" s="83">
        <v>0</v>
      </c>
      <c r="AL147" s="5">
        <f xml:space="preserve"> SUM( VfM_Metrics_2023_Consol_Source[[#This Row],[Tangible fixed assets: Housing properties at cost (Current period)2]], VfM_Metrics_2023_Consol_Source[[#This Row],[Tangible fixed assets Housing properties at valuation (Current period)2]] )</f>
        <v>492135</v>
      </c>
      <c r="AM147" s="84" vm="2759">
        <v>492135</v>
      </c>
      <c r="AN147" s="83">
        <v>0</v>
      </c>
      <c r="AO147" s="87">
        <f xml:space="preserve"> IFERROR( VfM_Metrics_2023_Consol_Source[[#This Row],[EBITDA MRI]] / VfM_Metrics_2023_Consol_Source[[#This Row],[Total interest]], "n/a" )</f>
        <v>0.42051905920519062</v>
      </c>
      <c r="AP14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4148</v>
      </c>
      <c r="AQ147" s="84" vm="2767">
        <v>9545</v>
      </c>
      <c r="AR147" s="84" vm="2768">
        <v>2436</v>
      </c>
      <c r="AS147" s="84">
        <v>0</v>
      </c>
      <c r="AT147" s="84" vm="2769">
        <v>2820</v>
      </c>
      <c r="AU147" s="84" vm="2770">
        <v>0</v>
      </c>
      <c r="AV147" s="84" vm="2771">
        <v>81</v>
      </c>
      <c r="AW147" s="84" vm="2772">
        <v>10071</v>
      </c>
      <c r="AX147" s="84" vm="7833">
        <v>9849</v>
      </c>
      <c r="AY147" s="3">
        <f xml:space="preserve"> - SUM( VfM_Metrics_2023_Consol_Source[[#This Row],[Interest capitalised]], VfM_Metrics_2023_Consol_Source[[#This Row],[Interest payable and financing costs]] )</f>
        <v>9864</v>
      </c>
      <c r="AZ147" s="84" vm="2773">
        <v>-203</v>
      </c>
      <c r="BA147" s="83" vm="2774">
        <v>-9661</v>
      </c>
      <c r="BB147" s="8">
        <f xml:space="preserve"> IFERROR( ( VfM_Metrics_2023_Consol_Source[[#This Row],[Total Costs]] / VfM_Metrics_2023_Consol_Source[[#This Row],[Total units for costs]] ) * 1000, "n/a" )</f>
        <v>4450.757575757576</v>
      </c>
      <c r="BC14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54050</v>
      </c>
      <c r="BD147" s="84" vm="2775">
        <v>11836</v>
      </c>
      <c r="BE147" s="83" vm="7963">
        <v>6469</v>
      </c>
      <c r="BF147" s="83" vm="2776">
        <v>8774</v>
      </c>
      <c r="BG147" s="83" vm="2777">
        <v>8608</v>
      </c>
      <c r="BH147" s="83" vm="2778">
        <v>1618</v>
      </c>
      <c r="BI147" s="83" vm="2779">
        <v>0</v>
      </c>
      <c r="BJ147" s="83" vm="2550">
        <v>10071</v>
      </c>
      <c r="BK147" s="83" vm="2780">
        <v>727</v>
      </c>
      <c r="BL147" s="83" vm="2781">
        <v>3</v>
      </c>
      <c r="BM147" s="83" vm="2782">
        <v>113</v>
      </c>
      <c r="BN147" s="83" vm="2783">
        <v>5302</v>
      </c>
      <c r="BO147" s="83" vm="2656">
        <v>529</v>
      </c>
      <c r="BP147" s="5" vm="2753">
        <f xml:space="preserve"> VfM_Metrics_2023_Consol_Source[[#This Row],[Total social housing units owned and/or managed at period end]]</f>
        <v>12144</v>
      </c>
      <c r="BQ147" s="84" vm="2753">
        <v>12144</v>
      </c>
      <c r="BR147" s="7">
        <f xml:space="preserve"> IFERROR( VfM_Metrics_2023_Consol_Source[[#This Row],[SHL operating surplus / (deficit)]] / VfM_Metrics_2023_Consol_Source[[#This Row],[Turnover from social housing lettings]], "n/a" )</f>
        <v>0.19666284966464911</v>
      </c>
      <c r="BS147" s="5" vm="2784">
        <f xml:space="preserve"> VfM_Metrics_2023_Consol_Source[[#This Row],[Operating surplus/(deficit) (social housing lettings)]]</f>
        <v>12022</v>
      </c>
      <c r="BT147" s="84" vm="2784">
        <v>12022</v>
      </c>
      <c r="BU147" s="5" vm="2785">
        <f xml:space="preserve"> VfM_Metrics_2023_Consol_Source[[#This Row],[Turnover from social housing lettings]]</f>
        <v>61130</v>
      </c>
      <c r="BV147" s="84" vm="2785">
        <v>61130</v>
      </c>
      <c r="BW147" s="7">
        <f xml:space="preserve"> IFERROR( VfM_Metrics_2023_Consol_Source[[#This Row],[Net operating surplus]] / VfM_Metrics_2023_Consol_Source[[#This Row],[Overall turnover]], "n/a" )</f>
        <v>9.2787407330061605E-2</v>
      </c>
      <c r="BX14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7109</v>
      </c>
      <c r="BY147" s="84" vm="3190">
        <v>9545</v>
      </c>
      <c r="BZ147" s="83" vm="2768">
        <v>2436</v>
      </c>
      <c r="CA147" s="83">
        <v>0</v>
      </c>
      <c r="CB147" s="5" vm="2786">
        <f xml:space="preserve"> VfM_Metrics_2023_Consol_Source[[#This Row],[Turnover (overall)]]</f>
        <v>76616</v>
      </c>
      <c r="CC147" s="84" vm="2786">
        <v>76616</v>
      </c>
      <c r="CD147" s="7">
        <f xml:space="preserve"> IFERROR( VfM_Metrics_2023_Consol_Source[[#This Row],[Operating surplus including from JVs]] / VfM_Metrics_2023_Consol_Source[[#This Row],[Net assets]], "n/a" )</f>
        <v>1.7902156136060138E-2</v>
      </c>
      <c r="CE147" s="5">
        <f xml:space="preserve"> SUM( VfM_Metrics_2023_Consol_Source[[#This Row],[Operating surplus/(deficit) (overall)3]], VfM_Metrics_2023_Consol_Source[[#This Row],[Share of operating surplus/(deficit) in joint ventures or associates]] )</f>
        <v>9545</v>
      </c>
      <c r="CF147" s="84" vm="2767">
        <v>9545</v>
      </c>
      <c r="CG147" s="83">
        <v>0</v>
      </c>
      <c r="CH147" s="5" vm="2787">
        <f xml:space="preserve"> VfM_Metrics_2023_Consol_Source[[#This Row],[Total assets less current liabilities]]</f>
        <v>533176</v>
      </c>
      <c r="CI147" s="84" vm="2787">
        <v>533176</v>
      </c>
      <c r="CJ147" s="71" vm="2752">
        <f xml:space="preserve"> VfM_Metrics_2023_Consol_Source[[#This Row],[Total social housing units owned (Period end)]]</f>
        <v>12133</v>
      </c>
      <c r="CK147" s="103">
        <v>7.0981754995655955E-2</v>
      </c>
      <c r="CL147" s="6">
        <f xml:space="preserve"> -- ( VfM_Metrics_2023_Consol_Source[[#This Row],[% Supported housing (excl. HOP)]] &gt; 0.3 )</f>
        <v>0</v>
      </c>
      <c r="CM147" s="103">
        <v>8.2363162467419634E-2</v>
      </c>
      <c r="CN147" s="6">
        <f xml:space="preserve"> -- ( VfM_Metrics_2023_Consol_Source[[#This Row],[% Housing for older people]] &gt; 0.3 )</f>
        <v>0</v>
      </c>
      <c r="CO147" s="103">
        <f xml:space="preserve"> VfM_Metrics_2023_Consol_Source[[#This Row],[% Supported housing (excl. HOP)]] + VfM_Metrics_2023_Consol_Source[[#This Row],[% Housing for older people]]</f>
        <v>0.1533449174630756</v>
      </c>
      <c r="CP147" s="6">
        <f xml:space="preserve"> -- ( VfM_Metrics_2023_Consol_Source[[#This Row],[SH specialist in RSH analysis]] + VfM_Metrics_2023_Consol_Source[[#This Row],[OP specialist in RSH analysis]] &gt; 0 )</f>
        <v>0</v>
      </c>
      <c r="CQ147" s="10">
        <f xml:space="preserve"> -- ( VfM_Metrics_2023_Consol_Source[[#This Row],[% SH and OP]] &gt; 0.3 )</f>
        <v>0</v>
      </c>
      <c r="CR147" s="104" t="s">
        <v>143</v>
      </c>
      <c r="CS147" s="124" t="s">
        <v>144</v>
      </c>
      <c r="CT147" s="105"/>
      <c r="CU14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47" s="85">
        <v>0</v>
      </c>
      <c r="CW147" s="85">
        <v>0</v>
      </c>
      <c r="CX147" s="85">
        <v>0</v>
      </c>
      <c r="CY147" s="85">
        <v>0</v>
      </c>
      <c r="CZ147" s="85">
        <v>0</v>
      </c>
      <c r="DA147" s="85">
        <v>0</v>
      </c>
      <c r="DB147" s="85">
        <v>0</v>
      </c>
      <c r="DC147" s="85">
        <v>1</v>
      </c>
      <c r="DD147" s="85">
        <v>0</v>
      </c>
      <c r="DE147" s="13">
        <v>0.96105917141044694</v>
      </c>
    </row>
    <row r="148" spans="1:109" x14ac:dyDescent="0.25">
      <c r="A148" s="4" t="s" vm="360">
        <v>420</v>
      </c>
      <c r="B148" s="2" t="s" vm="138">
        <v>421</v>
      </c>
      <c r="C148" s="72" vm="493">
        <v>45016</v>
      </c>
      <c r="D148" s="7">
        <f>IFERROR( VfM_Metrics_2023_Consol_Source[[#This Row],[Reinvestment Spend]] / VfM_Metrics_2023_Consol_Source[[#This Row],[Net Book Value of Housing Properties]], "n/a" )</f>
        <v>5.9862334063379964E-2</v>
      </c>
      <c r="E14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26786</v>
      </c>
      <c r="F148" s="83" vm="7256">
        <v>14417</v>
      </c>
      <c r="G148" s="83" vm="3952">
        <v>0</v>
      </c>
      <c r="H148" s="83" vm="5439">
        <v>12369</v>
      </c>
      <c r="I148" s="83" vm="5440">
        <v>0</v>
      </c>
      <c r="J148" s="83" vm="5441">
        <v>0</v>
      </c>
      <c r="K148" s="5">
        <f xml:space="preserve"> SUM( VfM_Metrics_2023_Consol_Source[[#This Row],[Tangible fixed assets: Housing properties at cost (Current period)]],VfM_Metrics_2023_Consol_Source[[#This Row],[Tangible fixed assets Housing properties at valuation (Current period)]] )</f>
        <v>447460</v>
      </c>
      <c r="L148" s="84" vm="5442">
        <v>447460</v>
      </c>
      <c r="M148" s="83">
        <v>0</v>
      </c>
      <c r="N148" s="7">
        <f xml:space="preserve"> IFERROR( VfM_Metrics_2023_Consol_Source[[#This Row],[Total social units developed or newly built units acquired in-year]] / VfM_Metrics_2023_Consol_Source[[#This Row],[Social housing units owned (period end)]], "n/a" )</f>
        <v>3.7696335078534031E-3</v>
      </c>
      <c r="O148" s="5">
        <f xml:space="preserve"> SUM( VfM_Metrics_2023_Consol_Source[[#This Row],[Total social units developed or newly built units acquired in-year (owned)]], VfM_Metrics_2023_Consol_Source[[#This Row],[Total social leasehold units developed or newly built units acquired in-year (owned)]] )</f>
        <v>36</v>
      </c>
      <c r="P148" s="84" vm="5443">
        <v>36</v>
      </c>
      <c r="Q148" s="83">
        <v>0</v>
      </c>
      <c r="R148" s="5">
        <f xml:space="preserve"> SUM( VfM_Metrics_2023_Consol_Source[[#This Row],[Total social housing units owned (Period end)]], VfM_Metrics_2023_Consol_Source[[#This Row],[Total social leasehold units owned (Period end)]] )</f>
        <v>9550</v>
      </c>
      <c r="S148" s="84" vm="5437">
        <v>7588</v>
      </c>
      <c r="T148" s="83" vm="6952">
        <v>1962</v>
      </c>
      <c r="U148" s="86">
        <f xml:space="preserve"> IFERROR( VfM_Metrics_2023_Consol_Source[[#This Row],[Total non-social housing units developed or newly built units acquired (owned)]] / VfM_Metrics_2023_Consol_Source[[#This Row],[Total social and non-social housing units owned (Period end)]], "n/a" )</f>
        <v>0</v>
      </c>
      <c r="V14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48" s="83">
        <v>0</v>
      </c>
      <c r="X148" s="83">
        <v>0</v>
      </c>
      <c r="Y148" s="83">
        <v>0</v>
      </c>
      <c r="Z14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9559</v>
      </c>
      <c r="AA148" s="84" vm="7036">
        <v>7588</v>
      </c>
      <c r="AB148" s="83" vm="5444">
        <v>1962</v>
      </c>
      <c r="AC148" s="83" vm="5445">
        <v>9</v>
      </c>
      <c r="AD148" s="83" vm="5446">
        <v>0</v>
      </c>
      <c r="AE148" s="7">
        <f xml:space="preserve"> IFERROR( VfM_Metrics_2023_Consol_Source[[#This Row],[Total Net Debt]] / VfM_Metrics_2023_Consol_Source[[#This Row],[Net Book Value of Housing Properties2]], "n/a" )</f>
        <v>0.56483931524605546</v>
      </c>
      <c r="AF14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252743</v>
      </c>
      <c r="AG148" s="84" vm="5447">
        <v>35</v>
      </c>
      <c r="AH148" s="83" vm="5448">
        <v>293388</v>
      </c>
      <c r="AI148" s="83" vm="5449">
        <v>40680</v>
      </c>
      <c r="AJ148" s="83" vm="1675">
        <v>0</v>
      </c>
      <c r="AK148" s="83">
        <v>0</v>
      </c>
      <c r="AL148" s="5">
        <f xml:space="preserve"> SUM( VfM_Metrics_2023_Consol_Source[[#This Row],[Tangible fixed assets: Housing properties at cost (Current period)2]], VfM_Metrics_2023_Consol_Source[[#This Row],[Tangible fixed assets Housing properties at valuation (Current period)2]] )</f>
        <v>447460</v>
      </c>
      <c r="AM148" s="84" vm="5442">
        <v>447460</v>
      </c>
      <c r="AN148" s="83">
        <v>0</v>
      </c>
      <c r="AO148" s="87">
        <f xml:space="preserve"> IFERROR( VfM_Metrics_2023_Consol_Source[[#This Row],[EBITDA MRI]] / VfM_Metrics_2023_Consol_Source[[#This Row],[Total interest]], "n/a" )</f>
        <v>1.3510687198345208</v>
      </c>
      <c r="AP14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11757</v>
      </c>
      <c r="AQ148" s="84" vm="5450">
        <v>18647</v>
      </c>
      <c r="AR148" s="84" vm="5451">
        <v>1854</v>
      </c>
      <c r="AS148" s="84">
        <v>0</v>
      </c>
      <c r="AT148" s="84" vm="5452">
        <v>445</v>
      </c>
      <c r="AU148" s="84" vm="5453">
        <v>0</v>
      </c>
      <c r="AV148" s="84" vm="5454">
        <v>598</v>
      </c>
      <c r="AW148" s="84" vm="4898">
        <v>12369</v>
      </c>
      <c r="AX148" s="84" vm="5456">
        <v>7180</v>
      </c>
      <c r="AY148" s="3">
        <f xml:space="preserve"> - SUM( VfM_Metrics_2023_Consol_Source[[#This Row],[Interest capitalised]], VfM_Metrics_2023_Consol_Source[[#This Row],[Interest payable and financing costs]] )</f>
        <v>8702</v>
      </c>
      <c r="AZ148" s="84" vm="5457">
        <v>-1544</v>
      </c>
      <c r="BA148" s="83" vm="5458">
        <v>-7158</v>
      </c>
      <c r="BB148" s="8">
        <f xml:space="preserve"> IFERROR( ( VfM_Metrics_2023_Consol_Source[[#This Row],[Total Costs]] / VfM_Metrics_2023_Consol_Source[[#This Row],[Total units for costs]] ) * 1000, "n/a" )</f>
        <v>5197.9064442263652</v>
      </c>
      <c r="BC14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47670</v>
      </c>
      <c r="BD148" s="84" vm="5459">
        <v>10317</v>
      </c>
      <c r="BE148" s="83" vm="5460">
        <v>8933</v>
      </c>
      <c r="BF148" s="83" vm="5461">
        <v>5084</v>
      </c>
      <c r="BG148" s="83" vm="5462">
        <v>6203</v>
      </c>
      <c r="BH148" s="83" vm="5463">
        <v>2971</v>
      </c>
      <c r="BI148" s="83" vm="5464">
        <v>0</v>
      </c>
      <c r="BJ148" s="83" vm="5455">
        <v>12369</v>
      </c>
      <c r="BK148" s="83" vm="5465">
        <v>32</v>
      </c>
      <c r="BL148" s="83" vm="5754">
        <v>385</v>
      </c>
      <c r="BM148" s="83">
        <v>0</v>
      </c>
      <c r="BN148" s="83" vm="5466">
        <v>1376</v>
      </c>
      <c r="BO148" s="83">
        <v>0</v>
      </c>
      <c r="BP148" s="5" vm="5438">
        <f xml:space="preserve"> VfM_Metrics_2023_Consol_Source[[#This Row],[Total social housing units owned and/or managed at period end]]</f>
        <v>9171</v>
      </c>
      <c r="BQ148" s="84" vm="5438">
        <v>9171</v>
      </c>
      <c r="BR148" s="7">
        <f xml:space="preserve"> IFERROR( VfM_Metrics_2023_Consol_Source[[#This Row],[SHL operating surplus / (deficit)]] / VfM_Metrics_2023_Consol_Source[[#This Row],[Turnover from social housing lettings]], "n/a" )</f>
        <v>0.28326323168594464</v>
      </c>
      <c r="BS148" s="5" vm="5467">
        <f xml:space="preserve"> VfM_Metrics_2023_Consol_Source[[#This Row],[Operating surplus/(deficit) (social housing lettings)]]</f>
        <v>16163</v>
      </c>
      <c r="BT148" s="84" vm="5467">
        <v>16163</v>
      </c>
      <c r="BU148" s="5" vm="5468">
        <f xml:space="preserve"> VfM_Metrics_2023_Consol_Source[[#This Row],[Turnover from social housing lettings]]</f>
        <v>57060</v>
      </c>
      <c r="BV148" s="84" vm="5468">
        <v>57060</v>
      </c>
      <c r="BW148" s="7">
        <f xml:space="preserve"> IFERROR( VfM_Metrics_2023_Consol_Source[[#This Row],[Net operating surplus]] / VfM_Metrics_2023_Consol_Source[[#This Row],[Overall turnover]], "n/a" )</f>
        <v>0.25107649064051191</v>
      </c>
      <c r="BX14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16793</v>
      </c>
      <c r="BY148" s="84" vm="5450">
        <v>18647</v>
      </c>
      <c r="BZ148" s="83" vm="5451">
        <v>1854</v>
      </c>
      <c r="CA148" s="83">
        <v>0</v>
      </c>
      <c r="CB148" s="5" vm="5469">
        <f xml:space="preserve"> VfM_Metrics_2023_Consol_Source[[#This Row],[Turnover (overall)]]</f>
        <v>66884</v>
      </c>
      <c r="CC148" s="84" vm="5469">
        <v>66884</v>
      </c>
      <c r="CD148" s="7">
        <f xml:space="preserve"> IFERROR( VfM_Metrics_2023_Consol_Source[[#This Row],[Operating surplus including from JVs]] / VfM_Metrics_2023_Consol_Source[[#This Row],[Net assets]], "n/a" )</f>
        <v>3.7330808176862386E-2</v>
      </c>
      <c r="CE148" s="5">
        <f xml:space="preserve"> SUM( VfM_Metrics_2023_Consol_Source[[#This Row],[Operating surplus/(deficit) (overall)3]], VfM_Metrics_2023_Consol_Source[[#This Row],[Share of operating surplus/(deficit) in joint ventures or associates]] )</f>
        <v>18647</v>
      </c>
      <c r="CF148" s="84" vm="5450">
        <v>18647</v>
      </c>
      <c r="CG148" s="83">
        <v>0</v>
      </c>
      <c r="CH148" s="5" vm="5470">
        <f xml:space="preserve"> VfM_Metrics_2023_Consol_Source[[#This Row],[Total assets less current liabilities]]</f>
        <v>499507</v>
      </c>
      <c r="CI148" s="84" vm="5470">
        <v>499507</v>
      </c>
      <c r="CJ148" s="71" vm="5437">
        <f xml:space="preserve"> VfM_Metrics_2023_Consol_Source[[#This Row],[Total social housing units owned (Period end)]]</f>
        <v>7588</v>
      </c>
      <c r="CK148" s="103">
        <v>0</v>
      </c>
      <c r="CL148" s="6">
        <f xml:space="preserve"> -- ( VfM_Metrics_2023_Consol_Source[[#This Row],[% Supported housing (excl. HOP)]] &gt; 0.3 )</f>
        <v>0</v>
      </c>
      <c r="CM148" s="103">
        <v>5.1758460517584606E-2</v>
      </c>
      <c r="CN148" s="6">
        <f xml:space="preserve"> -- ( VfM_Metrics_2023_Consol_Source[[#This Row],[% Housing for older people]] &gt; 0.3 )</f>
        <v>0</v>
      </c>
      <c r="CO148" s="103">
        <f xml:space="preserve"> VfM_Metrics_2023_Consol_Source[[#This Row],[% Supported housing (excl. HOP)]] + VfM_Metrics_2023_Consol_Source[[#This Row],[% Housing for older people]]</f>
        <v>5.1758460517584606E-2</v>
      </c>
      <c r="CP148" s="6">
        <f xml:space="preserve"> -- ( VfM_Metrics_2023_Consol_Source[[#This Row],[SH specialist in RSH analysis]] + VfM_Metrics_2023_Consol_Source[[#This Row],[OP specialist in RSH analysis]] &gt; 0 )</f>
        <v>0</v>
      </c>
      <c r="CQ148" s="10">
        <f xml:space="preserve"> -- ( VfM_Metrics_2023_Consol_Source[[#This Row],[% SH and OP]] &gt; 0.3 )</f>
        <v>0</v>
      </c>
      <c r="CR148" s="104" t="s">
        <v>143</v>
      </c>
      <c r="CS148" s="124"/>
      <c r="CT148" s="105" t="s">
        <v>151</v>
      </c>
      <c r="CU14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48" s="85">
        <v>0.98648648648648651</v>
      </c>
      <c r="CW148" s="85">
        <v>1.2983571807101218E-2</v>
      </c>
      <c r="CX148" s="85">
        <v>0</v>
      </c>
      <c r="CY148" s="85">
        <v>0</v>
      </c>
      <c r="CZ148" s="85">
        <v>0</v>
      </c>
      <c r="DA148" s="85">
        <v>5.2994170641229468E-4</v>
      </c>
      <c r="DB148" s="85">
        <v>0</v>
      </c>
      <c r="DC148" s="85">
        <v>0</v>
      </c>
      <c r="DD148" s="85">
        <v>0</v>
      </c>
      <c r="DE148" s="13">
        <v>1.1586466171430616</v>
      </c>
    </row>
    <row r="149" spans="1:109" x14ac:dyDescent="0.25">
      <c r="A149" s="4" t="s" vm="273">
        <v>422</v>
      </c>
      <c r="B149" s="2" t="s" vm="139">
        <v>423</v>
      </c>
      <c r="C149" s="72" vm="481">
        <v>45016</v>
      </c>
      <c r="D149" s="7">
        <f>IFERROR( VfM_Metrics_2023_Consol_Source[[#This Row],[Reinvestment Spend]] / VfM_Metrics_2023_Consol_Source[[#This Row],[Net Book Value of Housing Properties]], "n/a" )</f>
        <v>9.2385864541571175E-2</v>
      </c>
      <c r="E14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16891</v>
      </c>
      <c r="F149" s="83" vm="1455">
        <v>4551</v>
      </c>
      <c r="G149" s="83" vm="7567">
        <v>0</v>
      </c>
      <c r="H149" s="83" vm="2431">
        <v>12340</v>
      </c>
      <c r="I149" s="83" vm="2432">
        <v>0</v>
      </c>
      <c r="J149" s="83" vm="2433">
        <v>0</v>
      </c>
      <c r="K149" s="5">
        <f xml:space="preserve"> SUM( VfM_Metrics_2023_Consol_Source[[#This Row],[Tangible fixed assets: Housing properties at cost (Current period)]],VfM_Metrics_2023_Consol_Source[[#This Row],[Tangible fixed assets Housing properties at valuation (Current period)]] )</f>
        <v>182831</v>
      </c>
      <c r="L149" s="84" vm="2434">
        <v>182831</v>
      </c>
      <c r="M149" s="83" vm="2435">
        <v>0</v>
      </c>
      <c r="N149" s="7">
        <f xml:space="preserve"> IFERROR( VfM_Metrics_2023_Consol_Source[[#This Row],[Total social units developed or newly built units acquired in-year]] / VfM_Metrics_2023_Consol_Source[[#This Row],[Social housing units owned (period end)]], "n/a" )</f>
        <v>5.0734107156583906E-3</v>
      </c>
      <c r="O149" s="5">
        <f xml:space="preserve"> SUM( VfM_Metrics_2023_Consol_Source[[#This Row],[Total social units developed or newly built units acquired in-year (owned)]], VfM_Metrics_2023_Consol_Source[[#This Row],[Total social leasehold units developed or newly built units acquired in-year (owned)]] )</f>
        <v>66</v>
      </c>
      <c r="P149" s="84" vm="7226">
        <v>66</v>
      </c>
      <c r="Q149" s="83" vm="2436">
        <v>0</v>
      </c>
      <c r="R149" s="5">
        <f xml:space="preserve"> SUM( VfM_Metrics_2023_Consol_Source[[#This Row],[Total social housing units owned (Period end)]], VfM_Metrics_2023_Consol_Source[[#This Row],[Total social leasehold units owned (Period end)]] )</f>
        <v>13009</v>
      </c>
      <c r="S149" s="84" vm="2429">
        <v>12381</v>
      </c>
      <c r="T149" s="83" vm="2098">
        <v>628</v>
      </c>
      <c r="U149" s="86">
        <f xml:space="preserve"> IFERROR( VfM_Metrics_2023_Consol_Source[[#This Row],[Total non-social housing units developed or newly built units acquired (owned)]] / VfM_Metrics_2023_Consol_Source[[#This Row],[Total social and non-social housing units owned (Period end)]], "n/a" )</f>
        <v>0</v>
      </c>
      <c r="V14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49" s="83" vm="6754">
        <v>0</v>
      </c>
      <c r="X149" s="83" vm="2438">
        <v>0</v>
      </c>
      <c r="Y149" s="83" vm="2184">
        <v>0</v>
      </c>
      <c r="Z14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13010</v>
      </c>
      <c r="AA149" s="84" vm="7791">
        <v>12381</v>
      </c>
      <c r="AB149" s="83" vm="2437">
        <v>628</v>
      </c>
      <c r="AC149" s="83" vm="2439">
        <v>1</v>
      </c>
      <c r="AD149" s="83" vm="2440">
        <v>0</v>
      </c>
      <c r="AE149" s="7">
        <f xml:space="preserve"> IFERROR( VfM_Metrics_2023_Consol_Source[[#This Row],[Total Net Debt]] / VfM_Metrics_2023_Consol_Source[[#This Row],[Net Book Value of Housing Properties2]], "n/a" )</f>
        <v>5.2102761566692739E-2</v>
      </c>
      <c r="AF14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9526</v>
      </c>
      <c r="AG149" s="84" vm="2441">
        <v>732</v>
      </c>
      <c r="AH149" s="83" vm="2442">
        <v>44641</v>
      </c>
      <c r="AI149" s="83" vm="2443">
        <v>35847</v>
      </c>
      <c r="AJ149" s="83" vm="7876">
        <v>0</v>
      </c>
      <c r="AK149" s="83" vm="2444">
        <v>0</v>
      </c>
      <c r="AL149" s="5">
        <f xml:space="preserve"> SUM( VfM_Metrics_2023_Consol_Source[[#This Row],[Tangible fixed assets: Housing properties at cost (Current period)2]], VfM_Metrics_2023_Consol_Source[[#This Row],[Tangible fixed assets Housing properties at valuation (Current period)2]] )</f>
        <v>182831</v>
      </c>
      <c r="AM149" s="84" vm="2434">
        <v>182831</v>
      </c>
      <c r="AN149" s="83" vm="2435">
        <v>0</v>
      </c>
      <c r="AO149" s="87">
        <f xml:space="preserve"> IFERROR( VfM_Metrics_2023_Consol_Source[[#This Row],[EBITDA MRI]] / VfM_Metrics_2023_Consol_Source[[#This Row],[Total interest]], "n/a" )</f>
        <v>-3.5489781536293163</v>
      </c>
      <c r="AP14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-5036</v>
      </c>
      <c r="AQ149" s="84" vm="7848">
        <v>5127</v>
      </c>
      <c r="AR149" s="84" vm="8024">
        <v>4532</v>
      </c>
      <c r="AS149" s="84" vm="2615">
        <v>0</v>
      </c>
      <c r="AT149" s="84" vm="2447">
        <v>159</v>
      </c>
      <c r="AU149" s="84" vm="2448">
        <v>0</v>
      </c>
      <c r="AV149" s="84" vm="2449">
        <v>775</v>
      </c>
      <c r="AW149" s="84" vm="2450">
        <v>12340</v>
      </c>
      <c r="AX149" s="84" vm="2451">
        <v>6093</v>
      </c>
      <c r="AY149" s="3">
        <f xml:space="preserve"> - SUM( VfM_Metrics_2023_Consol_Source[[#This Row],[Interest capitalised]], VfM_Metrics_2023_Consol_Source[[#This Row],[Interest payable and financing costs]] )</f>
        <v>1419</v>
      </c>
      <c r="AZ149" s="84" vm="7093">
        <v>0</v>
      </c>
      <c r="BA149" s="83" vm="2452">
        <v>-1419</v>
      </c>
      <c r="BB149" s="8">
        <f xml:space="preserve"> IFERROR( ( VfM_Metrics_2023_Consol_Source[[#This Row],[Total Costs]] / VfM_Metrics_2023_Consol_Source[[#This Row],[Total units for costs]] ) * 1000, "n/a" )</f>
        <v>5093.6087798579729</v>
      </c>
      <c r="BC14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63120</v>
      </c>
      <c r="BD149" s="84" vm="2453">
        <v>14780</v>
      </c>
      <c r="BE149" s="83" vm="2454">
        <v>6497</v>
      </c>
      <c r="BF149" s="83" vm="2455">
        <v>12957</v>
      </c>
      <c r="BG149" s="83" vm="2456">
        <v>2833</v>
      </c>
      <c r="BH149" s="83" vm="2457">
        <v>3273</v>
      </c>
      <c r="BI149" s="83" vm="3235">
        <v>780</v>
      </c>
      <c r="BJ149" s="83" vm="2450">
        <v>12340</v>
      </c>
      <c r="BK149" s="83" vm="2458">
        <v>1172</v>
      </c>
      <c r="BL149" s="83" vm="7565">
        <v>0</v>
      </c>
      <c r="BM149" s="83" vm="7224">
        <v>0</v>
      </c>
      <c r="BN149" s="83" vm="2459">
        <v>8487</v>
      </c>
      <c r="BO149" s="83" vm="2460">
        <v>1</v>
      </c>
      <c r="BP149" s="5" vm="2430">
        <f xml:space="preserve"> VfM_Metrics_2023_Consol_Source[[#This Row],[Total social housing units owned and/or managed at period end]]</f>
        <v>12392</v>
      </c>
      <c r="BQ149" s="84" vm="2430">
        <v>12392</v>
      </c>
      <c r="BR149" s="7">
        <f xml:space="preserve"> IFERROR( VfM_Metrics_2023_Consol_Source[[#This Row],[SHL operating surplus / (deficit)]] / VfM_Metrics_2023_Consol_Source[[#This Row],[Turnover from social housing lettings]], "n/a" )</f>
        <v>0.10088023873425798</v>
      </c>
      <c r="BS149" s="5" vm="2461">
        <f xml:space="preserve"> VfM_Metrics_2023_Consol_Source[[#This Row],[Operating surplus/(deficit) (social housing lettings)]]</f>
        <v>5375</v>
      </c>
      <c r="BT149" s="84" vm="2461">
        <v>5375</v>
      </c>
      <c r="BU149" s="5" vm="2462">
        <f xml:space="preserve"> VfM_Metrics_2023_Consol_Source[[#This Row],[Turnover from social housing lettings]]</f>
        <v>53281</v>
      </c>
      <c r="BV149" s="84" vm="2462">
        <v>53281</v>
      </c>
      <c r="BW149" s="7">
        <f xml:space="preserve"> IFERROR( VfM_Metrics_2023_Consol_Source[[#This Row],[Net operating surplus]] / VfM_Metrics_2023_Consol_Source[[#This Row],[Overall turnover]], "n/a" )</f>
        <v>1.0386119257086998E-2</v>
      </c>
      <c r="BX14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595</v>
      </c>
      <c r="BY149" s="84" vm="2445">
        <v>5127</v>
      </c>
      <c r="BZ149" s="83" vm="8018">
        <v>4532</v>
      </c>
      <c r="CA149" s="83" vm="2446">
        <v>0</v>
      </c>
      <c r="CB149" s="5" vm="2463">
        <f xml:space="preserve"> VfM_Metrics_2023_Consol_Source[[#This Row],[Turnover (overall)]]</f>
        <v>57288</v>
      </c>
      <c r="CC149" s="84" vm="2463">
        <v>57288</v>
      </c>
      <c r="CD149" s="7">
        <f xml:space="preserve"> IFERROR( VfM_Metrics_2023_Consol_Source[[#This Row],[Operating surplus including from JVs]] / VfM_Metrics_2023_Consol_Source[[#This Row],[Net assets]], "n/a" )</f>
        <v>2.1187088562608734E-2</v>
      </c>
      <c r="CE149" s="5">
        <f xml:space="preserve"> SUM( VfM_Metrics_2023_Consol_Source[[#This Row],[Operating surplus/(deficit) (overall)3]], VfM_Metrics_2023_Consol_Source[[#This Row],[Share of operating surplus/(deficit) in joint ventures or associates]] )</f>
        <v>5127</v>
      </c>
      <c r="CF149" s="84" vm="2445">
        <v>5127</v>
      </c>
      <c r="CG149" s="83" vm="2465">
        <v>0</v>
      </c>
      <c r="CH149" s="5" vm="2464">
        <f xml:space="preserve"> VfM_Metrics_2023_Consol_Source[[#This Row],[Total assets less current liabilities]]</f>
        <v>241987</v>
      </c>
      <c r="CI149" s="84" vm="2464">
        <v>241987</v>
      </c>
      <c r="CJ149" s="71" vm="2429">
        <f xml:space="preserve"> VfM_Metrics_2023_Consol_Source[[#This Row],[Total social housing units owned (Period end)]]</f>
        <v>12381</v>
      </c>
      <c r="CK149" s="103">
        <v>0</v>
      </c>
      <c r="CL149" s="6">
        <f xml:space="preserve"> -- ( VfM_Metrics_2023_Consol_Source[[#This Row],[% Supported housing (excl. HOP)]] &gt; 0.3 )</f>
        <v>0</v>
      </c>
      <c r="CM149" s="103">
        <v>7.5512841221127447E-2</v>
      </c>
      <c r="CN149" s="6">
        <f xml:space="preserve"> -- ( VfM_Metrics_2023_Consol_Source[[#This Row],[% Housing for older people]] &gt; 0.3 )</f>
        <v>0</v>
      </c>
      <c r="CO149" s="103">
        <f xml:space="preserve"> VfM_Metrics_2023_Consol_Source[[#This Row],[% Supported housing (excl. HOP)]] + VfM_Metrics_2023_Consol_Source[[#This Row],[% Housing for older people]]</f>
        <v>7.5512841221127447E-2</v>
      </c>
      <c r="CP149" s="6">
        <f xml:space="preserve"> -- ( VfM_Metrics_2023_Consol_Source[[#This Row],[SH specialist in RSH analysis]] + VfM_Metrics_2023_Consol_Source[[#This Row],[OP specialist in RSH analysis]] &gt; 0 )</f>
        <v>0</v>
      </c>
      <c r="CQ149" s="10">
        <f xml:space="preserve"> -- ( VfM_Metrics_2023_Consol_Source[[#This Row],[% SH and OP]] &gt; 0.3 )</f>
        <v>0</v>
      </c>
      <c r="CR149" s="104" t="s">
        <v>168</v>
      </c>
      <c r="CS149" s="124">
        <v>40994</v>
      </c>
      <c r="CT149" s="105" t="s">
        <v>169</v>
      </c>
      <c r="CU14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49" s="85">
        <v>0</v>
      </c>
      <c r="CW149" s="85">
        <v>0</v>
      </c>
      <c r="CX149" s="85">
        <v>0</v>
      </c>
      <c r="CY149" s="85">
        <v>0</v>
      </c>
      <c r="CZ149" s="85">
        <v>0</v>
      </c>
      <c r="DA149" s="85">
        <v>0</v>
      </c>
      <c r="DB149" s="85">
        <v>0</v>
      </c>
      <c r="DC149" s="85">
        <v>1</v>
      </c>
      <c r="DD149" s="85">
        <v>0</v>
      </c>
      <c r="DE149" s="13">
        <v>0.96105917141044694</v>
      </c>
    </row>
    <row r="150" spans="1:109" x14ac:dyDescent="0.25">
      <c r="A150" s="4" t="s" vm="364">
        <v>424</v>
      </c>
      <c r="B150" s="2" t="s" vm="140">
        <v>425</v>
      </c>
      <c r="C150" s="72" vm="532">
        <v>45016</v>
      </c>
      <c r="D150" s="7">
        <f>IFERROR( VfM_Metrics_2023_Consol_Source[[#This Row],[Reinvestment Spend]] / VfM_Metrics_2023_Consol_Source[[#This Row],[Net Book Value of Housing Properties]], "n/a" )</f>
        <v>6.4042536513991583E-2</v>
      </c>
      <c r="E15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24511</v>
      </c>
      <c r="F150" s="83" vm="5573">
        <v>14626</v>
      </c>
      <c r="G150" s="83" vm="5574">
        <v>3481</v>
      </c>
      <c r="H150" s="83" vm="5575">
        <v>5803</v>
      </c>
      <c r="I150" s="83" vm="5576">
        <v>601</v>
      </c>
      <c r="J150" s="83" vm="6917">
        <v>0</v>
      </c>
      <c r="K150" s="5">
        <f xml:space="preserve"> SUM( VfM_Metrics_2023_Consol_Source[[#This Row],[Tangible fixed assets: Housing properties at cost (Current period)]],VfM_Metrics_2023_Consol_Source[[#This Row],[Tangible fixed assets Housing properties at valuation (Current period)]] )</f>
        <v>382730</v>
      </c>
      <c r="L150" s="84" vm="5577">
        <v>382730</v>
      </c>
      <c r="M150" s="83">
        <v>0</v>
      </c>
      <c r="N150" s="7">
        <f xml:space="preserve"> IFERROR( VfM_Metrics_2023_Consol_Source[[#This Row],[Total social units developed or newly built units acquired in-year]] / VfM_Metrics_2023_Consol_Source[[#This Row],[Social housing units owned (period end)]], "n/a" )</f>
        <v>2.4933214603739984E-2</v>
      </c>
      <c r="O150" s="5">
        <f xml:space="preserve"> SUM( VfM_Metrics_2023_Consol_Source[[#This Row],[Total social units developed or newly built units acquired in-year (owned)]], VfM_Metrics_2023_Consol_Source[[#This Row],[Total social leasehold units developed or newly built units acquired in-year (owned)]] )</f>
        <v>168</v>
      </c>
      <c r="P150" s="84" vm="5578">
        <v>168</v>
      </c>
      <c r="Q150" s="83">
        <v>0</v>
      </c>
      <c r="R150" s="5">
        <f xml:space="preserve"> SUM( VfM_Metrics_2023_Consol_Source[[#This Row],[Total social housing units owned (Period end)]], VfM_Metrics_2023_Consol_Source[[#This Row],[Total social leasehold units owned (Period end)]] )</f>
        <v>6738</v>
      </c>
      <c r="S150" s="84" vm="4408">
        <v>6609</v>
      </c>
      <c r="T150" s="83" vm="5579">
        <v>129</v>
      </c>
      <c r="U150" s="86">
        <f xml:space="preserve"> IFERROR( VfM_Metrics_2023_Consol_Source[[#This Row],[Total non-social housing units developed or newly built units acquired (owned)]] / VfM_Metrics_2023_Consol_Source[[#This Row],[Total social and non-social housing units owned (Period end)]], "n/a" )</f>
        <v>0</v>
      </c>
      <c r="V15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50" s="83">
        <v>0</v>
      </c>
      <c r="X150" s="83">
        <v>0</v>
      </c>
      <c r="Y150" s="83">
        <v>0</v>
      </c>
      <c r="Z15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6775</v>
      </c>
      <c r="AA150" s="84" vm="5571">
        <v>6609</v>
      </c>
      <c r="AB150" s="83" vm="5579">
        <v>129</v>
      </c>
      <c r="AC150" s="83" vm="5580">
        <v>36</v>
      </c>
      <c r="AD150" s="83" vm="5581">
        <v>1</v>
      </c>
      <c r="AE150" s="7">
        <f xml:space="preserve"> IFERROR( VfM_Metrics_2023_Consol_Source[[#This Row],[Total Net Debt]] / VfM_Metrics_2023_Consol_Source[[#This Row],[Net Book Value of Housing Properties2]], "n/a" )</f>
        <v>0.56795391006714913</v>
      </c>
      <c r="AF15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217373</v>
      </c>
      <c r="AG150" s="84" vm="5582">
        <v>6032</v>
      </c>
      <c r="AH150" s="83" vm="5583">
        <v>227601</v>
      </c>
      <c r="AI150" s="83" vm="5584">
        <v>16297</v>
      </c>
      <c r="AJ150" s="83" vm="1675">
        <v>0</v>
      </c>
      <c r="AK150" s="83" vm="5585">
        <v>37</v>
      </c>
      <c r="AL150" s="5">
        <f xml:space="preserve"> SUM( VfM_Metrics_2023_Consol_Source[[#This Row],[Tangible fixed assets: Housing properties at cost (Current period)2]], VfM_Metrics_2023_Consol_Source[[#This Row],[Tangible fixed assets Housing properties at valuation (Current period)2]] )</f>
        <v>382730</v>
      </c>
      <c r="AM150" s="84" vm="5577">
        <v>382730</v>
      </c>
      <c r="AN150" s="83">
        <v>0</v>
      </c>
      <c r="AO150" s="87">
        <f xml:space="preserve"> IFERROR( VfM_Metrics_2023_Consol_Source[[#This Row],[EBITDA MRI]] / VfM_Metrics_2023_Consol_Source[[#This Row],[Total interest]], "n/a" )</f>
        <v>1.0193461710703089</v>
      </c>
      <c r="AP15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11381</v>
      </c>
      <c r="AQ150" s="84" vm="5586">
        <v>13470</v>
      </c>
      <c r="AR150" s="84" vm="5587">
        <v>644</v>
      </c>
      <c r="AS150" s="84">
        <v>0</v>
      </c>
      <c r="AT150" s="84" vm="7035">
        <v>795</v>
      </c>
      <c r="AU150" s="84" vm="5588">
        <v>0</v>
      </c>
      <c r="AV150" s="84" vm="5589">
        <v>471</v>
      </c>
      <c r="AW150" s="84" vm="5590">
        <v>6014</v>
      </c>
      <c r="AX150" s="84" vm="6912">
        <v>4893</v>
      </c>
      <c r="AY150" s="3">
        <f xml:space="preserve"> - SUM( VfM_Metrics_2023_Consol_Source[[#This Row],[Interest capitalised]], VfM_Metrics_2023_Consol_Source[[#This Row],[Interest payable and financing costs]] )</f>
        <v>11165</v>
      </c>
      <c r="AZ150" s="84" vm="5591">
        <v>-601</v>
      </c>
      <c r="BA150" s="83" vm="5592">
        <v>-10564</v>
      </c>
      <c r="BB150" s="8">
        <f xml:space="preserve"> IFERROR( ( VfM_Metrics_2023_Consol_Source[[#This Row],[Total Costs]] / VfM_Metrics_2023_Consol_Source[[#This Row],[Total units for costs]] ) * 1000, "n/a" )</f>
        <v>4664.8061547744755</v>
      </c>
      <c r="BC15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30923</v>
      </c>
      <c r="BD150" s="84" vm="7272">
        <v>5758</v>
      </c>
      <c r="BE150" s="83" vm="5593">
        <v>5172</v>
      </c>
      <c r="BF150" s="83" vm="5594">
        <v>10065</v>
      </c>
      <c r="BG150" s="83" vm="5595">
        <v>929</v>
      </c>
      <c r="BH150" s="83" vm="5596">
        <v>0</v>
      </c>
      <c r="BI150" s="83" vm="5597">
        <v>0</v>
      </c>
      <c r="BJ150" s="83" vm="7034">
        <v>6014</v>
      </c>
      <c r="BK150" s="83" vm="5598">
        <v>0</v>
      </c>
      <c r="BL150" s="83">
        <v>0</v>
      </c>
      <c r="BM150" s="83">
        <v>0</v>
      </c>
      <c r="BN150" s="83" vm="5599">
        <v>1798</v>
      </c>
      <c r="BO150" s="83" vm="5600">
        <v>1187</v>
      </c>
      <c r="BP150" s="5" vm="5572">
        <f xml:space="preserve"> VfM_Metrics_2023_Consol_Source[[#This Row],[Total social housing units owned and/or managed at period end]]</f>
        <v>6629</v>
      </c>
      <c r="BQ150" s="84" vm="5572">
        <v>6629</v>
      </c>
      <c r="BR150" s="7">
        <f xml:space="preserve"> IFERROR( VfM_Metrics_2023_Consol_Source[[#This Row],[SHL operating surplus / (deficit)]] / VfM_Metrics_2023_Consol_Source[[#This Row],[Turnover from social housing lettings]], "n/a" )</f>
        <v>0.31756364645623597</v>
      </c>
      <c r="BS150" s="5" vm="6949">
        <f xml:space="preserve"> VfM_Metrics_2023_Consol_Source[[#This Row],[Operating surplus/(deficit) (social housing lettings)]]</f>
        <v>12586</v>
      </c>
      <c r="BT150" s="84" vm="6949">
        <v>12586</v>
      </c>
      <c r="BU150" s="5" vm="7271">
        <f xml:space="preserve"> VfM_Metrics_2023_Consol_Source[[#This Row],[Turnover from social housing lettings]]</f>
        <v>39633</v>
      </c>
      <c r="BV150" s="84" vm="7271">
        <v>39633</v>
      </c>
      <c r="BW150" s="7">
        <f xml:space="preserve"> IFERROR( VfM_Metrics_2023_Consol_Source[[#This Row],[Net operating surplus]] / VfM_Metrics_2023_Consol_Source[[#This Row],[Overall turnover]], "n/a" )</f>
        <v>0.26918233713901946</v>
      </c>
      <c r="BX15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12826</v>
      </c>
      <c r="BY150" s="84" vm="5586">
        <v>13470</v>
      </c>
      <c r="BZ150" s="83" vm="5587">
        <v>644</v>
      </c>
      <c r="CA150" s="83">
        <v>0</v>
      </c>
      <c r="CB150" s="5" vm="7033">
        <f xml:space="preserve"> VfM_Metrics_2023_Consol_Source[[#This Row],[Turnover (overall)]]</f>
        <v>47648</v>
      </c>
      <c r="CC150" s="84" vm="7033">
        <v>47648</v>
      </c>
      <c r="CD150" s="7">
        <f xml:space="preserve"> IFERROR( VfM_Metrics_2023_Consol_Source[[#This Row],[Operating surplus including from JVs]] / VfM_Metrics_2023_Consol_Source[[#This Row],[Net assets]], "n/a" )</f>
        <v>3.5098690639046318E-2</v>
      </c>
      <c r="CE150" s="5">
        <f xml:space="preserve"> SUM( VfM_Metrics_2023_Consol_Source[[#This Row],[Operating surplus/(deficit) (overall)3]], VfM_Metrics_2023_Consol_Source[[#This Row],[Share of operating surplus/(deficit) in joint ventures or associates]] )</f>
        <v>13470</v>
      </c>
      <c r="CF150" s="84" vm="3683">
        <v>13470</v>
      </c>
      <c r="CG150" s="83">
        <v>0</v>
      </c>
      <c r="CH150" s="5" vm="5601">
        <f xml:space="preserve"> VfM_Metrics_2023_Consol_Source[[#This Row],[Total assets less current liabilities]]</f>
        <v>383775</v>
      </c>
      <c r="CI150" s="84" vm="5601">
        <v>383775</v>
      </c>
      <c r="CJ150" s="71" vm="4408">
        <f xml:space="preserve"> VfM_Metrics_2023_Consol_Source[[#This Row],[Total social housing units owned (Period end)]]</f>
        <v>6609</v>
      </c>
      <c r="CK150" s="103">
        <v>1.8569254185692542E-2</v>
      </c>
      <c r="CL150" s="6">
        <f xml:space="preserve"> -- ( VfM_Metrics_2023_Consol_Source[[#This Row],[% Supported housing (excl. HOP)]] &gt; 0.3 )</f>
        <v>0</v>
      </c>
      <c r="CM150" s="103">
        <v>6.5296803652968041E-2</v>
      </c>
      <c r="CN150" s="6">
        <f xml:space="preserve"> -- ( VfM_Metrics_2023_Consol_Source[[#This Row],[% Housing for older people]] &gt; 0.3 )</f>
        <v>0</v>
      </c>
      <c r="CO150" s="103">
        <f xml:space="preserve"> VfM_Metrics_2023_Consol_Source[[#This Row],[% Supported housing (excl. HOP)]] + VfM_Metrics_2023_Consol_Source[[#This Row],[% Housing for older people]]</f>
        <v>8.3866057838660579E-2</v>
      </c>
      <c r="CP150" s="6">
        <f xml:space="preserve"> -- ( VfM_Metrics_2023_Consol_Source[[#This Row],[SH specialist in RSH analysis]] + VfM_Metrics_2023_Consol_Source[[#This Row],[OP specialist in RSH analysis]] &gt; 0 )</f>
        <v>0</v>
      </c>
      <c r="CQ150" s="10">
        <f xml:space="preserve"> -- ( VfM_Metrics_2023_Consol_Source[[#This Row],[% SH and OP]] &gt; 0.3 )</f>
        <v>0</v>
      </c>
      <c r="CR150" s="104" t="s">
        <v>143</v>
      </c>
      <c r="CS150" s="124"/>
      <c r="CT150" s="105" t="s">
        <v>151</v>
      </c>
      <c r="CU15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50" s="85">
        <v>0</v>
      </c>
      <c r="CW150" s="85">
        <v>0</v>
      </c>
      <c r="CX150" s="85">
        <v>0.19815179518254811</v>
      </c>
      <c r="CY150" s="85">
        <v>0</v>
      </c>
      <c r="CZ150" s="85">
        <v>0.80184820481745189</v>
      </c>
      <c r="DA150" s="85">
        <v>0</v>
      </c>
      <c r="DB150" s="85">
        <v>0</v>
      </c>
      <c r="DC150" s="85">
        <v>0</v>
      </c>
      <c r="DD150" s="85">
        <v>0</v>
      </c>
      <c r="DE150" s="13">
        <v>0.96667661291632978</v>
      </c>
    </row>
    <row r="151" spans="1:109" x14ac:dyDescent="0.25">
      <c r="A151" s="4" t="s" vm="384">
        <v>426</v>
      </c>
      <c r="B151" s="2" t="s" vm="141">
        <v>427</v>
      </c>
      <c r="C151" s="72" vm="488">
        <v>45016</v>
      </c>
      <c r="D151" s="7">
        <f>IFERROR( VfM_Metrics_2023_Consol_Source[[#This Row],[Reinvestment Spend]] / VfM_Metrics_2023_Consol_Source[[#This Row],[Net Book Value of Housing Properties]], "n/a" )</f>
        <v>0.11918287015705428</v>
      </c>
      <c r="E15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36213</v>
      </c>
      <c r="F151" s="83" vm="6338">
        <v>29245</v>
      </c>
      <c r="G151" s="83" vm="6339">
        <v>0</v>
      </c>
      <c r="H151" s="83" vm="6340">
        <v>6968</v>
      </c>
      <c r="I151" s="83" vm="6341">
        <v>0</v>
      </c>
      <c r="J151" s="83" vm="6342">
        <v>0</v>
      </c>
      <c r="K151" s="5">
        <f xml:space="preserve"> SUM( VfM_Metrics_2023_Consol_Source[[#This Row],[Tangible fixed assets: Housing properties at cost (Current period)]],VfM_Metrics_2023_Consol_Source[[#This Row],[Tangible fixed assets Housing properties at valuation (Current period)]] )</f>
        <v>303844</v>
      </c>
      <c r="L151" s="84" vm="6300">
        <v>303844</v>
      </c>
      <c r="M151" s="83" vm="6877">
        <v>0</v>
      </c>
      <c r="N151" s="7">
        <f xml:space="preserve"> IFERROR( VfM_Metrics_2023_Consol_Source[[#This Row],[Total social units developed or newly built units acquired in-year]] / VfM_Metrics_2023_Consol_Source[[#This Row],[Social housing units owned (period end)]], "n/a" )</f>
        <v>1.5544823422879566E-2</v>
      </c>
      <c r="O151" s="5">
        <f xml:space="preserve"> SUM( VfM_Metrics_2023_Consol_Source[[#This Row],[Total social units developed or newly built units acquired in-year (owned)]], VfM_Metrics_2023_Consol_Source[[#This Row],[Total social leasehold units developed or newly built units acquired in-year (owned)]] )</f>
        <v>103</v>
      </c>
      <c r="P151" s="84" vm="6345">
        <v>103</v>
      </c>
      <c r="Q151" s="83" vm="6346">
        <v>0</v>
      </c>
      <c r="R151" s="5">
        <f xml:space="preserve"> SUM( VfM_Metrics_2023_Consol_Source[[#This Row],[Total social housing units owned (Period end)]], VfM_Metrics_2023_Consol_Source[[#This Row],[Total social leasehold units owned (Period end)]] )</f>
        <v>6626</v>
      </c>
      <c r="S151" s="84" vm="6336">
        <v>6626</v>
      </c>
      <c r="T151" s="83" vm="7204">
        <v>0</v>
      </c>
      <c r="U151" s="86">
        <f xml:space="preserve"> IFERROR( VfM_Metrics_2023_Consol_Source[[#This Row],[Total non-social housing units developed or newly built units acquired (owned)]] / VfM_Metrics_2023_Consol_Source[[#This Row],[Total social and non-social housing units owned (Period end)]], "n/a" )</f>
        <v>3.8650215549279024E-3</v>
      </c>
      <c r="V15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26</v>
      </c>
      <c r="W151" s="83" vm="6347">
        <v>0</v>
      </c>
      <c r="X151" s="83" vm="6348">
        <v>4</v>
      </c>
      <c r="Y151" s="83" vm="6349">
        <v>22</v>
      </c>
      <c r="Z15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6727</v>
      </c>
      <c r="AA151" s="84" vm="6336">
        <v>6626</v>
      </c>
      <c r="AB151" s="83" vm="7235">
        <v>0</v>
      </c>
      <c r="AC151" s="83" vm="6350">
        <v>0</v>
      </c>
      <c r="AD151" s="83" vm="6351">
        <v>101</v>
      </c>
      <c r="AE151" s="7">
        <f xml:space="preserve"> IFERROR( VfM_Metrics_2023_Consol_Source[[#This Row],[Total Net Debt]] / VfM_Metrics_2023_Consol_Source[[#This Row],[Net Book Value of Housing Properties2]], "n/a" )</f>
        <v>0.6181988125485447</v>
      </c>
      <c r="AF15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187836</v>
      </c>
      <c r="AG151" s="84" vm="6352">
        <v>0</v>
      </c>
      <c r="AH151" s="83" vm="6353">
        <v>201342</v>
      </c>
      <c r="AI151" s="83" vm="6354">
        <v>13506</v>
      </c>
      <c r="AJ151" s="83" vm="6355">
        <v>0</v>
      </c>
      <c r="AK151" s="83" vm="7286">
        <v>0</v>
      </c>
      <c r="AL151" s="5">
        <f xml:space="preserve"> SUM( VfM_Metrics_2023_Consol_Source[[#This Row],[Tangible fixed assets: Housing properties at cost (Current period)2]], VfM_Metrics_2023_Consol_Source[[#This Row],[Tangible fixed assets Housing properties at valuation (Current period)2]] )</f>
        <v>303844</v>
      </c>
      <c r="AM151" s="84" vm="6343">
        <v>303844</v>
      </c>
      <c r="AN151" s="83" vm="6344">
        <v>0</v>
      </c>
      <c r="AO151" s="87">
        <f xml:space="preserve"> IFERROR( VfM_Metrics_2023_Consol_Source[[#This Row],[EBITDA MRI]] / VfM_Metrics_2023_Consol_Source[[#This Row],[Total interest]], "n/a" )</f>
        <v>0.53448596393381664</v>
      </c>
      <c r="AP15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11500</v>
      </c>
      <c r="AQ151" s="84" vm="6356">
        <v>14223</v>
      </c>
      <c r="AR151" s="84" vm="6357">
        <v>1666</v>
      </c>
      <c r="AS151" s="84" vm="6358">
        <v>31</v>
      </c>
      <c r="AT151" s="84" vm="6359">
        <v>461</v>
      </c>
      <c r="AU151" s="84" vm="4537">
        <v>0</v>
      </c>
      <c r="AV151" s="84" vm="6279">
        <v>73</v>
      </c>
      <c r="AW151" s="84" vm="6360">
        <v>6968</v>
      </c>
      <c r="AX151" s="84" vm="6361">
        <v>6330</v>
      </c>
      <c r="AY151" s="3">
        <f xml:space="preserve"> - SUM( VfM_Metrics_2023_Consol_Source[[#This Row],[Interest capitalised]], VfM_Metrics_2023_Consol_Source[[#This Row],[Interest payable and financing costs]] )</f>
        <v>21516</v>
      </c>
      <c r="AZ151" s="84">
        <v>0</v>
      </c>
      <c r="BA151" s="83" vm="6362">
        <v>-21516</v>
      </c>
      <c r="BB151" s="8">
        <f xml:space="preserve"> IFERROR( ( VfM_Metrics_2023_Consol_Source[[#This Row],[Total Costs]] / VfM_Metrics_2023_Consol_Source[[#This Row],[Total units for costs]] ) * 1000, "n/a" )</f>
        <v>4068.970721400543</v>
      </c>
      <c r="BC15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26961</v>
      </c>
      <c r="BD151" s="84" vm="6363">
        <v>5458</v>
      </c>
      <c r="BE151" s="83" vm="6364">
        <v>1596</v>
      </c>
      <c r="BF151" s="83" vm="6365">
        <v>7483</v>
      </c>
      <c r="BG151" s="83" vm="6366">
        <v>243</v>
      </c>
      <c r="BH151" s="83" vm="6367">
        <v>263</v>
      </c>
      <c r="BI151" s="83" vm="6368">
        <v>25</v>
      </c>
      <c r="BJ151" s="83" vm="6360">
        <v>6968</v>
      </c>
      <c r="BK151" s="83" vm="6369">
        <v>4925</v>
      </c>
      <c r="BL151" s="83">
        <v>0</v>
      </c>
      <c r="BM151" s="83">
        <v>0</v>
      </c>
      <c r="BN151" s="83">
        <v>0</v>
      </c>
      <c r="BO151" s="83">
        <v>0</v>
      </c>
      <c r="BP151" s="5" vm="6337">
        <f xml:space="preserve"> VfM_Metrics_2023_Consol_Source[[#This Row],[Total social housing units owned and/or managed at period end]]</f>
        <v>6626</v>
      </c>
      <c r="BQ151" s="84" vm="6337">
        <v>6626</v>
      </c>
      <c r="BR151" s="7">
        <f xml:space="preserve"> IFERROR( VfM_Metrics_2023_Consol_Source[[#This Row],[SHL operating surplus / (deficit)]] / VfM_Metrics_2023_Consol_Source[[#This Row],[Turnover from social housing lettings]], "n/a" )</f>
        <v>0.26149595421353861</v>
      </c>
      <c r="BS151" s="5" vm="6370">
        <f xml:space="preserve"> VfM_Metrics_2023_Consol_Source[[#This Row],[Operating surplus/(deficit) (social housing lettings)]]</f>
        <v>9275</v>
      </c>
      <c r="BT151" s="84" vm="6370">
        <v>9275</v>
      </c>
      <c r="BU151" s="5" vm="6371">
        <f xml:space="preserve"> VfM_Metrics_2023_Consol_Source[[#This Row],[Turnover from social housing lettings]]</f>
        <v>35469</v>
      </c>
      <c r="BV151" s="84" vm="6371">
        <v>35469</v>
      </c>
      <c r="BW151" s="7">
        <f xml:space="preserve"> IFERROR( VfM_Metrics_2023_Consol_Source[[#This Row],[Net operating surplus]] / VfM_Metrics_2023_Consol_Source[[#This Row],[Overall turnover]], "n/a" )</f>
        <v>0.26367750763077569</v>
      </c>
      <c r="BX15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12526</v>
      </c>
      <c r="BY151" s="84" vm="6899">
        <v>14223</v>
      </c>
      <c r="BZ151" s="83" vm="6357">
        <v>1666</v>
      </c>
      <c r="CA151" s="83" vm="6358">
        <v>31</v>
      </c>
      <c r="CB151" s="5" vm="6372">
        <f xml:space="preserve"> VfM_Metrics_2023_Consol_Source[[#This Row],[Turnover (overall)]]</f>
        <v>47505</v>
      </c>
      <c r="CC151" s="84" vm="6372">
        <v>47505</v>
      </c>
      <c r="CD151" s="7">
        <f xml:space="preserve"> IFERROR( VfM_Metrics_2023_Consol_Source[[#This Row],[Operating surplus including from JVs]] / VfM_Metrics_2023_Consol_Source[[#This Row],[Net assets]], "n/a" )</f>
        <v>4.3181259278824699E-2</v>
      </c>
      <c r="CE151" s="5">
        <f xml:space="preserve"> SUM( VfM_Metrics_2023_Consol_Source[[#This Row],[Operating surplus/(deficit) (overall)3]], VfM_Metrics_2023_Consol_Source[[#This Row],[Share of operating surplus/(deficit) in joint ventures or associates]] )</f>
        <v>14223</v>
      </c>
      <c r="CF151" s="84" vm="7309">
        <v>14223</v>
      </c>
      <c r="CG151" s="83" vm="6374">
        <v>0</v>
      </c>
      <c r="CH151" s="5" vm="6373">
        <f xml:space="preserve"> VfM_Metrics_2023_Consol_Source[[#This Row],[Total assets less current liabilities]]</f>
        <v>329379</v>
      </c>
      <c r="CI151" s="84" vm="6373">
        <v>329379</v>
      </c>
      <c r="CJ151" s="71" vm="6336">
        <f xml:space="preserve"> VfM_Metrics_2023_Consol_Source[[#This Row],[Total social housing units owned (Period end)]]</f>
        <v>6626</v>
      </c>
      <c r="CK151" s="103">
        <v>1.9461310913903161E-2</v>
      </c>
      <c r="CL151" s="6">
        <f xml:space="preserve"> -- ( VfM_Metrics_2023_Consol_Source[[#This Row],[% Supported housing (excl. HOP)]] &gt; 0.3 )</f>
        <v>0</v>
      </c>
      <c r="CM151" s="103">
        <v>9.5905340183714771E-2</v>
      </c>
      <c r="CN151" s="6">
        <f xml:space="preserve"> -- ( VfM_Metrics_2023_Consol_Source[[#This Row],[% Housing for older people]] &gt; 0.3 )</f>
        <v>0</v>
      </c>
      <c r="CO151" s="103">
        <f xml:space="preserve"> VfM_Metrics_2023_Consol_Source[[#This Row],[% Supported housing (excl. HOP)]] + VfM_Metrics_2023_Consol_Source[[#This Row],[% Housing for older people]]</f>
        <v>0.11536665109761793</v>
      </c>
      <c r="CP151" s="6">
        <f xml:space="preserve"> -- ( VfM_Metrics_2023_Consol_Source[[#This Row],[SH specialist in RSH analysis]] + VfM_Metrics_2023_Consol_Source[[#This Row],[OP specialist in RSH analysis]] &gt; 0 )</f>
        <v>0</v>
      </c>
      <c r="CQ151" s="10">
        <f xml:space="preserve"> -- ( VfM_Metrics_2023_Consol_Source[[#This Row],[% SH and OP]] &gt; 0.3 )</f>
        <v>0</v>
      </c>
      <c r="CR151" s="104" t="s">
        <v>143</v>
      </c>
      <c r="CS151" s="124"/>
      <c r="CT151" s="105" t="s">
        <v>151</v>
      </c>
      <c r="CU15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151" s="85">
        <v>0</v>
      </c>
      <c r="CW151" s="85">
        <v>0</v>
      </c>
      <c r="CX151" s="85">
        <v>0</v>
      </c>
      <c r="CY151" s="85">
        <v>0</v>
      </c>
      <c r="CZ151" s="85">
        <v>0</v>
      </c>
      <c r="DA151" s="85">
        <v>1</v>
      </c>
      <c r="DB151" s="85">
        <v>0</v>
      </c>
      <c r="DC151" s="85">
        <v>0</v>
      </c>
      <c r="DD151" s="85">
        <v>0</v>
      </c>
      <c r="DE151" s="13">
        <v>1.0113701298544711</v>
      </c>
    </row>
    <row r="152" spans="1:109" x14ac:dyDescent="0.25">
      <c r="A152" s="4" t="s" vm="383">
        <v>428</v>
      </c>
      <c r="B152" s="2" t="s" vm="142">
        <v>429</v>
      </c>
      <c r="C152" s="72" vm="502">
        <v>45016</v>
      </c>
      <c r="D152" s="7">
        <f>IFERROR( VfM_Metrics_2023_Consol_Source[[#This Row],[Reinvestment Spend]] / VfM_Metrics_2023_Consol_Source[[#This Row],[Net Book Value of Housing Properties]], "n/a" )</f>
        <v>0.12381945800404905</v>
      </c>
      <c r="E15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24097</v>
      </c>
      <c r="F152" s="83" vm="2309">
        <v>18312</v>
      </c>
      <c r="G152" s="83" vm="6296">
        <v>0</v>
      </c>
      <c r="H152" s="83" vm="6297">
        <v>5500</v>
      </c>
      <c r="I152" s="83" vm="6298">
        <v>285</v>
      </c>
      <c r="J152" s="83" vm="6299">
        <v>0</v>
      </c>
      <c r="K152" s="5">
        <f xml:space="preserve"> SUM( VfM_Metrics_2023_Consol_Source[[#This Row],[Tangible fixed assets: Housing properties at cost (Current period)]],VfM_Metrics_2023_Consol_Source[[#This Row],[Tangible fixed assets Housing properties at valuation (Current period)]] )</f>
        <v>194614</v>
      </c>
      <c r="L152" s="84" vm="6300">
        <v>194614</v>
      </c>
      <c r="M152" s="83" vm="6301">
        <v>0</v>
      </c>
      <c r="N152" s="7">
        <f xml:space="preserve"> IFERROR( VfM_Metrics_2023_Consol_Source[[#This Row],[Total social units developed or newly built units acquired in-year]] / VfM_Metrics_2023_Consol_Source[[#This Row],[Social housing units owned (period end)]], "n/a" )</f>
        <v>0</v>
      </c>
      <c r="O152" s="5">
        <f xml:space="preserve"> SUM( VfM_Metrics_2023_Consol_Source[[#This Row],[Total social units developed or newly built units acquired in-year (owned)]], VfM_Metrics_2023_Consol_Source[[#This Row],[Total social leasehold units developed or newly built units acquired in-year (owned)]] )</f>
        <v>0</v>
      </c>
      <c r="P152" s="84" vm="6302">
        <v>0</v>
      </c>
      <c r="Q152" s="83" vm="6303">
        <v>0</v>
      </c>
      <c r="R152" s="5">
        <f xml:space="preserve"> SUM( VfM_Metrics_2023_Consol_Source[[#This Row],[Total social housing units owned (Period end)]], VfM_Metrics_2023_Consol_Source[[#This Row],[Total social leasehold units owned (Period end)]] )</f>
        <v>7876</v>
      </c>
      <c r="S152" s="84" vm="6294">
        <v>7876</v>
      </c>
      <c r="T152" s="83" vm="6304">
        <v>0</v>
      </c>
      <c r="U152" s="86">
        <f xml:space="preserve"> IFERROR( VfM_Metrics_2023_Consol_Source[[#This Row],[Total non-social housing units developed or newly built units acquired (owned)]] / VfM_Metrics_2023_Consol_Source[[#This Row],[Total social and non-social housing units owned (Period end)]], "n/a" )</f>
        <v>1.2661433274246644E-4</v>
      </c>
      <c r="V15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v>
      </c>
      <c r="W152" s="83" vm="6305">
        <v>1</v>
      </c>
      <c r="X152" s="83" vm="6306">
        <v>0</v>
      </c>
      <c r="Y152" s="83" vm="6307">
        <v>0</v>
      </c>
      <c r="Z15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7898</v>
      </c>
      <c r="AA152" s="84" vm="6294">
        <v>7876</v>
      </c>
      <c r="AB152" s="83" vm="6304">
        <v>0</v>
      </c>
      <c r="AC152" s="83" vm="6308">
        <v>22</v>
      </c>
      <c r="AD152" s="83" vm="6309">
        <v>0</v>
      </c>
      <c r="AE152" s="7">
        <f xml:space="preserve"> IFERROR( VfM_Metrics_2023_Consol_Source[[#This Row],[Total Net Debt]] / VfM_Metrics_2023_Consol_Source[[#This Row],[Net Book Value of Housing Properties2]], "n/a" )</f>
        <v>0.39671863278078656</v>
      </c>
      <c r="AF15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77207</v>
      </c>
      <c r="AG152" s="84" vm="6310">
        <v>0</v>
      </c>
      <c r="AH152" s="83" vm="2319">
        <v>79438</v>
      </c>
      <c r="AI152" s="83" vm="6311">
        <v>2231</v>
      </c>
      <c r="AJ152" s="83" vm="6881">
        <v>0</v>
      </c>
      <c r="AK152" s="83" vm="6312">
        <v>0</v>
      </c>
      <c r="AL152" s="5">
        <f xml:space="preserve"> SUM( VfM_Metrics_2023_Consol_Source[[#This Row],[Tangible fixed assets: Housing properties at cost (Current period)2]], VfM_Metrics_2023_Consol_Source[[#This Row],[Tangible fixed assets Housing properties at valuation (Current period)2]] )</f>
        <v>194614</v>
      </c>
      <c r="AM152" s="84" vm="6300">
        <v>194614</v>
      </c>
      <c r="AN152" s="83" vm="6301">
        <v>0</v>
      </c>
      <c r="AO152" s="87">
        <f xml:space="preserve"> IFERROR( VfM_Metrics_2023_Consol_Source[[#This Row],[EBITDA MRI]] / VfM_Metrics_2023_Consol_Source[[#This Row],[Total interest]], "n/a" )</f>
        <v>1.1349310571240971</v>
      </c>
      <c r="AP15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3457</v>
      </c>
      <c r="AQ152" s="84" vm="6313">
        <v>7151</v>
      </c>
      <c r="AR152" s="84" vm="6314">
        <v>3152</v>
      </c>
      <c r="AS152" s="84" vm="6315">
        <v>0</v>
      </c>
      <c r="AT152" s="84" vm="6316">
        <v>314</v>
      </c>
      <c r="AU152" s="84" vm="6317">
        <v>320</v>
      </c>
      <c r="AV152" s="84" vm="6318">
        <v>3</v>
      </c>
      <c r="AW152" s="84" vm="6319">
        <v>5500</v>
      </c>
      <c r="AX152" s="84" vm="6320">
        <v>5589</v>
      </c>
      <c r="AY152" s="3">
        <f xml:space="preserve"> - SUM( VfM_Metrics_2023_Consol_Source[[#This Row],[Interest capitalised]], VfM_Metrics_2023_Consol_Source[[#This Row],[Interest payable and financing costs]] )</f>
        <v>3046</v>
      </c>
      <c r="AZ152" s="84" vm="6321">
        <v>-285</v>
      </c>
      <c r="BA152" s="83" vm="6322">
        <v>-2761</v>
      </c>
      <c r="BB152" s="8">
        <f xml:space="preserve"> IFERROR( ( VfM_Metrics_2023_Consol_Source[[#This Row],[Total Costs]] / VfM_Metrics_2023_Consol_Source[[#This Row],[Total units for costs]] ) * 1000, "n/a" )</f>
        <v>4100.6856272219393</v>
      </c>
      <c r="BC15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32297</v>
      </c>
      <c r="BD152" s="84" vm="6323">
        <v>10690</v>
      </c>
      <c r="BE152" s="83" vm="6324">
        <v>4375</v>
      </c>
      <c r="BF152" s="83" vm="6880">
        <v>9511</v>
      </c>
      <c r="BG152" s="83" vm="6325">
        <v>1874</v>
      </c>
      <c r="BH152" s="83" vm="6326">
        <v>262</v>
      </c>
      <c r="BI152" s="83" vm="6327">
        <v>0</v>
      </c>
      <c r="BJ152" s="83" vm="6319">
        <v>5500</v>
      </c>
      <c r="BK152" s="83" vm="6328">
        <v>7</v>
      </c>
      <c r="BL152" s="83" vm="6329">
        <v>70</v>
      </c>
      <c r="BM152" s="83" vm="6330">
        <v>0</v>
      </c>
      <c r="BN152" s="83" vm="6331">
        <v>8</v>
      </c>
      <c r="BO152" s="83" vm="6332">
        <v>0</v>
      </c>
      <c r="BP152" s="5" vm="6295">
        <f xml:space="preserve"> VfM_Metrics_2023_Consol_Source[[#This Row],[Total social housing units owned and/or managed at period end]]</f>
        <v>7876</v>
      </c>
      <c r="BQ152" s="84" vm="6295">
        <v>7876</v>
      </c>
      <c r="BR152" s="7">
        <f xml:space="preserve"> IFERROR( VfM_Metrics_2023_Consol_Source[[#This Row],[SHL operating surplus / (deficit)]] / VfM_Metrics_2023_Consol_Source[[#This Row],[Turnover from social housing lettings]], "n/a" )</f>
        <v>0.12386282185587473</v>
      </c>
      <c r="BS152" s="5" vm="5731">
        <f xml:space="preserve"> VfM_Metrics_2023_Consol_Source[[#This Row],[Operating surplus/(deficit) (social housing lettings)]]</f>
        <v>4493</v>
      </c>
      <c r="BT152" s="84" vm="5731">
        <v>4493</v>
      </c>
      <c r="BU152" s="5" vm="6333">
        <f xml:space="preserve"> VfM_Metrics_2023_Consol_Source[[#This Row],[Turnover from social housing lettings]]</f>
        <v>36274</v>
      </c>
      <c r="BV152" s="84" vm="6333">
        <v>36274</v>
      </c>
      <c r="BW152" s="7">
        <f xml:space="preserve"> IFERROR( VfM_Metrics_2023_Consol_Source[[#This Row],[Net operating surplus]] / VfM_Metrics_2023_Consol_Source[[#This Row],[Overall turnover]], "n/a" )</f>
        <v>0.1027571498316931</v>
      </c>
      <c r="BX15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3999</v>
      </c>
      <c r="BY152" s="84" vm="6313">
        <v>7151</v>
      </c>
      <c r="BZ152" s="83" vm="6314">
        <v>3152</v>
      </c>
      <c r="CA152" s="83" vm="6315">
        <v>0</v>
      </c>
      <c r="CB152" s="5" vm="6334">
        <f xml:space="preserve"> VfM_Metrics_2023_Consol_Source[[#This Row],[Turnover (overall)]]</f>
        <v>38917</v>
      </c>
      <c r="CC152" s="84" vm="6334">
        <v>38917</v>
      </c>
      <c r="CD152" s="7">
        <f xml:space="preserve"> IFERROR( VfM_Metrics_2023_Consol_Source[[#This Row],[Operating surplus including from JVs]] / VfM_Metrics_2023_Consol_Source[[#This Row],[Net assets]], "n/a" )</f>
        <v>2.9522869799644125E-2</v>
      </c>
      <c r="CE152" s="5">
        <f xml:space="preserve"> SUM( VfM_Metrics_2023_Consol_Source[[#This Row],[Operating surplus/(deficit) (overall)3]], VfM_Metrics_2023_Consol_Source[[#This Row],[Share of operating surplus/(deficit) in joint ventures or associates]] )</f>
        <v>7151</v>
      </c>
      <c r="CF152" s="84" vm="6313">
        <v>7151</v>
      </c>
      <c r="CG152" s="83" vm="6335">
        <v>0</v>
      </c>
      <c r="CH152" s="5" vm="6879">
        <f xml:space="preserve"> VfM_Metrics_2023_Consol_Source[[#This Row],[Total assets less current liabilities]]</f>
        <v>242219</v>
      </c>
      <c r="CI152" s="84" vm="6879">
        <v>242219</v>
      </c>
      <c r="CJ152" s="71" vm="6294">
        <f xml:space="preserve"> VfM_Metrics_2023_Consol_Source[[#This Row],[Total social housing units owned (Period end)]]</f>
        <v>7876</v>
      </c>
      <c r="CK152" s="103">
        <v>0</v>
      </c>
      <c r="CL152" s="6">
        <f xml:space="preserve"> -- ( VfM_Metrics_2023_Consol_Source[[#This Row],[% Supported housing (excl. HOP)]] &gt; 0.3 )</f>
        <v>0</v>
      </c>
      <c r="CM152" s="103">
        <v>3.7709497206703912E-2</v>
      </c>
      <c r="CN152" s="6">
        <f xml:space="preserve"> -- ( VfM_Metrics_2023_Consol_Source[[#This Row],[% Housing for older people]] &gt; 0.3 )</f>
        <v>0</v>
      </c>
      <c r="CO152" s="103">
        <f xml:space="preserve"> VfM_Metrics_2023_Consol_Source[[#This Row],[% Supported housing (excl. HOP)]] + VfM_Metrics_2023_Consol_Source[[#This Row],[% Housing for older people]]</f>
        <v>3.7709497206703912E-2</v>
      </c>
      <c r="CP152" s="6">
        <f xml:space="preserve"> -- ( VfM_Metrics_2023_Consol_Source[[#This Row],[SH specialist in RSH analysis]] + VfM_Metrics_2023_Consol_Source[[#This Row],[OP specialist in RSH analysis]] &gt; 0 )</f>
        <v>0</v>
      </c>
      <c r="CQ152" s="10">
        <f xml:space="preserve"> -- ( VfM_Metrics_2023_Consol_Source[[#This Row],[% SH and OP]] &gt; 0.3 )</f>
        <v>0</v>
      </c>
      <c r="CR152" s="104" t="s">
        <v>168</v>
      </c>
      <c r="CS152" s="124">
        <v>42086</v>
      </c>
      <c r="CT152" s="105" t="s">
        <v>169</v>
      </c>
      <c r="CU15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52" s="85">
        <v>0</v>
      </c>
      <c r="CW152" s="85">
        <v>0</v>
      </c>
      <c r="CX152" s="85">
        <v>0</v>
      </c>
      <c r="CY152" s="85">
        <v>0</v>
      </c>
      <c r="CZ152" s="85">
        <v>0</v>
      </c>
      <c r="DA152" s="85">
        <v>0</v>
      </c>
      <c r="DB152" s="85">
        <v>0</v>
      </c>
      <c r="DC152" s="85">
        <v>1</v>
      </c>
      <c r="DD152" s="85">
        <v>0</v>
      </c>
      <c r="DE152" s="13">
        <v>0.96105917141044694</v>
      </c>
    </row>
    <row r="153" spans="1:109" x14ac:dyDescent="0.25">
      <c r="A153" s="4" t="s" vm="310">
        <v>430</v>
      </c>
      <c r="B153" s="2" t="s" vm="143">
        <v>431</v>
      </c>
      <c r="C153" s="72" vm="555">
        <v>45016</v>
      </c>
      <c r="D153" s="7">
        <f>IFERROR( VfM_Metrics_2023_Consol_Source[[#This Row],[Reinvestment Spend]] / VfM_Metrics_2023_Consol_Source[[#This Row],[Net Book Value of Housing Properties]], "n/a" )</f>
        <v>2.2490946005267777E-2</v>
      </c>
      <c r="E15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3279</v>
      </c>
      <c r="F153" s="83" vm="3670">
        <v>0</v>
      </c>
      <c r="G153" s="83" vm="4453">
        <v>348</v>
      </c>
      <c r="H153" s="83" vm="3671">
        <v>2931</v>
      </c>
      <c r="I153" s="83" vm="6992">
        <v>0</v>
      </c>
      <c r="J153" s="83" vm="3672">
        <v>0</v>
      </c>
      <c r="K153" s="5">
        <f xml:space="preserve"> SUM( VfM_Metrics_2023_Consol_Source[[#This Row],[Tangible fixed assets: Housing properties at cost (Current period)]],VfM_Metrics_2023_Consol_Source[[#This Row],[Tangible fixed assets Housing properties at valuation (Current period)]] )</f>
        <v>145792</v>
      </c>
      <c r="L153" s="84" vm="3673">
        <v>145792</v>
      </c>
      <c r="M153" s="83" vm="3674">
        <v>0</v>
      </c>
      <c r="N153" s="7">
        <f xml:space="preserve"> IFERROR( VfM_Metrics_2023_Consol_Source[[#This Row],[Total social units developed or newly built units acquired in-year]] / VfM_Metrics_2023_Consol_Source[[#This Row],[Social housing units owned (period end)]], "n/a" )</f>
        <v>2.768549280177187E-4</v>
      </c>
      <c r="O153" s="5">
        <f xml:space="preserve"> SUM( VfM_Metrics_2023_Consol_Source[[#This Row],[Total social units developed or newly built units acquired in-year (owned)]], VfM_Metrics_2023_Consol_Source[[#This Row],[Total social leasehold units developed or newly built units acquired in-year (owned)]] )</f>
        <v>1</v>
      </c>
      <c r="P153" s="84" vm="7332">
        <v>1</v>
      </c>
      <c r="Q153" s="83" vm="3675">
        <v>0</v>
      </c>
      <c r="R153" s="5">
        <f xml:space="preserve"> SUM( VfM_Metrics_2023_Consol_Source[[#This Row],[Total social housing units owned (Period end)]], VfM_Metrics_2023_Consol_Source[[#This Row],[Total social leasehold units owned (Period end)]] )</f>
        <v>3612</v>
      </c>
      <c r="S153" s="84" vm="3668">
        <v>3612</v>
      </c>
      <c r="T153" s="83" vm="3676">
        <v>0</v>
      </c>
      <c r="U153" s="86">
        <f xml:space="preserve"> IFERROR( VfM_Metrics_2023_Consol_Source[[#This Row],[Total non-social housing units developed or newly built units acquired (owned)]] / VfM_Metrics_2023_Consol_Source[[#This Row],[Total social and non-social housing units owned (Period end)]], "n/a" )</f>
        <v>0</v>
      </c>
      <c r="V15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53" s="83" vm="3677">
        <v>0</v>
      </c>
      <c r="X153" s="83" vm="3678">
        <v>0</v>
      </c>
      <c r="Y153" s="83" vm="3844">
        <v>0</v>
      </c>
      <c r="Z15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3771</v>
      </c>
      <c r="AA153" s="84" vm="3668">
        <v>3612</v>
      </c>
      <c r="AB153" s="83" vm="3676">
        <v>0</v>
      </c>
      <c r="AC153" s="83" vm="3679">
        <v>159</v>
      </c>
      <c r="AD153" s="83" vm="7641">
        <v>0</v>
      </c>
      <c r="AE153" s="7">
        <f xml:space="preserve"> IFERROR( VfM_Metrics_2023_Consol_Source[[#This Row],[Total Net Debt]] / VfM_Metrics_2023_Consol_Source[[#This Row],[Net Book Value of Housing Properties2]], "n/a" )</f>
        <v>9.9648814749780504E-2</v>
      </c>
      <c r="AF15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14528</v>
      </c>
      <c r="AG153" s="84" vm="3680">
        <v>2516</v>
      </c>
      <c r="AH153" s="83" vm="7199">
        <v>17221</v>
      </c>
      <c r="AI153" s="83" vm="3681">
        <v>5209</v>
      </c>
      <c r="AJ153" s="83" vm="2804">
        <v>0</v>
      </c>
      <c r="AK153" s="83" vm="3682">
        <v>0</v>
      </c>
      <c r="AL153" s="5">
        <f xml:space="preserve"> SUM( VfM_Metrics_2023_Consol_Source[[#This Row],[Tangible fixed assets: Housing properties at cost (Current period)2]], VfM_Metrics_2023_Consol_Source[[#This Row],[Tangible fixed assets Housing properties at valuation (Current period)2]] )</f>
        <v>145792</v>
      </c>
      <c r="AM153" s="84" vm="3673">
        <v>145792</v>
      </c>
      <c r="AN153" s="83" vm="3674">
        <v>0</v>
      </c>
      <c r="AO153" s="87">
        <f xml:space="preserve"> IFERROR( VfM_Metrics_2023_Consol_Source[[#This Row],[EBITDA MRI]] / VfM_Metrics_2023_Consol_Source[[#This Row],[Total interest]], "n/a" )</f>
        <v>2.0579119086460032</v>
      </c>
      <c r="AP15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2523</v>
      </c>
      <c r="AQ153" s="84" vm="3683">
        <v>3524</v>
      </c>
      <c r="AR153" s="84" vm="3684">
        <v>0</v>
      </c>
      <c r="AS153" s="84" vm="3685">
        <v>0</v>
      </c>
      <c r="AT153" s="84" vm="3686">
        <v>2465</v>
      </c>
      <c r="AU153" s="84" vm="3687">
        <v>0</v>
      </c>
      <c r="AV153" s="84" vm="3688">
        <v>64</v>
      </c>
      <c r="AW153" s="84" vm="3689">
        <v>2931</v>
      </c>
      <c r="AX153" s="84" vm="7558">
        <v>4331</v>
      </c>
      <c r="AY153" s="3">
        <f xml:space="preserve"> - SUM( VfM_Metrics_2023_Consol_Source[[#This Row],[Interest capitalised]], VfM_Metrics_2023_Consol_Source[[#This Row],[Interest payable and financing costs]] )</f>
        <v>1226</v>
      </c>
      <c r="AZ153" s="84" vm="3690">
        <v>0</v>
      </c>
      <c r="BA153" s="83" vm="3691">
        <v>-1226</v>
      </c>
      <c r="BB153" s="8">
        <f xml:space="preserve"> IFERROR( ( VfM_Metrics_2023_Consol_Source[[#This Row],[Total Costs]] / VfM_Metrics_2023_Consol_Source[[#This Row],[Total units for costs]] ) * 1000, "n/a" )</f>
        <v>7795.4168967421319</v>
      </c>
      <c r="BC15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28235</v>
      </c>
      <c r="BD153" s="84" vm="3692">
        <v>7049</v>
      </c>
      <c r="BE153" s="83" vm="3693">
        <v>10310</v>
      </c>
      <c r="BF153" s="83" vm="3694">
        <v>4482</v>
      </c>
      <c r="BG153" s="83" vm="3695">
        <v>0</v>
      </c>
      <c r="BH153" s="83" vm="3696">
        <v>257</v>
      </c>
      <c r="BI153" s="83" vm="3697">
        <v>0</v>
      </c>
      <c r="BJ153" s="83" vm="7072">
        <v>2931</v>
      </c>
      <c r="BK153" s="83" vm="7537">
        <v>249</v>
      </c>
      <c r="BL153" s="83" vm="3698">
        <v>0</v>
      </c>
      <c r="BM153" s="83" vm="3699">
        <v>0</v>
      </c>
      <c r="BN153" s="83" vm="7304">
        <v>426</v>
      </c>
      <c r="BO153" s="83" vm="3700">
        <v>2531</v>
      </c>
      <c r="BP153" s="5" vm="3669">
        <f xml:space="preserve"> VfM_Metrics_2023_Consol_Source[[#This Row],[Total social housing units owned and/or managed at period end]]</f>
        <v>3622</v>
      </c>
      <c r="BQ153" s="84" vm="3669">
        <v>3622</v>
      </c>
      <c r="BR153" s="7">
        <f xml:space="preserve"> IFERROR( VfM_Metrics_2023_Consol_Source[[#This Row],[SHL operating surplus / (deficit)]] / VfM_Metrics_2023_Consol_Source[[#This Row],[Turnover from social housing lettings]], "n/a" )</f>
        <v>5.2166224580017684E-2</v>
      </c>
      <c r="BS153" s="5" vm="3701">
        <f xml:space="preserve"> VfM_Metrics_2023_Consol_Source[[#This Row],[Operating surplus/(deficit) (social housing lettings)]]</f>
        <v>1475</v>
      </c>
      <c r="BT153" s="84" vm="3701">
        <v>1475</v>
      </c>
      <c r="BU153" s="5" vm="7707">
        <f xml:space="preserve"> VfM_Metrics_2023_Consol_Source[[#This Row],[Turnover from social housing lettings]]</f>
        <v>28275</v>
      </c>
      <c r="BV153" s="84" vm="7707">
        <v>28275</v>
      </c>
      <c r="BW153" s="7">
        <f xml:space="preserve"> IFERROR( VfM_Metrics_2023_Consol_Source[[#This Row],[Net operating surplus]] / VfM_Metrics_2023_Consol_Source[[#This Row],[Overall turnover]], "n/a" )</f>
        <v>0.10489656198839113</v>
      </c>
      <c r="BX15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3524</v>
      </c>
      <c r="BY153" s="84" vm="3683">
        <v>3524</v>
      </c>
      <c r="BZ153" s="83" vm="7557">
        <v>0</v>
      </c>
      <c r="CA153" s="83" vm="3685">
        <v>0</v>
      </c>
      <c r="CB153" s="5" vm="3702">
        <f xml:space="preserve"> VfM_Metrics_2023_Consol_Source[[#This Row],[Turnover (overall)]]</f>
        <v>33595</v>
      </c>
      <c r="CC153" s="84" vm="3702">
        <v>33595</v>
      </c>
      <c r="CD153" s="7">
        <f xml:space="preserve"> IFERROR( VfM_Metrics_2023_Consol_Source[[#This Row],[Operating surplus including from JVs]] / VfM_Metrics_2023_Consol_Source[[#This Row],[Net assets]], "n/a" )</f>
        <v>1.9991944222248696E-2</v>
      </c>
      <c r="CE153" s="5">
        <f xml:space="preserve"> SUM( VfM_Metrics_2023_Consol_Source[[#This Row],[Operating surplus/(deficit) (overall)3]], VfM_Metrics_2023_Consol_Source[[#This Row],[Share of operating surplus/(deficit) in joint ventures or associates]] )</f>
        <v>3524</v>
      </c>
      <c r="CF153" s="84" vm="7198">
        <v>3524</v>
      </c>
      <c r="CG153" s="83" vm="3704">
        <v>0</v>
      </c>
      <c r="CH153" s="5" vm="3703">
        <f xml:space="preserve"> VfM_Metrics_2023_Consol_Source[[#This Row],[Total assets less current liabilities]]</f>
        <v>176271</v>
      </c>
      <c r="CI153" s="84" vm="3703">
        <v>176271</v>
      </c>
      <c r="CJ153" s="71" vm="3668">
        <f xml:space="preserve"> VfM_Metrics_2023_Consol_Source[[#This Row],[Total social housing units owned (Period end)]]</f>
        <v>3612</v>
      </c>
      <c r="CK153" s="103">
        <v>0.54872226902555465</v>
      </c>
      <c r="CL153" s="6">
        <f xml:space="preserve"> -- ( VfM_Metrics_2023_Consol_Source[[#This Row],[% Supported housing (excl. HOP)]] &gt; 0.3 )</f>
        <v>1</v>
      </c>
      <c r="CM153" s="103">
        <v>8.1156978376860436E-2</v>
      </c>
      <c r="CN153" s="6">
        <f xml:space="preserve"> -- ( VfM_Metrics_2023_Consol_Source[[#This Row],[% Housing for older people]] &gt; 0.3 )</f>
        <v>0</v>
      </c>
      <c r="CO153" s="103">
        <f xml:space="preserve"> VfM_Metrics_2023_Consol_Source[[#This Row],[% Supported housing (excl. HOP)]] + VfM_Metrics_2023_Consol_Source[[#This Row],[% Housing for older people]]</f>
        <v>0.62987924740241508</v>
      </c>
      <c r="CP153" s="6">
        <f xml:space="preserve"> -- ( VfM_Metrics_2023_Consol_Source[[#This Row],[SH specialist in RSH analysis]] + VfM_Metrics_2023_Consol_Source[[#This Row],[OP specialist in RSH analysis]] &gt; 0 )</f>
        <v>1</v>
      </c>
      <c r="CQ153" s="10">
        <f xml:space="preserve"> -- ( VfM_Metrics_2023_Consol_Source[[#This Row],[% SH and OP]] &gt; 0.3 )</f>
        <v>1</v>
      </c>
      <c r="CR153" s="104" t="s">
        <v>143</v>
      </c>
      <c r="CS153" s="124" t="s">
        <v>144</v>
      </c>
      <c r="CT153" s="105"/>
      <c r="CU15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53" s="85">
        <v>0.19681002563372257</v>
      </c>
      <c r="CW153" s="85">
        <v>9.6268869268014812E-2</v>
      </c>
      <c r="CX153" s="85">
        <v>0.13101680432925092</v>
      </c>
      <c r="CY153" s="85">
        <v>4.8704072913699797E-2</v>
      </c>
      <c r="CZ153" s="85">
        <v>5.8103104528624321E-2</v>
      </c>
      <c r="DA153" s="85">
        <v>0.11478211335801766</v>
      </c>
      <c r="DB153" s="85">
        <v>3.7880945599544288E-2</v>
      </c>
      <c r="DC153" s="85">
        <v>0.23241241811449728</v>
      </c>
      <c r="DD153" s="85">
        <v>8.402164625462831E-2</v>
      </c>
      <c r="DE153" s="13">
        <v>1.0107412609050077</v>
      </c>
    </row>
    <row r="154" spans="1:109" x14ac:dyDescent="0.25">
      <c r="A154" s="4" t="s" vm="251">
        <v>432</v>
      </c>
      <c r="B154" s="2" t="s" vm="144">
        <v>433</v>
      </c>
      <c r="C154" s="72" vm="567">
        <v>45016</v>
      </c>
      <c r="D154" s="7">
        <f>IFERROR( VfM_Metrics_2023_Consol_Source[[#This Row],[Reinvestment Spend]] / VfM_Metrics_2023_Consol_Source[[#This Row],[Net Book Value of Housing Properties]], "n/a" )</f>
        <v>3.1208639152929853E-2</v>
      </c>
      <c r="E15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207500</v>
      </c>
      <c r="F154" s="83" vm="1774">
        <v>93300</v>
      </c>
      <c r="G154" s="83" vm="8272">
        <v>0</v>
      </c>
      <c r="H154" s="83" vm="1775">
        <v>101100</v>
      </c>
      <c r="I154" s="83" vm="1776">
        <v>13100</v>
      </c>
      <c r="J154" s="83" vm="1777">
        <v>0</v>
      </c>
      <c r="K154" s="5">
        <f xml:space="preserve"> SUM( VfM_Metrics_2023_Consol_Source[[#This Row],[Tangible fixed assets: Housing properties at cost (Current period)]],VfM_Metrics_2023_Consol_Source[[#This Row],[Tangible fixed assets Housing properties at valuation (Current period)]] )</f>
        <v>6648800</v>
      </c>
      <c r="L154" s="84" vm="8261">
        <v>6648800</v>
      </c>
      <c r="M154" s="83" vm="1779">
        <v>0</v>
      </c>
      <c r="N154" s="7">
        <f xml:space="preserve"> IFERROR( VfM_Metrics_2023_Consol_Source[[#This Row],[Total social units developed or newly built units acquired in-year]] / VfM_Metrics_2023_Consol_Source[[#This Row],[Social housing units owned (period end)]], "n/a" )</f>
        <v>8.4471199597959852E-3</v>
      </c>
      <c r="O154" s="5">
        <f xml:space="preserve"> SUM( VfM_Metrics_2023_Consol_Source[[#This Row],[Total social units developed or newly built units acquired in-year (owned)]], VfM_Metrics_2023_Consol_Source[[#This Row],[Total social leasehold units developed or newly built units acquired in-year (owned)]] )</f>
        <v>790</v>
      </c>
      <c r="P154" s="84" vm="1780">
        <v>789</v>
      </c>
      <c r="Q154" s="83" vm="8119">
        <v>1</v>
      </c>
      <c r="R154" s="5">
        <f xml:space="preserve"> SUM( VfM_Metrics_2023_Consol_Source[[#This Row],[Total social housing units owned (Period end)]], VfM_Metrics_2023_Consol_Source[[#This Row],[Total social leasehold units owned (Period end)]] )</f>
        <v>93523</v>
      </c>
      <c r="S154" s="84" vm="1772">
        <v>88889</v>
      </c>
      <c r="T154" s="83" vm="1781">
        <v>4634</v>
      </c>
      <c r="U154" s="86">
        <f xml:space="preserve"> IFERROR( VfM_Metrics_2023_Consol_Source[[#This Row],[Total non-social housing units developed or newly built units acquired (owned)]] / VfM_Metrics_2023_Consol_Source[[#This Row],[Total social and non-social housing units owned (Period end)]], "n/a" )</f>
        <v>9.5875661251814057E-3</v>
      </c>
      <c r="V15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1024</v>
      </c>
      <c r="W154" s="83" vm="1782">
        <v>574</v>
      </c>
      <c r="X154" s="83" vm="1783">
        <v>80</v>
      </c>
      <c r="Y154" s="83" vm="8117">
        <v>370</v>
      </c>
      <c r="Z15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106805</v>
      </c>
      <c r="AA154" s="84" vm="8256">
        <v>88889</v>
      </c>
      <c r="AB154" s="83" vm="1653">
        <v>4634</v>
      </c>
      <c r="AC154" s="83" vm="1784">
        <v>11485</v>
      </c>
      <c r="AD154" s="83" vm="7854">
        <v>1797</v>
      </c>
      <c r="AE154" s="7">
        <f xml:space="preserve"> IFERROR( VfM_Metrics_2023_Consol_Source[[#This Row],[Total Net Debt]] / VfM_Metrics_2023_Consol_Source[[#This Row],[Net Book Value of Housing Properties2]], "n/a" )</f>
        <v>0.53742028636746486</v>
      </c>
      <c r="AF15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3573200</v>
      </c>
      <c r="AG154" s="84" vm="8054">
        <v>236700</v>
      </c>
      <c r="AH154" s="83" vm="8115">
        <v>3333000</v>
      </c>
      <c r="AI154" s="83" vm="7999">
        <v>180100</v>
      </c>
      <c r="AJ154" s="83" vm="2101">
        <v>0</v>
      </c>
      <c r="AK154" s="83" vm="8262">
        <v>183600</v>
      </c>
      <c r="AL154" s="5">
        <f xml:space="preserve"> SUM( VfM_Metrics_2023_Consol_Source[[#This Row],[Tangible fixed assets: Housing properties at cost (Current period)2]], VfM_Metrics_2023_Consol_Source[[#This Row],[Tangible fixed assets Housing properties at valuation (Current period)2]] )</f>
        <v>6648800</v>
      </c>
      <c r="AM154" s="84" vm="8184">
        <v>6648800</v>
      </c>
      <c r="AN154" s="83" vm="1894">
        <v>0</v>
      </c>
      <c r="AO154" s="87">
        <f xml:space="preserve"> IFERROR( VfM_Metrics_2023_Consol_Source[[#This Row],[EBITDA MRI]] / VfM_Metrics_2023_Consol_Source[[#This Row],[Total interest]], "n/a" )</f>
        <v>1.1620712844653664</v>
      </c>
      <c r="AP15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172800</v>
      </c>
      <c r="AQ154" s="84" vm="8239">
        <v>195400</v>
      </c>
      <c r="AR154" s="84" vm="1786">
        <v>9300</v>
      </c>
      <c r="AS154" s="84" vm="8012">
        <v>1600</v>
      </c>
      <c r="AT154" s="84" vm="1787">
        <v>0</v>
      </c>
      <c r="AU154" s="84" vm="1788">
        <v>0</v>
      </c>
      <c r="AV154" s="84" vm="1789">
        <v>3900</v>
      </c>
      <c r="AW154" s="84" vm="7998">
        <v>96300</v>
      </c>
      <c r="AX154" s="84" vm="1791">
        <v>80700</v>
      </c>
      <c r="AY154" s="3">
        <f xml:space="preserve"> - SUM( VfM_Metrics_2023_Consol_Source[[#This Row],[Interest capitalised]], VfM_Metrics_2023_Consol_Source[[#This Row],[Interest payable and financing costs]] )</f>
        <v>148700</v>
      </c>
      <c r="AZ154" s="84" vm="8204">
        <v>-13100</v>
      </c>
      <c r="BA154" s="83" vm="1792">
        <v>-135600</v>
      </c>
      <c r="BB154" s="8">
        <f xml:space="preserve"> IFERROR( ( VfM_Metrics_2023_Consol_Source[[#This Row],[Total Costs]] / VfM_Metrics_2023_Consol_Source[[#This Row],[Total units for costs]] ) * 1000, "n/a" )</f>
        <v>4750.2119647202608</v>
      </c>
      <c r="BC15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431400</v>
      </c>
      <c r="BD154" s="84" vm="1793">
        <v>66400</v>
      </c>
      <c r="BE154" s="83" vm="7996">
        <v>75800</v>
      </c>
      <c r="BF154" s="83" vm="7853">
        <v>98600</v>
      </c>
      <c r="BG154" s="83" vm="8210">
        <v>34200</v>
      </c>
      <c r="BH154" s="83" vm="1794">
        <v>0</v>
      </c>
      <c r="BI154" s="83" vm="8149">
        <v>0</v>
      </c>
      <c r="BJ154" s="83" vm="1790">
        <v>96300</v>
      </c>
      <c r="BK154" s="83" vm="1795">
        <v>0</v>
      </c>
      <c r="BL154" s="83" vm="8112">
        <v>5000</v>
      </c>
      <c r="BM154" s="83" vm="8245">
        <v>1400</v>
      </c>
      <c r="BN154" s="83" vm="1796">
        <v>11500</v>
      </c>
      <c r="BO154" s="83" vm="8009">
        <v>42200</v>
      </c>
      <c r="BP154" s="5" vm="1773">
        <f xml:space="preserve"> VfM_Metrics_2023_Consol_Source[[#This Row],[Total social housing units owned and/or managed at period end]]</f>
        <v>90817</v>
      </c>
      <c r="BQ154" s="84" vm="1773">
        <v>90817</v>
      </c>
      <c r="BR154" s="7">
        <f xml:space="preserve"> IFERROR( VfM_Metrics_2023_Consol_Source[[#This Row],[SHL operating surplus / (deficit)]] / VfM_Metrics_2023_Consol_Source[[#This Row],[Turnover from social housing lettings]], "n/a" )</f>
        <v>0.33072365636902246</v>
      </c>
      <c r="BS154" s="5" vm="1797">
        <f xml:space="preserve"> VfM_Metrics_2023_Consol_Source[[#This Row],[Operating surplus/(deficit) (social housing lettings)]]</f>
        <v>156300</v>
      </c>
      <c r="BT154" s="84" vm="1797">
        <v>156300</v>
      </c>
      <c r="BU154" s="5" vm="1798">
        <f xml:space="preserve"> VfM_Metrics_2023_Consol_Source[[#This Row],[Turnover from social housing lettings]]</f>
        <v>472600</v>
      </c>
      <c r="BV154" s="84" vm="1798">
        <v>472600</v>
      </c>
      <c r="BW154" s="7">
        <f xml:space="preserve"> IFERROR( VfM_Metrics_2023_Consol_Source[[#This Row],[Net operating surplus]] / VfM_Metrics_2023_Consol_Source[[#This Row],[Overall turnover]], "n/a" )</f>
        <v>0.19548633184996822</v>
      </c>
      <c r="BX15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184500</v>
      </c>
      <c r="BY154" s="84" vm="8031">
        <v>195400</v>
      </c>
      <c r="BZ154" s="83" vm="7823">
        <v>9300</v>
      </c>
      <c r="CA154" s="83" vm="2024">
        <v>1600</v>
      </c>
      <c r="CB154" s="5" vm="1799">
        <f xml:space="preserve"> VfM_Metrics_2023_Consol_Source[[#This Row],[Turnover (overall)]]</f>
        <v>943800</v>
      </c>
      <c r="CC154" s="84" vm="1799">
        <v>943800</v>
      </c>
      <c r="CD154" s="7">
        <f xml:space="preserve"> IFERROR( VfM_Metrics_2023_Consol_Source[[#This Row],[Operating surplus including from JVs]] / VfM_Metrics_2023_Consol_Source[[#This Row],[Net assets]], "n/a" )</f>
        <v>2.8162257495590828E-2</v>
      </c>
      <c r="CE154" s="5">
        <f xml:space="preserve"> SUM( VfM_Metrics_2023_Consol_Source[[#This Row],[Operating surplus/(deficit) (overall)3]], VfM_Metrics_2023_Consol_Source[[#This Row],[Share of operating surplus/(deficit) in joint ventures or associates]] )</f>
        <v>199600</v>
      </c>
      <c r="CF154" s="84" vm="1785">
        <v>195400</v>
      </c>
      <c r="CG154" s="83" vm="1381">
        <v>4200</v>
      </c>
      <c r="CH154" s="5" vm="8034">
        <f xml:space="preserve"> VfM_Metrics_2023_Consol_Source[[#This Row],[Total assets less current liabilities]]</f>
        <v>7087500</v>
      </c>
      <c r="CI154" s="84" vm="8034">
        <v>7087500</v>
      </c>
      <c r="CJ154" s="71" vm="1772">
        <f xml:space="preserve"> VfM_Metrics_2023_Consol_Source[[#This Row],[Total social housing units owned (Period end)]]</f>
        <v>88889</v>
      </c>
      <c r="CK154" s="103">
        <v>5.5806881768671879E-2</v>
      </c>
      <c r="CL154" s="6">
        <f xml:space="preserve"> -- ( VfM_Metrics_2023_Consol_Source[[#This Row],[% Supported housing (excl. HOP)]] &gt; 0.3 )</f>
        <v>0</v>
      </c>
      <c r="CM154" s="103">
        <v>0.12948492665844144</v>
      </c>
      <c r="CN154" s="6">
        <f xml:space="preserve"> -- ( VfM_Metrics_2023_Consol_Source[[#This Row],[% Housing for older people]] &gt; 0.3 )</f>
        <v>0</v>
      </c>
      <c r="CO154" s="103">
        <f xml:space="preserve"> VfM_Metrics_2023_Consol_Source[[#This Row],[% Supported housing (excl. HOP)]] + VfM_Metrics_2023_Consol_Source[[#This Row],[% Housing for older people]]</f>
        <v>0.18529180842711332</v>
      </c>
      <c r="CP154" s="6">
        <f xml:space="preserve"> -- ( VfM_Metrics_2023_Consol_Source[[#This Row],[SH specialist in RSH analysis]] + VfM_Metrics_2023_Consol_Source[[#This Row],[OP specialist in RSH analysis]] &gt; 0 )</f>
        <v>0</v>
      </c>
      <c r="CQ154" s="10">
        <f xml:space="preserve"> -- ( VfM_Metrics_2023_Consol_Source[[#This Row],[% SH and OP]] &gt; 0.3 )</f>
        <v>0</v>
      </c>
      <c r="CR154" s="104" t="s">
        <v>143</v>
      </c>
      <c r="CS154" s="124" t="s">
        <v>144</v>
      </c>
      <c r="CT154" s="105"/>
      <c r="CU15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54" s="85">
        <v>0.13272325497197218</v>
      </c>
      <c r="CW154" s="85">
        <v>0.13311027603340866</v>
      </c>
      <c r="CX154" s="85">
        <v>0.13147479993508035</v>
      </c>
      <c r="CY154" s="85">
        <v>1.4244871970935966E-2</v>
      </c>
      <c r="CZ154" s="85">
        <v>0.12418382251963196</v>
      </c>
      <c r="DA154" s="85">
        <v>0.22580806252262825</v>
      </c>
      <c r="DB154" s="85">
        <v>1.0986404324648247E-3</v>
      </c>
      <c r="DC154" s="85">
        <v>0.1248829573402914</v>
      </c>
      <c r="DD154" s="85">
        <v>0.11247331427358644</v>
      </c>
      <c r="DE154" s="13">
        <v>1.0086520937448367</v>
      </c>
    </row>
    <row r="155" spans="1:109" x14ac:dyDescent="0.25">
      <c r="A155" s="4" t="s" vm="358">
        <v>434</v>
      </c>
      <c r="B155" s="2" t="s" vm="145">
        <v>435</v>
      </c>
      <c r="C155" s="72" vm="575">
        <v>45016</v>
      </c>
      <c r="D155" s="7">
        <f>IFERROR( VfM_Metrics_2023_Consol_Source[[#This Row],[Reinvestment Spend]] / VfM_Metrics_2023_Consol_Source[[#This Row],[Net Book Value of Housing Properties]], "n/a" )</f>
        <v>7.4152056594804686E-2</v>
      </c>
      <c r="E15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26519</v>
      </c>
      <c r="F155" s="83" vm="5365">
        <v>20616</v>
      </c>
      <c r="G155" s="83" vm="5366">
        <v>0</v>
      </c>
      <c r="H155" s="83" vm="5367">
        <v>4895</v>
      </c>
      <c r="I155" s="83" vm="7191">
        <v>1008</v>
      </c>
      <c r="J155" s="83" vm="7174">
        <v>0</v>
      </c>
      <c r="K155" s="5">
        <f xml:space="preserve"> SUM( VfM_Metrics_2023_Consol_Source[[#This Row],[Tangible fixed assets: Housing properties at cost (Current period)]],VfM_Metrics_2023_Consol_Source[[#This Row],[Tangible fixed assets Housing properties at valuation (Current period)]] )</f>
        <v>357630</v>
      </c>
      <c r="L155" s="84" vm="5368">
        <v>357630</v>
      </c>
      <c r="M155" s="83" vm="5369">
        <v>0</v>
      </c>
      <c r="N155" s="7">
        <f xml:space="preserve"> IFERROR( VfM_Metrics_2023_Consol_Source[[#This Row],[Total social units developed or newly built units acquired in-year]] / VfM_Metrics_2023_Consol_Source[[#This Row],[Social housing units owned (period end)]], "n/a" )</f>
        <v>1.5074626865671641E-2</v>
      </c>
      <c r="O155" s="5">
        <f xml:space="preserve"> SUM( VfM_Metrics_2023_Consol_Source[[#This Row],[Total social units developed or newly built units acquired in-year (owned)]], VfM_Metrics_2023_Consol_Source[[#This Row],[Total social leasehold units developed or newly built units acquired in-year (owned)]] )</f>
        <v>101</v>
      </c>
      <c r="P155" s="84" vm="5370">
        <v>101</v>
      </c>
      <c r="Q155" s="83" vm="5371">
        <v>0</v>
      </c>
      <c r="R155" s="5">
        <f xml:space="preserve"> SUM( VfM_Metrics_2023_Consol_Source[[#This Row],[Total social housing units owned (Period end)]], VfM_Metrics_2023_Consol_Source[[#This Row],[Total social leasehold units owned (Period end)]] )</f>
        <v>6700</v>
      </c>
      <c r="S155" s="84" vm="5363">
        <v>6164</v>
      </c>
      <c r="T155" s="83" vm="5372">
        <v>536</v>
      </c>
      <c r="U155" s="86">
        <f xml:space="preserve"> IFERROR( VfM_Metrics_2023_Consol_Source[[#This Row],[Total non-social housing units developed or newly built units acquired (owned)]] / VfM_Metrics_2023_Consol_Source[[#This Row],[Total social and non-social housing units owned (Period end)]], "n/a" )</f>
        <v>0</v>
      </c>
      <c r="V15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55" s="83" vm="5373">
        <v>0</v>
      </c>
      <c r="X155" s="83" vm="5374">
        <v>0</v>
      </c>
      <c r="Y155" s="83" vm="6922">
        <v>0</v>
      </c>
      <c r="Z15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6808</v>
      </c>
      <c r="AA155" s="84" vm="5363">
        <v>6164</v>
      </c>
      <c r="AB155" s="83" vm="5372">
        <v>536</v>
      </c>
      <c r="AC155" s="83" vm="5375">
        <v>108</v>
      </c>
      <c r="AD155" s="83" vm="6948">
        <v>0</v>
      </c>
      <c r="AE155" s="7">
        <f xml:space="preserve"> IFERROR( VfM_Metrics_2023_Consol_Source[[#This Row],[Total Net Debt]] / VfM_Metrics_2023_Consol_Source[[#This Row],[Net Book Value of Housing Properties2]], "n/a" )</f>
        <v>0.67083298381008305</v>
      </c>
      <c r="AF15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239910</v>
      </c>
      <c r="AG155" s="84" vm="5376">
        <v>0</v>
      </c>
      <c r="AH155" s="83" vm="7316">
        <v>260527</v>
      </c>
      <c r="AI155" s="83" vm="5377">
        <v>20617</v>
      </c>
      <c r="AJ155" s="83" vm="5378">
        <v>0</v>
      </c>
      <c r="AK155" s="83" vm="5379">
        <v>0</v>
      </c>
      <c r="AL155" s="5">
        <f xml:space="preserve"> SUM( VfM_Metrics_2023_Consol_Source[[#This Row],[Tangible fixed assets: Housing properties at cost (Current period)2]], VfM_Metrics_2023_Consol_Source[[#This Row],[Tangible fixed assets Housing properties at valuation (Current period)2]] )</f>
        <v>357630</v>
      </c>
      <c r="AM155" s="84" vm="5368">
        <v>357630</v>
      </c>
      <c r="AN155" s="83" vm="5369">
        <v>0</v>
      </c>
      <c r="AO155" s="87">
        <f xml:space="preserve"> IFERROR( VfM_Metrics_2023_Consol_Source[[#This Row],[EBITDA MRI]] / VfM_Metrics_2023_Consol_Source[[#This Row],[Total interest]], "n/a" )</f>
        <v>1.4890007661157929</v>
      </c>
      <c r="AP15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13605</v>
      </c>
      <c r="AQ155" s="84" vm="5380">
        <v>14689</v>
      </c>
      <c r="AR155" s="84" vm="5381">
        <v>3471</v>
      </c>
      <c r="AS155" s="84" vm="5382">
        <v>0</v>
      </c>
      <c r="AT155" s="84" vm="5383">
        <v>678</v>
      </c>
      <c r="AU155" s="84" vm="5384">
        <v>0</v>
      </c>
      <c r="AV155" s="84" vm="5385">
        <v>114</v>
      </c>
      <c r="AW155" s="84" vm="5386">
        <v>4895</v>
      </c>
      <c r="AX155" s="84" vm="5387">
        <v>7846</v>
      </c>
      <c r="AY155" s="3">
        <f xml:space="preserve"> - SUM( VfM_Metrics_2023_Consol_Source[[#This Row],[Interest capitalised]], VfM_Metrics_2023_Consol_Source[[#This Row],[Interest payable and financing costs]] )</f>
        <v>9137</v>
      </c>
      <c r="AZ155" s="84" vm="5388">
        <v>-1008</v>
      </c>
      <c r="BA155" s="83" vm="5389">
        <v>-8129</v>
      </c>
      <c r="BB155" s="8">
        <f xml:space="preserve"> IFERROR( ( VfM_Metrics_2023_Consol_Source[[#This Row],[Total Costs]] / VfM_Metrics_2023_Consol_Source[[#This Row],[Total units for costs]] ) * 1000, "n/a" )</f>
        <v>5392.6390228222435</v>
      </c>
      <c r="BC15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33553</v>
      </c>
      <c r="BD155" s="84" vm="4139">
        <v>4433</v>
      </c>
      <c r="BE155" s="83" vm="5390">
        <v>9224</v>
      </c>
      <c r="BF155" s="83" vm="5391">
        <v>6121</v>
      </c>
      <c r="BG155" s="83" vm="5392">
        <v>5260</v>
      </c>
      <c r="BH155" s="83" vm="5393">
        <v>1930</v>
      </c>
      <c r="BI155" s="83" vm="5394">
        <v>0</v>
      </c>
      <c r="BJ155" s="83" vm="7314">
        <v>4895</v>
      </c>
      <c r="BK155" s="83" vm="5395">
        <v>1690</v>
      </c>
      <c r="BL155" s="83" vm="5396">
        <v>0</v>
      </c>
      <c r="BM155" s="83" vm="5397">
        <v>0</v>
      </c>
      <c r="BN155" s="83" vm="6918">
        <v>0</v>
      </c>
      <c r="BO155" s="83" vm="7147">
        <v>0</v>
      </c>
      <c r="BP155" s="5" vm="5364">
        <f xml:space="preserve"> VfM_Metrics_2023_Consol_Source[[#This Row],[Total social housing units owned and/or managed at period end]]</f>
        <v>6222</v>
      </c>
      <c r="BQ155" s="84" vm="5364">
        <v>6222</v>
      </c>
      <c r="BR155" s="7">
        <f xml:space="preserve"> IFERROR( VfM_Metrics_2023_Consol_Source[[#This Row],[SHL operating surplus / (deficit)]] / VfM_Metrics_2023_Consol_Source[[#This Row],[Turnover from social housing lettings]], "n/a" )</f>
        <v>0.20007025401216272</v>
      </c>
      <c r="BS155" s="5" vm="7149">
        <f xml:space="preserve"> VfM_Metrics_2023_Consol_Source[[#This Row],[Operating surplus/(deficit) (social housing lettings)]]</f>
        <v>9113</v>
      </c>
      <c r="BT155" s="84" vm="7149">
        <v>9113</v>
      </c>
      <c r="BU155" s="5" vm="5398">
        <f xml:space="preserve"> VfM_Metrics_2023_Consol_Source[[#This Row],[Turnover from social housing lettings]]</f>
        <v>45549</v>
      </c>
      <c r="BV155" s="84" vm="5398">
        <v>45549</v>
      </c>
      <c r="BW155" s="7">
        <f xml:space="preserve"> IFERROR( VfM_Metrics_2023_Consol_Source[[#This Row],[Net operating surplus]] / VfM_Metrics_2023_Consol_Source[[#This Row],[Overall turnover]], "n/a" )</f>
        <v>0.22320824545346016</v>
      </c>
      <c r="BX15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11218</v>
      </c>
      <c r="BY155" s="84" vm="5380">
        <v>14689</v>
      </c>
      <c r="BZ155" s="83" vm="5381">
        <v>3471</v>
      </c>
      <c r="CA155" s="83" vm="5382">
        <v>0</v>
      </c>
      <c r="CB155" s="5" vm="5399">
        <f xml:space="preserve"> VfM_Metrics_2023_Consol_Source[[#This Row],[Turnover (overall)]]</f>
        <v>50258</v>
      </c>
      <c r="CC155" s="84" vm="5399">
        <v>50258</v>
      </c>
      <c r="CD155" s="7">
        <f xml:space="preserve"> IFERROR( VfM_Metrics_2023_Consol_Source[[#This Row],[Operating surplus including from JVs]] / VfM_Metrics_2023_Consol_Source[[#This Row],[Net assets]], "n/a" )</f>
        <v>3.5869697931674438E-2</v>
      </c>
      <c r="CE155" s="5">
        <f xml:space="preserve"> SUM( VfM_Metrics_2023_Consol_Source[[#This Row],[Operating surplus/(deficit) (overall)3]], VfM_Metrics_2023_Consol_Source[[#This Row],[Share of operating surplus/(deficit) in joint ventures or associates]] )</f>
        <v>14689</v>
      </c>
      <c r="CF155" s="84" vm="5380">
        <v>14689</v>
      </c>
      <c r="CG155" s="83" vm="3667">
        <v>0</v>
      </c>
      <c r="CH155" s="5" vm="5400">
        <f xml:space="preserve"> VfM_Metrics_2023_Consol_Source[[#This Row],[Total assets less current liabilities]]</f>
        <v>409510</v>
      </c>
      <c r="CI155" s="84" vm="5400">
        <v>409510</v>
      </c>
      <c r="CJ155" s="71" vm="5363">
        <f xml:space="preserve"> VfM_Metrics_2023_Consol_Source[[#This Row],[Total social housing units owned (Period end)]]</f>
        <v>6164</v>
      </c>
      <c r="CK155" s="103">
        <v>3.114754098360656E-3</v>
      </c>
      <c r="CL155" s="6">
        <f xml:space="preserve"> -- ( VfM_Metrics_2023_Consol_Source[[#This Row],[% Supported housing (excl. HOP)]] &gt; 0.3 )</f>
        <v>0</v>
      </c>
      <c r="CM155" s="103">
        <v>0.20885245901639343</v>
      </c>
      <c r="CN155" s="6">
        <f xml:space="preserve"> -- ( VfM_Metrics_2023_Consol_Source[[#This Row],[% Housing for older people]] &gt; 0.3 )</f>
        <v>0</v>
      </c>
      <c r="CO155" s="103">
        <f xml:space="preserve"> VfM_Metrics_2023_Consol_Source[[#This Row],[% Supported housing (excl. HOP)]] + VfM_Metrics_2023_Consol_Source[[#This Row],[% Housing for older people]]</f>
        <v>0.21196721311475408</v>
      </c>
      <c r="CP155" s="6">
        <f xml:space="preserve"> -- ( VfM_Metrics_2023_Consol_Source[[#This Row],[SH specialist in RSH analysis]] + VfM_Metrics_2023_Consol_Source[[#This Row],[OP specialist in RSH analysis]] &gt; 0 )</f>
        <v>0</v>
      </c>
      <c r="CQ155" s="10">
        <f xml:space="preserve"> -- ( VfM_Metrics_2023_Consol_Source[[#This Row],[% SH and OP]] &gt; 0.3 )</f>
        <v>0</v>
      </c>
      <c r="CR155" s="104" t="s">
        <v>143</v>
      </c>
      <c r="CS155" s="124"/>
      <c r="CT155" s="105" t="s">
        <v>151</v>
      </c>
      <c r="CU15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55" s="85">
        <v>0</v>
      </c>
      <c r="CW155" s="85">
        <v>1</v>
      </c>
      <c r="CX155" s="85">
        <v>0</v>
      </c>
      <c r="CY155" s="85">
        <v>0</v>
      </c>
      <c r="CZ155" s="85">
        <v>0</v>
      </c>
      <c r="DA155" s="85">
        <v>0</v>
      </c>
      <c r="DB155" s="85">
        <v>0</v>
      </c>
      <c r="DC155" s="85">
        <v>0</v>
      </c>
      <c r="DD155" s="85">
        <v>0</v>
      </c>
      <c r="DE155" s="13">
        <v>1.0337125580623883</v>
      </c>
    </row>
    <row r="156" spans="1:109" x14ac:dyDescent="0.25">
      <c r="A156" s="4" t="s" vm="375">
        <v>436</v>
      </c>
      <c r="B156" s="2" t="s" vm="146">
        <v>437</v>
      </c>
      <c r="C156" s="72" vm="448">
        <v>45016</v>
      </c>
      <c r="D156" s="7">
        <f>IFERROR( VfM_Metrics_2023_Consol_Source[[#This Row],[Reinvestment Spend]] / VfM_Metrics_2023_Consol_Source[[#This Row],[Net Book Value of Housing Properties]], "n/a" )</f>
        <v>7.0072373928431408E-2</v>
      </c>
      <c r="E15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33064</v>
      </c>
      <c r="F156" s="83" vm="7181">
        <v>3473</v>
      </c>
      <c r="G156" s="83" vm="5993">
        <v>24041</v>
      </c>
      <c r="H156" s="83" vm="5994">
        <v>4906</v>
      </c>
      <c r="I156" s="83" vm="5995">
        <v>644</v>
      </c>
      <c r="J156" s="83" vm="5996">
        <v>0</v>
      </c>
      <c r="K156" s="5">
        <f xml:space="preserve"> SUM( VfM_Metrics_2023_Consol_Source[[#This Row],[Tangible fixed assets: Housing properties at cost (Current period)]],VfM_Metrics_2023_Consol_Source[[#This Row],[Tangible fixed assets Housing properties at valuation (Current period)]] )</f>
        <v>471855</v>
      </c>
      <c r="L156" s="84" vm="6232">
        <v>471855</v>
      </c>
      <c r="M156" s="83" vm="5998">
        <v>0</v>
      </c>
      <c r="N156" s="7">
        <f xml:space="preserve"> IFERROR( VfM_Metrics_2023_Consol_Source[[#This Row],[Total social units developed or newly built units acquired in-year]] / VfM_Metrics_2023_Consol_Source[[#This Row],[Social housing units owned (period end)]], "n/a" )</f>
        <v>2.2266915673035483E-2</v>
      </c>
      <c r="O156" s="5">
        <f xml:space="preserve"> SUM( VfM_Metrics_2023_Consol_Source[[#This Row],[Total social units developed or newly built units acquired in-year (owned)]], VfM_Metrics_2023_Consol_Source[[#This Row],[Total social leasehold units developed or newly built units acquired in-year (owned)]] )</f>
        <v>155</v>
      </c>
      <c r="P156" s="84" vm="5999">
        <v>155</v>
      </c>
      <c r="Q156" s="83" vm="6000">
        <v>0</v>
      </c>
      <c r="R156" s="5">
        <f xml:space="preserve"> SUM( VfM_Metrics_2023_Consol_Source[[#This Row],[Total social housing units owned (Period end)]], VfM_Metrics_2023_Consol_Source[[#This Row],[Total social leasehold units owned (Period end)]] )</f>
        <v>6961</v>
      </c>
      <c r="S156" s="84" vm="5991">
        <v>6961</v>
      </c>
      <c r="T156" s="83" vm="6001">
        <v>0</v>
      </c>
      <c r="U156" s="86">
        <f xml:space="preserve"> IFERROR( VfM_Metrics_2023_Consol_Source[[#This Row],[Total non-social housing units developed or newly built units acquired (owned)]] / VfM_Metrics_2023_Consol_Source[[#This Row],[Total social and non-social housing units owned (Period end)]], "n/a" )</f>
        <v>0</v>
      </c>
      <c r="V15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56" s="83" vm="6002">
        <v>0</v>
      </c>
      <c r="X156" s="83" vm="6003">
        <v>0</v>
      </c>
      <c r="Y156" s="83" vm="6004">
        <v>0</v>
      </c>
      <c r="Z15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7053</v>
      </c>
      <c r="AA156" s="84" vm="5991">
        <v>6961</v>
      </c>
      <c r="AB156" s="83" vm="6001">
        <v>0</v>
      </c>
      <c r="AC156" s="83" vm="6005">
        <v>2</v>
      </c>
      <c r="AD156" s="83" vm="6006">
        <v>90</v>
      </c>
      <c r="AE156" s="7">
        <f xml:space="preserve"> IFERROR( VfM_Metrics_2023_Consol_Source[[#This Row],[Total Net Debt]] / VfM_Metrics_2023_Consol_Source[[#This Row],[Net Book Value of Housing Properties2]], "n/a" )</f>
        <v>0.33533394792891885</v>
      </c>
      <c r="AF15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158229</v>
      </c>
      <c r="AG156" s="84" vm="6007">
        <v>6849</v>
      </c>
      <c r="AH156" s="83" vm="7242">
        <v>160100</v>
      </c>
      <c r="AI156" s="83" vm="6008">
        <v>8720</v>
      </c>
      <c r="AJ156" s="83" vm="6009">
        <v>0</v>
      </c>
      <c r="AK156" s="83" vm="6168">
        <v>0</v>
      </c>
      <c r="AL156" s="5">
        <f xml:space="preserve"> SUM( VfM_Metrics_2023_Consol_Source[[#This Row],[Tangible fixed assets: Housing properties at cost (Current period)2]], VfM_Metrics_2023_Consol_Source[[#This Row],[Tangible fixed assets Housing properties at valuation (Current period)2]] )</f>
        <v>471855</v>
      </c>
      <c r="AM156" s="84" vm="5997">
        <v>471855</v>
      </c>
      <c r="AN156" s="83" vm="5998">
        <v>0</v>
      </c>
      <c r="AO156" s="87">
        <f xml:space="preserve"> IFERROR( VfM_Metrics_2023_Consol_Source[[#This Row],[EBITDA MRI]] / VfM_Metrics_2023_Consol_Source[[#This Row],[Total interest]], "n/a" )</f>
        <v>2.5457111834961998</v>
      </c>
      <c r="AP15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11723</v>
      </c>
      <c r="AQ156" s="84" vm="6010">
        <v>10017</v>
      </c>
      <c r="AR156" s="84" vm="6011">
        <v>1662</v>
      </c>
      <c r="AS156" s="84" vm="6012">
        <v>-10</v>
      </c>
      <c r="AT156" s="84" vm="6013">
        <v>385</v>
      </c>
      <c r="AU156" s="84" vm="6014">
        <v>0</v>
      </c>
      <c r="AV156" s="84" vm="6015">
        <v>53</v>
      </c>
      <c r="AW156" s="84" vm="6016">
        <v>4906</v>
      </c>
      <c r="AX156" s="84" vm="6901">
        <v>8596</v>
      </c>
      <c r="AY156" s="3">
        <f xml:space="preserve"> - SUM( VfM_Metrics_2023_Consol_Source[[#This Row],[Interest capitalised]], VfM_Metrics_2023_Consol_Source[[#This Row],[Interest payable and financing costs]] )</f>
        <v>4605</v>
      </c>
      <c r="AZ156" s="84" vm="6017">
        <v>-644</v>
      </c>
      <c r="BA156" s="83" vm="6018">
        <v>-3961</v>
      </c>
      <c r="BB156" s="8">
        <f xml:space="preserve"> IFERROR( ( VfM_Metrics_2023_Consol_Source[[#This Row],[Total Costs]] / VfM_Metrics_2023_Consol_Source[[#This Row],[Total units for costs]] ) * 1000, "n/a" )</f>
        <v>4325.9589139491454</v>
      </c>
      <c r="BC15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30113</v>
      </c>
      <c r="BD156" s="84" vm="6019">
        <v>6523</v>
      </c>
      <c r="BE156" s="83" vm="6020">
        <v>2241</v>
      </c>
      <c r="BF156" s="83" vm="6021">
        <v>6448</v>
      </c>
      <c r="BG156" s="83" vm="7207">
        <v>5536</v>
      </c>
      <c r="BH156" s="83" vm="6022">
        <v>3721</v>
      </c>
      <c r="BI156" s="83" vm="6023">
        <v>0</v>
      </c>
      <c r="BJ156" s="83" vm="6016">
        <v>4906</v>
      </c>
      <c r="BK156" s="83" vm="6024">
        <v>0</v>
      </c>
      <c r="BL156" s="83" vm="6025">
        <v>734</v>
      </c>
      <c r="BM156" s="83" vm="6888">
        <v>0</v>
      </c>
      <c r="BN156" s="83" vm="6026">
        <v>0</v>
      </c>
      <c r="BO156" s="83" vm="6027">
        <v>4</v>
      </c>
      <c r="BP156" s="5" vm="5992">
        <f xml:space="preserve"> VfM_Metrics_2023_Consol_Source[[#This Row],[Total social housing units owned and/or managed at period end]]</f>
        <v>6961</v>
      </c>
      <c r="BQ156" s="84" vm="5992">
        <v>6961</v>
      </c>
      <c r="BR156" s="7">
        <f xml:space="preserve"> IFERROR( VfM_Metrics_2023_Consol_Source[[#This Row],[SHL operating surplus / (deficit)]] / VfM_Metrics_2023_Consol_Source[[#This Row],[Turnover from social housing lettings]], "n/a" )</f>
        <v>0.19002845478164049</v>
      </c>
      <c r="BS156" s="5" vm="6903">
        <f xml:space="preserve"> VfM_Metrics_2023_Consol_Source[[#This Row],[Operating surplus/(deficit) (social housing lettings)]]</f>
        <v>7680</v>
      </c>
      <c r="BT156" s="84" vm="6903">
        <v>7680</v>
      </c>
      <c r="BU156" s="5" vm="6028">
        <f xml:space="preserve"> VfM_Metrics_2023_Consol_Source[[#This Row],[Turnover from social housing lettings]]</f>
        <v>40415</v>
      </c>
      <c r="BV156" s="84" vm="6028">
        <v>40415</v>
      </c>
      <c r="BW156" s="7">
        <f xml:space="preserve"> IFERROR( VfM_Metrics_2023_Consol_Source[[#This Row],[Net operating surplus]] / VfM_Metrics_2023_Consol_Source[[#This Row],[Overall turnover]], "n/a" )</f>
        <v>0.18197837579132856</v>
      </c>
      <c r="BX15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8365</v>
      </c>
      <c r="BY156" s="84" vm="6010">
        <v>10017</v>
      </c>
      <c r="BZ156" s="83" vm="6011">
        <v>1662</v>
      </c>
      <c r="CA156" s="83" vm="6012">
        <v>-10</v>
      </c>
      <c r="CB156" s="5" vm="6029">
        <f xml:space="preserve"> VfM_Metrics_2023_Consol_Source[[#This Row],[Turnover (overall)]]</f>
        <v>45967</v>
      </c>
      <c r="CC156" s="84" vm="6029">
        <v>45967</v>
      </c>
      <c r="CD156" s="7">
        <f xml:space="preserve"> IFERROR( VfM_Metrics_2023_Consol_Source[[#This Row],[Operating surplus including from JVs]] / VfM_Metrics_2023_Consol_Source[[#This Row],[Net assets]], "n/a" )</f>
        <v>2.1105305296869076E-2</v>
      </c>
      <c r="CE156" s="5">
        <f xml:space="preserve"> SUM( VfM_Metrics_2023_Consol_Source[[#This Row],[Operating surplus/(deficit) (overall)3]], VfM_Metrics_2023_Consol_Source[[#This Row],[Share of operating surplus/(deficit) in joint ventures or associates]] )</f>
        <v>10017</v>
      </c>
      <c r="CF156" s="84" vm="6010">
        <v>10017</v>
      </c>
      <c r="CG156" s="83" vm="6031">
        <v>0</v>
      </c>
      <c r="CH156" s="5" vm="6030">
        <f xml:space="preserve"> VfM_Metrics_2023_Consol_Source[[#This Row],[Total assets less current liabilities]]</f>
        <v>474620</v>
      </c>
      <c r="CI156" s="84" vm="6030">
        <v>474620</v>
      </c>
      <c r="CJ156" s="71" vm="5991">
        <f xml:space="preserve"> VfM_Metrics_2023_Consol_Source[[#This Row],[Total social housing units owned (Period end)]]</f>
        <v>6961</v>
      </c>
      <c r="CK156" s="103">
        <v>1.1590843233845263E-2</v>
      </c>
      <c r="CL156" s="6">
        <f xml:space="preserve"> -- ( VfM_Metrics_2023_Consol_Source[[#This Row],[% Supported housing (excl. HOP)]] &gt; 0.3 )</f>
        <v>0</v>
      </c>
      <c r="CM156" s="103">
        <v>0.20501303969863807</v>
      </c>
      <c r="CN156" s="6">
        <f xml:space="preserve"> -- ( VfM_Metrics_2023_Consol_Source[[#This Row],[% Housing for older people]] &gt; 0.3 )</f>
        <v>0</v>
      </c>
      <c r="CO156" s="103">
        <f xml:space="preserve"> VfM_Metrics_2023_Consol_Source[[#This Row],[% Supported housing (excl. HOP)]] + VfM_Metrics_2023_Consol_Source[[#This Row],[% Housing for older people]]</f>
        <v>0.21660388293248334</v>
      </c>
      <c r="CP156" s="6">
        <f xml:space="preserve"> -- ( VfM_Metrics_2023_Consol_Source[[#This Row],[SH specialist in RSH analysis]] + VfM_Metrics_2023_Consol_Source[[#This Row],[OP specialist in RSH analysis]] &gt; 0 )</f>
        <v>0</v>
      </c>
      <c r="CQ156" s="10">
        <f xml:space="preserve"> -- ( VfM_Metrics_2023_Consol_Source[[#This Row],[% SH and OP]] &gt; 0.3 )</f>
        <v>0</v>
      </c>
      <c r="CR156" s="104" t="s">
        <v>143</v>
      </c>
      <c r="CS156" s="124"/>
      <c r="CT156" s="105" t="s">
        <v>151</v>
      </c>
      <c r="CU15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156" s="85">
        <v>0</v>
      </c>
      <c r="CW156" s="85">
        <v>0</v>
      </c>
      <c r="CX156" s="85">
        <v>1</v>
      </c>
      <c r="CY156" s="85">
        <v>0</v>
      </c>
      <c r="CZ156" s="85">
        <v>0</v>
      </c>
      <c r="DA156" s="85">
        <v>0</v>
      </c>
      <c r="DB156" s="85">
        <v>0</v>
      </c>
      <c r="DC156" s="85">
        <v>0</v>
      </c>
      <c r="DD156" s="85">
        <v>0</v>
      </c>
      <c r="DE156" s="13">
        <v>0.97511902715076015</v>
      </c>
    </row>
    <row r="157" spans="1:109" x14ac:dyDescent="0.25">
      <c r="A157" s="4" t="s" vm="353">
        <v>438</v>
      </c>
      <c r="B157" s="2" t="s" vm="147">
        <v>439</v>
      </c>
      <c r="C157" s="72" vm="584">
        <v>45016</v>
      </c>
      <c r="D157" s="7">
        <f>IFERROR( VfM_Metrics_2023_Consol_Source[[#This Row],[Reinvestment Spend]] / VfM_Metrics_2023_Consol_Source[[#This Row],[Net Book Value of Housing Properties]], "n/a" )</f>
        <v>0.14159842713720178</v>
      </c>
      <c r="E15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79871</v>
      </c>
      <c r="F157" s="83" vm="5198">
        <v>62607</v>
      </c>
      <c r="G157" s="83" vm="5199">
        <v>0</v>
      </c>
      <c r="H157" s="83" vm="5200">
        <v>14161</v>
      </c>
      <c r="I157" s="83" vm="5201">
        <v>3103</v>
      </c>
      <c r="J157" s="83" vm="5202">
        <v>0</v>
      </c>
      <c r="K157" s="5">
        <f xml:space="preserve"> SUM( VfM_Metrics_2023_Consol_Source[[#This Row],[Tangible fixed assets: Housing properties at cost (Current period)]],VfM_Metrics_2023_Consol_Source[[#This Row],[Tangible fixed assets Housing properties at valuation (Current period)]] )</f>
        <v>564067</v>
      </c>
      <c r="L157" s="84" vm="5203">
        <v>564067</v>
      </c>
      <c r="M157" s="83" vm="5204">
        <v>0</v>
      </c>
      <c r="N157" s="7">
        <f xml:space="preserve"> IFERROR( VfM_Metrics_2023_Consol_Source[[#This Row],[Total social units developed or newly built units acquired in-year]] / VfM_Metrics_2023_Consol_Source[[#This Row],[Social housing units owned (period end)]], "n/a" )</f>
        <v>3.0002158428663932E-2</v>
      </c>
      <c r="O157" s="5">
        <f xml:space="preserve"> SUM( VfM_Metrics_2023_Consol_Source[[#This Row],[Total social units developed or newly built units acquired in-year (owned)]], VfM_Metrics_2023_Consol_Source[[#This Row],[Total social leasehold units developed or newly built units acquired in-year (owned)]] )</f>
        <v>278</v>
      </c>
      <c r="P157" s="84" vm="5205">
        <v>278</v>
      </c>
      <c r="Q157" s="83" vm="5206">
        <v>0</v>
      </c>
      <c r="R157" s="5">
        <f xml:space="preserve"> SUM( VfM_Metrics_2023_Consol_Source[[#This Row],[Total social housing units owned (Period end)]], VfM_Metrics_2023_Consol_Source[[#This Row],[Total social leasehold units owned (Period end)]] )</f>
        <v>9266</v>
      </c>
      <c r="S157" s="84" vm="5196">
        <v>9266</v>
      </c>
      <c r="T157" s="83" vm="5207">
        <v>0</v>
      </c>
      <c r="U157" s="86">
        <f xml:space="preserve"> IFERROR( VfM_Metrics_2023_Consol_Source[[#This Row],[Total non-social housing units developed or newly built units acquired (owned)]] / VfM_Metrics_2023_Consol_Source[[#This Row],[Total social and non-social housing units owned (Period end)]], "n/a" )</f>
        <v>0</v>
      </c>
      <c r="V15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57" s="83" vm="5208">
        <v>0</v>
      </c>
      <c r="X157" s="83" vm="5209">
        <v>0</v>
      </c>
      <c r="Y157" s="83" vm="5210">
        <v>0</v>
      </c>
      <c r="Z15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10102</v>
      </c>
      <c r="AA157" s="84" vm="5196">
        <v>9266</v>
      </c>
      <c r="AB157" s="83" vm="5207">
        <v>0</v>
      </c>
      <c r="AC157" s="83" vm="5211">
        <v>2</v>
      </c>
      <c r="AD157" s="83" vm="7228">
        <v>834</v>
      </c>
      <c r="AE157" s="7">
        <f xml:space="preserve"> IFERROR( VfM_Metrics_2023_Consol_Source[[#This Row],[Total Net Debt]] / VfM_Metrics_2023_Consol_Source[[#This Row],[Net Book Value of Housing Properties2]], "n/a" )</f>
        <v>0.60564613778150467</v>
      </c>
      <c r="AF15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341625</v>
      </c>
      <c r="AG157" s="84" vm="5212">
        <v>3600</v>
      </c>
      <c r="AH157" s="83" vm="5213">
        <v>350417</v>
      </c>
      <c r="AI157" s="83" vm="5214">
        <v>12392</v>
      </c>
      <c r="AJ157" s="83" vm="7320">
        <v>0</v>
      </c>
      <c r="AK157" s="83" vm="5215">
        <v>0</v>
      </c>
      <c r="AL157" s="5">
        <f xml:space="preserve"> SUM( VfM_Metrics_2023_Consol_Source[[#This Row],[Tangible fixed assets: Housing properties at cost (Current period)2]], VfM_Metrics_2023_Consol_Source[[#This Row],[Tangible fixed assets Housing properties at valuation (Current period)2]] )</f>
        <v>564067</v>
      </c>
      <c r="AM157" s="84" vm="5203">
        <v>564067</v>
      </c>
      <c r="AN157" s="83" vm="5204">
        <v>0</v>
      </c>
      <c r="AO157" s="87">
        <f xml:space="preserve"> IFERROR( VfM_Metrics_2023_Consol_Source[[#This Row],[EBITDA MRI]] / VfM_Metrics_2023_Consol_Source[[#This Row],[Total interest]], "n/a" )</f>
        <v>0.69376057645067957</v>
      </c>
      <c r="AP15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12709</v>
      </c>
      <c r="AQ157" s="84" vm="5216">
        <v>21806</v>
      </c>
      <c r="AR157" s="84" vm="5217">
        <v>4794</v>
      </c>
      <c r="AS157" s="84" vm="5218">
        <v>0</v>
      </c>
      <c r="AT157" s="84" vm="5219">
        <v>1008</v>
      </c>
      <c r="AU157" s="84" vm="5220">
        <v>76</v>
      </c>
      <c r="AV157" s="84" vm="5221">
        <v>772</v>
      </c>
      <c r="AW157" s="84" vm="5222">
        <v>14161</v>
      </c>
      <c r="AX157" s="84" vm="5223">
        <v>10170</v>
      </c>
      <c r="AY157" s="3">
        <f xml:space="preserve"> - SUM( VfM_Metrics_2023_Consol_Source[[#This Row],[Interest capitalised]], VfM_Metrics_2023_Consol_Source[[#This Row],[Interest payable and financing costs]] )</f>
        <v>18319</v>
      </c>
      <c r="AZ157" s="84" vm="5224">
        <v>-4030</v>
      </c>
      <c r="BA157" s="83" vm="5225">
        <v>-14289</v>
      </c>
      <c r="BB157" s="8">
        <f xml:space="preserve"> IFERROR( ( VfM_Metrics_2023_Consol_Source[[#This Row],[Total Costs]] / VfM_Metrics_2023_Consol_Source[[#This Row],[Total units for costs]] ) * 1000, "n/a" )</f>
        <v>5570.041010144615</v>
      </c>
      <c r="BC15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51612</v>
      </c>
      <c r="BD157" s="84" vm="3983">
        <v>11835</v>
      </c>
      <c r="BE157" s="83" vm="5226">
        <v>2438</v>
      </c>
      <c r="BF157" s="83" vm="6957">
        <v>11708</v>
      </c>
      <c r="BG157" s="83" vm="5227">
        <v>5063</v>
      </c>
      <c r="BH157" s="83" vm="6930">
        <v>0</v>
      </c>
      <c r="BI157" s="83" vm="5229">
        <v>0</v>
      </c>
      <c r="BJ157" s="83" vm="5222">
        <v>14161</v>
      </c>
      <c r="BK157" s="83" vm="5230">
        <v>5673</v>
      </c>
      <c r="BL157" s="83" vm="5231">
        <v>0</v>
      </c>
      <c r="BM157" s="83" vm="6953">
        <v>644</v>
      </c>
      <c r="BN157" s="83" vm="6925">
        <v>0</v>
      </c>
      <c r="BO157" s="83" vm="5233">
        <v>90</v>
      </c>
      <c r="BP157" s="5" vm="5197">
        <f xml:space="preserve"> VfM_Metrics_2023_Consol_Source[[#This Row],[Total social housing units owned and/or managed at period end]]</f>
        <v>9266</v>
      </c>
      <c r="BQ157" s="84" vm="5197">
        <v>9266</v>
      </c>
      <c r="BR157" s="7">
        <f xml:space="preserve"> IFERROR( VfM_Metrics_2023_Consol_Source[[#This Row],[SHL operating surplus / (deficit)]] / VfM_Metrics_2023_Consol_Source[[#This Row],[Turnover from social housing lettings]], "n/a" )</f>
        <v>0.23868629894405458</v>
      </c>
      <c r="BS157" s="5" vm="5234">
        <f xml:space="preserve"> VfM_Metrics_2023_Consol_Source[[#This Row],[Operating surplus/(deficit) (social housing lettings)]]</f>
        <v>14557</v>
      </c>
      <c r="BT157" s="84" vm="5234">
        <v>14557</v>
      </c>
      <c r="BU157" s="5" vm="5235">
        <f xml:space="preserve"> VfM_Metrics_2023_Consol_Source[[#This Row],[Turnover from social housing lettings]]</f>
        <v>60988</v>
      </c>
      <c r="BV157" s="84" vm="5235">
        <v>60988</v>
      </c>
      <c r="BW157" s="7">
        <f xml:space="preserve"> IFERROR( VfM_Metrics_2023_Consol_Source[[#This Row],[Net operating surplus]] / VfM_Metrics_2023_Consol_Source[[#This Row],[Overall turnover]], "n/a" )</f>
        <v>0.21662507003514492</v>
      </c>
      <c r="BX15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17012</v>
      </c>
      <c r="BY157" s="84" vm="7303">
        <v>21806</v>
      </c>
      <c r="BZ157" s="83" vm="6923">
        <v>4794</v>
      </c>
      <c r="CA157" s="83" vm="5143">
        <v>0</v>
      </c>
      <c r="CB157" s="5" vm="7319">
        <f xml:space="preserve"> VfM_Metrics_2023_Consol_Source[[#This Row],[Turnover (overall)]]</f>
        <v>78532</v>
      </c>
      <c r="CC157" s="84" vm="7319">
        <v>78532</v>
      </c>
      <c r="CD157" s="7">
        <f xml:space="preserve"> IFERROR( VfM_Metrics_2023_Consol_Source[[#This Row],[Operating surplus including from JVs]] / VfM_Metrics_2023_Consol_Source[[#This Row],[Net assets]], "n/a" )</f>
        <v>3.6880622535978312E-2</v>
      </c>
      <c r="CE157" s="5">
        <f xml:space="preserve"> SUM( VfM_Metrics_2023_Consol_Source[[#This Row],[Operating surplus/(deficit) (overall)3]], VfM_Metrics_2023_Consol_Source[[#This Row],[Share of operating surplus/(deficit) in joint ventures or associates]] )</f>
        <v>21806</v>
      </c>
      <c r="CF157" s="84" vm="5216">
        <v>21806</v>
      </c>
      <c r="CG157" s="83" vm="5237">
        <v>0</v>
      </c>
      <c r="CH157" s="5" vm="5236">
        <f xml:space="preserve"> VfM_Metrics_2023_Consol_Source[[#This Row],[Total assets less current liabilities]]</f>
        <v>591259</v>
      </c>
      <c r="CI157" s="84" vm="5236">
        <v>591259</v>
      </c>
      <c r="CJ157" s="71" vm="5196">
        <f xml:space="preserve"> VfM_Metrics_2023_Consol_Source[[#This Row],[Total social housing units owned (Period end)]]</f>
        <v>9266</v>
      </c>
      <c r="CK157" s="103">
        <v>1.1504327818560315E-2</v>
      </c>
      <c r="CL157" s="6">
        <f xml:space="preserve"> -- ( VfM_Metrics_2023_Consol_Source[[#This Row],[% Supported housing (excl. HOP)]] &gt; 0.3 )</f>
        <v>0</v>
      </c>
      <c r="CM157" s="103">
        <v>8.4803330776816038E-2</v>
      </c>
      <c r="CN157" s="6">
        <f xml:space="preserve"> -- ( VfM_Metrics_2023_Consol_Source[[#This Row],[% Housing for older people]] &gt; 0.3 )</f>
        <v>0</v>
      </c>
      <c r="CO157" s="103">
        <f xml:space="preserve"> VfM_Metrics_2023_Consol_Source[[#This Row],[% Supported housing (excl. HOP)]] + VfM_Metrics_2023_Consol_Source[[#This Row],[% Housing for older people]]</f>
        <v>9.630765859537635E-2</v>
      </c>
      <c r="CP157" s="6">
        <f xml:space="preserve"> -- ( VfM_Metrics_2023_Consol_Source[[#This Row],[SH specialist in RSH analysis]] + VfM_Metrics_2023_Consol_Source[[#This Row],[OP specialist in RSH analysis]] &gt; 0 )</f>
        <v>0</v>
      </c>
      <c r="CQ157" s="10">
        <f xml:space="preserve"> -- ( VfM_Metrics_2023_Consol_Source[[#This Row],[% SH and OP]] &gt; 0.3 )</f>
        <v>0</v>
      </c>
      <c r="CR157" s="104" t="s">
        <v>143</v>
      </c>
      <c r="CS157" s="124"/>
      <c r="CT157" s="105" t="s">
        <v>151</v>
      </c>
      <c r="CU15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157" s="85">
        <v>0</v>
      </c>
      <c r="CW157" s="85">
        <v>6.5111231687466087E-4</v>
      </c>
      <c r="CX157" s="85">
        <v>0</v>
      </c>
      <c r="CY157" s="85">
        <v>0</v>
      </c>
      <c r="CZ157" s="85">
        <v>0</v>
      </c>
      <c r="DA157" s="85">
        <v>0.99934888768312535</v>
      </c>
      <c r="DB157" s="85">
        <v>0</v>
      </c>
      <c r="DC157" s="85">
        <v>0</v>
      </c>
      <c r="DD157" s="85">
        <v>0</v>
      </c>
      <c r="DE157" s="13">
        <v>1.0113846772846662</v>
      </c>
    </row>
    <row r="158" spans="1:109" x14ac:dyDescent="0.25">
      <c r="A158" s="4" t="s" vm="306">
        <v>440</v>
      </c>
      <c r="B158" s="2" t="s" vm="148">
        <v>441</v>
      </c>
      <c r="C158" s="72" vm="497">
        <v>45016</v>
      </c>
      <c r="D158" s="7">
        <f>IFERROR( VfM_Metrics_2023_Consol_Source[[#This Row],[Reinvestment Spend]] / VfM_Metrics_2023_Consol_Source[[#This Row],[Net Book Value of Housing Properties]], "n/a" )</f>
        <v>6.028720241233157E-2</v>
      </c>
      <c r="E15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34308</v>
      </c>
      <c r="F158" s="83" vm="3544">
        <v>13625</v>
      </c>
      <c r="G158" s="83" vm="3545">
        <v>0</v>
      </c>
      <c r="H158" s="83" vm="3546">
        <v>17509</v>
      </c>
      <c r="I158" s="83" vm="3547">
        <v>3174</v>
      </c>
      <c r="J158" s="83" vm="3548">
        <v>0</v>
      </c>
      <c r="K158" s="5">
        <f xml:space="preserve"> SUM( VfM_Metrics_2023_Consol_Source[[#This Row],[Tangible fixed assets: Housing properties at cost (Current period)]],VfM_Metrics_2023_Consol_Source[[#This Row],[Tangible fixed assets Housing properties at valuation (Current period)]] )</f>
        <v>569076</v>
      </c>
      <c r="L158" s="84" vm="3549">
        <v>569076</v>
      </c>
      <c r="M158" s="83" vm="3550">
        <v>0</v>
      </c>
      <c r="N158" s="7">
        <f xml:space="preserve"> IFERROR( VfM_Metrics_2023_Consol_Source[[#This Row],[Total social units developed or newly built units acquired in-year]] / VfM_Metrics_2023_Consol_Source[[#This Row],[Social housing units owned (period end)]], "n/a" )</f>
        <v>1.3558614935335837E-2</v>
      </c>
      <c r="O158" s="5">
        <f xml:space="preserve"> SUM( VfM_Metrics_2023_Consol_Source[[#This Row],[Total social units developed or newly built units acquired in-year (owned)]], VfM_Metrics_2023_Consol_Source[[#This Row],[Total social leasehold units developed or newly built units acquired in-year (owned)]] )</f>
        <v>65</v>
      </c>
      <c r="P158" s="84" vm="7822">
        <v>65</v>
      </c>
      <c r="Q158" s="83" vm="3551">
        <v>0</v>
      </c>
      <c r="R158" s="5">
        <f xml:space="preserve"> SUM( VfM_Metrics_2023_Consol_Source[[#This Row],[Total social housing units owned (Period end)]], VfM_Metrics_2023_Consol_Source[[#This Row],[Total social leasehold units owned (Period end)]] )</f>
        <v>4794</v>
      </c>
      <c r="S158" s="84" vm="3579">
        <v>4616</v>
      </c>
      <c r="T158" s="83" vm="3552">
        <v>178</v>
      </c>
      <c r="U158" s="86">
        <f xml:space="preserve"> IFERROR( VfM_Metrics_2023_Consol_Source[[#This Row],[Total non-social housing units developed or newly built units acquired (owned)]] / VfM_Metrics_2023_Consol_Source[[#This Row],[Total social and non-social housing units owned (Period end)]], "n/a" )</f>
        <v>0</v>
      </c>
      <c r="V15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58" s="83" vm="3553">
        <v>0</v>
      </c>
      <c r="X158" s="83" vm="3554">
        <v>0</v>
      </c>
      <c r="Y158" s="83" vm="3555">
        <v>0</v>
      </c>
      <c r="Z15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5140</v>
      </c>
      <c r="AA158" s="84" vm="3542">
        <v>4616</v>
      </c>
      <c r="AB158" s="83" vm="3552">
        <v>178</v>
      </c>
      <c r="AC158" s="83" vm="3556">
        <v>202</v>
      </c>
      <c r="AD158" s="83" vm="3557">
        <v>144</v>
      </c>
      <c r="AE158" s="7">
        <f xml:space="preserve"> IFERROR( VfM_Metrics_2023_Consol_Source[[#This Row],[Total Net Debt]] / VfM_Metrics_2023_Consol_Source[[#This Row],[Net Book Value of Housing Properties2]], "n/a" )</f>
        <v>0.51670251425117208</v>
      </c>
      <c r="AF15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294043</v>
      </c>
      <c r="AG158" s="84" vm="3558">
        <v>8118</v>
      </c>
      <c r="AH158" s="83" vm="7709">
        <v>298517</v>
      </c>
      <c r="AI158" s="83" vm="3559">
        <v>12592</v>
      </c>
      <c r="AJ158" s="83" vm="3560">
        <v>0</v>
      </c>
      <c r="AK158" s="83" vm="3561">
        <v>0</v>
      </c>
      <c r="AL158" s="5">
        <f xml:space="preserve"> SUM( VfM_Metrics_2023_Consol_Source[[#This Row],[Tangible fixed assets: Housing properties at cost (Current period)2]], VfM_Metrics_2023_Consol_Source[[#This Row],[Tangible fixed assets Housing properties at valuation (Current period)2]] )</f>
        <v>569076</v>
      </c>
      <c r="AM158" s="84" vm="3549">
        <v>569076</v>
      </c>
      <c r="AN158" s="83" vm="3550">
        <v>0</v>
      </c>
      <c r="AO158" s="87">
        <f xml:space="preserve"> IFERROR( VfM_Metrics_2023_Consol_Source[[#This Row],[EBITDA MRI]] / VfM_Metrics_2023_Consol_Source[[#This Row],[Total interest]], "n/a" )</f>
        <v>-0.91302648294732724</v>
      </c>
      <c r="AP15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-9343</v>
      </c>
      <c r="AQ158" s="84" vm="3562">
        <v>16877</v>
      </c>
      <c r="AR158" s="84" vm="7671">
        <v>12143</v>
      </c>
      <c r="AS158" s="84" vm="3563">
        <v>0</v>
      </c>
      <c r="AT158" s="84" vm="3564">
        <v>1856</v>
      </c>
      <c r="AU158" s="84" vm="3565">
        <v>0</v>
      </c>
      <c r="AV158" s="84" vm="3566">
        <v>48</v>
      </c>
      <c r="AW158" s="84" vm="3297">
        <v>18080</v>
      </c>
      <c r="AX158" s="84" vm="3772">
        <v>5811</v>
      </c>
      <c r="AY158" s="3">
        <f xml:space="preserve"> - SUM( VfM_Metrics_2023_Consol_Source[[#This Row],[Interest capitalised]], VfM_Metrics_2023_Consol_Source[[#This Row],[Interest payable and financing costs]] )</f>
        <v>10233</v>
      </c>
      <c r="AZ158" s="84" vm="3568">
        <v>-3174</v>
      </c>
      <c r="BA158" s="83" vm="7678">
        <v>-7059</v>
      </c>
      <c r="BB158" s="8">
        <f xml:space="preserve"> IFERROR( ( VfM_Metrics_2023_Consol_Source[[#This Row],[Total Costs]] / VfM_Metrics_2023_Consol_Source[[#This Row],[Total units for costs]] ) * 1000, "n/a" )</f>
        <v>11124.133448873483</v>
      </c>
      <c r="BC15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51349</v>
      </c>
      <c r="BD158" s="84" vm="3569">
        <v>13976</v>
      </c>
      <c r="BE158" s="83" vm="3570">
        <v>3898</v>
      </c>
      <c r="BF158" s="83" vm="3571">
        <v>6750</v>
      </c>
      <c r="BG158" s="83" vm="3572">
        <v>4716</v>
      </c>
      <c r="BH158" s="83" vm="3573">
        <v>0</v>
      </c>
      <c r="BI158" s="83" vm="3574">
        <v>2749</v>
      </c>
      <c r="BJ158" s="83" vm="3567">
        <v>18080</v>
      </c>
      <c r="BK158" s="83" vm="7731">
        <v>0</v>
      </c>
      <c r="BL158" s="83" vm="3575">
        <v>990</v>
      </c>
      <c r="BM158" s="83" vm="3576">
        <v>190</v>
      </c>
      <c r="BN158" s="83" vm="3577">
        <v>0</v>
      </c>
      <c r="BO158" s="83" vm="7706">
        <v>0</v>
      </c>
      <c r="BP158" s="5" vm="3543">
        <f xml:space="preserve"> VfM_Metrics_2023_Consol_Source[[#This Row],[Total social housing units owned and/or managed at period end]]</f>
        <v>4616</v>
      </c>
      <c r="BQ158" s="84" vm="3543">
        <v>4616</v>
      </c>
      <c r="BR158" s="7">
        <f xml:space="preserve"> IFERROR( VfM_Metrics_2023_Consol_Source[[#This Row],[SHL operating surplus / (deficit)]] / VfM_Metrics_2023_Consol_Source[[#This Row],[Turnover from social housing lettings]], "n/a" )</f>
        <v>9.33120030562785E-2</v>
      </c>
      <c r="BS158" s="5" vm="3578">
        <f xml:space="preserve"> VfM_Metrics_2023_Consol_Source[[#This Row],[Operating surplus/(deficit) (social housing lettings)]]</f>
        <v>3908</v>
      </c>
      <c r="BT158" s="84" vm="3578">
        <v>3908</v>
      </c>
      <c r="BU158" s="5" vm="3579">
        <f xml:space="preserve"> VfM_Metrics_2023_Consol_Source[[#This Row],[Turnover from social housing lettings]]</f>
        <v>41881</v>
      </c>
      <c r="BV158" s="84" vm="3579">
        <v>41881</v>
      </c>
      <c r="BW158" s="7">
        <f xml:space="preserve"> IFERROR( VfM_Metrics_2023_Consol_Source[[#This Row],[Net operating surplus]] / VfM_Metrics_2023_Consol_Source[[#This Row],[Overall turnover]], "n/a" )</f>
        <v>9.6910888656881411E-2</v>
      </c>
      <c r="BX15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4734</v>
      </c>
      <c r="BY158" s="84" vm="3562">
        <v>16877</v>
      </c>
      <c r="BZ158" s="83" vm="7449">
        <v>12143</v>
      </c>
      <c r="CA158" s="83" vm="3563">
        <v>0</v>
      </c>
      <c r="CB158" s="5" vm="7412">
        <f xml:space="preserve"> VfM_Metrics_2023_Consol_Source[[#This Row],[Turnover (overall)]]</f>
        <v>48849</v>
      </c>
      <c r="CC158" s="84" vm="7412">
        <v>48849</v>
      </c>
      <c r="CD158" s="7">
        <f xml:space="preserve"> IFERROR( VfM_Metrics_2023_Consol_Source[[#This Row],[Operating surplus including from JVs]] / VfM_Metrics_2023_Consol_Source[[#This Row],[Net assets]], "n/a" )</f>
        <v>2.7658507486168288E-2</v>
      </c>
      <c r="CE158" s="5">
        <f xml:space="preserve"> SUM( VfM_Metrics_2023_Consol_Source[[#This Row],[Operating surplus/(deficit) (overall)3]], VfM_Metrics_2023_Consol_Source[[#This Row],[Share of operating surplus/(deficit) in joint ventures or associates]] )</f>
        <v>16877</v>
      </c>
      <c r="CF158" s="84" vm="3562">
        <v>16877</v>
      </c>
      <c r="CG158" s="83" vm="3581">
        <v>0</v>
      </c>
      <c r="CH158" s="5" vm="3580">
        <f xml:space="preserve"> VfM_Metrics_2023_Consol_Source[[#This Row],[Total assets less current liabilities]]</f>
        <v>610192</v>
      </c>
      <c r="CI158" s="84" vm="3580">
        <v>610192</v>
      </c>
      <c r="CJ158" s="71" vm="3579">
        <f xml:space="preserve"> VfM_Metrics_2023_Consol_Source[[#This Row],[Total social housing units owned (Period end)]]</f>
        <v>4616</v>
      </c>
      <c r="CK158" s="103">
        <v>4.5840787119856889E-2</v>
      </c>
      <c r="CL158" s="6">
        <f xml:space="preserve"> -- ( VfM_Metrics_2023_Consol_Source[[#This Row],[% Supported housing (excl. HOP)]] &gt; 0.3 )</f>
        <v>0</v>
      </c>
      <c r="CM158" s="103">
        <v>1.6323792486583184E-2</v>
      </c>
      <c r="CN158" s="6">
        <f xml:space="preserve"> -- ( VfM_Metrics_2023_Consol_Source[[#This Row],[% Housing for older people]] &gt; 0.3 )</f>
        <v>0</v>
      </c>
      <c r="CO158" s="103">
        <f xml:space="preserve"> VfM_Metrics_2023_Consol_Source[[#This Row],[% Supported housing (excl. HOP)]] + VfM_Metrics_2023_Consol_Source[[#This Row],[% Housing for older people]]</f>
        <v>6.2164579606440076E-2</v>
      </c>
      <c r="CP158" s="6">
        <f xml:space="preserve"> -- ( VfM_Metrics_2023_Consol_Source[[#This Row],[SH specialist in RSH analysis]] + VfM_Metrics_2023_Consol_Source[[#This Row],[OP specialist in RSH analysis]] &gt; 0 )</f>
        <v>0</v>
      </c>
      <c r="CQ158" s="10">
        <f xml:space="preserve"> -- ( VfM_Metrics_2023_Consol_Source[[#This Row],[% SH and OP]] &gt; 0.3 )</f>
        <v>0</v>
      </c>
      <c r="CR158" s="104" t="s">
        <v>143</v>
      </c>
      <c r="CS158" s="124" t="s">
        <v>144</v>
      </c>
      <c r="CT158" s="105"/>
      <c r="CU15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58" s="85">
        <v>0.99549954995499546</v>
      </c>
      <c r="CW158" s="85">
        <v>2.7002700270027003E-3</v>
      </c>
      <c r="CX158" s="85">
        <v>4.5004500450045003E-4</v>
      </c>
      <c r="CY158" s="85">
        <v>0</v>
      </c>
      <c r="CZ158" s="85">
        <v>0</v>
      </c>
      <c r="DA158" s="85">
        <v>1.3501350135013501E-3</v>
      </c>
      <c r="DB158" s="85">
        <v>0</v>
      </c>
      <c r="DC158" s="85">
        <v>0</v>
      </c>
      <c r="DD158" s="85">
        <v>0</v>
      </c>
      <c r="DE158" s="13">
        <v>1.1597434942755278</v>
      </c>
    </row>
    <row r="159" spans="1:109" x14ac:dyDescent="0.25">
      <c r="A159" s="4" t="s" vm="365">
        <v>442</v>
      </c>
      <c r="B159" s="2" t="s" vm="149">
        <v>443</v>
      </c>
      <c r="C159" s="72" vm="484">
        <v>45016</v>
      </c>
      <c r="D159" s="7">
        <f>IFERROR( VfM_Metrics_2023_Consol_Source[[#This Row],[Reinvestment Spend]] / VfM_Metrics_2023_Consol_Source[[#This Row],[Net Book Value of Housing Properties]], "n/a" )</f>
        <v>9.9962356936335164E-2</v>
      </c>
      <c r="E15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49924</v>
      </c>
      <c r="F159" s="83" vm="7146">
        <v>42000</v>
      </c>
      <c r="G159" s="83" vm="7032">
        <v>0</v>
      </c>
      <c r="H159" s="83" vm="5604">
        <v>7229</v>
      </c>
      <c r="I159" s="83" vm="5605">
        <v>695</v>
      </c>
      <c r="J159" s="83" vm="5606">
        <v>0</v>
      </c>
      <c r="K159" s="5">
        <f xml:space="preserve"> SUM( VfM_Metrics_2023_Consol_Source[[#This Row],[Tangible fixed assets: Housing properties at cost (Current period)]],VfM_Metrics_2023_Consol_Source[[#This Row],[Tangible fixed assets Housing properties at valuation (Current period)]] )</f>
        <v>499428</v>
      </c>
      <c r="L159" s="84" vm="5607">
        <v>499428</v>
      </c>
      <c r="M159" s="83" vm="5608">
        <v>0</v>
      </c>
      <c r="N159" s="7">
        <f xml:space="preserve"> IFERROR( VfM_Metrics_2023_Consol_Source[[#This Row],[Total social units developed or newly built units acquired in-year]] / VfM_Metrics_2023_Consol_Source[[#This Row],[Social housing units owned (period end)]], "n/a" )</f>
        <v>2.6160701451775192E-2</v>
      </c>
      <c r="O159" s="5">
        <f xml:space="preserve"> SUM( VfM_Metrics_2023_Consol_Source[[#This Row],[Total social units developed or newly built units acquired in-year (owned)]], VfM_Metrics_2023_Consol_Source[[#This Row],[Total social leasehold units developed or newly built units acquired in-year (owned)]] )</f>
        <v>182</v>
      </c>
      <c r="P159" s="84" vm="5609">
        <v>182</v>
      </c>
      <c r="Q159" s="83" vm="5610">
        <v>0</v>
      </c>
      <c r="R159" s="5">
        <f xml:space="preserve"> SUM( VfM_Metrics_2023_Consol_Source[[#This Row],[Total social housing units owned (Period end)]], VfM_Metrics_2023_Consol_Source[[#This Row],[Total social leasehold units owned (Period end)]] )</f>
        <v>6957</v>
      </c>
      <c r="S159" s="84" vm="5602">
        <v>6957</v>
      </c>
      <c r="T159" s="83" vm="5611">
        <v>0</v>
      </c>
      <c r="U159" s="86">
        <f xml:space="preserve"> IFERROR( VfM_Metrics_2023_Consol_Source[[#This Row],[Total non-social housing units developed or newly built units acquired (owned)]] / VfM_Metrics_2023_Consol_Source[[#This Row],[Total social and non-social housing units owned (Period end)]], "n/a" )</f>
        <v>1.244090569793481E-4</v>
      </c>
      <c r="V15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v>
      </c>
      <c r="W159" s="83" vm="5612">
        <v>0</v>
      </c>
      <c r="X159" s="83" vm="5613">
        <v>1</v>
      </c>
      <c r="Y159" s="83" vm="5614">
        <v>0</v>
      </c>
      <c r="Z15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8038</v>
      </c>
      <c r="AA159" s="84" vm="5602">
        <v>6957</v>
      </c>
      <c r="AB159" s="83" vm="5611">
        <v>0</v>
      </c>
      <c r="AC159" s="83" vm="5651">
        <v>0</v>
      </c>
      <c r="AD159" s="83" vm="5615">
        <v>1081</v>
      </c>
      <c r="AE159" s="7">
        <f xml:space="preserve"> IFERROR( VfM_Metrics_2023_Consol_Source[[#This Row],[Total Net Debt]] / VfM_Metrics_2023_Consol_Source[[#This Row],[Net Book Value of Housing Properties2]], "n/a" )</f>
        <v>0.41864292750907039</v>
      </c>
      <c r="AF15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209082</v>
      </c>
      <c r="AG159" s="84" vm="5616">
        <v>0</v>
      </c>
      <c r="AH159" s="83" vm="7281">
        <v>219994</v>
      </c>
      <c r="AI159" s="83" vm="5617">
        <v>10912</v>
      </c>
      <c r="AJ159" s="83" vm="5618">
        <v>0</v>
      </c>
      <c r="AK159" s="83" vm="5619">
        <v>0</v>
      </c>
      <c r="AL159" s="5">
        <f xml:space="preserve"> SUM( VfM_Metrics_2023_Consol_Source[[#This Row],[Tangible fixed assets: Housing properties at cost (Current period)2]], VfM_Metrics_2023_Consol_Source[[#This Row],[Tangible fixed assets Housing properties at valuation (Current period)2]] )</f>
        <v>499428</v>
      </c>
      <c r="AM159" s="84" vm="5607">
        <v>499428</v>
      </c>
      <c r="AN159" s="83" vm="5608">
        <v>0</v>
      </c>
      <c r="AO159" s="87">
        <f xml:space="preserve"> IFERROR( VfM_Metrics_2023_Consol_Source[[#This Row],[EBITDA MRI]] / VfM_Metrics_2023_Consol_Source[[#This Row],[Total interest]], "n/a" )</f>
        <v>2.6099618943930323</v>
      </c>
      <c r="AP15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19178</v>
      </c>
      <c r="AQ159" s="84" vm="5620">
        <v>18944</v>
      </c>
      <c r="AR159" s="84" vm="5621">
        <v>763</v>
      </c>
      <c r="AS159" s="84" vm="5622">
        <v>0</v>
      </c>
      <c r="AT159" s="84" vm="5623">
        <v>82</v>
      </c>
      <c r="AU159" s="84" vm="5624">
        <v>0</v>
      </c>
      <c r="AV159" s="84" vm="7313">
        <v>335</v>
      </c>
      <c r="AW159" s="84" vm="5625">
        <v>7229</v>
      </c>
      <c r="AX159" s="84" vm="5626">
        <v>7973</v>
      </c>
      <c r="AY159" s="3">
        <f xml:space="preserve"> - SUM( VfM_Metrics_2023_Consol_Source[[#This Row],[Interest capitalised]], VfM_Metrics_2023_Consol_Source[[#This Row],[Interest payable and financing costs]] )</f>
        <v>7348</v>
      </c>
      <c r="AZ159" s="84" vm="5627">
        <v>-695</v>
      </c>
      <c r="BA159" s="83" vm="5628">
        <v>-6653</v>
      </c>
      <c r="BB159" s="8">
        <f xml:space="preserve"> IFERROR( ( VfM_Metrics_2023_Consol_Source[[#This Row],[Total Costs]] / VfM_Metrics_2023_Consol_Source[[#This Row],[Total units for costs]] ) * 1000, "n/a" )</f>
        <v>4636.3375017967519</v>
      </c>
      <c r="BC15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32255</v>
      </c>
      <c r="BD159" s="84" vm="7267">
        <v>9579</v>
      </c>
      <c r="BE159" s="83" vm="5629">
        <v>3655</v>
      </c>
      <c r="BF159" s="83" vm="5630">
        <v>5383</v>
      </c>
      <c r="BG159" s="83" vm="5631">
        <v>490</v>
      </c>
      <c r="BH159" s="83" vm="5632">
        <v>3670</v>
      </c>
      <c r="BI159" s="83" vm="7031">
        <v>985</v>
      </c>
      <c r="BJ159" s="83" vm="5625">
        <v>7229</v>
      </c>
      <c r="BK159" s="83" vm="5633">
        <v>0</v>
      </c>
      <c r="BL159" s="83" vm="4505">
        <v>0</v>
      </c>
      <c r="BM159" s="83" vm="5634">
        <v>109</v>
      </c>
      <c r="BN159" s="83" vm="5635">
        <v>1145</v>
      </c>
      <c r="BO159" s="83" vm="5636">
        <v>10</v>
      </c>
      <c r="BP159" s="5" vm="5603">
        <f xml:space="preserve"> VfM_Metrics_2023_Consol_Source[[#This Row],[Total social housing units owned and/or managed at period end]]</f>
        <v>6957</v>
      </c>
      <c r="BQ159" s="84" vm="5603">
        <v>6957</v>
      </c>
      <c r="BR159" s="7">
        <f xml:space="preserve"> IFERROR( VfM_Metrics_2023_Consol_Source[[#This Row],[SHL operating surplus / (deficit)]] / VfM_Metrics_2023_Consol_Source[[#This Row],[Turnover from social housing lettings]], "n/a" )</f>
        <v>0.30818974870882337</v>
      </c>
      <c r="BS159" s="5" vm="5637">
        <f xml:space="preserve"> VfM_Metrics_2023_Consol_Source[[#This Row],[Operating surplus/(deficit) (social housing lettings)]]</f>
        <v>14202</v>
      </c>
      <c r="BT159" s="84" vm="5637">
        <v>14202</v>
      </c>
      <c r="BU159" s="5" vm="5638">
        <f xml:space="preserve"> VfM_Metrics_2023_Consol_Source[[#This Row],[Turnover from social housing lettings]]</f>
        <v>46082</v>
      </c>
      <c r="BV159" s="84" vm="5638">
        <v>46082</v>
      </c>
      <c r="BW159" s="7">
        <f xml:space="preserve"> IFERROR( VfM_Metrics_2023_Consol_Source[[#This Row],[Net operating surplus]] / VfM_Metrics_2023_Consol_Source[[#This Row],[Overall turnover]], "n/a" )</f>
        <v>0.30231630057034536</v>
      </c>
      <c r="BX15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18181</v>
      </c>
      <c r="BY159" s="84" vm="5620">
        <v>18944</v>
      </c>
      <c r="BZ159" s="83" vm="7249">
        <v>763</v>
      </c>
      <c r="CA159" s="83" vm="5622">
        <v>0</v>
      </c>
      <c r="CB159" s="5" vm="5639">
        <f xml:space="preserve"> VfM_Metrics_2023_Consol_Source[[#This Row],[Turnover (overall)]]</f>
        <v>60139</v>
      </c>
      <c r="CC159" s="84" vm="5639">
        <v>60139</v>
      </c>
      <c r="CD159" s="7">
        <f xml:space="preserve"> IFERROR( VfM_Metrics_2023_Consol_Source[[#This Row],[Operating surplus including from JVs]] / VfM_Metrics_2023_Consol_Source[[#This Row],[Net assets]], "n/a" )</f>
        <v>3.5466157938978886E-2</v>
      </c>
      <c r="CE159" s="5">
        <f xml:space="preserve"> SUM( VfM_Metrics_2023_Consol_Source[[#This Row],[Operating surplus/(deficit) (overall)3]], VfM_Metrics_2023_Consol_Source[[#This Row],[Share of operating surplus/(deficit) in joint ventures or associates]] )</f>
        <v>18944</v>
      </c>
      <c r="CF159" s="84" vm="5620">
        <v>18944</v>
      </c>
      <c r="CG159" s="83" vm="5641">
        <v>0</v>
      </c>
      <c r="CH159" s="5" vm="5640">
        <f xml:space="preserve"> VfM_Metrics_2023_Consol_Source[[#This Row],[Total assets less current liabilities]]</f>
        <v>534143</v>
      </c>
      <c r="CI159" s="84" vm="5640">
        <v>534143</v>
      </c>
      <c r="CJ159" s="71" vm="5602">
        <f xml:space="preserve"> VfM_Metrics_2023_Consol_Source[[#This Row],[Total social housing units owned (Period end)]]</f>
        <v>6957</v>
      </c>
      <c r="CK159" s="103">
        <v>6.7171644990710305E-3</v>
      </c>
      <c r="CL159" s="6">
        <f xml:space="preserve"> -- ( VfM_Metrics_2023_Consol_Source[[#This Row],[% Supported housing (excl. HOP)]] &gt; 0.3 )</f>
        <v>0</v>
      </c>
      <c r="CM159" s="103">
        <v>5.002143775903959E-2</v>
      </c>
      <c r="CN159" s="6">
        <f xml:space="preserve"> -- ( VfM_Metrics_2023_Consol_Source[[#This Row],[% Housing for older people]] &gt; 0.3 )</f>
        <v>0</v>
      </c>
      <c r="CO159" s="103">
        <f xml:space="preserve"> VfM_Metrics_2023_Consol_Source[[#This Row],[% Supported housing (excl. HOP)]] + VfM_Metrics_2023_Consol_Source[[#This Row],[% Housing for older people]]</f>
        <v>5.6738602258110622E-2</v>
      </c>
      <c r="CP159" s="6">
        <f xml:space="preserve"> -- ( VfM_Metrics_2023_Consol_Source[[#This Row],[SH specialist in RSH analysis]] + VfM_Metrics_2023_Consol_Source[[#This Row],[OP specialist in RSH analysis]] &gt; 0 )</f>
        <v>0</v>
      </c>
      <c r="CQ159" s="10">
        <f xml:space="preserve"> -- ( VfM_Metrics_2023_Consol_Source[[#This Row],[% SH and OP]] &gt; 0.3 )</f>
        <v>0</v>
      </c>
      <c r="CR159" s="104" t="s">
        <v>143</v>
      </c>
      <c r="CS159" s="124"/>
      <c r="CT159" s="105" t="s">
        <v>151</v>
      </c>
      <c r="CU15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59" s="85">
        <v>0</v>
      </c>
      <c r="CW159" s="85">
        <v>1</v>
      </c>
      <c r="CX159" s="85">
        <v>0</v>
      </c>
      <c r="CY159" s="85">
        <v>0</v>
      </c>
      <c r="CZ159" s="85">
        <v>0</v>
      </c>
      <c r="DA159" s="85">
        <v>0</v>
      </c>
      <c r="DB159" s="85">
        <v>0</v>
      </c>
      <c r="DC159" s="85">
        <v>0</v>
      </c>
      <c r="DD159" s="85">
        <v>0</v>
      </c>
      <c r="DE159" s="13">
        <v>1.0337125580623883</v>
      </c>
    </row>
    <row r="160" spans="1:109" x14ac:dyDescent="0.25">
      <c r="A160" s="4" t="s" vm="380">
        <v>444</v>
      </c>
      <c r="B160" s="2" t="s" vm="150">
        <v>445</v>
      </c>
      <c r="C160" s="72" vm="535">
        <v>45016</v>
      </c>
      <c r="D160" s="7">
        <f>IFERROR( VfM_Metrics_2023_Consol_Source[[#This Row],[Reinvestment Spend]] / VfM_Metrics_2023_Consol_Source[[#This Row],[Net Book Value of Housing Properties]], "n/a" )</f>
        <v>7.5318958880602721E-2</v>
      </c>
      <c r="E16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51266</v>
      </c>
      <c r="F160" s="83" vm="6191">
        <v>0</v>
      </c>
      <c r="G160" s="83" vm="6192">
        <v>44220</v>
      </c>
      <c r="H160" s="83" vm="6193">
        <v>4747</v>
      </c>
      <c r="I160" s="83" vm="6194">
        <v>2299</v>
      </c>
      <c r="J160" s="83" vm="6195">
        <v>0</v>
      </c>
      <c r="K160" s="5">
        <f xml:space="preserve"> SUM( VfM_Metrics_2023_Consol_Source[[#This Row],[Tangible fixed assets: Housing properties at cost (Current period)]],VfM_Metrics_2023_Consol_Source[[#This Row],[Tangible fixed assets Housing properties at valuation (Current period)]] )</f>
        <v>680652</v>
      </c>
      <c r="L160" s="84" vm="6196">
        <v>680652</v>
      </c>
      <c r="M160" s="83" vm="7215">
        <v>0</v>
      </c>
      <c r="N160" s="7">
        <f xml:space="preserve"> IFERROR( VfM_Metrics_2023_Consol_Source[[#This Row],[Total social units developed or newly built units acquired in-year]] / VfM_Metrics_2023_Consol_Source[[#This Row],[Social housing units owned (period end)]], "n/a" )</f>
        <v>4.1423332880619314E-2</v>
      </c>
      <c r="O160" s="5">
        <f xml:space="preserve"> SUM( VfM_Metrics_2023_Consol_Source[[#This Row],[Total social units developed or newly built units acquired in-year (owned)]], VfM_Metrics_2023_Consol_Source[[#This Row],[Total social leasehold units developed or newly built units acquired in-year (owned)]] )</f>
        <v>305</v>
      </c>
      <c r="P160" s="84" vm="6198">
        <v>305</v>
      </c>
      <c r="Q160" s="83">
        <v>0</v>
      </c>
      <c r="R160" s="5">
        <f xml:space="preserve"> SUM( VfM_Metrics_2023_Consol_Source[[#This Row],[Total social housing units owned (Period end)]], VfM_Metrics_2023_Consol_Source[[#This Row],[Total social leasehold units owned (Period end)]] )</f>
        <v>7363</v>
      </c>
      <c r="S160" s="84" vm="6189">
        <v>7363</v>
      </c>
      <c r="T160" s="83" vm="6199">
        <v>0</v>
      </c>
      <c r="U160" s="86">
        <f xml:space="preserve"> IFERROR( VfM_Metrics_2023_Consol_Source[[#This Row],[Total non-social housing units developed or newly built units acquired (owned)]] / VfM_Metrics_2023_Consol_Source[[#This Row],[Total social and non-social housing units owned (Period end)]], "n/a" )</f>
        <v>0</v>
      </c>
      <c r="V16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60" s="83">
        <v>0</v>
      </c>
      <c r="X160" s="83">
        <v>0</v>
      </c>
      <c r="Y160" s="83">
        <v>0</v>
      </c>
      <c r="Z16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7365</v>
      </c>
      <c r="AA160" s="84" vm="3390">
        <v>7363</v>
      </c>
      <c r="AB160" s="83" vm="6199">
        <v>0</v>
      </c>
      <c r="AC160" s="83" vm="6200">
        <v>2</v>
      </c>
      <c r="AD160" s="83" vm="6201">
        <v>0</v>
      </c>
      <c r="AE160" s="7">
        <f xml:space="preserve"> IFERROR( VfM_Metrics_2023_Consol_Source[[#This Row],[Total Net Debt]] / VfM_Metrics_2023_Consol_Source[[#This Row],[Net Book Value of Housing Properties2]], "n/a" )</f>
        <v>0.45181825661277714</v>
      </c>
      <c r="AF16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307531</v>
      </c>
      <c r="AG160" s="84" vm="7238">
        <v>5174</v>
      </c>
      <c r="AH160" s="83" vm="6202">
        <v>309297</v>
      </c>
      <c r="AI160" s="83" vm="6203">
        <v>6940</v>
      </c>
      <c r="AJ160" s="83" vm="6204">
        <v>0</v>
      </c>
      <c r="AK160" s="83" vm="7205">
        <v>0</v>
      </c>
      <c r="AL160" s="5">
        <f xml:space="preserve"> SUM( VfM_Metrics_2023_Consol_Source[[#This Row],[Tangible fixed assets: Housing properties at cost (Current period)2]], VfM_Metrics_2023_Consol_Source[[#This Row],[Tangible fixed assets Housing properties at valuation (Current period)2]] )</f>
        <v>680652</v>
      </c>
      <c r="AM160" s="84" vm="6196">
        <v>680652</v>
      </c>
      <c r="AN160" s="83" vm="6197">
        <v>0</v>
      </c>
      <c r="AO160" s="87">
        <f xml:space="preserve"> IFERROR( VfM_Metrics_2023_Consol_Source[[#This Row],[EBITDA MRI]] / VfM_Metrics_2023_Consol_Source[[#This Row],[Total interest]], "n/a" )</f>
        <v>1.4998063066553033</v>
      </c>
      <c r="AP16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19358</v>
      </c>
      <c r="AQ160" s="84" vm="6205">
        <v>19282</v>
      </c>
      <c r="AR160" s="84" vm="6206">
        <v>1775</v>
      </c>
      <c r="AS160" s="84">
        <v>0</v>
      </c>
      <c r="AT160" s="84" vm="6208">
        <v>645</v>
      </c>
      <c r="AU160" s="84" vm="6209">
        <v>0</v>
      </c>
      <c r="AV160" s="84" vm="6210">
        <v>8</v>
      </c>
      <c r="AW160" s="84" vm="4939">
        <v>4747</v>
      </c>
      <c r="AX160" s="84" vm="6212">
        <v>7235</v>
      </c>
      <c r="AY160" s="3">
        <f xml:space="preserve"> - SUM( VfM_Metrics_2023_Consol_Source[[#This Row],[Interest capitalised]], VfM_Metrics_2023_Consol_Source[[#This Row],[Interest payable and financing costs]] )</f>
        <v>12907</v>
      </c>
      <c r="AZ160" s="84" vm="6213">
        <v>-2299</v>
      </c>
      <c r="BA160" s="83" vm="6214">
        <v>-10608</v>
      </c>
      <c r="BB160" s="8">
        <f xml:space="preserve"> IFERROR( ( VfM_Metrics_2023_Consol_Source[[#This Row],[Total Costs]] / VfM_Metrics_2023_Consol_Source[[#This Row],[Total units for costs]] ) * 1000, "n/a" )</f>
        <v>4158.7668070080135</v>
      </c>
      <c r="BC16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30621</v>
      </c>
      <c r="BD160" s="84" vm="7155">
        <v>3684</v>
      </c>
      <c r="BE160" s="83" vm="6215">
        <v>1690</v>
      </c>
      <c r="BF160" s="83" vm="6216">
        <v>12210</v>
      </c>
      <c r="BG160" s="83" vm="5983">
        <v>7861</v>
      </c>
      <c r="BH160" s="83" vm="6217">
        <v>0</v>
      </c>
      <c r="BI160" s="83" vm="6218">
        <v>0</v>
      </c>
      <c r="BJ160" s="83" vm="6211">
        <v>4747</v>
      </c>
      <c r="BK160" s="83" vm="6654">
        <v>0</v>
      </c>
      <c r="BL160" s="83" vm="6219">
        <v>124</v>
      </c>
      <c r="BM160" s="83">
        <v>0</v>
      </c>
      <c r="BN160" s="83" vm="6220">
        <v>305</v>
      </c>
      <c r="BO160" s="83">
        <v>0</v>
      </c>
      <c r="BP160" s="5" vm="6190">
        <f xml:space="preserve"> VfM_Metrics_2023_Consol_Source[[#This Row],[Total social housing units owned and/or managed at period end]]</f>
        <v>7363</v>
      </c>
      <c r="BQ160" s="84" vm="6190">
        <v>7363</v>
      </c>
      <c r="BR160" s="7">
        <f xml:space="preserve"> IFERROR( VfM_Metrics_2023_Consol_Source[[#This Row],[SHL operating surplus / (deficit)]] / VfM_Metrics_2023_Consol_Source[[#This Row],[Turnover from social housing lettings]], "n/a" )</f>
        <v>0.3086016686938523</v>
      </c>
      <c r="BS160" s="5" vm="6221">
        <f xml:space="preserve"> VfM_Metrics_2023_Consol_Source[[#This Row],[Operating surplus/(deficit) (social housing lettings)]]</f>
        <v>14462</v>
      </c>
      <c r="BT160" s="84" vm="6221">
        <v>14462</v>
      </c>
      <c r="BU160" s="5" vm="6222">
        <f xml:space="preserve"> VfM_Metrics_2023_Consol_Source[[#This Row],[Turnover from social housing lettings]]</f>
        <v>46863</v>
      </c>
      <c r="BV160" s="84" vm="6222">
        <v>46863</v>
      </c>
      <c r="BW160" s="7">
        <f xml:space="preserve"> IFERROR( VfM_Metrics_2023_Consol_Source[[#This Row],[Net operating surplus]] / VfM_Metrics_2023_Consol_Source[[#This Row],[Overall turnover]], "n/a" )</f>
        <v>0.3111138754620415</v>
      </c>
      <c r="BX16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17507</v>
      </c>
      <c r="BY160" s="84" vm="6205">
        <v>19282</v>
      </c>
      <c r="BZ160" s="83" vm="6206">
        <v>1775</v>
      </c>
      <c r="CA160" s="83">
        <v>0</v>
      </c>
      <c r="CB160" s="5" vm="6223">
        <f xml:space="preserve"> VfM_Metrics_2023_Consol_Source[[#This Row],[Turnover (overall)]]</f>
        <v>56272</v>
      </c>
      <c r="CC160" s="84" vm="6223">
        <v>56272</v>
      </c>
      <c r="CD160" s="7">
        <f xml:space="preserve"> IFERROR( VfM_Metrics_2023_Consol_Source[[#This Row],[Operating surplus including from JVs]] / VfM_Metrics_2023_Consol_Source[[#This Row],[Net assets]], "n/a" )</f>
        <v>2.7971196137822188E-2</v>
      </c>
      <c r="CE160" s="5">
        <f xml:space="preserve"> SUM( VfM_Metrics_2023_Consol_Source[[#This Row],[Operating surplus/(deficit) (overall)3]], VfM_Metrics_2023_Consol_Source[[#This Row],[Share of operating surplus/(deficit) in joint ventures or associates]] )</f>
        <v>19282</v>
      </c>
      <c r="CF160" s="84" vm="6205">
        <v>19282</v>
      </c>
      <c r="CG160" s="83">
        <v>0</v>
      </c>
      <c r="CH160" s="5" vm="6224">
        <f xml:space="preserve"> VfM_Metrics_2023_Consol_Source[[#This Row],[Total assets less current liabilities]]</f>
        <v>689352</v>
      </c>
      <c r="CI160" s="84" vm="6224">
        <v>689352</v>
      </c>
      <c r="CJ160" s="71" vm="6189">
        <f xml:space="preserve"> VfM_Metrics_2023_Consol_Source[[#This Row],[Total social housing units owned (Period end)]]</f>
        <v>7363</v>
      </c>
      <c r="CK160" s="103">
        <v>1.3331500824628917E-2</v>
      </c>
      <c r="CL160" s="6">
        <f xml:space="preserve"> -- ( VfM_Metrics_2023_Consol_Source[[#This Row],[% Supported housing (excl. HOP)]] &gt; 0.3 )</f>
        <v>0</v>
      </c>
      <c r="CM160" s="103">
        <v>7.6140736668499173E-2</v>
      </c>
      <c r="CN160" s="6">
        <f xml:space="preserve"> -- ( VfM_Metrics_2023_Consol_Source[[#This Row],[% Housing for older people]] &gt; 0.3 )</f>
        <v>0</v>
      </c>
      <c r="CO160" s="103">
        <f xml:space="preserve"> VfM_Metrics_2023_Consol_Source[[#This Row],[% Supported housing (excl. HOP)]] + VfM_Metrics_2023_Consol_Source[[#This Row],[% Housing for older people]]</f>
        <v>8.947223749312809E-2</v>
      </c>
      <c r="CP160" s="6">
        <f xml:space="preserve"> -- ( VfM_Metrics_2023_Consol_Source[[#This Row],[SH specialist in RSH analysis]] + VfM_Metrics_2023_Consol_Source[[#This Row],[OP specialist in RSH analysis]] &gt; 0 )</f>
        <v>0</v>
      </c>
      <c r="CQ160" s="10">
        <f xml:space="preserve"> -- ( VfM_Metrics_2023_Consol_Source[[#This Row],[% SH and OP]] &gt; 0.3 )</f>
        <v>0</v>
      </c>
      <c r="CR160" s="104" t="s">
        <v>143</v>
      </c>
      <c r="CS160" s="124"/>
      <c r="CT160" s="105" t="s">
        <v>151</v>
      </c>
      <c r="CU16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60" s="85">
        <v>0</v>
      </c>
      <c r="CW160" s="85">
        <v>0.9683552899633302</v>
      </c>
      <c r="CX160" s="85">
        <v>3.1644710036669833E-2</v>
      </c>
      <c r="CY160" s="85">
        <v>0</v>
      </c>
      <c r="CZ160" s="85">
        <v>0</v>
      </c>
      <c r="DA160" s="85">
        <v>0</v>
      </c>
      <c r="DB160" s="85">
        <v>0</v>
      </c>
      <c r="DC160" s="85">
        <v>0</v>
      </c>
      <c r="DD160" s="85">
        <v>0</v>
      </c>
      <c r="DE160" s="13">
        <v>1.0318583827666652</v>
      </c>
    </row>
    <row r="161" spans="1:109" x14ac:dyDescent="0.25">
      <c r="A161" s="4" t="s" vm="320">
        <v>446</v>
      </c>
      <c r="B161" s="2" t="s" vm="151">
        <v>447</v>
      </c>
      <c r="C161" s="72" vm="492">
        <v>45016</v>
      </c>
      <c r="D161" s="7">
        <f>IFERROR( VfM_Metrics_2023_Consol_Source[[#This Row],[Reinvestment Spend]] / VfM_Metrics_2023_Consol_Source[[#This Row],[Net Book Value of Housing Properties]], "n/a" )</f>
        <v>0.10198426885949231</v>
      </c>
      <c r="E16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12551</v>
      </c>
      <c r="F161" s="83" vm="4032">
        <v>8924</v>
      </c>
      <c r="G161" s="83" vm="4033">
        <v>0</v>
      </c>
      <c r="H161" s="83" vm="4034">
        <v>3496</v>
      </c>
      <c r="I161" s="83" vm="4035">
        <v>131</v>
      </c>
      <c r="J161" s="83" vm="4036">
        <v>0</v>
      </c>
      <c r="K161" s="5">
        <f xml:space="preserve"> SUM( VfM_Metrics_2023_Consol_Source[[#This Row],[Tangible fixed assets: Housing properties at cost (Current period)]],VfM_Metrics_2023_Consol_Source[[#This Row],[Tangible fixed assets Housing properties at valuation (Current period)]] )</f>
        <v>123068</v>
      </c>
      <c r="L161" s="84" vm="4037">
        <v>123068</v>
      </c>
      <c r="M161" s="83" vm="4038">
        <v>0</v>
      </c>
      <c r="N161" s="7">
        <f xml:space="preserve"> IFERROR( VfM_Metrics_2023_Consol_Source[[#This Row],[Total social units developed or newly built units acquired in-year]] / VfM_Metrics_2023_Consol_Source[[#This Row],[Social housing units owned (period end)]], "n/a" )</f>
        <v>2.3939393939393941E-2</v>
      </c>
      <c r="O161" s="5">
        <f xml:space="preserve"> SUM( VfM_Metrics_2023_Consol_Source[[#This Row],[Total social units developed or newly built units acquired in-year (owned)]], VfM_Metrics_2023_Consol_Source[[#This Row],[Total social leasehold units developed or newly built units acquired in-year (owned)]] )</f>
        <v>79</v>
      </c>
      <c r="P161" s="84" vm="4039">
        <v>79</v>
      </c>
      <c r="Q161" s="83" vm="3914">
        <v>0</v>
      </c>
      <c r="R161" s="5">
        <f xml:space="preserve"> SUM( VfM_Metrics_2023_Consol_Source[[#This Row],[Total social housing units owned (Period end)]], VfM_Metrics_2023_Consol_Source[[#This Row],[Total social leasehold units owned (Period end)]] )</f>
        <v>3300</v>
      </c>
      <c r="S161" s="84" vm="4030">
        <v>3300</v>
      </c>
      <c r="T161" s="83" vm="7437">
        <v>0</v>
      </c>
      <c r="U161" s="86">
        <f xml:space="preserve"> IFERROR( VfM_Metrics_2023_Consol_Source[[#This Row],[Total non-social housing units developed or newly built units acquired (owned)]] / VfM_Metrics_2023_Consol_Source[[#This Row],[Total social and non-social housing units owned (Period end)]], "n/a" )</f>
        <v>0</v>
      </c>
      <c r="V16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61" s="83" vm="4040">
        <v>0</v>
      </c>
      <c r="X161" s="83" vm="4041">
        <v>0</v>
      </c>
      <c r="Y161" s="83" vm="4042">
        <v>0</v>
      </c>
      <c r="Z16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3575</v>
      </c>
      <c r="AA161" s="84" vm="4030">
        <v>3300</v>
      </c>
      <c r="AB161" s="83" vm="7681">
        <v>0</v>
      </c>
      <c r="AC161" s="83" vm="4043">
        <v>0</v>
      </c>
      <c r="AD161" s="83" vm="7633">
        <v>275</v>
      </c>
      <c r="AE161" s="7">
        <f xml:space="preserve"> IFERROR( VfM_Metrics_2023_Consol_Source[[#This Row],[Total Net Debt]] / VfM_Metrics_2023_Consol_Source[[#This Row],[Net Book Value of Housing Properties2]], "n/a" )</f>
        <v>0.33383170279845287</v>
      </c>
      <c r="AF16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41084</v>
      </c>
      <c r="AG161" s="84" vm="7546">
        <v>0</v>
      </c>
      <c r="AH161" s="83" vm="4044">
        <v>54115</v>
      </c>
      <c r="AI161" s="83" vm="4045">
        <v>13031</v>
      </c>
      <c r="AJ161" s="83" vm="4192">
        <v>0</v>
      </c>
      <c r="AK161" s="83" vm="4046">
        <v>0</v>
      </c>
      <c r="AL161" s="5">
        <f xml:space="preserve"> SUM( VfM_Metrics_2023_Consol_Source[[#This Row],[Tangible fixed assets: Housing properties at cost (Current period)2]], VfM_Metrics_2023_Consol_Source[[#This Row],[Tangible fixed assets Housing properties at valuation (Current period)2]] )</f>
        <v>123068</v>
      </c>
      <c r="AM161" s="84" vm="3281">
        <v>123068</v>
      </c>
      <c r="AN161" s="83" vm="4038">
        <v>0</v>
      </c>
      <c r="AO161" s="87">
        <f xml:space="preserve"> IFERROR( VfM_Metrics_2023_Consol_Source[[#This Row],[EBITDA MRI]] / VfM_Metrics_2023_Consol_Source[[#This Row],[Total interest]], "n/a" )</f>
        <v>1.5220550077841204</v>
      </c>
      <c r="AP16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2933</v>
      </c>
      <c r="AQ161" s="84" vm="4047">
        <v>5173</v>
      </c>
      <c r="AR161" s="84" vm="4048">
        <v>421</v>
      </c>
      <c r="AS161" s="84" vm="4049">
        <v>0</v>
      </c>
      <c r="AT161" s="84" vm="4050">
        <v>274</v>
      </c>
      <c r="AU161" s="84" vm="4051">
        <v>0</v>
      </c>
      <c r="AV161" s="84" vm="4052">
        <v>166</v>
      </c>
      <c r="AW161" s="84" vm="4053">
        <v>3496</v>
      </c>
      <c r="AX161" s="84" vm="6987">
        <v>1785</v>
      </c>
      <c r="AY161" s="3">
        <f xml:space="preserve"> - SUM( VfM_Metrics_2023_Consol_Source[[#This Row],[Interest capitalised]], VfM_Metrics_2023_Consol_Source[[#This Row],[Interest payable and financing costs]] )</f>
        <v>1927</v>
      </c>
      <c r="AZ161" s="84" vm="4054">
        <v>-131</v>
      </c>
      <c r="BA161" s="83" vm="4055">
        <v>-1796</v>
      </c>
      <c r="BB161" s="8">
        <f xml:space="preserve"> IFERROR( ( VfM_Metrics_2023_Consol_Source[[#This Row],[Total Costs]] / VfM_Metrics_2023_Consol_Source[[#This Row],[Total units for costs]] ) * 1000, "n/a" )</f>
        <v>4803.5190615835782</v>
      </c>
      <c r="BC16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16380</v>
      </c>
      <c r="BD161" s="84" vm="4056">
        <v>4590</v>
      </c>
      <c r="BE161" s="83" vm="4057">
        <v>966</v>
      </c>
      <c r="BF161" s="83" vm="4058">
        <v>2718</v>
      </c>
      <c r="BG161" s="83" vm="7598">
        <v>1101</v>
      </c>
      <c r="BH161" s="83" vm="4059">
        <v>2085</v>
      </c>
      <c r="BI161" s="83" vm="4060">
        <v>0</v>
      </c>
      <c r="BJ161" s="83" vm="7357">
        <v>3496</v>
      </c>
      <c r="BK161" s="83" vm="4061">
        <v>0</v>
      </c>
      <c r="BL161" s="83" vm="4062">
        <v>481</v>
      </c>
      <c r="BM161" s="83" vm="3892">
        <v>0</v>
      </c>
      <c r="BN161" s="83" vm="4063">
        <v>943</v>
      </c>
      <c r="BO161" s="83" vm="4064">
        <v>0</v>
      </c>
      <c r="BP161" s="5" vm="4031">
        <f xml:space="preserve"> VfM_Metrics_2023_Consol_Source[[#This Row],[Total social housing units owned and/or managed at period end]]</f>
        <v>3410</v>
      </c>
      <c r="BQ161" s="84" vm="4031">
        <v>3410</v>
      </c>
      <c r="BR161" s="7">
        <f xml:space="preserve"> IFERROR( VfM_Metrics_2023_Consol_Source[[#This Row],[SHL operating surplus / (deficit)]] / VfM_Metrics_2023_Consol_Source[[#This Row],[Turnover from social housing lettings]], "n/a" )</f>
        <v>0.19124437781109446</v>
      </c>
      <c r="BS161" s="5" vm="4065">
        <f xml:space="preserve"> VfM_Metrics_2023_Consol_Source[[#This Row],[Operating surplus/(deficit) (social housing lettings)]]</f>
        <v>3189</v>
      </c>
      <c r="BT161" s="84" vm="4065">
        <v>3189</v>
      </c>
      <c r="BU161" s="5" vm="4066">
        <f xml:space="preserve"> VfM_Metrics_2023_Consol_Source[[#This Row],[Turnover from social housing lettings]]</f>
        <v>16675</v>
      </c>
      <c r="BV161" s="84" vm="4066">
        <v>16675</v>
      </c>
      <c r="BW161" s="7">
        <f xml:space="preserve"> IFERROR( VfM_Metrics_2023_Consol_Source[[#This Row],[Net operating surplus]] / VfM_Metrics_2023_Consol_Source[[#This Row],[Overall turnover]], "n/a" )</f>
        <v>0.21537345902828137</v>
      </c>
      <c r="BX16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4752</v>
      </c>
      <c r="BY161" s="84" vm="7063">
        <v>5173</v>
      </c>
      <c r="BZ161" s="83" vm="4048">
        <v>421</v>
      </c>
      <c r="CA161" s="83" vm="4049">
        <v>0</v>
      </c>
      <c r="CB161" s="5" vm="4067">
        <f xml:space="preserve"> VfM_Metrics_2023_Consol_Source[[#This Row],[Turnover (overall)]]</f>
        <v>22064</v>
      </c>
      <c r="CC161" s="84" vm="4067">
        <v>22064</v>
      </c>
      <c r="CD161" s="7">
        <f xml:space="preserve"> IFERROR( VfM_Metrics_2023_Consol_Source[[#This Row],[Operating surplus including from JVs]] / VfM_Metrics_2023_Consol_Source[[#This Row],[Net assets]], "n/a" )</f>
        <v>3.1747687813380304E-2</v>
      </c>
      <c r="CE161" s="5">
        <f xml:space="preserve"> SUM( VfM_Metrics_2023_Consol_Source[[#This Row],[Operating surplus/(deficit) (overall)3]], VfM_Metrics_2023_Consol_Source[[#This Row],[Share of operating surplus/(deficit) in joint ventures or associates]] )</f>
        <v>5173</v>
      </c>
      <c r="CF161" s="84" vm="4047">
        <v>5173</v>
      </c>
      <c r="CG161" s="83" vm="7545">
        <v>0</v>
      </c>
      <c r="CH161" s="5" vm="4068">
        <f xml:space="preserve"> VfM_Metrics_2023_Consol_Source[[#This Row],[Total assets less current liabilities]]</f>
        <v>162941</v>
      </c>
      <c r="CI161" s="84" vm="4068">
        <v>162941</v>
      </c>
      <c r="CJ161" s="71" vm="4030">
        <f xml:space="preserve"> VfM_Metrics_2023_Consol_Source[[#This Row],[Total social housing units owned (Period end)]]</f>
        <v>3300</v>
      </c>
      <c r="CK161" s="103">
        <v>0</v>
      </c>
      <c r="CL161" s="6">
        <f xml:space="preserve"> -- ( VfM_Metrics_2023_Consol_Source[[#This Row],[% Supported housing (excl. HOP)]] &gt; 0.3 )</f>
        <v>0</v>
      </c>
      <c r="CM161" s="103">
        <v>0.12855831037649221</v>
      </c>
      <c r="CN161" s="6">
        <f xml:space="preserve"> -- ( VfM_Metrics_2023_Consol_Source[[#This Row],[% Housing for older people]] &gt; 0.3 )</f>
        <v>0</v>
      </c>
      <c r="CO161" s="103">
        <f xml:space="preserve"> VfM_Metrics_2023_Consol_Source[[#This Row],[% Supported housing (excl. HOP)]] + VfM_Metrics_2023_Consol_Source[[#This Row],[% Housing for older people]]</f>
        <v>0.12855831037649221</v>
      </c>
      <c r="CP161" s="6">
        <f xml:space="preserve"> -- ( VfM_Metrics_2023_Consol_Source[[#This Row],[SH specialist in RSH analysis]] + VfM_Metrics_2023_Consol_Source[[#This Row],[OP specialist in RSH analysis]] &gt; 0 )</f>
        <v>0</v>
      </c>
      <c r="CQ161" s="10">
        <f xml:space="preserve"> -- ( VfM_Metrics_2023_Consol_Source[[#This Row],[% SH and OP]] &gt; 0.3 )</f>
        <v>0</v>
      </c>
      <c r="CR161" s="104" t="s">
        <v>168</v>
      </c>
      <c r="CS161" s="124">
        <v>40973</v>
      </c>
      <c r="CT161" s="105" t="s">
        <v>169</v>
      </c>
      <c r="CU16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61" s="85">
        <v>0</v>
      </c>
      <c r="CW161" s="85">
        <v>0</v>
      </c>
      <c r="CX161" s="85">
        <v>0</v>
      </c>
      <c r="CY161" s="85">
        <v>0</v>
      </c>
      <c r="CZ161" s="85">
        <v>0</v>
      </c>
      <c r="DA161" s="85">
        <v>0</v>
      </c>
      <c r="DB161" s="85">
        <v>0</v>
      </c>
      <c r="DC161" s="85">
        <v>1</v>
      </c>
      <c r="DD161" s="85">
        <v>0</v>
      </c>
      <c r="DE161" s="13">
        <v>0.96105917141044694</v>
      </c>
    </row>
    <row r="162" spans="1:109" x14ac:dyDescent="0.25">
      <c r="A162" s="4" t="s" vm="331">
        <v>448</v>
      </c>
      <c r="B162" s="2" t="s" vm="152">
        <v>449</v>
      </c>
      <c r="C162" s="72" vm="546">
        <v>45016</v>
      </c>
      <c r="D162" s="7">
        <f>IFERROR( VfM_Metrics_2023_Consol_Source[[#This Row],[Reinvestment Spend]] / VfM_Metrics_2023_Consol_Source[[#This Row],[Net Book Value of Housing Properties]], "n/a" )</f>
        <v>4.8892764058427553E-2</v>
      </c>
      <c r="E16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5215</v>
      </c>
      <c r="F162" s="83" vm="4415">
        <v>0</v>
      </c>
      <c r="G162" s="83" vm="4416">
        <v>963</v>
      </c>
      <c r="H162" s="83" vm="4417">
        <v>4227</v>
      </c>
      <c r="I162" s="83" vm="4418">
        <v>25</v>
      </c>
      <c r="J162" s="83" vm="7056">
        <v>0</v>
      </c>
      <c r="K162" s="5">
        <f xml:space="preserve"> SUM( VfM_Metrics_2023_Consol_Source[[#This Row],[Tangible fixed assets: Housing properties at cost (Current period)]],VfM_Metrics_2023_Consol_Source[[#This Row],[Tangible fixed assets Housing properties at valuation (Current period)]] )</f>
        <v>106662</v>
      </c>
      <c r="L162" s="84" vm="4419">
        <v>106662</v>
      </c>
      <c r="M162" s="83" vm="4420">
        <v>0</v>
      </c>
      <c r="N162" s="7">
        <f xml:space="preserve"> IFERROR( VfM_Metrics_2023_Consol_Source[[#This Row],[Total social units developed or newly built units acquired in-year]] / VfM_Metrics_2023_Consol_Source[[#This Row],[Social housing units owned (period end)]], "n/a" )</f>
        <v>5.2002080083203327E-3</v>
      </c>
      <c r="O162" s="5">
        <f xml:space="preserve"> SUM( VfM_Metrics_2023_Consol_Source[[#This Row],[Total social units developed or newly built units acquired in-year (owned)]], VfM_Metrics_2023_Consol_Source[[#This Row],[Total social leasehold units developed or newly built units acquired in-year (owned)]] )</f>
        <v>20</v>
      </c>
      <c r="P162" s="84" vm="7539">
        <v>20</v>
      </c>
      <c r="Q162" s="83">
        <v>0</v>
      </c>
      <c r="R162" s="5">
        <f xml:space="preserve"> SUM( VfM_Metrics_2023_Consol_Source[[#This Row],[Total social housing units owned (Period end)]], VfM_Metrics_2023_Consol_Source[[#This Row],[Total social leasehold units owned (Period end)]] )</f>
        <v>3846</v>
      </c>
      <c r="S162" s="84" vm="4413">
        <v>3830</v>
      </c>
      <c r="T162" s="83" vm="4422">
        <v>16</v>
      </c>
      <c r="U162" s="86">
        <f xml:space="preserve"> IFERROR( VfM_Metrics_2023_Consol_Source[[#This Row],[Total non-social housing units developed or newly built units acquired (owned)]] / VfM_Metrics_2023_Consol_Source[[#This Row],[Total social and non-social housing units owned (Period end)]], "n/a" )</f>
        <v>0</v>
      </c>
      <c r="V16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62" s="83">
        <v>0</v>
      </c>
      <c r="X162" s="83">
        <v>0</v>
      </c>
      <c r="Y162" s="83">
        <v>0</v>
      </c>
      <c r="Z16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3846</v>
      </c>
      <c r="AA162" s="84" vm="4413">
        <v>3830</v>
      </c>
      <c r="AB162" s="83" vm="4422">
        <v>16</v>
      </c>
      <c r="AC162" s="83" vm="4423">
        <v>0</v>
      </c>
      <c r="AD162" s="83" vm="4424">
        <v>0</v>
      </c>
      <c r="AE162" s="7">
        <f xml:space="preserve"> IFERROR( VfM_Metrics_2023_Consol_Source[[#This Row],[Total Net Debt]] / VfM_Metrics_2023_Consol_Source[[#This Row],[Net Book Value of Housing Properties2]], "n/a" )</f>
        <v>0.23296019200840037</v>
      </c>
      <c r="AF16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24848</v>
      </c>
      <c r="AG162" s="84" vm="7364">
        <v>0</v>
      </c>
      <c r="AH162" s="83" vm="4425">
        <v>28261</v>
      </c>
      <c r="AI162" s="83" vm="4426">
        <v>3413</v>
      </c>
      <c r="AJ162" s="83" vm="7522">
        <v>0</v>
      </c>
      <c r="AK162" s="83" vm="4427">
        <v>0</v>
      </c>
      <c r="AL162" s="5">
        <f xml:space="preserve"> SUM( VfM_Metrics_2023_Consol_Source[[#This Row],[Tangible fixed assets: Housing properties at cost (Current period)2]], VfM_Metrics_2023_Consol_Source[[#This Row],[Tangible fixed assets Housing properties at valuation (Current period)2]] )</f>
        <v>106662</v>
      </c>
      <c r="AM162" s="84" vm="4419">
        <v>106662</v>
      </c>
      <c r="AN162" s="83" vm="4420">
        <v>0</v>
      </c>
      <c r="AO162" s="87">
        <f xml:space="preserve"> IFERROR( VfM_Metrics_2023_Consol_Source[[#This Row],[EBITDA MRI]] / VfM_Metrics_2023_Consol_Source[[#This Row],[Total interest]], "n/a" )</f>
        <v>3.0377503852080121</v>
      </c>
      <c r="AP16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3943</v>
      </c>
      <c r="AQ162" s="84" vm="4428">
        <v>5133</v>
      </c>
      <c r="AR162" s="84" vm="5594">
        <v>905</v>
      </c>
      <c r="AS162" s="84">
        <v>0</v>
      </c>
      <c r="AT162" s="84" vm="4430">
        <v>690</v>
      </c>
      <c r="AU162" s="84" vm="7385">
        <v>0</v>
      </c>
      <c r="AV162" s="84" vm="5786">
        <v>19</v>
      </c>
      <c r="AW162" s="84" vm="4431">
        <v>4227</v>
      </c>
      <c r="AX162" s="84" vm="4432">
        <v>4613</v>
      </c>
      <c r="AY162" s="3">
        <f xml:space="preserve"> - SUM( VfM_Metrics_2023_Consol_Source[[#This Row],[Interest capitalised]], VfM_Metrics_2023_Consol_Source[[#This Row],[Interest payable and financing costs]] )</f>
        <v>1298</v>
      </c>
      <c r="AZ162" s="84" vm="4433">
        <v>-25</v>
      </c>
      <c r="BA162" s="83" vm="4434">
        <v>-1273</v>
      </c>
      <c r="BB162" s="8">
        <f xml:space="preserve"> IFERROR( ( VfM_Metrics_2023_Consol_Source[[#This Row],[Total Costs]] / VfM_Metrics_2023_Consol_Source[[#This Row],[Total units for costs]] ) * 1000, "n/a" )</f>
        <v>4210.1827676240209</v>
      </c>
      <c r="BC16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16125</v>
      </c>
      <c r="BD162" s="84" vm="4435">
        <v>4504</v>
      </c>
      <c r="BE162" s="83" vm="4436">
        <v>654</v>
      </c>
      <c r="BF162" s="83" vm="4437">
        <v>2938</v>
      </c>
      <c r="BG162" s="83" vm="4438">
        <v>2104</v>
      </c>
      <c r="BH162" s="83" vm="4439">
        <v>681</v>
      </c>
      <c r="BI162" s="83" vm="4440">
        <v>289</v>
      </c>
      <c r="BJ162" s="83" vm="4431">
        <v>4227</v>
      </c>
      <c r="BK162" s="83" vm="4441">
        <v>0</v>
      </c>
      <c r="BL162" s="83" vm="4442">
        <v>176</v>
      </c>
      <c r="BM162" s="83" vm="4443">
        <v>454</v>
      </c>
      <c r="BN162" s="83" vm="4444">
        <v>98</v>
      </c>
      <c r="BO162" s="83">
        <v>0</v>
      </c>
      <c r="BP162" s="5" vm="4414">
        <f xml:space="preserve"> VfM_Metrics_2023_Consol_Source[[#This Row],[Total social housing units owned and/or managed at period end]]</f>
        <v>3830</v>
      </c>
      <c r="BQ162" s="84" vm="4414">
        <v>3830</v>
      </c>
      <c r="BR162" s="7">
        <f xml:space="preserve"> IFERROR( VfM_Metrics_2023_Consol_Source[[#This Row],[SHL operating surplus / (deficit)]] / VfM_Metrics_2023_Consol_Source[[#This Row],[Turnover from social housing lettings]], "n/a" )</f>
        <v>0.23110890597866535</v>
      </c>
      <c r="BS162" s="5" vm="4445">
        <f xml:space="preserve"> VfM_Metrics_2023_Consol_Source[[#This Row],[Operating surplus/(deficit) (social housing lettings)]]</f>
        <v>4658</v>
      </c>
      <c r="BT162" s="84" vm="4445">
        <v>4658</v>
      </c>
      <c r="BU162" s="5" vm="4446">
        <f xml:space="preserve"> VfM_Metrics_2023_Consol_Source[[#This Row],[Turnover from social housing lettings]]</f>
        <v>20155</v>
      </c>
      <c r="BV162" s="84" vm="4446">
        <v>20155</v>
      </c>
      <c r="BW162" s="7">
        <f xml:space="preserve"> IFERROR( VfM_Metrics_2023_Consol_Source[[#This Row],[Net operating surplus]] / VfM_Metrics_2023_Consol_Source[[#This Row],[Overall turnover]], "n/a" )</f>
        <v>0.20038864401156453</v>
      </c>
      <c r="BX16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4228</v>
      </c>
      <c r="BY162" s="84" vm="4428">
        <v>5133</v>
      </c>
      <c r="BZ162" s="83" vm="4429">
        <v>905</v>
      </c>
      <c r="CA162" s="83">
        <v>0</v>
      </c>
      <c r="CB162" s="5" vm="4447">
        <f xml:space="preserve"> VfM_Metrics_2023_Consol_Source[[#This Row],[Turnover (overall)]]</f>
        <v>21099</v>
      </c>
      <c r="CC162" s="84" vm="4447">
        <v>21099</v>
      </c>
      <c r="CD162" s="7">
        <f xml:space="preserve"> IFERROR( VfM_Metrics_2023_Consol_Source[[#This Row],[Operating surplus including from JVs]] / VfM_Metrics_2023_Consol_Source[[#This Row],[Net assets]], "n/a" )</f>
        <v>4.6379875850478439E-2</v>
      </c>
      <c r="CE162" s="5">
        <f xml:space="preserve"> SUM( VfM_Metrics_2023_Consol_Source[[#This Row],[Operating surplus/(deficit) (overall)3]], VfM_Metrics_2023_Consol_Source[[#This Row],[Share of operating surplus/(deficit) in joint ventures or associates]] )</f>
        <v>5133</v>
      </c>
      <c r="CF162" s="84" vm="2338">
        <v>5133</v>
      </c>
      <c r="CG162" s="83" vm="4449">
        <v>0</v>
      </c>
      <c r="CH162" s="5" vm="4448">
        <f xml:space="preserve"> VfM_Metrics_2023_Consol_Source[[#This Row],[Total assets less current liabilities]]</f>
        <v>110673</v>
      </c>
      <c r="CI162" s="84" vm="4448">
        <v>110673</v>
      </c>
      <c r="CJ162" s="71" vm="4413">
        <f xml:space="preserve"> VfM_Metrics_2023_Consol_Source[[#This Row],[Total social housing units owned (Period end)]]</f>
        <v>3830</v>
      </c>
      <c r="CK162" s="103">
        <v>7.8308535630383712E-4</v>
      </c>
      <c r="CL162" s="6">
        <f xml:space="preserve"> -- ( VfM_Metrics_2023_Consol_Source[[#This Row],[% Supported housing (excl. HOP)]] &gt; 0.3 )</f>
        <v>0</v>
      </c>
      <c r="CM162" s="103">
        <v>3.0801357347950926E-2</v>
      </c>
      <c r="CN162" s="6">
        <f xml:space="preserve"> -- ( VfM_Metrics_2023_Consol_Source[[#This Row],[% Housing for older people]] &gt; 0.3 )</f>
        <v>0</v>
      </c>
      <c r="CO162" s="103">
        <f xml:space="preserve"> VfM_Metrics_2023_Consol_Source[[#This Row],[% Supported housing (excl. HOP)]] + VfM_Metrics_2023_Consol_Source[[#This Row],[% Housing for older people]]</f>
        <v>3.1584442704254763E-2</v>
      </c>
      <c r="CP162" s="6">
        <f xml:space="preserve"> -- ( VfM_Metrics_2023_Consol_Source[[#This Row],[SH specialist in RSH analysis]] + VfM_Metrics_2023_Consol_Source[[#This Row],[OP specialist in RSH analysis]] &gt; 0 )</f>
        <v>0</v>
      </c>
      <c r="CQ162" s="10">
        <f xml:space="preserve"> -- ( VfM_Metrics_2023_Consol_Source[[#This Row],[% SH and OP]] &gt; 0.3 )</f>
        <v>0</v>
      </c>
      <c r="CR162" s="104" t="s">
        <v>143</v>
      </c>
      <c r="CS162" s="124"/>
      <c r="CT162" s="105" t="s">
        <v>151</v>
      </c>
      <c r="CU16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62" s="85">
        <v>0</v>
      </c>
      <c r="CW162" s="85">
        <v>0</v>
      </c>
      <c r="CX162" s="85">
        <v>0</v>
      </c>
      <c r="CY162" s="85">
        <v>0</v>
      </c>
      <c r="CZ162" s="85">
        <v>0</v>
      </c>
      <c r="DA162" s="85">
        <v>0</v>
      </c>
      <c r="DB162" s="85">
        <v>0</v>
      </c>
      <c r="DC162" s="85">
        <v>1</v>
      </c>
      <c r="DD162" s="85">
        <v>0</v>
      </c>
      <c r="DE162" s="13">
        <v>0.96105917141044694</v>
      </c>
    </row>
    <row r="163" spans="1:109" x14ac:dyDescent="0.25">
      <c r="A163" s="4" t="s" vm="354">
        <v>450</v>
      </c>
      <c r="B163" s="2" t="s" vm="153">
        <v>451</v>
      </c>
      <c r="C163" s="72" vm="526">
        <v>45016</v>
      </c>
      <c r="D163" s="7">
        <f>IFERROR( VfM_Metrics_2023_Consol_Source[[#This Row],[Reinvestment Spend]] / VfM_Metrics_2023_Consol_Source[[#This Row],[Net Book Value of Housing Properties]], "n/a" )</f>
        <v>2.6797275599523489E-2</v>
      </c>
      <c r="E16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8278</v>
      </c>
      <c r="F163" s="83" vm="5240">
        <v>2744</v>
      </c>
      <c r="G163" s="83" vm="5241">
        <v>804</v>
      </c>
      <c r="H163" s="83" vm="5242">
        <v>4683</v>
      </c>
      <c r="I163" s="83" vm="5243">
        <v>47</v>
      </c>
      <c r="J163" s="83" vm="5244">
        <v>0</v>
      </c>
      <c r="K163" s="5">
        <f xml:space="preserve"> SUM( VfM_Metrics_2023_Consol_Source[[#This Row],[Tangible fixed assets: Housing properties at cost (Current period)]],VfM_Metrics_2023_Consol_Source[[#This Row],[Tangible fixed assets Housing properties at valuation (Current period)]] )</f>
        <v>308912</v>
      </c>
      <c r="L163" s="84" vm="5245">
        <v>308912</v>
      </c>
      <c r="M163" s="83">
        <v>0</v>
      </c>
      <c r="N163" s="7">
        <f xml:space="preserve"> IFERROR( VfM_Metrics_2023_Consol_Source[[#This Row],[Total social units developed or newly built units acquired in-year]] / VfM_Metrics_2023_Consol_Source[[#This Row],[Social housing units owned (period end)]], "n/a" )</f>
        <v>2.9417172274315132E-3</v>
      </c>
      <c r="O163" s="5">
        <f xml:space="preserve"> SUM( VfM_Metrics_2023_Consol_Source[[#This Row],[Total social units developed or newly built units acquired in-year (owned)]], VfM_Metrics_2023_Consol_Source[[#This Row],[Total social leasehold units developed or newly built units acquired in-year (owned)]] )</f>
        <v>16</v>
      </c>
      <c r="P163" s="84" vm="6710">
        <v>16</v>
      </c>
      <c r="Q163" s="83">
        <v>0</v>
      </c>
      <c r="R163" s="5">
        <f xml:space="preserve"> SUM( VfM_Metrics_2023_Consol_Source[[#This Row],[Total social housing units owned (Period end)]], VfM_Metrics_2023_Consol_Source[[#This Row],[Total social leasehold units owned (Period end)]] )</f>
        <v>5439</v>
      </c>
      <c r="S163" s="84" vm="5238">
        <v>5386</v>
      </c>
      <c r="T163" s="83" vm="5246">
        <v>53</v>
      </c>
      <c r="U163" s="86">
        <f xml:space="preserve"> IFERROR( VfM_Metrics_2023_Consol_Source[[#This Row],[Total non-social housing units developed or newly built units acquired (owned)]] / VfM_Metrics_2023_Consol_Source[[#This Row],[Total social and non-social housing units owned (Period end)]], "n/a" )</f>
        <v>0</v>
      </c>
      <c r="V16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63" s="83">
        <v>0</v>
      </c>
      <c r="X163" s="83">
        <v>0</v>
      </c>
      <c r="Y163" s="83">
        <v>0</v>
      </c>
      <c r="Z16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5479</v>
      </c>
      <c r="AA163" s="84" vm="5238">
        <v>5386</v>
      </c>
      <c r="AB163" s="83" vm="5246">
        <v>53</v>
      </c>
      <c r="AC163" s="83" vm="5247">
        <v>40</v>
      </c>
      <c r="AD163" s="83" vm="5248">
        <v>0</v>
      </c>
      <c r="AE163" s="7">
        <f xml:space="preserve"> IFERROR( VfM_Metrics_2023_Consol_Source[[#This Row],[Total Net Debt]] / VfM_Metrics_2023_Consol_Source[[#This Row],[Net Book Value of Housing Properties2]], "n/a" )</f>
        <v>0.44662881338374683</v>
      </c>
      <c r="AF16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137969</v>
      </c>
      <c r="AG163" s="84" vm="5249">
        <v>98433</v>
      </c>
      <c r="AH163" s="83" vm="5250">
        <v>34484</v>
      </c>
      <c r="AI163" s="83" vm="5251">
        <v>6013</v>
      </c>
      <c r="AJ163" s="83" vm="1675">
        <v>0</v>
      </c>
      <c r="AK163" s="83" vm="5252">
        <v>11065</v>
      </c>
      <c r="AL163" s="5">
        <f xml:space="preserve"> SUM( VfM_Metrics_2023_Consol_Source[[#This Row],[Tangible fixed assets: Housing properties at cost (Current period)2]], VfM_Metrics_2023_Consol_Source[[#This Row],[Tangible fixed assets Housing properties at valuation (Current period)2]] )</f>
        <v>308912</v>
      </c>
      <c r="AM163" s="84" vm="5245">
        <v>308912</v>
      </c>
      <c r="AN163" s="83">
        <v>0</v>
      </c>
      <c r="AO163" s="87">
        <f xml:space="preserve"> IFERROR( VfM_Metrics_2023_Consol_Source[[#This Row],[EBITDA MRI]] / VfM_Metrics_2023_Consol_Source[[#This Row],[Total interest]], "n/a" )</f>
        <v>0.95112781954887216</v>
      </c>
      <c r="AP16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6325</v>
      </c>
      <c r="AQ163" s="84" vm="5253">
        <v>7260</v>
      </c>
      <c r="AR163" s="84" vm="6952">
        <v>1957</v>
      </c>
      <c r="AS163" s="84">
        <v>0</v>
      </c>
      <c r="AT163" s="84" vm="5254">
        <v>1605</v>
      </c>
      <c r="AU163" s="84" vm="5255">
        <v>0</v>
      </c>
      <c r="AV163" s="84" vm="5256">
        <v>160</v>
      </c>
      <c r="AW163" s="84" vm="5257">
        <v>4683</v>
      </c>
      <c r="AX163" s="84" vm="3637">
        <v>7150</v>
      </c>
      <c r="AY163" s="3">
        <f xml:space="preserve"> - SUM( VfM_Metrics_2023_Consol_Source[[#This Row],[Interest capitalised]], VfM_Metrics_2023_Consol_Source[[#This Row],[Interest payable and financing costs]] )</f>
        <v>6650</v>
      </c>
      <c r="AZ163" s="84" vm="6951">
        <v>-47</v>
      </c>
      <c r="BA163" s="83" vm="5258">
        <v>-6603</v>
      </c>
      <c r="BB163" s="8">
        <f xml:space="preserve"> IFERROR( ( VfM_Metrics_2023_Consol_Source[[#This Row],[Total Costs]] / VfM_Metrics_2023_Consol_Source[[#This Row],[Total units for costs]] ) * 1000, "n/a" )</f>
        <v>5477.691740412979</v>
      </c>
      <c r="BC16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29711</v>
      </c>
      <c r="BD163" s="84" vm="7014">
        <v>8310</v>
      </c>
      <c r="BE163" s="83" vm="5260">
        <v>2993</v>
      </c>
      <c r="BF163" s="83" vm="5261">
        <v>7275</v>
      </c>
      <c r="BG163" s="83" vm="5262">
        <v>1147</v>
      </c>
      <c r="BH163" s="83" vm="5263">
        <v>0</v>
      </c>
      <c r="BI163" s="83" vm="5264">
        <v>20</v>
      </c>
      <c r="BJ163" s="83" vm="5257">
        <v>4683</v>
      </c>
      <c r="BK163" s="83" vm="5518">
        <v>2044</v>
      </c>
      <c r="BL163" s="83" vm="5265">
        <v>422</v>
      </c>
      <c r="BM163" s="83">
        <v>0</v>
      </c>
      <c r="BN163" s="83" vm="5266">
        <v>691</v>
      </c>
      <c r="BO163" s="83" vm="7293">
        <v>2126</v>
      </c>
      <c r="BP163" s="5" vm="5239">
        <f xml:space="preserve"> VfM_Metrics_2023_Consol_Source[[#This Row],[Total social housing units owned and/or managed at period end]]</f>
        <v>5424</v>
      </c>
      <c r="BQ163" s="84" vm="5239">
        <v>5424</v>
      </c>
      <c r="BR163" s="7">
        <f xml:space="preserve"> IFERROR( VfM_Metrics_2023_Consol_Source[[#This Row],[SHL operating surplus / (deficit)]] / VfM_Metrics_2023_Consol_Source[[#This Row],[Turnover from social housing lettings]], "n/a" )</f>
        <v>0.134988387420752</v>
      </c>
      <c r="BS163" s="5" vm="5267">
        <f xml:space="preserve"> VfM_Metrics_2023_Consol_Source[[#This Row],[Operating surplus/(deficit) (social housing lettings)]]</f>
        <v>4301</v>
      </c>
      <c r="BT163" s="84" vm="5267">
        <v>4301</v>
      </c>
      <c r="BU163" s="5" vm="5268">
        <f xml:space="preserve"> VfM_Metrics_2023_Consol_Source[[#This Row],[Turnover from social housing lettings]]</f>
        <v>31862</v>
      </c>
      <c r="BV163" s="84" vm="5268">
        <v>31862</v>
      </c>
      <c r="BW163" s="7">
        <f xml:space="preserve"> IFERROR( VfM_Metrics_2023_Consol_Source[[#This Row],[Net operating surplus]] / VfM_Metrics_2023_Consol_Source[[#This Row],[Overall turnover]], "n/a" )</f>
        <v>0.10450290669031431</v>
      </c>
      <c r="BX16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5303</v>
      </c>
      <c r="BY163" s="84" vm="5253">
        <v>7260</v>
      </c>
      <c r="BZ163" s="83" vm="7165">
        <v>1957</v>
      </c>
      <c r="CA163" s="83">
        <v>0</v>
      </c>
      <c r="CB163" s="5" vm="5269">
        <f xml:space="preserve"> VfM_Metrics_2023_Consol_Source[[#This Row],[Turnover (overall)]]</f>
        <v>50745</v>
      </c>
      <c r="CC163" s="84" vm="5269">
        <v>50745</v>
      </c>
      <c r="CD163" s="7">
        <f xml:space="preserve"> IFERROR( VfM_Metrics_2023_Consol_Source[[#This Row],[Operating surplus including from JVs]] / VfM_Metrics_2023_Consol_Source[[#This Row],[Net assets]], "n/a" )</f>
        <v>3.2310234971442753E-2</v>
      </c>
      <c r="CE163" s="5">
        <f xml:space="preserve"> SUM( VfM_Metrics_2023_Consol_Source[[#This Row],[Operating surplus/(deficit) (overall)3]], VfM_Metrics_2023_Consol_Source[[#This Row],[Share of operating surplus/(deficit) in joint ventures or associates]] )</f>
        <v>7292</v>
      </c>
      <c r="CF163" s="84" vm="5253">
        <v>7260</v>
      </c>
      <c r="CG163" s="83" vm="3181">
        <v>32</v>
      </c>
      <c r="CH163" s="5" vm="7374">
        <f xml:space="preserve"> VfM_Metrics_2023_Consol_Source[[#This Row],[Total assets less current liabilities]]</f>
        <v>225687</v>
      </c>
      <c r="CI163" s="84" vm="7374">
        <v>225687</v>
      </c>
      <c r="CJ163" s="71" vm="5238">
        <f xml:space="preserve"> VfM_Metrics_2023_Consol_Source[[#This Row],[Total social housing units owned (Period end)]]</f>
        <v>5386</v>
      </c>
      <c r="CK163" s="103">
        <v>0.18340449229626879</v>
      </c>
      <c r="CL163" s="6">
        <f xml:space="preserve"> -- ( VfM_Metrics_2023_Consol_Source[[#This Row],[% Supported housing (excl. HOP)]] &gt; 0.3 )</f>
        <v>0</v>
      </c>
      <c r="CM163" s="103">
        <v>5.810284017078151E-2</v>
      </c>
      <c r="CN163" s="6">
        <f xml:space="preserve"> -- ( VfM_Metrics_2023_Consol_Source[[#This Row],[% Housing for older people]] &gt; 0.3 )</f>
        <v>0</v>
      </c>
      <c r="CO163" s="103">
        <f xml:space="preserve"> VfM_Metrics_2023_Consol_Source[[#This Row],[% Supported housing (excl. HOP)]] + VfM_Metrics_2023_Consol_Source[[#This Row],[% Housing for older people]]</f>
        <v>0.24150733246705031</v>
      </c>
      <c r="CP163" s="6">
        <f xml:space="preserve"> -- ( VfM_Metrics_2023_Consol_Source[[#This Row],[SH specialist in RSH analysis]] + VfM_Metrics_2023_Consol_Source[[#This Row],[OP specialist in RSH analysis]] &gt; 0 )</f>
        <v>0</v>
      </c>
      <c r="CQ163" s="10">
        <f xml:space="preserve"> -- ( VfM_Metrics_2023_Consol_Source[[#This Row],[% SH and OP]] &gt; 0.3 )</f>
        <v>0</v>
      </c>
      <c r="CR163" s="104" t="s">
        <v>143</v>
      </c>
      <c r="CS163" s="124" t="s">
        <v>144</v>
      </c>
      <c r="CT163" s="105"/>
      <c r="CU16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163" s="85">
        <v>0</v>
      </c>
      <c r="CW163" s="85">
        <v>0</v>
      </c>
      <c r="CX163" s="85">
        <v>0</v>
      </c>
      <c r="CY163" s="85">
        <v>0.11991034740381024</v>
      </c>
      <c r="CZ163" s="85">
        <v>0</v>
      </c>
      <c r="DA163" s="85">
        <v>0</v>
      </c>
      <c r="DB163" s="85">
        <v>0</v>
      </c>
      <c r="DC163" s="85">
        <v>0</v>
      </c>
      <c r="DD163" s="85">
        <v>0.88008965259618976</v>
      </c>
      <c r="DE163" s="13">
        <v>0.94432058635598604</v>
      </c>
    </row>
    <row r="164" spans="1:109" x14ac:dyDescent="0.25">
      <c r="A164" s="4" t="s" vm="244">
        <v>452</v>
      </c>
      <c r="B164" s="2" t="s" vm="154">
        <v>453</v>
      </c>
      <c r="C164" s="72" vm="593">
        <v>45016</v>
      </c>
      <c r="D164" s="7">
        <f>IFERROR( VfM_Metrics_2023_Consol_Source[[#This Row],[Reinvestment Spend]] / VfM_Metrics_2023_Consol_Source[[#This Row],[Net Book Value of Housing Properties]], "n/a" )</f>
        <v>5.663055142095607E-2</v>
      </c>
      <c r="E16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327200</v>
      </c>
      <c r="F164" s="83" vm="1577">
        <v>251268</v>
      </c>
      <c r="G164" s="83" vm="1268">
        <v>0</v>
      </c>
      <c r="H164" s="83" vm="1578">
        <v>58100</v>
      </c>
      <c r="I164" s="83" vm="8266">
        <v>17832</v>
      </c>
      <c r="J164" s="83" vm="1579">
        <v>0</v>
      </c>
      <c r="K164" s="5">
        <f xml:space="preserve"> SUM( VfM_Metrics_2023_Consol_Source[[#This Row],[Tangible fixed assets: Housing properties at cost (Current period)]],VfM_Metrics_2023_Consol_Source[[#This Row],[Tangible fixed assets Housing properties at valuation (Current period)]] )</f>
        <v>5777800</v>
      </c>
      <c r="L164" s="84" vm="8346">
        <v>5777800</v>
      </c>
      <c r="M164" s="83">
        <v>0</v>
      </c>
      <c r="N164" s="7">
        <f xml:space="preserve"> IFERROR( VfM_Metrics_2023_Consol_Source[[#This Row],[Total social units developed or newly built units acquired in-year]] / VfM_Metrics_2023_Consol_Source[[#This Row],[Social housing units owned (period end)]], "n/a" )</f>
        <v>2.2352168199737187E-2</v>
      </c>
      <c r="O164" s="5">
        <f xml:space="preserve"> SUM( VfM_Metrics_2023_Consol_Source[[#This Row],[Total social units developed or newly built units acquired in-year (owned)]], VfM_Metrics_2023_Consol_Source[[#This Row],[Total social leasehold units developed or newly built units acquired in-year (owned)]] )</f>
        <v>1701</v>
      </c>
      <c r="P164" s="84" vm="8416">
        <v>1594</v>
      </c>
      <c r="Q164" s="83" vm="8324">
        <v>107</v>
      </c>
      <c r="R164" s="5">
        <f xml:space="preserve"> SUM( VfM_Metrics_2023_Consol_Source[[#This Row],[Total social housing units owned (Period end)]], VfM_Metrics_2023_Consol_Source[[#This Row],[Total social leasehold units owned (Period end)]] )</f>
        <v>76100</v>
      </c>
      <c r="S164" s="84" vm="1660">
        <v>70031</v>
      </c>
      <c r="T164" s="83" vm="1582">
        <v>6069</v>
      </c>
      <c r="U164" s="86">
        <f xml:space="preserve"> IFERROR( VfM_Metrics_2023_Consol_Source[[#This Row],[Total non-social housing units developed or newly built units acquired (owned)]] / VfM_Metrics_2023_Consol_Source[[#This Row],[Total social and non-social housing units owned (Period end)]], "n/a" )</f>
        <v>7.2998309512832332E-4</v>
      </c>
      <c r="V16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57</v>
      </c>
      <c r="W164" s="83" vm="8176">
        <v>2</v>
      </c>
      <c r="X164" s="83">
        <v>0</v>
      </c>
      <c r="Y164" s="83" vm="1583">
        <v>55</v>
      </c>
      <c r="Z16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78084</v>
      </c>
      <c r="AA164" s="84" vm="1576">
        <v>70031</v>
      </c>
      <c r="AB164" s="83" vm="8226">
        <v>6069</v>
      </c>
      <c r="AC164" s="83" vm="8305">
        <v>1964</v>
      </c>
      <c r="AD164" s="83" vm="1584">
        <v>20</v>
      </c>
      <c r="AE164" s="7">
        <f xml:space="preserve"> IFERROR( VfM_Metrics_2023_Consol_Source[[#This Row],[Total Net Debt]] / VfM_Metrics_2023_Consol_Source[[#This Row],[Net Book Value of Housing Properties2]], "n/a" )</f>
        <v>0.47827892969642427</v>
      </c>
      <c r="AF16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2763400</v>
      </c>
      <c r="AG164" s="84" vm="1585">
        <v>67400</v>
      </c>
      <c r="AH164" s="83" vm="8321">
        <v>2842100</v>
      </c>
      <c r="AI164" s="83" vm="8348">
        <v>146100</v>
      </c>
      <c r="AJ164" s="83" vm="1675">
        <v>0</v>
      </c>
      <c r="AK164" s="83">
        <v>0</v>
      </c>
      <c r="AL164" s="5">
        <f xml:space="preserve"> SUM( VfM_Metrics_2023_Consol_Source[[#This Row],[Tangible fixed assets: Housing properties at cost (Current period)2]], VfM_Metrics_2023_Consol_Source[[#This Row],[Tangible fixed assets Housing properties at valuation (Current period)2]] )</f>
        <v>5777800</v>
      </c>
      <c r="AM164" s="84" vm="1580">
        <v>5777800</v>
      </c>
      <c r="AN164" s="83">
        <v>0</v>
      </c>
      <c r="AO164" s="87">
        <f xml:space="preserve"> IFERROR( VfM_Metrics_2023_Consol_Source[[#This Row],[EBITDA MRI]] / VfM_Metrics_2023_Consol_Source[[#This Row],[Total interest]], "n/a" )</f>
        <v>0.74243663123466885</v>
      </c>
      <c r="AP16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90800</v>
      </c>
      <c r="AQ164" s="84" vm="1586">
        <v>136000</v>
      </c>
      <c r="AR164" s="84" vm="1587">
        <v>46700</v>
      </c>
      <c r="AS164" s="84">
        <v>0</v>
      </c>
      <c r="AT164" s="84" vm="1589">
        <v>19400</v>
      </c>
      <c r="AU164" s="84" vm="8221">
        <v>0</v>
      </c>
      <c r="AV164" s="84" vm="1590">
        <v>3900</v>
      </c>
      <c r="AW164" s="84" vm="1714">
        <v>58100</v>
      </c>
      <c r="AX164" s="84" vm="7134">
        <v>75100</v>
      </c>
      <c r="AY164" s="3">
        <f xml:space="preserve"> - SUM( VfM_Metrics_2023_Consol_Source[[#This Row],[Interest capitalised]], VfM_Metrics_2023_Consol_Source[[#This Row],[Interest payable and financing costs]] )</f>
        <v>122300</v>
      </c>
      <c r="AZ164" s="84" vm="8132">
        <v>-22300</v>
      </c>
      <c r="BA164" s="83" vm="8206">
        <v>-100000</v>
      </c>
      <c r="BB164" s="8">
        <f xml:space="preserve"> IFERROR( ( VfM_Metrics_2023_Consol_Source[[#This Row],[Total Costs]] / VfM_Metrics_2023_Consol_Source[[#This Row],[Total units for costs]] ) * 1000, "n/a" )</f>
        <v>5867.8772964487252</v>
      </c>
      <c r="BC16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414900</v>
      </c>
      <c r="BD164" s="84" vm="7133">
        <v>112800</v>
      </c>
      <c r="BE164" s="83" vm="8313">
        <v>62300</v>
      </c>
      <c r="BF164" s="83" vm="1592">
        <v>71100</v>
      </c>
      <c r="BG164" s="83" vm="1593">
        <v>67400</v>
      </c>
      <c r="BH164" s="83" vm="8232">
        <v>7700</v>
      </c>
      <c r="BI164" s="83" vm="8322">
        <v>0</v>
      </c>
      <c r="BJ164" s="83" vm="1591">
        <v>58100</v>
      </c>
      <c r="BK164" s="83" vm="1547">
        <v>400</v>
      </c>
      <c r="BL164" s="83">
        <v>0</v>
      </c>
      <c r="BM164" s="83">
        <v>0</v>
      </c>
      <c r="BN164" s="83" vm="1594">
        <v>26000</v>
      </c>
      <c r="BO164" s="83" vm="1595">
        <v>9100</v>
      </c>
      <c r="BP164" s="5" vm="1175">
        <f xml:space="preserve"> VfM_Metrics_2023_Consol_Source[[#This Row],[Total social housing units owned and/or managed at period end]]</f>
        <v>70707</v>
      </c>
      <c r="BQ164" s="84" vm="1175">
        <v>70707</v>
      </c>
      <c r="BR164" s="7">
        <f xml:space="preserve"> IFERROR( VfM_Metrics_2023_Consol_Source[[#This Row],[SHL operating surplus / (deficit)]] / VfM_Metrics_2023_Consol_Source[[#This Row],[Turnover from social housing lettings]], "n/a" )</f>
        <v>0.18644772396591144</v>
      </c>
      <c r="BS164" s="5" vm="1596">
        <f xml:space="preserve"> VfM_Metrics_2023_Consol_Source[[#This Row],[Operating surplus/(deficit) (social housing lettings)]]</f>
        <v>89700</v>
      </c>
      <c r="BT164" s="84" vm="1596">
        <v>89700</v>
      </c>
      <c r="BU164" s="5" vm="1599">
        <f xml:space="preserve"> VfM_Metrics_2023_Consol_Source[[#This Row],[Turnover from social housing lettings]]</f>
        <v>481100</v>
      </c>
      <c r="BV164" s="84" vm="1599">
        <v>481100</v>
      </c>
      <c r="BW164" s="7">
        <f xml:space="preserve"> IFERROR( VfM_Metrics_2023_Consol_Source[[#This Row],[Net operating surplus]] / VfM_Metrics_2023_Consol_Source[[#This Row],[Overall turnover]], "n/a" )</f>
        <v>0.13903160516892418</v>
      </c>
      <c r="BX16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89300</v>
      </c>
      <c r="BY164" s="84" vm="8275">
        <v>136000</v>
      </c>
      <c r="BZ164" s="83" vm="1587">
        <v>46700</v>
      </c>
      <c r="CA164" s="83">
        <v>0</v>
      </c>
      <c r="CB164" s="5" vm="1598">
        <f xml:space="preserve"> VfM_Metrics_2023_Consol_Source[[#This Row],[Turnover (overall)]]</f>
        <v>642300</v>
      </c>
      <c r="CC164" s="84" vm="1598">
        <v>642300</v>
      </c>
      <c r="CD164" s="7">
        <f xml:space="preserve"> IFERROR( VfM_Metrics_2023_Consol_Source[[#This Row],[Operating surplus including from JVs]] / VfM_Metrics_2023_Consol_Source[[#This Row],[Net assets]], "n/a" )</f>
        <v>2.2235225277940317E-2</v>
      </c>
      <c r="CE164" s="5">
        <f xml:space="preserve"> SUM( VfM_Metrics_2023_Consol_Source[[#This Row],[Operating surplus/(deficit) (overall)3]], VfM_Metrics_2023_Consol_Source[[#This Row],[Share of operating surplus/(deficit) in joint ventures or associates]] )</f>
        <v>140600</v>
      </c>
      <c r="CF164" s="84" vm="8312">
        <v>136000</v>
      </c>
      <c r="CG164" s="83" vm="1600">
        <v>4600</v>
      </c>
      <c r="CH164" s="5" vm="1599">
        <f xml:space="preserve"> VfM_Metrics_2023_Consol_Source[[#This Row],[Total assets less current liabilities]]</f>
        <v>6323300</v>
      </c>
      <c r="CI164" s="84" vm="1599">
        <v>6323300</v>
      </c>
      <c r="CJ164" s="71" vm="1660">
        <f xml:space="preserve"> VfM_Metrics_2023_Consol_Source[[#This Row],[Total social housing units owned (Period end)]]</f>
        <v>70031</v>
      </c>
      <c r="CK164" s="103">
        <v>2.4066157172804251E-2</v>
      </c>
      <c r="CL164" s="6">
        <f xml:space="preserve"> -- ( VfM_Metrics_2023_Consol_Source[[#This Row],[% Supported housing (excl. HOP)]] &gt; 0.3 )</f>
        <v>0</v>
      </c>
      <c r="CM164" s="103">
        <v>9.4614000627238667E-2</v>
      </c>
      <c r="CN164" s="6">
        <f xml:space="preserve"> -- ( VfM_Metrics_2023_Consol_Source[[#This Row],[% Housing for older people]] &gt; 0.3 )</f>
        <v>0</v>
      </c>
      <c r="CO164" s="103">
        <f xml:space="preserve"> VfM_Metrics_2023_Consol_Source[[#This Row],[% Supported housing (excl. HOP)]] + VfM_Metrics_2023_Consol_Source[[#This Row],[% Housing for older people]]</f>
        <v>0.11868015780004292</v>
      </c>
      <c r="CP164" s="6">
        <f xml:space="preserve"> -- ( VfM_Metrics_2023_Consol_Source[[#This Row],[SH specialist in RSH analysis]] + VfM_Metrics_2023_Consol_Source[[#This Row],[OP specialist in RSH analysis]] &gt; 0 )</f>
        <v>0</v>
      </c>
      <c r="CQ164" s="10">
        <f xml:space="preserve"> -- ( VfM_Metrics_2023_Consol_Source[[#This Row],[% SH and OP]] &gt; 0.3 )</f>
        <v>0</v>
      </c>
      <c r="CR164" s="104" t="s">
        <v>143</v>
      </c>
      <c r="CS164" s="124" t="s">
        <v>144</v>
      </c>
      <c r="CT164" s="105"/>
      <c r="CU16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64" s="85">
        <v>0.42292798562951839</v>
      </c>
      <c r="CW164" s="85">
        <v>0.53125138036132336</v>
      </c>
      <c r="CX164" s="85">
        <v>4.4171562348160254E-5</v>
      </c>
      <c r="CY164" s="85">
        <v>1.1087062149388224E-2</v>
      </c>
      <c r="CZ164" s="85">
        <v>2.5207238246683451E-2</v>
      </c>
      <c r="DA164" s="85">
        <v>9.4674381966223485E-3</v>
      </c>
      <c r="DB164" s="85">
        <v>0</v>
      </c>
      <c r="DC164" s="85">
        <v>0</v>
      </c>
      <c r="DD164" s="85">
        <v>1.4723854116053418E-5</v>
      </c>
      <c r="DE164" s="13">
        <v>1.0843086310623395</v>
      </c>
    </row>
    <row r="165" spans="1:109" x14ac:dyDescent="0.25">
      <c r="A165" s="4" t="s" vm="382">
        <v>454</v>
      </c>
      <c r="B165" s="2" t="s" vm="155">
        <v>455</v>
      </c>
      <c r="C165" s="72" vm="561">
        <v>45016</v>
      </c>
      <c r="D165" s="7">
        <f>IFERROR( VfM_Metrics_2023_Consol_Source[[#This Row],[Reinvestment Spend]] / VfM_Metrics_2023_Consol_Source[[#This Row],[Net Book Value of Housing Properties]], "n/a" )</f>
        <v>0.11719153626249985</v>
      </c>
      <c r="E16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20415</v>
      </c>
      <c r="F165" s="83" vm="6260">
        <v>16685</v>
      </c>
      <c r="G165" s="83" vm="6261">
        <v>0</v>
      </c>
      <c r="H165" s="83" vm="6262">
        <v>2831</v>
      </c>
      <c r="I165" s="83" vm="6263">
        <v>899</v>
      </c>
      <c r="J165" s="83" vm="6264">
        <v>0</v>
      </c>
      <c r="K165" s="5">
        <f xml:space="preserve"> SUM( VfM_Metrics_2023_Consol_Source[[#This Row],[Tangible fixed assets: Housing properties at cost (Current period)]],VfM_Metrics_2023_Consol_Source[[#This Row],[Tangible fixed assets Housing properties at valuation (Current period)]] )</f>
        <v>174202</v>
      </c>
      <c r="L165" s="84" vm="6265">
        <v>174202</v>
      </c>
      <c r="M165" s="83">
        <v>0</v>
      </c>
      <c r="N165" s="7">
        <f xml:space="preserve"> IFERROR( VfM_Metrics_2023_Consol_Source[[#This Row],[Total social units developed or newly built units acquired in-year]] / VfM_Metrics_2023_Consol_Source[[#This Row],[Social housing units owned (period end)]], "n/a" )</f>
        <v>1.780185758513932E-2</v>
      </c>
      <c r="O165" s="5">
        <f xml:space="preserve"> SUM( VfM_Metrics_2023_Consol_Source[[#This Row],[Total social units developed or newly built units acquired in-year (owned)]], VfM_Metrics_2023_Consol_Source[[#This Row],[Total social leasehold units developed or newly built units acquired in-year (owned)]] )</f>
        <v>115</v>
      </c>
      <c r="P165" s="84" vm="6266">
        <v>115</v>
      </c>
      <c r="Q165" s="83">
        <v>0</v>
      </c>
      <c r="R165" s="5">
        <f xml:space="preserve"> SUM( VfM_Metrics_2023_Consol_Source[[#This Row],[Total social housing units owned (Period end)]], VfM_Metrics_2023_Consol_Source[[#This Row],[Total social leasehold units owned (Period end)]] )</f>
        <v>6460</v>
      </c>
      <c r="S165" s="84" vm="6258">
        <v>6164</v>
      </c>
      <c r="T165" s="83" vm="6267">
        <v>296</v>
      </c>
      <c r="U165" s="86">
        <f xml:space="preserve"> IFERROR( VfM_Metrics_2023_Consol_Source[[#This Row],[Total non-social housing units developed or newly built units acquired (owned)]] / VfM_Metrics_2023_Consol_Source[[#This Row],[Total social and non-social housing units owned (Period end)]], "n/a" )</f>
        <v>7.628928898382667E-4</v>
      </c>
      <c r="V16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5</v>
      </c>
      <c r="W165" s="83">
        <v>0</v>
      </c>
      <c r="X165" s="83">
        <v>0</v>
      </c>
      <c r="Y165" s="83" vm="6268">
        <v>5</v>
      </c>
      <c r="Z16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6554</v>
      </c>
      <c r="AA165" s="84" vm="6258">
        <v>6164</v>
      </c>
      <c r="AB165" s="83" vm="6267">
        <v>296</v>
      </c>
      <c r="AC165" s="83" vm="6269">
        <v>94</v>
      </c>
      <c r="AD165" s="83" vm="6270">
        <v>0</v>
      </c>
      <c r="AE165" s="7">
        <f xml:space="preserve"> IFERROR( VfM_Metrics_2023_Consol_Source[[#This Row],[Total Net Debt]] / VfM_Metrics_2023_Consol_Source[[#This Row],[Net Book Value of Housing Properties2]], "n/a" )</f>
        <v>0.37889346850208377</v>
      </c>
      <c r="AF16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66004</v>
      </c>
      <c r="AG165" s="84" vm="6271">
        <v>0</v>
      </c>
      <c r="AH165" s="83" vm="6272">
        <v>84527</v>
      </c>
      <c r="AI165" s="83" vm="6273">
        <v>18523</v>
      </c>
      <c r="AJ165" s="83" vm="1675">
        <v>0</v>
      </c>
      <c r="AK165" s="83">
        <v>0</v>
      </c>
      <c r="AL165" s="5">
        <f xml:space="preserve"> SUM( VfM_Metrics_2023_Consol_Source[[#This Row],[Tangible fixed assets: Housing properties at cost (Current period)2]], VfM_Metrics_2023_Consol_Source[[#This Row],[Tangible fixed assets Housing properties at valuation (Current period)2]] )</f>
        <v>174202</v>
      </c>
      <c r="AM165" s="84" vm="6265">
        <v>174202</v>
      </c>
      <c r="AN165" s="83">
        <v>0</v>
      </c>
      <c r="AO165" s="87">
        <f xml:space="preserve"> IFERROR( VfM_Metrics_2023_Consol_Source[[#This Row],[EBITDA MRI]] / VfM_Metrics_2023_Consol_Source[[#This Row],[Total interest]], "n/a" )</f>
        <v>4.2154576856649397</v>
      </c>
      <c r="AP16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9763</v>
      </c>
      <c r="AQ165" s="84" vm="6275">
        <v>13064</v>
      </c>
      <c r="AR165" s="84" vm="7214">
        <v>5308</v>
      </c>
      <c r="AS165" s="84">
        <v>0</v>
      </c>
      <c r="AT165" s="84" vm="6277">
        <v>1448</v>
      </c>
      <c r="AU165" s="84" vm="6278">
        <v>604</v>
      </c>
      <c r="AV165" s="84" vm="6279">
        <v>589</v>
      </c>
      <c r="AW165" s="84" vm="6280">
        <v>2831</v>
      </c>
      <c r="AX165" s="84" vm="7021">
        <v>6301</v>
      </c>
      <c r="AY165" s="3">
        <f xml:space="preserve"> - SUM( VfM_Metrics_2023_Consol_Source[[#This Row],[Interest capitalised]], VfM_Metrics_2023_Consol_Source[[#This Row],[Interest payable and financing costs]] )</f>
        <v>2316</v>
      </c>
      <c r="AZ165" s="84" vm="6281">
        <v>-933</v>
      </c>
      <c r="BA165" s="83" vm="6282">
        <v>-1383</v>
      </c>
      <c r="BB165" s="8">
        <f xml:space="preserve"> IFERROR( ( VfM_Metrics_2023_Consol_Source[[#This Row],[Total Costs]] / VfM_Metrics_2023_Consol_Source[[#This Row],[Total units for costs]] ) * 1000, "n/a" )</f>
        <v>4122.9720960415307</v>
      </c>
      <c r="BC16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25414</v>
      </c>
      <c r="BD165" s="84" vm="6283">
        <v>7717</v>
      </c>
      <c r="BE165" s="83" vm="6284">
        <v>1289</v>
      </c>
      <c r="BF165" s="83" vm="6285">
        <v>5066</v>
      </c>
      <c r="BG165" s="83" vm="6286">
        <v>1799</v>
      </c>
      <c r="BH165" s="83" vm="6287">
        <v>3543</v>
      </c>
      <c r="BI165" s="83" vm="6288">
        <v>0</v>
      </c>
      <c r="BJ165" s="83" vm="6280">
        <v>2831</v>
      </c>
      <c r="BK165" s="83" vm="6410">
        <v>1212</v>
      </c>
      <c r="BL165" s="83" vm="6289">
        <v>224</v>
      </c>
      <c r="BM165" s="83" vm="6290">
        <v>1733</v>
      </c>
      <c r="BN165" s="83">
        <v>0</v>
      </c>
      <c r="BO165" s="83">
        <v>0</v>
      </c>
      <c r="BP165" s="5" vm="6259">
        <f xml:space="preserve"> VfM_Metrics_2023_Consol_Source[[#This Row],[Total social housing units owned and/or managed at period end]]</f>
        <v>6164</v>
      </c>
      <c r="BQ165" s="84" vm="6259">
        <v>6164</v>
      </c>
      <c r="BR165" s="7">
        <f xml:space="preserve"> IFERROR( VfM_Metrics_2023_Consol_Source[[#This Row],[SHL operating surplus / (deficit)]] / VfM_Metrics_2023_Consol_Source[[#This Row],[Turnover from social housing lettings]], "n/a" )</f>
        <v>0.18083850931677017</v>
      </c>
      <c r="BS165" s="5" vm="7292">
        <f xml:space="preserve"> VfM_Metrics_2023_Consol_Source[[#This Row],[Operating surplus/(deficit) (social housing lettings)]]</f>
        <v>5823</v>
      </c>
      <c r="BT165" s="84" vm="7292">
        <v>5823</v>
      </c>
      <c r="BU165" s="5" vm="7020">
        <f xml:space="preserve"> VfM_Metrics_2023_Consol_Source[[#This Row],[Turnover from social housing lettings]]</f>
        <v>32200</v>
      </c>
      <c r="BV165" s="84" vm="7020">
        <v>32200</v>
      </c>
      <c r="BW165" s="7">
        <f xml:space="preserve"> IFERROR( VfM_Metrics_2023_Consol_Source[[#This Row],[Net operating surplus]] / VfM_Metrics_2023_Consol_Source[[#This Row],[Overall turnover]], "n/a" )</f>
        <v>0.16162037133509763</v>
      </c>
      <c r="BX16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7756</v>
      </c>
      <c r="BY165" s="84" vm="6275">
        <v>13064</v>
      </c>
      <c r="BZ165" s="83" vm="6276">
        <v>5308</v>
      </c>
      <c r="CA165" s="83">
        <v>0</v>
      </c>
      <c r="CB165" s="5" vm="6292">
        <f xml:space="preserve"> VfM_Metrics_2023_Consol_Source[[#This Row],[Turnover (overall)]]</f>
        <v>47989</v>
      </c>
      <c r="CC165" s="84" vm="6292">
        <v>47989</v>
      </c>
      <c r="CD165" s="7">
        <f xml:space="preserve"> IFERROR( VfM_Metrics_2023_Consol_Source[[#This Row],[Operating surplus including from JVs]] / VfM_Metrics_2023_Consol_Source[[#This Row],[Net assets]], "n/a" )</f>
        <v>5.6317870060223561E-2</v>
      </c>
      <c r="CE165" s="5">
        <f xml:space="preserve"> SUM( VfM_Metrics_2023_Consol_Source[[#This Row],[Operating surplus/(deficit) (overall)3]], VfM_Metrics_2023_Consol_Source[[#This Row],[Share of operating surplus/(deficit) in joint ventures or associates]] )</f>
        <v>13064</v>
      </c>
      <c r="CF165" s="84" vm="6275">
        <v>13064</v>
      </c>
      <c r="CG165" s="83">
        <v>0</v>
      </c>
      <c r="CH165" s="5" vm="6293">
        <f xml:space="preserve"> VfM_Metrics_2023_Consol_Source[[#This Row],[Total assets less current liabilities]]</f>
        <v>231969</v>
      </c>
      <c r="CI165" s="84" vm="6293">
        <v>231969</v>
      </c>
      <c r="CJ165" s="71" vm="6258">
        <f xml:space="preserve"> VfM_Metrics_2023_Consol_Source[[#This Row],[Total social housing units owned (Period end)]]</f>
        <v>6164</v>
      </c>
      <c r="CK165" s="103">
        <v>0</v>
      </c>
      <c r="CL165" s="6">
        <f xml:space="preserve"> -- ( VfM_Metrics_2023_Consol_Source[[#This Row],[% Supported housing (excl. HOP)]] &gt; 0.3 )</f>
        <v>0</v>
      </c>
      <c r="CM165" s="103">
        <v>3.6073134574205239E-2</v>
      </c>
      <c r="CN165" s="6">
        <f xml:space="preserve"> -- ( VfM_Metrics_2023_Consol_Source[[#This Row],[% Housing for older people]] &gt; 0.3 )</f>
        <v>0</v>
      </c>
      <c r="CO165" s="103">
        <f xml:space="preserve"> VfM_Metrics_2023_Consol_Source[[#This Row],[% Supported housing (excl. HOP)]] + VfM_Metrics_2023_Consol_Source[[#This Row],[% Housing for older people]]</f>
        <v>3.6073134574205239E-2</v>
      </c>
      <c r="CP165" s="6">
        <f xml:space="preserve"> -- ( VfM_Metrics_2023_Consol_Source[[#This Row],[SH specialist in RSH analysis]] + VfM_Metrics_2023_Consol_Source[[#This Row],[OP specialist in RSH analysis]] &gt; 0 )</f>
        <v>0</v>
      </c>
      <c r="CQ165" s="10">
        <f xml:space="preserve"> -- ( VfM_Metrics_2023_Consol_Source[[#This Row],[% SH and OP]] &gt; 0.3 )</f>
        <v>0</v>
      </c>
      <c r="CR165" s="104" t="s">
        <v>143</v>
      </c>
      <c r="CS165" s="124"/>
      <c r="CT165" s="105" t="s">
        <v>151</v>
      </c>
      <c r="CU16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65" s="85">
        <v>0</v>
      </c>
      <c r="CW165" s="85">
        <v>0</v>
      </c>
      <c r="CX165" s="85">
        <v>0</v>
      </c>
      <c r="CY165" s="85">
        <v>0</v>
      </c>
      <c r="CZ165" s="85">
        <v>0</v>
      </c>
      <c r="DA165" s="85">
        <v>0</v>
      </c>
      <c r="DB165" s="85">
        <v>0</v>
      </c>
      <c r="DC165" s="85">
        <v>1</v>
      </c>
      <c r="DD165" s="85">
        <v>0</v>
      </c>
      <c r="DE165" s="13">
        <v>0.96105917141044694</v>
      </c>
    </row>
    <row r="166" spans="1:109" x14ac:dyDescent="0.25">
      <c r="A166" s="4" t="s" vm="252">
        <v>456</v>
      </c>
      <c r="B166" s="2" t="s" vm="156">
        <v>457</v>
      </c>
      <c r="C166" s="72" vm="568">
        <v>45016</v>
      </c>
      <c r="D166" s="7">
        <f>IFERROR( VfM_Metrics_2023_Consol_Source[[#This Row],[Reinvestment Spend]] / VfM_Metrics_2023_Consol_Source[[#This Row],[Net Book Value of Housing Properties]], "n/a" )</f>
        <v>7.9350104774555535E-2</v>
      </c>
      <c r="E16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352088</v>
      </c>
      <c r="F166" s="83" vm="8211">
        <v>301644</v>
      </c>
      <c r="G166" s="83" vm="1802">
        <v>0</v>
      </c>
      <c r="H166" s="83" vm="1803">
        <v>40858</v>
      </c>
      <c r="I166" s="83" vm="1804">
        <v>9586</v>
      </c>
      <c r="J166" s="83" vm="8106">
        <v>0</v>
      </c>
      <c r="K166" s="5">
        <f xml:space="preserve"> SUM( VfM_Metrics_2023_Consol_Source[[#This Row],[Tangible fixed assets: Housing properties at cost (Current period)]],VfM_Metrics_2023_Consol_Source[[#This Row],[Tangible fixed assets Housing properties at valuation (Current period)]] )</f>
        <v>4437146</v>
      </c>
      <c r="L166" s="84" vm="8225">
        <v>4437146</v>
      </c>
      <c r="M166" s="83" vm="8271">
        <v>0</v>
      </c>
      <c r="N166" s="7">
        <f xml:space="preserve"> IFERROR( VfM_Metrics_2023_Consol_Source[[#This Row],[Total social units developed or newly built units acquired in-year]] / VfM_Metrics_2023_Consol_Source[[#This Row],[Social housing units owned (period end)]], "n/a" )</f>
        <v>2.6847006049072249E-2</v>
      </c>
      <c r="O166" s="5">
        <f xml:space="preserve"> SUM( VfM_Metrics_2023_Consol_Source[[#This Row],[Total social units developed or newly built units acquired in-year (owned)]], VfM_Metrics_2023_Consol_Source[[#This Row],[Total social leasehold units developed or newly built units acquired in-year (owned)]] )</f>
        <v>1580</v>
      </c>
      <c r="P166" s="84" vm="1806">
        <v>1580</v>
      </c>
      <c r="Q166" s="83" vm="1807">
        <v>0</v>
      </c>
      <c r="R166" s="5">
        <f xml:space="preserve"> SUM( VfM_Metrics_2023_Consol_Source[[#This Row],[Total social housing units owned (Period end)]], VfM_Metrics_2023_Consol_Source[[#This Row],[Total social leasehold units owned (Period end)]] )</f>
        <v>58852</v>
      </c>
      <c r="S166" s="84" vm="1801">
        <v>57576</v>
      </c>
      <c r="T166" s="83" vm="8007">
        <v>1276</v>
      </c>
      <c r="U166" s="86">
        <f xml:space="preserve"> IFERROR( VfM_Metrics_2023_Consol_Source[[#This Row],[Total non-social housing units developed or newly built units acquired (owned)]] / VfM_Metrics_2023_Consol_Source[[#This Row],[Total social and non-social housing units owned (Period end)]], "n/a" )</f>
        <v>5.8616647127784287E-4</v>
      </c>
      <c r="V16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36</v>
      </c>
      <c r="W166" s="83" vm="1809">
        <v>18</v>
      </c>
      <c r="X166" s="83" vm="1810">
        <v>0</v>
      </c>
      <c r="Y166" s="83" vm="1929">
        <v>18</v>
      </c>
      <c r="Z16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61416</v>
      </c>
      <c r="AA166" s="84" vm="1801">
        <v>57576</v>
      </c>
      <c r="AB166" s="83" vm="1808">
        <v>1276</v>
      </c>
      <c r="AC166" s="83" vm="8222">
        <v>610</v>
      </c>
      <c r="AD166" s="83" vm="1811">
        <v>1954</v>
      </c>
      <c r="AE166" s="7">
        <f xml:space="preserve"> IFERROR( VfM_Metrics_2023_Consol_Source[[#This Row],[Total Net Debt]] / VfM_Metrics_2023_Consol_Source[[#This Row],[Net Book Value of Housing Properties2]], "n/a" )</f>
        <v>0.4850104098445262</v>
      </c>
      <c r="AF16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2152062</v>
      </c>
      <c r="AG166" s="84" vm="1812">
        <v>38833</v>
      </c>
      <c r="AH166" s="83" vm="1813">
        <v>2185752</v>
      </c>
      <c r="AI166" s="83" vm="7940">
        <v>75144</v>
      </c>
      <c r="AJ166" s="83" vm="1814">
        <v>0</v>
      </c>
      <c r="AK166" s="83" vm="1815">
        <v>2621</v>
      </c>
      <c r="AL166" s="5">
        <f xml:space="preserve"> SUM( VfM_Metrics_2023_Consol_Source[[#This Row],[Tangible fixed assets: Housing properties at cost (Current period)2]], VfM_Metrics_2023_Consol_Source[[#This Row],[Tangible fixed assets Housing properties at valuation (Current period)2]] )</f>
        <v>4437146</v>
      </c>
      <c r="AM166" s="84" vm="1805">
        <v>4437146</v>
      </c>
      <c r="AN166" s="83" vm="7991">
        <v>0</v>
      </c>
      <c r="AO166" s="87">
        <f xml:space="preserve"> IFERROR( VfM_Metrics_2023_Consol_Source[[#This Row],[EBITDA MRI]] / VfM_Metrics_2023_Consol_Source[[#This Row],[Total interest]], "n/a" )</f>
        <v>1.4727341820254607</v>
      </c>
      <c r="AP16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116265</v>
      </c>
      <c r="AQ166" s="84" vm="8003">
        <v>125584</v>
      </c>
      <c r="AR166" s="84" vm="1817">
        <v>20558</v>
      </c>
      <c r="AS166" s="84" vm="8253">
        <v>802</v>
      </c>
      <c r="AT166" s="84" vm="1818">
        <v>2901</v>
      </c>
      <c r="AU166" s="84" vm="1819">
        <v>260</v>
      </c>
      <c r="AV166" s="84" vm="8144">
        <v>5248</v>
      </c>
      <c r="AW166" s="84" vm="1820">
        <v>40858</v>
      </c>
      <c r="AX166" s="84" vm="1821">
        <v>50812</v>
      </c>
      <c r="AY166" s="3">
        <f xml:space="preserve"> - SUM( VfM_Metrics_2023_Consol_Source[[#This Row],[Interest capitalised]], VfM_Metrics_2023_Consol_Source[[#This Row],[Interest payable and financing costs]] )</f>
        <v>78945</v>
      </c>
      <c r="AZ166" s="84" vm="1822">
        <v>-10500</v>
      </c>
      <c r="BA166" s="83" vm="1597">
        <v>-68445</v>
      </c>
      <c r="BB166" s="8">
        <f xml:space="preserve"> IFERROR( ( VfM_Metrics_2023_Consol_Source[[#This Row],[Total Costs]] / VfM_Metrics_2023_Consol_Source[[#This Row],[Total units for costs]] ) * 1000, "n/a" )</f>
        <v>4694.5182406973308</v>
      </c>
      <c r="BC16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270362</v>
      </c>
      <c r="BD166" s="84" vm="1823">
        <v>91680</v>
      </c>
      <c r="BE166" s="83" vm="8233">
        <v>24057</v>
      </c>
      <c r="BF166" s="83" vm="1824">
        <v>45904</v>
      </c>
      <c r="BG166" s="83" vm="1825">
        <v>41202</v>
      </c>
      <c r="BH166" s="83" vm="1826">
        <v>7564</v>
      </c>
      <c r="BI166" s="83" vm="1827">
        <v>6766</v>
      </c>
      <c r="BJ166" s="83" vm="1820">
        <v>40858</v>
      </c>
      <c r="BK166" s="83" vm="1828">
        <v>7807</v>
      </c>
      <c r="BL166" s="83" vm="1829">
        <v>41</v>
      </c>
      <c r="BM166" s="83" vm="1830">
        <v>3453</v>
      </c>
      <c r="BN166" s="83" vm="8050">
        <v>1030</v>
      </c>
      <c r="BO166" s="83" vm="1239">
        <v>0</v>
      </c>
      <c r="BP166" s="5" vm="7121">
        <f xml:space="preserve"> VfM_Metrics_2023_Consol_Source[[#This Row],[Total social housing units owned and/or managed at period end]]</f>
        <v>57591</v>
      </c>
      <c r="BQ166" s="84" vm="7121">
        <v>57591</v>
      </c>
      <c r="BR166" s="7">
        <f xml:space="preserve"> IFERROR( VfM_Metrics_2023_Consol_Source[[#This Row],[SHL operating surplus / (deficit)]] / VfM_Metrics_2023_Consol_Source[[#This Row],[Turnover from social housing lettings]], "n/a" )</f>
        <v>0.24198524218067302</v>
      </c>
      <c r="BS166" s="5" vm="7120">
        <f xml:space="preserve"> VfM_Metrics_2023_Consol_Source[[#This Row],[Operating surplus/(deficit) (social housing lettings)]]</f>
        <v>86675</v>
      </c>
      <c r="BT166" s="84" vm="7120">
        <v>86675</v>
      </c>
      <c r="BU166" s="5" vm="1831">
        <f xml:space="preserve"> VfM_Metrics_2023_Consol_Source[[#This Row],[Turnover from social housing lettings]]</f>
        <v>358183</v>
      </c>
      <c r="BV166" s="84" vm="1831">
        <v>358183</v>
      </c>
      <c r="BW166" s="7">
        <f xml:space="preserve"> IFERROR( VfM_Metrics_2023_Consol_Source[[#This Row],[Net operating surplus]] / VfM_Metrics_2023_Consol_Source[[#This Row],[Overall turnover]], "n/a" )</f>
        <v>0.23253956389907163</v>
      </c>
      <c r="BX16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104224</v>
      </c>
      <c r="BY166" s="84" vm="8171">
        <v>125584</v>
      </c>
      <c r="BZ166" s="83" vm="1817">
        <v>20558</v>
      </c>
      <c r="CA166" s="83" vm="1461">
        <v>802</v>
      </c>
      <c r="CB166" s="5" vm="1832">
        <f xml:space="preserve"> VfM_Metrics_2023_Consol_Source[[#This Row],[Turnover (overall)]]</f>
        <v>448199</v>
      </c>
      <c r="CC166" s="84" vm="1832">
        <v>448199</v>
      </c>
      <c r="CD166" s="7">
        <f xml:space="preserve"> IFERROR( VfM_Metrics_2023_Consol_Source[[#This Row],[Operating surplus including from JVs]] / VfM_Metrics_2023_Consol_Source[[#This Row],[Net assets]], "n/a" )</f>
        <v>2.7339075979187499E-2</v>
      </c>
      <c r="CE166" s="5">
        <f xml:space="preserve"> SUM( VfM_Metrics_2023_Consol_Source[[#This Row],[Operating surplus/(deficit) (overall)3]], VfM_Metrics_2023_Consol_Source[[#This Row],[Share of operating surplus/(deficit) in joint ventures or associates]] )</f>
        <v>129047</v>
      </c>
      <c r="CF166" s="84" vm="1816">
        <v>125584</v>
      </c>
      <c r="CG166" s="83" vm="1833">
        <v>3463</v>
      </c>
      <c r="CH166" s="5" vm="7987">
        <f xml:space="preserve"> VfM_Metrics_2023_Consol_Source[[#This Row],[Total assets less current liabilities]]</f>
        <v>4720240</v>
      </c>
      <c r="CI166" s="84" vm="7987">
        <v>4720240</v>
      </c>
      <c r="CJ166" s="71" vm="1801">
        <f xml:space="preserve"> VfM_Metrics_2023_Consol_Source[[#This Row],[Total social housing units owned (Period end)]]</f>
        <v>57576</v>
      </c>
      <c r="CK166" s="103">
        <v>1.9687795316929754E-2</v>
      </c>
      <c r="CL166" s="6">
        <f xml:space="preserve"> -- ( VfM_Metrics_2023_Consol_Source[[#This Row],[% Supported housing (excl. HOP)]] &gt; 0.3 )</f>
        <v>0</v>
      </c>
      <c r="CM166" s="103">
        <v>3.900808512127682E-2</v>
      </c>
      <c r="CN166" s="6">
        <f xml:space="preserve"> -- ( VfM_Metrics_2023_Consol_Source[[#This Row],[% Housing for older people]] &gt; 0.3 )</f>
        <v>0</v>
      </c>
      <c r="CO166" s="103">
        <f xml:space="preserve"> VfM_Metrics_2023_Consol_Source[[#This Row],[% Supported housing (excl. HOP)]] + VfM_Metrics_2023_Consol_Source[[#This Row],[% Housing for older people]]</f>
        <v>5.8695880438206574E-2</v>
      </c>
      <c r="CP166" s="6">
        <f xml:space="preserve"> -- ( VfM_Metrics_2023_Consol_Source[[#This Row],[SH specialist in RSH analysis]] + VfM_Metrics_2023_Consol_Source[[#This Row],[OP specialist in RSH analysis]] &gt; 0 )</f>
        <v>0</v>
      </c>
      <c r="CQ166" s="10">
        <f xml:space="preserve"> -- ( VfM_Metrics_2023_Consol_Source[[#This Row],[% SH and OP]] &gt; 0.3 )</f>
        <v>0</v>
      </c>
      <c r="CR166" s="104" t="s">
        <v>143</v>
      </c>
      <c r="CS166" s="124" t="s">
        <v>144</v>
      </c>
      <c r="CT166" s="105"/>
      <c r="CU16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66" s="85">
        <v>0</v>
      </c>
      <c r="CW166" s="85">
        <v>0.57337486080178168</v>
      </c>
      <c r="CX166" s="85">
        <v>0.42659033964365256</v>
      </c>
      <c r="CY166" s="85">
        <v>1.7399777282850779E-5</v>
      </c>
      <c r="CZ166" s="85">
        <v>0</v>
      </c>
      <c r="DA166" s="85">
        <v>1.7399777282850779E-5</v>
      </c>
      <c r="DB166" s="85">
        <v>0</v>
      </c>
      <c r="DC166" s="85">
        <v>0</v>
      </c>
      <c r="DD166" s="85">
        <v>0</v>
      </c>
      <c r="DE166" s="13">
        <v>1.0087151450951652</v>
      </c>
    </row>
    <row r="167" spans="1:109" x14ac:dyDescent="0.25">
      <c r="A167" s="4" t="s" vm="271">
        <v>458</v>
      </c>
      <c r="B167" s="2" t="s" vm="157">
        <v>459</v>
      </c>
      <c r="C167" s="72" vm="576">
        <v>45016</v>
      </c>
      <c r="D167" s="7">
        <f>IFERROR( VfM_Metrics_2023_Consol_Source[[#This Row],[Reinvestment Spend]] / VfM_Metrics_2023_Consol_Source[[#This Row],[Net Book Value of Housing Properties]], "n/a" )</f>
        <v>7.4504568826116363E-2</v>
      </c>
      <c r="E16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166651</v>
      </c>
      <c r="F167" s="83" vm="2362">
        <v>135655</v>
      </c>
      <c r="G167" s="83" vm="6627">
        <v>0</v>
      </c>
      <c r="H167" s="83" vm="2363">
        <v>19136</v>
      </c>
      <c r="I167" s="83" vm="2364">
        <v>11860</v>
      </c>
      <c r="J167" s="83" vm="2365">
        <v>0</v>
      </c>
      <c r="K167" s="5">
        <f xml:space="preserve"> SUM( VfM_Metrics_2023_Consol_Source[[#This Row],[Tangible fixed assets: Housing properties at cost (Current period)]],VfM_Metrics_2023_Consol_Source[[#This Row],[Tangible fixed assets Housing properties at valuation (Current period)]] )</f>
        <v>2236789</v>
      </c>
      <c r="L167" s="84" vm="2041">
        <v>2236789</v>
      </c>
      <c r="M167" s="83" vm="2367">
        <v>0</v>
      </c>
      <c r="N167" s="7">
        <f xml:space="preserve"> IFERROR( VfM_Metrics_2023_Consol_Source[[#This Row],[Total social units developed or newly built units acquired in-year]] / VfM_Metrics_2023_Consol_Source[[#This Row],[Social housing units owned (period end)]], "n/a" )</f>
        <v>9.7030855812148264E-3</v>
      </c>
      <c r="O167" s="5">
        <f xml:space="preserve"> SUM( VfM_Metrics_2023_Consol_Source[[#This Row],[Total social units developed or newly built units acquired in-year (owned)]], VfM_Metrics_2023_Consol_Source[[#This Row],[Total social leasehold units developed or newly built units acquired in-year (owned)]] )</f>
        <v>200</v>
      </c>
      <c r="P167" s="84" vm="2368">
        <v>200</v>
      </c>
      <c r="Q167" s="83" vm="2369">
        <v>0</v>
      </c>
      <c r="R167" s="5">
        <f xml:space="preserve"> SUM( VfM_Metrics_2023_Consol_Source[[#This Row],[Total social housing units owned (Period end)]], VfM_Metrics_2023_Consol_Source[[#This Row],[Total social leasehold units owned (Period end)]] )</f>
        <v>20612</v>
      </c>
      <c r="S167" s="84" vm="2360">
        <v>18043</v>
      </c>
      <c r="T167" s="83" vm="2370">
        <v>2569</v>
      </c>
      <c r="U167" s="86">
        <f xml:space="preserve"> IFERROR( VfM_Metrics_2023_Consol_Source[[#This Row],[Total non-social housing units developed or newly built units acquired (owned)]] / VfM_Metrics_2023_Consol_Source[[#This Row],[Total social and non-social housing units owned (Period end)]], "n/a" )</f>
        <v>0</v>
      </c>
      <c r="V16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67" s="83" vm="2371">
        <v>0</v>
      </c>
      <c r="X167" s="83" vm="2372">
        <v>0</v>
      </c>
      <c r="Y167" s="83" vm="6654">
        <v>0</v>
      </c>
      <c r="Z16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21169</v>
      </c>
      <c r="AA167" s="84" vm="7623">
        <v>18043</v>
      </c>
      <c r="AB167" s="83" vm="2370">
        <v>2569</v>
      </c>
      <c r="AC167" s="83" vm="2373">
        <v>53</v>
      </c>
      <c r="AD167" s="83" vm="2374">
        <v>504</v>
      </c>
      <c r="AE167" s="7">
        <f xml:space="preserve"> IFERROR( VfM_Metrics_2023_Consol_Source[[#This Row],[Total Net Debt]] / VfM_Metrics_2023_Consol_Source[[#This Row],[Net Book Value of Housing Properties2]], "n/a" )</f>
        <v>0.51259864028301283</v>
      </c>
      <c r="AF16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1146575</v>
      </c>
      <c r="AG167" s="84" vm="2375">
        <v>21310</v>
      </c>
      <c r="AH167" s="83" vm="7506">
        <v>1196867</v>
      </c>
      <c r="AI167" s="83" vm="7880">
        <v>71602</v>
      </c>
      <c r="AJ167" s="83" vm="7094">
        <v>0</v>
      </c>
      <c r="AK167" s="83" vm="7986">
        <v>0</v>
      </c>
      <c r="AL167" s="5">
        <f xml:space="preserve"> SUM( VfM_Metrics_2023_Consol_Source[[#This Row],[Tangible fixed assets: Housing properties at cost (Current period)2]], VfM_Metrics_2023_Consol_Source[[#This Row],[Tangible fixed assets Housing properties at valuation (Current period)2]] )</f>
        <v>2236789</v>
      </c>
      <c r="AM167" s="84" vm="2366">
        <v>2236789</v>
      </c>
      <c r="AN167" s="83" vm="2367">
        <v>0</v>
      </c>
      <c r="AO167" s="87">
        <f xml:space="preserve"> IFERROR( VfM_Metrics_2023_Consol_Source[[#This Row],[EBITDA MRI]] / VfM_Metrics_2023_Consol_Source[[#This Row],[Total interest]], "n/a" )</f>
        <v>0.81691151637960147</v>
      </c>
      <c r="AP16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38702</v>
      </c>
      <c r="AQ167" s="84" vm="2376">
        <v>38918</v>
      </c>
      <c r="AR167" s="84" vm="2377">
        <v>8675</v>
      </c>
      <c r="AS167" s="84" vm="2378">
        <v>0</v>
      </c>
      <c r="AT167" s="84" vm="2379">
        <v>8227</v>
      </c>
      <c r="AU167" s="84" vm="2481">
        <v>0</v>
      </c>
      <c r="AV167" s="84" vm="2380">
        <v>1442</v>
      </c>
      <c r="AW167" s="84" vm="3127">
        <v>19122</v>
      </c>
      <c r="AX167" s="84" vm="2382">
        <v>34366</v>
      </c>
      <c r="AY167" s="3">
        <f xml:space="preserve"> - SUM( VfM_Metrics_2023_Consol_Source[[#This Row],[Interest capitalised]], VfM_Metrics_2023_Consol_Source[[#This Row],[Interest payable and financing costs]] )</f>
        <v>47376</v>
      </c>
      <c r="AZ167" s="84" vm="2383">
        <v>-11860</v>
      </c>
      <c r="BA167" s="83" vm="2384">
        <v>-35516</v>
      </c>
      <c r="BB167" s="8">
        <f xml:space="preserve"> IFERROR( ( VfM_Metrics_2023_Consol_Source[[#This Row],[Total Costs]] / VfM_Metrics_2023_Consol_Source[[#This Row],[Total units for costs]] ) * 1000, "n/a" )</f>
        <v>6238.8365650969536</v>
      </c>
      <c r="BC16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112611</v>
      </c>
      <c r="BD167" s="84" vm="2385">
        <v>28797</v>
      </c>
      <c r="BE167" s="83" vm="2386">
        <v>27834</v>
      </c>
      <c r="BF167" s="83" vm="2387">
        <v>23583</v>
      </c>
      <c r="BG167" s="83" vm="2388">
        <v>7458</v>
      </c>
      <c r="BH167" s="83" vm="2389">
        <v>768</v>
      </c>
      <c r="BI167" s="83" vm="2716">
        <v>2585</v>
      </c>
      <c r="BJ167" s="83" vm="2381">
        <v>19122</v>
      </c>
      <c r="BK167" s="83" vm="7984">
        <v>0</v>
      </c>
      <c r="BL167" s="83" vm="2390">
        <v>0</v>
      </c>
      <c r="BM167" s="83" vm="2391">
        <v>471</v>
      </c>
      <c r="BN167" s="83" vm="2392">
        <v>1993</v>
      </c>
      <c r="BO167" s="83" vm="2393">
        <v>0</v>
      </c>
      <c r="BP167" s="5" vm="2361">
        <f xml:space="preserve"> VfM_Metrics_2023_Consol_Source[[#This Row],[Total social housing units owned and/or managed at period end]]</f>
        <v>18050</v>
      </c>
      <c r="BQ167" s="84" vm="2361">
        <v>18050</v>
      </c>
      <c r="BR167" s="7">
        <f xml:space="preserve"> IFERROR( VfM_Metrics_2023_Consol_Source[[#This Row],[SHL operating surplus / (deficit)]] / VfM_Metrics_2023_Consol_Source[[#This Row],[Turnover from social housing lettings]], "n/a" )</f>
        <v>0.15784057424464201</v>
      </c>
      <c r="BS167" s="5" vm="2394">
        <f xml:space="preserve"> VfM_Metrics_2023_Consol_Source[[#This Row],[Operating surplus/(deficit) (social housing lettings)]]</f>
        <v>24694</v>
      </c>
      <c r="BT167" s="84" vm="2394">
        <v>24694</v>
      </c>
      <c r="BU167" s="5" vm="2395">
        <f xml:space="preserve"> VfM_Metrics_2023_Consol_Source[[#This Row],[Turnover from social housing lettings]]</f>
        <v>156449</v>
      </c>
      <c r="BV167" s="84" vm="2395">
        <v>156449</v>
      </c>
      <c r="BW167" s="7">
        <f xml:space="preserve"> IFERROR( VfM_Metrics_2023_Consol_Source[[#This Row],[Net operating surplus]] / VfM_Metrics_2023_Consol_Source[[#This Row],[Overall turnover]], "n/a" )</f>
        <v>0.1243943369995311</v>
      </c>
      <c r="BX16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30243</v>
      </c>
      <c r="BY167" s="84" vm="3651">
        <v>38918</v>
      </c>
      <c r="BZ167" s="83" vm="2377">
        <v>8675</v>
      </c>
      <c r="CA167" s="83" vm="7878">
        <v>0</v>
      </c>
      <c r="CB167" s="5" vm="2396">
        <f xml:space="preserve"> VfM_Metrics_2023_Consol_Source[[#This Row],[Turnover (overall)]]</f>
        <v>243122</v>
      </c>
      <c r="CC167" s="84" vm="2396">
        <v>243122</v>
      </c>
      <c r="CD167" s="7">
        <f xml:space="preserve"> IFERROR( VfM_Metrics_2023_Consol_Source[[#This Row],[Operating surplus including from JVs]] / VfM_Metrics_2023_Consol_Source[[#This Row],[Net assets]], "n/a" )</f>
        <v>1.6364167695086081E-2</v>
      </c>
      <c r="CE167" s="5">
        <f xml:space="preserve"> SUM( VfM_Metrics_2023_Consol_Source[[#This Row],[Operating surplus/(deficit) (overall)3]], VfM_Metrics_2023_Consol_Source[[#This Row],[Share of operating surplus/(deficit) in joint ventures or associates]] )</f>
        <v>38918</v>
      </c>
      <c r="CF167" s="84" vm="2376">
        <v>38918</v>
      </c>
      <c r="CG167" s="83" vm="7098">
        <v>0</v>
      </c>
      <c r="CH167" s="5" vm="2397">
        <f xml:space="preserve"> VfM_Metrics_2023_Consol_Source[[#This Row],[Total assets less current liabilities]]</f>
        <v>2378245</v>
      </c>
      <c r="CI167" s="84" vm="2397">
        <v>2378245</v>
      </c>
      <c r="CJ167" s="71" vm="2360">
        <f xml:space="preserve"> VfM_Metrics_2023_Consol_Source[[#This Row],[Total social housing units owned (Period end)]]</f>
        <v>18043</v>
      </c>
      <c r="CK167" s="103">
        <v>1.883969634842356E-2</v>
      </c>
      <c r="CL167" s="6">
        <f xml:space="preserve"> -- ( VfM_Metrics_2023_Consol_Source[[#This Row],[% Supported housing (excl. HOP)]] &gt; 0.3 )</f>
        <v>0</v>
      </c>
      <c r="CM167" s="103">
        <v>7.9348368149830997E-2</v>
      </c>
      <c r="CN167" s="6">
        <f xml:space="preserve"> -- ( VfM_Metrics_2023_Consol_Source[[#This Row],[% Housing for older people]] &gt; 0.3 )</f>
        <v>0</v>
      </c>
      <c r="CO167" s="103">
        <f xml:space="preserve"> VfM_Metrics_2023_Consol_Source[[#This Row],[% Supported housing (excl. HOP)]] + VfM_Metrics_2023_Consol_Source[[#This Row],[% Housing for older people]]</f>
        <v>9.8188064498254554E-2</v>
      </c>
      <c r="CP167" s="6">
        <f xml:space="preserve"> -- ( VfM_Metrics_2023_Consol_Source[[#This Row],[SH specialist in RSH analysis]] + VfM_Metrics_2023_Consol_Source[[#This Row],[OP specialist in RSH analysis]] &gt; 0 )</f>
        <v>0</v>
      </c>
      <c r="CQ167" s="10">
        <f xml:space="preserve"> -- ( VfM_Metrics_2023_Consol_Source[[#This Row],[% SH and OP]] &gt; 0.3 )</f>
        <v>0</v>
      </c>
      <c r="CR167" s="104" t="s">
        <v>143</v>
      </c>
      <c r="CS167" s="124" t="s">
        <v>144</v>
      </c>
      <c r="CT167" s="105"/>
      <c r="CU16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67" s="85">
        <v>0.73707254891093499</v>
      </c>
      <c r="CW167" s="85">
        <v>1.7679986698442611E-2</v>
      </c>
      <c r="CX167" s="85">
        <v>0</v>
      </c>
      <c r="CY167" s="85">
        <v>0</v>
      </c>
      <c r="CZ167" s="85">
        <v>0</v>
      </c>
      <c r="DA167" s="85">
        <v>0.24524746439062239</v>
      </c>
      <c r="DB167" s="85">
        <v>0</v>
      </c>
      <c r="DC167" s="85">
        <v>0</v>
      </c>
      <c r="DD167" s="85">
        <v>0</v>
      </c>
      <c r="DE167" s="13">
        <v>1.1215888909235403</v>
      </c>
    </row>
    <row r="168" spans="1:109" x14ac:dyDescent="0.25">
      <c r="A168" s="4" t="s" vm="202">
        <v>460</v>
      </c>
      <c r="B168" s="2" t="s" vm="158">
        <v>461</v>
      </c>
      <c r="C168" s="72" vm="454">
        <v>45016</v>
      </c>
      <c r="D168" s="7">
        <f>IFERROR( VfM_Metrics_2023_Consol_Source[[#This Row],[Reinvestment Spend]] / VfM_Metrics_2023_Consol_Source[[#This Row],[Net Book Value of Housing Properties]], "n/a" )</f>
        <v>6.469442798224502E-2</v>
      </c>
      <c r="E16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5349</v>
      </c>
      <c r="F168" s="83" vm="9042">
        <v>0</v>
      </c>
      <c r="G168" s="83" vm="658">
        <v>1949</v>
      </c>
      <c r="H168" s="83" vm="9177">
        <v>3400</v>
      </c>
      <c r="I168" s="83" vm="599">
        <v>0</v>
      </c>
      <c r="J168" s="83" vm="659">
        <v>0</v>
      </c>
      <c r="K168" s="5">
        <f xml:space="preserve"> SUM( VfM_Metrics_2023_Consol_Source[[#This Row],[Tangible fixed assets: Housing properties at cost (Current period)]],VfM_Metrics_2023_Consol_Source[[#This Row],[Tangible fixed assets Housing properties at valuation (Current period)]] )</f>
        <v>82681</v>
      </c>
      <c r="L168" s="84" vm="601">
        <v>82681</v>
      </c>
      <c r="M168" s="83" vm="9036">
        <v>0</v>
      </c>
      <c r="N168" s="7">
        <f xml:space="preserve"> IFERROR( VfM_Metrics_2023_Consol_Source[[#This Row],[Total social units developed or newly built units acquired in-year]] / VfM_Metrics_2023_Consol_Source[[#This Row],[Social housing units owned (period end)]], "n/a" )</f>
        <v>2.858776443682104E-3</v>
      </c>
      <c r="O168" s="5">
        <f xml:space="preserve"> SUM( VfM_Metrics_2023_Consol_Source[[#This Row],[Total social units developed or newly built units acquired in-year (owned)]], VfM_Metrics_2023_Consol_Source[[#This Row],[Total social leasehold units developed or newly built units acquired in-year (owned)]] )</f>
        <v>5</v>
      </c>
      <c r="P168" s="84" vm="661">
        <v>5</v>
      </c>
      <c r="Q168" s="83" vm="9116">
        <v>0</v>
      </c>
      <c r="R168" s="5">
        <f xml:space="preserve"> SUM( VfM_Metrics_2023_Consol_Source[[#This Row],[Total social housing units owned (Period end)]], VfM_Metrics_2023_Consol_Source[[#This Row],[Total social leasehold units owned (Period end)]] )</f>
        <v>1749</v>
      </c>
      <c r="S168" s="84" vm="656">
        <v>1749</v>
      </c>
      <c r="T168" s="83" vm="662">
        <v>0</v>
      </c>
      <c r="U168" s="86">
        <f xml:space="preserve"> IFERROR( VfM_Metrics_2023_Consol_Source[[#This Row],[Total non-social housing units developed or newly built units acquired (owned)]] / VfM_Metrics_2023_Consol_Source[[#This Row],[Total social and non-social housing units owned (Period end)]], "n/a" )</f>
        <v>0</v>
      </c>
      <c r="V16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68" s="83" vm="9210">
        <v>0</v>
      </c>
      <c r="X168" s="83" vm="663">
        <v>0</v>
      </c>
      <c r="Y168" s="83" vm="9200">
        <v>0</v>
      </c>
      <c r="Z16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2399</v>
      </c>
      <c r="AA168" s="84" vm="656">
        <v>1749</v>
      </c>
      <c r="AB168" s="83" vm="662">
        <v>0</v>
      </c>
      <c r="AC168" s="83" vm="9124">
        <v>0</v>
      </c>
      <c r="AD168" s="83" vm="669">
        <v>650</v>
      </c>
      <c r="AE168" s="7">
        <f xml:space="preserve"> IFERROR( VfM_Metrics_2023_Consol_Source[[#This Row],[Total Net Debt]] / VfM_Metrics_2023_Consol_Source[[#This Row],[Net Book Value of Housing Properties2]], "n/a" )</f>
        <v>-0.1945670710320388</v>
      </c>
      <c r="AF16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-16087</v>
      </c>
      <c r="AG168" s="84" vm="664">
        <v>0</v>
      </c>
      <c r="AH168" s="83" vm="665">
        <v>0</v>
      </c>
      <c r="AI168" s="83" vm="666">
        <v>16087</v>
      </c>
      <c r="AJ168" s="83" vm="667">
        <v>0</v>
      </c>
      <c r="AK168" s="83" vm="668">
        <v>0</v>
      </c>
      <c r="AL168" s="5">
        <f xml:space="preserve"> SUM( VfM_Metrics_2023_Consol_Source[[#This Row],[Tangible fixed assets: Housing properties at cost (Current period)2]], VfM_Metrics_2023_Consol_Source[[#This Row],[Tangible fixed assets Housing properties at valuation (Current period)2]] )</f>
        <v>82681</v>
      </c>
      <c r="AM168" s="84" vm="9213">
        <v>82681</v>
      </c>
      <c r="AN168" s="83" vm="660">
        <v>0</v>
      </c>
      <c r="AO168" s="87">
        <f xml:space="preserve"> IFERROR( VfM_Metrics_2023_Consol_Source[[#This Row],[EBITDA MRI]] / VfM_Metrics_2023_Consol_Source[[#This Row],[Total interest]], "n/a" )</f>
        <v>-37.990521327014221</v>
      </c>
      <c r="AP16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-8016</v>
      </c>
      <c r="AQ168" s="84" vm="9173">
        <v>-2799</v>
      </c>
      <c r="AR168" s="84" vm="731">
        <v>389</v>
      </c>
      <c r="AS168" s="84" vm="612">
        <v>0</v>
      </c>
      <c r="AT168" s="84" vm="9209">
        <v>1644</v>
      </c>
      <c r="AU168" s="84" vm="9115">
        <v>4445</v>
      </c>
      <c r="AV168" s="84" vm="671">
        <v>145</v>
      </c>
      <c r="AW168" s="84" vm="672">
        <v>3400</v>
      </c>
      <c r="AX168" s="84" vm="9172">
        <v>4516</v>
      </c>
      <c r="AY168" s="3">
        <f xml:space="preserve"> - SUM( VfM_Metrics_2023_Consol_Source[[#This Row],[Interest capitalised]], VfM_Metrics_2023_Consol_Source[[#This Row],[Interest payable and financing costs]] )</f>
        <v>211</v>
      </c>
      <c r="AZ168" s="84" vm="9121">
        <v>0</v>
      </c>
      <c r="BA168" s="83" vm="9155">
        <v>-211</v>
      </c>
      <c r="BB168" s="8">
        <f xml:space="preserve"> IFERROR( ( VfM_Metrics_2023_Consol_Source[[#This Row],[Total Costs]] / VfM_Metrics_2023_Consol_Source[[#This Row],[Total units for costs]] ) * 1000, "n/a" )</f>
        <v>25629.585798816566</v>
      </c>
      <c r="BC16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64971</v>
      </c>
      <c r="BD168" s="84" vm="9176">
        <v>9766</v>
      </c>
      <c r="BE168" s="83" vm="673">
        <v>16051</v>
      </c>
      <c r="BF168" s="83" vm="9169">
        <v>3365</v>
      </c>
      <c r="BG168" s="83" vm="674">
        <v>1010</v>
      </c>
      <c r="BH168" s="83" vm="642">
        <v>0</v>
      </c>
      <c r="BI168" s="83" vm="9203">
        <v>6142</v>
      </c>
      <c r="BJ168" s="83" vm="672">
        <v>3400</v>
      </c>
      <c r="BK168" s="83" vm="9189">
        <v>810</v>
      </c>
      <c r="BL168" s="83" vm="9091">
        <v>0</v>
      </c>
      <c r="BM168" s="83" vm="9166">
        <v>0</v>
      </c>
      <c r="BN168" s="83" vm="676">
        <v>0</v>
      </c>
      <c r="BO168" s="83" vm="9168">
        <v>24427</v>
      </c>
      <c r="BP168" s="5" vm="657">
        <f xml:space="preserve"> VfM_Metrics_2023_Consol_Source[[#This Row],[Total social housing units owned and/or managed at period end]]</f>
        <v>2535</v>
      </c>
      <c r="BQ168" s="84" vm="657">
        <v>2535</v>
      </c>
      <c r="BR168" s="7">
        <f xml:space="preserve"> IFERROR( VfM_Metrics_2023_Consol_Source[[#This Row],[SHL operating surplus / (deficit)]] / VfM_Metrics_2023_Consol_Source[[#This Row],[Turnover from social housing lettings]], "n/a" )</f>
        <v>-4.6824134132909069E-2</v>
      </c>
      <c r="BS168" s="5" vm="677">
        <f xml:space="preserve"> VfM_Metrics_2023_Consol_Source[[#This Row],[Operating surplus/(deficit) (social housing lettings)]]</f>
        <v>-1913</v>
      </c>
      <c r="BT168" s="84" vm="677">
        <v>-1913</v>
      </c>
      <c r="BU168" s="5" vm="9149">
        <f xml:space="preserve"> VfM_Metrics_2023_Consol_Source[[#This Row],[Turnover from social housing lettings]]</f>
        <v>40855</v>
      </c>
      <c r="BV168" s="84" vm="9149">
        <v>40855</v>
      </c>
      <c r="BW168" s="7">
        <f xml:space="preserve"> IFERROR( VfM_Metrics_2023_Consol_Source[[#This Row],[Net operating surplus]] / VfM_Metrics_2023_Consol_Source[[#This Row],[Overall turnover]], "n/a" )</f>
        <v>-2.5952458482578964E-2</v>
      </c>
      <c r="BX16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-3188</v>
      </c>
      <c r="BY168" s="84" vm="9173">
        <v>-2799</v>
      </c>
      <c r="BZ168" s="83" vm="689">
        <v>389</v>
      </c>
      <c r="CA168" s="83" vm="670">
        <v>0</v>
      </c>
      <c r="CB168" s="5" vm="9004">
        <f xml:space="preserve"> VfM_Metrics_2023_Consol_Source[[#This Row],[Turnover (overall)]]</f>
        <v>122840</v>
      </c>
      <c r="CC168" s="84" vm="9004">
        <v>122840</v>
      </c>
      <c r="CD168" s="7">
        <f xml:space="preserve"> IFERROR( VfM_Metrics_2023_Consol_Source[[#This Row],[Operating surplus including from JVs]] / VfM_Metrics_2023_Consol_Source[[#This Row],[Net assets]], "n/a" )</f>
        <v>-2.9389236887112175E-2</v>
      </c>
      <c r="CE168" s="5">
        <f xml:space="preserve"> SUM( VfM_Metrics_2023_Consol_Source[[#This Row],[Operating surplus/(deficit) (overall)3]], VfM_Metrics_2023_Consol_Source[[#This Row],[Share of operating surplus/(deficit) in joint ventures or associates]] )</f>
        <v>-2801</v>
      </c>
      <c r="CF168" s="84" vm="9011">
        <v>-2799</v>
      </c>
      <c r="CG168" s="83" vm="9018">
        <v>-2</v>
      </c>
      <c r="CH168" s="5" vm="678">
        <f xml:space="preserve"> VfM_Metrics_2023_Consol_Source[[#This Row],[Total assets less current liabilities]]</f>
        <v>95307</v>
      </c>
      <c r="CI168" s="84" vm="678">
        <v>95307</v>
      </c>
      <c r="CJ168" s="71" vm="656">
        <f xml:space="preserve"> VfM_Metrics_2023_Consol_Source[[#This Row],[Total social housing units owned (Period end)]]</f>
        <v>1749</v>
      </c>
      <c r="CK168" s="103">
        <v>0.82561463693539161</v>
      </c>
      <c r="CL168" s="6">
        <f xml:space="preserve"> -- ( VfM_Metrics_2023_Consol_Source[[#This Row],[% Supported housing (excl. HOP)]] &gt; 0.3 )</f>
        <v>1</v>
      </c>
      <c r="CM168" s="103">
        <v>0</v>
      </c>
      <c r="CN168" s="6">
        <f xml:space="preserve"> -- ( VfM_Metrics_2023_Consol_Source[[#This Row],[% Housing for older people]] &gt; 0.3 )</f>
        <v>0</v>
      </c>
      <c r="CO168" s="103">
        <f xml:space="preserve"> VfM_Metrics_2023_Consol_Source[[#This Row],[% Supported housing (excl. HOP)]] + VfM_Metrics_2023_Consol_Source[[#This Row],[% Housing for older people]]</f>
        <v>0.82561463693539161</v>
      </c>
      <c r="CP168" s="6">
        <f xml:space="preserve"> -- ( VfM_Metrics_2023_Consol_Source[[#This Row],[SH specialist in RSH analysis]] + VfM_Metrics_2023_Consol_Source[[#This Row],[OP specialist in RSH analysis]] &gt; 0 )</f>
        <v>1</v>
      </c>
      <c r="CQ168" s="10">
        <f xml:space="preserve"> -- ( VfM_Metrics_2023_Consol_Source[[#This Row],[% SH and OP]] &gt; 0.3 )</f>
        <v>1</v>
      </c>
      <c r="CR168" s="104" t="s">
        <v>143</v>
      </c>
      <c r="CS168" s="124" t="s">
        <v>144</v>
      </c>
      <c r="CT168" s="105"/>
      <c r="CU16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68" s="85">
        <v>0.88193624557260919</v>
      </c>
      <c r="CW168" s="85">
        <v>5.5489964580873671E-2</v>
      </c>
      <c r="CX168" s="85">
        <v>5.9622195985832349E-2</v>
      </c>
      <c r="CY168" s="85">
        <v>0</v>
      </c>
      <c r="CZ168" s="85">
        <v>0</v>
      </c>
      <c r="DA168" s="85">
        <v>2.9515938606847697E-3</v>
      </c>
      <c r="DB168" s="85">
        <v>0</v>
      </c>
      <c r="DC168" s="85">
        <v>0</v>
      </c>
      <c r="DD168" s="85">
        <v>0</v>
      </c>
      <c r="DE168" s="13">
        <v>1.141856965798447</v>
      </c>
    </row>
    <row r="169" spans="1:109" x14ac:dyDescent="0.25">
      <c r="A169" s="4" t="s" vm="261">
        <v>462</v>
      </c>
      <c r="B169" s="2" t="s" vm="159">
        <v>463</v>
      </c>
      <c r="C169" s="72" vm="586">
        <v>45016</v>
      </c>
      <c r="D169" s="7">
        <f>IFERROR( VfM_Metrics_2023_Consol_Source[[#This Row],[Reinvestment Spend]] / VfM_Metrics_2023_Consol_Source[[#This Row],[Net Book Value of Housing Properties]], "n/a" )</f>
        <v>9.3822464240118808E-2</v>
      </c>
      <c r="E16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226863</v>
      </c>
      <c r="F169" s="83" vm="8016">
        <v>194741</v>
      </c>
      <c r="G169" s="83" vm="7804">
        <v>0</v>
      </c>
      <c r="H169" s="83" vm="1314">
        <v>26615</v>
      </c>
      <c r="I169" s="83" vm="2069">
        <v>5507</v>
      </c>
      <c r="J169" s="83" vm="7877">
        <v>0</v>
      </c>
      <c r="K169" s="5">
        <f xml:space="preserve"> SUM( VfM_Metrics_2023_Consol_Source[[#This Row],[Tangible fixed assets: Housing properties at cost (Current period)]],VfM_Metrics_2023_Consol_Source[[#This Row],[Tangible fixed assets Housing properties at valuation (Current period)]] )</f>
        <v>2418003</v>
      </c>
      <c r="L169" s="84" vm="2070">
        <v>2418003</v>
      </c>
      <c r="M169" s="83" vm="2071">
        <v>0</v>
      </c>
      <c r="N169" s="7">
        <f xml:space="preserve"> IFERROR( VfM_Metrics_2023_Consol_Source[[#This Row],[Total social units developed or newly built units acquired in-year]] / VfM_Metrics_2023_Consol_Source[[#This Row],[Social housing units owned (period end)]], "n/a" )</f>
        <v>3.1399567112764079E-2</v>
      </c>
      <c r="O169" s="5">
        <f xml:space="preserve"> SUM( VfM_Metrics_2023_Consol_Source[[#This Row],[Total social units developed or newly built units acquired in-year (owned)]], VfM_Metrics_2023_Consol_Source[[#This Row],[Total social leasehold units developed or newly built units acquired in-year (owned)]] )</f>
        <v>1030</v>
      </c>
      <c r="P169" s="84" vm="2072">
        <v>1030</v>
      </c>
      <c r="Q169" s="83" vm="2796">
        <v>0</v>
      </c>
      <c r="R169" s="5">
        <f xml:space="preserve"> SUM( VfM_Metrics_2023_Consol_Source[[#This Row],[Total social housing units owned (Period end)]], VfM_Metrics_2023_Consol_Source[[#This Row],[Total social leasehold units owned (Period end)]] )</f>
        <v>32803</v>
      </c>
      <c r="S169" s="84" vm="7644">
        <v>32803</v>
      </c>
      <c r="T169" s="83" vm="8069">
        <v>0</v>
      </c>
      <c r="U169" s="86">
        <f xml:space="preserve"> IFERROR( VfM_Metrics_2023_Consol_Source[[#This Row],[Total non-social housing units developed or newly built units acquired (owned)]] / VfM_Metrics_2023_Consol_Source[[#This Row],[Total social and non-social housing units owned (Period end)]], "n/a" )</f>
        <v>0</v>
      </c>
      <c r="V16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69" s="83" vm="1567">
        <v>0</v>
      </c>
      <c r="X169" s="83" vm="2074">
        <v>0</v>
      </c>
      <c r="Y169" s="83" vm="7642">
        <v>0</v>
      </c>
      <c r="Z16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32803</v>
      </c>
      <c r="AA169" s="84" vm="2067">
        <v>32803</v>
      </c>
      <c r="AB169" s="83" vm="2073">
        <v>0</v>
      </c>
      <c r="AC169" s="83" vm="7971">
        <v>0</v>
      </c>
      <c r="AD169" s="83" vm="7939">
        <v>0</v>
      </c>
      <c r="AE169" s="7">
        <f xml:space="preserve"> IFERROR( VfM_Metrics_2023_Consol_Source[[#This Row],[Total Net Debt]] / VfM_Metrics_2023_Consol_Source[[#This Row],[Net Book Value of Housing Properties2]], "n/a" )</f>
        <v>0.54062670724560724</v>
      </c>
      <c r="AF16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1307237</v>
      </c>
      <c r="AG169" s="84" vm="2076">
        <v>15207</v>
      </c>
      <c r="AH169" s="83" vm="2077">
        <v>1358569</v>
      </c>
      <c r="AI169" s="83" vm="2186">
        <v>66539</v>
      </c>
      <c r="AJ169" s="83" vm="1675">
        <v>0</v>
      </c>
      <c r="AK169" s="83">
        <v>0</v>
      </c>
      <c r="AL169" s="5">
        <f xml:space="preserve"> SUM( VfM_Metrics_2023_Consol_Source[[#This Row],[Tangible fixed assets: Housing properties at cost (Current period)2]], VfM_Metrics_2023_Consol_Source[[#This Row],[Tangible fixed assets Housing properties at valuation (Current period)2]] )</f>
        <v>2418003</v>
      </c>
      <c r="AM169" s="84" vm="2070">
        <v>2418003</v>
      </c>
      <c r="AN169" s="83" vm="2071">
        <v>0</v>
      </c>
      <c r="AO169" s="87">
        <f xml:space="preserve"> IFERROR( VfM_Metrics_2023_Consol_Source[[#This Row],[EBITDA MRI]] / VfM_Metrics_2023_Consol_Source[[#This Row],[Total interest]], "n/a" )</f>
        <v>1.0625449760470425</v>
      </c>
      <c r="AP16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51679</v>
      </c>
      <c r="AQ169" s="84" vm="2078">
        <v>65767</v>
      </c>
      <c r="AR169" s="84" vm="2079">
        <v>14204</v>
      </c>
      <c r="AS169" s="84" vm="2080">
        <v>0</v>
      </c>
      <c r="AT169" s="84" vm="8158">
        <v>7308</v>
      </c>
      <c r="AU169" s="84" vm="2081">
        <v>0</v>
      </c>
      <c r="AV169" s="84" vm="2082">
        <v>1046</v>
      </c>
      <c r="AW169" s="84" vm="2083">
        <v>32122</v>
      </c>
      <c r="AX169" s="84" vm="2084">
        <v>38500</v>
      </c>
      <c r="AY169" s="3">
        <f xml:space="preserve"> - SUM( VfM_Metrics_2023_Consol_Source[[#This Row],[Interest capitalised]], VfM_Metrics_2023_Consol_Source[[#This Row],[Interest payable and financing costs]] )</f>
        <v>48637</v>
      </c>
      <c r="AZ169" s="84" vm="2085">
        <v>-5507</v>
      </c>
      <c r="BA169" s="83" vm="7998">
        <v>-43130</v>
      </c>
      <c r="BB169" s="8">
        <f xml:space="preserve"> IFERROR( ( VfM_Metrics_2023_Consol_Source[[#This Row],[Total Costs]] / VfM_Metrics_2023_Consol_Source[[#This Row],[Total units for costs]] ) * 1000, "n/a" )</f>
        <v>3996.9173359292613</v>
      </c>
      <c r="BC16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147810</v>
      </c>
      <c r="BD169" s="84" vm="7903">
        <v>40591</v>
      </c>
      <c r="BE169" s="83" vm="2086">
        <v>24905</v>
      </c>
      <c r="BF169" s="83" vm="8207">
        <v>32471</v>
      </c>
      <c r="BG169" s="83" vm="2087">
        <v>6887</v>
      </c>
      <c r="BH169" s="83" vm="2088">
        <v>9820</v>
      </c>
      <c r="BI169" s="83" vm="2089">
        <v>0</v>
      </c>
      <c r="BJ169" s="83" vm="2083">
        <v>32122</v>
      </c>
      <c r="BK169" s="83" vm="7102">
        <v>0</v>
      </c>
      <c r="BL169" s="83" vm="2090">
        <v>761</v>
      </c>
      <c r="BM169" s="83">
        <v>0</v>
      </c>
      <c r="BN169" s="83" vm="1592">
        <v>253</v>
      </c>
      <c r="BO169" s="83">
        <v>0</v>
      </c>
      <c r="BP169" s="5" vm="2068">
        <f xml:space="preserve"> VfM_Metrics_2023_Consol_Source[[#This Row],[Total social housing units owned and/or managed at period end]]</f>
        <v>36981</v>
      </c>
      <c r="BQ169" s="84" vm="2068">
        <v>36981</v>
      </c>
      <c r="BR169" s="7">
        <f xml:space="preserve"> IFERROR( VfM_Metrics_2023_Consol_Source[[#This Row],[SHL operating surplus / (deficit)]] / VfM_Metrics_2023_Consol_Source[[#This Row],[Turnover from social housing lettings]], "n/a" )</f>
        <v>0.2317784758168778</v>
      </c>
      <c r="BS169" s="5" vm="2091">
        <f xml:space="preserve"> VfM_Metrics_2023_Consol_Source[[#This Row],[Operating surplus/(deficit) (social housing lettings)]]</f>
        <v>47150</v>
      </c>
      <c r="BT169" s="84" vm="2091">
        <v>47150</v>
      </c>
      <c r="BU169" s="5" vm="7101">
        <f xml:space="preserve"> VfM_Metrics_2023_Consol_Source[[#This Row],[Turnover from social housing lettings]]</f>
        <v>203427</v>
      </c>
      <c r="BV169" s="84" vm="7101">
        <v>203427</v>
      </c>
      <c r="BW169" s="7">
        <f xml:space="preserve"> IFERROR( VfM_Metrics_2023_Consol_Source[[#This Row],[Net operating surplus]] / VfM_Metrics_2023_Consol_Source[[#This Row],[Overall turnover]], "n/a" )</f>
        <v>0.21576553392167447</v>
      </c>
      <c r="BX16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51563</v>
      </c>
      <c r="BY169" s="84" vm="8195">
        <v>65767</v>
      </c>
      <c r="BZ169" s="83" vm="2877">
        <v>14204</v>
      </c>
      <c r="CA169" s="83" vm="3685">
        <v>0</v>
      </c>
      <c r="CB169" s="5" vm="2092">
        <f xml:space="preserve"> VfM_Metrics_2023_Consol_Source[[#This Row],[Turnover (overall)]]</f>
        <v>238977</v>
      </c>
      <c r="CC169" s="84" vm="2092">
        <v>238977</v>
      </c>
      <c r="CD169" s="7">
        <f xml:space="preserve"> IFERROR( VfM_Metrics_2023_Consol_Source[[#This Row],[Operating surplus including from JVs]] / VfM_Metrics_2023_Consol_Source[[#This Row],[Net assets]], "n/a" )</f>
        <v>2.5689876471817873E-2</v>
      </c>
      <c r="CE169" s="5">
        <f xml:space="preserve"> SUM( VfM_Metrics_2023_Consol_Source[[#This Row],[Operating surplus/(deficit) (overall)3]], VfM_Metrics_2023_Consol_Source[[#This Row],[Share of operating surplus/(deficit) in joint ventures or associates]] )</f>
        <v>65749</v>
      </c>
      <c r="CF169" s="84" vm="2078">
        <v>65767</v>
      </c>
      <c r="CG169" s="83" vm="7803">
        <v>-18</v>
      </c>
      <c r="CH169" s="5" vm="2093">
        <f xml:space="preserve"> VfM_Metrics_2023_Consol_Source[[#This Row],[Total assets less current liabilities]]</f>
        <v>2559335</v>
      </c>
      <c r="CI169" s="84" vm="2093">
        <v>2559335</v>
      </c>
      <c r="CJ169" s="71" vm="7644">
        <f xml:space="preserve"> VfM_Metrics_2023_Consol_Source[[#This Row],[Total social housing units owned (Period end)]]</f>
        <v>32803</v>
      </c>
      <c r="CK169" s="103">
        <v>1.9426546391752578E-2</v>
      </c>
      <c r="CL169" s="6">
        <f xml:space="preserve"> -- ( VfM_Metrics_2023_Consol_Source[[#This Row],[% Supported housing (excl. HOP)]] &gt; 0.3 )</f>
        <v>0</v>
      </c>
      <c r="CM169" s="103">
        <v>7.6997422680412375E-2</v>
      </c>
      <c r="CN169" s="6">
        <f xml:space="preserve"> -- ( VfM_Metrics_2023_Consol_Source[[#This Row],[% Housing for older people]] &gt; 0.3 )</f>
        <v>0</v>
      </c>
      <c r="CO169" s="103">
        <f xml:space="preserve"> VfM_Metrics_2023_Consol_Source[[#This Row],[% Supported housing (excl. HOP)]] + VfM_Metrics_2023_Consol_Source[[#This Row],[% Housing for older people]]</f>
        <v>9.6423969072164953E-2</v>
      </c>
      <c r="CP169" s="6">
        <f xml:space="preserve"> -- ( VfM_Metrics_2023_Consol_Source[[#This Row],[SH specialist in RSH analysis]] + VfM_Metrics_2023_Consol_Source[[#This Row],[OP specialist in RSH analysis]] &gt; 0 )</f>
        <v>0</v>
      </c>
      <c r="CQ169" s="10">
        <f xml:space="preserve"> -- ( VfM_Metrics_2023_Consol_Source[[#This Row],[% SH and OP]] &gt; 0.3 )</f>
        <v>0</v>
      </c>
      <c r="CR169" s="104" t="s">
        <v>143</v>
      </c>
      <c r="CS169" s="124" t="s">
        <v>144</v>
      </c>
      <c r="CT169" s="105"/>
      <c r="CU16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69" s="85">
        <v>3.0813792253412625E-5</v>
      </c>
      <c r="CW169" s="85">
        <v>0.22682032477737035</v>
      </c>
      <c r="CX169" s="85">
        <v>0.28733861276307276</v>
      </c>
      <c r="CY169" s="85">
        <v>5.5772963978676857E-2</v>
      </c>
      <c r="CZ169" s="85">
        <v>0.25264228268573014</v>
      </c>
      <c r="DA169" s="85">
        <v>0.12217668628478107</v>
      </c>
      <c r="DB169" s="85">
        <v>0</v>
      </c>
      <c r="DC169" s="85">
        <v>0</v>
      </c>
      <c r="DD169" s="85">
        <v>5.5218315718115425E-2</v>
      </c>
      <c r="DE169" s="13">
        <v>0.98666978939200145</v>
      </c>
    </row>
    <row r="170" spans="1:109" x14ac:dyDescent="0.25">
      <c r="A170" s="4" t="s" vm="209">
        <v>464</v>
      </c>
      <c r="B170" s="2" t="s" vm="160">
        <v>465</v>
      </c>
      <c r="C170" s="72" vm="501">
        <v>45016</v>
      </c>
      <c r="D170" s="7" t="str">
        <f>IFERROR( VfM_Metrics_2023_Consol_Source[[#This Row],[Reinvestment Spend]] / VfM_Metrics_2023_Consol_Source[[#This Row],[Net Book Value of Housing Properties]], "n/a" )</f>
        <v>n/a</v>
      </c>
      <c r="E17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0</v>
      </c>
      <c r="F170" s="83" vm="877">
        <v>0</v>
      </c>
      <c r="G170" s="83" vm="9077">
        <v>0</v>
      </c>
      <c r="H170" s="83" vm="964">
        <v>0</v>
      </c>
      <c r="I170" s="83" vm="8996">
        <v>0</v>
      </c>
      <c r="J170" s="83" vm="8832">
        <v>0</v>
      </c>
      <c r="K170" s="5">
        <f xml:space="preserve"> SUM( VfM_Metrics_2023_Consol_Source[[#This Row],[Tangible fixed assets: Housing properties at cost (Current period)]],VfM_Metrics_2023_Consol_Source[[#This Row],[Tangible fixed assets Housing properties at valuation (Current period)]] )</f>
        <v>0</v>
      </c>
      <c r="L170" s="84">
        <v>0</v>
      </c>
      <c r="M170" s="83">
        <v>0</v>
      </c>
      <c r="N170" s="7">
        <f xml:space="preserve"> IFERROR( VfM_Metrics_2023_Consol_Source[[#This Row],[Total social units developed or newly built units acquired in-year]] / VfM_Metrics_2023_Consol_Source[[#This Row],[Social housing units owned (period end)]], "n/a" )</f>
        <v>0</v>
      </c>
      <c r="O170" s="5">
        <f xml:space="preserve"> SUM( VfM_Metrics_2023_Consol_Source[[#This Row],[Total social units developed or newly built units acquired in-year (owned)]], VfM_Metrics_2023_Consol_Source[[#This Row],[Total social leasehold units developed or newly built units acquired in-year (owned)]] )</f>
        <v>0</v>
      </c>
      <c r="P170" s="84" vm="8989">
        <v>0</v>
      </c>
      <c r="Q170" s="83">
        <v>0</v>
      </c>
      <c r="R170" s="5">
        <f xml:space="preserve"> SUM( VfM_Metrics_2023_Consol_Source[[#This Row],[Total social housing units owned (Period end)]], VfM_Metrics_2023_Consol_Source[[#This Row],[Total social leasehold units owned (Period end)]] )</f>
        <v>2038</v>
      </c>
      <c r="S170" s="84" vm="9106">
        <v>2038</v>
      </c>
      <c r="T170" s="83" vm="8923">
        <v>0</v>
      </c>
      <c r="U170" s="86">
        <f xml:space="preserve"> IFERROR( VfM_Metrics_2023_Consol_Source[[#This Row],[Total non-social housing units developed or newly built units acquired (owned)]] / VfM_Metrics_2023_Consol_Source[[#This Row],[Total social and non-social housing units owned (Period end)]], "n/a" )</f>
        <v>0</v>
      </c>
      <c r="V17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70" s="83">
        <v>0</v>
      </c>
      <c r="X170" s="83">
        <v>0</v>
      </c>
      <c r="Y170" s="83">
        <v>0</v>
      </c>
      <c r="Z17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2038</v>
      </c>
      <c r="AA170" s="84" vm="793">
        <v>2038</v>
      </c>
      <c r="AB170" s="83" vm="794">
        <v>0</v>
      </c>
      <c r="AC170" s="83" vm="8855">
        <v>0</v>
      </c>
      <c r="AD170" s="83" vm="8986">
        <v>0</v>
      </c>
      <c r="AE170" s="7" t="str">
        <f xml:space="preserve"> IFERROR( VfM_Metrics_2023_Consol_Source[[#This Row],[Total Net Debt]] / VfM_Metrics_2023_Consol_Source[[#This Row],[Net Book Value of Housing Properties2]], "n/a" )</f>
        <v>n/a</v>
      </c>
      <c r="AF17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-3851</v>
      </c>
      <c r="AG170" s="84">
        <v>0</v>
      </c>
      <c r="AH170" s="83">
        <v>0</v>
      </c>
      <c r="AI170" s="83" vm="9046">
        <v>3851</v>
      </c>
      <c r="AJ170" s="83" vm="1675">
        <v>0</v>
      </c>
      <c r="AK170" s="83">
        <v>0</v>
      </c>
      <c r="AL170" s="5">
        <f xml:space="preserve"> SUM( VfM_Metrics_2023_Consol_Source[[#This Row],[Tangible fixed assets: Housing properties at cost (Current period)2]], VfM_Metrics_2023_Consol_Source[[#This Row],[Tangible fixed assets Housing properties at valuation (Current period)2]] )</f>
        <v>0</v>
      </c>
      <c r="AM170" s="84">
        <v>0</v>
      </c>
      <c r="AN170" s="83">
        <v>0</v>
      </c>
      <c r="AO170" s="87" t="str">
        <f xml:space="preserve"> IFERROR( VfM_Metrics_2023_Consol_Source[[#This Row],[EBITDA MRI]] / VfM_Metrics_2023_Consol_Source[[#This Row],[Total interest]], "n/a" )</f>
        <v>n/a</v>
      </c>
      <c r="AP17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836</v>
      </c>
      <c r="AQ170" s="84" vm="8977">
        <v>799</v>
      </c>
      <c r="AR170" s="84">
        <v>0</v>
      </c>
      <c r="AS170" s="84">
        <v>0</v>
      </c>
      <c r="AT170" s="84" vm="798">
        <v>0</v>
      </c>
      <c r="AU170" s="84" vm="9069">
        <v>0</v>
      </c>
      <c r="AV170" s="84" vm="764">
        <v>32</v>
      </c>
      <c r="AW170" s="84" vm="800">
        <v>0</v>
      </c>
      <c r="AX170" s="84" vm="801">
        <v>5</v>
      </c>
      <c r="AY170" s="3">
        <f xml:space="preserve"> - SUM( VfM_Metrics_2023_Consol_Source[[#This Row],[Interest capitalised]], VfM_Metrics_2023_Consol_Source[[#This Row],[Interest payable and financing costs]] )</f>
        <v>0</v>
      </c>
      <c r="AZ170" s="84">
        <v>0</v>
      </c>
      <c r="BA170" s="83" vm="802">
        <v>0</v>
      </c>
      <c r="BB170" s="8">
        <f xml:space="preserve"> IFERROR( ( VfM_Metrics_2023_Consol_Source[[#This Row],[Total Costs]] / VfM_Metrics_2023_Consol_Source[[#This Row],[Total units for costs]] ) * 1000, "n/a" )</f>
        <v>8375.85868498528</v>
      </c>
      <c r="BC17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17070</v>
      </c>
      <c r="BD170" s="84" vm="864">
        <v>1608</v>
      </c>
      <c r="BE170" s="83" vm="9010">
        <v>15462</v>
      </c>
      <c r="BF170" s="83" vm="9108">
        <v>0</v>
      </c>
      <c r="BG170" s="83" vm="803">
        <v>0</v>
      </c>
      <c r="BH170" s="83" vm="9048">
        <v>0</v>
      </c>
      <c r="BI170" s="83" vm="8842">
        <v>0</v>
      </c>
      <c r="BJ170" s="83" vm="8985">
        <v>0</v>
      </c>
      <c r="BK170" s="83" vm="8739">
        <v>0</v>
      </c>
      <c r="BL170" s="83">
        <v>0</v>
      </c>
      <c r="BM170" s="83">
        <v>0</v>
      </c>
      <c r="BN170" s="83">
        <v>0</v>
      </c>
      <c r="BO170" s="83">
        <v>0</v>
      </c>
      <c r="BP170" s="5" vm="9016">
        <f xml:space="preserve"> VfM_Metrics_2023_Consol_Source[[#This Row],[Total social housing units owned and/or managed at period end]]</f>
        <v>2038</v>
      </c>
      <c r="BQ170" s="84" vm="9016">
        <v>2038</v>
      </c>
      <c r="BR170" s="7">
        <f xml:space="preserve"> IFERROR( VfM_Metrics_2023_Consol_Source[[#This Row],[SHL operating surplus / (deficit)]] / VfM_Metrics_2023_Consol_Source[[#This Row],[Turnover from social housing lettings]], "n/a" )</f>
        <v>4.4714309698360287E-2</v>
      </c>
      <c r="BS170" s="5" vm="9013">
        <f xml:space="preserve"> VfM_Metrics_2023_Consol_Source[[#This Row],[Operating surplus/(deficit) (social housing lettings)]]</f>
        <v>799</v>
      </c>
      <c r="BT170" s="84" vm="9013">
        <v>799</v>
      </c>
      <c r="BU170" s="5" vm="9003">
        <f xml:space="preserve"> VfM_Metrics_2023_Consol_Source[[#This Row],[Turnover from social housing lettings]]</f>
        <v>17869</v>
      </c>
      <c r="BV170" s="84" vm="9003">
        <v>17869</v>
      </c>
      <c r="BW170" s="7">
        <f xml:space="preserve"> IFERROR( VfM_Metrics_2023_Consol_Source[[#This Row],[Net operating surplus]] / VfM_Metrics_2023_Consol_Source[[#This Row],[Overall turnover]], "n/a" )</f>
        <v>4.4714309698360287E-2</v>
      </c>
      <c r="BX17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799</v>
      </c>
      <c r="BY170" s="84" vm="796">
        <v>799</v>
      </c>
      <c r="BZ170" s="83">
        <v>0</v>
      </c>
      <c r="CA170" s="83">
        <v>0</v>
      </c>
      <c r="CB170" s="5">
        <f xml:space="preserve"> VfM_Metrics_2023_Consol_Source[[#This Row],[Turnover (overall)]]</f>
        <v>17869</v>
      </c>
      <c r="CC170" s="84">
        <v>17869</v>
      </c>
      <c r="CD170" s="7">
        <f xml:space="preserve"> IFERROR( VfM_Metrics_2023_Consol_Source[[#This Row],[Operating surplus including from JVs]] / VfM_Metrics_2023_Consol_Source[[#This Row],[Net assets]], "n/a" )</f>
        <v>0.22406057206954572</v>
      </c>
      <c r="CE170" s="5">
        <f xml:space="preserve"> SUM( VfM_Metrics_2023_Consol_Source[[#This Row],[Operating surplus/(deficit) (overall)3]], VfM_Metrics_2023_Consol_Source[[#This Row],[Share of operating surplus/(deficit) in joint ventures or associates]] )</f>
        <v>799</v>
      </c>
      <c r="CF170" s="84" vm="8929">
        <v>799</v>
      </c>
      <c r="CG170" s="83">
        <v>0</v>
      </c>
      <c r="CH170" s="5">
        <f xml:space="preserve"> VfM_Metrics_2023_Consol_Source[[#This Row],[Total assets less current liabilities]]</f>
        <v>3566</v>
      </c>
      <c r="CI170" s="84">
        <v>3566</v>
      </c>
      <c r="CJ170" s="71" vm="9106">
        <f xml:space="preserve"> VfM_Metrics_2023_Consol_Source[[#This Row],[Total social housing units owned (Period end)]]</f>
        <v>2038</v>
      </c>
      <c r="CK170" s="103">
        <v>1</v>
      </c>
      <c r="CL170" s="6">
        <f xml:space="preserve"> -- ( VfM_Metrics_2023_Consol_Source[[#This Row],[% Supported housing (excl. HOP)]] &gt; 0.3 )</f>
        <v>1</v>
      </c>
      <c r="CM170" s="103">
        <v>0</v>
      </c>
      <c r="CN170" s="6">
        <f xml:space="preserve"> -- ( VfM_Metrics_2023_Consol_Source[[#This Row],[% Housing for older people]] &gt; 0.3 )</f>
        <v>0</v>
      </c>
      <c r="CO170" s="103">
        <f xml:space="preserve"> VfM_Metrics_2023_Consol_Source[[#This Row],[% Supported housing (excl. HOP)]] + VfM_Metrics_2023_Consol_Source[[#This Row],[% Housing for older people]]</f>
        <v>1</v>
      </c>
      <c r="CP170" s="6">
        <f xml:space="preserve"> -- ( VfM_Metrics_2023_Consol_Source[[#This Row],[SH specialist in RSH analysis]] + VfM_Metrics_2023_Consol_Source[[#This Row],[OP specialist in RSH analysis]] &gt; 0 )</f>
        <v>1</v>
      </c>
      <c r="CQ170" s="10">
        <f xml:space="preserve"> -- ( VfM_Metrics_2023_Consol_Source[[#This Row],[% SH and OP]] &gt; 0.3 )</f>
        <v>1</v>
      </c>
      <c r="CR170" s="104" t="s">
        <v>143</v>
      </c>
      <c r="CS170" s="124" t="s">
        <v>144</v>
      </c>
      <c r="CT170" s="105"/>
      <c r="CU17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70" s="85">
        <v>0</v>
      </c>
      <c r="CW170" s="85">
        <v>0</v>
      </c>
      <c r="CX170" s="85">
        <v>0</v>
      </c>
      <c r="CY170" s="85">
        <v>0</v>
      </c>
      <c r="CZ170" s="85">
        <v>1</v>
      </c>
      <c r="DA170" s="85">
        <v>0</v>
      </c>
      <c r="DB170" s="85">
        <v>0</v>
      </c>
      <c r="DC170" s="85">
        <v>0</v>
      </c>
      <c r="DD170" s="85">
        <v>0</v>
      </c>
      <c r="DE170" s="13">
        <v>0.96459033333600952</v>
      </c>
    </row>
    <row r="171" spans="1:109" x14ac:dyDescent="0.25">
      <c r="A171" s="4" t="s" vm="327">
        <v>466</v>
      </c>
      <c r="B171" s="2" t="s" vm="161">
        <v>467</v>
      </c>
      <c r="C171" s="72" vm="487">
        <v>45016</v>
      </c>
      <c r="D171" s="7">
        <f>IFERROR( VfM_Metrics_2023_Consol_Source[[#This Row],[Reinvestment Spend]] / VfM_Metrics_2023_Consol_Source[[#This Row],[Net Book Value of Housing Properties]], "n/a" )</f>
        <v>9.6912834453421928E-2</v>
      </c>
      <c r="E17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15401</v>
      </c>
      <c r="F171" s="83" vm="4284">
        <v>12198</v>
      </c>
      <c r="G171" s="83" vm="4285">
        <v>0</v>
      </c>
      <c r="H171" s="83" vm="4286">
        <v>3203</v>
      </c>
      <c r="I171" s="83" vm="4314">
        <v>391</v>
      </c>
      <c r="J171" s="83" vm="4287">
        <v>-391</v>
      </c>
      <c r="K171" s="5">
        <f xml:space="preserve"> SUM( VfM_Metrics_2023_Consol_Source[[#This Row],[Tangible fixed assets: Housing properties at cost (Current period)]],VfM_Metrics_2023_Consol_Source[[#This Row],[Tangible fixed assets Housing properties at valuation (Current period)]] )</f>
        <v>158916</v>
      </c>
      <c r="L171" s="84" vm="7481">
        <v>158916</v>
      </c>
      <c r="M171" s="83">
        <v>0</v>
      </c>
      <c r="N171" s="7">
        <f xml:space="preserve"> IFERROR( VfM_Metrics_2023_Consol_Source[[#This Row],[Total social units developed or newly built units acquired in-year]] / VfM_Metrics_2023_Consol_Source[[#This Row],[Social housing units owned (period end)]], "n/a" )</f>
        <v>1.2204424103737605E-2</v>
      </c>
      <c r="O171" s="5">
        <f xml:space="preserve"> SUM( VfM_Metrics_2023_Consol_Source[[#This Row],[Total social units developed or newly built units acquired in-year (owned)]], VfM_Metrics_2023_Consol_Source[[#This Row],[Total social leasehold units developed or newly built units acquired in-year (owned)]] )</f>
        <v>48</v>
      </c>
      <c r="P171" s="84" vm="4288">
        <v>48</v>
      </c>
      <c r="Q171" s="83">
        <v>0</v>
      </c>
      <c r="R171" s="5">
        <f xml:space="preserve"> SUM( VfM_Metrics_2023_Consol_Source[[#This Row],[Total social housing units owned (Period end)]], VfM_Metrics_2023_Consol_Source[[#This Row],[Total social leasehold units owned (Period end)]] )</f>
        <v>3933</v>
      </c>
      <c r="S171" s="84" vm="4282">
        <v>3782</v>
      </c>
      <c r="T171" s="83" vm="4289">
        <v>151</v>
      </c>
      <c r="U171" s="86">
        <f xml:space="preserve"> IFERROR( VfM_Metrics_2023_Consol_Source[[#This Row],[Total non-social housing units developed or newly built units acquired (owned)]] / VfM_Metrics_2023_Consol_Source[[#This Row],[Total social and non-social housing units owned (Period end)]], "n/a" )</f>
        <v>0</v>
      </c>
      <c r="V17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71" s="83">
        <v>0</v>
      </c>
      <c r="X171" s="83">
        <v>0</v>
      </c>
      <c r="Y171" s="83">
        <v>0</v>
      </c>
      <c r="Z17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3933</v>
      </c>
      <c r="AA171" s="84" vm="4282">
        <v>3782</v>
      </c>
      <c r="AB171" s="83" vm="4289">
        <v>151</v>
      </c>
      <c r="AC171" s="83" vm="4290">
        <v>0</v>
      </c>
      <c r="AD171" s="83" vm="3720">
        <v>0</v>
      </c>
      <c r="AE171" s="7">
        <f xml:space="preserve"> IFERROR( VfM_Metrics_2023_Consol_Source[[#This Row],[Total Net Debt]] / VfM_Metrics_2023_Consol_Source[[#This Row],[Net Book Value of Housing Properties2]], "n/a" )</f>
        <v>0.32829922726471844</v>
      </c>
      <c r="AF17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52172</v>
      </c>
      <c r="AG171" s="84">
        <v>0</v>
      </c>
      <c r="AH171" s="83" vm="7591">
        <v>57491</v>
      </c>
      <c r="AI171" s="83" vm="4291">
        <v>5319</v>
      </c>
      <c r="AJ171" s="83" vm="1675">
        <v>0</v>
      </c>
      <c r="AK171" s="83">
        <v>0</v>
      </c>
      <c r="AL171" s="5">
        <f xml:space="preserve"> SUM( VfM_Metrics_2023_Consol_Source[[#This Row],[Tangible fixed assets: Housing properties at cost (Current period)2]], VfM_Metrics_2023_Consol_Source[[#This Row],[Tangible fixed assets Housing properties at valuation (Current period)2]] )</f>
        <v>158916</v>
      </c>
      <c r="AM171" s="84" vm="7542">
        <v>158916</v>
      </c>
      <c r="AN171" s="83">
        <v>0</v>
      </c>
      <c r="AO171" s="87">
        <f xml:space="preserve"> IFERROR( VfM_Metrics_2023_Consol_Source[[#This Row],[EBITDA MRI]] / VfM_Metrics_2023_Consol_Source[[#This Row],[Total interest]], "n/a" )</f>
        <v>1.4733952702702702</v>
      </c>
      <c r="AP17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3489</v>
      </c>
      <c r="AQ171" s="84" vm="4292">
        <v>4453</v>
      </c>
      <c r="AR171" s="84" vm="4293">
        <v>139</v>
      </c>
      <c r="AS171" s="84" vm="4294">
        <v>3</v>
      </c>
      <c r="AT171" s="84" vm="7164">
        <v>83</v>
      </c>
      <c r="AU171" s="84" vm="7701">
        <v>0</v>
      </c>
      <c r="AV171" s="84" vm="4295">
        <v>73</v>
      </c>
      <c r="AW171" s="84" vm="4296">
        <v>3203</v>
      </c>
      <c r="AX171" s="84" vm="7576">
        <v>2391</v>
      </c>
      <c r="AY171" s="3">
        <f xml:space="preserve"> - SUM( VfM_Metrics_2023_Consol_Source[[#This Row],[Interest capitalised]], VfM_Metrics_2023_Consol_Source[[#This Row],[Interest payable and financing costs]] )</f>
        <v>2368</v>
      </c>
      <c r="AZ171" s="84" vm="4297">
        <v>-391</v>
      </c>
      <c r="BA171" s="83" vm="7602">
        <v>-1977</v>
      </c>
      <c r="BB171" s="8">
        <f xml:space="preserve"> IFERROR( ( VfM_Metrics_2023_Consol_Source[[#This Row],[Total Costs]] / VfM_Metrics_2023_Consol_Source[[#This Row],[Total units for costs]] ) * 1000, "n/a" )</f>
        <v>4341.3802151666232</v>
      </c>
      <c r="BC17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16545</v>
      </c>
      <c r="BD171" s="84" vm="7064">
        <v>5662</v>
      </c>
      <c r="BE171" s="83" vm="4298">
        <v>630</v>
      </c>
      <c r="BF171" s="83" vm="4299">
        <v>3120</v>
      </c>
      <c r="BG171" s="83" vm="4300">
        <v>651</v>
      </c>
      <c r="BH171" s="83" vm="4301">
        <v>2838</v>
      </c>
      <c r="BI171" s="83" vm="4302">
        <v>0</v>
      </c>
      <c r="BJ171" s="83" vm="4296">
        <v>3203</v>
      </c>
      <c r="BK171" s="83" vm="4303">
        <v>174</v>
      </c>
      <c r="BL171" s="83">
        <v>0</v>
      </c>
      <c r="BM171" s="83">
        <v>0</v>
      </c>
      <c r="BN171" s="83" vm="7366">
        <v>122</v>
      </c>
      <c r="BO171" s="83" vm="4304">
        <v>145</v>
      </c>
      <c r="BP171" s="5" vm="4283">
        <f xml:space="preserve"> VfM_Metrics_2023_Consol_Source[[#This Row],[Total social housing units owned and/or managed at period end]]</f>
        <v>3811</v>
      </c>
      <c r="BQ171" s="84" vm="4283">
        <v>3811</v>
      </c>
      <c r="BR171" s="7">
        <f xml:space="preserve"> IFERROR( VfM_Metrics_2023_Consol_Source[[#This Row],[SHL operating surplus / (deficit)]] / VfM_Metrics_2023_Consol_Source[[#This Row],[Turnover from social housing lettings]], "n/a" )</f>
        <v>0.20203743923880443</v>
      </c>
      <c r="BS171" s="5" vm="4305">
        <f xml:space="preserve"> VfM_Metrics_2023_Consol_Source[[#This Row],[Operating surplus/(deficit) (social housing lettings)]]</f>
        <v>3907</v>
      </c>
      <c r="BT171" s="84" vm="4305">
        <v>3907</v>
      </c>
      <c r="BU171" s="5" vm="4306">
        <f xml:space="preserve"> VfM_Metrics_2023_Consol_Source[[#This Row],[Turnover from social housing lettings]]</f>
        <v>19338</v>
      </c>
      <c r="BV171" s="84" vm="4306">
        <v>19338</v>
      </c>
      <c r="BW171" s="7">
        <f xml:space="preserve"> IFERROR( VfM_Metrics_2023_Consol_Source[[#This Row],[Net operating surplus]] / VfM_Metrics_2023_Consol_Source[[#This Row],[Overall turnover]], "n/a" )</f>
        <v>0.20154277699859749</v>
      </c>
      <c r="BX17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4311</v>
      </c>
      <c r="BY171" s="84" vm="4292">
        <v>4453</v>
      </c>
      <c r="BZ171" s="83" vm="4293">
        <v>139</v>
      </c>
      <c r="CA171" s="83" vm="4294">
        <v>3</v>
      </c>
      <c r="CB171" s="5" vm="7586">
        <f xml:space="preserve"> VfM_Metrics_2023_Consol_Source[[#This Row],[Turnover (overall)]]</f>
        <v>21390</v>
      </c>
      <c r="CC171" s="84" vm="7586">
        <v>21390</v>
      </c>
      <c r="CD171" s="7">
        <f xml:space="preserve"> IFERROR( VfM_Metrics_2023_Consol_Source[[#This Row],[Operating surplus including from JVs]] / VfM_Metrics_2023_Consol_Source[[#This Row],[Net assets]], "n/a" )</f>
        <v>2.6553369111508646E-2</v>
      </c>
      <c r="CE171" s="5">
        <f xml:space="preserve"> SUM( VfM_Metrics_2023_Consol_Source[[#This Row],[Operating surplus/(deficit) (overall)3]], VfM_Metrics_2023_Consol_Source[[#This Row],[Share of operating surplus/(deficit) in joint ventures or associates]] )</f>
        <v>4453</v>
      </c>
      <c r="CF171" s="84" vm="4292">
        <v>4453</v>
      </c>
      <c r="CG171" s="83">
        <v>0</v>
      </c>
      <c r="CH171" s="5" vm="4308">
        <f xml:space="preserve"> VfM_Metrics_2023_Consol_Source[[#This Row],[Total assets less current liabilities]]</f>
        <v>167700</v>
      </c>
      <c r="CI171" s="84" vm="4308">
        <v>167700</v>
      </c>
      <c r="CJ171" s="71" vm="4282">
        <f xml:space="preserve"> VfM_Metrics_2023_Consol_Source[[#This Row],[Total social housing units owned (Period end)]]</f>
        <v>3782</v>
      </c>
      <c r="CK171" s="103">
        <v>0</v>
      </c>
      <c r="CL171" s="6">
        <f xml:space="preserve"> -- ( VfM_Metrics_2023_Consol_Source[[#This Row],[% Supported housing (excl. HOP)]] &gt; 0.3 )</f>
        <v>0</v>
      </c>
      <c r="CM171" s="103">
        <v>0.26466684364215554</v>
      </c>
      <c r="CN171" s="6">
        <f xml:space="preserve"> -- ( VfM_Metrics_2023_Consol_Source[[#This Row],[% Housing for older people]] &gt; 0.3 )</f>
        <v>0</v>
      </c>
      <c r="CO171" s="103">
        <f xml:space="preserve"> VfM_Metrics_2023_Consol_Source[[#This Row],[% Supported housing (excl. HOP)]] + VfM_Metrics_2023_Consol_Source[[#This Row],[% Housing for older people]]</f>
        <v>0.26466684364215554</v>
      </c>
      <c r="CP171" s="6">
        <f xml:space="preserve"> -- ( VfM_Metrics_2023_Consol_Source[[#This Row],[SH specialist in RSH analysis]] + VfM_Metrics_2023_Consol_Source[[#This Row],[OP specialist in RSH analysis]] &gt; 0 )</f>
        <v>0</v>
      </c>
      <c r="CQ171" s="10">
        <f xml:space="preserve"> -- ( VfM_Metrics_2023_Consol_Source[[#This Row],[% SH and OP]] &gt; 0.3 )</f>
        <v>0</v>
      </c>
      <c r="CR171" s="104" t="s">
        <v>143</v>
      </c>
      <c r="CS171" s="124"/>
      <c r="CT171" s="105" t="s">
        <v>151</v>
      </c>
      <c r="CU17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171" s="85">
        <v>0</v>
      </c>
      <c r="CW171" s="85">
        <v>0</v>
      </c>
      <c r="CX171" s="85">
        <v>1</v>
      </c>
      <c r="CY171" s="85">
        <v>0</v>
      </c>
      <c r="CZ171" s="85">
        <v>0</v>
      </c>
      <c r="DA171" s="85">
        <v>0</v>
      </c>
      <c r="DB171" s="85">
        <v>0</v>
      </c>
      <c r="DC171" s="85">
        <v>0</v>
      </c>
      <c r="DD171" s="85">
        <v>0</v>
      </c>
      <c r="DE171" s="13">
        <v>0.97511902715076015</v>
      </c>
    </row>
    <row r="172" spans="1:109" x14ac:dyDescent="0.25">
      <c r="A172" s="4" t="s" vm="247">
        <v>468</v>
      </c>
      <c r="B172" s="2" t="s" vm="162">
        <v>469</v>
      </c>
      <c r="C172" s="72" vm="538">
        <v>45016</v>
      </c>
      <c r="D172" s="7">
        <f>IFERROR( VfM_Metrics_2023_Consol_Source[[#This Row],[Reinvestment Spend]] / VfM_Metrics_2023_Consol_Source[[#This Row],[Net Book Value of Housing Properties]], "n/a" )</f>
        <v>4.3633739675001393E-2</v>
      </c>
      <c r="E17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206320</v>
      </c>
      <c r="F172" s="83" vm="1661">
        <v>164834</v>
      </c>
      <c r="G172" s="83" vm="1662">
        <v>0</v>
      </c>
      <c r="H172" s="83" vm="1663">
        <v>30835</v>
      </c>
      <c r="I172" s="83" vm="1664">
        <v>10651</v>
      </c>
      <c r="J172" s="83" vm="1665">
        <v>0</v>
      </c>
      <c r="K172" s="5">
        <f xml:space="preserve"> SUM( VfM_Metrics_2023_Consol_Source[[#This Row],[Tangible fixed assets: Housing properties at cost (Current period)]],VfM_Metrics_2023_Consol_Source[[#This Row],[Tangible fixed assets Housing properties at valuation (Current period)]] )</f>
        <v>4728451</v>
      </c>
      <c r="L172" s="84" vm="1666">
        <v>4728451</v>
      </c>
      <c r="M172" s="83" vm="1667">
        <v>0</v>
      </c>
      <c r="N172" s="7">
        <f xml:space="preserve"> IFERROR( VfM_Metrics_2023_Consol_Source[[#This Row],[Total social units developed or newly built units acquired in-year]] / VfM_Metrics_2023_Consol_Source[[#This Row],[Social housing units owned (period end)]], "n/a" )</f>
        <v>1.085759591243448E-2</v>
      </c>
      <c r="O172" s="5">
        <f xml:space="preserve"> SUM( VfM_Metrics_2023_Consol_Source[[#This Row],[Total social units developed or newly built units acquired in-year (owned)]], VfM_Metrics_2023_Consol_Source[[#This Row],[Total social leasehold units developed or newly built units acquired in-year (owned)]] )</f>
        <v>493</v>
      </c>
      <c r="P172" s="84" vm="8065">
        <v>493</v>
      </c>
      <c r="Q172" s="83" vm="1668">
        <v>0</v>
      </c>
      <c r="R172" s="5">
        <f xml:space="preserve"> SUM( VfM_Metrics_2023_Consol_Source[[#This Row],[Total social housing units owned (Period end)]], VfM_Metrics_2023_Consol_Source[[#This Row],[Total social leasehold units owned (Period end)]] )</f>
        <v>45406</v>
      </c>
      <c r="S172" s="84" vm="1660">
        <v>45406</v>
      </c>
      <c r="T172" s="83" vm="1669">
        <v>0</v>
      </c>
      <c r="U172" s="86">
        <f xml:space="preserve"> IFERROR( VfM_Metrics_2023_Consol_Source[[#This Row],[Total non-social housing units developed or newly built units acquired (owned)]] / VfM_Metrics_2023_Consol_Source[[#This Row],[Total social and non-social housing units owned (Period end)]], "n/a" )</f>
        <v>6.1975322553383294E-4</v>
      </c>
      <c r="V17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33</v>
      </c>
      <c r="W172" s="83" vm="8064">
        <v>0</v>
      </c>
      <c r="X172" s="83" vm="1670">
        <v>0</v>
      </c>
      <c r="Y172" s="83" vm="1671">
        <v>33</v>
      </c>
      <c r="Z17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53247</v>
      </c>
      <c r="AA172" s="84" vm="1660">
        <v>45406</v>
      </c>
      <c r="AB172" s="83" vm="8295">
        <v>0</v>
      </c>
      <c r="AC172" s="83" vm="8227">
        <v>656</v>
      </c>
      <c r="AD172" s="83" vm="1843">
        <v>7185</v>
      </c>
      <c r="AE172" s="7">
        <f xml:space="preserve"> IFERROR( VfM_Metrics_2023_Consol_Source[[#This Row],[Total Net Debt]] / VfM_Metrics_2023_Consol_Source[[#This Row],[Net Book Value of Housing Properties2]], "n/a" )</f>
        <v>0.36875501089045865</v>
      </c>
      <c r="AF17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1743640</v>
      </c>
      <c r="AG172" s="84" vm="8255">
        <v>75457</v>
      </c>
      <c r="AH172" s="83" vm="8280">
        <v>1861218</v>
      </c>
      <c r="AI172" s="83" vm="1674">
        <v>193458</v>
      </c>
      <c r="AJ172" s="83" vm="1675">
        <v>0</v>
      </c>
      <c r="AK172" s="83" vm="1676">
        <v>423</v>
      </c>
      <c r="AL172" s="5">
        <f xml:space="preserve"> SUM( VfM_Metrics_2023_Consol_Source[[#This Row],[Tangible fixed assets: Housing properties at cost (Current period)2]], VfM_Metrics_2023_Consol_Source[[#This Row],[Tangible fixed assets Housing properties at valuation (Current period)2]] )</f>
        <v>4728451</v>
      </c>
      <c r="AM172" s="84" vm="8187">
        <v>4728451</v>
      </c>
      <c r="AN172" s="83" vm="1667">
        <v>0</v>
      </c>
      <c r="AO172" s="87">
        <f xml:space="preserve"> IFERROR( VfM_Metrics_2023_Consol_Source[[#This Row],[EBITDA MRI]] / VfM_Metrics_2023_Consol_Source[[#This Row],[Total interest]], "n/a" )</f>
        <v>0.8207930620134789</v>
      </c>
      <c r="AP17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78554</v>
      </c>
      <c r="AQ172" s="84" vm="1677">
        <v>100727</v>
      </c>
      <c r="AR172" s="84" vm="1678">
        <v>38211</v>
      </c>
      <c r="AS172" s="84" vm="1679">
        <v>0</v>
      </c>
      <c r="AT172" s="84" vm="1937">
        <v>5874</v>
      </c>
      <c r="AU172" s="84" vm="7867">
        <v>1303</v>
      </c>
      <c r="AV172" s="84" vm="1680">
        <v>5539</v>
      </c>
      <c r="AW172" s="84" vm="8252">
        <v>30835</v>
      </c>
      <c r="AX172" s="84" vm="1791">
        <v>48511</v>
      </c>
      <c r="AY172" s="3">
        <f xml:space="preserve"> - SUM( VfM_Metrics_2023_Consol_Source[[#This Row],[Interest capitalised]], VfM_Metrics_2023_Consol_Source[[#This Row],[Interest payable and financing costs]] )</f>
        <v>95705</v>
      </c>
      <c r="AZ172" s="84" vm="8047">
        <v>-11133</v>
      </c>
      <c r="BA172" s="83" vm="1683">
        <v>-84572</v>
      </c>
      <c r="BB172" s="8">
        <f xml:space="preserve"> IFERROR( ( VfM_Metrics_2023_Consol_Source[[#This Row],[Total Costs]] / VfM_Metrics_2023_Consol_Source[[#This Row],[Total units for costs]] ) * 1000, "n/a" )</f>
        <v>5397.0746628753604</v>
      </c>
      <c r="BC17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250543</v>
      </c>
      <c r="BD172" s="84" vm="8279">
        <v>62544</v>
      </c>
      <c r="BE172" s="83" vm="8205">
        <v>54551</v>
      </c>
      <c r="BF172" s="83" vm="8013">
        <v>37668</v>
      </c>
      <c r="BG172" s="83" vm="1684">
        <v>23432</v>
      </c>
      <c r="BH172" s="83" vm="1685">
        <v>1379</v>
      </c>
      <c r="BI172" s="83" vm="7866">
        <v>4989</v>
      </c>
      <c r="BJ172" s="83" vm="1681">
        <v>30835</v>
      </c>
      <c r="BK172" s="83" vm="1686">
        <v>1880</v>
      </c>
      <c r="BL172" s="83" vm="8278">
        <v>9168</v>
      </c>
      <c r="BM172" s="83" vm="1687">
        <v>4314</v>
      </c>
      <c r="BN172" s="83" vm="1688">
        <v>5182</v>
      </c>
      <c r="BO172" s="83" vm="1689">
        <v>14601</v>
      </c>
      <c r="BP172" s="5" vm="8183">
        <f xml:space="preserve"> VfM_Metrics_2023_Consol_Source[[#This Row],[Total social housing units owned and/or managed at period end]]</f>
        <v>46422</v>
      </c>
      <c r="BQ172" s="84" vm="8183">
        <v>46422</v>
      </c>
      <c r="BR172" s="7">
        <f xml:space="preserve"> IFERROR( VfM_Metrics_2023_Consol_Source[[#This Row],[SHL operating surplus / (deficit)]] / VfM_Metrics_2023_Consol_Source[[#This Row],[Turnover from social housing lettings]], "n/a" )</f>
        <v>0.26684309219425884</v>
      </c>
      <c r="BS172" s="5" vm="1690">
        <f xml:space="preserve"> VfM_Metrics_2023_Consol_Source[[#This Row],[Operating surplus/(deficit) (social housing lettings)]]</f>
        <v>85809</v>
      </c>
      <c r="BT172" s="84" vm="1690">
        <v>85809</v>
      </c>
      <c r="BU172" s="5" vm="1691">
        <f xml:space="preserve"> VfM_Metrics_2023_Consol_Source[[#This Row],[Turnover from social housing lettings]]</f>
        <v>321571</v>
      </c>
      <c r="BV172" s="84" vm="1691">
        <v>321571</v>
      </c>
      <c r="BW172" s="7">
        <f xml:space="preserve"> IFERROR( VfM_Metrics_2023_Consol_Source[[#This Row],[Net operating surplus]] / VfM_Metrics_2023_Consol_Source[[#This Row],[Overall turnover]], "n/a" )</f>
        <v>0.16077936172784577</v>
      </c>
      <c r="BX17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62516</v>
      </c>
      <c r="BY172" s="84" vm="8302">
        <v>100727</v>
      </c>
      <c r="BZ172" s="83" vm="1632">
        <v>38211</v>
      </c>
      <c r="CA172" s="83" vm="8011">
        <v>0</v>
      </c>
      <c r="CB172" s="5" vm="8216">
        <f xml:space="preserve"> VfM_Metrics_2023_Consol_Source[[#This Row],[Turnover (overall)]]</f>
        <v>388831</v>
      </c>
      <c r="CC172" s="84" vm="8216">
        <v>388831</v>
      </c>
      <c r="CD172" s="7">
        <f xml:space="preserve"> IFERROR( VfM_Metrics_2023_Consol_Source[[#This Row],[Operating surplus including from JVs]] / VfM_Metrics_2023_Consol_Source[[#This Row],[Net assets]], "n/a" )</f>
        <v>2.1920971860483661E-2</v>
      </c>
      <c r="CE172" s="5">
        <f xml:space="preserve"> SUM( VfM_Metrics_2023_Consol_Source[[#This Row],[Operating surplus/(deficit) (overall)3]], VfM_Metrics_2023_Consol_Source[[#This Row],[Share of operating surplus/(deficit) in joint ventures or associates]] )</f>
        <v>109137</v>
      </c>
      <c r="CF172" s="84" vm="1677">
        <v>100727</v>
      </c>
      <c r="CG172" s="83" vm="7128">
        <v>8410</v>
      </c>
      <c r="CH172" s="5" vm="1693">
        <f xml:space="preserve"> VfM_Metrics_2023_Consol_Source[[#This Row],[Total assets less current liabilities]]</f>
        <v>4978657</v>
      </c>
      <c r="CI172" s="84" vm="1693">
        <v>4978657</v>
      </c>
      <c r="CJ172" s="71" vm="1660">
        <f xml:space="preserve"> VfM_Metrics_2023_Consol_Source[[#This Row],[Total social housing units owned (Period end)]]</f>
        <v>45406</v>
      </c>
      <c r="CK172" s="103">
        <v>4.2970985779069257E-2</v>
      </c>
      <c r="CL172" s="6">
        <f xml:space="preserve"> -- ( VfM_Metrics_2023_Consol_Source[[#This Row],[% Supported housing (excl. HOP)]] &gt; 0.3 )</f>
        <v>0</v>
      </c>
      <c r="CM172" s="103">
        <v>7.1478888742130056E-2</v>
      </c>
      <c r="CN172" s="6">
        <f xml:space="preserve"> -- ( VfM_Metrics_2023_Consol_Source[[#This Row],[% Housing for older people]] &gt; 0.3 )</f>
        <v>0</v>
      </c>
      <c r="CO172" s="103">
        <f xml:space="preserve"> VfM_Metrics_2023_Consol_Source[[#This Row],[% Supported housing (excl. HOP)]] + VfM_Metrics_2023_Consol_Source[[#This Row],[% Housing for older people]]</f>
        <v>0.11444987452119931</v>
      </c>
      <c r="CP172" s="6">
        <f xml:space="preserve"> -- ( VfM_Metrics_2023_Consol_Source[[#This Row],[SH specialist in RSH analysis]] + VfM_Metrics_2023_Consol_Source[[#This Row],[OP specialist in RSH analysis]] &gt; 0 )</f>
        <v>0</v>
      </c>
      <c r="CQ172" s="10">
        <f xml:space="preserve"> -- ( VfM_Metrics_2023_Consol_Source[[#This Row],[% SH and OP]] &gt; 0.3 )</f>
        <v>0</v>
      </c>
      <c r="CR172" s="104" t="s">
        <v>143</v>
      </c>
      <c r="CS172" s="124" t="s">
        <v>144</v>
      </c>
      <c r="CT172" s="105"/>
      <c r="CU17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72" s="85">
        <v>0.47502487562189055</v>
      </c>
      <c r="CW172" s="85">
        <v>0.19610834715312328</v>
      </c>
      <c r="CX172" s="85">
        <v>2.211166390270868E-5</v>
      </c>
      <c r="CY172" s="85">
        <v>0.22606965174129354</v>
      </c>
      <c r="CZ172" s="85">
        <v>1.2824765063571034E-3</v>
      </c>
      <c r="DA172" s="85">
        <v>0.10122719734660034</v>
      </c>
      <c r="DB172" s="85">
        <v>2.211166390270868E-5</v>
      </c>
      <c r="DC172" s="85">
        <v>0</v>
      </c>
      <c r="DD172" s="85">
        <v>2.4322830292979546E-4</v>
      </c>
      <c r="DE172" s="13">
        <v>1.0708440695131161</v>
      </c>
    </row>
    <row r="173" spans="1:109" x14ac:dyDescent="0.25">
      <c r="A173" s="4" t="s" vm="201">
        <v>470</v>
      </c>
      <c r="B173" s="2" t="s" vm="163">
        <v>471</v>
      </c>
      <c r="C173" s="72" vm="496">
        <v>45016</v>
      </c>
      <c r="D173" s="7">
        <f>IFERROR( VfM_Metrics_2023_Consol_Source[[#This Row],[Reinvestment Spend]] / VfM_Metrics_2023_Consol_Source[[#This Row],[Net Book Value of Housing Properties]], "n/a" )</f>
        <v>2.7409958753242335E-2</v>
      </c>
      <c r="E17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3223</v>
      </c>
      <c r="F173" s="83" vm="637">
        <v>403</v>
      </c>
      <c r="G173" s="83" vm="737">
        <v>0</v>
      </c>
      <c r="H173" s="83" vm="9140">
        <v>2820</v>
      </c>
      <c r="I173" s="83" vm="9130">
        <v>0</v>
      </c>
      <c r="J173" s="83" vm="9183">
        <v>0</v>
      </c>
      <c r="K173" s="5">
        <f xml:space="preserve"> SUM( VfM_Metrics_2023_Consol_Source[[#This Row],[Tangible fixed assets: Housing properties at cost (Current period)]],VfM_Metrics_2023_Consol_Source[[#This Row],[Tangible fixed assets Housing properties at valuation (Current period)]] )</f>
        <v>117585</v>
      </c>
      <c r="L173" s="84" vm="9027">
        <v>117585</v>
      </c>
      <c r="M173" s="83">
        <v>0</v>
      </c>
      <c r="N173" s="7">
        <f xml:space="preserve"> IFERROR( VfM_Metrics_2023_Consol_Source[[#This Row],[Total social units developed or newly built units acquired in-year]] / VfM_Metrics_2023_Consol_Source[[#This Row],[Social housing units owned (period end)]], "n/a" )</f>
        <v>0</v>
      </c>
      <c r="O173" s="5">
        <f xml:space="preserve"> SUM( VfM_Metrics_2023_Consol_Source[[#This Row],[Total social units developed or newly built units acquired in-year (owned)]], VfM_Metrics_2023_Consol_Source[[#This Row],[Total social leasehold units developed or newly built units acquired in-year (owned)]] )</f>
        <v>0</v>
      </c>
      <c r="P173" s="84" vm="9128">
        <v>0</v>
      </c>
      <c r="Q173" s="83">
        <v>0</v>
      </c>
      <c r="R173" s="5">
        <f xml:space="preserve"> SUM( VfM_Metrics_2023_Consol_Source[[#This Row],[Total social housing units owned (Period end)]], VfM_Metrics_2023_Consol_Source[[#This Row],[Total social leasehold units owned (Period end)]] )</f>
        <v>1977</v>
      </c>
      <c r="S173" s="84" vm="9192">
        <v>1873</v>
      </c>
      <c r="T173" s="83" vm="9084">
        <v>104</v>
      </c>
      <c r="U173" s="86">
        <f xml:space="preserve"> IFERROR( VfM_Metrics_2023_Consol_Source[[#This Row],[Total non-social housing units developed or newly built units acquired (owned)]] / VfM_Metrics_2023_Consol_Source[[#This Row],[Total social and non-social housing units owned (Period end)]], "n/a" )</f>
        <v>1.2042147516307075E-2</v>
      </c>
      <c r="V17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24</v>
      </c>
      <c r="W173" s="83" vm="778">
        <v>16</v>
      </c>
      <c r="X173" s="83">
        <v>0</v>
      </c>
      <c r="Y173" s="83" vm="9083">
        <v>8</v>
      </c>
      <c r="Z17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1993</v>
      </c>
      <c r="AA173" s="84" vm="9118">
        <v>1873</v>
      </c>
      <c r="AB173" s="83" vm="9196">
        <v>104</v>
      </c>
      <c r="AC173" s="83" vm="638">
        <v>16</v>
      </c>
      <c r="AD173" s="83" vm="9024">
        <v>0</v>
      </c>
      <c r="AE173" s="7">
        <f xml:space="preserve"> IFERROR( VfM_Metrics_2023_Consol_Source[[#This Row],[Total Net Debt]] / VfM_Metrics_2023_Consol_Source[[#This Row],[Net Book Value of Housing Properties2]], "n/a" )</f>
        <v>-0.13409023259769529</v>
      </c>
      <c r="AF17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-15767</v>
      </c>
      <c r="AG173" s="84">
        <v>0</v>
      </c>
      <c r="AH173" s="83">
        <v>0</v>
      </c>
      <c r="AI173" s="83" vm="9023">
        <v>15767</v>
      </c>
      <c r="AJ173" s="83" vm="1675">
        <v>0</v>
      </c>
      <c r="AK173" s="83">
        <v>0</v>
      </c>
      <c r="AL173" s="5">
        <f xml:space="preserve"> SUM( VfM_Metrics_2023_Consol_Source[[#This Row],[Tangible fixed assets: Housing properties at cost (Current period)2]], VfM_Metrics_2023_Consol_Source[[#This Row],[Tangible fixed assets Housing properties at valuation (Current period)2]] )</f>
        <v>117585</v>
      </c>
      <c r="AM173" s="84" vm="9188">
        <v>117585</v>
      </c>
      <c r="AN173" s="83">
        <v>0</v>
      </c>
      <c r="AO173" s="87">
        <f xml:space="preserve"> IFERROR( VfM_Metrics_2023_Consol_Source[[#This Row],[EBITDA MRI]] / VfM_Metrics_2023_Consol_Source[[#This Row],[Total interest]], "n/a" )</f>
        <v>-28.438931297709924</v>
      </c>
      <c r="AP17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-7451</v>
      </c>
      <c r="AQ173" s="84" vm="9064">
        <v>-7484</v>
      </c>
      <c r="AR173" s="84" vm="730">
        <v>-185</v>
      </c>
      <c r="AS173" s="84">
        <v>0</v>
      </c>
      <c r="AT173" s="84" vm="641">
        <v>125</v>
      </c>
      <c r="AU173" s="84" vm="642">
        <v>0</v>
      </c>
      <c r="AV173" s="84" vm="603">
        <v>264</v>
      </c>
      <c r="AW173" s="84" vm="9054">
        <v>2820</v>
      </c>
      <c r="AX173" s="84" vm="643">
        <v>2529</v>
      </c>
      <c r="AY173" s="3">
        <f xml:space="preserve"> - SUM( VfM_Metrics_2023_Consol_Source[[#This Row],[Interest capitalised]], VfM_Metrics_2023_Consol_Source[[#This Row],[Interest payable and financing costs]] )</f>
        <v>262</v>
      </c>
      <c r="AZ173" s="84">
        <v>0</v>
      </c>
      <c r="BA173" s="83" vm="644">
        <v>-262</v>
      </c>
      <c r="BB173" s="8">
        <f xml:space="preserve"> IFERROR( ( VfM_Metrics_2023_Consol_Source[[#This Row],[Total Costs]] / VfM_Metrics_2023_Consol_Source[[#This Row],[Total units for costs]] ) * 1000, "n/a" )</f>
        <v>27800.320341697814</v>
      </c>
      <c r="BC17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52070</v>
      </c>
      <c r="BD173" s="84" vm="645">
        <v>9418</v>
      </c>
      <c r="BE173" s="83" vm="646">
        <v>8930</v>
      </c>
      <c r="BF173" s="83" vm="647">
        <v>3379</v>
      </c>
      <c r="BG173" s="83" vm="648">
        <v>0</v>
      </c>
      <c r="BH173" s="83" vm="649">
        <v>589</v>
      </c>
      <c r="BI173" s="83" vm="650">
        <v>0</v>
      </c>
      <c r="BJ173" s="83" vm="9184">
        <v>2820</v>
      </c>
      <c r="BK173" s="83" vm="651">
        <v>613</v>
      </c>
      <c r="BL173" s="83">
        <v>0</v>
      </c>
      <c r="BM173" s="83">
        <v>0</v>
      </c>
      <c r="BN173" s="83">
        <v>0</v>
      </c>
      <c r="BO173" s="83" vm="9044">
        <v>26321</v>
      </c>
      <c r="BP173" s="5" vm="9204">
        <f xml:space="preserve"> VfM_Metrics_2023_Consol_Source[[#This Row],[Total social housing units owned and/or managed at period end]]</f>
        <v>1873</v>
      </c>
      <c r="BQ173" s="84" vm="9204">
        <v>1873</v>
      </c>
      <c r="BR173" s="7">
        <f xml:space="preserve"> IFERROR( VfM_Metrics_2023_Consol_Source[[#This Row],[SHL operating surplus / (deficit)]] / VfM_Metrics_2023_Consol_Source[[#This Row],[Turnover from social housing lettings]], "n/a" )</f>
        <v>0.35897679500273139</v>
      </c>
      <c r="BS173" s="5" vm="654">
        <f xml:space="preserve"> VfM_Metrics_2023_Consol_Source[[#This Row],[Operating surplus/(deficit) (social housing lettings)]]</f>
        <v>15114</v>
      </c>
      <c r="BT173" s="84" vm="654">
        <v>15114</v>
      </c>
      <c r="BU173" s="5" vm="605">
        <f xml:space="preserve"> VfM_Metrics_2023_Consol_Source[[#This Row],[Turnover from social housing lettings]]</f>
        <v>42103</v>
      </c>
      <c r="BV173" s="84" vm="605">
        <v>42103</v>
      </c>
      <c r="BW173" s="7">
        <f xml:space="preserve"> IFERROR( VfM_Metrics_2023_Consol_Source[[#This Row],[Net operating surplus]] / VfM_Metrics_2023_Consol_Source[[#This Row],[Overall turnover]], "n/a" )</f>
        <v>-0.14421481071682604</v>
      </c>
      <c r="BX17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-7299</v>
      </c>
      <c r="BY173" s="84" vm="9040">
        <v>-7484</v>
      </c>
      <c r="BZ173" s="83" vm="640">
        <v>-185</v>
      </c>
      <c r="CA173" s="83">
        <v>0</v>
      </c>
      <c r="CB173" s="5" vm="655">
        <f xml:space="preserve"> VfM_Metrics_2023_Consol_Source[[#This Row],[Turnover (overall)]]</f>
        <v>50612</v>
      </c>
      <c r="CC173" s="84" vm="655">
        <v>50612</v>
      </c>
      <c r="CD173" s="7">
        <f xml:space="preserve"> IFERROR( VfM_Metrics_2023_Consol_Source[[#This Row],[Operating surplus including from JVs]] / VfM_Metrics_2023_Consol_Source[[#This Row],[Net assets]], "n/a" )</f>
        <v>-5.6700406085217286E-2</v>
      </c>
      <c r="CE173" s="5">
        <f xml:space="preserve"> SUM( VfM_Metrics_2023_Consol_Source[[#This Row],[Operating surplus/(deficit) (overall)3]], VfM_Metrics_2023_Consol_Source[[#This Row],[Share of operating surplus/(deficit) in joint ventures or associates]] )</f>
        <v>-7484</v>
      </c>
      <c r="CF173" s="84" vm="639">
        <v>-7484</v>
      </c>
      <c r="CG173" s="83">
        <v>0</v>
      </c>
      <c r="CH173" s="5" vm="963">
        <f xml:space="preserve"> VfM_Metrics_2023_Consol_Source[[#This Row],[Total assets less current liabilities]]</f>
        <v>131992</v>
      </c>
      <c r="CI173" s="84" vm="963">
        <v>131992</v>
      </c>
      <c r="CJ173" s="71" vm="9192">
        <f xml:space="preserve"> VfM_Metrics_2023_Consol_Source[[#This Row],[Total social housing units owned (Period end)]]</f>
        <v>1873</v>
      </c>
      <c r="CK173" s="103">
        <v>0</v>
      </c>
      <c r="CL173" s="6">
        <f xml:space="preserve"> -- ( VfM_Metrics_2023_Consol_Source[[#This Row],[% Supported housing (excl. HOP)]] &gt; 0.3 )</f>
        <v>0</v>
      </c>
      <c r="CM173" s="103">
        <v>0.60794780545670224</v>
      </c>
      <c r="CN173" s="6">
        <f xml:space="preserve"> -- ( VfM_Metrics_2023_Consol_Source[[#This Row],[% Housing for older people]] &gt; 0.3 )</f>
        <v>1</v>
      </c>
      <c r="CO173" s="103">
        <f xml:space="preserve"> VfM_Metrics_2023_Consol_Source[[#This Row],[% Supported housing (excl. HOP)]] + VfM_Metrics_2023_Consol_Source[[#This Row],[% Housing for older people]]</f>
        <v>0.60794780545670224</v>
      </c>
      <c r="CP173" s="6">
        <f xml:space="preserve"> -- ( VfM_Metrics_2023_Consol_Source[[#This Row],[SH specialist in RSH analysis]] + VfM_Metrics_2023_Consol_Source[[#This Row],[OP specialist in RSH analysis]] &gt; 0 )</f>
        <v>1</v>
      </c>
      <c r="CQ173" s="10">
        <f xml:space="preserve"> -- ( VfM_Metrics_2023_Consol_Source[[#This Row],[% SH and OP]] &gt; 0.3 )</f>
        <v>1</v>
      </c>
      <c r="CR173" s="104" t="s">
        <v>143</v>
      </c>
      <c r="CS173" s="124" t="s">
        <v>144</v>
      </c>
      <c r="CT173" s="105"/>
      <c r="CU17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73" s="85">
        <v>3.7100949094046591E-2</v>
      </c>
      <c r="CW173" s="85">
        <v>0.16134598792062121</v>
      </c>
      <c r="CX173" s="85">
        <v>0.22433132010353754</v>
      </c>
      <c r="CY173" s="85">
        <v>8.8869715271786026E-2</v>
      </c>
      <c r="CZ173" s="85">
        <v>6.9887834339948232E-2</v>
      </c>
      <c r="DA173" s="85">
        <v>7.2476272648835202E-2</v>
      </c>
      <c r="DB173" s="85">
        <v>8.1104400345125102E-2</v>
      </c>
      <c r="DC173" s="85">
        <v>0.16307161345987919</v>
      </c>
      <c r="DD173" s="85">
        <v>0.10181190681622088</v>
      </c>
      <c r="DE173" s="13">
        <v>0.97946148618383755</v>
      </c>
    </row>
    <row r="174" spans="1:109" x14ac:dyDescent="0.25">
      <c r="A174" s="4" t="s" vm="314">
        <v>472</v>
      </c>
      <c r="B174" s="2" t="s" vm="164">
        <v>473</v>
      </c>
      <c r="C174" s="72" vm="548">
        <v>45016</v>
      </c>
      <c r="D174" s="7">
        <f>IFERROR( VfM_Metrics_2023_Consol_Source[[#This Row],[Reinvestment Spend]] / VfM_Metrics_2023_Consol_Source[[#This Row],[Net Book Value of Housing Properties]], "n/a" )</f>
        <v>4.0164625990328225E-2</v>
      </c>
      <c r="E17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9759</v>
      </c>
      <c r="F174" s="83" vm="3828">
        <v>7373</v>
      </c>
      <c r="G174" s="83" vm="3829">
        <v>0</v>
      </c>
      <c r="H174" s="83" vm="3830">
        <v>2268</v>
      </c>
      <c r="I174" s="83" vm="3831">
        <v>118</v>
      </c>
      <c r="J174" s="83" vm="7443">
        <v>0</v>
      </c>
      <c r="K174" s="5">
        <f xml:space="preserve"> SUM( VfM_Metrics_2023_Consol_Source[[#This Row],[Tangible fixed assets: Housing properties at cost (Current period)]],VfM_Metrics_2023_Consol_Source[[#This Row],[Tangible fixed assets Housing properties at valuation (Current period)]] )</f>
        <v>242975</v>
      </c>
      <c r="L174" s="84" vm="3832">
        <v>242975</v>
      </c>
      <c r="M174" s="83">
        <v>0</v>
      </c>
      <c r="N174" s="7">
        <f xml:space="preserve"> IFERROR( VfM_Metrics_2023_Consol_Source[[#This Row],[Total social units developed or newly built units acquired in-year]] / VfM_Metrics_2023_Consol_Source[[#This Row],[Social housing units owned (period end)]], "n/a" )</f>
        <v>1.2779552715654952E-2</v>
      </c>
      <c r="O174" s="5">
        <f xml:space="preserve"> SUM( VfM_Metrics_2023_Consol_Source[[#This Row],[Total social units developed or newly built units acquired in-year (owned)]], VfM_Metrics_2023_Consol_Source[[#This Row],[Total social leasehold units developed or newly built units acquired in-year (owned)]] )</f>
        <v>40</v>
      </c>
      <c r="P174" s="84" vm="3833">
        <v>40</v>
      </c>
      <c r="Q174" s="83">
        <v>0</v>
      </c>
      <c r="R174" s="5">
        <f xml:space="preserve"> SUM( VfM_Metrics_2023_Consol_Source[[#This Row],[Total social housing units owned (Period end)]], VfM_Metrics_2023_Consol_Source[[#This Row],[Total social leasehold units owned (Period end)]] )</f>
        <v>3130</v>
      </c>
      <c r="S174" s="84" vm="3826">
        <v>3072</v>
      </c>
      <c r="T174" s="83" vm="3834">
        <v>58</v>
      </c>
      <c r="U174" s="86">
        <f xml:space="preserve"> IFERROR( VfM_Metrics_2023_Consol_Source[[#This Row],[Total non-social housing units developed or newly built units acquired (owned)]] / VfM_Metrics_2023_Consol_Source[[#This Row],[Total social and non-social housing units owned (Period end)]], "n/a" )</f>
        <v>0</v>
      </c>
      <c r="V17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74" s="83">
        <v>0</v>
      </c>
      <c r="X174" s="83">
        <v>0</v>
      </c>
      <c r="Y174" s="83">
        <v>0</v>
      </c>
      <c r="Z17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3131</v>
      </c>
      <c r="AA174" s="84" vm="3826">
        <v>3072</v>
      </c>
      <c r="AB174" s="83" vm="3834">
        <v>58</v>
      </c>
      <c r="AC174" s="83" vm="4564">
        <v>1</v>
      </c>
      <c r="AD174" s="83" vm="7441">
        <v>0</v>
      </c>
      <c r="AE174" s="7">
        <f xml:space="preserve"> IFERROR( VfM_Metrics_2023_Consol_Source[[#This Row],[Total Net Debt]] / VfM_Metrics_2023_Consol_Source[[#This Row],[Net Book Value of Housing Properties2]], "n/a" )</f>
        <v>0.49161024796789793</v>
      </c>
      <c r="AF17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119449</v>
      </c>
      <c r="AG174" s="84" vm="3835">
        <v>1807</v>
      </c>
      <c r="AH174" s="83" vm="7631">
        <v>133020</v>
      </c>
      <c r="AI174" s="83" vm="3836">
        <v>15378</v>
      </c>
      <c r="AJ174" s="83" vm="3837">
        <v>0</v>
      </c>
      <c r="AK174" s="83" vm="3838">
        <v>0</v>
      </c>
      <c r="AL174" s="5">
        <f xml:space="preserve"> SUM( VfM_Metrics_2023_Consol_Source[[#This Row],[Tangible fixed assets: Housing properties at cost (Current period)2]], VfM_Metrics_2023_Consol_Source[[#This Row],[Tangible fixed assets Housing properties at valuation (Current period)2]] )</f>
        <v>242975</v>
      </c>
      <c r="AM174" s="84" vm="3832">
        <v>242975</v>
      </c>
      <c r="AN174" s="83">
        <v>0</v>
      </c>
      <c r="AO174" s="87">
        <f xml:space="preserve"> IFERROR( VfM_Metrics_2023_Consol_Source[[#This Row],[EBITDA MRI]] / VfM_Metrics_2023_Consol_Source[[#This Row],[Total interest]], "n/a" )</f>
        <v>1.3446814521825117</v>
      </c>
      <c r="AP17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9519</v>
      </c>
      <c r="AQ174" s="84" vm="3153">
        <v>11877</v>
      </c>
      <c r="AR174" s="84" vm="3840">
        <v>2037</v>
      </c>
      <c r="AS174" s="84">
        <v>0</v>
      </c>
      <c r="AT174" s="84" vm="3841">
        <v>850</v>
      </c>
      <c r="AU174" s="84" vm="3842">
        <v>0</v>
      </c>
      <c r="AV174" s="84" vm="3843">
        <v>200</v>
      </c>
      <c r="AW174" s="84" vm="3844">
        <v>2268</v>
      </c>
      <c r="AX174" s="84" vm="3845">
        <v>2597</v>
      </c>
      <c r="AY174" s="3">
        <f xml:space="preserve"> - SUM( VfM_Metrics_2023_Consol_Source[[#This Row],[Interest capitalised]], VfM_Metrics_2023_Consol_Source[[#This Row],[Interest payable and financing costs]] )</f>
        <v>7079</v>
      </c>
      <c r="AZ174" s="84" vm="3846">
        <v>-118</v>
      </c>
      <c r="BA174" s="83" vm="3847">
        <v>-6961</v>
      </c>
      <c r="BB174" s="8">
        <f xml:space="preserve"> IFERROR( ( VfM_Metrics_2023_Consol_Source[[#This Row],[Total Costs]] / VfM_Metrics_2023_Consol_Source[[#This Row],[Total units for costs]] ) * 1000, "n/a" )</f>
        <v>6288.736979166667</v>
      </c>
      <c r="BC17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19319</v>
      </c>
      <c r="BD174" s="84" vm="3848">
        <v>4483</v>
      </c>
      <c r="BE174" s="83" vm="3849">
        <v>1993</v>
      </c>
      <c r="BF174" s="83" vm="3850">
        <v>1713</v>
      </c>
      <c r="BG174" s="83" vm="3851">
        <v>768</v>
      </c>
      <c r="BH174" s="83" vm="3852">
        <v>0</v>
      </c>
      <c r="BI174" s="83" vm="7725">
        <v>0</v>
      </c>
      <c r="BJ174" s="83" vm="3844">
        <v>2268</v>
      </c>
      <c r="BK174" s="83" vm="3853">
        <v>1496</v>
      </c>
      <c r="BL174" s="83">
        <v>0</v>
      </c>
      <c r="BM174" s="83" vm="3854">
        <v>1151</v>
      </c>
      <c r="BN174" s="83" vm="7195">
        <v>5447</v>
      </c>
      <c r="BO174" s="83">
        <v>0</v>
      </c>
      <c r="BP174" s="5" vm="3827">
        <f xml:space="preserve"> VfM_Metrics_2023_Consol_Source[[#This Row],[Total social housing units owned and/or managed at period end]]</f>
        <v>3072</v>
      </c>
      <c r="BQ174" s="84" vm="3827">
        <v>3072</v>
      </c>
      <c r="BR174" s="7">
        <f xml:space="preserve"> IFERROR( VfM_Metrics_2023_Consol_Source[[#This Row],[SHL operating surplus / (deficit)]] / VfM_Metrics_2023_Consol_Source[[#This Row],[Turnover from social housing lettings]], "n/a" )</f>
        <v>0.38936965054144795</v>
      </c>
      <c r="BS174" s="5" vm="3855">
        <f xml:space="preserve"> VfM_Metrics_2023_Consol_Source[[#This Row],[Operating surplus/(deficit) (social housing lettings)]]</f>
        <v>8234</v>
      </c>
      <c r="BT174" s="84" vm="3855">
        <v>8234</v>
      </c>
      <c r="BU174" s="5" vm="2689">
        <f xml:space="preserve"> VfM_Metrics_2023_Consol_Source[[#This Row],[Turnover from social housing lettings]]</f>
        <v>21147</v>
      </c>
      <c r="BV174" s="84" vm="2689">
        <v>21147</v>
      </c>
      <c r="BW174" s="7">
        <f xml:space="preserve"> IFERROR( VfM_Metrics_2023_Consol_Source[[#This Row],[Net operating surplus]] / VfM_Metrics_2023_Consol_Source[[#This Row],[Overall turnover]], "n/a" )</f>
        <v>0.31102822644372097</v>
      </c>
      <c r="BX17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9840</v>
      </c>
      <c r="BY174" s="84" vm="7067">
        <v>11877</v>
      </c>
      <c r="BZ174" s="83" vm="3840">
        <v>2037</v>
      </c>
      <c r="CA174" s="83">
        <v>0</v>
      </c>
      <c r="CB174" s="5" vm="7656">
        <f xml:space="preserve"> VfM_Metrics_2023_Consol_Source[[#This Row],[Turnover (overall)]]</f>
        <v>31637</v>
      </c>
      <c r="CC174" s="84" vm="7656">
        <v>31637</v>
      </c>
      <c r="CD174" s="7">
        <f xml:space="preserve"> IFERROR( VfM_Metrics_2023_Consol_Source[[#This Row],[Operating surplus including from JVs]] / VfM_Metrics_2023_Consol_Source[[#This Row],[Net assets]], "n/a" )</f>
        <v>4.5385241485251804E-2</v>
      </c>
      <c r="CE174" s="5">
        <f xml:space="preserve"> SUM( VfM_Metrics_2023_Consol_Source[[#This Row],[Operating surplus/(deficit) (overall)3]], VfM_Metrics_2023_Consol_Source[[#This Row],[Share of operating surplus/(deficit) in joint ventures or associates]] )</f>
        <v>11877</v>
      </c>
      <c r="CF174" s="84" vm="3839">
        <v>11877</v>
      </c>
      <c r="CG174" s="83">
        <v>0</v>
      </c>
      <c r="CH174" s="5" vm="3856">
        <f xml:space="preserve"> VfM_Metrics_2023_Consol_Source[[#This Row],[Total assets less current liabilities]]</f>
        <v>261693</v>
      </c>
      <c r="CI174" s="84" vm="3856">
        <v>261693</v>
      </c>
      <c r="CJ174" s="71" vm="3826">
        <f xml:space="preserve"> VfM_Metrics_2023_Consol_Source[[#This Row],[Total social housing units owned (Period end)]]</f>
        <v>3072</v>
      </c>
      <c r="CK174" s="103">
        <v>6.2073448163795904E-2</v>
      </c>
      <c r="CL174" s="6">
        <f xml:space="preserve"> -- ( VfM_Metrics_2023_Consol_Source[[#This Row],[% Supported housing (excl. HOP)]] &gt; 0.3 )</f>
        <v>0</v>
      </c>
      <c r="CM174" s="103">
        <v>6.9873253168670782E-2</v>
      </c>
      <c r="CN174" s="6">
        <f xml:space="preserve"> -- ( VfM_Metrics_2023_Consol_Source[[#This Row],[% Housing for older people]] &gt; 0.3 )</f>
        <v>0</v>
      </c>
      <c r="CO174" s="103">
        <f xml:space="preserve"> VfM_Metrics_2023_Consol_Source[[#This Row],[% Supported housing (excl. HOP)]] + VfM_Metrics_2023_Consol_Source[[#This Row],[% Housing for older people]]</f>
        <v>0.13194670133246669</v>
      </c>
      <c r="CP174" s="6">
        <f xml:space="preserve"> -- ( VfM_Metrics_2023_Consol_Source[[#This Row],[SH specialist in RSH analysis]] + VfM_Metrics_2023_Consol_Source[[#This Row],[OP specialist in RSH analysis]] &gt; 0 )</f>
        <v>0</v>
      </c>
      <c r="CQ174" s="10">
        <f xml:space="preserve"> -- ( VfM_Metrics_2023_Consol_Source[[#This Row],[% SH and OP]] &gt; 0.3 )</f>
        <v>0</v>
      </c>
      <c r="CR174" s="104" t="s">
        <v>143</v>
      </c>
      <c r="CS174" s="124" t="s">
        <v>144</v>
      </c>
      <c r="CT174" s="105"/>
      <c r="CU17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174" s="85">
        <v>0</v>
      </c>
      <c r="CW174" s="85">
        <v>0</v>
      </c>
      <c r="CX174" s="85">
        <v>0</v>
      </c>
      <c r="CY174" s="85">
        <v>0</v>
      </c>
      <c r="CZ174" s="85">
        <v>0</v>
      </c>
      <c r="DA174" s="85">
        <v>1</v>
      </c>
      <c r="DB174" s="85">
        <v>0</v>
      </c>
      <c r="DC174" s="85">
        <v>0</v>
      </c>
      <c r="DD174" s="85">
        <v>0</v>
      </c>
      <c r="DE174" s="13">
        <v>1.0113701298544711</v>
      </c>
    </row>
    <row r="175" spans="1:109" x14ac:dyDescent="0.25">
      <c r="A175" s="4" t="s" vm="378">
        <v>474</v>
      </c>
      <c r="B175" s="2" t="s" vm="165">
        <v>475</v>
      </c>
      <c r="C175" s="72" vm="530">
        <v>45016</v>
      </c>
      <c r="D175" s="7">
        <f>IFERROR( VfM_Metrics_2023_Consol_Source[[#This Row],[Reinvestment Spend]] / VfM_Metrics_2023_Consol_Source[[#This Row],[Net Book Value of Housing Properties]], "n/a" )</f>
        <v>6.085748748126759E-2</v>
      </c>
      <c r="E17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14985</v>
      </c>
      <c r="F175" s="83" vm="7004">
        <v>7814</v>
      </c>
      <c r="G175" s="83" vm="6115">
        <v>0</v>
      </c>
      <c r="H175" s="83" vm="6116">
        <v>7007</v>
      </c>
      <c r="I175" s="83" vm="6117">
        <v>164</v>
      </c>
      <c r="J175" s="83" vm="6118">
        <v>0</v>
      </c>
      <c r="K175" s="5">
        <f xml:space="preserve"> SUM( VfM_Metrics_2023_Consol_Source[[#This Row],[Tangible fixed assets: Housing properties at cost (Current period)]],VfM_Metrics_2023_Consol_Source[[#This Row],[Tangible fixed assets Housing properties at valuation (Current period)]] )</f>
        <v>246231</v>
      </c>
      <c r="L175" s="84" vm="6119">
        <v>246231</v>
      </c>
      <c r="M175" s="83" vm="6120">
        <v>0</v>
      </c>
      <c r="N175" s="7">
        <f xml:space="preserve"> IFERROR( VfM_Metrics_2023_Consol_Source[[#This Row],[Total social units developed or newly built units acquired in-year]] / VfM_Metrics_2023_Consol_Source[[#This Row],[Social housing units owned (period end)]], "n/a" )</f>
        <v>1.4523498694516971E-2</v>
      </c>
      <c r="O175" s="5">
        <f xml:space="preserve"> SUM( VfM_Metrics_2023_Consol_Source[[#This Row],[Total social units developed or newly built units acquired in-year (owned)]], VfM_Metrics_2023_Consol_Source[[#This Row],[Total social leasehold units developed or newly built units acquired in-year (owned)]] )</f>
        <v>89</v>
      </c>
      <c r="P175" s="84" vm="6121">
        <v>89</v>
      </c>
      <c r="Q175" s="83" vm="6122">
        <v>0</v>
      </c>
      <c r="R175" s="5">
        <f xml:space="preserve"> SUM( VfM_Metrics_2023_Consol_Source[[#This Row],[Total social housing units owned (Period end)]], VfM_Metrics_2023_Consol_Source[[#This Row],[Total social leasehold units owned (Period end)]] )</f>
        <v>6128</v>
      </c>
      <c r="S175" s="84" vm="6113">
        <v>6040</v>
      </c>
      <c r="T175" s="83" vm="6123">
        <v>88</v>
      </c>
      <c r="U175" s="86">
        <f xml:space="preserve"> IFERROR( VfM_Metrics_2023_Consol_Source[[#This Row],[Total non-social housing units developed or newly built units acquired (owned)]] / VfM_Metrics_2023_Consol_Source[[#This Row],[Total social and non-social housing units owned (Period end)]], "n/a" )</f>
        <v>0</v>
      </c>
      <c r="V17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75" s="83" vm="6124">
        <v>0</v>
      </c>
      <c r="X175" s="83" vm="6125">
        <v>0</v>
      </c>
      <c r="Y175" s="83" vm="6126">
        <v>0</v>
      </c>
      <c r="Z17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6132</v>
      </c>
      <c r="AA175" s="84" vm="6113">
        <v>6040</v>
      </c>
      <c r="AB175" s="83" vm="6290">
        <v>88</v>
      </c>
      <c r="AC175" s="83" vm="6127">
        <v>4</v>
      </c>
      <c r="AD175" s="83" vm="6128">
        <v>0</v>
      </c>
      <c r="AE175" s="7">
        <f xml:space="preserve"> IFERROR( VfM_Metrics_2023_Consol_Source[[#This Row],[Total Net Debt]] / VfM_Metrics_2023_Consol_Source[[#This Row],[Net Book Value of Housing Properties2]], "n/a" )</f>
        <v>0.61538555259085981</v>
      </c>
      <c r="AF17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151527</v>
      </c>
      <c r="AG175" s="84" vm="6129">
        <v>0</v>
      </c>
      <c r="AH175" s="83" vm="6130">
        <v>172537</v>
      </c>
      <c r="AI175" s="83" vm="7024">
        <v>21010</v>
      </c>
      <c r="AJ175" s="83" vm="6131">
        <v>0</v>
      </c>
      <c r="AK175" s="83" vm="6132">
        <v>0</v>
      </c>
      <c r="AL175" s="5">
        <f xml:space="preserve"> SUM( VfM_Metrics_2023_Consol_Source[[#This Row],[Tangible fixed assets: Housing properties at cost (Current period)2]], VfM_Metrics_2023_Consol_Source[[#This Row],[Tangible fixed assets Housing properties at valuation (Current period)2]] )</f>
        <v>246231</v>
      </c>
      <c r="AM175" s="84" vm="6119">
        <v>246231</v>
      </c>
      <c r="AN175" s="83" vm="6120">
        <v>0</v>
      </c>
      <c r="AO175" s="87">
        <f xml:space="preserve"> IFERROR( VfM_Metrics_2023_Consol_Source[[#This Row],[EBITDA MRI]] / VfM_Metrics_2023_Consol_Source[[#This Row],[Total interest]], "n/a" )</f>
        <v>0.94033283723447436</v>
      </c>
      <c r="AP17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6950</v>
      </c>
      <c r="AQ175" s="84" vm="6133">
        <v>8906</v>
      </c>
      <c r="AR175" s="84" vm="6134">
        <v>606</v>
      </c>
      <c r="AS175" s="84" vm="6135">
        <v>-566</v>
      </c>
      <c r="AT175" s="84" vm="6136">
        <v>308</v>
      </c>
      <c r="AU175" s="84" vm="6137">
        <v>0</v>
      </c>
      <c r="AV175" s="84" vm="7006">
        <v>328</v>
      </c>
      <c r="AW175" s="84" vm="6138">
        <v>7007</v>
      </c>
      <c r="AX175" s="84" vm="6139">
        <v>5071</v>
      </c>
      <c r="AY175" s="3">
        <f xml:space="preserve"> - SUM( VfM_Metrics_2023_Consol_Source[[#This Row],[Interest capitalised]], VfM_Metrics_2023_Consol_Source[[#This Row],[Interest payable and financing costs]] )</f>
        <v>7391</v>
      </c>
      <c r="AZ175" s="84" vm="6140">
        <v>-164</v>
      </c>
      <c r="BA175" s="83" vm="6141">
        <v>-7227</v>
      </c>
      <c r="BB175" s="8">
        <f xml:space="preserve"> IFERROR( ( VfM_Metrics_2023_Consol_Source[[#This Row],[Total Costs]] / VfM_Metrics_2023_Consol_Source[[#This Row],[Total units for costs]] ) * 1000, "n/a" )</f>
        <v>4251.1589403973512</v>
      </c>
      <c r="BC17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25677</v>
      </c>
      <c r="BD175" s="84" vm="6142">
        <v>8003</v>
      </c>
      <c r="BE175" s="83" vm="6885">
        <v>2678</v>
      </c>
      <c r="BF175" s="83" vm="6143">
        <v>4232</v>
      </c>
      <c r="BG175" s="83" vm="6144">
        <v>1349</v>
      </c>
      <c r="BH175" s="83" vm="6145">
        <v>659</v>
      </c>
      <c r="BI175" s="83" vm="6146">
        <v>0</v>
      </c>
      <c r="BJ175" s="83" vm="6138">
        <v>7007</v>
      </c>
      <c r="BK175" s="83" vm="6883">
        <v>0</v>
      </c>
      <c r="BL175" s="83" vm="6147">
        <v>0</v>
      </c>
      <c r="BM175" s="83" vm="6148">
        <v>0</v>
      </c>
      <c r="BN175" s="83" vm="6149">
        <v>10</v>
      </c>
      <c r="BO175" s="83" vm="6150">
        <v>1739</v>
      </c>
      <c r="BP175" s="5" vm="6114">
        <f xml:space="preserve"> VfM_Metrics_2023_Consol_Source[[#This Row],[Total social housing units owned and/or managed at period end]]</f>
        <v>6040</v>
      </c>
      <c r="BQ175" s="84" vm="6114">
        <v>6040</v>
      </c>
      <c r="BR175" s="7">
        <f xml:space="preserve"> IFERROR( VfM_Metrics_2023_Consol_Source[[#This Row],[SHL operating surplus / (deficit)]] / VfM_Metrics_2023_Consol_Source[[#This Row],[Turnover from social housing lettings]], "n/a" )</f>
        <v>0.31006040137689161</v>
      </c>
      <c r="BS175" s="5" vm="6900">
        <f xml:space="preserve"> VfM_Metrics_2023_Consol_Source[[#This Row],[Operating surplus/(deficit) (social housing lettings)]]</f>
        <v>9548</v>
      </c>
      <c r="BT175" s="84" vm="6900">
        <v>9548</v>
      </c>
      <c r="BU175" s="5" vm="6151">
        <f xml:space="preserve"> VfM_Metrics_2023_Consol_Source[[#This Row],[Turnover from social housing lettings]]</f>
        <v>30794</v>
      </c>
      <c r="BV175" s="84" vm="6151">
        <v>30794</v>
      </c>
      <c r="BW175" s="7">
        <f xml:space="preserve"> IFERROR( VfM_Metrics_2023_Consol_Source[[#This Row],[Net operating surplus]] / VfM_Metrics_2023_Consol_Source[[#This Row],[Overall turnover]], "n/a" )</f>
        <v>0.24028402623448425</v>
      </c>
      <c r="BX17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8866</v>
      </c>
      <c r="BY175" s="84" vm="6133">
        <v>8906</v>
      </c>
      <c r="BZ175" s="83" vm="6134">
        <v>606</v>
      </c>
      <c r="CA175" s="83" vm="6135">
        <v>-566</v>
      </c>
      <c r="CB175" s="5" vm="6152">
        <f xml:space="preserve"> VfM_Metrics_2023_Consol_Source[[#This Row],[Turnover (overall)]]</f>
        <v>36898</v>
      </c>
      <c r="CC175" s="84" vm="6152">
        <v>36898</v>
      </c>
      <c r="CD175" s="7">
        <f xml:space="preserve"> IFERROR( VfM_Metrics_2023_Consol_Source[[#This Row],[Operating surplus including from JVs]] / VfM_Metrics_2023_Consol_Source[[#This Row],[Net assets]], "n/a" )</f>
        <v>3.2006612639485364E-2</v>
      </c>
      <c r="CE175" s="5">
        <f xml:space="preserve"> SUM( VfM_Metrics_2023_Consol_Source[[#This Row],[Operating surplus/(deficit) (overall)3]], VfM_Metrics_2023_Consol_Source[[#This Row],[Share of operating surplus/(deficit) in joint ventures or associates]] )</f>
        <v>8906</v>
      </c>
      <c r="CF175" s="84" vm="6133">
        <v>8906</v>
      </c>
      <c r="CG175" s="83" vm="6154">
        <v>0</v>
      </c>
      <c r="CH175" s="5" vm="6153">
        <f xml:space="preserve"> VfM_Metrics_2023_Consol_Source[[#This Row],[Total assets less current liabilities]]</f>
        <v>278255</v>
      </c>
      <c r="CI175" s="84" vm="6153">
        <v>278255</v>
      </c>
      <c r="CJ175" s="71" vm="6113">
        <f xml:space="preserve"> VfM_Metrics_2023_Consol_Source[[#This Row],[Total social housing units owned (Period end)]]</f>
        <v>6040</v>
      </c>
      <c r="CK175" s="103">
        <v>0.31937779248717524</v>
      </c>
      <c r="CL175" s="6">
        <f xml:space="preserve"> -- ( VfM_Metrics_2023_Consol_Source[[#This Row],[% Supported housing (excl. HOP)]] &gt; 0.3 )</f>
        <v>1</v>
      </c>
      <c r="CM175" s="103">
        <v>0</v>
      </c>
      <c r="CN175" s="6">
        <f xml:space="preserve"> -- ( VfM_Metrics_2023_Consol_Source[[#This Row],[% Housing for older people]] &gt; 0.3 )</f>
        <v>0</v>
      </c>
      <c r="CO175" s="103">
        <f xml:space="preserve"> VfM_Metrics_2023_Consol_Source[[#This Row],[% Supported housing (excl. HOP)]] + VfM_Metrics_2023_Consol_Source[[#This Row],[% Housing for older people]]</f>
        <v>0.31937779248717524</v>
      </c>
      <c r="CP175" s="6">
        <f xml:space="preserve"> -- ( VfM_Metrics_2023_Consol_Source[[#This Row],[SH specialist in RSH analysis]] + VfM_Metrics_2023_Consol_Source[[#This Row],[OP specialist in RSH analysis]] &gt; 0 )</f>
        <v>1</v>
      </c>
      <c r="CQ175" s="10">
        <f xml:space="preserve"> -- ( VfM_Metrics_2023_Consol_Source[[#This Row],[% SH and OP]] &gt; 0.3 )</f>
        <v>1</v>
      </c>
      <c r="CR175" s="104" t="s">
        <v>143</v>
      </c>
      <c r="CS175" s="124"/>
      <c r="CT175" s="105" t="s">
        <v>151</v>
      </c>
      <c r="CU17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75" s="85">
        <v>0</v>
      </c>
      <c r="CW175" s="85">
        <v>0</v>
      </c>
      <c r="CX175" s="85">
        <v>0</v>
      </c>
      <c r="CY175" s="85">
        <v>0</v>
      </c>
      <c r="CZ175" s="85">
        <v>1</v>
      </c>
      <c r="DA175" s="85">
        <v>0</v>
      </c>
      <c r="DB175" s="85">
        <v>0</v>
      </c>
      <c r="DC175" s="85">
        <v>0</v>
      </c>
      <c r="DD175" s="85">
        <v>0</v>
      </c>
      <c r="DE175" s="13">
        <v>0.96459033333600952</v>
      </c>
    </row>
    <row r="176" spans="1:109" x14ac:dyDescent="0.25">
      <c r="A176" s="4" t="s" vm="248">
        <v>476</v>
      </c>
      <c r="B176" s="2" t="s" vm="166">
        <v>477</v>
      </c>
      <c r="C176" s="72" vm="545">
        <v>45016</v>
      </c>
      <c r="D176" s="7">
        <f>IFERROR( VfM_Metrics_2023_Consol_Source[[#This Row],[Reinvestment Spend]] / VfM_Metrics_2023_Consol_Source[[#This Row],[Net Book Value of Housing Properties]], "n/a" )</f>
        <v>8.3942378985276983E-2</v>
      </c>
      <c r="E17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317000</v>
      </c>
      <c r="F176" s="83" vm="1696">
        <v>234600</v>
      </c>
      <c r="G176" s="83" vm="1697">
        <v>0</v>
      </c>
      <c r="H176" s="83" vm="7127">
        <v>73800</v>
      </c>
      <c r="I176" s="83" vm="8008">
        <v>8600</v>
      </c>
      <c r="J176" s="83" vm="1699">
        <v>0</v>
      </c>
      <c r="K176" s="5">
        <f xml:space="preserve"> SUM( VfM_Metrics_2023_Consol_Source[[#This Row],[Tangible fixed assets: Housing properties at cost (Current period)]],VfM_Metrics_2023_Consol_Source[[#This Row],[Tangible fixed assets Housing properties at valuation (Current period)]] )</f>
        <v>3776400</v>
      </c>
      <c r="L176" s="84" vm="1700">
        <v>3776400</v>
      </c>
      <c r="M176" s="83" vm="1701">
        <v>0</v>
      </c>
      <c r="N176" s="7">
        <f xml:space="preserve"> IFERROR( VfM_Metrics_2023_Consol_Source[[#This Row],[Total social units developed or newly built units acquired in-year]] / VfM_Metrics_2023_Consol_Source[[#This Row],[Social housing units owned (period end)]], "n/a" )</f>
        <v>8.0557030005932503E-3</v>
      </c>
      <c r="O176" s="5">
        <f xml:space="preserve"> SUM( VfM_Metrics_2023_Consol_Source[[#This Row],[Total social units developed or newly built units acquired in-year (owned)]], VfM_Metrics_2023_Consol_Source[[#This Row],[Total social leasehold units developed or newly built units acquired in-year (owned)]] )</f>
        <v>516</v>
      </c>
      <c r="P176" s="84" vm="1702">
        <v>516</v>
      </c>
      <c r="Q176" s="83" vm="1703">
        <v>0</v>
      </c>
      <c r="R176" s="5">
        <f xml:space="preserve"> SUM( VfM_Metrics_2023_Consol_Source[[#This Row],[Total social housing units owned (Period end)]], VfM_Metrics_2023_Consol_Source[[#This Row],[Total social leasehold units owned (Period end)]] )</f>
        <v>64054</v>
      </c>
      <c r="S176" s="84" vm="1694">
        <v>60576</v>
      </c>
      <c r="T176" s="83" vm="8345">
        <v>3478</v>
      </c>
      <c r="U176" s="86">
        <f xml:space="preserve"> IFERROR( VfM_Metrics_2023_Consol_Source[[#This Row],[Total non-social housing units developed or newly built units acquired (owned)]] / VfM_Metrics_2023_Consol_Source[[#This Row],[Total social and non-social housing units owned (Period end)]], "n/a" )</f>
        <v>4.7818569804208661E-3</v>
      </c>
      <c r="V17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307</v>
      </c>
      <c r="W176" s="83" vm="8180">
        <v>0</v>
      </c>
      <c r="X176" s="83" vm="1704">
        <v>10</v>
      </c>
      <c r="Y176" s="83" vm="1705">
        <v>297</v>
      </c>
      <c r="Z17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64201</v>
      </c>
      <c r="AA176" s="84" vm="1694">
        <v>60576</v>
      </c>
      <c r="AB176" s="83" vm="8330">
        <v>3478</v>
      </c>
      <c r="AC176" s="83" vm="1706">
        <v>9</v>
      </c>
      <c r="AD176" s="83" vm="1707">
        <v>138</v>
      </c>
      <c r="AE176" s="7">
        <f xml:space="preserve"> IFERROR( VfM_Metrics_2023_Consol_Source[[#This Row],[Total Net Debt]] / VfM_Metrics_2023_Consol_Source[[#This Row],[Net Book Value of Housing Properties2]], "n/a" )</f>
        <v>0.38181866327719521</v>
      </c>
      <c r="AF17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1441900</v>
      </c>
      <c r="AG176" s="84" vm="1733">
        <v>78400</v>
      </c>
      <c r="AH176" s="83" vm="8218">
        <v>1417100</v>
      </c>
      <c r="AI176" s="83" vm="1708">
        <v>53600</v>
      </c>
      <c r="AJ176" s="83" vm="7828">
        <v>0</v>
      </c>
      <c r="AK176" s="83" vm="8042">
        <v>0</v>
      </c>
      <c r="AL176" s="5">
        <f xml:space="preserve"> SUM( VfM_Metrics_2023_Consol_Source[[#This Row],[Tangible fixed assets: Housing properties at cost (Current period)2]], VfM_Metrics_2023_Consol_Source[[#This Row],[Tangible fixed assets Housing properties at valuation (Current period)2]] )</f>
        <v>3776400</v>
      </c>
      <c r="AM176" s="84" vm="1700">
        <v>3776400</v>
      </c>
      <c r="AN176" s="83" vm="1701">
        <v>0</v>
      </c>
      <c r="AO176" s="87">
        <f xml:space="preserve"> IFERROR( VfM_Metrics_2023_Consol_Source[[#This Row],[EBITDA MRI]] / VfM_Metrics_2023_Consol_Source[[#This Row],[Total interest]], "n/a" )</f>
        <v>1.0687830687830688</v>
      </c>
      <c r="AP17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60600</v>
      </c>
      <c r="AQ176" s="84" vm="8277">
        <v>98500</v>
      </c>
      <c r="AR176" s="84" vm="1710">
        <v>10800</v>
      </c>
      <c r="AS176" s="84" vm="1435">
        <v>0</v>
      </c>
      <c r="AT176" s="84" vm="1712">
        <v>16600</v>
      </c>
      <c r="AU176" s="84" vm="1713">
        <v>0</v>
      </c>
      <c r="AV176" s="84" vm="8150">
        <v>800</v>
      </c>
      <c r="AW176" s="84" vm="2949">
        <v>73800</v>
      </c>
      <c r="AX176" s="84" vm="1715">
        <v>62500</v>
      </c>
      <c r="AY176" s="3">
        <f xml:space="preserve"> - SUM( VfM_Metrics_2023_Consol_Source[[#This Row],[Interest capitalised]], VfM_Metrics_2023_Consol_Source[[#This Row],[Interest payable and financing costs]] )</f>
        <v>56700</v>
      </c>
      <c r="AZ176" s="84" vm="1716">
        <v>-14000</v>
      </c>
      <c r="BA176" s="83" vm="8178">
        <v>-42700</v>
      </c>
      <c r="BB176" s="8">
        <f xml:space="preserve"> IFERROR( ( VfM_Metrics_2023_Consol_Source[[#This Row],[Total Costs]] / VfM_Metrics_2023_Consol_Source[[#This Row],[Total units for costs]] ) * 1000, "n/a" )</f>
        <v>5140.9099888062165</v>
      </c>
      <c r="BC17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312300</v>
      </c>
      <c r="BD176" s="84" vm="7126">
        <v>86100</v>
      </c>
      <c r="BE176" s="83" vm="8246">
        <v>28800</v>
      </c>
      <c r="BF176" s="83" vm="8045">
        <v>60100</v>
      </c>
      <c r="BG176" s="83" vm="2741">
        <v>40500</v>
      </c>
      <c r="BH176" s="83" vm="8213">
        <v>3100</v>
      </c>
      <c r="BI176" s="83" vm="1717">
        <v>0</v>
      </c>
      <c r="BJ176" s="83" vm="1714">
        <v>73800</v>
      </c>
      <c r="BK176" s="83" vm="1718">
        <v>0</v>
      </c>
      <c r="BL176" s="83" vm="8240">
        <v>1200</v>
      </c>
      <c r="BM176" s="83" vm="8037">
        <v>0</v>
      </c>
      <c r="BN176" s="83" vm="1720">
        <v>5500</v>
      </c>
      <c r="BO176" s="83" vm="8175">
        <v>13200</v>
      </c>
      <c r="BP176" s="5" vm="1695">
        <f xml:space="preserve"> VfM_Metrics_2023_Consol_Source[[#This Row],[Total social housing units owned and/or managed at period end]]</f>
        <v>60748</v>
      </c>
      <c r="BQ176" s="84" vm="1695">
        <v>60748</v>
      </c>
      <c r="BR176" s="7">
        <f xml:space="preserve"> IFERROR( VfM_Metrics_2023_Consol_Source[[#This Row],[SHL operating surplus / (deficit)]] / VfM_Metrics_2023_Consol_Source[[#This Row],[Turnover from social housing lettings]], "n/a" )</f>
        <v>0.2213206491326245</v>
      </c>
      <c r="BS176" s="5" vm="1721">
        <f xml:space="preserve"> VfM_Metrics_2023_Consol_Source[[#This Row],[Operating surplus/(deficit) (social housing lettings)]]</f>
        <v>79100</v>
      </c>
      <c r="BT176" s="84" vm="1721">
        <v>79100</v>
      </c>
      <c r="BU176" s="5" vm="8172">
        <f xml:space="preserve"> VfM_Metrics_2023_Consol_Source[[#This Row],[Turnover from social housing lettings]]</f>
        <v>357400</v>
      </c>
      <c r="BV176" s="84" vm="8172">
        <v>357400</v>
      </c>
      <c r="BW176" s="7">
        <f xml:space="preserve"> IFERROR( VfM_Metrics_2023_Consol_Source[[#This Row],[Net operating surplus]] / VfM_Metrics_2023_Consol_Source[[#This Row],[Overall turnover]], "n/a" )</f>
        <v>0.1623172311678697</v>
      </c>
      <c r="BX17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87700</v>
      </c>
      <c r="BY176" s="84" vm="1709">
        <v>98500</v>
      </c>
      <c r="BZ176" s="83" vm="1710">
        <v>10800</v>
      </c>
      <c r="CA176" s="83" vm="1711">
        <v>0</v>
      </c>
      <c r="CB176" s="5" vm="8035">
        <f xml:space="preserve"> VfM_Metrics_2023_Consol_Source[[#This Row],[Turnover (overall)]]</f>
        <v>540300</v>
      </c>
      <c r="CC176" s="84" vm="8035">
        <v>540300</v>
      </c>
      <c r="CD176" s="7">
        <f xml:space="preserve"> IFERROR( VfM_Metrics_2023_Consol_Source[[#This Row],[Operating surplus including from JVs]] / VfM_Metrics_2023_Consol_Source[[#This Row],[Net assets]], "n/a" )</f>
        <v>2.5563831719913836E-2</v>
      </c>
      <c r="CE176" s="5">
        <f xml:space="preserve"> SUM( VfM_Metrics_2023_Consol_Source[[#This Row],[Operating surplus/(deficit) (overall)3]], VfM_Metrics_2023_Consol_Source[[#This Row],[Share of operating surplus/(deficit) in joint ventures or associates]] )</f>
        <v>98500</v>
      </c>
      <c r="CF176" s="84" vm="8303">
        <v>98500</v>
      </c>
      <c r="CG176" s="83" vm="1719">
        <v>0</v>
      </c>
      <c r="CH176" s="5" vm="1905">
        <f xml:space="preserve"> VfM_Metrics_2023_Consol_Source[[#This Row],[Total assets less current liabilities]]</f>
        <v>3853100</v>
      </c>
      <c r="CI176" s="84" vm="1905">
        <v>3853100</v>
      </c>
      <c r="CJ176" s="71" vm="1694">
        <f xml:space="preserve"> VfM_Metrics_2023_Consol_Source[[#This Row],[Total social housing units owned (Period end)]]</f>
        <v>60576</v>
      </c>
      <c r="CK176" s="103">
        <v>1.290912111646453E-2</v>
      </c>
      <c r="CL176" s="6">
        <f xml:space="preserve"> -- ( VfM_Metrics_2023_Consol_Source[[#This Row],[% Supported housing (excl. HOP)]] &gt; 0.3 )</f>
        <v>0</v>
      </c>
      <c r="CM176" s="103">
        <v>0.12593454062136566</v>
      </c>
      <c r="CN176" s="6">
        <f xml:space="preserve"> -- ( VfM_Metrics_2023_Consol_Source[[#This Row],[% Housing for older people]] &gt; 0.3 )</f>
        <v>0</v>
      </c>
      <c r="CO176" s="103">
        <f xml:space="preserve"> VfM_Metrics_2023_Consol_Source[[#This Row],[% Supported housing (excl. HOP)]] + VfM_Metrics_2023_Consol_Source[[#This Row],[% Housing for older people]]</f>
        <v>0.13884366173783019</v>
      </c>
      <c r="CP176" s="6">
        <f xml:space="preserve"> -- ( VfM_Metrics_2023_Consol_Source[[#This Row],[SH specialist in RSH analysis]] + VfM_Metrics_2023_Consol_Source[[#This Row],[OP specialist in RSH analysis]] &gt; 0 )</f>
        <v>0</v>
      </c>
      <c r="CQ176" s="10">
        <f xml:space="preserve"> -- ( VfM_Metrics_2023_Consol_Source[[#This Row],[% SH and OP]] &gt; 0.3 )</f>
        <v>0</v>
      </c>
      <c r="CR176" s="104" t="s">
        <v>143</v>
      </c>
      <c r="CS176" s="124" t="s">
        <v>144</v>
      </c>
      <c r="CT176" s="105"/>
      <c r="CU17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Mixed</v>
      </c>
      <c r="CV176" s="85">
        <v>0.10820728985866601</v>
      </c>
      <c r="CW176" s="85">
        <v>0.21223241590214068</v>
      </c>
      <c r="CX176" s="85">
        <v>0.16713777998181667</v>
      </c>
      <c r="CY176" s="85">
        <v>7.719646251756343E-2</v>
      </c>
      <c r="CZ176" s="85">
        <v>1.5703777171667079E-3</v>
      </c>
      <c r="DA176" s="85">
        <v>4.9409042069592526E-2</v>
      </c>
      <c r="DB176" s="85">
        <v>1.6530291759649558E-5</v>
      </c>
      <c r="DC176" s="85">
        <v>0.28119679312339863</v>
      </c>
      <c r="DD176" s="85">
        <v>0.10303330853789569</v>
      </c>
      <c r="DE176" s="13">
        <v>0.9997436157954549</v>
      </c>
    </row>
    <row r="177" spans="1:109" x14ac:dyDescent="0.25">
      <c r="A177" s="4" t="s" vm="374">
        <v>478</v>
      </c>
      <c r="B177" s="2" t="s" vm="167">
        <v>479</v>
      </c>
      <c r="C177" s="72" vm="556">
        <v>45016</v>
      </c>
      <c r="D177" s="7">
        <f>IFERROR( VfM_Metrics_2023_Consol_Source[[#This Row],[Reinvestment Spend]] / VfM_Metrics_2023_Consol_Source[[#This Row],[Net Book Value of Housing Properties]], "n/a" )</f>
        <v>6.754730154983872E-2</v>
      </c>
      <c r="E17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27475</v>
      </c>
      <c r="F177" s="83" vm="7217">
        <v>4016</v>
      </c>
      <c r="G177" s="83" vm="5957">
        <v>19125</v>
      </c>
      <c r="H177" s="83" vm="6891">
        <v>3544</v>
      </c>
      <c r="I177" s="83" vm="5958">
        <v>790</v>
      </c>
      <c r="J177" s="83" vm="5959">
        <v>0</v>
      </c>
      <c r="K177" s="5">
        <f xml:space="preserve"> SUM( VfM_Metrics_2023_Consol_Source[[#This Row],[Tangible fixed assets: Housing properties at cost (Current period)]],VfM_Metrics_2023_Consol_Source[[#This Row],[Tangible fixed assets Housing properties at valuation (Current period)]] )</f>
        <v>406752</v>
      </c>
      <c r="L177" s="84" vm="5960">
        <v>406752</v>
      </c>
      <c r="M177" s="83" vm="5961">
        <v>0</v>
      </c>
      <c r="N177" s="7">
        <f xml:space="preserve"> IFERROR( VfM_Metrics_2023_Consol_Source[[#This Row],[Total social units developed or newly built units acquired in-year]] / VfM_Metrics_2023_Consol_Source[[#This Row],[Social housing units owned (period end)]], "n/a" )</f>
        <v>2.628755364806867E-2</v>
      </c>
      <c r="O177" s="5">
        <f xml:space="preserve"> SUM( VfM_Metrics_2023_Consol_Source[[#This Row],[Total social units developed or newly built units acquired in-year (owned)]], VfM_Metrics_2023_Consol_Source[[#This Row],[Total social leasehold units developed or newly built units acquired in-year (owned)]] )</f>
        <v>196</v>
      </c>
      <c r="P177" s="84" vm="6886">
        <v>196</v>
      </c>
      <c r="Q177" s="83" vm="5962">
        <v>0</v>
      </c>
      <c r="R177" s="5">
        <f xml:space="preserve"> SUM( VfM_Metrics_2023_Consol_Source[[#This Row],[Total social housing units owned (Period end)]], VfM_Metrics_2023_Consol_Source[[#This Row],[Total social leasehold units owned (Period end)]] )</f>
        <v>7456</v>
      </c>
      <c r="S177" s="84" vm="5955">
        <v>7251</v>
      </c>
      <c r="T177" s="83" vm="5963">
        <v>205</v>
      </c>
      <c r="U177" s="86">
        <f xml:space="preserve"> IFERROR( VfM_Metrics_2023_Consol_Source[[#This Row],[Total non-social housing units developed or newly built units acquired (owned)]] / VfM_Metrics_2023_Consol_Source[[#This Row],[Total social and non-social housing units owned (Period end)]], "n/a" )</f>
        <v>0</v>
      </c>
      <c r="V17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77" s="83" vm="5964">
        <v>0</v>
      </c>
      <c r="X177" s="83" vm="7172">
        <v>0</v>
      </c>
      <c r="Y177" s="83" vm="5965">
        <v>0</v>
      </c>
      <c r="Z17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7456</v>
      </c>
      <c r="AA177" s="84" vm="5955">
        <v>7251</v>
      </c>
      <c r="AB177" s="83" vm="5963">
        <v>205</v>
      </c>
      <c r="AC177" s="83" vm="5966">
        <v>0</v>
      </c>
      <c r="AD177" s="83" vm="5967">
        <v>0</v>
      </c>
      <c r="AE177" s="7">
        <f xml:space="preserve"> IFERROR( VfM_Metrics_2023_Consol_Source[[#This Row],[Total Net Debt]] / VfM_Metrics_2023_Consol_Source[[#This Row],[Net Book Value of Housing Properties2]], "n/a" )</f>
        <v>0.52474972464794267</v>
      </c>
      <c r="AF17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213443</v>
      </c>
      <c r="AG177" s="84" vm="5968">
        <v>0</v>
      </c>
      <c r="AH177" s="83" vm="5969">
        <v>228510</v>
      </c>
      <c r="AI177" s="83" vm="5970">
        <v>15067</v>
      </c>
      <c r="AJ177" s="83" vm="7275">
        <v>0</v>
      </c>
      <c r="AK177" s="83" vm="5971">
        <v>0</v>
      </c>
      <c r="AL177" s="5">
        <f xml:space="preserve"> SUM( VfM_Metrics_2023_Consol_Source[[#This Row],[Tangible fixed assets: Housing properties at cost (Current period)2]], VfM_Metrics_2023_Consol_Source[[#This Row],[Tangible fixed assets Housing properties at valuation (Current period)2]] )</f>
        <v>406752</v>
      </c>
      <c r="AM177" s="84" vm="5960">
        <v>406752</v>
      </c>
      <c r="AN177" s="83" vm="5961">
        <v>0</v>
      </c>
      <c r="AO177" s="87">
        <f xml:space="preserve"> IFERROR( VfM_Metrics_2023_Consol_Source[[#This Row],[EBITDA MRI]] / VfM_Metrics_2023_Consol_Source[[#This Row],[Total interest]], "n/a" )</f>
        <v>1.2901348336405083</v>
      </c>
      <c r="AP17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13300</v>
      </c>
      <c r="AQ177" s="84" vm="5972">
        <v>11568</v>
      </c>
      <c r="AR177" s="84" vm="5973">
        <v>1935</v>
      </c>
      <c r="AS177" s="84" vm="5974">
        <v>0</v>
      </c>
      <c r="AT177" s="84" vm="6905">
        <v>321</v>
      </c>
      <c r="AU177" s="84" vm="5743">
        <v>0</v>
      </c>
      <c r="AV177" s="84" vm="5975">
        <v>156</v>
      </c>
      <c r="AW177" s="84" vm="5976">
        <v>3544</v>
      </c>
      <c r="AX177" s="84" vm="5977">
        <v>7376</v>
      </c>
      <c r="AY177" s="3">
        <f xml:space="preserve"> - SUM( VfM_Metrics_2023_Consol_Source[[#This Row],[Interest capitalised]], VfM_Metrics_2023_Consol_Source[[#This Row],[Interest payable and financing costs]] )</f>
        <v>10309</v>
      </c>
      <c r="AZ177" s="84" vm="5978">
        <v>-780</v>
      </c>
      <c r="BA177" s="83" vm="5979">
        <v>-9529</v>
      </c>
      <c r="BB177" s="8">
        <f xml:space="preserve"> IFERROR( ( VfM_Metrics_2023_Consol_Source[[#This Row],[Total Costs]] / VfM_Metrics_2023_Consol_Source[[#This Row],[Total units for costs]] ) * 1000, "n/a" )</f>
        <v>4382.0162736174316</v>
      </c>
      <c r="BC17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31774</v>
      </c>
      <c r="BD177" s="84" vm="5980">
        <v>7449</v>
      </c>
      <c r="BE177" s="83" vm="5981">
        <v>4672</v>
      </c>
      <c r="BF177" s="83" vm="5982">
        <v>7988</v>
      </c>
      <c r="BG177" s="83" vm="5983">
        <v>3347</v>
      </c>
      <c r="BH177" s="83" vm="6889">
        <v>3800</v>
      </c>
      <c r="BI177" s="83" vm="5984">
        <v>10</v>
      </c>
      <c r="BJ177" s="83" vm="5976">
        <v>3544</v>
      </c>
      <c r="BK177" s="83" vm="7023">
        <v>0</v>
      </c>
      <c r="BL177" s="83" vm="7331">
        <v>766</v>
      </c>
      <c r="BM177" s="83" vm="5985">
        <v>0</v>
      </c>
      <c r="BN177" s="83" vm="6939">
        <v>0</v>
      </c>
      <c r="BO177" s="83" vm="5986">
        <v>198</v>
      </c>
      <c r="BP177" s="5" vm="5956">
        <f xml:space="preserve"> VfM_Metrics_2023_Consol_Source[[#This Row],[Total social housing units owned and/or managed at period end]]</f>
        <v>7251</v>
      </c>
      <c r="BQ177" s="84" vm="5956">
        <v>7251</v>
      </c>
      <c r="BR177" s="7">
        <f xml:space="preserve"> IFERROR( VfM_Metrics_2023_Consol_Source[[#This Row],[SHL operating surplus / (deficit)]] / VfM_Metrics_2023_Consol_Source[[#This Row],[Turnover from social housing lettings]], "n/a" )</f>
        <v>0.18601635982178638</v>
      </c>
      <c r="BS177" s="5" vm="6884">
        <f xml:space="preserve"> VfM_Metrics_2023_Consol_Source[[#This Row],[Operating surplus/(deficit) (social housing lettings)]]</f>
        <v>7891</v>
      </c>
      <c r="BT177" s="84" vm="6884">
        <v>7891</v>
      </c>
      <c r="BU177" s="5" vm="5987">
        <f xml:space="preserve"> VfM_Metrics_2023_Consol_Source[[#This Row],[Turnover from social housing lettings]]</f>
        <v>42421</v>
      </c>
      <c r="BV177" s="84" vm="5987">
        <v>42421</v>
      </c>
      <c r="BW177" s="7">
        <f xml:space="preserve"> IFERROR( VfM_Metrics_2023_Consol_Source[[#This Row],[Net operating surplus]] / VfM_Metrics_2023_Consol_Source[[#This Row],[Overall turnover]], "n/a" )</f>
        <v>0.19151854944530597</v>
      </c>
      <c r="BX17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9633</v>
      </c>
      <c r="BY177" s="84" vm="5972">
        <v>11568</v>
      </c>
      <c r="BZ177" s="83" vm="5973">
        <v>1935</v>
      </c>
      <c r="CA177" s="83" vm="5974">
        <v>0</v>
      </c>
      <c r="CB177" s="5" vm="5988">
        <f xml:space="preserve"> VfM_Metrics_2023_Consol_Source[[#This Row],[Turnover (overall)]]</f>
        <v>50298</v>
      </c>
      <c r="CC177" s="84" vm="5988">
        <v>50298</v>
      </c>
      <c r="CD177" s="7">
        <f xml:space="preserve"> IFERROR( VfM_Metrics_2023_Consol_Source[[#This Row],[Operating surplus including from JVs]] / VfM_Metrics_2023_Consol_Source[[#This Row],[Net assets]], "n/a" )</f>
        <v>2.7679475123645995E-2</v>
      </c>
      <c r="CE177" s="5">
        <f xml:space="preserve"> SUM( VfM_Metrics_2023_Consol_Source[[#This Row],[Operating surplus/(deficit) (overall)3]], VfM_Metrics_2023_Consol_Source[[#This Row],[Share of operating surplus/(deficit) in joint ventures or associates]] )</f>
        <v>11568</v>
      </c>
      <c r="CF177" s="84" vm="5972">
        <v>11568</v>
      </c>
      <c r="CG177" s="83" vm="5990">
        <v>0</v>
      </c>
      <c r="CH177" s="5" vm="5989">
        <f xml:space="preserve"> VfM_Metrics_2023_Consol_Source[[#This Row],[Total assets less current liabilities]]</f>
        <v>417927</v>
      </c>
      <c r="CI177" s="84" vm="5989">
        <v>417927</v>
      </c>
      <c r="CJ177" s="71" vm="5955">
        <f xml:space="preserve"> VfM_Metrics_2023_Consol_Source[[#This Row],[Total social housing units owned (Period end)]]</f>
        <v>7251</v>
      </c>
      <c r="CK177" s="103">
        <v>1.364522417153996E-2</v>
      </c>
      <c r="CL177" s="6">
        <f xml:space="preserve"> -- ( VfM_Metrics_2023_Consol_Source[[#This Row],[% Supported housing (excl. HOP)]] &gt; 0.3 )</f>
        <v>0</v>
      </c>
      <c r="CM177" s="103">
        <v>3.6758563074352546E-2</v>
      </c>
      <c r="CN177" s="6">
        <f xml:space="preserve"> -- ( VfM_Metrics_2023_Consol_Source[[#This Row],[% Housing for older people]] &gt; 0.3 )</f>
        <v>0</v>
      </c>
      <c r="CO177" s="103">
        <f xml:space="preserve"> VfM_Metrics_2023_Consol_Source[[#This Row],[% Supported housing (excl. HOP)]] + VfM_Metrics_2023_Consol_Source[[#This Row],[% Housing for older people]]</f>
        <v>5.0403787245892506E-2</v>
      </c>
      <c r="CP177" s="6">
        <f xml:space="preserve"> -- ( VfM_Metrics_2023_Consol_Source[[#This Row],[SH specialist in RSH analysis]] + VfM_Metrics_2023_Consol_Source[[#This Row],[OP specialist in RSH analysis]] &gt; 0 )</f>
        <v>0</v>
      </c>
      <c r="CQ177" s="10">
        <f xml:space="preserve"> -- ( VfM_Metrics_2023_Consol_Source[[#This Row],[% SH and OP]] &gt; 0.3 )</f>
        <v>0</v>
      </c>
      <c r="CR177" s="104" t="s">
        <v>143</v>
      </c>
      <c r="CS177" s="124"/>
      <c r="CT177" s="105" t="s">
        <v>151</v>
      </c>
      <c r="CU17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177" s="85">
        <v>0</v>
      </c>
      <c r="CW177" s="85">
        <v>0</v>
      </c>
      <c r="CX177" s="85">
        <v>0</v>
      </c>
      <c r="CY177" s="85">
        <v>0</v>
      </c>
      <c r="CZ177" s="85">
        <v>0</v>
      </c>
      <c r="DA177" s="85">
        <v>1</v>
      </c>
      <c r="DB177" s="85">
        <v>0</v>
      </c>
      <c r="DC177" s="85">
        <v>0</v>
      </c>
      <c r="DD177" s="85">
        <v>0</v>
      </c>
      <c r="DE177" s="13">
        <v>1.0113701298544711</v>
      </c>
    </row>
    <row r="178" spans="1:109" x14ac:dyDescent="0.25">
      <c r="A178" s="4" t="s" vm="293">
        <v>480</v>
      </c>
      <c r="B178" s="2" t="s" vm="168">
        <v>481</v>
      </c>
      <c r="C178" s="72" vm="564">
        <v>45016</v>
      </c>
      <c r="D178" s="7">
        <f>IFERROR( VfM_Metrics_2023_Consol_Source[[#This Row],[Reinvestment Spend]] / VfM_Metrics_2023_Consol_Source[[#This Row],[Net Book Value of Housing Properties]], "n/a" )</f>
        <v>4.9861533144521693E-2</v>
      </c>
      <c r="E17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33327</v>
      </c>
      <c r="F178" s="83" vm="2497">
        <v>2378</v>
      </c>
      <c r="G178" s="83" vm="3104">
        <v>16291</v>
      </c>
      <c r="H178" s="83" vm="3105">
        <v>13825</v>
      </c>
      <c r="I178" s="83" vm="3106">
        <v>833</v>
      </c>
      <c r="J178" s="83" vm="3107">
        <v>0</v>
      </c>
      <c r="K178" s="5">
        <f xml:space="preserve"> SUM( VfM_Metrics_2023_Consol_Source[[#This Row],[Tangible fixed assets: Housing properties at cost (Current period)]],VfM_Metrics_2023_Consol_Source[[#This Row],[Tangible fixed assets Housing properties at valuation (Current period)]] )</f>
        <v>668391</v>
      </c>
      <c r="L178" s="84" vm="3108">
        <v>668391</v>
      </c>
      <c r="M178" s="83" vm="3109">
        <v>0</v>
      </c>
      <c r="N178" s="7">
        <f xml:space="preserve"> IFERROR( VfM_Metrics_2023_Consol_Source[[#This Row],[Total social units developed or newly built units acquired in-year]] / VfM_Metrics_2023_Consol_Source[[#This Row],[Social housing units owned (period end)]], "n/a" )</f>
        <v>8.1699346405228763E-3</v>
      </c>
      <c r="O178" s="5">
        <f xml:space="preserve"> SUM( VfM_Metrics_2023_Consol_Source[[#This Row],[Total social units developed or newly built units acquired in-year (owned)]], VfM_Metrics_2023_Consol_Source[[#This Row],[Total social leasehold units developed or newly built units acquired in-year (owned)]] )</f>
        <v>160</v>
      </c>
      <c r="P178" s="84" vm="7600">
        <v>160</v>
      </c>
      <c r="Q178" s="83" vm="3110">
        <v>0</v>
      </c>
      <c r="R178" s="5">
        <f xml:space="preserve"> SUM( VfM_Metrics_2023_Consol_Source[[#This Row],[Total social housing units owned (Period end)]], VfM_Metrics_2023_Consol_Source[[#This Row],[Total social leasehold units owned (Period end)]] )</f>
        <v>19584</v>
      </c>
      <c r="S178" s="84" vm="7081">
        <v>18908</v>
      </c>
      <c r="T178" s="83" vm="1948">
        <v>676</v>
      </c>
      <c r="U178" s="86">
        <f xml:space="preserve"> IFERROR( VfM_Metrics_2023_Consol_Source[[#This Row],[Total non-social housing units developed or newly built units acquired (owned)]] / VfM_Metrics_2023_Consol_Source[[#This Row],[Total social and non-social housing units owned (Period end)]], "n/a" )</f>
        <v>1.0639375823285034E-3</v>
      </c>
      <c r="V17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21</v>
      </c>
      <c r="W178" s="83" vm="3112">
        <v>0</v>
      </c>
      <c r="X178" s="83" vm="3113">
        <v>0</v>
      </c>
      <c r="Y178" s="83" vm="3114">
        <v>21</v>
      </c>
      <c r="Z17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19738</v>
      </c>
      <c r="AA178" s="84" vm="3826">
        <v>18908</v>
      </c>
      <c r="AB178" s="83" vm="3111">
        <v>676</v>
      </c>
      <c r="AC178" s="83" vm="7734">
        <v>114</v>
      </c>
      <c r="AD178" s="83" vm="3115">
        <v>40</v>
      </c>
      <c r="AE178" s="7">
        <f xml:space="preserve"> IFERROR( VfM_Metrics_2023_Consol_Source[[#This Row],[Total Net Debt]] / VfM_Metrics_2023_Consol_Source[[#This Row],[Net Book Value of Housing Properties2]], "n/a" )</f>
        <v>0.62349133964999526</v>
      </c>
      <c r="AF17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416736</v>
      </c>
      <c r="AG178" s="84" vm="3116">
        <v>9843</v>
      </c>
      <c r="AH178" s="83" vm="3117">
        <v>418238</v>
      </c>
      <c r="AI178" s="83" vm="3118">
        <v>11345</v>
      </c>
      <c r="AJ178" s="83" vm="3119">
        <v>0</v>
      </c>
      <c r="AK178" s="83" vm="3120">
        <v>0</v>
      </c>
      <c r="AL178" s="5">
        <f xml:space="preserve"> SUM( VfM_Metrics_2023_Consol_Source[[#This Row],[Tangible fixed assets: Housing properties at cost (Current period)2]], VfM_Metrics_2023_Consol_Source[[#This Row],[Tangible fixed assets Housing properties at valuation (Current period)2]] )</f>
        <v>668391</v>
      </c>
      <c r="AM178" s="84" vm="7723">
        <v>668391</v>
      </c>
      <c r="AN178" s="83" vm="3109">
        <v>0</v>
      </c>
      <c r="AO178" s="87">
        <f xml:space="preserve"> IFERROR( VfM_Metrics_2023_Consol_Source[[#This Row],[EBITDA MRI]] / VfM_Metrics_2023_Consol_Source[[#This Row],[Total interest]], "n/a" )</f>
        <v>1.1993868218665558</v>
      </c>
      <c r="AP17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23081</v>
      </c>
      <c r="AQ178" s="84" vm="1963">
        <v>25995</v>
      </c>
      <c r="AR178" s="84" vm="3122">
        <v>4129</v>
      </c>
      <c r="AS178" s="84" vm="3123">
        <v>0</v>
      </c>
      <c r="AT178" s="84" vm="3124">
        <v>810</v>
      </c>
      <c r="AU178" s="84" vm="3125">
        <v>1118</v>
      </c>
      <c r="AV178" s="84" vm="3126">
        <v>94</v>
      </c>
      <c r="AW178" s="84" vm="3127">
        <v>13825</v>
      </c>
      <c r="AX178" s="84" vm="3128">
        <v>16874</v>
      </c>
      <c r="AY178" s="3">
        <f xml:space="preserve"> - SUM( VfM_Metrics_2023_Consol_Source[[#This Row],[Interest capitalised]], VfM_Metrics_2023_Consol_Source[[#This Row],[Interest payable and financing costs]] )</f>
        <v>19244</v>
      </c>
      <c r="AZ178" s="84" vm="3129">
        <v>-833</v>
      </c>
      <c r="BA178" s="83" vm="3130">
        <v>-18411</v>
      </c>
      <c r="BB178" s="8">
        <f xml:space="preserve"> IFERROR( ( VfM_Metrics_2023_Consol_Source[[#This Row],[Total Costs]] / VfM_Metrics_2023_Consol_Source[[#This Row],[Total units for costs]] ) * 1000, "n/a" )</f>
        <v>4059.6541329525621</v>
      </c>
      <c r="BC17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76764</v>
      </c>
      <c r="BD178" s="84" vm="3131">
        <v>22684</v>
      </c>
      <c r="BE178" s="83" vm="3132">
        <v>8087</v>
      </c>
      <c r="BF178" s="83" vm="3133">
        <v>10838</v>
      </c>
      <c r="BG178" s="83" vm="3134">
        <v>18194</v>
      </c>
      <c r="BH178" s="83" vm="3135">
        <v>0</v>
      </c>
      <c r="BI178" s="83" vm="7746">
        <v>0</v>
      </c>
      <c r="BJ178" s="83" vm="3127">
        <v>13825</v>
      </c>
      <c r="BK178" s="83" vm="3136">
        <v>0</v>
      </c>
      <c r="BL178" s="83" vm="3137">
        <v>0</v>
      </c>
      <c r="BM178" s="83" vm="3138">
        <v>0</v>
      </c>
      <c r="BN178" s="83" vm="3139">
        <v>3136</v>
      </c>
      <c r="BO178" s="83" vm="3140">
        <v>0</v>
      </c>
      <c r="BP178" s="5" vm="3103">
        <f xml:space="preserve"> VfM_Metrics_2023_Consol_Source[[#This Row],[Total social housing units owned and/or managed at period end]]</f>
        <v>18909</v>
      </c>
      <c r="BQ178" s="84" vm="3103">
        <v>18909</v>
      </c>
      <c r="BR178" s="7">
        <f xml:space="preserve"> IFERROR( VfM_Metrics_2023_Consol_Source[[#This Row],[SHL operating surplus / (deficit)]] / VfM_Metrics_2023_Consol_Source[[#This Row],[Turnover from social housing lettings]], "n/a" )</f>
        <v>0.19603840154108693</v>
      </c>
      <c r="BS178" s="5" vm="3141">
        <f xml:space="preserve"> VfM_Metrics_2023_Consol_Source[[#This Row],[Operating surplus/(deficit) (social housing lettings)]]</f>
        <v>18725</v>
      </c>
      <c r="BT178" s="84" vm="3141">
        <v>18725</v>
      </c>
      <c r="BU178" s="5" vm="3142">
        <f xml:space="preserve"> VfM_Metrics_2023_Consol_Source[[#This Row],[Turnover from social housing lettings]]</f>
        <v>95517</v>
      </c>
      <c r="BV178" s="84" vm="3142">
        <v>95517</v>
      </c>
      <c r="BW178" s="7">
        <f xml:space="preserve"> IFERROR( VfM_Metrics_2023_Consol_Source[[#This Row],[Net operating surplus]] / VfM_Metrics_2023_Consol_Source[[#This Row],[Overall turnover]], "n/a" )</f>
        <v>0.1964317797980524</v>
      </c>
      <c r="BX17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21866</v>
      </c>
      <c r="BY178" s="84" vm="3121">
        <v>25995</v>
      </c>
      <c r="BZ178" s="83" vm="3122">
        <v>4129</v>
      </c>
      <c r="CA178" s="83" vm="7622">
        <v>0</v>
      </c>
      <c r="CB178" s="5" vm="7732">
        <f xml:space="preserve"> VfM_Metrics_2023_Consol_Source[[#This Row],[Turnover (overall)]]</f>
        <v>111316</v>
      </c>
      <c r="CC178" s="84" vm="7732">
        <v>111316</v>
      </c>
      <c r="CD178" s="7">
        <f xml:space="preserve"> IFERROR( VfM_Metrics_2023_Consol_Source[[#This Row],[Operating surplus including from JVs]] / VfM_Metrics_2023_Consol_Source[[#This Row],[Net assets]], "n/a" )</f>
        <v>3.6128352591596039E-2</v>
      </c>
      <c r="CE178" s="5">
        <f xml:space="preserve"> SUM( VfM_Metrics_2023_Consol_Source[[#This Row],[Operating surplus/(deficit) (overall)3]], VfM_Metrics_2023_Consol_Source[[#This Row],[Share of operating surplus/(deficit) in joint ventures or associates]] )</f>
        <v>25995</v>
      </c>
      <c r="CF178" s="84" vm="2805">
        <v>25995</v>
      </c>
      <c r="CG178" s="83" vm="3144">
        <v>0</v>
      </c>
      <c r="CH178" s="5" vm="3143">
        <f xml:space="preserve"> VfM_Metrics_2023_Consol_Source[[#This Row],[Total assets less current liabilities]]</f>
        <v>719518</v>
      </c>
      <c r="CI178" s="84" vm="3143">
        <v>719518</v>
      </c>
      <c r="CJ178" s="71" vm="7081">
        <f xml:space="preserve"> VfM_Metrics_2023_Consol_Source[[#This Row],[Total social housing units owned (Period end)]]</f>
        <v>18908</v>
      </c>
      <c r="CK178" s="103">
        <v>1.3177392040643523E-2</v>
      </c>
      <c r="CL178" s="6">
        <f xml:space="preserve"> -- ( VfM_Metrics_2023_Consol_Source[[#This Row],[% Supported housing (excl. HOP)]] &gt; 0.3 )</f>
        <v>0</v>
      </c>
      <c r="CM178" s="103">
        <v>9.785139712108383E-2</v>
      </c>
      <c r="CN178" s="6">
        <f xml:space="preserve"> -- ( VfM_Metrics_2023_Consol_Source[[#This Row],[% Housing for older people]] &gt; 0.3 )</f>
        <v>0</v>
      </c>
      <c r="CO178" s="103">
        <f xml:space="preserve"> VfM_Metrics_2023_Consol_Source[[#This Row],[% Supported housing (excl. HOP)]] + VfM_Metrics_2023_Consol_Source[[#This Row],[% Housing for older people]]</f>
        <v>0.11102878916172736</v>
      </c>
      <c r="CP178" s="6">
        <f xml:space="preserve"> -- ( VfM_Metrics_2023_Consol_Source[[#This Row],[SH specialist in RSH analysis]] + VfM_Metrics_2023_Consol_Source[[#This Row],[OP specialist in RSH analysis]] &gt; 0 )</f>
        <v>0</v>
      </c>
      <c r="CQ178" s="10">
        <f xml:space="preserve"> -- ( VfM_Metrics_2023_Consol_Source[[#This Row],[% SH and OP]] &gt; 0.3 )</f>
        <v>0</v>
      </c>
      <c r="CR178" s="104" t="s">
        <v>143</v>
      </c>
      <c r="CS178" s="124"/>
      <c r="CT178" s="105" t="s">
        <v>151</v>
      </c>
      <c r="CU17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78" s="85">
        <v>0</v>
      </c>
      <c r="CW178" s="85">
        <v>0</v>
      </c>
      <c r="CX178" s="85">
        <v>0</v>
      </c>
      <c r="CY178" s="85">
        <v>0</v>
      </c>
      <c r="CZ178" s="85">
        <v>1</v>
      </c>
      <c r="DA178" s="85">
        <v>0</v>
      </c>
      <c r="DB178" s="85">
        <v>0</v>
      </c>
      <c r="DC178" s="85">
        <v>0</v>
      </c>
      <c r="DD178" s="85">
        <v>0</v>
      </c>
      <c r="DE178" s="13">
        <v>0.96459033333600952</v>
      </c>
    </row>
    <row r="179" spans="1:109" x14ac:dyDescent="0.25">
      <c r="A179" s="4" t="s" vm="208">
        <v>482</v>
      </c>
      <c r="B179" s="2" t="s" vm="169">
        <v>483</v>
      </c>
      <c r="C179" s="72" vm="577">
        <v>45016</v>
      </c>
      <c r="D179" s="7">
        <f>IFERROR( VfM_Metrics_2023_Consol_Source[[#This Row],[Reinvestment Spend]] / VfM_Metrics_2023_Consol_Source[[#This Row],[Net Book Value of Housing Properties]], "n/a" )</f>
        <v>0.20296282954724543</v>
      </c>
      <c r="E17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18030</v>
      </c>
      <c r="F179" s="83" vm="774">
        <v>13342</v>
      </c>
      <c r="G179" s="83" vm="8853">
        <v>0</v>
      </c>
      <c r="H179" s="83" vm="9137">
        <v>4132</v>
      </c>
      <c r="I179" s="83" vm="775">
        <v>556</v>
      </c>
      <c r="J179" s="83" vm="9034">
        <v>0</v>
      </c>
      <c r="K179" s="5">
        <f xml:space="preserve"> SUM( VfM_Metrics_2023_Consol_Source[[#This Row],[Tangible fixed assets: Housing properties at cost (Current period)]],VfM_Metrics_2023_Consol_Source[[#This Row],[Tangible fixed assets Housing properties at valuation (Current period)]] )</f>
        <v>88834</v>
      </c>
      <c r="L179" s="84" vm="9086">
        <v>88834</v>
      </c>
      <c r="M179" s="83">
        <v>0</v>
      </c>
      <c r="N179" s="7">
        <f xml:space="preserve"> IFERROR( VfM_Metrics_2023_Consol_Source[[#This Row],[Total social units developed or newly built units acquired in-year]] / VfM_Metrics_2023_Consol_Source[[#This Row],[Social housing units owned (period end)]], "n/a" )</f>
        <v>8.4151472650771386E-3</v>
      </c>
      <c r="O179" s="5">
        <f xml:space="preserve"> SUM( VfM_Metrics_2023_Consol_Source[[#This Row],[Total social units developed or newly built units acquired in-year (owned)]], VfM_Metrics_2023_Consol_Source[[#This Row],[Total social leasehold units developed or newly built units acquired in-year (owned)]] )</f>
        <v>12</v>
      </c>
      <c r="P179" s="84" vm="9033">
        <v>12</v>
      </c>
      <c r="Q179" s="83">
        <v>0</v>
      </c>
      <c r="R179" s="5">
        <f xml:space="preserve"> SUM( VfM_Metrics_2023_Consol_Source[[#This Row],[Total social housing units owned (Period end)]], VfM_Metrics_2023_Consol_Source[[#This Row],[Total social leasehold units owned (Period end)]] )</f>
        <v>1426</v>
      </c>
      <c r="S179" s="84" vm="773">
        <v>1426</v>
      </c>
      <c r="T179" s="83" vm="777">
        <v>0</v>
      </c>
      <c r="U179" s="86">
        <f xml:space="preserve"> IFERROR( VfM_Metrics_2023_Consol_Source[[#This Row],[Total non-social housing units developed or newly built units acquired (owned)]] / VfM_Metrics_2023_Consol_Source[[#This Row],[Total social and non-social housing units owned (Period end)]], "n/a" )</f>
        <v>0</v>
      </c>
      <c r="V17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79" s="83">
        <v>0</v>
      </c>
      <c r="X179" s="83">
        <v>0</v>
      </c>
      <c r="Y179" s="83">
        <v>0</v>
      </c>
      <c r="Z17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1426</v>
      </c>
      <c r="AA179" s="84" vm="9090">
        <v>1426</v>
      </c>
      <c r="AB179" s="83" vm="811">
        <v>0</v>
      </c>
      <c r="AC179" s="83" vm="9030">
        <v>0</v>
      </c>
      <c r="AD179" s="83" vm="9079">
        <v>0</v>
      </c>
      <c r="AE179" s="7">
        <f xml:space="preserve"> IFERROR( VfM_Metrics_2023_Consol_Source[[#This Row],[Total Net Debt]] / VfM_Metrics_2023_Consol_Source[[#This Row],[Net Book Value of Housing Properties2]], "n/a" )</f>
        <v>0.34698426278226807</v>
      </c>
      <c r="AF17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30824</v>
      </c>
      <c r="AG179" s="84" vm="883">
        <v>250</v>
      </c>
      <c r="AH179" s="83" vm="9028">
        <v>31569</v>
      </c>
      <c r="AI179" s="83" vm="9076">
        <v>995</v>
      </c>
      <c r="AJ179" s="83" vm="1675">
        <v>0</v>
      </c>
      <c r="AK179" s="83">
        <v>0</v>
      </c>
      <c r="AL179" s="5">
        <f xml:space="preserve"> SUM( VfM_Metrics_2023_Consol_Source[[#This Row],[Tangible fixed assets: Housing properties at cost (Current period)2]], VfM_Metrics_2023_Consol_Source[[#This Row],[Tangible fixed assets Housing properties at valuation (Current period)2]] )</f>
        <v>88834</v>
      </c>
      <c r="AM179" s="84" vm="9085">
        <v>88834</v>
      </c>
      <c r="AN179" s="83">
        <v>0</v>
      </c>
      <c r="AO179" s="87">
        <f xml:space="preserve"> IFERROR( VfM_Metrics_2023_Consol_Source[[#This Row],[EBITDA MRI]] / VfM_Metrics_2023_Consol_Source[[#This Row],[Total interest]], "n/a" )</f>
        <v>-2.0852211434735706</v>
      </c>
      <c r="AP17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-1933</v>
      </c>
      <c r="AQ179" s="84" vm="780">
        <v>965</v>
      </c>
      <c r="AR179" s="84">
        <v>0</v>
      </c>
      <c r="AS179" s="84">
        <v>0</v>
      </c>
      <c r="AT179" s="84" vm="9026">
        <v>575</v>
      </c>
      <c r="AU179" s="84" vm="782">
        <v>0</v>
      </c>
      <c r="AV179" s="84" vm="9051">
        <v>127</v>
      </c>
      <c r="AW179" s="84" vm="8848">
        <v>4132</v>
      </c>
      <c r="AX179" s="84" vm="765">
        <v>1682</v>
      </c>
      <c r="AY179" s="3">
        <f xml:space="preserve"> - SUM( VfM_Metrics_2023_Consol_Source[[#This Row],[Interest capitalised]], VfM_Metrics_2023_Consol_Source[[#This Row],[Interest payable and financing costs]] )</f>
        <v>927</v>
      </c>
      <c r="AZ179" s="84" vm="783">
        <v>-556</v>
      </c>
      <c r="BA179" s="83" vm="784">
        <v>-371</v>
      </c>
      <c r="BB179" s="8">
        <f xml:space="preserve"> IFERROR( ( VfM_Metrics_2023_Consol_Source[[#This Row],[Total Costs]] / VfM_Metrics_2023_Consol_Source[[#This Row],[Total units for costs]] ) * 1000, "n/a" )</f>
        <v>8680.6429070580016</v>
      </c>
      <c r="BC17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12422</v>
      </c>
      <c r="BD179" s="84" vm="9055">
        <v>2405</v>
      </c>
      <c r="BE179" s="83" vm="785">
        <v>2080</v>
      </c>
      <c r="BF179" s="83" vm="786">
        <v>2988</v>
      </c>
      <c r="BG179" s="83" vm="787">
        <v>268</v>
      </c>
      <c r="BH179" s="83" vm="788">
        <v>233</v>
      </c>
      <c r="BI179" s="83" vm="8846">
        <v>53</v>
      </c>
      <c r="BJ179" s="83" vm="9053">
        <v>4132</v>
      </c>
      <c r="BK179" s="83" vm="8959">
        <v>0</v>
      </c>
      <c r="BL179" s="83" vm="675">
        <v>133</v>
      </c>
      <c r="BM179" s="83" vm="790">
        <v>130</v>
      </c>
      <c r="BN179" s="83">
        <v>0</v>
      </c>
      <c r="BO179" s="83">
        <v>0</v>
      </c>
      <c r="BP179" s="5" vm="9049">
        <f xml:space="preserve"> VfM_Metrics_2023_Consol_Source[[#This Row],[Total social housing units owned and/or managed at period end]]</f>
        <v>1431</v>
      </c>
      <c r="BQ179" s="84" vm="9049">
        <v>1431</v>
      </c>
      <c r="BR179" s="7">
        <f xml:space="preserve"> IFERROR( VfM_Metrics_2023_Consol_Source[[#This Row],[SHL operating surplus / (deficit)]] / VfM_Metrics_2023_Consol_Source[[#This Row],[Turnover from social housing lettings]], "n/a" )</f>
        <v>0.10220230717894938</v>
      </c>
      <c r="BS179" s="5" vm="9047">
        <f xml:space="preserve"> VfM_Metrics_2023_Consol_Source[[#This Row],[Operating surplus/(deficit) (social housing lettings)]]</f>
        <v>1072</v>
      </c>
      <c r="BT179" s="84" vm="9047">
        <v>1072</v>
      </c>
      <c r="BU179" s="5" vm="848">
        <f xml:space="preserve"> VfM_Metrics_2023_Consol_Source[[#This Row],[Turnover from social housing lettings]]</f>
        <v>10489</v>
      </c>
      <c r="BV179" s="84" vm="848">
        <v>10489</v>
      </c>
      <c r="BW179" s="7">
        <f xml:space="preserve"> IFERROR( VfM_Metrics_2023_Consol_Source[[#This Row],[Net operating surplus]] / VfM_Metrics_2023_Consol_Source[[#This Row],[Overall turnover]], "n/a" )</f>
        <v>8.9625708182409211E-2</v>
      </c>
      <c r="BX17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965</v>
      </c>
      <c r="BY179" s="84" vm="780">
        <v>965</v>
      </c>
      <c r="BZ179" s="83">
        <v>0</v>
      </c>
      <c r="CA179" s="83">
        <v>0</v>
      </c>
      <c r="CB179" s="5" vm="9160">
        <f xml:space="preserve"> VfM_Metrics_2023_Consol_Source[[#This Row],[Turnover (overall)]]</f>
        <v>10767</v>
      </c>
      <c r="CC179" s="84" vm="9160">
        <v>10767</v>
      </c>
      <c r="CD179" s="7">
        <f xml:space="preserve"> IFERROR( VfM_Metrics_2023_Consol_Source[[#This Row],[Operating surplus including from JVs]] / VfM_Metrics_2023_Consol_Source[[#This Row],[Net assets]], "n/a" )</f>
        <v>9.7349864315474082E-3</v>
      </c>
      <c r="CE179" s="5">
        <f xml:space="preserve"> SUM( VfM_Metrics_2023_Consol_Source[[#This Row],[Operating surplus/(deficit) (overall)3]], VfM_Metrics_2023_Consol_Source[[#This Row],[Share of operating surplus/(deficit) in joint ventures or associates]] )</f>
        <v>965</v>
      </c>
      <c r="CF179" s="84" vm="780">
        <v>965</v>
      </c>
      <c r="CG179" s="83">
        <v>0</v>
      </c>
      <c r="CH179" s="5" vm="792">
        <f xml:space="preserve"> VfM_Metrics_2023_Consol_Source[[#This Row],[Total assets less current liabilities]]</f>
        <v>99127</v>
      </c>
      <c r="CI179" s="84" vm="792">
        <v>99127</v>
      </c>
      <c r="CJ179" s="71" vm="773">
        <f xml:space="preserve"> VfM_Metrics_2023_Consol_Source[[#This Row],[Total social housing units owned (Period end)]]</f>
        <v>1426</v>
      </c>
      <c r="CK179" s="103">
        <v>2.0847810979847115E-3</v>
      </c>
      <c r="CL179" s="6">
        <f xml:space="preserve"> -- ( VfM_Metrics_2023_Consol_Source[[#This Row],[% Supported housing (excl. HOP)]] &gt; 0.3 )</f>
        <v>0</v>
      </c>
      <c r="CM179" s="103">
        <v>0.14176511466296038</v>
      </c>
      <c r="CN179" s="6">
        <f xml:space="preserve"> -- ( VfM_Metrics_2023_Consol_Source[[#This Row],[% Housing for older people]] &gt; 0.3 )</f>
        <v>0</v>
      </c>
      <c r="CO179" s="103">
        <f xml:space="preserve"> VfM_Metrics_2023_Consol_Source[[#This Row],[% Supported housing (excl. HOP)]] + VfM_Metrics_2023_Consol_Source[[#This Row],[% Housing for older people]]</f>
        <v>0.14384989576094509</v>
      </c>
      <c r="CP179" s="6">
        <f xml:space="preserve"> -- ( VfM_Metrics_2023_Consol_Source[[#This Row],[SH specialist in RSH analysis]] + VfM_Metrics_2023_Consol_Source[[#This Row],[OP specialist in RSH analysis]] &gt; 0 )</f>
        <v>0</v>
      </c>
      <c r="CQ179" s="10">
        <f xml:space="preserve"> -- ( VfM_Metrics_2023_Consol_Source[[#This Row],[% SH and OP]] &gt; 0.3 )</f>
        <v>0</v>
      </c>
      <c r="CR179" s="104" t="s">
        <v>143</v>
      </c>
      <c r="CS179" s="124" t="s">
        <v>144</v>
      </c>
      <c r="CT179" s="105"/>
      <c r="CU17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79" s="85">
        <v>0.9916666666666667</v>
      </c>
      <c r="CW179" s="85">
        <v>0</v>
      </c>
      <c r="CX179" s="85">
        <v>0</v>
      </c>
      <c r="CY179" s="85">
        <v>0</v>
      </c>
      <c r="CZ179" s="85">
        <v>0</v>
      </c>
      <c r="DA179" s="85">
        <v>8.3333333333333332E-3</v>
      </c>
      <c r="DB179" s="85">
        <v>0</v>
      </c>
      <c r="DC179" s="85">
        <v>0</v>
      </c>
      <c r="DD179" s="85">
        <v>0</v>
      </c>
      <c r="DE179" s="13">
        <v>1.1591283790293063</v>
      </c>
    </row>
    <row r="180" spans="1:109" x14ac:dyDescent="0.25">
      <c r="A180" s="4" t="s" vm="235">
        <v>484</v>
      </c>
      <c r="B180" s="2" t="s" vm="170">
        <v>485</v>
      </c>
      <c r="C180" s="72" vm="460">
        <v>45016</v>
      </c>
      <c r="D180" s="7">
        <f>IFERROR( VfM_Metrics_2023_Consol_Source[[#This Row],[Reinvestment Spend]] / VfM_Metrics_2023_Consol_Source[[#This Row],[Net Book Value of Housing Properties]], "n/a" )</f>
        <v>7.2797289327304476E-2</v>
      </c>
      <c r="E18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6295</v>
      </c>
      <c r="F180" s="83" vm="1343">
        <v>5072</v>
      </c>
      <c r="G180" s="83" vm="8405">
        <v>0</v>
      </c>
      <c r="H180" s="83" vm="1552">
        <v>1223</v>
      </c>
      <c r="I180" s="83" vm="1345">
        <v>0</v>
      </c>
      <c r="J180" s="83" vm="1346">
        <v>0</v>
      </c>
      <c r="K180" s="5">
        <f xml:space="preserve"> SUM( VfM_Metrics_2023_Consol_Source[[#This Row],[Tangible fixed assets: Housing properties at cost (Current period)]],VfM_Metrics_2023_Consol_Source[[#This Row],[Tangible fixed assets Housing properties at valuation (Current period)]] )</f>
        <v>86473</v>
      </c>
      <c r="L180" s="84" vm="1347">
        <v>86473</v>
      </c>
      <c r="M180" s="83" vm="8595">
        <v>0</v>
      </c>
      <c r="N180" s="7">
        <f xml:space="preserve"> IFERROR( VfM_Metrics_2023_Consol_Source[[#This Row],[Total social units developed or newly built units acquired in-year]] / VfM_Metrics_2023_Consol_Source[[#This Row],[Social housing units owned (period end)]], "n/a" )</f>
        <v>1.4437689969604863E-2</v>
      </c>
      <c r="O180" s="5">
        <f xml:space="preserve"> SUM( VfM_Metrics_2023_Consol_Source[[#This Row],[Total social units developed or newly built units acquired in-year (owned)]], VfM_Metrics_2023_Consol_Source[[#This Row],[Total social leasehold units developed or newly built units acquired in-year (owned)]] )</f>
        <v>38</v>
      </c>
      <c r="P180" s="84" vm="8371">
        <v>38</v>
      </c>
      <c r="Q180" s="83" vm="1349">
        <v>0</v>
      </c>
      <c r="R180" s="5">
        <f xml:space="preserve"> SUM( VfM_Metrics_2023_Consol_Source[[#This Row],[Total social housing units owned (Period end)]], VfM_Metrics_2023_Consol_Source[[#This Row],[Total social leasehold units owned (Period end)]] )</f>
        <v>2632</v>
      </c>
      <c r="S180" s="84" vm="8141">
        <v>2417</v>
      </c>
      <c r="T180" s="83" vm="8282">
        <v>215</v>
      </c>
      <c r="U180" s="86">
        <f xml:space="preserve"> IFERROR( VfM_Metrics_2023_Consol_Source[[#This Row],[Total non-social housing units developed or newly built units acquired (owned)]] / VfM_Metrics_2023_Consol_Source[[#This Row],[Total social and non-social housing units owned (Period end)]], "n/a" )</f>
        <v>0</v>
      </c>
      <c r="V18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80" s="83" vm="1189">
        <v>0</v>
      </c>
      <c r="X180" s="83" vm="8110">
        <v>0</v>
      </c>
      <c r="Y180" s="83" vm="1351">
        <v>0</v>
      </c>
      <c r="Z18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2736</v>
      </c>
      <c r="AA180" s="84" vm="1342">
        <v>2417</v>
      </c>
      <c r="AB180" s="83" vm="1350">
        <v>215</v>
      </c>
      <c r="AC180" s="83" vm="1352">
        <v>100</v>
      </c>
      <c r="AD180" s="83" vm="8401">
        <v>4</v>
      </c>
      <c r="AE180" s="7">
        <f xml:space="preserve"> IFERROR( VfM_Metrics_2023_Consol_Source[[#This Row],[Total Net Debt]] / VfM_Metrics_2023_Consol_Source[[#This Row],[Net Book Value of Housing Properties2]], "n/a" )</f>
        <v>0.32920102228441245</v>
      </c>
      <c r="AF18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28467</v>
      </c>
      <c r="AG180" s="84" vm="1354">
        <v>1488</v>
      </c>
      <c r="AH180" s="83" vm="1673">
        <v>60762</v>
      </c>
      <c r="AI180" s="83" vm="8474">
        <v>33798</v>
      </c>
      <c r="AJ180" s="83" vm="8473">
        <v>0</v>
      </c>
      <c r="AK180" s="83" vm="8422">
        <v>15</v>
      </c>
      <c r="AL180" s="5">
        <f xml:space="preserve"> SUM( VfM_Metrics_2023_Consol_Source[[#This Row],[Tangible fixed assets: Housing properties at cost (Current period)2]], VfM_Metrics_2023_Consol_Source[[#This Row],[Tangible fixed assets Housing properties at valuation (Current period)2]] )</f>
        <v>86473</v>
      </c>
      <c r="AM180" s="84" vm="1347">
        <v>86473</v>
      </c>
      <c r="AN180" s="83" vm="1348">
        <v>0</v>
      </c>
      <c r="AO180" s="87">
        <f xml:space="preserve"> IFERROR( VfM_Metrics_2023_Consol_Source[[#This Row],[EBITDA MRI]] / VfM_Metrics_2023_Consol_Source[[#This Row],[Total interest]], "n/a" )</f>
        <v>2.6511500547645124</v>
      </c>
      <c r="AP18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4841</v>
      </c>
      <c r="AQ180" s="84" vm="997">
        <v>4133</v>
      </c>
      <c r="AR180" s="84" vm="8108">
        <v>451</v>
      </c>
      <c r="AS180" s="84" vm="1357">
        <v>0</v>
      </c>
      <c r="AT180" s="84" vm="8396">
        <v>256</v>
      </c>
      <c r="AU180" s="84" vm="8370">
        <v>0</v>
      </c>
      <c r="AV180" s="84" vm="1359">
        <v>543</v>
      </c>
      <c r="AW180" s="84" vm="1360">
        <v>1223</v>
      </c>
      <c r="AX180" s="84" vm="978">
        <v>2095</v>
      </c>
      <c r="AY180" s="3">
        <f xml:space="preserve"> - SUM( VfM_Metrics_2023_Consol_Source[[#This Row],[Interest capitalised]], VfM_Metrics_2023_Consol_Source[[#This Row],[Interest payable and financing costs]] )</f>
        <v>1826</v>
      </c>
      <c r="AZ180" s="84" vm="8100">
        <v>0</v>
      </c>
      <c r="BA180" s="83" vm="1361">
        <v>-1826</v>
      </c>
      <c r="BB180" s="8">
        <f xml:space="preserve"> IFERROR( ( VfM_Metrics_2023_Consol_Source[[#This Row],[Total Costs]] / VfM_Metrics_2023_Consol_Source[[#This Row],[Total units for costs]] ) * 1000, "n/a" )</f>
        <v>3521.7211419114606</v>
      </c>
      <c r="BC18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8512</v>
      </c>
      <c r="BD180" s="84" vm="1265">
        <v>2066</v>
      </c>
      <c r="BE180" s="83" vm="8565">
        <v>1301</v>
      </c>
      <c r="BF180" s="83" vm="1362">
        <v>2287</v>
      </c>
      <c r="BG180" s="83" vm="8138">
        <v>1295</v>
      </c>
      <c r="BH180" s="83" vm="1363">
        <v>340</v>
      </c>
      <c r="BI180" s="83" vm="8390">
        <v>0</v>
      </c>
      <c r="BJ180" s="83" vm="8369">
        <v>1223</v>
      </c>
      <c r="BK180" s="83" vm="8274">
        <v>0</v>
      </c>
      <c r="BL180" s="83" vm="8475">
        <v>0</v>
      </c>
      <c r="BM180" s="83" vm="2205">
        <v>0</v>
      </c>
      <c r="BN180" s="83" vm="8133">
        <v>0</v>
      </c>
      <c r="BO180" s="83" vm="1364">
        <v>0</v>
      </c>
      <c r="BP180" s="5" vm="8388">
        <f xml:space="preserve"> VfM_Metrics_2023_Consol_Source[[#This Row],[Total social housing units owned and/or managed at period end]]</f>
        <v>2417</v>
      </c>
      <c r="BQ180" s="84" vm="8388">
        <v>2417</v>
      </c>
      <c r="BR180" s="7">
        <f xml:space="preserve"> IFERROR( VfM_Metrics_2023_Consol_Source[[#This Row],[SHL operating surplus / (deficit)]] / VfM_Metrics_2023_Consol_Source[[#This Row],[Turnover from social housing lettings]], "n/a" )</f>
        <v>0.32603497235091916</v>
      </c>
      <c r="BS180" s="5" vm="8564">
        <f xml:space="preserve"> VfM_Metrics_2023_Consol_Source[[#This Row],[Operating surplus/(deficit) (social housing lettings)]]</f>
        <v>4363</v>
      </c>
      <c r="BT180" s="84" vm="8564">
        <v>4363</v>
      </c>
      <c r="BU180" s="5" vm="1365">
        <f xml:space="preserve"> VfM_Metrics_2023_Consol_Source[[#This Row],[Turnover from social housing lettings]]</f>
        <v>13382</v>
      </c>
      <c r="BV180" s="84" vm="1365">
        <v>13382</v>
      </c>
      <c r="BW180" s="7">
        <f xml:space="preserve"> IFERROR( VfM_Metrics_2023_Consol_Source[[#This Row],[Net operating surplus]] / VfM_Metrics_2023_Consol_Source[[#This Row],[Overall turnover]], "n/a" )</f>
        <v>0.22647312092508304</v>
      </c>
      <c r="BX18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3682</v>
      </c>
      <c r="BY180" s="84" vm="8090">
        <v>4133</v>
      </c>
      <c r="BZ180" s="83" vm="8395">
        <v>451</v>
      </c>
      <c r="CA180" s="83" vm="1357">
        <v>0</v>
      </c>
      <c r="CB180" s="5" vm="8460">
        <f xml:space="preserve"> VfM_Metrics_2023_Consol_Source[[#This Row],[Turnover (overall)]]</f>
        <v>16258</v>
      </c>
      <c r="CC180" s="84" vm="8460">
        <v>16258</v>
      </c>
      <c r="CD180" s="7">
        <f xml:space="preserve"> IFERROR( VfM_Metrics_2023_Consol_Source[[#This Row],[Operating surplus including from JVs]] / VfM_Metrics_2023_Consol_Source[[#This Row],[Net assets]], "n/a" )</f>
        <v>3.0676850223043638E-2</v>
      </c>
      <c r="CE180" s="5">
        <f xml:space="preserve"> SUM( VfM_Metrics_2023_Consol_Source[[#This Row],[Operating surplus/(deficit) (overall)3]], VfM_Metrics_2023_Consol_Source[[#This Row],[Share of operating surplus/(deficit) in joint ventures or associates]] )</f>
        <v>4133</v>
      </c>
      <c r="CF180" s="84" vm="1453">
        <v>4133</v>
      </c>
      <c r="CG180" s="83" vm="1034">
        <v>0</v>
      </c>
      <c r="CH180" s="5" vm="1366">
        <f xml:space="preserve"> VfM_Metrics_2023_Consol_Source[[#This Row],[Total assets less current liabilities]]</f>
        <v>134727</v>
      </c>
      <c r="CI180" s="84" vm="1366">
        <v>134727</v>
      </c>
      <c r="CJ180" s="71" vm="8141">
        <f xml:space="preserve"> VfM_Metrics_2023_Consol_Source[[#This Row],[Total social housing units owned (Period end)]]</f>
        <v>2417</v>
      </c>
      <c r="CK180" s="103">
        <v>0</v>
      </c>
      <c r="CL180" s="6">
        <f xml:space="preserve"> -- ( VfM_Metrics_2023_Consol_Source[[#This Row],[% Supported housing (excl. HOP)]] &gt; 0.3 )</f>
        <v>0</v>
      </c>
      <c r="CM180" s="103">
        <v>5.293631100082713E-2</v>
      </c>
      <c r="CN180" s="6">
        <f xml:space="preserve"> -- ( VfM_Metrics_2023_Consol_Source[[#This Row],[% Housing for older people]] &gt; 0.3 )</f>
        <v>0</v>
      </c>
      <c r="CO180" s="103">
        <f xml:space="preserve"> VfM_Metrics_2023_Consol_Source[[#This Row],[% Supported housing (excl. HOP)]] + VfM_Metrics_2023_Consol_Source[[#This Row],[% Housing for older people]]</f>
        <v>5.293631100082713E-2</v>
      </c>
      <c r="CP180" s="6">
        <f xml:space="preserve"> -- ( VfM_Metrics_2023_Consol_Source[[#This Row],[SH specialist in RSH analysis]] + VfM_Metrics_2023_Consol_Source[[#This Row],[OP specialist in RSH analysis]] &gt; 0 )</f>
        <v>0</v>
      </c>
      <c r="CQ180" s="10">
        <f xml:space="preserve"> -- ( VfM_Metrics_2023_Consol_Source[[#This Row],[% SH and OP]] &gt; 0.3 )</f>
        <v>0</v>
      </c>
      <c r="CR180" s="104" t="s">
        <v>143</v>
      </c>
      <c r="CS180" s="124" t="s">
        <v>144</v>
      </c>
      <c r="CT180" s="105"/>
      <c r="CU18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80" s="85">
        <v>0</v>
      </c>
      <c r="CW180" s="85">
        <v>0</v>
      </c>
      <c r="CX180" s="85">
        <v>0</v>
      </c>
      <c r="CY180" s="85">
        <v>0</v>
      </c>
      <c r="CZ180" s="85">
        <v>1</v>
      </c>
      <c r="DA180" s="85">
        <v>0</v>
      </c>
      <c r="DB180" s="85">
        <v>0</v>
      </c>
      <c r="DC180" s="85">
        <v>0</v>
      </c>
      <c r="DD180" s="85">
        <v>0</v>
      </c>
      <c r="DE180" s="13">
        <v>0.96459033333600952</v>
      </c>
    </row>
    <row r="181" spans="1:109" x14ac:dyDescent="0.25">
      <c r="A181" s="4" t="s" vm="241">
        <v>486</v>
      </c>
      <c r="B181" s="2" t="s" vm="171">
        <v>487</v>
      </c>
      <c r="C181" s="72" vm="589">
        <v>45016</v>
      </c>
      <c r="D181" s="7">
        <f>IFERROR( VfM_Metrics_2023_Consol_Source[[#This Row],[Reinvestment Spend]] / VfM_Metrics_2023_Consol_Source[[#This Row],[Net Book Value of Housing Properties]], "n/a" )</f>
        <v>8.0248061816082406E-2</v>
      </c>
      <c r="E18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324419</v>
      </c>
      <c r="F181" s="83" vm="8374">
        <v>240109</v>
      </c>
      <c r="G181" s="83" vm="1495">
        <v>0</v>
      </c>
      <c r="H181" s="83" vm="1496">
        <v>84310</v>
      </c>
      <c r="I181" s="83" vm="1497">
        <v>0</v>
      </c>
      <c r="J181" s="83" vm="1498">
        <v>0</v>
      </c>
      <c r="K181" s="5">
        <f xml:space="preserve"> SUM( VfM_Metrics_2023_Consol_Source[[#This Row],[Tangible fixed assets: Housing properties at cost (Current period)]],VfM_Metrics_2023_Consol_Source[[#This Row],[Tangible fixed assets Housing properties at valuation (Current period)]] )</f>
        <v>4042702</v>
      </c>
      <c r="L181" s="84" vm="8079">
        <v>4042702</v>
      </c>
      <c r="M181" s="83" vm="8430">
        <v>0</v>
      </c>
      <c r="N181" s="7">
        <f xml:space="preserve"> IFERROR( VfM_Metrics_2023_Consol_Source[[#This Row],[Total social units developed or newly built units acquired in-year]] / VfM_Metrics_2023_Consol_Source[[#This Row],[Social housing units owned (period end)]], "n/a" )</f>
        <v>1.2296729652170296E-2</v>
      </c>
      <c r="O181" s="5">
        <f xml:space="preserve"> SUM( VfM_Metrics_2023_Consol_Source[[#This Row],[Total social units developed or newly built units acquired in-year (owned)]], VfM_Metrics_2023_Consol_Source[[#This Row],[Total social leasehold units developed or newly built units acquired in-year (owned)]] )</f>
        <v>887</v>
      </c>
      <c r="P181" s="84" vm="8309">
        <v>863</v>
      </c>
      <c r="Q181" s="83" vm="8237">
        <v>24</v>
      </c>
      <c r="R181" s="5">
        <f xml:space="preserve"> SUM( VfM_Metrics_2023_Consol_Source[[#This Row],[Total social housing units owned (Period end)]], VfM_Metrics_2023_Consol_Source[[#This Row],[Total social leasehold units owned (Period end)]] )</f>
        <v>72133</v>
      </c>
      <c r="S181" s="84" vm="1494">
        <v>66944</v>
      </c>
      <c r="T181" s="83" vm="2045">
        <v>5189</v>
      </c>
      <c r="U181" s="86">
        <f xml:space="preserve"> IFERROR( VfM_Metrics_2023_Consol_Source[[#This Row],[Total non-social housing units developed or newly built units acquired (owned)]] / VfM_Metrics_2023_Consol_Source[[#This Row],[Total social and non-social housing units owned (Period end)]], "n/a" )</f>
        <v>6.5381279605043697E-4</v>
      </c>
      <c r="V18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49</v>
      </c>
      <c r="W181" s="83">
        <v>0</v>
      </c>
      <c r="X181" s="83">
        <v>0</v>
      </c>
      <c r="Y181" s="83" vm="7887">
        <v>49</v>
      </c>
      <c r="Z18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74945</v>
      </c>
      <c r="AA181" s="84" vm="1494">
        <v>66944</v>
      </c>
      <c r="AB181" s="83" vm="1501">
        <v>5189</v>
      </c>
      <c r="AC181" s="83" vm="1502">
        <v>1226</v>
      </c>
      <c r="AD181" s="83" vm="1402">
        <v>1586</v>
      </c>
      <c r="AE181" s="7">
        <f xml:space="preserve"> IFERROR( VfM_Metrics_2023_Consol_Source[[#This Row],[Total Net Debt]] / VfM_Metrics_2023_Consol_Source[[#This Row],[Net Book Value of Housing Properties2]], "n/a" )</f>
        <v>0.57264967835868186</v>
      </c>
      <c r="AF18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2315052</v>
      </c>
      <c r="AG181" s="84" vm="1503">
        <v>168661</v>
      </c>
      <c r="AH181" s="83" vm="8534">
        <v>2177105</v>
      </c>
      <c r="AI181" s="83" vm="8332">
        <v>32037</v>
      </c>
      <c r="AJ181" s="83" vm="8311">
        <v>0</v>
      </c>
      <c r="AK181" s="83" vm="7884">
        <v>1323</v>
      </c>
      <c r="AL181" s="5">
        <f xml:space="preserve"> SUM( VfM_Metrics_2023_Consol_Source[[#This Row],[Tangible fixed assets: Housing properties at cost (Current period)2]], VfM_Metrics_2023_Consol_Source[[#This Row],[Tangible fixed assets Housing properties at valuation (Current period)2]] )</f>
        <v>4042702</v>
      </c>
      <c r="AM181" s="84" vm="1499">
        <v>4042702</v>
      </c>
      <c r="AN181" s="83" vm="1500">
        <v>0</v>
      </c>
      <c r="AO181" s="87">
        <f xml:space="preserve"> IFERROR( VfM_Metrics_2023_Consol_Source[[#This Row],[EBITDA MRI]] / VfM_Metrics_2023_Consol_Source[[#This Row],[Total interest]], "n/a" )</f>
        <v>0.42451879883477173</v>
      </c>
      <c r="AP18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31186</v>
      </c>
      <c r="AQ181" s="84" vm="1504">
        <v>49244</v>
      </c>
      <c r="AR181" s="84" vm="1758">
        <v>17447</v>
      </c>
      <c r="AS181" s="84" vm="1505">
        <v>0</v>
      </c>
      <c r="AT181" s="84" vm="1506">
        <v>11748</v>
      </c>
      <c r="AU181" s="84" vm="1150">
        <v>0</v>
      </c>
      <c r="AV181" s="84" vm="1507">
        <v>6307</v>
      </c>
      <c r="AW181" s="84" vm="7881">
        <v>84310</v>
      </c>
      <c r="AX181" s="84" vm="1508">
        <v>89140</v>
      </c>
      <c r="AY181" s="3">
        <f xml:space="preserve"> - SUM( VfM_Metrics_2023_Consol_Source[[#This Row],[Interest capitalised]], VfM_Metrics_2023_Consol_Source[[#This Row],[Interest payable and financing costs]] )</f>
        <v>73462</v>
      </c>
      <c r="AZ181" s="84" vm="1509">
        <v>0</v>
      </c>
      <c r="BA181" s="83" vm="8306">
        <v>-73462</v>
      </c>
      <c r="BB181" s="8">
        <f xml:space="preserve"> IFERROR( ( VfM_Metrics_2023_Consol_Source[[#This Row],[Total Costs]] / VfM_Metrics_2023_Consol_Source[[#This Row],[Total units for costs]] ) * 1000, "n/a" )</f>
        <v>7330.474732006126</v>
      </c>
      <c r="BC18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502614</v>
      </c>
      <c r="BD181" s="84" vm="1510">
        <v>70458</v>
      </c>
      <c r="BE181" s="83" vm="1511">
        <v>153773</v>
      </c>
      <c r="BF181" s="83" vm="8368">
        <v>65141</v>
      </c>
      <c r="BG181" s="83" vm="1512">
        <v>37281</v>
      </c>
      <c r="BH181" s="83" vm="1513">
        <v>64529</v>
      </c>
      <c r="BI181" s="83" vm="1514">
        <v>231</v>
      </c>
      <c r="BJ181" s="83" vm="8328">
        <v>84310</v>
      </c>
      <c r="BK181" s="83" vm="1515">
        <v>0</v>
      </c>
      <c r="BL181" s="83" vm="1516">
        <v>0</v>
      </c>
      <c r="BM181" s="83" vm="1517">
        <v>0</v>
      </c>
      <c r="BN181" s="83" vm="1518">
        <v>26891</v>
      </c>
      <c r="BO181" s="83" vm="1519">
        <v>0</v>
      </c>
      <c r="BP181" s="5" vm="8235">
        <f xml:space="preserve"> VfM_Metrics_2023_Consol_Source[[#This Row],[Total social housing units owned and/or managed at period end]]</f>
        <v>68565</v>
      </c>
      <c r="BQ181" s="84" vm="8235">
        <v>68565</v>
      </c>
      <c r="BR181" s="7">
        <f xml:space="preserve"> IFERROR( VfM_Metrics_2023_Consol_Source[[#This Row],[SHL operating surplus / (deficit)]] / VfM_Metrics_2023_Consol_Source[[#This Row],[Turnover from social housing lettings]], "n/a" )</f>
        <v>5.2795440648093009E-2</v>
      </c>
      <c r="BS181" s="5" vm="1520">
        <f xml:space="preserve"> VfM_Metrics_2023_Consol_Source[[#This Row],[Operating surplus/(deficit) (social housing lettings)]]</f>
        <v>26420</v>
      </c>
      <c r="BT181" s="84" vm="1520">
        <v>26420</v>
      </c>
      <c r="BU181" s="5" vm="7115">
        <f xml:space="preserve"> VfM_Metrics_2023_Consol_Source[[#This Row],[Turnover from social housing lettings]]</f>
        <v>500422</v>
      </c>
      <c r="BV181" s="84" vm="7115">
        <v>500422</v>
      </c>
      <c r="BW181" s="7">
        <f xml:space="preserve"> IFERROR( VfM_Metrics_2023_Consol_Source[[#This Row],[Net operating surplus]] / VfM_Metrics_2023_Consol_Source[[#This Row],[Overall turnover]], "n/a" )</f>
        <v>5.0842254219265914E-2</v>
      </c>
      <c r="BX18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31797</v>
      </c>
      <c r="BY181" s="84" vm="1616">
        <v>49244</v>
      </c>
      <c r="BZ181" s="83" vm="8426">
        <v>17447</v>
      </c>
      <c r="CA181" s="83" vm="8297">
        <v>0</v>
      </c>
      <c r="CB181" s="5" vm="1521">
        <f xml:space="preserve"> VfM_Metrics_2023_Consol_Source[[#This Row],[Turnover (overall)]]</f>
        <v>625405</v>
      </c>
      <c r="CC181" s="84" vm="1521">
        <v>625405</v>
      </c>
      <c r="CD181" s="7">
        <f xml:space="preserve"> IFERROR( VfM_Metrics_2023_Consol_Source[[#This Row],[Operating surplus including from JVs]] / VfM_Metrics_2023_Consol_Source[[#This Row],[Net assets]], "n/a" )</f>
        <v>1.167005229263722E-2</v>
      </c>
      <c r="CE181" s="5">
        <f xml:space="preserve"> SUM( VfM_Metrics_2023_Consol_Source[[#This Row],[Operating surplus/(deficit) (overall)3]], VfM_Metrics_2023_Consol_Source[[#This Row],[Share of operating surplus/(deficit) in joint ventures or associates]] )</f>
        <v>52112</v>
      </c>
      <c r="CF181" s="84" vm="1504">
        <v>49244</v>
      </c>
      <c r="CG181" s="83" vm="8074">
        <v>2868</v>
      </c>
      <c r="CH181" s="5" vm="8514">
        <f xml:space="preserve"> VfM_Metrics_2023_Consol_Source[[#This Row],[Total assets less current liabilities]]</f>
        <v>4465447</v>
      </c>
      <c r="CI181" s="84" vm="8514">
        <v>4465447</v>
      </c>
      <c r="CJ181" s="71" vm="1494">
        <f xml:space="preserve"> VfM_Metrics_2023_Consol_Source[[#This Row],[Total social housing units owned (Period end)]]</f>
        <v>66944</v>
      </c>
      <c r="CK181" s="103">
        <v>8.265145493368245E-2</v>
      </c>
      <c r="CL181" s="6">
        <f xml:space="preserve"> -- ( VfM_Metrics_2023_Consol_Source[[#This Row],[% Supported housing (excl. HOP)]] &gt; 0.3 )</f>
        <v>0</v>
      </c>
      <c r="CM181" s="103">
        <v>7.7991303128068457E-2</v>
      </c>
      <c r="CN181" s="6">
        <f xml:space="preserve"> -- ( VfM_Metrics_2023_Consol_Source[[#This Row],[% Housing for older people]] &gt; 0.3 )</f>
        <v>0</v>
      </c>
      <c r="CO181" s="103">
        <f xml:space="preserve"> VfM_Metrics_2023_Consol_Source[[#This Row],[% Supported housing (excl. HOP)]] + VfM_Metrics_2023_Consol_Source[[#This Row],[% Housing for older people]]</f>
        <v>0.16064275806175091</v>
      </c>
      <c r="CP181" s="6">
        <f xml:space="preserve"> -- ( VfM_Metrics_2023_Consol_Source[[#This Row],[SH specialist in RSH analysis]] + VfM_Metrics_2023_Consol_Source[[#This Row],[OP specialist in RSH analysis]] &gt; 0 )</f>
        <v>0</v>
      </c>
      <c r="CQ181" s="10">
        <f xml:space="preserve"> -- ( VfM_Metrics_2023_Consol_Source[[#This Row],[% SH and OP]] &gt; 0.3 )</f>
        <v>0</v>
      </c>
      <c r="CR181" s="104" t="s">
        <v>143</v>
      </c>
      <c r="CS181" s="124" t="s">
        <v>144</v>
      </c>
      <c r="CT181" s="105"/>
      <c r="CU18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81" s="85">
        <v>0.21369905956112853</v>
      </c>
      <c r="CW181" s="85">
        <v>4.0658307210031351E-2</v>
      </c>
      <c r="CX181" s="85">
        <v>5.2037617554858938E-3</v>
      </c>
      <c r="CY181" s="85">
        <v>7.0799373040752345E-2</v>
      </c>
      <c r="CZ181" s="85">
        <v>1.3166144200626959E-2</v>
      </c>
      <c r="DA181" s="85">
        <v>8.1818181818181825E-3</v>
      </c>
      <c r="DB181" s="85">
        <v>6.4623824451410655E-2</v>
      </c>
      <c r="DC181" s="85">
        <v>0.54451410658307209</v>
      </c>
      <c r="DD181" s="85">
        <v>3.9153605015673984E-2</v>
      </c>
      <c r="DE181" s="13">
        <v>1.0016437324946263</v>
      </c>
    </row>
    <row r="182" spans="1:109" x14ac:dyDescent="0.25">
      <c r="A182" s="4" t="s" vm="282">
        <v>488</v>
      </c>
      <c r="B182" s="2" t="s" vm="172">
        <v>489</v>
      </c>
      <c r="C182" s="72" vm="507">
        <v>45016</v>
      </c>
      <c r="D182" s="7">
        <f>IFERROR( VfM_Metrics_2023_Consol_Source[[#This Row],[Reinvestment Spend]] / VfM_Metrics_2023_Consol_Source[[#This Row],[Net Book Value of Housing Properties]], "n/a" )</f>
        <v>0.10578079070029081</v>
      </c>
      <c r="E18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80860</v>
      </c>
      <c r="F182" s="83" vm="7783">
        <v>54086</v>
      </c>
      <c r="G182" s="83" vm="2725">
        <v>18890</v>
      </c>
      <c r="H182" s="83" vm="2726">
        <v>7884</v>
      </c>
      <c r="I182" s="83" vm="2727">
        <v>0</v>
      </c>
      <c r="J182" s="83" vm="2728">
        <v>0</v>
      </c>
      <c r="K182" s="5">
        <f xml:space="preserve"> SUM( VfM_Metrics_2023_Consol_Source[[#This Row],[Tangible fixed assets: Housing properties at cost (Current period)]],VfM_Metrics_2023_Consol_Source[[#This Row],[Tangible fixed assets Housing properties at valuation (Current period)]] )</f>
        <v>764411</v>
      </c>
      <c r="L182" s="84" vm="2729">
        <v>764411</v>
      </c>
      <c r="M182" s="83" vm="7934">
        <v>0</v>
      </c>
      <c r="N182" s="7">
        <f xml:space="preserve"> IFERROR( VfM_Metrics_2023_Consol_Source[[#This Row],[Total social units developed or newly built units acquired in-year]] / VfM_Metrics_2023_Consol_Source[[#This Row],[Social housing units owned (period end)]], "n/a" )</f>
        <v>3.4818637784400669E-2</v>
      </c>
      <c r="O182" s="5">
        <f xml:space="preserve"> SUM( VfM_Metrics_2023_Consol_Source[[#This Row],[Total social units developed or newly built units acquired in-year (owned)]], VfM_Metrics_2023_Consol_Source[[#This Row],[Total social leasehold units developed or newly built units acquired in-year (owned)]] )</f>
        <v>479</v>
      </c>
      <c r="P182" s="84" vm="2709">
        <v>479</v>
      </c>
      <c r="Q182" s="83" vm="2730">
        <v>0</v>
      </c>
      <c r="R182" s="5">
        <f xml:space="preserve"> SUM( VfM_Metrics_2023_Consol_Source[[#This Row],[Total social housing units owned (Period end)]], VfM_Metrics_2023_Consol_Source[[#This Row],[Total social leasehold units owned (Period end)]] )</f>
        <v>13757</v>
      </c>
      <c r="S182" s="84" vm="2169">
        <v>13167</v>
      </c>
      <c r="T182" s="83" vm="2731">
        <v>590</v>
      </c>
      <c r="U182" s="86">
        <f xml:space="preserve"> IFERROR( VfM_Metrics_2023_Consol_Source[[#This Row],[Total non-social housing units developed or newly built units acquired (owned)]] / VfM_Metrics_2023_Consol_Source[[#This Row],[Total social and non-social housing units owned (Period end)]], "n/a" )</f>
        <v>0</v>
      </c>
      <c r="V18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82" s="83" vm="7981">
        <v>0</v>
      </c>
      <c r="X182" s="83" vm="7975">
        <v>0</v>
      </c>
      <c r="Y182" s="83" vm="7931">
        <v>0</v>
      </c>
      <c r="Z18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13889</v>
      </c>
      <c r="AA182" s="84" vm="2724">
        <v>13167</v>
      </c>
      <c r="AB182" s="83" vm="2731">
        <v>590</v>
      </c>
      <c r="AC182" s="83" vm="7840">
        <v>132</v>
      </c>
      <c r="AD182" s="83" vm="7795">
        <v>0</v>
      </c>
      <c r="AE182" s="7">
        <f xml:space="preserve"> IFERROR( VfM_Metrics_2023_Consol_Source[[#This Row],[Total Net Debt]] / VfM_Metrics_2023_Consol_Source[[#This Row],[Net Book Value of Housing Properties2]], "n/a" )</f>
        <v>0.66619789615795688</v>
      </c>
      <c r="AF18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509249</v>
      </c>
      <c r="AG182" s="84" vm="7090">
        <v>0</v>
      </c>
      <c r="AH182" s="83" vm="7730">
        <v>540415</v>
      </c>
      <c r="AI182" s="83" vm="2732">
        <v>31166</v>
      </c>
      <c r="AJ182" s="83" vm="2733">
        <v>0</v>
      </c>
      <c r="AK182" s="83" vm="7216">
        <v>0</v>
      </c>
      <c r="AL182" s="5">
        <f xml:space="preserve"> SUM( VfM_Metrics_2023_Consol_Source[[#This Row],[Tangible fixed assets: Housing properties at cost (Current period)2]], VfM_Metrics_2023_Consol_Source[[#This Row],[Tangible fixed assets Housing properties at valuation (Current period)2]] )</f>
        <v>764411</v>
      </c>
      <c r="AM182" s="84" vm="2729">
        <v>764411</v>
      </c>
      <c r="AN182" s="83" vm="7086">
        <v>0</v>
      </c>
      <c r="AO182" s="87">
        <f xml:space="preserve"> IFERROR( VfM_Metrics_2023_Consol_Source[[#This Row],[EBITDA MRI]] / VfM_Metrics_2023_Consol_Source[[#This Row],[Total interest]], "n/a" )</f>
        <v>1.3644934911876574</v>
      </c>
      <c r="AP18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25471</v>
      </c>
      <c r="AQ182" s="84" vm="2734">
        <v>21224</v>
      </c>
      <c r="AR182" s="84" vm="2735">
        <v>1958</v>
      </c>
      <c r="AS182" s="84" vm="7974">
        <v>0</v>
      </c>
      <c r="AT182" s="84" vm="7089">
        <v>1212</v>
      </c>
      <c r="AU182" s="84" vm="2736">
        <v>0</v>
      </c>
      <c r="AV182" s="84" vm="2617">
        <v>432</v>
      </c>
      <c r="AW182" s="84" vm="2737">
        <v>7884</v>
      </c>
      <c r="AX182" s="84" vm="2812">
        <v>14869</v>
      </c>
      <c r="AY182" s="3">
        <f xml:space="preserve"> - SUM( VfM_Metrics_2023_Consol_Source[[#This Row],[Interest capitalised]], VfM_Metrics_2023_Consol_Source[[#This Row],[Interest payable and financing costs]] )</f>
        <v>18667</v>
      </c>
      <c r="AZ182" s="84" vm="2951">
        <v>0</v>
      </c>
      <c r="BA182" s="83" vm="2738">
        <v>-18667</v>
      </c>
      <c r="BB182" s="8">
        <f xml:space="preserve"> IFERROR( ( VfM_Metrics_2023_Consol_Source[[#This Row],[Total Costs]] / VfM_Metrics_2023_Consol_Source[[#This Row],[Total units for costs]] ) * 1000, "n/a" )</f>
        <v>4469.7783493456382</v>
      </c>
      <c r="BC18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59086</v>
      </c>
      <c r="BD182" s="84" vm="2739">
        <v>10421</v>
      </c>
      <c r="BE182" s="83" vm="2740">
        <v>13091</v>
      </c>
      <c r="BF182" s="83" vm="7794">
        <v>16678</v>
      </c>
      <c r="BG182" s="83" vm="2741">
        <v>0</v>
      </c>
      <c r="BH182" s="83" vm="2421">
        <v>9339</v>
      </c>
      <c r="BI182" s="83" vm="2742">
        <v>0</v>
      </c>
      <c r="BJ182" s="83" vm="7610">
        <v>7884</v>
      </c>
      <c r="BK182" s="83" vm="2743">
        <v>0</v>
      </c>
      <c r="BL182" s="83" vm="2744">
        <v>0</v>
      </c>
      <c r="BM182" s="83" vm="2595">
        <v>0</v>
      </c>
      <c r="BN182" s="83" vm="2745">
        <v>1673</v>
      </c>
      <c r="BO182" s="83" vm="2746">
        <v>0</v>
      </c>
      <c r="BP182" s="5" vm="7488">
        <f xml:space="preserve"> VfM_Metrics_2023_Consol_Source[[#This Row],[Total social housing units owned and/or managed at period end]]</f>
        <v>13219</v>
      </c>
      <c r="BQ182" s="84" vm="7488">
        <v>13219</v>
      </c>
      <c r="BR182" s="7">
        <f xml:space="preserve"> IFERROR( VfM_Metrics_2023_Consol_Source[[#This Row],[SHL operating surplus / (deficit)]] / VfM_Metrics_2023_Consol_Source[[#This Row],[Turnover from social housing lettings]], "n/a" )</f>
        <v>0.21200868513903626</v>
      </c>
      <c r="BS182" s="5" vm="2747">
        <f xml:space="preserve"> VfM_Metrics_2023_Consol_Source[[#This Row],[Operating surplus/(deficit) (social housing lettings)]]</f>
        <v>17185</v>
      </c>
      <c r="BT182" s="84" vm="2747">
        <v>17185</v>
      </c>
      <c r="BU182" s="5" vm="2748">
        <f xml:space="preserve"> VfM_Metrics_2023_Consol_Source[[#This Row],[Turnover from social housing lettings]]</f>
        <v>81058</v>
      </c>
      <c r="BV182" s="84" vm="2748">
        <v>81058</v>
      </c>
      <c r="BW182" s="7">
        <f xml:space="preserve"> IFERROR( VfM_Metrics_2023_Consol_Source[[#This Row],[Net operating surplus]] / VfM_Metrics_2023_Consol_Source[[#This Row],[Overall turnover]], "n/a" )</f>
        <v>0.18696685913921102</v>
      </c>
      <c r="BX18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19266</v>
      </c>
      <c r="BY182" s="84" vm="7609">
        <v>21224</v>
      </c>
      <c r="BZ182" s="83" vm="2735">
        <v>1958</v>
      </c>
      <c r="CA182" s="83" vm="7862">
        <v>0</v>
      </c>
      <c r="CB182" s="5" vm="2749">
        <f xml:space="preserve"> VfM_Metrics_2023_Consol_Source[[#This Row],[Turnover (overall)]]</f>
        <v>103045</v>
      </c>
      <c r="CC182" s="84" vm="2749">
        <v>103045</v>
      </c>
      <c r="CD182" s="7">
        <f xml:space="preserve"> IFERROR( VfM_Metrics_2023_Consol_Source[[#This Row],[Operating surplus including from JVs]] / VfM_Metrics_2023_Consol_Source[[#This Row],[Net assets]], "n/a" )</f>
        <v>2.6659063189666977E-2</v>
      </c>
      <c r="CE182" s="5">
        <f xml:space="preserve"> SUM( VfM_Metrics_2023_Consol_Source[[#This Row],[Operating surplus/(deficit) (overall)3]], VfM_Metrics_2023_Consol_Source[[#This Row],[Share of operating surplus/(deficit) in joint ventures or associates]] )</f>
        <v>21224</v>
      </c>
      <c r="CF182" s="84" vm="2734">
        <v>21224</v>
      </c>
      <c r="CG182" s="83" vm="2751">
        <v>0</v>
      </c>
      <c r="CH182" s="5" vm="2750">
        <f xml:space="preserve"> VfM_Metrics_2023_Consol_Source[[#This Row],[Total assets less current liabilities]]</f>
        <v>796127</v>
      </c>
      <c r="CI182" s="84" vm="2750">
        <v>796127</v>
      </c>
      <c r="CJ182" s="71" vm="2169">
        <f xml:space="preserve"> VfM_Metrics_2023_Consol_Source[[#This Row],[Total social housing units owned (Period end)]]</f>
        <v>13167</v>
      </c>
      <c r="CK182" s="103">
        <v>6.8053219146658513E-3</v>
      </c>
      <c r="CL182" s="6">
        <f xml:space="preserve"> -- ( VfM_Metrics_2023_Consol_Source[[#This Row],[% Supported housing (excl. HOP)]] &gt; 0.3 )</f>
        <v>0</v>
      </c>
      <c r="CM182" s="103">
        <v>9.9938828567059185E-2</v>
      </c>
      <c r="CN182" s="6">
        <f xml:space="preserve"> -- ( VfM_Metrics_2023_Consol_Source[[#This Row],[% Housing for older people]] &gt; 0.3 )</f>
        <v>0</v>
      </c>
      <c r="CO182" s="103">
        <f xml:space="preserve"> VfM_Metrics_2023_Consol_Source[[#This Row],[% Supported housing (excl. HOP)]] + VfM_Metrics_2023_Consol_Source[[#This Row],[% Housing for older people]]</f>
        <v>0.10674415048172503</v>
      </c>
      <c r="CP182" s="6">
        <f xml:space="preserve"> -- ( VfM_Metrics_2023_Consol_Source[[#This Row],[SH specialist in RSH analysis]] + VfM_Metrics_2023_Consol_Source[[#This Row],[OP specialist in RSH analysis]] &gt; 0 )</f>
        <v>0</v>
      </c>
      <c r="CQ182" s="10">
        <f xml:space="preserve"> -- ( VfM_Metrics_2023_Consol_Source[[#This Row],[% SH and OP]] &gt; 0.3 )</f>
        <v>0</v>
      </c>
      <c r="CR182" s="104" t="s">
        <v>143</v>
      </c>
      <c r="CS182" s="124"/>
      <c r="CT182" s="105" t="s">
        <v>151</v>
      </c>
      <c r="CU18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82" s="85">
        <v>0</v>
      </c>
      <c r="CW182" s="85">
        <v>0</v>
      </c>
      <c r="CX182" s="85">
        <v>0</v>
      </c>
      <c r="CY182" s="85">
        <v>0</v>
      </c>
      <c r="CZ182" s="85">
        <v>1</v>
      </c>
      <c r="DA182" s="85">
        <v>0</v>
      </c>
      <c r="DB182" s="85">
        <v>0</v>
      </c>
      <c r="DC182" s="85">
        <v>0</v>
      </c>
      <c r="DD182" s="85">
        <v>0</v>
      </c>
      <c r="DE182" s="13">
        <v>0.96459033333600952</v>
      </c>
    </row>
    <row r="183" spans="1:109" x14ac:dyDescent="0.25">
      <c r="A183" s="4" t="s" vm="260">
        <v>490</v>
      </c>
      <c r="B183" s="2" t="s" vm="173">
        <v>491</v>
      </c>
      <c r="C183" s="72" vm="491">
        <v>45016</v>
      </c>
      <c r="D183" s="7">
        <f>IFERROR( VfM_Metrics_2023_Consol_Source[[#This Row],[Reinvestment Spend]] / VfM_Metrics_2023_Consol_Source[[#This Row],[Net Book Value of Housing Properties]], "n/a" )</f>
        <v>8.0893243048552083E-2</v>
      </c>
      <c r="E18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98259</v>
      </c>
      <c r="F183" s="83" vm="8099">
        <v>64302</v>
      </c>
      <c r="G183" s="83" vm="2038">
        <v>10915</v>
      </c>
      <c r="H183" s="83" vm="2039">
        <v>22045</v>
      </c>
      <c r="I183" s="83" vm="8123">
        <v>997</v>
      </c>
      <c r="J183" s="83" vm="7807">
        <v>0</v>
      </c>
      <c r="K183" s="5">
        <f xml:space="preserve"> SUM( VfM_Metrics_2023_Consol_Source[[#This Row],[Tangible fixed assets: Housing properties at cost (Current period)]],VfM_Metrics_2023_Consol_Source[[#This Row],[Tangible fixed assets Housing properties at valuation (Current period)]] )</f>
        <v>1214675</v>
      </c>
      <c r="L183" s="84" vm="2041">
        <v>1214675</v>
      </c>
      <c r="M183" s="83" vm="2042">
        <v>0</v>
      </c>
      <c r="N183" s="7">
        <f xml:space="preserve"> IFERROR( VfM_Metrics_2023_Consol_Source[[#This Row],[Total social units developed or newly built units acquired in-year]] / VfM_Metrics_2023_Consol_Source[[#This Row],[Social housing units owned (period end)]], "n/a" )</f>
        <v>1.2349875368230229E-2</v>
      </c>
      <c r="O183" s="5">
        <f xml:space="preserve"> SUM( VfM_Metrics_2023_Consol_Source[[#This Row],[Total social units developed or newly built units acquired in-year (owned)]], VfM_Metrics_2023_Consol_Source[[#This Row],[Total social leasehold units developed or newly built units acquired in-year (owned)]] )</f>
        <v>436</v>
      </c>
      <c r="P183" s="84" vm="2043">
        <v>436</v>
      </c>
      <c r="Q183" s="83" vm="2044">
        <v>0</v>
      </c>
      <c r="R183" s="5">
        <f xml:space="preserve"> SUM( VfM_Metrics_2023_Consol_Source[[#This Row],[Total social housing units owned (Period end)]], VfM_Metrics_2023_Consol_Source[[#This Row],[Total social leasehold units owned (Period end)]] )</f>
        <v>35304</v>
      </c>
      <c r="S183" s="84" vm="2037">
        <v>34579</v>
      </c>
      <c r="T183" s="83" vm="3398">
        <v>725</v>
      </c>
      <c r="U183" s="86">
        <f xml:space="preserve"> IFERROR( VfM_Metrics_2023_Consol_Source[[#This Row],[Total non-social housing units developed or newly built units acquired (owned)]] / VfM_Metrics_2023_Consol_Source[[#This Row],[Total social and non-social housing units owned (Period end)]], "n/a" )</f>
        <v>5.3412796581581016E-4</v>
      </c>
      <c r="V18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19</v>
      </c>
      <c r="W183" s="83" vm="2046">
        <v>0</v>
      </c>
      <c r="X183" s="83" vm="7806">
        <v>0</v>
      </c>
      <c r="Y183" s="83" vm="7906">
        <v>19</v>
      </c>
      <c r="Z18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35572</v>
      </c>
      <c r="AA183" s="84" vm="2037">
        <v>34579</v>
      </c>
      <c r="AB183" s="83" vm="2045">
        <v>725</v>
      </c>
      <c r="AC183" s="83" vm="2047">
        <v>178</v>
      </c>
      <c r="AD183" s="83" vm="2075">
        <v>90</v>
      </c>
      <c r="AE183" s="7">
        <f xml:space="preserve"> IFERROR( VfM_Metrics_2023_Consol_Source[[#This Row],[Total Net Debt]] / VfM_Metrics_2023_Consol_Source[[#This Row],[Net Book Value of Housing Properties2]], "n/a" )</f>
        <v>0.2295988638936341</v>
      </c>
      <c r="AF18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278888</v>
      </c>
      <c r="AG183" s="84" vm="2048">
        <v>19509</v>
      </c>
      <c r="AH183" s="83" vm="7879">
        <v>310718</v>
      </c>
      <c r="AI183" s="83" vm="2049">
        <v>51339</v>
      </c>
      <c r="AJ183" s="83" vm="2050">
        <v>0</v>
      </c>
      <c r="AK183" s="83" vm="8142">
        <v>0</v>
      </c>
      <c r="AL183" s="5">
        <f xml:space="preserve"> SUM( VfM_Metrics_2023_Consol_Source[[#This Row],[Tangible fixed assets: Housing properties at cost (Current period)2]], VfM_Metrics_2023_Consol_Source[[#This Row],[Tangible fixed assets Housing properties at valuation (Current period)2]] )</f>
        <v>1214675</v>
      </c>
      <c r="AM183" s="84" vm="2041">
        <v>1214675</v>
      </c>
      <c r="AN183" s="83" vm="2042">
        <v>0</v>
      </c>
      <c r="AO183" s="87">
        <f xml:space="preserve"> IFERROR( VfM_Metrics_2023_Consol_Source[[#This Row],[EBITDA MRI]] / VfM_Metrics_2023_Consol_Source[[#This Row],[Total interest]], "n/a" )</f>
        <v>2.2645633935956515</v>
      </c>
      <c r="AP18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38330</v>
      </c>
      <c r="AQ183" s="84" vm="2051">
        <v>39769</v>
      </c>
      <c r="AR183" s="84" vm="2052">
        <v>3187</v>
      </c>
      <c r="AS183" s="84" vm="8162">
        <v>9</v>
      </c>
      <c r="AT183" s="84" vm="7973">
        <v>1317</v>
      </c>
      <c r="AU183" s="84" vm="2054">
        <v>274</v>
      </c>
      <c r="AV183" s="84" vm="1278">
        <v>695</v>
      </c>
      <c r="AW183" s="84" vm="2055">
        <v>31145</v>
      </c>
      <c r="AX183" s="84" vm="2056">
        <v>33798</v>
      </c>
      <c r="AY183" s="3">
        <f xml:space="preserve"> - SUM( VfM_Metrics_2023_Consol_Source[[#This Row],[Interest capitalised]], VfM_Metrics_2023_Consol_Source[[#This Row],[Interest payable and financing costs]] )</f>
        <v>16926</v>
      </c>
      <c r="AZ183" s="84" vm="2045">
        <v>-1040</v>
      </c>
      <c r="BA183" s="83" vm="2057">
        <v>-15886</v>
      </c>
      <c r="BB183" s="8">
        <f xml:space="preserve"> IFERROR( ( VfM_Metrics_2023_Consol_Source[[#This Row],[Total Costs]] / VfM_Metrics_2023_Consol_Source[[#This Row],[Total units for costs]] ) * 1000, "n/a" )</f>
        <v>4009.8044869946366</v>
      </c>
      <c r="BC18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139052</v>
      </c>
      <c r="BD183" s="84" vm="2058">
        <v>27131</v>
      </c>
      <c r="BE183" s="83" vm="2059">
        <v>14014</v>
      </c>
      <c r="BF183" s="83" vm="2060">
        <v>37962</v>
      </c>
      <c r="BG183" s="83" vm="2061">
        <v>6404</v>
      </c>
      <c r="BH183" s="83" vm="2515">
        <v>12777</v>
      </c>
      <c r="BI183" s="83" vm="8068">
        <v>0</v>
      </c>
      <c r="BJ183" s="83" vm="2055">
        <v>31145</v>
      </c>
      <c r="BK183" s="83" vm="2062">
        <v>0</v>
      </c>
      <c r="BL183" s="83" vm="2063">
        <v>750</v>
      </c>
      <c r="BM183" s="83" vm="8053">
        <v>2086</v>
      </c>
      <c r="BN183" s="83" vm="2064">
        <v>4730</v>
      </c>
      <c r="BO183" s="83" vm="2274">
        <v>2053</v>
      </c>
      <c r="BP183" s="5" vm="7113">
        <f xml:space="preserve"> VfM_Metrics_2023_Consol_Source[[#This Row],[Total social housing units owned and/or managed at period end]]</f>
        <v>34678</v>
      </c>
      <c r="BQ183" s="84" vm="7113">
        <v>34678</v>
      </c>
      <c r="BR183" s="7">
        <f xml:space="preserve"> IFERROR( VfM_Metrics_2023_Consol_Source[[#This Row],[SHL operating surplus / (deficit)]] / VfM_Metrics_2023_Consol_Source[[#This Row],[Turnover from social housing lettings]], "n/a" )</f>
        <v>0.24834574518546629</v>
      </c>
      <c r="BS183" s="5" vm="7112">
        <f xml:space="preserve"> VfM_Metrics_2023_Consol_Source[[#This Row],[Operating surplus/(deficit) (social housing lettings)]]</f>
        <v>41885</v>
      </c>
      <c r="BT183" s="84" vm="7112">
        <v>41885</v>
      </c>
      <c r="BU183" s="5" vm="8244">
        <f xml:space="preserve"> VfM_Metrics_2023_Consol_Source[[#This Row],[Turnover from social housing lettings]]</f>
        <v>168656</v>
      </c>
      <c r="BV183" s="84" vm="8244">
        <v>168656</v>
      </c>
      <c r="BW183" s="7">
        <f xml:space="preserve"> IFERROR( VfM_Metrics_2023_Consol_Source[[#This Row],[Net operating surplus]] / VfM_Metrics_2023_Consol_Source[[#This Row],[Overall turnover]], "n/a" )</f>
        <v>0.18475037760344315</v>
      </c>
      <c r="BX18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36573</v>
      </c>
      <c r="BY183" s="84" vm="4397">
        <v>39769</v>
      </c>
      <c r="BZ183" s="83" vm="2052">
        <v>3187</v>
      </c>
      <c r="CA183" s="83" vm="2053">
        <v>9</v>
      </c>
      <c r="CB183" s="5" vm="2065">
        <f xml:space="preserve"> VfM_Metrics_2023_Consol_Source[[#This Row],[Turnover (overall)]]</f>
        <v>197959</v>
      </c>
      <c r="CC183" s="84" vm="2065">
        <v>197959</v>
      </c>
      <c r="CD183" s="7">
        <f xml:space="preserve"> IFERROR( VfM_Metrics_2023_Consol_Source[[#This Row],[Operating surplus including from JVs]] / VfM_Metrics_2023_Consol_Source[[#This Row],[Net assets]], "n/a" )</f>
        <v>3.1602452291175802E-2</v>
      </c>
      <c r="CE183" s="5">
        <f xml:space="preserve"> SUM( VfM_Metrics_2023_Consol_Source[[#This Row],[Operating surplus/(deficit) (overall)3]], VfM_Metrics_2023_Consol_Source[[#This Row],[Share of operating surplus/(deficit) in joint ventures or associates]] )</f>
        <v>39769</v>
      </c>
      <c r="CF183" s="84" vm="2051">
        <v>39769</v>
      </c>
      <c r="CG183" s="83" vm="8140">
        <v>0</v>
      </c>
      <c r="CH183" s="5" vm="2066">
        <f xml:space="preserve"> VfM_Metrics_2023_Consol_Source[[#This Row],[Total assets less current liabilities]]</f>
        <v>1258415</v>
      </c>
      <c r="CI183" s="84" vm="2066">
        <v>1258415</v>
      </c>
      <c r="CJ183" s="71" vm="2037">
        <f xml:space="preserve"> VfM_Metrics_2023_Consol_Source[[#This Row],[Total social housing units owned (Period end)]]</f>
        <v>34579</v>
      </c>
      <c r="CK183" s="103">
        <v>7.311341282966316E-3</v>
      </c>
      <c r="CL183" s="6">
        <f xml:space="preserve"> -- ( VfM_Metrics_2023_Consol_Source[[#This Row],[% Supported housing (excl. HOP)]] &gt; 0.3 )</f>
        <v>0</v>
      </c>
      <c r="CM183" s="103">
        <v>6.8964516784170371E-2</v>
      </c>
      <c r="CN183" s="6">
        <f xml:space="preserve"> -- ( VfM_Metrics_2023_Consol_Source[[#This Row],[% Housing for older people]] &gt; 0.3 )</f>
        <v>0</v>
      </c>
      <c r="CO183" s="103">
        <f xml:space="preserve"> VfM_Metrics_2023_Consol_Source[[#This Row],[% Supported housing (excl. HOP)]] + VfM_Metrics_2023_Consol_Source[[#This Row],[% Housing for older people]]</f>
        <v>7.6275858067136687E-2</v>
      </c>
      <c r="CP183" s="6">
        <f xml:space="preserve"> -- ( VfM_Metrics_2023_Consol_Source[[#This Row],[SH specialist in RSH analysis]] + VfM_Metrics_2023_Consol_Source[[#This Row],[OP specialist in RSH analysis]] &gt; 0 )</f>
        <v>0</v>
      </c>
      <c r="CQ183" s="10">
        <f xml:space="preserve"> -- ( VfM_Metrics_2023_Consol_Source[[#This Row],[% SH and OP]] &gt; 0.3 )</f>
        <v>0</v>
      </c>
      <c r="CR183" s="104" t="s">
        <v>143</v>
      </c>
      <c r="CS183" s="124"/>
      <c r="CT183" s="105" t="s">
        <v>151</v>
      </c>
      <c r="CU18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East</v>
      </c>
      <c r="CV183" s="85">
        <v>0</v>
      </c>
      <c r="CW183" s="85">
        <v>0</v>
      </c>
      <c r="CX183" s="85">
        <v>0</v>
      </c>
      <c r="CY183" s="85">
        <v>0</v>
      </c>
      <c r="CZ183" s="85">
        <v>0</v>
      </c>
      <c r="DA183" s="85">
        <v>2.8920122621319915E-5</v>
      </c>
      <c r="DB183" s="85">
        <v>0.95390132454161602</v>
      </c>
      <c r="DC183" s="85">
        <v>0</v>
      </c>
      <c r="DD183" s="85">
        <v>4.6069755335762623E-2</v>
      </c>
      <c r="DE183" s="13">
        <v>0.90830322862745783</v>
      </c>
    </row>
    <row r="184" spans="1:109" x14ac:dyDescent="0.25">
      <c r="A184" s="4" t="s" vm="319">
        <v>492</v>
      </c>
      <c r="B184" s="2" t="s" vm="174">
        <v>493</v>
      </c>
      <c r="C184" s="72" vm="539">
        <v>45016</v>
      </c>
      <c r="D184" s="7">
        <f>IFERROR( VfM_Metrics_2023_Consol_Source[[#This Row],[Reinvestment Spend]] / VfM_Metrics_2023_Consol_Source[[#This Row],[Net Book Value of Housing Properties]], "n/a" )</f>
        <v>0.18419459149021175</v>
      </c>
      <c r="E18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59013</v>
      </c>
      <c r="F184" s="83" vm="4112">
        <v>52699</v>
      </c>
      <c r="G184" s="83" vm="3995">
        <v>0</v>
      </c>
      <c r="H184" s="83" vm="3996">
        <v>5098</v>
      </c>
      <c r="I184" s="83" vm="3997">
        <v>1216</v>
      </c>
      <c r="J184" s="83" vm="3998">
        <v>0</v>
      </c>
      <c r="K184" s="5">
        <f xml:space="preserve"> SUM( VfM_Metrics_2023_Consol_Source[[#This Row],[Tangible fixed assets: Housing properties at cost (Current period)]],VfM_Metrics_2023_Consol_Source[[#This Row],[Tangible fixed assets Housing properties at valuation (Current period)]] )</f>
        <v>320384</v>
      </c>
      <c r="L184" s="84" vm="3999">
        <v>320384</v>
      </c>
      <c r="M184" s="83" vm="4000">
        <v>0</v>
      </c>
      <c r="N184" s="7">
        <f xml:space="preserve"> IFERROR( VfM_Metrics_2023_Consol_Source[[#This Row],[Total social units developed or newly built units acquired in-year]] / VfM_Metrics_2023_Consol_Source[[#This Row],[Social housing units owned (period end)]], "n/a" )</f>
        <v>1.1534236543390699E-2</v>
      </c>
      <c r="O184" s="5">
        <f xml:space="preserve"> SUM( VfM_Metrics_2023_Consol_Source[[#This Row],[Total social units developed or newly built units acquired in-year (owned)]], VfM_Metrics_2023_Consol_Source[[#This Row],[Total social leasehold units developed or newly built units acquired in-year (owned)]] )</f>
        <v>63</v>
      </c>
      <c r="P184" s="84" vm="4421">
        <v>63</v>
      </c>
      <c r="Q184" s="83" vm="4001">
        <v>0</v>
      </c>
      <c r="R184" s="5">
        <f xml:space="preserve"> SUM( VfM_Metrics_2023_Consol_Source[[#This Row],[Total social housing units owned (Period end)]], VfM_Metrics_2023_Consol_Source[[#This Row],[Total social leasehold units owned (Period end)]] )</f>
        <v>5462</v>
      </c>
      <c r="S184" s="84" vm="3993">
        <v>4831</v>
      </c>
      <c r="T184" s="83" vm="4002">
        <v>631</v>
      </c>
      <c r="U184" s="86">
        <f xml:space="preserve"> IFERROR( VfM_Metrics_2023_Consol_Source[[#This Row],[Total non-social housing units developed or newly built units acquired (owned)]] / VfM_Metrics_2023_Consol_Source[[#This Row],[Total social and non-social housing units owned (Period end)]], "n/a" )</f>
        <v>0</v>
      </c>
      <c r="V18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84" s="83" vm="4003">
        <v>0</v>
      </c>
      <c r="X184" s="83" vm="4004">
        <v>0</v>
      </c>
      <c r="Y184" s="83" vm="4005">
        <v>0</v>
      </c>
      <c r="Z18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5529</v>
      </c>
      <c r="AA184" s="84" vm="3993">
        <v>4831</v>
      </c>
      <c r="AB184" s="83" vm="2731">
        <v>631</v>
      </c>
      <c r="AC184" s="83" vm="7297">
        <v>67</v>
      </c>
      <c r="AD184" s="83" vm="4006">
        <v>0</v>
      </c>
      <c r="AE184" s="7">
        <f xml:space="preserve"> IFERROR( VfM_Metrics_2023_Consol_Source[[#This Row],[Total Net Debt]] / VfM_Metrics_2023_Consol_Source[[#This Row],[Net Book Value of Housing Properties2]], "n/a" )</f>
        <v>0.68757491010787053</v>
      </c>
      <c r="AF18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220288</v>
      </c>
      <c r="AG184" s="84" vm="4007">
        <v>0</v>
      </c>
      <c r="AH184" s="83" vm="4008">
        <v>248037</v>
      </c>
      <c r="AI184" s="83" vm="7361">
        <v>27749</v>
      </c>
      <c r="AJ184" s="83" vm="4009">
        <v>0</v>
      </c>
      <c r="AK184" s="83" vm="4010">
        <v>0</v>
      </c>
      <c r="AL184" s="5">
        <f xml:space="preserve"> SUM( VfM_Metrics_2023_Consol_Source[[#This Row],[Tangible fixed assets: Housing properties at cost (Current period)2]], VfM_Metrics_2023_Consol_Source[[#This Row],[Tangible fixed assets Housing properties at valuation (Current period)2]] )</f>
        <v>320384</v>
      </c>
      <c r="AM184" s="84" vm="3999">
        <v>320384</v>
      </c>
      <c r="AN184" s="83" vm="7438">
        <v>0</v>
      </c>
      <c r="AO184" s="87">
        <f xml:space="preserve"> IFERROR( VfM_Metrics_2023_Consol_Source[[#This Row],[EBITDA MRI]] / VfM_Metrics_2023_Consol_Source[[#This Row],[Total interest]], "n/a" )</f>
        <v>1.4530750605326876</v>
      </c>
      <c r="AP18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15003</v>
      </c>
      <c r="AQ184" s="84" vm="4011">
        <v>17195</v>
      </c>
      <c r="AR184" s="84" vm="7360">
        <v>3215</v>
      </c>
      <c r="AS184" s="84" vm="4047">
        <v>0</v>
      </c>
      <c r="AT184" s="84" vm="4013">
        <v>172</v>
      </c>
      <c r="AU184" s="84" vm="4014">
        <v>0</v>
      </c>
      <c r="AV184" s="84" vm="7168">
        <v>1244</v>
      </c>
      <c r="AW184" s="84" vm="4015">
        <v>5822</v>
      </c>
      <c r="AX184" s="84" vm="4016">
        <v>5773</v>
      </c>
      <c r="AY184" s="3">
        <f xml:space="preserve"> - SUM( VfM_Metrics_2023_Consol_Source[[#This Row],[Interest capitalised]], VfM_Metrics_2023_Consol_Source[[#This Row],[Interest payable and financing costs]] )</f>
        <v>10325</v>
      </c>
      <c r="AZ184" s="84" vm="7528">
        <v>-1216</v>
      </c>
      <c r="BA184" s="83" vm="4017">
        <v>-9109</v>
      </c>
      <c r="BB184" s="8">
        <f xml:space="preserve"> IFERROR( ( VfM_Metrics_2023_Consol_Source[[#This Row],[Total Costs]] / VfM_Metrics_2023_Consol_Source[[#This Row],[Total units for costs]] ) * 1000, "n/a" )</f>
        <v>4882.4457593688358</v>
      </c>
      <c r="BC18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24754</v>
      </c>
      <c r="BD184" s="84" vm="7434">
        <v>9676</v>
      </c>
      <c r="BE184" s="83" vm="4018">
        <v>1668</v>
      </c>
      <c r="BF184" s="83" vm="4019">
        <v>5491</v>
      </c>
      <c r="BG184" s="83" vm="4020">
        <v>1623</v>
      </c>
      <c r="BH184" s="83" vm="4021">
        <v>0</v>
      </c>
      <c r="BI184" s="83" vm="4022">
        <v>0</v>
      </c>
      <c r="BJ184" s="83" vm="4015">
        <v>5822</v>
      </c>
      <c r="BK184" s="83" vm="4023">
        <v>0</v>
      </c>
      <c r="BL184" s="83" vm="3731">
        <v>474</v>
      </c>
      <c r="BM184" s="83" vm="7433">
        <v>0</v>
      </c>
      <c r="BN184" s="83" vm="4024">
        <v>0</v>
      </c>
      <c r="BO184" s="83" vm="4025">
        <v>0</v>
      </c>
      <c r="BP184" s="5" vm="3994">
        <f xml:space="preserve"> VfM_Metrics_2023_Consol_Source[[#This Row],[Total social housing units owned and/or managed at period end]]</f>
        <v>5070</v>
      </c>
      <c r="BQ184" s="84" vm="3994">
        <v>5070</v>
      </c>
      <c r="BR184" s="7">
        <f xml:space="preserve"> IFERROR( VfM_Metrics_2023_Consol_Source[[#This Row],[SHL operating surplus / (deficit)]] / VfM_Metrics_2023_Consol_Source[[#This Row],[Turnover from social housing lettings]], "n/a" )</f>
        <v>0.22117624223602483</v>
      </c>
      <c r="BS184" s="5" vm="4026">
        <f xml:space="preserve"> VfM_Metrics_2023_Consol_Source[[#This Row],[Operating surplus/(deficit) (social housing lettings)]]</f>
        <v>6837</v>
      </c>
      <c r="BT184" s="84" vm="4026">
        <v>6837</v>
      </c>
      <c r="BU184" s="5" vm="4151">
        <f xml:space="preserve"> VfM_Metrics_2023_Consol_Source[[#This Row],[Turnover from social housing lettings]]</f>
        <v>30912</v>
      </c>
      <c r="BV184" s="84" vm="4151">
        <v>30912</v>
      </c>
      <c r="BW184" s="7">
        <f xml:space="preserve"> IFERROR( VfM_Metrics_2023_Consol_Source[[#This Row],[Net operating surplus]] / VfM_Metrics_2023_Consol_Source[[#This Row],[Overall turnover]], "n/a" )</f>
        <v>0.28950692704342607</v>
      </c>
      <c r="BX18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13980</v>
      </c>
      <c r="BY184" s="84" vm="4011">
        <v>17195</v>
      </c>
      <c r="BZ184" s="83" vm="4012">
        <v>3215</v>
      </c>
      <c r="CA184" s="83" vm="4128">
        <v>0</v>
      </c>
      <c r="CB184" s="5" vm="4027">
        <f xml:space="preserve"> VfM_Metrics_2023_Consol_Source[[#This Row],[Turnover (overall)]]</f>
        <v>48289</v>
      </c>
      <c r="CC184" s="84" vm="4027">
        <v>48289</v>
      </c>
      <c r="CD184" s="7">
        <f xml:space="preserve"> IFERROR( VfM_Metrics_2023_Consol_Source[[#This Row],[Operating surplus including from JVs]] / VfM_Metrics_2023_Consol_Source[[#This Row],[Net assets]], "n/a" )</f>
        <v>4.4726348618412327E-2</v>
      </c>
      <c r="CE184" s="5">
        <f xml:space="preserve"> SUM( VfM_Metrics_2023_Consol_Source[[#This Row],[Operating surplus/(deficit) (overall)3]], VfM_Metrics_2023_Consol_Source[[#This Row],[Share of operating surplus/(deficit) in joint ventures or associates]] )</f>
        <v>17195</v>
      </c>
      <c r="CF184" s="84" vm="4011">
        <v>17195</v>
      </c>
      <c r="CG184" s="83" vm="4029">
        <v>0</v>
      </c>
      <c r="CH184" s="5" vm="4028">
        <f xml:space="preserve"> VfM_Metrics_2023_Consol_Source[[#This Row],[Total assets less current liabilities]]</f>
        <v>384449</v>
      </c>
      <c r="CI184" s="84" vm="4028">
        <v>384449</v>
      </c>
      <c r="CJ184" s="71" vm="3993">
        <f xml:space="preserve"> VfM_Metrics_2023_Consol_Source[[#This Row],[Total social housing units owned (Period end)]]</f>
        <v>4831</v>
      </c>
      <c r="CK184" s="103">
        <v>0</v>
      </c>
      <c r="CL184" s="6">
        <f xml:space="preserve"> -- ( VfM_Metrics_2023_Consol_Source[[#This Row],[% Supported housing (excl. HOP)]] &gt; 0.3 )</f>
        <v>0</v>
      </c>
      <c r="CM184" s="103">
        <v>0.12084656084656084</v>
      </c>
      <c r="CN184" s="6">
        <f xml:space="preserve"> -- ( VfM_Metrics_2023_Consol_Source[[#This Row],[% Housing for older people]] &gt; 0.3 )</f>
        <v>0</v>
      </c>
      <c r="CO184" s="103">
        <f xml:space="preserve"> VfM_Metrics_2023_Consol_Source[[#This Row],[% Supported housing (excl. HOP)]] + VfM_Metrics_2023_Consol_Source[[#This Row],[% Housing for older people]]</f>
        <v>0.12084656084656084</v>
      </c>
      <c r="CP184" s="6">
        <f xml:space="preserve"> -- ( VfM_Metrics_2023_Consol_Source[[#This Row],[SH specialist in RSH analysis]] + VfM_Metrics_2023_Consol_Source[[#This Row],[OP specialist in RSH analysis]] &gt; 0 )</f>
        <v>0</v>
      </c>
      <c r="CQ184" s="10">
        <f xml:space="preserve"> -- ( VfM_Metrics_2023_Consol_Source[[#This Row],[% SH and OP]] &gt; 0.3 )</f>
        <v>0</v>
      </c>
      <c r="CR184" s="104" t="s">
        <v>143</v>
      </c>
      <c r="CS184" s="124"/>
      <c r="CT184" s="105" t="s">
        <v>151</v>
      </c>
      <c r="CU18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184" s="85">
        <v>0</v>
      </c>
      <c r="CW184" s="85">
        <v>0.14179258952597806</v>
      </c>
      <c r="CX184" s="85">
        <v>0</v>
      </c>
      <c r="CY184" s="85">
        <v>2.0699648105982198E-4</v>
      </c>
      <c r="CZ184" s="85">
        <v>0</v>
      </c>
      <c r="DA184" s="85">
        <v>0.85800041399296212</v>
      </c>
      <c r="DB184" s="85">
        <v>0</v>
      </c>
      <c r="DC184" s="85">
        <v>0</v>
      </c>
      <c r="DD184" s="85">
        <v>0</v>
      </c>
      <c r="DE184" s="13">
        <v>1.014523830431366</v>
      </c>
    </row>
    <row r="185" spans="1:109" x14ac:dyDescent="0.25">
      <c r="A185" s="4" t="s" vm="249">
        <v>494</v>
      </c>
      <c r="B185" s="2" t="s" vm="175">
        <v>495</v>
      </c>
      <c r="C185" s="72" vm="500">
        <v>45016</v>
      </c>
      <c r="D185" s="7">
        <f>IFERROR( VfM_Metrics_2023_Consol_Source[[#This Row],[Reinvestment Spend]] / VfM_Metrics_2023_Consol_Source[[#This Row],[Net Book Value of Housing Properties]], "n/a" )</f>
        <v>9.6325366597328571E-2</v>
      </c>
      <c r="E18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112341</v>
      </c>
      <c r="F185" s="83" vm="1891">
        <v>58382</v>
      </c>
      <c r="G185" s="83" vm="1371">
        <v>0</v>
      </c>
      <c r="H185" s="83" vm="8300">
        <v>50453</v>
      </c>
      <c r="I185" s="83" vm="1723">
        <v>3506</v>
      </c>
      <c r="J185" s="83" vm="8059">
        <v>0</v>
      </c>
      <c r="K185" s="5">
        <f xml:space="preserve"> SUM( VfM_Metrics_2023_Consol_Source[[#This Row],[Tangible fixed assets: Housing properties at cost (Current period)]],VfM_Metrics_2023_Consol_Source[[#This Row],[Tangible fixed assets Housing properties at valuation (Current period)]] )</f>
        <v>1166266</v>
      </c>
      <c r="L185" s="84" vm="1778">
        <v>1166266</v>
      </c>
      <c r="M185" s="83">
        <v>0</v>
      </c>
      <c r="N185" s="7">
        <f xml:space="preserve"> IFERROR( VfM_Metrics_2023_Consol_Source[[#This Row],[Total social units developed or newly built units acquired in-year]] / VfM_Metrics_2023_Consol_Source[[#This Row],[Social housing units owned (period end)]], "n/a" )</f>
        <v>9.2021276595744689E-3</v>
      </c>
      <c r="O185" s="5">
        <f xml:space="preserve"> SUM( VfM_Metrics_2023_Consol_Source[[#This Row],[Total social units developed or newly built units acquired in-year (owned)]], VfM_Metrics_2023_Consol_Source[[#This Row],[Total social leasehold units developed or newly built units acquired in-year (owned)]] )</f>
        <v>346</v>
      </c>
      <c r="P185" s="84" vm="1245">
        <v>346</v>
      </c>
      <c r="Q185" s="83">
        <v>0</v>
      </c>
      <c r="R185" s="5">
        <f xml:space="preserve"> SUM( VfM_Metrics_2023_Consol_Source[[#This Row],[Total social housing units owned (Period end)]], VfM_Metrics_2023_Consol_Source[[#This Row],[Total social leasehold units owned (Period end)]] )</f>
        <v>37600</v>
      </c>
      <c r="S185" s="84" vm="1894">
        <v>35968</v>
      </c>
      <c r="T185" s="83" vm="1725">
        <v>1632</v>
      </c>
      <c r="U185" s="86">
        <f xml:space="preserve"> IFERROR( VfM_Metrics_2023_Consol_Source[[#This Row],[Total non-social housing units developed or newly built units acquired (owned)]] / VfM_Metrics_2023_Consol_Source[[#This Row],[Total social and non-social housing units owned (Period end)]], "n/a" )</f>
        <v>7.2916120232911922E-3</v>
      </c>
      <c r="V18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278</v>
      </c>
      <c r="W185" s="83">
        <v>0</v>
      </c>
      <c r="X185" s="83">
        <v>0</v>
      </c>
      <c r="Y185" s="83" vm="8301">
        <v>278</v>
      </c>
      <c r="Z18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38126</v>
      </c>
      <c r="AA185" s="84" vm="8040">
        <v>35968</v>
      </c>
      <c r="AB185" s="83" vm="1725">
        <v>1632</v>
      </c>
      <c r="AC185" s="83" vm="7861">
        <v>273</v>
      </c>
      <c r="AD185" s="83" vm="1726">
        <v>253</v>
      </c>
      <c r="AE185" s="7">
        <f xml:space="preserve"> IFERROR( VfM_Metrics_2023_Consol_Source[[#This Row],[Total Net Debt]] / VfM_Metrics_2023_Consol_Source[[#This Row],[Net Book Value of Housing Properties2]], "n/a" )</f>
        <v>0.52188523029909129</v>
      </c>
      <c r="AF18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608657</v>
      </c>
      <c r="AG185" s="84" vm="1727">
        <v>2645</v>
      </c>
      <c r="AH185" s="83" vm="7860">
        <v>645721</v>
      </c>
      <c r="AI185" s="83" vm="1728">
        <v>39709</v>
      </c>
      <c r="AJ185" s="83" vm="1675">
        <v>0</v>
      </c>
      <c r="AK185" s="83">
        <v>0</v>
      </c>
      <c r="AL185" s="5">
        <f xml:space="preserve"> SUM( VfM_Metrics_2023_Consol_Source[[#This Row],[Tangible fixed assets: Housing properties at cost (Current period)2]], VfM_Metrics_2023_Consol_Source[[#This Row],[Tangible fixed assets Housing properties at valuation (Current period)2]] )</f>
        <v>1166266</v>
      </c>
      <c r="AM185" s="84" vm="1724">
        <v>1166266</v>
      </c>
      <c r="AN185" s="83">
        <v>0</v>
      </c>
      <c r="AO185" s="87">
        <f xml:space="preserve"> IFERROR( VfM_Metrics_2023_Consol_Source[[#This Row],[EBITDA MRI]] / VfM_Metrics_2023_Consol_Source[[#This Row],[Total interest]], "n/a" )</f>
        <v>8.3289577316881067E-2</v>
      </c>
      <c r="AP18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2538</v>
      </c>
      <c r="AQ185" s="84" vm="8224">
        <v>24574</v>
      </c>
      <c r="AR185" s="84" vm="8005">
        <v>7937</v>
      </c>
      <c r="AS185" s="84">
        <v>0</v>
      </c>
      <c r="AT185" s="84" vm="1731">
        <v>6290</v>
      </c>
      <c r="AU185" s="84" vm="1732">
        <v>0</v>
      </c>
      <c r="AV185" s="84" vm="1733">
        <v>6627</v>
      </c>
      <c r="AW185" s="84" vm="1481">
        <v>50453</v>
      </c>
      <c r="AX185" s="84" vm="1735">
        <v>36017</v>
      </c>
      <c r="AY185" s="3">
        <f xml:space="preserve"> - SUM( VfM_Metrics_2023_Consol_Source[[#This Row],[Interest capitalised]], VfM_Metrics_2023_Consol_Source[[#This Row],[Interest payable and financing costs]] )</f>
        <v>30472</v>
      </c>
      <c r="AZ185" s="84" vm="1736">
        <v>-3506</v>
      </c>
      <c r="BA185" s="83" vm="1737">
        <v>-26966</v>
      </c>
      <c r="BB185" s="8">
        <f xml:space="preserve"> IFERROR( ( VfM_Metrics_2023_Consol_Source[[#This Row],[Total Costs]] / VfM_Metrics_2023_Consol_Source[[#This Row],[Total units for costs]] ) * 1000, "n/a" )</f>
        <v>5063.9894561299698</v>
      </c>
      <c r="BC18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188269</v>
      </c>
      <c r="BD185" s="84" vm="1738">
        <v>40077</v>
      </c>
      <c r="BE185" s="83" vm="1739">
        <v>16184</v>
      </c>
      <c r="BF185" s="83" vm="1740">
        <v>39868</v>
      </c>
      <c r="BG185" s="83" vm="8161">
        <v>0</v>
      </c>
      <c r="BH185" s="83" vm="8215">
        <v>9321</v>
      </c>
      <c r="BI185" s="83" vm="1667">
        <v>408</v>
      </c>
      <c r="BJ185" s="83" vm="1734">
        <v>50453</v>
      </c>
      <c r="BK185" s="83" vm="1741">
        <v>8962</v>
      </c>
      <c r="BL185" s="83" vm="7858">
        <v>-629</v>
      </c>
      <c r="BM185" s="83" vm="1842">
        <v>3677</v>
      </c>
      <c r="BN185" s="83" vm="1469">
        <v>18924</v>
      </c>
      <c r="BO185" s="83" vm="1742">
        <v>1024</v>
      </c>
      <c r="BP185" s="5" vm="1722">
        <f xml:space="preserve"> VfM_Metrics_2023_Consol_Source[[#This Row],[Total social housing units owned and/or managed at period end]]</f>
        <v>37178</v>
      </c>
      <c r="BQ185" s="84" vm="1722">
        <v>37178</v>
      </c>
      <c r="BR185" s="7">
        <f xml:space="preserve"> IFERROR( VfM_Metrics_2023_Consol_Source[[#This Row],[SHL operating surplus / (deficit)]] / VfM_Metrics_2023_Consol_Source[[#This Row],[Turnover from social housing lettings]], "n/a" )</f>
        <v>0.1425811855743534</v>
      </c>
      <c r="BS185" s="5" vm="8286">
        <f xml:space="preserve"> VfM_Metrics_2023_Consol_Source[[#This Row],[Operating surplus/(deficit) (social housing lettings)]]</f>
        <v>25022</v>
      </c>
      <c r="BT185" s="84" vm="8286">
        <v>25022</v>
      </c>
      <c r="BU185" s="5" vm="1743">
        <f xml:space="preserve"> VfM_Metrics_2023_Consol_Source[[#This Row],[Turnover from social housing lettings]]</f>
        <v>175493</v>
      </c>
      <c r="BV185" s="84" vm="1743">
        <v>175493</v>
      </c>
      <c r="BW185" s="7">
        <f xml:space="preserve"> IFERROR( VfM_Metrics_2023_Consol_Source[[#This Row],[Net operating surplus]] / VfM_Metrics_2023_Consol_Source[[#This Row],[Overall turnover]], "n/a" )</f>
        <v>7.9430707605047432E-2</v>
      </c>
      <c r="BX18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16637</v>
      </c>
      <c r="BY185" s="84" vm="1729">
        <v>24574</v>
      </c>
      <c r="BZ185" s="83" vm="1730">
        <v>7937</v>
      </c>
      <c r="CA185" s="83">
        <v>0</v>
      </c>
      <c r="CB185" s="5" vm="8296">
        <f xml:space="preserve"> VfM_Metrics_2023_Consol_Source[[#This Row],[Turnover (overall)]]</f>
        <v>209453</v>
      </c>
      <c r="CC185" s="84" vm="8296">
        <v>209453</v>
      </c>
      <c r="CD185" s="7">
        <f xml:space="preserve"> IFERROR( VfM_Metrics_2023_Consol_Source[[#This Row],[Operating surplus including from JVs]] / VfM_Metrics_2023_Consol_Source[[#This Row],[Net assets]], "n/a" )</f>
        <v>2.2575447037976301E-2</v>
      </c>
      <c r="CE185" s="5">
        <f xml:space="preserve"> SUM( VfM_Metrics_2023_Consol_Source[[#This Row],[Operating surplus/(deficit) (overall)3]], VfM_Metrics_2023_Consol_Source[[#This Row],[Share of operating surplus/(deficit) in joint ventures or associates]] )</f>
        <v>28958</v>
      </c>
      <c r="CF185" s="84" vm="1729">
        <v>24574</v>
      </c>
      <c r="CG185" s="83" vm="1548">
        <v>4384</v>
      </c>
      <c r="CH185" s="5" vm="7857">
        <f xml:space="preserve"> VfM_Metrics_2023_Consol_Source[[#This Row],[Total assets less current liabilities]]</f>
        <v>1282721</v>
      </c>
      <c r="CI185" s="84" vm="7857">
        <v>1282721</v>
      </c>
      <c r="CJ185" s="71" vm="1894">
        <f xml:space="preserve"> VfM_Metrics_2023_Consol_Source[[#This Row],[Total social housing units owned (Period end)]]</f>
        <v>35968</v>
      </c>
      <c r="CK185" s="103">
        <v>1.2511843058574374E-2</v>
      </c>
      <c r="CL185" s="6">
        <f xml:space="preserve"> -- ( VfM_Metrics_2023_Consol_Source[[#This Row],[% Supported housing (excl. HOP)]] &gt; 0.3 )</f>
        <v>0</v>
      </c>
      <c r="CM185" s="103">
        <v>1.3710081926099314E-2</v>
      </c>
      <c r="CN185" s="6">
        <f xml:space="preserve"> -- ( VfM_Metrics_2023_Consol_Source[[#This Row],[% Housing for older people]] &gt; 0.3 )</f>
        <v>0</v>
      </c>
      <c r="CO185" s="103">
        <f xml:space="preserve"> VfM_Metrics_2023_Consol_Source[[#This Row],[% Supported housing (excl. HOP)]] + VfM_Metrics_2023_Consol_Source[[#This Row],[% Housing for older people]]</f>
        <v>2.622192498467369E-2</v>
      </c>
      <c r="CP185" s="6">
        <f xml:space="preserve"> -- ( VfM_Metrics_2023_Consol_Source[[#This Row],[SH specialist in RSH analysis]] + VfM_Metrics_2023_Consol_Source[[#This Row],[OP specialist in RSH analysis]] &gt; 0 )</f>
        <v>0</v>
      </c>
      <c r="CQ185" s="10">
        <f xml:space="preserve"> -- ( VfM_Metrics_2023_Consol_Source[[#This Row],[% SH and OP]] &gt; 0.3 )</f>
        <v>0</v>
      </c>
      <c r="CR185" s="104" t="s">
        <v>143</v>
      </c>
      <c r="CS185" s="124"/>
      <c r="CT185" s="105" t="s">
        <v>151</v>
      </c>
      <c r="CU18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185" s="85">
        <v>0</v>
      </c>
      <c r="CW185" s="85">
        <v>0</v>
      </c>
      <c r="CX185" s="85">
        <v>0</v>
      </c>
      <c r="CY185" s="85">
        <v>9.0120160213618163E-3</v>
      </c>
      <c r="CZ185" s="85">
        <v>0</v>
      </c>
      <c r="DA185" s="85">
        <v>0</v>
      </c>
      <c r="DB185" s="85">
        <v>0</v>
      </c>
      <c r="DC185" s="85">
        <v>0.41722296395193592</v>
      </c>
      <c r="DD185" s="85">
        <v>0.57376502002670227</v>
      </c>
      <c r="DE185" s="13">
        <v>0.95144168484543967</v>
      </c>
    </row>
    <row r="186" spans="1:109" x14ac:dyDescent="0.25">
      <c r="A186" s="4" t="s" vm="259">
        <v>496</v>
      </c>
      <c r="B186" s="2" t="s" vm="176">
        <v>497</v>
      </c>
      <c r="C186" s="72" vm="551">
        <v>45016</v>
      </c>
      <c r="D186" s="7">
        <f>IFERROR( VfM_Metrics_2023_Consol_Source[[#This Row],[Reinvestment Spend]] / VfM_Metrics_2023_Consol_Source[[#This Row],[Net Book Value of Housing Properties]], "n/a" )</f>
        <v>0.13346463819333707</v>
      </c>
      <c r="E18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154839</v>
      </c>
      <c r="F186" s="83" vm="2009">
        <v>111762</v>
      </c>
      <c r="G186" s="83" vm="2565">
        <v>5905</v>
      </c>
      <c r="H186" s="83" vm="2010">
        <v>31137</v>
      </c>
      <c r="I186" s="83" vm="2011">
        <v>6035</v>
      </c>
      <c r="J186" s="83" vm="8169">
        <v>0</v>
      </c>
      <c r="K186" s="5">
        <f xml:space="preserve"> SUM( VfM_Metrics_2023_Consol_Source[[#This Row],[Tangible fixed assets: Housing properties at cost (Current period)]],VfM_Metrics_2023_Consol_Source[[#This Row],[Tangible fixed assets Housing properties at valuation (Current period)]] )</f>
        <v>1160150</v>
      </c>
      <c r="L186" s="84" vm="2013">
        <v>1160150</v>
      </c>
      <c r="M186" s="83" vm="2014">
        <v>0</v>
      </c>
      <c r="N186" s="7">
        <f xml:space="preserve"> IFERROR( VfM_Metrics_2023_Consol_Source[[#This Row],[Total social units developed or newly built units acquired in-year]] / VfM_Metrics_2023_Consol_Source[[#This Row],[Social housing units owned (period end)]], "n/a" )</f>
        <v>1.7145165770269928E-2</v>
      </c>
      <c r="O186" s="5">
        <f xml:space="preserve"> SUM( VfM_Metrics_2023_Consol_Source[[#This Row],[Total social units developed or newly built units acquired in-year (owned)]], VfM_Metrics_2023_Consol_Source[[#This Row],[Total social leasehold units developed or newly built units acquired in-year (owned)]] )</f>
        <v>679</v>
      </c>
      <c r="P186" s="84" vm="2015">
        <v>679</v>
      </c>
      <c r="Q186" s="83">
        <v>0</v>
      </c>
      <c r="R186" s="5">
        <f xml:space="preserve"> SUM( VfM_Metrics_2023_Consol_Source[[#This Row],[Total social housing units owned (Period end)]], VfM_Metrics_2023_Consol_Source[[#This Row],[Total social leasehold units owned (Period end)]] )</f>
        <v>39603</v>
      </c>
      <c r="S186" s="84" vm="2007">
        <v>38674</v>
      </c>
      <c r="T186" s="83" vm="2016">
        <v>929</v>
      </c>
      <c r="U186" s="86">
        <f xml:space="preserve"> IFERROR( VfM_Metrics_2023_Consol_Source[[#This Row],[Total non-social housing units developed or newly built units acquired (owned)]] / VfM_Metrics_2023_Consol_Source[[#This Row],[Total social and non-social housing units owned (Period end)]], "n/a" )</f>
        <v>0</v>
      </c>
      <c r="V18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86" s="83" vm="2017">
        <v>0</v>
      </c>
      <c r="X186" s="83">
        <v>0</v>
      </c>
      <c r="Y186" s="83" vm="7910">
        <v>0</v>
      </c>
      <c r="Z18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39951</v>
      </c>
      <c r="AA186" s="84" vm="2007">
        <v>38674</v>
      </c>
      <c r="AB186" s="83" vm="2016">
        <v>929</v>
      </c>
      <c r="AC186" s="83" vm="2018">
        <v>77</v>
      </c>
      <c r="AD186" s="83" vm="2019">
        <v>271</v>
      </c>
      <c r="AE186" s="7">
        <f xml:space="preserve"> IFERROR( VfM_Metrics_2023_Consol_Source[[#This Row],[Total Net Debt]] / VfM_Metrics_2023_Consol_Source[[#This Row],[Net Book Value of Housing Properties2]], "n/a" )</f>
        <v>0.39006852562168687</v>
      </c>
      <c r="AF18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452538</v>
      </c>
      <c r="AG186" s="84" vm="2020">
        <v>394</v>
      </c>
      <c r="AH186" s="83" vm="2021">
        <v>489751</v>
      </c>
      <c r="AI186" s="83" vm="8109">
        <v>37607</v>
      </c>
      <c r="AJ186" s="83" vm="2022">
        <v>0</v>
      </c>
      <c r="AK186" s="83" vm="8157">
        <v>0</v>
      </c>
      <c r="AL186" s="5">
        <f xml:space="preserve"> SUM( VfM_Metrics_2023_Consol_Source[[#This Row],[Tangible fixed assets: Housing properties at cost (Current period)2]], VfM_Metrics_2023_Consol_Source[[#This Row],[Tangible fixed assets Housing properties at valuation (Current period)2]] )</f>
        <v>1160150</v>
      </c>
      <c r="AM186" s="84" vm="7924">
        <v>1160150</v>
      </c>
      <c r="AN186" s="83" vm="2014">
        <v>0</v>
      </c>
      <c r="AO186" s="87">
        <f xml:space="preserve"> IFERROR( VfM_Metrics_2023_Consol_Source[[#This Row],[EBITDA MRI]] / VfM_Metrics_2023_Consol_Source[[#This Row],[Total interest]], "n/a" )</f>
        <v>2.1211325812576791</v>
      </c>
      <c r="AP18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37981</v>
      </c>
      <c r="AQ186" s="84" vm="2023">
        <v>47322</v>
      </c>
      <c r="AR186" s="84" vm="8092">
        <v>8945</v>
      </c>
      <c r="AS186" s="84" vm="8107">
        <v>0</v>
      </c>
      <c r="AT186" s="84" vm="8168">
        <v>1352</v>
      </c>
      <c r="AU186" s="84" vm="2026">
        <v>0</v>
      </c>
      <c r="AV186" s="84" vm="7103">
        <v>2266</v>
      </c>
      <c r="AW186" s="84" vm="7808">
        <v>31137</v>
      </c>
      <c r="AX186" s="84" vm="2028">
        <v>29827</v>
      </c>
      <c r="AY186" s="3">
        <f xml:space="preserve"> - SUM( VfM_Metrics_2023_Consol_Source[[#This Row],[Interest capitalised]], VfM_Metrics_2023_Consol_Source[[#This Row],[Interest payable and financing costs]] )</f>
        <v>17906</v>
      </c>
      <c r="AZ186" s="84" vm="8077">
        <v>-6035</v>
      </c>
      <c r="BA186" s="83" vm="8004">
        <v>-11871</v>
      </c>
      <c r="BB186" s="8">
        <f xml:space="preserve"> IFERROR( ( VfM_Metrics_2023_Consol_Source[[#This Row],[Total Costs]] / VfM_Metrics_2023_Consol_Source[[#This Row],[Total units for costs]] ) * 1000, "n/a" )</f>
        <v>4042.1655656482249</v>
      </c>
      <c r="BC18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156642</v>
      </c>
      <c r="BD186" s="84" vm="1823">
        <v>36634</v>
      </c>
      <c r="BE186" s="83" vm="2029">
        <v>20666</v>
      </c>
      <c r="BF186" s="83" vm="8147">
        <v>29755</v>
      </c>
      <c r="BG186" s="83" vm="8125">
        <v>13434</v>
      </c>
      <c r="BH186" s="83" vm="2030">
        <v>13455</v>
      </c>
      <c r="BI186" s="83" vm="2031">
        <v>0</v>
      </c>
      <c r="BJ186" s="83" vm="2027">
        <v>31137</v>
      </c>
      <c r="BK186" s="83" vm="2032">
        <v>2280</v>
      </c>
      <c r="BL186" s="83" vm="2033">
        <v>0</v>
      </c>
      <c r="BM186" s="83" vm="8104">
        <v>8301</v>
      </c>
      <c r="BN186" s="83" vm="2034">
        <v>980</v>
      </c>
      <c r="BO186" s="83" vm="2035">
        <v>0</v>
      </c>
      <c r="BP186" s="5" vm="2008">
        <f xml:space="preserve"> VfM_Metrics_2023_Consol_Source[[#This Row],[Total social housing units owned and/or managed at period end]]</f>
        <v>38752</v>
      </c>
      <c r="BQ186" s="84" vm="2008">
        <v>38752</v>
      </c>
      <c r="BR186" s="7">
        <f xml:space="preserve"> IFERROR( VfM_Metrics_2023_Consol_Source[[#This Row],[SHL operating surplus / (deficit)]] / VfM_Metrics_2023_Consol_Source[[#This Row],[Turnover from social housing lettings]], "n/a" )</f>
        <v>0.20481769878116518</v>
      </c>
      <c r="BS186" s="5" vm="7923">
        <f xml:space="preserve"> VfM_Metrics_2023_Consol_Source[[#This Row],[Operating surplus/(deficit) (social housing lettings)]]</f>
        <v>39087</v>
      </c>
      <c r="BT186" s="84" vm="7923">
        <v>39087</v>
      </c>
      <c r="BU186" s="5" vm="7908">
        <f xml:space="preserve"> VfM_Metrics_2023_Consol_Source[[#This Row],[Turnover from social housing lettings]]</f>
        <v>190838</v>
      </c>
      <c r="BV186" s="84" vm="7908">
        <v>190838</v>
      </c>
      <c r="BW186" s="7">
        <f xml:space="preserve"> IFERROR( VfM_Metrics_2023_Consol_Source[[#This Row],[Net operating surplus]] / VfM_Metrics_2023_Consol_Source[[#This Row],[Overall turnover]], "n/a" )</f>
        <v>0.1693533796098125</v>
      </c>
      <c r="BX18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38377</v>
      </c>
      <c r="BY186" s="84" vm="2023">
        <v>47322</v>
      </c>
      <c r="BZ186" s="83" vm="1911">
        <v>8945</v>
      </c>
      <c r="CA186" s="83" vm="2024">
        <v>0</v>
      </c>
      <c r="CB186" s="5" vm="2036">
        <f xml:space="preserve"> VfM_Metrics_2023_Consol_Source[[#This Row],[Turnover (overall)]]</f>
        <v>226609</v>
      </c>
      <c r="CC186" s="84" vm="2036">
        <v>226609</v>
      </c>
      <c r="CD186" s="7">
        <f xml:space="preserve"> IFERROR( VfM_Metrics_2023_Consol_Source[[#This Row],[Operating surplus including from JVs]] / VfM_Metrics_2023_Consol_Source[[#This Row],[Net assets]], "n/a" )</f>
        <v>3.2282201159256008E-2</v>
      </c>
      <c r="CE186" s="5">
        <f xml:space="preserve"> SUM( VfM_Metrics_2023_Consol_Source[[#This Row],[Operating surplus/(deficit) (overall)3]], VfM_Metrics_2023_Consol_Source[[#This Row],[Share of operating surplus/(deficit) in joint ventures or associates]] )</f>
        <v>47502</v>
      </c>
      <c r="CF186" s="84" vm="2292">
        <v>47322</v>
      </c>
      <c r="CG186" s="83" vm="7114">
        <v>180</v>
      </c>
      <c r="CH186" s="5" vm="7946">
        <f xml:space="preserve"> VfM_Metrics_2023_Consol_Source[[#This Row],[Total assets less current liabilities]]</f>
        <v>1471461</v>
      </c>
      <c r="CI186" s="84" vm="7946">
        <v>1471461</v>
      </c>
      <c r="CJ186" s="71" vm="2007">
        <f xml:space="preserve"> VfM_Metrics_2023_Consol_Source[[#This Row],[Total social housing units owned (Period end)]]</f>
        <v>38674</v>
      </c>
      <c r="CK186" s="103">
        <v>4.1829046505585865E-3</v>
      </c>
      <c r="CL186" s="6">
        <f xml:space="preserve"> -- ( VfM_Metrics_2023_Consol_Source[[#This Row],[% Supported housing (excl. HOP)]] &gt; 0.3 )</f>
        <v>0</v>
      </c>
      <c r="CM186" s="103">
        <v>8.791893998441154E-2</v>
      </c>
      <c r="CN186" s="6">
        <f xml:space="preserve"> -- ( VfM_Metrics_2023_Consol_Source[[#This Row],[% Housing for older people]] &gt; 0.3 )</f>
        <v>0</v>
      </c>
      <c r="CO186" s="103">
        <f xml:space="preserve"> VfM_Metrics_2023_Consol_Source[[#This Row],[% Supported housing (excl. HOP)]] + VfM_Metrics_2023_Consol_Source[[#This Row],[% Housing for older people]]</f>
        <v>9.210184463497012E-2</v>
      </c>
      <c r="CP186" s="6">
        <f xml:space="preserve"> -- ( VfM_Metrics_2023_Consol_Source[[#This Row],[SH specialist in RSH analysis]] + VfM_Metrics_2023_Consol_Source[[#This Row],[OP specialist in RSH analysis]] &gt; 0 )</f>
        <v>0</v>
      </c>
      <c r="CQ186" s="10">
        <f xml:space="preserve"> -- ( VfM_Metrics_2023_Consol_Source[[#This Row],[% SH and OP]] &gt; 0.3 )</f>
        <v>0</v>
      </c>
      <c r="CR186" s="104" t="s">
        <v>143</v>
      </c>
      <c r="CS186" s="124"/>
      <c r="CT186" s="105" t="s">
        <v>151</v>
      </c>
      <c r="CU18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86" s="85">
        <v>0</v>
      </c>
      <c r="CW186" s="85">
        <v>0</v>
      </c>
      <c r="CX186" s="85">
        <v>0</v>
      </c>
      <c r="CY186" s="85">
        <v>0</v>
      </c>
      <c r="CZ186" s="85">
        <v>0</v>
      </c>
      <c r="DA186" s="85">
        <v>0</v>
      </c>
      <c r="DB186" s="85">
        <v>0</v>
      </c>
      <c r="DC186" s="85">
        <v>1</v>
      </c>
      <c r="DD186" s="85">
        <v>0</v>
      </c>
      <c r="DE186" s="13">
        <v>0.96105917141044694</v>
      </c>
    </row>
    <row r="187" spans="1:109" x14ac:dyDescent="0.25">
      <c r="A187" s="4" t="s" vm="203">
        <v>498</v>
      </c>
      <c r="B187" s="2" t="s" vm="177">
        <v>499</v>
      </c>
      <c r="C187" s="72" vm="534">
        <v>45016</v>
      </c>
      <c r="D187" s="7">
        <f>IFERROR( VfM_Metrics_2023_Consol_Source[[#This Row],[Reinvestment Spend]] / VfM_Metrics_2023_Consol_Source[[#This Row],[Net Book Value of Housing Properties]], "n/a" )</f>
        <v>6.6575476059299227E-2</v>
      </c>
      <c r="E18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10513</v>
      </c>
      <c r="F187" s="83" vm="9206">
        <v>0</v>
      </c>
      <c r="G187" s="83" vm="9178">
        <v>0</v>
      </c>
      <c r="H187" s="83" vm="681">
        <v>10513</v>
      </c>
      <c r="I187" s="83" vm="682">
        <v>0</v>
      </c>
      <c r="J187" s="83" vm="9000">
        <v>0</v>
      </c>
      <c r="K187" s="5">
        <f xml:space="preserve"> SUM( VfM_Metrics_2023_Consol_Source[[#This Row],[Tangible fixed assets: Housing properties at cost (Current period)]],VfM_Metrics_2023_Consol_Source[[#This Row],[Tangible fixed assets Housing properties at valuation (Current period)]] )</f>
        <v>157911</v>
      </c>
      <c r="L187" s="84">
        <v>0</v>
      </c>
      <c r="M187" s="83" vm="9165">
        <v>157911</v>
      </c>
      <c r="N187" s="7">
        <f xml:space="preserve"> IFERROR( VfM_Metrics_2023_Consol_Source[[#This Row],[Total social units developed or newly built units acquired in-year]] / VfM_Metrics_2023_Consol_Source[[#This Row],[Social housing units owned (period end)]], "n/a" )</f>
        <v>0</v>
      </c>
      <c r="O187" s="5">
        <f xml:space="preserve"> SUM( VfM_Metrics_2023_Consol_Source[[#This Row],[Total social units developed or newly built units acquired in-year (owned)]], VfM_Metrics_2023_Consol_Source[[#This Row],[Total social leasehold units developed or newly built units acquired in-year (owned)]] )</f>
        <v>0</v>
      </c>
      <c r="P187" s="84" vm="8992">
        <v>0</v>
      </c>
      <c r="Q187" s="83">
        <v>0</v>
      </c>
      <c r="R187" s="5">
        <f xml:space="preserve"> SUM( VfM_Metrics_2023_Consol_Source[[#This Row],[Total social housing units owned (Period end)]], VfM_Metrics_2023_Consol_Source[[#This Row],[Total social leasehold units owned (Period end)]] )</f>
        <v>2057</v>
      </c>
      <c r="S187" s="84" vm="679">
        <v>2054</v>
      </c>
      <c r="T187" s="83" vm="629">
        <v>3</v>
      </c>
      <c r="U187" s="86">
        <f xml:space="preserve"> IFERROR( VfM_Metrics_2023_Consol_Source[[#This Row],[Total non-social housing units developed or newly built units acquired (owned)]] / VfM_Metrics_2023_Consol_Source[[#This Row],[Total social and non-social housing units owned (Period end)]], "n/a" )</f>
        <v>0</v>
      </c>
      <c r="V18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87" s="83">
        <v>0</v>
      </c>
      <c r="X187" s="83">
        <v>0</v>
      </c>
      <c r="Y187" s="83">
        <v>0</v>
      </c>
      <c r="Z18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3191</v>
      </c>
      <c r="AA187" s="84" vm="9014">
        <v>2054</v>
      </c>
      <c r="AB187" s="83" vm="683">
        <v>3</v>
      </c>
      <c r="AC187" s="83" vm="684">
        <v>0</v>
      </c>
      <c r="AD187" s="83" vm="685">
        <v>1134</v>
      </c>
      <c r="AE187" s="7">
        <f xml:space="preserve"> IFERROR( VfM_Metrics_2023_Consol_Source[[#This Row],[Total Net Debt]] / VfM_Metrics_2023_Consol_Source[[#This Row],[Net Book Value of Housing Properties2]], "n/a" )</f>
        <v>0.38236728283653448</v>
      </c>
      <c r="AF18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60380</v>
      </c>
      <c r="AG187" s="84">
        <v>0</v>
      </c>
      <c r="AH187" s="83" vm="8987">
        <v>63456</v>
      </c>
      <c r="AI187" s="83" vm="686">
        <v>3076</v>
      </c>
      <c r="AJ187" s="83" vm="1675">
        <v>0</v>
      </c>
      <c r="AK187" s="83">
        <v>0</v>
      </c>
      <c r="AL187" s="5">
        <f xml:space="preserve"> SUM( VfM_Metrics_2023_Consol_Source[[#This Row],[Tangible fixed assets: Housing properties at cost (Current period)2]], VfM_Metrics_2023_Consol_Source[[#This Row],[Tangible fixed assets Housing properties at valuation (Current period)2]] )</f>
        <v>157911</v>
      </c>
      <c r="AM187" s="84">
        <v>0</v>
      </c>
      <c r="AN187" s="83" vm="9158">
        <v>157911</v>
      </c>
      <c r="AO187" s="87">
        <f xml:space="preserve"> IFERROR( VfM_Metrics_2023_Consol_Source[[#This Row],[EBITDA MRI]] / VfM_Metrics_2023_Consol_Source[[#This Row],[Total interest]], "n/a" )</f>
        <v>-4.3568341437061049</v>
      </c>
      <c r="AP18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-16129</v>
      </c>
      <c r="AQ187" s="84" vm="9139">
        <v>-7020</v>
      </c>
      <c r="AR187" s="84" vm="9011">
        <v>732</v>
      </c>
      <c r="AS187" s="84">
        <v>0</v>
      </c>
      <c r="AT187" s="84" vm="8984">
        <v>52</v>
      </c>
      <c r="AU187" s="84" vm="763">
        <v>0</v>
      </c>
      <c r="AV187" s="84" vm="699">
        <v>76</v>
      </c>
      <c r="AW187" s="84" vm="9120">
        <v>10513</v>
      </c>
      <c r="AX187" s="84" vm="690">
        <v>2112</v>
      </c>
      <c r="AY187" s="3">
        <f xml:space="preserve"> - SUM( VfM_Metrics_2023_Consol_Source[[#This Row],[Interest capitalised]], VfM_Metrics_2023_Consol_Source[[#This Row],[Interest payable and financing costs]] )</f>
        <v>3702</v>
      </c>
      <c r="AZ187" s="84">
        <v>0</v>
      </c>
      <c r="BA187" s="83" vm="691">
        <v>-3702</v>
      </c>
      <c r="BB187" s="8">
        <f xml:space="preserve"> IFERROR( ( VfM_Metrics_2023_Consol_Source[[#This Row],[Total Costs]] / VfM_Metrics_2023_Consol_Source[[#This Row],[Total units for costs]] ) * 1000, "n/a" )</f>
        <v>16944.498539435248</v>
      </c>
      <c r="BC18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34804</v>
      </c>
      <c r="BD187" s="84" vm="692">
        <v>3526</v>
      </c>
      <c r="BE187" s="83" vm="693">
        <v>5092</v>
      </c>
      <c r="BF187" s="83" vm="8983">
        <v>5296</v>
      </c>
      <c r="BG187" s="83" vm="694">
        <v>1049</v>
      </c>
      <c r="BH187" s="83" vm="695">
        <v>8616</v>
      </c>
      <c r="BI187" s="83" vm="9156">
        <v>0</v>
      </c>
      <c r="BJ187" s="83" vm="9007">
        <v>10513</v>
      </c>
      <c r="BK187" s="83" vm="696">
        <v>0</v>
      </c>
      <c r="BL187" s="83" vm="8972">
        <v>207</v>
      </c>
      <c r="BM187" s="83" vm="697">
        <v>505</v>
      </c>
      <c r="BN187" s="83">
        <v>0</v>
      </c>
      <c r="BO187" s="83">
        <v>0</v>
      </c>
      <c r="BP187" s="5" vm="680">
        <f xml:space="preserve"> VfM_Metrics_2023_Consol_Source[[#This Row],[Total social housing units owned and/or managed at period end]]</f>
        <v>2054</v>
      </c>
      <c r="BQ187" s="84" vm="680">
        <v>2054</v>
      </c>
      <c r="BR187" s="7">
        <f xml:space="preserve"> IFERROR( VfM_Metrics_2023_Consol_Source[[#This Row],[SHL operating surplus / (deficit)]] / VfM_Metrics_2023_Consol_Source[[#This Row],[Turnover from social housing lettings]], "n/a" )</f>
        <v>-0.29085527340707273</v>
      </c>
      <c r="BS187" s="5" vm="9005">
        <f xml:space="preserve"> VfM_Metrics_2023_Consol_Source[[#This Row],[Operating surplus/(deficit) (social housing lettings)]]</f>
        <v>-7468</v>
      </c>
      <c r="BT187" s="84" vm="9005">
        <v>-7468</v>
      </c>
      <c r="BU187" s="5" vm="698">
        <f xml:space="preserve"> VfM_Metrics_2023_Consol_Source[[#This Row],[Turnover from social housing lettings]]</f>
        <v>25676</v>
      </c>
      <c r="BV187" s="84" vm="698">
        <v>25676</v>
      </c>
      <c r="BW187" s="7">
        <f xml:space="preserve"> IFERROR( VfM_Metrics_2023_Consol_Source[[#This Row],[Net operating surplus]] / VfM_Metrics_2023_Consol_Source[[#This Row],[Overall turnover]], "n/a" )</f>
        <v>-0.29303696983442956</v>
      </c>
      <c r="BX18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-7752</v>
      </c>
      <c r="BY187" s="84" vm="688">
        <v>-7020</v>
      </c>
      <c r="BZ187" s="83" vm="797">
        <v>732</v>
      </c>
      <c r="CA187" s="83">
        <v>0</v>
      </c>
      <c r="CB187" s="5" vm="699">
        <f xml:space="preserve"> VfM_Metrics_2023_Consol_Source[[#This Row],[Turnover (overall)]]</f>
        <v>26454</v>
      </c>
      <c r="CC187" s="84" vm="699">
        <v>26454</v>
      </c>
      <c r="CD187" s="7">
        <f xml:space="preserve"> IFERROR( VfM_Metrics_2023_Consol_Source[[#This Row],[Operating surplus including from JVs]] / VfM_Metrics_2023_Consol_Source[[#This Row],[Net assets]], "n/a" )</f>
        <v>-4.0478593051751478E-2</v>
      </c>
      <c r="CE187" s="5">
        <f xml:space="preserve"> SUM( VfM_Metrics_2023_Consol_Source[[#This Row],[Operating surplus/(deficit) (overall)3]], VfM_Metrics_2023_Consol_Source[[#This Row],[Share of operating surplus/(deficit) in joint ventures or associates]] )</f>
        <v>-7020</v>
      </c>
      <c r="CF187" s="84" vm="688">
        <v>-7020</v>
      </c>
      <c r="CG187" s="83">
        <v>0</v>
      </c>
      <c r="CH187" s="5" vm="9129">
        <f xml:space="preserve"> VfM_Metrics_2023_Consol_Source[[#This Row],[Total assets less current liabilities]]</f>
        <v>173425</v>
      </c>
      <c r="CI187" s="84" vm="9129">
        <v>173425</v>
      </c>
      <c r="CJ187" s="71" vm="679">
        <f xml:space="preserve"> VfM_Metrics_2023_Consol_Source[[#This Row],[Total social housing units owned (Period end)]]</f>
        <v>2054</v>
      </c>
      <c r="CK187" s="103">
        <v>0</v>
      </c>
      <c r="CL187" s="6">
        <f xml:space="preserve"> -- ( VfM_Metrics_2023_Consol_Source[[#This Row],[% Supported housing (excl. HOP)]] &gt; 0.3 )</f>
        <v>0</v>
      </c>
      <c r="CM187" s="103">
        <v>0</v>
      </c>
      <c r="CN187" s="6">
        <f xml:space="preserve"> -- ( VfM_Metrics_2023_Consol_Source[[#This Row],[% Housing for older people]] &gt; 0.3 )</f>
        <v>0</v>
      </c>
      <c r="CO187" s="103">
        <f xml:space="preserve"> VfM_Metrics_2023_Consol_Source[[#This Row],[% Supported housing (excl. HOP)]] + VfM_Metrics_2023_Consol_Source[[#This Row],[% Housing for older people]]</f>
        <v>0</v>
      </c>
      <c r="CP187" s="6">
        <f xml:space="preserve"> -- ( VfM_Metrics_2023_Consol_Source[[#This Row],[SH specialist in RSH analysis]] + VfM_Metrics_2023_Consol_Source[[#This Row],[OP specialist in RSH analysis]] &gt; 0 )</f>
        <v>0</v>
      </c>
      <c r="CQ187" s="10">
        <f xml:space="preserve"> -- ( VfM_Metrics_2023_Consol_Source[[#This Row],[% SH and OP]] &gt; 0.3 )</f>
        <v>0</v>
      </c>
      <c r="CR187" s="104" t="s">
        <v>143</v>
      </c>
      <c r="CS187" s="124"/>
      <c r="CT187" s="105" t="s">
        <v>151</v>
      </c>
      <c r="CU18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87" s="85">
        <v>1</v>
      </c>
      <c r="CW187" s="85">
        <v>0</v>
      </c>
      <c r="CX187" s="85">
        <v>0</v>
      </c>
      <c r="CY187" s="85">
        <v>0</v>
      </c>
      <c r="CZ187" s="85">
        <v>0</v>
      </c>
      <c r="DA187" s="85">
        <v>0</v>
      </c>
      <c r="DB187" s="85">
        <v>0</v>
      </c>
      <c r="DC187" s="85">
        <v>0</v>
      </c>
      <c r="DD187" s="85">
        <v>0</v>
      </c>
      <c r="DE187" s="13">
        <v>1.1603700449887588</v>
      </c>
    </row>
    <row r="188" spans="1:109" x14ac:dyDescent="0.25">
      <c r="A188" s="4" t="s" vm="386">
        <v>500</v>
      </c>
      <c r="B188" s="2" t="s" vm="178">
        <v>501</v>
      </c>
      <c r="C188" s="72" vm="547">
        <v>45016</v>
      </c>
      <c r="D188" s="7">
        <f>IFERROR( VfM_Metrics_2023_Consol_Source[[#This Row],[Reinvestment Spend]] / VfM_Metrics_2023_Consol_Source[[#This Row],[Net Book Value of Housing Properties]], "n/a" )</f>
        <v>0.10075547471545887</v>
      </c>
      <c r="E18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22379</v>
      </c>
      <c r="F188" s="83" vm="6422">
        <v>6522</v>
      </c>
      <c r="G188" s="83" vm="6423">
        <v>9661</v>
      </c>
      <c r="H188" s="83" vm="6424">
        <v>5889</v>
      </c>
      <c r="I188" s="83" vm="6425">
        <v>307</v>
      </c>
      <c r="J188" s="83" vm="6426">
        <v>0</v>
      </c>
      <c r="K188" s="5">
        <f xml:space="preserve"> SUM( VfM_Metrics_2023_Consol_Source[[#This Row],[Tangible fixed assets: Housing properties at cost (Current period)]],VfM_Metrics_2023_Consol_Source[[#This Row],[Tangible fixed assets Housing properties at valuation (Current period)]] )</f>
        <v>222112</v>
      </c>
      <c r="L188" s="84" vm="6427">
        <v>222112</v>
      </c>
      <c r="M188" s="83" vm="6428">
        <v>0</v>
      </c>
      <c r="N188" s="7">
        <f xml:space="preserve"> IFERROR( VfM_Metrics_2023_Consol_Source[[#This Row],[Total social units developed or newly built units acquired in-year]] / VfM_Metrics_2023_Consol_Source[[#This Row],[Social housing units owned (period end)]], "n/a" )</f>
        <v>1.1423550087873463E-2</v>
      </c>
      <c r="O188" s="5">
        <f xml:space="preserve"> SUM( VfM_Metrics_2023_Consol_Source[[#This Row],[Total social units developed or newly built units acquired in-year (owned)]], VfM_Metrics_2023_Consol_Source[[#This Row],[Total social leasehold units developed or newly built units acquired in-year (owned)]] )</f>
        <v>78</v>
      </c>
      <c r="P188" s="84" vm="6429">
        <v>78</v>
      </c>
      <c r="Q188" s="83" vm="6430">
        <v>0</v>
      </c>
      <c r="R188" s="5">
        <f xml:space="preserve"> SUM( VfM_Metrics_2023_Consol_Source[[#This Row],[Total social housing units owned (Period end)]], VfM_Metrics_2023_Consol_Source[[#This Row],[Total social leasehold units owned (Period end)]] )</f>
        <v>6828</v>
      </c>
      <c r="S188" s="84" vm="6420">
        <v>6529</v>
      </c>
      <c r="T188" s="83" vm="6431">
        <v>299</v>
      </c>
      <c r="U188" s="86">
        <f xml:space="preserve"> IFERROR( VfM_Metrics_2023_Consol_Source[[#This Row],[Total non-social housing units developed or newly built units acquired (owned)]] / VfM_Metrics_2023_Consol_Source[[#This Row],[Total social and non-social housing units owned (Period end)]], "n/a" )</f>
        <v>0</v>
      </c>
      <c r="V18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88" s="83" vm="6432">
        <v>0</v>
      </c>
      <c r="X188" s="83" vm="6476">
        <v>0</v>
      </c>
      <c r="Y188" s="83" vm="6433">
        <v>0</v>
      </c>
      <c r="Z18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6828</v>
      </c>
      <c r="AA188" s="84" vm="6420">
        <v>6529</v>
      </c>
      <c r="AB188" s="83" vm="6431">
        <v>299</v>
      </c>
      <c r="AC188" s="83" vm="6434">
        <v>0</v>
      </c>
      <c r="AD188" s="83" vm="6435">
        <v>0</v>
      </c>
      <c r="AE188" s="7">
        <f xml:space="preserve"> IFERROR( VfM_Metrics_2023_Consol_Source[[#This Row],[Total Net Debt]] / VfM_Metrics_2023_Consol_Source[[#This Row],[Net Book Value of Housing Properties2]], "n/a" )</f>
        <v>0.70743588820054748</v>
      </c>
      <c r="AF18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157130</v>
      </c>
      <c r="AG188" s="84" vm="6436">
        <v>3289</v>
      </c>
      <c r="AH188" s="83" vm="6437">
        <v>166729</v>
      </c>
      <c r="AI188" s="83" vm="6438">
        <v>12888</v>
      </c>
      <c r="AJ188" s="83" vm="6439">
        <v>0</v>
      </c>
      <c r="AK188" s="83" vm="6440">
        <v>0</v>
      </c>
      <c r="AL188" s="5">
        <f xml:space="preserve"> SUM( VfM_Metrics_2023_Consol_Source[[#This Row],[Tangible fixed assets: Housing properties at cost (Current period)2]], VfM_Metrics_2023_Consol_Source[[#This Row],[Tangible fixed assets Housing properties at valuation (Current period)2]] )</f>
        <v>222112</v>
      </c>
      <c r="AM188" s="84" vm="6427">
        <v>222112</v>
      </c>
      <c r="AN188" s="83" vm="6428">
        <v>0</v>
      </c>
      <c r="AO188" s="87">
        <f xml:space="preserve"> IFERROR( VfM_Metrics_2023_Consol_Source[[#This Row],[EBITDA MRI]] / VfM_Metrics_2023_Consol_Source[[#This Row],[Total interest]], "n/a" )</f>
        <v>1.1509148646605172</v>
      </c>
      <c r="AP18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7611</v>
      </c>
      <c r="AQ188" s="84" vm="6441">
        <v>8430</v>
      </c>
      <c r="AR188" s="84" vm="6442">
        <v>1935</v>
      </c>
      <c r="AS188" s="84" vm="6443">
        <v>0</v>
      </c>
      <c r="AT188" s="84" vm="6208">
        <v>518</v>
      </c>
      <c r="AU188" s="84" vm="6444">
        <v>0</v>
      </c>
      <c r="AV188" s="84" vm="6445">
        <v>747</v>
      </c>
      <c r="AW188" s="84" vm="6446">
        <v>5889</v>
      </c>
      <c r="AX188" s="84" vm="6447">
        <v>6776</v>
      </c>
      <c r="AY188" s="3">
        <f xml:space="preserve"> - SUM( VfM_Metrics_2023_Consol_Source[[#This Row],[Interest capitalised]], VfM_Metrics_2023_Consol_Source[[#This Row],[Interest payable and financing costs]] )</f>
        <v>6613</v>
      </c>
      <c r="AZ188" s="84" vm="7003">
        <v>-322</v>
      </c>
      <c r="BA188" s="83" vm="6448">
        <v>-6291</v>
      </c>
      <c r="BB188" s="8">
        <f xml:space="preserve"> IFERROR( ( VfM_Metrics_2023_Consol_Source[[#This Row],[Total Costs]] / VfM_Metrics_2023_Consol_Source[[#This Row],[Total units for costs]] ) * 1000, "n/a" )</f>
        <v>4019.2985143207229</v>
      </c>
      <c r="BC18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26242</v>
      </c>
      <c r="BD188" s="84" vm="6449">
        <v>6744</v>
      </c>
      <c r="BE188" s="83" vm="6450">
        <v>1987</v>
      </c>
      <c r="BF188" s="83" vm="6291">
        <v>3583</v>
      </c>
      <c r="BG188" s="83" vm="6451">
        <v>4772</v>
      </c>
      <c r="BH188" s="83" vm="6452">
        <v>1487</v>
      </c>
      <c r="BI188" s="83" vm="6453">
        <v>0</v>
      </c>
      <c r="BJ188" s="83" vm="6446">
        <v>5889</v>
      </c>
      <c r="BK188" s="83" vm="6369">
        <v>952</v>
      </c>
      <c r="BL188" s="83" vm="6455">
        <v>297</v>
      </c>
      <c r="BM188" s="83" vm="6456">
        <v>0</v>
      </c>
      <c r="BN188" s="83" vm="6457">
        <v>171</v>
      </c>
      <c r="BO188" s="83" vm="6458">
        <v>360</v>
      </c>
      <c r="BP188" s="5" vm="6421">
        <f xml:space="preserve"> VfM_Metrics_2023_Consol_Source[[#This Row],[Total social housing units owned and/or managed at period end]]</f>
        <v>6529</v>
      </c>
      <c r="BQ188" s="84" vm="6421">
        <v>6529</v>
      </c>
      <c r="BR188" s="7">
        <f xml:space="preserve"> IFERROR( VfM_Metrics_2023_Consol_Source[[#This Row],[SHL operating surplus / (deficit)]] / VfM_Metrics_2023_Consol_Source[[#This Row],[Turnover from social housing lettings]], "n/a" )</f>
        <v>0.19933408719688403</v>
      </c>
      <c r="BS188" s="5" vm="6459">
        <f xml:space="preserve"> VfM_Metrics_2023_Consol_Source[[#This Row],[Operating surplus/(deficit) (social housing lettings)]]</f>
        <v>6346</v>
      </c>
      <c r="BT188" s="84" vm="6459">
        <v>6346</v>
      </c>
      <c r="BU188" s="5" vm="6460">
        <f xml:space="preserve"> VfM_Metrics_2023_Consol_Source[[#This Row],[Turnover from social housing lettings]]</f>
        <v>31836</v>
      </c>
      <c r="BV188" s="84" vm="6460">
        <v>31836</v>
      </c>
      <c r="BW188" s="7">
        <f xml:space="preserve"> IFERROR( VfM_Metrics_2023_Consol_Source[[#This Row],[Net operating surplus]] / VfM_Metrics_2023_Consol_Source[[#This Row],[Overall turnover]], "n/a" )</f>
        <v>0.19281579337984267</v>
      </c>
      <c r="BX18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6495</v>
      </c>
      <c r="BY188" s="84" vm="6441">
        <v>8430</v>
      </c>
      <c r="BZ188" s="83" vm="6442">
        <v>1935</v>
      </c>
      <c r="CA188" s="83" vm="6443">
        <v>0</v>
      </c>
      <c r="CB188" s="5" vm="6461">
        <f xml:space="preserve"> VfM_Metrics_2023_Consol_Source[[#This Row],[Turnover (overall)]]</f>
        <v>33685</v>
      </c>
      <c r="CC188" s="84" vm="6461">
        <v>33685</v>
      </c>
      <c r="CD188" s="7">
        <f xml:space="preserve"> IFERROR( VfM_Metrics_2023_Consol_Source[[#This Row],[Operating surplus including from JVs]] / VfM_Metrics_2023_Consol_Source[[#This Row],[Net assets]], "n/a" )</f>
        <v>3.2014643946270085E-2</v>
      </c>
      <c r="CE188" s="5">
        <f xml:space="preserve"> SUM( VfM_Metrics_2023_Consol_Source[[#This Row],[Operating surplus/(deficit) (overall)3]], VfM_Metrics_2023_Consol_Source[[#This Row],[Share of operating surplus/(deficit) in joint ventures or associates]] )</f>
        <v>8430</v>
      </c>
      <c r="CF188" s="84" vm="6441">
        <v>8430</v>
      </c>
      <c r="CG188" s="83" vm="6463">
        <v>0</v>
      </c>
      <c r="CH188" s="5" vm="6462">
        <f xml:space="preserve"> VfM_Metrics_2023_Consol_Source[[#This Row],[Total assets less current liabilities]]</f>
        <v>263317</v>
      </c>
      <c r="CI188" s="84" vm="6462">
        <v>263317</v>
      </c>
      <c r="CJ188" s="71" vm="6420">
        <f xml:space="preserve"> VfM_Metrics_2023_Consol_Source[[#This Row],[Total social housing units owned (Period end)]]</f>
        <v>6529</v>
      </c>
      <c r="CK188" s="103">
        <v>3.0707815138952864E-4</v>
      </c>
      <c r="CL188" s="6">
        <f xml:space="preserve"> -- ( VfM_Metrics_2023_Consol_Source[[#This Row],[% Supported housing (excl. HOP)]] &gt; 0.3 )</f>
        <v>0</v>
      </c>
      <c r="CM188" s="103">
        <v>2.5333947489636112E-2</v>
      </c>
      <c r="CN188" s="6">
        <f xml:space="preserve"> -- ( VfM_Metrics_2023_Consol_Source[[#This Row],[% Housing for older people]] &gt; 0.3 )</f>
        <v>0</v>
      </c>
      <c r="CO188" s="103">
        <f xml:space="preserve"> VfM_Metrics_2023_Consol_Source[[#This Row],[% Supported housing (excl. HOP)]] + VfM_Metrics_2023_Consol_Source[[#This Row],[% Housing for older people]]</f>
        <v>2.564102564102564E-2</v>
      </c>
      <c r="CP188" s="6">
        <f xml:space="preserve"> -- ( VfM_Metrics_2023_Consol_Source[[#This Row],[SH specialist in RSH analysis]] + VfM_Metrics_2023_Consol_Source[[#This Row],[OP specialist in RSH analysis]] &gt; 0 )</f>
        <v>0</v>
      </c>
      <c r="CQ188" s="10">
        <f xml:space="preserve"> -- ( VfM_Metrics_2023_Consol_Source[[#This Row],[% SH and OP]] &gt; 0.3 )</f>
        <v>0</v>
      </c>
      <c r="CR188" s="104" t="s">
        <v>143</v>
      </c>
      <c r="CS188" s="124"/>
      <c r="CT188" s="105" t="s">
        <v>151</v>
      </c>
      <c r="CU18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88" s="85">
        <v>0</v>
      </c>
      <c r="CW188" s="85">
        <v>0</v>
      </c>
      <c r="CX188" s="85">
        <v>0</v>
      </c>
      <c r="CY188" s="85">
        <v>8.6536988819114716E-2</v>
      </c>
      <c r="CZ188" s="85">
        <v>0.91346301118088524</v>
      </c>
      <c r="DA188" s="85">
        <v>0</v>
      </c>
      <c r="DB188" s="85">
        <v>0</v>
      </c>
      <c r="DC188" s="85">
        <v>0</v>
      </c>
      <c r="DD188" s="85">
        <v>0</v>
      </c>
      <c r="DE188" s="13">
        <v>0.96266436274437006</v>
      </c>
    </row>
    <row r="189" spans="1:109" x14ac:dyDescent="0.25">
      <c r="A189" s="4" t="s" vm="305">
        <v>502</v>
      </c>
      <c r="B189" s="2" t="s" vm="179">
        <v>503</v>
      </c>
      <c r="C189" s="72" vm="557">
        <v>45016</v>
      </c>
      <c r="D189" s="7">
        <f>IFERROR( VfM_Metrics_2023_Consol_Source[[#This Row],[Reinvestment Spend]] / VfM_Metrics_2023_Consol_Source[[#This Row],[Net Book Value of Housing Properties]], "n/a" )</f>
        <v>3.2989997541439678E-2</v>
      </c>
      <c r="E18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5099</v>
      </c>
      <c r="F189" s="83" vm="3512">
        <v>2005</v>
      </c>
      <c r="G189" s="83" vm="3513">
        <v>0</v>
      </c>
      <c r="H189" s="83" vm="3514">
        <v>3061</v>
      </c>
      <c r="I189" s="83" vm="7672">
        <v>33</v>
      </c>
      <c r="J189" s="83" vm="3515">
        <v>0</v>
      </c>
      <c r="K189" s="5">
        <f xml:space="preserve"> SUM( VfM_Metrics_2023_Consol_Source[[#This Row],[Tangible fixed assets: Housing properties at cost (Current period)]],VfM_Metrics_2023_Consol_Source[[#This Row],[Tangible fixed assets Housing properties at valuation (Current period)]] )</f>
        <v>154562</v>
      </c>
      <c r="L189" s="84" vm="3516">
        <v>154562</v>
      </c>
      <c r="M189" s="83">
        <v>0</v>
      </c>
      <c r="N189" s="7">
        <f xml:space="preserve"> IFERROR( VfM_Metrics_2023_Consol_Source[[#This Row],[Total social units developed or newly built units acquired in-year]] / VfM_Metrics_2023_Consol_Source[[#This Row],[Social housing units owned (period end)]], "n/a" )</f>
        <v>1.8999366687777073E-3</v>
      </c>
      <c r="O189" s="5">
        <f xml:space="preserve"> SUM( VfM_Metrics_2023_Consol_Source[[#This Row],[Total social units developed or newly built units acquired in-year (owned)]], VfM_Metrics_2023_Consol_Source[[#This Row],[Total social leasehold units developed or newly built units acquired in-year (owned)]] )</f>
        <v>6</v>
      </c>
      <c r="P189" s="84" vm="3517">
        <v>6</v>
      </c>
      <c r="Q189" s="83">
        <v>0</v>
      </c>
      <c r="R189" s="5">
        <f xml:space="preserve"> SUM( VfM_Metrics_2023_Consol_Source[[#This Row],[Total social housing units owned (Period end)]], VfM_Metrics_2023_Consol_Source[[#This Row],[Total social leasehold units owned (Period end)]] )</f>
        <v>3158</v>
      </c>
      <c r="S189" s="84" vm="3510">
        <v>3158</v>
      </c>
      <c r="T189" s="83" vm="6995">
        <v>0</v>
      </c>
      <c r="U189" s="86">
        <f xml:space="preserve"> IFERROR( VfM_Metrics_2023_Consol_Source[[#This Row],[Total non-social housing units developed or newly built units acquired (owned)]] / VfM_Metrics_2023_Consol_Source[[#This Row],[Total social and non-social housing units owned (Period end)]], "n/a" )</f>
        <v>0</v>
      </c>
      <c r="V18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89" s="83">
        <v>0</v>
      </c>
      <c r="X189" s="83">
        <v>0</v>
      </c>
      <c r="Y189" s="83" vm="3519">
        <v>0</v>
      </c>
      <c r="Z18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3457</v>
      </c>
      <c r="AA189" s="84" vm="3510">
        <v>3158</v>
      </c>
      <c r="AB189" s="83" vm="3518">
        <v>0</v>
      </c>
      <c r="AC189" s="83" vm="3520">
        <v>10</v>
      </c>
      <c r="AD189" s="83" vm="3521">
        <v>289</v>
      </c>
      <c r="AE189" s="7">
        <f xml:space="preserve"> IFERROR( VfM_Metrics_2023_Consol_Source[[#This Row],[Total Net Debt]] / VfM_Metrics_2023_Consol_Source[[#This Row],[Net Book Value of Housing Properties2]], "n/a" )</f>
        <v>0.48814068140940203</v>
      </c>
      <c r="AF18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75448</v>
      </c>
      <c r="AG189" s="84" vm="3522">
        <v>93</v>
      </c>
      <c r="AH189" s="83" vm="3523">
        <v>81627</v>
      </c>
      <c r="AI189" s="83" vm="3524">
        <v>6272</v>
      </c>
      <c r="AJ189" s="83" vm="1675">
        <v>0</v>
      </c>
      <c r="AK189" s="83">
        <v>0</v>
      </c>
      <c r="AL189" s="5">
        <f xml:space="preserve"> SUM( VfM_Metrics_2023_Consol_Source[[#This Row],[Tangible fixed assets: Housing properties at cost (Current period)2]], VfM_Metrics_2023_Consol_Source[[#This Row],[Tangible fixed assets Housing properties at valuation (Current period)2]] )</f>
        <v>154562</v>
      </c>
      <c r="AM189" s="84" vm="3516">
        <v>154562</v>
      </c>
      <c r="AN189" s="83">
        <v>0</v>
      </c>
      <c r="AO189" s="87">
        <f xml:space="preserve"> IFERROR( VfM_Metrics_2023_Consol_Source[[#This Row],[EBITDA MRI]] / VfM_Metrics_2023_Consol_Source[[#This Row],[Total interest]], "n/a" )</f>
        <v>1.1678194393884238</v>
      </c>
      <c r="AP18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3208</v>
      </c>
      <c r="AQ189" s="84" vm="3525">
        <v>3277</v>
      </c>
      <c r="AR189" s="84" vm="3526">
        <v>174</v>
      </c>
      <c r="AS189" s="84">
        <v>0</v>
      </c>
      <c r="AT189" s="84" vm="3527">
        <v>909</v>
      </c>
      <c r="AU189" s="84" vm="3528">
        <v>0</v>
      </c>
      <c r="AV189" s="84" vm="3529">
        <v>65</v>
      </c>
      <c r="AW189" s="84" vm="3530">
        <v>3061</v>
      </c>
      <c r="AX189" s="84" vm="3531">
        <v>4010</v>
      </c>
      <c r="AY189" s="3">
        <f xml:space="preserve"> - SUM( VfM_Metrics_2023_Consol_Source[[#This Row],[Interest capitalised]], VfM_Metrics_2023_Consol_Source[[#This Row],[Interest payable and financing costs]] )</f>
        <v>2747</v>
      </c>
      <c r="AZ189" s="84" vm="3532">
        <v>-33</v>
      </c>
      <c r="BA189" s="83" vm="3533">
        <v>-2714</v>
      </c>
      <c r="BB189" s="8">
        <f xml:space="preserve"> IFERROR( ( VfM_Metrics_2023_Consol_Source[[#This Row],[Total Costs]] / VfM_Metrics_2023_Consol_Source[[#This Row],[Total units for costs]] ) * 1000, "n/a" )</f>
        <v>11219.47496947497</v>
      </c>
      <c r="BC18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36755</v>
      </c>
      <c r="BD189" s="84" vm="3534">
        <v>2128</v>
      </c>
      <c r="BE189" s="83" vm="7593">
        <v>7971</v>
      </c>
      <c r="BF189" s="83" vm="3535">
        <v>3186</v>
      </c>
      <c r="BG189" s="83" vm="3536">
        <v>2215</v>
      </c>
      <c r="BH189" s="83" vm="7897">
        <v>179</v>
      </c>
      <c r="BI189" s="83" vm="3537">
        <v>1062</v>
      </c>
      <c r="BJ189" s="83" vm="3530">
        <v>3061</v>
      </c>
      <c r="BK189" s="83" vm="7075">
        <v>0</v>
      </c>
      <c r="BL189" s="83">
        <v>0</v>
      </c>
      <c r="BM189" s="83">
        <v>0</v>
      </c>
      <c r="BN189" s="83">
        <v>0</v>
      </c>
      <c r="BO189" s="83" vm="3538">
        <v>16953</v>
      </c>
      <c r="BP189" s="5" vm="3511">
        <f xml:space="preserve"> VfM_Metrics_2023_Consol_Source[[#This Row],[Total social housing units owned and/or managed at period end]]</f>
        <v>3276</v>
      </c>
      <c r="BQ189" s="84" vm="3511">
        <v>3276</v>
      </c>
      <c r="BR189" s="7">
        <f xml:space="preserve"> IFERROR( VfM_Metrics_2023_Consol_Source[[#This Row],[SHL operating surplus / (deficit)]] / VfM_Metrics_2023_Consol_Source[[#This Row],[Turnover from social housing lettings]], "n/a" )</f>
        <v>0.13408526760440709</v>
      </c>
      <c r="BS189" s="5" vm="3539">
        <f xml:space="preserve"> VfM_Metrics_2023_Consol_Source[[#This Row],[Operating surplus/(deficit) (social housing lettings)]]</f>
        <v>3079</v>
      </c>
      <c r="BT189" s="84" vm="3539">
        <v>3079</v>
      </c>
      <c r="BU189" s="5" vm="3540">
        <f xml:space="preserve"> VfM_Metrics_2023_Consol_Source[[#This Row],[Turnover from social housing lettings]]</f>
        <v>22963</v>
      </c>
      <c r="BV189" s="84" vm="3540">
        <v>22963</v>
      </c>
      <c r="BW189" s="7">
        <f xml:space="preserve"> IFERROR( VfM_Metrics_2023_Consol_Source[[#This Row],[Net operating surplus]] / VfM_Metrics_2023_Consol_Source[[#This Row],[Overall turnover]], "n/a" )</f>
        <v>7.4457108578284345E-2</v>
      </c>
      <c r="BX18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3103</v>
      </c>
      <c r="BY189" s="84" vm="7450">
        <v>3277</v>
      </c>
      <c r="BZ189" s="83" vm="3526">
        <v>174</v>
      </c>
      <c r="CA189" s="83">
        <v>0</v>
      </c>
      <c r="CB189" s="5" vm="3541">
        <f xml:space="preserve"> VfM_Metrics_2023_Consol_Source[[#This Row],[Turnover (overall)]]</f>
        <v>41675</v>
      </c>
      <c r="CC189" s="84" vm="3541">
        <v>41675</v>
      </c>
      <c r="CD189" s="7">
        <f xml:space="preserve"> IFERROR( VfM_Metrics_2023_Consol_Source[[#This Row],[Operating surplus including from JVs]] / VfM_Metrics_2023_Consol_Source[[#This Row],[Net assets]], "n/a" )</f>
        <v>1.9636982484314981E-2</v>
      </c>
      <c r="CE189" s="5">
        <f xml:space="preserve"> SUM( VfM_Metrics_2023_Consol_Source[[#This Row],[Operating surplus/(deficit) (overall)3]], VfM_Metrics_2023_Consol_Source[[#This Row],[Share of operating surplus/(deficit) in joint ventures or associates]] )</f>
        <v>3277</v>
      </c>
      <c r="CF189" s="84" vm="7074">
        <v>3277</v>
      </c>
      <c r="CG189" s="83">
        <v>0</v>
      </c>
      <c r="CH189" s="5" vm="7562">
        <f xml:space="preserve"> VfM_Metrics_2023_Consol_Source[[#This Row],[Total assets less current liabilities]]</f>
        <v>166879</v>
      </c>
      <c r="CI189" s="84" vm="7562">
        <v>166879</v>
      </c>
      <c r="CJ189" s="71" vm="3510">
        <f xml:space="preserve"> VfM_Metrics_2023_Consol_Source[[#This Row],[Total social housing units owned (Period end)]]</f>
        <v>3158</v>
      </c>
      <c r="CK189" s="103">
        <v>0.18340196388976876</v>
      </c>
      <c r="CL189" s="6">
        <f xml:space="preserve"> -- ( VfM_Metrics_2023_Consol_Source[[#This Row],[% Supported housing (excl. HOP)]] &gt; 0.3 )</f>
        <v>0</v>
      </c>
      <c r="CM189" s="103">
        <v>0.14127336078555591</v>
      </c>
      <c r="CN189" s="6">
        <f xml:space="preserve"> -- ( VfM_Metrics_2023_Consol_Source[[#This Row],[% Housing for older people]] &gt; 0.3 )</f>
        <v>0</v>
      </c>
      <c r="CO189" s="103">
        <f xml:space="preserve"> VfM_Metrics_2023_Consol_Source[[#This Row],[% Supported housing (excl. HOP)]] + VfM_Metrics_2023_Consol_Source[[#This Row],[% Housing for older people]]</f>
        <v>0.32467532467532467</v>
      </c>
      <c r="CP189" s="6">
        <f xml:space="preserve"> -- ( VfM_Metrics_2023_Consol_Source[[#This Row],[SH specialist in RSH analysis]] + VfM_Metrics_2023_Consol_Source[[#This Row],[OP specialist in RSH analysis]] &gt; 0 )</f>
        <v>0</v>
      </c>
      <c r="CQ189" s="10">
        <f xml:space="preserve"> -- ( VfM_Metrics_2023_Consol_Source[[#This Row],[% SH and OP]] &gt; 0.3 )</f>
        <v>1</v>
      </c>
      <c r="CR189" s="104" t="s">
        <v>143</v>
      </c>
      <c r="CS189" s="124" t="s">
        <v>144</v>
      </c>
      <c r="CT189" s="105"/>
      <c r="CU18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89" s="85">
        <v>0</v>
      </c>
      <c r="CW189" s="85">
        <v>0</v>
      </c>
      <c r="CX189" s="85">
        <v>0</v>
      </c>
      <c r="CY189" s="85">
        <v>0.11672025723472669</v>
      </c>
      <c r="CZ189" s="85">
        <v>0.88327974276527332</v>
      </c>
      <c r="DA189" s="85">
        <v>0</v>
      </c>
      <c r="DB189" s="85">
        <v>0</v>
      </c>
      <c r="DC189" s="85">
        <v>0</v>
      </c>
      <c r="DD189" s="85">
        <v>0</v>
      </c>
      <c r="DE189" s="13">
        <v>0.96199260274761833</v>
      </c>
    </row>
    <row r="190" spans="1:109" x14ac:dyDescent="0.25">
      <c r="A190" s="4" t="s" vm="227">
        <v>504</v>
      </c>
      <c r="B190" s="2" t="s" vm="180">
        <v>505</v>
      </c>
      <c r="C190" s="72" vm="565">
        <v>45016</v>
      </c>
      <c r="D190" s="7">
        <f>IFERROR( VfM_Metrics_2023_Consol_Source[[#This Row],[Reinvestment Spend]] / VfM_Metrics_2023_Consol_Source[[#This Row],[Net Book Value of Housing Properties]], "n/a" )</f>
        <v>3.9185832960633368E-2</v>
      </c>
      <c r="E19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4118</v>
      </c>
      <c r="F190" s="83" vm="1183">
        <v>2693</v>
      </c>
      <c r="G190" s="83" vm="8508">
        <v>0</v>
      </c>
      <c r="H190" s="83" vm="8606">
        <v>1286</v>
      </c>
      <c r="I190" s="83" vm="8514">
        <v>139</v>
      </c>
      <c r="J190" s="83" vm="1185">
        <v>0</v>
      </c>
      <c r="K190" s="5">
        <f xml:space="preserve"> SUM( VfM_Metrics_2023_Consol_Source[[#This Row],[Tangible fixed assets: Housing properties at cost (Current period)]],VfM_Metrics_2023_Consol_Source[[#This Row],[Tangible fixed assets Housing properties at valuation (Current period)]] )</f>
        <v>105089</v>
      </c>
      <c r="L190" s="84" vm="1114">
        <v>105089</v>
      </c>
      <c r="M190" s="83" vm="1186">
        <v>0</v>
      </c>
      <c r="N190" s="7">
        <f xml:space="preserve"> IFERROR( VfM_Metrics_2023_Consol_Source[[#This Row],[Total social units developed or newly built units acquired in-year]] / VfM_Metrics_2023_Consol_Source[[#This Row],[Social housing units owned (period end)]], "n/a" )</f>
        <v>2.2915340547422024E-2</v>
      </c>
      <c r="O190" s="5">
        <f xml:space="preserve"> SUM( VfM_Metrics_2023_Consol_Source[[#This Row],[Total social units developed or newly built units acquired in-year (owned)]], VfM_Metrics_2023_Consol_Source[[#This Row],[Total social leasehold units developed or newly built units acquired in-year (owned)]] )</f>
        <v>36</v>
      </c>
      <c r="P190" s="84" vm="8510">
        <v>36</v>
      </c>
      <c r="Q190" s="83" vm="8683">
        <v>0</v>
      </c>
      <c r="R190" s="5">
        <f xml:space="preserve"> SUM( VfM_Metrics_2023_Consol_Source[[#This Row],[Total social housing units owned (Period end)]], VfM_Metrics_2023_Consol_Source[[#This Row],[Total social leasehold units owned (Period end)]] )</f>
        <v>1571</v>
      </c>
      <c r="S190" s="84" vm="1181">
        <v>1571</v>
      </c>
      <c r="T190" s="83" vm="8497">
        <v>0</v>
      </c>
      <c r="U190" s="86">
        <f xml:space="preserve"> IFERROR( VfM_Metrics_2023_Consol_Source[[#This Row],[Total non-social housing units developed or newly built units acquired (owned)]] / VfM_Metrics_2023_Consol_Source[[#This Row],[Total social and non-social housing units owned (Period end)]], "n/a" )</f>
        <v>0</v>
      </c>
      <c r="V19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90" s="83" vm="1189">
        <v>0</v>
      </c>
      <c r="X190" s="83" vm="8501">
        <v>0</v>
      </c>
      <c r="Y190" s="83" vm="1142">
        <v>0</v>
      </c>
      <c r="Z19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1571</v>
      </c>
      <c r="AA190" s="84" vm="1181">
        <v>1571</v>
      </c>
      <c r="AB190" s="83" vm="1188">
        <v>0</v>
      </c>
      <c r="AC190" s="83" vm="8795">
        <v>0</v>
      </c>
      <c r="AD190" s="83" vm="8651">
        <v>0</v>
      </c>
      <c r="AE190" s="7">
        <f xml:space="preserve"> IFERROR( VfM_Metrics_2023_Consol_Source[[#This Row],[Total Net Debt]] / VfM_Metrics_2023_Consol_Source[[#This Row],[Net Book Value of Housing Properties2]], "n/a" )</f>
        <v>0.5721911903243917</v>
      </c>
      <c r="AF19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60131</v>
      </c>
      <c r="AG190" s="84" vm="1305">
        <v>58</v>
      </c>
      <c r="AH190" s="83" vm="1191">
        <v>64449</v>
      </c>
      <c r="AI190" s="83" vm="8750">
        <v>4376</v>
      </c>
      <c r="AJ190" s="83" vm="8601">
        <v>0</v>
      </c>
      <c r="AK190" s="83" vm="8479">
        <v>0</v>
      </c>
      <c r="AL190" s="5">
        <f xml:space="preserve"> SUM( VfM_Metrics_2023_Consol_Source[[#This Row],[Tangible fixed assets: Housing properties at cost (Current period)2]], VfM_Metrics_2023_Consol_Source[[#This Row],[Tangible fixed assets Housing properties at valuation (Current period)2]] )</f>
        <v>105089</v>
      </c>
      <c r="AM190" s="84" vm="8681">
        <v>105089</v>
      </c>
      <c r="AN190" s="83" vm="1186">
        <v>0</v>
      </c>
      <c r="AO190" s="87">
        <f xml:space="preserve"> IFERROR( VfM_Metrics_2023_Consol_Source[[#This Row],[EBITDA MRI]] / VfM_Metrics_2023_Consol_Source[[#This Row],[Total interest]], "n/a" )</f>
        <v>1.1783737760749255</v>
      </c>
      <c r="AP19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2768</v>
      </c>
      <c r="AQ190" s="84" vm="8647">
        <v>2794</v>
      </c>
      <c r="AR190" s="84" vm="8489">
        <v>89</v>
      </c>
      <c r="AS190" s="84" vm="1192">
        <v>0</v>
      </c>
      <c r="AT190" s="84" vm="1193">
        <v>504</v>
      </c>
      <c r="AU190" s="84" vm="8361">
        <v>0</v>
      </c>
      <c r="AV190" s="84" vm="8603">
        <v>9</v>
      </c>
      <c r="AW190" s="84" vm="1146">
        <v>1286</v>
      </c>
      <c r="AX190" s="84" vm="8639">
        <v>1844</v>
      </c>
      <c r="AY190" s="3">
        <f xml:space="preserve"> - SUM( VfM_Metrics_2023_Consol_Source[[#This Row],[Interest capitalised]], VfM_Metrics_2023_Consol_Source[[#This Row],[Interest payable and financing costs]] )</f>
        <v>2349</v>
      </c>
      <c r="AZ190" s="84" vm="8488">
        <v>-139</v>
      </c>
      <c r="BA190" s="83" vm="7912">
        <v>-2210</v>
      </c>
      <c r="BB190" s="8">
        <f xml:space="preserve"> IFERROR( ( VfM_Metrics_2023_Consol_Source[[#This Row],[Total Costs]] / VfM_Metrics_2023_Consol_Source[[#This Row],[Total units for costs]] ) * 1000, "n/a" )</f>
        <v>4173.5330836454432</v>
      </c>
      <c r="BC19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6686</v>
      </c>
      <c r="BD190" s="84" vm="8591">
        <v>1638</v>
      </c>
      <c r="BE190" s="83" vm="8462">
        <v>1389</v>
      </c>
      <c r="BF190" s="83" vm="1074">
        <v>1652</v>
      </c>
      <c r="BG190" s="83" vm="8748">
        <v>621</v>
      </c>
      <c r="BH190" s="83" vm="8833">
        <v>0</v>
      </c>
      <c r="BI190" s="83" vm="8359">
        <v>0</v>
      </c>
      <c r="BJ190" s="83" vm="8500">
        <v>1286</v>
      </c>
      <c r="BK190" s="83" vm="8585">
        <v>100</v>
      </c>
      <c r="BL190" s="83" vm="1196">
        <v>0</v>
      </c>
      <c r="BM190" s="83" vm="1197">
        <v>0</v>
      </c>
      <c r="BN190" s="83" vm="8747">
        <v>0</v>
      </c>
      <c r="BO190" s="83" vm="1221">
        <v>0</v>
      </c>
      <c r="BP190" s="5" vm="1182">
        <f xml:space="preserve"> VfM_Metrics_2023_Consol_Source[[#This Row],[Total social housing units owned and/or managed at period end]]</f>
        <v>1602</v>
      </c>
      <c r="BQ190" s="84" vm="1182">
        <v>1602</v>
      </c>
      <c r="BR190" s="7">
        <f xml:space="preserve"> IFERROR( VfM_Metrics_2023_Consol_Source[[#This Row],[SHL operating surplus / (deficit)]] / VfM_Metrics_2023_Consol_Source[[#This Row],[Turnover from social housing lettings]], "n/a" )</f>
        <v>0.27018255578093309</v>
      </c>
      <c r="BS190" s="5" vm="1198">
        <f xml:space="preserve"> VfM_Metrics_2023_Consol_Source[[#This Row],[Operating surplus/(deficit) (social housing lettings)]]</f>
        <v>2664</v>
      </c>
      <c r="BT190" s="84" vm="1198">
        <v>2664</v>
      </c>
      <c r="BU190" s="5" vm="8602">
        <f xml:space="preserve"> VfM_Metrics_2023_Consol_Source[[#This Row],[Turnover from social housing lettings]]</f>
        <v>9860</v>
      </c>
      <c r="BV190" s="84" vm="8602">
        <v>9860</v>
      </c>
      <c r="BW190" s="7">
        <f xml:space="preserve"> IFERROR( VfM_Metrics_2023_Consol_Source[[#This Row],[Net operating surplus]] / VfM_Metrics_2023_Consol_Source[[#This Row],[Overall turnover]], "n/a" )</f>
        <v>0.26308111262400313</v>
      </c>
      <c r="BX19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2705</v>
      </c>
      <c r="BY190" s="84" vm="1405">
        <v>2794</v>
      </c>
      <c r="BZ190" s="83" vm="8665">
        <v>89</v>
      </c>
      <c r="CA190" s="83" vm="1148">
        <v>0</v>
      </c>
      <c r="CB190" s="5" vm="1199">
        <f xml:space="preserve"> VfM_Metrics_2023_Consol_Source[[#This Row],[Turnover (overall)]]</f>
        <v>10282</v>
      </c>
      <c r="CC190" s="84" vm="1199">
        <v>10282</v>
      </c>
      <c r="CD190" s="7">
        <f xml:space="preserve"> IFERROR( VfM_Metrics_2023_Consol_Source[[#This Row],[Operating surplus including from JVs]] / VfM_Metrics_2023_Consol_Source[[#This Row],[Net assets]], "n/a" )</f>
        <v>2.6134620421296818E-2</v>
      </c>
      <c r="CE190" s="5">
        <f xml:space="preserve"> SUM( VfM_Metrics_2023_Consol_Source[[#This Row],[Operating surplus/(deficit) (overall)3]], VfM_Metrics_2023_Consol_Source[[#This Row],[Share of operating surplus/(deficit) in joint ventures or associates]] )</f>
        <v>2794</v>
      </c>
      <c r="CF190" s="84" vm="997">
        <v>2794</v>
      </c>
      <c r="CG190" s="83" vm="1188">
        <v>0</v>
      </c>
      <c r="CH190" s="5" vm="7911">
        <f xml:space="preserve"> VfM_Metrics_2023_Consol_Source[[#This Row],[Total assets less current liabilities]]</f>
        <v>106908</v>
      </c>
      <c r="CI190" s="84" vm="7911">
        <v>106908</v>
      </c>
      <c r="CJ190" s="71" vm="1181">
        <f xml:space="preserve"> VfM_Metrics_2023_Consol_Source[[#This Row],[Total social housing units owned (Period end)]]</f>
        <v>1571</v>
      </c>
      <c r="CK190" s="103">
        <v>6.4208518753973293E-2</v>
      </c>
      <c r="CL190" s="6">
        <f xml:space="preserve"> -- ( VfM_Metrics_2023_Consol_Source[[#This Row],[% Supported housing (excl. HOP)]] &gt; 0.3 )</f>
        <v>0</v>
      </c>
      <c r="CM190" s="103">
        <v>5.8486967577876671E-2</v>
      </c>
      <c r="CN190" s="6">
        <f xml:space="preserve"> -- ( VfM_Metrics_2023_Consol_Source[[#This Row],[% Housing for older people]] &gt; 0.3 )</f>
        <v>0</v>
      </c>
      <c r="CO190" s="103">
        <f xml:space="preserve"> VfM_Metrics_2023_Consol_Source[[#This Row],[% Supported housing (excl. HOP)]] + VfM_Metrics_2023_Consol_Source[[#This Row],[% Housing for older people]]</f>
        <v>0.12269548633184996</v>
      </c>
      <c r="CP190" s="6">
        <f xml:space="preserve"> -- ( VfM_Metrics_2023_Consol_Source[[#This Row],[SH specialist in RSH analysis]] + VfM_Metrics_2023_Consol_Source[[#This Row],[OP specialist in RSH analysis]] &gt; 0 )</f>
        <v>0</v>
      </c>
      <c r="CQ190" s="10">
        <f xml:space="preserve"> -- ( VfM_Metrics_2023_Consol_Source[[#This Row],[% SH and OP]] &gt; 0.3 )</f>
        <v>0</v>
      </c>
      <c r="CR190" s="104" t="s">
        <v>143</v>
      </c>
      <c r="CS190" s="124" t="s">
        <v>144</v>
      </c>
      <c r="CT190" s="105"/>
      <c r="CU19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Midlands</v>
      </c>
      <c r="CV190" s="85">
        <v>0</v>
      </c>
      <c r="CW190" s="85">
        <v>0</v>
      </c>
      <c r="CX190" s="85">
        <v>0</v>
      </c>
      <c r="CY190" s="85">
        <v>0.97772119669000634</v>
      </c>
      <c r="CZ190" s="85">
        <v>2.2278803309993635E-2</v>
      </c>
      <c r="DA190" s="85">
        <v>0</v>
      </c>
      <c r="DB190" s="85">
        <v>0</v>
      </c>
      <c r="DC190" s="85">
        <v>0</v>
      </c>
      <c r="DD190" s="85">
        <v>0</v>
      </c>
      <c r="DE190" s="13">
        <v>0.94283013232435187</v>
      </c>
    </row>
    <row r="191" spans="1:109" x14ac:dyDescent="0.25">
      <c r="A191" s="4" t="s" vm="333">
        <v>506</v>
      </c>
      <c r="B191" s="2" t="s" vm="181">
        <v>507</v>
      </c>
      <c r="C191" s="72" vm="578">
        <v>45016</v>
      </c>
      <c r="D191" s="7">
        <f>IFERROR( VfM_Metrics_2023_Consol_Source[[#This Row],[Reinvestment Spend]] / VfM_Metrics_2023_Consol_Source[[#This Row],[Net Book Value of Housing Properties]], "n/a" )</f>
        <v>0.11024195213106917</v>
      </c>
      <c r="E19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20294</v>
      </c>
      <c r="F191" s="83" vm="7518">
        <v>16401</v>
      </c>
      <c r="G191" s="83" vm="4505">
        <v>0</v>
      </c>
      <c r="H191" s="83" vm="7053">
        <v>3371</v>
      </c>
      <c r="I191" s="83" vm="4478">
        <v>522</v>
      </c>
      <c r="J191" s="83" vm="4479">
        <v>0</v>
      </c>
      <c r="K191" s="5">
        <f xml:space="preserve"> SUM( VfM_Metrics_2023_Consol_Source[[#This Row],[Tangible fixed assets: Housing properties at cost (Current period)]],VfM_Metrics_2023_Consol_Source[[#This Row],[Tangible fixed assets Housing properties at valuation (Current period)]] )</f>
        <v>184086</v>
      </c>
      <c r="L191" s="84" vm="4480">
        <v>184086</v>
      </c>
      <c r="M191" s="83" vm="4481">
        <v>0</v>
      </c>
      <c r="N191" s="7">
        <f xml:space="preserve"> IFERROR( VfM_Metrics_2023_Consol_Source[[#This Row],[Total social units developed or newly built units acquired in-year]] / VfM_Metrics_2023_Consol_Source[[#This Row],[Social housing units owned (period end)]], "n/a" )</f>
        <v>2.2582116788321168E-2</v>
      </c>
      <c r="O191" s="5">
        <f xml:space="preserve"> SUM( VfM_Metrics_2023_Consol_Source[[#This Row],[Total social units developed or newly built units acquired in-year (owned)]], VfM_Metrics_2023_Consol_Source[[#This Row],[Total social leasehold units developed or newly built units acquired in-year (owned)]] )</f>
        <v>99</v>
      </c>
      <c r="P191" s="84" vm="4482">
        <v>99</v>
      </c>
      <c r="Q191" s="83" vm="4483">
        <v>0</v>
      </c>
      <c r="R191" s="5">
        <f xml:space="preserve"> SUM( VfM_Metrics_2023_Consol_Source[[#This Row],[Total social housing units owned (Period end)]], VfM_Metrics_2023_Consol_Source[[#This Row],[Total social leasehold units owned (Period end)]] )</f>
        <v>4384</v>
      </c>
      <c r="S191" s="84" vm="4476">
        <v>4384</v>
      </c>
      <c r="T191" s="83" vm="7426">
        <v>0</v>
      </c>
      <c r="U191" s="86">
        <f xml:space="preserve"> IFERROR( VfM_Metrics_2023_Consol_Source[[#This Row],[Total non-social housing units developed or newly built units acquired (owned)]] / VfM_Metrics_2023_Consol_Source[[#This Row],[Total social and non-social housing units owned (Period end)]], "n/a" )</f>
        <v>0</v>
      </c>
      <c r="V19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91" s="83" vm="4485">
        <v>0</v>
      </c>
      <c r="X191" s="83" vm="7584">
        <v>0</v>
      </c>
      <c r="Y191" s="83" vm="4486">
        <v>0</v>
      </c>
      <c r="Z19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4430</v>
      </c>
      <c r="AA191" s="84" vm="4476">
        <v>4384</v>
      </c>
      <c r="AB191" s="83" vm="4484">
        <v>0</v>
      </c>
      <c r="AC191" s="83" vm="4487">
        <v>2</v>
      </c>
      <c r="AD191" s="83" vm="4488">
        <v>44</v>
      </c>
      <c r="AE191" s="7">
        <f xml:space="preserve"> IFERROR( VfM_Metrics_2023_Consol_Source[[#This Row],[Total Net Debt]] / VfM_Metrics_2023_Consol_Source[[#This Row],[Net Book Value of Housing Properties2]], "n/a" )</f>
        <v>0.67146333778777312</v>
      </c>
      <c r="AF19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123607</v>
      </c>
      <c r="AG191" s="84" vm="4489">
        <v>10850</v>
      </c>
      <c r="AH191" s="83" vm="4490">
        <v>136741</v>
      </c>
      <c r="AI191" s="83" vm="7050">
        <v>23984</v>
      </c>
      <c r="AJ191" s="83" vm="4491">
        <v>0</v>
      </c>
      <c r="AK191" s="83" vm="4492">
        <v>0</v>
      </c>
      <c r="AL191" s="5">
        <f xml:space="preserve"> SUM( VfM_Metrics_2023_Consol_Source[[#This Row],[Tangible fixed assets: Housing properties at cost (Current period)2]], VfM_Metrics_2023_Consol_Source[[#This Row],[Tangible fixed assets Housing properties at valuation (Current period)2]] )</f>
        <v>184086</v>
      </c>
      <c r="AM191" s="84" vm="7186">
        <v>184086</v>
      </c>
      <c r="AN191" s="83" vm="7624">
        <v>0</v>
      </c>
      <c r="AO191" s="87">
        <f xml:space="preserve"> IFERROR( VfM_Metrics_2023_Consol_Source[[#This Row],[EBITDA MRI]] / VfM_Metrics_2023_Consol_Source[[#This Row],[Total interest]], "n/a" )</f>
        <v>1.5832565000921999</v>
      </c>
      <c r="AP19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8586</v>
      </c>
      <c r="AQ191" s="84" vm="4493">
        <v>6691</v>
      </c>
      <c r="AR191" s="84" vm="7517">
        <v>848</v>
      </c>
      <c r="AS191" s="84" vm="4494">
        <v>40</v>
      </c>
      <c r="AT191" s="84" vm="4495">
        <v>238</v>
      </c>
      <c r="AU191" s="84" vm="4721">
        <v>30</v>
      </c>
      <c r="AV191" s="84" vm="4496">
        <v>893</v>
      </c>
      <c r="AW191" s="84" vm="4497">
        <v>3371</v>
      </c>
      <c r="AX191" s="84" vm="2359">
        <v>5529</v>
      </c>
      <c r="AY191" s="3">
        <f xml:space="preserve"> - SUM( VfM_Metrics_2023_Consol_Source[[#This Row],[Interest capitalised]], VfM_Metrics_2023_Consol_Source[[#This Row],[Interest payable and financing costs]] )</f>
        <v>5423</v>
      </c>
      <c r="AZ191" s="84" vm="4498">
        <v>-522</v>
      </c>
      <c r="BA191" s="83" vm="4499">
        <v>-4901</v>
      </c>
      <c r="BB191" s="8">
        <f xml:space="preserve"> IFERROR( ( VfM_Metrics_2023_Consol_Source[[#This Row],[Total Costs]] / VfM_Metrics_2023_Consol_Source[[#This Row],[Total units for costs]] ) * 1000, "n/a" )</f>
        <v>3954.0282203004094</v>
      </c>
      <c r="BC19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17374</v>
      </c>
      <c r="BD191" s="84" vm="4500">
        <v>5094</v>
      </c>
      <c r="BE191" s="83" vm="4436">
        <v>1031</v>
      </c>
      <c r="BF191" s="83" vm="4501">
        <v>4563</v>
      </c>
      <c r="BG191" s="83" vm="4729">
        <v>2081</v>
      </c>
      <c r="BH191" s="83" vm="4502">
        <v>1173</v>
      </c>
      <c r="BI191" s="83" vm="4503">
        <v>0</v>
      </c>
      <c r="BJ191" s="83" vm="4497">
        <v>3371</v>
      </c>
      <c r="BK191" s="83" vm="4504">
        <v>11</v>
      </c>
      <c r="BL191" s="83" vm="4505">
        <v>0</v>
      </c>
      <c r="BM191" s="83" vm="4506">
        <v>0</v>
      </c>
      <c r="BN191" s="83" vm="4507">
        <v>50</v>
      </c>
      <c r="BO191" s="83" vm="4508">
        <v>0</v>
      </c>
      <c r="BP191" s="5" vm="4477">
        <f xml:space="preserve"> VfM_Metrics_2023_Consol_Source[[#This Row],[Total social housing units owned and/or managed at period end]]</f>
        <v>4394</v>
      </c>
      <c r="BQ191" s="84" vm="4477">
        <v>4394</v>
      </c>
      <c r="BR191" s="7">
        <f xml:space="preserve"> IFERROR( VfM_Metrics_2023_Consol_Source[[#This Row],[SHL operating surplus / (deficit)]] / VfM_Metrics_2023_Consol_Source[[#This Row],[Turnover from social housing lettings]], "n/a" )</f>
        <v>0.18476804555350862</v>
      </c>
      <c r="BS191" s="5" vm="4509">
        <f xml:space="preserve"> VfM_Metrics_2023_Consol_Source[[#This Row],[Operating surplus/(deficit) (social housing lettings)]]</f>
        <v>4413</v>
      </c>
      <c r="BT191" s="84" vm="4509">
        <v>4413</v>
      </c>
      <c r="BU191" s="5" vm="4510">
        <f xml:space="preserve"> VfM_Metrics_2023_Consol_Source[[#This Row],[Turnover from social housing lettings]]</f>
        <v>23884</v>
      </c>
      <c r="BV191" s="84" vm="4510">
        <v>23884</v>
      </c>
      <c r="BW191" s="7">
        <f xml:space="preserve"> IFERROR( VfM_Metrics_2023_Consol_Source[[#This Row],[Net operating surplus]] / VfM_Metrics_2023_Consol_Source[[#This Row],[Overall turnover]], "n/a" )</f>
        <v>0.20481417428440335</v>
      </c>
      <c r="BX19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5803</v>
      </c>
      <c r="BY191" s="84" vm="4493">
        <v>6691</v>
      </c>
      <c r="BZ191" s="83" vm="4127">
        <v>848</v>
      </c>
      <c r="CA191" s="83" vm="4494">
        <v>40</v>
      </c>
      <c r="CB191" s="5" vm="4511">
        <f xml:space="preserve"> VfM_Metrics_2023_Consol_Source[[#This Row],[Turnover (overall)]]</f>
        <v>28333</v>
      </c>
      <c r="CC191" s="84" vm="4511">
        <v>28333</v>
      </c>
      <c r="CD191" s="7">
        <f xml:space="preserve"> IFERROR( VfM_Metrics_2023_Consol_Source[[#This Row],[Operating surplus including from JVs]] / VfM_Metrics_2023_Consol_Source[[#This Row],[Net assets]], "n/a" )</f>
        <v>3.0768877034856985E-2</v>
      </c>
      <c r="CE191" s="5">
        <f xml:space="preserve"> SUM( VfM_Metrics_2023_Consol_Source[[#This Row],[Operating surplus/(deficit) (overall)3]], VfM_Metrics_2023_Consol_Source[[#This Row],[Share of operating surplus/(deficit) in joint ventures or associates]] )</f>
        <v>6691</v>
      </c>
      <c r="CF191" s="84" vm="4493">
        <v>6691</v>
      </c>
      <c r="CG191" s="83" vm="4512">
        <v>0</v>
      </c>
      <c r="CH191" s="5" vm="2962">
        <f xml:space="preserve"> VfM_Metrics_2023_Consol_Source[[#This Row],[Total assets less current liabilities]]</f>
        <v>217460</v>
      </c>
      <c r="CI191" s="84" vm="2962">
        <v>217460</v>
      </c>
      <c r="CJ191" s="71" vm="4476">
        <f xml:space="preserve"> VfM_Metrics_2023_Consol_Source[[#This Row],[Total social housing units owned (Period end)]]</f>
        <v>4384</v>
      </c>
      <c r="CK191" s="103">
        <v>0</v>
      </c>
      <c r="CL191" s="6">
        <f xml:space="preserve"> -- ( VfM_Metrics_2023_Consol_Source[[#This Row],[% Supported housing (excl. HOP)]] &gt; 0.3 )</f>
        <v>0</v>
      </c>
      <c r="CM191" s="103">
        <v>0.13628034814475493</v>
      </c>
      <c r="CN191" s="6">
        <f xml:space="preserve"> -- ( VfM_Metrics_2023_Consol_Source[[#This Row],[% Housing for older people]] &gt; 0.3 )</f>
        <v>0</v>
      </c>
      <c r="CO191" s="103">
        <f xml:space="preserve"> VfM_Metrics_2023_Consol_Source[[#This Row],[% Supported housing (excl. HOP)]] + VfM_Metrics_2023_Consol_Source[[#This Row],[% Housing for older people]]</f>
        <v>0.13628034814475493</v>
      </c>
      <c r="CP191" s="6">
        <f xml:space="preserve"> -- ( VfM_Metrics_2023_Consol_Source[[#This Row],[SH specialist in RSH analysis]] + VfM_Metrics_2023_Consol_Source[[#This Row],[OP specialist in RSH analysis]] &gt; 0 )</f>
        <v>0</v>
      </c>
      <c r="CQ191" s="10">
        <f xml:space="preserve"> -- ( VfM_Metrics_2023_Consol_Source[[#This Row],[% SH and OP]] &gt; 0.3 )</f>
        <v>0</v>
      </c>
      <c r="CR191" s="104" t="s">
        <v>143</v>
      </c>
      <c r="CS191" s="124"/>
      <c r="CT191" s="105" t="s">
        <v>151</v>
      </c>
      <c r="CU19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191" s="85">
        <v>0</v>
      </c>
      <c r="CW191" s="85">
        <v>0</v>
      </c>
      <c r="CX191" s="85">
        <v>0.99248975876194812</v>
      </c>
      <c r="CY191" s="85">
        <v>0</v>
      </c>
      <c r="CZ191" s="85">
        <v>7.5102412380518889E-3</v>
      </c>
      <c r="DA191" s="85">
        <v>0</v>
      </c>
      <c r="DB191" s="85">
        <v>0</v>
      </c>
      <c r="DC191" s="85">
        <v>0</v>
      </c>
      <c r="DD191" s="85">
        <v>0</v>
      </c>
      <c r="DE191" s="13">
        <v>0.97503995412028976</v>
      </c>
    </row>
    <row r="192" spans="1:109" x14ac:dyDescent="0.25">
      <c r="A192" s="4" t="s" vm="229">
        <v>508</v>
      </c>
      <c r="B192" s="2" t="s" vm="182">
        <v>509</v>
      </c>
      <c r="C192" s="72" vm="465">
        <v>45016</v>
      </c>
      <c r="D192" s="7">
        <f>IFERROR( VfM_Metrics_2023_Consol_Source[[#This Row],[Reinvestment Spend]] / VfM_Metrics_2023_Consol_Source[[#This Row],[Net Book Value of Housing Properties]], "n/a" )</f>
        <v>1.8424576924637798E-2</v>
      </c>
      <c r="E19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1362</v>
      </c>
      <c r="F192" s="83" vm="8597">
        <v>522</v>
      </c>
      <c r="G192" s="83" vm="8713">
        <v>0</v>
      </c>
      <c r="H192" s="83" vm="1228">
        <v>840</v>
      </c>
      <c r="I192" s="83" vm="8450">
        <v>0</v>
      </c>
      <c r="J192" s="83" vm="8633">
        <v>0</v>
      </c>
      <c r="K192" s="5">
        <f xml:space="preserve"> SUM( VfM_Metrics_2023_Consol_Source[[#This Row],[Tangible fixed assets: Housing properties at cost (Current period)]],VfM_Metrics_2023_Consol_Source[[#This Row],[Tangible fixed assets Housing properties at valuation (Current period)]] )</f>
        <v>73923</v>
      </c>
      <c r="L192" s="84" vm="957">
        <v>73923</v>
      </c>
      <c r="M192" s="83">
        <v>0</v>
      </c>
      <c r="N192" s="7">
        <f xml:space="preserve"> IFERROR( VfM_Metrics_2023_Consol_Source[[#This Row],[Total social units developed or newly built units acquired in-year]] / VfM_Metrics_2023_Consol_Source[[#This Row],[Social housing units owned (period end)]], "n/a" )</f>
        <v>1.0783608914450037E-2</v>
      </c>
      <c r="O192" s="5">
        <f xml:space="preserve"> SUM( VfM_Metrics_2023_Consol_Source[[#This Row],[Total social units developed or newly built units acquired in-year (owned)]], VfM_Metrics_2023_Consol_Source[[#This Row],[Total social leasehold units developed or newly built units acquired in-year (owned)]] )</f>
        <v>15</v>
      </c>
      <c r="P192" s="84" vm="8448">
        <v>15</v>
      </c>
      <c r="Q192" s="83">
        <v>0</v>
      </c>
      <c r="R192" s="5">
        <f xml:space="preserve"> SUM( VfM_Metrics_2023_Consol_Source[[#This Row],[Total social housing units owned (Period end)]], VfM_Metrics_2023_Consol_Source[[#This Row],[Total social leasehold units owned (Period end)]] )</f>
        <v>1391</v>
      </c>
      <c r="S192" s="84" vm="8730">
        <v>1385</v>
      </c>
      <c r="T192" s="83" vm="1231">
        <v>6</v>
      </c>
      <c r="U192" s="86">
        <f xml:space="preserve"> IFERROR( VfM_Metrics_2023_Consol_Source[[#This Row],[Total non-social housing units developed or newly built units acquired (owned)]] / VfM_Metrics_2023_Consol_Source[[#This Row],[Total social and non-social housing units owned (Period end)]], "n/a" )</f>
        <v>0</v>
      </c>
      <c r="V19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92" s="83">
        <v>0</v>
      </c>
      <c r="X192" s="83">
        <v>0</v>
      </c>
      <c r="Y192" s="83">
        <v>0</v>
      </c>
      <c r="Z19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1391</v>
      </c>
      <c r="AA192" s="84" vm="1494">
        <v>1385</v>
      </c>
      <c r="AB192" s="83" vm="1231">
        <v>6</v>
      </c>
      <c r="AC192" s="83" vm="7909">
        <v>0</v>
      </c>
      <c r="AD192" s="83" vm="1353">
        <v>0</v>
      </c>
      <c r="AE192" s="7">
        <f xml:space="preserve"> IFERROR( VfM_Metrics_2023_Consol_Source[[#This Row],[Total Net Debt]] / VfM_Metrics_2023_Consol_Source[[#This Row],[Net Book Value of Housing Properties2]], "n/a" )</f>
        <v>0.21322186599569823</v>
      </c>
      <c r="AF19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15762</v>
      </c>
      <c r="AG192" s="84" vm="1232">
        <v>1020</v>
      </c>
      <c r="AH192" s="83" vm="8487">
        <v>15952</v>
      </c>
      <c r="AI192" s="83" vm="8696">
        <v>1210</v>
      </c>
      <c r="AJ192" s="83" vm="1675">
        <v>0</v>
      </c>
      <c r="AK192" s="83">
        <v>0</v>
      </c>
      <c r="AL192" s="5">
        <f xml:space="preserve"> SUM( VfM_Metrics_2023_Consol_Source[[#This Row],[Tangible fixed assets: Housing properties at cost (Current period)2]], VfM_Metrics_2023_Consol_Source[[#This Row],[Tangible fixed assets Housing properties at valuation (Current period)2]] )</f>
        <v>73923</v>
      </c>
      <c r="AM192" s="84" vm="1230">
        <v>73923</v>
      </c>
      <c r="AN192" s="83">
        <v>0</v>
      </c>
      <c r="AO192" s="87">
        <f xml:space="preserve"> IFERROR( VfM_Metrics_2023_Consol_Source[[#This Row],[EBITDA MRI]] / VfM_Metrics_2023_Consol_Source[[#This Row],[Total interest]], "n/a" )</f>
        <v>2.6608579088471851</v>
      </c>
      <c r="AP19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1985</v>
      </c>
      <c r="AQ192" s="84" vm="997">
        <v>1408</v>
      </c>
      <c r="AR192" s="84" vm="1341">
        <v>46</v>
      </c>
      <c r="AS192" s="84">
        <v>0</v>
      </c>
      <c r="AT192" s="84" vm="1233">
        <v>941</v>
      </c>
      <c r="AU192" s="84" vm="8350">
        <v>0</v>
      </c>
      <c r="AV192" s="84" vm="8594">
        <v>84</v>
      </c>
      <c r="AW192" s="84" vm="8694">
        <v>840</v>
      </c>
      <c r="AX192" s="84" vm="8566">
        <v>2320</v>
      </c>
      <c r="AY192" s="3">
        <f xml:space="preserve"> - SUM( VfM_Metrics_2023_Consol_Source[[#This Row],[Interest capitalised]], VfM_Metrics_2023_Consol_Source[[#This Row],[Interest payable and financing costs]] )</f>
        <v>746</v>
      </c>
      <c r="AZ192" s="84">
        <v>0</v>
      </c>
      <c r="BA192" s="83" vm="1234">
        <v>-746</v>
      </c>
      <c r="BB192" s="8">
        <f xml:space="preserve"> IFERROR( ( VfM_Metrics_2023_Consol_Source[[#This Row],[Total Costs]] / VfM_Metrics_2023_Consol_Source[[#This Row],[Total units for costs]] ) * 1000, "n/a" )</f>
        <v>3968.2310469314079</v>
      </c>
      <c r="BC19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5496</v>
      </c>
      <c r="BD192" s="84" vm="1235">
        <v>2424</v>
      </c>
      <c r="BE192" s="83" vm="1334">
        <v>418</v>
      </c>
      <c r="BF192" s="83" vm="8443">
        <v>905</v>
      </c>
      <c r="BG192" s="83" vm="984">
        <v>553</v>
      </c>
      <c r="BH192" s="83" vm="8691">
        <v>121</v>
      </c>
      <c r="BI192" s="83" vm="1236">
        <v>0</v>
      </c>
      <c r="BJ192" s="83" vm="8593">
        <v>840</v>
      </c>
      <c r="BK192" s="83" vm="1211">
        <v>42</v>
      </c>
      <c r="BL192" s="83" vm="1237">
        <v>74</v>
      </c>
      <c r="BM192" s="83" vm="1238">
        <v>112</v>
      </c>
      <c r="BN192" s="83" vm="8576">
        <v>7</v>
      </c>
      <c r="BO192" s="83">
        <v>0</v>
      </c>
      <c r="BP192" s="5" vm="8349">
        <f xml:space="preserve"> VfM_Metrics_2023_Consol_Source[[#This Row],[Total social housing units owned and/or managed at period end]]</f>
        <v>1385</v>
      </c>
      <c r="BQ192" s="84" vm="8349">
        <v>1385</v>
      </c>
      <c r="BR192" s="7">
        <f xml:space="preserve"> IFERROR( VfM_Metrics_2023_Consol_Source[[#This Row],[SHL operating surplus / (deficit)]] / VfM_Metrics_2023_Consol_Source[[#This Row],[Turnover from social housing lettings]], "n/a" )</f>
        <v>0.16843551005119242</v>
      </c>
      <c r="BS192" s="5" vm="1240">
        <f xml:space="preserve"> VfM_Metrics_2023_Consol_Source[[#This Row],[Operating surplus/(deficit) (social housing lettings)]]</f>
        <v>1349</v>
      </c>
      <c r="BT192" s="84" vm="1240">
        <v>1349</v>
      </c>
      <c r="BU192" s="5" vm="8689">
        <f xml:space="preserve"> VfM_Metrics_2023_Consol_Source[[#This Row],[Turnover from social housing lettings]]</f>
        <v>8009</v>
      </c>
      <c r="BV192" s="84" vm="8689">
        <v>8009</v>
      </c>
      <c r="BW192" s="7">
        <f xml:space="preserve"> IFERROR( VfM_Metrics_2023_Consol_Source[[#This Row],[Net operating surplus]] / VfM_Metrics_2023_Consol_Source[[#This Row],[Overall turnover]], "n/a" )</f>
        <v>0.15480791088883838</v>
      </c>
      <c r="BX19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1362</v>
      </c>
      <c r="BY192" s="84" vm="1453">
        <v>1408</v>
      </c>
      <c r="BZ192" s="83" vm="1587">
        <v>46</v>
      </c>
      <c r="CA192" s="83">
        <v>0</v>
      </c>
      <c r="CB192" s="5" vm="7131">
        <f xml:space="preserve"> VfM_Metrics_2023_Consol_Source[[#This Row],[Turnover (overall)]]</f>
        <v>8798</v>
      </c>
      <c r="CC192" s="84" vm="7131">
        <v>8798</v>
      </c>
      <c r="CD192" s="7">
        <f xml:space="preserve"> IFERROR( VfM_Metrics_2023_Consol_Source[[#This Row],[Operating surplus including from JVs]] / VfM_Metrics_2023_Consol_Source[[#This Row],[Net assets]], "n/a" )</f>
        <v>1.8591385639210922E-2</v>
      </c>
      <c r="CE192" s="5">
        <f xml:space="preserve"> SUM( VfM_Metrics_2023_Consol_Source[[#This Row],[Operating surplus/(deficit) (overall)3]], VfM_Metrics_2023_Consol_Source[[#This Row],[Share of operating surplus/(deficit) in joint ventures or associates]] )</f>
        <v>1408</v>
      </c>
      <c r="CF192" s="84" vm="8495">
        <v>1408</v>
      </c>
      <c r="CG192" s="83">
        <v>0</v>
      </c>
      <c r="CH192" s="5" vm="1241">
        <f xml:space="preserve"> VfM_Metrics_2023_Consol_Source[[#This Row],[Total assets less current liabilities]]</f>
        <v>75734</v>
      </c>
      <c r="CI192" s="84" vm="1241">
        <v>75734</v>
      </c>
      <c r="CJ192" s="71" vm="8730">
        <f xml:space="preserve"> VfM_Metrics_2023_Consol_Source[[#This Row],[Total social housing units owned (Period end)]]</f>
        <v>1385</v>
      </c>
      <c r="CK192" s="103">
        <v>1.3708513708513708E-2</v>
      </c>
      <c r="CL192" s="6">
        <f xml:space="preserve"> -- ( VfM_Metrics_2023_Consol_Source[[#This Row],[% Supported housing (excl. HOP)]] &gt; 0.3 )</f>
        <v>0</v>
      </c>
      <c r="CM192" s="103">
        <v>0</v>
      </c>
      <c r="CN192" s="6">
        <f xml:space="preserve"> -- ( VfM_Metrics_2023_Consol_Source[[#This Row],[% Housing for older people]] &gt; 0.3 )</f>
        <v>0</v>
      </c>
      <c r="CO192" s="103">
        <f xml:space="preserve"> VfM_Metrics_2023_Consol_Source[[#This Row],[% Supported housing (excl. HOP)]] + VfM_Metrics_2023_Consol_Source[[#This Row],[% Housing for older people]]</f>
        <v>1.3708513708513708E-2</v>
      </c>
      <c r="CP192" s="6">
        <f xml:space="preserve"> -- ( VfM_Metrics_2023_Consol_Source[[#This Row],[SH specialist in RSH analysis]] + VfM_Metrics_2023_Consol_Source[[#This Row],[OP specialist in RSH analysis]] &gt; 0 )</f>
        <v>0</v>
      </c>
      <c r="CQ192" s="10">
        <f xml:space="preserve"> -- ( VfM_Metrics_2023_Consol_Source[[#This Row],[% SH and OP]] &gt; 0.3 )</f>
        <v>0</v>
      </c>
      <c r="CR192" s="104" t="s">
        <v>143</v>
      </c>
      <c r="CS192" s="124" t="s">
        <v>144</v>
      </c>
      <c r="CT192" s="105"/>
      <c r="CU19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192" s="85">
        <v>0</v>
      </c>
      <c r="CW192" s="85">
        <v>0</v>
      </c>
      <c r="CX192" s="85">
        <v>0</v>
      </c>
      <c r="CY192" s="85">
        <v>0</v>
      </c>
      <c r="CZ192" s="85">
        <v>0</v>
      </c>
      <c r="DA192" s="85">
        <v>0</v>
      </c>
      <c r="DB192" s="85">
        <v>0</v>
      </c>
      <c r="DC192" s="85">
        <v>0</v>
      </c>
      <c r="DD192" s="85">
        <v>1</v>
      </c>
      <c r="DE192" s="13">
        <v>0.94459121441814442</v>
      </c>
    </row>
    <row r="193" spans="1:109" x14ac:dyDescent="0.25">
      <c r="A193" s="4" t="s" vm="264">
        <v>510</v>
      </c>
      <c r="B193" s="2" t="s" vm="183">
        <v>511</v>
      </c>
      <c r="C193" s="72" vm="590">
        <v>45016</v>
      </c>
      <c r="D193" s="7">
        <f>IFERROR( VfM_Metrics_2023_Consol_Source[[#This Row],[Reinvestment Spend]] / VfM_Metrics_2023_Consol_Source[[#This Row],[Net Book Value of Housing Properties]], "n/a" )</f>
        <v>0.10096406791502741</v>
      </c>
      <c r="E19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284397</v>
      </c>
      <c r="F193" s="83" vm="1634">
        <v>234883</v>
      </c>
      <c r="G193" s="83" vm="2145">
        <v>0</v>
      </c>
      <c r="H193" s="83" vm="2146">
        <v>38843</v>
      </c>
      <c r="I193" s="83" vm="2147">
        <v>10671</v>
      </c>
      <c r="J193" s="83" vm="2148">
        <v>0</v>
      </c>
      <c r="K193" s="5">
        <f xml:space="preserve"> SUM( VfM_Metrics_2023_Consol_Source[[#This Row],[Tangible fixed assets: Housing properties at cost (Current period)]],VfM_Metrics_2023_Consol_Source[[#This Row],[Tangible fixed assets Housing properties at valuation (Current period)]] )</f>
        <v>2816814</v>
      </c>
      <c r="L193" s="84" vm="2149">
        <v>2816814</v>
      </c>
      <c r="M193" s="83">
        <v>0</v>
      </c>
      <c r="N193" s="7">
        <f xml:space="preserve"> IFERROR( VfM_Metrics_2023_Consol_Source[[#This Row],[Total social units developed or newly built units acquired in-year]] / VfM_Metrics_2023_Consol_Source[[#This Row],[Social housing units owned (period end)]], "n/a" )</f>
        <v>3.3091374893253631E-2</v>
      </c>
      <c r="O193" s="5">
        <f xml:space="preserve"> SUM( VfM_Metrics_2023_Consol_Source[[#This Row],[Total social units developed or newly built units acquired in-year (owned)]], VfM_Metrics_2023_Consol_Source[[#This Row],[Total social leasehold units developed or newly built units acquired in-year (owned)]] )</f>
        <v>1085</v>
      </c>
      <c r="P193" s="84" vm="2150">
        <v>1085</v>
      </c>
      <c r="Q193" s="83">
        <v>0</v>
      </c>
      <c r="R193" s="5">
        <f xml:space="preserve"> SUM( VfM_Metrics_2023_Consol_Source[[#This Row],[Total social housing units owned (Period end)]], VfM_Metrics_2023_Consol_Source[[#This Row],[Total social leasehold units owned (Period end)]] )</f>
        <v>32788</v>
      </c>
      <c r="S193" s="84" vm="2143">
        <v>31005</v>
      </c>
      <c r="T193" s="83" vm="2151">
        <v>1783</v>
      </c>
      <c r="U193" s="86">
        <f xml:space="preserve"> IFERROR( VfM_Metrics_2023_Consol_Source[[#This Row],[Total non-social housing units developed or newly built units acquired (owned)]] / VfM_Metrics_2023_Consol_Source[[#This Row],[Total social and non-social housing units owned (Period end)]], "n/a" )</f>
        <v>4.245591116917048E-3</v>
      </c>
      <c r="V19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143</v>
      </c>
      <c r="W193" s="83">
        <v>0</v>
      </c>
      <c r="X193" s="83">
        <v>0</v>
      </c>
      <c r="Y193" s="83" vm="2152">
        <v>143</v>
      </c>
      <c r="Z19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33682</v>
      </c>
      <c r="AA193" s="84" vm="7109">
        <v>31005</v>
      </c>
      <c r="AB193" s="83" vm="8076">
        <v>1783</v>
      </c>
      <c r="AC193" s="83" vm="2153">
        <v>401</v>
      </c>
      <c r="AD193" s="83" vm="2154">
        <v>493</v>
      </c>
      <c r="AE193" s="7">
        <f xml:space="preserve"> IFERROR( VfM_Metrics_2023_Consol_Source[[#This Row],[Total Net Debt]] / VfM_Metrics_2023_Consol_Source[[#This Row],[Net Book Value of Housing Properties2]], "n/a" )</f>
        <v>0.54420348663419027</v>
      </c>
      <c r="AF19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1532920</v>
      </c>
      <c r="AG193" s="84" vm="2155">
        <v>62597</v>
      </c>
      <c r="AH193" s="83" vm="2156">
        <v>1537374</v>
      </c>
      <c r="AI193" s="83" vm="7917">
        <v>67051</v>
      </c>
      <c r="AJ193" s="83" vm="1675">
        <v>0</v>
      </c>
      <c r="AK193" s="83">
        <v>0</v>
      </c>
      <c r="AL193" s="5">
        <f xml:space="preserve"> SUM( VfM_Metrics_2023_Consol_Source[[#This Row],[Tangible fixed assets: Housing properties at cost (Current period)2]], VfM_Metrics_2023_Consol_Source[[#This Row],[Tangible fixed assets Housing properties at valuation (Current period)2]] )</f>
        <v>2816814</v>
      </c>
      <c r="AM193" s="84" vm="2149">
        <v>2816814</v>
      </c>
      <c r="AN193" s="83">
        <v>0</v>
      </c>
      <c r="AO193" s="87">
        <f xml:space="preserve"> IFERROR( VfM_Metrics_2023_Consol_Source[[#This Row],[EBITDA MRI]] / VfM_Metrics_2023_Consol_Source[[#This Row],[Total interest]], "n/a" )</f>
        <v>1.8537383523147464</v>
      </c>
      <c r="AP19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100265</v>
      </c>
      <c r="AQ193" s="84" vm="1994">
        <v>114286</v>
      </c>
      <c r="AR193" s="84" vm="7108">
        <v>8119</v>
      </c>
      <c r="AS193" s="84">
        <v>0</v>
      </c>
      <c r="AT193" s="84" vm="2159">
        <v>5912</v>
      </c>
      <c r="AU193" s="84" vm="2081">
        <v>0</v>
      </c>
      <c r="AV193" s="84" vm="7968">
        <v>368</v>
      </c>
      <c r="AW193" s="84" vm="2160">
        <v>38843</v>
      </c>
      <c r="AX193" s="84" vm="2161">
        <v>38485</v>
      </c>
      <c r="AY193" s="3">
        <f xml:space="preserve"> - SUM( VfM_Metrics_2023_Consol_Source[[#This Row],[Interest capitalised]], VfM_Metrics_2023_Consol_Source[[#This Row],[Interest payable and financing costs]] )</f>
        <v>54088</v>
      </c>
      <c r="AZ193" s="84" vm="2162">
        <v>-10671</v>
      </c>
      <c r="BA193" s="83" vm="4134">
        <v>-43417</v>
      </c>
      <c r="BB193" s="8">
        <f xml:space="preserve"> IFERROR( ( VfM_Metrics_2023_Consol_Source[[#This Row],[Total Costs]] / VfM_Metrics_2023_Consol_Source[[#This Row],[Total units for costs]] ) * 1000, "n/a" )</f>
        <v>3919.1157597535935</v>
      </c>
      <c r="BC19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122151</v>
      </c>
      <c r="BD193" s="84" vm="2163">
        <v>24211</v>
      </c>
      <c r="BE193" s="83" vm="2164">
        <v>18051</v>
      </c>
      <c r="BF193" s="83" vm="2165">
        <v>25647</v>
      </c>
      <c r="BG193" s="83" vm="2955">
        <v>3247</v>
      </c>
      <c r="BH193" s="83" vm="2166">
        <v>10324</v>
      </c>
      <c r="BI193" s="83" vm="2167">
        <v>579</v>
      </c>
      <c r="BJ193" s="83" vm="7107">
        <v>38843</v>
      </c>
      <c r="BK193" s="83" vm="2168">
        <v>0</v>
      </c>
      <c r="BL193" s="83" vm="2169">
        <v>1249</v>
      </c>
      <c r="BM193" s="83">
        <v>0</v>
      </c>
      <c r="BN193" s="83">
        <v>0</v>
      </c>
      <c r="BO193" s="83">
        <v>0</v>
      </c>
      <c r="BP193" s="5" vm="2144">
        <f xml:space="preserve"> VfM_Metrics_2023_Consol_Source[[#This Row],[Total social housing units owned and/or managed at period end]]</f>
        <v>31168</v>
      </c>
      <c r="BQ193" s="84" vm="2144">
        <v>31168</v>
      </c>
      <c r="BR193" s="7">
        <f xml:space="preserve"> IFERROR( VfM_Metrics_2023_Consol_Source[[#This Row],[SHL operating surplus / (deficit)]] / VfM_Metrics_2023_Consol_Source[[#This Row],[Turnover from social housing lettings]], "n/a" )</f>
        <v>0.42938720433366906</v>
      </c>
      <c r="BS193" s="5" vm="7106">
        <f xml:space="preserve"> VfM_Metrics_2023_Consol_Source[[#This Row],[Operating surplus/(deficit) (social housing lettings)]]</f>
        <v>87826</v>
      </c>
      <c r="BT193" s="84" vm="7106">
        <v>87826</v>
      </c>
      <c r="BU193" s="5" vm="7898">
        <f xml:space="preserve"> VfM_Metrics_2023_Consol_Source[[#This Row],[Turnover from social housing lettings]]</f>
        <v>204538</v>
      </c>
      <c r="BV193" s="84" vm="7898">
        <v>204538</v>
      </c>
      <c r="BW193" s="7">
        <f xml:space="preserve"> IFERROR( VfM_Metrics_2023_Consol_Source[[#This Row],[Net operating surplus]] / VfM_Metrics_2023_Consol_Source[[#This Row],[Overall turnover]], "n/a" )</f>
        <v>0.31896158052227419</v>
      </c>
      <c r="BX19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106167</v>
      </c>
      <c r="BY193" s="84" vm="2157">
        <v>114286</v>
      </c>
      <c r="BZ193" s="83" vm="2410">
        <v>8119</v>
      </c>
      <c r="CA193" s="83">
        <v>0</v>
      </c>
      <c r="CB193" s="5" vm="2170">
        <f xml:space="preserve"> VfM_Metrics_2023_Consol_Source[[#This Row],[Turnover (overall)]]</f>
        <v>332852</v>
      </c>
      <c r="CC193" s="84" vm="2170">
        <v>332852</v>
      </c>
      <c r="CD193" s="7">
        <f xml:space="preserve"> IFERROR( VfM_Metrics_2023_Consol_Source[[#This Row],[Operating surplus including from JVs]] / VfM_Metrics_2023_Consol_Source[[#This Row],[Net assets]], "n/a" )</f>
        <v>3.8220435148093743E-2</v>
      </c>
      <c r="CE193" s="5">
        <f xml:space="preserve"> SUM( VfM_Metrics_2023_Consol_Source[[#This Row],[Operating surplus/(deficit) (overall)3]], VfM_Metrics_2023_Consol_Source[[#This Row],[Share of operating surplus/(deficit) in joint ventures or associates]] )</f>
        <v>114350</v>
      </c>
      <c r="CF193" s="84" vm="7523">
        <v>114286</v>
      </c>
      <c r="CG193" s="83" vm="2171">
        <v>64</v>
      </c>
      <c r="CH193" s="5" vm="7967">
        <f xml:space="preserve"> VfM_Metrics_2023_Consol_Source[[#This Row],[Total assets less current liabilities]]</f>
        <v>2991855</v>
      </c>
      <c r="CI193" s="84" vm="7967">
        <v>2991855</v>
      </c>
      <c r="CJ193" s="71" vm="2143">
        <f xml:space="preserve"> VfM_Metrics_2023_Consol_Source[[#This Row],[Total social housing units owned (Period end)]]</f>
        <v>31005</v>
      </c>
      <c r="CK193" s="103">
        <v>7.7926312357352459E-3</v>
      </c>
      <c r="CL193" s="6">
        <f xml:space="preserve"> -- ( VfM_Metrics_2023_Consol_Source[[#This Row],[% Supported housing (excl. HOP)]] &gt; 0.3 )</f>
        <v>0</v>
      </c>
      <c r="CM193" s="103">
        <v>3.8245842843169224E-2</v>
      </c>
      <c r="CN193" s="6">
        <f xml:space="preserve"> -- ( VfM_Metrics_2023_Consol_Source[[#This Row],[% Housing for older people]] &gt; 0.3 )</f>
        <v>0</v>
      </c>
      <c r="CO193" s="103">
        <f xml:space="preserve"> VfM_Metrics_2023_Consol_Source[[#This Row],[% Supported housing (excl. HOP)]] + VfM_Metrics_2023_Consol_Source[[#This Row],[% Housing for older people]]</f>
        <v>4.6038474078904469E-2</v>
      </c>
      <c r="CP193" s="6">
        <f xml:space="preserve"> -- ( VfM_Metrics_2023_Consol_Source[[#This Row],[SH specialist in RSH analysis]] + VfM_Metrics_2023_Consol_Source[[#This Row],[OP specialist in RSH analysis]] &gt; 0 )</f>
        <v>0</v>
      </c>
      <c r="CQ193" s="10">
        <f xml:space="preserve"> -- ( VfM_Metrics_2023_Consol_Source[[#This Row],[% SH and OP]] &gt; 0.3 )</f>
        <v>0</v>
      </c>
      <c r="CR193" s="104" t="s">
        <v>143</v>
      </c>
      <c r="CS193" s="124"/>
      <c r="CT193" s="105" t="s">
        <v>151</v>
      </c>
      <c r="CU19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193" s="85">
        <v>0</v>
      </c>
      <c r="CW193" s="85">
        <v>0.99922593130140303</v>
      </c>
      <c r="CX193" s="85">
        <v>7.740686985970005E-4</v>
      </c>
      <c r="CY193" s="85">
        <v>0</v>
      </c>
      <c r="CZ193" s="85">
        <v>0</v>
      </c>
      <c r="DA193" s="85">
        <v>0</v>
      </c>
      <c r="DB193" s="85">
        <v>0</v>
      </c>
      <c r="DC193" s="85">
        <v>0</v>
      </c>
      <c r="DD193" s="85">
        <v>0</v>
      </c>
      <c r="DE193" s="13">
        <v>1.0336672026441693</v>
      </c>
    </row>
    <row r="194" spans="1:109" x14ac:dyDescent="0.25">
      <c r="A194" s="4" t="s" vm="257">
        <v>512</v>
      </c>
      <c r="B194" s="2" t="s" vm="184">
        <v>513</v>
      </c>
      <c r="C194" s="72" vm="512">
        <v>45016</v>
      </c>
      <c r="D194" s="7">
        <f>IFERROR( VfM_Metrics_2023_Consol_Source[[#This Row],[Reinvestment Spend]] / VfM_Metrics_2023_Consol_Source[[#This Row],[Net Book Value of Housing Properties]], "n/a" )</f>
        <v>6.1459606606553405E-2</v>
      </c>
      <c r="E19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62448</v>
      </c>
      <c r="F194" s="83" vm="8098">
        <v>45566</v>
      </c>
      <c r="G194" s="83" vm="8130">
        <v>0</v>
      </c>
      <c r="H194" s="83" vm="7659">
        <v>16882</v>
      </c>
      <c r="I194" s="83" vm="1949">
        <v>0</v>
      </c>
      <c r="J194" s="83" vm="1950">
        <v>0</v>
      </c>
      <c r="K194" s="5">
        <f xml:space="preserve"> SUM( VfM_Metrics_2023_Consol_Source[[#This Row],[Tangible fixed assets: Housing properties at cost (Current period)]],VfM_Metrics_2023_Consol_Source[[#This Row],[Tangible fixed assets Housing properties at valuation (Current period)]] )</f>
        <v>1016082</v>
      </c>
      <c r="L194" s="84" vm="1951">
        <v>34893</v>
      </c>
      <c r="M194" s="83" vm="1952">
        <v>981189</v>
      </c>
      <c r="N194" s="7">
        <f xml:space="preserve"> IFERROR( VfM_Metrics_2023_Consol_Source[[#This Row],[Total social units developed or newly built units acquired in-year]] / VfM_Metrics_2023_Consol_Source[[#This Row],[Social housing units owned (period end)]], "n/a" )</f>
        <v>1.0567576042646598E-2</v>
      </c>
      <c r="O194" s="5">
        <f xml:space="preserve"> SUM( VfM_Metrics_2023_Consol_Source[[#This Row],[Total social units developed or newly built units acquired in-year (owned)]], VfM_Metrics_2023_Consol_Source[[#This Row],[Total social leasehold units developed or newly built units acquired in-year (owned)]] )</f>
        <v>337</v>
      </c>
      <c r="P194" s="84" vm="2870">
        <v>337</v>
      </c>
      <c r="Q194" s="83" vm="1953">
        <v>0</v>
      </c>
      <c r="R194" s="5">
        <f xml:space="preserve"> SUM( VfM_Metrics_2023_Consol_Source[[#This Row],[Total social housing units owned (Period end)]], VfM_Metrics_2023_Consol_Source[[#This Row],[Total social leasehold units owned (Period end)]] )</f>
        <v>31890</v>
      </c>
      <c r="S194" s="84" vm="1946">
        <v>31890</v>
      </c>
      <c r="T194" s="83" vm="7988">
        <v>0</v>
      </c>
      <c r="U194" s="86">
        <f xml:space="preserve"> IFERROR( VfM_Metrics_2023_Consol_Source[[#This Row],[Total non-social housing units developed or newly built units acquired (owned)]] / VfM_Metrics_2023_Consol_Source[[#This Row],[Total social and non-social housing units owned (Period end)]], "n/a" )</f>
        <v>0</v>
      </c>
      <c r="V19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94" s="83" vm="1955">
        <v>0</v>
      </c>
      <c r="X194" s="83" vm="1956">
        <v>0</v>
      </c>
      <c r="Y194" s="83" vm="1957">
        <v>0</v>
      </c>
      <c r="Z19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31890</v>
      </c>
      <c r="AA194" s="84" vm="8118">
        <v>31890</v>
      </c>
      <c r="AB194" s="83" vm="1954">
        <v>0</v>
      </c>
      <c r="AC194" s="83" vm="1963">
        <v>0</v>
      </c>
      <c r="AD194" s="83" vm="2764">
        <v>0</v>
      </c>
      <c r="AE194" s="7">
        <f xml:space="preserve"> IFERROR( VfM_Metrics_2023_Consol_Source[[#This Row],[Total Net Debt]] / VfM_Metrics_2023_Consol_Source[[#This Row],[Net Book Value of Housing Properties2]], "n/a" )</f>
        <v>0.39498879027480066</v>
      </c>
      <c r="AF19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401341</v>
      </c>
      <c r="AG194" s="84" vm="1958">
        <v>7879</v>
      </c>
      <c r="AH194" s="83" vm="1959">
        <v>468533</v>
      </c>
      <c r="AI194" s="83" vm="1960">
        <v>75071</v>
      </c>
      <c r="AJ194" s="83" vm="1961">
        <v>0</v>
      </c>
      <c r="AK194" s="83" vm="1962">
        <v>0</v>
      </c>
      <c r="AL194" s="5">
        <f xml:space="preserve"> SUM( VfM_Metrics_2023_Consol_Source[[#This Row],[Tangible fixed assets: Housing properties at cost (Current period)2]], VfM_Metrics_2023_Consol_Source[[#This Row],[Tangible fixed assets Housing properties at valuation (Current period)2]] )</f>
        <v>1016082</v>
      </c>
      <c r="AM194" s="84" vm="8086">
        <v>34893</v>
      </c>
      <c r="AN194" s="83" vm="1952">
        <v>981189</v>
      </c>
      <c r="AO194" s="87">
        <f xml:space="preserve"> IFERROR( VfM_Metrics_2023_Consol_Source[[#This Row],[EBITDA MRI]] / VfM_Metrics_2023_Consol_Source[[#This Row],[Total interest]], "n/a" )</f>
        <v>1.2359677968023586</v>
      </c>
      <c r="AP19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21800</v>
      </c>
      <c r="AQ194" s="84" vm="1963">
        <v>24443</v>
      </c>
      <c r="AR194" s="84" vm="1964">
        <v>4585</v>
      </c>
      <c r="AS194" s="84" vm="1965">
        <v>6</v>
      </c>
      <c r="AT194" s="84" vm="1966">
        <v>0</v>
      </c>
      <c r="AU194" s="84" vm="1967">
        <v>12513</v>
      </c>
      <c r="AV194" s="84" vm="1968">
        <v>1161</v>
      </c>
      <c r="AW194" s="84" vm="8170">
        <v>16882</v>
      </c>
      <c r="AX194" s="84" vm="1969">
        <v>30182</v>
      </c>
      <c r="AY194" s="3">
        <f xml:space="preserve"> - SUM( VfM_Metrics_2023_Consol_Source[[#This Row],[Interest capitalised]], VfM_Metrics_2023_Consol_Source[[#This Row],[Interest payable and financing costs]] )</f>
        <v>17638</v>
      </c>
      <c r="AZ194" s="84" vm="1970">
        <v>0</v>
      </c>
      <c r="BA194" s="83" vm="1971">
        <v>-17638</v>
      </c>
      <c r="BB194" s="8">
        <f xml:space="preserve"> IFERROR( ( VfM_Metrics_2023_Consol_Source[[#This Row],[Total Costs]] / VfM_Metrics_2023_Consol_Source[[#This Row],[Total units for costs]] ) * 1000, "n/a" )</f>
        <v>4103.3326018120824</v>
      </c>
      <c r="BC19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130884</v>
      </c>
      <c r="BD194" s="84" vm="1972">
        <v>51007</v>
      </c>
      <c r="BE194" s="83" vm="1973">
        <v>7116</v>
      </c>
      <c r="BF194" s="83" vm="7658">
        <v>24340</v>
      </c>
      <c r="BG194" s="83" vm="1974">
        <v>2855</v>
      </c>
      <c r="BH194" s="83" vm="7977">
        <v>24486</v>
      </c>
      <c r="BI194" s="83" vm="1975">
        <v>0</v>
      </c>
      <c r="BJ194" s="83" vm="7885">
        <v>16882</v>
      </c>
      <c r="BK194" s="83" vm="1976">
        <v>2835</v>
      </c>
      <c r="BL194" s="83" vm="7657">
        <v>1060</v>
      </c>
      <c r="BM194" s="83" vm="1977">
        <v>0</v>
      </c>
      <c r="BN194" s="83" vm="1978">
        <v>303</v>
      </c>
      <c r="BO194" s="83" vm="8030">
        <v>0</v>
      </c>
      <c r="BP194" s="5" vm="7883">
        <f xml:space="preserve"> VfM_Metrics_2023_Consol_Source[[#This Row],[Total social housing units owned and/or managed at period end]]</f>
        <v>31897</v>
      </c>
      <c r="BQ194" s="84" vm="7883">
        <v>31897</v>
      </c>
      <c r="BR194" s="7">
        <f xml:space="preserve"> IFERROR( VfM_Metrics_2023_Consol_Source[[#This Row],[SHL operating surplus / (deficit)]] / VfM_Metrics_2023_Consol_Source[[#This Row],[Turnover from social housing lettings]], "n/a" )</f>
        <v>0.12901906597185647</v>
      </c>
      <c r="BS194" s="5" vm="1979">
        <f xml:space="preserve"> VfM_Metrics_2023_Consol_Source[[#This Row],[Operating surplus/(deficit) (social housing lettings)]]</f>
        <v>20822</v>
      </c>
      <c r="BT194" s="84" vm="1979">
        <v>20822</v>
      </c>
      <c r="BU194" s="5" vm="1980">
        <f xml:space="preserve"> VfM_Metrics_2023_Consol_Source[[#This Row],[Turnover from social housing lettings]]</f>
        <v>161387</v>
      </c>
      <c r="BV194" s="84" vm="1980">
        <v>161387</v>
      </c>
      <c r="BW194" s="7">
        <f xml:space="preserve"> IFERROR( VfM_Metrics_2023_Consol_Source[[#This Row],[Net operating surplus]] / VfM_Metrics_2023_Consol_Source[[#This Row],[Overall turnover]], "n/a" )</f>
        <v>0.1145402408276069</v>
      </c>
      <c r="BX19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19852</v>
      </c>
      <c r="BY194" s="84" vm="7815">
        <v>24443</v>
      </c>
      <c r="BZ194" s="83" vm="8121">
        <v>4585</v>
      </c>
      <c r="CA194" s="83" vm="1965">
        <v>6</v>
      </c>
      <c r="CB194" s="5" vm="8181">
        <f xml:space="preserve"> VfM_Metrics_2023_Consol_Source[[#This Row],[Turnover (overall)]]</f>
        <v>173319</v>
      </c>
      <c r="CC194" s="84" vm="8181">
        <v>173319</v>
      </c>
      <c r="CD194" s="7">
        <f xml:space="preserve"> IFERROR( VfM_Metrics_2023_Consol_Source[[#This Row],[Operating surplus including from JVs]] / VfM_Metrics_2023_Consol_Source[[#This Row],[Net assets]], "n/a" )</f>
        <v>2.1474242425616383E-2</v>
      </c>
      <c r="CE194" s="5">
        <f xml:space="preserve"> SUM( VfM_Metrics_2023_Consol_Source[[#This Row],[Operating surplus/(deficit) (overall)3]], VfM_Metrics_2023_Consol_Source[[#This Row],[Share of operating surplus/(deficit) in joint ventures or associates]] )</f>
        <v>23681</v>
      </c>
      <c r="CF194" s="84" vm="7655">
        <v>24443</v>
      </c>
      <c r="CG194" s="83" vm="8028">
        <v>-762</v>
      </c>
      <c r="CH194" s="5" vm="1981">
        <f xml:space="preserve"> VfM_Metrics_2023_Consol_Source[[#This Row],[Total assets less current liabilities]]</f>
        <v>1102763</v>
      </c>
      <c r="CI194" s="84" vm="1981">
        <v>1102763</v>
      </c>
      <c r="CJ194" s="71" vm="1946">
        <f xml:space="preserve"> VfM_Metrics_2023_Consol_Source[[#This Row],[Total social housing units owned (Period end)]]</f>
        <v>31890</v>
      </c>
      <c r="CK194" s="103">
        <v>4.8646095717884134E-2</v>
      </c>
      <c r="CL194" s="6">
        <f xml:space="preserve"> -- ( VfM_Metrics_2023_Consol_Source[[#This Row],[% Supported housing (excl. HOP)]] &gt; 0.3 )</f>
        <v>0</v>
      </c>
      <c r="CM194" s="103">
        <v>0</v>
      </c>
      <c r="CN194" s="6">
        <f xml:space="preserve"> -- ( VfM_Metrics_2023_Consol_Source[[#This Row],[% Housing for older people]] &gt; 0.3 )</f>
        <v>0</v>
      </c>
      <c r="CO194" s="103">
        <f xml:space="preserve"> VfM_Metrics_2023_Consol_Source[[#This Row],[% Supported housing (excl. HOP)]] + VfM_Metrics_2023_Consol_Source[[#This Row],[% Housing for older people]]</f>
        <v>4.8646095717884134E-2</v>
      </c>
      <c r="CP194" s="6">
        <f xml:space="preserve"> -- ( VfM_Metrics_2023_Consol_Source[[#This Row],[SH specialist in RSH analysis]] + VfM_Metrics_2023_Consol_Source[[#This Row],[OP specialist in RSH analysis]] &gt; 0 )</f>
        <v>0</v>
      </c>
      <c r="CQ194" s="10">
        <f xml:space="preserve"> -- ( VfM_Metrics_2023_Consol_Source[[#This Row],[% SH and OP]] &gt; 0.3 )</f>
        <v>0</v>
      </c>
      <c r="CR194" s="104" t="s">
        <v>143</v>
      </c>
      <c r="CS194" s="124"/>
      <c r="CT194" s="105" t="s">
        <v>151</v>
      </c>
      <c r="CU19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194" s="85">
        <v>0</v>
      </c>
      <c r="CW194" s="85">
        <v>0</v>
      </c>
      <c r="CX194" s="85">
        <v>0</v>
      </c>
      <c r="CY194" s="85">
        <v>0</v>
      </c>
      <c r="CZ194" s="85">
        <v>0</v>
      </c>
      <c r="DA194" s="85">
        <v>0</v>
      </c>
      <c r="DB194" s="85">
        <v>0</v>
      </c>
      <c r="DC194" s="85">
        <v>0</v>
      </c>
      <c r="DD194" s="85">
        <v>1</v>
      </c>
      <c r="DE194" s="13">
        <v>0.94459121441814442</v>
      </c>
    </row>
    <row r="195" spans="1:109" x14ac:dyDescent="0.25">
      <c r="A195" s="4" t="s" vm="343">
        <v>514</v>
      </c>
      <c r="B195" s="2" t="s" vm="185">
        <v>515</v>
      </c>
      <c r="C195" s="72" vm="495">
        <v>45016</v>
      </c>
      <c r="D195" s="7">
        <f>IFERROR( VfM_Metrics_2023_Consol_Source[[#This Row],[Reinvestment Spend]] / VfM_Metrics_2023_Consol_Source[[#This Row],[Net Book Value of Housing Properties]], "n/a" )</f>
        <v>0.11633043022886105</v>
      </c>
      <c r="E19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74639</v>
      </c>
      <c r="F195" s="83" vm="4842">
        <v>58313</v>
      </c>
      <c r="G195" s="83" vm="4843">
        <v>0</v>
      </c>
      <c r="H195" s="83" vm="4844">
        <v>15401</v>
      </c>
      <c r="I195" s="83" vm="4845">
        <v>925</v>
      </c>
      <c r="J195" s="83" vm="7468">
        <v>0</v>
      </c>
      <c r="K195" s="5">
        <f xml:space="preserve"> SUM( VfM_Metrics_2023_Consol_Source[[#This Row],[Tangible fixed assets: Housing properties at cost (Current period)]],VfM_Metrics_2023_Consol_Source[[#This Row],[Tangible fixed assets Housing properties at valuation (Current period)]] )</f>
        <v>641612</v>
      </c>
      <c r="L195" s="84" vm="4846">
        <v>641612</v>
      </c>
      <c r="M195" s="83">
        <v>0</v>
      </c>
      <c r="N195" s="7">
        <f xml:space="preserve"> IFERROR( VfM_Metrics_2023_Consol_Source[[#This Row],[Total social units developed or newly built units acquired in-year]] / VfM_Metrics_2023_Consol_Source[[#This Row],[Social housing units owned (period end)]], "n/a" )</f>
        <v>1.2150170648464164E-2</v>
      </c>
      <c r="O195" s="5">
        <f xml:space="preserve"> SUM( VfM_Metrics_2023_Consol_Source[[#This Row],[Total social units developed or newly built units acquired in-year (owned)]], VfM_Metrics_2023_Consol_Source[[#This Row],[Total social leasehold units developed or newly built units acquired in-year (owned)]] )</f>
        <v>267</v>
      </c>
      <c r="P195" s="84" vm="4847">
        <v>255</v>
      </c>
      <c r="Q195" s="83" vm="4848">
        <v>12</v>
      </c>
      <c r="R195" s="5">
        <f xml:space="preserve"> SUM( VfM_Metrics_2023_Consol_Source[[#This Row],[Total social housing units owned (Period end)]], VfM_Metrics_2023_Consol_Source[[#This Row],[Total social leasehold units owned (Period end)]] )</f>
        <v>21975</v>
      </c>
      <c r="S195" s="84" vm="4840">
        <v>21316</v>
      </c>
      <c r="T195" s="83" vm="4849">
        <v>659</v>
      </c>
      <c r="U195" s="86">
        <f xml:space="preserve"> IFERROR( VfM_Metrics_2023_Consol_Source[[#This Row],[Total non-social housing units developed or newly built units acquired (owned)]] / VfM_Metrics_2023_Consol_Source[[#This Row],[Total social and non-social housing units owned (Period end)]], "n/a" )</f>
        <v>1.811922449719152E-4</v>
      </c>
      <c r="V19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4</v>
      </c>
      <c r="W195" s="83" vm="7486">
        <v>0</v>
      </c>
      <c r="X195" s="83">
        <v>0</v>
      </c>
      <c r="Y195" s="83" vm="4851">
        <v>4</v>
      </c>
      <c r="Z19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22076</v>
      </c>
      <c r="AA195" s="84" vm="4840">
        <v>21316</v>
      </c>
      <c r="AB195" s="83" vm="4849">
        <v>659</v>
      </c>
      <c r="AC195" s="83" vm="4852">
        <v>101</v>
      </c>
      <c r="AD195" s="83" vm="4853">
        <v>0</v>
      </c>
      <c r="AE195" s="7">
        <f xml:space="preserve"> IFERROR( VfM_Metrics_2023_Consol_Source[[#This Row],[Total Net Debt]] / VfM_Metrics_2023_Consol_Source[[#This Row],[Net Book Value of Housing Properties2]], "n/a" )</f>
        <v>0.56338721844354533</v>
      </c>
      <c r="AF19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361476</v>
      </c>
      <c r="AG195" s="84" vm="4854">
        <v>0</v>
      </c>
      <c r="AH195" s="83" vm="4855">
        <v>416854</v>
      </c>
      <c r="AI195" s="83" vm="4856">
        <v>55378</v>
      </c>
      <c r="AJ195" s="83" vm="1675">
        <v>0</v>
      </c>
      <c r="AK195" s="83">
        <v>0</v>
      </c>
      <c r="AL195" s="5">
        <f xml:space="preserve"> SUM( VfM_Metrics_2023_Consol_Source[[#This Row],[Tangible fixed assets: Housing properties at cost (Current period)2]], VfM_Metrics_2023_Consol_Source[[#This Row],[Tangible fixed assets Housing properties at valuation (Current period)2]] )</f>
        <v>641612</v>
      </c>
      <c r="AM195" s="84" vm="4645">
        <v>641612</v>
      </c>
      <c r="AN195" s="83">
        <v>0</v>
      </c>
      <c r="AO195" s="87">
        <f xml:space="preserve"> IFERROR( VfM_Metrics_2023_Consol_Source[[#This Row],[EBITDA MRI]] / VfM_Metrics_2023_Consol_Source[[#This Row],[Total interest]], "n/a" )</f>
        <v>1.4028851593437677</v>
      </c>
      <c r="AP19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29758</v>
      </c>
      <c r="AQ195" s="84" vm="4857">
        <v>38503</v>
      </c>
      <c r="AR195" s="84" vm="4858">
        <v>8783</v>
      </c>
      <c r="AS195" s="84" vm="4859">
        <v>507</v>
      </c>
      <c r="AT195" s="84" vm="4860">
        <v>1135</v>
      </c>
      <c r="AU195" s="84" vm="4861">
        <v>0</v>
      </c>
      <c r="AV195" s="84" vm="4862">
        <v>3608</v>
      </c>
      <c r="AW195" s="84" vm="4863">
        <v>15401</v>
      </c>
      <c r="AX195" s="84" vm="4864">
        <v>13473</v>
      </c>
      <c r="AY195" s="3">
        <f xml:space="preserve"> - SUM( VfM_Metrics_2023_Consol_Source[[#This Row],[Interest capitalised]], VfM_Metrics_2023_Consol_Source[[#This Row],[Interest payable and financing costs]] )</f>
        <v>21212</v>
      </c>
      <c r="AZ195" s="84" vm="4865">
        <v>-925</v>
      </c>
      <c r="BA195" s="83" vm="4866">
        <v>-20287</v>
      </c>
      <c r="BB195" s="8">
        <f xml:space="preserve"> IFERROR( ( VfM_Metrics_2023_Consol_Source[[#This Row],[Total Costs]] / VfM_Metrics_2023_Consol_Source[[#This Row],[Total units for costs]] ) * 1000, "n/a" )</f>
        <v>4055.1229123662979</v>
      </c>
      <c r="BC19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86439</v>
      </c>
      <c r="BD195" s="84" vm="4867">
        <v>26996</v>
      </c>
      <c r="BE195" s="83" vm="4868">
        <v>7624</v>
      </c>
      <c r="BF195" s="83" vm="4869">
        <v>12534</v>
      </c>
      <c r="BG195" s="83" vm="4870">
        <v>18323</v>
      </c>
      <c r="BH195" s="83" vm="4871">
        <v>4307</v>
      </c>
      <c r="BI195" s="83" vm="4872">
        <v>0</v>
      </c>
      <c r="BJ195" s="83" vm="4863">
        <v>15401</v>
      </c>
      <c r="BK195" s="83" vm="4873">
        <v>0</v>
      </c>
      <c r="BL195" s="83" vm="4874">
        <v>907</v>
      </c>
      <c r="BM195" s="83" vm="7354">
        <v>337</v>
      </c>
      <c r="BN195" s="83" vm="4875">
        <v>10</v>
      </c>
      <c r="BO195" s="83">
        <v>0</v>
      </c>
      <c r="BP195" s="5" vm="4841">
        <f xml:space="preserve"> VfM_Metrics_2023_Consol_Source[[#This Row],[Total social housing units owned and/or managed at period end]]</f>
        <v>21316</v>
      </c>
      <c r="BQ195" s="84" vm="4841">
        <v>21316</v>
      </c>
      <c r="BR195" s="7">
        <f xml:space="preserve"> IFERROR( VfM_Metrics_2023_Consol_Source[[#This Row],[SHL operating surplus / (deficit)]] / VfM_Metrics_2023_Consol_Source[[#This Row],[Turnover from social housing lettings]], "n/a" )</f>
        <v>0.24691414339540019</v>
      </c>
      <c r="BS195" s="5" vm="7042">
        <f xml:space="preserve"> VfM_Metrics_2023_Consol_Source[[#This Row],[Operating surplus/(deficit) (social housing lettings)]]</f>
        <v>27065</v>
      </c>
      <c r="BT195" s="84" vm="7042">
        <v>27065</v>
      </c>
      <c r="BU195" s="5" vm="4876">
        <f xml:space="preserve"> VfM_Metrics_2023_Consol_Source[[#This Row],[Turnover from social housing lettings]]</f>
        <v>109613</v>
      </c>
      <c r="BV195" s="84" vm="4876">
        <v>109613</v>
      </c>
      <c r="BW195" s="7">
        <f xml:space="preserve"> IFERROR( VfM_Metrics_2023_Consol_Source[[#This Row],[Net operating surplus]] / VfM_Metrics_2023_Consol_Source[[#This Row],[Overall turnover]], "n/a" )</f>
        <v>0.24118856350261308</v>
      </c>
      <c r="BX19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29213</v>
      </c>
      <c r="BY195" s="84" vm="7151">
        <v>38503</v>
      </c>
      <c r="BZ195" s="83" vm="4858">
        <v>8783</v>
      </c>
      <c r="CA195" s="83" vm="7047">
        <v>507</v>
      </c>
      <c r="CB195" s="5" vm="7041">
        <f xml:space="preserve"> VfM_Metrics_2023_Consol_Source[[#This Row],[Turnover (overall)]]</f>
        <v>121121</v>
      </c>
      <c r="CC195" s="84" vm="7041">
        <v>121121</v>
      </c>
      <c r="CD195" s="7">
        <f xml:space="preserve"> IFERROR( VfM_Metrics_2023_Consol_Source[[#This Row],[Operating surplus including from JVs]] / VfM_Metrics_2023_Consol_Source[[#This Row],[Net assets]], "n/a" )</f>
        <v>4.7993241951694757E-2</v>
      </c>
      <c r="CE195" s="5">
        <f xml:space="preserve"> SUM( VfM_Metrics_2023_Consol_Source[[#This Row],[Operating surplus/(deficit) (overall)3]], VfM_Metrics_2023_Consol_Source[[#This Row],[Share of operating surplus/(deficit) in joint ventures or associates]] )</f>
        <v>38917</v>
      </c>
      <c r="CF195" s="84" vm="4857">
        <v>38503</v>
      </c>
      <c r="CG195" s="83" vm="7282">
        <v>414</v>
      </c>
      <c r="CH195" s="5" vm="4877">
        <f xml:space="preserve"> VfM_Metrics_2023_Consol_Source[[#This Row],[Total assets less current liabilities]]</f>
        <v>810885</v>
      </c>
      <c r="CI195" s="84" vm="4877">
        <v>810885</v>
      </c>
      <c r="CJ195" s="71" vm="4840">
        <f xml:space="preserve"> VfM_Metrics_2023_Consol_Source[[#This Row],[Total social housing units owned (Period end)]]</f>
        <v>21316</v>
      </c>
      <c r="CK195" s="103">
        <v>4.1400075272864136E-3</v>
      </c>
      <c r="CL195" s="6">
        <f xml:space="preserve"> -- ( VfM_Metrics_2023_Consol_Source[[#This Row],[% Supported housing (excl. HOP)]] &gt; 0.3 )</f>
        <v>0</v>
      </c>
      <c r="CM195" s="103">
        <v>0</v>
      </c>
      <c r="CN195" s="6">
        <f xml:space="preserve"> -- ( VfM_Metrics_2023_Consol_Source[[#This Row],[% Housing for older people]] &gt; 0.3 )</f>
        <v>0</v>
      </c>
      <c r="CO195" s="103">
        <f xml:space="preserve"> VfM_Metrics_2023_Consol_Source[[#This Row],[% Supported housing (excl. HOP)]] + VfM_Metrics_2023_Consol_Source[[#This Row],[% Housing for older people]]</f>
        <v>4.1400075272864136E-3</v>
      </c>
      <c r="CP195" s="6">
        <f xml:space="preserve"> -- ( VfM_Metrics_2023_Consol_Source[[#This Row],[SH specialist in RSH analysis]] + VfM_Metrics_2023_Consol_Source[[#This Row],[OP specialist in RSH analysis]] &gt; 0 )</f>
        <v>0</v>
      </c>
      <c r="CQ195" s="10">
        <f xml:space="preserve"> -- ( VfM_Metrics_2023_Consol_Source[[#This Row],[% SH and OP]] &gt; 0.3 )</f>
        <v>0</v>
      </c>
      <c r="CR195" s="104" t="s">
        <v>143</v>
      </c>
      <c r="CS195" s="124"/>
      <c r="CT195" s="105" t="s">
        <v>151</v>
      </c>
      <c r="CU19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95" s="85">
        <v>0</v>
      </c>
      <c r="CW195" s="85">
        <v>0</v>
      </c>
      <c r="CX195" s="85">
        <v>0</v>
      </c>
      <c r="CY195" s="85">
        <v>0</v>
      </c>
      <c r="CZ195" s="85">
        <v>1</v>
      </c>
      <c r="DA195" s="85">
        <v>0</v>
      </c>
      <c r="DB195" s="85">
        <v>0</v>
      </c>
      <c r="DC195" s="85">
        <v>0</v>
      </c>
      <c r="DD195" s="85">
        <v>0</v>
      </c>
      <c r="DE195" s="13">
        <v>0.96459033333600952</v>
      </c>
    </row>
    <row r="196" spans="1:109" x14ac:dyDescent="0.25">
      <c r="A196" s="4" t="s" vm="351">
        <v>516</v>
      </c>
      <c r="B196" s="2" t="s" vm="186">
        <v>517</v>
      </c>
      <c r="C196" s="72" vm="543">
        <v>45016</v>
      </c>
      <c r="D196" s="7">
        <f>IFERROR( VfM_Metrics_2023_Consol_Source[[#This Row],[Reinvestment Spend]] / VfM_Metrics_2023_Consol_Source[[#This Row],[Net Book Value of Housing Properties]], "n/a" )</f>
        <v>1.62716949042442E-2</v>
      </c>
      <c r="E19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13777</v>
      </c>
      <c r="F196" s="83" vm="5125">
        <v>8967</v>
      </c>
      <c r="G196" s="83" vm="5126">
        <v>0</v>
      </c>
      <c r="H196" s="83" vm="4941">
        <v>4810</v>
      </c>
      <c r="I196" s="83" vm="5127">
        <v>0</v>
      </c>
      <c r="J196" s="83" vm="7326">
        <v>0</v>
      </c>
      <c r="K196" s="5">
        <f xml:space="preserve"> SUM( VfM_Metrics_2023_Consol_Source[[#This Row],[Tangible fixed assets: Housing properties at cost (Current period)]],VfM_Metrics_2023_Consol_Source[[#This Row],[Tangible fixed assets Housing properties at valuation (Current period)]] )</f>
        <v>846685</v>
      </c>
      <c r="L196" s="84" vm="7391">
        <v>846685</v>
      </c>
      <c r="M196" s="83" vm="5129">
        <v>0</v>
      </c>
      <c r="N196" s="7">
        <f xml:space="preserve"> IFERROR( VfM_Metrics_2023_Consol_Source[[#This Row],[Total social units developed or newly built units acquired in-year]] / VfM_Metrics_2023_Consol_Source[[#This Row],[Social housing units owned (period end)]], "n/a" )</f>
        <v>4.4336960902861752E-3</v>
      </c>
      <c r="O196" s="5">
        <f xml:space="preserve"> SUM( VfM_Metrics_2023_Consol_Source[[#This Row],[Total social units developed or newly built units acquired in-year (owned)]], VfM_Metrics_2023_Consol_Source[[#This Row],[Total social leasehold units developed or newly built units acquired in-year (owned)]] )</f>
        <v>33</v>
      </c>
      <c r="P196" s="84" vm="6959">
        <v>33</v>
      </c>
      <c r="Q196" s="83" vm="7263">
        <v>0</v>
      </c>
      <c r="R196" s="5">
        <f xml:space="preserve"> SUM( VfM_Metrics_2023_Consol_Source[[#This Row],[Total social housing units owned (Period end)]], VfM_Metrics_2023_Consol_Source[[#This Row],[Total social leasehold units owned (Period end)]] )</f>
        <v>7443</v>
      </c>
      <c r="S196" s="84" vm="5123">
        <v>6895</v>
      </c>
      <c r="T196" s="83" vm="5130">
        <v>548</v>
      </c>
      <c r="U196" s="86">
        <f xml:space="preserve"> IFERROR( VfM_Metrics_2023_Consol_Source[[#This Row],[Total non-social housing units developed or newly built units acquired (owned)]] / VfM_Metrics_2023_Consol_Source[[#This Row],[Total social and non-social housing units owned (Period end)]], "n/a" )</f>
        <v>0</v>
      </c>
      <c r="V19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96" s="83" vm="5131">
        <v>0</v>
      </c>
      <c r="X196" s="83" vm="5132">
        <v>0</v>
      </c>
      <c r="Y196" s="83" vm="5133">
        <v>0</v>
      </c>
      <c r="Z19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7447</v>
      </c>
      <c r="AA196" s="84" vm="5123">
        <v>6895</v>
      </c>
      <c r="AB196" s="83" vm="5130">
        <v>548</v>
      </c>
      <c r="AC196" s="83" vm="5134">
        <v>4</v>
      </c>
      <c r="AD196" s="83" vm="5135">
        <v>0</v>
      </c>
      <c r="AE196" s="7">
        <f xml:space="preserve"> IFERROR( VfM_Metrics_2023_Consol_Source[[#This Row],[Total Net Debt]] / VfM_Metrics_2023_Consol_Source[[#This Row],[Net Book Value of Housing Properties2]], "n/a" )</f>
        <v>0.29661208123446148</v>
      </c>
      <c r="AF19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251137</v>
      </c>
      <c r="AG196" s="84" vm="5136">
        <v>4335</v>
      </c>
      <c r="AH196" s="83" vm="5137">
        <v>321900</v>
      </c>
      <c r="AI196" s="83" vm="5138">
        <v>75098</v>
      </c>
      <c r="AJ196" s="83" vm="5139">
        <v>0</v>
      </c>
      <c r="AK196" s="83" vm="5140">
        <v>0</v>
      </c>
      <c r="AL196" s="5">
        <f xml:space="preserve"> SUM( VfM_Metrics_2023_Consol_Source[[#This Row],[Tangible fixed assets: Housing properties at cost (Current period)2]], VfM_Metrics_2023_Consol_Source[[#This Row],[Tangible fixed assets Housing properties at valuation (Current period)2]] )</f>
        <v>846685</v>
      </c>
      <c r="AM196" s="84" vm="5128">
        <v>846685</v>
      </c>
      <c r="AN196" s="83" vm="5129">
        <v>0</v>
      </c>
      <c r="AO196" s="87">
        <f xml:space="preserve"> IFERROR( VfM_Metrics_2023_Consol_Source[[#This Row],[EBITDA MRI]] / VfM_Metrics_2023_Consol_Source[[#This Row],[Total interest]], "n/a" )</f>
        <v>0.78981065249965943</v>
      </c>
      <c r="AP19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11596</v>
      </c>
      <c r="AQ196" s="84" vm="5141">
        <v>32314</v>
      </c>
      <c r="AR196" s="84" vm="5142">
        <v>23289</v>
      </c>
      <c r="AS196" s="84" vm="5143">
        <v>0</v>
      </c>
      <c r="AT196" s="84" vm="6929">
        <v>3446</v>
      </c>
      <c r="AU196" s="84" vm="5144">
        <v>0</v>
      </c>
      <c r="AV196" s="84" vm="5145">
        <v>909</v>
      </c>
      <c r="AW196" s="84" vm="5146">
        <v>4810</v>
      </c>
      <c r="AX196" s="84" vm="5147">
        <v>9918</v>
      </c>
      <c r="AY196" s="3">
        <f xml:space="preserve"> - SUM( VfM_Metrics_2023_Consol_Source[[#This Row],[Interest capitalised]], VfM_Metrics_2023_Consol_Source[[#This Row],[Interest payable and financing costs]] )</f>
        <v>14682</v>
      </c>
      <c r="AZ196" s="84" vm="5148">
        <v>-406</v>
      </c>
      <c r="BA196" s="83" vm="5384">
        <v>-14276</v>
      </c>
      <c r="BB196" s="8">
        <f xml:space="preserve"> IFERROR( ( VfM_Metrics_2023_Consol_Source[[#This Row],[Total Costs]] / VfM_Metrics_2023_Consol_Source[[#This Row],[Total units for costs]] ) * 1000, "n/a" )</f>
        <v>6134.0101522842642</v>
      </c>
      <c r="BC19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42294</v>
      </c>
      <c r="BD196" s="84" vm="2385">
        <v>15687</v>
      </c>
      <c r="BE196" s="83" vm="7533">
        <v>5739</v>
      </c>
      <c r="BF196" s="83" vm="5150">
        <v>7410</v>
      </c>
      <c r="BG196" s="83" vm="5151">
        <v>1204</v>
      </c>
      <c r="BH196" s="83" vm="5152">
        <v>4966</v>
      </c>
      <c r="BI196" s="83" vm="5153">
        <v>0</v>
      </c>
      <c r="BJ196" s="83" vm="5146">
        <v>4810</v>
      </c>
      <c r="BK196" s="83" vm="7230">
        <v>0</v>
      </c>
      <c r="BL196" s="83" vm="5155">
        <v>348</v>
      </c>
      <c r="BM196" s="83" vm="6928">
        <v>0</v>
      </c>
      <c r="BN196" s="83" vm="5156">
        <v>2130</v>
      </c>
      <c r="BO196" s="83" vm="5157">
        <v>0</v>
      </c>
      <c r="BP196" s="5" vm="5124">
        <f xml:space="preserve"> VfM_Metrics_2023_Consol_Source[[#This Row],[Total social housing units owned and/or managed at period end]]</f>
        <v>6895</v>
      </c>
      <c r="BQ196" s="84" vm="5124">
        <v>6895</v>
      </c>
      <c r="BR196" s="7">
        <f xml:space="preserve"> IFERROR( VfM_Metrics_2023_Consol_Source[[#This Row],[SHL operating surplus / (deficit)]] / VfM_Metrics_2023_Consol_Source[[#This Row],[Turnover from social housing lettings]], "n/a" )</f>
        <v>0.18890222509463578</v>
      </c>
      <c r="BS196" s="5" vm="5158">
        <f xml:space="preserve"> VfM_Metrics_2023_Consol_Source[[#This Row],[Operating surplus/(deficit) (social housing lettings)]]</f>
        <v>10230</v>
      </c>
      <c r="BT196" s="84" vm="5158">
        <v>10230</v>
      </c>
      <c r="BU196" s="5" vm="5159">
        <f xml:space="preserve"> VfM_Metrics_2023_Consol_Source[[#This Row],[Turnover from social housing lettings]]</f>
        <v>54155</v>
      </c>
      <c r="BV196" s="84" vm="5159">
        <v>54155</v>
      </c>
      <c r="BW196" s="7">
        <f xml:space="preserve"> IFERROR( VfM_Metrics_2023_Consol_Source[[#This Row],[Net operating surplus]] / VfM_Metrics_2023_Consol_Source[[#This Row],[Overall turnover]], "n/a" )</f>
        <v>0.16142880140232888</v>
      </c>
      <c r="BX19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9025</v>
      </c>
      <c r="BY196" s="84" vm="5253">
        <v>32314</v>
      </c>
      <c r="BZ196" s="83" vm="5142">
        <v>23289</v>
      </c>
      <c r="CA196" s="83" vm="6315">
        <v>0</v>
      </c>
      <c r="CB196" s="5" vm="7419">
        <f xml:space="preserve"> VfM_Metrics_2023_Consol_Source[[#This Row],[Turnover (overall)]]</f>
        <v>55907</v>
      </c>
      <c r="CC196" s="84" vm="7419">
        <v>55907</v>
      </c>
      <c r="CD196" s="7">
        <f xml:space="preserve"> IFERROR( VfM_Metrics_2023_Consol_Source[[#This Row],[Operating surplus including from JVs]] / VfM_Metrics_2023_Consol_Source[[#This Row],[Net assets]], "n/a" )</f>
        <v>3.5069402993173654E-2</v>
      </c>
      <c r="CE196" s="5">
        <f xml:space="preserve"> SUM( VfM_Metrics_2023_Consol_Source[[#This Row],[Operating surplus/(deficit) (overall)3]], VfM_Metrics_2023_Consol_Source[[#This Row],[Share of operating surplus/(deficit) in joint ventures or associates]] )</f>
        <v>32314</v>
      </c>
      <c r="CF196" s="84" vm="5141">
        <v>32314</v>
      </c>
      <c r="CG196" s="83" vm="5161">
        <v>0</v>
      </c>
      <c r="CH196" s="5" vm="5160">
        <f xml:space="preserve"> VfM_Metrics_2023_Consol_Source[[#This Row],[Total assets less current liabilities]]</f>
        <v>921430</v>
      </c>
      <c r="CI196" s="84" vm="5160">
        <v>921430</v>
      </c>
      <c r="CJ196" s="71" vm="5123">
        <f xml:space="preserve"> VfM_Metrics_2023_Consol_Source[[#This Row],[Total social housing units owned (Period end)]]</f>
        <v>6895</v>
      </c>
      <c r="CK196" s="103">
        <v>2.1732788798133021E-2</v>
      </c>
      <c r="CL196" s="6">
        <f xml:space="preserve"> -- ( VfM_Metrics_2023_Consol_Source[[#This Row],[% Supported housing (excl. HOP)]] &gt; 0.3 )</f>
        <v>0</v>
      </c>
      <c r="CM196" s="103">
        <v>6.7094515752625442E-3</v>
      </c>
      <c r="CN196" s="6">
        <f xml:space="preserve"> -- ( VfM_Metrics_2023_Consol_Source[[#This Row],[% Housing for older people]] &gt; 0.3 )</f>
        <v>0</v>
      </c>
      <c r="CO196" s="103">
        <f xml:space="preserve"> VfM_Metrics_2023_Consol_Source[[#This Row],[% Supported housing (excl. HOP)]] + VfM_Metrics_2023_Consol_Source[[#This Row],[% Housing for older people]]</f>
        <v>2.8442240373395565E-2</v>
      </c>
      <c r="CP196" s="6">
        <f xml:space="preserve"> -- ( VfM_Metrics_2023_Consol_Source[[#This Row],[SH specialist in RSH analysis]] + VfM_Metrics_2023_Consol_Source[[#This Row],[OP specialist in RSH analysis]] &gt; 0 )</f>
        <v>0</v>
      </c>
      <c r="CQ196" s="10">
        <f xml:space="preserve"> -- ( VfM_Metrics_2023_Consol_Source[[#This Row],[% SH and OP]] &gt; 0.3 )</f>
        <v>0</v>
      </c>
      <c r="CR196" s="104" t="s">
        <v>143</v>
      </c>
      <c r="CS196" s="124" t="s">
        <v>144</v>
      </c>
      <c r="CT196" s="105"/>
      <c r="CU19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196" s="85">
        <v>0.99970687380917489</v>
      </c>
      <c r="CW196" s="85">
        <v>2.9312619082515022E-4</v>
      </c>
      <c r="CX196" s="85">
        <v>0</v>
      </c>
      <c r="CY196" s="85">
        <v>0</v>
      </c>
      <c r="CZ196" s="85">
        <v>0</v>
      </c>
      <c r="DA196" s="85">
        <v>0</v>
      </c>
      <c r="DB196" s="85">
        <v>0</v>
      </c>
      <c r="DC196" s="85">
        <v>0</v>
      </c>
      <c r="DD196" s="85">
        <v>0</v>
      </c>
      <c r="DE196" s="13">
        <v>1.1603329183620767</v>
      </c>
    </row>
    <row r="197" spans="1:109" x14ac:dyDescent="0.25">
      <c r="A197" s="4" t="s" vm="221">
        <v>518</v>
      </c>
      <c r="B197" s="2" t="s" vm="187">
        <v>519</v>
      </c>
      <c r="C197" s="72" vm="505">
        <v>45016</v>
      </c>
      <c r="D197" s="7">
        <f>IFERROR( VfM_Metrics_2023_Consol_Source[[#This Row],[Reinvestment Spend]] / VfM_Metrics_2023_Consol_Source[[#This Row],[Net Book Value of Housing Properties]], "n/a" )</f>
        <v>7.7764184126013158E-2</v>
      </c>
      <c r="E19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4068</v>
      </c>
      <c r="F197" s="83" vm="1227">
        <v>2967</v>
      </c>
      <c r="G197" s="83" vm="8679">
        <v>0</v>
      </c>
      <c r="H197" s="83" vm="1036">
        <v>1101</v>
      </c>
      <c r="I197" s="83" vm="1037">
        <v>0</v>
      </c>
      <c r="J197" s="83" vm="8844">
        <v>0</v>
      </c>
      <c r="K197" s="5">
        <f xml:space="preserve"> SUM( VfM_Metrics_2023_Consol_Source[[#This Row],[Tangible fixed assets: Housing properties at cost (Current period)]],VfM_Metrics_2023_Consol_Source[[#This Row],[Tangible fixed assets Housing properties at valuation (Current period)]] )</f>
        <v>52312</v>
      </c>
      <c r="L197" s="84" vm="1038">
        <v>52312</v>
      </c>
      <c r="M197" s="83" vm="8746">
        <v>0</v>
      </c>
      <c r="N197" s="7">
        <f xml:space="preserve"> IFERROR( VfM_Metrics_2023_Consol_Source[[#This Row],[Total social units developed or newly built units acquired in-year]] / VfM_Metrics_2023_Consol_Source[[#This Row],[Social housing units owned (period end)]], "n/a" )</f>
        <v>2.2371364653243849E-2</v>
      </c>
      <c r="O197" s="5">
        <f xml:space="preserve"> SUM( VfM_Metrics_2023_Consol_Source[[#This Row],[Total social units developed or newly built units acquired in-year (owned)]], VfM_Metrics_2023_Consol_Source[[#This Row],[Total social leasehold units developed or newly built units acquired in-year (owned)]] )</f>
        <v>30</v>
      </c>
      <c r="P197" s="84" vm="1039">
        <v>30</v>
      </c>
      <c r="Q197" s="83" vm="1040">
        <v>0</v>
      </c>
      <c r="R197" s="5">
        <f xml:space="preserve"> SUM( VfM_Metrics_2023_Consol_Source[[#This Row],[Total social housing units owned (Period end)]], VfM_Metrics_2023_Consol_Source[[#This Row],[Total social leasehold units owned (Period end)]] )</f>
        <v>1341</v>
      </c>
      <c r="S197" s="84" vm="8569">
        <v>1298</v>
      </c>
      <c r="T197" s="83" vm="955">
        <v>43</v>
      </c>
      <c r="U197" s="86">
        <f xml:space="preserve"> IFERROR( VfM_Metrics_2023_Consol_Source[[#This Row],[Total non-social housing units developed or newly built units acquired (owned)]] / VfM_Metrics_2023_Consol_Source[[#This Row],[Total social and non-social housing units owned (Period end)]], "n/a" )</f>
        <v>0</v>
      </c>
      <c r="V19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97" s="83" vm="8563">
        <v>0</v>
      </c>
      <c r="X197" s="83" vm="1041">
        <v>0</v>
      </c>
      <c r="Y197" s="83" vm="8567">
        <v>0</v>
      </c>
      <c r="Z19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1345</v>
      </c>
      <c r="AA197" s="84" vm="8724">
        <v>1298</v>
      </c>
      <c r="AB197" s="83" vm="1425">
        <v>43</v>
      </c>
      <c r="AC197" s="83" vm="1042">
        <v>4</v>
      </c>
      <c r="AD197" s="83" vm="8714">
        <v>0</v>
      </c>
      <c r="AE197" s="7">
        <f xml:space="preserve"> IFERROR( VfM_Metrics_2023_Consol_Source[[#This Row],[Total Net Debt]] / VfM_Metrics_2023_Consol_Source[[#This Row],[Net Book Value of Housing Properties2]], "n/a" )</f>
        <v>0.12314574093898149</v>
      </c>
      <c r="AF19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6442</v>
      </c>
      <c r="AG197" s="84" vm="8715">
        <v>437</v>
      </c>
      <c r="AH197" s="83" vm="8784">
        <v>8142</v>
      </c>
      <c r="AI197" s="83" vm="8678">
        <v>2137</v>
      </c>
      <c r="AJ197" s="83" vm="8709">
        <v>0</v>
      </c>
      <c r="AK197" s="83" vm="8809">
        <v>0</v>
      </c>
      <c r="AL197" s="5">
        <f xml:space="preserve"> SUM( VfM_Metrics_2023_Consol_Source[[#This Row],[Tangible fixed assets: Housing properties at cost (Current period)2]], VfM_Metrics_2023_Consol_Source[[#This Row],[Tangible fixed assets Housing properties at valuation (Current period)2]] )</f>
        <v>52312</v>
      </c>
      <c r="AM197" s="84" vm="8814">
        <v>52312</v>
      </c>
      <c r="AN197" s="83" vm="1106">
        <v>0</v>
      </c>
      <c r="AO197" s="87">
        <f xml:space="preserve"> IFERROR( VfM_Metrics_2023_Consol_Source[[#This Row],[EBITDA MRI]] / VfM_Metrics_2023_Consol_Source[[#This Row],[Total interest]], "n/a" )</f>
        <v>3.0963541666666665</v>
      </c>
      <c r="AP19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1189</v>
      </c>
      <c r="AQ197" s="84" vm="1276">
        <v>2322</v>
      </c>
      <c r="AR197" s="84" vm="1044">
        <v>851</v>
      </c>
      <c r="AS197" s="84" vm="1045">
        <v>0</v>
      </c>
      <c r="AT197" s="84" vm="1046">
        <v>286</v>
      </c>
      <c r="AU197" s="84" vm="887">
        <v>0</v>
      </c>
      <c r="AV197" s="84" vm="956">
        <v>20</v>
      </c>
      <c r="AW197" s="84" vm="1048">
        <v>1101</v>
      </c>
      <c r="AX197" s="84" vm="8658">
        <v>1085</v>
      </c>
      <c r="AY197" s="3">
        <f xml:space="preserve"> - SUM( VfM_Metrics_2023_Consol_Source[[#This Row],[Interest capitalised]], VfM_Metrics_2023_Consol_Source[[#This Row],[Interest payable and financing costs]] )</f>
        <v>384</v>
      </c>
      <c r="AZ197" s="84" vm="8559">
        <v>0</v>
      </c>
      <c r="BA197" s="83" vm="1049">
        <v>-384</v>
      </c>
      <c r="BB197" s="8">
        <f xml:space="preserve"> IFERROR( ( VfM_Metrics_2023_Consol_Source[[#This Row],[Total Costs]] / VfM_Metrics_2023_Consol_Source[[#This Row],[Total units for costs]] ) * 1000, "n/a" )</f>
        <v>4901.4626635873747</v>
      </c>
      <c r="BC19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6367</v>
      </c>
      <c r="BD197" s="84" vm="1050">
        <v>945</v>
      </c>
      <c r="BE197" s="83" vm="8745">
        <v>1184</v>
      </c>
      <c r="BF197" s="83" vm="8557">
        <v>1217</v>
      </c>
      <c r="BG197" s="83" vm="8917">
        <v>0</v>
      </c>
      <c r="BH197" s="83" vm="1051">
        <v>693</v>
      </c>
      <c r="BI197" s="83" vm="8504">
        <v>0</v>
      </c>
      <c r="BJ197" s="83" vm="984">
        <v>1101</v>
      </c>
      <c r="BK197" s="83" vm="1052">
        <v>0</v>
      </c>
      <c r="BL197" s="83" vm="961">
        <v>206</v>
      </c>
      <c r="BM197" s="83" vm="8556">
        <v>678</v>
      </c>
      <c r="BN197" s="83" vm="1053">
        <v>268</v>
      </c>
      <c r="BO197" s="83" vm="1054">
        <v>75</v>
      </c>
      <c r="BP197" s="5" vm="8706">
        <f xml:space="preserve"> VfM_Metrics_2023_Consol_Source[[#This Row],[Total social housing units owned and/or managed at period end]]</f>
        <v>1299</v>
      </c>
      <c r="BQ197" s="84" vm="8706">
        <v>1299</v>
      </c>
      <c r="BR197" s="7">
        <f xml:space="preserve"> IFERROR( VfM_Metrics_2023_Consol_Source[[#This Row],[SHL operating surplus / (deficit)]] / VfM_Metrics_2023_Consol_Source[[#This Row],[Turnover from social housing lettings]], "n/a" )</f>
        <v>0.25846335001471887</v>
      </c>
      <c r="BS197" s="5" vm="1055">
        <f xml:space="preserve"> VfM_Metrics_2023_Consol_Source[[#This Row],[Operating surplus/(deficit) (social housing lettings)]]</f>
        <v>1756</v>
      </c>
      <c r="BT197" s="84" vm="1055">
        <v>1756</v>
      </c>
      <c r="BU197" s="5" vm="8480">
        <f xml:space="preserve"> VfM_Metrics_2023_Consol_Source[[#This Row],[Turnover from social housing lettings]]</f>
        <v>6794</v>
      </c>
      <c r="BV197" s="84" vm="8480">
        <v>6794</v>
      </c>
      <c r="BW197" s="7">
        <f xml:space="preserve"> IFERROR( VfM_Metrics_2023_Consol_Source[[#This Row],[Net operating surplus]] / VfM_Metrics_2023_Consol_Source[[#This Row],[Overall turnover]], "n/a" )</f>
        <v>0.185591723441837</v>
      </c>
      <c r="BX19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1471</v>
      </c>
      <c r="BY197" s="84" vm="743">
        <v>2322</v>
      </c>
      <c r="BZ197" s="83" vm="8811">
        <v>851</v>
      </c>
      <c r="CA197" s="83" vm="1045">
        <v>0</v>
      </c>
      <c r="CB197" s="5" vm="7137">
        <f xml:space="preserve"> VfM_Metrics_2023_Consol_Source[[#This Row],[Turnover (overall)]]</f>
        <v>7926</v>
      </c>
      <c r="CC197" s="84" vm="7137">
        <v>7926</v>
      </c>
      <c r="CD197" s="7">
        <f xml:space="preserve"> IFERROR( VfM_Metrics_2023_Consol_Source[[#This Row],[Operating surplus including from JVs]] / VfM_Metrics_2023_Consol_Source[[#This Row],[Net assets]], "n/a" )</f>
        <v>3.930197525431188E-2</v>
      </c>
      <c r="CE197" s="5">
        <f xml:space="preserve"> SUM( VfM_Metrics_2023_Consol_Source[[#This Row],[Operating surplus/(deficit) (overall)3]], VfM_Metrics_2023_Consol_Source[[#This Row],[Share of operating surplus/(deficit) in joint ventures or associates]] )</f>
        <v>2322</v>
      </c>
      <c r="CF197" s="84" vm="1093">
        <v>2322</v>
      </c>
      <c r="CG197" s="83" vm="1056">
        <v>0</v>
      </c>
      <c r="CH197" s="5" vm="8782">
        <f xml:space="preserve"> VfM_Metrics_2023_Consol_Source[[#This Row],[Total assets less current liabilities]]</f>
        <v>59081</v>
      </c>
      <c r="CI197" s="84" vm="8782">
        <v>59081</v>
      </c>
      <c r="CJ197" s="71" vm="8569">
        <f xml:space="preserve"> VfM_Metrics_2023_Consol_Source[[#This Row],[Total social housing units owned (Period end)]]</f>
        <v>1298</v>
      </c>
      <c r="CK197" s="103">
        <v>5.5427251732101619E-2</v>
      </c>
      <c r="CL197" s="6">
        <f xml:space="preserve"> -- ( VfM_Metrics_2023_Consol_Source[[#This Row],[% Supported housing (excl. HOP)]] &gt; 0.3 )</f>
        <v>0</v>
      </c>
      <c r="CM197" s="103">
        <v>0.12086220169361046</v>
      </c>
      <c r="CN197" s="6">
        <f xml:space="preserve"> -- ( VfM_Metrics_2023_Consol_Source[[#This Row],[% Housing for older people]] &gt; 0.3 )</f>
        <v>0</v>
      </c>
      <c r="CO197" s="103">
        <f xml:space="preserve"> VfM_Metrics_2023_Consol_Source[[#This Row],[% Supported housing (excl. HOP)]] + VfM_Metrics_2023_Consol_Source[[#This Row],[% Housing for older people]]</f>
        <v>0.17628945342571209</v>
      </c>
      <c r="CP197" s="6">
        <f xml:space="preserve"> -- ( VfM_Metrics_2023_Consol_Source[[#This Row],[SH specialist in RSH analysis]] + VfM_Metrics_2023_Consol_Source[[#This Row],[OP specialist in RSH analysis]] &gt; 0 )</f>
        <v>0</v>
      </c>
      <c r="CQ197" s="10">
        <f xml:space="preserve"> -- ( VfM_Metrics_2023_Consol_Source[[#This Row],[% SH and OP]] &gt; 0.3 )</f>
        <v>0</v>
      </c>
      <c r="CR197" s="104" t="s">
        <v>143</v>
      </c>
      <c r="CS197" s="124" t="s">
        <v>144</v>
      </c>
      <c r="CT197" s="105"/>
      <c r="CU19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197" s="85">
        <v>0</v>
      </c>
      <c r="CW197" s="85">
        <v>0</v>
      </c>
      <c r="CX197" s="85">
        <v>0</v>
      </c>
      <c r="CY197" s="85">
        <v>0</v>
      </c>
      <c r="CZ197" s="85">
        <v>0</v>
      </c>
      <c r="DA197" s="85">
        <v>0</v>
      </c>
      <c r="DB197" s="85">
        <v>0</v>
      </c>
      <c r="DC197" s="85">
        <v>1</v>
      </c>
      <c r="DD197" s="85">
        <v>0</v>
      </c>
      <c r="DE197" s="13">
        <v>0.96105917141044694</v>
      </c>
    </row>
    <row r="198" spans="1:109" x14ac:dyDescent="0.25">
      <c r="A198" s="4" t="s" vm="376">
        <v>520</v>
      </c>
      <c r="B198" s="2" t="s" vm="188">
        <v>521</v>
      </c>
      <c r="C198" s="72" vm="549">
        <v>45016</v>
      </c>
      <c r="D198" s="7">
        <f>IFERROR( VfM_Metrics_2023_Consol_Source[[#This Row],[Reinvestment Spend]] / VfM_Metrics_2023_Consol_Source[[#This Row],[Net Book Value of Housing Properties]], "n/a" )</f>
        <v>7.2786486330573053E-2</v>
      </c>
      <c r="E19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27758</v>
      </c>
      <c r="F198" s="83" vm="6034">
        <v>22469</v>
      </c>
      <c r="G198" s="83" vm="6035">
        <v>0</v>
      </c>
      <c r="H198" s="83" vm="6036">
        <v>4744</v>
      </c>
      <c r="I198" s="83" vm="7025">
        <v>545</v>
      </c>
      <c r="J198" s="83" vm="6037">
        <v>0</v>
      </c>
      <c r="K198" s="5">
        <f xml:space="preserve"> SUM( VfM_Metrics_2023_Consol_Source[[#This Row],[Tangible fixed assets: Housing properties at cost (Current period)]],VfM_Metrics_2023_Consol_Source[[#This Row],[Tangible fixed assets Housing properties at valuation (Current period)]] )</f>
        <v>381362</v>
      </c>
      <c r="L198" s="84" vm="6038">
        <v>381362</v>
      </c>
      <c r="M198" s="83" vm="6039">
        <v>0</v>
      </c>
      <c r="N198" s="7">
        <f xml:space="preserve"> IFERROR( VfM_Metrics_2023_Consol_Source[[#This Row],[Total social units developed or newly built units acquired in-year]] / VfM_Metrics_2023_Consol_Source[[#This Row],[Social housing units owned (period end)]], "n/a" )</f>
        <v>1.4559386973180077E-2</v>
      </c>
      <c r="O198" s="5">
        <f xml:space="preserve"> SUM( VfM_Metrics_2023_Consol_Source[[#This Row],[Total social units developed or newly built units acquired in-year (owned)]], VfM_Metrics_2023_Consol_Source[[#This Row],[Total social leasehold units developed or newly built units acquired in-year (owned)]] )</f>
        <v>76</v>
      </c>
      <c r="P198" s="84" vm="6040">
        <v>76</v>
      </c>
      <c r="Q198" s="83" vm="6041">
        <v>0</v>
      </c>
      <c r="R198" s="5">
        <f xml:space="preserve"> SUM( VfM_Metrics_2023_Consol_Source[[#This Row],[Total social housing units owned (Period end)]], VfM_Metrics_2023_Consol_Source[[#This Row],[Total social leasehold units owned (Period end)]] )</f>
        <v>5220</v>
      </c>
      <c r="S198" s="84" vm="6113">
        <v>5220</v>
      </c>
      <c r="T198" s="83" vm="6042">
        <v>0</v>
      </c>
      <c r="U198" s="86">
        <f xml:space="preserve"> IFERROR( VfM_Metrics_2023_Consol_Source[[#This Row],[Total non-social housing units developed or newly built units acquired (owned)]] / VfM_Metrics_2023_Consol_Source[[#This Row],[Total social and non-social housing units owned (Period end)]], "n/a" )</f>
        <v>0</v>
      </c>
      <c r="V19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98" s="83" vm="6043">
        <v>0</v>
      </c>
      <c r="X198" s="83" vm="6044">
        <v>0</v>
      </c>
      <c r="Y198" s="83" vm="6045">
        <v>0</v>
      </c>
      <c r="Z19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5632</v>
      </c>
      <c r="AA198" s="84" vm="6032">
        <v>5220</v>
      </c>
      <c r="AB198" s="83" vm="6042">
        <v>0</v>
      </c>
      <c r="AC198" s="83" vm="6046">
        <v>21</v>
      </c>
      <c r="AD198" s="83" vm="6047">
        <v>391</v>
      </c>
      <c r="AE198" s="7">
        <f xml:space="preserve"> IFERROR( VfM_Metrics_2023_Consol_Source[[#This Row],[Total Net Debt]] / VfM_Metrics_2023_Consol_Source[[#This Row],[Net Book Value of Housing Properties2]], "n/a" )</f>
        <v>0.45726108002370452</v>
      </c>
      <c r="AF19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174382</v>
      </c>
      <c r="AG198" s="84" vm="6048">
        <v>0</v>
      </c>
      <c r="AH198" s="83" vm="6049">
        <v>203918</v>
      </c>
      <c r="AI198" s="83" vm="5737">
        <v>29547</v>
      </c>
      <c r="AJ198" s="83" vm="6167">
        <v>0</v>
      </c>
      <c r="AK198" s="83" vm="6050">
        <v>11</v>
      </c>
      <c r="AL198" s="5">
        <f xml:space="preserve"> SUM( VfM_Metrics_2023_Consol_Source[[#This Row],[Tangible fixed assets: Housing properties at cost (Current period)2]], VfM_Metrics_2023_Consol_Source[[#This Row],[Tangible fixed assets Housing properties at valuation (Current period)2]] )</f>
        <v>381362</v>
      </c>
      <c r="AM198" s="84" vm="6038">
        <v>381362</v>
      </c>
      <c r="AN198" s="83" vm="6039">
        <v>0</v>
      </c>
      <c r="AO198" s="87">
        <f xml:space="preserve"> IFERROR( VfM_Metrics_2023_Consol_Source[[#This Row],[EBITDA MRI]] / VfM_Metrics_2023_Consol_Source[[#This Row],[Total interest]], "n/a" )</f>
        <v>1.8248415716096325</v>
      </c>
      <c r="AP19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14398</v>
      </c>
      <c r="AQ198" s="84" vm="6051">
        <v>12897</v>
      </c>
      <c r="AR198" s="84" vm="6052">
        <v>1376</v>
      </c>
      <c r="AS198" s="84" vm="6053">
        <v>0</v>
      </c>
      <c r="AT198" s="84" vm="6054">
        <v>276</v>
      </c>
      <c r="AU198" s="84" vm="6055">
        <v>0</v>
      </c>
      <c r="AV198" s="84" vm="6056">
        <v>450</v>
      </c>
      <c r="AW198" s="84" vm="6057">
        <v>4744</v>
      </c>
      <c r="AX198" s="84" vm="6058">
        <v>7447</v>
      </c>
      <c r="AY198" s="3">
        <f xml:space="preserve"> - SUM( VfM_Metrics_2023_Consol_Source[[#This Row],[Interest capitalised]], VfM_Metrics_2023_Consol_Source[[#This Row],[Interest payable and financing costs]] )</f>
        <v>7890</v>
      </c>
      <c r="AZ198" s="84" vm="6059">
        <v>-545</v>
      </c>
      <c r="BA198" s="83" vm="6060">
        <v>-7345</v>
      </c>
      <c r="BB198" s="8">
        <f xml:space="preserve"> IFERROR( ( VfM_Metrics_2023_Consol_Source[[#This Row],[Total Costs]] / VfM_Metrics_2023_Consol_Source[[#This Row],[Total units for costs]] ) * 1000, "n/a" )</f>
        <v>4310.3703703703704</v>
      </c>
      <c r="BC19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23276</v>
      </c>
      <c r="BD198" s="84" vm="6061">
        <v>10850</v>
      </c>
      <c r="BE198" s="83" vm="6062">
        <v>1267</v>
      </c>
      <c r="BF198" s="83" vm="6063">
        <v>4690</v>
      </c>
      <c r="BG198" s="83" vm="6064">
        <v>600</v>
      </c>
      <c r="BH198" s="83" vm="6065">
        <v>144</v>
      </c>
      <c r="BI198" s="83" vm="6066">
        <v>0</v>
      </c>
      <c r="BJ198" s="83" vm="6057">
        <v>4744</v>
      </c>
      <c r="BK198" s="83" vm="6067">
        <v>0</v>
      </c>
      <c r="BL198" s="83" vm="6068">
        <v>0</v>
      </c>
      <c r="BM198" s="83" vm="6069">
        <v>0</v>
      </c>
      <c r="BN198" s="83" vm="6070">
        <v>585</v>
      </c>
      <c r="BO198" s="83" vm="6071">
        <v>396</v>
      </c>
      <c r="BP198" s="5" vm="6033">
        <f xml:space="preserve"> VfM_Metrics_2023_Consol_Source[[#This Row],[Total social housing units owned and/or managed at period end]]</f>
        <v>5400</v>
      </c>
      <c r="BQ198" s="84" vm="6033">
        <v>5400</v>
      </c>
      <c r="BR198" s="7">
        <f xml:space="preserve"> IFERROR( VfM_Metrics_2023_Consol_Source[[#This Row],[SHL operating surplus / (deficit)]] / VfM_Metrics_2023_Consol_Source[[#This Row],[Turnover from social housing lettings]], "n/a" )</f>
        <v>0.29033745425203883</v>
      </c>
      <c r="BS198" s="5" vm="6072">
        <f xml:space="preserve"> VfM_Metrics_2023_Consol_Source[[#This Row],[Operating surplus/(deficit) (social housing lettings)]]</f>
        <v>10075</v>
      </c>
      <c r="BT198" s="84" vm="6072">
        <v>10075</v>
      </c>
      <c r="BU198" s="5" vm="6073">
        <f xml:space="preserve"> VfM_Metrics_2023_Consol_Source[[#This Row],[Turnover from social housing lettings]]</f>
        <v>34701</v>
      </c>
      <c r="BV198" s="84" vm="6073">
        <v>34701</v>
      </c>
      <c r="BW198" s="7">
        <f xml:space="preserve"> IFERROR( VfM_Metrics_2023_Consol_Source[[#This Row],[Net operating surplus]] / VfM_Metrics_2023_Consol_Source[[#This Row],[Overall turnover]], "n/a" )</f>
        <v>0.28091093068051592</v>
      </c>
      <c r="BX19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11521</v>
      </c>
      <c r="BY198" s="84" vm="6051">
        <v>12897</v>
      </c>
      <c r="BZ198" s="83" vm="6052">
        <v>1376</v>
      </c>
      <c r="CA198" s="83" vm="6053">
        <v>0</v>
      </c>
      <c r="CB198" s="5" vm="7158">
        <f xml:space="preserve"> VfM_Metrics_2023_Consol_Source[[#This Row],[Turnover (overall)]]</f>
        <v>41013</v>
      </c>
      <c r="CC198" s="84" vm="7158">
        <v>41013</v>
      </c>
      <c r="CD198" s="7">
        <f xml:space="preserve"> IFERROR( VfM_Metrics_2023_Consol_Source[[#This Row],[Operating surplus including from JVs]] / VfM_Metrics_2023_Consol_Source[[#This Row],[Net assets]], "n/a" )</f>
        <v>3.3432482735827725E-2</v>
      </c>
      <c r="CE198" s="5">
        <f xml:space="preserve"> SUM( VfM_Metrics_2023_Consol_Source[[#This Row],[Operating surplus/(deficit) (overall)3]], VfM_Metrics_2023_Consol_Source[[#This Row],[Share of operating surplus/(deficit) in joint ventures or associates]] )</f>
        <v>13454</v>
      </c>
      <c r="CF198" s="84" vm="6051">
        <v>12897</v>
      </c>
      <c r="CG198" s="83" vm="6075">
        <v>557</v>
      </c>
      <c r="CH198" s="5" vm="6074">
        <f xml:space="preserve"> VfM_Metrics_2023_Consol_Source[[#This Row],[Total assets less current liabilities]]</f>
        <v>402423</v>
      </c>
      <c r="CI198" s="84" vm="6074">
        <v>402423</v>
      </c>
      <c r="CJ198" s="71" vm="6113">
        <f xml:space="preserve"> VfM_Metrics_2023_Consol_Source[[#This Row],[Total social housing units owned (Period end)]]</f>
        <v>5220</v>
      </c>
      <c r="CK198" s="103">
        <v>0</v>
      </c>
      <c r="CL198" s="6">
        <f xml:space="preserve"> -- ( VfM_Metrics_2023_Consol_Source[[#This Row],[% Supported housing (excl. HOP)]] &gt; 0.3 )</f>
        <v>0</v>
      </c>
      <c r="CM198" s="103">
        <v>9.0088359585094119E-2</v>
      </c>
      <c r="CN198" s="6">
        <f xml:space="preserve"> -- ( VfM_Metrics_2023_Consol_Source[[#This Row],[% Housing for older people]] &gt; 0.3 )</f>
        <v>0</v>
      </c>
      <c r="CO198" s="103">
        <f xml:space="preserve"> VfM_Metrics_2023_Consol_Source[[#This Row],[% Supported housing (excl. HOP)]] + VfM_Metrics_2023_Consol_Source[[#This Row],[% Housing for older people]]</f>
        <v>9.0088359585094119E-2</v>
      </c>
      <c r="CP198" s="6">
        <f xml:space="preserve"> -- ( VfM_Metrics_2023_Consol_Source[[#This Row],[SH specialist in RSH analysis]] + VfM_Metrics_2023_Consol_Source[[#This Row],[OP specialist in RSH analysis]] &gt; 0 )</f>
        <v>0</v>
      </c>
      <c r="CQ198" s="10">
        <f xml:space="preserve"> -- ( VfM_Metrics_2023_Consol_Source[[#This Row],[% SH and OP]] &gt; 0.3 )</f>
        <v>0</v>
      </c>
      <c r="CR198" s="104" t="s">
        <v>143</v>
      </c>
      <c r="CS198" s="124"/>
      <c r="CT198" s="105" t="s">
        <v>151</v>
      </c>
      <c r="CU19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East of England</v>
      </c>
      <c r="CV198" s="85">
        <v>0</v>
      </c>
      <c r="CW198" s="85">
        <v>0</v>
      </c>
      <c r="CX198" s="85">
        <v>0</v>
      </c>
      <c r="CY198" s="85">
        <v>0</v>
      </c>
      <c r="CZ198" s="85">
        <v>0</v>
      </c>
      <c r="DA198" s="85">
        <v>1</v>
      </c>
      <c r="DB198" s="85">
        <v>0</v>
      </c>
      <c r="DC198" s="85">
        <v>0</v>
      </c>
      <c r="DD198" s="85">
        <v>0</v>
      </c>
      <c r="DE198" s="13">
        <v>1.0113701298544711</v>
      </c>
    </row>
    <row r="199" spans="1:109" x14ac:dyDescent="0.25">
      <c r="A199" s="4" t="s" vm="307">
        <v>522</v>
      </c>
      <c r="B199" s="2" t="s" vm="189">
        <v>523</v>
      </c>
      <c r="C199" s="72" vm="537">
        <v>45016</v>
      </c>
      <c r="D199" s="7">
        <f>IFERROR( VfM_Metrics_2023_Consol_Source[[#This Row],[Reinvestment Spend]] / VfM_Metrics_2023_Consol_Source[[#This Row],[Net Book Value of Housing Properties]], "n/a" )</f>
        <v>0.23221327771078448</v>
      </c>
      <c r="E199"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14250</v>
      </c>
      <c r="F199" s="83" vm="3583">
        <v>0</v>
      </c>
      <c r="G199" s="83" vm="3584">
        <v>0</v>
      </c>
      <c r="H199" s="83" vm="7371">
        <v>14250</v>
      </c>
      <c r="I199" s="83" vm="3585">
        <v>0</v>
      </c>
      <c r="J199" s="83" vm="3586">
        <v>0</v>
      </c>
      <c r="K199" s="5">
        <f xml:space="preserve"> SUM( VfM_Metrics_2023_Consol_Source[[#This Row],[Tangible fixed assets: Housing properties at cost (Current period)]],VfM_Metrics_2023_Consol_Source[[#This Row],[Tangible fixed assets Housing properties at valuation (Current period)]] )</f>
        <v>61366</v>
      </c>
      <c r="L199" s="84" vm="3587">
        <v>61366</v>
      </c>
      <c r="M199" s="83">
        <v>0</v>
      </c>
      <c r="N199" s="7">
        <f xml:space="preserve"> IFERROR( VfM_Metrics_2023_Consol_Source[[#This Row],[Total social units developed or newly built units acquired in-year]] / VfM_Metrics_2023_Consol_Source[[#This Row],[Social housing units owned (period end)]], "n/a" )</f>
        <v>0</v>
      </c>
      <c r="O199" s="5">
        <f xml:space="preserve"> SUM( VfM_Metrics_2023_Consol_Source[[#This Row],[Total social units developed or newly built units acquired in-year (owned)]], VfM_Metrics_2023_Consol_Source[[#This Row],[Total social leasehold units developed or newly built units acquired in-year (owned)]] )</f>
        <v>0</v>
      </c>
      <c r="P199" s="84" vm="7666">
        <v>0</v>
      </c>
      <c r="Q199" s="83">
        <v>0</v>
      </c>
      <c r="R199" s="5">
        <f xml:space="preserve"> SUM( VfM_Metrics_2023_Consol_Source[[#This Row],[Total social housing units owned (Period end)]], VfM_Metrics_2023_Consol_Source[[#This Row],[Total social leasehold units owned (Period end)]] )</f>
        <v>2615</v>
      </c>
      <c r="S199" s="84" vm="3582">
        <v>2615</v>
      </c>
      <c r="T199" s="83" vm="3588">
        <v>0</v>
      </c>
      <c r="U199" s="86">
        <f xml:space="preserve"> IFERROR( VfM_Metrics_2023_Consol_Source[[#This Row],[Total non-social housing units developed or newly built units acquired (owned)]] / VfM_Metrics_2023_Consol_Source[[#This Row],[Total social and non-social housing units owned (Period end)]], "n/a" )</f>
        <v>0</v>
      </c>
      <c r="V199"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199" s="83">
        <v>0</v>
      </c>
      <c r="X199" s="83">
        <v>0</v>
      </c>
      <c r="Y199" s="83">
        <v>0</v>
      </c>
      <c r="Z199"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3005</v>
      </c>
      <c r="AA199" s="84" vm="3582">
        <v>2615</v>
      </c>
      <c r="AB199" s="83" vm="3588">
        <v>0</v>
      </c>
      <c r="AC199" s="83" vm="7611">
        <v>0</v>
      </c>
      <c r="AD199" s="83" vm="3589">
        <v>390</v>
      </c>
      <c r="AE199" s="7">
        <f xml:space="preserve"> IFERROR( VfM_Metrics_2023_Consol_Source[[#This Row],[Total Net Debt]] / VfM_Metrics_2023_Consol_Source[[#This Row],[Net Book Value of Housing Properties2]], "n/a" )</f>
        <v>-0.10315158230942216</v>
      </c>
      <c r="AF199"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-6330</v>
      </c>
      <c r="AG199" s="84">
        <v>0</v>
      </c>
      <c r="AH199" s="83" vm="3590">
        <v>880</v>
      </c>
      <c r="AI199" s="83" vm="3591">
        <v>7210</v>
      </c>
      <c r="AJ199" s="83" vm="1675">
        <v>0</v>
      </c>
      <c r="AK199" s="83">
        <v>0</v>
      </c>
      <c r="AL199" s="5">
        <f xml:space="preserve"> SUM( VfM_Metrics_2023_Consol_Source[[#This Row],[Tangible fixed assets: Housing properties at cost (Current period)2]], VfM_Metrics_2023_Consol_Source[[#This Row],[Tangible fixed assets Housing properties at valuation (Current period)2]] )</f>
        <v>61366</v>
      </c>
      <c r="AM199" s="84" vm="3587">
        <v>61366</v>
      </c>
      <c r="AN199" s="83">
        <v>0</v>
      </c>
      <c r="AO199" s="87">
        <f xml:space="preserve"> IFERROR( VfM_Metrics_2023_Consol_Source[[#This Row],[EBITDA MRI]] / VfM_Metrics_2023_Consol_Source[[#This Row],[Total interest]], "n/a" )</f>
        <v>-37.138790035587192</v>
      </c>
      <c r="AP199"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-10436</v>
      </c>
      <c r="AQ199" s="84" vm="3592">
        <v>2564</v>
      </c>
      <c r="AR199" s="84" vm="2847">
        <v>618</v>
      </c>
      <c r="AS199" s="84">
        <v>0</v>
      </c>
      <c r="AT199" s="84" vm="3594">
        <v>534</v>
      </c>
      <c r="AU199" s="84" vm="4312">
        <v>0</v>
      </c>
      <c r="AV199" s="84" vm="3595">
        <v>23</v>
      </c>
      <c r="AW199" s="84" vm="3596">
        <v>14250</v>
      </c>
      <c r="AX199" s="84" vm="3597">
        <v>2379</v>
      </c>
      <c r="AY199" s="3">
        <f xml:space="preserve"> - SUM( VfM_Metrics_2023_Consol_Source[[#This Row],[Interest capitalised]], VfM_Metrics_2023_Consol_Source[[#This Row],[Interest payable and financing costs]] )</f>
        <v>281</v>
      </c>
      <c r="AZ199" s="84">
        <v>0</v>
      </c>
      <c r="BA199" s="83" vm="6994">
        <v>-281</v>
      </c>
      <c r="BB199" s="8">
        <f xml:space="preserve"> IFERROR( ( VfM_Metrics_2023_Consol_Source[[#This Row],[Total Costs]] / VfM_Metrics_2023_Consol_Source[[#This Row],[Total units for costs]] ) * 1000, "n/a" )</f>
        <v>10350.286806883367</v>
      </c>
      <c r="BC199"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27066</v>
      </c>
      <c r="BD199" s="84" vm="3598">
        <v>2649</v>
      </c>
      <c r="BE199" s="83" vm="3599">
        <v>3151</v>
      </c>
      <c r="BF199" s="83" vm="3600">
        <v>3976</v>
      </c>
      <c r="BG199" s="83" vm="3601">
        <v>1309</v>
      </c>
      <c r="BH199" s="83" vm="3602">
        <v>0</v>
      </c>
      <c r="BI199" s="83" vm="3603">
        <v>0</v>
      </c>
      <c r="BJ199" s="83" vm="3596">
        <v>14250</v>
      </c>
      <c r="BK199" s="83" vm="2926">
        <v>0</v>
      </c>
      <c r="BL199" s="83">
        <v>0</v>
      </c>
      <c r="BM199" s="83">
        <v>0</v>
      </c>
      <c r="BN199" s="83" vm="3604">
        <v>1731</v>
      </c>
      <c r="BO199" s="83">
        <v>0</v>
      </c>
      <c r="BP199" s="5" vm="7448">
        <f xml:space="preserve"> VfM_Metrics_2023_Consol_Source[[#This Row],[Total social housing units owned and/or managed at period end]]</f>
        <v>2615</v>
      </c>
      <c r="BQ199" s="84" vm="7448">
        <v>2615</v>
      </c>
      <c r="BR199" s="7">
        <f xml:space="preserve"> IFERROR( VfM_Metrics_2023_Consol_Source[[#This Row],[SHL operating surplus / (deficit)]] / VfM_Metrics_2023_Consol_Source[[#This Row],[Turnover from social housing lettings]], "n/a" )</f>
        <v>0.15405046480743692</v>
      </c>
      <c r="BS199" s="5" vm="7411">
        <f xml:space="preserve"> VfM_Metrics_2023_Consol_Source[[#This Row],[Operating surplus/(deficit) (social housing lettings)]]</f>
        <v>2436</v>
      </c>
      <c r="BT199" s="84" vm="7411">
        <v>2436</v>
      </c>
      <c r="BU199" s="5" vm="7203">
        <f xml:space="preserve"> VfM_Metrics_2023_Consol_Source[[#This Row],[Turnover from social housing lettings]]</f>
        <v>15813</v>
      </c>
      <c r="BV199" s="84" vm="7203">
        <v>15813</v>
      </c>
      <c r="BW199" s="7">
        <f xml:space="preserve"> IFERROR( VfM_Metrics_2023_Consol_Source[[#This Row],[Net operating surplus]] / VfM_Metrics_2023_Consol_Source[[#This Row],[Overall turnover]], "n/a" )</f>
        <v>0.11400785048919093</v>
      </c>
      <c r="BX199"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1946</v>
      </c>
      <c r="BY199" s="84" vm="3592">
        <v>2564</v>
      </c>
      <c r="BZ199" s="83" vm="3593">
        <v>618</v>
      </c>
      <c r="CA199" s="83">
        <v>0</v>
      </c>
      <c r="CB199" s="5" vm="3605">
        <f xml:space="preserve"> VfM_Metrics_2023_Consol_Source[[#This Row],[Turnover (overall)]]</f>
        <v>17069</v>
      </c>
      <c r="CC199" s="84" vm="3605">
        <v>17069</v>
      </c>
      <c r="CD199" s="7">
        <f xml:space="preserve"> IFERROR( VfM_Metrics_2023_Consol_Source[[#This Row],[Operating surplus including from JVs]] / VfM_Metrics_2023_Consol_Source[[#This Row],[Net assets]], "n/a" )</f>
        <v>3.8410834132310639E-2</v>
      </c>
      <c r="CE199" s="5">
        <f xml:space="preserve"> SUM( VfM_Metrics_2023_Consol_Source[[#This Row],[Operating surplus/(deficit) (overall)3]], VfM_Metrics_2023_Consol_Source[[#This Row],[Share of operating surplus/(deficit) in joint ventures or associates]] )</f>
        <v>2564</v>
      </c>
      <c r="CF199" s="84" vm="7447">
        <v>2564</v>
      </c>
      <c r="CG199" s="83">
        <v>0</v>
      </c>
      <c r="CH199" s="5" vm="3606">
        <f xml:space="preserve"> VfM_Metrics_2023_Consol_Source[[#This Row],[Total assets less current liabilities]]</f>
        <v>66752</v>
      </c>
      <c r="CI199" s="84" vm="3606">
        <v>66752</v>
      </c>
      <c r="CJ199" s="71" vm="3582">
        <f xml:space="preserve"> VfM_Metrics_2023_Consol_Source[[#This Row],[Total social housing units owned (Period end)]]</f>
        <v>2615</v>
      </c>
      <c r="CK199" s="103">
        <v>0</v>
      </c>
      <c r="CL199" s="6">
        <f xml:space="preserve"> -- ( VfM_Metrics_2023_Consol_Source[[#This Row],[% Supported housing (excl. HOP)]] &gt; 0.3 )</f>
        <v>0</v>
      </c>
      <c r="CM199" s="103">
        <v>3.2887189292543022E-2</v>
      </c>
      <c r="CN199" s="6">
        <f xml:space="preserve"> -- ( VfM_Metrics_2023_Consol_Source[[#This Row],[% Housing for older people]] &gt; 0.3 )</f>
        <v>0</v>
      </c>
      <c r="CO199" s="103">
        <f xml:space="preserve"> VfM_Metrics_2023_Consol_Source[[#This Row],[% Supported housing (excl. HOP)]] + VfM_Metrics_2023_Consol_Source[[#This Row],[% Housing for older people]]</f>
        <v>3.2887189292543022E-2</v>
      </c>
      <c r="CP199" s="6">
        <f xml:space="preserve"> -- ( VfM_Metrics_2023_Consol_Source[[#This Row],[SH specialist in RSH analysis]] + VfM_Metrics_2023_Consol_Source[[#This Row],[OP specialist in RSH analysis]] &gt; 0 )</f>
        <v>0</v>
      </c>
      <c r="CQ199" s="10">
        <f xml:space="preserve"> -- ( VfM_Metrics_2023_Consol_Source[[#This Row],[% SH and OP]] &gt; 0.3 )</f>
        <v>0</v>
      </c>
      <c r="CR199" s="104" t="s">
        <v>143</v>
      </c>
      <c r="CS199" s="124"/>
      <c r="CT199" s="105" t="s">
        <v>151</v>
      </c>
      <c r="CU199"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West Midlands</v>
      </c>
      <c r="CV199" s="85">
        <v>0.35296367112810706</v>
      </c>
      <c r="CW199" s="85">
        <v>0</v>
      </c>
      <c r="CX199" s="85">
        <v>0</v>
      </c>
      <c r="CY199" s="85">
        <v>0</v>
      </c>
      <c r="CZ199" s="85">
        <v>0.64703632887189289</v>
      </c>
      <c r="DA199" s="85">
        <v>0</v>
      </c>
      <c r="DB199" s="85">
        <v>0</v>
      </c>
      <c r="DC199" s="85">
        <v>0</v>
      </c>
      <c r="DD199" s="85">
        <v>0</v>
      </c>
      <c r="DE199" s="13">
        <v>1.0336934590933662</v>
      </c>
    </row>
    <row r="200" spans="1:109" x14ac:dyDescent="0.25">
      <c r="A200" s="4" t="s" vm="372">
        <v>524</v>
      </c>
      <c r="B200" s="2" t="s" vm="190">
        <v>525</v>
      </c>
      <c r="C200" s="72" vm="550">
        <v>45016</v>
      </c>
      <c r="D200" s="7">
        <f>IFERROR( VfM_Metrics_2023_Consol_Source[[#This Row],[Reinvestment Spend]] / VfM_Metrics_2023_Consol_Source[[#This Row],[Net Book Value of Housing Properties]], "n/a" )</f>
        <v>8.426766142045812E-2</v>
      </c>
      <c r="E200"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12063</v>
      </c>
      <c r="F200" s="83" vm="5878">
        <v>3525</v>
      </c>
      <c r="G200" s="83" vm="7007">
        <v>5081</v>
      </c>
      <c r="H200" s="83" vm="5879">
        <v>3160</v>
      </c>
      <c r="I200" s="83" vm="5880">
        <v>297</v>
      </c>
      <c r="J200" s="83" vm="5881">
        <v>0</v>
      </c>
      <c r="K200" s="5">
        <f xml:space="preserve"> SUM( VfM_Metrics_2023_Consol_Source[[#This Row],[Tangible fixed assets: Housing properties at cost (Current period)]],VfM_Metrics_2023_Consol_Source[[#This Row],[Tangible fixed assets Housing properties at valuation (Current period)]] )</f>
        <v>143151</v>
      </c>
      <c r="L200" s="84" vm="6940">
        <v>143151</v>
      </c>
      <c r="M200" s="83" vm="5883">
        <v>0</v>
      </c>
      <c r="N200" s="7">
        <f xml:space="preserve"> IFERROR( VfM_Metrics_2023_Consol_Source[[#This Row],[Total social units developed or newly built units acquired in-year]] / VfM_Metrics_2023_Consol_Source[[#This Row],[Social housing units owned (period end)]], "n/a" )</f>
        <v>2.5925925925925925E-2</v>
      </c>
      <c r="O200" s="5">
        <f xml:space="preserve"> SUM( VfM_Metrics_2023_Consol_Source[[#This Row],[Total social units developed or newly built units acquired in-year (owned)]], VfM_Metrics_2023_Consol_Source[[#This Row],[Total social leasehold units developed or newly built units acquired in-year (owned)]] )</f>
        <v>168</v>
      </c>
      <c r="P200" s="84" vm="5884">
        <v>168</v>
      </c>
      <c r="Q200" s="83" vm="7143">
        <v>0</v>
      </c>
      <c r="R200" s="5">
        <f xml:space="preserve"> SUM( VfM_Metrics_2023_Consol_Source[[#This Row],[Total social housing units owned (Period end)]], VfM_Metrics_2023_Consol_Source[[#This Row],[Total social leasehold units owned (Period end)]] )</f>
        <v>6480</v>
      </c>
      <c r="S200" s="84" vm="5876">
        <v>6345</v>
      </c>
      <c r="T200" s="83" vm="5885">
        <v>135</v>
      </c>
      <c r="U200" s="86">
        <f xml:space="preserve"> IFERROR( VfM_Metrics_2023_Consol_Source[[#This Row],[Total non-social housing units developed or newly built units acquired (owned)]] / VfM_Metrics_2023_Consol_Source[[#This Row],[Total social and non-social housing units owned (Period end)]], "n/a" )</f>
        <v>0</v>
      </c>
      <c r="V200"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00" s="83" vm="5886">
        <v>0</v>
      </c>
      <c r="X200" s="83" vm="5887">
        <v>0</v>
      </c>
      <c r="Y200" s="83" vm="6904">
        <v>0</v>
      </c>
      <c r="Z200"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6480</v>
      </c>
      <c r="AA200" s="84" vm="7028">
        <v>6345</v>
      </c>
      <c r="AB200" s="83" vm="5885">
        <v>135</v>
      </c>
      <c r="AC200" s="83" vm="5888">
        <v>0</v>
      </c>
      <c r="AD200" s="83" vm="5889">
        <v>0</v>
      </c>
      <c r="AE200" s="7">
        <f xml:space="preserve"> IFERROR( VfM_Metrics_2023_Consol_Source[[#This Row],[Total Net Debt]] / VfM_Metrics_2023_Consol_Source[[#This Row],[Net Book Value of Housing Properties2]], "n/a" )</f>
        <v>0.5200662237776893</v>
      </c>
      <c r="AF200"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74448</v>
      </c>
      <c r="AG200" s="84" vm="5890">
        <v>413</v>
      </c>
      <c r="AH200" s="83" vm="5891">
        <v>76705</v>
      </c>
      <c r="AI200" s="83" vm="5892">
        <v>2720</v>
      </c>
      <c r="AJ200" s="83" vm="5893">
        <v>0</v>
      </c>
      <c r="AK200" s="83" vm="6902">
        <v>50</v>
      </c>
      <c r="AL200" s="5">
        <f xml:space="preserve"> SUM( VfM_Metrics_2023_Consol_Source[[#This Row],[Tangible fixed assets: Housing properties at cost (Current period)2]], VfM_Metrics_2023_Consol_Source[[#This Row],[Tangible fixed assets Housing properties at valuation (Current period)2]] )</f>
        <v>143151</v>
      </c>
      <c r="AM200" s="84" vm="5882">
        <v>143151</v>
      </c>
      <c r="AN200" s="83" vm="5883">
        <v>0</v>
      </c>
      <c r="AO200" s="87">
        <f xml:space="preserve"> IFERROR( VfM_Metrics_2023_Consol_Source[[#This Row],[EBITDA MRI]] / VfM_Metrics_2023_Consol_Source[[#This Row],[Total interest]], "n/a" )</f>
        <v>1.8536656041727035</v>
      </c>
      <c r="AP200"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6397</v>
      </c>
      <c r="AQ200" s="84" vm="6133">
        <v>6931</v>
      </c>
      <c r="AR200" s="84" vm="5895">
        <v>1114</v>
      </c>
      <c r="AS200" s="84" vm="5896">
        <v>22</v>
      </c>
      <c r="AT200" s="84" vm="5897">
        <v>171</v>
      </c>
      <c r="AU200" s="84" vm="5898">
        <v>0</v>
      </c>
      <c r="AV200" s="84" vm="5899">
        <v>40</v>
      </c>
      <c r="AW200" s="84" vm="5900">
        <v>3457</v>
      </c>
      <c r="AX200" s="84" vm="5901">
        <v>4190</v>
      </c>
      <c r="AY200" s="3">
        <f xml:space="preserve"> - SUM( VfM_Metrics_2023_Consol_Source[[#This Row],[Interest capitalised]], VfM_Metrics_2023_Consol_Source[[#This Row],[Interest payable and financing costs]] )</f>
        <v>3451</v>
      </c>
      <c r="AZ200" s="84" vm="7209">
        <v>-297</v>
      </c>
      <c r="BA200" s="83" vm="5902">
        <v>-3154</v>
      </c>
      <c r="BB200" s="8">
        <f xml:space="preserve"> IFERROR( ( VfM_Metrics_2023_Consol_Source[[#This Row],[Total Costs]] / VfM_Metrics_2023_Consol_Source[[#This Row],[Total units for costs]] ) * 1000, "n/a" )</f>
        <v>4498.9755713159966</v>
      </c>
      <c r="BC200"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28546</v>
      </c>
      <c r="BD200" s="84" vm="5903">
        <v>5835</v>
      </c>
      <c r="BE200" s="83" vm="5904">
        <v>1140</v>
      </c>
      <c r="BF200" s="83" vm="5905">
        <v>7479</v>
      </c>
      <c r="BG200" s="83" vm="5906">
        <v>1749</v>
      </c>
      <c r="BH200" s="83" vm="5907">
        <v>6446</v>
      </c>
      <c r="BI200" s="83" vm="5908">
        <v>0</v>
      </c>
      <c r="BJ200" s="83" vm="6938">
        <v>3457</v>
      </c>
      <c r="BK200" s="83" vm="7302">
        <v>0</v>
      </c>
      <c r="BL200" s="83" vm="5909">
        <v>0</v>
      </c>
      <c r="BM200" s="83" vm="7240">
        <v>802</v>
      </c>
      <c r="BN200" s="83" vm="5910">
        <v>0</v>
      </c>
      <c r="BO200" s="83" vm="5911">
        <v>1638</v>
      </c>
      <c r="BP200" s="5" vm="5877">
        <f xml:space="preserve"> VfM_Metrics_2023_Consol_Source[[#This Row],[Total social housing units owned and/or managed at period end]]</f>
        <v>6345</v>
      </c>
      <c r="BQ200" s="84" vm="5877">
        <v>6345</v>
      </c>
      <c r="BR200" s="7">
        <f xml:space="preserve"> IFERROR( VfM_Metrics_2023_Consol_Source[[#This Row],[SHL operating surplus / (deficit)]] / VfM_Metrics_2023_Consol_Source[[#This Row],[Turnover from social housing lettings]], "n/a" )</f>
        <v>0.18333129733691669</v>
      </c>
      <c r="BS200" s="5" vm="5912">
        <f xml:space="preserve"> VfM_Metrics_2023_Consol_Source[[#This Row],[Operating surplus/(deficit) (social housing lettings)]]</f>
        <v>6003</v>
      </c>
      <c r="BT200" s="84" vm="5912">
        <v>6003</v>
      </c>
      <c r="BU200" s="5" vm="7287">
        <f xml:space="preserve"> VfM_Metrics_2023_Consol_Source[[#This Row],[Turnover from social housing lettings]]</f>
        <v>32744</v>
      </c>
      <c r="BV200" s="84" vm="7287">
        <v>32744</v>
      </c>
      <c r="BW200" s="7">
        <f xml:space="preserve"> IFERROR( VfM_Metrics_2023_Consol_Source[[#This Row],[Net operating surplus]] / VfM_Metrics_2023_Consol_Source[[#This Row],[Overall turnover]], "n/a" )</f>
        <v>0.15606905281301339</v>
      </c>
      <c r="BX200"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5795</v>
      </c>
      <c r="BY200" s="84" vm="5894">
        <v>6931</v>
      </c>
      <c r="BZ200" s="83" vm="5895">
        <v>1114</v>
      </c>
      <c r="CA200" s="83" vm="5896">
        <v>22</v>
      </c>
      <c r="CB200" s="5" vm="5913">
        <f xml:space="preserve"> VfM_Metrics_2023_Consol_Source[[#This Row],[Turnover (overall)]]</f>
        <v>37131</v>
      </c>
      <c r="CC200" s="84" vm="5913">
        <v>37131</v>
      </c>
      <c r="CD200" s="7">
        <f xml:space="preserve"> IFERROR( VfM_Metrics_2023_Consol_Source[[#This Row],[Operating surplus including from JVs]] / VfM_Metrics_2023_Consol_Source[[#This Row],[Net assets]], "n/a" )</f>
        <v>4.6956403915856509E-2</v>
      </c>
      <c r="CE200" s="5">
        <f xml:space="preserve"> SUM( VfM_Metrics_2023_Consol_Source[[#This Row],[Operating surplus/(deficit) (overall)3]], VfM_Metrics_2023_Consol_Source[[#This Row],[Share of operating surplus/(deficit) in joint ventures or associates]] )</f>
        <v>6931</v>
      </c>
      <c r="CF200" s="84" vm="5894">
        <v>6931</v>
      </c>
      <c r="CG200" s="83" vm="5915">
        <v>0</v>
      </c>
      <c r="CH200" s="5" vm="5914">
        <f xml:space="preserve"> VfM_Metrics_2023_Consol_Source[[#This Row],[Total assets less current liabilities]]</f>
        <v>147605</v>
      </c>
      <c r="CI200" s="84" vm="5914">
        <v>147605</v>
      </c>
      <c r="CJ200" s="71" vm="5876">
        <f xml:space="preserve"> VfM_Metrics_2023_Consol_Source[[#This Row],[Total social housing units owned (Period end)]]</f>
        <v>6345</v>
      </c>
      <c r="CK200" s="103">
        <v>1.420678768745067E-3</v>
      </c>
      <c r="CL200" s="6">
        <f xml:space="preserve"> -- ( VfM_Metrics_2023_Consol_Source[[#This Row],[% Supported housing (excl. HOP)]] &gt; 0.3 )</f>
        <v>0</v>
      </c>
      <c r="CM200" s="103">
        <v>1.7205998421468034E-2</v>
      </c>
      <c r="CN200" s="6">
        <f xml:space="preserve"> -- ( VfM_Metrics_2023_Consol_Source[[#This Row],[% Housing for older people]] &gt; 0.3 )</f>
        <v>0</v>
      </c>
      <c r="CO200" s="103">
        <f xml:space="preserve"> VfM_Metrics_2023_Consol_Source[[#This Row],[% Supported housing (excl. HOP)]] + VfM_Metrics_2023_Consol_Source[[#This Row],[% Housing for older people]]</f>
        <v>1.86266771902131E-2</v>
      </c>
      <c r="CP200" s="6">
        <f xml:space="preserve"> -- ( VfM_Metrics_2023_Consol_Source[[#This Row],[SH specialist in RSH analysis]] + VfM_Metrics_2023_Consol_Source[[#This Row],[OP specialist in RSH analysis]] &gt; 0 )</f>
        <v>0</v>
      </c>
      <c r="CQ200" s="10">
        <f xml:space="preserve"> -- ( VfM_Metrics_2023_Consol_Source[[#This Row],[% SH and OP]] &gt; 0.3 )</f>
        <v>0</v>
      </c>
      <c r="CR200" s="104" t="s">
        <v>143</v>
      </c>
      <c r="CS200" s="124"/>
      <c r="CT200" s="105" t="s">
        <v>151</v>
      </c>
      <c r="CU200"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200" s="85">
        <v>0</v>
      </c>
      <c r="CW200" s="85">
        <v>0</v>
      </c>
      <c r="CX200" s="85">
        <v>0</v>
      </c>
      <c r="CY200" s="85">
        <v>0</v>
      </c>
      <c r="CZ200" s="85">
        <v>0</v>
      </c>
      <c r="DA200" s="85">
        <v>0</v>
      </c>
      <c r="DB200" s="85">
        <v>0</v>
      </c>
      <c r="DC200" s="85">
        <v>1</v>
      </c>
      <c r="DD200" s="85">
        <v>0</v>
      </c>
      <c r="DE200" s="13">
        <v>0.96105917141044694</v>
      </c>
    </row>
    <row r="201" spans="1:109" x14ac:dyDescent="0.25">
      <c r="A201" s="4" t="s" vm="352">
        <v>526</v>
      </c>
      <c r="B201" s="2" t="s" vm="191">
        <v>527</v>
      </c>
      <c r="C201" s="72" vm="559">
        <v>44926</v>
      </c>
      <c r="D201" s="7">
        <f>IFERROR( VfM_Metrics_2023_Consol_Source[[#This Row],[Reinvestment Spend]] / VfM_Metrics_2023_Consol_Source[[#This Row],[Net Book Value of Housing Properties]], "n/a" )</f>
        <v>5.971372424505067E-2</v>
      </c>
      <c r="E201"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41751</v>
      </c>
      <c r="F201" s="83" vm="5164">
        <v>31607</v>
      </c>
      <c r="G201" s="83" vm="5165">
        <v>0</v>
      </c>
      <c r="H201" s="83" vm="5166">
        <v>9113</v>
      </c>
      <c r="I201" s="83" vm="5167">
        <v>1031</v>
      </c>
      <c r="J201" s="83" vm="7150">
        <v>0</v>
      </c>
      <c r="K201" s="5">
        <f xml:space="preserve"> SUM( VfM_Metrics_2023_Consol_Source[[#This Row],[Tangible fixed assets: Housing properties at cost (Current period)]],VfM_Metrics_2023_Consol_Source[[#This Row],[Tangible fixed assets Housing properties at valuation (Current period)]] )</f>
        <v>699186</v>
      </c>
      <c r="L201" s="84" vm="5168">
        <v>699186</v>
      </c>
      <c r="M201" s="83">
        <v>0</v>
      </c>
      <c r="N201" s="7">
        <f xml:space="preserve"> IFERROR( VfM_Metrics_2023_Consol_Source[[#This Row],[Total social units developed or newly built units acquired in-year]] / VfM_Metrics_2023_Consol_Source[[#This Row],[Social housing units owned (period end)]], "n/a" )</f>
        <v>1.8048780487804877E-2</v>
      </c>
      <c r="O201" s="5">
        <f xml:space="preserve"> SUM( VfM_Metrics_2023_Consol_Source[[#This Row],[Total social units developed or newly built units acquired in-year (owned)]], VfM_Metrics_2023_Consol_Source[[#This Row],[Total social leasehold units developed or newly built units acquired in-year (owned)]] )</f>
        <v>148</v>
      </c>
      <c r="P201" s="84" vm="7318">
        <v>148</v>
      </c>
      <c r="Q201" s="83">
        <v>0</v>
      </c>
      <c r="R201" s="5">
        <f xml:space="preserve"> SUM( VfM_Metrics_2023_Consol_Source[[#This Row],[Total social housing units owned (Period end)]], VfM_Metrics_2023_Consol_Source[[#This Row],[Total social leasehold units owned (Period end)]] )</f>
        <v>8200</v>
      </c>
      <c r="S201" s="84" vm="5162">
        <v>7954</v>
      </c>
      <c r="T201" s="83" vm="5169">
        <v>246</v>
      </c>
      <c r="U201" s="86">
        <f xml:space="preserve"> IFERROR( VfM_Metrics_2023_Consol_Source[[#This Row],[Total non-social housing units developed or newly built units acquired (owned)]] / VfM_Metrics_2023_Consol_Source[[#This Row],[Total social and non-social housing units owned (Period end)]], "n/a" )</f>
        <v>0</v>
      </c>
      <c r="V201"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01" s="83">
        <v>0</v>
      </c>
      <c r="X201" s="83">
        <v>0</v>
      </c>
      <c r="Y201" s="83" vm="5171">
        <v>0</v>
      </c>
      <c r="Z201"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8201</v>
      </c>
      <c r="AA201" s="84" vm="5162">
        <v>7954</v>
      </c>
      <c r="AB201" s="83" vm="5169">
        <v>246</v>
      </c>
      <c r="AC201" s="83" vm="5172">
        <v>0</v>
      </c>
      <c r="AD201" s="83" vm="5173">
        <v>1</v>
      </c>
      <c r="AE201" s="7">
        <f xml:space="preserve"> IFERROR( VfM_Metrics_2023_Consol_Source[[#This Row],[Total Net Debt]] / VfM_Metrics_2023_Consol_Source[[#This Row],[Net Book Value of Housing Properties2]], "n/a" )</f>
        <v>0.4094675808726147</v>
      </c>
      <c r="AF201"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286294</v>
      </c>
      <c r="AG201" s="84" vm="5174">
        <v>4179</v>
      </c>
      <c r="AH201" s="83" vm="5175">
        <v>267074</v>
      </c>
      <c r="AI201" s="83" vm="5176">
        <v>6321</v>
      </c>
      <c r="AJ201" s="83" vm="1675">
        <v>0</v>
      </c>
      <c r="AK201" s="83" vm="5177">
        <v>21362</v>
      </c>
      <c r="AL201" s="5">
        <f xml:space="preserve"> SUM( VfM_Metrics_2023_Consol_Source[[#This Row],[Tangible fixed assets: Housing properties at cost (Current period)2]], VfM_Metrics_2023_Consol_Source[[#This Row],[Tangible fixed assets Housing properties at valuation (Current period)2]] )</f>
        <v>699186</v>
      </c>
      <c r="AM201" s="84" vm="7037">
        <v>699186</v>
      </c>
      <c r="AN201" s="83">
        <v>0</v>
      </c>
      <c r="AO201" s="87">
        <f xml:space="preserve"> IFERROR( VfM_Metrics_2023_Consol_Source[[#This Row],[EBITDA MRI]] / VfM_Metrics_2023_Consol_Source[[#This Row],[Total interest]], "n/a" )</f>
        <v>1.2865446716899893</v>
      </c>
      <c r="AP201"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11952</v>
      </c>
      <c r="AQ201" s="84" vm="5178">
        <v>17352</v>
      </c>
      <c r="AR201" s="84" vm="5179">
        <v>2667</v>
      </c>
      <c r="AS201" s="84" vm="5382">
        <v>-9</v>
      </c>
      <c r="AT201" s="84" vm="7039">
        <v>1018</v>
      </c>
      <c r="AU201" s="84" vm="5181">
        <v>0</v>
      </c>
      <c r="AV201" s="84" vm="5182">
        <v>66</v>
      </c>
      <c r="AW201" s="84" vm="5183">
        <v>9113</v>
      </c>
      <c r="AX201" s="84" vm="7262">
        <v>7323</v>
      </c>
      <c r="AY201" s="3">
        <f xml:space="preserve"> - SUM( VfM_Metrics_2023_Consol_Source[[#This Row],[Interest capitalised]], VfM_Metrics_2023_Consol_Source[[#This Row],[Interest payable and financing costs]] )</f>
        <v>9290</v>
      </c>
      <c r="AZ201" s="84" vm="5184">
        <v>-1031</v>
      </c>
      <c r="BA201" s="83" vm="6954">
        <v>-8259</v>
      </c>
      <c r="BB201" s="8">
        <f xml:space="preserve"> IFERROR( ( VfM_Metrics_2023_Consol_Source[[#This Row],[Total Costs]] / VfM_Metrics_2023_Consol_Source[[#This Row],[Total units for costs]] ) * 1000, "n/a" )</f>
        <v>5698.3907467940653</v>
      </c>
      <c r="BC201"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45325</v>
      </c>
      <c r="BD201" s="84" vm="5185">
        <v>5572</v>
      </c>
      <c r="BE201" s="83" vm="5186">
        <v>8226</v>
      </c>
      <c r="BF201" s="83" vm="5187">
        <v>6065</v>
      </c>
      <c r="BG201" s="83" vm="7346">
        <v>13055</v>
      </c>
      <c r="BH201" s="83" vm="5188">
        <v>346</v>
      </c>
      <c r="BI201" s="83" vm="5189">
        <v>0</v>
      </c>
      <c r="BJ201" s="83" vm="7324">
        <v>9113</v>
      </c>
      <c r="BK201" s="83" vm="5190">
        <v>53</v>
      </c>
      <c r="BL201" s="83" vm="5191">
        <v>868</v>
      </c>
      <c r="BM201" s="83" vm="7194">
        <v>1276</v>
      </c>
      <c r="BN201" s="83" vm="5192">
        <v>133</v>
      </c>
      <c r="BO201" s="83" vm="6927">
        <v>618</v>
      </c>
      <c r="BP201" s="5" vm="5163">
        <f xml:space="preserve"> VfM_Metrics_2023_Consol_Source[[#This Row],[Total social housing units owned and/or managed at period end]]</f>
        <v>7954</v>
      </c>
      <c r="BQ201" s="84" vm="5163">
        <v>7954</v>
      </c>
      <c r="BR201" s="7">
        <f xml:space="preserve"> IFERROR( VfM_Metrics_2023_Consol_Source[[#This Row],[SHL operating surplus / (deficit)]] / VfM_Metrics_2023_Consol_Source[[#This Row],[Turnover from social housing lettings]], "n/a" )</f>
        <v>0.25270624060010771</v>
      </c>
      <c r="BS201" s="5" vm="5193">
        <f xml:space="preserve"> VfM_Metrics_2023_Consol_Source[[#This Row],[Operating surplus/(deficit) (social housing lettings)]]</f>
        <v>13610</v>
      </c>
      <c r="BT201" s="84" vm="5193">
        <v>13610</v>
      </c>
      <c r="BU201" s="5" vm="5194">
        <f xml:space="preserve"> VfM_Metrics_2023_Consol_Source[[#This Row],[Turnover from social housing lettings]]</f>
        <v>53857</v>
      </c>
      <c r="BV201" s="84" vm="5194">
        <v>53857</v>
      </c>
      <c r="BW201" s="7">
        <f xml:space="preserve"> IFERROR( VfM_Metrics_2023_Consol_Source[[#This Row],[Net operating surplus]] / VfM_Metrics_2023_Consol_Source[[#This Row],[Overall turnover]], "n/a" )</f>
        <v>0.22772568771793877</v>
      </c>
      <c r="BX201"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14694</v>
      </c>
      <c r="BY201" s="84" vm="5178">
        <v>17352</v>
      </c>
      <c r="BZ201" s="83" vm="5179">
        <v>2667</v>
      </c>
      <c r="CA201" s="83" vm="5180">
        <v>-9</v>
      </c>
      <c r="CB201" s="5" vm="5195">
        <f xml:space="preserve"> VfM_Metrics_2023_Consol_Source[[#This Row],[Turnover (overall)]]</f>
        <v>64525</v>
      </c>
      <c r="CC201" s="84" vm="5195">
        <v>64525</v>
      </c>
      <c r="CD201" s="7">
        <f xml:space="preserve"> IFERROR( VfM_Metrics_2023_Consol_Source[[#This Row],[Operating surplus including from JVs]] / VfM_Metrics_2023_Consol_Source[[#This Row],[Net assets]], "n/a" )</f>
        <v>2.4173561490591508E-2</v>
      </c>
      <c r="CE201" s="5">
        <f xml:space="preserve"> SUM( VfM_Metrics_2023_Consol_Source[[#This Row],[Operating surplus/(deficit) (overall)3]], VfM_Metrics_2023_Consol_Source[[#This Row],[Share of operating surplus/(deficit) in joint ventures or associates]] )</f>
        <v>17352</v>
      </c>
      <c r="CF201" s="84" vm="5178">
        <v>17352</v>
      </c>
      <c r="CG201" s="83">
        <v>0</v>
      </c>
      <c r="CH201" s="5" vm="7321">
        <f xml:space="preserve"> VfM_Metrics_2023_Consol_Source[[#This Row],[Total assets less current liabilities]]</f>
        <v>717809</v>
      </c>
      <c r="CI201" s="84" vm="7321">
        <v>717809</v>
      </c>
      <c r="CJ201" s="71" vm="5162">
        <f xml:space="preserve"> VfM_Metrics_2023_Consol_Source[[#This Row],[Total social housing units owned (Period end)]]</f>
        <v>7954</v>
      </c>
      <c r="CK201" s="103">
        <v>8.916237598894889E-3</v>
      </c>
      <c r="CL201" s="6">
        <f xml:space="preserve"> -- ( VfM_Metrics_2023_Consol_Source[[#This Row],[% Supported housing (excl. HOP)]] &gt; 0.3 )</f>
        <v>0</v>
      </c>
      <c r="CM201" s="103">
        <v>8.5143790028883587E-2</v>
      </c>
      <c r="CN201" s="6">
        <f xml:space="preserve"> -- ( VfM_Metrics_2023_Consol_Source[[#This Row],[% Housing for older people]] &gt; 0.3 )</f>
        <v>0</v>
      </c>
      <c r="CO201" s="103">
        <f xml:space="preserve"> VfM_Metrics_2023_Consol_Source[[#This Row],[% Supported housing (excl. HOP)]] + VfM_Metrics_2023_Consol_Source[[#This Row],[% Housing for older people]]</f>
        <v>9.4060027627778472E-2</v>
      </c>
      <c r="CP201" s="6">
        <f xml:space="preserve"> -- ( VfM_Metrics_2023_Consol_Source[[#This Row],[SH specialist in RSH analysis]] + VfM_Metrics_2023_Consol_Source[[#This Row],[OP specialist in RSH analysis]] &gt; 0 )</f>
        <v>0</v>
      </c>
      <c r="CQ201" s="10">
        <f xml:space="preserve"> -- ( VfM_Metrics_2023_Consol_Source[[#This Row],[% SH and OP]] &gt; 0.3 )</f>
        <v>0</v>
      </c>
      <c r="CR201" s="104" t="s">
        <v>143</v>
      </c>
      <c r="CS201" s="124"/>
      <c r="CT201" s="105" t="s">
        <v>151</v>
      </c>
      <c r="CU201"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201" s="85">
        <v>0</v>
      </c>
      <c r="CW201" s="85">
        <v>1</v>
      </c>
      <c r="CX201" s="85">
        <v>0</v>
      </c>
      <c r="CY201" s="85">
        <v>0</v>
      </c>
      <c r="CZ201" s="85">
        <v>0</v>
      </c>
      <c r="DA201" s="85">
        <v>0</v>
      </c>
      <c r="DB201" s="85">
        <v>0</v>
      </c>
      <c r="DC201" s="85">
        <v>0</v>
      </c>
      <c r="DD201" s="85">
        <v>0</v>
      </c>
      <c r="DE201" s="13">
        <v>1.0337125580623883</v>
      </c>
    </row>
    <row r="202" spans="1:109" x14ac:dyDescent="0.25">
      <c r="A202" s="4" t="s" vm="379">
        <v>528</v>
      </c>
      <c r="B202" s="2" t="s" vm="192">
        <v>529</v>
      </c>
      <c r="C202" s="72" vm="566">
        <v>45016</v>
      </c>
      <c r="D202" s="7">
        <f>IFERROR( VfM_Metrics_2023_Consol_Source[[#This Row],[Reinvestment Spend]] / VfM_Metrics_2023_Consol_Source[[#This Row],[Net Book Value of Housing Properties]], "n/a" )</f>
        <v>3.3719080445428741E-2</v>
      </c>
      <c r="E202"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12972</v>
      </c>
      <c r="F202" s="83" vm="6157">
        <v>4674</v>
      </c>
      <c r="G202" s="83" vm="6158">
        <v>0</v>
      </c>
      <c r="H202" s="83" vm="6159">
        <v>7590</v>
      </c>
      <c r="I202" s="83" vm="6160">
        <v>708</v>
      </c>
      <c r="J202" s="83" vm="6299">
        <v>0</v>
      </c>
      <c r="K202" s="5">
        <f xml:space="preserve"> SUM( VfM_Metrics_2023_Consol_Source[[#This Row],[Tangible fixed assets: Housing properties at cost (Current period)]],VfM_Metrics_2023_Consol_Source[[#This Row],[Tangible fixed assets Housing properties at valuation (Current period)]] )</f>
        <v>384708</v>
      </c>
      <c r="L202" s="84" vm="6161">
        <v>384708</v>
      </c>
      <c r="M202" s="83">
        <v>0</v>
      </c>
      <c r="N202" s="7">
        <f xml:space="preserve"> IFERROR( VfM_Metrics_2023_Consol_Source[[#This Row],[Total social units developed or newly built units acquired in-year]] / VfM_Metrics_2023_Consol_Source[[#This Row],[Social housing units owned (period end)]], "n/a" )</f>
        <v>8.9890568004168843E-3</v>
      </c>
      <c r="O202" s="5">
        <f xml:space="preserve"> SUM( VfM_Metrics_2023_Consol_Source[[#This Row],[Total social units developed or newly built units acquired in-year (owned)]], VfM_Metrics_2023_Consol_Source[[#This Row],[Total social leasehold units developed or newly built units acquired in-year (owned)]] )</f>
        <v>69</v>
      </c>
      <c r="P202" s="84" vm="7311">
        <v>69</v>
      </c>
      <c r="Q202" s="83">
        <v>0</v>
      </c>
      <c r="R202" s="5">
        <f xml:space="preserve"> SUM( VfM_Metrics_2023_Consol_Source[[#This Row],[Total social housing units owned (Period end)]], VfM_Metrics_2023_Consol_Source[[#This Row],[Total social leasehold units owned (Period end)]] )</f>
        <v>7676</v>
      </c>
      <c r="S202" s="84" vm="6155">
        <v>7276</v>
      </c>
      <c r="T202" s="83" vm="6162">
        <v>400</v>
      </c>
      <c r="U202" s="86">
        <f xml:space="preserve"> IFERROR( VfM_Metrics_2023_Consol_Source[[#This Row],[Total non-social housing units developed or newly built units acquired (owned)]] / VfM_Metrics_2023_Consol_Source[[#This Row],[Total social and non-social housing units owned (Period end)]], "n/a" )</f>
        <v>0</v>
      </c>
      <c r="V202"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02" s="83">
        <v>0</v>
      </c>
      <c r="X202" s="83">
        <v>0</v>
      </c>
      <c r="Y202" s="83" vm="6235">
        <v>0</v>
      </c>
      <c r="Z202"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7676</v>
      </c>
      <c r="AA202" s="84" vm="6155">
        <v>7276</v>
      </c>
      <c r="AB202" s="83" vm="6162">
        <v>400</v>
      </c>
      <c r="AC202" s="83" vm="6163">
        <v>0</v>
      </c>
      <c r="AD202" s="83" vm="6270">
        <v>0</v>
      </c>
      <c r="AE202" s="7">
        <f xml:space="preserve"> IFERROR( VfM_Metrics_2023_Consol_Source[[#This Row],[Total Net Debt]] / VfM_Metrics_2023_Consol_Source[[#This Row],[Net Book Value of Housing Properties2]], "n/a" )</f>
        <v>0.29619087723676141</v>
      </c>
      <c r="AF202"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113947</v>
      </c>
      <c r="AG202" s="84" vm="6164">
        <v>3343</v>
      </c>
      <c r="AH202" s="83" vm="6165">
        <v>117457</v>
      </c>
      <c r="AI202" s="83" vm="6166">
        <v>6853</v>
      </c>
      <c r="AJ202" s="83" vm="1675">
        <v>0</v>
      </c>
      <c r="AK202" s="83">
        <v>0</v>
      </c>
      <c r="AL202" s="5">
        <f xml:space="preserve"> SUM( VfM_Metrics_2023_Consol_Source[[#This Row],[Tangible fixed assets: Housing properties at cost (Current period)2]], VfM_Metrics_2023_Consol_Source[[#This Row],[Tangible fixed assets Housing properties at valuation (Current period)2]] )</f>
        <v>384708</v>
      </c>
      <c r="AM202" s="84" vm="6161">
        <v>384708</v>
      </c>
      <c r="AN202" s="83">
        <v>0</v>
      </c>
      <c r="AO202" s="87">
        <f xml:space="preserve"> IFERROR( VfM_Metrics_2023_Consol_Source[[#This Row],[EBITDA MRI]] / VfM_Metrics_2023_Consol_Source[[#This Row],[Total interest]], "n/a" )</f>
        <v>1.3862416107382551</v>
      </c>
      <c r="AP202"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8262</v>
      </c>
      <c r="AQ202" s="84" vm="6169">
        <v>11643</v>
      </c>
      <c r="AR202" s="84" vm="6170">
        <v>1550</v>
      </c>
      <c r="AS202" s="84">
        <v>0</v>
      </c>
      <c r="AT202" s="84" vm="6171">
        <v>2038</v>
      </c>
      <c r="AU202" s="84" vm="6172">
        <v>0</v>
      </c>
      <c r="AV202" s="84" vm="6173">
        <v>35</v>
      </c>
      <c r="AW202" s="84" vm="6488">
        <v>7590</v>
      </c>
      <c r="AX202" s="84" vm="6175">
        <v>7762</v>
      </c>
      <c r="AY202" s="3">
        <f xml:space="preserve"> - SUM( VfM_Metrics_2023_Consol_Source[[#This Row],[Interest capitalised]], VfM_Metrics_2023_Consol_Source[[#This Row],[Interest payable and financing costs]] )</f>
        <v>5960</v>
      </c>
      <c r="AZ202" s="84" vm="6176">
        <v>-708</v>
      </c>
      <c r="BA202" s="83" vm="6177">
        <v>-5252</v>
      </c>
      <c r="BB202" s="8">
        <f xml:space="preserve"> IFERROR( ( VfM_Metrics_2023_Consol_Source[[#This Row],[Total Costs]] / VfM_Metrics_2023_Consol_Source[[#This Row],[Total units for costs]] ) * 1000, "n/a" )</f>
        <v>4214.7849462365593</v>
      </c>
      <c r="BC202"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31358</v>
      </c>
      <c r="BD202" s="84" vm="6178">
        <v>6836</v>
      </c>
      <c r="BE202" s="83" vm="6179">
        <v>5009</v>
      </c>
      <c r="BF202" s="83" vm="7142">
        <v>7308</v>
      </c>
      <c r="BG202" s="83" vm="6180">
        <v>1229</v>
      </c>
      <c r="BH202" s="83" vm="6181">
        <v>2331</v>
      </c>
      <c r="BI202" s="83" vm="6182">
        <v>0</v>
      </c>
      <c r="BJ202" s="83" vm="6174">
        <v>7590</v>
      </c>
      <c r="BK202" s="83" vm="6183">
        <v>932</v>
      </c>
      <c r="BL202" s="83">
        <v>0</v>
      </c>
      <c r="BM202" s="83">
        <v>0</v>
      </c>
      <c r="BN202" s="83">
        <v>0</v>
      </c>
      <c r="BO202" s="83" vm="6184">
        <v>123</v>
      </c>
      <c r="BP202" s="5" vm="6156">
        <f xml:space="preserve"> VfM_Metrics_2023_Consol_Source[[#This Row],[Total social housing units owned and/or managed at period end]]</f>
        <v>7440</v>
      </c>
      <c r="BQ202" s="84" vm="6156">
        <v>7440</v>
      </c>
      <c r="BR202" s="7">
        <f xml:space="preserve"> IFERROR( VfM_Metrics_2023_Consol_Source[[#This Row],[SHL operating surplus / (deficit)]] / VfM_Metrics_2023_Consol_Source[[#This Row],[Turnover from social housing lettings]], "n/a" )</f>
        <v>0.22340451980210327</v>
      </c>
      <c r="BS202" s="5" vm="6185">
        <f xml:space="preserve"> VfM_Metrics_2023_Consol_Source[[#This Row],[Operating surplus/(deficit) (social housing lettings)]]</f>
        <v>8986</v>
      </c>
      <c r="BT202" s="84" vm="6185">
        <v>8986</v>
      </c>
      <c r="BU202" s="5" vm="6186">
        <f xml:space="preserve"> VfM_Metrics_2023_Consol_Source[[#This Row],[Turnover from social housing lettings]]</f>
        <v>40223</v>
      </c>
      <c r="BV202" s="84" vm="6186">
        <v>40223</v>
      </c>
      <c r="BW202" s="7">
        <f xml:space="preserve"> IFERROR( VfM_Metrics_2023_Consol_Source[[#This Row],[Net operating surplus]] / VfM_Metrics_2023_Consol_Source[[#This Row],[Overall turnover]], "n/a" )</f>
        <v>0.22957419707033028</v>
      </c>
      <c r="BX202"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10093</v>
      </c>
      <c r="BY202" s="84" vm="6169">
        <v>11643</v>
      </c>
      <c r="BZ202" s="83" vm="6170">
        <v>1550</v>
      </c>
      <c r="CA202" s="83">
        <v>0</v>
      </c>
      <c r="CB202" s="5" vm="6187">
        <f xml:space="preserve"> VfM_Metrics_2023_Consol_Source[[#This Row],[Turnover (overall)]]</f>
        <v>43964</v>
      </c>
      <c r="CC202" s="84" vm="6187">
        <v>43964</v>
      </c>
      <c r="CD202" s="7">
        <f xml:space="preserve"> IFERROR( VfM_Metrics_2023_Consol_Source[[#This Row],[Operating surplus including from JVs]] / VfM_Metrics_2023_Consol_Source[[#This Row],[Net assets]], "n/a" )</f>
        <v>3.0200141105185617E-2</v>
      </c>
      <c r="CE202" s="5">
        <f xml:space="preserve"> SUM( VfM_Metrics_2023_Consol_Source[[#This Row],[Operating surplus/(deficit) (overall)3]], VfM_Metrics_2023_Consol_Source[[#This Row],[Share of operating surplus/(deficit) in joint ventures or associates]] )</f>
        <v>11643</v>
      </c>
      <c r="CF202" s="84" vm="6169">
        <v>11643</v>
      </c>
      <c r="CG202" s="83">
        <v>0</v>
      </c>
      <c r="CH202" s="5" vm="6188">
        <f xml:space="preserve"> VfM_Metrics_2023_Consol_Source[[#This Row],[Total assets less current liabilities]]</f>
        <v>385528</v>
      </c>
      <c r="CI202" s="84" vm="6188">
        <v>385528</v>
      </c>
      <c r="CJ202" s="71" vm="6155">
        <f xml:space="preserve"> VfM_Metrics_2023_Consol_Source[[#This Row],[Total social housing units owned (Period end)]]</f>
        <v>7276</v>
      </c>
      <c r="CK202" s="103">
        <v>4.5829892650701899E-2</v>
      </c>
      <c r="CL202" s="6">
        <f xml:space="preserve"> -- ( VfM_Metrics_2023_Consol_Source[[#This Row],[% Supported housing (excl. HOP)]] &gt; 0.3 )</f>
        <v>0</v>
      </c>
      <c r="CM202" s="103">
        <v>9.0283512248830161E-2</v>
      </c>
      <c r="CN202" s="6">
        <f xml:space="preserve"> -- ( VfM_Metrics_2023_Consol_Source[[#This Row],[% Housing for older people]] &gt; 0.3 )</f>
        <v>0</v>
      </c>
      <c r="CO202" s="103">
        <f xml:space="preserve"> VfM_Metrics_2023_Consol_Source[[#This Row],[% Supported housing (excl. HOP)]] + VfM_Metrics_2023_Consol_Source[[#This Row],[% Housing for older people]]</f>
        <v>0.13611340489953205</v>
      </c>
      <c r="CP202" s="6">
        <f xml:space="preserve"> -- ( VfM_Metrics_2023_Consol_Source[[#This Row],[SH specialist in RSH analysis]] + VfM_Metrics_2023_Consol_Source[[#This Row],[OP specialist in RSH analysis]] &gt; 0 )</f>
        <v>0</v>
      </c>
      <c r="CQ202" s="10">
        <f xml:space="preserve"> -- ( VfM_Metrics_2023_Consol_Source[[#This Row],[% SH and OP]] &gt; 0.3 )</f>
        <v>0</v>
      </c>
      <c r="CR202" s="104" t="s">
        <v>143</v>
      </c>
      <c r="CS202" s="124" t="s">
        <v>144</v>
      </c>
      <c r="CT202" s="105"/>
      <c r="CU202"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202" s="85">
        <v>0</v>
      </c>
      <c r="CW202" s="85">
        <v>0</v>
      </c>
      <c r="CX202" s="85">
        <v>1</v>
      </c>
      <c r="CY202" s="85">
        <v>0</v>
      </c>
      <c r="CZ202" s="85">
        <v>0</v>
      </c>
      <c r="DA202" s="85">
        <v>0</v>
      </c>
      <c r="DB202" s="85">
        <v>0</v>
      </c>
      <c r="DC202" s="85">
        <v>0</v>
      </c>
      <c r="DD202" s="85">
        <v>0</v>
      </c>
      <c r="DE202" s="13">
        <v>0.97511902715076015</v>
      </c>
    </row>
    <row r="203" spans="1:109" x14ac:dyDescent="0.25">
      <c r="A203" s="4" t="s" vm="222">
        <v>530</v>
      </c>
      <c r="B203" s="2" t="s" vm="193">
        <v>531</v>
      </c>
      <c r="C203" s="72" vm="580">
        <v>45016</v>
      </c>
      <c r="D203" s="7">
        <f>IFERROR( VfM_Metrics_2023_Consol_Source[[#This Row],[Reinvestment Spend]] / VfM_Metrics_2023_Consol_Source[[#This Row],[Net Book Value of Housing Properties]], "n/a" )</f>
        <v>2.7291899268080882E-2</v>
      </c>
      <c r="E203"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2420</v>
      </c>
      <c r="F203" s="83" vm="1058">
        <v>1290</v>
      </c>
      <c r="G203" s="83" vm="8682">
        <v>0</v>
      </c>
      <c r="H203" s="83" vm="948">
        <v>1085</v>
      </c>
      <c r="I203" s="83" vm="8711">
        <v>45</v>
      </c>
      <c r="J203" s="83" vm="1059">
        <v>0</v>
      </c>
      <c r="K203" s="5">
        <f xml:space="preserve"> SUM( VfM_Metrics_2023_Consol_Source[[#This Row],[Tangible fixed assets: Housing properties at cost (Current period)]],VfM_Metrics_2023_Consol_Source[[#This Row],[Tangible fixed assets Housing properties at valuation (Current period)]] )</f>
        <v>88671</v>
      </c>
      <c r="L203" s="84" vm="8774">
        <v>88671</v>
      </c>
      <c r="M203" s="83" vm="8531">
        <v>0</v>
      </c>
      <c r="N203" s="7">
        <f xml:space="preserve"> IFERROR( VfM_Metrics_2023_Consol_Source[[#This Row],[Total social units developed or newly built units acquired in-year]] / VfM_Metrics_2023_Consol_Source[[#This Row],[Social housing units owned (period end)]], "n/a" )</f>
        <v>1.33422281521014E-3</v>
      </c>
      <c r="O203" s="5">
        <f xml:space="preserve"> SUM( VfM_Metrics_2023_Consol_Source[[#This Row],[Total social units developed or newly built units acquired in-year (owned)]], VfM_Metrics_2023_Consol_Source[[#This Row],[Total social leasehold units developed or newly built units acquired in-year (owned)]] )</f>
        <v>2</v>
      </c>
      <c r="P203" s="84" vm="1061">
        <v>2</v>
      </c>
      <c r="Q203" s="83" vm="8828">
        <v>0</v>
      </c>
      <c r="R203" s="5">
        <f xml:space="preserve"> SUM( VfM_Metrics_2023_Consol_Source[[#This Row],[Total social housing units owned (Period end)]], VfM_Metrics_2023_Consol_Source[[#This Row],[Total social leasehold units owned (Period end)]] )</f>
        <v>1499</v>
      </c>
      <c r="S203" s="84" vm="8528">
        <v>1494</v>
      </c>
      <c r="T203" s="83" vm="1062">
        <v>5</v>
      </c>
      <c r="U203" s="86">
        <f xml:space="preserve"> IFERROR( VfM_Metrics_2023_Consol_Source[[#This Row],[Total non-social housing units developed or newly built units acquired (owned)]] / VfM_Metrics_2023_Consol_Source[[#This Row],[Total social and non-social housing units owned (Period end)]], "n/a" )</f>
        <v>0</v>
      </c>
      <c r="V203"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03" s="83" vm="1063">
        <v>0</v>
      </c>
      <c r="X203" s="83" vm="1064">
        <v>0</v>
      </c>
      <c r="Y203" s="83" vm="1549">
        <v>0</v>
      </c>
      <c r="Z203"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1499</v>
      </c>
      <c r="AA203" s="84" vm="8583">
        <v>1494</v>
      </c>
      <c r="AB203" s="83" vm="8675">
        <v>5</v>
      </c>
      <c r="AC203" s="83" vm="1065">
        <v>0</v>
      </c>
      <c r="AD203" s="83" vm="1066">
        <v>0</v>
      </c>
      <c r="AE203" s="7">
        <f xml:space="preserve"> IFERROR( VfM_Metrics_2023_Consol_Source[[#This Row],[Total Net Debt]] / VfM_Metrics_2023_Consol_Source[[#This Row],[Net Book Value of Housing Properties2]], "n/a" )</f>
        <v>0.33370549559607987</v>
      </c>
      <c r="AF203"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29590</v>
      </c>
      <c r="AG203" s="84" vm="8671">
        <v>738</v>
      </c>
      <c r="AH203" s="83" vm="1068">
        <v>33019</v>
      </c>
      <c r="AI203" s="83" vm="1069">
        <v>4167</v>
      </c>
      <c r="AJ203" s="83" vm="8789">
        <v>0</v>
      </c>
      <c r="AK203" s="83" vm="8436">
        <v>0</v>
      </c>
      <c r="AL203" s="5">
        <f xml:space="preserve"> SUM( VfM_Metrics_2023_Consol_Source[[#This Row],[Tangible fixed assets: Housing properties at cost (Current period)2]], VfM_Metrics_2023_Consol_Source[[#This Row],[Tangible fixed assets Housing properties at valuation (Current period)2]] )</f>
        <v>88671</v>
      </c>
      <c r="AM203" s="84" vm="8579">
        <v>88671</v>
      </c>
      <c r="AN203" s="83" vm="8670">
        <v>0</v>
      </c>
      <c r="AO203" s="87">
        <f xml:space="preserve"> IFERROR( VfM_Metrics_2023_Consol_Source[[#This Row],[EBITDA MRI]] / VfM_Metrics_2023_Consol_Source[[#This Row],[Total interest]], "n/a" )</f>
        <v>0.63546423135464236</v>
      </c>
      <c r="AP203"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1670</v>
      </c>
      <c r="AQ203" s="84" vm="1032">
        <v>1942</v>
      </c>
      <c r="AR203" s="84" vm="1320">
        <v>449</v>
      </c>
      <c r="AS203" s="84" vm="8574">
        <v>0</v>
      </c>
      <c r="AT203" s="84" vm="1071">
        <v>268</v>
      </c>
      <c r="AU203" s="84" vm="8648">
        <v>0</v>
      </c>
      <c r="AV203" s="84" vm="8555">
        <v>25</v>
      </c>
      <c r="AW203" s="84" vm="1072">
        <v>1085</v>
      </c>
      <c r="AX203" s="84" vm="1073">
        <v>1505</v>
      </c>
      <c r="AY203" s="3">
        <f xml:space="preserve"> - SUM( VfM_Metrics_2023_Consol_Source[[#This Row],[Interest capitalised]], VfM_Metrics_2023_Consol_Source[[#This Row],[Interest payable and financing costs]] )</f>
        <v>2628</v>
      </c>
      <c r="AZ203" s="84" vm="1048">
        <v>-45</v>
      </c>
      <c r="BA203" s="83" vm="7136">
        <v>-2583</v>
      </c>
      <c r="BB203" s="8">
        <f xml:space="preserve"> IFERROR( ( VfM_Metrics_2023_Consol_Source[[#This Row],[Total Costs]] / VfM_Metrics_2023_Consol_Source[[#This Row],[Total units for costs]] ) * 1000, "n/a" )</f>
        <v>4728.2463186077648</v>
      </c>
      <c r="BC203"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7064</v>
      </c>
      <c r="BD203" s="84" vm="8758">
        <v>1596</v>
      </c>
      <c r="BE203" s="83" vm="8397">
        <v>361</v>
      </c>
      <c r="BF203" s="83" vm="1074">
        <v>1344</v>
      </c>
      <c r="BG203" s="83" vm="8667">
        <v>799</v>
      </c>
      <c r="BH203" s="83" vm="1075">
        <v>0</v>
      </c>
      <c r="BI203" s="83" vm="8552">
        <v>1266</v>
      </c>
      <c r="BJ203" s="83" vm="8787">
        <v>1085</v>
      </c>
      <c r="BK203" s="83" vm="1076">
        <v>470</v>
      </c>
      <c r="BL203" s="83" vm="1077">
        <v>0</v>
      </c>
      <c r="BM203" s="83" vm="8805">
        <v>0</v>
      </c>
      <c r="BN203" s="83" vm="1298">
        <v>143</v>
      </c>
      <c r="BO203" s="83" vm="8619">
        <v>0</v>
      </c>
      <c r="BP203" s="5" vm="1057">
        <f xml:space="preserve"> VfM_Metrics_2023_Consol_Source[[#This Row],[Total social housing units owned and/or managed at period end]]</f>
        <v>1494</v>
      </c>
      <c r="BQ203" s="84" vm="1057">
        <v>1494</v>
      </c>
      <c r="BR203" s="7">
        <f xml:space="preserve"> IFERROR( VfM_Metrics_2023_Consol_Source[[#This Row],[SHL operating surplus / (deficit)]] / VfM_Metrics_2023_Consol_Source[[#This Row],[Turnover from social housing lettings]], "n/a" )</f>
        <v>0.18181818181818182</v>
      </c>
      <c r="BS203" s="5" vm="1078">
        <f xml:space="preserve"> VfM_Metrics_2023_Consol_Source[[#This Row],[Operating surplus/(deficit) (social housing lettings)]]</f>
        <v>1592</v>
      </c>
      <c r="BT203" s="84" vm="1078">
        <v>1592</v>
      </c>
      <c r="BU203" s="5" vm="1079">
        <f xml:space="preserve"> VfM_Metrics_2023_Consol_Source[[#This Row],[Turnover from social housing lettings]]</f>
        <v>8756</v>
      </c>
      <c r="BV203" s="84" vm="1079">
        <v>8756</v>
      </c>
      <c r="BW203" s="7">
        <f xml:space="preserve"> IFERROR( VfM_Metrics_2023_Consol_Source[[#This Row],[Net operating surplus]] / VfM_Metrics_2023_Consol_Source[[#This Row],[Overall turnover]], "n/a" )</f>
        <v>0.16830120617743208</v>
      </c>
      <c r="BX203"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1493</v>
      </c>
      <c r="BY203" s="84" vm="8571">
        <v>1942</v>
      </c>
      <c r="BZ203" s="83" vm="1131">
        <v>449</v>
      </c>
      <c r="CA203" s="83" vm="1070">
        <v>0</v>
      </c>
      <c r="CB203" s="5" vm="1080">
        <f xml:space="preserve"> VfM_Metrics_2023_Consol_Source[[#This Row],[Turnover (overall)]]</f>
        <v>8871</v>
      </c>
      <c r="CC203" s="84" vm="1080">
        <v>8871</v>
      </c>
      <c r="CD203" s="7">
        <f xml:space="preserve"> IFERROR( VfM_Metrics_2023_Consol_Source[[#This Row],[Operating surplus including from JVs]] / VfM_Metrics_2023_Consol_Source[[#This Row],[Net assets]], "n/a" )</f>
        <v>2.1070905441328051E-2</v>
      </c>
      <c r="CE203" s="5">
        <f xml:space="preserve"> SUM( VfM_Metrics_2023_Consol_Source[[#This Row],[Operating surplus/(deficit) (overall)3]], VfM_Metrics_2023_Consol_Source[[#This Row],[Share of operating surplus/(deficit) in joint ventures or associates]] )</f>
        <v>1942</v>
      </c>
      <c r="CF203" s="84" vm="8524">
        <v>1942</v>
      </c>
      <c r="CG203" s="83" vm="8389">
        <v>0</v>
      </c>
      <c r="CH203" s="5" vm="1081">
        <f xml:space="preserve"> VfM_Metrics_2023_Consol_Source[[#This Row],[Total assets less current liabilities]]</f>
        <v>92165</v>
      </c>
      <c r="CI203" s="84" vm="1081">
        <v>92165</v>
      </c>
      <c r="CJ203" s="71" vm="8528">
        <f xml:space="preserve"> VfM_Metrics_2023_Consol_Source[[#This Row],[Total social housing units owned (Period end)]]</f>
        <v>1494</v>
      </c>
      <c r="CK203" s="103">
        <v>0</v>
      </c>
      <c r="CL203" s="6">
        <f xml:space="preserve"> -- ( VfM_Metrics_2023_Consol_Source[[#This Row],[% Supported housing (excl. HOP)]] &gt; 0.3 )</f>
        <v>0</v>
      </c>
      <c r="CM203" s="103">
        <v>4.992076069730586E-2</v>
      </c>
      <c r="CN203" s="6">
        <f xml:space="preserve"> -- ( VfM_Metrics_2023_Consol_Source[[#This Row],[% Housing for older people]] &gt; 0.3 )</f>
        <v>0</v>
      </c>
      <c r="CO203" s="103">
        <f xml:space="preserve"> VfM_Metrics_2023_Consol_Source[[#This Row],[% Supported housing (excl. HOP)]] + VfM_Metrics_2023_Consol_Source[[#This Row],[% Housing for older people]]</f>
        <v>4.992076069730586E-2</v>
      </c>
      <c r="CP203" s="6">
        <f xml:space="preserve"> -- ( VfM_Metrics_2023_Consol_Source[[#This Row],[SH specialist in RSH analysis]] + VfM_Metrics_2023_Consol_Source[[#This Row],[OP specialist in RSH analysis]] &gt; 0 )</f>
        <v>0</v>
      </c>
      <c r="CQ203" s="10">
        <f xml:space="preserve"> -- ( VfM_Metrics_2023_Consol_Source[[#This Row],[% SH and OP]] &gt; 0.3 )</f>
        <v>0</v>
      </c>
      <c r="CR203" s="104" t="s">
        <v>143</v>
      </c>
      <c r="CS203" s="124" t="s">
        <v>144</v>
      </c>
      <c r="CT203" s="105"/>
      <c r="CU203"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West</v>
      </c>
      <c r="CV203" s="85">
        <v>0</v>
      </c>
      <c r="CW203" s="85">
        <v>0</v>
      </c>
      <c r="CX203" s="85">
        <v>1</v>
      </c>
      <c r="CY203" s="85">
        <v>0</v>
      </c>
      <c r="CZ203" s="85">
        <v>0</v>
      </c>
      <c r="DA203" s="85">
        <v>0</v>
      </c>
      <c r="DB203" s="85">
        <v>0</v>
      </c>
      <c r="DC203" s="85">
        <v>0</v>
      </c>
      <c r="DD203" s="85">
        <v>0</v>
      </c>
      <c r="DE203" s="13">
        <v>0.97511902715076015</v>
      </c>
    </row>
    <row r="204" spans="1:109" x14ac:dyDescent="0.25">
      <c r="A204" s="4" t="s" vm="332">
        <v>532</v>
      </c>
      <c r="B204" s="2" t="s" vm="194">
        <v>533</v>
      </c>
      <c r="C204" s="72" vm="471">
        <v>45016</v>
      </c>
      <c r="D204" s="7">
        <f>IFERROR( VfM_Metrics_2023_Consol_Source[[#This Row],[Reinvestment Spend]] / VfM_Metrics_2023_Consol_Source[[#This Row],[Net Book Value of Housing Properties]], "n/a" )</f>
        <v>8.4057435397776673E-2</v>
      </c>
      <c r="E204"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20015</v>
      </c>
      <c r="F204" s="83" vm="4452">
        <v>17166</v>
      </c>
      <c r="G204" s="83" vm="4453">
        <v>0</v>
      </c>
      <c r="H204" s="83" vm="4454">
        <v>2651</v>
      </c>
      <c r="I204" s="83" vm="4455">
        <v>198</v>
      </c>
      <c r="J204" s="83" vm="5682">
        <v>0</v>
      </c>
      <c r="K204" s="5">
        <f xml:space="preserve"> SUM( VfM_Metrics_2023_Consol_Source[[#This Row],[Tangible fixed assets: Housing properties at cost (Current period)]],VfM_Metrics_2023_Consol_Source[[#This Row],[Tangible fixed assets Housing properties at valuation (Current period)]] )</f>
        <v>238111</v>
      </c>
      <c r="L204" s="84" vm="7348">
        <v>238111</v>
      </c>
      <c r="M204" s="83">
        <v>0</v>
      </c>
      <c r="N204" s="7">
        <f xml:space="preserve"> IFERROR( VfM_Metrics_2023_Consol_Source[[#This Row],[Total social units developed or newly built units acquired in-year]] / VfM_Metrics_2023_Consol_Source[[#This Row],[Social housing units owned (period end)]], "n/a" )</f>
        <v>1.1398176291793313E-2</v>
      </c>
      <c r="O204" s="5">
        <f xml:space="preserve"> SUM( VfM_Metrics_2023_Consol_Source[[#This Row],[Total social units developed or newly built units acquired in-year (owned)]], VfM_Metrics_2023_Consol_Source[[#This Row],[Total social leasehold units developed or newly built units acquired in-year (owned)]] )</f>
        <v>45</v>
      </c>
      <c r="P204" s="84" vm="4456">
        <v>45</v>
      </c>
      <c r="Q204" s="83">
        <v>0</v>
      </c>
      <c r="R204" s="5">
        <f xml:space="preserve"> SUM( VfM_Metrics_2023_Consol_Source[[#This Row],[Total social housing units owned (Period end)]], VfM_Metrics_2023_Consol_Source[[#This Row],[Total social leasehold units owned (Period end)]] )</f>
        <v>3948</v>
      </c>
      <c r="S204" s="84" vm="4450">
        <v>3690</v>
      </c>
      <c r="T204" s="83" vm="4457">
        <v>258</v>
      </c>
      <c r="U204" s="86">
        <f xml:space="preserve"> IFERROR( VfM_Metrics_2023_Consol_Source[[#This Row],[Total non-social housing units developed or newly built units acquired (owned)]] / VfM_Metrics_2023_Consol_Source[[#This Row],[Total social and non-social housing units owned (Period end)]], "n/a" )</f>
        <v>0</v>
      </c>
      <c r="V204"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04" s="83">
        <v>0</v>
      </c>
      <c r="X204" s="83">
        <v>0</v>
      </c>
      <c r="Y204" s="83">
        <v>0</v>
      </c>
      <c r="Z204"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3948</v>
      </c>
      <c r="AA204" s="84" vm="4450">
        <v>3690</v>
      </c>
      <c r="AB204" s="83" vm="4457">
        <v>258</v>
      </c>
      <c r="AC204" s="83" vm="4458">
        <v>0</v>
      </c>
      <c r="AD204" s="83" vm="4459">
        <v>0</v>
      </c>
      <c r="AE204" s="7">
        <f xml:space="preserve"> IFERROR( VfM_Metrics_2023_Consol_Source[[#This Row],[Total Net Debt]] / VfM_Metrics_2023_Consol_Source[[#This Row],[Net Book Value of Housing Properties2]], "n/a" )</f>
        <v>0.58321959086308484</v>
      </c>
      <c r="AF204"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138871</v>
      </c>
      <c r="AG204" s="84" vm="4460">
        <v>16052</v>
      </c>
      <c r="AH204" s="83" vm="6975">
        <v>124462</v>
      </c>
      <c r="AI204" s="83" vm="4461">
        <v>1643</v>
      </c>
      <c r="AJ204" s="83" vm="1675">
        <v>0</v>
      </c>
      <c r="AK204" s="83">
        <v>0</v>
      </c>
      <c r="AL204" s="5">
        <f xml:space="preserve"> SUM( VfM_Metrics_2023_Consol_Source[[#This Row],[Tangible fixed assets: Housing properties at cost (Current period)2]], VfM_Metrics_2023_Consol_Source[[#This Row],[Tangible fixed assets Housing properties at valuation (Current period)2]] )</f>
        <v>238111</v>
      </c>
      <c r="AM204" s="84" vm="7476">
        <v>238111</v>
      </c>
      <c r="AN204" s="83">
        <v>0</v>
      </c>
      <c r="AO204" s="87">
        <f xml:space="preserve"> IFERROR( VfM_Metrics_2023_Consol_Source[[#This Row],[EBITDA MRI]] / VfM_Metrics_2023_Consol_Source[[#This Row],[Total interest]], "n/a" )</f>
        <v>1.4847876447876447</v>
      </c>
      <c r="AP204"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9614</v>
      </c>
      <c r="AQ204" s="84" vm="7161">
        <v>8837</v>
      </c>
      <c r="AR204" s="84" vm="7520">
        <v>718</v>
      </c>
      <c r="AS204" s="84">
        <v>0</v>
      </c>
      <c r="AT204" s="84" vm="7572">
        <v>462</v>
      </c>
      <c r="AU204" s="84" vm="4463">
        <v>0</v>
      </c>
      <c r="AV204" s="84" vm="7427">
        <v>142</v>
      </c>
      <c r="AW204" s="84" vm="4464">
        <v>2651</v>
      </c>
      <c r="AX204" s="84" vm="4465">
        <v>4466</v>
      </c>
      <c r="AY204" s="3">
        <f xml:space="preserve"> - SUM( VfM_Metrics_2023_Consol_Source[[#This Row],[Interest capitalised]], VfM_Metrics_2023_Consol_Source[[#This Row],[Interest payable and financing costs]] )</f>
        <v>6475</v>
      </c>
      <c r="AZ204" s="84" vm="7160">
        <v>-219</v>
      </c>
      <c r="BA204" s="83" vm="4466">
        <v>-6256</v>
      </c>
      <c r="BB204" s="8">
        <f xml:space="preserve"> IFERROR( ( VfM_Metrics_2023_Consol_Source[[#This Row],[Total Costs]] / VfM_Metrics_2023_Consol_Source[[#This Row],[Total units for costs]] ) * 1000, "n/a" )</f>
        <v>4146.9181721572795</v>
      </c>
      <c r="BC204"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15609</v>
      </c>
      <c r="BD204" s="84" vm="4467">
        <v>5000</v>
      </c>
      <c r="BE204" s="83" vm="4468">
        <v>1333</v>
      </c>
      <c r="BF204" s="83" vm="4469">
        <v>2692</v>
      </c>
      <c r="BG204" s="83" vm="7159">
        <v>1729</v>
      </c>
      <c r="BH204" s="83" vm="6973">
        <v>1235</v>
      </c>
      <c r="BI204" s="83" vm="4470">
        <v>0</v>
      </c>
      <c r="BJ204" s="83" vm="4464">
        <v>2651</v>
      </c>
      <c r="BK204" s="83" vm="4471">
        <v>552</v>
      </c>
      <c r="BL204" s="83" vm="4472">
        <v>339</v>
      </c>
      <c r="BM204" s="83">
        <v>0</v>
      </c>
      <c r="BN204" s="83" vm="4473">
        <v>78</v>
      </c>
      <c r="BO204" s="83">
        <v>0</v>
      </c>
      <c r="BP204" s="5" vm="4451">
        <f xml:space="preserve"> VfM_Metrics_2023_Consol_Source[[#This Row],[Total social housing units owned and/or managed at period end]]</f>
        <v>3764</v>
      </c>
      <c r="BQ204" s="84" vm="4451">
        <v>3764</v>
      </c>
      <c r="BR204" s="7">
        <f xml:space="preserve"> IFERROR( VfM_Metrics_2023_Consol_Source[[#This Row],[SHL operating surplus / (deficit)]] / VfM_Metrics_2023_Consol_Source[[#This Row],[Turnover from social housing lettings]], "n/a" )</f>
        <v>0.30778198775867094</v>
      </c>
      <c r="BS204" s="5" vm="7538">
        <f xml:space="preserve"> VfM_Metrics_2023_Consol_Source[[#This Row],[Operating surplus/(deficit) (social housing lettings)]]</f>
        <v>7392</v>
      </c>
      <c r="BT204" s="84" vm="7538">
        <v>7392</v>
      </c>
      <c r="BU204" s="5" vm="4474">
        <f xml:space="preserve"> VfM_Metrics_2023_Consol_Source[[#This Row],[Turnover from social housing lettings]]</f>
        <v>24017</v>
      </c>
      <c r="BV204" s="84" vm="4474">
        <v>24017</v>
      </c>
      <c r="BW204" s="7">
        <f xml:space="preserve"> IFERROR( VfM_Metrics_2023_Consol_Source[[#This Row],[Net operating surplus]] / VfM_Metrics_2023_Consol_Source[[#This Row],[Overall turnover]], "n/a" )</f>
        <v>0.3042419246046616</v>
      </c>
      <c r="BX204"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8119</v>
      </c>
      <c r="BY204" s="84" vm="4322">
        <v>8837</v>
      </c>
      <c r="BZ204" s="83" vm="4462">
        <v>718</v>
      </c>
      <c r="CA204" s="83">
        <v>0</v>
      </c>
      <c r="CB204" s="5" vm="4475">
        <f xml:space="preserve"> VfM_Metrics_2023_Consol_Source[[#This Row],[Turnover (overall)]]</f>
        <v>26686</v>
      </c>
      <c r="CC204" s="84" vm="4475">
        <v>26686</v>
      </c>
      <c r="CD204" s="7">
        <f xml:space="preserve"> IFERROR( VfM_Metrics_2023_Consol_Source[[#This Row],[Operating surplus including from JVs]] / VfM_Metrics_2023_Consol_Source[[#This Row],[Net assets]], "n/a" )</f>
        <v>3.9065988232017575E-2</v>
      </c>
      <c r="CE204" s="5">
        <f xml:space="preserve"> SUM( VfM_Metrics_2023_Consol_Source[[#This Row],[Operating surplus/(deficit) (overall)3]], VfM_Metrics_2023_Consol_Source[[#This Row],[Share of operating surplus/(deficit) in joint ventures or associates]] )</f>
        <v>8837</v>
      </c>
      <c r="CF204" s="84" vm="7395">
        <v>8837</v>
      </c>
      <c r="CG204" s="83">
        <v>0</v>
      </c>
      <c r="CH204" s="5" vm="6978">
        <f xml:space="preserve"> VfM_Metrics_2023_Consol_Source[[#This Row],[Total assets less current liabilities]]</f>
        <v>226207</v>
      </c>
      <c r="CI204" s="84" vm="6978">
        <v>226207</v>
      </c>
      <c r="CJ204" s="71" vm="4450">
        <f xml:space="preserve"> VfM_Metrics_2023_Consol_Source[[#This Row],[Total social housing units owned (Period end)]]</f>
        <v>3690</v>
      </c>
      <c r="CK204" s="103">
        <v>2.989942919271541E-3</v>
      </c>
      <c r="CL204" s="6">
        <f xml:space="preserve"> -- ( VfM_Metrics_2023_Consol_Source[[#This Row],[% Supported housing (excl. HOP)]] &gt; 0.3 )</f>
        <v>0</v>
      </c>
      <c r="CM204" s="103">
        <v>5.8439793422125574E-2</v>
      </c>
      <c r="CN204" s="6">
        <f xml:space="preserve"> -- ( VfM_Metrics_2023_Consol_Source[[#This Row],[% Housing for older people]] &gt; 0.3 )</f>
        <v>0</v>
      </c>
      <c r="CO204" s="103">
        <f xml:space="preserve"> VfM_Metrics_2023_Consol_Source[[#This Row],[% Supported housing (excl. HOP)]] + VfM_Metrics_2023_Consol_Source[[#This Row],[% Housing for older people]]</f>
        <v>6.1429736341397118E-2</v>
      </c>
      <c r="CP204" s="6">
        <f xml:space="preserve"> -- ( VfM_Metrics_2023_Consol_Source[[#This Row],[SH specialist in RSH analysis]] + VfM_Metrics_2023_Consol_Source[[#This Row],[OP specialist in RSH analysis]] &gt; 0 )</f>
        <v>0</v>
      </c>
      <c r="CQ204" s="10">
        <f xml:space="preserve"> -- ( VfM_Metrics_2023_Consol_Source[[#This Row],[% SH and OP]] &gt; 0.3 )</f>
        <v>0</v>
      </c>
      <c r="CR204" s="104" t="s">
        <v>143</v>
      </c>
      <c r="CS204" s="124"/>
      <c r="CT204" s="105" t="s">
        <v>151</v>
      </c>
      <c r="CU204"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South East</v>
      </c>
      <c r="CV204" s="85">
        <v>0</v>
      </c>
      <c r="CW204" s="85">
        <v>1</v>
      </c>
      <c r="CX204" s="85">
        <v>0</v>
      </c>
      <c r="CY204" s="85">
        <v>0</v>
      </c>
      <c r="CZ204" s="85">
        <v>0</v>
      </c>
      <c r="DA204" s="85">
        <v>0</v>
      </c>
      <c r="DB204" s="85">
        <v>0</v>
      </c>
      <c r="DC204" s="85">
        <v>0</v>
      </c>
      <c r="DD204" s="85">
        <v>0</v>
      </c>
      <c r="DE204" s="13">
        <v>1.0337125580623883</v>
      </c>
    </row>
    <row r="205" spans="1:109" x14ac:dyDescent="0.25">
      <c r="A205" s="4" t="s" vm="280">
        <v>534</v>
      </c>
      <c r="B205" s="2" t="s" vm="195">
        <v>535</v>
      </c>
      <c r="C205" s="72" vm="585">
        <v>45016</v>
      </c>
      <c r="D205" s="7">
        <f>IFERROR( VfM_Metrics_2023_Consol_Source[[#This Row],[Reinvestment Spend]] / VfM_Metrics_2023_Consol_Source[[#This Row],[Net Book Value of Housing Properties]], "n/a" )</f>
        <v>7.5133493240656851E-2</v>
      </c>
      <c r="E205"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27283</v>
      </c>
      <c r="F205" s="83" vm="2664">
        <v>9716</v>
      </c>
      <c r="G205" s="83" vm="2665">
        <v>1920</v>
      </c>
      <c r="H205" s="83" vm="2666">
        <v>15454</v>
      </c>
      <c r="I205" s="83" vm="7493">
        <v>193</v>
      </c>
      <c r="J205" s="83" vm="2667">
        <v>0</v>
      </c>
      <c r="K205" s="5">
        <f xml:space="preserve"> SUM( VfM_Metrics_2023_Consol_Source[[#This Row],[Tangible fixed assets: Housing properties at cost (Current period)]],VfM_Metrics_2023_Consol_Source[[#This Row],[Tangible fixed assets Housing properties at valuation (Current period)]] )</f>
        <v>363127</v>
      </c>
      <c r="L205" s="84" vm="7615">
        <v>363127</v>
      </c>
      <c r="M205" s="83">
        <v>0</v>
      </c>
      <c r="N205" s="7">
        <f xml:space="preserve"> IFERROR( VfM_Metrics_2023_Consol_Source[[#This Row],[Total social units developed or newly built units acquired in-year]] / VfM_Metrics_2023_Consol_Source[[#This Row],[Social housing units owned (period end)]], "n/a" )</f>
        <v>3.5313228335334414E-3</v>
      </c>
      <c r="O205" s="5">
        <f xml:space="preserve"> SUM( VfM_Metrics_2023_Consol_Source[[#This Row],[Total social units developed or newly built units acquired in-year (owned)]], VfM_Metrics_2023_Consol_Source[[#This Row],[Total social leasehold units developed or newly built units acquired in-year (owned)]] )</f>
        <v>50</v>
      </c>
      <c r="P205" s="84" vm="2669">
        <v>36</v>
      </c>
      <c r="Q205" s="83" vm="2670">
        <v>14</v>
      </c>
      <c r="R205" s="5">
        <f xml:space="preserve"> SUM( VfM_Metrics_2023_Consol_Source[[#This Row],[Total social housing units owned (Period end)]], VfM_Metrics_2023_Consol_Source[[#This Row],[Total social leasehold units owned (Period end)]] )</f>
        <v>14159</v>
      </c>
      <c r="S205" s="84" vm="2662">
        <v>13627</v>
      </c>
      <c r="T205" s="83" vm="2671">
        <v>532</v>
      </c>
      <c r="U205" s="86">
        <f xml:space="preserve"> IFERROR( VfM_Metrics_2023_Consol_Source[[#This Row],[Total non-social housing units developed or newly built units acquired (owned)]] / VfM_Metrics_2023_Consol_Source[[#This Row],[Total social and non-social housing units owned (Period end)]], "n/a" )</f>
        <v>6.2994330510254078E-4</v>
      </c>
      <c r="V205"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9</v>
      </c>
      <c r="W205" s="83" vm="7943">
        <v>8</v>
      </c>
      <c r="X205" s="83" vm="2672">
        <v>1</v>
      </c>
      <c r="Y205" s="83" vm="2673">
        <v>0</v>
      </c>
      <c r="Z205"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14287</v>
      </c>
      <c r="AA205" s="84" vm="2662">
        <v>13627</v>
      </c>
      <c r="AB205" s="83" vm="7864">
        <v>532</v>
      </c>
      <c r="AC205" s="83" vm="7856">
        <v>67</v>
      </c>
      <c r="AD205" s="83" vm="2674">
        <v>61</v>
      </c>
      <c r="AE205" s="7">
        <f xml:space="preserve"> IFERROR( VfM_Metrics_2023_Consol_Source[[#This Row],[Total Net Debt]] / VfM_Metrics_2023_Consol_Source[[#This Row],[Net Book Value of Housing Properties2]], "n/a" )</f>
        <v>0.20658887937278142</v>
      </c>
      <c r="AF205"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75018</v>
      </c>
      <c r="AG205" s="84">
        <v>0</v>
      </c>
      <c r="AH205" s="83" vm="7490">
        <v>110095</v>
      </c>
      <c r="AI205" s="83" vm="7699">
        <v>35077</v>
      </c>
      <c r="AJ205" s="83" vm="1675">
        <v>0</v>
      </c>
      <c r="AK205" s="83">
        <v>0</v>
      </c>
      <c r="AL205" s="5">
        <f xml:space="preserve"> SUM( VfM_Metrics_2023_Consol_Source[[#This Row],[Tangible fixed assets: Housing properties at cost (Current period)2]], VfM_Metrics_2023_Consol_Source[[#This Row],[Tangible fixed assets Housing properties at valuation (Current period)2]] )</f>
        <v>363127</v>
      </c>
      <c r="AM205" s="84" vm="2668">
        <v>363127</v>
      </c>
      <c r="AN205" s="83">
        <v>0</v>
      </c>
      <c r="AO205" s="87">
        <f xml:space="preserve"> IFERROR( VfM_Metrics_2023_Consol_Source[[#This Row],[EBITDA MRI]] / VfM_Metrics_2023_Consol_Source[[#This Row],[Total interest]], "n/a" )</f>
        <v>1.2141445200966396</v>
      </c>
      <c r="AP205"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5528</v>
      </c>
      <c r="AQ205" s="84" vm="2675">
        <v>15862</v>
      </c>
      <c r="AR205" s="84" vm="2676">
        <v>5319</v>
      </c>
      <c r="AS205" s="84">
        <v>0</v>
      </c>
      <c r="AT205" s="84" vm="2677">
        <v>229</v>
      </c>
      <c r="AU205" s="84" vm="2678">
        <v>0</v>
      </c>
      <c r="AV205" s="84" vm="2679">
        <v>614</v>
      </c>
      <c r="AW205" s="84" vm="7614">
        <v>15454</v>
      </c>
      <c r="AX205" s="84" vm="3466">
        <v>10054</v>
      </c>
      <c r="AY205" s="3">
        <f xml:space="preserve"> - SUM( VfM_Metrics_2023_Consol_Source[[#This Row],[Interest capitalised]], VfM_Metrics_2023_Consol_Source[[#This Row],[Interest payable and financing costs]] )</f>
        <v>4553</v>
      </c>
      <c r="AZ205" s="84" vm="2681">
        <v>-193</v>
      </c>
      <c r="BA205" s="83" vm="2682">
        <v>-4360</v>
      </c>
      <c r="BB205" s="8">
        <f xml:space="preserve"> IFERROR( ( VfM_Metrics_2023_Consol_Source[[#This Row],[Total Costs]] / VfM_Metrics_2023_Consol_Source[[#This Row],[Total units for costs]] ) * 1000, "n/a" )</f>
        <v>4589.491450796213</v>
      </c>
      <c r="BC205"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62541</v>
      </c>
      <c r="BD205" s="84" vm="2131">
        <v>17859</v>
      </c>
      <c r="BE205" s="83" vm="7613">
        <v>5951</v>
      </c>
      <c r="BF205" s="83" vm="2683">
        <v>11255</v>
      </c>
      <c r="BG205" s="83" vm="2684">
        <v>4159</v>
      </c>
      <c r="BH205" s="83" vm="2685">
        <v>6515</v>
      </c>
      <c r="BI205" s="83" vm="2686">
        <v>0</v>
      </c>
      <c r="BJ205" s="83" vm="2680">
        <v>15454</v>
      </c>
      <c r="BK205" s="83" vm="2687">
        <v>1236</v>
      </c>
      <c r="BL205" s="83">
        <v>0</v>
      </c>
      <c r="BM205" s="83">
        <v>0</v>
      </c>
      <c r="BN205" s="83" vm="3414">
        <v>112</v>
      </c>
      <c r="BO205" s="83">
        <v>0</v>
      </c>
      <c r="BP205" s="5" vm="2663">
        <f xml:space="preserve"> VfM_Metrics_2023_Consol_Source[[#This Row],[Total social housing units owned and/or managed at period end]]</f>
        <v>13627</v>
      </c>
      <c r="BQ205" s="84" vm="2663">
        <v>13627</v>
      </c>
      <c r="BR205" s="7">
        <f xml:space="preserve"> IFERROR( VfM_Metrics_2023_Consol_Source[[#This Row],[SHL operating surplus / (deficit)]] / VfM_Metrics_2023_Consol_Source[[#This Row],[Turnover from social housing lettings]], "n/a" )</f>
        <v>0.14541680975915666</v>
      </c>
      <c r="BS205" s="5" vm="2688">
        <f xml:space="preserve"> VfM_Metrics_2023_Consol_Source[[#This Row],[Operating surplus/(deficit) (social housing lettings)]]</f>
        <v>9739</v>
      </c>
      <c r="BT205" s="84" vm="2688">
        <v>9739</v>
      </c>
      <c r="BU205" s="5" vm="7938">
        <f xml:space="preserve"> VfM_Metrics_2023_Consol_Source[[#This Row],[Turnover from social housing lettings]]</f>
        <v>66973</v>
      </c>
      <c r="BV205" s="84" vm="7938">
        <v>66973</v>
      </c>
      <c r="BW205" s="7">
        <f xml:space="preserve"> IFERROR( VfM_Metrics_2023_Consol_Source[[#This Row],[Net operating surplus]] / VfM_Metrics_2023_Consol_Source[[#This Row],[Overall turnover]], "n/a" )</f>
        <v>0.15058847054790608</v>
      </c>
      <c r="BX205"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10543</v>
      </c>
      <c r="BY205" s="84" vm="7832">
        <v>15862</v>
      </c>
      <c r="BZ205" s="83" vm="2676">
        <v>5319</v>
      </c>
      <c r="CA205" s="83">
        <v>0</v>
      </c>
      <c r="CB205" s="5" vm="7784">
        <f xml:space="preserve"> VfM_Metrics_2023_Consol_Source[[#This Row],[Turnover (overall)]]</f>
        <v>70012</v>
      </c>
      <c r="CC205" s="84" vm="7784">
        <v>70012</v>
      </c>
      <c r="CD205" s="7">
        <f xml:space="preserve"> IFERROR( VfM_Metrics_2023_Consol_Source[[#This Row],[Operating surplus including from JVs]] / VfM_Metrics_2023_Consol_Source[[#This Row],[Net assets]], "n/a" )</f>
        <v>3.8083119252839068E-2</v>
      </c>
      <c r="CE205" s="5">
        <f xml:space="preserve"> SUM( VfM_Metrics_2023_Consol_Source[[#This Row],[Operating surplus/(deficit) (overall)3]], VfM_Metrics_2023_Consol_Source[[#This Row],[Share of operating surplus/(deficit) in joint ventures or associates]] )</f>
        <v>15862</v>
      </c>
      <c r="CF205" s="84" vm="2675">
        <v>15862</v>
      </c>
      <c r="CG205" s="83">
        <v>0</v>
      </c>
      <c r="CH205" s="5" vm="2690">
        <f xml:space="preserve"> VfM_Metrics_2023_Consol_Source[[#This Row],[Total assets less current liabilities]]</f>
        <v>416510</v>
      </c>
      <c r="CI205" s="84" vm="2690">
        <v>416510</v>
      </c>
      <c r="CJ205" s="71" vm="2662">
        <f xml:space="preserve"> VfM_Metrics_2023_Consol_Source[[#This Row],[Total social housing units owned (Period end)]]</f>
        <v>13627</v>
      </c>
      <c r="CK205" s="103">
        <v>1.1732785803329178E-3</v>
      </c>
      <c r="CL205" s="6">
        <f xml:space="preserve"> -- ( VfM_Metrics_2023_Consol_Source[[#This Row],[% Supported housing (excl. HOP)]] &gt; 0.3 )</f>
        <v>0</v>
      </c>
      <c r="CM205" s="103">
        <v>5.0597638776857081E-3</v>
      </c>
      <c r="CN205" s="6">
        <f xml:space="preserve"> -- ( VfM_Metrics_2023_Consol_Source[[#This Row],[% Housing for older people]] &gt; 0.3 )</f>
        <v>0</v>
      </c>
      <c r="CO205" s="103">
        <f xml:space="preserve"> VfM_Metrics_2023_Consol_Source[[#This Row],[% Supported housing (excl. HOP)]] + VfM_Metrics_2023_Consol_Source[[#This Row],[% Housing for older people]]</f>
        <v>6.2330424580186259E-3</v>
      </c>
      <c r="CP205" s="6">
        <f xml:space="preserve"> -- ( VfM_Metrics_2023_Consol_Source[[#This Row],[SH specialist in RSH analysis]] + VfM_Metrics_2023_Consol_Source[[#This Row],[OP specialist in RSH analysis]] &gt; 0 )</f>
        <v>0</v>
      </c>
      <c r="CQ205" s="10">
        <f xml:space="preserve"> -- ( VfM_Metrics_2023_Consol_Source[[#This Row],[% SH and OP]] &gt; 0.3 )</f>
        <v>0</v>
      </c>
      <c r="CR205" s="104" t="s">
        <v>143</v>
      </c>
      <c r="CS205" s="124"/>
      <c r="CT205" s="105" t="s">
        <v>151</v>
      </c>
      <c r="CU205"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205" s="85">
        <v>0</v>
      </c>
      <c r="CW205" s="85">
        <v>0</v>
      </c>
      <c r="CX205" s="85">
        <v>0</v>
      </c>
      <c r="CY205" s="85">
        <v>0</v>
      </c>
      <c r="CZ205" s="85">
        <v>0</v>
      </c>
      <c r="DA205" s="85">
        <v>0</v>
      </c>
      <c r="DB205" s="85">
        <v>0</v>
      </c>
      <c r="DC205" s="85">
        <v>1</v>
      </c>
      <c r="DD205" s="85">
        <v>0</v>
      </c>
      <c r="DE205" s="13">
        <v>0.96105917141044694</v>
      </c>
    </row>
    <row r="206" spans="1:109" x14ac:dyDescent="0.25">
      <c r="A206" s="4" t="s" vm="205">
        <v>536</v>
      </c>
      <c r="B206" s="2" t="s" vm="196">
        <v>537</v>
      </c>
      <c r="C206" s="72" vm="519">
        <v>45016</v>
      </c>
      <c r="D206" s="7">
        <f>IFERROR( VfM_Metrics_2023_Consol_Source[[#This Row],[Reinvestment Spend]] / VfM_Metrics_2023_Consol_Source[[#This Row],[Net Book Value of Housing Properties]], "n/a" )</f>
        <v>0.19065492276382076</v>
      </c>
      <c r="E206"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11429</v>
      </c>
      <c r="F206" s="83" vm="9205">
        <v>10769</v>
      </c>
      <c r="G206" s="83" vm="724">
        <v>0</v>
      </c>
      <c r="H206" s="83" vm="9098">
        <v>442</v>
      </c>
      <c r="I206" s="83" vm="725">
        <v>218</v>
      </c>
      <c r="J206" s="83" vm="659">
        <v>0</v>
      </c>
      <c r="K206" s="5">
        <f xml:space="preserve"> SUM( VfM_Metrics_2023_Consol_Source[[#This Row],[Tangible fixed assets: Housing properties at cost (Current period)]],VfM_Metrics_2023_Consol_Source[[#This Row],[Tangible fixed assets Housing properties at valuation (Current period)]] )</f>
        <v>59946</v>
      </c>
      <c r="L206" s="84" vm="9001">
        <v>59946</v>
      </c>
      <c r="M206" s="83">
        <v>0</v>
      </c>
      <c r="N206" s="7">
        <f xml:space="preserve"> IFERROR( VfM_Metrics_2023_Consol_Source[[#This Row],[Total social units developed or newly built units acquired in-year]] / VfM_Metrics_2023_Consol_Source[[#This Row],[Social housing units owned (period end)]], "n/a" )</f>
        <v>6.7170445004198151E-3</v>
      </c>
      <c r="O206" s="5">
        <f xml:space="preserve"> SUM( VfM_Metrics_2023_Consol_Source[[#This Row],[Total social units developed or newly built units acquired in-year (owned)]], VfM_Metrics_2023_Consol_Source[[#This Row],[Total social leasehold units developed or newly built units acquired in-year (owned)]] )</f>
        <v>8</v>
      </c>
      <c r="P206" s="84" vm="727">
        <v>8</v>
      </c>
      <c r="Q206" s="83">
        <v>0</v>
      </c>
      <c r="R206" s="5">
        <f xml:space="preserve"> SUM( VfM_Metrics_2023_Consol_Source[[#This Row],[Total social housing units owned (Period end)]], VfM_Metrics_2023_Consol_Source[[#This Row],[Total social leasehold units owned (Period end)]] )</f>
        <v>1191</v>
      </c>
      <c r="S206" s="84" vm="722">
        <v>1191</v>
      </c>
      <c r="T206" s="83" vm="8963">
        <v>0</v>
      </c>
      <c r="U206" s="86">
        <f xml:space="preserve"> IFERROR( VfM_Metrics_2023_Consol_Source[[#This Row],[Total non-social housing units developed or newly built units acquired (owned)]] / VfM_Metrics_2023_Consol_Source[[#This Row],[Total social and non-social housing units owned (Period end)]], "n/a" )</f>
        <v>0</v>
      </c>
      <c r="V206"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0</v>
      </c>
      <c r="W206" s="83">
        <v>0</v>
      </c>
      <c r="X206" s="83">
        <v>0</v>
      </c>
      <c r="Y206" s="83" vm="8962">
        <v>0</v>
      </c>
      <c r="Z206"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1191</v>
      </c>
      <c r="AA206" s="84" vm="722">
        <v>1191</v>
      </c>
      <c r="AB206" s="83" vm="728">
        <v>0</v>
      </c>
      <c r="AC206" s="83" vm="684">
        <v>0</v>
      </c>
      <c r="AD206" s="83" vm="8993">
        <v>0</v>
      </c>
      <c r="AE206" s="7">
        <f xml:space="preserve"> IFERROR( VfM_Metrics_2023_Consol_Source[[#This Row],[Total Net Debt]] / VfM_Metrics_2023_Consol_Source[[#This Row],[Net Book Value of Housing Properties2]], "n/a" )</f>
        <v>0.31022920628565709</v>
      </c>
      <c r="AF206"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18597</v>
      </c>
      <c r="AG206" s="84" vm="9113">
        <v>3</v>
      </c>
      <c r="AH206" s="83" vm="9136">
        <v>22249</v>
      </c>
      <c r="AI206" s="83" vm="873">
        <v>3655</v>
      </c>
      <c r="AJ206" s="83" vm="1675">
        <v>0</v>
      </c>
      <c r="AK206" s="83">
        <v>0</v>
      </c>
      <c r="AL206" s="5">
        <f xml:space="preserve"> SUM( VfM_Metrics_2023_Consol_Source[[#This Row],[Tangible fixed assets: Housing properties at cost (Current period)2]], VfM_Metrics_2023_Consol_Source[[#This Row],[Tangible fixed assets Housing properties at valuation (Current period)2]] )</f>
        <v>59946</v>
      </c>
      <c r="AM206" s="84" vm="726">
        <v>59946</v>
      </c>
      <c r="AN206" s="83">
        <v>0</v>
      </c>
      <c r="AO206" s="87">
        <f xml:space="preserve"> IFERROR( VfM_Metrics_2023_Consol_Source[[#This Row],[EBITDA MRI]] / VfM_Metrics_2023_Consol_Source[[#This Row],[Total interest]], "n/a" )</f>
        <v>1.2991666666666666</v>
      </c>
      <c r="AP206"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1559</v>
      </c>
      <c r="AQ206" s="84" vm="862">
        <v>1117</v>
      </c>
      <c r="AR206" s="84">
        <v>0</v>
      </c>
      <c r="AS206" s="84">
        <v>0</v>
      </c>
      <c r="AT206" s="84" vm="9148">
        <v>277</v>
      </c>
      <c r="AU206" s="84" vm="837">
        <v>0</v>
      </c>
      <c r="AV206" s="84" vm="9153">
        <v>19</v>
      </c>
      <c r="AW206" s="84" vm="8892">
        <v>658</v>
      </c>
      <c r="AX206" s="84" vm="9114">
        <v>1358</v>
      </c>
      <c r="AY206" s="3">
        <f xml:space="preserve"> - SUM( VfM_Metrics_2023_Consol_Source[[#This Row],[Interest capitalised]], VfM_Metrics_2023_Consol_Source[[#This Row],[Interest payable and financing costs]] )</f>
        <v>1200</v>
      </c>
      <c r="AZ206" s="84" vm="9094">
        <v>-218</v>
      </c>
      <c r="BA206" s="83" vm="733">
        <v>-982</v>
      </c>
      <c r="BB206" s="8">
        <f xml:space="preserve"> IFERROR( ( VfM_Metrics_2023_Consol_Source[[#This Row],[Total Costs]] / VfM_Metrics_2023_Consol_Source[[#This Row],[Total units for costs]] ) * 1000, "n/a" )</f>
        <v>13816.762530813476</v>
      </c>
      <c r="BC206"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16815</v>
      </c>
      <c r="BD206" s="84" vm="734">
        <v>4788</v>
      </c>
      <c r="BE206" s="83" vm="9081">
        <v>7186</v>
      </c>
      <c r="BF206" s="83" vm="9095">
        <v>582</v>
      </c>
      <c r="BG206" s="83" vm="8951">
        <v>102</v>
      </c>
      <c r="BH206" s="83" vm="9191">
        <v>0</v>
      </c>
      <c r="BI206" s="83" vm="749">
        <v>0</v>
      </c>
      <c r="BJ206" s="83" vm="732">
        <v>658</v>
      </c>
      <c r="BK206" s="83" vm="9078">
        <v>2975</v>
      </c>
      <c r="BL206" s="83">
        <v>0</v>
      </c>
      <c r="BM206" s="83">
        <v>0</v>
      </c>
      <c r="BN206" s="83" vm="735">
        <v>524</v>
      </c>
      <c r="BO206" s="83">
        <v>0</v>
      </c>
      <c r="BP206" s="5" vm="723">
        <f xml:space="preserve"> VfM_Metrics_2023_Consol_Source[[#This Row],[Total social housing units owned and/or managed at period end]]</f>
        <v>1217</v>
      </c>
      <c r="BQ206" s="84" vm="723">
        <v>1217</v>
      </c>
      <c r="BR206" s="7">
        <f xml:space="preserve"> IFERROR( VfM_Metrics_2023_Consol_Source[[#This Row],[SHL operating surplus / (deficit)]] / VfM_Metrics_2023_Consol_Source[[#This Row],[Turnover from social housing lettings]], "n/a" )</f>
        <v>0.13681087762669963</v>
      </c>
      <c r="BS206" s="5" vm="736">
        <f xml:space="preserve"> VfM_Metrics_2023_Consol_Source[[#This Row],[Operating surplus/(deficit) (social housing lettings)]]</f>
        <v>2767</v>
      </c>
      <c r="BT206" s="84" vm="736">
        <v>2767</v>
      </c>
      <c r="BU206" s="5" vm="791">
        <f xml:space="preserve"> VfM_Metrics_2023_Consol_Source[[#This Row],[Turnover from social housing lettings]]</f>
        <v>20225</v>
      </c>
      <c r="BV206" s="84" vm="791">
        <v>20225</v>
      </c>
      <c r="BW206" s="7">
        <f xml:space="preserve"> IFERROR( VfM_Metrics_2023_Consol_Source[[#This Row],[Net operating surplus]] / VfM_Metrics_2023_Consol_Source[[#This Row],[Overall turnover]], "n/a" )</f>
        <v>4.2466638786450212E-2</v>
      </c>
      <c r="BX206"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1117</v>
      </c>
      <c r="BY206" s="84" vm="8877">
        <v>1117</v>
      </c>
      <c r="BZ206" s="83">
        <v>0</v>
      </c>
      <c r="CA206" s="83">
        <v>0</v>
      </c>
      <c r="CB206" s="5" vm="684">
        <f xml:space="preserve"> VfM_Metrics_2023_Consol_Source[[#This Row],[Turnover (overall)]]</f>
        <v>26303</v>
      </c>
      <c r="CC206" s="84" vm="684">
        <v>26303</v>
      </c>
      <c r="CD206" s="7">
        <f xml:space="preserve"> IFERROR( VfM_Metrics_2023_Consol_Source[[#This Row],[Operating surplus including from JVs]] / VfM_Metrics_2023_Consol_Source[[#This Row],[Net assets]], "n/a" )</f>
        <v>1.6793961991821024E-2</v>
      </c>
      <c r="CE206" s="5">
        <f xml:space="preserve"> SUM( VfM_Metrics_2023_Consol_Source[[#This Row],[Operating surplus/(deficit) (overall)3]], VfM_Metrics_2023_Consol_Source[[#This Row],[Share of operating surplus/(deficit) in joint ventures or associates]] )</f>
        <v>1117</v>
      </c>
      <c r="CF206" s="84" vm="729">
        <v>1117</v>
      </c>
      <c r="CG206" s="83">
        <v>0</v>
      </c>
      <c r="CH206" s="5" vm="8873">
        <f xml:space="preserve"> VfM_Metrics_2023_Consol_Source[[#This Row],[Total assets less current liabilities]]</f>
        <v>66512</v>
      </c>
      <c r="CI206" s="84" vm="8873">
        <v>66512</v>
      </c>
      <c r="CJ206" s="71" vm="722">
        <f xml:space="preserve"> VfM_Metrics_2023_Consol_Source[[#This Row],[Total social housing units owned (Period end)]]</f>
        <v>1191</v>
      </c>
      <c r="CK206" s="103">
        <v>0.91267842149454237</v>
      </c>
      <c r="CL206" s="6">
        <f xml:space="preserve"> -- ( VfM_Metrics_2023_Consol_Source[[#This Row],[% Supported housing (excl. HOP)]] &gt; 0.3 )</f>
        <v>1</v>
      </c>
      <c r="CM206" s="103">
        <v>0</v>
      </c>
      <c r="CN206" s="6">
        <f xml:space="preserve"> -- ( VfM_Metrics_2023_Consol_Source[[#This Row],[% Housing for older people]] &gt; 0.3 )</f>
        <v>0</v>
      </c>
      <c r="CO206" s="103">
        <f xml:space="preserve"> VfM_Metrics_2023_Consol_Source[[#This Row],[% Supported housing (excl. HOP)]] + VfM_Metrics_2023_Consol_Source[[#This Row],[% Housing for older people]]</f>
        <v>0.91267842149454237</v>
      </c>
      <c r="CP206" s="6">
        <f xml:space="preserve"> -- ( VfM_Metrics_2023_Consol_Source[[#This Row],[SH specialist in RSH analysis]] + VfM_Metrics_2023_Consol_Source[[#This Row],[OP specialist in RSH analysis]] &gt; 0 )</f>
        <v>1</v>
      </c>
      <c r="CQ206" s="10">
        <f xml:space="preserve"> -- ( VfM_Metrics_2023_Consol_Source[[#This Row],[% SH and OP]] &gt; 0.3 )</f>
        <v>1</v>
      </c>
      <c r="CR206" s="104" t="s">
        <v>143</v>
      </c>
      <c r="CS206" s="124" t="s">
        <v>144</v>
      </c>
      <c r="CT206" s="105"/>
      <c r="CU206"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London</v>
      </c>
      <c r="CV206" s="85">
        <v>0.94663167104111989</v>
      </c>
      <c r="CW206" s="85">
        <v>5.3368328958880142E-2</v>
      </c>
      <c r="CX206" s="85">
        <v>0</v>
      </c>
      <c r="CY206" s="85">
        <v>0</v>
      </c>
      <c r="CZ206" s="85">
        <v>0</v>
      </c>
      <c r="DA206" s="85">
        <v>0</v>
      </c>
      <c r="DB206" s="85">
        <v>0</v>
      </c>
      <c r="DC206" s="85">
        <v>0</v>
      </c>
      <c r="DD206" s="85">
        <v>0</v>
      </c>
      <c r="DE206" s="13">
        <v>1.1536105465613671</v>
      </c>
    </row>
    <row r="207" spans="1:109" x14ac:dyDescent="0.25">
      <c r="A207" s="4" t="s" vm="281">
        <v>538</v>
      </c>
      <c r="B207" s="2" t="s" vm="197">
        <v>539</v>
      </c>
      <c r="C207" s="72" vm="498">
        <v>45016</v>
      </c>
      <c r="D207" s="7">
        <f>IFERROR( VfM_Metrics_2023_Consol_Source[[#This Row],[Reinvestment Spend]] / VfM_Metrics_2023_Consol_Source[[#This Row],[Net Book Value of Housing Properties]], "n/a" )</f>
        <v>7.5953996036066215E-2</v>
      </c>
      <c r="E207"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81627</v>
      </c>
      <c r="F207" s="83" vm="2693">
        <v>62205</v>
      </c>
      <c r="G207" s="83" vm="3936">
        <v>0</v>
      </c>
      <c r="H207" s="83" vm="2791">
        <v>15905</v>
      </c>
      <c r="I207" s="83" vm="2694">
        <v>3517</v>
      </c>
      <c r="J207" s="83" vm="2695">
        <v>0</v>
      </c>
      <c r="K207" s="5">
        <f xml:space="preserve"> SUM( VfM_Metrics_2023_Consol_Source[[#This Row],[Tangible fixed assets: Housing properties at cost (Current period)]],VfM_Metrics_2023_Consol_Source[[#This Row],[Tangible fixed assets Housing properties at valuation (Current period)]] )</f>
        <v>1074690</v>
      </c>
      <c r="L207" s="84" vm="7491">
        <v>1003426</v>
      </c>
      <c r="M207" s="83" vm="7863">
        <v>71264</v>
      </c>
      <c r="N207" s="7">
        <f xml:space="preserve"> IFERROR( VfM_Metrics_2023_Consol_Source[[#This Row],[Total social units developed or newly built units acquired in-year]] / VfM_Metrics_2023_Consol_Source[[#This Row],[Social housing units owned (period end)]], "n/a" )</f>
        <v>2.485753052917232E-2</v>
      </c>
      <c r="O207" s="5">
        <f xml:space="preserve"> SUM( VfM_Metrics_2023_Consol_Source[[#This Row],[Total social units developed or newly built units acquired in-year (owned)]], VfM_Metrics_2023_Consol_Source[[#This Row],[Total social leasehold units developed or newly built units acquired in-year (owned)]] )</f>
        <v>458</v>
      </c>
      <c r="P207" s="84" vm="2698">
        <v>458</v>
      </c>
      <c r="Q207" s="83">
        <v>0</v>
      </c>
      <c r="R207" s="5">
        <f xml:space="preserve"> SUM( VfM_Metrics_2023_Consol_Source[[#This Row],[Total social housing units owned (Period end)]], VfM_Metrics_2023_Consol_Source[[#This Row],[Total social leasehold units owned (Period end)]] )</f>
        <v>18425</v>
      </c>
      <c r="S207" s="84" vm="2691">
        <v>17903</v>
      </c>
      <c r="T207" s="83" vm="2699">
        <v>522</v>
      </c>
      <c r="U207" s="86">
        <f xml:space="preserve"> IFERROR( VfM_Metrics_2023_Consol_Source[[#This Row],[Total non-social housing units developed or newly built units acquired (owned)]] / VfM_Metrics_2023_Consol_Source[[#This Row],[Total social and non-social housing units owned (Period end)]], "n/a" )</f>
        <v>2.3905652358691032E-3</v>
      </c>
      <c r="V207"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45</v>
      </c>
      <c r="W207" s="83">
        <v>0</v>
      </c>
      <c r="X207" s="83">
        <v>0</v>
      </c>
      <c r="Y207" s="83" vm="2700">
        <v>45</v>
      </c>
      <c r="Z207"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18824</v>
      </c>
      <c r="AA207" s="84" vm="2691">
        <v>17903</v>
      </c>
      <c r="AB207" s="83" vm="2699">
        <v>522</v>
      </c>
      <c r="AC207" s="83" vm="7696">
        <v>344</v>
      </c>
      <c r="AD207" s="83" vm="2701">
        <v>55</v>
      </c>
      <c r="AE207" s="7">
        <f xml:space="preserve"> IFERROR( VfM_Metrics_2023_Consol_Source[[#This Row],[Total Net Debt]] / VfM_Metrics_2023_Consol_Source[[#This Row],[Net Book Value of Housing Properties2]], "n/a" )</f>
        <v>0.53531716122788897</v>
      </c>
      <c r="AF207"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575300</v>
      </c>
      <c r="AG207" s="84" vm="2702">
        <v>36544</v>
      </c>
      <c r="AH207" s="83" vm="2703">
        <v>559827</v>
      </c>
      <c r="AI207" s="83" vm="2704">
        <v>21071</v>
      </c>
      <c r="AJ207" s="83" vm="1675">
        <v>0</v>
      </c>
      <c r="AK207" s="83">
        <v>0</v>
      </c>
      <c r="AL207" s="5">
        <f xml:space="preserve"> SUM( VfM_Metrics_2023_Consol_Source[[#This Row],[Tangible fixed assets: Housing properties at cost (Current period)2]], VfM_Metrics_2023_Consol_Source[[#This Row],[Tangible fixed assets Housing properties at valuation (Current period)2]] )</f>
        <v>1074690</v>
      </c>
      <c r="AM207" s="84" vm="2696">
        <v>1003426</v>
      </c>
      <c r="AN207" s="83" vm="2697">
        <v>71264</v>
      </c>
      <c r="AO207" s="87">
        <f xml:space="preserve"> IFERROR( VfM_Metrics_2023_Consol_Source[[#This Row],[EBITDA MRI]] / VfM_Metrics_2023_Consol_Source[[#This Row],[Total interest]], "n/a" )</f>
        <v>1.1237547724579804</v>
      </c>
      <c r="AP207"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25607</v>
      </c>
      <c r="AQ207" s="84" vm="2705">
        <v>28661</v>
      </c>
      <c r="AR207" s="84" vm="2052">
        <v>6464</v>
      </c>
      <c r="AS207" s="84">
        <v>0</v>
      </c>
      <c r="AT207" s="84" vm="7489">
        <v>4169</v>
      </c>
      <c r="AU207" s="84" vm="2707">
        <v>0</v>
      </c>
      <c r="AV207" s="84" vm="2708">
        <v>1053</v>
      </c>
      <c r="AW207" s="84" vm="2709">
        <v>15905</v>
      </c>
      <c r="AX207" s="84" vm="2710">
        <v>22431</v>
      </c>
      <c r="AY207" s="3">
        <f xml:space="preserve"> - SUM( VfM_Metrics_2023_Consol_Source[[#This Row],[Interest capitalised]], VfM_Metrics_2023_Consol_Source[[#This Row],[Interest payable and financing costs]] )</f>
        <v>22787</v>
      </c>
      <c r="AZ207" s="84" vm="2711">
        <v>-3517</v>
      </c>
      <c r="BA207" s="83" vm="2712">
        <v>-19270</v>
      </c>
      <c r="BB207" s="8">
        <f xml:space="preserve"> IFERROR( ( VfM_Metrics_2023_Consol_Source[[#This Row],[Total Costs]] / VfM_Metrics_2023_Consol_Source[[#This Row],[Total units for costs]] ) * 1000, "n/a" )</f>
        <v>4507.456850807127</v>
      </c>
      <c r="BC207"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80697</v>
      </c>
      <c r="BD207" s="84" vm="2713">
        <v>26910</v>
      </c>
      <c r="BE207" s="83" vm="2714">
        <v>6750</v>
      </c>
      <c r="BF207" s="83" vm="7983">
        <v>16301</v>
      </c>
      <c r="BG207" s="83" vm="2715">
        <v>8476</v>
      </c>
      <c r="BH207" s="83" vm="3201">
        <v>4744</v>
      </c>
      <c r="BI207" s="83" vm="2716">
        <v>83</v>
      </c>
      <c r="BJ207" s="83" vm="2742">
        <v>15905</v>
      </c>
      <c r="BK207" s="83" vm="2717">
        <v>0</v>
      </c>
      <c r="BL207" s="83">
        <v>0</v>
      </c>
      <c r="BM207" s="83">
        <v>0</v>
      </c>
      <c r="BN207" s="83" vm="2718">
        <v>1528</v>
      </c>
      <c r="BO207" s="83">
        <v>0</v>
      </c>
      <c r="BP207" s="5" vm="2692">
        <f xml:space="preserve"> VfM_Metrics_2023_Consol_Source[[#This Row],[Total social housing units owned and/or managed at period end]]</f>
        <v>17903</v>
      </c>
      <c r="BQ207" s="84" vm="2692">
        <v>17903</v>
      </c>
      <c r="BR207" s="7">
        <f xml:space="preserve"> IFERROR( VfM_Metrics_2023_Consol_Source[[#This Row],[SHL operating surplus / (deficit)]] / VfM_Metrics_2023_Consol_Source[[#This Row],[Turnover from social housing lettings]], "n/a" )</f>
        <v>0.13966910350134668</v>
      </c>
      <c r="BS207" s="5" vm="2719">
        <f xml:space="preserve"> VfM_Metrics_2023_Consol_Source[[#This Row],[Operating surplus/(deficit) (social housing lettings)]]</f>
        <v>13431</v>
      </c>
      <c r="BT207" s="84" vm="2719">
        <v>13431</v>
      </c>
      <c r="BU207" s="5" vm="2720">
        <f xml:space="preserve"> VfM_Metrics_2023_Consol_Source[[#This Row],[Turnover from social housing lettings]]</f>
        <v>96163</v>
      </c>
      <c r="BV207" s="84" vm="2720">
        <v>96163</v>
      </c>
      <c r="BW207" s="7">
        <f xml:space="preserve"> IFERROR( VfM_Metrics_2023_Consol_Source[[#This Row],[Net operating surplus]] / VfM_Metrics_2023_Consol_Source[[#This Row],[Overall turnover]], "n/a" )</f>
        <v>0.15224801947940603</v>
      </c>
      <c r="BX207"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22197</v>
      </c>
      <c r="BY207" s="84" vm="2705">
        <v>28661</v>
      </c>
      <c r="BZ207" s="83" vm="2706">
        <v>6464</v>
      </c>
      <c r="CA207" s="83">
        <v>0</v>
      </c>
      <c r="CB207" s="5" vm="2721">
        <f xml:space="preserve"> VfM_Metrics_2023_Consol_Source[[#This Row],[Turnover (overall)]]</f>
        <v>145795</v>
      </c>
      <c r="CC207" s="84" vm="2721">
        <v>145795</v>
      </c>
      <c r="CD207" s="7">
        <f xml:space="preserve"> IFERROR( VfM_Metrics_2023_Consol_Source[[#This Row],[Operating surplus including from JVs]] / VfM_Metrics_2023_Consol_Source[[#This Row],[Net assets]], "n/a" )</f>
        <v>2.509487213798375E-2</v>
      </c>
      <c r="CE207" s="5">
        <f xml:space="preserve"> SUM( VfM_Metrics_2023_Consol_Source[[#This Row],[Operating surplus/(deficit) (overall)3]], VfM_Metrics_2023_Consol_Source[[#This Row],[Share of operating surplus/(deficit) in joint ventures or associates]] )</f>
        <v>28693</v>
      </c>
      <c r="CF207" s="84" vm="7487">
        <v>28661</v>
      </c>
      <c r="CG207" s="83" vm="2723">
        <v>32</v>
      </c>
      <c r="CH207" s="5" vm="2722">
        <f xml:space="preserve"> VfM_Metrics_2023_Consol_Source[[#This Row],[Total assets less current liabilities]]</f>
        <v>1143381</v>
      </c>
      <c r="CI207" s="84" vm="2722">
        <v>1143381</v>
      </c>
      <c r="CJ207" s="71" vm="2691">
        <f xml:space="preserve"> VfM_Metrics_2023_Consol_Source[[#This Row],[Total social housing units owned (Period end)]]</f>
        <v>17903</v>
      </c>
      <c r="CK207" s="103">
        <v>2.2530916483144165E-2</v>
      </c>
      <c r="CL207" s="6">
        <f xml:space="preserve"> -- ( VfM_Metrics_2023_Consol_Source[[#This Row],[% Supported housing (excl. HOP)]] &gt; 0.3 )</f>
        <v>0</v>
      </c>
      <c r="CM207" s="103">
        <v>4.8845219944660907E-2</v>
      </c>
      <c r="CN207" s="6">
        <f xml:space="preserve"> -- ( VfM_Metrics_2023_Consol_Source[[#This Row],[% Housing for older people]] &gt; 0.3 )</f>
        <v>0</v>
      </c>
      <c r="CO207" s="103">
        <f xml:space="preserve"> VfM_Metrics_2023_Consol_Source[[#This Row],[% Supported housing (excl. HOP)]] + VfM_Metrics_2023_Consol_Source[[#This Row],[% Housing for older people]]</f>
        <v>7.1376136427805076E-2</v>
      </c>
      <c r="CP207" s="6">
        <f xml:space="preserve"> -- ( VfM_Metrics_2023_Consol_Source[[#This Row],[SH specialist in RSH analysis]] + VfM_Metrics_2023_Consol_Source[[#This Row],[OP specialist in RSH analysis]] &gt; 0 )</f>
        <v>0</v>
      </c>
      <c r="CQ207" s="10">
        <f xml:space="preserve"> -- ( VfM_Metrics_2023_Consol_Source[[#This Row],[% SH and OP]] &gt; 0.3 )</f>
        <v>0</v>
      </c>
      <c r="CR207" s="104" t="s">
        <v>143</v>
      </c>
      <c r="CS207" s="124" t="s">
        <v>144</v>
      </c>
      <c r="CT207" s="105"/>
      <c r="CU207"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Yorkshire &amp; the Humber</v>
      </c>
      <c r="CV207" s="85">
        <v>0</v>
      </c>
      <c r="CW207" s="85">
        <v>0</v>
      </c>
      <c r="CX207" s="85">
        <v>0</v>
      </c>
      <c r="CY207" s="85">
        <v>0</v>
      </c>
      <c r="CZ207" s="85">
        <v>0</v>
      </c>
      <c r="DA207" s="85">
        <v>0</v>
      </c>
      <c r="DB207" s="85">
        <v>0</v>
      </c>
      <c r="DC207" s="85">
        <v>1.3405574484723231E-3</v>
      </c>
      <c r="DD207" s="85">
        <v>0.99865944255152772</v>
      </c>
      <c r="DE207" s="13">
        <v>0.94461329066055166</v>
      </c>
    </row>
    <row r="208" spans="1:109" x14ac:dyDescent="0.25">
      <c r="A208" s="4" t="s" vm="336">
        <v>540</v>
      </c>
      <c r="B208" s="2" t="s" vm="198">
        <v>541</v>
      </c>
      <c r="C208" s="72" vm="541">
        <v>45016</v>
      </c>
      <c r="D208" s="7">
        <f>IFERROR( VfM_Metrics_2023_Consol_Source[[#This Row],[Reinvestment Spend]] / VfM_Metrics_2023_Consol_Source[[#This Row],[Net Book Value of Housing Properties]], "n/a" )</f>
        <v>5.8195850586424437E-2</v>
      </c>
      <c r="E208" s="5">
        <f xml:space="preserve"> SUM( VfM_Metrics_2023_Consol_Source[[#This Row],[Development of new properties (Total housing properties)]], VfM_Metrics_2023_Consol_Source[[#This Row],[Newly built properties acquired (Total housing properties)]], VfM_Metrics_2023_Consol_Source[[#This Row],[ Works to Existing (Total housing properties)]], VfM_Metrics_2023_Consol_Source[[#This Row],[Capitalised Interest (Total housing properties)]], VfM_Metrics_2023_Consol_Source[[#This Row],[Schemes completed (Total housing properties)]] )</f>
        <v>67110</v>
      </c>
      <c r="F208" s="83" vm="4592">
        <v>36065</v>
      </c>
      <c r="G208" s="83" vm="4593">
        <v>0</v>
      </c>
      <c r="H208" s="83" vm="5680">
        <v>28721</v>
      </c>
      <c r="I208" s="83" vm="4594">
        <v>2324</v>
      </c>
      <c r="J208" s="83" vm="4595">
        <v>0</v>
      </c>
      <c r="K208" s="5">
        <f xml:space="preserve"> SUM( VfM_Metrics_2023_Consol_Source[[#This Row],[Tangible fixed assets: Housing properties at cost (Current period)]],VfM_Metrics_2023_Consol_Source[[#This Row],[Tangible fixed assets Housing properties at valuation (Current period)]] )</f>
        <v>1153175</v>
      </c>
      <c r="L208" s="84" vm="4596">
        <v>1153175</v>
      </c>
      <c r="M208" s="83" vm="4597">
        <v>0</v>
      </c>
      <c r="N208" s="7">
        <f xml:space="preserve"> IFERROR( VfM_Metrics_2023_Consol_Source[[#This Row],[Total social units developed or newly built units acquired in-year]] / VfM_Metrics_2023_Consol_Source[[#This Row],[Social housing units owned (period end)]], "n/a" )</f>
        <v>1.2084368165474292E-2</v>
      </c>
      <c r="O208" s="5">
        <f xml:space="preserve"> SUM( VfM_Metrics_2023_Consol_Source[[#This Row],[Total social units developed or newly built units acquired in-year (owned)]], VfM_Metrics_2023_Consol_Source[[#This Row],[Total social leasehold units developed or newly built units acquired in-year (owned)]] )</f>
        <v>326</v>
      </c>
      <c r="P208" s="84" vm="4598">
        <v>326</v>
      </c>
      <c r="Q208" s="83" vm="4599">
        <v>0</v>
      </c>
      <c r="R208" s="5">
        <f xml:space="preserve"> SUM( VfM_Metrics_2023_Consol_Source[[#This Row],[Total social housing units owned (Period end)]], VfM_Metrics_2023_Consol_Source[[#This Row],[Total social leasehold units owned (Period end)]] )</f>
        <v>26977</v>
      </c>
      <c r="S208" s="84" vm="4590">
        <v>25889</v>
      </c>
      <c r="T208" s="83" vm="4600">
        <v>1088</v>
      </c>
      <c r="U208" s="86">
        <f xml:space="preserve"> IFERROR( VfM_Metrics_2023_Consol_Source[[#This Row],[Total non-social housing units developed or newly built units acquired (owned)]] / VfM_Metrics_2023_Consol_Source[[#This Row],[Total social and non-social housing units owned (Period end)]], "n/a" )</f>
        <v>2.2491967154587649E-3</v>
      </c>
      <c r="V208" s="5">
        <f xml:space="preserve"> SUM( VfM_Metrics_2023_Consol_Source[[#This Row],[Total non-social units developed or newly built units acquired in-year (owned)]], VfM_Metrics_2023_Consol_Source[[#This Row],[Total non-social leasehold units developed or newly built units acquired in-year (owned)]], VfM_Metrics_2023_Consol_Source[[#This Row],[New outright sale units developed or acquired (owned)]] )</f>
        <v>63</v>
      </c>
      <c r="W208" s="83" vm="7501">
        <v>46</v>
      </c>
      <c r="X208" s="83" vm="3842">
        <v>17</v>
      </c>
      <c r="Y208" s="83" vm="4601">
        <v>0</v>
      </c>
      <c r="Z208" s="5">
        <f xml:space="preserve"> SUM( VfM_Metrics_2023_Consol_Source[[#This Row],[Total social housing units owned (Period end)2]], VfM_Metrics_2023_Consol_Source[[#This Row],[Total social leasehold units owned (Period end)2]], VfM_Metrics_2023_Consol_Source[[#This Row],[Total non-social rental housing units owned (Period end)]], VfM_Metrics_2023_Consol_Source[[#This Row],[Total non-social leasehold units owned (Period end)]] )</f>
        <v>28010</v>
      </c>
      <c r="AA208" s="84" vm="4590">
        <v>25889</v>
      </c>
      <c r="AB208" s="83" vm="7555">
        <v>1088</v>
      </c>
      <c r="AC208" s="83" vm="4602">
        <v>620</v>
      </c>
      <c r="AD208" s="83" vm="4603">
        <v>413</v>
      </c>
      <c r="AE208" s="7">
        <f xml:space="preserve"> IFERROR( VfM_Metrics_2023_Consol_Source[[#This Row],[Total Net Debt]] / VfM_Metrics_2023_Consol_Source[[#This Row],[Net Book Value of Housing Properties2]], "n/a" )</f>
        <v>0.44816007977973854</v>
      </c>
      <c r="AF208" s="5">
        <f xml:space="preserve"> SUM( VfM_Metrics_2023_Consol_Source[[#This Row],[Short-term loans]], VfM_Metrics_2023_Consol_Source[[#This Row],[Long-term loans]], - VfM_Metrics_2023_Consol_Source[[#This Row],[Cash and cash equivalents ]], VfM_Metrics_2023_Consol_Source[[#This Row],[Amounts owed to group undertakings]], VfM_Metrics_2023_Consol_Source[[#This Row],[Finance lease obligations]] )</f>
        <v>516807</v>
      </c>
      <c r="AG208" s="84" vm="4604">
        <v>13258</v>
      </c>
      <c r="AH208" s="83" vm="4605">
        <v>572421</v>
      </c>
      <c r="AI208" s="83" vm="4606">
        <v>69850</v>
      </c>
      <c r="AJ208" s="83" vm="4607">
        <v>0</v>
      </c>
      <c r="AK208" s="83" vm="4608">
        <v>978</v>
      </c>
      <c r="AL208" s="5">
        <f xml:space="preserve"> SUM( VfM_Metrics_2023_Consol_Source[[#This Row],[Tangible fixed assets: Housing properties at cost (Current period)2]], VfM_Metrics_2023_Consol_Source[[#This Row],[Tangible fixed assets Housing properties at valuation (Current period)2]] )</f>
        <v>1153175</v>
      </c>
      <c r="AM208" s="84" vm="4596">
        <v>1153175</v>
      </c>
      <c r="AN208" s="83" vm="6968">
        <v>0</v>
      </c>
      <c r="AO208" s="87">
        <f xml:space="preserve"> IFERROR( VfM_Metrics_2023_Consol_Source[[#This Row],[EBITDA MRI]] / VfM_Metrics_2023_Consol_Source[[#This Row],[Total interest]], "n/a" )</f>
        <v>-0.58014772580018137</v>
      </c>
      <c r="AP208" s="5">
        <f xml:space="preserve"> SUM( VfM_Metrics_2023_Consol_Source[[#This Row],[Operating surplus/(deficit) (overall)]], - VfM_Metrics_2023_Consol_Source[[#This Row],[Gain/(loss) on disposal of fixed assets (housing properties)]], - VfM_Metrics_2023_Consol_Source[[#This Row],[Gain/(loss) on disposal of fixed assets (other)]], - VfM_Metrics_2023_Consol_Source[[#This Row],[Amortised government grant]], - VfM_Metrics_2023_Consol_Source[[#This Row],[Government grants taken to income]], VfM_Metrics_2023_Consol_Source[[#This Row],[Interest receivable]], - VfM_Metrics_2023_Consol_Source[[#This Row],[Capitalised major repairs expenditure for period]], VfM_Metrics_2023_Consol_Source[[#This Row],[Total depreciation charge for period]] )</f>
        <v>-13431</v>
      </c>
      <c r="AQ208" s="84" vm="4609">
        <v>-5643</v>
      </c>
      <c r="AR208" s="84" vm="4610">
        <v>4542</v>
      </c>
      <c r="AS208" s="84" vm="4611">
        <v>-2</v>
      </c>
      <c r="AT208" s="84" vm="7156">
        <v>0</v>
      </c>
      <c r="AU208" s="84" vm="4612">
        <v>4774</v>
      </c>
      <c r="AV208" s="84" vm="4862">
        <v>3435</v>
      </c>
      <c r="AW208" s="84" vm="7643">
        <v>28721</v>
      </c>
      <c r="AX208" s="84" vm="4614">
        <v>26812</v>
      </c>
      <c r="AY208" s="3">
        <f xml:space="preserve"> - SUM( VfM_Metrics_2023_Consol_Source[[#This Row],[Interest capitalised]], VfM_Metrics_2023_Consol_Source[[#This Row],[Interest payable and financing costs]] )</f>
        <v>23151</v>
      </c>
      <c r="AZ208" s="84" vm="4615">
        <v>-2324</v>
      </c>
      <c r="BA208" s="83" vm="6967">
        <v>-20827</v>
      </c>
      <c r="BB208" s="8">
        <f xml:space="preserve"> IFERROR( ( VfM_Metrics_2023_Consol_Source[[#This Row],[Total Costs]] / VfM_Metrics_2023_Consol_Source[[#This Row],[Total units for costs]] ) * 1000, "n/a" )</f>
        <v>6701.3420274471155</v>
      </c>
      <c r="BC208" s="5">
        <f xml:space="preserve"> SUM( VfM_Metrics_2023_Consol_Source[[#This Row],[Management costs]], VfM_Metrics_2023_Consol_Source[[#This Row],[Service charge costs]], VfM_Metrics_2023_Consol_Source[[#This Row],[Routine maintenance costs]], VfM_Metrics_2023_Consol_Source[[#This Row],[Planned maintenance costs]], VfM_Metrics_2023_Consol_Source[[#This Row],[Major repairs expenditure]], VfM_Metrics_2023_Consol_Source[[#This Row],[Lease costs]], VfM_Metrics_2023_Consol_Source[[#This Row],[Capitalised major repairs expenditure for period2]], VfM_Metrics_2023_Consol_Source[[#This Row],[Other (social housing letting) costs]], VfM_Metrics_2023_Consol_Source[[#This Row],[Development services]], VfM_Metrics_2023_Consol_Source[[#This Row],[Community/neighbourhood services]], VfM_Metrics_2023_Consol_Source[[#This Row],[Other social housing activities: Other]], VfM_Metrics_2023_Consol_Source[[#This Row],[Other social housing activities: charges for support services]] )</f>
        <v>176768</v>
      </c>
      <c r="BD208" s="84" vm="7334">
        <v>60371</v>
      </c>
      <c r="BE208" s="83" vm="4617">
        <v>21859</v>
      </c>
      <c r="BF208" s="83" vm="4618">
        <v>21003</v>
      </c>
      <c r="BG208" s="83" vm="4619">
        <v>14878</v>
      </c>
      <c r="BH208" s="83" vm="4620">
        <v>3109</v>
      </c>
      <c r="BI208" s="83" vm="4621">
        <v>0</v>
      </c>
      <c r="BJ208" s="83" vm="4613">
        <v>28721</v>
      </c>
      <c r="BK208" s="83" vm="7333">
        <v>4094</v>
      </c>
      <c r="BL208" s="83" vm="2490">
        <v>0</v>
      </c>
      <c r="BM208" s="83" vm="4622">
        <v>1018</v>
      </c>
      <c r="BN208" s="83" vm="4623">
        <v>20018</v>
      </c>
      <c r="BO208" s="83" vm="7585">
        <v>1697</v>
      </c>
      <c r="BP208" s="5" vm="4591">
        <f xml:space="preserve"> VfM_Metrics_2023_Consol_Source[[#This Row],[Total social housing units owned and/or managed at period end]]</f>
        <v>26378</v>
      </c>
      <c r="BQ208" s="84" vm="4591">
        <v>26378</v>
      </c>
      <c r="BR208" s="7">
        <f xml:space="preserve"> IFERROR( VfM_Metrics_2023_Consol_Source[[#This Row],[SHL operating surplus / (deficit)]] / VfM_Metrics_2023_Consol_Source[[#This Row],[Turnover from social housing lettings]], "n/a" )</f>
        <v>1.0497346712171065E-2</v>
      </c>
      <c r="BS208" s="5" vm="4624">
        <f xml:space="preserve"> VfM_Metrics_2023_Consol_Source[[#This Row],[Operating surplus/(deficit) (social housing lettings)]]</f>
        <v>1541</v>
      </c>
      <c r="BT208" s="84" vm="4624">
        <v>1541</v>
      </c>
      <c r="BU208" s="5" vm="4625">
        <f xml:space="preserve"> VfM_Metrics_2023_Consol_Source[[#This Row],[Turnover from social housing lettings]]</f>
        <v>146799</v>
      </c>
      <c r="BV208" s="84" vm="4625">
        <v>146799</v>
      </c>
      <c r="BW208" s="7">
        <f xml:space="preserve"> IFERROR( VfM_Metrics_2023_Consol_Source[[#This Row],[Net operating surplus]] / VfM_Metrics_2023_Consol_Source[[#This Row],[Overall turnover]], "n/a" )</f>
        <v>-5.6231707990501957E-2</v>
      </c>
      <c r="BX208" s="5">
        <f xml:space="preserve"> SUM( VfM_Metrics_2023_Consol_Source[[#This Row],[Operating surplus/(deficit) (overall)2]], - VfM_Metrics_2023_Consol_Source[[#This Row],[Gain/(loss) on disposal of fixed assets (housing properties)2]], - VfM_Metrics_2023_Consol_Source[[#This Row],[Gain/(loss) on disposal of fixed assets (other)2]] )</f>
        <v>-10183</v>
      </c>
      <c r="BY208" s="84" vm="4609">
        <v>-5643</v>
      </c>
      <c r="BZ208" s="83" vm="7154">
        <v>4542</v>
      </c>
      <c r="CA208" s="83" vm="4611">
        <v>-2</v>
      </c>
      <c r="CB208" s="5" vm="4626">
        <f xml:space="preserve"> VfM_Metrics_2023_Consol_Source[[#This Row],[Turnover (overall)]]</f>
        <v>181090</v>
      </c>
      <c r="CC208" s="84" vm="4626">
        <v>181090</v>
      </c>
      <c r="CD208" s="7">
        <f xml:space="preserve"> IFERROR( VfM_Metrics_2023_Consol_Source[[#This Row],[Operating surplus including from JVs]] / VfM_Metrics_2023_Consol_Source[[#This Row],[Net assets]], "n/a" )</f>
        <v>-3.9305256117431924E-3</v>
      </c>
      <c r="CE208" s="5">
        <f xml:space="preserve"> SUM( VfM_Metrics_2023_Consol_Source[[#This Row],[Operating surplus/(deficit) (overall)3]], VfM_Metrics_2023_Consol_Source[[#This Row],[Share of operating surplus/(deficit) in joint ventures or associates]] )</f>
        <v>-5524</v>
      </c>
      <c r="CF208" s="84" vm="4609">
        <v>-5643</v>
      </c>
      <c r="CG208" s="83" vm="4628">
        <v>119</v>
      </c>
      <c r="CH208" s="5" vm="4627">
        <f xml:space="preserve"> VfM_Metrics_2023_Consol_Source[[#This Row],[Total assets less current liabilities]]</f>
        <v>1405410</v>
      </c>
      <c r="CI208" s="84" vm="4627">
        <v>1405410</v>
      </c>
      <c r="CJ208" s="71" vm="4590">
        <f xml:space="preserve"> VfM_Metrics_2023_Consol_Source[[#This Row],[Total social housing units owned (Period end)]]</f>
        <v>25889</v>
      </c>
      <c r="CK208" s="103">
        <v>3.1812557378357878E-2</v>
      </c>
      <c r="CL208" s="6">
        <f xml:space="preserve"> -- ( VfM_Metrics_2023_Consol_Source[[#This Row],[% Supported housing (excl. HOP)]] &gt; 0.3 )</f>
        <v>0</v>
      </c>
      <c r="CM208" s="103">
        <v>0.12293936853869795</v>
      </c>
      <c r="CN208" s="6">
        <f xml:space="preserve"> -- ( VfM_Metrics_2023_Consol_Source[[#This Row],[% Housing for older people]] &gt; 0.3 )</f>
        <v>0</v>
      </c>
      <c r="CO208" s="103">
        <f xml:space="preserve"> VfM_Metrics_2023_Consol_Source[[#This Row],[% Supported housing (excl. HOP)]] + VfM_Metrics_2023_Consol_Source[[#This Row],[% Housing for older people]]</f>
        <v>0.15475192591705583</v>
      </c>
      <c r="CP208" s="6">
        <f xml:space="preserve"> -- ( VfM_Metrics_2023_Consol_Source[[#This Row],[SH specialist in RSH analysis]] + VfM_Metrics_2023_Consol_Source[[#This Row],[OP specialist in RSH analysis]] &gt; 0 )</f>
        <v>0</v>
      </c>
      <c r="CQ208" s="10">
        <f xml:space="preserve"> -- ( VfM_Metrics_2023_Consol_Source[[#This Row],[% SH and OP]] &gt; 0.3 )</f>
        <v>0</v>
      </c>
      <c r="CR208" s="104" t="s">
        <v>143</v>
      </c>
      <c r="CS208" s="124" t="s">
        <v>144</v>
      </c>
      <c r="CT208" s="105"/>
      <c r="CU208" s="4" t="str">
        <f xml:space="preserve"> IF( MAX( VfM_Metrics_2023_Consol_Source[[#This Row],[London]:[Yorkshire &amp; the Humber]] ) &gt; 0.5,
  INDEX( VfM_Metrics_2023_Consol_Source[[#Headers],[London]:[Yorkshire &amp; the Humber]], 1,
       MATCH( MAX( VfM_Metrics_2023_Consol_Source[[#This Row],[London]:[Yorkshire &amp; the Humber]] ), VfM_Metrics_2023_Consol_Source[[#This Row],[London]:[Yorkshire &amp; the Humber]], 0 ) ),
  "Mixed"  )</f>
        <v>North West</v>
      </c>
      <c r="CV208" s="85">
        <v>3.9831116067872224E-5</v>
      </c>
      <c r="CW208" s="85">
        <v>4.7797339281446664E-4</v>
      </c>
      <c r="CX208" s="85">
        <v>1.5135824105791443E-3</v>
      </c>
      <c r="CY208" s="85">
        <v>6.8907830797418947E-3</v>
      </c>
      <c r="CZ208" s="85">
        <v>0.12873416713136301</v>
      </c>
      <c r="DA208" s="85">
        <v>0</v>
      </c>
      <c r="DB208" s="85">
        <v>0</v>
      </c>
      <c r="DC208" s="85">
        <v>0.82358798693539392</v>
      </c>
      <c r="DD208" s="85">
        <v>3.8755675934039668E-2</v>
      </c>
      <c r="DE208" s="13">
        <v>0.96081044264045101</v>
      </c>
    </row>
  </sheetData>
  <sheetProtection algorithmName="SHA-512" hashValue="iWrLhdhXfTEH9QlJIBRDnI7ObuUdlQECa3jR7qoLpaihnBsy3trwftOtS9juezzsgpKL5B1NtFUspqi60g6jbg==" saltValue="7nEWoB/2gxr364/pvAoxZQ==" spinCount="100000" sheet="1" objects="1" scenarios="1"/>
  <mergeCells count="21">
    <mergeCell ref="B1:B3"/>
    <mergeCell ref="B4:B6"/>
    <mergeCell ref="CU7:DE8"/>
    <mergeCell ref="CJ7:CJ8"/>
    <mergeCell ref="D7:CI8"/>
    <mergeCell ref="D1:CO6"/>
    <mergeCell ref="CU9:DE9"/>
    <mergeCell ref="CR9:CT9"/>
    <mergeCell ref="CR7:CT8"/>
    <mergeCell ref="A7:C8"/>
    <mergeCell ref="CK9:CQ9"/>
    <mergeCell ref="BB9:BQ9"/>
    <mergeCell ref="D9:M9"/>
    <mergeCell ref="N9:T9"/>
    <mergeCell ref="U9:AD9"/>
    <mergeCell ref="AE9:AN9"/>
    <mergeCell ref="AO9:BA9"/>
    <mergeCell ref="BR9:BV9"/>
    <mergeCell ref="BW9:CC9"/>
    <mergeCell ref="CD9:CI9"/>
    <mergeCell ref="CK7:CQ8"/>
  </mergeCells>
  <phoneticPr fontId="5" type="noConversion"/>
  <conditionalFormatting sqref="C11:C208">
    <cfRule type="expression" dxfId="0" priority="1">
      <formula xml:space="preserve"> ( MONTH( C11 ) &lt;&gt; 3 )</formula>
    </cfRule>
  </conditionalFormatting>
  <pageMargins left="0.7" right="0.7" top="0.75" bottom="0.75" header="0.3" footer="0.3"/>
  <pageSetup paperSize="9" orientation="portrait" r:id="rId1"/>
  <headerFooter>
    <oddFooter>&amp;C&amp;1#&amp;"Calibri"&amp;12&amp;K0078D7OFFICIAL</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44F72-18B7-460E-ABC3-324CA0C444B6}">
  <sheetPr codeName="Sheet7">
    <tabColor rgb="FFFF0000"/>
  </sheetPr>
  <dimension ref="B2:BC1257"/>
  <sheetViews>
    <sheetView showGridLines="0" zoomScaleNormal="100" workbookViewId="0">
      <pane ySplit="9" topLeftCell="A1034" activePane="bottomLeft" state="frozen"/>
      <selection activeCell="B1" sqref="B1"/>
      <selection pane="bottomLeft" activeCell="F1043" sqref="F1043"/>
    </sheetView>
  </sheetViews>
  <sheetFormatPr defaultColWidth="9.140625" defaultRowHeight="12.75" x14ac:dyDescent="0.2"/>
  <cols>
    <col min="1" max="1" width="5.140625" style="1" customWidth="1"/>
    <col min="2" max="2" width="34.5703125" style="1" customWidth="1"/>
    <col min="3" max="3" width="23.28515625" style="1" customWidth="1"/>
    <col min="4" max="4" width="33" style="1" customWidth="1"/>
    <col min="5" max="5" width="27.85546875" style="1" bestFit="1" customWidth="1"/>
    <col min="6" max="6" width="16.42578125" style="1" customWidth="1"/>
    <col min="7" max="7" width="12.42578125" style="1" customWidth="1"/>
    <col min="8" max="8" width="16.85546875" style="1" customWidth="1"/>
    <col min="9" max="9" width="12.5703125" style="1" customWidth="1"/>
    <col min="10" max="10" width="13.42578125" style="1" customWidth="1"/>
    <col min="11" max="11" width="19.5703125" style="1" customWidth="1"/>
    <col min="12" max="12" width="14.42578125" style="1" customWidth="1"/>
    <col min="13" max="13" width="16" style="1" customWidth="1"/>
    <col min="14" max="14" width="13.5703125" style="1" customWidth="1"/>
    <col min="15" max="15" width="13" style="1" customWidth="1"/>
    <col min="16" max="16" width="9.140625" style="1"/>
    <col min="17" max="17" width="12.42578125" style="1" customWidth="1"/>
    <col min="18" max="18" width="19.140625" style="1" bestFit="1" customWidth="1"/>
    <col min="19" max="19" width="9.140625" style="1"/>
    <col min="20" max="20" width="17.5703125" style="1" customWidth="1"/>
    <col min="21" max="21" width="9.140625" style="1"/>
    <col min="22" max="22" width="10.7109375" style="1" customWidth="1"/>
    <col min="23" max="24" width="10.5703125" style="1" customWidth="1"/>
    <col min="25" max="25" width="12.140625" style="1" customWidth="1"/>
    <col min="26" max="26" width="9.140625" style="1"/>
    <col min="27" max="27" width="18.7109375" style="1" customWidth="1"/>
    <col min="28" max="45" width="9.140625" style="1"/>
    <col min="46" max="46" width="12.85546875" style="1" customWidth="1"/>
    <col min="47" max="16384" width="9.140625" style="1"/>
  </cols>
  <sheetData>
    <row r="2" spans="2:27" s="67" customFormat="1" ht="18" x14ac:dyDescent="0.25">
      <c r="B2" s="175" t="s">
        <v>667</v>
      </c>
    </row>
    <row r="3" spans="2:27" s="47" customFormat="1" ht="18" x14ac:dyDescent="0.25">
      <c r="B3" s="67" t="s">
        <v>668</v>
      </c>
    </row>
    <row r="4" spans="2:27" s="47" customFormat="1" ht="18" x14ac:dyDescent="0.25">
      <c r="B4" s="67"/>
    </row>
    <row r="5" spans="2:27" s="47" customFormat="1" ht="15" x14ac:dyDescent="0.25">
      <c r="B5" s="51" t="s">
        <v>669</v>
      </c>
      <c r="D5" s="51" t="s">
        <v>670</v>
      </c>
    </row>
    <row r="6" spans="2:27" s="47" customFormat="1" ht="15" x14ac:dyDescent="0.25">
      <c r="B6" s="51" t="s">
        <v>671</v>
      </c>
      <c r="C6" s="51"/>
    </row>
    <row r="7" spans="2:27" s="47" customFormat="1" ht="15" x14ac:dyDescent="0.25">
      <c r="B7" s="51" t="s">
        <v>672</v>
      </c>
      <c r="D7" s="51" t="s">
        <v>673</v>
      </c>
    </row>
    <row r="8" spans="2:27" s="47" customFormat="1" ht="15" x14ac:dyDescent="0.25">
      <c r="B8" s="51" t="s">
        <v>674</v>
      </c>
      <c r="Q8" s="153"/>
      <c r="U8" s="153" t="s">
        <v>648</v>
      </c>
    </row>
    <row r="9" spans="2:27" s="47" customFormat="1" ht="15" x14ac:dyDescent="0.25">
      <c r="B9" s="51"/>
      <c r="Q9" s="153"/>
      <c r="U9" s="153"/>
    </row>
    <row r="10" spans="2:27" s="47" customFormat="1" x14ac:dyDescent="0.2">
      <c r="M10" s="153" t="s">
        <v>675</v>
      </c>
      <c r="N10" s="161">
        <f>RegionMinimum</f>
        <v>0</v>
      </c>
      <c r="Q10" s="160" t="s">
        <v>676</v>
      </c>
      <c r="R10" s="162" t="str">
        <f xml:space="preserve"> RegionTestAnyOrTotal</f>
        <v>total for selected regions</v>
      </c>
      <c r="U10" s="153" t="s">
        <v>677</v>
      </c>
    </row>
    <row r="11" spans="2:27" x14ac:dyDescent="0.2">
      <c r="B11" s="50"/>
    </row>
    <row r="13" spans="2:27" x14ac:dyDescent="0.2">
      <c r="E13" s="160" t="str">
        <f xml:space="preserve"> N13</f>
        <v>No</v>
      </c>
      <c r="F13" s="160" t="str">
        <f xml:space="preserve"> O13</f>
        <v>No</v>
      </c>
      <c r="G13" s="160" t="str">
        <f t="shared" ref="G13:M13" si="0" xml:space="preserve"> P13</f>
        <v>No</v>
      </c>
      <c r="H13" s="160" t="str">
        <f t="shared" si="0"/>
        <v>No</v>
      </c>
      <c r="I13" s="160" t="str">
        <f t="shared" si="0"/>
        <v>No</v>
      </c>
      <c r="J13" s="160" t="str">
        <f t="shared" si="0"/>
        <v>No</v>
      </c>
      <c r="K13" s="160" t="str">
        <f t="shared" si="0"/>
        <v>No</v>
      </c>
      <c r="L13" s="160" t="str">
        <f t="shared" si="0"/>
        <v>No</v>
      </c>
      <c r="M13" s="160" t="str">
        <f t="shared" si="0"/>
        <v>No</v>
      </c>
      <c r="N13" s="15" t="str">
        <f xml:space="preserve"> RegionLon</f>
        <v>No</v>
      </c>
      <c r="O13" s="15" t="str">
        <f xml:space="preserve"> RegionSE</f>
        <v>No</v>
      </c>
      <c r="P13" s="15" t="str">
        <f xml:space="preserve"> RegionSW</f>
        <v>No</v>
      </c>
      <c r="Q13" s="15" t="str">
        <f xml:space="preserve"> RegionEM</f>
        <v>No</v>
      </c>
      <c r="R13" s="15" t="str">
        <f xml:space="preserve"> RegionWM</f>
        <v>No</v>
      </c>
      <c r="S13" s="15" t="str">
        <f xml:space="preserve"> RegionEE</f>
        <v>No</v>
      </c>
      <c r="T13" s="15" t="str">
        <f xml:space="preserve"> RegionNE</f>
        <v>No</v>
      </c>
      <c r="U13" s="15" t="str">
        <f xml:space="preserve"> RegionNW</f>
        <v>No</v>
      </c>
      <c r="V13" s="15" t="str">
        <f xml:space="preserve"> RegionYH</f>
        <v>No</v>
      </c>
    </row>
    <row r="14" spans="2:27" ht="25.5" x14ac:dyDescent="0.35">
      <c r="B14" s="16" t="s">
        <v>669</v>
      </c>
      <c r="E14" s="82">
        <f xml:space="preserve"> MATCH( tblFilterRegion[[#Headers],[London]], VfM_Metrics_2023_Consol_Source[#Headers], 0 )</f>
        <v>100</v>
      </c>
      <c r="F14" s="82">
        <f xml:space="preserve"> MATCH( tblFilterRegion[[#Headers],[South East]], VfM_Metrics_2023_Consol_Source[#Headers], 0 )</f>
        <v>101</v>
      </c>
      <c r="G14" s="82">
        <f xml:space="preserve"> MATCH( tblFilterRegion[[#Headers],[South West]], VfM_Metrics_2023_Consol_Source[#Headers], 0 )</f>
        <v>102</v>
      </c>
      <c r="H14" s="82">
        <f xml:space="preserve"> MATCH( tblFilterRegion[[#Headers],[East Midlands]], VfM_Metrics_2023_Consol_Source[#Headers], 0 )</f>
        <v>103</v>
      </c>
      <c r="I14" s="82">
        <f xml:space="preserve"> MATCH( tblFilterRegion[[#Headers],[West Midlands]], VfM_Metrics_2023_Consol_Source[#Headers], 0 )</f>
        <v>104</v>
      </c>
      <c r="J14" s="82">
        <f xml:space="preserve"> MATCH( tblFilterRegion[[#Headers],[East of England]], VfM_Metrics_2023_Consol_Source[#Headers], 0 )</f>
        <v>105</v>
      </c>
      <c r="K14" s="82">
        <f xml:space="preserve"> MATCH( tblFilterRegion[[#Headers],[North East]], VfM_Metrics_2023_Consol_Source[#Headers], 0 )</f>
        <v>106</v>
      </c>
      <c r="L14" s="82">
        <f xml:space="preserve"> MATCH( tblFilterRegion[[#Headers],[North West]], VfM_Metrics_2023_Consol_Source[#Headers], 0 )</f>
        <v>107</v>
      </c>
      <c r="M14" s="82">
        <f xml:space="preserve"> MATCH( tblFilterRegion[[#Headers],[Yorkshire &amp; the Humber]], VfM_Metrics_2023_Consol_Source[#Headers], 0 )</f>
        <v>108</v>
      </c>
      <c r="N14" s="17">
        <f xml:space="preserve"> SUM( tblFilterRegion[Incl for Lon] )</f>
        <v>0</v>
      </c>
      <c r="O14" s="17">
        <f xml:space="preserve"> SUM( tblFilterRegion[Incl for SE] )</f>
        <v>0</v>
      </c>
      <c r="P14" s="17">
        <f xml:space="preserve"> SUM( tblFilterRegion[Incl for SW] )</f>
        <v>0</v>
      </c>
      <c r="Q14" s="17">
        <f xml:space="preserve"> SUM( tblFilterRegion[Incl for EM] )</f>
        <v>0</v>
      </c>
      <c r="R14" s="17">
        <f xml:space="preserve"> SUM( tblFilterRegion[Incl for WM] )</f>
        <v>0</v>
      </c>
      <c r="S14" s="17">
        <f xml:space="preserve"> SUM( tblFilterRegion[Incl for EE] )</f>
        <v>0</v>
      </c>
      <c r="T14" s="17">
        <f xml:space="preserve"> SUM( tblFilterRegion[Incl for NE] )</f>
        <v>0</v>
      </c>
      <c r="U14" s="17">
        <f xml:space="preserve"> SUM( tblFilterRegion[Incl for NW] )</f>
        <v>0</v>
      </c>
      <c r="V14" s="17">
        <f xml:space="preserve"> SUM( tblFilterRegion[Incl for YH] )</f>
        <v>0</v>
      </c>
      <c r="Z14" s="17">
        <f xml:space="preserve"> SUM( tblFilterRegion[Include for region] )</f>
        <v>198</v>
      </c>
      <c r="AA14" s="82">
        <f xml:space="preserve"> MATCH( tblFilterRegion[[#Headers],[Region with 50%+ of social stock owned]], VfM_Metrics_2023_Consol_Source[#Headers], 0 )</f>
        <v>99</v>
      </c>
    </row>
    <row r="15" spans="2:27" ht="38.25" x14ac:dyDescent="0.2">
      <c r="B15" s="155" t="s">
        <v>39</v>
      </c>
      <c r="C15" s="156" t="s">
        <v>38</v>
      </c>
      <c r="D15" s="156" t="s">
        <v>656</v>
      </c>
      <c r="E15" s="18" t="s">
        <v>130</v>
      </c>
      <c r="F15" s="18" t="s">
        <v>131</v>
      </c>
      <c r="G15" s="18" t="s">
        <v>132</v>
      </c>
      <c r="H15" s="18" t="s">
        <v>133</v>
      </c>
      <c r="I15" s="18" t="s">
        <v>134</v>
      </c>
      <c r="J15" s="18" t="s">
        <v>135</v>
      </c>
      <c r="K15" s="18" t="s">
        <v>136</v>
      </c>
      <c r="L15" s="18" t="s">
        <v>137</v>
      </c>
      <c r="M15" s="19" t="s">
        <v>138</v>
      </c>
      <c r="N15" s="20" t="s">
        <v>678</v>
      </c>
      <c r="O15" s="20" t="s">
        <v>679</v>
      </c>
      <c r="P15" s="20" t="s">
        <v>680</v>
      </c>
      <c r="Q15" s="20" t="s">
        <v>681</v>
      </c>
      <c r="R15" s="20" t="s">
        <v>682</v>
      </c>
      <c r="S15" s="20" t="s">
        <v>683</v>
      </c>
      <c r="T15" s="20" t="s">
        <v>684</v>
      </c>
      <c r="U15" s="20" t="s">
        <v>685</v>
      </c>
      <c r="V15" s="20" t="s">
        <v>686</v>
      </c>
      <c r="W15" s="19" t="s">
        <v>687</v>
      </c>
      <c r="X15" s="20" t="s">
        <v>688</v>
      </c>
      <c r="Y15" s="20" t="s">
        <v>689</v>
      </c>
      <c r="Z15" s="21" t="s">
        <v>690</v>
      </c>
      <c r="AA15" s="18" t="s">
        <v>129</v>
      </c>
    </row>
    <row r="16" spans="2:27" x14ac:dyDescent="0.2">
      <c r="B16" s="159" t="s" vm="1">
        <v>142</v>
      </c>
      <c r="C16" s="154" t="str" vm="335">
        <f xml:space="preserve"> INDEX( VfM_Metrics_2023_Consol_Source[RP_Code], MATCH( tblFilterRegion[[#This Row],[RP_Name]], VfM_Metrics_2023_Consol_Source[RP_Name], 0 ) )</f>
        <v>L4240</v>
      </c>
      <c r="D16" s="81">
        <f xml:space="preserve"> MATCH( tblFilterRegion[[#This Row],[RP_Code]], VfM_Metrics_2023_Consol_Source[RP_Code], 0 )</f>
        <v>1</v>
      </c>
      <c r="E16" s="22" cm="1">
        <f t="array" ref="E16" xml:space="preserve"> INDEX( VfM_Metrics_2023_Consol_Source[], $D16, E$14 )</f>
        <v>0.47504424778761062</v>
      </c>
      <c r="F16" s="22" cm="1">
        <f t="array" ref="F16" xml:space="preserve"> INDEX( VfM_Metrics_2023_Consol_Source[], $D16, F$14 )</f>
        <v>0.5151622418879056</v>
      </c>
      <c r="G16" s="22" cm="1">
        <f t="array" ref="G16" xml:space="preserve"> INDEX( VfM_Metrics_2023_Consol_Source[], $D16, G$14 )</f>
        <v>9.7541789577187815E-3</v>
      </c>
      <c r="H16" s="22" cm="1">
        <f t="array" ref="H16" xml:space="preserve"> INDEX( VfM_Metrics_2023_Consol_Source[], $D16, H$14 )</f>
        <v>0</v>
      </c>
      <c r="I16" s="22" cm="1">
        <f t="array" ref="I16" xml:space="preserve"> INDEX( VfM_Metrics_2023_Consol_Source[], $D16, I$14 )</f>
        <v>0</v>
      </c>
      <c r="J16" s="22" cm="1">
        <f t="array" ref="J16" xml:space="preserve"> INDEX( VfM_Metrics_2023_Consol_Source[], $D16, J$14 )</f>
        <v>3.9331366764995083E-5</v>
      </c>
      <c r="K16" s="22" cm="1">
        <f t="array" ref="K16" xml:space="preserve"> INDEX( VfM_Metrics_2023_Consol_Source[], $D16, K$14 )</f>
        <v>0</v>
      </c>
      <c r="L16" s="22" cm="1">
        <f t="array" ref="L16" xml:space="preserve"> INDEX( VfM_Metrics_2023_Consol_Source[], $D16, L$14 )</f>
        <v>0</v>
      </c>
      <c r="M16" s="22" cm="1">
        <f t="array" ref="M16" xml:space="preserve"> INDEX( VfM_Metrics_2023_Consol_Source[], $D16, M$14 )</f>
        <v>0</v>
      </c>
      <c r="N16" s="23">
        <f xml:space="preserve"> -- AND( tblFilterRegion[[#This Row],[London]] &gt;= $N$10, N$13 = "Yes" )</f>
        <v>0</v>
      </c>
      <c r="O16" s="23">
        <f xml:space="preserve"> -- AND( tblFilterRegion[[#This Row],[South East]] &gt;= $N$10, O$13 = "Yes" )</f>
        <v>0</v>
      </c>
      <c r="P16" s="23">
        <f xml:space="preserve"> -- AND( tblFilterRegion[[#This Row],[South West]] &gt;= $N$10, P$13 = "Yes" )</f>
        <v>0</v>
      </c>
      <c r="Q16" s="23">
        <f xml:space="preserve"> -- AND( tblFilterRegion[[#This Row],[East Midlands]] &gt;= $N$10, Q$13 = "Yes" )</f>
        <v>0</v>
      </c>
      <c r="R16" s="23">
        <f xml:space="preserve"> -- AND( tblFilterRegion[[#This Row],[West Midlands]] &gt;= $N$10, R$13 = "Yes" )</f>
        <v>0</v>
      </c>
      <c r="S16" s="23">
        <f xml:space="preserve"> -- AND( tblFilterRegion[[#This Row],[East of England]] &gt;= $N$10, S$13 = "Yes" )</f>
        <v>0</v>
      </c>
      <c r="T16" s="23">
        <f xml:space="preserve"> -- AND( tblFilterRegion[[#This Row],[North East]] &gt;= $N$10, T$13 = "Yes" )</f>
        <v>0</v>
      </c>
      <c r="U16" s="23">
        <f xml:space="preserve"> -- AND( tblFilterRegion[[#This Row],[North West]] &gt;= $N$10, U$13 = "Yes" )</f>
        <v>0</v>
      </c>
      <c r="V16" s="23">
        <f xml:space="preserve"> -- AND( tblFilterRegion[[#This Row],[Yorkshire &amp; the Humber]] &gt;= $N$10, V$13 = "Yes" )</f>
        <v>0</v>
      </c>
      <c r="W16" s="22">
        <f xml:space="preserve"> SUMIF( $E$13:$M$13, "Yes", tblFilterRegion[[#This Row],[London]:[Yorkshire &amp; the Humber]] )</f>
        <v>0</v>
      </c>
      <c r="X16" s="23">
        <f xml:space="preserve"> -- ( SUM( tblFilterRegion[[#This Row],[Incl for Lon]:[Incl for YH]] ) &gt; 0 )</f>
        <v>0</v>
      </c>
      <c r="Y16" s="23">
        <f xml:space="preserve"> -- ( tblFilterRegion[[#This Row],[Total in selected regions]] &gt; $N$10 )</f>
        <v>0</v>
      </c>
      <c r="Z16" s="24">
        <f xml:space="preserve"> IF( RegionMinimum = 0, 1, IF( $R$10 = $U$8, tblFilterRegion[[#This Row],[Include for region - any]], IF( $R$10 = $U$10, tblFilterRegion[[#This Row],[Include for region - total]], "CHECK" ) ) )</f>
        <v>1</v>
      </c>
      <c r="AA16" s="131" t="str" cm="1">
        <f t="array" ref="AA16" xml:space="preserve"> INDEX( VfM_Metrics_2023_Consol_Source[], $D16, AA$14 )</f>
        <v>South East</v>
      </c>
    </row>
    <row r="17" spans="2:27" x14ac:dyDescent="0.2">
      <c r="B17" s="159" t="s" vm="2">
        <v>146</v>
      </c>
      <c r="C17" s="154" t="str" vm="254">
        <f xml:space="preserve"> INDEX( VfM_Metrics_2023_Consol_Source[RP_Code], MATCH( tblFilterRegion[[#This Row],[RP_Name]], VfM_Metrics_2023_Consol_Source[RP_Name], 0 ) )</f>
        <v>L4172</v>
      </c>
      <c r="D17" s="81">
        <f xml:space="preserve"> MATCH( tblFilterRegion[[#This Row],[RP_Code]], VfM_Metrics_2023_Consol_Source[RP_Code], 0 )</f>
        <v>2</v>
      </c>
      <c r="E17" s="22" cm="1">
        <f t="array" ref="E17" xml:space="preserve"> INDEX( VfM_Metrics_2023_Consol_Source[], $D17, E$14 )</f>
        <v>0</v>
      </c>
      <c r="F17" s="22" cm="1">
        <f t="array" ref="F17" xml:space="preserve"> INDEX( VfM_Metrics_2023_Consol_Source[], $D17, F$14 )</f>
        <v>0.58751324070035515</v>
      </c>
      <c r="G17" s="22" cm="1">
        <f t="array" ref="G17" xml:space="preserve"> INDEX( VfM_Metrics_2023_Consol_Source[], $D17, G$14 )</f>
        <v>0.41248675929964485</v>
      </c>
      <c r="H17" s="22" cm="1">
        <f t="array" ref="H17" xml:space="preserve"> INDEX( VfM_Metrics_2023_Consol_Source[], $D17, H$14 )</f>
        <v>0</v>
      </c>
      <c r="I17" s="22" cm="1">
        <f t="array" ref="I17" xml:space="preserve"> INDEX( VfM_Metrics_2023_Consol_Source[], $D17, I$14 )</f>
        <v>0</v>
      </c>
      <c r="J17" s="22" cm="1">
        <f t="array" ref="J17" xml:space="preserve"> INDEX( VfM_Metrics_2023_Consol_Source[], $D17, J$14 )</f>
        <v>0</v>
      </c>
      <c r="K17" s="22" cm="1">
        <f t="array" ref="K17" xml:space="preserve"> INDEX( VfM_Metrics_2023_Consol_Source[], $D17, K$14 )</f>
        <v>0</v>
      </c>
      <c r="L17" s="22" cm="1">
        <f t="array" ref="L17" xml:space="preserve"> INDEX( VfM_Metrics_2023_Consol_Source[], $D17, L$14 )</f>
        <v>0</v>
      </c>
      <c r="M17" s="22" cm="1">
        <f t="array" ref="M17" xml:space="preserve"> INDEX( VfM_Metrics_2023_Consol_Source[], $D17, M$14 )</f>
        <v>0</v>
      </c>
      <c r="N17" s="23">
        <f xml:space="preserve"> -- AND( tblFilterRegion[[#This Row],[London]] &gt;= $N$10, N$13 = "Yes" )</f>
        <v>0</v>
      </c>
      <c r="O17" s="23">
        <f xml:space="preserve"> -- AND( tblFilterRegion[[#This Row],[South East]] &gt;= $N$10, O$13 = "Yes" )</f>
        <v>0</v>
      </c>
      <c r="P17" s="23">
        <f xml:space="preserve"> -- AND( tblFilterRegion[[#This Row],[South West]] &gt;= $N$10, P$13 = "Yes" )</f>
        <v>0</v>
      </c>
      <c r="Q17" s="23">
        <f xml:space="preserve"> -- AND( tblFilterRegion[[#This Row],[East Midlands]] &gt;= $N$10, Q$13 = "Yes" )</f>
        <v>0</v>
      </c>
      <c r="R17" s="23">
        <f xml:space="preserve"> -- AND( tblFilterRegion[[#This Row],[West Midlands]] &gt;= $N$10, R$13 = "Yes" )</f>
        <v>0</v>
      </c>
      <c r="S17" s="23">
        <f xml:space="preserve"> -- AND( tblFilterRegion[[#This Row],[East of England]] &gt;= $N$10, S$13 = "Yes" )</f>
        <v>0</v>
      </c>
      <c r="T17" s="23">
        <f xml:space="preserve"> -- AND( tblFilterRegion[[#This Row],[North East]] &gt;= $N$10, T$13 = "Yes" )</f>
        <v>0</v>
      </c>
      <c r="U17" s="23">
        <f xml:space="preserve"> -- AND( tblFilterRegion[[#This Row],[North West]] &gt;= $N$10, U$13 = "Yes" )</f>
        <v>0</v>
      </c>
      <c r="V17" s="23">
        <f xml:space="preserve"> -- AND( tblFilterRegion[[#This Row],[Yorkshire &amp; the Humber]] &gt;= $N$10, V$13 = "Yes" )</f>
        <v>0</v>
      </c>
      <c r="W17" s="22">
        <f xml:space="preserve"> SUMIF( $E$13:$M$13, "Yes", tblFilterRegion[[#This Row],[London]:[Yorkshire &amp; the Humber]] )</f>
        <v>0</v>
      </c>
      <c r="X17" s="23">
        <f xml:space="preserve"> -- ( SUM( tblFilterRegion[[#This Row],[Incl for Lon]:[Incl for YH]] ) &gt; 0 )</f>
        <v>0</v>
      </c>
      <c r="Y17" s="23">
        <f xml:space="preserve"> -- ( tblFilterRegion[[#This Row],[Total in selected regions]] &gt; $N$10 )</f>
        <v>0</v>
      </c>
      <c r="Z17" s="24">
        <f xml:space="preserve"> IF( RegionMinimum = 0, 1, IF( $R$10 = $U$8, tblFilterRegion[[#This Row],[Include for region - any]], IF( $R$10 = $U$10, tblFilterRegion[[#This Row],[Include for region - total]], "CHECK" ) ) )</f>
        <v>1</v>
      </c>
      <c r="AA17" s="131" t="str" cm="1">
        <f t="array" ref="AA17" xml:space="preserve"> INDEX( VfM_Metrics_2023_Consol_Source[], $D17, AA$14 )</f>
        <v>South East</v>
      </c>
    </row>
    <row r="18" spans="2:27" x14ac:dyDescent="0.2">
      <c r="B18" s="159" t="s" vm="3">
        <v>148</v>
      </c>
      <c r="C18" s="154" t="str" vm="298">
        <f xml:space="preserve"> INDEX( VfM_Metrics_2023_Consol_Source[RP_Code], MATCH( tblFilterRegion[[#This Row],[RP_Name]], VfM_Metrics_2023_Consol_Source[RP_Name], 0 ) )</f>
        <v>L4511</v>
      </c>
      <c r="D18" s="81">
        <f xml:space="preserve"> MATCH( tblFilterRegion[[#This Row],[RP_Code]], VfM_Metrics_2023_Consol_Source[RP_Code], 0 )</f>
        <v>3</v>
      </c>
      <c r="E18" s="22" cm="1">
        <f t="array" ref="E18" xml:space="preserve"> INDEX( VfM_Metrics_2023_Consol_Source[], $D18, E$14 )</f>
        <v>1.9991582491582492E-3</v>
      </c>
      <c r="F18" s="22" cm="1">
        <f t="array" ref="F18" xml:space="preserve"> INDEX( VfM_Metrics_2023_Consol_Source[], $D18, F$14 )</f>
        <v>0.20533459595959597</v>
      </c>
      <c r="G18" s="22" cm="1">
        <f t="array" ref="G18" xml:space="preserve"> INDEX( VfM_Metrics_2023_Consol_Source[], $D18, G$14 )</f>
        <v>0</v>
      </c>
      <c r="H18" s="22" cm="1">
        <f t="array" ref="H18" xml:space="preserve"> INDEX( VfM_Metrics_2023_Consol_Source[], $D18, H$14 )</f>
        <v>5.8922558922558925E-2</v>
      </c>
      <c r="I18" s="22" cm="1">
        <f t="array" ref="I18" xml:space="preserve"> INDEX( VfM_Metrics_2023_Consol_Source[], $D18, I$14 )</f>
        <v>0</v>
      </c>
      <c r="J18" s="22" cm="1">
        <f t="array" ref="J18" xml:space="preserve"> INDEX( VfM_Metrics_2023_Consol_Source[], $D18, J$14 )</f>
        <v>0.16629840067340068</v>
      </c>
      <c r="K18" s="22" cm="1">
        <f t="array" ref="K18" xml:space="preserve"> INDEX( VfM_Metrics_2023_Consol_Source[], $D18, K$14 )</f>
        <v>0.13604797979797981</v>
      </c>
      <c r="L18" s="22" cm="1">
        <f t="array" ref="L18" xml:space="preserve"> INDEX( VfM_Metrics_2023_Consol_Source[], $D18, L$14 )</f>
        <v>0.21148989898989898</v>
      </c>
      <c r="M18" s="22" cm="1">
        <f t="array" ref="M18" xml:space="preserve"> INDEX( VfM_Metrics_2023_Consol_Source[], $D18, M$14 )</f>
        <v>0.21990740740740741</v>
      </c>
      <c r="N18" s="23">
        <f xml:space="preserve"> -- AND( tblFilterRegion[[#This Row],[London]] &gt;= $N$10, N$13 = "Yes" )</f>
        <v>0</v>
      </c>
      <c r="O18" s="23">
        <f xml:space="preserve"> -- AND( tblFilterRegion[[#This Row],[South East]] &gt;= $N$10, O$13 = "Yes" )</f>
        <v>0</v>
      </c>
      <c r="P18" s="23">
        <f xml:space="preserve"> -- AND( tblFilterRegion[[#This Row],[South West]] &gt;= $N$10, P$13 = "Yes" )</f>
        <v>0</v>
      </c>
      <c r="Q18" s="23">
        <f xml:space="preserve"> -- AND( tblFilterRegion[[#This Row],[East Midlands]] &gt;= $N$10, Q$13 = "Yes" )</f>
        <v>0</v>
      </c>
      <c r="R18" s="23">
        <f xml:space="preserve"> -- AND( tblFilterRegion[[#This Row],[West Midlands]] &gt;= $N$10, R$13 = "Yes" )</f>
        <v>0</v>
      </c>
      <c r="S18" s="23">
        <f xml:space="preserve"> -- AND( tblFilterRegion[[#This Row],[East of England]] &gt;= $N$10, S$13 = "Yes" )</f>
        <v>0</v>
      </c>
      <c r="T18" s="23">
        <f xml:space="preserve"> -- AND( tblFilterRegion[[#This Row],[North East]] &gt;= $N$10, T$13 = "Yes" )</f>
        <v>0</v>
      </c>
      <c r="U18" s="23">
        <f xml:space="preserve"> -- AND( tblFilterRegion[[#This Row],[North West]] &gt;= $N$10, U$13 = "Yes" )</f>
        <v>0</v>
      </c>
      <c r="V18" s="23">
        <f xml:space="preserve"> -- AND( tblFilterRegion[[#This Row],[Yorkshire &amp; the Humber]] &gt;= $N$10, V$13 = "Yes" )</f>
        <v>0</v>
      </c>
      <c r="W18" s="22">
        <f xml:space="preserve"> SUMIF( $E$13:$M$13, "Yes", tblFilterRegion[[#This Row],[London]:[Yorkshire &amp; the Humber]] )</f>
        <v>0</v>
      </c>
      <c r="X18" s="23">
        <f xml:space="preserve"> -- ( SUM( tblFilterRegion[[#This Row],[Incl for Lon]:[Incl for YH]] ) &gt; 0 )</f>
        <v>0</v>
      </c>
      <c r="Y18" s="23">
        <f xml:space="preserve"> -- ( tblFilterRegion[[#This Row],[Total in selected regions]] &gt; $N$10 )</f>
        <v>0</v>
      </c>
      <c r="Z18" s="24">
        <f xml:space="preserve"> IF( RegionMinimum = 0, 1, IF( $R$10 = $U$8, tblFilterRegion[[#This Row],[Include for region - any]], IF( $R$10 = $U$10, tblFilterRegion[[#This Row],[Include for region - total]], "CHECK" ) ) )</f>
        <v>1</v>
      </c>
      <c r="AA18" s="131" t="str" cm="1">
        <f t="array" ref="AA18" xml:space="preserve"> INDEX( VfM_Metrics_2023_Consol_Source[], $D18, AA$14 )</f>
        <v>Mixed</v>
      </c>
    </row>
    <row r="19" spans="2:27" x14ac:dyDescent="0.2">
      <c r="B19" s="159" t="s" vm="4">
        <v>150</v>
      </c>
      <c r="C19" s="154" t="str" vm="392">
        <f xml:space="preserve"> INDEX( VfM_Metrics_2023_Consol_Source[RP_Code], MATCH( tblFilterRegion[[#This Row],[RP_Name]], VfM_Metrics_2023_Consol_Source[RP_Name], 0 ) )</f>
        <v>L4229</v>
      </c>
      <c r="D19" s="81">
        <f xml:space="preserve"> MATCH( tblFilterRegion[[#This Row],[RP_Code]], VfM_Metrics_2023_Consol_Source[RP_Code], 0 )</f>
        <v>4</v>
      </c>
      <c r="E19" s="22" cm="1">
        <f t="array" ref="E19" xml:space="preserve"> INDEX( VfM_Metrics_2023_Consol_Source[], $D19, E$14 )</f>
        <v>0</v>
      </c>
      <c r="F19" s="22" cm="1">
        <f t="array" ref="F19" xml:space="preserve"> INDEX( VfM_Metrics_2023_Consol_Source[], $D19, F$14 )</f>
        <v>0</v>
      </c>
      <c r="G19" s="22" cm="1">
        <f t="array" ref="G19" xml:space="preserve"> INDEX( VfM_Metrics_2023_Consol_Source[], $D19, G$14 )</f>
        <v>0</v>
      </c>
      <c r="H19" s="22" cm="1">
        <f t="array" ref="H19" xml:space="preserve"> INDEX( VfM_Metrics_2023_Consol_Source[], $D19, H$14 )</f>
        <v>0.76762481089258694</v>
      </c>
      <c r="I19" s="22" cm="1">
        <f t="array" ref="I19" xml:space="preserve"> INDEX( VfM_Metrics_2023_Consol_Source[], $D19, I$14 )</f>
        <v>0</v>
      </c>
      <c r="J19" s="22" cm="1">
        <f t="array" ref="J19" xml:space="preserve"> INDEX( VfM_Metrics_2023_Consol_Source[], $D19, J$14 )</f>
        <v>0</v>
      </c>
      <c r="K19" s="22" cm="1">
        <f t="array" ref="K19" xml:space="preserve"> INDEX( VfM_Metrics_2023_Consol_Source[], $D19, K$14 )</f>
        <v>0</v>
      </c>
      <c r="L19" s="22" cm="1">
        <f t="array" ref="L19" xml:space="preserve"> INDEX( VfM_Metrics_2023_Consol_Source[], $D19, L$14 )</f>
        <v>0</v>
      </c>
      <c r="M19" s="22" cm="1">
        <f t="array" ref="M19" xml:space="preserve"> INDEX( VfM_Metrics_2023_Consol_Source[], $D19, M$14 )</f>
        <v>0.232375189107413</v>
      </c>
      <c r="N19" s="23">
        <f xml:space="preserve"> -- AND( tblFilterRegion[[#This Row],[London]] &gt;= $N$10, N$13 = "Yes" )</f>
        <v>0</v>
      </c>
      <c r="O19" s="23">
        <f xml:space="preserve"> -- AND( tblFilterRegion[[#This Row],[South East]] &gt;= $N$10, O$13 = "Yes" )</f>
        <v>0</v>
      </c>
      <c r="P19" s="23">
        <f xml:space="preserve"> -- AND( tblFilterRegion[[#This Row],[South West]] &gt;= $N$10, P$13 = "Yes" )</f>
        <v>0</v>
      </c>
      <c r="Q19" s="23">
        <f xml:space="preserve"> -- AND( tblFilterRegion[[#This Row],[East Midlands]] &gt;= $N$10, Q$13 = "Yes" )</f>
        <v>0</v>
      </c>
      <c r="R19" s="23">
        <f xml:space="preserve"> -- AND( tblFilterRegion[[#This Row],[West Midlands]] &gt;= $N$10, R$13 = "Yes" )</f>
        <v>0</v>
      </c>
      <c r="S19" s="23">
        <f xml:space="preserve"> -- AND( tblFilterRegion[[#This Row],[East of England]] &gt;= $N$10, S$13 = "Yes" )</f>
        <v>0</v>
      </c>
      <c r="T19" s="23">
        <f xml:space="preserve"> -- AND( tblFilterRegion[[#This Row],[North East]] &gt;= $N$10, T$13 = "Yes" )</f>
        <v>0</v>
      </c>
      <c r="U19" s="23">
        <f xml:space="preserve"> -- AND( tblFilterRegion[[#This Row],[North West]] &gt;= $N$10, U$13 = "Yes" )</f>
        <v>0</v>
      </c>
      <c r="V19" s="23">
        <f xml:space="preserve"> -- AND( tblFilterRegion[[#This Row],[Yorkshire &amp; the Humber]] &gt;= $N$10, V$13 = "Yes" )</f>
        <v>0</v>
      </c>
      <c r="W19" s="22">
        <f xml:space="preserve"> SUMIF( $E$13:$M$13, "Yes", tblFilterRegion[[#This Row],[London]:[Yorkshire &amp; the Humber]] )</f>
        <v>0</v>
      </c>
      <c r="X19" s="23">
        <f xml:space="preserve"> -- ( SUM( tblFilterRegion[[#This Row],[Incl for Lon]:[Incl for YH]] ) &gt; 0 )</f>
        <v>0</v>
      </c>
      <c r="Y19" s="23">
        <f xml:space="preserve"> -- ( tblFilterRegion[[#This Row],[Total in selected regions]] &gt; $N$10 )</f>
        <v>0</v>
      </c>
      <c r="Z19" s="24">
        <f xml:space="preserve"> IF( RegionMinimum = 0, 1, IF( $R$10 = $U$8, tblFilterRegion[[#This Row],[Include for region - any]], IF( $R$10 = $U$10, tblFilterRegion[[#This Row],[Include for region - total]], "CHECK" ) ) )</f>
        <v>1</v>
      </c>
      <c r="AA19" s="131" t="str" cm="1">
        <f t="array" ref="AA19" xml:space="preserve"> INDEX( VfM_Metrics_2023_Consol_Source[], $D19, AA$14 )</f>
        <v>East Midlands</v>
      </c>
    </row>
    <row r="20" spans="2:27" x14ac:dyDescent="0.2">
      <c r="B20" s="159" t="s" vm="5">
        <v>153</v>
      </c>
      <c r="C20" s="154" t="str" vm="204">
        <f xml:space="preserve"> INDEX( VfM_Metrics_2023_Consol_Source[RP_Code], MATCH( tblFilterRegion[[#This Row],[RP_Name]], VfM_Metrics_2023_Consol_Source[RP_Name], 0 ) )</f>
        <v>LH0280</v>
      </c>
      <c r="D20" s="81">
        <f xml:space="preserve"> MATCH( tblFilterRegion[[#This Row],[RP_Code]], VfM_Metrics_2023_Consol_Source[RP_Code], 0 )</f>
        <v>5</v>
      </c>
      <c r="E20" s="22" cm="1">
        <f t="array" ref="E20" xml:space="preserve"> INDEX( VfM_Metrics_2023_Consol_Source[], $D20, E$14 )</f>
        <v>2.7089072543617997E-2</v>
      </c>
      <c r="F20" s="22" cm="1">
        <f t="array" ref="F20" xml:space="preserve"> INDEX( VfM_Metrics_2023_Consol_Source[], $D20, F$14 )</f>
        <v>0.28053259871441688</v>
      </c>
      <c r="G20" s="22" cm="1">
        <f t="array" ref="G20" xml:space="preserve"> INDEX( VfM_Metrics_2023_Consol_Source[], $D20, G$14 )</f>
        <v>0.32277318640955005</v>
      </c>
      <c r="H20" s="22" cm="1">
        <f t="array" ref="H20" xml:space="preserve"> INDEX( VfM_Metrics_2023_Consol_Source[], $D20, H$14 )</f>
        <v>0.24793388429752067</v>
      </c>
      <c r="I20" s="22" cm="1">
        <f t="array" ref="I20" xml:space="preserve"> INDEX( VfM_Metrics_2023_Consol_Source[], $D20, I$14 )</f>
        <v>8.7695133149678597E-2</v>
      </c>
      <c r="J20" s="22" cm="1">
        <f t="array" ref="J20" xml:space="preserve"> INDEX( VfM_Metrics_2023_Consol_Source[], $D20, J$14 )</f>
        <v>3.1221303948576674E-2</v>
      </c>
      <c r="K20" s="22" cm="1">
        <f t="array" ref="K20" xml:space="preserve"> INDEX( VfM_Metrics_2023_Consol_Source[], $D20, K$14 )</f>
        <v>4.591368227731864E-4</v>
      </c>
      <c r="L20" s="22" cm="1">
        <f t="array" ref="L20" xml:space="preserve"> INDEX( VfM_Metrics_2023_Consol_Source[], $D20, L$14 )</f>
        <v>9.1827364554637281E-4</v>
      </c>
      <c r="M20" s="22" cm="1">
        <f t="array" ref="M20" xml:space="preserve"> INDEX( VfM_Metrics_2023_Consol_Source[], $D20, M$14 )</f>
        <v>1.3774104683195593E-3</v>
      </c>
      <c r="N20" s="23">
        <f xml:space="preserve"> -- AND( tblFilterRegion[[#This Row],[London]] &gt;= $N$10, N$13 = "Yes" )</f>
        <v>0</v>
      </c>
      <c r="O20" s="23">
        <f xml:space="preserve"> -- AND( tblFilterRegion[[#This Row],[South East]] &gt;= $N$10, O$13 = "Yes" )</f>
        <v>0</v>
      </c>
      <c r="P20" s="23">
        <f xml:space="preserve"> -- AND( tblFilterRegion[[#This Row],[South West]] &gt;= $N$10, P$13 = "Yes" )</f>
        <v>0</v>
      </c>
      <c r="Q20" s="23">
        <f xml:space="preserve"> -- AND( tblFilterRegion[[#This Row],[East Midlands]] &gt;= $N$10, Q$13 = "Yes" )</f>
        <v>0</v>
      </c>
      <c r="R20" s="23">
        <f xml:space="preserve"> -- AND( tblFilterRegion[[#This Row],[West Midlands]] &gt;= $N$10, R$13 = "Yes" )</f>
        <v>0</v>
      </c>
      <c r="S20" s="23">
        <f xml:space="preserve"> -- AND( tblFilterRegion[[#This Row],[East of England]] &gt;= $N$10, S$13 = "Yes" )</f>
        <v>0</v>
      </c>
      <c r="T20" s="23">
        <f xml:space="preserve"> -- AND( tblFilterRegion[[#This Row],[North East]] &gt;= $N$10, T$13 = "Yes" )</f>
        <v>0</v>
      </c>
      <c r="U20" s="23">
        <f xml:space="preserve"> -- AND( tblFilterRegion[[#This Row],[North West]] &gt;= $N$10, U$13 = "Yes" )</f>
        <v>0</v>
      </c>
      <c r="V20" s="23">
        <f xml:space="preserve"> -- AND( tblFilterRegion[[#This Row],[Yorkshire &amp; the Humber]] &gt;= $N$10, V$13 = "Yes" )</f>
        <v>0</v>
      </c>
      <c r="W20" s="22">
        <f xml:space="preserve"> SUMIF( $E$13:$M$13, "Yes", tblFilterRegion[[#This Row],[London]:[Yorkshire &amp; the Humber]] )</f>
        <v>0</v>
      </c>
      <c r="X20" s="23">
        <f xml:space="preserve"> -- ( SUM( tblFilterRegion[[#This Row],[Incl for Lon]:[Incl for YH]] ) &gt; 0 )</f>
        <v>0</v>
      </c>
      <c r="Y20" s="23">
        <f xml:space="preserve"> -- ( tblFilterRegion[[#This Row],[Total in selected regions]] &gt; $N$10 )</f>
        <v>0</v>
      </c>
      <c r="Z20" s="24">
        <f xml:space="preserve"> IF( RegionMinimum = 0, 1, IF( $R$10 = $U$8, tblFilterRegion[[#This Row],[Include for region - any]], IF( $R$10 = $U$10, tblFilterRegion[[#This Row],[Include for region - total]], "CHECK" ) ) )</f>
        <v>1</v>
      </c>
      <c r="AA20" s="131" t="str" cm="1">
        <f t="array" ref="AA20" xml:space="preserve"> INDEX( VfM_Metrics_2023_Consol_Source[], $D20, AA$14 )</f>
        <v>Mixed</v>
      </c>
    </row>
    <row r="21" spans="2:27" x14ac:dyDescent="0.2">
      <c r="B21" s="159" t="s" vm="6">
        <v>155</v>
      </c>
      <c r="C21" s="154" t="str">
        <f xml:space="preserve"> INDEX( VfM_Metrics_2023_Consol_Source[RP_Code], MATCH( tblFilterRegion[[#This Row],[RP_Name]], VfM_Metrics_2023_Consol_Source[RP_Name], 0 ) )</f>
        <v>LH4095</v>
      </c>
      <c r="D21" s="81">
        <f xml:space="preserve"> MATCH( tblFilterRegion[[#This Row],[RP_Code]], VfM_Metrics_2023_Consol_Source[RP_Code], 0 )</f>
        <v>6</v>
      </c>
      <c r="E21" s="22" cm="1">
        <f t="array" ref="E21" xml:space="preserve"> INDEX( VfM_Metrics_2023_Consol_Source[], $D21, E$14 )</f>
        <v>0.12019956850053938</v>
      </c>
      <c r="F21" s="22" cm="1">
        <f t="array" ref="F21" xml:space="preserve"> INDEX( VfM_Metrics_2023_Consol_Source[], $D21, F$14 )</f>
        <v>0.13994066882416398</v>
      </c>
      <c r="G21" s="22" cm="1">
        <f t="array" ref="G21" xml:space="preserve"> INDEX( VfM_Metrics_2023_Consol_Source[], $D21, G$14 )</f>
        <v>7.5862998921251354E-2</v>
      </c>
      <c r="H21" s="22" cm="1">
        <f t="array" ref="H21" xml:space="preserve"> INDEX( VfM_Metrics_2023_Consol_Source[], $D21, H$14 )</f>
        <v>5.7281553398058252E-2</v>
      </c>
      <c r="I21" s="22" cm="1">
        <f t="array" ref="I21" xml:space="preserve"> INDEX( VfM_Metrics_2023_Consol_Source[], $D21, I$14 )</f>
        <v>7.1413160733549086E-2</v>
      </c>
      <c r="J21" s="22" cm="1">
        <f t="array" ref="J21" xml:space="preserve"> INDEX( VfM_Metrics_2023_Consol_Source[], $D21, J$14 )</f>
        <v>9.6359223300970867E-2</v>
      </c>
      <c r="K21" s="22" cm="1">
        <f t="array" ref="K21" xml:space="preserve"> INDEX( VfM_Metrics_2023_Consol_Source[], $D21, K$14 )</f>
        <v>0.12704962243797197</v>
      </c>
      <c r="L21" s="22" cm="1">
        <f t="array" ref="L21" xml:space="preserve"> INDEX( VfM_Metrics_2023_Consol_Source[], $D21, L$14 )</f>
        <v>0.17651024811218985</v>
      </c>
      <c r="M21" s="22" cm="1">
        <f t="array" ref="M21" xml:space="preserve"> INDEX( VfM_Metrics_2023_Consol_Source[], $D21, M$14 )</f>
        <v>0.1353829557713053</v>
      </c>
      <c r="N21" s="23">
        <f xml:space="preserve"> -- AND( tblFilterRegion[[#This Row],[London]] &gt;= $N$10, N$13 = "Yes" )</f>
        <v>0</v>
      </c>
      <c r="O21" s="23">
        <f xml:space="preserve"> -- AND( tblFilterRegion[[#This Row],[South East]] &gt;= $N$10, O$13 = "Yes" )</f>
        <v>0</v>
      </c>
      <c r="P21" s="23">
        <f xml:space="preserve"> -- AND( tblFilterRegion[[#This Row],[South West]] &gt;= $N$10, P$13 = "Yes" )</f>
        <v>0</v>
      </c>
      <c r="Q21" s="23">
        <f xml:space="preserve"> -- AND( tblFilterRegion[[#This Row],[East Midlands]] &gt;= $N$10, Q$13 = "Yes" )</f>
        <v>0</v>
      </c>
      <c r="R21" s="23">
        <f xml:space="preserve"> -- AND( tblFilterRegion[[#This Row],[West Midlands]] &gt;= $N$10, R$13 = "Yes" )</f>
        <v>0</v>
      </c>
      <c r="S21" s="23">
        <f xml:space="preserve"> -- AND( tblFilterRegion[[#This Row],[East of England]] &gt;= $N$10, S$13 = "Yes" )</f>
        <v>0</v>
      </c>
      <c r="T21" s="23">
        <f xml:space="preserve"> -- AND( tblFilterRegion[[#This Row],[North East]] &gt;= $N$10, T$13 = "Yes" )</f>
        <v>0</v>
      </c>
      <c r="U21" s="23">
        <f xml:space="preserve"> -- AND( tblFilterRegion[[#This Row],[North West]] &gt;= $N$10, U$13 = "Yes" )</f>
        <v>0</v>
      </c>
      <c r="V21" s="23">
        <f xml:space="preserve"> -- AND( tblFilterRegion[[#This Row],[Yorkshire &amp; the Humber]] &gt;= $N$10, V$13 = "Yes" )</f>
        <v>0</v>
      </c>
      <c r="W21" s="22">
        <f xml:space="preserve"> SUMIF( $E$13:$M$13, "Yes", tblFilterRegion[[#This Row],[London]:[Yorkshire &amp; the Humber]] )</f>
        <v>0</v>
      </c>
      <c r="X21" s="23">
        <f xml:space="preserve"> -- ( SUM( tblFilterRegion[[#This Row],[Incl for Lon]:[Incl for YH]] ) &gt; 0 )</f>
        <v>0</v>
      </c>
      <c r="Y21" s="23">
        <f xml:space="preserve"> -- ( tblFilterRegion[[#This Row],[Total in selected regions]] &gt; $N$10 )</f>
        <v>0</v>
      </c>
      <c r="Z21" s="24">
        <f xml:space="preserve"> IF( RegionMinimum = 0, 1, IF( $R$10 = $U$8, tblFilterRegion[[#This Row],[Include for region - any]], IF( $R$10 = $U$10, tblFilterRegion[[#This Row],[Include for region - total]], "CHECK" ) ) )</f>
        <v>1</v>
      </c>
      <c r="AA21" s="131" t="str" cm="1">
        <f t="array" ref="AA21" xml:space="preserve"> INDEX( VfM_Metrics_2023_Consol_Source[], $D21, AA$14 )</f>
        <v>Mixed</v>
      </c>
    </row>
    <row r="22" spans="2:27" x14ac:dyDescent="0.2">
      <c r="B22" s="159" t="s" vm="7">
        <v>157</v>
      </c>
      <c r="C22" s="154" t="str" vm="226">
        <f xml:space="preserve"> INDEX( VfM_Metrics_2023_Consol_Source[RP_Code], MATCH( tblFilterRegion[[#This Row],[RP_Name]], VfM_Metrics_2023_Consol_Source[RP_Name], 0 ) )</f>
        <v>L3713</v>
      </c>
      <c r="D22" s="81">
        <f xml:space="preserve"> MATCH( tblFilterRegion[[#This Row],[RP_Code]], VfM_Metrics_2023_Consol_Source[RP_Code], 0 )</f>
        <v>7</v>
      </c>
      <c r="E22" s="22" cm="1">
        <f t="array" ref="E22" xml:space="preserve"> INDEX( VfM_Metrics_2023_Consol_Source[], $D22, E$14 )</f>
        <v>0</v>
      </c>
      <c r="F22" s="22" cm="1">
        <f t="array" ref="F22" xml:space="preserve"> INDEX( VfM_Metrics_2023_Consol_Source[], $D22, F$14 )</f>
        <v>0</v>
      </c>
      <c r="G22" s="22" cm="1">
        <f t="array" ref="G22" xml:space="preserve"> INDEX( VfM_Metrics_2023_Consol_Source[], $D22, G$14 )</f>
        <v>0</v>
      </c>
      <c r="H22" s="22" cm="1">
        <f t="array" ref="H22" xml:space="preserve"> INDEX( VfM_Metrics_2023_Consol_Source[], $D22, H$14 )</f>
        <v>0</v>
      </c>
      <c r="I22" s="22" cm="1">
        <f t="array" ref="I22" xml:space="preserve"> INDEX( VfM_Metrics_2023_Consol_Source[], $D22, I$14 )</f>
        <v>0</v>
      </c>
      <c r="J22" s="22" cm="1">
        <f t="array" ref="J22" xml:space="preserve"> INDEX( VfM_Metrics_2023_Consol_Source[], $D22, J$14 )</f>
        <v>0</v>
      </c>
      <c r="K22" s="22" cm="1">
        <f t="array" ref="K22" xml:space="preserve"> INDEX( VfM_Metrics_2023_Consol_Source[], $D22, K$14 )</f>
        <v>0</v>
      </c>
      <c r="L22" s="22" cm="1">
        <f t="array" ref="L22" xml:space="preserve"> INDEX( VfM_Metrics_2023_Consol_Source[], $D22, L$14 )</f>
        <v>1</v>
      </c>
      <c r="M22" s="22" cm="1">
        <f t="array" ref="M22" xml:space="preserve"> INDEX( VfM_Metrics_2023_Consol_Source[], $D22, M$14 )</f>
        <v>0</v>
      </c>
      <c r="N22" s="23">
        <f xml:space="preserve"> -- AND( tblFilterRegion[[#This Row],[London]] &gt;= $N$10, N$13 = "Yes" )</f>
        <v>0</v>
      </c>
      <c r="O22" s="23">
        <f xml:space="preserve"> -- AND( tblFilterRegion[[#This Row],[South East]] &gt;= $N$10, O$13 = "Yes" )</f>
        <v>0</v>
      </c>
      <c r="P22" s="23">
        <f xml:space="preserve"> -- AND( tblFilterRegion[[#This Row],[South West]] &gt;= $N$10, P$13 = "Yes" )</f>
        <v>0</v>
      </c>
      <c r="Q22" s="23">
        <f xml:space="preserve"> -- AND( tblFilterRegion[[#This Row],[East Midlands]] &gt;= $N$10, Q$13 = "Yes" )</f>
        <v>0</v>
      </c>
      <c r="R22" s="23">
        <f xml:space="preserve"> -- AND( tblFilterRegion[[#This Row],[West Midlands]] &gt;= $N$10, R$13 = "Yes" )</f>
        <v>0</v>
      </c>
      <c r="S22" s="23">
        <f xml:space="preserve"> -- AND( tblFilterRegion[[#This Row],[East of England]] &gt;= $N$10, S$13 = "Yes" )</f>
        <v>0</v>
      </c>
      <c r="T22" s="23">
        <f xml:space="preserve"> -- AND( tblFilterRegion[[#This Row],[North East]] &gt;= $N$10, T$13 = "Yes" )</f>
        <v>0</v>
      </c>
      <c r="U22" s="23">
        <f xml:space="preserve"> -- AND( tblFilterRegion[[#This Row],[North West]] &gt;= $N$10, U$13 = "Yes" )</f>
        <v>0</v>
      </c>
      <c r="V22" s="23">
        <f xml:space="preserve"> -- AND( tblFilterRegion[[#This Row],[Yorkshire &amp; the Humber]] &gt;= $N$10, V$13 = "Yes" )</f>
        <v>0</v>
      </c>
      <c r="W22" s="22">
        <f xml:space="preserve"> SUMIF( $E$13:$M$13, "Yes", tblFilterRegion[[#This Row],[London]:[Yorkshire &amp; the Humber]] )</f>
        <v>0</v>
      </c>
      <c r="X22" s="23">
        <f xml:space="preserve"> -- ( SUM( tblFilterRegion[[#This Row],[Incl for Lon]:[Incl for YH]] ) &gt; 0 )</f>
        <v>0</v>
      </c>
      <c r="Y22" s="23">
        <f xml:space="preserve"> -- ( tblFilterRegion[[#This Row],[Total in selected regions]] &gt; $N$10 )</f>
        <v>0</v>
      </c>
      <c r="Z22" s="24">
        <f xml:space="preserve"> IF( RegionMinimum = 0, 1, IF( $R$10 = $U$8, tblFilterRegion[[#This Row],[Include for region - any]], IF( $R$10 = $U$10, tblFilterRegion[[#This Row],[Include for region - total]], "CHECK" ) ) )</f>
        <v>1</v>
      </c>
      <c r="AA22" s="131" t="str" cm="1">
        <f t="array" ref="AA22" xml:space="preserve"> INDEX( VfM_Metrics_2023_Consol_Source[], $D22, AA$14 )</f>
        <v>North West</v>
      </c>
    </row>
    <row r="23" spans="2:27" x14ac:dyDescent="0.2">
      <c r="B23" s="159" t="s" vm="8">
        <v>159</v>
      </c>
      <c r="C23" s="154" t="str" vm="233">
        <f xml:space="preserve"> INDEX( VfM_Metrics_2023_Consol_Source[RP_Code], MATCH( tblFilterRegion[[#This Row],[RP_Name]], VfM_Metrics_2023_Consol_Source[RP_Name], 0 ) )</f>
        <v>LH0884</v>
      </c>
      <c r="D23" s="81">
        <f xml:space="preserve"> MATCH( tblFilterRegion[[#This Row],[RP_Code]], VfM_Metrics_2023_Consol_Source[RP_Code], 0 )</f>
        <v>8</v>
      </c>
      <c r="E23" s="22" cm="1">
        <f t="array" ref="E23" xml:space="preserve"> INDEX( VfM_Metrics_2023_Consol_Source[], $D23, E$14 )</f>
        <v>0</v>
      </c>
      <c r="F23" s="22" cm="1">
        <f t="array" ref="F23" xml:space="preserve"> INDEX( VfM_Metrics_2023_Consol_Source[], $D23, F$14 )</f>
        <v>0</v>
      </c>
      <c r="G23" s="22" cm="1">
        <f t="array" ref="G23" xml:space="preserve"> INDEX( VfM_Metrics_2023_Consol_Source[], $D23, G$14 )</f>
        <v>0</v>
      </c>
      <c r="H23" s="22" cm="1">
        <f t="array" ref="H23" xml:space="preserve"> INDEX( VfM_Metrics_2023_Consol_Source[], $D23, H$14 )</f>
        <v>9.8784194528875376E-3</v>
      </c>
      <c r="I23" s="22" cm="1">
        <f t="array" ref="I23" xml:space="preserve"> INDEX( VfM_Metrics_2023_Consol_Source[], $D23, I$14 )</f>
        <v>0</v>
      </c>
      <c r="J23" s="22" cm="1">
        <f t="array" ref="J23" xml:space="preserve"> INDEX( VfM_Metrics_2023_Consol_Source[], $D23, J$14 )</f>
        <v>0</v>
      </c>
      <c r="K23" s="22" cm="1">
        <f t="array" ref="K23" xml:space="preserve"> INDEX( VfM_Metrics_2023_Consol_Source[], $D23, K$14 )</f>
        <v>0</v>
      </c>
      <c r="L23" s="22" cm="1">
        <f t="array" ref="L23" xml:space="preserve"> INDEX( VfM_Metrics_2023_Consol_Source[], $D23, L$14 )</f>
        <v>0</v>
      </c>
      <c r="M23" s="22" cm="1">
        <f t="array" ref="M23" xml:space="preserve"> INDEX( VfM_Metrics_2023_Consol_Source[], $D23, M$14 )</f>
        <v>0.99012158054711241</v>
      </c>
      <c r="N23" s="23">
        <f xml:space="preserve"> -- AND( tblFilterRegion[[#This Row],[London]] &gt;= $N$10, N$13 = "Yes" )</f>
        <v>0</v>
      </c>
      <c r="O23" s="23">
        <f xml:space="preserve"> -- AND( tblFilterRegion[[#This Row],[South East]] &gt;= $N$10, O$13 = "Yes" )</f>
        <v>0</v>
      </c>
      <c r="P23" s="23">
        <f xml:space="preserve"> -- AND( tblFilterRegion[[#This Row],[South West]] &gt;= $N$10, P$13 = "Yes" )</f>
        <v>0</v>
      </c>
      <c r="Q23" s="23">
        <f xml:space="preserve"> -- AND( tblFilterRegion[[#This Row],[East Midlands]] &gt;= $N$10, Q$13 = "Yes" )</f>
        <v>0</v>
      </c>
      <c r="R23" s="23">
        <f xml:space="preserve"> -- AND( tblFilterRegion[[#This Row],[West Midlands]] &gt;= $N$10, R$13 = "Yes" )</f>
        <v>0</v>
      </c>
      <c r="S23" s="23">
        <f xml:space="preserve"> -- AND( tblFilterRegion[[#This Row],[East of England]] &gt;= $N$10, S$13 = "Yes" )</f>
        <v>0</v>
      </c>
      <c r="T23" s="23">
        <f xml:space="preserve"> -- AND( tblFilterRegion[[#This Row],[North East]] &gt;= $N$10, T$13 = "Yes" )</f>
        <v>0</v>
      </c>
      <c r="U23" s="23">
        <f xml:space="preserve"> -- AND( tblFilterRegion[[#This Row],[North West]] &gt;= $N$10, U$13 = "Yes" )</f>
        <v>0</v>
      </c>
      <c r="V23" s="23">
        <f xml:space="preserve"> -- AND( tblFilterRegion[[#This Row],[Yorkshire &amp; the Humber]] &gt;= $N$10, V$13 = "Yes" )</f>
        <v>0</v>
      </c>
      <c r="W23" s="22">
        <f xml:space="preserve"> SUMIF( $E$13:$M$13, "Yes", tblFilterRegion[[#This Row],[London]:[Yorkshire &amp; the Humber]] )</f>
        <v>0</v>
      </c>
      <c r="X23" s="23">
        <f xml:space="preserve"> -- ( SUM( tblFilterRegion[[#This Row],[Incl for Lon]:[Incl for YH]] ) &gt; 0 )</f>
        <v>0</v>
      </c>
      <c r="Y23" s="23">
        <f xml:space="preserve"> -- ( tblFilterRegion[[#This Row],[Total in selected regions]] &gt; $N$10 )</f>
        <v>0</v>
      </c>
      <c r="Z23" s="24">
        <f xml:space="preserve"> IF( RegionMinimum = 0, 1, IF( $R$10 = $U$8, tblFilterRegion[[#This Row],[Include for region - any]], IF( $R$10 = $U$10, tblFilterRegion[[#This Row],[Include for region - total]], "CHECK" ) ) )</f>
        <v>1</v>
      </c>
      <c r="AA23" s="131" t="str" cm="1">
        <f t="array" ref="AA23" xml:space="preserve"> INDEX( VfM_Metrics_2023_Consol_Source[], $D23, AA$14 )</f>
        <v>Yorkshire &amp; the Humber</v>
      </c>
    </row>
    <row r="24" spans="2:27" x14ac:dyDescent="0.2">
      <c r="B24" s="159" t="s" vm="9">
        <v>161</v>
      </c>
      <c r="C24" s="154" t="str" vm="385">
        <f xml:space="preserve"> INDEX( VfM_Metrics_2023_Consol_Source[RP_Code], MATCH( tblFilterRegion[[#This Row],[RP_Name]], VfM_Metrics_2023_Consol_Source[RP_Name], 0 ) )</f>
        <v>L4238</v>
      </c>
      <c r="D24" s="81">
        <f xml:space="preserve"> MATCH( tblFilterRegion[[#This Row],[RP_Code]], VfM_Metrics_2023_Consol_Source[RP_Code], 0 )</f>
        <v>9</v>
      </c>
      <c r="E24" s="22" cm="1">
        <f t="array" ref="E24" xml:space="preserve"> INDEX( VfM_Metrics_2023_Consol_Source[], $D24, E$14 )</f>
        <v>0</v>
      </c>
      <c r="F24" s="22" cm="1">
        <f t="array" ref="F24" xml:space="preserve"> INDEX( VfM_Metrics_2023_Consol_Source[], $D24, F$14 )</f>
        <v>0</v>
      </c>
      <c r="G24" s="22" cm="1">
        <f t="array" ref="G24" xml:space="preserve"> INDEX( VfM_Metrics_2023_Consol_Source[], $D24, G$14 )</f>
        <v>0</v>
      </c>
      <c r="H24" s="22" cm="1">
        <f t="array" ref="H24" xml:space="preserve"> INDEX( VfM_Metrics_2023_Consol_Source[], $D24, H$14 )</f>
        <v>0</v>
      </c>
      <c r="I24" s="22" cm="1">
        <f t="array" ref="I24" xml:space="preserve"> INDEX( VfM_Metrics_2023_Consol_Source[], $D24, I$14 )</f>
        <v>0.9043010752688172</v>
      </c>
      <c r="J24" s="22" cm="1">
        <f t="array" ref="J24" xml:space="preserve"> INDEX( VfM_Metrics_2023_Consol_Source[], $D24, J$14 )</f>
        <v>0</v>
      </c>
      <c r="K24" s="22" cm="1">
        <f t="array" ref="K24" xml:space="preserve"> INDEX( VfM_Metrics_2023_Consol_Source[], $D24, K$14 )</f>
        <v>0</v>
      </c>
      <c r="L24" s="22" cm="1">
        <f t="array" ref="L24" xml:space="preserve"> INDEX( VfM_Metrics_2023_Consol_Source[], $D24, L$14 )</f>
        <v>9.56989247311828E-2</v>
      </c>
      <c r="M24" s="22" cm="1">
        <f t="array" ref="M24" xml:space="preserve"> INDEX( VfM_Metrics_2023_Consol_Source[], $D24, M$14 )</f>
        <v>0</v>
      </c>
      <c r="N24" s="23">
        <f xml:space="preserve"> -- AND( tblFilterRegion[[#This Row],[London]] &gt;= $N$10, N$13 = "Yes" )</f>
        <v>0</v>
      </c>
      <c r="O24" s="23">
        <f xml:space="preserve"> -- AND( tblFilterRegion[[#This Row],[South East]] &gt;= $N$10, O$13 = "Yes" )</f>
        <v>0</v>
      </c>
      <c r="P24" s="23">
        <f xml:space="preserve"> -- AND( tblFilterRegion[[#This Row],[South West]] &gt;= $N$10, P$13 = "Yes" )</f>
        <v>0</v>
      </c>
      <c r="Q24" s="23">
        <f xml:space="preserve"> -- AND( tblFilterRegion[[#This Row],[East Midlands]] &gt;= $N$10, Q$13 = "Yes" )</f>
        <v>0</v>
      </c>
      <c r="R24" s="23">
        <f xml:space="preserve"> -- AND( tblFilterRegion[[#This Row],[West Midlands]] &gt;= $N$10, R$13 = "Yes" )</f>
        <v>0</v>
      </c>
      <c r="S24" s="23">
        <f xml:space="preserve"> -- AND( tblFilterRegion[[#This Row],[East of England]] &gt;= $N$10, S$13 = "Yes" )</f>
        <v>0</v>
      </c>
      <c r="T24" s="23">
        <f xml:space="preserve"> -- AND( tblFilterRegion[[#This Row],[North East]] &gt;= $N$10, T$13 = "Yes" )</f>
        <v>0</v>
      </c>
      <c r="U24" s="23">
        <f xml:space="preserve"> -- AND( tblFilterRegion[[#This Row],[North West]] &gt;= $N$10, U$13 = "Yes" )</f>
        <v>0</v>
      </c>
      <c r="V24" s="23">
        <f xml:space="preserve"> -- AND( tblFilterRegion[[#This Row],[Yorkshire &amp; the Humber]] &gt;= $N$10, V$13 = "Yes" )</f>
        <v>0</v>
      </c>
      <c r="W24" s="22">
        <f xml:space="preserve"> SUMIF( $E$13:$M$13, "Yes", tblFilterRegion[[#This Row],[London]:[Yorkshire &amp; the Humber]] )</f>
        <v>0</v>
      </c>
      <c r="X24" s="23">
        <f xml:space="preserve"> -- ( SUM( tblFilterRegion[[#This Row],[Incl for Lon]:[Incl for YH]] ) &gt; 0 )</f>
        <v>0</v>
      </c>
      <c r="Y24" s="23">
        <f xml:space="preserve"> -- ( tblFilterRegion[[#This Row],[Total in selected regions]] &gt; $N$10 )</f>
        <v>0</v>
      </c>
      <c r="Z24" s="24">
        <f xml:space="preserve"> IF( RegionMinimum = 0, 1, IF( $R$10 = $U$8, tblFilterRegion[[#This Row],[Include for region - any]], IF( $R$10 = $U$10, tblFilterRegion[[#This Row],[Include for region - total]], "CHECK" ) ) )</f>
        <v>1</v>
      </c>
      <c r="AA24" s="131" t="str" cm="1">
        <f t="array" ref="AA24" xml:space="preserve"> INDEX( VfM_Metrics_2023_Consol_Source[], $D24, AA$14 )</f>
        <v>West Midlands</v>
      </c>
    </row>
    <row r="25" spans="2:27" x14ac:dyDescent="0.2">
      <c r="B25" s="159" t="s" vm="10">
        <v>163</v>
      </c>
      <c r="C25" s="154" t="str" vm="250">
        <f xml:space="preserve"> INDEX( VfM_Metrics_2023_Consol_Source[RP_Code], MATCH( tblFilterRegion[[#This Row],[RP_Name]], VfM_Metrics_2023_Consol_Source[RP_Name], 0 ) )</f>
        <v>L4393</v>
      </c>
      <c r="D25" s="81">
        <f xml:space="preserve"> MATCH( tblFilterRegion[[#This Row],[RP_Code]], VfM_Metrics_2023_Consol_Source[RP_Code], 0 )</f>
        <v>10</v>
      </c>
      <c r="E25" s="22" cm="1">
        <f t="array" ref="E25" xml:space="preserve"> INDEX( VfM_Metrics_2023_Consol_Source[], $D25, E$14 )</f>
        <v>4.81462940604847E-2</v>
      </c>
      <c r="F25" s="22" cm="1">
        <f t="array" ref="F25" xml:space="preserve"> INDEX( VfM_Metrics_2023_Consol_Source[], $D25, F$14 )</f>
        <v>0.25869430784180925</v>
      </c>
      <c r="G25" s="22" cm="1">
        <f t="array" ref="G25" xml:space="preserve"> INDEX( VfM_Metrics_2023_Consol_Source[], $D25, G$14 )</f>
        <v>0.6931593980977061</v>
      </c>
      <c r="H25" s="22" cm="1">
        <f t="array" ref="H25" xml:space="preserve"> INDEX( VfM_Metrics_2023_Consol_Source[], $D25, H$14 )</f>
        <v>0</v>
      </c>
      <c r="I25" s="22" cm="1">
        <f t="array" ref="I25" xml:space="preserve"> INDEX( VfM_Metrics_2023_Consol_Source[], $D25, I$14 )</f>
        <v>0</v>
      </c>
      <c r="J25" s="22" cm="1">
        <f t="array" ref="J25" xml:space="preserve"> INDEX( VfM_Metrics_2023_Consol_Source[], $D25, J$14 )</f>
        <v>0</v>
      </c>
      <c r="K25" s="22" cm="1">
        <f t="array" ref="K25" xml:space="preserve"> INDEX( VfM_Metrics_2023_Consol_Source[], $D25, K$14 )</f>
        <v>0</v>
      </c>
      <c r="L25" s="22" cm="1">
        <f t="array" ref="L25" xml:space="preserve"> INDEX( VfM_Metrics_2023_Consol_Source[], $D25, L$14 )</f>
        <v>0</v>
      </c>
      <c r="M25" s="22" cm="1">
        <f t="array" ref="M25" xml:space="preserve"> INDEX( VfM_Metrics_2023_Consol_Source[], $D25, M$14 )</f>
        <v>0</v>
      </c>
      <c r="N25" s="23">
        <f xml:space="preserve"> -- AND( tblFilterRegion[[#This Row],[London]] &gt;= $N$10, N$13 = "Yes" )</f>
        <v>0</v>
      </c>
      <c r="O25" s="23">
        <f xml:space="preserve"> -- AND( tblFilterRegion[[#This Row],[South East]] &gt;= $N$10, O$13 = "Yes" )</f>
        <v>0</v>
      </c>
      <c r="P25" s="23">
        <f xml:space="preserve"> -- AND( tblFilterRegion[[#This Row],[South West]] &gt;= $N$10, P$13 = "Yes" )</f>
        <v>0</v>
      </c>
      <c r="Q25" s="23">
        <f xml:space="preserve"> -- AND( tblFilterRegion[[#This Row],[East Midlands]] &gt;= $N$10, Q$13 = "Yes" )</f>
        <v>0</v>
      </c>
      <c r="R25" s="23">
        <f xml:space="preserve"> -- AND( tblFilterRegion[[#This Row],[West Midlands]] &gt;= $N$10, R$13 = "Yes" )</f>
        <v>0</v>
      </c>
      <c r="S25" s="23">
        <f xml:space="preserve"> -- AND( tblFilterRegion[[#This Row],[East of England]] &gt;= $N$10, S$13 = "Yes" )</f>
        <v>0</v>
      </c>
      <c r="T25" s="23">
        <f xml:space="preserve"> -- AND( tblFilterRegion[[#This Row],[North East]] &gt;= $N$10, T$13 = "Yes" )</f>
        <v>0</v>
      </c>
      <c r="U25" s="23">
        <f xml:space="preserve"> -- AND( tblFilterRegion[[#This Row],[North West]] &gt;= $N$10, U$13 = "Yes" )</f>
        <v>0</v>
      </c>
      <c r="V25" s="23">
        <f xml:space="preserve"> -- AND( tblFilterRegion[[#This Row],[Yorkshire &amp; the Humber]] &gt;= $N$10, V$13 = "Yes" )</f>
        <v>0</v>
      </c>
      <c r="W25" s="22">
        <f xml:space="preserve"> SUMIF( $E$13:$M$13, "Yes", tblFilterRegion[[#This Row],[London]:[Yorkshire &amp; the Humber]] )</f>
        <v>0</v>
      </c>
      <c r="X25" s="23">
        <f xml:space="preserve"> -- ( SUM( tblFilterRegion[[#This Row],[Incl for Lon]:[Incl for YH]] ) &gt; 0 )</f>
        <v>0</v>
      </c>
      <c r="Y25" s="23">
        <f xml:space="preserve"> -- ( tblFilterRegion[[#This Row],[Total in selected regions]] &gt; $N$10 )</f>
        <v>0</v>
      </c>
      <c r="Z25" s="24">
        <f xml:space="preserve"> IF( RegionMinimum = 0, 1, IF( $R$10 = $U$8, tblFilterRegion[[#This Row],[Include for region - any]], IF( $R$10 = $U$10, tblFilterRegion[[#This Row],[Include for region - total]], "CHECK" ) ) )</f>
        <v>1</v>
      </c>
      <c r="AA25" s="131" t="str" cm="1">
        <f t="array" ref="AA25" xml:space="preserve"> INDEX( VfM_Metrics_2023_Consol_Source[], $D25, AA$14 )</f>
        <v>South West</v>
      </c>
    </row>
    <row r="26" spans="2:27" x14ac:dyDescent="0.2">
      <c r="B26" s="159" t="s" vm="11">
        <v>165</v>
      </c>
      <c r="C26" s="154" t="str" vm="326">
        <f xml:space="preserve"> INDEX( VfM_Metrics_2023_Consol_Source[RP_Code], MATCH( tblFilterRegion[[#This Row],[RP_Name]], VfM_Metrics_2023_Consol_Source[RP_Name], 0 ) )</f>
        <v>L4455</v>
      </c>
      <c r="D26" s="81">
        <f xml:space="preserve"> MATCH( tblFilterRegion[[#This Row],[RP_Code]], VfM_Metrics_2023_Consol_Source[RP_Code], 0 )</f>
        <v>11</v>
      </c>
      <c r="E26" s="22" cm="1">
        <f t="array" ref="E26" xml:space="preserve"> INDEX( VfM_Metrics_2023_Consol_Source[], $D26, E$14 )</f>
        <v>0</v>
      </c>
      <c r="F26" s="22" cm="1">
        <f t="array" ref="F26" xml:space="preserve"> INDEX( VfM_Metrics_2023_Consol_Source[], $D26, F$14 )</f>
        <v>0</v>
      </c>
      <c r="G26" s="22" cm="1">
        <f t="array" ref="G26" xml:space="preserve"> INDEX( VfM_Metrics_2023_Consol_Source[], $D26, G$14 )</f>
        <v>0</v>
      </c>
      <c r="H26" s="22" cm="1">
        <f t="array" ref="H26" xml:space="preserve"> INDEX( VfM_Metrics_2023_Consol_Source[], $D26, H$14 )</f>
        <v>0</v>
      </c>
      <c r="I26" s="22" cm="1">
        <f t="array" ref="I26" xml:space="preserve"> INDEX( VfM_Metrics_2023_Consol_Source[], $D26, I$14 )</f>
        <v>0</v>
      </c>
      <c r="J26" s="22" cm="1">
        <f t="array" ref="J26" xml:space="preserve"> INDEX( VfM_Metrics_2023_Consol_Source[], $D26, J$14 )</f>
        <v>1</v>
      </c>
      <c r="K26" s="22" cm="1">
        <f t="array" ref="K26" xml:space="preserve"> INDEX( VfM_Metrics_2023_Consol_Source[], $D26, K$14 )</f>
        <v>0</v>
      </c>
      <c r="L26" s="22" cm="1">
        <f t="array" ref="L26" xml:space="preserve"> INDEX( VfM_Metrics_2023_Consol_Source[], $D26, L$14 )</f>
        <v>0</v>
      </c>
      <c r="M26" s="22" cm="1">
        <f t="array" ref="M26" xml:space="preserve"> INDEX( VfM_Metrics_2023_Consol_Source[], $D26, M$14 )</f>
        <v>0</v>
      </c>
      <c r="N26" s="23">
        <f xml:space="preserve"> -- AND( tblFilterRegion[[#This Row],[London]] &gt;= $N$10, N$13 = "Yes" )</f>
        <v>0</v>
      </c>
      <c r="O26" s="23">
        <f xml:space="preserve"> -- AND( tblFilterRegion[[#This Row],[South East]] &gt;= $N$10, O$13 = "Yes" )</f>
        <v>0</v>
      </c>
      <c r="P26" s="23">
        <f xml:space="preserve"> -- AND( tblFilterRegion[[#This Row],[South West]] &gt;= $N$10, P$13 = "Yes" )</f>
        <v>0</v>
      </c>
      <c r="Q26" s="23">
        <f xml:space="preserve"> -- AND( tblFilterRegion[[#This Row],[East Midlands]] &gt;= $N$10, Q$13 = "Yes" )</f>
        <v>0</v>
      </c>
      <c r="R26" s="23">
        <f xml:space="preserve"> -- AND( tblFilterRegion[[#This Row],[West Midlands]] &gt;= $N$10, R$13 = "Yes" )</f>
        <v>0</v>
      </c>
      <c r="S26" s="23">
        <f xml:space="preserve"> -- AND( tblFilterRegion[[#This Row],[East of England]] &gt;= $N$10, S$13 = "Yes" )</f>
        <v>0</v>
      </c>
      <c r="T26" s="23">
        <f xml:space="preserve"> -- AND( tblFilterRegion[[#This Row],[North East]] &gt;= $N$10, T$13 = "Yes" )</f>
        <v>0</v>
      </c>
      <c r="U26" s="23">
        <f xml:space="preserve"> -- AND( tblFilterRegion[[#This Row],[North West]] &gt;= $N$10, U$13 = "Yes" )</f>
        <v>0</v>
      </c>
      <c r="V26" s="23">
        <f xml:space="preserve"> -- AND( tblFilterRegion[[#This Row],[Yorkshire &amp; the Humber]] &gt;= $N$10, V$13 = "Yes" )</f>
        <v>0</v>
      </c>
      <c r="W26" s="22">
        <f xml:space="preserve"> SUMIF( $E$13:$M$13, "Yes", tblFilterRegion[[#This Row],[London]:[Yorkshire &amp; the Humber]] )</f>
        <v>0</v>
      </c>
      <c r="X26" s="23">
        <f xml:space="preserve"> -- ( SUM( tblFilterRegion[[#This Row],[Incl for Lon]:[Incl for YH]] ) &gt; 0 )</f>
        <v>0</v>
      </c>
      <c r="Y26" s="23">
        <f xml:space="preserve"> -- ( tblFilterRegion[[#This Row],[Total in selected regions]] &gt; $N$10 )</f>
        <v>0</v>
      </c>
      <c r="Z26" s="24">
        <f xml:space="preserve"> IF( RegionMinimum = 0, 1, IF( $R$10 = $U$8, tblFilterRegion[[#This Row],[Include for region - any]], IF( $R$10 = $U$10, tblFilterRegion[[#This Row],[Include for region - total]], "CHECK" ) ) )</f>
        <v>1</v>
      </c>
      <c r="AA26" s="131" t="str" cm="1">
        <f t="array" ref="AA26" xml:space="preserve"> INDEX( VfM_Metrics_2023_Consol_Source[], $D26, AA$14 )</f>
        <v>East of England</v>
      </c>
    </row>
    <row r="27" spans="2:27" x14ac:dyDescent="0.2">
      <c r="B27" s="159" t="s" vm="12">
        <v>167</v>
      </c>
      <c r="C27" s="154" t="str" vm="284">
        <f xml:space="preserve"> INDEX( VfM_Metrics_2023_Consol_Source[RP_Code], MATCH( tblFilterRegion[[#This Row],[RP_Name]], VfM_Metrics_2023_Consol_Source[RP_Name], 0 ) )</f>
        <v>5071</v>
      </c>
      <c r="D27" s="81">
        <f xml:space="preserve"> MATCH( tblFilterRegion[[#This Row],[RP_Code]], VfM_Metrics_2023_Consol_Source[RP_Code], 0 )</f>
        <v>12</v>
      </c>
      <c r="E27" s="22" cm="1">
        <f t="array" ref="E27" xml:space="preserve"> INDEX( VfM_Metrics_2023_Consol_Source[], $D27, E$14 )</f>
        <v>0</v>
      </c>
      <c r="F27" s="22" cm="1">
        <f t="array" ref="F27" xml:space="preserve"> INDEX( VfM_Metrics_2023_Consol_Source[], $D27, F$14 )</f>
        <v>0</v>
      </c>
      <c r="G27" s="22" cm="1">
        <f t="array" ref="G27" xml:space="preserve"> INDEX( VfM_Metrics_2023_Consol_Source[], $D27, G$14 )</f>
        <v>0</v>
      </c>
      <c r="H27" s="22" cm="1">
        <f t="array" ref="H27" xml:space="preserve"> INDEX( VfM_Metrics_2023_Consol_Source[], $D27, H$14 )</f>
        <v>0</v>
      </c>
      <c r="I27" s="22" cm="1">
        <f t="array" ref="I27" xml:space="preserve"> INDEX( VfM_Metrics_2023_Consol_Source[], $D27, I$14 )</f>
        <v>0</v>
      </c>
      <c r="J27" s="22" cm="1">
        <f t="array" ref="J27" xml:space="preserve"> INDEX( VfM_Metrics_2023_Consol_Source[], $D27, J$14 )</f>
        <v>0</v>
      </c>
      <c r="K27" s="22" cm="1">
        <f t="array" ref="K27" xml:space="preserve"> INDEX( VfM_Metrics_2023_Consol_Source[], $D27, K$14 )</f>
        <v>1</v>
      </c>
      <c r="L27" s="22" cm="1">
        <f t="array" ref="L27" xml:space="preserve"> INDEX( VfM_Metrics_2023_Consol_Source[], $D27, L$14 )</f>
        <v>0</v>
      </c>
      <c r="M27" s="22" cm="1">
        <f t="array" ref="M27" xml:space="preserve"> INDEX( VfM_Metrics_2023_Consol_Source[], $D27, M$14 )</f>
        <v>0</v>
      </c>
      <c r="N27" s="23">
        <f xml:space="preserve"> -- AND( tblFilterRegion[[#This Row],[London]] &gt;= $N$10, N$13 = "Yes" )</f>
        <v>0</v>
      </c>
      <c r="O27" s="23">
        <f xml:space="preserve"> -- AND( tblFilterRegion[[#This Row],[South East]] &gt;= $N$10, O$13 = "Yes" )</f>
        <v>0</v>
      </c>
      <c r="P27" s="23">
        <f xml:space="preserve"> -- AND( tblFilterRegion[[#This Row],[South West]] &gt;= $N$10, P$13 = "Yes" )</f>
        <v>0</v>
      </c>
      <c r="Q27" s="23">
        <f xml:space="preserve"> -- AND( tblFilterRegion[[#This Row],[East Midlands]] &gt;= $N$10, Q$13 = "Yes" )</f>
        <v>0</v>
      </c>
      <c r="R27" s="23">
        <f xml:space="preserve"> -- AND( tblFilterRegion[[#This Row],[West Midlands]] &gt;= $N$10, R$13 = "Yes" )</f>
        <v>0</v>
      </c>
      <c r="S27" s="23">
        <f xml:space="preserve"> -- AND( tblFilterRegion[[#This Row],[East of England]] &gt;= $N$10, S$13 = "Yes" )</f>
        <v>0</v>
      </c>
      <c r="T27" s="23">
        <f xml:space="preserve"> -- AND( tblFilterRegion[[#This Row],[North East]] &gt;= $N$10, T$13 = "Yes" )</f>
        <v>0</v>
      </c>
      <c r="U27" s="23">
        <f xml:space="preserve"> -- AND( tblFilterRegion[[#This Row],[North West]] &gt;= $N$10, U$13 = "Yes" )</f>
        <v>0</v>
      </c>
      <c r="V27" s="23">
        <f xml:space="preserve"> -- AND( tblFilterRegion[[#This Row],[Yorkshire &amp; the Humber]] &gt;= $N$10, V$13 = "Yes" )</f>
        <v>0</v>
      </c>
      <c r="W27" s="22">
        <f xml:space="preserve"> SUMIF( $E$13:$M$13, "Yes", tblFilterRegion[[#This Row],[London]:[Yorkshire &amp; the Humber]] )</f>
        <v>0</v>
      </c>
      <c r="X27" s="23">
        <f xml:space="preserve"> -- ( SUM( tblFilterRegion[[#This Row],[Incl for Lon]:[Incl for YH]] ) &gt; 0 )</f>
        <v>0</v>
      </c>
      <c r="Y27" s="23">
        <f xml:space="preserve"> -- ( tblFilterRegion[[#This Row],[Total in selected regions]] &gt; $N$10 )</f>
        <v>0</v>
      </c>
      <c r="Z27" s="24">
        <f xml:space="preserve"> IF( RegionMinimum = 0, 1, IF( $R$10 = $U$8, tblFilterRegion[[#This Row],[Include for region - any]], IF( $R$10 = $U$10, tblFilterRegion[[#This Row],[Include for region - total]], "CHECK" ) ) )</f>
        <v>1</v>
      </c>
      <c r="AA27" s="131" t="str" cm="1">
        <f t="array" ref="AA27" xml:space="preserve"> INDEX( VfM_Metrics_2023_Consol_Source[], $D27, AA$14 )</f>
        <v>North East</v>
      </c>
    </row>
    <row r="28" spans="2:27" x14ac:dyDescent="0.2">
      <c r="B28" s="159" t="s" vm="13">
        <v>171</v>
      </c>
      <c r="C28" s="154" t="str" vm="291">
        <f xml:space="preserve"> INDEX( VfM_Metrics_2023_Consol_Source[RP_Code], MATCH( tblFilterRegion[[#This Row],[RP_Name]], VfM_Metrics_2023_Consol_Source[RP_Name], 0 ) )</f>
        <v>4868</v>
      </c>
      <c r="D28" s="81">
        <f xml:space="preserve"> MATCH( tblFilterRegion[[#This Row],[RP_Code]], VfM_Metrics_2023_Consol_Source[RP_Code], 0 )</f>
        <v>13</v>
      </c>
      <c r="E28" s="22" cm="1">
        <f t="array" ref="E28" xml:space="preserve"> INDEX( VfM_Metrics_2023_Consol_Source[], $D28, E$14 )</f>
        <v>0</v>
      </c>
      <c r="F28" s="22" cm="1">
        <f t="array" ref="F28" xml:space="preserve"> INDEX( VfM_Metrics_2023_Consol_Source[], $D28, F$14 )</f>
        <v>0</v>
      </c>
      <c r="G28" s="22" cm="1">
        <f t="array" ref="G28" xml:space="preserve"> INDEX( VfM_Metrics_2023_Consol_Source[], $D28, G$14 )</f>
        <v>0</v>
      </c>
      <c r="H28" s="22" cm="1">
        <f t="array" ref="H28" xml:space="preserve"> INDEX( VfM_Metrics_2023_Consol_Source[], $D28, H$14 )</f>
        <v>0</v>
      </c>
      <c r="I28" s="22" cm="1">
        <f t="array" ref="I28" xml:space="preserve"> INDEX( VfM_Metrics_2023_Consol_Source[], $D28, I$14 )</f>
        <v>0</v>
      </c>
      <c r="J28" s="22" cm="1">
        <f t="array" ref="J28" xml:space="preserve"> INDEX( VfM_Metrics_2023_Consol_Source[], $D28, J$14 )</f>
        <v>0</v>
      </c>
      <c r="K28" s="22" cm="1">
        <f t="array" ref="K28" xml:space="preserve"> INDEX( VfM_Metrics_2023_Consol_Source[], $D28, K$14 )</f>
        <v>1</v>
      </c>
      <c r="L28" s="22" cm="1">
        <f t="array" ref="L28" xml:space="preserve"> INDEX( VfM_Metrics_2023_Consol_Source[], $D28, L$14 )</f>
        <v>0</v>
      </c>
      <c r="M28" s="22" cm="1">
        <f t="array" ref="M28" xml:space="preserve"> INDEX( VfM_Metrics_2023_Consol_Source[], $D28, M$14 )</f>
        <v>0</v>
      </c>
      <c r="N28" s="23">
        <f xml:space="preserve"> -- AND( tblFilterRegion[[#This Row],[London]] &gt;= $N$10, N$13 = "Yes" )</f>
        <v>0</v>
      </c>
      <c r="O28" s="23">
        <f xml:space="preserve"> -- AND( tblFilterRegion[[#This Row],[South East]] &gt;= $N$10, O$13 = "Yes" )</f>
        <v>0</v>
      </c>
      <c r="P28" s="23">
        <f xml:space="preserve"> -- AND( tblFilterRegion[[#This Row],[South West]] &gt;= $N$10, P$13 = "Yes" )</f>
        <v>0</v>
      </c>
      <c r="Q28" s="23">
        <f xml:space="preserve"> -- AND( tblFilterRegion[[#This Row],[East Midlands]] &gt;= $N$10, Q$13 = "Yes" )</f>
        <v>0</v>
      </c>
      <c r="R28" s="23">
        <f xml:space="preserve"> -- AND( tblFilterRegion[[#This Row],[West Midlands]] &gt;= $N$10, R$13 = "Yes" )</f>
        <v>0</v>
      </c>
      <c r="S28" s="23">
        <f xml:space="preserve"> -- AND( tblFilterRegion[[#This Row],[East of England]] &gt;= $N$10, S$13 = "Yes" )</f>
        <v>0</v>
      </c>
      <c r="T28" s="23">
        <f xml:space="preserve"> -- AND( tblFilterRegion[[#This Row],[North East]] &gt;= $N$10, T$13 = "Yes" )</f>
        <v>0</v>
      </c>
      <c r="U28" s="23">
        <f xml:space="preserve"> -- AND( tblFilterRegion[[#This Row],[North West]] &gt;= $N$10, U$13 = "Yes" )</f>
        <v>0</v>
      </c>
      <c r="V28" s="23">
        <f xml:space="preserve"> -- AND( tblFilterRegion[[#This Row],[Yorkshire &amp; the Humber]] &gt;= $N$10, V$13 = "Yes" )</f>
        <v>0</v>
      </c>
      <c r="W28" s="22">
        <f xml:space="preserve"> SUMIF( $E$13:$M$13, "Yes", tblFilterRegion[[#This Row],[London]:[Yorkshire &amp; the Humber]] )</f>
        <v>0</v>
      </c>
      <c r="X28" s="23">
        <f xml:space="preserve"> -- ( SUM( tblFilterRegion[[#This Row],[Incl for Lon]:[Incl for YH]] ) &gt; 0 )</f>
        <v>0</v>
      </c>
      <c r="Y28" s="23">
        <f xml:space="preserve"> -- ( tblFilterRegion[[#This Row],[Total in selected regions]] &gt; $N$10 )</f>
        <v>0</v>
      </c>
      <c r="Z28" s="24">
        <f xml:space="preserve"> IF( RegionMinimum = 0, 1, IF( $R$10 = $U$8, tblFilterRegion[[#This Row],[Include for region - any]], IF( $R$10 = $U$10, tblFilterRegion[[#This Row],[Include for region - total]], "CHECK" ) ) )</f>
        <v>1</v>
      </c>
      <c r="AA28" s="131" t="str" cm="1">
        <f t="array" ref="AA28" xml:space="preserve"> INDEX( VfM_Metrics_2023_Consol_Source[], $D28, AA$14 )</f>
        <v>North East</v>
      </c>
    </row>
    <row r="29" spans="2:27" x14ac:dyDescent="0.2">
      <c r="B29" s="159" t="s" vm="14">
        <v>173</v>
      </c>
      <c r="C29" s="154" t="str" vm="285">
        <f xml:space="preserve"> INDEX( VfM_Metrics_2023_Consol_Source[RP_Code], MATCH( tblFilterRegion[[#This Row],[RP_Name]], VfM_Metrics_2023_Consol_Source[RP_Name], 0 ) )</f>
        <v>LH4401</v>
      </c>
      <c r="D29" s="81">
        <f xml:space="preserve"> MATCH( tblFilterRegion[[#This Row],[RP_Code]], VfM_Metrics_2023_Consol_Source[RP_Code], 0 )</f>
        <v>14</v>
      </c>
      <c r="E29" s="22" cm="1">
        <f t="array" ref="E29" xml:space="preserve"> INDEX( VfM_Metrics_2023_Consol_Source[], $D29, E$14 )</f>
        <v>0</v>
      </c>
      <c r="F29" s="22" cm="1">
        <f t="array" ref="F29" xml:space="preserve"> INDEX( VfM_Metrics_2023_Consol_Source[], $D29, F$14 )</f>
        <v>0</v>
      </c>
      <c r="G29" s="22" cm="1">
        <f t="array" ref="G29" xml:space="preserve"> INDEX( VfM_Metrics_2023_Consol_Source[], $D29, G$14 )</f>
        <v>0</v>
      </c>
      <c r="H29" s="22" cm="1">
        <f t="array" ref="H29" xml:space="preserve"> INDEX( VfM_Metrics_2023_Consol_Source[], $D29, H$14 )</f>
        <v>0</v>
      </c>
      <c r="I29" s="22" cm="1">
        <f t="array" ref="I29" xml:space="preserve"> INDEX( VfM_Metrics_2023_Consol_Source[], $D29, I$14 )</f>
        <v>0</v>
      </c>
      <c r="J29" s="22" cm="1">
        <f t="array" ref="J29" xml:space="preserve"> INDEX( VfM_Metrics_2023_Consol_Source[], $D29, J$14 )</f>
        <v>0</v>
      </c>
      <c r="K29" s="22" cm="1">
        <f t="array" ref="K29" xml:space="preserve"> INDEX( VfM_Metrics_2023_Consol_Source[], $D29, K$14 )</f>
        <v>0.69061467283542632</v>
      </c>
      <c r="L29" s="22" cm="1">
        <f t="array" ref="L29" xml:space="preserve"> INDEX( VfM_Metrics_2023_Consol_Source[], $D29, L$14 )</f>
        <v>0</v>
      </c>
      <c r="M29" s="22" cm="1">
        <f t="array" ref="M29" xml:space="preserve"> INDEX( VfM_Metrics_2023_Consol_Source[], $D29, M$14 )</f>
        <v>0.30938532716457368</v>
      </c>
      <c r="N29" s="23">
        <f xml:space="preserve"> -- AND( tblFilterRegion[[#This Row],[London]] &gt;= $N$10, N$13 = "Yes" )</f>
        <v>0</v>
      </c>
      <c r="O29" s="23">
        <f xml:space="preserve"> -- AND( tblFilterRegion[[#This Row],[South East]] &gt;= $N$10, O$13 = "Yes" )</f>
        <v>0</v>
      </c>
      <c r="P29" s="23">
        <f xml:space="preserve"> -- AND( tblFilterRegion[[#This Row],[South West]] &gt;= $N$10, P$13 = "Yes" )</f>
        <v>0</v>
      </c>
      <c r="Q29" s="23">
        <f xml:space="preserve"> -- AND( tblFilterRegion[[#This Row],[East Midlands]] &gt;= $N$10, Q$13 = "Yes" )</f>
        <v>0</v>
      </c>
      <c r="R29" s="23">
        <f xml:space="preserve"> -- AND( tblFilterRegion[[#This Row],[West Midlands]] &gt;= $N$10, R$13 = "Yes" )</f>
        <v>0</v>
      </c>
      <c r="S29" s="23">
        <f xml:space="preserve"> -- AND( tblFilterRegion[[#This Row],[East of England]] &gt;= $N$10, S$13 = "Yes" )</f>
        <v>0</v>
      </c>
      <c r="T29" s="23">
        <f xml:space="preserve"> -- AND( tblFilterRegion[[#This Row],[North East]] &gt;= $N$10, T$13 = "Yes" )</f>
        <v>0</v>
      </c>
      <c r="U29" s="23">
        <f xml:space="preserve"> -- AND( tblFilterRegion[[#This Row],[North West]] &gt;= $N$10, U$13 = "Yes" )</f>
        <v>0</v>
      </c>
      <c r="V29" s="23">
        <f xml:space="preserve"> -- AND( tblFilterRegion[[#This Row],[Yorkshire &amp; the Humber]] &gt;= $N$10, V$13 = "Yes" )</f>
        <v>0</v>
      </c>
      <c r="W29" s="22">
        <f xml:space="preserve"> SUMIF( $E$13:$M$13, "Yes", tblFilterRegion[[#This Row],[London]:[Yorkshire &amp; the Humber]] )</f>
        <v>0</v>
      </c>
      <c r="X29" s="23">
        <f xml:space="preserve"> -- ( SUM( tblFilterRegion[[#This Row],[Incl for Lon]:[Incl for YH]] ) &gt; 0 )</f>
        <v>0</v>
      </c>
      <c r="Y29" s="23">
        <f xml:space="preserve"> -- ( tblFilterRegion[[#This Row],[Total in selected regions]] &gt; $N$10 )</f>
        <v>0</v>
      </c>
      <c r="Z29" s="24">
        <f xml:space="preserve"> IF( RegionMinimum = 0, 1, IF( $R$10 = $U$8, tblFilterRegion[[#This Row],[Include for region - any]], IF( $R$10 = $U$10, tblFilterRegion[[#This Row],[Include for region - total]], "CHECK" ) ) )</f>
        <v>1</v>
      </c>
      <c r="AA29" s="131" t="str" cm="1">
        <f t="array" ref="AA29" xml:space="preserve"> INDEX( VfM_Metrics_2023_Consol_Source[], $D29, AA$14 )</f>
        <v>North East</v>
      </c>
    </row>
    <row r="30" spans="2:27" x14ac:dyDescent="0.2">
      <c r="B30" s="159" t="s" vm="15">
        <v>175</v>
      </c>
      <c r="C30" s="154" t="str" vm="215">
        <f xml:space="preserve"> INDEX( VfM_Metrics_2023_Consol_Source[RP_Code], MATCH( tblFilterRegion[[#This Row],[RP_Name]], VfM_Metrics_2023_Consol_Source[RP_Name], 0 ) )</f>
        <v>L1668</v>
      </c>
      <c r="D30" s="81">
        <f xml:space="preserve"> MATCH( tblFilterRegion[[#This Row],[RP_Code]], VfM_Metrics_2023_Consol_Source[RP_Code], 0 )</f>
        <v>15</v>
      </c>
      <c r="E30" s="22" cm="1">
        <f t="array" ref="E30" xml:space="preserve"> INDEX( VfM_Metrics_2023_Consol_Source[], $D30, E$14 )</f>
        <v>0</v>
      </c>
      <c r="F30" s="22" cm="1">
        <f t="array" ref="F30" xml:space="preserve"> INDEX( VfM_Metrics_2023_Consol_Source[], $D30, F$14 )</f>
        <v>0</v>
      </c>
      <c r="G30" s="22" cm="1">
        <f t="array" ref="G30" xml:space="preserve"> INDEX( VfM_Metrics_2023_Consol_Source[], $D30, G$14 )</f>
        <v>0</v>
      </c>
      <c r="H30" s="22" cm="1">
        <f t="array" ref="H30" xml:space="preserve"> INDEX( VfM_Metrics_2023_Consol_Source[], $D30, H$14 )</f>
        <v>0</v>
      </c>
      <c r="I30" s="22" cm="1">
        <f t="array" ref="I30" xml:space="preserve"> INDEX( VfM_Metrics_2023_Consol_Source[], $D30, I$14 )</f>
        <v>1</v>
      </c>
      <c r="J30" s="22" cm="1">
        <f t="array" ref="J30" xml:space="preserve"> INDEX( VfM_Metrics_2023_Consol_Source[], $D30, J$14 )</f>
        <v>0</v>
      </c>
      <c r="K30" s="22" cm="1">
        <f t="array" ref="K30" xml:space="preserve"> INDEX( VfM_Metrics_2023_Consol_Source[], $D30, K$14 )</f>
        <v>0</v>
      </c>
      <c r="L30" s="22" cm="1">
        <f t="array" ref="L30" xml:space="preserve"> INDEX( VfM_Metrics_2023_Consol_Source[], $D30, L$14 )</f>
        <v>0</v>
      </c>
      <c r="M30" s="22" cm="1">
        <f t="array" ref="M30" xml:space="preserve"> INDEX( VfM_Metrics_2023_Consol_Source[], $D30, M$14 )</f>
        <v>0</v>
      </c>
      <c r="N30" s="23">
        <f xml:space="preserve"> -- AND( tblFilterRegion[[#This Row],[London]] &gt;= $N$10, N$13 = "Yes" )</f>
        <v>0</v>
      </c>
      <c r="O30" s="23">
        <f xml:space="preserve"> -- AND( tblFilterRegion[[#This Row],[South East]] &gt;= $N$10, O$13 = "Yes" )</f>
        <v>0</v>
      </c>
      <c r="P30" s="23">
        <f xml:space="preserve"> -- AND( tblFilterRegion[[#This Row],[South West]] &gt;= $N$10, P$13 = "Yes" )</f>
        <v>0</v>
      </c>
      <c r="Q30" s="23">
        <f xml:space="preserve"> -- AND( tblFilterRegion[[#This Row],[East Midlands]] &gt;= $N$10, Q$13 = "Yes" )</f>
        <v>0</v>
      </c>
      <c r="R30" s="23">
        <f xml:space="preserve"> -- AND( tblFilterRegion[[#This Row],[West Midlands]] &gt;= $N$10, R$13 = "Yes" )</f>
        <v>0</v>
      </c>
      <c r="S30" s="23">
        <f xml:space="preserve"> -- AND( tblFilterRegion[[#This Row],[East of England]] &gt;= $N$10, S$13 = "Yes" )</f>
        <v>0</v>
      </c>
      <c r="T30" s="23">
        <f xml:space="preserve"> -- AND( tblFilterRegion[[#This Row],[North East]] &gt;= $N$10, T$13 = "Yes" )</f>
        <v>0</v>
      </c>
      <c r="U30" s="23">
        <f xml:space="preserve"> -- AND( tblFilterRegion[[#This Row],[North West]] &gt;= $N$10, U$13 = "Yes" )</f>
        <v>0</v>
      </c>
      <c r="V30" s="23">
        <f xml:space="preserve"> -- AND( tblFilterRegion[[#This Row],[Yorkshire &amp; the Humber]] &gt;= $N$10, V$13 = "Yes" )</f>
        <v>0</v>
      </c>
      <c r="W30" s="22">
        <f xml:space="preserve"> SUMIF( $E$13:$M$13, "Yes", tblFilterRegion[[#This Row],[London]:[Yorkshire &amp; the Humber]] )</f>
        <v>0</v>
      </c>
      <c r="X30" s="23">
        <f xml:space="preserve"> -- ( SUM( tblFilterRegion[[#This Row],[Incl for Lon]:[Incl for YH]] ) &gt; 0 )</f>
        <v>0</v>
      </c>
      <c r="Y30" s="23">
        <f xml:space="preserve"> -- ( tblFilterRegion[[#This Row],[Total in selected regions]] &gt; $N$10 )</f>
        <v>0</v>
      </c>
      <c r="Z30" s="24">
        <f xml:space="preserve"> IF( RegionMinimum = 0, 1, IF( $R$10 = $U$8, tblFilterRegion[[#This Row],[Include for region - any]], IF( $R$10 = $U$10, tblFilterRegion[[#This Row],[Include for region - total]], "CHECK" ) ) )</f>
        <v>1</v>
      </c>
      <c r="AA30" s="131" t="str" cm="1">
        <f t="array" ref="AA30" xml:space="preserve"> INDEX( VfM_Metrics_2023_Consol_Source[], $D30, AA$14 )</f>
        <v>West Midlands</v>
      </c>
    </row>
    <row r="31" spans="2:27" x14ac:dyDescent="0.2">
      <c r="B31" s="159" t="s" vm="16">
        <v>177</v>
      </c>
      <c r="C31" s="154" t="str" vm="278">
        <f xml:space="preserve"> INDEX( VfM_Metrics_2023_Consol_Source[RP_Code], MATCH( tblFilterRegion[[#This Row],[RP_Name]], VfM_Metrics_2023_Consol_Source[RP_Name], 0 ) )</f>
        <v>4568</v>
      </c>
      <c r="D31" s="81">
        <f xml:space="preserve"> MATCH( tblFilterRegion[[#This Row],[RP_Code]], VfM_Metrics_2023_Consol_Source[RP_Code], 0 )</f>
        <v>16</v>
      </c>
      <c r="E31" s="22" cm="1">
        <f t="array" ref="E31" xml:space="preserve"> INDEX( VfM_Metrics_2023_Consol_Source[], $D31, E$14 )</f>
        <v>0</v>
      </c>
      <c r="F31" s="22" cm="1">
        <f t="array" ref="F31" xml:space="preserve"> INDEX( VfM_Metrics_2023_Consol_Source[], $D31, F$14 )</f>
        <v>0</v>
      </c>
      <c r="G31" s="22" cm="1">
        <f t="array" ref="G31" xml:space="preserve"> INDEX( VfM_Metrics_2023_Consol_Source[], $D31, G$14 )</f>
        <v>0</v>
      </c>
      <c r="H31" s="22" cm="1">
        <f t="array" ref="H31" xml:space="preserve"> INDEX( VfM_Metrics_2023_Consol_Source[], $D31, H$14 )</f>
        <v>1.2713211145248438E-3</v>
      </c>
      <c r="I31" s="22" cm="1">
        <f t="array" ref="I31" xml:space="preserve"> INDEX( VfM_Metrics_2023_Consol_Source[], $D31, I$14 )</f>
        <v>0</v>
      </c>
      <c r="J31" s="22" cm="1">
        <f t="array" ref="J31" xml:space="preserve"> INDEX( VfM_Metrics_2023_Consol_Source[], $D31, J$14 )</f>
        <v>0</v>
      </c>
      <c r="K31" s="22" cm="1">
        <f t="array" ref="K31" xml:space="preserve"> INDEX( VfM_Metrics_2023_Consol_Source[], $D31, K$14 )</f>
        <v>0</v>
      </c>
      <c r="L31" s="22" cm="1">
        <f t="array" ref="L31" xml:space="preserve"> INDEX( VfM_Metrics_2023_Consol_Source[], $D31, L$14 )</f>
        <v>0.99872867888547512</v>
      </c>
      <c r="M31" s="22" cm="1">
        <f t="array" ref="M31" xml:space="preserve"> INDEX( VfM_Metrics_2023_Consol_Source[], $D31, M$14 )</f>
        <v>0</v>
      </c>
      <c r="N31" s="23">
        <f xml:space="preserve"> -- AND( tblFilterRegion[[#This Row],[London]] &gt;= $N$10, N$13 = "Yes" )</f>
        <v>0</v>
      </c>
      <c r="O31" s="23">
        <f xml:space="preserve"> -- AND( tblFilterRegion[[#This Row],[South East]] &gt;= $N$10, O$13 = "Yes" )</f>
        <v>0</v>
      </c>
      <c r="P31" s="23">
        <f xml:space="preserve"> -- AND( tblFilterRegion[[#This Row],[South West]] &gt;= $N$10, P$13 = "Yes" )</f>
        <v>0</v>
      </c>
      <c r="Q31" s="23">
        <f xml:space="preserve"> -- AND( tblFilterRegion[[#This Row],[East Midlands]] &gt;= $N$10, Q$13 = "Yes" )</f>
        <v>0</v>
      </c>
      <c r="R31" s="23">
        <f xml:space="preserve"> -- AND( tblFilterRegion[[#This Row],[West Midlands]] &gt;= $N$10, R$13 = "Yes" )</f>
        <v>0</v>
      </c>
      <c r="S31" s="23">
        <f xml:space="preserve"> -- AND( tblFilterRegion[[#This Row],[East of England]] &gt;= $N$10, S$13 = "Yes" )</f>
        <v>0</v>
      </c>
      <c r="T31" s="23">
        <f xml:space="preserve"> -- AND( tblFilterRegion[[#This Row],[North East]] &gt;= $N$10, T$13 = "Yes" )</f>
        <v>0</v>
      </c>
      <c r="U31" s="23">
        <f xml:space="preserve"> -- AND( tblFilterRegion[[#This Row],[North West]] &gt;= $N$10, U$13 = "Yes" )</f>
        <v>0</v>
      </c>
      <c r="V31" s="23">
        <f xml:space="preserve"> -- AND( tblFilterRegion[[#This Row],[Yorkshire &amp; the Humber]] &gt;= $N$10, V$13 = "Yes" )</f>
        <v>0</v>
      </c>
      <c r="W31" s="22">
        <f xml:space="preserve"> SUMIF( $E$13:$M$13, "Yes", tblFilterRegion[[#This Row],[London]:[Yorkshire &amp; the Humber]] )</f>
        <v>0</v>
      </c>
      <c r="X31" s="23">
        <f xml:space="preserve"> -- ( SUM( tblFilterRegion[[#This Row],[Incl for Lon]:[Incl for YH]] ) &gt; 0 )</f>
        <v>0</v>
      </c>
      <c r="Y31" s="23">
        <f xml:space="preserve"> -- ( tblFilterRegion[[#This Row],[Total in selected regions]] &gt; $N$10 )</f>
        <v>0</v>
      </c>
      <c r="Z31" s="24">
        <f xml:space="preserve"> IF( RegionMinimum = 0, 1, IF( $R$10 = $U$8, tblFilterRegion[[#This Row],[Include for region - any]], IF( $R$10 = $U$10, tblFilterRegion[[#This Row],[Include for region - total]], "CHECK" ) ) )</f>
        <v>1</v>
      </c>
      <c r="AA31" s="131" t="str" cm="1">
        <f t="array" ref="AA31" xml:space="preserve"> INDEX( VfM_Metrics_2023_Consol_Source[], $D31, AA$14 )</f>
        <v>North West</v>
      </c>
    </row>
    <row r="32" spans="2:27" x14ac:dyDescent="0.2">
      <c r="B32" s="159" t="s" vm="17">
        <v>179</v>
      </c>
      <c r="C32" s="154" t="str" vm="206">
        <f xml:space="preserve"> INDEX( VfM_Metrics_2023_Consol_Source[RP_Code], MATCH( tblFilterRegion[[#This Row],[RP_Name]], VfM_Metrics_2023_Consol_Source[RP_Name], 0 ) )</f>
        <v>LH0155</v>
      </c>
      <c r="D32" s="81">
        <f xml:space="preserve"> MATCH( tblFilterRegion[[#This Row],[RP_Code]], VfM_Metrics_2023_Consol_Source[RP_Code], 0 )</f>
        <v>17</v>
      </c>
      <c r="E32" s="22" cm="1">
        <f t="array" ref="E32" xml:space="preserve"> INDEX( VfM_Metrics_2023_Consol_Source[], $D32, E$14 )</f>
        <v>0</v>
      </c>
      <c r="F32" s="22" cm="1">
        <f t="array" ref="F32" xml:space="preserve"> INDEX( VfM_Metrics_2023_Consol_Source[], $D32, F$14 )</f>
        <v>2.8688524590163935E-2</v>
      </c>
      <c r="G32" s="22" cm="1">
        <f t="array" ref="G32" xml:space="preserve"> INDEX( VfM_Metrics_2023_Consol_Source[], $D32, G$14 )</f>
        <v>0.97131147540983609</v>
      </c>
      <c r="H32" s="22" cm="1">
        <f t="array" ref="H32" xml:space="preserve"> INDEX( VfM_Metrics_2023_Consol_Source[], $D32, H$14 )</f>
        <v>0</v>
      </c>
      <c r="I32" s="22" cm="1">
        <f t="array" ref="I32" xml:space="preserve"> INDEX( VfM_Metrics_2023_Consol_Source[], $D32, I$14 )</f>
        <v>0</v>
      </c>
      <c r="J32" s="22" cm="1">
        <f t="array" ref="J32" xml:space="preserve"> INDEX( VfM_Metrics_2023_Consol_Source[], $D32, J$14 )</f>
        <v>0</v>
      </c>
      <c r="K32" s="22" cm="1">
        <f t="array" ref="K32" xml:space="preserve"> INDEX( VfM_Metrics_2023_Consol_Source[], $D32, K$14 )</f>
        <v>0</v>
      </c>
      <c r="L32" s="22" cm="1">
        <f t="array" ref="L32" xml:space="preserve"> INDEX( VfM_Metrics_2023_Consol_Source[], $D32, L$14 )</f>
        <v>0</v>
      </c>
      <c r="M32" s="22" cm="1">
        <f t="array" ref="M32" xml:space="preserve"> INDEX( VfM_Metrics_2023_Consol_Source[], $D32, M$14 )</f>
        <v>0</v>
      </c>
      <c r="N32" s="23">
        <f xml:space="preserve"> -- AND( tblFilterRegion[[#This Row],[London]] &gt;= $N$10, N$13 = "Yes" )</f>
        <v>0</v>
      </c>
      <c r="O32" s="23">
        <f xml:space="preserve"> -- AND( tblFilterRegion[[#This Row],[South East]] &gt;= $N$10, O$13 = "Yes" )</f>
        <v>0</v>
      </c>
      <c r="P32" s="23">
        <f xml:space="preserve"> -- AND( tblFilterRegion[[#This Row],[South West]] &gt;= $N$10, P$13 = "Yes" )</f>
        <v>0</v>
      </c>
      <c r="Q32" s="23">
        <f xml:space="preserve"> -- AND( tblFilterRegion[[#This Row],[East Midlands]] &gt;= $N$10, Q$13 = "Yes" )</f>
        <v>0</v>
      </c>
      <c r="R32" s="23">
        <f xml:space="preserve"> -- AND( tblFilterRegion[[#This Row],[West Midlands]] &gt;= $N$10, R$13 = "Yes" )</f>
        <v>0</v>
      </c>
      <c r="S32" s="23">
        <f xml:space="preserve"> -- AND( tblFilterRegion[[#This Row],[East of England]] &gt;= $N$10, S$13 = "Yes" )</f>
        <v>0</v>
      </c>
      <c r="T32" s="23">
        <f xml:space="preserve"> -- AND( tblFilterRegion[[#This Row],[North East]] &gt;= $N$10, T$13 = "Yes" )</f>
        <v>0</v>
      </c>
      <c r="U32" s="23">
        <f xml:space="preserve"> -- AND( tblFilterRegion[[#This Row],[North West]] &gt;= $N$10, U$13 = "Yes" )</f>
        <v>0</v>
      </c>
      <c r="V32" s="23">
        <f xml:space="preserve"> -- AND( tblFilterRegion[[#This Row],[Yorkshire &amp; the Humber]] &gt;= $N$10, V$13 = "Yes" )</f>
        <v>0</v>
      </c>
      <c r="W32" s="22">
        <f xml:space="preserve"> SUMIF( $E$13:$M$13, "Yes", tblFilterRegion[[#This Row],[London]:[Yorkshire &amp; the Humber]] )</f>
        <v>0</v>
      </c>
      <c r="X32" s="23">
        <f xml:space="preserve"> -- ( SUM( tblFilterRegion[[#This Row],[Incl for Lon]:[Incl for YH]] ) &gt; 0 )</f>
        <v>0</v>
      </c>
      <c r="Y32" s="23">
        <f xml:space="preserve"> -- ( tblFilterRegion[[#This Row],[Total in selected regions]] &gt; $N$10 )</f>
        <v>0</v>
      </c>
      <c r="Z32" s="24">
        <f xml:space="preserve"> IF( RegionMinimum = 0, 1, IF( $R$10 = $U$8, tblFilterRegion[[#This Row],[Include for region - any]], IF( $R$10 = $U$10, tblFilterRegion[[#This Row],[Include for region - total]], "CHECK" ) ) )</f>
        <v>1</v>
      </c>
      <c r="AA32" s="131" t="str" cm="1">
        <f t="array" ref="AA32" xml:space="preserve"> INDEX( VfM_Metrics_2023_Consol_Source[], $D32, AA$14 )</f>
        <v>South West</v>
      </c>
    </row>
    <row r="33" spans="2:27" x14ac:dyDescent="0.2">
      <c r="B33" s="159" t="s" vm="18">
        <v>181</v>
      </c>
      <c r="C33" s="154" t="str" vm="325">
        <f xml:space="preserve"> INDEX( VfM_Metrics_2023_Consol_Source[RP_Code], MATCH( tblFilterRegion[[#This Row],[RP_Name]], VfM_Metrics_2023_Consol_Source[RP_Name], 0 ) )</f>
        <v>L0702</v>
      </c>
      <c r="D33" s="81">
        <f xml:space="preserve"> MATCH( tblFilterRegion[[#This Row],[RP_Code]], VfM_Metrics_2023_Consol_Source[RP_Code], 0 )</f>
        <v>18</v>
      </c>
      <c r="E33" s="22" cm="1">
        <f t="array" ref="E33" xml:space="preserve"> INDEX( VfM_Metrics_2023_Consol_Source[], $D33, E$14 )</f>
        <v>0</v>
      </c>
      <c r="F33" s="22" cm="1">
        <f t="array" ref="F33" xml:space="preserve"> INDEX( VfM_Metrics_2023_Consol_Source[], $D33, F$14 )</f>
        <v>0</v>
      </c>
      <c r="G33" s="22" cm="1">
        <f t="array" ref="G33" xml:space="preserve"> INDEX( VfM_Metrics_2023_Consol_Source[], $D33, G$14 )</f>
        <v>0</v>
      </c>
      <c r="H33" s="22" cm="1">
        <f t="array" ref="H33" xml:space="preserve"> INDEX( VfM_Metrics_2023_Consol_Source[], $D33, H$14 )</f>
        <v>0</v>
      </c>
      <c r="I33" s="22" cm="1">
        <f t="array" ref="I33" xml:space="preserve"> INDEX( VfM_Metrics_2023_Consol_Source[], $D33, I$14 )</f>
        <v>1</v>
      </c>
      <c r="J33" s="22" cm="1">
        <f t="array" ref="J33" xml:space="preserve"> INDEX( VfM_Metrics_2023_Consol_Source[], $D33, J$14 )</f>
        <v>0</v>
      </c>
      <c r="K33" s="22" cm="1">
        <f t="array" ref="K33" xml:space="preserve"> INDEX( VfM_Metrics_2023_Consol_Source[], $D33, K$14 )</f>
        <v>0</v>
      </c>
      <c r="L33" s="22" cm="1">
        <f t="array" ref="L33" xml:space="preserve"> INDEX( VfM_Metrics_2023_Consol_Source[], $D33, L$14 )</f>
        <v>0</v>
      </c>
      <c r="M33" s="22" cm="1">
        <f t="array" ref="M33" xml:space="preserve"> INDEX( VfM_Metrics_2023_Consol_Source[], $D33, M$14 )</f>
        <v>0</v>
      </c>
      <c r="N33" s="23">
        <f xml:space="preserve"> -- AND( tblFilterRegion[[#This Row],[London]] &gt;= $N$10, N$13 = "Yes" )</f>
        <v>0</v>
      </c>
      <c r="O33" s="23">
        <f xml:space="preserve"> -- AND( tblFilterRegion[[#This Row],[South East]] &gt;= $N$10, O$13 = "Yes" )</f>
        <v>0</v>
      </c>
      <c r="P33" s="23">
        <f xml:space="preserve"> -- AND( tblFilterRegion[[#This Row],[South West]] &gt;= $N$10, P$13 = "Yes" )</f>
        <v>0</v>
      </c>
      <c r="Q33" s="23">
        <f xml:space="preserve"> -- AND( tblFilterRegion[[#This Row],[East Midlands]] &gt;= $N$10, Q$13 = "Yes" )</f>
        <v>0</v>
      </c>
      <c r="R33" s="23">
        <f xml:space="preserve"> -- AND( tblFilterRegion[[#This Row],[West Midlands]] &gt;= $N$10, R$13 = "Yes" )</f>
        <v>0</v>
      </c>
      <c r="S33" s="23">
        <f xml:space="preserve"> -- AND( tblFilterRegion[[#This Row],[East of England]] &gt;= $N$10, S$13 = "Yes" )</f>
        <v>0</v>
      </c>
      <c r="T33" s="23">
        <f xml:space="preserve"> -- AND( tblFilterRegion[[#This Row],[North East]] &gt;= $N$10, T$13 = "Yes" )</f>
        <v>0</v>
      </c>
      <c r="U33" s="23">
        <f xml:space="preserve"> -- AND( tblFilterRegion[[#This Row],[North West]] &gt;= $N$10, U$13 = "Yes" )</f>
        <v>0</v>
      </c>
      <c r="V33" s="23">
        <f xml:space="preserve"> -- AND( tblFilterRegion[[#This Row],[Yorkshire &amp; the Humber]] &gt;= $N$10, V$13 = "Yes" )</f>
        <v>0</v>
      </c>
      <c r="W33" s="22">
        <f xml:space="preserve"> SUMIF( $E$13:$M$13, "Yes", tblFilterRegion[[#This Row],[London]:[Yorkshire &amp; the Humber]] )</f>
        <v>0</v>
      </c>
      <c r="X33" s="23">
        <f xml:space="preserve"> -- ( SUM( tblFilterRegion[[#This Row],[Incl for Lon]:[Incl for YH]] ) &gt; 0 )</f>
        <v>0</v>
      </c>
      <c r="Y33" s="23">
        <f xml:space="preserve"> -- ( tblFilterRegion[[#This Row],[Total in selected regions]] &gt; $N$10 )</f>
        <v>0</v>
      </c>
      <c r="Z33" s="24">
        <f xml:space="preserve"> IF( RegionMinimum = 0, 1, IF( $R$10 = $U$8, tblFilterRegion[[#This Row],[Include for region - any]], IF( $R$10 = $U$10, tblFilterRegion[[#This Row],[Include for region - total]], "CHECK" ) ) )</f>
        <v>1</v>
      </c>
      <c r="AA33" s="131" t="str" cm="1">
        <f t="array" ref="AA33" xml:space="preserve"> INDEX( VfM_Metrics_2023_Consol_Source[], $D33, AA$14 )</f>
        <v>West Midlands</v>
      </c>
    </row>
    <row r="34" spans="2:27" x14ac:dyDescent="0.2">
      <c r="B34" s="159" t="s" vm="19">
        <v>183</v>
      </c>
      <c r="C34" s="154" t="str" vm="294">
        <f xml:space="preserve"> INDEX( VfM_Metrics_2023_Consol_Source[RP_Code], MATCH( tblFilterRegion[[#This Row],[RP_Name]], VfM_Metrics_2023_Consol_Source[RP_Name], 0 ) )</f>
        <v>LH3887</v>
      </c>
      <c r="D34" s="81">
        <f xml:space="preserve"> MATCH( tblFilterRegion[[#This Row],[RP_Code]], VfM_Metrics_2023_Consol_Source[RP_Code], 0 )</f>
        <v>19</v>
      </c>
      <c r="E34" s="22" cm="1">
        <f t="array" ref="E34" xml:space="preserve"> INDEX( VfM_Metrics_2023_Consol_Source[], $D34, E$14 )</f>
        <v>0</v>
      </c>
      <c r="F34" s="22" cm="1">
        <f t="array" ref="F34" xml:space="preserve"> INDEX( VfM_Metrics_2023_Consol_Source[], $D34, F$14 )</f>
        <v>0.11513653625896679</v>
      </c>
      <c r="G34" s="22" cm="1">
        <f t="array" ref="G34" xml:space="preserve"> INDEX( VfM_Metrics_2023_Consol_Source[], $D34, G$14 )</f>
        <v>2.7126409066248721E-3</v>
      </c>
      <c r="H34" s="22" cm="1">
        <f t="array" ref="H34" xml:space="preserve"> INDEX( VfM_Metrics_2023_Consol_Source[], $D34, H$14 )</f>
        <v>6.8659955392127311E-2</v>
      </c>
      <c r="I34" s="22" cm="1">
        <f t="array" ref="I34" xml:space="preserve"> INDEX( VfM_Metrics_2023_Consol_Source[], $D34, I$14 )</f>
        <v>6.0280909036108268E-5</v>
      </c>
      <c r="J34" s="22" cm="1">
        <f t="array" ref="J34" xml:space="preserve"> INDEX( VfM_Metrics_2023_Consol_Source[], $D34, J$14 )</f>
        <v>0.81337030562420887</v>
      </c>
      <c r="K34" s="22" cm="1">
        <f t="array" ref="K34" xml:space="preserve"> INDEX( VfM_Metrics_2023_Consol_Source[], $D34, K$14 )</f>
        <v>0</v>
      </c>
      <c r="L34" s="22" cm="1">
        <f t="array" ref="L34" xml:space="preserve"> INDEX( VfM_Metrics_2023_Consol_Source[], $D34, L$14 )</f>
        <v>0</v>
      </c>
      <c r="M34" s="22" cm="1">
        <f t="array" ref="M34" xml:space="preserve"> INDEX( VfM_Metrics_2023_Consol_Source[], $D34, M$14 )</f>
        <v>6.0280909036108268E-5</v>
      </c>
      <c r="N34" s="23">
        <f xml:space="preserve"> -- AND( tblFilterRegion[[#This Row],[London]] &gt;= $N$10, N$13 = "Yes" )</f>
        <v>0</v>
      </c>
      <c r="O34" s="23">
        <f xml:space="preserve"> -- AND( tblFilterRegion[[#This Row],[South East]] &gt;= $N$10, O$13 = "Yes" )</f>
        <v>0</v>
      </c>
      <c r="P34" s="23">
        <f xml:space="preserve"> -- AND( tblFilterRegion[[#This Row],[South West]] &gt;= $N$10, P$13 = "Yes" )</f>
        <v>0</v>
      </c>
      <c r="Q34" s="23">
        <f xml:space="preserve"> -- AND( tblFilterRegion[[#This Row],[East Midlands]] &gt;= $N$10, Q$13 = "Yes" )</f>
        <v>0</v>
      </c>
      <c r="R34" s="23">
        <f xml:space="preserve"> -- AND( tblFilterRegion[[#This Row],[West Midlands]] &gt;= $N$10, R$13 = "Yes" )</f>
        <v>0</v>
      </c>
      <c r="S34" s="23">
        <f xml:space="preserve"> -- AND( tblFilterRegion[[#This Row],[East of England]] &gt;= $N$10, S$13 = "Yes" )</f>
        <v>0</v>
      </c>
      <c r="T34" s="23">
        <f xml:space="preserve"> -- AND( tblFilterRegion[[#This Row],[North East]] &gt;= $N$10, T$13 = "Yes" )</f>
        <v>0</v>
      </c>
      <c r="U34" s="23">
        <f xml:space="preserve"> -- AND( tblFilterRegion[[#This Row],[North West]] &gt;= $N$10, U$13 = "Yes" )</f>
        <v>0</v>
      </c>
      <c r="V34" s="23">
        <f xml:space="preserve"> -- AND( tblFilterRegion[[#This Row],[Yorkshire &amp; the Humber]] &gt;= $N$10, V$13 = "Yes" )</f>
        <v>0</v>
      </c>
      <c r="W34" s="22">
        <f xml:space="preserve"> SUMIF( $E$13:$M$13, "Yes", tblFilterRegion[[#This Row],[London]:[Yorkshire &amp; the Humber]] )</f>
        <v>0</v>
      </c>
      <c r="X34" s="23">
        <f xml:space="preserve"> -- ( SUM( tblFilterRegion[[#This Row],[Incl for Lon]:[Incl for YH]] ) &gt; 0 )</f>
        <v>0</v>
      </c>
      <c r="Y34" s="23">
        <f xml:space="preserve"> -- ( tblFilterRegion[[#This Row],[Total in selected regions]] &gt; $N$10 )</f>
        <v>0</v>
      </c>
      <c r="Z34" s="24">
        <f xml:space="preserve"> IF( RegionMinimum = 0, 1, IF( $R$10 = $U$8, tblFilterRegion[[#This Row],[Include for region - any]], IF( $R$10 = $U$10, tblFilterRegion[[#This Row],[Include for region - total]], "CHECK" ) ) )</f>
        <v>1</v>
      </c>
      <c r="AA34" s="131" t="str" cm="1">
        <f t="array" ref="AA34" xml:space="preserve"> INDEX( VfM_Metrics_2023_Consol_Source[], $D34, AA$14 )</f>
        <v>East of England</v>
      </c>
    </row>
    <row r="35" spans="2:27" x14ac:dyDescent="0.2">
      <c r="B35" s="159" t="s" vm="20">
        <v>185</v>
      </c>
      <c r="C35" s="154" t="str" vm="324">
        <f xml:space="preserve"> INDEX( VfM_Metrics_2023_Consol_Source[RP_Code], MATCH( tblFilterRegion[[#This Row],[RP_Name]], VfM_Metrics_2023_Consol_Source[RP_Name], 0 ) )</f>
        <v>L3758</v>
      </c>
      <c r="D35" s="81">
        <f xml:space="preserve"> MATCH( tblFilterRegion[[#This Row],[RP_Code]], VfM_Metrics_2023_Consol_Source[RP_Code], 0 )</f>
        <v>20</v>
      </c>
      <c r="E35" s="22" cm="1">
        <f t="array" ref="E35" xml:space="preserve"> INDEX( VfM_Metrics_2023_Consol_Source[], $D35, E$14 )</f>
        <v>0</v>
      </c>
      <c r="F35" s="22" cm="1">
        <f t="array" ref="F35" xml:space="preserve"> INDEX( VfM_Metrics_2023_Consol_Source[], $D35, F$14 )</f>
        <v>0</v>
      </c>
      <c r="G35" s="22" cm="1">
        <f t="array" ref="G35" xml:space="preserve"> INDEX( VfM_Metrics_2023_Consol_Source[], $D35, G$14 )</f>
        <v>1</v>
      </c>
      <c r="H35" s="22" cm="1">
        <f t="array" ref="H35" xml:space="preserve"> INDEX( VfM_Metrics_2023_Consol_Source[], $D35, H$14 )</f>
        <v>0</v>
      </c>
      <c r="I35" s="22" cm="1">
        <f t="array" ref="I35" xml:space="preserve"> INDEX( VfM_Metrics_2023_Consol_Source[], $D35, I$14 )</f>
        <v>0</v>
      </c>
      <c r="J35" s="22" cm="1">
        <f t="array" ref="J35" xml:space="preserve"> INDEX( VfM_Metrics_2023_Consol_Source[], $D35, J$14 )</f>
        <v>0</v>
      </c>
      <c r="K35" s="22" cm="1">
        <f t="array" ref="K35" xml:space="preserve"> INDEX( VfM_Metrics_2023_Consol_Source[], $D35, K$14 )</f>
        <v>0</v>
      </c>
      <c r="L35" s="22" cm="1">
        <f t="array" ref="L35" xml:space="preserve"> INDEX( VfM_Metrics_2023_Consol_Source[], $D35, L$14 )</f>
        <v>0</v>
      </c>
      <c r="M35" s="22" cm="1">
        <f t="array" ref="M35" xml:space="preserve"> INDEX( VfM_Metrics_2023_Consol_Source[], $D35, M$14 )</f>
        <v>0</v>
      </c>
      <c r="N35" s="23">
        <f xml:space="preserve"> -- AND( tblFilterRegion[[#This Row],[London]] &gt;= $N$10, N$13 = "Yes" )</f>
        <v>0</v>
      </c>
      <c r="O35" s="23">
        <f xml:space="preserve"> -- AND( tblFilterRegion[[#This Row],[South East]] &gt;= $N$10, O$13 = "Yes" )</f>
        <v>0</v>
      </c>
      <c r="P35" s="23">
        <f xml:space="preserve"> -- AND( tblFilterRegion[[#This Row],[South West]] &gt;= $N$10, P$13 = "Yes" )</f>
        <v>0</v>
      </c>
      <c r="Q35" s="23">
        <f xml:space="preserve"> -- AND( tblFilterRegion[[#This Row],[East Midlands]] &gt;= $N$10, Q$13 = "Yes" )</f>
        <v>0</v>
      </c>
      <c r="R35" s="23">
        <f xml:space="preserve"> -- AND( tblFilterRegion[[#This Row],[West Midlands]] &gt;= $N$10, R$13 = "Yes" )</f>
        <v>0</v>
      </c>
      <c r="S35" s="23">
        <f xml:space="preserve"> -- AND( tblFilterRegion[[#This Row],[East of England]] &gt;= $N$10, S$13 = "Yes" )</f>
        <v>0</v>
      </c>
      <c r="T35" s="23">
        <f xml:space="preserve"> -- AND( tblFilterRegion[[#This Row],[North East]] &gt;= $N$10, T$13 = "Yes" )</f>
        <v>0</v>
      </c>
      <c r="U35" s="23">
        <f xml:space="preserve"> -- AND( tblFilterRegion[[#This Row],[North West]] &gt;= $N$10, U$13 = "Yes" )</f>
        <v>0</v>
      </c>
      <c r="V35" s="23">
        <f xml:space="preserve"> -- AND( tblFilterRegion[[#This Row],[Yorkshire &amp; the Humber]] &gt;= $N$10, V$13 = "Yes" )</f>
        <v>0</v>
      </c>
      <c r="W35" s="22">
        <f xml:space="preserve"> SUMIF( $E$13:$M$13, "Yes", tblFilterRegion[[#This Row],[London]:[Yorkshire &amp; the Humber]] )</f>
        <v>0</v>
      </c>
      <c r="X35" s="23">
        <f xml:space="preserve"> -- ( SUM( tblFilterRegion[[#This Row],[Incl for Lon]:[Incl for YH]] ) &gt; 0 )</f>
        <v>0</v>
      </c>
      <c r="Y35" s="23">
        <f xml:space="preserve"> -- ( tblFilterRegion[[#This Row],[Total in selected regions]] &gt; $N$10 )</f>
        <v>0</v>
      </c>
      <c r="Z35" s="24">
        <f xml:space="preserve"> IF( RegionMinimum = 0, 1, IF( $R$10 = $U$8, tblFilterRegion[[#This Row],[Include for region - any]], IF( $R$10 = $U$10, tblFilterRegion[[#This Row],[Include for region - total]], "CHECK" ) ) )</f>
        <v>1</v>
      </c>
      <c r="AA35" s="131" t="str" cm="1">
        <f t="array" ref="AA35" xml:space="preserve"> INDEX( VfM_Metrics_2023_Consol_Source[], $D35, AA$14 )</f>
        <v>South West</v>
      </c>
    </row>
    <row r="36" spans="2:27" x14ac:dyDescent="0.2">
      <c r="B36" s="159" t="s" vm="21">
        <v>187</v>
      </c>
      <c r="C36" s="154" t="str" vm="366">
        <f xml:space="preserve"> INDEX( VfM_Metrics_2023_Consol_Source[RP_Code], MATCH( tblFilterRegion[[#This Row],[RP_Name]], VfM_Metrics_2023_Consol_Source[RP_Name], 0 ) )</f>
        <v>LH4014</v>
      </c>
      <c r="D36" s="81">
        <f xml:space="preserve"> MATCH( tblFilterRegion[[#This Row],[RP_Code]], VfM_Metrics_2023_Consol_Source[RP_Code], 0 )</f>
        <v>21</v>
      </c>
      <c r="E36" s="22" cm="1">
        <f t="array" ref="E36" xml:space="preserve"> INDEX( VfM_Metrics_2023_Consol_Source[], $D36, E$14 )</f>
        <v>0</v>
      </c>
      <c r="F36" s="22" cm="1">
        <f t="array" ref="F36" xml:space="preserve"> INDEX( VfM_Metrics_2023_Consol_Source[], $D36, F$14 )</f>
        <v>0</v>
      </c>
      <c r="G36" s="22" cm="1">
        <f t="array" ref="G36" xml:space="preserve"> INDEX( VfM_Metrics_2023_Consol_Source[], $D36, G$14 )</f>
        <v>0</v>
      </c>
      <c r="H36" s="22" cm="1">
        <f t="array" ref="H36" xml:space="preserve"> INDEX( VfM_Metrics_2023_Consol_Source[], $D36, H$14 )</f>
        <v>0</v>
      </c>
      <c r="I36" s="22" cm="1">
        <f t="array" ref="I36" xml:space="preserve"> INDEX( VfM_Metrics_2023_Consol_Source[], $D36, I$14 )</f>
        <v>0</v>
      </c>
      <c r="J36" s="22" cm="1">
        <f t="array" ref="J36" xml:space="preserve"> INDEX( VfM_Metrics_2023_Consol_Source[], $D36, J$14 )</f>
        <v>0</v>
      </c>
      <c r="K36" s="22" cm="1">
        <f t="array" ref="K36" xml:space="preserve"> INDEX( VfM_Metrics_2023_Consol_Source[], $D36, K$14 )</f>
        <v>4.9586776859504135E-3</v>
      </c>
      <c r="L36" s="22" cm="1">
        <f t="array" ref="L36" xml:space="preserve"> INDEX( VfM_Metrics_2023_Consol_Source[], $D36, L$14 )</f>
        <v>0</v>
      </c>
      <c r="M36" s="22" cm="1">
        <f t="array" ref="M36" xml:space="preserve"> INDEX( VfM_Metrics_2023_Consol_Source[], $D36, M$14 )</f>
        <v>0.99504132231404963</v>
      </c>
      <c r="N36" s="23">
        <f xml:space="preserve"> -- AND( tblFilterRegion[[#This Row],[London]] &gt;= $N$10, N$13 = "Yes" )</f>
        <v>0</v>
      </c>
      <c r="O36" s="23">
        <f xml:space="preserve"> -- AND( tblFilterRegion[[#This Row],[South East]] &gt;= $N$10, O$13 = "Yes" )</f>
        <v>0</v>
      </c>
      <c r="P36" s="23">
        <f xml:space="preserve"> -- AND( tblFilterRegion[[#This Row],[South West]] &gt;= $N$10, P$13 = "Yes" )</f>
        <v>0</v>
      </c>
      <c r="Q36" s="23">
        <f xml:space="preserve"> -- AND( tblFilterRegion[[#This Row],[East Midlands]] &gt;= $N$10, Q$13 = "Yes" )</f>
        <v>0</v>
      </c>
      <c r="R36" s="23">
        <f xml:space="preserve"> -- AND( tblFilterRegion[[#This Row],[West Midlands]] &gt;= $N$10, R$13 = "Yes" )</f>
        <v>0</v>
      </c>
      <c r="S36" s="23">
        <f xml:space="preserve"> -- AND( tblFilterRegion[[#This Row],[East of England]] &gt;= $N$10, S$13 = "Yes" )</f>
        <v>0</v>
      </c>
      <c r="T36" s="23">
        <f xml:space="preserve"> -- AND( tblFilterRegion[[#This Row],[North East]] &gt;= $N$10, T$13 = "Yes" )</f>
        <v>0</v>
      </c>
      <c r="U36" s="23">
        <f xml:space="preserve"> -- AND( tblFilterRegion[[#This Row],[North West]] &gt;= $N$10, U$13 = "Yes" )</f>
        <v>0</v>
      </c>
      <c r="V36" s="23">
        <f xml:space="preserve"> -- AND( tblFilterRegion[[#This Row],[Yorkshire &amp; the Humber]] &gt;= $N$10, V$13 = "Yes" )</f>
        <v>0</v>
      </c>
      <c r="W36" s="22">
        <f xml:space="preserve"> SUMIF( $E$13:$M$13, "Yes", tblFilterRegion[[#This Row],[London]:[Yorkshire &amp; the Humber]] )</f>
        <v>0</v>
      </c>
      <c r="X36" s="23">
        <f xml:space="preserve"> -- ( SUM( tblFilterRegion[[#This Row],[Incl for Lon]:[Incl for YH]] ) &gt; 0 )</f>
        <v>0</v>
      </c>
      <c r="Y36" s="23">
        <f xml:space="preserve"> -- ( tblFilterRegion[[#This Row],[Total in selected regions]] &gt; $N$10 )</f>
        <v>0</v>
      </c>
      <c r="Z36" s="24">
        <f xml:space="preserve"> IF( RegionMinimum = 0, 1, IF( $R$10 = $U$8, tblFilterRegion[[#This Row],[Include for region - any]], IF( $R$10 = $U$10, tblFilterRegion[[#This Row],[Include for region - total]], "CHECK" ) ) )</f>
        <v>1</v>
      </c>
      <c r="AA36" s="131" t="str" cm="1">
        <f t="array" ref="AA36" xml:space="preserve"> INDEX( VfM_Metrics_2023_Consol_Source[], $D36, AA$14 )</f>
        <v>Yorkshire &amp; the Humber</v>
      </c>
    </row>
    <row r="37" spans="2:27" x14ac:dyDescent="0.2">
      <c r="B37" s="159" t="s" vm="22">
        <v>189</v>
      </c>
      <c r="C37" s="154" t="str" vm="391">
        <f xml:space="preserve"> INDEX( VfM_Metrics_2023_Consol_Source[RP_Code], MATCH( tblFilterRegion[[#This Row],[RP_Name]], VfM_Metrics_2023_Consol_Source[RP_Name], 0 ) )</f>
        <v>L0026</v>
      </c>
      <c r="D37" s="81">
        <f xml:space="preserve"> MATCH( tblFilterRegion[[#This Row],[RP_Code]], VfM_Metrics_2023_Consol_Source[RP_Code], 0 )</f>
        <v>22</v>
      </c>
      <c r="E37" s="22" cm="1">
        <f t="array" ref="E37" xml:space="preserve"> INDEX( VfM_Metrics_2023_Consol_Source[], $D37, E$14 )</f>
        <v>0</v>
      </c>
      <c r="F37" s="22" cm="1">
        <f t="array" ref="F37" xml:space="preserve"> INDEX( VfM_Metrics_2023_Consol_Source[], $D37, F$14 )</f>
        <v>0</v>
      </c>
      <c r="G37" s="22" cm="1">
        <f t="array" ref="G37" xml:space="preserve"> INDEX( VfM_Metrics_2023_Consol_Source[], $D37, G$14 )</f>
        <v>0</v>
      </c>
      <c r="H37" s="22" cm="1">
        <f t="array" ref="H37" xml:space="preserve"> INDEX( VfM_Metrics_2023_Consol_Source[], $D37, H$14 )</f>
        <v>0</v>
      </c>
      <c r="I37" s="22" cm="1">
        <f t="array" ref="I37" xml:space="preserve"> INDEX( VfM_Metrics_2023_Consol_Source[], $D37, I$14 )</f>
        <v>0</v>
      </c>
      <c r="J37" s="22" cm="1">
        <f t="array" ref="J37" xml:space="preserve"> INDEX( VfM_Metrics_2023_Consol_Source[], $D37, J$14 )</f>
        <v>1</v>
      </c>
      <c r="K37" s="22" cm="1">
        <f t="array" ref="K37" xml:space="preserve"> INDEX( VfM_Metrics_2023_Consol_Source[], $D37, K$14 )</f>
        <v>0</v>
      </c>
      <c r="L37" s="22" cm="1">
        <f t="array" ref="L37" xml:space="preserve"> INDEX( VfM_Metrics_2023_Consol_Source[], $D37, L$14 )</f>
        <v>0</v>
      </c>
      <c r="M37" s="22" cm="1">
        <f t="array" ref="M37" xml:space="preserve"> INDEX( VfM_Metrics_2023_Consol_Source[], $D37, M$14 )</f>
        <v>0</v>
      </c>
      <c r="N37" s="23">
        <f xml:space="preserve"> -- AND( tblFilterRegion[[#This Row],[London]] &gt;= $N$10, N$13 = "Yes" )</f>
        <v>0</v>
      </c>
      <c r="O37" s="23">
        <f xml:space="preserve"> -- AND( tblFilterRegion[[#This Row],[South East]] &gt;= $N$10, O$13 = "Yes" )</f>
        <v>0</v>
      </c>
      <c r="P37" s="23">
        <f xml:space="preserve"> -- AND( tblFilterRegion[[#This Row],[South West]] &gt;= $N$10, P$13 = "Yes" )</f>
        <v>0</v>
      </c>
      <c r="Q37" s="23">
        <f xml:space="preserve"> -- AND( tblFilterRegion[[#This Row],[East Midlands]] &gt;= $N$10, Q$13 = "Yes" )</f>
        <v>0</v>
      </c>
      <c r="R37" s="23">
        <f xml:space="preserve"> -- AND( tblFilterRegion[[#This Row],[West Midlands]] &gt;= $N$10, R$13 = "Yes" )</f>
        <v>0</v>
      </c>
      <c r="S37" s="23">
        <f xml:space="preserve"> -- AND( tblFilterRegion[[#This Row],[East of England]] &gt;= $N$10, S$13 = "Yes" )</f>
        <v>0</v>
      </c>
      <c r="T37" s="23">
        <f xml:space="preserve"> -- AND( tblFilterRegion[[#This Row],[North East]] &gt;= $N$10, T$13 = "Yes" )</f>
        <v>0</v>
      </c>
      <c r="U37" s="23">
        <f xml:space="preserve"> -- AND( tblFilterRegion[[#This Row],[North West]] &gt;= $N$10, U$13 = "Yes" )</f>
        <v>0</v>
      </c>
      <c r="V37" s="23">
        <f xml:space="preserve"> -- AND( tblFilterRegion[[#This Row],[Yorkshire &amp; the Humber]] &gt;= $N$10, V$13 = "Yes" )</f>
        <v>0</v>
      </c>
      <c r="W37" s="22">
        <f xml:space="preserve"> SUMIF( $E$13:$M$13, "Yes", tblFilterRegion[[#This Row],[London]:[Yorkshire &amp; the Humber]] )</f>
        <v>0</v>
      </c>
      <c r="X37" s="23">
        <f xml:space="preserve"> -- ( SUM( tblFilterRegion[[#This Row],[Incl for Lon]:[Incl for YH]] ) &gt; 0 )</f>
        <v>0</v>
      </c>
      <c r="Y37" s="23">
        <f xml:space="preserve"> -- ( tblFilterRegion[[#This Row],[Total in selected regions]] &gt; $N$10 )</f>
        <v>0</v>
      </c>
      <c r="Z37" s="24">
        <f xml:space="preserve"> IF( RegionMinimum = 0, 1, IF( $R$10 = $U$8, tblFilterRegion[[#This Row],[Include for region - any]], IF( $R$10 = $U$10, tblFilterRegion[[#This Row],[Include for region - total]], "CHECK" ) ) )</f>
        <v>1</v>
      </c>
      <c r="AA37" s="131" t="str" cm="1">
        <f t="array" ref="AA37" xml:space="preserve"> INDEX( VfM_Metrics_2023_Consol_Source[], $D37, AA$14 )</f>
        <v>East of England</v>
      </c>
    </row>
    <row r="38" spans="2:27" x14ac:dyDescent="0.2">
      <c r="B38" s="159" t="s" vm="23">
        <v>191</v>
      </c>
      <c r="C38" s="154" t="str" vm="263">
        <f xml:space="preserve"> INDEX( VfM_Metrics_2023_Consol_Source[RP_Code], MATCH( tblFilterRegion[[#This Row],[RP_Name]], VfM_Metrics_2023_Consol_Source[RP_Name], 0 ) )</f>
        <v>L4449</v>
      </c>
      <c r="D38" s="81">
        <f xml:space="preserve"> MATCH( tblFilterRegion[[#This Row],[RP_Code]], VfM_Metrics_2023_Consol_Source[RP_Code], 0 )</f>
        <v>23</v>
      </c>
      <c r="E38" s="22" cm="1">
        <f t="array" ref="E38" xml:space="preserve"> INDEX( VfM_Metrics_2023_Consol_Source[], $D38, E$14 )</f>
        <v>0</v>
      </c>
      <c r="F38" s="22" cm="1">
        <f t="array" ref="F38" xml:space="preserve"> INDEX( VfM_Metrics_2023_Consol_Source[], $D38, F$14 )</f>
        <v>3.6137801734239514E-2</v>
      </c>
      <c r="G38" s="22" cm="1">
        <f t="array" ref="G38" xml:space="preserve"> INDEX( VfM_Metrics_2023_Consol_Source[], $D38, G$14 )</f>
        <v>0.47932973986407312</v>
      </c>
      <c r="H38" s="22" cm="1">
        <f t="array" ref="H38" xml:space="preserve"> INDEX( VfM_Metrics_2023_Consol_Source[], $D38, H$14 )</f>
        <v>2.3505976095617529E-2</v>
      </c>
      <c r="I38" s="22" cm="1">
        <f t="array" ref="I38" xml:space="preserve"> INDEX( VfM_Metrics_2023_Consol_Source[], $D38, I$14 )</f>
        <v>0.46102648230606985</v>
      </c>
      <c r="J38" s="22" cm="1">
        <f t="array" ref="J38" xml:space="preserve"> INDEX( VfM_Metrics_2023_Consol_Source[], $D38, J$14 )</f>
        <v>0</v>
      </c>
      <c r="K38" s="22" cm="1">
        <f t="array" ref="K38" xml:space="preserve"> INDEX( VfM_Metrics_2023_Consol_Source[], $D38, K$14 )</f>
        <v>0</v>
      </c>
      <c r="L38" s="22" cm="1">
        <f t="array" ref="L38" xml:space="preserve"> INDEX( VfM_Metrics_2023_Consol_Source[], $D38, L$14 )</f>
        <v>0</v>
      </c>
      <c r="M38" s="22" cm="1">
        <f t="array" ref="M38" xml:space="preserve"> INDEX( VfM_Metrics_2023_Consol_Source[], $D38, M$14 )</f>
        <v>0</v>
      </c>
      <c r="N38" s="23">
        <f xml:space="preserve"> -- AND( tblFilterRegion[[#This Row],[London]] &gt;= $N$10, N$13 = "Yes" )</f>
        <v>0</v>
      </c>
      <c r="O38" s="23">
        <f xml:space="preserve"> -- AND( tblFilterRegion[[#This Row],[South East]] &gt;= $N$10, O$13 = "Yes" )</f>
        <v>0</v>
      </c>
      <c r="P38" s="23">
        <f xml:space="preserve"> -- AND( tblFilterRegion[[#This Row],[South West]] &gt;= $N$10, P$13 = "Yes" )</f>
        <v>0</v>
      </c>
      <c r="Q38" s="23">
        <f xml:space="preserve"> -- AND( tblFilterRegion[[#This Row],[East Midlands]] &gt;= $N$10, Q$13 = "Yes" )</f>
        <v>0</v>
      </c>
      <c r="R38" s="23">
        <f xml:space="preserve"> -- AND( tblFilterRegion[[#This Row],[West Midlands]] &gt;= $N$10, R$13 = "Yes" )</f>
        <v>0</v>
      </c>
      <c r="S38" s="23">
        <f xml:space="preserve"> -- AND( tblFilterRegion[[#This Row],[East of England]] &gt;= $N$10, S$13 = "Yes" )</f>
        <v>0</v>
      </c>
      <c r="T38" s="23">
        <f xml:space="preserve"> -- AND( tblFilterRegion[[#This Row],[North East]] &gt;= $N$10, T$13 = "Yes" )</f>
        <v>0</v>
      </c>
      <c r="U38" s="23">
        <f xml:space="preserve"> -- AND( tblFilterRegion[[#This Row],[North West]] &gt;= $N$10, U$13 = "Yes" )</f>
        <v>0</v>
      </c>
      <c r="V38" s="23">
        <f xml:space="preserve"> -- AND( tblFilterRegion[[#This Row],[Yorkshire &amp; the Humber]] &gt;= $N$10, V$13 = "Yes" )</f>
        <v>0</v>
      </c>
      <c r="W38" s="22">
        <f xml:space="preserve"> SUMIF( $E$13:$M$13, "Yes", tblFilterRegion[[#This Row],[London]:[Yorkshire &amp; the Humber]] )</f>
        <v>0</v>
      </c>
      <c r="X38" s="23">
        <f xml:space="preserve"> -- ( SUM( tblFilterRegion[[#This Row],[Incl for Lon]:[Incl for YH]] ) &gt; 0 )</f>
        <v>0</v>
      </c>
      <c r="Y38" s="23">
        <f xml:space="preserve"> -- ( tblFilterRegion[[#This Row],[Total in selected regions]] &gt; $N$10 )</f>
        <v>0</v>
      </c>
      <c r="Z38" s="24">
        <f xml:space="preserve"> IF( RegionMinimum = 0, 1, IF( $R$10 = $U$8, tblFilterRegion[[#This Row],[Include for region - any]], IF( $R$10 = $U$10, tblFilterRegion[[#This Row],[Include for region - total]], "CHECK" ) ) )</f>
        <v>1</v>
      </c>
      <c r="AA38" s="131" t="str" cm="1">
        <f t="array" ref="AA38" xml:space="preserve"> INDEX( VfM_Metrics_2023_Consol_Source[], $D38, AA$14 )</f>
        <v>Mixed</v>
      </c>
    </row>
    <row r="39" spans="2:27" x14ac:dyDescent="0.2">
      <c r="B39" s="159" t="s" vm="24">
        <v>193</v>
      </c>
      <c r="C39" s="154" t="str" vm="323">
        <f xml:space="preserve"> INDEX( VfM_Metrics_2023_Consol_Source[RP_Code], MATCH( tblFilterRegion[[#This Row],[RP_Name]], VfM_Metrics_2023_Consol_Source[RP_Name], 0 ) )</f>
        <v>LH4415</v>
      </c>
      <c r="D39" s="81">
        <f xml:space="preserve"> MATCH( tblFilterRegion[[#This Row],[RP_Code]], VfM_Metrics_2023_Consol_Source[RP_Code], 0 )</f>
        <v>24</v>
      </c>
      <c r="E39" s="22" cm="1">
        <f t="array" ref="E39" xml:space="preserve"> INDEX( VfM_Metrics_2023_Consol_Source[], $D39, E$14 )</f>
        <v>0</v>
      </c>
      <c r="F39" s="22" cm="1">
        <f t="array" ref="F39" xml:space="preserve"> INDEX( VfM_Metrics_2023_Consol_Source[], $D39, F$14 )</f>
        <v>0</v>
      </c>
      <c r="G39" s="22" cm="1">
        <f t="array" ref="G39" xml:space="preserve"> INDEX( VfM_Metrics_2023_Consol_Source[], $D39, G$14 )</f>
        <v>0</v>
      </c>
      <c r="H39" s="22" cm="1">
        <f t="array" ref="H39" xml:space="preserve"> INDEX( VfM_Metrics_2023_Consol_Source[], $D39, H$14 )</f>
        <v>0</v>
      </c>
      <c r="I39" s="22" cm="1">
        <f t="array" ref="I39" xml:space="preserve"> INDEX( VfM_Metrics_2023_Consol_Source[], $D39, I$14 )</f>
        <v>1</v>
      </c>
      <c r="J39" s="22" cm="1">
        <f t="array" ref="J39" xml:space="preserve"> INDEX( VfM_Metrics_2023_Consol_Source[], $D39, J$14 )</f>
        <v>0</v>
      </c>
      <c r="K39" s="22" cm="1">
        <f t="array" ref="K39" xml:space="preserve"> INDEX( VfM_Metrics_2023_Consol_Source[], $D39, K$14 )</f>
        <v>0</v>
      </c>
      <c r="L39" s="22" cm="1">
        <f t="array" ref="L39" xml:space="preserve"> INDEX( VfM_Metrics_2023_Consol_Source[], $D39, L$14 )</f>
        <v>0</v>
      </c>
      <c r="M39" s="22" cm="1">
        <f t="array" ref="M39" xml:space="preserve"> INDEX( VfM_Metrics_2023_Consol_Source[], $D39, M$14 )</f>
        <v>0</v>
      </c>
      <c r="N39" s="23">
        <f xml:space="preserve"> -- AND( tblFilterRegion[[#This Row],[London]] &gt;= $N$10, N$13 = "Yes" )</f>
        <v>0</v>
      </c>
      <c r="O39" s="23">
        <f xml:space="preserve"> -- AND( tblFilterRegion[[#This Row],[South East]] &gt;= $N$10, O$13 = "Yes" )</f>
        <v>0</v>
      </c>
      <c r="P39" s="23">
        <f xml:space="preserve"> -- AND( tblFilterRegion[[#This Row],[South West]] &gt;= $N$10, P$13 = "Yes" )</f>
        <v>0</v>
      </c>
      <c r="Q39" s="23">
        <f xml:space="preserve"> -- AND( tblFilterRegion[[#This Row],[East Midlands]] &gt;= $N$10, Q$13 = "Yes" )</f>
        <v>0</v>
      </c>
      <c r="R39" s="23">
        <f xml:space="preserve"> -- AND( tblFilterRegion[[#This Row],[West Midlands]] &gt;= $N$10, R$13 = "Yes" )</f>
        <v>0</v>
      </c>
      <c r="S39" s="23">
        <f xml:space="preserve"> -- AND( tblFilterRegion[[#This Row],[East of England]] &gt;= $N$10, S$13 = "Yes" )</f>
        <v>0</v>
      </c>
      <c r="T39" s="23">
        <f xml:space="preserve"> -- AND( tblFilterRegion[[#This Row],[North East]] &gt;= $N$10, T$13 = "Yes" )</f>
        <v>0</v>
      </c>
      <c r="U39" s="23">
        <f xml:space="preserve"> -- AND( tblFilterRegion[[#This Row],[North West]] &gt;= $N$10, U$13 = "Yes" )</f>
        <v>0</v>
      </c>
      <c r="V39" s="23">
        <f xml:space="preserve"> -- AND( tblFilterRegion[[#This Row],[Yorkshire &amp; the Humber]] &gt;= $N$10, V$13 = "Yes" )</f>
        <v>0</v>
      </c>
      <c r="W39" s="22">
        <f xml:space="preserve"> SUMIF( $E$13:$M$13, "Yes", tblFilterRegion[[#This Row],[London]:[Yorkshire &amp; the Humber]] )</f>
        <v>0</v>
      </c>
      <c r="X39" s="23">
        <f xml:space="preserve"> -- ( SUM( tblFilterRegion[[#This Row],[Incl for Lon]:[Incl for YH]] ) &gt; 0 )</f>
        <v>0</v>
      </c>
      <c r="Y39" s="23">
        <f xml:space="preserve"> -- ( tblFilterRegion[[#This Row],[Total in selected regions]] &gt; $N$10 )</f>
        <v>0</v>
      </c>
      <c r="Z39" s="24">
        <f xml:space="preserve"> IF( RegionMinimum = 0, 1, IF( $R$10 = $U$8, tblFilterRegion[[#This Row],[Include for region - any]], IF( $R$10 = $U$10, tblFilterRegion[[#This Row],[Include for region - total]], "CHECK" ) ) )</f>
        <v>1</v>
      </c>
      <c r="AA39" s="131" t="str" cm="1">
        <f t="array" ref="AA39" xml:space="preserve"> INDEX( VfM_Metrics_2023_Consol_Source[], $D39, AA$14 )</f>
        <v>West Midlands</v>
      </c>
    </row>
    <row r="40" spans="2:27" x14ac:dyDescent="0.2">
      <c r="B40" s="159" t="s" vm="25">
        <v>195</v>
      </c>
      <c r="C40" s="154" t="str" vm="211">
        <f xml:space="preserve"> INDEX( VfM_Metrics_2023_Consol_Source[RP_Code], MATCH( tblFilterRegion[[#This Row],[RP_Name]], VfM_Metrics_2023_Consol_Source[RP_Name], 0 ) )</f>
        <v>LH0269</v>
      </c>
      <c r="D40" s="81">
        <f xml:space="preserve"> MATCH( tblFilterRegion[[#This Row],[RP_Code]], VfM_Metrics_2023_Consol_Source[RP_Code], 0 )</f>
        <v>25</v>
      </c>
      <c r="E40" s="22" cm="1">
        <f t="array" ref="E40" xml:space="preserve"> INDEX( VfM_Metrics_2023_Consol_Source[], $D40, E$14 )</f>
        <v>0</v>
      </c>
      <c r="F40" s="22" cm="1">
        <f t="array" ref="F40" xml:space="preserve"> INDEX( VfM_Metrics_2023_Consol_Source[], $D40, F$14 )</f>
        <v>0</v>
      </c>
      <c r="G40" s="22" cm="1">
        <f t="array" ref="G40" xml:space="preserve"> INDEX( VfM_Metrics_2023_Consol_Source[], $D40, G$14 )</f>
        <v>1</v>
      </c>
      <c r="H40" s="22" cm="1">
        <f t="array" ref="H40" xml:space="preserve"> INDEX( VfM_Metrics_2023_Consol_Source[], $D40, H$14 )</f>
        <v>0</v>
      </c>
      <c r="I40" s="22" cm="1">
        <f t="array" ref="I40" xml:space="preserve"> INDEX( VfM_Metrics_2023_Consol_Source[], $D40, I$14 )</f>
        <v>0</v>
      </c>
      <c r="J40" s="22" cm="1">
        <f t="array" ref="J40" xml:space="preserve"> INDEX( VfM_Metrics_2023_Consol_Source[], $D40, J$14 )</f>
        <v>0</v>
      </c>
      <c r="K40" s="22" cm="1">
        <f t="array" ref="K40" xml:space="preserve"> INDEX( VfM_Metrics_2023_Consol_Source[], $D40, K$14 )</f>
        <v>0</v>
      </c>
      <c r="L40" s="22" cm="1">
        <f t="array" ref="L40" xml:space="preserve"> INDEX( VfM_Metrics_2023_Consol_Source[], $D40, L$14 )</f>
        <v>0</v>
      </c>
      <c r="M40" s="22" cm="1">
        <f t="array" ref="M40" xml:space="preserve"> INDEX( VfM_Metrics_2023_Consol_Source[], $D40, M$14 )</f>
        <v>0</v>
      </c>
      <c r="N40" s="23">
        <f xml:space="preserve"> -- AND( tblFilterRegion[[#This Row],[London]] &gt;= $N$10, N$13 = "Yes" )</f>
        <v>0</v>
      </c>
      <c r="O40" s="23">
        <f xml:space="preserve"> -- AND( tblFilterRegion[[#This Row],[South East]] &gt;= $N$10, O$13 = "Yes" )</f>
        <v>0</v>
      </c>
      <c r="P40" s="23">
        <f xml:space="preserve"> -- AND( tblFilterRegion[[#This Row],[South West]] &gt;= $N$10, P$13 = "Yes" )</f>
        <v>0</v>
      </c>
      <c r="Q40" s="23">
        <f xml:space="preserve"> -- AND( tblFilterRegion[[#This Row],[East Midlands]] &gt;= $N$10, Q$13 = "Yes" )</f>
        <v>0</v>
      </c>
      <c r="R40" s="23">
        <f xml:space="preserve"> -- AND( tblFilterRegion[[#This Row],[West Midlands]] &gt;= $N$10, R$13 = "Yes" )</f>
        <v>0</v>
      </c>
      <c r="S40" s="23">
        <f xml:space="preserve"> -- AND( tblFilterRegion[[#This Row],[East of England]] &gt;= $N$10, S$13 = "Yes" )</f>
        <v>0</v>
      </c>
      <c r="T40" s="23">
        <f xml:space="preserve"> -- AND( tblFilterRegion[[#This Row],[North East]] &gt;= $N$10, T$13 = "Yes" )</f>
        <v>0</v>
      </c>
      <c r="U40" s="23">
        <f xml:space="preserve"> -- AND( tblFilterRegion[[#This Row],[North West]] &gt;= $N$10, U$13 = "Yes" )</f>
        <v>0</v>
      </c>
      <c r="V40" s="23">
        <f xml:space="preserve"> -- AND( tblFilterRegion[[#This Row],[Yorkshire &amp; the Humber]] &gt;= $N$10, V$13 = "Yes" )</f>
        <v>0</v>
      </c>
      <c r="W40" s="22">
        <f xml:space="preserve"> SUMIF( $E$13:$M$13, "Yes", tblFilterRegion[[#This Row],[London]:[Yorkshire &amp; the Humber]] )</f>
        <v>0</v>
      </c>
      <c r="X40" s="23">
        <f xml:space="preserve"> -- ( SUM( tblFilterRegion[[#This Row],[Incl for Lon]:[Incl for YH]] ) &gt; 0 )</f>
        <v>0</v>
      </c>
      <c r="Y40" s="23">
        <f xml:space="preserve"> -- ( tblFilterRegion[[#This Row],[Total in selected regions]] &gt; $N$10 )</f>
        <v>0</v>
      </c>
      <c r="Z40" s="24">
        <f xml:space="preserve"> IF( RegionMinimum = 0, 1, IF( $R$10 = $U$8, tblFilterRegion[[#This Row],[Include for region - any]], IF( $R$10 = $U$10, tblFilterRegion[[#This Row],[Include for region - total]], "CHECK" ) ) )</f>
        <v>1</v>
      </c>
      <c r="AA40" s="131" t="str" cm="1">
        <f t="array" ref="AA40" xml:space="preserve"> INDEX( VfM_Metrics_2023_Consol_Source[], $D40, AA$14 )</f>
        <v>South West</v>
      </c>
    </row>
    <row r="41" spans="2:27" x14ac:dyDescent="0.2">
      <c r="B41" s="159" t="s" vm="26">
        <v>197</v>
      </c>
      <c r="C41" s="154" t="str" vm="393">
        <f xml:space="preserve"> INDEX( VfM_Metrics_2023_Consol_Source[RP_Code], MATCH( tblFilterRegion[[#This Row],[RP_Name]], VfM_Metrics_2023_Consol_Source[RP_Name], 0 ) )</f>
        <v>L4254</v>
      </c>
      <c r="D41" s="81">
        <f xml:space="preserve"> MATCH( tblFilterRegion[[#This Row],[RP_Code]], VfM_Metrics_2023_Consol_Source[RP_Code], 0 )</f>
        <v>26</v>
      </c>
      <c r="E41" s="22" cm="1">
        <f t="array" ref="E41" xml:space="preserve"> INDEX( VfM_Metrics_2023_Consol_Source[], $D41, E$14 )</f>
        <v>0</v>
      </c>
      <c r="F41" s="22" cm="1">
        <f t="array" ref="F41" xml:space="preserve"> INDEX( VfM_Metrics_2023_Consol_Source[], $D41, F$14 )</f>
        <v>0</v>
      </c>
      <c r="G41" s="22" cm="1">
        <f t="array" ref="G41" xml:space="preserve"> INDEX( VfM_Metrics_2023_Consol_Source[], $D41, G$14 )</f>
        <v>0</v>
      </c>
      <c r="H41" s="22" cm="1">
        <f t="array" ref="H41" xml:space="preserve"> INDEX( VfM_Metrics_2023_Consol_Source[], $D41, H$14 )</f>
        <v>0</v>
      </c>
      <c r="I41" s="22" cm="1">
        <f t="array" ref="I41" xml:space="preserve"> INDEX( VfM_Metrics_2023_Consol_Source[], $D41, I$14 )</f>
        <v>0</v>
      </c>
      <c r="J41" s="22" cm="1">
        <f t="array" ref="J41" xml:space="preserve"> INDEX( VfM_Metrics_2023_Consol_Source[], $D41, J$14 )</f>
        <v>0</v>
      </c>
      <c r="K41" s="22" cm="1">
        <f t="array" ref="K41" xml:space="preserve"> INDEX( VfM_Metrics_2023_Consol_Source[], $D41, K$14 )</f>
        <v>0</v>
      </c>
      <c r="L41" s="22" cm="1">
        <f t="array" ref="L41" xml:space="preserve"> INDEX( VfM_Metrics_2023_Consol_Source[], $D41, L$14 )</f>
        <v>1</v>
      </c>
      <c r="M41" s="22" cm="1">
        <f t="array" ref="M41" xml:space="preserve"> INDEX( VfM_Metrics_2023_Consol_Source[], $D41, M$14 )</f>
        <v>0</v>
      </c>
      <c r="N41" s="23">
        <f xml:space="preserve"> -- AND( tblFilterRegion[[#This Row],[London]] &gt;= $N$10, N$13 = "Yes" )</f>
        <v>0</v>
      </c>
      <c r="O41" s="23">
        <f xml:space="preserve"> -- AND( tblFilterRegion[[#This Row],[South East]] &gt;= $N$10, O$13 = "Yes" )</f>
        <v>0</v>
      </c>
      <c r="P41" s="23">
        <f xml:space="preserve"> -- AND( tblFilterRegion[[#This Row],[South West]] &gt;= $N$10, P$13 = "Yes" )</f>
        <v>0</v>
      </c>
      <c r="Q41" s="23">
        <f xml:space="preserve"> -- AND( tblFilterRegion[[#This Row],[East Midlands]] &gt;= $N$10, Q$13 = "Yes" )</f>
        <v>0</v>
      </c>
      <c r="R41" s="23">
        <f xml:space="preserve"> -- AND( tblFilterRegion[[#This Row],[West Midlands]] &gt;= $N$10, R$13 = "Yes" )</f>
        <v>0</v>
      </c>
      <c r="S41" s="23">
        <f xml:space="preserve"> -- AND( tblFilterRegion[[#This Row],[East of England]] &gt;= $N$10, S$13 = "Yes" )</f>
        <v>0</v>
      </c>
      <c r="T41" s="23">
        <f xml:space="preserve"> -- AND( tblFilterRegion[[#This Row],[North East]] &gt;= $N$10, T$13 = "Yes" )</f>
        <v>0</v>
      </c>
      <c r="U41" s="23">
        <f xml:space="preserve"> -- AND( tblFilterRegion[[#This Row],[North West]] &gt;= $N$10, U$13 = "Yes" )</f>
        <v>0</v>
      </c>
      <c r="V41" s="23">
        <f xml:space="preserve"> -- AND( tblFilterRegion[[#This Row],[Yorkshire &amp; the Humber]] &gt;= $N$10, V$13 = "Yes" )</f>
        <v>0</v>
      </c>
      <c r="W41" s="22">
        <f xml:space="preserve"> SUMIF( $E$13:$M$13, "Yes", tblFilterRegion[[#This Row],[London]:[Yorkshire &amp; the Humber]] )</f>
        <v>0</v>
      </c>
      <c r="X41" s="23">
        <f xml:space="preserve"> -- ( SUM( tblFilterRegion[[#This Row],[Incl for Lon]:[Incl for YH]] ) &gt; 0 )</f>
        <v>0</v>
      </c>
      <c r="Y41" s="23">
        <f xml:space="preserve"> -- ( tblFilterRegion[[#This Row],[Total in selected regions]] &gt; $N$10 )</f>
        <v>0</v>
      </c>
      <c r="Z41" s="24">
        <f xml:space="preserve"> IF( RegionMinimum = 0, 1, IF( $R$10 = $U$8, tblFilterRegion[[#This Row],[Include for region - any]], IF( $R$10 = $U$10, tblFilterRegion[[#This Row],[Include for region - total]], "CHECK" ) ) )</f>
        <v>1</v>
      </c>
      <c r="AA41" s="131" t="str" cm="1">
        <f t="array" ref="AA41" xml:space="preserve"> INDEX( VfM_Metrics_2023_Consol_Source[], $D41, AA$14 )</f>
        <v>North West</v>
      </c>
    </row>
    <row r="42" spans="2:27" x14ac:dyDescent="0.2">
      <c r="B42" s="159" t="s" vm="27">
        <v>199</v>
      </c>
      <c r="C42" s="154" t="str" vm="371">
        <f xml:space="preserve"> INDEX( VfM_Metrics_2023_Consol_Source[RP_Code], MATCH( tblFilterRegion[[#This Row],[RP_Name]], VfM_Metrics_2023_Consol_Source[RP_Name], 0 ) )</f>
        <v>4858</v>
      </c>
      <c r="D42" s="81">
        <f xml:space="preserve"> MATCH( tblFilterRegion[[#This Row],[RP_Code]], VfM_Metrics_2023_Consol_Source[RP_Code], 0 )</f>
        <v>27</v>
      </c>
      <c r="E42" s="22" cm="1">
        <f t="array" ref="E42" xml:space="preserve"> INDEX( VfM_Metrics_2023_Consol_Source[], $D42, E$14 )</f>
        <v>0</v>
      </c>
      <c r="F42" s="22" cm="1">
        <f t="array" ref="F42" xml:space="preserve"> INDEX( VfM_Metrics_2023_Consol_Source[], $D42, F$14 )</f>
        <v>0</v>
      </c>
      <c r="G42" s="22" cm="1">
        <f t="array" ref="G42" xml:space="preserve"> INDEX( VfM_Metrics_2023_Consol_Source[], $D42, G$14 )</f>
        <v>0</v>
      </c>
      <c r="H42" s="22" cm="1">
        <f t="array" ref="H42" xml:space="preserve"> INDEX( VfM_Metrics_2023_Consol_Source[], $D42, H$14 )</f>
        <v>0</v>
      </c>
      <c r="I42" s="22" cm="1">
        <f t="array" ref="I42" xml:space="preserve"> INDEX( VfM_Metrics_2023_Consol_Source[], $D42, I$14 )</f>
        <v>0</v>
      </c>
      <c r="J42" s="22" cm="1">
        <f t="array" ref="J42" xml:space="preserve"> INDEX( VfM_Metrics_2023_Consol_Source[], $D42, J$14 )</f>
        <v>0</v>
      </c>
      <c r="K42" s="22" cm="1">
        <f t="array" ref="K42" xml:space="preserve"> INDEX( VfM_Metrics_2023_Consol_Source[], $D42, K$14 )</f>
        <v>0.21428571428571427</v>
      </c>
      <c r="L42" s="22" cm="1">
        <f t="array" ref="L42" xml:space="preserve"> INDEX( VfM_Metrics_2023_Consol_Source[], $D42, L$14 )</f>
        <v>0.78509852216748766</v>
      </c>
      <c r="M42" s="22" cm="1">
        <f t="array" ref="M42" xml:space="preserve"> INDEX( VfM_Metrics_2023_Consol_Source[], $D42, M$14 )</f>
        <v>6.1576354679802956E-4</v>
      </c>
      <c r="N42" s="23">
        <f xml:space="preserve"> -- AND( tblFilterRegion[[#This Row],[London]] &gt;= $N$10, N$13 = "Yes" )</f>
        <v>0</v>
      </c>
      <c r="O42" s="23">
        <f xml:space="preserve"> -- AND( tblFilterRegion[[#This Row],[South East]] &gt;= $N$10, O$13 = "Yes" )</f>
        <v>0</v>
      </c>
      <c r="P42" s="23">
        <f xml:space="preserve"> -- AND( tblFilterRegion[[#This Row],[South West]] &gt;= $N$10, P$13 = "Yes" )</f>
        <v>0</v>
      </c>
      <c r="Q42" s="23">
        <f xml:space="preserve"> -- AND( tblFilterRegion[[#This Row],[East Midlands]] &gt;= $N$10, Q$13 = "Yes" )</f>
        <v>0</v>
      </c>
      <c r="R42" s="23">
        <f xml:space="preserve"> -- AND( tblFilterRegion[[#This Row],[West Midlands]] &gt;= $N$10, R$13 = "Yes" )</f>
        <v>0</v>
      </c>
      <c r="S42" s="23">
        <f xml:space="preserve"> -- AND( tblFilterRegion[[#This Row],[East of England]] &gt;= $N$10, S$13 = "Yes" )</f>
        <v>0</v>
      </c>
      <c r="T42" s="23">
        <f xml:space="preserve"> -- AND( tblFilterRegion[[#This Row],[North East]] &gt;= $N$10, T$13 = "Yes" )</f>
        <v>0</v>
      </c>
      <c r="U42" s="23">
        <f xml:space="preserve"> -- AND( tblFilterRegion[[#This Row],[North West]] &gt;= $N$10, U$13 = "Yes" )</f>
        <v>0</v>
      </c>
      <c r="V42" s="23">
        <f xml:space="preserve"> -- AND( tblFilterRegion[[#This Row],[Yorkshire &amp; the Humber]] &gt;= $N$10, V$13 = "Yes" )</f>
        <v>0</v>
      </c>
      <c r="W42" s="22">
        <f xml:space="preserve"> SUMIF( $E$13:$M$13, "Yes", tblFilterRegion[[#This Row],[London]:[Yorkshire &amp; the Humber]] )</f>
        <v>0</v>
      </c>
      <c r="X42" s="23">
        <f xml:space="preserve"> -- ( SUM( tblFilterRegion[[#This Row],[Incl for Lon]:[Incl for YH]] ) &gt; 0 )</f>
        <v>0</v>
      </c>
      <c r="Y42" s="23">
        <f xml:space="preserve"> -- ( tblFilterRegion[[#This Row],[Total in selected regions]] &gt; $N$10 )</f>
        <v>0</v>
      </c>
      <c r="Z42" s="24">
        <f xml:space="preserve"> IF( RegionMinimum = 0, 1, IF( $R$10 = $U$8, tblFilterRegion[[#This Row],[Include for region - any]], IF( $R$10 = $U$10, tblFilterRegion[[#This Row],[Include for region - total]], "CHECK" ) ) )</f>
        <v>1</v>
      </c>
      <c r="AA42" s="131" t="str" cm="1">
        <f t="array" ref="AA42" xml:space="preserve"> INDEX( VfM_Metrics_2023_Consol_Source[], $D42, AA$14 )</f>
        <v>North West</v>
      </c>
    </row>
    <row r="43" spans="2:27" x14ac:dyDescent="0.2">
      <c r="B43" s="159" t="s" vm="28">
        <v>201</v>
      </c>
      <c r="C43" s="154" t="str" vm="279">
        <f xml:space="preserve"> INDEX( VfM_Metrics_2023_Consol_Source[RP_Code], MATCH( tblFilterRegion[[#This Row],[RP_Name]], VfM_Metrics_2023_Consol_Source[RP_Name], 0 ) )</f>
        <v>L4331</v>
      </c>
      <c r="D43" s="81">
        <f xml:space="preserve"> MATCH( tblFilterRegion[[#This Row],[RP_Code]], VfM_Metrics_2023_Consol_Source[RP_Code], 0 )</f>
        <v>28</v>
      </c>
      <c r="E43" s="22" cm="1">
        <f t="array" ref="E43" xml:space="preserve"> INDEX( VfM_Metrics_2023_Consol_Source[], $D43, E$14 )</f>
        <v>0</v>
      </c>
      <c r="F43" s="22" cm="1">
        <f t="array" ref="F43" xml:space="preserve"> INDEX( VfM_Metrics_2023_Consol_Source[], $D43, F$14 )</f>
        <v>0</v>
      </c>
      <c r="G43" s="22" cm="1">
        <f t="array" ref="G43" xml:space="preserve"> INDEX( VfM_Metrics_2023_Consol_Source[], $D43, G$14 )</f>
        <v>0</v>
      </c>
      <c r="H43" s="22" cm="1">
        <f t="array" ref="H43" xml:space="preserve"> INDEX( VfM_Metrics_2023_Consol_Source[], $D43, H$14 )</f>
        <v>0</v>
      </c>
      <c r="I43" s="22" cm="1">
        <f t="array" ref="I43" xml:space="preserve"> INDEX( VfM_Metrics_2023_Consol_Source[], $D43, I$14 )</f>
        <v>0</v>
      </c>
      <c r="J43" s="22" cm="1">
        <f t="array" ref="J43" xml:space="preserve"> INDEX( VfM_Metrics_2023_Consol_Source[], $D43, J$14 )</f>
        <v>1</v>
      </c>
      <c r="K43" s="22" cm="1">
        <f t="array" ref="K43" xml:space="preserve"> INDEX( VfM_Metrics_2023_Consol_Source[], $D43, K$14 )</f>
        <v>0</v>
      </c>
      <c r="L43" s="22" cm="1">
        <f t="array" ref="L43" xml:space="preserve"> INDEX( VfM_Metrics_2023_Consol_Source[], $D43, L$14 )</f>
        <v>0</v>
      </c>
      <c r="M43" s="22" cm="1">
        <f t="array" ref="M43" xml:space="preserve"> INDEX( VfM_Metrics_2023_Consol_Source[], $D43, M$14 )</f>
        <v>0</v>
      </c>
      <c r="N43" s="23">
        <f xml:space="preserve"> -- AND( tblFilterRegion[[#This Row],[London]] &gt;= $N$10, N$13 = "Yes" )</f>
        <v>0</v>
      </c>
      <c r="O43" s="23">
        <f xml:space="preserve"> -- AND( tblFilterRegion[[#This Row],[South East]] &gt;= $N$10, O$13 = "Yes" )</f>
        <v>0</v>
      </c>
      <c r="P43" s="23">
        <f xml:space="preserve"> -- AND( tblFilterRegion[[#This Row],[South West]] &gt;= $N$10, P$13 = "Yes" )</f>
        <v>0</v>
      </c>
      <c r="Q43" s="23">
        <f xml:space="preserve"> -- AND( tblFilterRegion[[#This Row],[East Midlands]] &gt;= $N$10, Q$13 = "Yes" )</f>
        <v>0</v>
      </c>
      <c r="R43" s="23">
        <f xml:space="preserve"> -- AND( tblFilterRegion[[#This Row],[West Midlands]] &gt;= $N$10, R$13 = "Yes" )</f>
        <v>0</v>
      </c>
      <c r="S43" s="23">
        <f xml:space="preserve"> -- AND( tblFilterRegion[[#This Row],[East of England]] &gt;= $N$10, S$13 = "Yes" )</f>
        <v>0</v>
      </c>
      <c r="T43" s="23">
        <f xml:space="preserve"> -- AND( tblFilterRegion[[#This Row],[North East]] &gt;= $N$10, T$13 = "Yes" )</f>
        <v>0</v>
      </c>
      <c r="U43" s="23">
        <f xml:space="preserve"> -- AND( tblFilterRegion[[#This Row],[North West]] &gt;= $N$10, U$13 = "Yes" )</f>
        <v>0</v>
      </c>
      <c r="V43" s="23">
        <f xml:space="preserve"> -- AND( tblFilterRegion[[#This Row],[Yorkshire &amp; the Humber]] &gt;= $N$10, V$13 = "Yes" )</f>
        <v>0</v>
      </c>
      <c r="W43" s="22">
        <f xml:space="preserve"> SUMIF( $E$13:$M$13, "Yes", tblFilterRegion[[#This Row],[London]:[Yorkshire &amp; the Humber]] )</f>
        <v>0</v>
      </c>
      <c r="X43" s="23">
        <f xml:space="preserve"> -- ( SUM( tblFilterRegion[[#This Row],[Incl for Lon]:[Incl for YH]] ) &gt; 0 )</f>
        <v>0</v>
      </c>
      <c r="Y43" s="23">
        <f xml:space="preserve"> -- ( tblFilterRegion[[#This Row],[Total in selected regions]] &gt; $N$10 )</f>
        <v>0</v>
      </c>
      <c r="Z43" s="24">
        <f xml:space="preserve"> IF( RegionMinimum = 0, 1, IF( $R$10 = $U$8, tblFilterRegion[[#This Row],[Include for region - any]], IF( $R$10 = $U$10, tblFilterRegion[[#This Row],[Include for region - total]], "CHECK" ) ) )</f>
        <v>1</v>
      </c>
      <c r="AA43" s="131" t="str" cm="1">
        <f t="array" ref="AA43" xml:space="preserve"> INDEX( VfM_Metrics_2023_Consol_Source[], $D43, AA$14 )</f>
        <v>East of England</v>
      </c>
    </row>
    <row r="44" spans="2:27" x14ac:dyDescent="0.2">
      <c r="B44" s="159" t="s" vm="29">
        <v>203</v>
      </c>
      <c r="C44" s="154" t="str" vm="370">
        <f xml:space="preserve"> INDEX( VfM_Metrics_2023_Consol_Source[RP_Code], MATCH( tblFilterRegion[[#This Row],[RP_Name]], VfM_Metrics_2023_Consol_Source[RP_Name], 0 ) )</f>
        <v>L4472</v>
      </c>
      <c r="D44" s="81">
        <f xml:space="preserve"> MATCH( tblFilterRegion[[#This Row],[RP_Code]], VfM_Metrics_2023_Consol_Source[RP_Code], 0 )</f>
        <v>29</v>
      </c>
      <c r="E44" s="22" cm="1">
        <f t="array" ref="E44" xml:space="preserve"> INDEX( VfM_Metrics_2023_Consol_Source[], $D44, E$14 )</f>
        <v>0</v>
      </c>
      <c r="F44" s="22" cm="1">
        <f t="array" ref="F44" xml:space="preserve"> INDEX( VfM_Metrics_2023_Consol_Source[], $D44, F$14 )</f>
        <v>0</v>
      </c>
      <c r="G44" s="22" cm="1">
        <f t="array" ref="G44" xml:space="preserve"> INDEX( VfM_Metrics_2023_Consol_Source[], $D44, G$14 )</f>
        <v>0</v>
      </c>
      <c r="H44" s="22" cm="1">
        <f t="array" ref="H44" xml:space="preserve"> INDEX( VfM_Metrics_2023_Consol_Source[], $D44, H$14 )</f>
        <v>3.6571428571428574E-2</v>
      </c>
      <c r="I44" s="22" cm="1">
        <f t="array" ref="I44" xml:space="preserve"> INDEX( VfM_Metrics_2023_Consol_Source[], $D44, I$14 )</f>
        <v>0</v>
      </c>
      <c r="J44" s="22" cm="1">
        <f t="array" ref="J44" xml:space="preserve"> INDEX( VfM_Metrics_2023_Consol_Source[], $D44, J$14 )</f>
        <v>0</v>
      </c>
      <c r="K44" s="22" cm="1">
        <f t="array" ref="K44" xml:space="preserve"> INDEX( VfM_Metrics_2023_Consol_Source[], $D44, K$14 )</f>
        <v>0</v>
      </c>
      <c r="L44" s="22" cm="1">
        <f t="array" ref="L44" xml:space="preserve"> INDEX( VfM_Metrics_2023_Consol_Source[], $D44, L$14 )</f>
        <v>0.96342857142857141</v>
      </c>
      <c r="M44" s="22" cm="1">
        <f t="array" ref="M44" xml:space="preserve"> INDEX( VfM_Metrics_2023_Consol_Source[], $D44, M$14 )</f>
        <v>0</v>
      </c>
      <c r="N44" s="23">
        <f xml:space="preserve"> -- AND( tblFilterRegion[[#This Row],[London]] &gt;= $N$10, N$13 = "Yes" )</f>
        <v>0</v>
      </c>
      <c r="O44" s="23">
        <f xml:space="preserve"> -- AND( tblFilterRegion[[#This Row],[South East]] &gt;= $N$10, O$13 = "Yes" )</f>
        <v>0</v>
      </c>
      <c r="P44" s="23">
        <f xml:space="preserve"> -- AND( tblFilterRegion[[#This Row],[South West]] &gt;= $N$10, P$13 = "Yes" )</f>
        <v>0</v>
      </c>
      <c r="Q44" s="23">
        <f xml:space="preserve"> -- AND( tblFilterRegion[[#This Row],[East Midlands]] &gt;= $N$10, Q$13 = "Yes" )</f>
        <v>0</v>
      </c>
      <c r="R44" s="23">
        <f xml:space="preserve"> -- AND( tblFilterRegion[[#This Row],[West Midlands]] &gt;= $N$10, R$13 = "Yes" )</f>
        <v>0</v>
      </c>
      <c r="S44" s="23">
        <f xml:space="preserve"> -- AND( tblFilterRegion[[#This Row],[East of England]] &gt;= $N$10, S$13 = "Yes" )</f>
        <v>0</v>
      </c>
      <c r="T44" s="23">
        <f xml:space="preserve"> -- AND( tblFilterRegion[[#This Row],[North East]] &gt;= $N$10, T$13 = "Yes" )</f>
        <v>0</v>
      </c>
      <c r="U44" s="23">
        <f xml:space="preserve"> -- AND( tblFilterRegion[[#This Row],[North West]] &gt;= $N$10, U$13 = "Yes" )</f>
        <v>0</v>
      </c>
      <c r="V44" s="23">
        <f xml:space="preserve"> -- AND( tblFilterRegion[[#This Row],[Yorkshire &amp; the Humber]] &gt;= $N$10, V$13 = "Yes" )</f>
        <v>0</v>
      </c>
      <c r="W44" s="22">
        <f xml:space="preserve"> SUMIF( $E$13:$M$13, "Yes", tblFilterRegion[[#This Row],[London]:[Yorkshire &amp; the Humber]] )</f>
        <v>0</v>
      </c>
      <c r="X44" s="23">
        <f xml:space="preserve"> -- ( SUM( tblFilterRegion[[#This Row],[Incl for Lon]:[Incl for YH]] ) &gt; 0 )</f>
        <v>0</v>
      </c>
      <c r="Y44" s="23">
        <f xml:space="preserve"> -- ( tblFilterRegion[[#This Row],[Total in selected regions]] &gt; $N$10 )</f>
        <v>0</v>
      </c>
      <c r="Z44" s="24">
        <f xml:space="preserve"> IF( RegionMinimum = 0, 1, IF( $R$10 = $U$8, tblFilterRegion[[#This Row],[Include for region - any]], IF( $R$10 = $U$10, tblFilterRegion[[#This Row],[Include for region - total]], "CHECK" ) ) )</f>
        <v>1</v>
      </c>
      <c r="AA44" s="131" t="str" cm="1">
        <f t="array" ref="AA44" xml:space="preserve"> INDEX( VfM_Metrics_2023_Consol_Source[], $D44, AA$14 )</f>
        <v>North West</v>
      </c>
    </row>
    <row r="45" spans="2:27" x14ac:dyDescent="0.2">
      <c r="B45" s="159" t="s" vm="30">
        <v>205</v>
      </c>
      <c r="C45" s="154" t="str" vm="214">
        <f xml:space="preserve"> INDEX( VfM_Metrics_2023_Consol_Source[RP_Code], MATCH( tblFilterRegion[[#This Row],[RP_Name]], VfM_Metrics_2023_Consol_Source[RP_Name], 0 ) )</f>
        <v>LH0676</v>
      </c>
      <c r="D45" s="81">
        <f xml:space="preserve"> MATCH( tblFilterRegion[[#This Row],[RP_Code]], VfM_Metrics_2023_Consol_Source[RP_Code], 0 )</f>
        <v>30</v>
      </c>
      <c r="E45" s="22" cm="1">
        <f t="array" ref="E45" xml:space="preserve"> INDEX( VfM_Metrics_2023_Consol_Source[], $D45, E$14 )</f>
        <v>1</v>
      </c>
      <c r="F45" s="22" cm="1">
        <f t="array" ref="F45" xml:space="preserve"> INDEX( VfM_Metrics_2023_Consol_Source[], $D45, F$14 )</f>
        <v>0</v>
      </c>
      <c r="G45" s="22" cm="1">
        <f t="array" ref="G45" xml:space="preserve"> INDEX( VfM_Metrics_2023_Consol_Source[], $D45, G$14 )</f>
        <v>0</v>
      </c>
      <c r="H45" s="22" cm="1">
        <f t="array" ref="H45" xml:space="preserve"> INDEX( VfM_Metrics_2023_Consol_Source[], $D45, H$14 )</f>
        <v>0</v>
      </c>
      <c r="I45" s="22" cm="1">
        <f t="array" ref="I45" xml:space="preserve"> INDEX( VfM_Metrics_2023_Consol_Source[], $D45, I$14 )</f>
        <v>0</v>
      </c>
      <c r="J45" s="22" cm="1">
        <f t="array" ref="J45" xml:space="preserve"> INDEX( VfM_Metrics_2023_Consol_Source[], $D45, J$14 )</f>
        <v>0</v>
      </c>
      <c r="K45" s="22" cm="1">
        <f t="array" ref="K45" xml:space="preserve"> INDEX( VfM_Metrics_2023_Consol_Source[], $D45, K$14 )</f>
        <v>0</v>
      </c>
      <c r="L45" s="22" cm="1">
        <f t="array" ref="L45" xml:space="preserve"> INDEX( VfM_Metrics_2023_Consol_Source[], $D45, L$14 )</f>
        <v>0</v>
      </c>
      <c r="M45" s="22" cm="1">
        <f t="array" ref="M45" xml:space="preserve"> INDEX( VfM_Metrics_2023_Consol_Source[], $D45, M$14 )</f>
        <v>0</v>
      </c>
      <c r="N45" s="23">
        <f xml:space="preserve"> -- AND( tblFilterRegion[[#This Row],[London]] &gt;= $N$10, N$13 = "Yes" )</f>
        <v>0</v>
      </c>
      <c r="O45" s="23">
        <f xml:space="preserve"> -- AND( tblFilterRegion[[#This Row],[South East]] &gt;= $N$10, O$13 = "Yes" )</f>
        <v>0</v>
      </c>
      <c r="P45" s="23">
        <f xml:space="preserve"> -- AND( tblFilterRegion[[#This Row],[South West]] &gt;= $N$10, P$13 = "Yes" )</f>
        <v>0</v>
      </c>
      <c r="Q45" s="23">
        <f xml:space="preserve"> -- AND( tblFilterRegion[[#This Row],[East Midlands]] &gt;= $N$10, Q$13 = "Yes" )</f>
        <v>0</v>
      </c>
      <c r="R45" s="23">
        <f xml:space="preserve"> -- AND( tblFilterRegion[[#This Row],[West Midlands]] &gt;= $N$10, R$13 = "Yes" )</f>
        <v>0</v>
      </c>
      <c r="S45" s="23">
        <f xml:space="preserve"> -- AND( tblFilterRegion[[#This Row],[East of England]] &gt;= $N$10, S$13 = "Yes" )</f>
        <v>0</v>
      </c>
      <c r="T45" s="23">
        <f xml:space="preserve"> -- AND( tblFilterRegion[[#This Row],[North East]] &gt;= $N$10, T$13 = "Yes" )</f>
        <v>0</v>
      </c>
      <c r="U45" s="23">
        <f xml:space="preserve"> -- AND( tblFilterRegion[[#This Row],[North West]] &gt;= $N$10, U$13 = "Yes" )</f>
        <v>0</v>
      </c>
      <c r="V45" s="23">
        <f xml:space="preserve"> -- AND( tblFilterRegion[[#This Row],[Yorkshire &amp; the Humber]] &gt;= $N$10, V$13 = "Yes" )</f>
        <v>0</v>
      </c>
      <c r="W45" s="22">
        <f xml:space="preserve"> SUMIF( $E$13:$M$13, "Yes", tblFilterRegion[[#This Row],[London]:[Yorkshire &amp; the Humber]] )</f>
        <v>0</v>
      </c>
      <c r="X45" s="23">
        <f xml:space="preserve"> -- ( SUM( tblFilterRegion[[#This Row],[Incl for Lon]:[Incl for YH]] ) &gt; 0 )</f>
        <v>0</v>
      </c>
      <c r="Y45" s="23">
        <f xml:space="preserve"> -- ( tblFilterRegion[[#This Row],[Total in selected regions]] &gt; $N$10 )</f>
        <v>0</v>
      </c>
      <c r="Z45" s="24">
        <f xml:space="preserve"> IF( RegionMinimum = 0, 1, IF( $R$10 = $U$8, tblFilterRegion[[#This Row],[Include for region - any]], IF( $R$10 = $U$10, tblFilterRegion[[#This Row],[Include for region - total]], "CHECK" ) ) )</f>
        <v>1</v>
      </c>
      <c r="AA45" s="131" t="str" cm="1">
        <f t="array" ref="AA45" xml:space="preserve"> INDEX( VfM_Metrics_2023_Consol_Source[], $D45, AA$14 )</f>
        <v>London</v>
      </c>
    </row>
    <row r="46" spans="2:27" x14ac:dyDescent="0.2">
      <c r="B46" s="159" t="s" vm="31">
        <v>207</v>
      </c>
      <c r="C46" s="154" t="str" vm="342">
        <f xml:space="preserve"> INDEX( VfM_Metrics_2023_Consol_Source[RP_Code], MATCH( tblFilterRegion[[#This Row],[RP_Name]], VfM_Metrics_2023_Consol_Source[RP_Name], 0 ) )</f>
        <v>5075</v>
      </c>
      <c r="D46" s="81">
        <f xml:space="preserve"> MATCH( tblFilterRegion[[#This Row],[RP_Code]], VfM_Metrics_2023_Consol_Source[RP_Code], 0 )</f>
        <v>31</v>
      </c>
      <c r="E46" s="22" cm="1">
        <f t="array" ref="E46" xml:space="preserve"> INDEX( VfM_Metrics_2023_Consol_Source[], $D46, E$14 )</f>
        <v>0</v>
      </c>
      <c r="F46" s="22" cm="1">
        <f t="array" ref="F46" xml:space="preserve"> INDEX( VfM_Metrics_2023_Consol_Source[], $D46, F$14 )</f>
        <v>0</v>
      </c>
      <c r="G46" s="22" cm="1">
        <f t="array" ref="G46" xml:space="preserve"> INDEX( VfM_Metrics_2023_Consol_Source[], $D46, G$14 )</f>
        <v>8.8907126248119277E-4</v>
      </c>
      <c r="H46" s="22" cm="1">
        <f t="array" ref="H46" xml:space="preserve"> INDEX( VfM_Metrics_2023_Consol_Source[], $D46, H$14 )</f>
        <v>0</v>
      </c>
      <c r="I46" s="22" cm="1">
        <f t="array" ref="I46" xml:space="preserve"> INDEX( VfM_Metrics_2023_Consol_Source[], $D46, I$14 )</f>
        <v>0.99911092873751883</v>
      </c>
      <c r="J46" s="22" cm="1">
        <f t="array" ref="J46" xml:space="preserve"> INDEX( VfM_Metrics_2023_Consol_Source[], $D46, J$14 )</f>
        <v>0</v>
      </c>
      <c r="K46" s="22" cm="1">
        <f t="array" ref="K46" xml:space="preserve"> INDEX( VfM_Metrics_2023_Consol_Source[], $D46, K$14 )</f>
        <v>0</v>
      </c>
      <c r="L46" s="22" cm="1">
        <f t="array" ref="L46" xml:space="preserve"> INDEX( VfM_Metrics_2023_Consol_Source[], $D46, L$14 )</f>
        <v>0</v>
      </c>
      <c r="M46" s="22" cm="1">
        <f t="array" ref="M46" xml:space="preserve"> INDEX( VfM_Metrics_2023_Consol_Source[], $D46, M$14 )</f>
        <v>0</v>
      </c>
      <c r="N46" s="23">
        <f xml:space="preserve"> -- AND( tblFilterRegion[[#This Row],[London]] &gt;= $N$10, N$13 = "Yes" )</f>
        <v>0</v>
      </c>
      <c r="O46" s="23">
        <f xml:space="preserve"> -- AND( tblFilterRegion[[#This Row],[South East]] &gt;= $N$10, O$13 = "Yes" )</f>
        <v>0</v>
      </c>
      <c r="P46" s="23">
        <f xml:space="preserve"> -- AND( tblFilterRegion[[#This Row],[South West]] &gt;= $N$10, P$13 = "Yes" )</f>
        <v>0</v>
      </c>
      <c r="Q46" s="23">
        <f xml:space="preserve"> -- AND( tblFilterRegion[[#This Row],[East Midlands]] &gt;= $N$10, Q$13 = "Yes" )</f>
        <v>0</v>
      </c>
      <c r="R46" s="23">
        <f xml:space="preserve"> -- AND( tblFilterRegion[[#This Row],[West Midlands]] &gt;= $N$10, R$13 = "Yes" )</f>
        <v>0</v>
      </c>
      <c r="S46" s="23">
        <f xml:space="preserve"> -- AND( tblFilterRegion[[#This Row],[East of England]] &gt;= $N$10, S$13 = "Yes" )</f>
        <v>0</v>
      </c>
      <c r="T46" s="23">
        <f xml:space="preserve"> -- AND( tblFilterRegion[[#This Row],[North East]] &gt;= $N$10, T$13 = "Yes" )</f>
        <v>0</v>
      </c>
      <c r="U46" s="23">
        <f xml:space="preserve"> -- AND( tblFilterRegion[[#This Row],[North West]] &gt;= $N$10, U$13 = "Yes" )</f>
        <v>0</v>
      </c>
      <c r="V46" s="23">
        <f xml:space="preserve"> -- AND( tblFilterRegion[[#This Row],[Yorkshire &amp; the Humber]] &gt;= $N$10, V$13 = "Yes" )</f>
        <v>0</v>
      </c>
      <c r="W46" s="22">
        <f xml:space="preserve"> SUMIF( $E$13:$M$13, "Yes", tblFilterRegion[[#This Row],[London]:[Yorkshire &amp; the Humber]] )</f>
        <v>0</v>
      </c>
      <c r="X46" s="23">
        <f xml:space="preserve"> -- ( SUM( tblFilterRegion[[#This Row],[Incl for Lon]:[Incl for YH]] ) &gt; 0 )</f>
        <v>0</v>
      </c>
      <c r="Y46" s="23">
        <f xml:space="preserve"> -- ( tblFilterRegion[[#This Row],[Total in selected regions]] &gt; $N$10 )</f>
        <v>0</v>
      </c>
      <c r="Z46" s="24">
        <f xml:space="preserve"> IF( RegionMinimum = 0, 1, IF( $R$10 = $U$8, tblFilterRegion[[#This Row],[Include for region - any]], IF( $R$10 = $U$10, tblFilterRegion[[#This Row],[Include for region - total]], "CHECK" ) ) )</f>
        <v>1</v>
      </c>
      <c r="AA46" s="131" t="str" cm="1">
        <f t="array" ref="AA46" xml:space="preserve"> INDEX( VfM_Metrics_2023_Consol_Source[], $D46, AA$14 )</f>
        <v>West Midlands</v>
      </c>
    </row>
    <row r="47" spans="2:27" x14ac:dyDescent="0.2">
      <c r="B47" s="159" t="s" vm="32">
        <v>209</v>
      </c>
      <c r="C47" s="154" t="str" vm="246">
        <f xml:space="preserve"> INDEX( VfM_Metrics_2023_Consol_Source[RP_Code], MATCH( tblFilterRegion[[#This Row],[RP_Name]], VfM_Metrics_2023_Consol_Source[RP_Name], 0 ) )</f>
        <v>LH4087</v>
      </c>
      <c r="D47" s="81">
        <f xml:space="preserve"> MATCH( tblFilterRegion[[#This Row],[RP_Code]], VfM_Metrics_2023_Consol_Source[RP_Code], 0 )</f>
        <v>32</v>
      </c>
      <c r="E47" s="22" cm="1">
        <f t="array" ref="E47" xml:space="preserve"> INDEX( VfM_Metrics_2023_Consol_Source[], $D47, E$14 )</f>
        <v>0.38621370223497375</v>
      </c>
      <c r="F47" s="22" cm="1">
        <f t="array" ref="F47" xml:space="preserve"> INDEX( VfM_Metrics_2023_Consol_Source[], $D47, F$14 )</f>
        <v>0.25905045594926995</v>
      </c>
      <c r="G47" s="22" cm="1">
        <f t="array" ref="G47" xml:space="preserve"> INDEX( VfM_Metrics_2023_Consol_Source[], $D47, G$14 )</f>
        <v>2.0385226878163777E-2</v>
      </c>
      <c r="H47" s="22" cm="1">
        <f t="array" ref="H47" xml:space="preserve"> INDEX( VfM_Metrics_2023_Consol_Source[], $D47, H$14 )</f>
        <v>2.5036092176678056E-3</v>
      </c>
      <c r="I47" s="22" cm="1">
        <f t="array" ref="I47" xml:space="preserve"> INDEX( VfM_Metrics_2023_Consol_Source[], $D47, I$14 )</f>
        <v>4.8381791268434421E-2</v>
      </c>
      <c r="J47" s="22" cm="1">
        <f t="array" ref="J47" xml:space="preserve"> INDEX( VfM_Metrics_2023_Consol_Source[], $D47, J$14 )</f>
        <v>0.24374554558578973</v>
      </c>
      <c r="K47" s="22" cm="1">
        <f t="array" ref="K47" xml:space="preserve"> INDEX( VfM_Metrics_2023_Consol_Source[], $D47, K$14 )</f>
        <v>0</v>
      </c>
      <c r="L47" s="22" cm="1">
        <f t="array" ref="L47" xml:space="preserve"> INDEX( VfM_Metrics_2023_Consol_Source[], $D47, L$14 )</f>
        <v>2.5136602035781511E-2</v>
      </c>
      <c r="M47" s="22" cm="1">
        <f t="array" ref="M47" xml:space="preserve"> INDEX( VfM_Metrics_2023_Consol_Source[], $D47, M$14 )</f>
        <v>1.4583066829919044E-2</v>
      </c>
      <c r="N47" s="23">
        <f xml:space="preserve"> -- AND( tblFilterRegion[[#This Row],[London]] &gt;= $N$10, N$13 = "Yes" )</f>
        <v>0</v>
      </c>
      <c r="O47" s="23">
        <f xml:space="preserve"> -- AND( tblFilterRegion[[#This Row],[South East]] &gt;= $N$10, O$13 = "Yes" )</f>
        <v>0</v>
      </c>
      <c r="P47" s="23">
        <f xml:space="preserve"> -- AND( tblFilterRegion[[#This Row],[South West]] &gt;= $N$10, P$13 = "Yes" )</f>
        <v>0</v>
      </c>
      <c r="Q47" s="23">
        <f xml:space="preserve"> -- AND( tblFilterRegion[[#This Row],[East Midlands]] &gt;= $N$10, Q$13 = "Yes" )</f>
        <v>0</v>
      </c>
      <c r="R47" s="23">
        <f xml:space="preserve"> -- AND( tblFilterRegion[[#This Row],[West Midlands]] &gt;= $N$10, R$13 = "Yes" )</f>
        <v>0</v>
      </c>
      <c r="S47" s="23">
        <f xml:space="preserve"> -- AND( tblFilterRegion[[#This Row],[East of England]] &gt;= $N$10, S$13 = "Yes" )</f>
        <v>0</v>
      </c>
      <c r="T47" s="23">
        <f xml:space="preserve"> -- AND( tblFilterRegion[[#This Row],[North East]] &gt;= $N$10, T$13 = "Yes" )</f>
        <v>0</v>
      </c>
      <c r="U47" s="23">
        <f xml:space="preserve"> -- AND( tblFilterRegion[[#This Row],[North West]] &gt;= $N$10, U$13 = "Yes" )</f>
        <v>0</v>
      </c>
      <c r="V47" s="23">
        <f xml:space="preserve"> -- AND( tblFilterRegion[[#This Row],[Yorkshire &amp; the Humber]] &gt;= $N$10, V$13 = "Yes" )</f>
        <v>0</v>
      </c>
      <c r="W47" s="22">
        <f xml:space="preserve"> SUMIF( $E$13:$M$13, "Yes", tblFilterRegion[[#This Row],[London]:[Yorkshire &amp; the Humber]] )</f>
        <v>0</v>
      </c>
      <c r="X47" s="23">
        <f xml:space="preserve"> -- ( SUM( tblFilterRegion[[#This Row],[Incl for Lon]:[Incl for YH]] ) &gt; 0 )</f>
        <v>0</v>
      </c>
      <c r="Y47" s="23">
        <f xml:space="preserve"> -- ( tblFilterRegion[[#This Row],[Total in selected regions]] &gt; $N$10 )</f>
        <v>0</v>
      </c>
      <c r="Z47" s="24">
        <f xml:space="preserve"> IF( RegionMinimum = 0, 1, IF( $R$10 = $U$8, tblFilterRegion[[#This Row],[Include for region - any]], IF( $R$10 = $U$10, tblFilterRegion[[#This Row],[Include for region - total]], "CHECK" ) ) )</f>
        <v>1</v>
      </c>
      <c r="AA47" s="131" t="str" cm="1">
        <f t="array" ref="AA47" xml:space="preserve"> INDEX( VfM_Metrics_2023_Consol_Source[], $D47, AA$14 )</f>
        <v>Mixed</v>
      </c>
    </row>
    <row r="48" spans="2:27" x14ac:dyDescent="0.2">
      <c r="B48" s="159" t="s" vm="33">
        <v>211</v>
      </c>
      <c r="C48" s="154" t="str" vm="363">
        <f xml:space="preserve"> INDEX( VfM_Metrics_2023_Consol_Source[RP_Code], MATCH( tblFilterRegion[[#This Row],[RP_Name]], VfM_Metrics_2023_Consol_Source[RP_Name], 0 ) )</f>
        <v>LH4165</v>
      </c>
      <c r="D48" s="81">
        <f xml:space="preserve"> MATCH( tblFilterRegion[[#This Row],[RP_Code]], VfM_Metrics_2023_Consol_Source[RP_Code], 0 )</f>
        <v>33</v>
      </c>
      <c r="E48" s="22" cm="1">
        <f t="array" ref="E48" xml:space="preserve"> INDEX( VfM_Metrics_2023_Consol_Source[], $D48, E$14 )</f>
        <v>0</v>
      </c>
      <c r="F48" s="22" cm="1">
        <f t="array" ref="F48" xml:space="preserve"> INDEX( VfM_Metrics_2023_Consol_Source[], $D48, F$14 )</f>
        <v>0</v>
      </c>
      <c r="G48" s="22" cm="1">
        <f t="array" ref="G48" xml:space="preserve"> INDEX( VfM_Metrics_2023_Consol_Source[], $D48, G$14 )</f>
        <v>1</v>
      </c>
      <c r="H48" s="22" cm="1">
        <f t="array" ref="H48" xml:space="preserve"> INDEX( VfM_Metrics_2023_Consol_Source[], $D48, H$14 )</f>
        <v>0</v>
      </c>
      <c r="I48" s="22" cm="1">
        <f t="array" ref="I48" xml:space="preserve"> INDEX( VfM_Metrics_2023_Consol_Source[], $D48, I$14 )</f>
        <v>0</v>
      </c>
      <c r="J48" s="22" cm="1">
        <f t="array" ref="J48" xml:space="preserve"> INDEX( VfM_Metrics_2023_Consol_Source[], $D48, J$14 )</f>
        <v>0</v>
      </c>
      <c r="K48" s="22" cm="1">
        <f t="array" ref="K48" xml:space="preserve"> INDEX( VfM_Metrics_2023_Consol_Source[], $D48, K$14 )</f>
        <v>0</v>
      </c>
      <c r="L48" s="22" cm="1">
        <f t="array" ref="L48" xml:space="preserve"> INDEX( VfM_Metrics_2023_Consol_Source[], $D48, L$14 )</f>
        <v>0</v>
      </c>
      <c r="M48" s="22" cm="1">
        <f t="array" ref="M48" xml:space="preserve"> INDEX( VfM_Metrics_2023_Consol_Source[], $D48, M$14 )</f>
        <v>0</v>
      </c>
      <c r="N48" s="23">
        <f xml:space="preserve"> -- AND( tblFilterRegion[[#This Row],[London]] &gt;= $N$10, N$13 = "Yes" )</f>
        <v>0</v>
      </c>
      <c r="O48" s="23">
        <f xml:space="preserve"> -- AND( tblFilterRegion[[#This Row],[South East]] &gt;= $N$10, O$13 = "Yes" )</f>
        <v>0</v>
      </c>
      <c r="P48" s="23">
        <f xml:space="preserve"> -- AND( tblFilterRegion[[#This Row],[South West]] &gt;= $N$10, P$13 = "Yes" )</f>
        <v>0</v>
      </c>
      <c r="Q48" s="23">
        <f xml:space="preserve"> -- AND( tblFilterRegion[[#This Row],[East Midlands]] &gt;= $N$10, Q$13 = "Yes" )</f>
        <v>0</v>
      </c>
      <c r="R48" s="23">
        <f xml:space="preserve"> -- AND( tblFilterRegion[[#This Row],[West Midlands]] &gt;= $N$10, R$13 = "Yes" )</f>
        <v>0</v>
      </c>
      <c r="S48" s="23">
        <f xml:space="preserve"> -- AND( tblFilterRegion[[#This Row],[East of England]] &gt;= $N$10, S$13 = "Yes" )</f>
        <v>0</v>
      </c>
      <c r="T48" s="23">
        <f xml:space="preserve"> -- AND( tblFilterRegion[[#This Row],[North East]] &gt;= $N$10, T$13 = "Yes" )</f>
        <v>0</v>
      </c>
      <c r="U48" s="23">
        <f xml:space="preserve"> -- AND( tblFilterRegion[[#This Row],[North West]] &gt;= $N$10, U$13 = "Yes" )</f>
        <v>0</v>
      </c>
      <c r="V48" s="23">
        <f xml:space="preserve"> -- AND( tblFilterRegion[[#This Row],[Yorkshire &amp; the Humber]] &gt;= $N$10, V$13 = "Yes" )</f>
        <v>0</v>
      </c>
      <c r="W48" s="22">
        <f xml:space="preserve"> SUMIF( $E$13:$M$13, "Yes", tblFilterRegion[[#This Row],[London]:[Yorkshire &amp; the Humber]] )</f>
        <v>0</v>
      </c>
      <c r="X48" s="23">
        <f xml:space="preserve"> -- ( SUM( tblFilterRegion[[#This Row],[Incl for Lon]:[Incl for YH]] ) &gt; 0 )</f>
        <v>0</v>
      </c>
      <c r="Y48" s="23">
        <f xml:space="preserve"> -- ( tblFilterRegion[[#This Row],[Total in selected regions]] &gt; $N$10 )</f>
        <v>0</v>
      </c>
      <c r="Z48" s="24">
        <f xml:space="preserve"> IF( RegionMinimum = 0, 1, IF( $R$10 = $U$8, tblFilterRegion[[#This Row],[Include for region - any]], IF( $R$10 = $U$10, tblFilterRegion[[#This Row],[Include for region - total]], "CHECK" ) ) )</f>
        <v>1</v>
      </c>
      <c r="AA48" s="131" t="str" cm="1">
        <f t="array" ref="AA48" xml:space="preserve"> INDEX( VfM_Metrics_2023_Consol_Source[], $D48, AA$14 )</f>
        <v>South West</v>
      </c>
    </row>
    <row r="49" spans="2:27" x14ac:dyDescent="0.2">
      <c r="B49" s="159" t="s" vm="34">
        <v>213</v>
      </c>
      <c r="C49" s="154" t="str" vm="394">
        <f xml:space="preserve"> INDEX( VfM_Metrics_2023_Consol_Source[RP_Code], MATCH( tblFilterRegion[[#This Row],[RP_Name]], VfM_Metrics_2023_Consol_Source[RP_Name], 0 ) )</f>
        <v>L4361</v>
      </c>
      <c r="D49" s="81">
        <f xml:space="preserve"> MATCH( tblFilterRegion[[#This Row],[RP_Code]], VfM_Metrics_2023_Consol_Source[RP_Code], 0 )</f>
        <v>34</v>
      </c>
      <c r="E49" s="22" cm="1">
        <f t="array" ref="E49" xml:space="preserve"> INDEX( VfM_Metrics_2023_Consol_Source[], $D49, E$14 )</f>
        <v>0</v>
      </c>
      <c r="F49" s="22" cm="1">
        <f t="array" ref="F49" xml:space="preserve"> INDEX( VfM_Metrics_2023_Consol_Source[], $D49, F$14 )</f>
        <v>0</v>
      </c>
      <c r="G49" s="22" cm="1">
        <f t="array" ref="G49" xml:space="preserve"> INDEX( VfM_Metrics_2023_Consol_Source[], $D49, G$14 )</f>
        <v>0</v>
      </c>
      <c r="H49" s="22" cm="1">
        <f t="array" ref="H49" xml:space="preserve"> INDEX( VfM_Metrics_2023_Consol_Source[], $D49, H$14 )</f>
        <v>0</v>
      </c>
      <c r="I49" s="22" cm="1">
        <f t="array" ref="I49" xml:space="preserve"> INDEX( VfM_Metrics_2023_Consol_Source[], $D49, I$14 )</f>
        <v>0</v>
      </c>
      <c r="J49" s="22" cm="1">
        <f t="array" ref="J49" xml:space="preserve"> INDEX( VfM_Metrics_2023_Consol_Source[], $D49, J$14 )</f>
        <v>0</v>
      </c>
      <c r="K49" s="22" cm="1">
        <f t="array" ref="K49" xml:space="preserve"> INDEX( VfM_Metrics_2023_Consol_Source[], $D49, K$14 )</f>
        <v>0</v>
      </c>
      <c r="L49" s="22" cm="1">
        <f t="array" ref="L49" xml:space="preserve"> INDEX( VfM_Metrics_2023_Consol_Source[], $D49, L$14 )</f>
        <v>1</v>
      </c>
      <c r="M49" s="22" cm="1">
        <f t="array" ref="M49" xml:space="preserve"> INDEX( VfM_Metrics_2023_Consol_Source[], $D49, M$14 )</f>
        <v>0</v>
      </c>
      <c r="N49" s="23">
        <f xml:space="preserve"> -- AND( tblFilterRegion[[#This Row],[London]] &gt;= $N$10, N$13 = "Yes" )</f>
        <v>0</v>
      </c>
      <c r="O49" s="23">
        <f xml:space="preserve"> -- AND( tblFilterRegion[[#This Row],[South East]] &gt;= $N$10, O$13 = "Yes" )</f>
        <v>0</v>
      </c>
      <c r="P49" s="23">
        <f xml:space="preserve"> -- AND( tblFilterRegion[[#This Row],[South West]] &gt;= $N$10, P$13 = "Yes" )</f>
        <v>0</v>
      </c>
      <c r="Q49" s="23">
        <f xml:space="preserve"> -- AND( tblFilterRegion[[#This Row],[East Midlands]] &gt;= $N$10, Q$13 = "Yes" )</f>
        <v>0</v>
      </c>
      <c r="R49" s="23">
        <f xml:space="preserve"> -- AND( tblFilterRegion[[#This Row],[West Midlands]] &gt;= $N$10, R$13 = "Yes" )</f>
        <v>0</v>
      </c>
      <c r="S49" s="23">
        <f xml:space="preserve"> -- AND( tblFilterRegion[[#This Row],[East of England]] &gt;= $N$10, S$13 = "Yes" )</f>
        <v>0</v>
      </c>
      <c r="T49" s="23">
        <f xml:space="preserve"> -- AND( tblFilterRegion[[#This Row],[North East]] &gt;= $N$10, T$13 = "Yes" )</f>
        <v>0</v>
      </c>
      <c r="U49" s="23">
        <f xml:space="preserve"> -- AND( tblFilterRegion[[#This Row],[North West]] &gt;= $N$10, U$13 = "Yes" )</f>
        <v>0</v>
      </c>
      <c r="V49" s="23">
        <f xml:space="preserve"> -- AND( tblFilterRegion[[#This Row],[Yorkshire &amp; the Humber]] &gt;= $N$10, V$13 = "Yes" )</f>
        <v>0</v>
      </c>
      <c r="W49" s="22">
        <f xml:space="preserve"> SUMIF( $E$13:$M$13, "Yes", tblFilterRegion[[#This Row],[London]:[Yorkshire &amp; the Humber]] )</f>
        <v>0</v>
      </c>
      <c r="X49" s="23">
        <f xml:space="preserve"> -- ( SUM( tblFilterRegion[[#This Row],[Incl for Lon]:[Incl for YH]] ) &gt; 0 )</f>
        <v>0</v>
      </c>
      <c r="Y49" s="23">
        <f xml:space="preserve"> -- ( tblFilterRegion[[#This Row],[Total in selected regions]] &gt; $N$10 )</f>
        <v>0</v>
      </c>
      <c r="Z49" s="24">
        <f xml:space="preserve"> IF( RegionMinimum = 0, 1, IF( $R$10 = $U$8, tblFilterRegion[[#This Row],[Include for region - any]], IF( $R$10 = $U$10, tblFilterRegion[[#This Row],[Include for region - total]], "CHECK" ) ) )</f>
        <v>1</v>
      </c>
      <c r="AA49" s="131" t="str" cm="1">
        <f t="array" ref="AA49" xml:space="preserve"> INDEX( VfM_Metrics_2023_Consol_Source[], $D49, AA$14 )</f>
        <v>North West</v>
      </c>
    </row>
    <row r="50" spans="2:27" x14ac:dyDescent="0.2">
      <c r="B50" s="159" t="s" vm="35">
        <v>215</v>
      </c>
      <c r="C50" s="154" t="str" vm="396">
        <f xml:space="preserve"> INDEX( VfM_Metrics_2023_Consol_Source[RP_Code], MATCH( tblFilterRegion[[#This Row],[RP_Name]], VfM_Metrics_2023_Consol_Source[RP_Name], 0 ) )</f>
        <v>L4457</v>
      </c>
      <c r="D50" s="81">
        <f xml:space="preserve"> MATCH( tblFilterRegion[[#This Row],[RP_Code]], VfM_Metrics_2023_Consol_Source[RP_Code], 0 )</f>
        <v>35</v>
      </c>
      <c r="E50" s="22" cm="1">
        <f t="array" ref="E50" xml:space="preserve"> INDEX( VfM_Metrics_2023_Consol_Source[], $D50, E$14 )</f>
        <v>0</v>
      </c>
      <c r="F50" s="22" cm="1">
        <f t="array" ref="F50" xml:space="preserve"> INDEX( VfM_Metrics_2023_Consol_Source[], $D50, F$14 )</f>
        <v>0</v>
      </c>
      <c r="G50" s="22" cm="1">
        <f t="array" ref="G50" xml:space="preserve"> INDEX( VfM_Metrics_2023_Consol_Source[], $D50, G$14 )</f>
        <v>0</v>
      </c>
      <c r="H50" s="22" cm="1">
        <f t="array" ref="H50" xml:space="preserve"> INDEX( VfM_Metrics_2023_Consol_Source[], $D50, H$14 )</f>
        <v>0</v>
      </c>
      <c r="I50" s="22" cm="1">
        <f t="array" ref="I50" xml:space="preserve"> INDEX( VfM_Metrics_2023_Consol_Source[], $D50, I$14 )</f>
        <v>0</v>
      </c>
      <c r="J50" s="22" cm="1">
        <f t="array" ref="J50" xml:space="preserve"> INDEX( VfM_Metrics_2023_Consol_Source[], $D50, J$14 )</f>
        <v>0</v>
      </c>
      <c r="K50" s="22" cm="1">
        <f t="array" ref="K50" xml:space="preserve"> INDEX( VfM_Metrics_2023_Consol_Source[], $D50, K$14 )</f>
        <v>0</v>
      </c>
      <c r="L50" s="22" cm="1">
        <f t="array" ref="L50" xml:space="preserve"> INDEX( VfM_Metrics_2023_Consol_Source[], $D50, L$14 )</f>
        <v>1</v>
      </c>
      <c r="M50" s="22" cm="1">
        <f t="array" ref="M50" xml:space="preserve"> INDEX( VfM_Metrics_2023_Consol_Source[], $D50, M$14 )</f>
        <v>0</v>
      </c>
      <c r="N50" s="23">
        <f xml:space="preserve"> -- AND( tblFilterRegion[[#This Row],[London]] &gt;= $N$10, N$13 = "Yes" )</f>
        <v>0</v>
      </c>
      <c r="O50" s="23">
        <f xml:space="preserve"> -- AND( tblFilterRegion[[#This Row],[South East]] &gt;= $N$10, O$13 = "Yes" )</f>
        <v>0</v>
      </c>
      <c r="P50" s="23">
        <f xml:space="preserve"> -- AND( tblFilterRegion[[#This Row],[South West]] &gt;= $N$10, P$13 = "Yes" )</f>
        <v>0</v>
      </c>
      <c r="Q50" s="23">
        <f xml:space="preserve"> -- AND( tblFilterRegion[[#This Row],[East Midlands]] &gt;= $N$10, Q$13 = "Yes" )</f>
        <v>0</v>
      </c>
      <c r="R50" s="23">
        <f xml:space="preserve"> -- AND( tblFilterRegion[[#This Row],[West Midlands]] &gt;= $N$10, R$13 = "Yes" )</f>
        <v>0</v>
      </c>
      <c r="S50" s="23">
        <f xml:space="preserve"> -- AND( tblFilterRegion[[#This Row],[East of England]] &gt;= $N$10, S$13 = "Yes" )</f>
        <v>0</v>
      </c>
      <c r="T50" s="23">
        <f xml:space="preserve"> -- AND( tblFilterRegion[[#This Row],[North East]] &gt;= $N$10, T$13 = "Yes" )</f>
        <v>0</v>
      </c>
      <c r="U50" s="23">
        <f xml:space="preserve"> -- AND( tblFilterRegion[[#This Row],[North West]] &gt;= $N$10, U$13 = "Yes" )</f>
        <v>0</v>
      </c>
      <c r="V50" s="23">
        <f xml:space="preserve"> -- AND( tblFilterRegion[[#This Row],[Yorkshire &amp; the Humber]] &gt;= $N$10, V$13 = "Yes" )</f>
        <v>0</v>
      </c>
      <c r="W50" s="22">
        <f xml:space="preserve"> SUMIF( $E$13:$M$13, "Yes", tblFilterRegion[[#This Row],[London]:[Yorkshire &amp; the Humber]] )</f>
        <v>0</v>
      </c>
      <c r="X50" s="23">
        <f xml:space="preserve"> -- ( SUM( tblFilterRegion[[#This Row],[Incl for Lon]:[Incl for YH]] ) &gt; 0 )</f>
        <v>0</v>
      </c>
      <c r="Y50" s="23">
        <f xml:space="preserve"> -- ( tblFilterRegion[[#This Row],[Total in selected regions]] &gt; $N$10 )</f>
        <v>0</v>
      </c>
      <c r="Z50" s="24">
        <f xml:space="preserve"> IF( RegionMinimum = 0, 1, IF( $R$10 = $U$8, tblFilterRegion[[#This Row],[Include for region - any]], IF( $R$10 = $U$10, tblFilterRegion[[#This Row],[Include for region - total]], "CHECK" ) ) )</f>
        <v>1</v>
      </c>
      <c r="AA50" s="131" t="str" cm="1">
        <f t="array" ref="AA50" xml:space="preserve"> INDEX( VfM_Metrics_2023_Consol_Source[], $D50, AA$14 )</f>
        <v>North West</v>
      </c>
    </row>
    <row r="51" spans="2:27" x14ac:dyDescent="0.2">
      <c r="B51" s="159" t="s" vm="36">
        <v>217</v>
      </c>
      <c r="C51" s="154" t="str" vm="321">
        <f xml:space="preserve"> INDEX( VfM_Metrics_2023_Consol_Source[RP_Code], MATCH( tblFilterRegion[[#This Row],[RP_Name]], VfM_Metrics_2023_Consol_Source[RP_Name], 0 ) )</f>
        <v>L2285</v>
      </c>
      <c r="D51" s="81">
        <f xml:space="preserve"> MATCH( tblFilterRegion[[#This Row],[RP_Code]], VfM_Metrics_2023_Consol_Source[RP_Code], 0 )</f>
        <v>36</v>
      </c>
      <c r="E51" s="22" cm="1">
        <f t="array" ref="E51" xml:space="preserve"> INDEX( VfM_Metrics_2023_Consol_Source[], $D51, E$14 )</f>
        <v>0</v>
      </c>
      <c r="F51" s="22" cm="1">
        <f t="array" ref="F51" xml:space="preserve"> INDEX( VfM_Metrics_2023_Consol_Source[], $D51, F$14 )</f>
        <v>0</v>
      </c>
      <c r="G51" s="22" cm="1">
        <f t="array" ref="G51" xml:space="preserve"> INDEX( VfM_Metrics_2023_Consol_Source[], $D51, G$14 )</f>
        <v>0</v>
      </c>
      <c r="H51" s="22" cm="1">
        <f t="array" ref="H51" xml:space="preserve"> INDEX( VfM_Metrics_2023_Consol_Source[], $D51, H$14 )</f>
        <v>0</v>
      </c>
      <c r="I51" s="22" cm="1">
        <f t="array" ref="I51" xml:space="preserve"> INDEX( VfM_Metrics_2023_Consol_Source[], $D51, I$14 )</f>
        <v>0</v>
      </c>
      <c r="J51" s="22" cm="1">
        <f t="array" ref="J51" xml:space="preserve"> INDEX( VfM_Metrics_2023_Consol_Source[], $D51, J$14 )</f>
        <v>0</v>
      </c>
      <c r="K51" s="22" cm="1">
        <f t="array" ref="K51" xml:space="preserve"> INDEX( VfM_Metrics_2023_Consol_Source[], $D51, K$14 )</f>
        <v>0</v>
      </c>
      <c r="L51" s="22" cm="1">
        <f t="array" ref="L51" xml:space="preserve"> INDEX( VfM_Metrics_2023_Consol_Source[], $D51, L$14 )</f>
        <v>0</v>
      </c>
      <c r="M51" s="22" cm="1">
        <f t="array" ref="M51" xml:space="preserve"> INDEX( VfM_Metrics_2023_Consol_Source[], $D51, M$14 )</f>
        <v>1</v>
      </c>
      <c r="N51" s="23">
        <f xml:space="preserve"> -- AND( tblFilterRegion[[#This Row],[London]] &gt;= $N$10, N$13 = "Yes" )</f>
        <v>0</v>
      </c>
      <c r="O51" s="23">
        <f xml:space="preserve"> -- AND( tblFilterRegion[[#This Row],[South East]] &gt;= $N$10, O$13 = "Yes" )</f>
        <v>0</v>
      </c>
      <c r="P51" s="23">
        <f xml:space="preserve"> -- AND( tblFilterRegion[[#This Row],[South West]] &gt;= $N$10, P$13 = "Yes" )</f>
        <v>0</v>
      </c>
      <c r="Q51" s="23">
        <f xml:space="preserve"> -- AND( tblFilterRegion[[#This Row],[East Midlands]] &gt;= $N$10, Q$13 = "Yes" )</f>
        <v>0</v>
      </c>
      <c r="R51" s="23">
        <f xml:space="preserve"> -- AND( tblFilterRegion[[#This Row],[West Midlands]] &gt;= $N$10, R$13 = "Yes" )</f>
        <v>0</v>
      </c>
      <c r="S51" s="23">
        <f xml:space="preserve"> -- AND( tblFilterRegion[[#This Row],[East of England]] &gt;= $N$10, S$13 = "Yes" )</f>
        <v>0</v>
      </c>
      <c r="T51" s="23">
        <f xml:space="preserve"> -- AND( tblFilterRegion[[#This Row],[North East]] &gt;= $N$10, T$13 = "Yes" )</f>
        <v>0</v>
      </c>
      <c r="U51" s="23">
        <f xml:space="preserve"> -- AND( tblFilterRegion[[#This Row],[North West]] &gt;= $N$10, U$13 = "Yes" )</f>
        <v>0</v>
      </c>
      <c r="V51" s="23">
        <f xml:space="preserve"> -- AND( tblFilterRegion[[#This Row],[Yorkshire &amp; the Humber]] &gt;= $N$10, V$13 = "Yes" )</f>
        <v>0</v>
      </c>
      <c r="W51" s="22">
        <f xml:space="preserve"> SUMIF( $E$13:$M$13, "Yes", tblFilterRegion[[#This Row],[London]:[Yorkshire &amp; the Humber]] )</f>
        <v>0</v>
      </c>
      <c r="X51" s="23">
        <f xml:space="preserve"> -- ( SUM( tblFilterRegion[[#This Row],[Incl for Lon]:[Incl for YH]] ) &gt; 0 )</f>
        <v>0</v>
      </c>
      <c r="Y51" s="23">
        <f xml:space="preserve"> -- ( tblFilterRegion[[#This Row],[Total in selected regions]] &gt; $N$10 )</f>
        <v>0</v>
      </c>
      <c r="Z51" s="24">
        <f xml:space="preserve"> IF( RegionMinimum = 0, 1, IF( $R$10 = $U$8, tblFilterRegion[[#This Row],[Include for region - any]], IF( $R$10 = $U$10, tblFilterRegion[[#This Row],[Include for region - total]], "CHECK" ) ) )</f>
        <v>1</v>
      </c>
      <c r="AA51" s="131" t="str" cm="1">
        <f t="array" ref="AA51" xml:space="preserve"> INDEX( VfM_Metrics_2023_Consol_Source[], $D51, AA$14 )</f>
        <v>Yorkshire &amp; the Humber</v>
      </c>
    </row>
    <row r="52" spans="2:27" x14ac:dyDescent="0.2">
      <c r="B52" s="159" t="s" vm="37">
        <v>219</v>
      </c>
      <c r="C52" s="154" t="str" vm="277">
        <f xml:space="preserve"> INDEX( VfM_Metrics_2023_Consol_Source[RP_Code], MATCH( tblFilterRegion[[#This Row],[RP_Name]], VfM_Metrics_2023_Consol_Source[RP_Name], 0 ) )</f>
        <v>LH4353</v>
      </c>
      <c r="D52" s="81">
        <f xml:space="preserve"> MATCH( tblFilterRegion[[#This Row],[RP_Code]], VfM_Metrics_2023_Consol_Source[RP_Code], 0 )</f>
        <v>37</v>
      </c>
      <c r="E52" s="22" cm="1">
        <f t="array" ref="E52" xml:space="preserve"> INDEX( VfM_Metrics_2023_Consol_Source[], $D52, E$14 )</f>
        <v>0</v>
      </c>
      <c r="F52" s="22" cm="1">
        <f t="array" ref="F52" xml:space="preserve"> INDEX( VfM_Metrics_2023_Consol_Source[], $D52, F$14 )</f>
        <v>0</v>
      </c>
      <c r="G52" s="22" cm="1">
        <f t="array" ref="G52" xml:space="preserve"> INDEX( VfM_Metrics_2023_Consol_Source[], $D52, G$14 )</f>
        <v>0</v>
      </c>
      <c r="H52" s="22" cm="1">
        <f t="array" ref="H52" xml:space="preserve"> INDEX( VfM_Metrics_2023_Consol_Source[], $D52, H$14 )</f>
        <v>0</v>
      </c>
      <c r="I52" s="22" cm="1">
        <f t="array" ref="I52" xml:space="preserve"> INDEX( VfM_Metrics_2023_Consol_Source[], $D52, I$14 )</f>
        <v>1</v>
      </c>
      <c r="J52" s="22" cm="1">
        <f t="array" ref="J52" xml:space="preserve"> INDEX( VfM_Metrics_2023_Consol_Source[], $D52, J$14 )</f>
        <v>0</v>
      </c>
      <c r="K52" s="22" cm="1">
        <f t="array" ref="K52" xml:space="preserve"> INDEX( VfM_Metrics_2023_Consol_Source[], $D52, K$14 )</f>
        <v>0</v>
      </c>
      <c r="L52" s="22" cm="1">
        <f t="array" ref="L52" xml:space="preserve"> INDEX( VfM_Metrics_2023_Consol_Source[], $D52, L$14 )</f>
        <v>0</v>
      </c>
      <c r="M52" s="22" cm="1">
        <f t="array" ref="M52" xml:space="preserve"> INDEX( VfM_Metrics_2023_Consol_Source[], $D52, M$14 )</f>
        <v>0</v>
      </c>
      <c r="N52" s="23">
        <f xml:space="preserve"> -- AND( tblFilterRegion[[#This Row],[London]] &gt;= $N$10, N$13 = "Yes" )</f>
        <v>0</v>
      </c>
      <c r="O52" s="23">
        <f xml:space="preserve"> -- AND( tblFilterRegion[[#This Row],[South East]] &gt;= $N$10, O$13 = "Yes" )</f>
        <v>0</v>
      </c>
      <c r="P52" s="23">
        <f xml:space="preserve"> -- AND( tblFilterRegion[[#This Row],[South West]] &gt;= $N$10, P$13 = "Yes" )</f>
        <v>0</v>
      </c>
      <c r="Q52" s="23">
        <f xml:space="preserve"> -- AND( tblFilterRegion[[#This Row],[East Midlands]] &gt;= $N$10, Q$13 = "Yes" )</f>
        <v>0</v>
      </c>
      <c r="R52" s="23">
        <f xml:space="preserve"> -- AND( tblFilterRegion[[#This Row],[West Midlands]] &gt;= $N$10, R$13 = "Yes" )</f>
        <v>0</v>
      </c>
      <c r="S52" s="23">
        <f xml:space="preserve"> -- AND( tblFilterRegion[[#This Row],[East of England]] &gt;= $N$10, S$13 = "Yes" )</f>
        <v>0</v>
      </c>
      <c r="T52" s="23">
        <f xml:space="preserve"> -- AND( tblFilterRegion[[#This Row],[North East]] &gt;= $N$10, T$13 = "Yes" )</f>
        <v>0</v>
      </c>
      <c r="U52" s="23">
        <f xml:space="preserve"> -- AND( tblFilterRegion[[#This Row],[North West]] &gt;= $N$10, U$13 = "Yes" )</f>
        <v>0</v>
      </c>
      <c r="V52" s="23">
        <f xml:space="preserve"> -- AND( tblFilterRegion[[#This Row],[Yorkshire &amp; the Humber]] &gt;= $N$10, V$13 = "Yes" )</f>
        <v>0</v>
      </c>
      <c r="W52" s="22">
        <f xml:space="preserve"> SUMIF( $E$13:$M$13, "Yes", tblFilterRegion[[#This Row],[London]:[Yorkshire &amp; the Humber]] )</f>
        <v>0</v>
      </c>
      <c r="X52" s="23">
        <f xml:space="preserve"> -- ( SUM( tblFilterRegion[[#This Row],[Incl for Lon]:[Incl for YH]] ) &gt; 0 )</f>
        <v>0</v>
      </c>
      <c r="Y52" s="23">
        <f xml:space="preserve"> -- ( tblFilterRegion[[#This Row],[Total in selected regions]] &gt; $N$10 )</f>
        <v>0</v>
      </c>
      <c r="Z52" s="24">
        <f xml:space="preserve"> IF( RegionMinimum = 0, 1, IF( $R$10 = $U$8, tblFilterRegion[[#This Row],[Include for region - any]], IF( $R$10 = $U$10, tblFilterRegion[[#This Row],[Include for region - total]], "CHECK" ) ) )</f>
        <v>1</v>
      </c>
      <c r="AA52" s="131" t="str" cm="1">
        <f t="array" ref="AA52" xml:space="preserve"> INDEX( VfM_Metrics_2023_Consol_Source[], $D52, AA$14 )</f>
        <v>West Midlands</v>
      </c>
    </row>
    <row r="53" spans="2:27" x14ac:dyDescent="0.2">
      <c r="B53" s="159" t="s" vm="38">
        <v>221</v>
      </c>
      <c r="C53" s="154" t="str" vm="228">
        <f xml:space="preserve"> INDEX( VfM_Metrics_2023_Consol_Source[RP_Code], MATCH( tblFilterRegion[[#This Row],[RP_Name]], VfM_Metrics_2023_Consol_Source[RP_Name], 0 ) )</f>
        <v>L0147</v>
      </c>
      <c r="D53" s="81">
        <f xml:space="preserve"> MATCH( tblFilterRegion[[#This Row],[RP_Code]], VfM_Metrics_2023_Consol_Source[RP_Code], 0 )</f>
        <v>38</v>
      </c>
      <c r="E53" s="22" cm="1">
        <f t="array" ref="E53" xml:space="preserve"> INDEX( VfM_Metrics_2023_Consol_Source[], $D53, E$14 )</f>
        <v>0</v>
      </c>
      <c r="F53" s="22" cm="1">
        <f t="array" ref="F53" xml:space="preserve"> INDEX( VfM_Metrics_2023_Consol_Source[], $D53, F$14 )</f>
        <v>0</v>
      </c>
      <c r="G53" s="22" cm="1">
        <f t="array" ref="G53" xml:space="preserve"> INDEX( VfM_Metrics_2023_Consol_Source[], $D53, G$14 )</f>
        <v>1</v>
      </c>
      <c r="H53" s="22" cm="1">
        <f t="array" ref="H53" xml:space="preserve"> INDEX( VfM_Metrics_2023_Consol_Source[], $D53, H$14 )</f>
        <v>0</v>
      </c>
      <c r="I53" s="22" cm="1">
        <f t="array" ref="I53" xml:space="preserve"> INDEX( VfM_Metrics_2023_Consol_Source[], $D53, I$14 )</f>
        <v>0</v>
      </c>
      <c r="J53" s="22" cm="1">
        <f t="array" ref="J53" xml:space="preserve"> INDEX( VfM_Metrics_2023_Consol_Source[], $D53, J$14 )</f>
        <v>0</v>
      </c>
      <c r="K53" s="22" cm="1">
        <f t="array" ref="K53" xml:space="preserve"> INDEX( VfM_Metrics_2023_Consol_Source[], $D53, K$14 )</f>
        <v>0</v>
      </c>
      <c r="L53" s="22" cm="1">
        <f t="array" ref="L53" xml:space="preserve"> INDEX( VfM_Metrics_2023_Consol_Source[], $D53, L$14 )</f>
        <v>0</v>
      </c>
      <c r="M53" s="22" cm="1">
        <f t="array" ref="M53" xml:space="preserve"> INDEX( VfM_Metrics_2023_Consol_Source[], $D53, M$14 )</f>
        <v>0</v>
      </c>
      <c r="N53" s="23">
        <f xml:space="preserve"> -- AND( tblFilterRegion[[#This Row],[London]] &gt;= $N$10, N$13 = "Yes" )</f>
        <v>0</v>
      </c>
      <c r="O53" s="23">
        <f xml:space="preserve"> -- AND( tblFilterRegion[[#This Row],[South East]] &gt;= $N$10, O$13 = "Yes" )</f>
        <v>0</v>
      </c>
      <c r="P53" s="23">
        <f xml:space="preserve"> -- AND( tblFilterRegion[[#This Row],[South West]] &gt;= $N$10, P$13 = "Yes" )</f>
        <v>0</v>
      </c>
      <c r="Q53" s="23">
        <f xml:space="preserve"> -- AND( tblFilterRegion[[#This Row],[East Midlands]] &gt;= $N$10, Q$13 = "Yes" )</f>
        <v>0</v>
      </c>
      <c r="R53" s="23">
        <f xml:space="preserve"> -- AND( tblFilterRegion[[#This Row],[West Midlands]] &gt;= $N$10, R$13 = "Yes" )</f>
        <v>0</v>
      </c>
      <c r="S53" s="23">
        <f xml:space="preserve"> -- AND( tblFilterRegion[[#This Row],[East of England]] &gt;= $N$10, S$13 = "Yes" )</f>
        <v>0</v>
      </c>
      <c r="T53" s="23">
        <f xml:space="preserve"> -- AND( tblFilterRegion[[#This Row],[North East]] &gt;= $N$10, T$13 = "Yes" )</f>
        <v>0</v>
      </c>
      <c r="U53" s="23">
        <f xml:space="preserve"> -- AND( tblFilterRegion[[#This Row],[North West]] &gt;= $N$10, U$13 = "Yes" )</f>
        <v>0</v>
      </c>
      <c r="V53" s="23">
        <f xml:space="preserve"> -- AND( tblFilterRegion[[#This Row],[Yorkshire &amp; the Humber]] &gt;= $N$10, V$13 = "Yes" )</f>
        <v>0</v>
      </c>
      <c r="W53" s="22">
        <f xml:space="preserve"> SUMIF( $E$13:$M$13, "Yes", tblFilterRegion[[#This Row],[London]:[Yorkshire &amp; the Humber]] )</f>
        <v>0</v>
      </c>
      <c r="X53" s="23">
        <f xml:space="preserve"> -- ( SUM( tblFilterRegion[[#This Row],[Incl for Lon]:[Incl for YH]] ) &gt; 0 )</f>
        <v>0</v>
      </c>
      <c r="Y53" s="23">
        <f xml:space="preserve"> -- ( tblFilterRegion[[#This Row],[Total in selected regions]] &gt; $N$10 )</f>
        <v>0</v>
      </c>
      <c r="Z53" s="24">
        <f xml:space="preserve"> IF( RegionMinimum = 0, 1, IF( $R$10 = $U$8, tblFilterRegion[[#This Row],[Include for region - any]], IF( $R$10 = $U$10, tblFilterRegion[[#This Row],[Include for region - total]], "CHECK" ) ) )</f>
        <v>1</v>
      </c>
      <c r="AA53" s="131" t="str" cm="1">
        <f t="array" ref="AA53" xml:space="preserve"> INDEX( VfM_Metrics_2023_Consol_Source[], $D53, AA$14 )</f>
        <v>South West</v>
      </c>
    </row>
    <row r="54" spans="2:27" x14ac:dyDescent="0.2">
      <c r="B54" s="159" t="s" vm="39">
        <v>223</v>
      </c>
      <c r="C54" s="154" t="str" vm="390">
        <f xml:space="preserve"> INDEX( VfM_Metrics_2023_Consol_Source[RP_Code], MATCH( tblFilterRegion[[#This Row],[RP_Name]], VfM_Metrics_2023_Consol_Source[RP_Name], 0 ) )</f>
        <v>L4312</v>
      </c>
      <c r="D54" s="81">
        <f xml:space="preserve"> MATCH( tblFilterRegion[[#This Row],[RP_Code]], VfM_Metrics_2023_Consol_Source[RP_Code], 0 )</f>
        <v>39</v>
      </c>
      <c r="E54" s="22" cm="1">
        <f t="array" ref="E54" xml:space="preserve"> INDEX( VfM_Metrics_2023_Consol_Source[], $D54, E$14 )</f>
        <v>0</v>
      </c>
      <c r="F54" s="22" cm="1">
        <f t="array" ref="F54" xml:space="preserve"> INDEX( VfM_Metrics_2023_Consol_Source[], $D54, F$14 )</f>
        <v>0.80614525139664805</v>
      </c>
      <c r="G54" s="22" cm="1">
        <f t="array" ref="G54" xml:space="preserve"> INDEX( VfM_Metrics_2023_Consol_Source[], $D54, G$14 )</f>
        <v>0.17746741154562384</v>
      </c>
      <c r="H54" s="22" cm="1">
        <f t="array" ref="H54" xml:space="preserve"> INDEX( VfM_Metrics_2023_Consol_Source[], $D54, H$14 )</f>
        <v>0</v>
      </c>
      <c r="I54" s="22" cm="1">
        <f t="array" ref="I54" xml:space="preserve"> INDEX( VfM_Metrics_2023_Consol_Source[], $D54, I$14 )</f>
        <v>1.6387337057728119E-2</v>
      </c>
      <c r="J54" s="22" cm="1">
        <f t="array" ref="J54" xml:space="preserve"> INDEX( VfM_Metrics_2023_Consol_Source[], $D54, J$14 )</f>
        <v>0</v>
      </c>
      <c r="K54" s="22" cm="1">
        <f t="array" ref="K54" xml:space="preserve"> INDEX( VfM_Metrics_2023_Consol_Source[], $D54, K$14 )</f>
        <v>0</v>
      </c>
      <c r="L54" s="22" cm="1">
        <f t="array" ref="L54" xml:space="preserve"> INDEX( VfM_Metrics_2023_Consol_Source[], $D54, L$14 )</f>
        <v>0</v>
      </c>
      <c r="M54" s="22" cm="1">
        <f t="array" ref="M54" xml:space="preserve"> INDEX( VfM_Metrics_2023_Consol_Source[], $D54, M$14 )</f>
        <v>0</v>
      </c>
      <c r="N54" s="23">
        <f xml:space="preserve"> -- AND( tblFilterRegion[[#This Row],[London]] &gt;= $N$10, N$13 = "Yes" )</f>
        <v>0</v>
      </c>
      <c r="O54" s="23">
        <f xml:space="preserve"> -- AND( tblFilterRegion[[#This Row],[South East]] &gt;= $N$10, O$13 = "Yes" )</f>
        <v>0</v>
      </c>
      <c r="P54" s="23">
        <f xml:space="preserve"> -- AND( tblFilterRegion[[#This Row],[South West]] &gt;= $N$10, P$13 = "Yes" )</f>
        <v>0</v>
      </c>
      <c r="Q54" s="23">
        <f xml:space="preserve"> -- AND( tblFilterRegion[[#This Row],[East Midlands]] &gt;= $N$10, Q$13 = "Yes" )</f>
        <v>0</v>
      </c>
      <c r="R54" s="23">
        <f xml:space="preserve"> -- AND( tblFilterRegion[[#This Row],[West Midlands]] &gt;= $N$10, R$13 = "Yes" )</f>
        <v>0</v>
      </c>
      <c r="S54" s="23">
        <f xml:space="preserve"> -- AND( tblFilterRegion[[#This Row],[East of England]] &gt;= $N$10, S$13 = "Yes" )</f>
        <v>0</v>
      </c>
      <c r="T54" s="23">
        <f xml:space="preserve"> -- AND( tblFilterRegion[[#This Row],[North East]] &gt;= $N$10, T$13 = "Yes" )</f>
        <v>0</v>
      </c>
      <c r="U54" s="23">
        <f xml:space="preserve"> -- AND( tblFilterRegion[[#This Row],[North West]] &gt;= $N$10, U$13 = "Yes" )</f>
        <v>0</v>
      </c>
      <c r="V54" s="23">
        <f xml:space="preserve"> -- AND( tblFilterRegion[[#This Row],[Yorkshire &amp; the Humber]] &gt;= $N$10, V$13 = "Yes" )</f>
        <v>0</v>
      </c>
      <c r="W54" s="22">
        <f xml:space="preserve"> SUMIF( $E$13:$M$13, "Yes", tblFilterRegion[[#This Row],[London]:[Yorkshire &amp; the Humber]] )</f>
        <v>0</v>
      </c>
      <c r="X54" s="23">
        <f xml:space="preserve"> -- ( SUM( tblFilterRegion[[#This Row],[Incl for Lon]:[Incl for YH]] ) &gt; 0 )</f>
        <v>0</v>
      </c>
      <c r="Y54" s="23">
        <f xml:space="preserve"> -- ( tblFilterRegion[[#This Row],[Total in selected regions]] &gt; $N$10 )</f>
        <v>0</v>
      </c>
      <c r="Z54" s="24">
        <f xml:space="preserve"> IF( RegionMinimum = 0, 1, IF( $R$10 = $U$8, tblFilterRegion[[#This Row],[Include for region - any]], IF( $R$10 = $U$10, tblFilterRegion[[#This Row],[Include for region - total]], "CHECK" ) ) )</f>
        <v>1</v>
      </c>
      <c r="AA54" s="131" t="str" cm="1">
        <f t="array" ref="AA54" xml:space="preserve"> INDEX( VfM_Metrics_2023_Consol_Source[], $D54, AA$14 )</f>
        <v>South East</v>
      </c>
    </row>
    <row r="55" spans="2:27" x14ac:dyDescent="0.2">
      <c r="B55" s="159" t="s" vm="40">
        <v>225</v>
      </c>
      <c r="C55" s="154" t="str" vm="302">
        <f xml:space="preserve"> INDEX( VfM_Metrics_2023_Consol_Source[RP_Code], MATCH( tblFilterRegion[[#This Row],[RP_Name]], VfM_Metrics_2023_Consol_Source[RP_Name], 0 ) )</f>
        <v>LH4428</v>
      </c>
      <c r="D55" s="81">
        <f xml:space="preserve"> MATCH( tblFilterRegion[[#This Row],[RP_Code]], VfM_Metrics_2023_Consol_Source[RP_Code], 0 )</f>
        <v>40</v>
      </c>
      <c r="E55" s="22" cm="1">
        <f t="array" ref="E55" xml:space="preserve"> INDEX( VfM_Metrics_2023_Consol_Source[], $D55, E$14 )</f>
        <v>0</v>
      </c>
      <c r="F55" s="22" cm="1">
        <f t="array" ref="F55" xml:space="preserve"> INDEX( VfM_Metrics_2023_Consol_Source[], $D55, F$14 )</f>
        <v>2.4693376941946035E-2</v>
      </c>
      <c r="G55" s="22" cm="1">
        <f t="array" ref="G55" xml:space="preserve"> INDEX( VfM_Metrics_2023_Consol_Source[], $D55, G$14 )</f>
        <v>0</v>
      </c>
      <c r="H55" s="22" cm="1">
        <f t="array" ref="H55" xml:space="preserve"> INDEX( VfM_Metrics_2023_Consol_Source[], $D55, H$14 )</f>
        <v>2.5919869174161898E-2</v>
      </c>
      <c r="I55" s="22" cm="1">
        <f t="array" ref="I55" xml:space="preserve"> INDEX( VfM_Metrics_2023_Consol_Source[], $D55, I$14 )</f>
        <v>0</v>
      </c>
      <c r="J55" s="22" cm="1">
        <f t="array" ref="J55" xml:space="preserve"> INDEX( VfM_Metrics_2023_Consol_Source[], $D55, J$14 )</f>
        <v>0.94938675388389204</v>
      </c>
      <c r="K55" s="22" cm="1">
        <f t="array" ref="K55" xml:space="preserve"> INDEX( VfM_Metrics_2023_Consol_Source[], $D55, K$14 )</f>
        <v>0</v>
      </c>
      <c r="L55" s="22" cm="1">
        <f t="array" ref="L55" xml:space="preserve"> INDEX( VfM_Metrics_2023_Consol_Source[], $D55, L$14 )</f>
        <v>0</v>
      </c>
      <c r="M55" s="22" cm="1">
        <f t="array" ref="M55" xml:space="preserve"> INDEX( VfM_Metrics_2023_Consol_Source[], $D55, M$14 )</f>
        <v>0</v>
      </c>
      <c r="N55" s="23">
        <f xml:space="preserve"> -- AND( tblFilterRegion[[#This Row],[London]] &gt;= $N$10, N$13 = "Yes" )</f>
        <v>0</v>
      </c>
      <c r="O55" s="23">
        <f xml:space="preserve"> -- AND( tblFilterRegion[[#This Row],[South East]] &gt;= $N$10, O$13 = "Yes" )</f>
        <v>0</v>
      </c>
      <c r="P55" s="23">
        <f xml:space="preserve"> -- AND( tblFilterRegion[[#This Row],[South West]] &gt;= $N$10, P$13 = "Yes" )</f>
        <v>0</v>
      </c>
      <c r="Q55" s="23">
        <f xml:space="preserve"> -- AND( tblFilterRegion[[#This Row],[East Midlands]] &gt;= $N$10, Q$13 = "Yes" )</f>
        <v>0</v>
      </c>
      <c r="R55" s="23">
        <f xml:space="preserve"> -- AND( tblFilterRegion[[#This Row],[West Midlands]] &gt;= $N$10, R$13 = "Yes" )</f>
        <v>0</v>
      </c>
      <c r="S55" s="23">
        <f xml:space="preserve"> -- AND( tblFilterRegion[[#This Row],[East of England]] &gt;= $N$10, S$13 = "Yes" )</f>
        <v>0</v>
      </c>
      <c r="T55" s="23">
        <f xml:space="preserve"> -- AND( tblFilterRegion[[#This Row],[North East]] &gt;= $N$10, T$13 = "Yes" )</f>
        <v>0</v>
      </c>
      <c r="U55" s="23">
        <f xml:space="preserve"> -- AND( tblFilterRegion[[#This Row],[North West]] &gt;= $N$10, U$13 = "Yes" )</f>
        <v>0</v>
      </c>
      <c r="V55" s="23">
        <f xml:space="preserve"> -- AND( tblFilterRegion[[#This Row],[Yorkshire &amp; the Humber]] &gt;= $N$10, V$13 = "Yes" )</f>
        <v>0</v>
      </c>
      <c r="W55" s="22">
        <f xml:space="preserve"> SUMIF( $E$13:$M$13, "Yes", tblFilterRegion[[#This Row],[London]:[Yorkshire &amp; the Humber]] )</f>
        <v>0</v>
      </c>
      <c r="X55" s="23">
        <f xml:space="preserve"> -- ( SUM( tblFilterRegion[[#This Row],[Incl for Lon]:[Incl for YH]] ) &gt; 0 )</f>
        <v>0</v>
      </c>
      <c r="Y55" s="23">
        <f xml:space="preserve"> -- ( tblFilterRegion[[#This Row],[Total in selected regions]] &gt; $N$10 )</f>
        <v>0</v>
      </c>
      <c r="Z55" s="24">
        <f xml:space="preserve"> IF( RegionMinimum = 0, 1, IF( $R$10 = $U$8, tblFilterRegion[[#This Row],[Include for region - any]], IF( $R$10 = $U$10, tblFilterRegion[[#This Row],[Include for region - total]], "CHECK" ) ) )</f>
        <v>1</v>
      </c>
      <c r="AA55" s="131" t="str" cm="1">
        <f t="array" ref="AA55" xml:space="preserve"> INDEX( VfM_Metrics_2023_Consol_Source[], $D55, AA$14 )</f>
        <v>East of England</v>
      </c>
    </row>
    <row r="56" spans="2:27" x14ac:dyDescent="0.2">
      <c r="B56" s="159" t="s" vm="41">
        <v>227</v>
      </c>
      <c r="C56" s="154" t="str" vm="213">
        <f xml:space="preserve"> INDEX( VfM_Metrics_2023_Consol_Source[RP_Code], MATCH( tblFilterRegion[[#This Row],[RP_Name]], VfM_Metrics_2023_Consol_Source[RP_Name], 0 ) )</f>
        <v>LH0495</v>
      </c>
      <c r="D56" s="81">
        <f xml:space="preserve"> MATCH( tblFilterRegion[[#This Row],[RP_Code]], VfM_Metrics_2023_Consol_Source[RP_Code], 0 )</f>
        <v>41</v>
      </c>
      <c r="E56" s="22" cm="1">
        <f t="array" ref="E56" xml:space="preserve"> INDEX( VfM_Metrics_2023_Consol_Source[], $D56, E$14 )</f>
        <v>1</v>
      </c>
      <c r="F56" s="22" cm="1">
        <f t="array" ref="F56" xml:space="preserve"> INDEX( VfM_Metrics_2023_Consol_Source[], $D56, F$14 )</f>
        <v>0</v>
      </c>
      <c r="G56" s="22" cm="1">
        <f t="array" ref="G56" xml:space="preserve"> INDEX( VfM_Metrics_2023_Consol_Source[], $D56, G$14 )</f>
        <v>0</v>
      </c>
      <c r="H56" s="22" cm="1">
        <f t="array" ref="H56" xml:space="preserve"> INDEX( VfM_Metrics_2023_Consol_Source[], $D56, H$14 )</f>
        <v>0</v>
      </c>
      <c r="I56" s="22" cm="1">
        <f t="array" ref="I56" xml:space="preserve"> INDEX( VfM_Metrics_2023_Consol_Source[], $D56, I$14 )</f>
        <v>0</v>
      </c>
      <c r="J56" s="22" cm="1">
        <f t="array" ref="J56" xml:space="preserve"> INDEX( VfM_Metrics_2023_Consol_Source[], $D56, J$14 )</f>
        <v>0</v>
      </c>
      <c r="K56" s="22" cm="1">
        <f t="array" ref="K56" xml:space="preserve"> INDEX( VfM_Metrics_2023_Consol_Source[], $D56, K$14 )</f>
        <v>0</v>
      </c>
      <c r="L56" s="22" cm="1">
        <f t="array" ref="L56" xml:space="preserve"> INDEX( VfM_Metrics_2023_Consol_Source[], $D56, L$14 )</f>
        <v>0</v>
      </c>
      <c r="M56" s="22" cm="1">
        <f t="array" ref="M56" xml:space="preserve"> INDEX( VfM_Metrics_2023_Consol_Source[], $D56, M$14 )</f>
        <v>0</v>
      </c>
      <c r="N56" s="23">
        <f xml:space="preserve"> -- AND( tblFilterRegion[[#This Row],[London]] &gt;= $N$10, N$13 = "Yes" )</f>
        <v>0</v>
      </c>
      <c r="O56" s="23">
        <f xml:space="preserve"> -- AND( tblFilterRegion[[#This Row],[South East]] &gt;= $N$10, O$13 = "Yes" )</f>
        <v>0</v>
      </c>
      <c r="P56" s="23">
        <f xml:space="preserve"> -- AND( tblFilterRegion[[#This Row],[South West]] &gt;= $N$10, P$13 = "Yes" )</f>
        <v>0</v>
      </c>
      <c r="Q56" s="23">
        <f xml:space="preserve"> -- AND( tblFilterRegion[[#This Row],[East Midlands]] &gt;= $N$10, Q$13 = "Yes" )</f>
        <v>0</v>
      </c>
      <c r="R56" s="23">
        <f xml:space="preserve"> -- AND( tblFilterRegion[[#This Row],[West Midlands]] &gt;= $N$10, R$13 = "Yes" )</f>
        <v>0</v>
      </c>
      <c r="S56" s="23">
        <f xml:space="preserve"> -- AND( tblFilterRegion[[#This Row],[East of England]] &gt;= $N$10, S$13 = "Yes" )</f>
        <v>0</v>
      </c>
      <c r="T56" s="23">
        <f xml:space="preserve"> -- AND( tblFilterRegion[[#This Row],[North East]] &gt;= $N$10, T$13 = "Yes" )</f>
        <v>0</v>
      </c>
      <c r="U56" s="23">
        <f xml:space="preserve"> -- AND( tblFilterRegion[[#This Row],[North West]] &gt;= $N$10, U$13 = "Yes" )</f>
        <v>0</v>
      </c>
      <c r="V56" s="23">
        <f xml:space="preserve"> -- AND( tblFilterRegion[[#This Row],[Yorkshire &amp; the Humber]] &gt;= $N$10, V$13 = "Yes" )</f>
        <v>0</v>
      </c>
      <c r="W56" s="22">
        <f xml:space="preserve"> SUMIF( $E$13:$M$13, "Yes", tblFilterRegion[[#This Row],[London]:[Yorkshire &amp; the Humber]] )</f>
        <v>0</v>
      </c>
      <c r="X56" s="23">
        <f xml:space="preserve"> -- ( SUM( tblFilterRegion[[#This Row],[Incl for Lon]:[Incl for YH]] ) &gt; 0 )</f>
        <v>0</v>
      </c>
      <c r="Y56" s="23">
        <f xml:space="preserve"> -- ( tblFilterRegion[[#This Row],[Total in selected regions]] &gt; $N$10 )</f>
        <v>0</v>
      </c>
      <c r="Z56" s="24">
        <f xml:space="preserve"> IF( RegionMinimum = 0, 1, IF( $R$10 = $U$8, tblFilterRegion[[#This Row],[Include for region - any]], IF( $R$10 = $U$10, tblFilterRegion[[#This Row],[Include for region - total]], "CHECK" ) ) )</f>
        <v>1</v>
      </c>
      <c r="AA56" s="131" t="str" cm="1">
        <f t="array" ref="AA56" xml:space="preserve"> INDEX( VfM_Metrics_2023_Consol_Source[], $D56, AA$14 )</f>
        <v>London</v>
      </c>
    </row>
    <row r="57" spans="2:27" x14ac:dyDescent="0.2">
      <c r="B57" s="159" t="s" vm="42">
        <v>229</v>
      </c>
      <c r="C57" s="154" t="str" vm="272">
        <f xml:space="preserve"> INDEX( VfM_Metrics_2023_Consol_Source[RP_Code], MATCH( tblFilterRegion[[#This Row],[RP_Name]], VfM_Metrics_2023_Consol_Source[RP_Name], 0 ) )</f>
        <v>LH4336</v>
      </c>
      <c r="D57" s="81">
        <f xml:space="preserve"> MATCH( tblFilterRegion[[#This Row],[RP_Code]], VfM_Metrics_2023_Consol_Source[RP_Code], 0 )</f>
        <v>42</v>
      </c>
      <c r="E57" s="22" cm="1">
        <f t="array" ref="E57" xml:space="preserve"> INDEX( VfM_Metrics_2023_Consol_Source[], $D57, E$14 )</f>
        <v>0</v>
      </c>
      <c r="F57" s="22" cm="1">
        <f t="array" ref="F57" xml:space="preserve"> INDEX( VfM_Metrics_2023_Consol_Source[], $D57, F$14 )</f>
        <v>0</v>
      </c>
      <c r="G57" s="22" cm="1">
        <f t="array" ref="G57" xml:space="preserve"> INDEX( VfM_Metrics_2023_Consol_Source[], $D57, G$14 )</f>
        <v>1</v>
      </c>
      <c r="H57" s="22" cm="1">
        <f t="array" ref="H57" xml:space="preserve"> INDEX( VfM_Metrics_2023_Consol_Source[], $D57, H$14 )</f>
        <v>0</v>
      </c>
      <c r="I57" s="22" cm="1">
        <f t="array" ref="I57" xml:space="preserve"> INDEX( VfM_Metrics_2023_Consol_Source[], $D57, I$14 )</f>
        <v>0</v>
      </c>
      <c r="J57" s="22" cm="1">
        <f t="array" ref="J57" xml:space="preserve"> INDEX( VfM_Metrics_2023_Consol_Source[], $D57, J$14 )</f>
        <v>0</v>
      </c>
      <c r="K57" s="22" cm="1">
        <f t="array" ref="K57" xml:space="preserve"> INDEX( VfM_Metrics_2023_Consol_Source[], $D57, K$14 )</f>
        <v>0</v>
      </c>
      <c r="L57" s="22" cm="1">
        <f t="array" ref="L57" xml:space="preserve"> INDEX( VfM_Metrics_2023_Consol_Source[], $D57, L$14 )</f>
        <v>0</v>
      </c>
      <c r="M57" s="22" cm="1">
        <f t="array" ref="M57" xml:space="preserve"> INDEX( VfM_Metrics_2023_Consol_Source[], $D57, M$14 )</f>
        <v>0</v>
      </c>
      <c r="N57" s="23">
        <f xml:space="preserve"> -- AND( tblFilterRegion[[#This Row],[London]] &gt;= $N$10, N$13 = "Yes" )</f>
        <v>0</v>
      </c>
      <c r="O57" s="23">
        <f xml:space="preserve"> -- AND( tblFilterRegion[[#This Row],[South East]] &gt;= $N$10, O$13 = "Yes" )</f>
        <v>0</v>
      </c>
      <c r="P57" s="23">
        <f xml:space="preserve"> -- AND( tblFilterRegion[[#This Row],[South West]] &gt;= $N$10, P$13 = "Yes" )</f>
        <v>0</v>
      </c>
      <c r="Q57" s="23">
        <f xml:space="preserve"> -- AND( tblFilterRegion[[#This Row],[East Midlands]] &gt;= $N$10, Q$13 = "Yes" )</f>
        <v>0</v>
      </c>
      <c r="R57" s="23">
        <f xml:space="preserve"> -- AND( tblFilterRegion[[#This Row],[West Midlands]] &gt;= $N$10, R$13 = "Yes" )</f>
        <v>0</v>
      </c>
      <c r="S57" s="23">
        <f xml:space="preserve"> -- AND( tblFilterRegion[[#This Row],[East of England]] &gt;= $N$10, S$13 = "Yes" )</f>
        <v>0</v>
      </c>
      <c r="T57" s="23">
        <f xml:space="preserve"> -- AND( tblFilterRegion[[#This Row],[North East]] &gt;= $N$10, T$13 = "Yes" )</f>
        <v>0</v>
      </c>
      <c r="U57" s="23">
        <f xml:space="preserve"> -- AND( tblFilterRegion[[#This Row],[North West]] &gt;= $N$10, U$13 = "Yes" )</f>
        <v>0</v>
      </c>
      <c r="V57" s="23">
        <f xml:space="preserve"> -- AND( tblFilterRegion[[#This Row],[Yorkshire &amp; the Humber]] &gt;= $N$10, V$13 = "Yes" )</f>
        <v>0</v>
      </c>
      <c r="W57" s="22">
        <f xml:space="preserve"> SUMIF( $E$13:$M$13, "Yes", tblFilterRegion[[#This Row],[London]:[Yorkshire &amp; the Humber]] )</f>
        <v>0</v>
      </c>
      <c r="X57" s="23">
        <f xml:space="preserve"> -- ( SUM( tblFilterRegion[[#This Row],[Incl for Lon]:[Incl for YH]] ) &gt; 0 )</f>
        <v>0</v>
      </c>
      <c r="Y57" s="23">
        <f xml:space="preserve"> -- ( tblFilterRegion[[#This Row],[Total in selected regions]] &gt; $N$10 )</f>
        <v>0</v>
      </c>
      <c r="Z57" s="24">
        <f xml:space="preserve"> IF( RegionMinimum = 0, 1, IF( $R$10 = $U$8, tblFilterRegion[[#This Row],[Include for region - any]], IF( $R$10 = $U$10, tblFilterRegion[[#This Row],[Include for region - total]], "CHECK" ) ) )</f>
        <v>1</v>
      </c>
      <c r="AA57" s="131" t="str" cm="1">
        <f t="array" ref="AA57" xml:space="preserve"> INDEX( VfM_Metrics_2023_Consol_Source[], $D57, AA$14 )</f>
        <v>South West</v>
      </c>
    </row>
    <row r="58" spans="2:27" x14ac:dyDescent="0.2">
      <c r="B58" s="159" t="s" vm="43">
        <v>231</v>
      </c>
      <c r="C58" s="154" t="str" vm="236">
        <f xml:space="preserve"> INDEX( VfM_Metrics_2023_Consol_Source[RP_Code], MATCH( tblFilterRegion[[#This Row],[RP_Name]], VfM_Metrics_2023_Consol_Source[RP_Name], 0 ) )</f>
        <v>5125</v>
      </c>
      <c r="D58" s="81">
        <f xml:space="preserve"> MATCH( tblFilterRegion[[#This Row],[RP_Code]], VfM_Metrics_2023_Consol_Source[RP_Code], 0 )</f>
        <v>43</v>
      </c>
      <c r="E58" s="22" cm="1">
        <f t="array" ref="E58" xml:space="preserve"> INDEX( VfM_Metrics_2023_Consol_Source[], $D58, E$14 )</f>
        <v>0</v>
      </c>
      <c r="F58" s="22" cm="1">
        <f t="array" ref="F58" xml:space="preserve"> INDEX( VfM_Metrics_2023_Consol_Source[], $D58, F$14 )</f>
        <v>0</v>
      </c>
      <c r="G58" s="22" cm="1">
        <f t="array" ref="G58" xml:space="preserve"> INDEX( VfM_Metrics_2023_Consol_Source[], $D58, G$14 )</f>
        <v>0</v>
      </c>
      <c r="H58" s="22" cm="1">
        <f t="array" ref="H58" xml:space="preserve"> INDEX( VfM_Metrics_2023_Consol_Source[], $D58, H$14 )</f>
        <v>0</v>
      </c>
      <c r="I58" s="22" cm="1">
        <f t="array" ref="I58" xml:space="preserve"> INDEX( VfM_Metrics_2023_Consol_Source[], $D58, I$14 )</f>
        <v>0</v>
      </c>
      <c r="J58" s="22" cm="1">
        <f t="array" ref="J58" xml:space="preserve"> INDEX( VfM_Metrics_2023_Consol_Source[], $D58, J$14 )</f>
        <v>0</v>
      </c>
      <c r="K58" s="22" cm="1">
        <f t="array" ref="K58" xml:space="preserve"> INDEX( VfM_Metrics_2023_Consol_Source[], $D58, K$14 )</f>
        <v>1</v>
      </c>
      <c r="L58" s="22" cm="1">
        <f t="array" ref="L58" xml:space="preserve"> INDEX( VfM_Metrics_2023_Consol_Source[], $D58, L$14 )</f>
        <v>0</v>
      </c>
      <c r="M58" s="22" cm="1">
        <f t="array" ref="M58" xml:space="preserve"> INDEX( VfM_Metrics_2023_Consol_Source[], $D58, M$14 )</f>
        <v>0</v>
      </c>
      <c r="N58" s="23">
        <f xml:space="preserve"> -- AND( tblFilterRegion[[#This Row],[London]] &gt;= $N$10, N$13 = "Yes" )</f>
        <v>0</v>
      </c>
      <c r="O58" s="23">
        <f xml:space="preserve"> -- AND( tblFilterRegion[[#This Row],[South East]] &gt;= $N$10, O$13 = "Yes" )</f>
        <v>0</v>
      </c>
      <c r="P58" s="23">
        <f xml:space="preserve"> -- AND( tblFilterRegion[[#This Row],[South West]] &gt;= $N$10, P$13 = "Yes" )</f>
        <v>0</v>
      </c>
      <c r="Q58" s="23">
        <f xml:space="preserve"> -- AND( tblFilterRegion[[#This Row],[East Midlands]] &gt;= $N$10, Q$13 = "Yes" )</f>
        <v>0</v>
      </c>
      <c r="R58" s="23">
        <f xml:space="preserve"> -- AND( tblFilterRegion[[#This Row],[West Midlands]] &gt;= $N$10, R$13 = "Yes" )</f>
        <v>0</v>
      </c>
      <c r="S58" s="23">
        <f xml:space="preserve"> -- AND( tblFilterRegion[[#This Row],[East of England]] &gt;= $N$10, S$13 = "Yes" )</f>
        <v>0</v>
      </c>
      <c r="T58" s="23">
        <f xml:space="preserve"> -- AND( tblFilterRegion[[#This Row],[North East]] &gt;= $N$10, T$13 = "Yes" )</f>
        <v>0</v>
      </c>
      <c r="U58" s="23">
        <f xml:space="preserve"> -- AND( tblFilterRegion[[#This Row],[North West]] &gt;= $N$10, U$13 = "Yes" )</f>
        <v>0</v>
      </c>
      <c r="V58" s="23">
        <f xml:space="preserve"> -- AND( tblFilterRegion[[#This Row],[Yorkshire &amp; the Humber]] &gt;= $N$10, V$13 = "Yes" )</f>
        <v>0</v>
      </c>
      <c r="W58" s="22">
        <f xml:space="preserve"> SUMIF( $E$13:$M$13, "Yes", tblFilterRegion[[#This Row],[London]:[Yorkshire &amp; the Humber]] )</f>
        <v>0</v>
      </c>
      <c r="X58" s="23">
        <f xml:space="preserve"> -- ( SUM( tblFilterRegion[[#This Row],[Incl for Lon]:[Incl for YH]] ) &gt; 0 )</f>
        <v>0</v>
      </c>
      <c r="Y58" s="23">
        <f xml:space="preserve"> -- ( tblFilterRegion[[#This Row],[Total in selected regions]] &gt; $N$10 )</f>
        <v>0</v>
      </c>
      <c r="Z58" s="24">
        <f xml:space="preserve"> IF( RegionMinimum = 0, 1, IF( $R$10 = $U$8, tblFilterRegion[[#This Row],[Include for region - any]], IF( $R$10 = $U$10, tblFilterRegion[[#This Row],[Include for region - total]], "CHECK" ) ) )</f>
        <v>1</v>
      </c>
      <c r="AA58" s="131" t="str" cm="1">
        <f t="array" ref="AA58" xml:space="preserve"> INDEX( VfM_Metrics_2023_Consol_Source[], $D58, AA$14 )</f>
        <v>North East</v>
      </c>
    </row>
    <row r="59" spans="2:27" x14ac:dyDescent="0.2">
      <c r="B59" s="159" t="s" vm="44">
        <v>233</v>
      </c>
      <c r="C59" s="154" t="str" vm="217">
        <f xml:space="preserve"> INDEX( VfM_Metrics_2023_Consol_Source[RP_Code], MATCH( tblFilterRegion[[#This Row],[RP_Name]], VfM_Metrics_2023_Consol_Source[RP_Name], 0 ) )</f>
        <v>L4434</v>
      </c>
      <c r="D59" s="81">
        <f xml:space="preserve"> MATCH( tblFilterRegion[[#This Row],[RP_Code]], VfM_Metrics_2023_Consol_Source[RP_Code], 0 )</f>
        <v>44</v>
      </c>
      <c r="E59" s="22" cm="1">
        <f t="array" ref="E59" xml:space="preserve"> INDEX( VfM_Metrics_2023_Consol_Source[], $D59, E$14 )</f>
        <v>1</v>
      </c>
      <c r="F59" s="22" cm="1">
        <f t="array" ref="F59" xml:space="preserve"> INDEX( VfM_Metrics_2023_Consol_Source[], $D59, F$14 )</f>
        <v>0</v>
      </c>
      <c r="G59" s="22" cm="1">
        <f t="array" ref="G59" xml:space="preserve"> INDEX( VfM_Metrics_2023_Consol_Source[], $D59, G$14 )</f>
        <v>0</v>
      </c>
      <c r="H59" s="22" cm="1">
        <f t="array" ref="H59" xml:space="preserve"> INDEX( VfM_Metrics_2023_Consol_Source[], $D59, H$14 )</f>
        <v>0</v>
      </c>
      <c r="I59" s="22" cm="1">
        <f t="array" ref="I59" xml:space="preserve"> INDEX( VfM_Metrics_2023_Consol_Source[], $D59, I$14 )</f>
        <v>0</v>
      </c>
      <c r="J59" s="22" cm="1">
        <f t="array" ref="J59" xml:space="preserve"> INDEX( VfM_Metrics_2023_Consol_Source[], $D59, J$14 )</f>
        <v>0</v>
      </c>
      <c r="K59" s="22" cm="1">
        <f t="array" ref="K59" xml:space="preserve"> INDEX( VfM_Metrics_2023_Consol_Source[], $D59, K$14 )</f>
        <v>0</v>
      </c>
      <c r="L59" s="22" cm="1">
        <f t="array" ref="L59" xml:space="preserve"> INDEX( VfM_Metrics_2023_Consol_Source[], $D59, L$14 )</f>
        <v>0</v>
      </c>
      <c r="M59" s="22" cm="1">
        <f t="array" ref="M59" xml:space="preserve"> INDEX( VfM_Metrics_2023_Consol_Source[], $D59, M$14 )</f>
        <v>0</v>
      </c>
      <c r="N59" s="23">
        <f xml:space="preserve"> -- AND( tblFilterRegion[[#This Row],[London]] &gt;= $N$10, N$13 = "Yes" )</f>
        <v>0</v>
      </c>
      <c r="O59" s="23">
        <f xml:space="preserve"> -- AND( tblFilterRegion[[#This Row],[South East]] &gt;= $N$10, O$13 = "Yes" )</f>
        <v>0</v>
      </c>
      <c r="P59" s="23">
        <f xml:space="preserve"> -- AND( tblFilterRegion[[#This Row],[South West]] &gt;= $N$10, P$13 = "Yes" )</f>
        <v>0</v>
      </c>
      <c r="Q59" s="23">
        <f xml:space="preserve"> -- AND( tblFilterRegion[[#This Row],[East Midlands]] &gt;= $N$10, Q$13 = "Yes" )</f>
        <v>0</v>
      </c>
      <c r="R59" s="23">
        <f xml:space="preserve"> -- AND( tblFilterRegion[[#This Row],[West Midlands]] &gt;= $N$10, R$13 = "Yes" )</f>
        <v>0</v>
      </c>
      <c r="S59" s="23">
        <f xml:space="preserve"> -- AND( tblFilterRegion[[#This Row],[East of England]] &gt;= $N$10, S$13 = "Yes" )</f>
        <v>0</v>
      </c>
      <c r="T59" s="23">
        <f xml:space="preserve"> -- AND( tblFilterRegion[[#This Row],[North East]] &gt;= $N$10, T$13 = "Yes" )</f>
        <v>0</v>
      </c>
      <c r="U59" s="23">
        <f xml:space="preserve"> -- AND( tblFilterRegion[[#This Row],[North West]] &gt;= $N$10, U$13 = "Yes" )</f>
        <v>0</v>
      </c>
      <c r="V59" s="23">
        <f xml:space="preserve"> -- AND( tblFilterRegion[[#This Row],[Yorkshire &amp; the Humber]] &gt;= $N$10, V$13 = "Yes" )</f>
        <v>0</v>
      </c>
      <c r="W59" s="22">
        <f xml:space="preserve"> SUMIF( $E$13:$M$13, "Yes", tblFilterRegion[[#This Row],[London]:[Yorkshire &amp; the Humber]] )</f>
        <v>0</v>
      </c>
      <c r="X59" s="23">
        <f xml:space="preserve"> -- ( SUM( tblFilterRegion[[#This Row],[Incl for Lon]:[Incl for YH]] ) &gt; 0 )</f>
        <v>0</v>
      </c>
      <c r="Y59" s="23">
        <f xml:space="preserve"> -- ( tblFilterRegion[[#This Row],[Total in selected regions]] &gt; $N$10 )</f>
        <v>0</v>
      </c>
      <c r="Z59" s="24">
        <f xml:space="preserve"> IF( RegionMinimum = 0, 1, IF( $R$10 = $U$8, tblFilterRegion[[#This Row],[Include for region - any]], IF( $R$10 = $U$10, tblFilterRegion[[#This Row],[Include for region - total]], "CHECK" ) ) )</f>
        <v>1</v>
      </c>
      <c r="AA59" s="131" t="str" cm="1">
        <f t="array" ref="AA59" xml:space="preserve"> INDEX( VfM_Metrics_2023_Consol_Source[], $D59, AA$14 )</f>
        <v>London</v>
      </c>
    </row>
    <row r="60" spans="2:27" x14ac:dyDescent="0.2">
      <c r="B60" s="159" t="s" vm="45">
        <v>235</v>
      </c>
      <c r="C60" s="154" t="str" vm="303">
        <f xml:space="preserve"> INDEX( VfM_Metrics_2023_Consol_Source[RP_Code], MATCH( tblFilterRegion[[#This Row],[RP_Name]], VfM_Metrics_2023_Consol_Source[RP_Name], 0 ) )</f>
        <v>L4530</v>
      </c>
      <c r="D60" s="81">
        <f xml:space="preserve"> MATCH( tblFilterRegion[[#This Row],[RP_Code]], VfM_Metrics_2023_Consol_Source[RP_Code], 0 )</f>
        <v>45</v>
      </c>
      <c r="E60" s="22" cm="1">
        <f t="array" ref="E60" xml:space="preserve"> INDEX( VfM_Metrics_2023_Consol_Source[], $D60, E$14 )</f>
        <v>0</v>
      </c>
      <c r="F60" s="22" cm="1">
        <f t="array" ref="F60" xml:space="preserve"> INDEX( VfM_Metrics_2023_Consol_Source[], $D60, F$14 )</f>
        <v>0</v>
      </c>
      <c r="G60" s="22" cm="1">
        <f t="array" ref="G60" xml:space="preserve"> INDEX( VfM_Metrics_2023_Consol_Source[], $D60, G$14 )</f>
        <v>0</v>
      </c>
      <c r="H60" s="22" cm="1">
        <f t="array" ref="H60" xml:space="preserve"> INDEX( VfM_Metrics_2023_Consol_Source[], $D60, H$14 )</f>
        <v>0.99757615821076406</v>
      </c>
      <c r="I60" s="22" cm="1">
        <f t="array" ref="I60" xml:space="preserve"> INDEX( VfM_Metrics_2023_Consol_Source[], $D60, I$14 )</f>
        <v>2.2585798490607615E-3</v>
      </c>
      <c r="J60" s="22" cm="1">
        <f t="array" ref="J60" xml:space="preserve"> INDEX( VfM_Metrics_2023_Consol_Source[], $D60, J$14 )</f>
        <v>5.5087313391725883E-5</v>
      </c>
      <c r="K60" s="22" cm="1">
        <f t="array" ref="K60" xml:space="preserve"> INDEX( VfM_Metrics_2023_Consol_Source[], $D60, K$14 )</f>
        <v>0</v>
      </c>
      <c r="L60" s="22" cm="1">
        <f t="array" ref="L60" xml:space="preserve"> INDEX( VfM_Metrics_2023_Consol_Source[], $D60, L$14 )</f>
        <v>0</v>
      </c>
      <c r="M60" s="22" cm="1">
        <f t="array" ref="M60" xml:space="preserve"> INDEX( VfM_Metrics_2023_Consol_Source[], $D60, M$14 )</f>
        <v>1.1017462678345177E-4</v>
      </c>
      <c r="N60" s="23">
        <f xml:space="preserve"> -- AND( tblFilterRegion[[#This Row],[London]] &gt;= $N$10, N$13 = "Yes" )</f>
        <v>0</v>
      </c>
      <c r="O60" s="23">
        <f xml:space="preserve"> -- AND( tblFilterRegion[[#This Row],[South East]] &gt;= $N$10, O$13 = "Yes" )</f>
        <v>0</v>
      </c>
      <c r="P60" s="23">
        <f xml:space="preserve"> -- AND( tblFilterRegion[[#This Row],[South West]] &gt;= $N$10, P$13 = "Yes" )</f>
        <v>0</v>
      </c>
      <c r="Q60" s="23">
        <f xml:space="preserve"> -- AND( tblFilterRegion[[#This Row],[East Midlands]] &gt;= $N$10, Q$13 = "Yes" )</f>
        <v>0</v>
      </c>
      <c r="R60" s="23">
        <f xml:space="preserve"> -- AND( tblFilterRegion[[#This Row],[West Midlands]] &gt;= $N$10, R$13 = "Yes" )</f>
        <v>0</v>
      </c>
      <c r="S60" s="23">
        <f xml:space="preserve"> -- AND( tblFilterRegion[[#This Row],[East of England]] &gt;= $N$10, S$13 = "Yes" )</f>
        <v>0</v>
      </c>
      <c r="T60" s="23">
        <f xml:space="preserve"> -- AND( tblFilterRegion[[#This Row],[North East]] &gt;= $N$10, T$13 = "Yes" )</f>
        <v>0</v>
      </c>
      <c r="U60" s="23">
        <f xml:space="preserve"> -- AND( tblFilterRegion[[#This Row],[North West]] &gt;= $N$10, U$13 = "Yes" )</f>
        <v>0</v>
      </c>
      <c r="V60" s="23">
        <f xml:space="preserve"> -- AND( tblFilterRegion[[#This Row],[Yorkshire &amp; the Humber]] &gt;= $N$10, V$13 = "Yes" )</f>
        <v>0</v>
      </c>
      <c r="W60" s="22">
        <f xml:space="preserve"> SUMIF( $E$13:$M$13, "Yes", tblFilterRegion[[#This Row],[London]:[Yorkshire &amp; the Humber]] )</f>
        <v>0</v>
      </c>
      <c r="X60" s="23">
        <f xml:space="preserve"> -- ( SUM( tblFilterRegion[[#This Row],[Incl for Lon]:[Incl for YH]] ) &gt; 0 )</f>
        <v>0</v>
      </c>
      <c r="Y60" s="23">
        <f xml:space="preserve"> -- ( tblFilterRegion[[#This Row],[Total in selected regions]] &gt; $N$10 )</f>
        <v>0</v>
      </c>
      <c r="Z60" s="24">
        <f xml:space="preserve"> IF( RegionMinimum = 0, 1, IF( $R$10 = $U$8, tblFilterRegion[[#This Row],[Include for region - any]], IF( $R$10 = $U$10, tblFilterRegion[[#This Row],[Include for region - total]], "CHECK" ) ) )</f>
        <v>1</v>
      </c>
      <c r="AA60" s="131" t="str" cm="1">
        <f t="array" ref="AA60" xml:space="preserve"> INDEX( VfM_Metrics_2023_Consol_Source[], $D60, AA$14 )</f>
        <v>East Midlands</v>
      </c>
    </row>
    <row r="61" spans="2:27" x14ac:dyDescent="0.2">
      <c r="B61" s="159" t="s" vm="46">
        <v>237</v>
      </c>
      <c r="C61" s="154" t="str" vm="290">
        <f xml:space="preserve"> INDEX( VfM_Metrics_2023_Consol_Source[RP_Code], MATCH( tblFilterRegion[[#This Row],[RP_Name]], VfM_Metrics_2023_Consol_Source[RP_Name], 0 ) )</f>
        <v>L4499</v>
      </c>
      <c r="D61" s="81">
        <f xml:space="preserve"> MATCH( tblFilterRegion[[#This Row],[RP_Code]], VfM_Metrics_2023_Consol_Source[RP_Code], 0 )</f>
        <v>46</v>
      </c>
      <c r="E61" s="22" cm="1">
        <f t="array" ref="E61" xml:space="preserve"> INDEX( VfM_Metrics_2023_Consol_Source[], $D61, E$14 )</f>
        <v>0</v>
      </c>
      <c r="F61" s="22" cm="1">
        <f t="array" ref="F61" xml:space="preserve"> INDEX( VfM_Metrics_2023_Consol_Source[], $D61, F$14 )</f>
        <v>0</v>
      </c>
      <c r="G61" s="22" cm="1">
        <f t="array" ref="G61" xml:space="preserve"> INDEX( VfM_Metrics_2023_Consol_Source[], $D61, G$14 )</f>
        <v>0</v>
      </c>
      <c r="H61" s="22" cm="1">
        <f t="array" ref="H61" xml:space="preserve"> INDEX( VfM_Metrics_2023_Consol_Source[], $D61, H$14 )</f>
        <v>0</v>
      </c>
      <c r="I61" s="22" cm="1">
        <f t="array" ref="I61" xml:space="preserve"> INDEX( VfM_Metrics_2023_Consol_Source[], $D61, I$14 )</f>
        <v>0</v>
      </c>
      <c r="J61" s="22" cm="1">
        <f t="array" ref="J61" xml:space="preserve"> INDEX( VfM_Metrics_2023_Consol_Source[], $D61, J$14 )</f>
        <v>1</v>
      </c>
      <c r="K61" s="22" cm="1">
        <f t="array" ref="K61" xml:space="preserve"> INDEX( VfM_Metrics_2023_Consol_Source[], $D61, K$14 )</f>
        <v>0</v>
      </c>
      <c r="L61" s="22" cm="1">
        <f t="array" ref="L61" xml:space="preserve"> INDEX( VfM_Metrics_2023_Consol_Source[], $D61, L$14 )</f>
        <v>0</v>
      </c>
      <c r="M61" s="22" cm="1">
        <f t="array" ref="M61" xml:space="preserve"> INDEX( VfM_Metrics_2023_Consol_Source[], $D61, M$14 )</f>
        <v>0</v>
      </c>
      <c r="N61" s="23">
        <f xml:space="preserve"> -- AND( tblFilterRegion[[#This Row],[London]] &gt;= $N$10, N$13 = "Yes" )</f>
        <v>0</v>
      </c>
      <c r="O61" s="23">
        <f xml:space="preserve"> -- AND( tblFilterRegion[[#This Row],[South East]] &gt;= $N$10, O$13 = "Yes" )</f>
        <v>0</v>
      </c>
      <c r="P61" s="23">
        <f xml:space="preserve"> -- AND( tblFilterRegion[[#This Row],[South West]] &gt;= $N$10, P$13 = "Yes" )</f>
        <v>0</v>
      </c>
      <c r="Q61" s="23">
        <f xml:space="preserve"> -- AND( tblFilterRegion[[#This Row],[East Midlands]] &gt;= $N$10, Q$13 = "Yes" )</f>
        <v>0</v>
      </c>
      <c r="R61" s="23">
        <f xml:space="preserve"> -- AND( tblFilterRegion[[#This Row],[West Midlands]] &gt;= $N$10, R$13 = "Yes" )</f>
        <v>0</v>
      </c>
      <c r="S61" s="23">
        <f xml:space="preserve"> -- AND( tblFilterRegion[[#This Row],[East of England]] &gt;= $N$10, S$13 = "Yes" )</f>
        <v>0</v>
      </c>
      <c r="T61" s="23">
        <f xml:space="preserve"> -- AND( tblFilterRegion[[#This Row],[North East]] &gt;= $N$10, T$13 = "Yes" )</f>
        <v>0</v>
      </c>
      <c r="U61" s="23">
        <f xml:space="preserve"> -- AND( tblFilterRegion[[#This Row],[North West]] &gt;= $N$10, U$13 = "Yes" )</f>
        <v>0</v>
      </c>
      <c r="V61" s="23">
        <f xml:space="preserve"> -- AND( tblFilterRegion[[#This Row],[Yorkshire &amp; the Humber]] &gt;= $N$10, V$13 = "Yes" )</f>
        <v>0</v>
      </c>
      <c r="W61" s="22">
        <f xml:space="preserve"> SUMIF( $E$13:$M$13, "Yes", tblFilterRegion[[#This Row],[London]:[Yorkshire &amp; the Humber]] )</f>
        <v>0</v>
      </c>
      <c r="X61" s="23">
        <f xml:space="preserve"> -- ( SUM( tblFilterRegion[[#This Row],[Incl for Lon]:[Incl for YH]] ) &gt; 0 )</f>
        <v>0</v>
      </c>
      <c r="Y61" s="23">
        <f xml:space="preserve"> -- ( tblFilterRegion[[#This Row],[Total in selected regions]] &gt; $N$10 )</f>
        <v>0</v>
      </c>
      <c r="Z61" s="24">
        <f xml:space="preserve"> IF( RegionMinimum = 0, 1, IF( $R$10 = $U$8, tblFilterRegion[[#This Row],[Include for region - any]], IF( $R$10 = $U$10, tblFilterRegion[[#This Row],[Include for region - total]], "CHECK" ) ) )</f>
        <v>1</v>
      </c>
      <c r="AA61" s="131" t="str" cm="1">
        <f t="array" ref="AA61" xml:space="preserve"> INDEX( VfM_Metrics_2023_Consol_Source[], $D61, AA$14 )</f>
        <v>East of England</v>
      </c>
    </row>
    <row r="62" spans="2:27" x14ac:dyDescent="0.2">
      <c r="B62" s="159" t="s" vm="47">
        <v>239</v>
      </c>
      <c r="C62" s="154" t="str" vm="231">
        <f xml:space="preserve"> INDEX( VfM_Metrics_2023_Consol_Source[RP_Code], MATCH( tblFilterRegion[[#This Row],[RP_Name]], VfM_Metrics_2023_Consol_Source[RP_Name], 0 ) )</f>
        <v>L4140</v>
      </c>
      <c r="D62" s="81">
        <f xml:space="preserve"> MATCH( tblFilterRegion[[#This Row],[RP_Code]], VfM_Metrics_2023_Consol_Source[RP_Code], 0 )</f>
        <v>47</v>
      </c>
      <c r="E62" s="22" cm="1">
        <f t="array" ref="E62" xml:space="preserve"> INDEX( VfM_Metrics_2023_Consol_Source[], $D62, E$14 )</f>
        <v>0</v>
      </c>
      <c r="F62" s="22" cm="1">
        <f t="array" ref="F62" xml:space="preserve"> INDEX( VfM_Metrics_2023_Consol_Source[], $D62, F$14 )</f>
        <v>0</v>
      </c>
      <c r="G62" s="22" cm="1">
        <f t="array" ref="G62" xml:space="preserve"> INDEX( VfM_Metrics_2023_Consol_Source[], $D62, G$14 )</f>
        <v>0</v>
      </c>
      <c r="H62" s="22" cm="1">
        <f t="array" ref="H62" xml:space="preserve"> INDEX( VfM_Metrics_2023_Consol_Source[], $D62, H$14 )</f>
        <v>0</v>
      </c>
      <c r="I62" s="22" cm="1">
        <f t="array" ref="I62" xml:space="preserve"> INDEX( VfM_Metrics_2023_Consol_Source[], $D62, I$14 )</f>
        <v>0</v>
      </c>
      <c r="J62" s="22" cm="1">
        <f t="array" ref="J62" xml:space="preserve"> INDEX( VfM_Metrics_2023_Consol_Source[], $D62, J$14 )</f>
        <v>0</v>
      </c>
      <c r="K62" s="22" cm="1">
        <f t="array" ref="K62" xml:space="preserve"> INDEX( VfM_Metrics_2023_Consol_Source[], $D62, K$14 )</f>
        <v>0</v>
      </c>
      <c r="L62" s="22" cm="1">
        <f t="array" ref="L62" xml:space="preserve"> INDEX( VfM_Metrics_2023_Consol_Source[], $D62, L$14 )</f>
        <v>1</v>
      </c>
      <c r="M62" s="22" cm="1">
        <f t="array" ref="M62" xml:space="preserve"> INDEX( VfM_Metrics_2023_Consol_Source[], $D62, M$14 )</f>
        <v>0</v>
      </c>
      <c r="N62" s="23">
        <f xml:space="preserve"> -- AND( tblFilterRegion[[#This Row],[London]] &gt;= $N$10, N$13 = "Yes" )</f>
        <v>0</v>
      </c>
      <c r="O62" s="23">
        <f xml:space="preserve"> -- AND( tblFilterRegion[[#This Row],[South East]] &gt;= $N$10, O$13 = "Yes" )</f>
        <v>0</v>
      </c>
      <c r="P62" s="23">
        <f xml:space="preserve"> -- AND( tblFilterRegion[[#This Row],[South West]] &gt;= $N$10, P$13 = "Yes" )</f>
        <v>0</v>
      </c>
      <c r="Q62" s="23">
        <f xml:space="preserve"> -- AND( tblFilterRegion[[#This Row],[East Midlands]] &gt;= $N$10, Q$13 = "Yes" )</f>
        <v>0</v>
      </c>
      <c r="R62" s="23">
        <f xml:space="preserve"> -- AND( tblFilterRegion[[#This Row],[West Midlands]] &gt;= $N$10, R$13 = "Yes" )</f>
        <v>0</v>
      </c>
      <c r="S62" s="23">
        <f xml:space="preserve"> -- AND( tblFilterRegion[[#This Row],[East of England]] &gt;= $N$10, S$13 = "Yes" )</f>
        <v>0</v>
      </c>
      <c r="T62" s="23">
        <f xml:space="preserve"> -- AND( tblFilterRegion[[#This Row],[North East]] &gt;= $N$10, T$13 = "Yes" )</f>
        <v>0</v>
      </c>
      <c r="U62" s="23">
        <f xml:space="preserve"> -- AND( tblFilterRegion[[#This Row],[North West]] &gt;= $N$10, U$13 = "Yes" )</f>
        <v>0</v>
      </c>
      <c r="V62" s="23">
        <f xml:space="preserve"> -- AND( tblFilterRegion[[#This Row],[Yorkshire &amp; the Humber]] &gt;= $N$10, V$13 = "Yes" )</f>
        <v>0</v>
      </c>
      <c r="W62" s="22">
        <f xml:space="preserve"> SUMIF( $E$13:$M$13, "Yes", tblFilterRegion[[#This Row],[London]:[Yorkshire &amp; the Humber]] )</f>
        <v>0</v>
      </c>
      <c r="X62" s="23">
        <f xml:space="preserve"> -- ( SUM( tblFilterRegion[[#This Row],[Incl for Lon]:[Incl for YH]] ) &gt; 0 )</f>
        <v>0</v>
      </c>
      <c r="Y62" s="23">
        <f xml:space="preserve"> -- ( tblFilterRegion[[#This Row],[Total in selected regions]] &gt; $N$10 )</f>
        <v>0</v>
      </c>
      <c r="Z62" s="24">
        <f xml:space="preserve"> IF( RegionMinimum = 0, 1, IF( $R$10 = $U$8, tblFilterRegion[[#This Row],[Include for region - any]], IF( $R$10 = $U$10, tblFilterRegion[[#This Row],[Include for region - total]], "CHECK" ) ) )</f>
        <v>1</v>
      </c>
      <c r="AA62" s="131" t="str" cm="1">
        <f t="array" ref="AA62" xml:space="preserve"> INDEX( VfM_Metrics_2023_Consol_Source[], $D62, AA$14 )</f>
        <v>North West</v>
      </c>
    </row>
    <row r="63" spans="2:27" x14ac:dyDescent="0.2">
      <c r="B63" s="159" t="s" vm="48">
        <v>241</v>
      </c>
      <c r="C63" s="154" t="str" vm="237">
        <f xml:space="preserve"> INDEX( VfM_Metrics_2023_Consol_Source[RP_Code], MATCH( tblFilterRegion[[#This Row],[RP_Name]], VfM_Metrics_2023_Consol_Source[RP_Name], 0 ) )</f>
        <v>L4167</v>
      </c>
      <c r="D63" s="81">
        <f xml:space="preserve"> MATCH( tblFilterRegion[[#This Row],[RP_Code]], VfM_Metrics_2023_Consol_Source[RP_Code], 0 )</f>
        <v>48</v>
      </c>
      <c r="E63" s="22" cm="1">
        <f t="array" ref="E63" xml:space="preserve"> INDEX( VfM_Metrics_2023_Consol_Source[], $D63, E$14 )</f>
        <v>0</v>
      </c>
      <c r="F63" s="22" cm="1">
        <f t="array" ref="F63" xml:space="preserve"> INDEX( VfM_Metrics_2023_Consol_Source[], $D63, F$14 )</f>
        <v>0</v>
      </c>
      <c r="G63" s="22" cm="1">
        <f t="array" ref="G63" xml:space="preserve"> INDEX( VfM_Metrics_2023_Consol_Source[], $D63, G$14 )</f>
        <v>0</v>
      </c>
      <c r="H63" s="22" cm="1">
        <f t="array" ref="H63" xml:space="preserve"> INDEX( VfM_Metrics_2023_Consol_Source[], $D63, H$14 )</f>
        <v>0</v>
      </c>
      <c r="I63" s="22" cm="1">
        <f t="array" ref="I63" xml:space="preserve"> INDEX( VfM_Metrics_2023_Consol_Source[], $D63, I$14 )</f>
        <v>1</v>
      </c>
      <c r="J63" s="22" cm="1">
        <f t="array" ref="J63" xml:space="preserve"> INDEX( VfM_Metrics_2023_Consol_Source[], $D63, J$14 )</f>
        <v>0</v>
      </c>
      <c r="K63" s="22" cm="1">
        <f t="array" ref="K63" xml:space="preserve"> INDEX( VfM_Metrics_2023_Consol_Source[], $D63, K$14 )</f>
        <v>0</v>
      </c>
      <c r="L63" s="22" cm="1">
        <f t="array" ref="L63" xml:space="preserve"> INDEX( VfM_Metrics_2023_Consol_Source[], $D63, L$14 )</f>
        <v>0</v>
      </c>
      <c r="M63" s="22" cm="1">
        <f t="array" ref="M63" xml:space="preserve"> INDEX( VfM_Metrics_2023_Consol_Source[], $D63, M$14 )</f>
        <v>0</v>
      </c>
      <c r="N63" s="23">
        <f xml:space="preserve"> -- AND( tblFilterRegion[[#This Row],[London]] &gt;= $N$10, N$13 = "Yes" )</f>
        <v>0</v>
      </c>
      <c r="O63" s="23">
        <f xml:space="preserve"> -- AND( tblFilterRegion[[#This Row],[South East]] &gt;= $N$10, O$13 = "Yes" )</f>
        <v>0</v>
      </c>
      <c r="P63" s="23">
        <f xml:space="preserve"> -- AND( tblFilterRegion[[#This Row],[South West]] &gt;= $N$10, P$13 = "Yes" )</f>
        <v>0</v>
      </c>
      <c r="Q63" s="23">
        <f xml:space="preserve"> -- AND( tblFilterRegion[[#This Row],[East Midlands]] &gt;= $N$10, Q$13 = "Yes" )</f>
        <v>0</v>
      </c>
      <c r="R63" s="23">
        <f xml:space="preserve"> -- AND( tblFilterRegion[[#This Row],[West Midlands]] &gt;= $N$10, R$13 = "Yes" )</f>
        <v>0</v>
      </c>
      <c r="S63" s="23">
        <f xml:space="preserve"> -- AND( tblFilterRegion[[#This Row],[East of England]] &gt;= $N$10, S$13 = "Yes" )</f>
        <v>0</v>
      </c>
      <c r="T63" s="23">
        <f xml:space="preserve"> -- AND( tblFilterRegion[[#This Row],[North East]] &gt;= $N$10, T$13 = "Yes" )</f>
        <v>0</v>
      </c>
      <c r="U63" s="23">
        <f xml:space="preserve"> -- AND( tblFilterRegion[[#This Row],[North West]] &gt;= $N$10, U$13 = "Yes" )</f>
        <v>0</v>
      </c>
      <c r="V63" s="23">
        <f xml:space="preserve"> -- AND( tblFilterRegion[[#This Row],[Yorkshire &amp; the Humber]] &gt;= $N$10, V$13 = "Yes" )</f>
        <v>0</v>
      </c>
      <c r="W63" s="22">
        <f xml:space="preserve"> SUMIF( $E$13:$M$13, "Yes", tblFilterRegion[[#This Row],[London]:[Yorkshire &amp; the Humber]] )</f>
        <v>0</v>
      </c>
      <c r="X63" s="23">
        <f xml:space="preserve"> -- ( SUM( tblFilterRegion[[#This Row],[Incl for Lon]:[Incl for YH]] ) &gt; 0 )</f>
        <v>0</v>
      </c>
      <c r="Y63" s="23">
        <f xml:space="preserve"> -- ( tblFilterRegion[[#This Row],[Total in selected regions]] &gt; $N$10 )</f>
        <v>0</v>
      </c>
      <c r="Z63" s="24">
        <f xml:space="preserve"> IF( RegionMinimum = 0, 1, IF( $R$10 = $U$8, tblFilterRegion[[#This Row],[Include for region - any]], IF( $R$10 = $U$10, tblFilterRegion[[#This Row],[Include for region - total]], "CHECK" ) ) )</f>
        <v>1</v>
      </c>
      <c r="AA63" s="131" t="str" cm="1">
        <f t="array" ref="AA63" xml:space="preserve"> INDEX( VfM_Metrics_2023_Consol_Source[], $D63, AA$14 )</f>
        <v>West Midlands</v>
      </c>
    </row>
    <row r="64" spans="2:27" x14ac:dyDescent="0.2">
      <c r="B64" s="159" t="s" vm="49">
        <v>243</v>
      </c>
      <c r="C64" s="154" t="str" vm="234">
        <f xml:space="preserve"> INDEX( VfM_Metrics_2023_Consol_Source[RP_Code], MATCH( tblFilterRegion[[#This Row],[RP_Name]], VfM_Metrics_2023_Consol_Source[RP_Name], 0 ) )</f>
        <v>L4004</v>
      </c>
      <c r="D64" s="81">
        <f xml:space="preserve"> MATCH( tblFilterRegion[[#This Row],[RP_Code]], VfM_Metrics_2023_Consol_Source[RP_Code], 0 )</f>
        <v>49</v>
      </c>
      <c r="E64" s="22" cm="1">
        <f t="array" ref="E64" xml:space="preserve"> INDEX( VfM_Metrics_2023_Consol_Source[], $D64, E$14 )</f>
        <v>0</v>
      </c>
      <c r="F64" s="22" cm="1">
        <f t="array" ref="F64" xml:space="preserve"> INDEX( VfM_Metrics_2023_Consol_Source[], $D64, F$14 )</f>
        <v>0.68950111690245719</v>
      </c>
      <c r="G64" s="22" cm="1">
        <f t="array" ref="G64" xml:space="preserve"> INDEX( VfM_Metrics_2023_Consol_Source[], $D64, G$14 )</f>
        <v>7.520476545048399E-2</v>
      </c>
      <c r="H64" s="22" cm="1">
        <f t="array" ref="H64" xml:space="preserve"> INDEX( VfM_Metrics_2023_Consol_Source[], $D64, H$14 )</f>
        <v>2.3082650781831721E-2</v>
      </c>
      <c r="I64" s="22" cm="1">
        <f t="array" ref="I64" xml:space="preserve"> INDEX( VfM_Metrics_2023_Consol_Source[], $D64, I$14 )</f>
        <v>0</v>
      </c>
      <c r="J64" s="22" cm="1">
        <f t="array" ref="J64" xml:space="preserve"> INDEX( VfM_Metrics_2023_Consol_Source[], $D64, J$14 )</f>
        <v>0.2092330603127327</v>
      </c>
      <c r="K64" s="22" cm="1">
        <f t="array" ref="K64" xml:space="preserve"> INDEX( VfM_Metrics_2023_Consol_Source[], $D64, K$14 )</f>
        <v>0</v>
      </c>
      <c r="L64" s="22" cm="1">
        <f t="array" ref="L64" xml:space="preserve"> INDEX( VfM_Metrics_2023_Consol_Source[], $D64, L$14 )</f>
        <v>2.9784065524944155E-3</v>
      </c>
      <c r="M64" s="22" cm="1">
        <f t="array" ref="M64" xml:space="preserve"> INDEX( VfM_Metrics_2023_Consol_Source[], $D64, M$14 )</f>
        <v>0</v>
      </c>
      <c r="N64" s="23">
        <f xml:space="preserve"> -- AND( tblFilterRegion[[#This Row],[London]] &gt;= $N$10, N$13 = "Yes" )</f>
        <v>0</v>
      </c>
      <c r="O64" s="23">
        <f xml:space="preserve"> -- AND( tblFilterRegion[[#This Row],[South East]] &gt;= $N$10, O$13 = "Yes" )</f>
        <v>0</v>
      </c>
      <c r="P64" s="23">
        <f xml:space="preserve"> -- AND( tblFilterRegion[[#This Row],[South West]] &gt;= $N$10, P$13 = "Yes" )</f>
        <v>0</v>
      </c>
      <c r="Q64" s="23">
        <f xml:space="preserve"> -- AND( tblFilterRegion[[#This Row],[East Midlands]] &gt;= $N$10, Q$13 = "Yes" )</f>
        <v>0</v>
      </c>
      <c r="R64" s="23">
        <f xml:space="preserve"> -- AND( tblFilterRegion[[#This Row],[West Midlands]] &gt;= $N$10, R$13 = "Yes" )</f>
        <v>0</v>
      </c>
      <c r="S64" s="23">
        <f xml:space="preserve"> -- AND( tblFilterRegion[[#This Row],[East of England]] &gt;= $N$10, S$13 = "Yes" )</f>
        <v>0</v>
      </c>
      <c r="T64" s="23">
        <f xml:space="preserve"> -- AND( tblFilterRegion[[#This Row],[North East]] &gt;= $N$10, T$13 = "Yes" )</f>
        <v>0</v>
      </c>
      <c r="U64" s="23">
        <f xml:space="preserve"> -- AND( tblFilterRegion[[#This Row],[North West]] &gt;= $N$10, U$13 = "Yes" )</f>
        <v>0</v>
      </c>
      <c r="V64" s="23">
        <f xml:space="preserve"> -- AND( tblFilterRegion[[#This Row],[Yorkshire &amp; the Humber]] &gt;= $N$10, V$13 = "Yes" )</f>
        <v>0</v>
      </c>
      <c r="W64" s="22">
        <f xml:space="preserve"> SUMIF( $E$13:$M$13, "Yes", tblFilterRegion[[#This Row],[London]:[Yorkshire &amp; the Humber]] )</f>
        <v>0</v>
      </c>
      <c r="X64" s="23">
        <f xml:space="preserve"> -- ( SUM( tblFilterRegion[[#This Row],[Incl for Lon]:[Incl for YH]] ) &gt; 0 )</f>
        <v>0</v>
      </c>
      <c r="Y64" s="23">
        <f xml:space="preserve"> -- ( tblFilterRegion[[#This Row],[Total in selected regions]] &gt; $N$10 )</f>
        <v>0</v>
      </c>
      <c r="Z64" s="24">
        <f xml:space="preserve"> IF( RegionMinimum = 0, 1, IF( $R$10 = $U$8, tblFilterRegion[[#This Row],[Include for region - any]], IF( $R$10 = $U$10, tblFilterRegion[[#This Row],[Include for region - total]], "CHECK" ) ) )</f>
        <v>1</v>
      </c>
      <c r="AA64" s="131" t="str" cm="1">
        <f t="array" ref="AA64" xml:space="preserve"> INDEX( VfM_Metrics_2023_Consol_Source[], $D64, AA$14 )</f>
        <v>South East</v>
      </c>
    </row>
    <row r="65" spans="2:27" x14ac:dyDescent="0.2">
      <c r="B65" s="159" t="s" vm="50">
        <v>245</v>
      </c>
      <c r="C65" s="154" t="str" vm="316">
        <f xml:space="preserve"> INDEX( VfM_Metrics_2023_Consol_Source[RP_Code], MATCH( tblFilterRegion[[#This Row],[RP_Name]], VfM_Metrics_2023_Consol_Source[RP_Name], 0 ) )</f>
        <v>L3535</v>
      </c>
      <c r="D65" s="81">
        <f xml:space="preserve"> MATCH( tblFilterRegion[[#This Row],[RP_Code]], VfM_Metrics_2023_Consol_Source[RP_Code], 0 )</f>
        <v>50</v>
      </c>
      <c r="E65" s="22" cm="1">
        <f t="array" ref="E65" xml:space="preserve"> INDEX( VfM_Metrics_2023_Consol_Source[], $D65, E$14 )</f>
        <v>0.18227964928472543</v>
      </c>
      <c r="F65" s="22" cm="1">
        <f t="array" ref="F65" xml:space="preserve"> INDEX( VfM_Metrics_2023_Consol_Source[], $D65, F$14 )</f>
        <v>0</v>
      </c>
      <c r="G65" s="22" cm="1">
        <f t="array" ref="G65" xml:space="preserve"> INDEX( VfM_Metrics_2023_Consol_Source[], $D65, G$14 )</f>
        <v>0</v>
      </c>
      <c r="H65" s="22" cm="1">
        <f t="array" ref="H65" xml:space="preserve"> INDEX( VfM_Metrics_2023_Consol_Source[], $D65, H$14 )</f>
        <v>0</v>
      </c>
      <c r="I65" s="22" cm="1">
        <f t="array" ref="I65" xml:space="preserve"> INDEX( VfM_Metrics_2023_Consol_Source[], $D65, I$14 )</f>
        <v>0</v>
      </c>
      <c r="J65" s="22" cm="1">
        <f t="array" ref="J65" xml:space="preserve"> INDEX( VfM_Metrics_2023_Consol_Source[], $D65, J$14 )</f>
        <v>0.8177203507152746</v>
      </c>
      <c r="K65" s="22" cm="1">
        <f t="array" ref="K65" xml:space="preserve"> INDEX( VfM_Metrics_2023_Consol_Source[], $D65, K$14 )</f>
        <v>0</v>
      </c>
      <c r="L65" s="22" cm="1">
        <f t="array" ref="L65" xml:space="preserve"> INDEX( VfM_Metrics_2023_Consol_Source[], $D65, L$14 )</f>
        <v>0</v>
      </c>
      <c r="M65" s="22" cm="1">
        <f t="array" ref="M65" xml:space="preserve"> INDEX( VfM_Metrics_2023_Consol_Source[], $D65, M$14 )</f>
        <v>0</v>
      </c>
      <c r="N65" s="23">
        <f xml:space="preserve"> -- AND( tblFilterRegion[[#This Row],[London]] &gt;= $N$10, N$13 = "Yes" )</f>
        <v>0</v>
      </c>
      <c r="O65" s="23">
        <f xml:space="preserve"> -- AND( tblFilterRegion[[#This Row],[South East]] &gt;= $N$10, O$13 = "Yes" )</f>
        <v>0</v>
      </c>
      <c r="P65" s="23">
        <f xml:space="preserve"> -- AND( tblFilterRegion[[#This Row],[South West]] &gt;= $N$10, P$13 = "Yes" )</f>
        <v>0</v>
      </c>
      <c r="Q65" s="23">
        <f xml:space="preserve"> -- AND( tblFilterRegion[[#This Row],[East Midlands]] &gt;= $N$10, Q$13 = "Yes" )</f>
        <v>0</v>
      </c>
      <c r="R65" s="23">
        <f xml:space="preserve"> -- AND( tblFilterRegion[[#This Row],[West Midlands]] &gt;= $N$10, R$13 = "Yes" )</f>
        <v>0</v>
      </c>
      <c r="S65" s="23">
        <f xml:space="preserve"> -- AND( tblFilterRegion[[#This Row],[East of England]] &gt;= $N$10, S$13 = "Yes" )</f>
        <v>0</v>
      </c>
      <c r="T65" s="23">
        <f xml:space="preserve"> -- AND( tblFilterRegion[[#This Row],[North East]] &gt;= $N$10, T$13 = "Yes" )</f>
        <v>0</v>
      </c>
      <c r="U65" s="23">
        <f xml:space="preserve"> -- AND( tblFilterRegion[[#This Row],[North West]] &gt;= $N$10, U$13 = "Yes" )</f>
        <v>0</v>
      </c>
      <c r="V65" s="23">
        <f xml:space="preserve"> -- AND( tblFilterRegion[[#This Row],[Yorkshire &amp; the Humber]] &gt;= $N$10, V$13 = "Yes" )</f>
        <v>0</v>
      </c>
      <c r="W65" s="22">
        <f xml:space="preserve"> SUMIF( $E$13:$M$13, "Yes", tblFilterRegion[[#This Row],[London]:[Yorkshire &amp; the Humber]] )</f>
        <v>0</v>
      </c>
      <c r="X65" s="23">
        <f xml:space="preserve"> -- ( SUM( tblFilterRegion[[#This Row],[Incl for Lon]:[Incl for YH]] ) &gt; 0 )</f>
        <v>0</v>
      </c>
      <c r="Y65" s="23">
        <f xml:space="preserve"> -- ( tblFilterRegion[[#This Row],[Total in selected regions]] &gt; $N$10 )</f>
        <v>0</v>
      </c>
      <c r="Z65" s="24">
        <f xml:space="preserve"> IF( RegionMinimum = 0, 1, IF( $R$10 = $U$8, tblFilterRegion[[#This Row],[Include for region - any]], IF( $R$10 = $U$10, tblFilterRegion[[#This Row],[Include for region - total]], "CHECK" ) ) )</f>
        <v>1</v>
      </c>
      <c r="AA65" s="131" t="str" cm="1">
        <f t="array" ref="AA65" xml:space="preserve"> INDEX( VfM_Metrics_2023_Consol_Source[], $D65, AA$14 )</f>
        <v>East of England</v>
      </c>
    </row>
    <row r="66" spans="2:27" x14ac:dyDescent="0.2">
      <c r="B66" s="159" t="s" vm="51">
        <v>247</v>
      </c>
      <c r="C66" s="154" t="str" vm="355">
        <f xml:space="preserve"> INDEX( VfM_Metrics_2023_Consol_Source[RP_Code], MATCH( tblFilterRegion[[#This Row],[RP_Name]], VfM_Metrics_2023_Consol_Source[RP_Name], 0 ) )</f>
        <v>L4473</v>
      </c>
      <c r="D66" s="81">
        <f xml:space="preserve"> MATCH( tblFilterRegion[[#This Row],[RP_Code]], VfM_Metrics_2023_Consol_Source[RP_Code], 0 )</f>
        <v>51</v>
      </c>
      <c r="E66" s="22" cm="1">
        <f t="array" ref="E66" xml:space="preserve"> INDEX( VfM_Metrics_2023_Consol_Source[], $D66, E$14 )</f>
        <v>0</v>
      </c>
      <c r="F66" s="22" cm="1">
        <f t="array" ref="F66" xml:space="preserve"> INDEX( VfM_Metrics_2023_Consol_Source[], $D66, F$14 )</f>
        <v>0.99311069593647827</v>
      </c>
      <c r="G66" s="22" cm="1">
        <f t="array" ref="G66" xml:space="preserve"> INDEX( VfM_Metrics_2023_Consol_Source[], $D66, G$14 )</f>
        <v>0</v>
      </c>
      <c r="H66" s="22" cm="1">
        <f t="array" ref="H66" xml:space="preserve"> INDEX( VfM_Metrics_2023_Consol_Source[], $D66, H$14 )</f>
        <v>6.3054647361046236E-3</v>
      </c>
      <c r="I66" s="22" cm="1">
        <f t="array" ref="I66" xml:space="preserve"> INDEX( VfM_Metrics_2023_Consol_Source[], $D66, I$14 )</f>
        <v>0</v>
      </c>
      <c r="J66" s="22" cm="1">
        <f t="array" ref="J66" xml:space="preserve"> INDEX( VfM_Metrics_2023_Consol_Source[], $D66, J$14 )</f>
        <v>5.838393274170948E-4</v>
      </c>
      <c r="K66" s="22" cm="1">
        <f t="array" ref="K66" xml:space="preserve"> INDEX( VfM_Metrics_2023_Consol_Source[], $D66, K$14 )</f>
        <v>0</v>
      </c>
      <c r="L66" s="22" cm="1">
        <f t="array" ref="L66" xml:space="preserve"> INDEX( VfM_Metrics_2023_Consol_Source[], $D66, L$14 )</f>
        <v>0</v>
      </c>
      <c r="M66" s="22" cm="1">
        <f t="array" ref="M66" xml:space="preserve"> INDEX( VfM_Metrics_2023_Consol_Source[], $D66, M$14 )</f>
        <v>0</v>
      </c>
      <c r="N66" s="23">
        <f xml:space="preserve"> -- AND( tblFilterRegion[[#This Row],[London]] &gt;= $N$10, N$13 = "Yes" )</f>
        <v>0</v>
      </c>
      <c r="O66" s="23">
        <f xml:space="preserve"> -- AND( tblFilterRegion[[#This Row],[South East]] &gt;= $N$10, O$13 = "Yes" )</f>
        <v>0</v>
      </c>
      <c r="P66" s="23">
        <f xml:space="preserve"> -- AND( tblFilterRegion[[#This Row],[South West]] &gt;= $N$10, P$13 = "Yes" )</f>
        <v>0</v>
      </c>
      <c r="Q66" s="23">
        <f xml:space="preserve"> -- AND( tblFilterRegion[[#This Row],[East Midlands]] &gt;= $N$10, Q$13 = "Yes" )</f>
        <v>0</v>
      </c>
      <c r="R66" s="23">
        <f xml:space="preserve"> -- AND( tblFilterRegion[[#This Row],[West Midlands]] &gt;= $N$10, R$13 = "Yes" )</f>
        <v>0</v>
      </c>
      <c r="S66" s="23">
        <f xml:space="preserve"> -- AND( tblFilterRegion[[#This Row],[East of England]] &gt;= $N$10, S$13 = "Yes" )</f>
        <v>0</v>
      </c>
      <c r="T66" s="23">
        <f xml:space="preserve"> -- AND( tblFilterRegion[[#This Row],[North East]] &gt;= $N$10, T$13 = "Yes" )</f>
        <v>0</v>
      </c>
      <c r="U66" s="23">
        <f xml:space="preserve"> -- AND( tblFilterRegion[[#This Row],[North West]] &gt;= $N$10, U$13 = "Yes" )</f>
        <v>0</v>
      </c>
      <c r="V66" s="23">
        <f xml:space="preserve"> -- AND( tblFilterRegion[[#This Row],[Yorkshire &amp; the Humber]] &gt;= $N$10, V$13 = "Yes" )</f>
        <v>0</v>
      </c>
      <c r="W66" s="22">
        <f xml:space="preserve"> SUMIF( $E$13:$M$13, "Yes", tblFilterRegion[[#This Row],[London]:[Yorkshire &amp; the Humber]] )</f>
        <v>0</v>
      </c>
      <c r="X66" s="23">
        <f xml:space="preserve"> -- ( SUM( tblFilterRegion[[#This Row],[Incl for Lon]:[Incl for YH]] ) &gt; 0 )</f>
        <v>0</v>
      </c>
      <c r="Y66" s="23">
        <f xml:space="preserve"> -- ( tblFilterRegion[[#This Row],[Total in selected regions]] &gt; $N$10 )</f>
        <v>0</v>
      </c>
      <c r="Z66" s="24">
        <f xml:space="preserve"> IF( RegionMinimum = 0, 1, IF( $R$10 = $U$8, tblFilterRegion[[#This Row],[Include for region - any]], IF( $R$10 = $U$10, tblFilterRegion[[#This Row],[Include for region - total]], "CHECK" ) ) )</f>
        <v>1</v>
      </c>
      <c r="AA66" s="131" t="str" cm="1">
        <f t="array" ref="AA66" xml:space="preserve"> INDEX( VfM_Metrics_2023_Consol_Source[], $D66, AA$14 )</f>
        <v>South East</v>
      </c>
    </row>
    <row r="67" spans="2:27" x14ac:dyDescent="0.2">
      <c r="B67" s="159" t="s" vm="52">
        <v>249</v>
      </c>
      <c r="C67" s="154" t="str" vm="289">
        <f xml:space="preserve"> INDEX( VfM_Metrics_2023_Consol_Source[RP_Code], MATCH( tblFilterRegion[[#This Row],[RP_Name]], VfM_Metrics_2023_Consol_Source[RP_Name], 0 ) )</f>
        <v>4582</v>
      </c>
      <c r="D67" s="81">
        <f xml:space="preserve"> MATCH( tblFilterRegion[[#This Row],[RP_Code]], VfM_Metrics_2023_Consol_Source[RP_Code], 0 )</f>
        <v>52</v>
      </c>
      <c r="E67" s="22" cm="1">
        <f t="array" ref="E67" xml:space="preserve"> INDEX( VfM_Metrics_2023_Consol_Source[], $D67, E$14 )</f>
        <v>0</v>
      </c>
      <c r="F67" s="22" cm="1">
        <f t="array" ref="F67" xml:space="preserve"> INDEX( VfM_Metrics_2023_Consol_Source[], $D67, F$14 )</f>
        <v>0</v>
      </c>
      <c r="G67" s="22" cm="1">
        <f t="array" ref="G67" xml:space="preserve"> INDEX( VfM_Metrics_2023_Consol_Source[], $D67, G$14 )</f>
        <v>0</v>
      </c>
      <c r="H67" s="22" cm="1">
        <f t="array" ref="H67" xml:space="preserve"> INDEX( VfM_Metrics_2023_Consol_Source[], $D67, H$14 )</f>
        <v>0</v>
      </c>
      <c r="I67" s="22" cm="1">
        <f t="array" ref="I67" xml:space="preserve"> INDEX( VfM_Metrics_2023_Consol_Source[], $D67, I$14 )</f>
        <v>0</v>
      </c>
      <c r="J67" s="22" cm="1">
        <f t="array" ref="J67" xml:space="preserve"> INDEX( VfM_Metrics_2023_Consol_Source[], $D67, J$14 )</f>
        <v>0</v>
      </c>
      <c r="K67" s="22" cm="1">
        <f t="array" ref="K67" xml:space="preserve"> INDEX( VfM_Metrics_2023_Consol_Source[], $D67, K$14 )</f>
        <v>0</v>
      </c>
      <c r="L67" s="22" cm="1">
        <f t="array" ref="L67" xml:space="preserve"> INDEX( VfM_Metrics_2023_Consol_Source[], $D67, L$14 )</f>
        <v>1</v>
      </c>
      <c r="M67" s="22" cm="1">
        <f t="array" ref="M67" xml:space="preserve"> INDEX( VfM_Metrics_2023_Consol_Source[], $D67, M$14 )</f>
        <v>0</v>
      </c>
      <c r="N67" s="23">
        <f xml:space="preserve"> -- AND( tblFilterRegion[[#This Row],[London]] &gt;= $N$10, N$13 = "Yes" )</f>
        <v>0</v>
      </c>
      <c r="O67" s="23">
        <f xml:space="preserve"> -- AND( tblFilterRegion[[#This Row],[South East]] &gt;= $N$10, O$13 = "Yes" )</f>
        <v>0</v>
      </c>
      <c r="P67" s="23">
        <f xml:space="preserve"> -- AND( tblFilterRegion[[#This Row],[South West]] &gt;= $N$10, P$13 = "Yes" )</f>
        <v>0</v>
      </c>
      <c r="Q67" s="23">
        <f xml:space="preserve"> -- AND( tblFilterRegion[[#This Row],[East Midlands]] &gt;= $N$10, Q$13 = "Yes" )</f>
        <v>0</v>
      </c>
      <c r="R67" s="23">
        <f xml:space="preserve"> -- AND( tblFilterRegion[[#This Row],[West Midlands]] &gt;= $N$10, R$13 = "Yes" )</f>
        <v>0</v>
      </c>
      <c r="S67" s="23">
        <f xml:space="preserve"> -- AND( tblFilterRegion[[#This Row],[East of England]] &gt;= $N$10, S$13 = "Yes" )</f>
        <v>0</v>
      </c>
      <c r="T67" s="23">
        <f xml:space="preserve"> -- AND( tblFilterRegion[[#This Row],[North East]] &gt;= $N$10, T$13 = "Yes" )</f>
        <v>0</v>
      </c>
      <c r="U67" s="23">
        <f xml:space="preserve"> -- AND( tblFilterRegion[[#This Row],[North West]] &gt;= $N$10, U$13 = "Yes" )</f>
        <v>0</v>
      </c>
      <c r="V67" s="23">
        <f xml:space="preserve"> -- AND( tblFilterRegion[[#This Row],[Yorkshire &amp; the Humber]] &gt;= $N$10, V$13 = "Yes" )</f>
        <v>0</v>
      </c>
      <c r="W67" s="22">
        <f xml:space="preserve"> SUMIF( $E$13:$M$13, "Yes", tblFilterRegion[[#This Row],[London]:[Yorkshire &amp; the Humber]] )</f>
        <v>0</v>
      </c>
      <c r="X67" s="23">
        <f xml:space="preserve"> -- ( SUM( tblFilterRegion[[#This Row],[Incl for Lon]:[Incl for YH]] ) &gt; 0 )</f>
        <v>0</v>
      </c>
      <c r="Y67" s="23">
        <f xml:space="preserve"> -- ( tblFilterRegion[[#This Row],[Total in selected regions]] &gt; $N$10 )</f>
        <v>0</v>
      </c>
      <c r="Z67" s="24">
        <f xml:space="preserve"> IF( RegionMinimum = 0, 1, IF( $R$10 = $U$8, tblFilterRegion[[#This Row],[Include for region - any]], IF( $R$10 = $U$10, tblFilterRegion[[#This Row],[Include for region - total]], "CHECK" ) ) )</f>
        <v>1</v>
      </c>
      <c r="AA67" s="131" t="str" cm="1">
        <f t="array" ref="AA67" xml:space="preserve"> INDEX( VfM_Metrics_2023_Consol_Source[], $D67, AA$14 )</f>
        <v>North West</v>
      </c>
    </row>
    <row r="68" spans="2:27" x14ac:dyDescent="0.2">
      <c r="B68" s="159" t="s" vm="53">
        <v>251</v>
      </c>
      <c r="C68" s="154" t="str" vm="224">
        <f xml:space="preserve"> INDEX( VfM_Metrics_2023_Consol_Source[RP_Code], MATCH( tblFilterRegion[[#This Row],[RP_Name]], VfM_Metrics_2023_Consol_Source[RP_Name], 0 ) )</f>
        <v>5090</v>
      </c>
      <c r="D68" s="81">
        <f xml:space="preserve"> MATCH( tblFilterRegion[[#This Row],[RP_Code]], VfM_Metrics_2023_Consol_Source[RP_Code], 0 )</f>
        <v>53</v>
      </c>
      <c r="E68" s="22" cm="1">
        <f t="array" ref="E68" xml:space="preserve"> INDEX( VfM_Metrics_2023_Consol_Source[], $D68, E$14 )</f>
        <v>0</v>
      </c>
      <c r="F68" s="22" cm="1">
        <f t="array" ref="F68" xml:space="preserve"> INDEX( VfM_Metrics_2023_Consol_Source[], $D68, F$14 )</f>
        <v>0</v>
      </c>
      <c r="G68" s="22" cm="1">
        <f t="array" ref="G68" xml:space="preserve"> INDEX( VfM_Metrics_2023_Consol_Source[], $D68, G$14 )</f>
        <v>0</v>
      </c>
      <c r="H68" s="22" cm="1">
        <f t="array" ref="H68" xml:space="preserve"> INDEX( VfM_Metrics_2023_Consol_Source[], $D68, H$14 )</f>
        <v>0</v>
      </c>
      <c r="I68" s="22" cm="1">
        <f t="array" ref="I68" xml:space="preserve"> INDEX( VfM_Metrics_2023_Consol_Source[], $D68, I$14 )</f>
        <v>0</v>
      </c>
      <c r="J68" s="22" cm="1">
        <f t="array" ref="J68" xml:space="preserve"> INDEX( VfM_Metrics_2023_Consol_Source[], $D68, J$14 )</f>
        <v>1</v>
      </c>
      <c r="K68" s="22" cm="1">
        <f t="array" ref="K68" xml:space="preserve"> INDEX( VfM_Metrics_2023_Consol_Source[], $D68, K$14 )</f>
        <v>0</v>
      </c>
      <c r="L68" s="22" cm="1">
        <f t="array" ref="L68" xml:space="preserve"> INDEX( VfM_Metrics_2023_Consol_Source[], $D68, L$14 )</f>
        <v>0</v>
      </c>
      <c r="M68" s="22" cm="1">
        <f t="array" ref="M68" xml:space="preserve"> INDEX( VfM_Metrics_2023_Consol_Source[], $D68, M$14 )</f>
        <v>0</v>
      </c>
      <c r="N68" s="23">
        <f xml:space="preserve"> -- AND( tblFilterRegion[[#This Row],[London]] &gt;= $N$10, N$13 = "Yes" )</f>
        <v>0</v>
      </c>
      <c r="O68" s="23">
        <f xml:space="preserve"> -- AND( tblFilterRegion[[#This Row],[South East]] &gt;= $N$10, O$13 = "Yes" )</f>
        <v>0</v>
      </c>
      <c r="P68" s="23">
        <f xml:space="preserve"> -- AND( tblFilterRegion[[#This Row],[South West]] &gt;= $N$10, P$13 = "Yes" )</f>
        <v>0</v>
      </c>
      <c r="Q68" s="23">
        <f xml:space="preserve"> -- AND( tblFilterRegion[[#This Row],[East Midlands]] &gt;= $N$10, Q$13 = "Yes" )</f>
        <v>0</v>
      </c>
      <c r="R68" s="23">
        <f xml:space="preserve"> -- AND( tblFilterRegion[[#This Row],[West Midlands]] &gt;= $N$10, R$13 = "Yes" )</f>
        <v>0</v>
      </c>
      <c r="S68" s="23">
        <f xml:space="preserve"> -- AND( tblFilterRegion[[#This Row],[East of England]] &gt;= $N$10, S$13 = "Yes" )</f>
        <v>0</v>
      </c>
      <c r="T68" s="23">
        <f xml:space="preserve"> -- AND( tblFilterRegion[[#This Row],[North East]] &gt;= $N$10, T$13 = "Yes" )</f>
        <v>0</v>
      </c>
      <c r="U68" s="23">
        <f xml:space="preserve"> -- AND( tblFilterRegion[[#This Row],[North West]] &gt;= $N$10, U$13 = "Yes" )</f>
        <v>0</v>
      </c>
      <c r="V68" s="23">
        <f xml:space="preserve"> -- AND( tblFilterRegion[[#This Row],[Yorkshire &amp; the Humber]] &gt;= $N$10, V$13 = "Yes" )</f>
        <v>0</v>
      </c>
      <c r="W68" s="22">
        <f xml:space="preserve"> SUMIF( $E$13:$M$13, "Yes", tblFilterRegion[[#This Row],[London]:[Yorkshire &amp; the Humber]] )</f>
        <v>0</v>
      </c>
      <c r="X68" s="23">
        <f xml:space="preserve"> -- ( SUM( tblFilterRegion[[#This Row],[Incl for Lon]:[Incl for YH]] ) &gt; 0 )</f>
        <v>0</v>
      </c>
      <c r="Y68" s="23">
        <f xml:space="preserve"> -- ( tblFilterRegion[[#This Row],[Total in selected regions]] &gt; $N$10 )</f>
        <v>0</v>
      </c>
      <c r="Z68" s="24">
        <f xml:space="preserve"> IF( RegionMinimum = 0, 1, IF( $R$10 = $U$8, tblFilterRegion[[#This Row],[Include for region - any]], IF( $R$10 = $U$10, tblFilterRegion[[#This Row],[Include for region - total]], "CHECK" ) ) )</f>
        <v>1</v>
      </c>
      <c r="AA68" s="131" t="str" cm="1">
        <f t="array" ref="AA68" xml:space="preserve"> INDEX( VfM_Metrics_2023_Consol_Source[], $D68, AA$14 )</f>
        <v>East of England</v>
      </c>
    </row>
    <row r="69" spans="2:27" x14ac:dyDescent="0.2">
      <c r="B69" s="159" t="s" vm="54">
        <v>253</v>
      </c>
      <c r="C69" s="154" t="str" vm="255">
        <f xml:space="preserve"> INDEX( VfM_Metrics_2023_Consol_Source[RP_Code], MATCH( tblFilterRegion[[#This Row],[RP_Name]], VfM_Metrics_2023_Consol_Source[RP_Name], 0 ) )</f>
        <v>4651</v>
      </c>
      <c r="D69" s="81">
        <f xml:space="preserve"> MATCH( tblFilterRegion[[#This Row],[RP_Code]], VfM_Metrics_2023_Consol_Source[RP_Code], 0 )</f>
        <v>54</v>
      </c>
      <c r="E69" s="22" cm="1">
        <f t="array" ref="E69" xml:space="preserve"> INDEX( VfM_Metrics_2023_Consol_Source[], $D69, E$14 )</f>
        <v>0</v>
      </c>
      <c r="F69" s="22" cm="1">
        <f t="array" ref="F69" xml:space="preserve"> INDEX( VfM_Metrics_2023_Consol_Source[], $D69, F$14 )</f>
        <v>0</v>
      </c>
      <c r="G69" s="22" cm="1">
        <f t="array" ref="G69" xml:space="preserve"> INDEX( VfM_Metrics_2023_Consol_Source[], $D69, G$14 )</f>
        <v>0</v>
      </c>
      <c r="H69" s="22" cm="1">
        <f t="array" ref="H69" xml:space="preserve"> INDEX( VfM_Metrics_2023_Consol_Source[], $D69, H$14 )</f>
        <v>0</v>
      </c>
      <c r="I69" s="22" cm="1">
        <f t="array" ref="I69" xml:space="preserve"> INDEX( VfM_Metrics_2023_Consol_Source[], $D69, I$14 )</f>
        <v>0</v>
      </c>
      <c r="J69" s="22" cm="1">
        <f t="array" ref="J69" xml:space="preserve"> INDEX( VfM_Metrics_2023_Consol_Source[], $D69, J$14 )</f>
        <v>1</v>
      </c>
      <c r="K69" s="22" cm="1">
        <f t="array" ref="K69" xml:space="preserve"> INDEX( VfM_Metrics_2023_Consol_Source[], $D69, K$14 )</f>
        <v>0</v>
      </c>
      <c r="L69" s="22" cm="1">
        <f t="array" ref="L69" xml:space="preserve"> INDEX( VfM_Metrics_2023_Consol_Source[], $D69, L$14 )</f>
        <v>0</v>
      </c>
      <c r="M69" s="22" cm="1">
        <f t="array" ref="M69" xml:space="preserve"> INDEX( VfM_Metrics_2023_Consol_Source[], $D69, M$14 )</f>
        <v>0</v>
      </c>
      <c r="N69" s="23">
        <f xml:space="preserve"> -- AND( tblFilterRegion[[#This Row],[London]] &gt;= $N$10, N$13 = "Yes" )</f>
        <v>0</v>
      </c>
      <c r="O69" s="23">
        <f xml:space="preserve"> -- AND( tblFilterRegion[[#This Row],[South East]] &gt;= $N$10, O$13 = "Yes" )</f>
        <v>0</v>
      </c>
      <c r="P69" s="23">
        <f xml:space="preserve"> -- AND( tblFilterRegion[[#This Row],[South West]] &gt;= $N$10, P$13 = "Yes" )</f>
        <v>0</v>
      </c>
      <c r="Q69" s="23">
        <f xml:space="preserve"> -- AND( tblFilterRegion[[#This Row],[East Midlands]] &gt;= $N$10, Q$13 = "Yes" )</f>
        <v>0</v>
      </c>
      <c r="R69" s="23">
        <f xml:space="preserve"> -- AND( tblFilterRegion[[#This Row],[West Midlands]] &gt;= $N$10, R$13 = "Yes" )</f>
        <v>0</v>
      </c>
      <c r="S69" s="23">
        <f xml:space="preserve"> -- AND( tblFilterRegion[[#This Row],[East of England]] &gt;= $N$10, S$13 = "Yes" )</f>
        <v>0</v>
      </c>
      <c r="T69" s="23">
        <f xml:space="preserve"> -- AND( tblFilterRegion[[#This Row],[North East]] &gt;= $N$10, T$13 = "Yes" )</f>
        <v>0</v>
      </c>
      <c r="U69" s="23">
        <f xml:space="preserve"> -- AND( tblFilterRegion[[#This Row],[North West]] &gt;= $N$10, U$13 = "Yes" )</f>
        <v>0</v>
      </c>
      <c r="V69" s="23">
        <f xml:space="preserve"> -- AND( tblFilterRegion[[#This Row],[Yorkshire &amp; the Humber]] &gt;= $N$10, V$13 = "Yes" )</f>
        <v>0</v>
      </c>
      <c r="W69" s="22">
        <f xml:space="preserve"> SUMIF( $E$13:$M$13, "Yes", tblFilterRegion[[#This Row],[London]:[Yorkshire &amp; the Humber]] )</f>
        <v>0</v>
      </c>
      <c r="X69" s="23">
        <f xml:space="preserve"> -- ( SUM( tblFilterRegion[[#This Row],[Incl for Lon]:[Incl for YH]] ) &gt; 0 )</f>
        <v>0</v>
      </c>
      <c r="Y69" s="23">
        <f xml:space="preserve"> -- ( tblFilterRegion[[#This Row],[Total in selected regions]] &gt; $N$10 )</f>
        <v>0</v>
      </c>
      <c r="Z69" s="24">
        <f xml:space="preserve"> IF( RegionMinimum = 0, 1, IF( $R$10 = $U$8, tblFilterRegion[[#This Row],[Include for region - any]], IF( $R$10 = $U$10, tblFilterRegion[[#This Row],[Include for region - total]], "CHECK" ) ) )</f>
        <v>1</v>
      </c>
      <c r="AA69" s="131" t="str" cm="1">
        <f t="array" ref="AA69" xml:space="preserve"> INDEX( VfM_Metrics_2023_Consol_Source[], $D69, AA$14 )</f>
        <v>East of England</v>
      </c>
    </row>
    <row r="70" spans="2:27" x14ac:dyDescent="0.2">
      <c r="B70" s="159" t="s" vm="55">
        <v>255</v>
      </c>
      <c r="C70" s="154" t="str" vm="296">
        <f xml:space="preserve"> INDEX( VfM_Metrics_2023_Consol_Source[RP_Code], MATCH( tblFilterRegion[[#This Row],[RP_Name]], VfM_Metrics_2023_Consol_Source[RP_Name], 0 ) )</f>
        <v>L4528</v>
      </c>
      <c r="D70" s="81">
        <f xml:space="preserve"> MATCH( tblFilterRegion[[#This Row],[RP_Code]], VfM_Metrics_2023_Consol_Source[RP_Code], 0 )</f>
        <v>55</v>
      </c>
      <c r="E70" s="22" cm="1">
        <f t="array" ref="E70" xml:space="preserve"> INDEX( VfM_Metrics_2023_Consol_Source[], $D70, E$14 )</f>
        <v>0</v>
      </c>
      <c r="F70" s="22" cm="1">
        <f t="array" ref="F70" xml:space="preserve"> INDEX( VfM_Metrics_2023_Consol_Source[], $D70, F$14 )</f>
        <v>0</v>
      </c>
      <c r="G70" s="22" cm="1">
        <f t="array" ref="G70" xml:space="preserve"> INDEX( VfM_Metrics_2023_Consol_Source[], $D70, G$14 )</f>
        <v>0</v>
      </c>
      <c r="H70" s="22" cm="1">
        <f t="array" ref="H70" xml:space="preserve"> INDEX( VfM_Metrics_2023_Consol_Source[], $D70, H$14 )</f>
        <v>0</v>
      </c>
      <c r="I70" s="22" cm="1">
        <f t="array" ref="I70" xml:space="preserve"> INDEX( VfM_Metrics_2023_Consol_Source[], $D70, I$14 )</f>
        <v>0</v>
      </c>
      <c r="J70" s="22" cm="1">
        <f t="array" ref="J70" xml:space="preserve"> INDEX( VfM_Metrics_2023_Consol_Source[], $D70, J$14 )</f>
        <v>0</v>
      </c>
      <c r="K70" s="22" cm="1">
        <f t="array" ref="K70" xml:space="preserve"> INDEX( VfM_Metrics_2023_Consol_Source[], $D70, K$14 )</f>
        <v>0</v>
      </c>
      <c r="L70" s="22" cm="1">
        <f t="array" ref="L70" xml:space="preserve"> INDEX( VfM_Metrics_2023_Consol_Source[], $D70, L$14 )</f>
        <v>1</v>
      </c>
      <c r="M70" s="22" cm="1">
        <f t="array" ref="M70" xml:space="preserve"> INDEX( VfM_Metrics_2023_Consol_Source[], $D70, M$14 )</f>
        <v>0</v>
      </c>
      <c r="N70" s="23">
        <f xml:space="preserve"> -- AND( tblFilterRegion[[#This Row],[London]] &gt;= $N$10, N$13 = "Yes" )</f>
        <v>0</v>
      </c>
      <c r="O70" s="23">
        <f xml:space="preserve"> -- AND( tblFilterRegion[[#This Row],[South East]] &gt;= $N$10, O$13 = "Yes" )</f>
        <v>0</v>
      </c>
      <c r="P70" s="23">
        <f xml:space="preserve"> -- AND( tblFilterRegion[[#This Row],[South West]] &gt;= $N$10, P$13 = "Yes" )</f>
        <v>0</v>
      </c>
      <c r="Q70" s="23">
        <f xml:space="preserve"> -- AND( tblFilterRegion[[#This Row],[East Midlands]] &gt;= $N$10, Q$13 = "Yes" )</f>
        <v>0</v>
      </c>
      <c r="R70" s="23">
        <f xml:space="preserve"> -- AND( tblFilterRegion[[#This Row],[West Midlands]] &gt;= $N$10, R$13 = "Yes" )</f>
        <v>0</v>
      </c>
      <c r="S70" s="23">
        <f xml:space="preserve"> -- AND( tblFilterRegion[[#This Row],[East of England]] &gt;= $N$10, S$13 = "Yes" )</f>
        <v>0</v>
      </c>
      <c r="T70" s="23">
        <f xml:space="preserve"> -- AND( tblFilterRegion[[#This Row],[North East]] &gt;= $N$10, T$13 = "Yes" )</f>
        <v>0</v>
      </c>
      <c r="U70" s="23">
        <f xml:space="preserve"> -- AND( tblFilterRegion[[#This Row],[North West]] &gt;= $N$10, U$13 = "Yes" )</f>
        <v>0</v>
      </c>
      <c r="V70" s="23">
        <f xml:space="preserve"> -- AND( tblFilterRegion[[#This Row],[Yorkshire &amp; the Humber]] &gt;= $N$10, V$13 = "Yes" )</f>
        <v>0</v>
      </c>
      <c r="W70" s="22">
        <f xml:space="preserve"> SUMIF( $E$13:$M$13, "Yes", tblFilterRegion[[#This Row],[London]:[Yorkshire &amp; the Humber]] )</f>
        <v>0</v>
      </c>
      <c r="X70" s="23">
        <f xml:space="preserve"> -- ( SUM( tblFilterRegion[[#This Row],[Incl for Lon]:[Incl for YH]] ) &gt; 0 )</f>
        <v>0</v>
      </c>
      <c r="Y70" s="23">
        <f xml:space="preserve"> -- ( tblFilterRegion[[#This Row],[Total in selected regions]] &gt; $N$10 )</f>
        <v>0</v>
      </c>
      <c r="Z70" s="24">
        <f xml:space="preserve"> IF( RegionMinimum = 0, 1, IF( $R$10 = $U$8, tblFilterRegion[[#This Row],[Include for region - any]], IF( $R$10 = $U$10, tblFilterRegion[[#This Row],[Include for region - total]], "CHECK" ) ) )</f>
        <v>1</v>
      </c>
      <c r="AA70" s="131" t="str" cm="1">
        <f t="array" ref="AA70" xml:space="preserve"> INDEX( VfM_Metrics_2023_Consol_Source[], $D70, AA$14 )</f>
        <v>North West</v>
      </c>
    </row>
    <row r="71" spans="2:27" x14ac:dyDescent="0.2">
      <c r="B71" s="159" t="s" vm="56">
        <v>257</v>
      </c>
      <c r="C71" s="154" t="str" vm="200">
        <f xml:space="preserve"> INDEX( VfM_Metrics_2023_Consol_Source[RP_Code], MATCH( tblFilterRegion[[#This Row],[RP_Name]], VfM_Metrics_2023_Consol_Source[RP_Name], 0 ) )</f>
        <v>LH4184</v>
      </c>
      <c r="D71" s="81">
        <f xml:space="preserve"> MATCH( tblFilterRegion[[#This Row],[RP_Code]], VfM_Metrics_2023_Consol_Source[RP_Code], 0 )</f>
        <v>56</v>
      </c>
      <c r="E71" s="22" cm="1">
        <f t="array" ref="E71" xml:space="preserve"> INDEX( VfM_Metrics_2023_Consol_Source[], $D71, E$14 )</f>
        <v>0</v>
      </c>
      <c r="F71" s="22" cm="1">
        <f t="array" ref="F71" xml:space="preserve"> INDEX( VfM_Metrics_2023_Consol_Source[], $D71, F$14 )</f>
        <v>0</v>
      </c>
      <c r="G71" s="22" cm="1">
        <f t="array" ref="G71" xml:space="preserve"> INDEX( VfM_Metrics_2023_Consol_Source[], $D71, G$14 )</f>
        <v>0</v>
      </c>
      <c r="H71" s="22" cm="1">
        <f t="array" ref="H71" xml:space="preserve"> INDEX( VfM_Metrics_2023_Consol_Source[], $D71, H$14 )</f>
        <v>0.97327586206896555</v>
      </c>
      <c r="I71" s="22" cm="1">
        <f t="array" ref="I71" xml:space="preserve"> INDEX( VfM_Metrics_2023_Consol_Source[], $D71, I$14 )</f>
        <v>2.5862068965517241E-3</v>
      </c>
      <c r="J71" s="22" cm="1">
        <f t="array" ref="J71" xml:space="preserve"> INDEX( VfM_Metrics_2023_Consol_Source[], $D71, J$14 )</f>
        <v>0</v>
      </c>
      <c r="K71" s="22" cm="1">
        <f t="array" ref="K71" xml:space="preserve"> INDEX( VfM_Metrics_2023_Consol_Source[], $D71, K$14 )</f>
        <v>0</v>
      </c>
      <c r="L71" s="22" cm="1">
        <f t="array" ref="L71" xml:space="preserve"> INDEX( VfM_Metrics_2023_Consol_Source[], $D71, L$14 )</f>
        <v>0</v>
      </c>
      <c r="M71" s="22" cm="1">
        <f t="array" ref="M71" xml:space="preserve"> INDEX( VfM_Metrics_2023_Consol_Source[], $D71, M$14 )</f>
        <v>2.4137931034482758E-2</v>
      </c>
      <c r="N71" s="23">
        <f xml:space="preserve"> -- AND( tblFilterRegion[[#This Row],[London]] &gt;= $N$10, N$13 = "Yes" )</f>
        <v>0</v>
      </c>
      <c r="O71" s="23">
        <f xml:space="preserve"> -- AND( tblFilterRegion[[#This Row],[South East]] &gt;= $N$10, O$13 = "Yes" )</f>
        <v>0</v>
      </c>
      <c r="P71" s="23">
        <f xml:space="preserve"> -- AND( tblFilterRegion[[#This Row],[South West]] &gt;= $N$10, P$13 = "Yes" )</f>
        <v>0</v>
      </c>
      <c r="Q71" s="23">
        <f xml:space="preserve"> -- AND( tblFilterRegion[[#This Row],[East Midlands]] &gt;= $N$10, Q$13 = "Yes" )</f>
        <v>0</v>
      </c>
      <c r="R71" s="23">
        <f xml:space="preserve"> -- AND( tblFilterRegion[[#This Row],[West Midlands]] &gt;= $N$10, R$13 = "Yes" )</f>
        <v>0</v>
      </c>
      <c r="S71" s="23">
        <f xml:space="preserve"> -- AND( tblFilterRegion[[#This Row],[East of England]] &gt;= $N$10, S$13 = "Yes" )</f>
        <v>0</v>
      </c>
      <c r="T71" s="23">
        <f xml:space="preserve"> -- AND( tblFilterRegion[[#This Row],[North East]] &gt;= $N$10, T$13 = "Yes" )</f>
        <v>0</v>
      </c>
      <c r="U71" s="23">
        <f xml:space="preserve"> -- AND( tblFilterRegion[[#This Row],[North West]] &gt;= $N$10, U$13 = "Yes" )</f>
        <v>0</v>
      </c>
      <c r="V71" s="23">
        <f xml:space="preserve"> -- AND( tblFilterRegion[[#This Row],[Yorkshire &amp; the Humber]] &gt;= $N$10, V$13 = "Yes" )</f>
        <v>0</v>
      </c>
      <c r="W71" s="22">
        <f xml:space="preserve"> SUMIF( $E$13:$M$13, "Yes", tblFilterRegion[[#This Row],[London]:[Yorkshire &amp; the Humber]] )</f>
        <v>0</v>
      </c>
      <c r="X71" s="23">
        <f xml:space="preserve"> -- ( SUM( tblFilterRegion[[#This Row],[Incl for Lon]:[Incl for YH]] ) &gt; 0 )</f>
        <v>0</v>
      </c>
      <c r="Y71" s="23">
        <f xml:space="preserve"> -- ( tblFilterRegion[[#This Row],[Total in selected regions]] &gt; $N$10 )</f>
        <v>0</v>
      </c>
      <c r="Z71" s="24">
        <f xml:space="preserve"> IF( RegionMinimum = 0, 1, IF( $R$10 = $U$8, tblFilterRegion[[#This Row],[Include for region - any]], IF( $R$10 = $U$10, tblFilterRegion[[#This Row],[Include for region - total]], "CHECK" ) ) )</f>
        <v>1</v>
      </c>
      <c r="AA71" s="131" t="str" cm="1">
        <f t="array" ref="AA71" xml:space="preserve"> INDEX( VfM_Metrics_2023_Consol_Source[], $D71, AA$14 )</f>
        <v>East Midlands</v>
      </c>
    </row>
    <row r="72" spans="2:27" x14ac:dyDescent="0.2">
      <c r="B72" s="159" t="s" vm="57">
        <v>259</v>
      </c>
      <c r="C72" s="154" t="str" vm="388">
        <f xml:space="preserve"> INDEX( VfM_Metrics_2023_Consol_Source[RP_Code], MATCH( tblFilterRegion[[#This Row],[RP_Name]], VfM_Metrics_2023_Consol_Source[RP_Name], 0 ) )</f>
        <v>L4463</v>
      </c>
      <c r="D72" s="81">
        <f xml:space="preserve"> MATCH( tblFilterRegion[[#This Row],[RP_Code]], VfM_Metrics_2023_Consol_Source[RP_Code], 0 )</f>
        <v>57</v>
      </c>
      <c r="E72" s="22" cm="1">
        <f t="array" ref="E72" xml:space="preserve"> INDEX( VfM_Metrics_2023_Consol_Source[], $D72, E$14 )</f>
        <v>0</v>
      </c>
      <c r="F72" s="22" cm="1">
        <f t="array" ref="F72" xml:space="preserve"> INDEX( VfM_Metrics_2023_Consol_Source[], $D72, F$14 )</f>
        <v>0</v>
      </c>
      <c r="G72" s="22" cm="1">
        <f t="array" ref="G72" xml:space="preserve"> INDEX( VfM_Metrics_2023_Consol_Source[], $D72, G$14 )</f>
        <v>0</v>
      </c>
      <c r="H72" s="22" cm="1">
        <f t="array" ref="H72" xml:space="preserve"> INDEX( VfM_Metrics_2023_Consol_Source[], $D72, H$14 )</f>
        <v>0</v>
      </c>
      <c r="I72" s="22" cm="1">
        <f t="array" ref="I72" xml:space="preserve"> INDEX( VfM_Metrics_2023_Consol_Source[], $D72, I$14 )</f>
        <v>0</v>
      </c>
      <c r="J72" s="22" cm="1">
        <f t="array" ref="J72" xml:space="preserve"> INDEX( VfM_Metrics_2023_Consol_Source[], $D72, J$14 )</f>
        <v>1</v>
      </c>
      <c r="K72" s="22" cm="1">
        <f t="array" ref="K72" xml:space="preserve"> INDEX( VfM_Metrics_2023_Consol_Source[], $D72, K$14 )</f>
        <v>0</v>
      </c>
      <c r="L72" s="22" cm="1">
        <f t="array" ref="L72" xml:space="preserve"> INDEX( VfM_Metrics_2023_Consol_Source[], $D72, L$14 )</f>
        <v>0</v>
      </c>
      <c r="M72" s="22" cm="1">
        <f t="array" ref="M72" xml:space="preserve"> INDEX( VfM_Metrics_2023_Consol_Source[], $D72, M$14 )</f>
        <v>0</v>
      </c>
      <c r="N72" s="23">
        <f xml:space="preserve"> -- AND( tblFilterRegion[[#This Row],[London]] &gt;= $N$10, N$13 = "Yes" )</f>
        <v>0</v>
      </c>
      <c r="O72" s="23">
        <f xml:space="preserve"> -- AND( tblFilterRegion[[#This Row],[South East]] &gt;= $N$10, O$13 = "Yes" )</f>
        <v>0</v>
      </c>
      <c r="P72" s="23">
        <f xml:space="preserve"> -- AND( tblFilterRegion[[#This Row],[South West]] &gt;= $N$10, P$13 = "Yes" )</f>
        <v>0</v>
      </c>
      <c r="Q72" s="23">
        <f xml:space="preserve"> -- AND( tblFilterRegion[[#This Row],[East Midlands]] &gt;= $N$10, Q$13 = "Yes" )</f>
        <v>0</v>
      </c>
      <c r="R72" s="23">
        <f xml:space="preserve"> -- AND( tblFilterRegion[[#This Row],[West Midlands]] &gt;= $N$10, R$13 = "Yes" )</f>
        <v>0</v>
      </c>
      <c r="S72" s="23">
        <f xml:space="preserve"> -- AND( tblFilterRegion[[#This Row],[East of England]] &gt;= $N$10, S$13 = "Yes" )</f>
        <v>0</v>
      </c>
      <c r="T72" s="23">
        <f xml:space="preserve"> -- AND( tblFilterRegion[[#This Row],[North East]] &gt;= $N$10, T$13 = "Yes" )</f>
        <v>0</v>
      </c>
      <c r="U72" s="23">
        <f xml:space="preserve"> -- AND( tblFilterRegion[[#This Row],[North West]] &gt;= $N$10, U$13 = "Yes" )</f>
        <v>0</v>
      </c>
      <c r="V72" s="23">
        <f xml:space="preserve"> -- AND( tblFilterRegion[[#This Row],[Yorkshire &amp; the Humber]] &gt;= $N$10, V$13 = "Yes" )</f>
        <v>0</v>
      </c>
      <c r="W72" s="22">
        <f xml:space="preserve"> SUMIF( $E$13:$M$13, "Yes", tblFilterRegion[[#This Row],[London]:[Yorkshire &amp; the Humber]] )</f>
        <v>0</v>
      </c>
      <c r="X72" s="23">
        <f xml:space="preserve"> -- ( SUM( tblFilterRegion[[#This Row],[Incl for Lon]:[Incl for YH]] ) &gt; 0 )</f>
        <v>0</v>
      </c>
      <c r="Y72" s="23">
        <f xml:space="preserve"> -- ( tblFilterRegion[[#This Row],[Total in selected regions]] &gt; $N$10 )</f>
        <v>0</v>
      </c>
      <c r="Z72" s="24">
        <f xml:space="preserve"> IF( RegionMinimum = 0, 1, IF( $R$10 = $U$8, tblFilterRegion[[#This Row],[Include for region - any]], IF( $R$10 = $U$10, tblFilterRegion[[#This Row],[Include for region - total]], "CHECK" ) ) )</f>
        <v>1</v>
      </c>
      <c r="AA72" s="131" t="str" cm="1">
        <f t="array" ref="AA72" xml:space="preserve"> INDEX( VfM_Metrics_2023_Consol_Source[], $D72, AA$14 )</f>
        <v>East of England</v>
      </c>
    </row>
    <row r="73" spans="2:27" x14ac:dyDescent="0.2">
      <c r="B73" s="159" t="s" vm="58">
        <v>261</v>
      </c>
      <c r="C73" s="154" t="str" vm="288">
        <f xml:space="preserve"> INDEX( VfM_Metrics_2023_Consol_Source[RP_Code], MATCH( tblFilterRegion[[#This Row],[RP_Name]], VfM_Metrics_2023_Consol_Source[RP_Name], 0 ) )</f>
        <v>L4502</v>
      </c>
      <c r="D73" s="81">
        <f xml:space="preserve"> MATCH( tblFilterRegion[[#This Row],[RP_Code]], VfM_Metrics_2023_Consol_Source[RP_Code], 0 )</f>
        <v>58</v>
      </c>
      <c r="E73" s="22" cm="1">
        <f t="array" ref="E73" xml:space="preserve"> INDEX( VfM_Metrics_2023_Consol_Source[], $D73, E$14 )</f>
        <v>0</v>
      </c>
      <c r="F73" s="22" cm="1">
        <f t="array" ref="F73" xml:space="preserve"> INDEX( VfM_Metrics_2023_Consol_Source[], $D73, F$14 )</f>
        <v>0</v>
      </c>
      <c r="G73" s="22" cm="1">
        <f t="array" ref="G73" xml:space="preserve"> INDEX( VfM_Metrics_2023_Consol_Source[], $D73, G$14 )</f>
        <v>0</v>
      </c>
      <c r="H73" s="22" cm="1">
        <f t="array" ref="H73" xml:space="preserve"> INDEX( VfM_Metrics_2023_Consol_Source[], $D73, H$14 )</f>
        <v>0.99479166666666663</v>
      </c>
      <c r="I73" s="22" cm="1">
        <f t="array" ref="I73" xml:space="preserve"> INDEX( VfM_Metrics_2023_Consol_Source[], $D73, I$14 )</f>
        <v>0</v>
      </c>
      <c r="J73" s="22" cm="1">
        <f t="array" ref="J73" xml:space="preserve"> INDEX( VfM_Metrics_2023_Consol_Source[], $D73, J$14 )</f>
        <v>5.208333333333333E-3</v>
      </c>
      <c r="K73" s="22" cm="1">
        <f t="array" ref="K73" xml:space="preserve"> INDEX( VfM_Metrics_2023_Consol_Source[], $D73, K$14 )</f>
        <v>0</v>
      </c>
      <c r="L73" s="22" cm="1">
        <f t="array" ref="L73" xml:space="preserve"> INDEX( VfM_Metrics_2023_Consol_Source[], $D73, L$14 )</f>
        <v>0</v>
      </c>
      <c r="M73" s="22" cm="1">
        <f t="array" ref="M73" xml:space="preserve"> INDEX( VfM_Metrics_2023_Consol_Source[], $D73, M$14 )</f>
        <v>0</v>
      </c>
      <c r="N73" s="23">
        <f xml:space="preserve"> -- AND( tblFilterRegion[[#This Row],[London]] &gt;= $N$10, N$13 = "Yes" )</f>
        <v>0</v>
      </c>
      <c r="O73" s="23">
        <f xml:space="preserve"> -- AND( tblFilterRegion[[#This Row],[South East]] &gt;= $N$10, O$13 = "Yes" )</f>
        <v>0</v>
      </c>
      <c r="P73" s="23">
        <f xml:space="preserve"> -- AND( tblFilterRegion[[#This Row],[South West]] &gt;= $N$10, P$13 = "Yes" )</f>
        <v>0</v>
      </c>
      <c r="Q73" s="23">
        <f xml:space="preserve"> -- AND( tblFilterRegion[[#This Row],[East Midlands]] &gt;= $N$10, Q$13 = "Yes" )</f>
        <v>0</v>
      </c>
      <c r="R73" s="23">
        <f xml:space="preserve"> -- AND( tblFilterRegion[[#This Row],[West Midlands]] &gt;= $N$10, R$13 = "Yes" )</f>
        <v>0</v>
      </c>
      <c r="S73" s="23">
        <f xml:space="preserve"> -- AND( tblFilterRegion[[#This Row],[East of England]] &gt;= $N$10, S$13 = "Yes" )</f>
        <v>0</v>
      </c>
      <c r="T73" s="23">
        <f xml:space="preserve"> -- AND( tblFilterRegion[[#This Row],[North East]] &gt;= $N$10, T$13 = "Yes" )</f>
        <v>0</v>
      </c>
      <c r="U73" s="23">
        <f xml:space="preserve"> -- AND( tblFilterRegion[[#This Row],[North West]] &gt;= $N$10, U$13 = "Yes" )</f>
        <v>0</v>
      </c>
      <c r="V73" s="23">
        <f xml:space="preserve"> -- AND( tblFilterRegion[[#This Row],[Yorkshire &amp; the Humber]] &gt;= $N$10, V$13 = "Yes" )</f>
        <v>0</v>
      </c>
      <c r="W73" s="22">
        <f xml:space="preserve"> SUMIF( $E$13:$M$13, "Yes", tblFilterRegion[[#This Row],[London]:[Yorkshire &amp; the Humber]] )</f>
        <v>0</v>
      </c>
      <c r="X73" s="23">
        <f xml:space="preserve"> -- ( SUM( tblFilterRegion[[#This Row],[Incl for Lon]:[Incl for YH]] ) &gt; 0 )</f>
        <v>0</v>
      </c>
      <c r="Y73" s="23">
        <f xml:space="preserve"> -- ( tblFilterRegion[[#This Row],[Total in selected regions]] &gt; $N$10 )</f>
        <v>0</v>
      </c>
      <c r="Z73" s="24">
        <f xml:space="preserve"> IF( RegionMinimum = 0, 1, IF( $R$10 = $U$8, tblFilterRegion[[#This Row],[Include for region - any]], IF( $R$10 = $U$10, tblFilterRegion[[#This Row],[Include for region - total]], "CHECK" ) ) )</f>
        <v>1</v>
      </c>
      <c r="AA73" s="131" t="str" cm="1">
        <f t="array" ref="AA73" xml:space="preserve"> INDEX( VfM_Metrics_2023_Consol_Source[], $D73, AA$14 )</f>
        <v>East Midlands</v>
      </c>
    </row>
    <row r="74" spans="2:27" x14ac:dyDescent="0.2">
      <c r="B74" s="159" t="s" vm="59">
        <v>263</v>
      </c>
      <c r="C74" s="154" t="str" vm="312">
        <f xml:space="preserve"> INDEX( VfM_Metrics_2023_Consol_Source[RP_Code], MATCH( tblFilterRegion[[#This Row],[RP_Name]], VfM_Metrics_2023_Consol_Source[RP_Name], 0 ) )</f>
        <v>L0517</v>
      </c>
      <c r="D74" s="81">
        <f xml:space="preserve"> MATCH( tblFilterRegion[[#This Row],[RP_Code]], VfM_Metrics_2023_Consol_Source[RP_Code], 0 )</f>
        <v>59</v>
      </c>
      <c r="E74" s="22" cm="1">
        <f t="array" ref="E74" xml:space="preserve"> INDEX( VfM_Metrics_2023_Consol_Source[], $D74, E$14 )</f>
        <v>0.99964323938637178</v>
      </c>
      <c r="F74" s="22" cm="1">
        <f t="array" ref="F74" xml:space="preserve"> INDEX( VfM_Metrics_2023_Consol_Source[], $D74, F$14 )</f>
        <v>0</v>
      </c>
      <c r="G74" s="22" cm="1">
        <f t="array" ref="G74" xml:space="preserve"> INDEX( VfM_Metrics_2023_Consol_Source[], $D74, G$14 )</f>
        <v>0</v>
      </c>
      <c r="H74" s="22" cm="1">
        <f t="array" ref="H74" xml:space="preserve"> INDEX( VfM_Metrics_2023_Consol_Source[], $D74, H$14 )</f>
        <v>0</v>
      </c>
      <c r="I74" s="22" cm="1">
        <f t="array" ref="I74" xml:space="preserve"> INDEX( VfM_Metrics_2023_Consol_Source[], $D74, I$14 )</f>
        <v>0</v>
      </c>
      <c r="J74" s="22" cm="1">
        <f t="array" ref="J74" xml:space="preserve"> INDEX( VfM_Metrics_2023_Consol_Source[], $D74, J$14 )</f>
        <v>3.5676061362825543E-4</v>
      </c>
      <c r="K74" s="22" cm="1">
        <f t="array" ref="K74" xml:space="preserve"> INDEX( VfM_Metrics_2023_Consol_Source[], $D74, K$14 )</f>
        <v>0</v>
      </c>
      <c r="L74" s="22" cm="1">
        <f t="array" ref="L74" xml:space="preserve"> INDEX( VfM_Metrics_2023_Consol_Source[], $D74, L$14 )</f>
        <v>0</v>
      </c>
      <c r="M74" s="22" cm="1">
        <f t="array" ref="M74" xml:space="preserve"> INDEX( VfM_Metrics_2023_Consol_Source[], $D74, M$14 )</f>
        <v>0</v>
      </c>
      <c r="N74" s="23">
        <f xml:space="preserve"> -- AND( tblFilterRegion[[#This Row],[London]] &gt;= $N$10, N$13 = "Yes" )</f>
        <v>0</v>
      </c>
      <c r="O74" s="23">
        <f xml:space="preserve"> -- AND( tblFilterRegion[[#This Row],[South East]] &gt;= $N$10, O$13 = "Yes" )</f>
        <v>0</v>
      </c>
      <c r="P74" s="23">
        <f xml:space="preserve"> -- AND( tblFilterRegion[[#This Row],[South West]] &gt;= $N$10, P$13 = "Yes" )</f>
        <v>0</v>
      </c>
      <c r="Q74" s="23">
        <f xml:space="preserve"> -- AND( tblFilterRegion[[#This Row],[East Midlands]] &gt;= $N$10, Q$13 = "Yes" )</f>
        <v>0</v>
      </c>
      <c r="R74" s="23">
        <f xml:space="preserve"> -- AND( tblFilterRegion[[#This Row],[West Midlands]] &gt;= $N$10, R$13 = "Yes" )</f>
        <v>0</v>
      </c>
      <c r="S74" s="23">
        <f xml:space="preserve"> -- AND( tblFilterRegion[[#This Row],[East of England]] &gt;= $N$10, S$13 = "Yes" )</f>
        <v>0</v>
      </c>
      <c r="T74" s="23">
        <f xml:space="preserve"> -- AND( tblFilterRegion[[#This Row],[North East]] &gt;= $N$10, T$13 = "Yes" )</f>
        <v>0</v>
      </c>
      <c r="U74" s="23">
        <f xml:space="preserve"> -- AND( tblFilterRegion[[#This Row],[North West]] &gt;= $N$10, U$13 = "Yes" )</f>
        <v>0</v>
      </c>
      <c r="V74" s="23">
        <f xml:space="preserve"> -- AND( tblFilterRegion[[#This Row],[Yorkshire &amp; the Humber]] &gt;= $N$10, V$13 = "Yes" )</f>
        <v>0</v>
      </c>
      <c r="W74" s="22">
        <f xml:space="preserve"> SUMIF( $E$13:$M$13, "Yes", tblFilterRegion[[#This Row],[London]:[Yorkshire &amp; the Humber]] )</f>
        <v>0</v>
      </c>
      <c r="X74" s="23">
        <f xml:space="preserve"> -- ( SUM( tblFilterRegion[[#This Row],[Incl for Lon]:[Incl for YH]] ) &gt; 0 )</f>
        <v>0</v>
      </c>
      <c r="Y74" s="23">
        <f xml:space="preserve"> -- ( tblFilterRegion[[#This Row],[Total in selected regions]] &gt; $N$10 )</f>
        <v>0</v>
      </c>
      <c r="Z74" s="24">
        <f xml:space="preserve"> IF( RegionMinimum = 0, 1, IF( $R$10 = $U$8, tblFilterRegion[[#This Row],[Include for region - any]], IF( $R$10 = $U$10, tblFilterRegion[[#This Row],[Include for region - total]], "CHECK" ) ) )</f>
        <v>1</v>
      </c>
      <c r="AA74" s="131" t="str" cm="1">
        <f t="array" ref="AA74" xml:space="preserve"> INDEX( VfM_Metrics_2023_Consol_Source[], $D74, AA$14 )</f>
        <v>London</v>
      </c>
    </row>
    <row r="75" spans="2:27" x14ac:dyDescent="0.2">
      <c r="B75" s="159" t="s" vm="60">
        <v>265</v>
      </c>
      <c r="C75" s="154" t="str" vm="344">
        <f xml:space="preserve"> INDEX( VfM_Metrics_2023_Consol_Source[RP_Code], MATCH( tblFilterRegion[[#This Row],[RP_Name]], VfM_Metrics_2023_Consol_Source[RP_Name], 0 ) )</f>
        <v>L4313</v>
      </c>
      <c r="D75" s="81">
        <f xml:space="preserve"> MATCH( tblFilterRegion[[#This Row],[RP_Code]], VfM_Metrics_2023_Consol_Source[RP_Code], 0 )</f>
        <v>60</v>
      </c>
      <c r="E75" s="22" cm="1">
        <f t="array" ref="E75" xml:space="preserve"> INDEX( VfM_Metrics_2023_Consol_Source[], $D75, E$14 )</f>
        <v>0</v>
      </c>
      <c r="F75" s="22" cm="1">
        <f t="array" ref="F75" xml:space="preserve"> INDEX( VfM_Metrics_2023_Consol_Source[], $D75, F$14 )</f>
        <v>0</v>
      </c>
      <c r="G75" s="22" cm="1">
        <f t="array" ref="G75" xml:space="preserve"> INDEX( VfM_Metrics_2023_Consol_Source[], $D75, G$14 )</f>
        <v>0</v>
      </c>
      <c r="H75" s="22" cm="1">
        <f t="array" ref="H75" xml:space="preserve"> INDEX( VfM_Metrics_2023_Consol_Source[], $D75, H$14 )</f>
        <v>0</v>
      </c>
      <c r="I75" s="22" cm="1">
        <f t="array" ref="I75" xml:space="preserve"> INDEX( VfM_Metrics_2023_Consol_Source[], $D75, I$14 )</f>
        <v>0</v>
      </c>
      <c r="J75" s="22" cm="1">
        <f t="array" ref="J75" xml:space="preserve"> INDEX( VfM_Metrics_2023_Consol_Source[], $D75, J$14 )</f>
        <v>0</v>
      </c>
      <c r="K75" s="22" cm="1">
        <f t="array" ref="K75" xml:space="preserve"> INDEX( VfM_Metrics_2023_Consol_Source[], $D75, K$14 )</f>
        <v>1</v>
      </c>
      <c r="L75" s="22" cm="1">
        <f t="array" ref="L75" xml:space="preserve"> INDEX( VfM_Metrics_2023_Consol_Source[], $D75, L$14 )</f>
        <v>0</v>
      </c>
      <c r="M75" s="22" cm="1">
        <f t="array" ref="M75" xml:space="preserve"> INDEX( VfM_Metrics_2023_Consol_Source[], $D75, M$14 )</f>
        <v>0</v>
      </c>
      <c r="N75" s="23">
        <f xml:space="preserve"> -- AND( tblFilterRegion[[#This Row],[London]] &gt;= $N$10, N$13 = "Yes" )</f>
        <v>0</v>
      </c>
      <c r="O75" s="23">
        <f xml:space="preserve"> -- AND( tblFilterRegion[[#This Row],[South East]] &gt;= $N$10, O$13 = "Yes" )</f>
        <v>0</v>
      </c>
      <c r="P75" s="23">
        <f xml:space="preserve"> -- AND( tblFilterRegion[[#This Row],[South West]] &gt;= $N$10, P$13 = "Yes" )</f>
        <v>0</v>
      </c>
      <c r="Q75" s="23">
        <f xml:space="preserve"> -- AND( tblFilterRegion[[#This Row],[East Midlands]] &gt;= $N$10, Q$13 = "Yes" )</f>
        <v>0</v>
      </c>
      <c r="R75" s="23">
        <f xml:space="preserve"> -- AND( tblFilterRegion[[#This Row],[West Midlands]] &gt;= $N$10, R$13 = "Yes" )</f>
        <v>0</v>
      </c>
      <c r="S75" s="23">
        <f xml:space="preserve"> -- AND( tblFilterRegion[[#This Row],[East of England]] &gt;= $N$10, S$13 = "Yes" )</f>
        <v>0</v>
      </c>
      <c r="T75" s="23">
        <f xml:space="preserve"> -- AND( tblFilterRegion[[#This Row],[North East]] &gt;= $N$10, T$13 = "Yes" )</f>
        <v>0</v>
      </c>
      <c r="U75" s="23">
        <f xml:space="preserve"> -- AND( tblFilterRegion[[#This Row],[North West]] &gt;= $N$10, U$13 = "Yes" )</f>
        <v>0</v>
      </c>
      <c r="V75" s="23">
        <f xml:space="preserve"> -- AND( tblFilterRegion[[#This Row],[Yorkshire &amp; the Humber]] &gt;= $N$10, V$13 = "Yes" )</f>
        <v>0</v>
      </c>
      <c r="W75" s="22">
        <f xml:space="preserve"> SUMIF( $E$13:$M$13, "Yes", tblFilterRegion[[#This Row],[London]:[Yorkshire &amp; the Humber]] )</f>
        <v>0</v>
      </c>
      <c r="X75" s="23">
        <f xml:space="preserve"> -- ( SUM( tblFilterRegion[[#This Row],[Incl for Lon]:[Incl for YH]] ) &gt; 0 )</f>
        <v>0</v>
      </c>
      <c r="Y75" s="23">
        <f xml:space="preserve"> -- ( tblFilterRegion[[#This Row],[Total in selected regions]] &gt; $N$10 )</f>
        <v>0</v>
      </c>
      <c r="Z75" s="24">
        <f xml:space="preserve"> IF( RegionMinimum = 0, 1, IF( $R$10 = $U$8, tblFilterRegion[[#This Row],[Include for region - any]], IF( $R$10 = $U$10, tblFilterRegion[[#This Row],[Include for region - total]], "CHECK" ) ) )</f>
        <v>1</v>
      </c>
      <c r="AA75" s="131" t="str" cm="1">
        <f t="array" ref="AA75" xml:space="preserve"> INDEX( VfM_Metrics_2023_Consol_Source[], $D75, AA$14 )</f>
        <v>North East</v>
      </c>
    </row>
    <row r="76" spans="2:27" x14ac:dyDescent="0.2">
      <c r="B76" s="159" t="s" vm="61">
        <v>267</v>
      </c>
      <c r="C76" s="154" t="str" vm="322">
        <f xml:space="preserve"> INDEX( VfM_Metrics_2023_Consol_Source[RP_Code], MATCH( tblFilterRegion[[#This Row],[RP_Name]], VfM_Metrics_2023_Consol_Source[RP_Name], 0 ) )</f>
        <v>4584</v>
      </c>
      <c r="D76" s="81">
        <f xml:space="preserve"> MATCH( tblFilterRegion[[#This Row],[RP_Code]], VfM_Metrics_2023_Consol_Source[RP_Code], 0 )</f>
        <v>61</v>
      </c>
      <c r="E76" s="22" cm="1">
        <f t="array" ref="E76" xml:space="preserve"> INDEX( VfM_Metrics_2023_Consol_Source[], $D76, E$14 )</f>
        <v>0</v>
      </c>
      <c r="F76" s="22" cm="1">
        <f t="array" ref="F76" xml:space="preserve"> INDEX( VfM_Metrics_2023_Consol_Source[], $D76, F$14 )</f>
        <v>0</v>
      </c>
      <c r="G76" s="22" cm="1">
        <f t="array" ref="G76" xml:space="preserve"> INDEX( VfM_Metrics_2023_Consol_Source[], $D76, G$14 )</f>
        <v>1</v>
      </c>
      <c r="H76" s="22" cm="1">
        <f t="array" ref="H76" xml:space="preserve"> INDEX( VfM_Metrics_2023_Consol_Source[], $D76, H$14 )</f>
        <v>0</v>
      </c>
      <c r="I76" s="22" cm="1">
        <f t="array" ref="I76" xml:space="preserve"> INDEX( VfM_Metrics_2023_Consol_Source[], $D76, I$14 )</f>
        <v>0</v>
      </c>
      <c r="J76" s="22" cm="1">
        <f t="array" ref="J76" xml:space="preserve"> INDEX( VfM_Metrics_2023_Consol_Source[], $D76, J$14 )</f>
        <v>0</v>
      </c>
      <c r="K76" s="22" cm="1">
        <f t="array" ref="K76" xml:space="preserve"> INDEX( VfM_Metrics_2023_Consol_Source[], $D76, K$14 )</f>
        <v>0</v>
      </c>
      <c r="L76" s="22" cm="1">
        <f t="array" ref="L76" xml:space="preserve"> INDEX( VfM_Metrics_2023_Consol_Source[], $D76, L$14 )</f>
        <v>0</v>
      </c>
      <c r="M76" s="22" cm="1">
        <f t="array" ref="M76" xml:space="preserve"> INDEX( VfM_Metrics_2023_Consol_Source[], $D76, M$14 )</f>
        <v>0</v>
      </c>
      <c r="N76" s="23">
        <f xml:space="preserve"> -- AND( tblFilterRegion[[#This Row],[London]] &gt;= $N$10, N$13 = "Yes" )</f>
        <v>0</v>
      </c>
      <c r="O76" s="23">
        <f xml:space="preserve"> -- AND( tblFilterRegion[[#This Row],[South East]] &gt;= $N$10, O$13 = "Yes" )</f>
        <v>0</v>
      </c>
      <c r="P76" s="23">
        <f xml:space="preserve"> -- AND( tblFilterRegion[[#This Row],[South West]] &gt;= $N$10, P$13 = "Yes" )</f>
        <v>0</v>
      </c>
      <c r="Q76" s="23">
        <f xml:space="preserve"> -- AND( tblFilterRegion[[#This Row],[East Midlands]] &gt;= $N$10, Q$13 = "Yes" )</f>
        <v>0</v>
      </c>
      <c r="R76" s="23">
        <f xml:space="preserve"> -- AND( tblFilterRegion[[#This Row],[West Midlands]] &gt;= $N$10, R$13 = "Yes" )</f>
        <v>0</v>
      </c>
      <c r="S76" s="23">
        <f xml:space="preserve"> -- AND( tblFilterRegion[[#This Row],[East of England]] &gt;= $N$10, S$13 = "Yes" )</f>
        <v>0</v>
      </c>
      <c r="T76" s="23">
        <f xml:space="preserve"> -- AND( tblFilterRegion[[#This Row],[North East]] &gt;= $N$10, T$13 = "Yes" )</f>
        <v>0</v>
      </c>
      <c r="U76" s="23">
        <f xml:space="preserve"> -- AND( tblFilterRegion[[#This Row],[North West]] &gt;= $N$10, U$13 = "Yes" )</f>
        <v>0</v>
      </c>
      <c r="V76" s="23">
        <f xml:space="preserve"> -- AND( tblFilterRegion[[#This Row],[Yorkshire &amp; the Humber]] &gt;= $N$10, V$13 = "Yes" )</f>
        <v>0</v>
      </c>
      <c r="W76" s="22">
        <f xml:space="preserve"> SUMIF( $E$13:$M$13, "Yes", tblFilterRegion[[#This Row],[London]:[Yorkshire &amp; the Humber]] )</f>
        <v>0</v>
      </c>
      <c r="X76" s="23">
        <f xml:space="preserve"> -- ( SUM( tblFilterRegion[[#This Row],[Incl for Lon]:[Incl for YH]] ) &gt; 0 )</f>
        <v>0</v>
      </c>
      <c r="Y76" s="23">
        <f xml:space="preserve"> -- ( tblFilterRegion[[#This Row],[Total in selected regions]] &gt; $N$10 )</f>
        <v>0</v>
      </c>
      <c r="Z76" s="24">
        <f xml:space="preserve"> IF( RegionMinimum = 0, 1, IF( $R$10 = $U$8, tblFilterRegion[[#This Row],[Include for region - any]], IF( $R$10 = $U$10, tblFilterRegion[[#This Row],[Include for region - total]], "CHECK" ) ) )</f>
        <v>1</v>
      </c>
      <c r="AA76" s="131" t="str" cm="1">
        <f t="array" ref="AA76" xml:space="preserve"> INDEX( VfM_Metrics_2023_Consol_Source[], $D76, AA$14 )</f>
        <v>South West</v>
      </c>
    </row>
    <row r="77" spans="2:27" x14ac:dyDescent="0.2">
      <c r="B77" s="159" t="s" vm="62">
        <v>269</v>
      </c>
      <c r="C77" s="154" t="str" vm="309">
        <f xml:space="preserve"> INDEX( VfM_Metrics_2023_Consol_Source[RP_Code], MATCH( tblFilterRegion[[#This Row],[RP_Name]], VfM_Metrics_2023_Consol_Source[RP_Name], 0 ) )</f>
        <v>4803</v>
      </c>
      <c r="D77" s="81">
        <f xml:space="preserve"> MATCH( tblFilterRegion[[#This Row],[RP_Code]], VfM_Metrics_2023_Consol_Source[RP_Code], 0 )</f>
        <v>62</v>
      </c>
      <c r="E77" s="22" cm="1">
        <f t="array" ref="E77" xml:space="preserve"> INDEX( VfM_Metrics_2023_Consol_Source[], $D77, E$14 )</f>
        <v>7.9698651863600312E-2</v>
      </c>
      <c r="F77" s="22" cm="1">
        <f t="array" ref="F77" xml:space="preserve"> INDEX( VfM_Metrics_2023_Consol_Source[], $D77, F$14 )</f>
        <v>0.16613798572561458</v>
      </c>
      <c r="G77" s="22" cm="1">
        <f t="array" ref="G77" xml:space="preserve"> INDEX( VfM_Metrics_2023_Consol_Source[], $D77, G$14 )</f>
        <v>0.15067406819984139</v>
      </c>
      <c r="H77" s="22" cm="1">
        <f t="array" ref="H77" xml:space="preserve"> INDEX( VfM_Metrics_2023_Consol_Source[], $D77, H$14 )</f>
        <v>0.15741475019825535</v>
      </c>
      <c r="I77" s="22" cm="1">
        <f t="array" ref="I77" xml:space="preserve"> INDEX( VfM_Metrics_2023_Consol_Source[], $D77, I$14 )</f>
        <v>7.1371927042030131E-2</v>
      </c>
      <c r="J77" s="22" cm="1">
        <f t="array" ref="J77" xml:space="preserve"> INDEX( VfM_Metrics_2023_Consol_Source[], $D77, J$14 )</f>
        <v>7.5337034099920694E-2</v>
      </c>
      <c r="K77" s="22" cm="1">
        <f t="array" ref="K77" xml:space="preserve"> INDEX( VfM_Metrics_2023_Consol_Source[], $D77, K$14 )</f>
        <v>4.4012688342585253E-2</v>
      </c>
      <c r="L77" s="22" cm="1">
        <f t="array" ref="L77" xml:space="preserve"> INDEX( VfM_Metrics_2023_Consol_Source[], $D77, L$14 )</f>
        <v>7.6526566217287872E-2</v>
      </c>
      <c r="M77" s="22" cm="1">
        <f t="array" ref="M77" xml:space="preserve"> INDEX( VfM_Metrics_2023_Consol_Source[], $D77, M$14 )</f>
        <v>0.1788263283108644</v>
      </c>
      <c r="N77" s="23">
        <f xml:space="preserve"> -- AND( tblFilterRegion[[#This Row],[London]] &gt;= $N$10, N$13 = "Yes" )</f>
        <v>0</v>
      </c>
      <c r="O77" s="23">
        <f xml:space="preserve"> -- AND( tblFilterRegion[[#This Row],[South East]] &gt;= $N$10, O$13 = "Yes" )</f>
        <v>0</v>
      </c>
      <c r="P77" s="23">
        <f xml:space="preserve"> -- AND( tblFilterRegion[[#This Row],[South West]] &gt;= $N$10, P$13 = "Yes" )</f>
        <v>0</v>
      </c>
      <c r="Q77" s="23">
        <f xml:space="preserve"> -- AND( tblFilterRegion[[#This Row],[East Midlands]] &gt;= $N$10, Q$13 = "Yes" )</f>
        <v>0</v>
      </c>
      <c r="R77" s="23">
        <f xml:space="preserve"> -- AND( tblFilterRegion[[#This Row],[West Midlands]] &gt;= $N$10, R$13 = "Yes" )</f>
        <v>0</v>
      </c>
      <c r="S77" s="23">
        <f xml:space="preserve"> -- AND( tblFilterRegion[[#This Row],[East of England]] &gt;= $N$10, S$13 = "Yes" )</f>
        <v>0</v>
      </c>
      <c r="T77" s="23">
        <f xml:space="preserve"> -- AND( tblFilterRegion[[#This Row],[North East]] &gt;= $N$10, T$13 = "Yes" )</f>
        <v>0</v>
      </c>
      <c r="U77" s="23">
        <f xml:space="preserve"> -- AND( tblFilterRegion[[#This Row],[North West]] &gt;= $N$10, U$13 = "Yes" )</f>
        <v>0</v>
      </c>
      <c r="V77" s="23">
        <f xml:space="preserve"> -- AND( tblFilterRegion[[#This Row],[Yorkshire &amp; the Humber]] &gt;= $N$10, V$13 = "Yes" )</f>
        <v>0</v>
      </c>
      <c r="W77" s="22">
        <f xml:space="preserve"> SUMIF( $E$13:$M$13, "Yes", tblFilterRegion[[#This Row],[London]:[Yorkshire &amp; the Humber]] )</f>
        <v>0</v>
      </c>
      <c r="X77" s="23">
        <f xml:space="preserve"> -- ( SUM( tblFilterRegion[[#This Row],[Incl for Lon]:[Incl for YH]] ) &gt; 0 )</f>
        <v>0</v>
      </c>
      <c r="Y77" s="23">
        <f xml:space="preserve"> -- ( tblFilterRegion[[#This Row],[Total in selected regions]] &gt; $N$10 )</f>
        <v>0</v>
      </c>
      <c r="Z77" s="24">
        <f xml:space="preserve"> IF( RegionMinimum = 0, 1, IF( $R$10 = $U$8, tblFilterRegion[[#This Row],[Include for region - any]], IF( $R$10 = $U$10, tblFilterRegion[[#This Row],[Include for region - total]], "CHECK" ) ) )</f>
        <v>1</v>
      </c>
      <c r="AA77" s="131" t="str" cm="1">
        <f t="array" ref="AA77" xml:space="preserve"> INDEX( VfM_Metrics_2023_Consol_Source[], $D77, AA$14 )</f>
        <v>Mixed</v>
      </c>
    </row>
    <row r="78" spans="2:27" x14ac:dyDescent="0.2">
      <c r="B78" s="159" t="s" vm="63">
        <v>271</v>
      </c>
      <c r="C78" s="154" t="str" vm="361">
        <f xml:space="preserve"> INDEX( VfM_Metrics_2023_Consol_Source[RP_Code], MATCH( tblFilterRegion[[#This Row],[RP_Name]], VfM_Metrics_2023_Consol_Source[RP_Name], 0 ) )</f>
        <v>LH4402</v>
      </c>
      <c r="D78" s="81">
        <f xml:space="preserve"> MATCH( tblFilterRegion[[#This Row],[RP_Code]], VfM_Metrics_2023_Consol_Source[RP_Code], 0 )</f>
        <v>63</v>
      </c>
      <c r="E78" s="22" cm="1">
        <f t="array" ref="E78" xml:space="preserve"> INDEX( VfM_Metrics_2023_Consol_Source[], $D78, E$14 )</f>
        <v>3.5971223021582736E-3</v>
      </c>
      <c r="F78" s="22" cm="1">
        <f t="array" ref="F78" xml:space="preserve"> INDEX( VfM_Metrics_2023_Consol_Source[], $D78, F$14 )</f>
        <v>0.99640287769784175</v>
      </c>
      <c r="G78" s="22" cm="1">
        <f t="array" ref="G78" xml:space="preserve"> INDEX( VfM_Metrics_2023_Consol_Source[], $D78, G$14 )</f>
        <v>0</v>
      </c>
      <c r="H78" s="22" cm="1">
        <f t="array" ref="H78" xml:space="preserve"> INDEX( VfM_Metrics_2023_Consol_Source[], $D78, H$14 )</f>
        <v>0</v>
      </c>
      <c r="I78" s="22" cm="1">
        <f t="array" ref="I78" xml:space="preserve"> INDEX( VfM_Metrics_2023_Consol_Source[], $D78, I$14 )</f>
        <v>0</v>
      </c>
      <c r="J78" s="22" cm="1">
        <f t="array" ref="J78" xml:space="preserve"> INDEX( VfM_Metrics_2023_Consol_Source[], $D78, J$14 )</f>
        <v>0</v>
      </c>
      <c r="K78" s="22" cm="1">
        <f t="array" ref="K78" xml:space="preserve"> INDEX( VfM_Metrics_2023_Consol_Source[], $D78, K$14 )</f>
        <v>0</v>
      </c>
      <c r="L78" s="22" cm="1">
        <f t="array" ref="L78" xml:space="preserve"> INDEX( VfM_Metrics_2023_Consol_Source[], $D78, L$14 )</f>
        <v>0</v>
      </c>
      <c r="M78" s="22" cm="1">
        <f t="array" ref="M78" xml:space="preserve"> INDEX( VfM_Metrics_2023_Consol_Source[], $D78, M$14 )</f>
        <v>0</v>
      </c>
      <c r="N78" s="23">
        <f xml:space="preserve"> -- AND( tblFilterRegion[[#This Row],[London]] &gt;= $N$10, N$13 = "Yes" )</f>
        <v>0</v>
      </c>
      <c r="O78" s="23">
        <f xml:space="preserve"> -- AND( tblFilterRegion[[#This Row],[South East]] &gt;= $N$10, O$13 = "Yes" )</f>
        <v>0</v>
      </c>
      <c r="P78" s="23">
        <f xml:space="preserve"> -- AND( tblFilterRegion[[#This Row],[South West]] &gt;= $N$10, P$13 = "Yes" )</f>
        <v>0</v>
      </c>
      <c r="Q78" s="23">
        <f xml:space="preserve"> -- AND( tblFilterRegion[[#This Row],[East Midlands]] &gt;= $N$10, Q$13 = "Yes" )</f>
        <v>0</v>
      </c>
      <c r="R78" s="23">
        <f xml:space="preserve"> -- AND( tblFilterRegion[[#This Row],[West Midlands]] &gt;= $N$10, R$13 = "Yes" )</f>
        <v>0</v>
      </c>
      <c r="S78" s="23">
        <f xml:space="preserve"> -- AND( tblFilterRegion[[#This Row],[East of England]] &gt;= $N$10, S$13 = "Yes" )</f>
        <v>0</v>
      </c>
      <c r="T78" s="23">
        <f xml:space="preserve"> -- AND( tblFilterRegion[[#This Row],[North East]] &gt;= $N$10, T$13 = "Yes" )</f>
        <v>0</v>
      </c>
      <c r="U78" s="23">
        <f xml:space="preserve"> -- AND( tblFilterRegion[[#This Row],[North West]] &gt;= $N$10, U$13 = "Yes" )</f>
        <v>0</v>
      </c>
      <c r="V78" s="23">
        <f xml:space="preserve"> -- AND( tblFilterRegion[[#This Row],[Yorkshire &amp; the Humber]] &gt;= $N$10, V$13 = "Yes" )</f>
        <v>0</v>
      </c>
      <c r="W78" s="22">
        <f xml:space="preserve"> SUMIF( $E$13:$M$13, "Yes", tblFilterRegion[[#This Row],[London]:[Yorkshire &amp; the Humber]] )</f>
        <v>0</v>
      </c>
      <c r="X78" s="23">
        <f xml:space="preserve"> -- ( SUM( tblFilterRegion[[#This Row],[Incl for Lon]:[Incl for YH]] ) &gt; 0 )</f>
        <v>0</v>
      </c>
      <c r="Y78" s="23">
        <f xml:space="preserve"> -- ( tblFilterRegion[[#This Row],[Total in selected regions]] &gt; $N$10 )</f>
        <v>0</v>
      </c>
      <c r="Z78" s="24">
        <f xml:space="preserve"> IF( RegionMinimum = 0, 1, IF( $R$10 = $U$8, tblFilterRegion[[#This Row],[Include for region - any]], IF( $R$10 = $U$10, tblFilterRegion[[#This Row],[Include for region - total]], "CHECK" ) ) )</f>
        <v>1</v>
      </c>
      <c r="AA78" s="131" t="str" cm="1">
        <f t="array" ref="AA78" xml:space="preserve"> INDEX( VfM_Metrics_2023_Consol_Source[], $D78, AA$14 )</f>
        <v>South East</v>
      </c>
    </row>
    <row r="79" spans="2:27" x14ac:dyDescent="0.2">
      <c r="B79" s="159" t="s" vm="64">
        <v>273</v>
      </c>
      <c r="C79" s="154" t="str" vm="292">
        <f xml:space="preserve"> INDEX( VfM_Metrics_2023_Consol_Source[RP_Code], MATCH( tblFilterRegion[[#This Row],[RP_Name]], VfM_Metrics_2023_Consol_Source[RP_Name], 0 ) )</f>
        <v>5060</v>
      </c>
      <c r="D79" s="81">
        <f xml:space="preserve"> MATCH( tblFilterRegion[[#This Row],[RP_Code]], VfM_Metrics_2023_Consol_Source[RP_Code], 0 )</f>
        <v>64</v>
      </c>
      <c r="E79" s="22" cm="1">
        <f t="array" ref="E79" xml:space="preserve"> INDEX( VfM_Metrics_2023_Consol_Source[], $D79, E$14 )</f>
        <v>0</v>
      </c>
      <c r="F79" s="22" cm="1">
        <f t="array" ref="F79" xml:space="preserve"> INDEX( VfM_Metrics_2023_Consol_Source[], $D79, F$14 )</f>
        <v>4.984782429875792E-2</v>
      </c>
      <c r="G79" s="22" cm="1">
        <f t="array" ref="G79" xml:space="preserve"> INDEX( VfM_Metrics_2023_Consol_Source[], $D79, G$14 )</f>
        <v>0</v>
      </c>
      <c r="H79" s="22" cm="1">
        <f t="array" ref="H79" xml:space="preserve"> INDEX( VfM_Metrics_2023_Consol_Source[], $D79, H$14 )</f>
        <v>0.35954594061034795</v>
      </c>
      <c r="I79" s="22" cm="1">
        <f t="array" ref="I79" xml:space="preserve"> INDEX( VfM_Metrics_2023_Consol_Source[], $D79, I$14 )</f>
        <v>0</v>
      </c>
      <c r="J79" s="22" cm="1">
        <f t="array" ref="J79" xml:space="preserve"> INDEX( VfM_Metrics_2023_Consol_Source[], $D79, J$14 )</f>
        <v>0.59060623509089416</v>
      </c>
      <c r="K79" s="22" cm="1">
        <f t="array" ref="K79" xml:space="preserve"> INDEX( VfM_Metrics_2023_Consol_Source[], $D79, K$14 )</f>
        <v>0</v>
      </c>
      <c r="L79" s="22" cm="1">
        <f t="array" ref="L79" xml:space="preserve"> INDEX( VfM_Metrics_2023_Consol_Source[], $D79, L$14 )</f>
        <v>0</v>
      </c>
      <c r="M79" s="22" cm="1">
        <f t="array" ref="M79" xml:space="preserve"> INDEX( VfM_Metrics_2023_Consol_Source[], $D79, M$14 )</f>
        <v>0</v>
      </c>
      <c r="N79" s="23">
        <f xml:space="preserve"> -- AND( tblFilterRegion[[#This Row],[London]] &gt;= $N$10, N$13 = "Yes" )</f>
        <v>0</v>
      </c>
      <c r="O79" s="23">
        <f xml:space="preserve"> -- AND( tblFilterRegion[[#This Row],[South East]] &gt;= $N$10, O$13 = "Yes" )</f>
        <v>0</v>
      </c>
      <c r="P79" s="23">
        <f xml:space="preserve"> -- AND( tblFilterRegion[[#This Row],[South West]] &gt;= $N$10, P$13 = "Yes" )</f>
        <v>0</v>
      </c>
      <c r="Q79" s="23">
        <f xml:space="preserve"> -- AND( tblFilterRegion[[#This Row],[East Midlands]] &gt;= $N$10, Q$13 = "Yes" )</f>
        <v>0</v>
      </c>
      <c r="R79" s="23">
        <f xml:space="preserve"> -- AND( tblFilterRegion[[#This Row],[West Midlands]] &gt;= $N$10, R$13 = "Yes" )</f>
        <v>0</v>
      </c>
      <c r="S79" s="23">
        <f xml:space="preserve"> -- AND( tblFilterRegion[[#This Row],[East of England]] &gt;= $N$10, S$13 = "Yes" )</f>
        <v>0</v>
      </c>
      <c r="T79" s="23">
        <f xml:space="preserve"> -- AND( tblFilterRegion[[#This Row],[North East]] &gt;= $N$10, T$13 = "Yes" )</f>
        <v>0</v>
      </c>
      <c r="U79" s="23">
        <f xml:space="preserve"> -- AND( tblFilterRegion[[#This Row],[North West]] &gt;= $N$10, U$13 = "Yes" )</f>
        <v>0</v>
      </c>
      <c r="V79" s="23">
        <f xml:space="preserve"> -- AND( tblFilterRegion[[#This Row],[Yorkshire &amp; the Humber]] &gt;= $N$10, V$13 = "Yes" )</f>
        <v>0</v>
      </c>
      <c r="W79" s="22">
        <f xml:space="preserve"> SUMIF( $E$13:$M$13, "Yes", tblFilterRegion[[#This Row],[London]:[Yorkshire &amp; the Humber]] )</f>
        <v>0</v>
      </c>
      <c r="X79" s="23">
        <f xml:space="preserve"> -- ( SUM( tblFilterRegion[[#This Row],[Incl for Lon]:[Incl for YH]] ) &gt; 0 )</f>
        <v>0</v>
      </c>
      <c r="Y79" s="23">
        <f xml:space="preserve"> -- ( tblFilterRegion[[#This Row],[Total in selected regions]] &gt; $N$10 )</f>
        <v>0</v>
      </c>
      <c r="Z79" s="24">
        <f xml:space="preserve"> IF( RegionMinimum = 0, 1, IF( $R$10 = $U$8, tblFilterRegion[[#This Row],[Include for region - any]], IF( $R$10 = $U$10, tblFilterRegion[[#This Row],[Include for region - total]], "CHECK" ) ) )</f>
        <v>1</v>
      </c>
      <c r="AA79" s="131" t="str" cm="1">
        <f t="array" ref="AA79" xml:space="preserve"> INDEX( VfM_Metrics_2023_Consol_Source[], $D79, AA$14 )</f>
        <v>East of England</v>
      </c>
    </row>
    <row r="80" spans="2:27" x14ac:dyDescent="0.2">
      <c r="B80" s="159" t="s" vm="65">
        <v>275</v>
      </c>
      <c r="C80" s="154" t="str" vm="345">
        <f xml:space="preserve"> INDEX( VfM_Metrics_2023_Consol_Source[RP_Code], MATCH( tblFilterRegion[[#This Row],[RP_Name]], VfM_Metrics_2023_Consol_Source[RP_Name], 0 ) )</f>
        <v>L4465</v>
      </c>
      <c r="D80" s="81">
        <f xml:space="preserve"> MATCH( tblFilterRegion[[#This Row],[RP_Code]], VfM_Metrics_2023_Consol_Source[RP_Code], 0 )</f>
        <v>65</v>
      </c>
      <c r="E80" s="22" cm="1">
        <f t="array" ref="E80" xml:space="preserve"> INDEX( VfM_Metrics_2023_Consol_Source[], $D80, E$14 )</f>
        <v>0</v>
      </c>
      <c r="F80" s="22" cm="1">
        <f t="array" ref="F80" xml:space="preserve"> INDEX( VfM_Metrics_2023_Consol_Source[], $D80, F$14 )</f>
        <v>4.725451280597297E-5</v>
      </c>
      <c r="G80" s="22" cm="1">
        <f t="array" ref="G80" xml:space="preserve"> INDEX( VfM_Metrics_2023_Consol_Source[], $D80, G$14 )</f>
        <v>0</v>
      </c>
      <c r="H80" s="22" cm="1">
        <f t="array" ref="H80" xml:space="preserve"> INDEX( VfM_Metrics_2023_Consol_Source[], $D80, H$14 )</f>
        <v>1.8807296096777244E-2</v>
      </c>
      <c r="I80" s="22" cm="1">
        <f t="array" ref="I80" xml:space="preserve"> INDEX( VfM_Metrics_2023_Consol_Source[], $D80, I$14 )</f>
        <v>4.1583971269256214E-3</v>
      </c>
      <c r="J80" s="22" cm="1">
        <f t="array" ref="J80" xml:space="preserve"> INDEX( VfM_Metrics_2023_Consol_Source[], $D80, J$14 )</f>
        <v>0</v>
      </c>
      <c r="K80" s="22" cm="1">
        <f t="array" ref="K80" xml:space="preserve"> INDEX( VfM_Metrics_2023_Consol_Source[], $D80, K$14 )</f>
        <v>0</v>
      </c>
      <c r="L80" s="22" cm="1">
        <f t="array" ref="L80" xml:space="preserve"> INDEX( VfM_Metrics_2023_Consol_Source[], $D80, L$14 )</f>
        <v>0.83772800302428885</v>
      </c>
      <c r="M80" s="22" cm="1">
        <f t="array" ref="M80" xml:space="preserve"> INDEX( VfM_Metrics_2023_Consol_Source[], $D80, M$14 )</f>
        <v>0.13925904923920235</v>
      </c>
      <c r="N80" s="23">
        <f xml:space="preserve"> -- AND( tblFilterRegion[[#This Row],[London]] &gt;= $N$10, N$13 = "Yes" )</f>
        <v>0</v>
      </c>
      <c r="O80" s="23">
        <f xml:space="preserve"> -- AND( tblFilterRegion[[#This Row],[South East]] &gt;= $N$10, O$13 = "Yes" )</f>
        <v>0</v>
      </c>
      <c r="P80" s="23">
        <f xml:space="preserve"> -- AND( tblFilterRegion[[#This Row],[South West]] &gt;= $N$10, P$13 = "Yes" )</f>
        <v>0</v>
      </c>
      <c r="Q80" s="23">
        <f xml:space="preserve"> -- AND( tblFilterRegion[[#This Row],[East Midlands]] &gt;= $N$10, Q$13 = "Yes" )</f>
        <v>0</v>
      </c>
      <c r="R80" s="23">
        <f xml:space="preserve"> -- AND( tblFilterRegion[[#This Row],[West Midlands]] &gt;= $N$10, R$13 = "Yes" )</f>
        <v>0</v>
      </c>
      <c r="S80" s="23">
        <f xml:space="preserve"> -- AND( tblFilterRegion[[#This Row],[East of England]] &gt;= $N$10, S$13 = "Yes" )</f>
        <v>0</v>
      </c>
      <c r="T80" s="23">
        <f xml:space="preserve"> -- AND( tblFilterRegion[[#This Row],[North East]] &gt;= $N$10, T$13 = "Yes" )</f>
        <v>0</v>
      </c>
      <c r="U80" s="23">
        <f xml:space="preserve"> -- AND( tblFilterRegion[[#This Row],[North West]] &gt;= $N$10, U$13 = "Yes" )</f>
        <v>0</v>
      </c>
      <c r="V80" s="23">
        <f xml:space="preserve"> -- AND( tblFilterRegion[[#This Row],[Yorkshire &amp; the Humber]] &gt;= $N$10, V$13 = "Yes" )</f>
        <v>0</v>
      </c>
      <c r="W80" s="22">
        <f xml:space="preserve"> SUMIF( $E$13:$M$13, "Yes", tblFilterRegion[[#This Row],[London]:[Yorkshire &amp; the Humber]] )</f>
        <v>0</v>
      </c>
      <c r="X80" s="23">
        <f xml:space="preserve"> -- ( SUM( tblFilterRegion[[#This Row],[Incl for Lon]:[Incl for YH]] ) &gt; 0 )</f>
        <v>0</v>
      </c>
      <c r="Y80" s="23">
        <f xml:space="preserve"> -- ( tblFilterRegion[[#This Row],[Total in selected regions]] &gt; $N$10 )</f>
        <v>0</v>
      </c>
      <c r="Z80" s="24">
        <f xml:space="preserve"> IF( RegionMinimum = 0, 1, IF( $R$10 = $U$8, tblFilterRegion[[#This Row],[Include for region - any]], IF( $R$10 = $U$10, tblFilterRegion[[#This Row],[Include for region - total]], "CHECK" ) ) )</f>
        <v>1</v>
      </c>
      <c r="AA80" s="131" t="str" cm="1">
        <f t="array" ref="AA80" xml:space="preserve"> INDEX( VfM_Metrics_2023_Consol_Source[], $D80, AA$14 )</f>
        <v>North West</v>
      </c>
    </row>
    <row r="81" spans="2:27" x14ac:dyDescent="0.2">
      <c r="B81" s="159" t="s" vm="66">
        <v>277</v>
      </c>
      <c r="C81" s="154" t="str" vm="373">
        <f xml:space="preserve"> INDEX( VfM_Metrics_2023_Consol_Source[RP_Code], MATCH( tblFilterRegion[[#This Row],[RP_Name]], VfM_Metrics_2023_Consol_Source[RP_Name], 0 ) )</f>
        <v>L4509</v>
      </c>
      <c r="D81" s="81">
        <f xml:space="preserve"> MATCH( tblFilterRegion[[#This Row],[RP_Code]], VfM_Metrics_2023_Consol_Source[RP_Code], 0 )</f>
        <v>66</v>
      </c>
      <c r="E81" s="22" cm="1">
        <f t="array" ref="E81" xml:space="preserve"> INDEX( VfM_Metrics_2023_Consol_Source[], $D81, E$14 )</f>
        <v>0</v>
      </c>
      <c r="F81" s="22" cm="1">
        <f t="array" ref="F81" xml:space="preserve"> INDEX( VfM_Metrics_2023_Consol_Source[], $D81, F$14 )</f>
        <v>0</v>
      </c>
      <c r="G81" s="22" cm="1">
        <f t="array" ref="G81" xml:space="preserve"> INDEX( VfM_Metrics_2023_Consol_Source[], $D81, G$14 )</f>
        <v>0</v>
      </c>
      <c r="H81" s="22" cm="1">
        <f t="array" ref="H81" xml:space="preserve"> INDEX( VfM_Metrics_2023_Consol_Source[], $D81, H$14 )</f>
        <v>1</v>
      </c>
      <c r="I81" s="22" cm="1">
        <f t="array" ref="I81" xml:space="preserve"> INDEX( VfM_Metrics_2023_Consol_Source[], $D81, I$14 )</f>
        <v>0</v>
      </c>
      <c r="J81" s="22" cm="1">
        <f t="array" ref="J81" xml:space="preserve"> INDEX( VfM_Metrics_2023_Consol_Source[], $D81, J$14 )</f>
        <v>0</v>
      </c>
      <c r="K81" s="22" cm="1">
        <f t="array" ref="K81" xml:space="preserve"> INDEX( VfM_Metrics_2023_Consol_Source[], $D81, K$14 )</f>
        <v>0</v>
      </c>
      <c r="L81" s="22" cm="1">
        <f t="array" ref="L81" xml:space="preserve"> INDEX( VfM_Metrics_2023_Consol_Source[], $D81, L$14 )</f>
        <v>0</v>
      </c>
      <c r="M81" s="22" cm="1">
        <f t="array" ref="M81" xml:space="preserve"> INDEX( VfM_Metrics_2023_Consol_Source[], $D81, M$14 )</f>
        <v>0</v>
      </c>
      <c r="N81" s="23">
        <f xml:space="preserve"> -- AND( tblFilterRegion[[#This Row],[London]] &gt;= $N$10, N$13 = "Yes" )</f>
        <v>0</v>
      </c>
      <c r="O81" s="23">
        <f xml:space="preserve"> -- AND( tblFilterRegion[[#This Row],[South East]] &gt;= $N$10, O$13 = "Yes" )</f>
        <v>0</v>
      </c>
      <c r="P81" s="23">
        <f xml:space="preserve"> -- AND( tblFilterRegion[[#This Row],[South West]] &gt;= $N$10, P$13 = "Yes" )</f>
        <v>0</v>
      </c>
      <c r="Q81" s="23">
        <f xml:space="preserve"> -- AND( tblFilterRegion[[#This Row],[East Midlands]] &gt;= $N$10, Q$13 = "Yes" )</f>
        <v>0</v>
      </c>
      <c r="R81" s="23">
        <f xml:space="preserve"> -- AND( tblFilterRegion[[#This Row],[West Midlands]] &gt;= $N$10, R$13 = "Yes" )</f>
        <v>0</v>
      </c>
      <c r="S81" s="23">
        <f xml:space="preserve"> -- AND( tblFilterRegion[[#This Row],[East of England]] &gt;= $N$10, S$13 = "Yes" )</f>
        <v>0</v>
      </c>
      <c r="T81" s="23">
        <f xml:space="preserve"> -- AND( tblFilterRegion[[#This Row],[North East]] &gt;= $N$10, T$13 = "Yes" )</f>
        <v>0</v>
      </c>
      <c r="U81" s="23">
        <f xml:space="preserve"> -- AND( tblFilterRegion[[#This Row],[North West]] &gt;= $N$10, U$13 = "Yes" )</f>
        <v>0</v>
      </c>
      <c r="V81" s="23">
        <f xml:space="preserve"> -- AND( tblFilterRegion[[#This Row],[Yorkshire &amp; the Humber]] &gt;= $N$10, V$13 = "Yes" )</f>
        <v>0</v>
      </c>
      <c r="W81" s="22">
        <f xml:space="preserve"> SUMIF( $E$13:$M$13, "Yes", tblFilterRegion[[#This Row],[London]:[Yorkshire &amp; the Humber]] )</f>
        <v>0</v>
      </c>
      <c r="X81" s="23">
        <f xml:space="preserve"> -- ( SUM( tblFilterRegion[[#This Row],[Incl for Lon]:[Incl for YH]] ) &gt; 0 )</f>
        <v>0</v>
      </c>
      <c r="Y81" s="23">
        <f xml:space="preserve"> -- ( tblFilterRegion[[#This Row],[Total in selected regions]] &gt; $N$10 )</f>
        <v>0</v>
      </c>
      <c r="Z81" s="24">
        <f xml:space="preserve"> IF( RegionMinimum = 0, 1, IF( $R$10 = $U$8, tblFilterRegion[[#This Row],[Include for region - any]], IF( $R$10 = $U$10, tblFilterRegion[[#This Row],[Include for region - total]], "CHECK" ) ) )</f>
        <v>1</v>
      </c>
      <c r="AA81" s="131" t="str" cm="1">
        <f t="array" ref="AA81" xml:space="preserve"> INDEX( VfM_Metrics_2023_Consol_Source[], $D81, AA$14 )</f>
        <v>East Midlands</v>
      </c>
    </row>
    <row r="82" spans="2:27" x14ac:dyDescent="0.2">
      <c r="B82" s="159" t="s" vm="67">
        <v>279</v>
      </c>
      <c r="C82" s="154" t="str" vm="340">
        <f xml:space="preserve"> INDEX( VfM_Metrics_2023_Consol_Source[RP_Code], MATCH( tblFilterRegion[[#This Row],[RP_Name]], VfM_Metrics_2023_Consol_Source[RP_Name], 0 ) )</f>
        <v>LH3902</v>
      </c>
      <c r="D82" s="81">
        <f xml:space="preserve"> MATCH( tblFilterRegion[[#This Row],[RP_Code]], VfM_Metrics_2023_Consol_Source[RP_Code], 0 )</f>
        <v>67</v>
      </c>
      <c r="E82" s="22" cm="1">
        <f t="array" ref="E82" xml:space="preserve"> INDEX( VfM_Metrics_2023_Consol_Source[], $D82, E$14 )</f>
        <v>0</v>
      </c>
      <c r="F82" s="22" cm="1">
        <f t="array" ref="F82" xml:space="preserve"> INDEX( VfM_Metrics_2023_Consol_Source[], $D82, F$14 )</f>
        <v>0.14541110889906431</v>
      </c>
      <c r="G82" s="22" cm="1">
        <f t="array" ref="G82" xml:space="preserve"> INDEX( VfM_Metrics_2023_Consol_Source[], $D82, G$14 )</f>
        <v>0.35253832371092975</v>
      </c>
      <c r="H82" s="22" cm="1">
        <f t="array" ref="H82" xml:space="preserve"> INDEX( VfM_Metrics_2023_Consol_Source[], $D82, H$14 )</f>
        <v>2.0704758112681664E-3</v>
      </c>
      <c r="I82" s="22" cm="1">
        <f t="array" ref="I82" xml:space="preserve"> INDEX( VfM_Metrics_2023_Consol_Source[], $D82, I$14 )</f>
        <v>0.4999800915787378</v>
      </c>
      <c r="J82" s="22" cm="1">
        <f t="array" ref="J82" xml:space="preserve"> INDEX( VfM_Metrics_2023_Consol_Source[], $D82, J$14 )</f>
        <v>0</v>
      </c>
      <c r="K82" s="22" cm="1">
        <f t="array" ref="K82" xml:space="preserve"> INDEX( VfM_Metrics_2023_Consol_Source[], $D82, K$14 )</f>
        <v>0</v>
      </c>
      <c r="L82" s="22" cm="1">
        <f t="array" ref="L82" xml:space="preserve"> INDEX( VfM_Metrics_2023_Consol_Source[], $D82, L$14 )</f>
        <v>0</v>
      </c>
      <c r="M82" s="22" cm="1">
        <f t="array" ref="M82" xml:space="preserve"> INDEX( VfM_Metrics_2023_Consol_Source[], $D82, M$14 )</f>
        <v>0</v>
      </c>
      <c r="N82" s="23">
        <f xml:space="preserve"> -- AND( tblFilterRegion[[#This Row],[London]] &gt;= $N$10, N$13 = "Yes" )</f>
        <v>0</v>
      </c>
      <c r="O82" s="23">
        <f xml:space="preserve"> -- AND( tblFilterRegion[[#This Row],[South East]] &gt;= $N$10, O$13 = "Yes" )</f>
        <v>0</v>
      </c>
      <c r="P82" s="23">
        <f xml:space="preserve"> -- AND( tblFilterRegion[[#This Row],[South West]] &gt;= $N$10, P$13 = "Yes" )</f>
        <v>0</v>
      </c>
      <c r="Q82" s="23">
        <f xml:space="preserve"> -- AND( tblFilterRegion[[#This Row],[East Midlands]] &gt;= $N$10, Q$13 = "Yes" )</f>
        <v>0</v>
      </c>
      <c r="R82" s="23">
        <f xml:space="preserve"> -- AND( tblFilterRegion[[#This Row],[West Midlands]] &gt;= $N$10, R$13 = "Yes" )</f>
        <v>0</v>
      </c>
      <c r="S82" s="23">
        <f xml:space="preserve"> -- AND( tblFilterRegion[[#This Row],[East of England]] &gt;= $N$10, S$13 = "Yes" )</f>
        <v>0</v>
      </c>
      <c r="T82" s="23">
        <f xml:space="preserve"> -- AND( tblFilterRegion[[#This Row],[North East]] &gt;= $N$10, T$13 = "Yes" )</f>
        <v>0</v>
      </c>
      <c r="U82" s="23">
        <f xml:space="preserve"> -- AND( tblFilterRegion[[#This Row],[North West]] &gt;= $N$10, U$13 = "Yes" )</f>
        <v>0</v>
      </c>
      <c r="V82" s="23">
        <f xml:space="preserve"> -- AND( tblFilterRegion[[#This Row],[Yorkshire &amp; the Humber]] &gt;= $N$10, V$13 = "Yes" )</f>
        <v>0</v>
      </c>
      <c r="W82" s="22">
        <f xml:space="preserve"> SUMIF( $E$13:$M$13, "Yes", tblFilterRegion[[#This Row],[London]:[Yorkshire &amp; the Humber]] )</f>
        <v>0</v>
      </c>
      <c r="X82" s="23">
        <f xml:space="preserve"> -- ( SUM( tblFilterRegion[[#This Row],[Incl for Lon]:[Incl for YH]] ) &gt; 0 )</f>
        <v>0</v>
      </c>
      <c r="Y82" s="23">
        <f xml:space="preserve"> -- ( tblFilterRegion[[#This Row],[Total in selected regions]] &gt; $N$10 )</f>
        <v>0</v>
      </c>
      <c r="Z82" s="24">
        <f xml:space="preserve"> IF( RegionMinimum = 0, 1, IF( $R$10 = $U$8, tblFilterRegion[[#This Row],[Include for region - any]], IF( $R$10 = $U$10, tblFilterRegion[[#This Row],[Include for region - total]], "CHECK" ) ) )</f>
        <v>1</v>
      </c>
      <c r="AA82" s="131" t="str" cm="1">
        <f t="array" ref="AA82" xml:space="preserve"> INDEX( VfM_Metrics_2023_Consol_Source[], $D82, AA$14 )</f>
        <v>Mixed</v>
      </c>
    </row>
    <row r="83" spans="2:27" x14ac:dyDescent="0.2">
      <c r="B83" s="159" t="s" vm="68">
        <v>281</v>
      </c>
      <c r="C83" s="154" t="str" vm="311">
        <f xml:space="preserve"> INDEX( VfM_Metrics_2023_Consol_Source[RP_Code], MATCH( tblFilterRegion[[#This Row],[RP_Name]], VfM_Metrics_2023_Consol_Source[RP_Name], 0 ) )</f>
        <v>LH0459</v>
      </c>
      <c r="D83" s="81">
        <f xml:space="preserve"> MATCH( tblFilterRegion[[#This Row],[RP_Code]], VfM_Metrics_2023_Consol_Source[RP_Code], 0 )</f>
        <v>68</v>
      </c>
      <c r="E83" s="22" cm="1">
        <f t="array" ref="E83" xml:space="preserve"> INDEX( VfM_Metrics_2023_Consol_Source[], $D83, E$14 )</f>
        <v>0.2916923076923077</v>
      </c>
      <c r="F83" s="22" cm="1">
        <f t="array" ref="F83" xml:space="preserve"> INDEX( VfM_Metrics_2023_Consol_Source[], $D83, F$14 )</f>
        <v>0.12553846153846154</v>
      </c>
      <c r="G83" s="22" cm="1">
        <f t="array" ref="G83" xml:space="preserve"> INDEX( VfM_Metrics_2023_Consol_Source[], $D83, G$14 )</f>
        <v>0.11138461538461539</v>
      </c>
      <c r="H83" s="22" cm="1">
        <f t="array" ref="H83" xml:space="preserve"> INDEX( VfM_Metrics_2023_Consol_Source[], $D83, H$14 )</f>
        <v>1.0153846153846154E-2</v>
      </c>
      <c r="I83" s="22" cm="1">
        <f t="array" ref="I83" xml:space="preserve"> INDEX( VfM_Metrics_2023_Consol_Source[], $D83, I$14 )</f>
        <v>4.2769230769230768E-2</v>
      </c>
      <c r="J83" s="22" cm="1">
        <f t="array" ref="J83" xml:space="preserve"> INDEX( VfM_Metrics_2023_Consol_Source[], $D83, J$14 )</f>
        <v>9.1692307692307698E-2</v>
      </c>
      <c r="K83" s="22" cm="1">
        <f t="array" ref="K83" xml:space="preserve"> INDEX( VfM_Metrics_2023_Consol_Source[], $D83, K$14 )</f>
        <v>0.13292307692307692</v>
      </c>
      <c r="L83" s="22" cm="1">
        <f t="array" ref="L83" xml:space="preserve"> INDEX( VfM_Metrics_2023_Consol_Source[], $D83, L$14 )</f>
        <v>1.3846153846153847E-2</v>
      </c>
      <c r="M83" s="22" cm="1">
        <f t="array" ref="M83" xml:space="preserve"> INDEX( VfM_Metrics_2023_Consol_Source[], $D83, M$14 )</f>
        <v>0.18</v>
      </c>
      <c r="N83" s="23">
        <f xml:space="preserve"> -- AND( tblFilterRegion[[#This Row],[London]] &gt;= $N$10, N$13 = "Yes" )</f>
        <v>0</v>
      </c>
      <c r="O83" s="23">
        <f xml:space="preserve"> -- AND( tblFilterRegion[[#This Row],[South East]] &gt;= $N$10, O$13 = "Yes" )</f>
        <v>0</v>
      </c>
      <c r="P83" s="23">
        <f xml:space="preserve"> -- AND( tblFilterRegion[[#This Row],[South West]] &gt;= $N$10, P$13 = "Yes" )</f>
        <v>0</v>
      </c>
      <c r="Q83" s="23">
        <f xml:space="preserve"> -- AND( tblFilterRegion[[#This Row],[East Midlands]] &gt;= $N$10, Q$13 = "Yes" )</f>
        <v>0</v>
      </c>
      <c r="R83" s="23">
        <f xml:space="preserve"> -- AND( tblFilterRegion[[#This Row],[West Midlands]] &gt;= $N$10, R$13 = "Yes" )</f>
        <v>0</v>
      </c>
      <c r="S83" s="23">
        <f xml:space="preserve"> -- AND( tblFilterRegion[[#This Row],[East of England]] &gt;= $N$10, S$13 = "Yes" )</f>
        <v>0</v>
      </c>
      <c r="T83" s="23">
        <f xml:space="preserve"> -- AND( tblFilterRegion[[#This Row],[North East]] &gt;= $N$10, T$13 = "Yes" )</f>
        <v>0</v>
      </c>
      <c r="U83" s="23">
        <f xml:space="preserve"> -- AND( tblFilterRegion[[#This Row],[North West]] &gt;= $N$10, U$13 = "Yes" )</f>
        <v>0</v>
      </c>
      <c r="V83" s="23">
        <f xml:space="preserve"> -- AND( tblFilterRegion[[#This Row],[Yorkshire &amp; the Humber]] &gt;= $N$10, V$13 = "Yes" )</f>
        <v>0</v>
      </c>
      <c r="W83" s="22">
        <f xml:space="preserve"> SUMIF( $E$13:$M$13, "Yes", tblFilterRegion[[#This Row],[London]:[Yorkshire &amp; the Humber]] )</f>
        <v>0</v>
      </c>
      <c r="X83" s="23">
        <f xml:space="preserve"> -- ( SUM( tblFilterRegion[[#This Row],[Incl for Lon]:[Incl for YH]] ) &gt; 0 )</f>
        <v>0</v>
      </c>
      <c r="Y83" s="23">
        <f xml:space="preserve"> -- ( tblFilterRegion[[#This Row],[Total in selected regions]] &gt; $N$10 )</f>
        <v>0</v>
      </c>
      <c r="Z83" s="24">
        <f xml:space="preserve"> IF( RegionMinimum = 0, 1, IF( $R$10 = $U$8, tblFilterRegion[[#This Row],[Include for region - any]], IF( $R$10 = $U$10, tblFilterRegion[[#This Row],[Include for region - total]], "CHECK" ) ) )</f>
        <v>1</v>
      </c>
      <c r="AA83" s="131" t="str" cm="1">
        <f t="array" ref="AA83" xml:space="preserve"> INDEX( VfM_Metrics_2023_Consol_Source[], $D83, AA$14 )</f>
        <v>Mixed</v>
      </c>
    </row>
    <row r="84" spans="2:27" x14ac:dyDescent="0.2">
      <c r="B84" s="159" t="s" vm="69">
        <v>283</v>
      </c>
      <c r="C84" s="154" t="str" vm="387">
        <f xml:space="preserve"> INDEX( VfM_Metrics_2023_Consol_Source[RP_Code], MATCH( tblFilterRegion[[#This Row],[RP_Name]], VfM_Metrics_2023_Consol_Source[RP_Name], 0 ) )</f>
        <v>L4456</v>
      </c>
      <c r="D84" s="81">
        <f xml:space="preserve"> MATCH( tblFilterRegion[[#This Row],[RP_Code]], VfM_Metrics_2023_Consol_Source[RP_Code], 0 )</f>
        <v>69</v>
      </c>
      <c r="E84" s="22" cm="1">
        <f t="array" ref="E84" xml:space="preserve"> INDEX( VfM_Metrics_2023_Consol_Source[], $D84, E$14 )</f>
        <v>0</v>
      </c>
      <c r="F84" s="22" cm="1">
        <f t="array" ref="F84" xml:space="preserve"> INDEX( VfM_Metrics_2023_Consol_Source[], $D84, F$14 )</f>
        <v>0</v>
      </c>
      <c r="G84" s="22" cm="1">
        <f t="array" ref="G84" xml:space="preserve"> INDEX( VfM_Metrics_2023_Consol_Source[], $D84, G$14 )</f>
        <v>0</v>
      </c>
      <c r="H84" s="22" cm="1">
        <f t="array" ref="H84" xml:space="preserve"> INDEX( VfM_Metrics_2023_Consol_Source[], $D84, H$14 )</f>
        <v>0</v>
      </c>
      <c r="I84" s="22" cm="1">
        <f t="array" ref="I84" xml:space="preserve"> INDEX( VfM_Metrics_2023_Consol_Source[], $D84, I$14 )</f>
        <v>0</v>
      </c>
      <c r="J84" s="22" cm="1">
        <f t="array" ref="J84" xml:space="preserve"> INDEX( VfM_Metrics_2023_Consol_Source[], $D84, J$14 )</f>
        <v>0</v>
      </c>
      <c r="K84" s="22" cm="1">
        <f t="array" ref="K84" xml:space="preserve"> INDEX( VfM_Metrics_2023_Consol_Source[], $D84, K$14 )</f>
        <v>0</v>
      </c>
      <c r="L84" s="22" cm="1">
        <f t="array" ref="L84" xml:space="preserve"> INDEX( VfM_Metrics_2023_Consol_Source[], $D84, L$14 )</f>
        <v>1</v>
      </c>
      <c r="M84" s="22" cm="1">
        <f t="array" ref="M84" xml:space="preserve"> INDEX( VfM_Metrics_2023_Consol_Source[], $D84, M$14 )</f>
        <v>0</v>
      </c>
      <c r="N84" s="23">
        <f xml:space="preserve"> -- AND( tblFilterRegion[[#This Row],[London]] &gt;= $N$10, N$13 = "Yes" )</f>
        <v>0</v>
      </c>
      <c r="O84" s="23">
        <f xml:space="preserve"> -- AND( tblFilterRegion[[#This Row],[South East]] &gt;= $N$10, O$13 = "Yes" )</f>
        <v>0</v>
      </c>
      <c r="P84" s="23">
        <f xml:space="preserve"> -- AND( tblFilterRegion[[#This Row],[South West]] &gt;= $N$10, P$13 = "Yes" )</f>
        <v>0</v>
      </c>
      <c r="Q84" s="23">
        <f xml:space="preserve"> -- AND( tblFilterRegion[[#This Row],[East Midlands]] &gt;= $N$10, Q$13 = "Yes" )</f>
        <v>0</v>
      </c>
      <c r="R84" s="23">
        <f xml:space="preserve"> -- AND( tblFilterRegion[[#This Row],[West Midlands]] &gt;= $N$10, R$13 = "Yes" )</f>
        <v>0</v>
      </c>
      <c r="S84" s="23">
        <f xml:space="preserve"> -- AND( tblFilterRegion[[#This Row],[East of England]] &gt;= $N$10, S$13 = "Yes" )</f>
        <v>0</v>
      </c>
      <c r="T84" s="23">
        <f xml:space="preserve"> -- AND( tblFilterRegion[[#This Row],[North East]] &gt;= $N$10, T$13 = "Yes" )</f>
        <v>0</v>
      </c>
      <c r="U84" s="23">
        <f xml:space="preserve"> -- AND( tblFilterRegion[[#This Row],[North West]] &gt;= $N$10, U$13 = "Yes" )</f>
        <v>0</v>
      </c>
      <c r="V84" s="23">
        <f xml:space="preserve"> -- AND( tblFilterRegion[[#This Row],[Yorkshire &amp; the Humber]] &gt;= $N$10, V$13 = "Yes" )</f>
        <v>0</v>
      </c>
      <c r="W84" s="22">
        <f xml:space="preserve"> SUMIF( $E$13:$M$13, "Yes", tblFilterRegion[[#This Row],[London]:[Yorkshire &amp; the Humber]] )</f>
        <v>0</v>
      </c>
      <c r="X84" s="23">
        <f xml:space="preserve"> -- ( SUM( tblFilterRegion[[#This Row],[Incl for Lon]:[Incl for YH]] ) &gt; 0 )</f>
        <v>0</v>
      </c>
      <c r="Y84" s="23">
        <f xml:space="preserve"> -- ( tblFilterRegion[[#This Row],[Total in selected regions]] &gt; $N$10 )</f>
        <v>0</v>
      </c>
      <c r="Z84" s="24">
        <f xml:space="preserve"> IF( RegionMinimum = 0, 1, IF( $R$10 = $U$8, tblFilterRegion[[#This Row],[Include for region - any]], IF( $R$10 = $U$10, tblFilterRegion[[#This Row],[Include for region - total]], "CHECK" ) ) )</f>
        <v>1</v>
      </c>
      <c r="AA84" s="131" t="str" cm="1">
        <f t="array" ref="AA84" xml:space="preserve"> INDEX( VfM_Metrics_2023_Consol_Source[], $D84, AA$14 )</f>
        <v>North West</v>
      </c>
    </row>
    <row r="85" spans="2:27" x14ac:dyDescent="0.2">
      <c r="B85" s="159" t="s" vm="70">
        <v>285</v>
      </c>
      <c r="C85" s="154" t="str" vm="395">
        <f xml:space="preserve"> INDEX( VfM_Metrics_2023_Consol_Source[RP_Code], MATCH( tblFilterRegion[[#This Row],[RP_Name]], VfM_Metrics_2023_Consol_Source[RP_Name], 0 ) )</f>
        <v>L0018</v>
      </c>
      <c r="D85" s="81">
        <f xml:space="preserve"> MATCH( tblFilterRegion[[#This Row],[RP_Code]], VfM_Metrics_2023_Consol_Source[RP_Code], 0 )</f>
        <v>70</v>
      </c>
      <c r="E85" s="22" cm="1">
        <f t="array" ref="E85" xml:space="preserve"> INDEX( VfM_Metrics_2023_Consol_Source[], $D85, E$14 )</f>
        <v>5.1737756714060029E-2</v>
      </c>
      <c r="F85" s="22" cm="1">
        <f t="array" ref="F85" xml:space="preserve"> INDEX( VfM_Metrics_2023_Consol_Source[], $D85, F$14 )</f>
        <v>0.26599526066350709</v>
      </c>
      <c r="G85" s="22" cm="1">
        <f t="array" ref="G85" xml:space="preserve"> INDEX( VfM_Metrics_2023_Consol_Source[], $D85, G$14 )</f>
        <v>0.29601105845181674</v>
      </c>
      <c r="H85" s="22" cm="1">
        <f t="array" ref="H85" xml:space="preserve"> INDEX( VfM_Metrics_2023_Consol_Source[], $D85, H$14 )</f>
        <v>8.0963665086887827E-3</v>
      </c>
      <c r="I85" s="22" cm="1">
        <f t="array" ref="I85" xml:space="preserve"> INDEX( VfM_Metrics_2023_Consol_Source[], $D85, I$14 )</f>
        <v>0</v>
      </c>
      <c r="J85" s="22" cm="1">
        <f t="array" ref="J85" xml:space="preserve"> INDEX( VfM_Metrics_2023_Consol_Source[], $D85, J$14 )</f>
        <v>0.37815955766192733</v>
      </c>
      <c r="K85" s="22" cm="1">
        <f t="array" ref="K85" xml:space="preserve"> INDEX( VfM_Metrics_2023_Consol_Source[], $D85, K$14 )</f>
        <v>0</v>
      </c>
      <c r="L85" s="22" cm="1">
        <f t="array" ref="L85" xml:space="preserve"> INDEX( VfM_Metrics_2023_Consol_Source[], $D85, L$14 )</f>
        <v>0</v>
      </c>
      <c r="M85" s="22" cm="1">
        <f t="array" ref="M85" xml:space="preserve"> INDEX( VfM_Metrics_2023_Consol_Source[], $D85, M$14 )</f>
        <v>0</v>
      </c>
      <c r="N85" s="23">
        <f xml:space="preserve"> -- AND( tblFilterRegion[[#This Row],[London]] &gt;= $N$10, N$13 = "Yes" )</f>
        <v>0</v>
      </c>
      <c r="O85" s="23">
        <f xml:space="preserve"> -- AND( tblFilterRegion[[#This Row],[South East]] &gt;= $N$10, O$13 = "Yes" )</f>
        <v>0</v>
      </c>
      <c r="P85" s="23">
        <f xml:space="preserve"> -- AND( tblFilterRegion[[#This Row],[South West]] &gt;= $N$10, P$13 = "Yes" )</f>
        <v>0</v>
      </c>
      <c r="Q85" s="23">
        <f xml:space="preserve"> -- AND( tblFilterRegion[[#This Row],[East Midlands]] &gt;= $N$10, Q$13 = "Yes" )</f>
        <v>0</v>
      </c>
      <c r="R85" s="23">
        <f xml:space="preserve"> -- AND( tblFilterRegion[[#This Row],[West Midlands]] &gt;= $N$10, R$13 = "Yes" )</f>
        <v>0</v>
      </c>
      <c r="S85" s="23">
        <f xml:space="preserve"> -- AND( tblFilterRegion[[#This Row],[East of England]] &gt;= $N$10, S$13 = "Yes" )</f>
        <v>0</v>
      </c>
      <c r="T85" s="23">
        <f xml:space="preserve"> -- AND( tblFilterRegion[[#This Row],[North East]] &gt;= $N$10, T$13 = "Yes" )</f>
        <v>0</v>
      </c>
      <c r="U85" s="23">
        <f xml:space="preserve"> -- AND( tblFilterRegion[[#This Row],[North West]] &gt;= $N$10, U$13 = "Yes" )</f>
        <v>0</v>
      </c>
      <c r="V85" s="23">
        <f xml:space="preserve"> -- AND( tblFilterRegion[[#This Row],[Yorkshire &amp; the Humber]] &gt;= $N$10, V$13 = "Yes" )</f>
        <v>0</v>
      </c>
      <c r="W85" s="22">
        <f xml:space="preserve"> SUMIF( $E$13:$M$13, "Yes", tblFilterRegion[[#This Row],[London]:[Yorkshire &amp; the Humber]] )</f>
        <v>0</v>
      </c>
      <c r="X85" s="23">
        <f xml:space="preserve"> -- ( SUM( tblFilterRegion[[#This Row],[Incl for Lon]:[Incl for YH]] ) &gt; 0 )</f>
        <v>0</v>
      </c>
      <c r="Y85" s="23">
        <f xml:space="preserve"> -- ( tblFilterRegion[[#This Row],[Total in selected regions]] &gt; $N$10 )</f>
        <v>0</v>
      </c>
      <c r="Z85" s="24">
        <f xml:space="preserve"> IF( RegionMinimum = 0, 1, IF( $R$10 = $U$8, tblFilterRegion[[#This Row],[Include for region - any]], IF( $R$10 = $U$10, tblFilterRegion[[#This Row],[Include for region - total]], "CHECK" ) ) )</f>
        <v>1</v>
      </c>
      <c r="AA85" s="131" t="str" cm="1">
        <f t="array" ref="AA85" xml:space="preserve"> INDEX( VfM_Metrics_2023_Consol_Source[], $D85, AA$14 )</f>
        <v>Mixed</v>
      </c>
    </row>
    <row r="86" spans="2:27" x14ac:dyDescent="0.2">
      <c r="B86" s="159" t="s" vm="71">
        <v>287</v>
      </c>
      <c r="C86" s="154" t="str" vm="313">
        <f xml:space="preserve"> INDEX( VfM_Metrics_2023_Consol_Source[RP_Code], MATCH( tblFilterRegion[[#This Row],[RP_Name]], VfM_Metrics_2023_Consol_Source[RP_Name], 0 ) )</f>
        <v>L1538</v>
      </c>
      <c r="D86" s="81">
        <f xml:space="preserve"> MATCH( tblFilterRegion[[#This Row],[RP_Code]], VfM_Metrics_2023_Consol_Source[RP_Code], 0 )</f>
        <v>71</v>
      </c>
      <c r="E86" s="22" cm="1">
        <f t="array" ref="E86" xml:space="preserve"> INDEX( VfM_Metrics_2023_Consol_Source[], $D86, E$14 )</f>
        <v>0.99765203099319089</v>
      </c>
      <c r="F86" s="22" cm="1">
        <f t="array" ref="F86" xml:space="preserve"> INDEX( VfM_Metrics_2023_Consol_Source[], $D86, F$14 )</f>
        <v>2.3479690068091102E-3</v>
      </c>
      <c r="G86" s="22" cm="1">
        <f t="array" ref="G86" xml:space="preserve"> INDEX( VfM_Metrics_2023_Consol_Source[], $D86, G$14 )</f>
        <v>0</v>
      </c>
      <c r="H86" s="22" cm="1">
        <f t="array" ref="H86" xml:space="preserve"> INDEX( VfM_Metrics_2023_Consol_Source[], $D86, H$14 )</f>
        <v>0</v>
      </c>
      <c r="I86" s="22" cm="1">
        <f t="array" ref="I86" xml:space="preserve"> INDEX( VfM_Metrics_2023_Consol_Source[], $D86, I$14 )</f>
        <v>0</v>
      </c>
      <c r="J86" s="22" cm="1">
        <f t="array" ref="J86" xml:space="preserve"> INDEX( VfM_Metrics_2023_Consol_Source[], $D86, J$14 )</f>
        <v>0</v>
      </c>
      <c r="K86" s="22" cm="1">
        <f t="array" ref="K86" xml:space="preserve"> INDEX( VfM_Metrics_2023_Consol_Source[], $D86, K$14 )</f>
        <v>0</v>
      </c>
      <c r="L86" s="22" cm="1">
        <f t="array" ref="L86" xml:space="preserve"> INDEX( VfM_Metrics_2023_Consol_Source[], $D86, L$14 )</f>
        <v>0</v>
      </c>
      <c r="M86" s="22" cm="1">
        <f t="array" ref="M86" xml:space="preserve"> INDEX( VfM_Metrics_2023_Consol_Source[], $D86, M$14 )</f>
        <v>0</v>
      </c>
      <c r="N86" s="23">
        <f xml:space="preserve"> -- AND( tblFilterRegion[[#This Row],[London]] &gt;= $N$10, N$13 = "Yes" )</f>
        <v>0</v>
      </c>
      <c r="O86" s="23">
        <f xml:space="preserve"> -- AND( tblFilterRegion[[#This Row],[South East]] &gt;= $N$10, O$13 = "Yes" )</f>
        <v>0</v>
      </c>
      <c r="P86" s="23">
        <f xml:space="preserve"> -- AND( tblFilterRegion[[#This Row],[South West]] &gt;= $N$10, P$13 = "Yes" )</f>
        <v>0</v>
      </c>
      <c r="Q86" s="23">
        <f xml:space="preserve"> -- AND( tblFilterRegion[[#This Row],[East Midlands]] &gt;= $N$10, Q$13 = "Yes" )</f>
        <v>0</v>
      </c>
      <c r="R86" s="23">
        <f xml:space="preserve"> -- AND( tblFilterRegion[[#This Row],[West Midlands]] &gt;= $N$10, R$13 = "Yes" )</f>
        <v>0</v>
      </c>
      <c r="S86" s="23">
        <f xml:space="preserve"> -- AND( tblFilterRegion[[#This Row],[East of England]] &gt;= $N$10, S$13 = "Yes" )</f>
        <v>0</v>
      </c>
      <c r="T86" s="23">
        <f xml:space="preserve"> -- AND( tblFilterRegion[[#This Row],[North East]] &gt;= $N$10, T$13 = "Yes" )</f>
        <v>0</v>
      </c>
      <c r="U86" s="23">
        <f xml:space="preserve"> -- AND( tblFilterRegion[[#This Row],[North West]] &gt;= $N$10, U$13 = "Yes" )</f>
        <v>0</v>
      </c>
      <c r="V86" s="23">
        <f xml:space="preserve"> -- AND( tblFilterRegion[[#This Row],[Yorkshire &amp; the Humber]] &gt;= $N$10, V$13 = "Yes" )</f>
        <v>0</v>
      </c>
      <c r="W86" s="22">
        <f xml:space="preserve"> SUMIF( $E$13:$M$13, "Yes", tblFilterRegion[[#This Row],[London]:[Yorkshire &amp; the Humber]] )</f>
        <v>0</v>
      </c>
      <c r="X86" s="23">
        <f xml:space="preserve"> -- ( SUM( tblFilterRegion[[#This Row],[Incl for Lon]:[Incl for YH]] ) &gt; 0 )</f>
        <v>0</v>
      </c>
      <c r="Y86" s="23">
        <f xml:space="preserve"> -- ( tblFilterRegion[[#This Row],[Total in selected regions]] &gt; $N$10 )</f>
        <v>0</v>
      </c>
      <c r="Z86" s="24">
        <f xml:space="preserve"> IF( RegionMinimum = 0, 1, IF( $R$10 = $U$8, tblFilterRegion[[#This Row],[Include for region - any]], IF( $R$10 = $U$10, tblFilterRegion[[#This Row],[Include for region - total]], "CHECK" ) ) )</f>
        <v>1</v>
      </c>
      <c r="AA86" s="131" t="str" cm="1">
        <f t="array" ref="AA86" xml:space="preserve"> INDEX( VfM_Metrics_2023_Consol_Source[], $D86, AA$14 )</f>
        <v>London</v>
      </c>
    </row>
    <row r="87" spans="2:27" x14ac:dyDescent="0.2">
      <c r="B87" s="159" t="s" vm="72">
        <v>289</v>
      </c>
      <c r="C87" s="154" t="str" vm="349">
        <f xml:space="preserve"> INDEX( VfM_Metrics_2023_Consol_Source[RP_Code], MATCH( tblFilterRegion[[#This Row],[RP_Name]], VfM_Metrics_2023_Consol_Source[RP_Name], 0 ) )</f>
        <v>L2179</v>
      </c>
      <c r="D87" s="81">
        <f xml:space="preserve"> MATCH( tblFilterRegion[[#This Row],[RP_Code]], VfM_Metrics_2023_Consol_Source[RP_Code], 0 )</f>
        <v>72</v>
      </c>
      <c r="E87" s="22" cm="1">
        <f t="array" ref="E87" xml:space="preserve"> INDEX( VfM_Metrics_2023_Consol_Source[], $D87, E$14 )</f>
        <v>0</v>
      </c>
      <c r="F87" s="22" cm="1">
        <f t="array" ref="F87" xml:space="preserve"> INDEX( VfM_Metrics_2023_Consol_Source[], $D87, F$14 )</f>
        <v>0.22642551428965899</v>
      </c>
      <c r="G87" s="22" cm="1">
        <f t="array" ref="G87" xml:space="preserve"> INDEX( VfM_Metrics_2023_Consol_Source[], $D87, G$14 )</f>
        <v>0</v>
      </c>
      <c r="H87" s="22" cm="1">
        <f t="array" ref="H87" xml:space="preserve"> INDEX( VfM_Metrics_2023_Consol_Source[], $D87, H$14 )</f>
        <v>0</v>
      </c>
      <c r="I87" s="22" cm="1">
        <f t="array" ref="I87" xml:space="preserve"> INDEX( VfM_Metrics_2023_Consol_Source[], $D87, I$14 )</f>
        <v>0</v>
      </c>
      <c r="J87" s="22" cm="1">
        <f t="array" ref="J87" xml:space="preserve"> INDEX( VfM_Metrics_2023_Consol_Source[], $D87, J$14 )</f>
        <v>0.77357448571034104</v>
      </c>
      <c r="K87" s="22" cm="1">
        <f t="array" ref="K87" xml:space="preserve"> INDEX( VfM_Metrics_2023_Consol_Source[], $D87, K$14 )</f>
        <v>0</v>
      </c>
      <c r="L87" s="22" cm="1">
        <f t="array" ref="L87" xml:space="preserve"> INDEX( VfM_Metrics_2023_Consol_Source[], $D87, L$14 )</f>
        <v>0</v>
      </c>
      <c r="M87" s="22" cm="1">
        <f t="array" ref="M87" xml:space="preserve"> INDEX( VfM_Metrics_2023_Consol_Source[], $D87, M$14 )</f>
        <v>0</v>
      </c>
      <c r="N87" s="23">
        <f xml:space="preserve"> -- AND( tblFilterRegion[[#This Row],[London]] &gt;= $N$10, N$13 = "Yes" )</f>
        <v>0</v>
      </c>
      <c r="O87" s="23">
        <f xml:space="preserve"> -- AND( tblFilterRegion[[#This Row],[South East]] &gt;= $N$10, O$13 = "Yes" )</f>
        <v>0</v>
      </c>
      <c r="P87" s="23">
        <f xml:space="preserve"> -- AND( tblFilterRegion[[#This Row],[South West]] &gt;= $N$10, P$13 = "Yes" )</f>
        <v>0</v>
      </c>
      <c r="Q87" s="23">
        <f xml:space="preserve"> -- AND( tblFilterRegion[[#This Row],[East Midlands]] &gt;= $N$10, Q$13 = "Yes" )</f>
        <v>0</v>
      </c>
      <c r="R87" s="23">
        <f xml:space="preserve"> -- AND( tblFilterRegion[[#This Row],[West Midlands]] &gt;= $N$10, R$13 = "Yes" )</f>
        <v>0</v>
      </c>
      <c r="S87" s="23">
        <f xml:space="preserve"> -- AND( tblFilterRegion[[#This Row],[East of England]] &gt;= $N$10, S$13 = "Yes" )</f>
        <v>0</v>
      </c>
      <c r="T87" s="23">
        <f xml:space="preserve"> -- AND( tblFilterRegion[[#This Row],[North East]] &gt;= $N$10, T$13 = "Yes" )</f>
        <v>0</v>
      </c>
      <c r="U87" s="23">
        <f xml:space="preserve"> -- AND( tblFilterRegion[[#This Row],[North West]] &gt;= $N$10, U$13 = "Yes" )</f>
        <v>0</v>
      </c>
      <c r="V87" s="23">
        <f xml:space="preserve"> -- AND( tblFilterRegion[[#This Row],[Yorkshire &amp; the Humber]] &gt;= $N$10, V$13 = "Yes" )</f>
        <v>0</v>
      </c>
      <c r="W87" s="22">
        <f xml:space="preserve"> SUMIF( $E$13:$M$13, "Yes", tblFilterRegion[[#This Row],[London]:[Yorkshire &amp; the Humber]] )</f>
        <v>0</v>
      </c>
      <c r="X87" s="23">
        <f xml:space="preserve"> -- ( SUM( tblFilterRegion[[#This Row],[Incl for Lon]:[Incl for YH]] ) &gt; 0 )</f>
        <v>0</v>
      </c>
      <c r="Y87" s="23">
        <f xml:space="preserve"> -- ( tblFilterRegion[[#This Row],[Total in selected regions]] &gt; $N$10 )</f>
        <v>0</v>
      </c>
      <c r="Z87" s="24">
        <f xml:space="preserve"> IF( RegionMinimum = 0, 1, IF( $R$10 = $U$8, tblFilterRegion[[#This Row],[Include for region - any]], IF( $R$10 = $U$10, tblFilterRegion[[#This Row],[Include for region - total]], "CHECK" ) ) )</f>
        <v>1</v>
      </c>
      <c r="AA87" s="131" t="str" cm="1">
        <f t="array" ref="AA87" xml:space="preserve"> INDEX( VfM_Metrics_2023_Consol_Source[], $D87, AA$14 )</f>
        <v>East of England</v>
      </c>
    </row>
    <row r="88" spans="2:27" x14ac:dyDescent="0.2">
      <c r="B88" s="159" t="s" vm="73">
        <v>291</v>
      </c>
      <c r="C88" s="154" t="str" vm="243">
        <f xml:space="preserve"> INDEX( VfM_Metrics_2023_Consol_Source[RP_Code], MATCH( tblFilterRegion[[#This Row],[RP_Name]], VfM_Metrics_2023_Consol_Source[RP_Name], 0 ) )</f>
        <v>L3076</v>
      </c>
      <c r="D88" s="81">
        <f xml:space="preserve"> MATCH( tblFilterRegion[[#This Row],[RP_Code]], VfM_Metrics_2023_Consol_Source[RP_Code], 0 )</f>
        <v>73</v>
      </c>
      <c r="E88" s="22" cm="1">
        <f t="array" ref="E88" xml:space="preserve"> INDEX( VfM_Metrics_2023_Consol_Source[], $D88, E$14 )</f>
        <v>8.0234791889007465E-2</v>
      </c>
      <c r="F88" s="22" cm="1">
        <f t="array" ref="F88" xml:space="preserve"> INDEX( VfM_Metrics_2023_Consol_Source[], $D88, F$14 )</f>
        <v>0.14029882604055496</v>
      </c>
      <c r="G88" s="22" cm="1">
        <f t="array" ref="G88" xml:space="preserve"> INDEX( VfM_Metrics_2023_Consol_Source[], $D88, G$14 )</f>
        <v>1.1718249733191036E-2</v>
      </c>
      <c r="H88" s="22" cm="1">
        <f t="array" ref="H88" xml:space="preserve"> INDEX( VfM_Metrics_2023_Consol_Source[], $D88, H$14 )</f>
        <v>2.3991462113127002E-2</v>
      </c>
      <c r="I88" s="22" cm="1">
        <f t="array" ref="I88" xml:space="preserve"> INDEX( VfM_Metrics_2023_Consol_Source[], $D88, I$14 )</f>
        <v>4.6744930629669156E-3</v>
      </c>
      <c r="J88" s="22" cm="1">
        <f t="array" ref="J88" xml:space="preserve"> INDEX( VfM_Metrics_2023_Consol_Source[], $D88, J$14 )</f>
        <v>0.10542155816435432</v>
      </c>
      <c r="K88" s="22" cm="1">
        <f t="array" ref="K88" xml:space="preserve"> INDEX( VfM_Metrics_2023_Consol_Source[], $D88, K$14 )</f>
        <v>0.31054429028815367</v>
      </c>
      <c r="L88" s="22" cm="1">
        <f t="array" ref="L88" xml:space="preserve"> INDEX( VfM_Metrics_2023_Consol_Source[], $D88, L$14 )</f>
        <v>0.2087086446104589</v>
      </c>
      <c r="M88" s="22" cm="1">
        <f t="array" ref="M88" xml:space="preserve"> INDEX( VfM_Metrics_2023_Consol_Source[], $D88, M$14 )</f>
        <v>0.11440768409818571</v>
      </c>
      <c r="N88" s="23">
        <f xml:space="preserve"> -- AND( tblFilterRegion[[#This Row],[London]] &gt;= $N$10, N$13 = "Yes" )</f>
        <v>0</v>
      </c>
      <c r="O88" s="23">
        <f xml:space="preserve"> -- AND( tblFilterRegion[[#This Row],[South East]] &gt;= $N$10, O$13 = "Yes" )</f>
        <v>0</v>
      </c>
      <c r="P88" s="23">
        <f xml:space="preserve"> -- AND( tblFilterRegion[[#This Row],[South West]] &gt;= $N$10, P$13 = "Yes" )</f>
        <v>0</v>
      </c>
      <c r="Q88" s="23">
        <f xml:space="preserve"> -- AND( tblFilterRegion[[#This Row],[East Midlands]] &gt;= $N$10, Q$13 = "Yes" )</f>
        <v>0</v>
      </c>
      <c r="R88" s="23">
        <f xml:space="preserve"> -- AND( tblFilterRegion[[#This Row],[West Midlands]] &gt;= $N$10, R$13 = "Yes" )</f>
        <v>0</v>
      </c>
      <c r="S88" s="23">
        <f xml:space="preserve"> -- AND( tblFilterRegion[[#This Row],[East of England]] &gt;= $N$10, S$13 = "Yes" )</f>
        <v>0</v>
      </c>
      <c r="T88" s="23">
        <f xml:space="preserve"> -- AND( tblFilterRegion[[#This Row],[North East]] &gt;= $N$10, T$13 = "Yes" )</f>
        <v>0</v>
      </c>
      <c r="U88" s="23">
        <f xml:space="preserve"> -- AND( tblFilterRegion[[#This Row],[North West]] &gt;= $N$10, U$13 = "Yes" )</f>
        <v>0</v>
      </c>
      <c r="V88" s="23">
        <f xml:space="preserve"> -- AND( tblFilterRegion[[#This Row],[Yorkshire &amp; the Humber]] &gt;= $N$10, V$13 = "Yes" )</f>
        <v>0</v>
      </c>
      <c r="W88" s="22">
        <f xml:space="preserve"> SUMIF( $E$13:$M$13, "Yes", tblFilterRegion[[#This Row],[London]:[Yorkshire &amp; the Humber]] )</f>
        <v>0</v>
      </c>
      <c r="X88" s="23">
        <f xml:space="preserve"> -- ( SUM( tblFilterRegion[[#This Row],[Incl for Lon]:[Incl for YH]] ) &gt; 0 )</f>
        <v>0</v>
      </c>
      <c r="Y88" s="23">
        <f xml:space="preserve"> -- ( tblFilterRegion[[#This Row],[Total in selected regions]] &gt; $N$10 )</f>
        <v>0</v>
      </c>
      <c r="Z88" s="24">
        <f xml:space="preserve"> IF( RegionMinimum = 0, 1, IF( $R$10 = $U$8, tblFilterRegion[[#This Row],[Include for region - any]], IF( $R$10 = $U$10, tblFilterRegion[[#This Row],[Include for region - total]], "CHECK" ) ) )</f>
        <v>1</v>
      </c>
      <c r="AA88" s="131" t="str" cm="1">
        <f t="array" ref="AA88" xml:space="preserve"> INDEX( VfM_Metrics_2023_Consol_Source[], $D88, AA$14 )</f>
        <v>Mixed</v>
      </c>
    </row>
    <row r="89" spans="2:27" x14ac:dyDescent="0.2">
      <c r="B89" s="159" t="s" vm="74">
        <v>293</v>
      </c>
      <c r="C89" s="154" t="str" vm="315">
        <f xml:space="preserve"> INDEX( VfM_Metrics_2023_Consol_Source[RP_Code], MATCH( tblFilterRegion[[#This Row],[RP_Name]], VfM_Metrics_2023_Consol_Source[RP_Name], 0 ) )</f>
        <v>LH2162</v>
      </c>
      <c r="D89" s="81">
        <f xml:space="preserve"> MATCH( tblFilterRegion[[#This Row],[RP_Code]], VfM_Metrics_2023_Consol_Source[RP_Code], 0 )</f>
        <v>74</v>
      </c>
      <c r="E89" s="22" cm="1">
        <f t="array" ref="E89" xml:space="preserve"> INDEX( VfM_Metrics_2023_Consol_Source[], $D89, E$14 )</f>
        <v>0</v>
      </c>
      <c r="F89" s="22" cm="1">
        <f t="array" ref="F89" xml:space="preserve"> INDEX( VfM_Metrics_2023_Consol_Source[], $D89, F$14 )</f>
        <v>0</v>
      </c>
      <c r="G89" s="22" cm="1">
        <f t="array" ref="G89" xml:space="preserve"> INDEX( VfM_Metrics_2023_Consol_Source[], $D89, G$14 )</f>
        <v>0</v>
      </c>
      <c r="H89" s="22" cm="1">
        <f t="array" ref="H89" xml:space="preserve"> INDEX( VfM_Metrics_2023_Consol_Source[], $D89, H$14 )</f>
        <v>0</v>
      </c>
      <c r="I89" s="22" cm="1">
        <f t="array" ref="I89" xml:space="preserve"> INDEX( VfM_Metrics_2023_Consol_Source[], $D89, I$14 )</f>
        <v>0.96701502286087526</v>
      </c>
      <c r="J89" s="22" cm="1">
        <f t="array" ref="J89" xml:space="preserve"> INDEX( VfM_Metrics_2023_Consol_Source[], $D89, J$14 )</f>
        <v>0</v>
      </c>
      <c r="K89" s="22" cm="1">
        <f t="array" ref="K89" xml:space="preserve"> INDEX( VfM_Metrics_2023_Consol_Source[], $D89, K$14 )</f>
        <v>0</v>
      </c>
      <c r="L89" s="22" cm="1">
        <f t="array" ref="L89" xml:space="preserve"> INDEX( VfM_Metrics_2023_Consol_Source[], $D89, L$14 )</f>
        <v>3.2984977139124752E-2</v>
      </c>
      <c r="M89" s="22" cm="1">
        <f t="array" ref="M89" xml:space="preserve"> INDEX( VfM_Metrics_2023_Consol_Source[], $D89, M$14 )</f>
        <v>0</v>
      </c>
      <c r="N89" s="23">
        <f xml:space="preserve"> -- AND( tblFilterRegion[[#This Row],[London]] &gt;= $N$10, N$13 = "Yes" )</f>
        <v>0</v>
      </c>
      <c r="O89" s="23">
        <f xml:space="preserve"> -- AND( tblFilterRegion[[#This Row],[South East]] &gt;= $N$10, O$13 = "Yes" )</f>
        <v>0</v>
      </c>
      <c r="P89" s="23">
        <f xml:space="preserve"> -- AND( tblFilterRegion[[#This Row],[South West]] &gt;= $N$10, P$13 = "Yes" )</f>
        <v>0</v>
      </c>
      <c r="Q89" s="23">
        <f xml:space="preserve"> -- AND( tblFilterRegion[[#This Row],[East Midlands]] &gt;= $N$10, Q$13 = "Yes" )</f>
        <v>0</v>
      </c>
      <c r="R89" s="23">
        <f xml:space="preserve"> -- AND( tblFilterRegion[[#This Row],[West Midlands]] &gt;= $N$10, R$13 = "Yes" )</f>
        <v>0</v>
      </c>
      <c r="S89" s="23">
        <f xml:space="preserve"> -- AND( tblFilterRegion[[#This Row],[East of England]] &gt;= $N$10, S$13 = "Yes" )</f>
        <v>0</v>
      </c>
      <c r="T89" s="23">
        <f xml:space="preserve"> -- AND( tblFilterRegion[[#This Row],[North East]] &gt;= $N$10, T$13 = "Yes" )</f>
        <v>0</v>
      </c>
      <c r="U89" s="23">
        <f xml:space="preserve"> -- AND( tblFilterRegion[[#This Row],[North West]] &gt;= $N$10, U$13 = "Yes" )</f>
        <v>0</v>
      </c>
      <c r="V89" s="23">
        <f xml:space="preserve"> -- AND( tblFilterRegion[[#This Row],[Yorkshire &amp; the Humber]] &gt;= $N$10, V$13 = "Yes" )</f>
        <v>0</v>
      </c>
      <c r="W89" s="22">
        <f xml:space="preserve"> SUMIF( $E$13:$M$13, "Yes", tblFilterRegion[[#This Row],[London]:[Yorkshire &amp; the Humber]] )</f>
        <v>0</v>
      </c>
      <c r="X89" s="23">
        <f xml:space="preserve"> -- ( SUM( tblFilterRegion[[#This Row],[Incl for Lon]:[Incl for YH]] ) &gt; 0 )</f>
        <v>0</v>
      </c>
      <c r="Y89" s="23">
        <f xml:space="preserve"> -- ( tblFilterRegion[[#This Row],[Total in selected regions]] &gt; $N$10 )</f>
        <v>0</v>
      </c>
      <c r="Z89" s="24">
        <f xml:space="preserve"> IF( RegionMinimum = 0, 1, IF( $R$10 = $U$8, tblFilterRegion[[#This Row],[Include for region - any]], IF( $R$10 = $U$10, tblFilterRegion[[#This Row],[Include for region - total]], "CHECK" ) ) )</f>
        <v>1</v>
      </c>
      <c r="AA89" s="131" t="str" cm="1">
        <f t="array" ref="AA89" xml:space="preserve"> INDEX( VfM_Metrics_2023_Consol_Source[], $D89, AA$14 )</f>
        <v>West Midlands</v>
      </c>
    </row>
    <row r="90" spans="2:27" x14ac:dyDescent="0.2">
      <c r="B90" s="159" t="s" vm="75">
        <v>295</v>
      </c>
      <c r="C90" s="154" t="str" vm="268">
        <f xml:space="preserve"> INDEX( VfM_Metrics_2023_Consol_Source[RP_Code], MATCH( tblFilterRegion[[#This Row],[RP_Name]], VfM_Metrics_2023_Consol_Source[RP_Name], 0 ) )</f>
        <v>L0055</v>
      </c>
      <c r="D90" s="81">
        <f xml:space="preserve"> MATCH( tblFilterRegion[[#This Row],[RP_Code]], VfM_Metrics_2023_Consol_Source[RP_Code], 0 )</f>
        <v>75</v>
      </c>
      <c r="E90" s="22" cm="1">
        <f t="array" ref="E90" xml:space="preserve"> INDEX( VfM_Metrics_2023_Consol_Source[], $D90, E$14 )</f>
        <v>7.3153078633097238E-2</v>
      </c>
      <c r="F90" s="22" cm="1">
        <f t="array" ref="F90" xml:space="preserve"> INDEX( VfM_Metrics_2023_Consol_Source[], $D90, F$14 )</f>
        <v>0.17453342294370056</v>
      </c>
      <c r="G90" s="22" cm="1">
        <f t="array" ref="G90" xml:space="preserve"> INDEX( VfM_Metrics_2023_Consol_Source[], $D90, G$14 )</f>
        <v>8.9334643023315924E-2</v>
      </c>
      <c r="H90" s="22" cm="1">
        <f t="array" ref="H90" xml:space="preserve"> INDEX( VfM_Metrics_2023_Consol_Source[], $D90, H$14 )</f>
        <v>7.3256475210670524E-2</v>
      </c>
      <c r="I90" s="22" cm="1">
        <f t="array" ref="I90" xml:space="preserve"> INDEX( VfM_Metrics_2023_Consol_Source[], $D90, I$14 )</f>
        <v>0.1304864808974823</v>
      </c>
      <c r="J90" s="22" cm="1">
        <f t="array" ref="J90" xml:space="preserve"> INDEX( VfM_Metrics_2023_Consol_Source[], $D90, J$14 )</f>
        <v>0.10592979372382774</v>
      </c>
      <c r="K90" s="22" cm="1">
        <f t="array" ref="K90" xml:space="preserve"> INDEX( VfM_Metrics_2023_Consol_Source[], $D90, K$14 )</f>
        <v>8.4681797032518227E-2</v>
      </c>
      <c r="L90" s="22" cm="1">
        <f t="array" ref="L90" xml:space="preserve"> INDEX( VfM_Metrics_2023_Consol_Source[], $D90, L$14 )</f>
        <v>0.13922349170242465</v>
      </c>
      <c r="M90" s="22" cm="1">
        <f t="array" ref="M90" xml:space="preserve"> INDEX( VfM_Metrics_2023_Consol_Source[], $D90, M$14 )</f>
        <v>0.12940081683296284</v>
      </c>
      <c r="N90" s="23">
        <f xml:space="preserve"> -- AND( tblFilterRegion[[#This Row],[London]] &gt;= $N$10, N$13 = "Yes" )</f>
        <v>0</v>
      </c>
      <c r="O90" s="23">
        <f xml:space="preserve"> -- AND( tblFilterRegion[[#This Row],[South East]] &gt;= $N$10, O$13 = "Yes" )</f>
        <v>0</v>
      </c>
      <c r="P90" s="23">
        <f xml:space="preserve"> -- AND( tblFilterRegion[[#This Row],[South West]] &gt;= $N$10, P$13 = "Yes" )</f>
        <v>0</v>
      </c>
      <c r="Q90" s="23">
        <f xml:space="preserve"> -- AND( tblFilterRegion[[#This Row],[East Midlands]] &gt;= $N$10, Q$13 = "Yes" )</f>
        <v>0</v>
      </c>
      <c r="R90" s="23">
        <f xml:space="preserve"> -- AND( tblFilterRegion[[#This Row],[West Midlands]] &gt;= $N$10, R$13 = "Yes" )</f>
        <v>0</v>
      </c>
      <c r="S90" s="23">
        <f xml:space="preserve"> -- AND( tblFilterRegion[[#This Row],[East of England]] &gt;= $N$10, S$13 = "Yes" )</f>
        <v>0</v>
      </c>
      <c r="T90" s="23">
        <f xml:space="preserve"> -- AND( tblFilterRegion[[#This Row],[North East]] &gt;= $N$10, T$13 = "Yes" )</f>
        <v>0</v>
      </c>
      <c r="U90" s="23">
        <f xml:space="preserve"> -- AND( tblFilterRegion[[#This Row],[North West]] &gt;= $N$10, U$13 = "Yes" )</f>
        <v>0</v>
      </c>
      <c r="V90" s="23">
        <f xml:space="preserve"> -- AND( tblFilterRegion[[#This Row],[Yorkshire &amp; the Humber]] &gt;= $N$10, V$13 = "Yes" )</f>
        <v>0</v>
      </c>
      <c r="W90" s="22">
        <f xml:space="preserve"> SUMIF( $E$13:$M$13, "Yes", tblFilterRegion[[#This Row],[London]:[Yorkshire &amp; the Humber]] )</f>
        <v>0</v>
      </c>
      <c r="X90" s="23">
        <f xml:space="preserve"> -- ( SUM( tblFilterRegion[[#This Row],[Incl for Lon]:[Incl for YH]] ) &gt; 0 )</f>
        <v>0</v>
      </c>
      <c r="Y90" s="23">
        <f xml:space="preserve"> -- ( tblFilterRegion[[#This Row],[Total in selected regions]] &gt; $N$10 )</f>
        <v>0</v>
      </c>
      <c r="Z90" s="24">
        <f xml:space="preserve"> IF( RegionMinimum = 0, 1, IF( $R$10 = $U$8, tblFilterRegion[[#This Row],[Include for region - any]], IF( $R$10 = $U$10, tblFilterRegion[[#This Row],[Include for region - total]], "CHECK" ) ) )</f>
        <v>1</v>
      </c>
      <c r="AA90" s="131" t="str" cm="1">
        <f t="array" ref="AA90" xml:space="preserve"> INDEX( VfM_Metrics_2023_Consol_Source[], $D90, AA$14 )</f>
        <v>Mixed</v>
      </c>
    </row>
    <row r="91" spans="2:27" x14ac:dyDescent="0.2">
      <c r="B91" s="159" t="s" vm="76">
        <v>297</v>
      </c>
      <c r="C91" s="154" t="str" vm="377">
        <f xml:space="preserve"> INDEX( VfM_Metrics_2023_Consol_Source[RP_Code], MATCH( tblFilterRegion[[#This Row],[RP_Name]], VfM_Metrics_2023_Consol_Source[RP_Name], 0 ) )</f>
        <v>L4073</v>
      </c>
      <c r="D91" s="81">
        <f xml:space="preserve"> MATCH( tblFilterRegion[[#This Row],[RP_Code]], VfM_Metrics_2023_Consol_Source[RP_Code], 0 )</f>
        <v>76</v>
      </c>
      <c r="E91" s="22" cm="1">
        <f t="array" ref="E91" xml:space="preserve"> INDEX( VfM_Metrics_2023_Consol_Source[], $D91, E$14 )</f>
        <v>0</v>
      </c>
      <c r="F91" s="22" cm="1">
        <f t="array" ref="F91" xml:space="preserve"> INDEX( VfM_Metrics_2023_Consol_Source[], $D91, F$14 )</f>
        <v>0.99824314827828531</v>
      </c>
      <c r="G91" s="22" cm="1">
        <f t="array" ref="G91" xml:space="preserve"> INDEX( VfM_Metrics_2023_Consol_Source[], $D91, G$14 )</f>
        <v>0</v>
      </c>
      <c r="H91" s="22" cm="1">
        <f t="array" ref="H91" xml:space="preserve"> INDEX( VfM_Metrics_2023_Consol_Source[], $D91, H$14 )</f>
        <v>0</v>
      </c>
      <c r="I91" s="22" cm="1">
        <f t="array" ref="I91" xml:space="preserve"> INDEX( VfM_Metrics_2023_Consol_Source[], $D91, I$14 )</f>
        <v>0</v>
      </c>
      <c r="J91" s="22" cm="1">
        <f t="array" ref="J91" xml:space="preserve"> INDEX( VfM_Metrics_2023_Consol_Source[], $D91, J$14 )</f>
        <v>1.7568517217146872E-3</v>
      </c>
      <c r="K91" s="22" cm="1">
        <f t="array" ref="K91" xml:space="preserve"> INDEX( VfM_Metrics_2023_Consol_Source[], $D91, K$14 )</f>
        <v>0</v>
      </c>
      <c r="L91" s="22" cm="1">
        <f t="array" ref="L91" xml:space="preserve"> INDEX( VfM_Metrics_2023_Consol_Source[], $D91, L$14 )</f>
        <v>0</v>
      </c>
      <c r="M91" s="22" cm="1">
        <f t="array" ref="M91" xml:space="preserve"> INDEX( VfM_Metrics_2023_Consol_Source[], $D91, M$14 )</f>
        <v>0</v>
      </c>
      <c r="N91" s="23">
        <f xml:space="preserve"> -- AND( tblFilterRegion[[#This Row],[London]] &gt;= $N$10, N$13 = "Yes" )</f>
        <v>0</v>
      </c>
      <c r="O91" s="23">
        <f xml:space="preserve"> -- AND( tblFilterRegion[[#This Row],[South East]] &gt;= $N$10, O$13 = "Yes" )</f>
        <v>0</v>
      </c>
      <c r="P91" s="23">
        <f xml:space="preserve"> -- AND( tblFilterRegion[[#This Row],[South West]] &gt;= $N$10, P$13 = "Yes" )</f>
        <v>0</v>
      </c>
      <c r="Q91" s="23">
        <f xml:space="preserve"> -- AND( tblFilterRegion[[#This Row],[East Midlands]] &gt;= $N$10, Q$13 = "Yes" )</f>
        <v>0</v>
      </c>
      <c r="R91" s="23">
        <f xml:space="preserve"> -- AND( tblFilterRegion[[#This Row],[West Midlands]] &gt;= $N$10, R$13 = "Yes" )</f>
        <v>0</v>
      </c>
      <c r="S91" s="23">
        <f xml:space="preserve"> -- AND( tblFilterRegion[[#This Row],[East of England]] &gt;= $N$10, S$13 = "Yes" )</f>
        <v>0</v>
      </c>
      <c r="T91" s="23">
        <f xml:space="preserve"> -- AND( tblFilterRegion[[#This Row],[North East]] &gt;= $N$10, T$13 = "Yes" )</f>
        <v>0</v>
      </c>
      <c r="U91" s="23">
        <f xml:space="preserve"> -- AND( tblFilterRegion[[#This Row],[North West]] &gt;= $N$10, U$13 = "Yes" )</f>
        <v>0</v>
      </c>
      <c r="V91" s="23">
        <f xml:space="preserve"> -- AND( tblFilterRegion[[#This Row],[Yorkshire &amp; the Humber]] &gt;= $N$10, V$13 = "Yes" )</f>
        <v>0</v>
      </c>
      <c r="W91" s="22">
        <f xml:space="preserve"> SUMIF( $E$13:$M$13, "Yes", tblFilterRegion[[#This Row],[London]:[Yorkshire &amp; the Humber]] )</f>
        <v>0</v>
      </c>
      <c r="X91" s="23">
        <f xml:space="preserve"> -- ( SUM( tblFilterRegion[[#This Row],[Incl for Lon]:[Incl for YH]] ) &gt; 0 )</f>
        <v>0</v>
      </c>
      <c r="Y91" s="23">
        <f xml:space="preserve"> -- ( tblFilterRegion[[#This Row],[Total in selected regions]] &gt; $N$10 )</f>
        <v>0</v>
      </c>
      <c r="Z91" s="24">
        <f xml:space="preserve"> IF( RegionMinimum = 0, 1, IF( $R$10 = $U$8, tblFilterRegion[[#This Row],[Include for region - any]], IF( $R$10 = $U$10, tblFilterRegion[[#This Row],[Include for region - total]], "CHECK" ) ) )</f>
        <v>1</v>
      </c>
      <c r="AA91" s="131" t="str" cm="1">
        <f t="array" ref="AA91" xml:space="preserve"> INDEX( VfM_Metrics_2023_Consol_Source[], $D91, AA$14 )</f>
        <v>South East</v>
      </c>
    </row>
    <row r="92" spans="2:27" x14ac:dyDescent="0.2">
      <c r="B92" s="159" t="s" vm="77">
        <v>299</v>
      </c>
      <c r="C92" s="154" t="str" vm="225">
        <f xml:space="preserve"> INDEX( VfM_Metrics_2023_Consol_Source[RP_Code], MATCH( tblFilterRegion[[#This Row],[RP_Name]], VfM_Metrics_2023_Consol_Source[RP_Name], 0 ) )</f>
        <v>L0718</v>
      </c>
      <c r="D92" s="81">
        <f xml:space="preserve"> MATCH( tblFilterRegion[[#This Row],[RP_Code]], VfM_Metrics_2023_Consol_Source[RP_Code], 0 )</f>
        <v>77</v>
      </c>
      <c r="E92" s="22" cm="1">
        <f t="array" ref="E92" xml:space="preserve"> INDEX( VfM_Metrics_2023_Consol_Source[], $D92, E$14 )</f>
        <v>0</v>
      </c>
      <c r="F92" s="22" cm="1">
        <f t="array" ref="F92" xml:space="preserve"> INDEX( VfM_Metrics_2023_Consol_Source[], $D92, F$14 )</f>
        <v>1.827485380116959E-2</v>
      </c>
      <c r="G92" s="22" cm="1">
        <f t="array" ref="G92" xml:space="preserve"> INDEX( VfM_Metrics_2023_Consol_Source[], $D92, G$14 )</f>
        <v>0</v>
      </c>
      <c r="H92" s="22" cm="1">
        <f t="array" ref="H92" xml:space="preserve"> INDEX( VfM_Metrics_2023_Consol_Source[], $D92, H$14 )</f>
        <v>0</v>
      </c>
      <c r="I92" s="22" cm="1">
        <f t="array" ref="I92" xml:space="preserve"> INDEX( VfM_Metrics_2023_Consol_Source[], $D92, I$14 )</f>
        <v>0</v>
      </c>
      <c r="J92" s="22" cm="1">
        <f t="array" ref="J92" xml:space="preserve"> INDEX( VfM_Metrics_2023_Consol_Source[], $D92, J$14 )</f>
        <v>0.98172514619883045</v>
      </c>
      <c r="K92" s="22" cm="1">
        <f t="array" ref="K92" xml:space="preserve"> INDEX( VfM_Metrics_2023_Consol_Source[], $D92, K$14 )</f>
        <v>0</v>
      </c>
      <c r="L92" s="22" cm="1">
        <f t="array" ref="L92" xml:space="preserve"> INDEX( VfM_Metrics_2023_Consol_Source[], $D92, L$14 )</f>
        <v>0</v>
      </c>
      <c r="M92" s="22" cm="1">
        <f t="array" ref="M92" xml:space="preserve"> INDEX( VfM_Metrics_2023_Consol_Source[], $D92, M$14 )</f>
        <v>0</v>
      </c>
      <c r="N92" s="23">
        <f xml:space="preserve"> -- AND( tblFilterRegion[[#This Row],[London]] &gt;= $N$10, N$13 = "Yes" )</f>
        <v>0</v>
      </c>
      <c r="O92" s="23">
        <f xml:space="preserve"> -- AND( tblFilterRegion[[#This Row],[South East]] &gt;= $N$10, O$13 = "Yes" )</f>
        <v>0</v>
      </c>
      <c r="P92" s="23">
        <f xml:space="preserve"> -- AND( tblFilterRegion[[#This Row],[South West]] &gt;= $N$10, P$13 = "Yes" )</f>
        <v>0</v>
      </c>
      <c r="Q92" s="23">
        <f xml:space="preserve"> -- AND( tblFilterRegion[[#This Row],[East Midlands]] &gt;= $N$10, Q$13 = "Yes" )</f>
        <v>0</v>
      </c>
      <c r="R92" s="23">
        <f xml:space="preserve"> -- AND( tblFilterRegion[[#This Row],[West Midlands]] &gt;= $N$10, R$13 = "Yes" )</f>
        <v>0</v>
      </c>
      <c r="S92" s="23">
        <f xml:space="preserve"> -- AND( tblFilterRegion[[#This Row],[East of England]] &gt;= $N$10, S$13 = "Yes" )</f>
        <v>0</v>
      </c>
      <c r="T92" s="23">
        <f xml:space="preserve"> -- AND( tblFilterRegion[[#This Row],[North East]] &gt;= $N$10, T$13 = "Yes" )</f>
        <v>0</v>
      </c>
      <c r="U92" s="23">
        <f xml:space="preserve"> -- AND( tblFilterRegion[[#This Row],[North West]] &gt;= $N$10, U$13 = "Yes" )</f>
        <v>0</v>
      </c>
      <c r="V92" s="23">
        <f xml:space="preserve"> -- AND( tblFilterRegion[[#This Row],[Yorkshire &amp; the Humber]] &gt;= $N$10, V$13 = "Yes" )</f>
        <v>0</v>
      </c>
      <c r="W92" s="22">
        <f xml:space="preserve"> SUMIF( $E$13:$M$13, "Yes", tblFilterRegion[[#This Row],[London]:[Yorkshire &amp; the Humber]] )</f>
        <v>0</v>
      </c>
      <c r="X92" s="23">
        <f xml:space="preserve"> -- ( SUM( tblFilterRegion[[#This Row],[Incl for Lon]:[Incl for YH]] ) &gt; 0 )</f>
        <v>0</v>
      </c>
      <c r="Y92" s="23">
        <f xml:space="preserve"> -- ( tblFilterRegion[[#This Row],[Total in selected regions]] &gt; $N$10 )</f>
        <v>0</v>
      </c>
      <c r="Z92" s="24">
        <f xml:space="preserve"> IF( RegionMinimum = 0, 1, IF( $R$10 = $U$8, tblFilterRegion[[#This Row],[Include for region - any]], IF( $R$10 = $U$10, tblFilterRegion[[#This Row],[Include for region - total]], "CHECK" ) ) )</f>
        <v>1</v>
      </c>
      <c r="AA92" s="131" t="str" cm="1">
        <f t="array" ref="AA92" xml:space="preserve"> INDEX( VfM_Metrics_2023_Consol_Source[], $D92, AA$14 )</f>
        <v>East of England</v>
      </c>
    </row>
    <row r="93" spans="2:27" x14ac:dyDescent="0.2">
      <c r="B93" s="159" t="s" vm="78">
        <v>301</v>
      </c>
      <c r="C93" s="154" t="str" vm="245">
        <f xml:space="preserve"> INDEX( VfM_Metrics_2023_Consol_Source[RP_Code], MATCH( tblFilterRegion[[#This Row],[RP_Name]], VfM_Metrics_2023_Consol_Source[RP_Name], 0 ) )</f>
        <v>LH0032</v>
      </c>
      <c r="D93" s="81">
        <f xml:space="preserve"> MATCH( tblFilterRegion[[#This Row],[RP_Code]], VfM_Metrics_2023_Consol_Source[RP_Code], 0 )</f>
        <v>78</v>
      </c>
      <c r="E93" s="22" cm="1">
        <f t="array" ref="E93" xml:space="preserve"> INDEX( VfM_Metrics_2023_Consol_Source[], $D93, E$14 )</f>
        <v>0.4638433064210557</v>
      </c>
      <c r="F93" s="22" cm="1">
        <f t="array" ref="F93" xml:space="preserve"> INDEX( VfM_Metrics_2023_Consol_Source[], $D93, F$14 )</f>
        <v>0.49672097700311874</v>
      </c>
      <c r="G93" s="22" cm="1">
        <f t="array" ref="G93" xml:space="preserve"> INDEX( VfM_Metrics_2023_Consol_Source[], $D93, G$14 )</f>
        <v>0</v>
      </c>
      <c r="H93" s="22" cm="1">
        <f t="array" ref="H93" xml:space="preserve"> INDEX( VfM_Metrics_2023_Consol_Source[], $D93, H$14 )</f>
        <v>5.7710804745110611E-3</v>
      </c>
      <c r="I93" s="22" cm="1">
        <f t="array" ref="I93" xml:space="preserve"> INDEX( VfM_Metrics_2023_Consol_Source[], $D93, I$14 )</f>
        <v>0</v>
      </c>
      <c r="J93" s="22" cm="1">
        <f t="array" ref="J93" xml:space="preserve"> INDEX( VfM_Metrics_2023_Consol_Source[], $D93, J$14 )</f>
        <v>3.3664636101314524E-2</v>
      </c>
      <c r="K93" s="22" cm="1">
        <f t="array" ref="K93" xml:space="preserve"> INDEX( VfM_Metrics_2023_Consol_Source[], $D93, K$14 )</f>
        <v>0</v>
      </c>
      <c r="L93" s="22" cm="1">
        <f t="array" ref="L93" xml:space="preserve"> INDEX( VfM_Metrics_2023_Consol_Source[], $D93, L$14 )</f>
        <v>0</v>
      </c>
      <c r="M93" s="22" cm="1">
        <f t="array" ref="M93" xml:space="preserve"> INDEX( VfM_Metrics_2023_Consol_Source[], $D93, M$14 )</f>
        <v>0</v>
      </c>
      <c r="N93" s="23">
        <f xml:space="preserve"> -- AND( tblFilterRegion[[#This Row],[London]] &gt;= $N$10, N$13 = "Yes" )</f>
        <v>0</v>
      </c>
      <c r="O93" s="23">
        <f xml:space="preserve"> -- AND( tblFilterRegion[[#This Row],[South East]] &gt;= $N$10, O$13 = "Yes" )</f>
        <v>0</v>
      </c>
      <c r="P93" s="23">
        <f xml:space="preserve"> -- AND( tblFilterRegion[[#This Row],[South West]] &gt;= $N$10, P$13 = "Yes" )</f>
        <v>0</v>
      </c>
      <c r="Q93" s="23">
        <f xml:space="preserve"> -- AND( tblFilterRegion[[#This Row],[East Midlands]] &gt;= $N$10, Q$13 = "Yes" )</f>
        <v>0</v>
      </c>
      <c r="R93" s="23">
        <f xml:space="preserve"> -- AND( tblFilterRegion[[#This Row],[West Midlands]] &gt;= $N$10, R$13 = "Yes" )</f>
        <v>0</v>
      </c>
      <c r="S93" s="23">
        <f xml:space="preserve"> -- AND( tblFilterRegion[[#This Row],[East of England]] &gt;= $N$10, S$13 = "Yes" )</f>
        <v>0</v>
      </c>
      <c r="T93" s="23">
        <f xml:space="preserve"> -- AND( tblFilterRegion[[#This Row],[North East]] &gt;= $N$10, T$13 = "Yes" )</f>
        <v>0</v>
      </c>
      <c r="U93" s="23">
        <f xml:space="preserve"> -- AND( tblFilterRegion[[#This Row],[North West]] &gt;= $N$10, U$13 = "Yes" )</f>
        <v>0</v>
      </c>
      <c r="V93" s="23">
        <f xml:space="preserve"> -- AND( tblFilterRegion[[#This Row],[Yorkshire &amp; the Humber]] &gt;= $N$10, V$13 = "Yes" )</f>
        <v>0</v>
      </c>
      <c r="W93" s="22">
        <f xml:space="preserve"> SUMIF( $E$13:$M$13, "Yes", tblFilterRegion[[#This Row],[London]:[Yorkshire &amp; the Humber]] )</f>
        <v>0</v>
      </c>
      <c r="X93" s="23">
        <f xml:space="preserve"> -- ( SUM( tblFilterRegion[[#This Row],[Incl for Lon]:[Incl for YH]] ) &gt; 0 )</f>
        <v>0</v>
      </c>
      <c r="Y93" s="23">
        <f xml:space="preserve"> -- ( tblFilterRegion[[#This Row],[Total in selected regions]] &gt; $N$10 )</f>
        <v>0</v>
      </c>
      <c r="Z93" s="24">
        <f xml:space="preserve"> IF( RegionMinimum = 0, 1, IF( $R$10 = $U$8, tblFilterRegion[[#This Row],[Include for region - any]], IF( $R$10 = $U$10, tblFilterRegion[[#This Row],[Include for region - total]], "CHECK" ) ) )</f>
        <v>1</v>
      </c>
      <c r="AA93" s="131" t="str" cm="1">
        <f t="array" ref="AA93" xml:space="preserve"> INDEX( VfM_Metrics_2023_Consol_Source[], $D93, AA$14 )</f>
        <v>Mixed</v>
      </c>
    </row>
    <row r="94" spans="2:27" x14ac:dyDescent="0.2">
      <c r="B94" s="159" t="s" vm="79">
        <v>303</v>
      </c>
      <c r="C94" s="154" t="str" vm="304">
        <f xml:space="preserve"> INDEX( VfM_Metrics_2023_Consol_Source[RP_Code], MATCH( tblFilterRegion[[#This Row],[RP_Name]], VfM_Metrics_2023_Consol_Source[RP_Name], 0 ) )</f>
        <v>4662</v>
      </c>
      <c r="D94" s="81">
        <f xml:space="preserve"> MATCH( tblFilterRegion[[#This Row],[RP_Code]], VfM_Metrics_2023_Consol_Source[RP_Code], 0 )</f>
        <v>79</v>
      </c>
      <c r="E94" s="22" cm="1">
        <f t="array" ref="E94" xml:space="preserve"> INDEX( VfM_Metrics_2023_Consol_Source[], $D94, E$14 )</f>
        <v>2.415591545429591E-2</v>
      </c>
      <c r="F94" s="22" cm="1">
        <f t="array" ref="F94" xml:space="preserve"> INDEX( VfM_Metrics_2023_Consol_Source[], $D94, F$14 )</f>
        <v>5.9566291517979687E-2</v>
      </c>
      <c r="G94" s="22" cm="1">
        <f t="array" ref="G94" xml:space="preserve"> INDEX( VfM_Metrics_2023_Consol_Source[], $D94, G$14 )</f>
        <v>5.3252813615152349E-2</v>
      </c>
      <c r="H94" s="22" cm="1">
        <f t="array" ref="H94" xml:space="preserve"> INDEX( VfM_Metrics_2023_Consol_Source[], $D94, H$14 )</f>
        <v>0.14054350809772165</v>
      </c>
      <c r="I94" s="22" cm="1">
        <f t="array" ref="I94" xml:space="preserve"> INDEX( VfM_Metrics_2023_Consol_Source[], $D94, I$14 )</f>
        <v>0.2034037880867417</v>
      </c>
      <c r="J94" s="22" cm="1">
        <f t="array" ref="J94" xml:space="preserve"> INDEX( VfM_Metrics_2023_Consol_Source[], $D94, J$14 )</f>
        <v>6.0664287674993135E-2</v>
      </c>
      <c r="K94" s="22" cm="1">
        <f t="array" ref="K94" xml:space="preserve"> INDEX( VfM_Metrics_2023_Consol_Source[], $D94, K$14 )</f>
        <v>7.987922042272852E-2</v>
      </c>
      <c r="L94" s="22" cm="1">
        <f t="array" ref="L94" xml:space="preserve"> INDEX( VfM_Metrics_2023_Consol_Source[], $D94, L$14 )</f>
        <v>0.24348064781773263</v>
      </c>
      <c r="M94" s="22" cm="1">
        <f t="array" ref="M94" xml:space="preserve"> INDEX( VfM_Metrics_2023_Consol_Source[], $D94, M$14 )</f>
        <v>0.13505352731265441</v>
      </c>
      <c r="N94" s="23">
        <f xml:space="preserve"> -- AND( tblFilterRegion[[#This Row],[London]] &gt;= $N$10, N$13 = "Yes" )</f>
        <v>0</v>
      </c>
      <c r="O94" s="23">
        <f xml:space="preserve"> -- AND( tblFilterRegion[[#This Row],[South East]] &gt;= $N$10, O$13 = "Yes" )</f>
        <v>0</v>
      </c>
      <c r="P94" s="23">
        <f xml:space="preserve"> -- AND( tblFilterRegion[[#This Row],[South West]] &gt;= $N$10, P$13 = "Yes" )</f>
        <v>0</v>
      </c>
      <c r="Q94" s="23">
        <f xml:space="preserve"> -- AND( tblFilterRegion[[#This Row],[East Midlands]] &gt;= $N$10, Q$13 = "Yes" )</f>
        <v>0</v>
      </c>
      <c r="R94" s="23">
        <f xml:space="preserve"> -- AND( tblFilterRegion[[#This Row],[West Midlands]] &gt;= $N$10, R$13 = "Yes" )</f>
        <v>0</v>
      </c>
      <c r="S94" s="23">
        <f xml:space="preserve"> -- AND( tblFilterRegion[[#This Row],[East of England]] &gt;= $N$10, S$13 = "Yes" )</f>
        <v>0</v>
      </c>
      <c r="T94" s="23">
        <f xml:space="preserve"> -- AND( tblFilterRegion[[#This Row],[North East]] &gt;= $N$10, T$13 = "Yes" )</f>
        <v>0</v>
      </c>
      <c r="U94" s="23">
        <f xml:space="preserve"> -- AND( tblFilterRegion[[#This Row],[North West]] &gt;= $N$10, U$13 = "Yes" )</f>
        <v>0</v>
      </c>
      <c r="V94" s="23">
        <f xml:space="preserve"> -- AND( tblFilterRegion[[#This Row],[Yorkshire &amp; the Humber]] &gt;= $N$10, V$13 = "Yes" )</f>
        <v>0</v>
      </c>
      <c r="W94" s="22">
        <f xml:space="preserve"> SUMIF( $E$13:$M$13, "Yes", tblFilterRegion[[#This Row],[London]:[Yorkshire &amp; the Humber]] )</f>
        <v>0</v>
      </c>
      <c r="X94" s="23">
        <f xml:space="preserve"> -- ( SUM( tblFilterRegion[[#This Row],[Incl for Lon]:[Incl for YH]] ) &gt; 0 )</f>
        <v>0</v>
      </c>
      <c r="Y94" s="23">
        <f xml:space="preserve"> -- ( tblFilterRegion[[#This Row],[Total in selected regions]] &gt; $N$10 )</f>
        <v>0</v>
      </c>
      <c r="Z94" s="24">
        <f xml:space="preserve"> IF( RegionMinimum = 0, 1, IF( $R$10 = $U$8, tblFilterRegion[[#This Row],[Include for region - any]], IF( $R$10 = $U$10, tblFilterRegion[[#This Row],[Include for region - total]], "CHECK" ) ) )</f>
        <v>1</v>
      </c>
      <c r="AA94" s="131" t="str" cm="1">
        <f t="array" ref="AA94" xml:space="preserve"> INDEX( VfM_Metrics_2023_Consol_Source[], $D94, AA$14 )</f>
        <v>Mixed</v>
      </c>
    </row>
    <row r="95" spans="2:27" x14ac:dyDescent="0.2">
      <c r="B95" s="159" t="s" vm="80">
        <v>305</v>
      </c>
      <c r="C95" s="154" t="str" vm="339">
        <f xml:space="preserve"> INDEX( VfM_Metrics_2023_Consol_Source[RP_Code], MATCH( tblFilterRegion[[#This Row],[RP_Name]], VfM_Metrics_2023_Consol_Source[RP_Name], 0 ) )</f>
        <v>L4476</v>
      </c>
      <c r="D95" s="81">
        <f xml:space="preserve"> MATCH( tblFilterRegion[[#This Row],[RP_Code]], VfM_Metrics_2023_Consol_Source[RP_Code], 0 )</f>
        <v>80</v>
      </c>
      <c r="E95" s="22" cm="1">
        <f t="array" ref="E95" xml:space="preserve"> INDEX( VfM_Metrics_2023_Consol_Source[], $D95, E$14 )</f>
        <v>0</v>
      </c>
      <c r="F95" s="22" cm="1">
        <f t="array" ref="F95" xml:space="preserve"> INDEX( VfM_Metrics_2023_Consol_Source[], $D95, F$14 )</f>
        <v>0</v>
      </c>
      <c r="G95" s="22" cm="1">
        <f t="array" ref="G95" xml:space="preserve"> INDEX( VfM_Metrics_2023_Consol_Source[], $D95, G$14 )</f>
        <v>0</v>
      </c>
      <c r="H95" s="22" cm="1">
        <f t="array" ref="H95" xml:space="preserve"> INDEX( VfM_Metrics_2023_Consol_Source[], $D95, H$14 )</f>
        <v>0</v>
      </c>
      <c r="I95" s="22" cm="1">
        <f t="array" ref="I95" xml:space="preserve"> INDEX( VfM_Metrics_2023_Consol_Source[], $D95, I$14 )</f>
        <v>0</v>
      </c>
      <c r="J95" s="22" cm="1">
        <f t="array" ref="J95" xml:space="preserve"> INDEX( VfM_Metrics_2023_Consol_Source[], $D95, J$14 )</f>
        <v>0</v>
      </c>
      <c r="K95" s="22" cm="1">
        <f t="array" ref="K95" xml:space="preserve"> INDEX( VfM_Metrics_2023_Consol_Source[], $D95, K$14 )</f>
        <v>0</v>
      </c>
      <c r="L95" s="22" cm="1">
        <f t="array" ref="L95" xml:space="preserve"> INDEX( VfM_Metrics_2023_Consol_Source[], $D95, L$14 )</f>
        <v>1.8875047187617969E-4</v>
      </c>
      <c r="M95" s="22" cm="1">
        <f t="array" ref="M95" xml:space="preserve"> INDEX( VfM_Metrics_2023_Consol_Source[], $D95, M$14 )</f>
        <v>0.99981124952812384</v>
      </c>
      <c r="N95" s="23">
        <f xml:space="preserve"> -- AND( tblFilterRegion[[#This Row],[London]] &gt;= $N$10, N$13 = "Yes" )</f>
        <v>0</v>
      </c>
      <c r="O95" s="23">
        <f xml:space="preserve"> -- AND( tblFilterRegion[[#This Row],[South East]] &gt;= $N$10, O$13 = "Yes" )</f>
        <v>0</v>
      </c>
      <c r="P95" s="23">
        <f xml:space="preserve"> -- AND( tblFilterRegion[[#This Row],[South West]] &gt;= $N$10, P$13 = "Yes" )</f>
        <v>0</v>
      </c>
      <c r="Q95" s="23">
        <f xml:space="preserve"> -- AND( tblFilterRegion[[#This Row],[East Midlands]] &gt;= $N$10, Q$13 = "Yes" )</f>
        <v>0</v>
      </c>
      <c r="R95" s="23">
        <f xml:space="preserve"> -- AND( tblFilterRegion[[#This Row],[West Midlands]] &gt;= $N$10, R$13 = "Yes" )</f>
        <v>0</v>
      </c>
      <c r="S95" s="23">
        <f xml:space="preserve"> -- AND( tblFilterRegion[[#This Row],[East of England]] &gt;= $N$10, S$13 = "Yes" )</f>
        <v>0</v>
      </c>
      <c r="T95" s="23">
        <f xml:space="preserve"> -- AND( tblFilterRegion[[#This Row],[North East]] &gt;= $N$10, T$13 = "Yes" )</f>
        <v>0</v>
      </c>
      <c r="U95" s="23">
        <f xml:space="preserve"> -- AND( tblFilterRegion[[#This Row],[North West]] &gt;= $N$10, U$13 = "Yes" )</f>
        <v>0</v>
      </c>
      <c r="V95" s="23">
        <f xml:space="preserve"> -- AND( tblFilterRegion[[#This Row],[Yorkshire &amp; the Humber]] &gt;= $N$10, V$13 = "Yes" )</f>
        <v>0</v>
      </c>
      <c r="W95" s="22">
        <f xml:space="preserve"> SUMIF( $E$13:$M$13, "Yes", tblFilterRegion[[#This Row],[London]:[Yorkshire &amp; the Humber]] )</f>
        <v>0</v>
      </c>
      <c r="X95" s="23">
        <f xml:space="preserve"> -- ( SUM( tblFilterRegion[[#This Row],[Incl for Lon]:[Incl for YH]] ) &gt; 0 )</f>
        <v>0</v>
      </c>
      <c r="Y95" s="23">
        <f xml:space="preserve"> -- ( tblFilterRegion[[#This Row],[Total in selected regions]] &gt; $N$10 )</f>
        <v>0</v>
      </c>
      <c r="Z95" s="24">
        <f xml:space="preserve"> IF( RegionMinimum = 0, 1, IF( $R$10 = $U$8, tblFilterRegion[[#This Row],[Include for region - any]], IF( $R$10 = $U$10, tblFilterRegion[[#This Row],[Include for region - total]], "CHECK" ) ) )</f>
        <v>1</v>
      </c>
      <c r="AA95" s="131" t="str" cm="1">
        <f t="array" ref="AA95" xml:space="preserve"> INDEX( VfM_Metrics_2023_Consol_Source[], $D95, AA$14 )</f>
        <v>Yorkshire &amp; the Humber</v>
      </c>
    </row>
    <row r="96" spans="2:27" x14ac:dyDescent="0.2">
      <c r="B96" s="159" t="s" vm="81">
        <v>307</v>
      </c>
      <c r="C96" s="154" t="str" vm="216">
        <f xml:space="preserve"> INDEX( VfM_Metrics_2023_Consol_Source[RP_Code], MATCH( tblFilterRegion[[#This Row],[RP_Name]], VfM_Metrics_2023_Consol_Source[RP_Name], 0 ) )</f>
        <v>LH3728</v>
      </c>
      <c r="D96" s="81">
        <f xml:space="preserve"> MATCH( tblFilterRegion[[#This Row],[RP_Code]], VfM_Metrics_2023_Consol_Source[RP_Code], 0 )</f>
        <v>81</v>
      </c>
      <c r="E96" s="22" cm="1">
        <f t="array" ref="E96" xml:space="preserve"> INDEX( VfM_Metrics_2023_Consol_Source[], $D96, E$14 )</f>
        <v>0.93348450491307633</v>
      </c>
      <c r="F96" s="22" cm="1">
        <f t="array" ref="F96" xml:space="preserve"> INDEX( VfM_Metrics_2023_Consol_Source[], $D96, F$14 )</f>
        <v>6.6515495086923657E-2</v>
      </c>
      <c r="G96" s="22" cm="1">
        <f t="array" ref="G96" xml:space="preserve"> INDEX( VfM_Metrics_2023_Consol_Source[], $D96, G$14 )</f>
        <v>0</v>
      </c>
      <c r="H96" s="22" cm="1">
        <f t="array" ref="H96" xml:space="preserve"> INDEX( VfM_Metrics_2023_Consol_Source[], $D96, H$14 )</f>
        <v>0</v>
      </c>
      <c r="I96" s="22" cm="1">
        <f t="array" ref="I96" xml:space="preserve"> INDEX( VfM_Metrics_2023_Consol_Source[], $D96, I$14 )</f>
        <v>0</v>
      </c>
      <c r="J96" s="22" cm="1">
        <f t="array" ref="J96" xml:space="preserve"> INDEX( VfM_Metrics_2023_Consol_Source[], $D96, J$14 )</f>
        <v>0</v>
      </c>
      <c r="K96" s="22" cm="1">
        <f t="array" ref="K96" xml:space="preserve"> INDEX( VfM_Metrics_2023_Consol_Source[], $D96, K$14 )</f>
        <v>0</v>
      </c>
      <c r="L96" s="22" cm="1">
        <f t="array" ref="L96" xml:space="preserve"> INDEX( VfM_Metrics_2023_Consol_Source[], $D96, L$14 )</f>
        <v>0</v>
      </c>
      <c r="M96" s="22" cm="1">
        <f t="array" ref="M96" xml:space="preserve"> INDEX( VfM_Metrics_2023_Consol_Source[], $D96, M$14 )</f>
        <v>0</v>
      </c>
      <c r="N96" s="23">
        <f xml:space="preserve"> -- AND( tblFilterRegion[[#This Row],[London]] &gt;= $N$10, N$13 = "Yes" )</f>
        <v>0</v>
      </c>
      <c r="O96" s="23">
        <f xml:space="preserve"> -- AND( tblFilterRegion[[#This Row],[South East]] &gt;= $N$10, O$13 = "Yes" )</f>
        <v>0</v>
      </c>
      <c r="P96" s="23">
        <f xml:space="preserve"> -- AND( tblFilterRegion[[#This Row],[South West]] &gt;= $N$10, P$13 = "Yes" )</f>
        <v>0</v>
      </c>
      <c r="Q96" s="23">
        <f xml:space="preserve"> -- AND( tblFilterRegion[[#This Row],[East Midlands]] &gt;= $N$10, Q$13 = "Yes" )</f>
        <v>0</v>
      </c>
      <c r="R96" s="23">
        <f xml:space="preserve"> -- AND( tblFilterRegion[[#This Row],[West Midlands]] &gt;= $N$10, R$13 = "Yes" )</f>
        <v>0</v>
      </c>
      <c r="S96" s="23">
        <f xml:space="preserve"> -- AND( tblFilterRegion[[#This Row],[East of England]] &gt;= $N$10, S$13 = "Yes" )</f>
        <v>0</v>
      </c>
      <c r="T96" s="23">
        <f xml:space="preserve"> -- AND( tblFilterRegion[[#This Row],[North East]] &gt;= $N$10, T$13 = "Yes" )</f>
        <v>0</v>
      </c>
      <c r="U96" s="23">
        <f xml:space="preserve"> -- AND( tblFilterRegion[[#This Row],[North West]] &gt;= $N$10, U$13 = "Yes" )</f>
        <v>0</v>
      </c>
      <c r="V96" s="23">
        <f xml:space="preserve"> -- AND( tblFilterRegion[[#This Row],[Yorkshire &amp; the Humber]] &gt;= $N$10, V$13 = "Yes" )</f>
        <v>0</v>
      </c>
      <c r="W96" s="22">
        <f xml:space="preserve"> SUMIF( $E$13:$M$13, "Yes", tblFilterRegion[[#This Row],[London]:[Yorkshire &amp; the Humber]] )</f>
        <v>0</v>
      </c>
      <c r="X96" s="23">
        <f xml:space="preserve"> -- ( SUM( tblFilterRegion[[#This Row],[Incl for Lon]:[Incl for YH]] ) &gt; 0 )</f>
        <v>0</v>
      </c>
      <c r="Y96" s="23">
        <f xml:space="preserve"> -- ( tblFilterRegion[[#This Row],[Total in selected regions]] &gt; $N$10 )</f>
        <v>0</v>
      </c>
      <c r="Z96" s="24">
        <f xml:space="preserve"> IF( RegionMinimum = 0, 1, IF( $R$10 = $U$8, tblFilterRegion[[#This Row],[Include for region - any]], IF( $R$10 = $U$10, tblFilterRegion[[#This Row],[Include for region - total]], "CHECK" ) ) )</f>
        <v>1</v>
      </c>
      <c r="AA96" s="131" t="str" cm="1">
        <f t="array" ref="AA96" xml:space="preserve"> INDEX( VfM_Metrics_2023_Consol_Source[], $D96, AA$14 )</f>
        <v>London</v>
      </c>
    </row>
    <row r="97" spans="2:27" x14ac:dyDescent="0.2">
      <c r="B97" s="159" t="s" vm="82">
        <v>309</v>
      </c>
      <c r="C97" s="154" t="str" vm="389">
        <f xml:space="preserve"> INDEX( VfM_Metrics_2023_Consol_Source[RP_Code], MATCH( tblFilterRegion[[#This Row],[RP_Name]], VfM_Metrics_2023_Consol_Source[RP_Name], 0 ) )</f>
        <v>L0061</v>
      </c>
      <c r="D97" s="81">
        <f xml:space="preserve"> MATCH( tblFilterRegion[[#This Row],[RP_Code]], VfM_Metrics_2023_Consol_Source[RP_Code], 0 )</f>
        <v>82</v>
      </c>
      <c r="E97" s="22" cm="1">
        <f t="array" ref="E97" xml:space="preserve"> INDEX( VfM_Metrics_2023_Consol_Source[], $D97, E$14 )</f>
        <v>0</v>
      </c>
      <c r="F97" s="22" cm="1">
        <f t="array" ref="F97" xml:space="preserve"> INDEX( VfM_Metrics_2023_Consol_Source[], $D97, F$14 )</f>
        <v>0</v>
      </c>
      <c r="G97" s="22" cm="1">
        <f t="array" ref="G97" xml:space="preserve"> INDEX( VfM_Metrics_2023_Consol_Source[], $D97, G$14 )</f>
        <v>0</v>
      </c>
      <c r="H97" s="22" cm="1">
        <f t="array" ref="H97" xml:space="preserve"> INDEX( VfM_Metrics_2023_Consol_Source[], $D97, H$14 )</f>
        <v>0</v>
      </c>
      <c r="I97" s="22" cm="1">
        <f t="array" ref="I97" xml:space="preserve"> INDEX( VfM_Metrics_2023_Consol_Source[], $D97, I$14 )</f>
        <v>0</v>
      </c>
      <c r="J97" s="22" cm="1">
        <f t="array" ref="J97" xml:space="preserve"> INDEX( VfM_Metrics_2023_Consol_Source[], $D97, J$14 )</f>
        <v>0</v>
      </c>
      <c r="K97" s="22" cm="1">
        <f t="array" ref="K97" xml:space="preserve"> INDEX( VfM_Metrics_2023_Consol_Source[], $D97, K$14 )</f>
        <v>0</v>
      </c>
      <c r="L97" s="22" cm="1">
        <f t="array" ref="L97" xml:space="preserve"> INDEX( VfM_Metrics_2023_Consol_Source[], $D97, L$14 )</f>
        <v>1</v>
      </c>
      <c r="M97" s="22" cm="1">
        <f t="array" ref="M97" xml:space="preserve"> INDEX( VfM_Metrics_2023_Consol_Source[], $D97, M$14 )</f>
        <v>0</v>
      </c>
      <c r="N97" s="23">
        <f xml:space="preserve"> -- AND( tblFilterRegion[[#This Row],[London]] &gt;= $N$10, N$13 = "Yes" )</f>
        <v>0</v>
      </c>
      <c r="O97" s="23">
        <f xml:space="preserve"> -- AND( tblFilterRegion[[#This Row],[South East]] &gt;= $N$10, O$13 = "Yes" )</f>
        <v>0</v>
      </c>
      <c r="P97" s="23">
        <f xml:space="preserve"> -- AND( tblFilterRegion[[#This Row],[South West]] &gt;= $N$10, P$13 = "Yes" )</f>
        <v>0</v>
      </c>
      <c r="Q97" s="23">
        <f xml:space="preserve"> -- AND( tblFilterRegion[[#This Row],[East Midlands]] &gt;= $N$10, Q$13 = "Yes" )</f>
        <v>0</v>
      </c>
      <c r="R97" s="23">
        <f xml:space="preserve"> -- AND( tblFilterRegion[[#This Row],[West Midlands]] &gt;= $N$10, R$13 = "Yes" )</f>
        <v>0</v>
      </c>
      <c r="S97" s="23">
        <f xml:space="preserve"> -- AND( tblFilterRegion[[#This Row],[East of England]] &gt;= $N$10, S$13 = "Yes" )</f>
        <v>0</v>
      </c>
      <c r="T97" s="23">
        <f xml:space="preserve"> -- AND( tblFilterRegion[[#This Row],[North East]] &gt;= $N$10, T$13 = "Yes" )</f>
        <v>0</v>
      </c>
      <c r="U97" s="23">
        <f xml:space="preserve"> -- AND( tblFilterRegion[[#This Row],[North West]] &gt;= $N$10, U$13 = "Yes" )</f>
        <v>0</v>
      </c>
      <c r="V97" s="23">
        <f xml:space="preserve"> -- AND( tblFilterRegion[[#This Row],[Yorkshire &amp; the Humber]] &gt;= $N$10, V$13 = "Yes" )</f>
        <v>0</v>
      </c>
      <c r="W97" s="22">
        <f xml:space="preserve"> SUMIF( $E$13:$M$13, "Yes", tblFilterRegion[[#This Row],[London]:[Yorkshire &amp; the Humber]] )</f>
        <v>0</v>
      </c>
      <c r="X97" s="23">
        <f xml:space="preserve"> -- ( SUM( tblFilterRegion[[#This Row],[Incl for Lon]:[Incl for YH]] ) &gt; 0 )</f>
        <v>0</v>
      </c>
      <c r="Y97" s="23">
        <f xml:space="preserve"> -- ( tblFilterRegion[[#This Row],[Total in selected regions]] &gt; $N$10 )</f>
        <v>0</v>
      </c>
      <c r="Z97" s="24">
        <f xml:space="preserve"> IF( RegionMinimum = 0, 1, IF( $R$10 = $U$8, tblFilterRegion[[#This Row],[Include for region - any]], IF( $R$10 = $U$10, tblFilterRegion[[#This Row],[Include for region - total]], "CHECK" ) ) )</f>
        <v>1</v>
      </c>
      <c r="AA97" s="131" t="str" cm="1">
        <f t="array" ref="AA97" xml:space="preserve"> INDEX( VfM_Metrics_2023_Consol_Source[], $D97, AA$14 )</f>
        <v>North West</v>
      </c>
    </row>
    <row r="98" spans="2:27" x14ac:dyDescent="0.2">
      <c r="B98" s="159" t="s" vm="83">
        <v>311</v>
      </c>
      <c r="C98" s="154" t="str" vm="210">
        <f xml:space="preserve"> INDEX( VfM_Metrics_2023_Consol_Source[RP_Code], MATCH( tblFilterRegion[[#This Row],[RP_Name]], VfM_Metrics_2023_Consol_Source[RP_Name], 0 ) )</f>
        <v>L0457</v>
      </c>
      <c r="D98" s="81">
        <f xml:space="preserve"> MATCH( tblFilterRegion[[#This Row],[RP_Code]], VfM_Metrics_2023_Consol_Source[RP_Code], 0 )</f>
        <v>83</v>
      </c>
      <c r="E98" s="22" cm="1">
        <f t="array" ref="E98" xml:space="preserve"> INDEX( VfM_Metrics_2023_Consol_Source[], $D98, E$14 )</f>
        <v>1</v>
      </c>
      <c r="F98" s="22" cm="1">
        <f t="array" ref="F98" xml:space="preserve"> INDEX( VfM_Metrics_2023_Consol_Source[], $D98, F$14 )</f>
        <v>0</v>
      </c>
      <c r="G98" s="22" cm="1">
        <f t="array" ref="G98" xml:space="preserve"> INDEX( VfM_Metrics_2023_Consol_Source[], $D98, G$14 )</f>
        <v>0</v>
      </c>
      <c r="H98" s="22" cm="1">
        <f t="array" ref="H98" xml:space="preserve"> INDEX( VfM_Metrics_2023_Consol_Source[], $D98, H$14 )</f>
        <v>0</v>
      </c>
      <c r="I98" s="22" cm="1">
        <f t="array" ref="I98" xml:space="preserve"> INDEX( VfM_Metrics_2023_Consol_Source[], $D98, I$14 )</f>
        <v>0</v>
      </c>
      <c r="J98" s="22" cm="1">
        <f t="array" ref="J98" xml:space="preserve"> INDEX( VfM_Metrics_2023_Consol_Source[], $D98, J$14 )</f>
        <v>0</v>
      </c>
      <c r="K98" s="22" cm="1">
        <f t="array" ref="K98" xml:space="preserve"> INDEX( VfM_Metrics_2023_Consol_Source[], $D98, K$14 )</f>
        <v>0</v>
      </c>
      <c r="L98" s="22" cm="1">
        <f t="array" ref="L98" xml:space="preserve"> INDEX( VfM_Metrics_2023_Consol_Source[], $D98, L$14 )</f>
        <v>0</v>
      </c>
      <c r="M98" s="22" cm="1">
        <f t="array" ref="M98" xml:space="preserve"> INDEX( VfM_Metrics_2023_Consol_Source[], $D98, M$14 )</f>
        <v>0</v>
      </c>
      <c r="N98" s="23">
        <f xml:space="preserve"> -- AND( tblFilterRegion[[#This Row],[London]] &gt;= $N$10, N$13 = "Yes" )</f>
        <v>0</v>
      </c>
      <c r="O98" s="23">
        <f xml:space="preserve"> -- AND( tblFilterRegion[[#This Row],[South East]] &gt;= $N$10, O$13 = "Yes" )</f>
        <v>0</v>
      </c>
      <c r="P98" s="23">
        <f xml:space="preserve"> -- AND( tblFilterRegion[[#This Row],[South West]] &gt;= $N$10, P$13 = "Yes" )</f>
        <v>0</v>
      </c>
      <c r="Q98" s="23">
        <f xml:space="preserve"> -- AND( tblFilterRegion[[#This Row],[East Midlands]] &gt;= $N$10, Q$13 = "Yes" )</f>
        <v>0</v>
      </c>
      <c r="R98" s="23">
        <f xml:space="preserve"> -- AND( tblFilterRegion[[#This Row],[West Midlands]] &gt;= $N$10, R$13 = "Yes" )</f>
        <v>0</v>
      </c>
      <c r="S98" s="23">
        <f xml:space="preserve"> -- AND( tblFilterRegion[[#This Row],[East of England]] &gt;= $N$10, S$13 = "Yes" )</f>
        <v>0</v>
      </c>
      <c r="T98" s="23">
        <f xml:space="preserve"> -- AND( tblFilterRegion[[#This Row],[North East]] &gt;= $N$10, T$13 = "Yes" )</f>
        <v>0</v>
      </c>
      <c r="U98" s="23">
        <f xml:space="preserve"> -- AND( tblFilterRegion[[#This Row],[North West]] &gt;= $N$10, U$13 = "Yes" )</f>
        <v>0</v>
      </c>
      <c r="V98" s="23">
        <f xml:space="preserve"> -- AND( tblFilterRegion[[#This Row],[Yorkshire &amp; the Humber]] &gt;= $N$10, V$13 = "Yes" )</f>
        <v>0</v>
      </c>
      <c r="W98" s="22">
        <f xml:space="preserve"> SUMIF( $E$13:$M$13, "Yes", tblFilterRegion[[#This Row],[London]:[Yorkshire &amp; the Humber]] )</f>
        <v>0</v>
      </c>
      <c r="X98" s="23">
        <f xml:space="preserve"> -- ( SUM( tblFilterRegion[[#This Row],[Incl for Lon]:[Incl for YH]] ) &gt; 0 )</f>
        <v>0</v>
      </c>
      <c r="Y98" s="23">
        <f xml:space="preserve"> -- ( tblFilterRegion[[#This Row],[Total in selected regions]] &gt; $N$10 )</f>
        <v>0</v>
      </c>
      <c r="Z98" s="24">
        <f xml:space="preserve"> IF( RegionMinimum = 0, 1, IF( $R$10 = $U$8, tblFilterRegion[[#This Row],[Include for region - any]], IF( $R$10 = $U$10, tblFilterRegion[[#This Row],[Include for region - total]], "CHECK" ) ) )</f>
        <v>1</v>
      </c>
      <c r="AA98" s="131" t="str" cm="1">
        <f t="array" ref="AA98" xml:space="preserve"> INDEX( VfM_Metrics_2023_Consol_Source[], $D98, AA$14 )</f>
        <v>London</v>
      </c>
    </row>
    <row r="99" spans="2:27" x14ac:dyDescent="0.2">
      <c r="B99" s="159" t="s" vm="84">
        <v>313</v>
      </c>
      <c r="C99" s="154" t="str" vm="262">
        <f xml:space="preserve"> INDEX( VfM_Metrics_2023_Consol_Source[RP_Code], MATCH( tblFilterRegion[[#This Row],[RP_Name]], VfM_Metrics_2023_Consol_Source[RP_Name], 0 ) )</f>
        <v>LH4345</v>
      </c>
      <c r="D99" s="81">
        <f xml:space="preserve"> MATCH( tblFilterRegion[[#This Row],[RP_Code]], VfM_Metrics_2023_Consol_Source[RP_Code], 0 )</f>
        <v>84</v>
      </c>
      <c r="E99" s="22" cm="1">
        <f t="array" ref="E99" xml:space="preserve"> INDEX( VfM_Metrics_2023_Consol_Source[], $D99, E$14 )</f>
        <v>0</v>
      </c>
      <c r="F99" s="22" cm="1">
        <f t="array" ref="F99" xml:space="preserve"> INDEX( VfM_Metrics_2023_Consol_Source[], $D99, F$14 )</f>
        <v>0</v>
      </c>
      <c r="G99" s="22" cm="1">
        <f t="array" ref="G99" xml:space="preserve"> INDEX( VfM_Metrics_2023_Consol_Source[], $D99, G$14 )</f>
        <v>0</v>
      </c>
      <c r="H99" s="22" cm="1">
        <f t="array" ref="H99" xml:space="preserve"> INDEX( VfM_Metrics_2023_Consol_Source[], $D99, H$14 )</f>
        <v>9.7732907195555427E-2</v>
      </c>
      <c r="I99" s="22" cm="1">
        <f t="array" ref="I99" xml:space="preserve"> INDEX( VfM_Metrics_2023_Consol_Source[], $D99, I$14 )</f>
        <v>8.960841124286867E-5</v>
      </c>
      <c r="J99" s="22" cm="1">
        <f t="array" ref="J99" xml:space="preserve"> INDEX( VfM_Metrics_2023_Consol_Source[], $D99, J$14 )</f>
        <v>0</v>
      </c>
      <c r="K99" s="22" cm="1">
        <f t="array" ref="K99" xml:space="preserve"> INDEX( VfM_Metrics_2023_Consol_Source[], $D99, K$14 )</f>
        <v>0</v>
      </c>
      <c r="L99" s="22" cm="1">
        <f t="array" ref="L99" xml:space="preserve"> INDEX( VfM_Metrics_2023_Consol_Source[], $D99, L$14 )</f>
        <v>0.90158009498491587</v>
      </c>
      <c r="M99" s="22" cm="1">
        <f t="array" ref="M99" xml:space="preserve"> INDEX( VfM_Metrics_2023_Consol_Source[], $D99, M$14 )</f>
        <v>5.9738940828579106E-4</v>
      </c>
      <c r="N99" s="23">
        <f xml:space="preserve"> -- AND( tblFilterRegion[[#This Row],[London]] &gt;= $N$10, N$13 = "Yes" )</f>
        <v>0</v>
      </c>
      <c r="O99" s="23">
        <f xml:space="preserve"> -- AND( tblFilterRegion[[#This Row],[South East]] &gt;= $N$10, O$13 = "Yes" )</f>
        <v>0</v>
      </c>
      <c r="P99" s="23">
        <f xml:space="preserve"> -- AND( tblFilterRegion[[#This Row],[South West]] &gt;= $N$10, P$13 = "Yes" )</f>
        <v>0</v>
      </c>
      <c r="Q99" s="23">
        <f xml:space="preserve"> -- AND( tblFilterRegion[[#This Row],[East Midlands]] &gt;= $N$10, Q$13 = "Yes" )</f>
        <v>0</v>
      </c>
      <c r="R99" s="23">
        <f xml:space="preserve"> -- AND( tblFilterRegion[[#This Row],[West Midlands]] &gt;= $N$10, R$13 = "Yes" )</f>
        <v>0</v>
      </c>
      <c r="S99" s="23">
        <f xml:space="preserve"> -- AND( tblFilterRegion[[#This Row],[East of England]] &gt;= $N$10, S$13 = "Yes" )</f>
        <v>0</v>
      </c>
      <c r="T99" s="23">
        <f xml:space="preserve"> -- AND( tblFilterRegion[[#This Row],[North East]] &gt;= $N$10, T$13 = "Yes" )</f>
        <v>0</v>
      </c>
      <c r="U99" s="23">
        <f xml:space="preserve"> -- AND( tblFilterRegion[[#This Row],[North West]] &gt;= $N$10, U$13 = "Yes" )</f>
        <v>0</v>
      </c>
      <c r="V99" s="23">
        <f xml:space="preserve"> -- AND( tblFilterRegion[[#This Row],[Yorkshire &amp; the Humber]] &gt;= $N$10, V$13 = "Yes" )</f>
        <v>0</v>
      </c>
      <c r="W99" s="22">
        <f xml:space="preserve"> SUMIF( $E$13:$M$13, "Yes", tblFilterRegion[[#This Row],[London]:[Yorkshire &amp; the Humber]] )</f>
        <v>0</v>
      </c>
      <c r="X99" s="23">
        <f xml:space="preserve"> -- ( SUM( tblFilterRegion[[#This Row],[Incl for Lon]:[Incl for YH]] ) &gt; 0 )</f>
        <v>0</v>
      </c>
      <c r="Y99" s="23">
        <f xml:space="preserve"> -- ( tblFilterRegion[[#This Row],[Total in selected regions]] &gt; $N$10 )</f>
        <v>0</v>
      </c>
      <c r="Z99" s="24">
        <f xml:space="preserve"> IF( RegionMinimum = 0, 1, IF( $R$10 = $U$8, tblFilterRegion[[#This Row],[Include for region - any]], IF( $R$10 = $U$10, tblFilterRegion[[#This Row],[Include for region - total]], "CHECK" ) ) )</f>
        <v>1</v>
      </c>
      <c r="AA99" s="131" t="str" cm="1">
        <f t="array" ref="AA99" xml:space="preserve"> INDEX( VfM_Metrics_2023_Consol_Source[], $D99, AA$14 )</f>
        <v>North West</v>
      </c>
    </row>
    <row r="100" spans="2:27" x14ac:dyDescent="0.2">
      <c r="B100" s="159" t="s" vm="85">
        <v>315</v>
      </c>
      <c r="C100" s="154" t="str" vm="318">
        <f xml:space="preserve"> INDEX( VfM_Metrics_2023_Consol_Source[RP_Code], MATCH( tblFilterRegion[[#This Row],[RP_Name]], VfM_Metrics_2023_Consol_Source[RP_Name], 0 ) )</f>
        <v>L1231</v>
      </c>
      <c r="D100" s="81">
        <f xml:space="preserve"> MATCH( tblFilterRegion[[#This Row],[RP_Code]], VfM_Metrics_2023_Consol_Source[RP_Code], 0 )</f>
        <v>85</v>
      </c>
      <c r="E100" s="22" cm="1">
        <f t="array" ref="E100" xml:space="preserve"> INDEX( VfM_Metrics_2023_Consol_Source[], $D100, E$14 )</f>
        <v>0</v>
      </c>
      <c r="F100" s="22" cm="1">
        <f t="array" ref="F100" xml:space="preserve"> INDEX( VfM_Metrics_2023_Consol_Source[], $D100, F$14 )</f>
        <v>0</v>
      </c>
      <c r="G100" s="22" cm="1">
        <f t="array" ref="G100" xml:space="preserve"> INDEX( VfM_Metrics_2023_Consol_Source[], $D100, G$14 )</f>
        <v>0</v>
      </c>
      <c r="H100" s="22" cm="1">
        <f t="array" ref="H100" xml:space="preserve"> INDEX( VfM_Metrics_2023_Consol_Source[], $D100, H$14 )</f>
        <v>6.9981583793738492E-2</v>
      </c>
      <c r="I100" s="22" cm="1">
        <f t="array" ref="I100" xml:space="preserve"> INDEX( VfM_Metrics_2023_Consol_Source[], $D100, I$14 )</f>
        <v>0</v>
      </c>
      <c r="J100" s="22" cm="1">
        <f t="array" ref="J100" xml:space="preserve"> INDEX( VfM_Metrics_2023_Consol_Source[], $D100, J$14 )</f>
        <v>1.0026601186822181E-2</v>
      </c>
      <c r="K100" s="22" cm="1">
        <f t="array" ref="K100" xml:space="preserve"> INDEX( VfM_Metrics_2023_Consol_Source[], $D100, K$14 )</f>
        <v>0.21424186617556784</v>
      </c>
      <c r="L100" s="22" cm="1">
        <f t="array" ref="L100" xml:space="preserve"> INDEX( VfM_Metrics_2023_Consol_Source[], $D100, L$14 )</f>
        <v>0.45979128299570288</v>
      </c>
      <c r="M100" s="22" cm="1">
        <f t="array" ref="M100" xml:space="preserve"> INDEX( VfM_Metrics_2023_Consol_Source[], $D100, M$14 )</f>
        <v>0.24595866584816861</v>
      </c>
      <c r="N100" s="23">
        <f xml:space="preserve"> -- AND( tblFilterRegion[[#This Row],[London]] &gt;= $N$10, N$13 = "Yes" )</f>
        <v>0</v>
      </c>
      <c r="O100" s="23">
        <f xml:space="preserve"> -- AND( tblFilterRegion[[#This Row],[South East]] &gt;= $N$10, O$13 = "Yes" )</f>
        <v>0</v>
      </c>
      <c r="P100" s="23">
        <f xml:space="preserve"> -- AND( tblFilterRegion[[#This Row],[South West]] &gt;= $N$10, P$13 = "Yes" )</f>
        <v>0</v>
      </c>
      <c r="Q100" s="23">
        <f xml:space="preserve"> -- AND( tblFilterRegion[[#This Row],[East Midlands]] &gt;= $N$10, Q$13 = "Yes" )</f>
        <v>0</v>
      </c>
      <c r="R100" s="23">
        <f xml:space="preserve"> -- AND( tblFilterRegion[[#This Row],[West Midlands]] &gt;= $N$10, R$13 = "Yes" )</f>
        <v>0</v>
      </c>
      <c r="S100" s="23">
        <f xml:space="preserve"> -- AND( tblFilterRegion[[#This Row],[East of England]] &gt;= $N$10, S$13 = "Yes" )</f>
        <v>0</v>
      </c>
      <c r="T100" s="23">
        <f xml:space="preserve"> -- AND( tblFilterRegion[[#This Row],[North East]] &gt;= $N$10, T$13 = "Yes" )</f>
        <v>0</v>
      </c>
      <c r="U100" s="23">
        <f xml:space="preserve"> -- AND( tblFilterRegion[[#This Row],[North West]] &gt;= $N$10, U$13 = "Yes" )</f>
        <v>0</v>
      </c>
      <c r="V100" s="23">
        <f xml:space="preserve"> -- AND( tblFilterRegion[[#This Row],[Yorkshire &amp; the Humber]] &gt;= $N$10, V$13 = "Yes" )</f>
        <v>0</v>
      </c>
      <c r="W100" s="22">
        <f xml:space="preserve"> SUMIF( $E$13:$M$13, "Yes", tblFilterRegion[[#This Row],[London]:[Yorkshire &amp; the Humber]] )</f>
        <v>0</v>
      </c>
      <c r="X100" s="23">
        <f xml:space="preserve"> -- ( SUM( tblFilterRegion[[#This Row],[Incl for Lon]:[Incl for YH]] ) &gt; 0 )</f>
        <v>0</v>
      </c>
      <c r="Y100" s="23">
        <f xml:space="preserve"> -- ( tblFilterRegion[[#This Row],[Total in selected regions]] &gt; $N$10 )</f>
        <v>0</v>
      </c>
      <c r="Z100" s="24">
        <f xml:space="preserve"> IF( RegionMinimum = 0, 1, IF( $R$10 = $U$8, tblFilterRegion[[#This Row],[Include for region - any]], IF( $R$10 = $U$10, tblFilterRegion[[#This Row],[Include for region - total]], "CHECK" ) ) )</f>
        <v>1</v>
      </c>
      <c r="AA100" s="131" t="str" cm="1">
        <f t="array" ref="AA100" xml:space="preserve"> INDEX( VfM_Metrics_2023_Consol_Source[], $D100, AA$14 )</f>
        <v>Mixed</v>
      </c>
    </row>
    <row r="101" spans="2:27" x14ac:dyDescent="0.2">
      <c r="B101" s="159" t="s" vm="86">
        <v>317</v>
      </c>
      <c r="C101" s="154" t="str" vm="207">
        <f xml:space="preserve"> INDEX( VfM_Metrics_2023_Consol_Source[RP_Code], MATCH( tblFilterRegion[[#This Row],[RP_Name]], VfM_Metrics_2023_Consol_Source[RP_Name], 0 ) )</f>
        <v>5079</v>
      </c>
      <c r="D101" s="81">
        <f xml:space="preserve"> MATCH( tblFilterRegion[[#This Row],[RP_Code]], VfM_Metrics_2023_Consol_Source[RP_Code], 0 )</f>
        <v>86</v>
      </c>
      <c r="E101" s="22" cm="1">
        <f t="array" ref="E101" xml:space="preserve"> INDEX( VfM_Metrics_2023_Consol_Source[], $D101, E$14 )</f>
        <v>0</v>
      </c>
      <c r="F101" s="22" cm="1">
        <f t="array" ref="F101" xml:space="preserve"> INDEX( VfM_Metrics_2023_Consol_Source[], $D101, F$14 )</f>
        <v>0</v>
      </c>
      <c r="G101" s="22" cm="1">
        <f t="array" ref="G101" xml:space="preserve"> INDEX( VfM_Metrics_2023_Consol_Source[], $D101, G$14 )</f>
        <v>0</v>
      </c>
      <c r="H101" s="22" cm="1">
        <f t="array" ref="H101" xml:space="preserve"> INDEX( VfM_Metrics_2023_Consol_Source[], $D101, H$14 )</f>
        <v>0</v>
      </c>
      <c r="I101" s="22" cm="1">
        <f t="array" ref="I101" xml:space="preserve"> INDEX( VfM_Metrics_2023_Consol_Source[], $D101, I$14 )</f>
        <v>0</v>
      </c>
      <c r="J101" s="22" cm="1">
        <f t="array" ref="J101" xml:space="preserve"> INDEX( VfM_Metrics_2023_Consol_Source[], $D101, J$14 )</f>
        <v>0</v>
      </c>
      <c r="K101" s="22" cm="1">
        <f t="array" ref="K101" xml:space="preserve"> INDEX( VfM_Metrics_2023_Consol_Source[], $D101, K$14 )</f>
        <v>9.3453724604966135E-2</v>
      </c>
      <c r="L101" s="22" cm="1">
        <f t="array" ref="L101" xml:space="preserve"> INDEX( VfM_Metrics_2023_Consol_Source[], $D101, L$14 )</f>
        <v>0</v>
      </c>
      <c r="M101" s="22" cm="1">
        <f t="array" ref="M101" xml:space="preserve"> INDEX( VfM_Metrics_2023_Consol_Source[], $D101, M$14 )</f>
        <v>0.90654627539503385</v>
      </c>
      <c r="N101" s="23">
        <f xml:space="preserve"> -- AND( tblFilterRegion[[#This Row],[London]] &gt;= $N$10, N$13 = "Yes" )</f>
        <v>0</v>
      </c>
      <c r="O101" s="23">
        <f xml:space="preserve"> -- AND( tblFilterRegion[[#This Row],[South East]] &gt;= $N$10, O$13 = "Yes" )</f>
        <v>0</v>
      </c>
      <c r="P101" s="23">
        <f xml:space="preserve"> -- AND( tblFilterRegion[[#This Row],[South West]] &gt;= $N$10, P$13 = "Yes" )</f>
        <v>0</v>
      </c>
      <c r="Q101" s="23">
        <f xml:space="preserve"> -- AND( tblFilterRegion[[#This Row],[East Midlands]] &gt;= $N$10, Q$13 = "Yes" )</f>
        <v>0</v>
      </c>
      <c r="R101" s="23">
        <f xml:space="preserve"> -- AND( tblFilterRegion[[#This Row],[West Midlands]] &gt;= $N$10, R$13 = "Yes" )</f>
        <v>0</v>
      </c>
      <c r="S101" s="23">
        <f xml:space="preserve"> -- AND( tblFilterRegion[[#This Row],[East of England]] &gt;= $N$10, S$13 = "Yes" )</f>
        <v>0</v>
      </c>
      <c r="T101" s="23">
        <f xml:space="preserve"> -- AND( tblFilterRegion[[#This Row],[North East]] &gt;= $N$10, T$13 = "Yes" )</f>
        <v>0</v>
      </c>
      <c r="U101" s="23">
        <f xml:space="preserve"> -- AND( tblFilterRegion[[#This Row],[North West]] &gt;= $N$10, U$13 = "Yes" )</f>
        <v>0</v>
      </c>
      <c r="V101" s="23">
        <f xml:space="preserve"> -- AND( tblFilterRegion[[#This Row],[Yorkshire &amp; the Humber]] &gt;= $N$10, V$13 = "Yes" )</f>
        <v>0</v>
      </c>
      <c r="W101" s="22">
        <f xml:space="preserve"> SUMIF( $E$13:$M$13, "Yes", tblFilterRegion[[#This Row],[London]:[Yorkshire &amp; the Humber]] )</f>
        <v>0</v>
      </c>
      <c r="X101" s="23">
        <f xml:space="preserve"> -- ( SUM( tblFilterRegion[[#This Row],[Incl for Lon]:[Incl for YH]] ) &gt; 0 )</f>
        <v>0</v>
      </c>
      <c r="Y101" s="23">
        <f xml:space="preserve"> -- ( tblFilterRegion[[#This Row],[Total in selected regions]] &gt; $N$10 )</f>
        <v>0</v>
      </c>
      <c r="Z101" s="24">
        <f xml:space="preserve"> IF( RegionMinimum = 0, 1, IF( $R$10 = $U$8, tblFilterRegion[[#This Row],[Include for region - any]], IF( $R$10 = $U$10, tblFilterRegion[[#This Row],[Include for region - total]], "CHECK" ) ) )</f>
        <v>1</v>
      </c>
      <c r="AA101" s="131" t="str" cm="1">
        <f t="array" ref="AA101" xml:space="preserve"> INDEX( VfM_Metrics_2023_Consol_Source[], $D101, AA$14 )</f>
        <v>Yorkshire &amp; the Humber</v>
      </c>
    </row>
    <row r="102" spans="2:27" x14ac:dyDescent="0.2">
      <c r="B102" s="159" t="s" vm="87">
        <v>319</v>
      </c>
      <c r="C102" s="154" t="str" vm="265">
        <f xml:space="preserve"> INDEX( VfM_Metrics_2023_Consol_Source[RP_Code], MATCH( tblFilterRegion[[#This Row],[RP_Name]], VfM_Metrics_2023_Consol_Source[RP_Name], 0 ) )</f>
        <v>4846</v>
      </c>
      <c r="D102" s="81">
        <f xml:space="preserve"> MATCH( tblFilterRegion[[#This Row],[RP_Code]], VfM_Metrics_2023_Consol_Source[RP_Code], 0 )</f>
        <v>87</v>
      </c>
      <c r="E102" s="22" cm="1">
        <f t="array" ref="E102" xml:space="preserve"> INDEX( VfM_Metrics_2023_Consol_Source[], $D102, E$14 )</f>
        <v>0</v>
      </c>
      <c r="F102" s="22" cm="1">
        <f t="array" ref="F102" xml:space="preserve"> INDEX( VfM_Metrics_2023_Consol_Source[], $D102, F$14 )</f>
        <v>0</v>
      </c>
      <c r="G102" s="22" cm="1">
        <f t="array" ref="G102" xml:space="preserve"> INDEX( VfM_Metrics_2023_Consol_Source[], $D102, G$14 )</f>
        <v>0</v>
      </c>
      <c r="H102" s="22" cm="1">
        <f t="array" ref="H102" xml:space="preserve"> INDEX( VfM_Metrics_2023_Consol_Source[], $D102, H$14 )</f>
        <v>0</v>
      </c>
      <c r="I102" s="22" cm="1">
        <f t="array" ref="I102" xml:space="preserve"> INDEX( VfM_Metrics_2023_Consol_Source[], $D102, I$14 )</f>
        <v>0</v>
      </c>
      <c r="J102" s="22" cm="1">
        <f t="array" ref="J102" xml:space="preserve"> INDEX( VfM_Metrics_2023_Consol_Source[], $D102, J$14 )</f>
        <v>0</v>
      </c>
      <c r="K102" s="22" cm="1">
        <f t="array" ref="K102" xml:space="preserve"> INDEX( VfM_Metrics_2023_Consol_Source[], $D102, K$14 )</f>
        <v>0.89318503405837635</v>
      </c>
      <c r="L102" s="22" cm="1">
        <f t="array" ref="L102" xml:space="preserve"> INDEX( VfM_Metrics_2023_Consol_Source[], $D102, L$14 )</f>
        <v>0</v>
      </c>
      <c r="M102" s="22" cm="1">
        <f t="array" ref="M102" xml:space="preserve"> INDEX( VfM_Metrics_2023_Consol_Source[], $D102, M$14 )</f>
        <v>0.10681496594162361</v>
      </c>
      <c r="N102" s="23">
        <f xml:space="preserve"> -- AND( tblFilterRegion[[#This Row],[London]] &gt;= $N$10, N$13 = "Yes" )</f>
        <v>0</v>
      </c>
      <c r="O102" s="23">
        <f xml:space="preserve"> -- AND( tblFilterRegion[[#This Row],[South East]] &gt;= $N$10, O$13 = "Yes" )</f>
        <v>0</v>
      </c>
      <c r="P102" s="23">
        <f xml:space="preserve"> -- AND( tblFilterRegion[[#This Row],[South West]] &gt;= $N$10, P$13 = "Yes" )</f>
        <v>0</v>
      </c>
      <c r="Q102" s="23">
        <f xml:space="preserve"> -- AND( tblFilterRegion[[#This Row],[East Midlands]] &gt;= $N$10, Q$13 = "Yes" )</f>
        <v>0</v>
      </c>
      <c r="R102" s="23">
        <f xml:space="preserve"> -- AND( tblFilterRegion[[#This Row],[West Midlands]] &gt;= $N$10, R$13 = "Yes" )</f>
        <v>0</v>
      </c>
      <c r="S102" s="23">
        <f xml:space="preserve"> -- AND( tblFilterRegion[[#This Row],[East of England]] &gt;= $N$10, S$13 = "Yes" )</f>
        <v>0</v>
      </c>
      <c r="T102" s="23">
        <f xml:space="preserve"> -- AND( tblFilterRegion[[#This Row],[North East]] &gt;= $N$10, T$13 = "Yes" )</f>
        <v>0</v>
      </c>
      <c r="U102" s="23">
        <f xml:space="preserve"> -- AND( tblFilterRegion[[#This Row],[North West]] &gt;= $N$10, U$13 = "Yes" )</f>
        <v>0</v>
      </c>
      <c r="V102" s="23">
        <f xml:space="preserve"> -- AND( tblFilterRegion[[#This Row],[Yorkshire &amp; the Humber]] &gt;= $N$10, V$13 = "Yes" )</f>
        <v>0</v>
      </c>
      <c r="W102" s="22">
        <f xml:space="preserve"> SUMIF( $E$13:$M$13, "Yes", tblFilterRegion[[#This Row],[London]:[Yorkshire &amp; the Humber]] )</f>
        <v>0</v>
      </c>
      <c r="X102" s="23">
        <f xml:space="preserve"> -- ( SUM( tblFilterRegion[[#This Row],[Incl for Lon]:[Incl for YH]] ) &gt; 0 )</f>
        <v>0</v>
      </c>
      <c r="Y102" s="23">
        <f xml:space="preserve"> -- ( tblFilterRegion[[#This Row],[Total in selected regions]] &gt; $N$10 )</f>
        <v>0</v>
      </c>
      <c r="Z102" s="24">
        <f xml:space="preserve"> IF( RegionMinimum = 0, 1, IF( $R$10 = $U$8, tblFilterRegion[[#This Row],[Include for region - any]], IF( $R$10 = $U$10, tblFilterRegion[[#This Row],[Include for region - total]], "CHECK" ) ) )</f>
        <v>1</v>
      </c>
      <c r="AA102" s="131" t="str" cm="1">
        <f t="array" ref="AA102" xml:space="preserve"> INDEX( VfM_Metrics_2023_Consol_Source[], $D102, AA$14 )</f>
        <v>North East</v>
      </c>
    </row>
    <row r="103" spans="2:27" x14ac:dyDescent="0.2">
      <c r="B103" s="159" t="s" vm="88">
        <v>321</v>
      </c>
      <c r="C103" s="154" t="str" vm="330">
        <f xml:space="preserve"> INDEX( VfM_Metrics_2023_Consol_Source[RP_Code], MATCH( tblFilterRegion[[#This Row],[RP_Name]], VfM_Metrics_2023_Consol_Source[RP_Name], 0 ) )</f>
        <v>LH0989</v>
      </c>
      <c r="D103" s="81">
        <f xml:space="preserve"> MATCH( tblFilterRegion[[#This Row],[RP_Code]], VfM_Metrics_2023_Consol_Source[RP_Code], 0 )</f>
        <v>88</v>
      </c>
      <c r="E103" s="22" cm="1">
        <f t="array" ref="E103" xml:space="preserve"> INDEX( VfM_Metrics_2023_Consol_Source[], $D103, E$14 )</f>
        <v>0</v>
      </c>
      <c r="F103" s="22" cm="1">
        <f t="array" ref="F103" xml:space="preserve"> INDEX( VfM_Metrics_2023_Consol_Source[], $D103, F$14 )</f>
        <v>0</v>
      </c>
      <c r="G103" s="22" cm="1">
        <f t="array" ref="G103" xml:space="preserve"> INDEX( VfM_Metrics_2023_Consol_Source[], $D103, G$14 )</f>
        <v>0</v>
      </c>
      <c r="H103" s="22" cm="1">
        <f t="array" ref="H103" xml:space="preserve"> INDEX( VfM_Metrics_2023_Consol_Source[], $D103, H$14 )</f>
        <v>2.2386389075442132E-4</v>
      </c>
      <c r="I103" s="22" cm="1">
        <f t="array" ref="I103" xml:space="preserve"> INDEX( VfM_Metrics_2023_Consol_Source[], $D103, I$14 )</f>
        <v>0</v>
      </c>
      <c r="J103" s="22" cm="1">
        <f t="array" ref="J103" xml:space="preserve"> INDEX( VfM_Metrics_2023_Consol_Source[], $D103, J$14 )</f>
        <v>0</v>
      </c>
      <c r="K103" s="22" cm="1">
        <f t="array" ref="K103" xml:space="preserve"> INDEX( VfM_Metrics_2023_Consol_Source[], $D103, K$14 )</f>
        <v>0</v>
      </c>
      <c r="L103" s="22" cm="1">
        <f t="array" ref="L103" xml:space="preserve"> INDEX( VfM_Metrics_2023_Consol_Source[], $D103, L$14 )</f>
        <v>0</v>
      </c>
      <c r="M103" s="22" cm="1">
        <f t="array" ref="M103" xml:space="preserve"> INDEX( VfM_Metrics_2023_Consol_Source[], $D103, M$14 )</f>
        <v>0.99977613610924554</v>
      </c>
      <c r="N103" s="23">
        <f xml:space="preserve"> -- AND( tblFilterRegion[[#This Row],[London]] &gt;= $N$10, N$13 = "Yes" )</f>
        <v>0</v>
      </c>
      <c r="O103" s="23">
        <f xml:space="preserve"> -- AND( tblFilterRegion[[#This Row],[South East]] &gt;= $N$10, O$13 = "Yes" )</f>
        <v>0</v>
      </c>
      <c r="P103" s="23">
        <f xml:space="preserve"> -- AND( tblFilterRegion[[#This Row],[South West]] &gt;= $N$10, P$13 = "Yes" )</f>
        <v>0</v>
      </c>
      <c r="Q103" s="23">
        <f xml:space="preserve"> -- AND( tblFilterRegion[[#This Row],[East Midlands]] &gt;= $N$10, Q$13 = "Yes" )</f>
        <v>0</v>
      </c>
      <c r="R103" s="23">
        <f xml:space="preserve"> -- AND( tblFilterRegion[[#This Row],[West Midlands]] &gt;= $N$10, R$13 = "Yes" )</f>
        <v>0</v>
      </c>
      <c r="S103" s="23">
        <f xml:space="preserve"> -- AND( tblFilterRegion[[#This Row],[East of England]] &gt;= $N$10, S$13 = "Yes" )</f>
        <v>0</v>
      </c>
      <c r="T103" s="23">
        <f xml:space="preserve"> -- AND( tblFilterRegion[[#This Row],[North East]] &gt;= $N$10, T$13 = "Yes" )</f>
        <v>0</v>
      </c>
      <c r="U103" s="23">
        <f xml:space="preserve"> -- AND( tblFilterRegion[[#This Row],[North West]] &gt;= $N$10, U$13 = "Yes" )</f>
        <v>0</v>
      </c>
      <c r="V103" s="23">
        <f xml:space="preserve"> -- AND( tblFilterRegion[[#This Row],[Yorkshire &amp; the Humber]] &gt;= $N$10, V$13 = "Yes" )</f>
        <v>0</v>
      </c>
      <c r="W103" s="22">
        <f xml:space="preserve"> SUMIF( $E$13:$M$13, "Yes", tblFilterRegion[[#This Row],[London]:[Yorkshire &amp; the Humber]] )</f>
        <v>0</v>
      </c>
      <c r="X103" s="23">
        <f xml:space="preserve"> -- ( SUM( tblFilterRegion[[#This Row],[Incl for Lon]:[Incl for YH]] ) &gt; 0 )</f>
        <v>0</v>
      </c>
      <c r="Y103" s="23">
        <f xml:space="preserve"> -- ( tblFilterRegion[[#This Row],[Total in selected regions]] &gt; $N$10 )</f>
        <v>0</v>
      </c>
      <c r="Z103" s="24">
        <f xml:space="preserve"> IF( RegionMinimum = 0, 1, IF( $R$10 = $U$8, tblFilterRegion[[#This Row],[Include for region - any]], IF( $R$10 = $U$10, tblFilterRegion[[#This Row],[Include for region - total]], "CHECK" ) ) )</f>
        <v>1</v>
      </c>
      <c r="AA103" s="131" t="str" cm="1">
        <f t="array" ref="AA103" xml:space="preserve"> INDEX( VfM_Metrics_2023_Consol_Source[], $D103, AA$14 )</f>
        <v>Yorkshire &amp; the Humber</v>
      </c>
    </row>
    <row r="104" spans="2:27" x14ac:dyDescent="0.2">
      <c r="B104" s="159" t="s" vm="89">
        <v>323</v>
      </c>
      <c r="C104" s="154" t="str" vm="299">
        <f xml:space="preserve"> INDEX( VfM_Metrics_2023_Consol_Source[RP_Code], MATCH( tblFilterRegion[[#This Row],[RP_Name]], VfM_Metrics_2023_Consol_Source[RP_Name], 0 ) )</f>
        <v>4877</v>
      </c>
      <c r="D104" s="81">
        <f xml:space="preserve"> MATCH( tblFilterRegion[[#This Row],[RP_Code]], VfM_Metrics_2023_Consol_Source[RP_Code], 0 )</f>
        <v>89</v>
      </c>
      <c r="E104" s="22" cm="1">
        <f t="array" ref="E104" xml:space="preserve"> INDEX( VfM_Metrics_2023_Consol_Source[], $D104, E$14 )</f>
        <v>0</v>
      </c>
      <c r="F104" s="22" cm="1">
        <f t="array" ref="F104" xml:space="preserve"> INDEX( VfM_Metrics_2023_Consol_Source[], $D104, F$14 )</f>
        <v>0</v>
      </c>
      <c r="G104" s="22" cm="1">
        <f t="array" ref="G104" xml:space="preserve"> INDEX( VfM_Metrics_2023_Consol_Source[], $D104, G$14 )</f>
        <v>0</v>
      </c>
      <c r="H104" s="22" cm="1">
        <f t="array" ref="H104" xml:space="preserve"> INDEX( VfM_Metrics_2023_Consol_Source[], $D104, H$14 )</f>
        <v>0.41254315304948214</v>
      </c>
      <c r="I104" s="22" cm="1">
        <f t="array" ref="I104" xml:space="preserve"> INDEX( VfM_Metrics_2023_Consol_Source[], $D104, I$14 )</f>
        <v>0</v>
      </c>
      <c r="J104" s="22" cm="1">
        <f t="array" ref="J104" xml:space="preserve"> INDEX( VfM_Metrics_2023_Consol_Source[], $D104, J$14 )</f>
        <v>0</v>
      </c>
      <c r="K104" s="22" cm="1">
        <f t="array" ref="K104" xml:space="preserve"> INDEX( VfM_Metrics_2023_Consol_Source[], $D104, K$14 )</f>
        <v>0</v>
      </c>
      <c r="L104" s="22" cm="1">
        <f t="array" ref="L104" xml:space="preserve"> INDEX( VfM_Metrics_2023_Consol_Source[], $D104, L$14 )</f>
        <v>0</v>
      </c>
      <c r="M104" s="22" cm="1">
        <f t="array" ref="M104" xml:space="preserve"> INDEX( VfM_Metrics_2023_Consol_Source[], $D104, M$14 )</f>
        <v>0.58745684695051781</v>
      </c>
      <c r="N104" s="23">
        <f xml:space="preserve"> -- AND( tblFilterRegion[[#This Row],[London]] &gt;= $N$10, N$13 = "Yes" )</f>
        <v>0</v>
      </c>
      <c r="O104" s="23">
        <f xml:space="preserve"> -- AND( tblFilterRegion[[#This Row],[South East]] &gt;= $N$10, O$13 = "Yes" )</f>
        <v>0</v>
      </c>
      <c r="P104" s="23">
        <f xml:space="preserve"> -- AND( tblFilterRegion[[#This Row],[South West]] &gt;= $N$10, P$13 = "Yes" )</f>
        <v>0</v>
      </c>
      <c r="Q104" s="23">
        <f xml:space="preserve"> -- AND( tblFilterRegion[[#This Row],[East Midlands]] &gt;= $N$10, Q$13 = "Yes" )</f>
        <v>0</v>
      </c>
      <c r="R104" s="23">
        <f xml:space="preserve"> -- AND( tblFilterRegion[[#This Row],[West Midlands]] &gt;= $N$10, R$13 = "Yes" )</f>
        <v>0</v>
      </c>
      <c r="S104" s="23">
        <f xml:space="preserve"> -- AND( tblFilterRegion[[#This Row],[East of England]] &gt;= $N$10, S$13 = "Yes" )</f>
        <v>0</v>
      </c>
      <c r="T104" s="23">
        <f xml:space="preserve"> -- AND( tblFilterRegion[[#This Row],[North East]] &gt;= $N$10, T$13 = "Yes" )</f>
        <v>0</v>
      </c>
      <c r="U104" s="23">
        <f xml:space="preserve"> -- AND( tblFilterRegion[[#This Row],[North West]] &gt;= $N$10, U$13 = "Yes" )</f>
        <v>0</v>
      </c>
      <c r="V104" s="23">
        <f xml:space="preserve"> -- AND( tblFilterRegion[[#This Row],[Yorkshire &amp; the Humber]] &gt;= $N$10, V$13 = "Yes" )</f>
        <v>0</v>
      </c>
      <c r="W104" s="22">
        <f xml:space="preserve"> SUMIF( $E$13:$M$13, "Yes", tblFilterRegion[[#This Row],[London]:[Yorkshire &amp; the Humber]] )</f>
        <v>0</v>
      </c>
      <c r="X104" s="23">
        <f xml:space="preserve"> -- ( SUM( tblFilterRegion[[#This Row],[Incl for Lon]:[Incl for YH]] ) &gt; 0 )</f>
        <v>0</v>
      </c>
      <c r="Y104" s="23">
        <f xml:space="preserve"> -- ( tblFilterRegion[[#This Row],[Total in selected regions]] &gt; $N$10 )</f>
        <v>0</v>
      </c>
      <c r="Z104" s="24">
        <f xml:space="preserve"> IF( RegionMinimum = 0, 1, IF( $R$10 = $U$8, tblFilterRegion[[#This Row],[Include for region - any]], IF( $R$10 = $U$10, tblFilterRegion[[#This Row],[Include for region - total]], "CHECK" ) ) )</f>
        <v>1</v>
      </c>
      <c r="AA104" s="131" t="str" cm="1">
        <f t="array" ref="AA104" xml:space="preserve"> INDEX( VfM_Metrics_2023_Consol_Source[], $D104, AA$14 )</f>
        <v>Yorkshire &amp; the Humber</v>
      </c>
    </row>
    <row r="105" spans="2:27" x14ac:dyDescent="0.2">
      <c r="B105" s="159" t="s" vm="90">
        <v>325</v>
      </c>
      <c r="C105" s="154" t="str" vm="256">
        <f xml:space="preserve"> INDEX( VfM_Metrics_2023_Consol_Source[RP_Code], MATCH( tblFilterRegion[[#This Row],[RP_Name]], VfM_Metrics_2023_Consol_Source[RP_Name], 0 ) )</f>
        <v>4873</v>
      </c>
      <c r="D105" s="81">
        <f xml:space="preserve"> MATCH( tblFilterRegion[[#This Row],[RP_Code]], VfM_Metrics_2023_Consol_Source[RP_Code], 0 )</f>
        <v>90</v>
      </c>
      <c r="E105" s="22" cm="1">
        <f t="array" ref="E105" xml:space="preserve"> INDEX( VfM_Metrics_2023_Consol_Source[], $D105, E$14 )</f>
        <v>0</v>
      </c>
      <c r="F105" s="22" cm="1">
        <f t="array" ref="F105" xml:space="preserve"> INDEX( VfM_Metrics_2023_Consol_Source[], $D105, F$14 )</f>
        <v>5.4177050601365261E-5</v>
      </c>
      <c r="G105" s="22" cm="1">
        <f t="array" ref="G105" xml:space="preserve"> INDEX( VfM_Metrics_2023_Consol_Source[], $D105, G$14 )</f>
        <v>0.99986455737349655</v>
      </c>
      <c r="H105" s="22" cm="1">
        <f t="array" ref="H105" xml:space="preserve"> INDEX( VfM_Metrics_2023_Consol_Source[], $D105, H$14 )</f>
        <v>8.1265575902047895E-5</v>
      </c>
      <c r="I105" s="22" cm="1">
        <f t="array" ref="I105" xml:space="preserve"> INDEX( VfM_Metrics_2023_Consol_Source[], $D105, I$14 )</f>
        <v>0</v>
      </c>
      <c r="J105" s="22" cm="1">
        <f t="array" ref="J105" xml:space="preserve"> INDEX( VfM_Metrics_2023_Consol_Source[], $D105, J$14 )</f>
        <v>0</v>
      </c>
      <c r="K105" s="22" cm="1">
        <f t="array" ref="K105" xml:space="preserve"> INDEX( VfM_Metrics_2023_Consol_Source[], $D105, K$14 )</f>
        <v>0</v>
      </c>
      <c r="L105" s="22" cm="1">
        <f t="array" ref="L105" xml:space="preserve"> INDEX( VfM_Metrics_2023_Consol_Source[], $D105, L$14 )</f>
        <v>0</v>
      </c>
      <c r="M105" s="22" cm="1">
        <f t="array" ref="M105" xml:space="preserve"> INDEX( VfM_Metrics_2023_Consol_Source[], $D105, M$14 )</f>
        <v>0</v>
      </c>
      <c r="N105" s="23">
        <f xml:space="preserve"> -- AND( tblFilterRegion[[#This Row],[London]] &gt;= $N$10, N$13 = "Yes" )</f>
        <v>0</v>
      </c>
      <c r="O105" s="23">
        <f xml:space="preserve"> -- AND( tblFilterRegion[[#This Row],[South East]] &gt;= $N$10, O$13 = "Yes" )</f>
        <v>0</v>
      </c>
      <c r="P105" s="23">
        <f xml:space="preserve"> -- AND( tblFilterRegion[[#This Row],[South West]] &gt;= $N$10, P$13 = "Yes" )</f>
        <v>0</v>
      </c>
      <c r="Q105" s="23">
        <f xml:space="preserve"> -- AND( tblFilterRegion[[#This Row],[East Midlands]] &gt;= $N$10, Q$13 = "Yes" )</f>
        <v>0</v>
      </c>
      <c r="R105" s="23">
        <f xml:space="preserve"> -- AND( tblFilterRegion[[#This Row],[West Midlands]] &gt;= $N$10, R$13 = "Yes" )</f>
        <v>0</v>
      </c>
      <c r="S105" s="23">
        <f xml:space="preserve"> -- AND( tblFilterRegion[[#This Row],[East of England]] &gt;= $N$10, S$13 = "Yes" )</f>
        <v>0</v>
      </c>
      <c r="T105" s="23">
        <f xml:space="preserve"> -- AND( tblFilterRegion[[#This Row],[North East]] &gt;= $N$10, T$13 = "Yes" )</f>
        <v>0</v>
      </c>
      <c r="U105" s="23">
        <f xml:space="preserve"> -- AND( tblFilterRegion[[#This Row],[North West]] &gt;= $N$10, U$13 = "Yes" )</f>
        <v>0</v>
      </c>
      <c r="V105" s="23">
        <f xml:space="preserve"> -- AND( tblFilterRegion[[#This Row],[Yorkshire &amp; the Humber]] &gt;= $N$10, V$13 = "Yes" )</f>
        <v>0</v>
      </c>
      <c r="W105" s="22">
        <f xml:space="preserve"> SUMIF( $E$13:$M$13, "Yes", tblFilterRegion[[#This Row],[London]:[Yorkshire &amp; the Humber]] )</f>
        <v>0</v>
      </c>
      <c r="X105" s="23">
        <f xml:space="preserve"> -- ( SUM( tblFilterRegion[[#This Row],[Incl for Lon]:[Incl for YH]] ) &gt; 0 )</f>
        <v>0</v>
      </c>
      <c r="Y105" s="23">
        <f xml:space="preserve"> -- ( tblFilterRegion[[#This Row],[Total in selected regions]] &gt; $N$10 )</f>
        <v>0</v>
      </c>
      <c r="Z105" s="24">
        <f xml:space="preserve"> IF( RegionMinimum = 0, 1, IF( $R$10 = $U$8, tblFilterRegion[[#This Row],[Include for region - any]], IF( $R$10 = $U$10, tblFilterRegion[[#This Row],[Include for region - total]], "CHECK" ) ) )</f>
        <v>1</v>
      </c>
      <c r="AA105" s="131" t="str" cm="1">
        <f t="array" ref="AA105" xml:space="preserve"> INDEX( VfM_Metrics_2023_Consol_Source[], $D105, AA$14 )</f>
        <v>South West</v>
      </c>
    </row>
    <row r="106" spans="2:27" x14ac:dyDescent="0.2">
      <c r="B106" s="159" t="s" vm="91">
        <v>327</v>
      </c>
      <c r="C106" s="154" t="str" vm="381">
        <f xml:space="preserve"> INDEX( VfM_Metrics_2023_Consol_Source[RP_Code], MATCH( tblFilterRegion[[#This Row],[RP_Name]], VfM_Metrics_2023_Consol_Source[RP_Name], 0 ) )</f>
        <v>L4538</v>
      </c>
      <c r="D106" s="81">
        <f xml:space="preserve"> MATCH( tblFilterRegion[[#This Row],[RP_Code]], VfM_Metrics_2023_Consol_Source[RP_Code], 0 )</f>
        <v>91</v>
      </c>
      <c r="E106" s="22" cm="1">
        <f t="array" ref="E106" xml:space="preserve"> INDEX( VfM_Metrics_2023_Consol_Source[], $D106, E$14 )</f>
        <v>0</v>
      </c>
      <c r="F106" s="22" cm="1">
        <f t="array" ref="F106" xml:space="preserve"> INDEX( VfM_Metrics_2023_Consol_Source[], $D106, F$14 )</f>
        <v>0</v>
      </c>
      <c r="G106" s="22" cm="1">
        <f t="array" ref="G106" xml:space="preserve"> INDEX( VfM_Metrics_2023_Consol_Source[], $D106, G$14 )</f>
        <v>0</v>
      </c>
      <c r="H106" s="22" cm="1">
        <f t="array" ref="H106" xml:space="preserve"> INDEX( VfM_Metrics_2023_Consol_Source[], $D106, H$14 )</f>
        <v>0</v>
      </c>
      <c r="I106" s="22" cm="1">
        <f t="array" ref="I106" xml:space="preserve"> INDEX( VfM_Metrics_2023_Consol_Source[], $D106, I$14 )</f>
        <v>0</v>
      </c>
      <c r="J106" s="22" cm="1">
        <f t="array" ref="J106" xml:space="preserve"> INDEX( VfM_Metrics_2023_Consol_Source[], $D106, J$14 )</f>
        <v>0</v>
      </c>
      <c r="K106" s="22" cm="1">
        <f t="array" ref="K106" xml:space="preserve"> INDEX( VfM_Metrics_2023_Consol_Source[], $D106, K$14 )</f>
        <v>1</v>
      </c>
      <c r="L106" s="22" cm="1">
        <f t="array" ref="L106" xml:space="preserve"> INDEX( VfM_Metrics_2023_Consol_Source[], $D106, L$14 )</f>
        <v>0</v>
      </c>
      <c r="M106" s="22" cm="1">
        <f t="array" ref="M106" xml:space="preserve"> INDEX( VfM_Metrics_2023_Consol_Source[], $D106, M$14 )</f>
        <v>0</v>
      </c>
      <c r="N106" s="23">
        <f xml:space="preserve"> -- AND( tblFilterRegion[[#This Row],[London]] &gt;= $N$10, N$13 = "Yes" )</f>
        <v>0</v>
      </c>
      <c r="O106" s="23">
        <f xml:space="preserve"> -- AND( tblFilterRegion[[#This Row],[South East]] &gt;= $N$10, O$13 = "Yes" )</f>
        <v>0</v>
      </c>
      <c r="P106" s="23">
        <f xml:space="preserve"> -- AND( tblFilterRegion[[#This Row],[South West]] &gt;= $N$10, P$13 = "Yes" )</f>
        <v>0</v>
      </c>
      <c r="Q106" s="23">
        <f xml:space="preserve"> -- AND( tblFilterRegion[[#This Row],[East Midlands]] &gt;= $N$10, Q$13 = "Yes" )</f>
        <v>0</v>
      </c>
      <c r="R106" s="23">
        <f xml:space="preserve"> -- AND( tblFilterRegion[[#This Row],[West Midlands]] &gt;= $N$10, R$13 = "Yes" )</f>
        <v>0</v>
      </c>
      <c r="S106" s="23">
        <f xml:space="preserve"> -- AND( tblFilterRegion[[#This Row],[East of England]] &gt;= $N$10, S$13 = "Yes" )</f>
        <v>0</v>
      </c>
      <c r="T106" s="23">
        <f xml:space="preserve"> -- AND( tblFilterRegion[[#This Row],[North East]] &gt;= $N$10, T$13 = "Yes" )</f>
        <v>0</v>
      </c>
      <c r="U106" s="23">
        <f xml:space="preserve"> -- AND( tblFilterRegion[[#This Row],[North West]] &gt;= $N$10, U$13 = "Yes" )</f>
        <v>0</v>
      </c>
      <c r="V106" s="23">
        <f xml:space="preserve"> -- AND( tblFilterRegion[[#This Row],[Yorkshire &amp; the Humber]] &gt;= $N$10, V$13 = "Yes" )</f>
        <v>0</v>
      </c>
      <c r="W106" s="22">
        <f xml:space="preserve"> SUMIF( $E$13:$M$13, "Yes", tblFilterRegion[[#This Row],[London]:[Yorkshire &amp; the Humber]] )</f>
        <v>0</v>
      </c>
      <c r="X106" s="23">
        <f xml:space="preserve"> -- ( SUM( tblFilterRegion[[#This Row],[Incl for Lon]:[Incl for YH]] ) &gt; 0 )</f>
        <v>0</v>
      </c>
      <c r="Y106" s="23">
        <f xml:space="preserve"> -- ( tblFilterRegion[[#This Row],[Total in selected regions]] &gt; $N$10 )</f>
        <v>0</v>
      </c>
      <c r="Z106" s="24">
        <f xml:space="preserve"> IF( RegionMinimum = 0, 1, IF( $R$10 = $U$8, tblFilterRegion[[#This Row],[Include for region - any]], IF( $R$10 = $U$10, tblFilterRegion[[#This Row],[Include for region - total]], "CHECK" ) ) )</f>
        <v>1</v>
      </c>
      <c r="AA106" s="131" t="str" cm="1">
        <f t="array" ref="AA106" xml:space="preserve"> INDEX( VfM_Metrics_2023_Consol_Source[], $D106, AA$14 )</f>
        <v>North East</v>
      </c>
    </row>
    <row r="107" spans="2:27" x14ac:dyDescent="0.2">
      <c r="B107" s="159" t="s" vm="92">
        <v>329</v>
      </c>
      <c r="C107" s="154" t="str" vm="295">
        <f xml:space="preserve"> INDEX( VfM_Metrics_2023_Consol_Source[RP_Code], MATCH( tblFilterRegion[[#This Row],[RP_Name]], VfM_Metrics_2023_Consol_Source[RP_Name], 0 ) )</f>
        <v>LH4343</v>
      </c>
      <c r="D107" s="81">
        <f xml:space="preserve"> MATCH( tblFilterRegion[[#This Row],[RP_Code]], VfM_Metrics_2023_Consol_Source[RP_Code], 0 )</f>
        <v>92</v>
      </c>
      <c r="E107" s="22" cm="1">
        <f t="array" ref="E107" xml:space="preserve"> INDEX( VfM_Metrics_2023_Consol_Source[], $D107, E$14 )</f>
        <v>0</v>
      </c>
      <c r="F107" s="22" cm="1">
        <f t="array" ref="F107" xml:space="preserve"> INDEX( VfM_Metrics_2023_Consol_Source[], $D107, F$14 )</f>
        <v>0</v>
      </c>
      <c r="G107" s="22" cm="1">
        <f t="array" ref="G107" xml:space="preserve"> INDEX( VfM_Metrics_2023_Consol_Source[], $D107, G$14 )</f>
        <v>0</v>
      </c>
      <c r="H107" s="22" cm="1">
        <f t="array" ref="H107" xml:space="preserve"> INDEX( VfM_Metrics_2023_Consol_Source[], $D107, H$14 )</f>
        <v>0</v>
      </c>
      <c r="I107" s="22" cm="1">
        <f t="array" ref="I107" xml:space="preserve"> INDEX( VfM_Metrics_2023_Consol_Source[], $D107, I$14 )</f>
        <v>0</v>
      </c>
      <c r="J107" s="22" cm="1">
        <f t="array" ref="J107" xml:space="preserve"> INDEX( VfM_Metrics_2023_Consol_Source[], $D107, J$14 )</f>
        <v>0</v>
      </c>
      <c r="K107" s="22" cm="1">
        <f t="array" ref="K107" xml:space="preserve"> INDEX( VfM_Metrics_2023_Consol_Source[], $D107, K$14 )</f>
        <v>0</v>
      </c>
      <c r="L107" s="22" cm="1">
        <f t="array" ref="L107" xml:space="preserve"> INDEX( VfM_Metrics_2023_Consol_Source[], $D107, L$14 )</f>
        <v>1</v>
      </c>
      <c r="M107" s="22" cm="1">
        <f t="array" ref="M107" xml:space="preserve"> INDEX( VfM_Metrics_2023_Consol_Source[], $D107, M$14 )</f>
        <v>0</v>
      </c>
      <c r="N107" s="23">
        <f xml:space="preserve"> -- AND( tblFilterRegion[[#This Row],[London]] &gt;= $N$10, N$13 = "Yes" )</f>
        <v>0</v>
      </c>
      <c r="O107" s="23">
        <f xml:space="preserve"> -- AND( tblFilterRegion[[#This Row],[South East]] &gt;= $N$10, O$13 = "Yes" )</f>
        <v>0</v>
      </c>
      <c r="P107" s="23">
        <f xml:space="preserve"> -- AND( tblFilterRegion[[#This Row],[South West]] &gt;= $N$10, P$13 = "Yes" )</f>
        <v>0</v>
      </c>
      <c r="Q107" s="23">
        <f xml:space="preserve"> -- AND( tblFilterRegion[[#This Row],[East Midlands]] &gt;= $N$10, Q$13 = "Yes" )</f>
        <v>0</v>
      </c>
      <c r="R107" s="23">
        <f xml:space="preserve"> -- AND( tblFilterRegion[[#This Row],[West Midlands]] &gt;= $N$10, R$13 = "Yes" )</f>
        <v>0</v>
      </c>
      <c r="S107" s="23">
        <f xml:space="preserve"> -- AND( tblFilterRegion[[#This Row],[East of England]] &gt;= $N$10, S$13 = "Yes" )</f>
        <v>0</v>
      </c>
      <c r="T107" s="23">
        <f xml:space="preserve"> -- AND( tblFilterRegion[[#This Row],[North East]] &gt;= $N$10, T$13 = "Yes" )</f>
        <v>0</v>
      </c>
      <c r="U107" s="23">
        <f xml:space="preserve"> -- AND( tblFilterRegion[[#This Row],[North West]] &gt;= $N$10, U$13 = "Yes" )</f>
        <v>0</v>
      </c>
      <c r="V107" s="23">
        <f xml:space="preserve"> -- AND( tblFilterRegion[[#This Row],[Yorkshire &amp; the Humber]] &gt;= $N$10, V$13 = "Yes" )</f>
        <v>0</v>
      </c>
      <c r="W107" s="22">
        <f xml:space="preserve"> SUMIF( $E$13:$M$13, "Yes", tblFilterRegion[[#This Row],[London]:[Yorkshire &amp; the Humber]] )</f>
        <v>0</v>
      </c>
      <c r="X107" s="23">
        <f xml:space="preserve"> -- ( SUM( tblFilterRegion[[#This Row],[Incl for Lon]:[Incl for YH]] ) &gt; 0 )</f>
        <v>0</v>
      </c>
      <c r="Y107" s="23">
        <f xml:space="preserve"> -- ( tblFilterRegion[[#This Row],[Total in selected regions]] &gt; $N$10 )</f>
        <v>0</v>
      </c>
      <c r="Z107" s="24">
        <f xml:space="preserve"> IF( RegionMinimum = 0, 1, IF( $R$10 = $U$8, tblFilterRegion[[#This Row],[Include for region - any]], IF( $R$10 = $U$10, tblFilterRegion[[#This Row],[Include for region - total]], "CHECK" ) ) )</f>
        <v>1</v>
      </c>
      <c r="AA107" s="131" t="str" cm="1">
        <f t="array" ref="AA107" xml:space="preserve"> INDEX( VfM_Metrics_2023_Consol_Source[], $D107, AA$14 )</f>
        <v>North West</v>
      </c>
    </row>
    <row r="108" spans="2:27" x14ac:dyDescent="0.2">
      <c r="B108" s="159" t="s" vm="93">
        <v>331</v>
      </c>
      <c r="C108" s="154" t="str" vm="212">
        <f xml:space="preserve"> INDEX( VfM_Metrics_2023_Consol_Source[RP_Code], MATCH( tblFilterRegion[[#This Row],[RP_Name]], VfM_Metrics_2023_Consol_Source[RP_Name], 0 ) )</f>
        <v>LH4454</v>
      </c>
      <c r="D108" s="81">
        <f xml:space="preserve"> MATCH( tblFilterRegion[[#This Row],[RP_Code]], VfM_Metrics_2023_Consol_Source[RP_Code], 0 )</f>
        <v>93</v>
      </c>
      <c r="E108" s="22" cm="1">
        <f t="array" ref="E108" xml:space="preserve"> INDEX( VfM_Metrics_2023_Consol_Source[], $D108, E$14 )</f>
        <v>0.83851851851851855</v>
      </c>
      <c r="F108" s="22" cm="1">
        <f t="array" ref="F108" xml:space="preserve"> INDEX( VfM_Metrics_2023_Consol_Source[], $D108, F$14 )</f>
        <v>3.7037037037037038E-3</v>
      </c>
      <c r="G108" s="22" cm="1">
        <f t="array" ref="G108" xml:space="preserve"> INDEX( VfM_Metrics_2023_Consol_Source[], $D108, G$14 )</f>
        <v>0</v>
      </c>
      <c r="H108" s="22" cm="1">
        <f t="array" ref="H108" xml:space="preserve"> INDEX( VfM_Metrics_2023_Consol_Source[], $D108, H$14 )</f>
        <v>0</v>
      </c>
      <c r="I108" s="22" cm="1">
        <f t="array" ref="I108" xml:space="preserve"> INDEX( VfM_Metrics_2023_Consol_Source[], $D108, I$14 )</f>
        <v>0</v>
      </c>
      <c r="J108" s="22" cm="1">
        <f t="array" ref="J108" xml:space="preserve"> INDEX( VfM_Metrics_2023_Consol_Source[], $D108, J$14 )</f>
        <v>0.15777777777777777</v>
      </c>
      <c r="K108" s="22" cm="1">
        <f t="array" ref="K108" xml:space="preserve"> INDEX( VfM_Metrics_2023_Consol_Source[], $D108, K$14 )</f>
        <v>0</v>
      </c>
      <c r="L108" s="22" cm="1">
        <f t="array" ref="L108" xml:space="preserve"> INDEX( VfM_Metrics_2023_Consol_Source[], $D108, L$14 )</f>
        <v>0</v>
      </c>
      <c r="M108" s="22" cm="1">
        <f t="array" ref="M108" xml:space="preserve"> INDEX( VfM_Metrics_2023_Consol_Source[], $D108, M$14 )</f>
        <v>0</v>
      </c>
      <c r="N108" s="23">
        <f xml:space="preserve"> -- AND( tblFilterRegion[[#This Row],[London]] &gt;= $N$10, N$13 = "Yes" )</f>
        <v>0</v>
      </c>
      <c r="O108" s="23">
        <f xml:space="preserve"> -- AND( tblFilterRegion[[#This Row],[South East]] &gt;= $N$10, O$13 = "Yes" )</f>
        <v>0</v>
      </c>
      <c r="P108" s="23">
        <f xml:space="preserve"> -- AND( tblFilterRegion[[#This Row],[South West]] &gt;= $N$10, P$13 = "Yes" )</f>
        <v>0</v>
      </c>
      <c r="Q108" s="23">
        <f xml:space="preserve"> -- AND( tblFilterRegion[[#This Row],[East Midlands]] &gt;= $N$10, Q$13 = "Yes" )</f>
        <v>0</v>
      </c>
      <c r="R108" s="23">
        <f xml:space="preserve"> -- AND( tblFilterRegion[[#This Row],[West Midlands]] &gt;= $N$10, R$13 = "Yes" )</f>
        <v>0</v>
      </c>
      <c r="S108" s="23">
        <f xml:space="preserve"> -- AND( tblFilterRegion[[#This Row],[East of England]] &gt;= $N$10, S$13 = "Yes" )</f>
        <v>0</v>
      </c>
      <c r="T108" s="23">
        <f xml:space="preserve"> -- AND( tblFilterRegion[[#This Row],[North East]] &gt;= $N$10, T$13 = "Yes" )</f>
        <v>0</v>
      </c>
      <c r="U108" s="23">
        <f xml:space="preserve"> -- AND( tblFilterRegion[[#This Row],[North West]] &gt;= $N$10, U$13 = "Yes" )</f>
        <v>0</v>
      </c>
      <c r="V108" s="23">
        <f xml:space="preserve"> -- AND( tblFilterRegion[[#This Row],[Yorkshire &amp; the Humber]] &gt;= $N$10, V$13 = "Yes" )</f>
        <v>0</v>
      </c>
      <c r="W108" s="22">
        <f xml:space="preserve"> SUMIF( $E$13:$M$13, "Yes", tblFilterRegion[[#This Row],[London]:[Yorkshire &amp; the Humber]] )</f>
        <v>0</v>
      </c>
      <c r="X108" s="23">
        <f xml:space="preserve"> -- ( SUM( tblFilterRegion[[#This Row],[Incl for Lon]:[Incl for YH]] ) &gt; 0 )</f>
        <v>0</v>
      </c>
      <c r="Y108" s="23">
        <f xml:space="preserve"> -- ( tblFilterRegion[[#This Row],[Total in selected regions]] &gt; $N$10 )</f>
        <v>0</v>
      </c>
      <c r="Z108" s="24">
        <f xml:space="preserve"> IF( RegionMinimum = 0, 1, IF( $R$10 = $U$8, tblFilterRegion[[#This Row],[Include for region - any]], IF( $R$10 = $U$10, tblFilterRegion[[#This Row],[Include for region - total]], "CHECK" ) ) )</f>
        <v>1</v>
      </c>
      <c r="AA108" s="131" t="str" cm="1">
        <f t="array" ref="AA108" xml:space="preserve"> INDEX( VfM_Metrics_2023_Consol_Source[], $D108, AA$14 )</f>
        <v>London</v>
      </c>
    </row>
    <row r="109" spans="2:27" x14ac:dyDescent="0.2">
      <c r="B109" s="159" t="s" vm="94">
        <v>333</v>
      </c>
      <c r="C109" s="154" t="str" vm="240">
        <f xml:space="preserve"> INDEX( VfM_Metrics_2023_Consol_Source[RP_Code], MATCH( tblFilterRegion[[#This Row],[RP_Name]], VfM_Metrics_2023_Consol_Source[RP_Name], 0 ) )</f>
        <v>L4517</v>
      </c>
      <c r="D109" s="81">
        <f xml:space="preserve"> MATCH( tblFilterRegion[[#This Row],[RP_Code]], VfM_Metrics_2023_Consol_Source[RP_Code], 0 )</f>
        <v>94</v>
      </c>
      <c r="E109" s="22" cm="1">
        <f t="array" ref="E109" xml:space="preserve"> INDEX( VfM_Metrics_2023_Consol_Source[], $D109, E$14 )</f>
        <v>0.76900419807700993</v>
      </c>
      <c r="F109" s="22" cm="1">
        <f t="array" ref="F109" xml:space="preserve"> INDEX( VfM_Metrics_2023_Consol_Source[], $D109, F$14 )</f>
        <v>8.4221098722520649E-2</v>
      </c>
      <c r="G109" s="22" cm="1">
        <f t="array" ref="G109" xml:space="preserve"> INDEX( VfM_Metrics_2023_Consol_Source[], $D109, G$14 )</f>
        <v>7.8996072766668166E-5</v>
      </c>
      <c r="H109" s="22" cm="1">
        <f t="array" ref="H109" xml:space="preserve"> INDEX( VfM_Metrics_2023_Consol_Source[], $D109, H$14 )</f>
        <v>3.3855459757143503E-5</v>
      </c>
      <c r="I109" s="22" cm="1">
        <f t="array" ref="I109" xml:space="preserve"> INDEX( VfM_Metrics_2023_Consol_Source[], $D109, I$14 )</f>
        <v>2.7648625468333862E-3</v>
      </c>
      <c r="J109" s="22" cm="1">
        <f t="array" ref="J109" xml:space="preserve"> INDEX( VfM_Metrics_2023_Consol_Source[], $D109, J$14 )</f>
        <v>3.7534419717419762E-2</v>
      </c>
      <c r="K109" s="22" cm="1">
        <f t="array" ref="K109" xml:space="preserve"> INDEX( VfM_Metrics_2023_Consol_Source[], $D109, K$14 )</f>
        <v>1.1285153252381168E-5</v>
      </c>
      <c r="L109" s="22" cm="1">
        <f t="array" ref="L109" xml:space="preserve"> INDEX( VfM_Metrics_2023_Consol_Source[], $D109, L$14 )</f>
        <v>0.10635128425044012</v>
      </c>
      <c r="M109" s="22" cm="1">
        <f t="array" ref="M109" xml:space="preserve"> INDEX( VfM_Metrics_2023_Consol_Source[], $D109, M$14 )</f>
        <v>0</v>
      </c>
      <c r="N109" s="23">
        <f xml:space="preserve"> -- AND( tblFilterRegion[[#This Row],[London]] &gt;= $N$10, N$13 = "Yes" )</f>
        <v>0</v>
      </c>
      <c r="O109" s="23">
        <f xml:space="preserve"> -- AND( tblFilterRegion[[#This Row],[South East]] &gt;= $N$10, O$13 = "Yes" )</f>
        <v>0</v>
      </c>
      <c r="P109" s="23">
        <f xml:space="preserve"> -- AND( tblFilterRegion[[#This Row],[South West]] &gt;= $N$10, P$13 = "Yes" )</f>
        <v>0</v>
      </c>
      <c r="Q109" s="23">
        <f xml:space="preserve"> -- AND( tblFilterRegion[[#This Row],[East Midlands]] &gt;= $N$10, Q$13 = "Yes" )</f>
        <v>0</v>
      </c>
      <c r="R109" s="23">
        <f xml:space="preserve"> -- AND( tblFilterRegion[[#This Row],[West Midlands]] &gt;= $N$10, R$13 = "Yes" )</f>
        <v>0</v>
      </c>
      <c r="S109" s="23">
        <f xml:space="preserve"> -- AND( tblFilterRegion[[#This Row],[East of England]] &gt;= $N$10, S$13 = "Yes" )</f>
        <v>0</v>
      </c>
      <c r="T109" s="23">
        <f xml:space="preserve"> -- AND( tblFilterRegion[[#This Row],[North East]] &gt;= $N$10, T$13 = "Yes" )</f>
        <v>0</v>
      </c>
      <c r="U109" s="23">
        <f xml:space="preserve"> -- AND( tblFilterRegion[[#This Row],[North West]] &gt;= $N$10, U$13 = "Yes" )</f>
        <v>0</v>
      </c>
      <c r="V109" s="23">
        <f xml:space="preserve"> -- AND( tblFilterRegion[[#This Row],[Yorkshire &amp; the Humber]] &gt;= $N$10, V$13 = "Yes" )</f>
        <v>0</v>
      </c>
      <c r="W109" s="22">
        <f xml:space="preserve"> SUMIF( $E$13:$M$13, "Yes", tblFilterRegion[[#This Row],[London]:[Yorkshire &amp; the Humber]] )</f>
        <v>0</v>
      </c>
      <c r="X109" s="23">
        <f xml:space="preserve"> -- ( SUM( tblFilterRegion[[#This Row],[Incl for Lon]:[Incl for YH]] ) &gt; 0 )</f>
        <v>0</v>
      </c>
      <c r="Y109" s="23">
        <f xml:space="preserve"> -- ( tblFilterRegion[[#This Row],[Total in selected regions]] &gt; $N$10 )</f>
        <v>0</v>
      </c>
      <c r="Z109" s="24">
        <f xml:space="preserve"> IF( RegionMinimum = 0, 1, IF( $R$10 = $U$8, tblFilterRegion[[#This Row],[Include for region - any]], IF( $R$10 = $U$10, tblFilterRegion[[#This Row],[Include for region - total]], "CHECK" ) ) )</f>
        <v>1</v>
      </c>
      <c r="AA109" s="131" t="str" cm="1">
        <f t="array" ref="AA109" xml:space="preserve"> INDEX( VfM_Metrics_2023_Consol_Source[], $D109, AA$14 )</f>
        <v>London</v>
      </c>
    </row>
    <row r="110" spans="2:27" x14ac:dyDescent="0.2">
      <c r="B110" s="159" t="s" vm="95">
        <v>335</v>
      </c>
      <c r="C110" s="154" t="str" vm="341">
        <f xml:space="preserve"> INDEX( VfM_Metrics_2023_Consol_Source[RP_Code], MATCH( tblFilterRegion[[#This Row],[RP_Name]], VfM_Metrics_2023_Consol_Source[RP_Name], 0 ) )</f>
        <v>L4277</v>
      </c>
      <c r="D110" s="81">
        <f xml:space="preserve"> MATCH( tblFilterRegion[[#This Row],[RP_Code]], VfM_Metrics_2023_Consol_Source[RP_Code], 0 )</f>
        <v>95</v>
      </c>
      <c r="E110" s="22" cm="1">
        <f t="array" ref="E110" xml:space="preserve"> INDEX( VfM_Metrics_2023_Consol_Source[], $D110, E$14 )</f>
        <v>4.4499822000712E-5</v>
      </c>
      <c r="F110" s="22" cm="1">
        <f t="array" ref="F110" xml:space="preserve"> INDEX( VfM_Metrics_2023_Consol_Source[], $D110, F$14 )</f>
        <v>0</v>
      </c>
      <c r="G110" s="22" cm="1">
        <f t="array" ref="G110" xml:space="preserve"> INDEX( VfM_Metrics_2023_Consol_Source[], $D110, G$14 )</f>
        <v>0</v>
      </c>
      <c r="H110" s="22" cm="1">
        <f t="array" ref="H110" xml:space="preserve"> INDEX( VfM_Metrics_2023_Consol_Source[], $D110, H$14 )</f>
        <v>0.625</v>
      </c>
      <c r="I110" s="22" cm="1">
        <f t="array" ref="I110" xml:space="preserve"> INDEX( VfM_Metrics_2023_Consol_Source[], $D110, I$14 )</f>
        <v>0.1242435030259879</v>
      </c>
      <c r="J110" s="22" cm="1">
        <f t="array" ref="J110" xml:space="preserve"> INDEX( VfM_Metrics_2023_Consol_Source[], $D110, J$14 )</f>
        <v>0.16300284798860804</v>
      </c>
      <c r="K110" s="22" cm="1">
        <f t="array" ref="K110" xml:space="preserve"> INDEX( VfM_Metrics_2023_Consol_Source[], $D110, K$14 )</f>
        <v>0</v>
      </c>
      <c r="L110" s="22" cm="1">
        <f t="array" ref="L110" xml:space="preserve"> INDEX( VfM_Metrics_2023_Consol_Source[], $D110, L$14 )</f>
        <v>0</v>
      </c>
      <c r="M110" s="22" cm="1">
        <f t="array" ref="M110" xml:space="preserve"> INDEX( VfM_Metrics_2023_Consol_Source[], $D110, M$14 )</f>
        <v>8.7709149163403347E-2</v>
      </c>
      <c r="N110" s="23">
        <f xml:space="preserve"> -- AND( tblFilterRegion[[#This Row],[London]] &gt;= $N$10, N$13 = "Yes" )</f>
        <v>0</v>
      </c>
      <c r="O110" s="23">
        <f xml:space="preserve"> -- AND( tblFilterRegion[[#This Row],[South East]] &gt;= $N$10, O$13 = "Yes" )</f>
        <v>0</v>
      </c>
      <c r="P110" s="23">
        <f xml:space="preserve"> -- AND( tblFilterRegion[[#This Row],[South West]] &gt;= $N$10, P$13 = "Yes" )</f>
        <v>0</v>
      </c>
      <c r="Q110" s="23">
        <f xml:space="preserve"> -- AND( tblFilterRegion[[#This Row],[East Midlands]] &gt;= $N$10, Q$13 = "Yes" )</f>
        <v>0</v>
      </c>
      <c r="R110" s="23">
        <f xml:space="preserve"> -- AND( tblFilterRegion[[#This Row],[West Midlands]] &gt;= $N$10, R$13 = "Yes" )</f>
        <v>0</v>
      </c>
      <c r="S110" s="23">
        <f xml:space="preserve"> -- AND( tblFilterRegion[[#This Row],[East of England]] &gt;= $N$10, S$13 = "Yes" )</f>
        <v>0</v>
      </c>
      <c r="T110" s="23">
        <f xml:space="preserve"> -- AND( tblFilterRegion[[#This Row],[North East]] &gt;= $N$10, T$13 = "Yes" )</f>
        <v>0</v>
      </c>
      <c r="U110" s="23">
        <f xml:space="preserve"> -- AND( tblFilterRegion[[#This Row],[North West]] &gt;= $N$10, U$13 = "Yes" )</f>
        <v>0</v>
      </c>
      <c r="V110" s="23">
        <f xml:space="preserve"> -- AND( tblFilterRegion[[#This Row],[Yorkshire &amp; the Humber]] &gt;= $N$10, V$13 = "Yes" )</f>
        <v>0</v>
      </c>
      <c r="W110" s="22">
        <f xml:space="preserve"> SUMIF( $E$13:$M$13, "Yes", tblFilterRegion[[#This Row],[London]:[Yorkshire &amp; the Humber]] )</f>
        <v>0</v>
      </c>
      <c r="X110" s="23">
        <f xml:space="preserve"> -- ( SUM( tblFilterRegion[[#This Row],[Incl for Lon]:[Incl for YH]] ) &gt; 0 )</f>
        <v>0</v>
      </c>
      <c r="Y110" s="23">
        <f xml:space="preserve"> -- ( tblFilterRegion[[#This Row],[Total in selected regions]] &gt; $N$10 )</f>
        <v>0</v>
      </c>
      <c r="Z110" s="24">
        <f xml:space="preserve"> IF( RegionMinimum = 0, 1, IF( $R$10 = $U$8, tblFilterRegion[[#This Row],[Include for region - any]], IF( $R$10 = $U$10, tblFilterRegion[[#This Row],[Include for region - total]], "CHECK" ) ) )</f>
        <v>1</v>
      </c>
      <c r="AA110" s="131" t="str" cm="1">
        <f t="array" ref="AA110" xml:space="preserve"> INDEX( VfM_Metrics_2023_Consol_Source[], $D110, AA$14 )</f>
        <v>East Midlands</v>
      </c>
    </row>
    <row r="111" spans="2:27" x14ac:dyDescent="0.2">
      <c r="B111" s="159" t="s" vm="96">
        <v>337</v>
      </c>
      <c r="C111" s="154" t="str" vm="199">
        <f xml:space="preserve"> INDEX( VfM_Metrics_2023_Consol_Source[RP_Code], MATCH( tblFilterRegion[[#This Row],[RP_Name]], VfM_Metrics_2023_Consol_Source[RP_Name], 0 ) )</f>
        <v>LH0013</v>
      </c>
      <c r="D111" s="81">
        <f xml:space="preserve"> MATCH( tblFilterRegion[[#This Row],[RP_Code]], VfM_Metrics_2023_Consol_Source[RP_Code], 0 )</f>
        <v>96</v>
      </c>
      <c r="E111" s="22" cm="1">
        <f t="array" ref="E111" xml:space="preserve"> INDEX( VfM_Metrics_2023_Consol_Source[], $D111, E$14 )</f>
        <v>0.82931034482758625</v>
      </c>
      <c r="F111" s="22" cm="1">
        <f t="array" ref="F111" xml:space="preserve"> INDEX( VfM_Metrics_2023_Consol_Source[], $D111, F$14 )</f>
        <v>0.16982758620689656</v>
      </c>
      <c r="G111" s="22" cm="1">
        <f t="array" ref="G111" xml:space="preserve"> INDEX( VfM_Metrics_2023_Consol_Source[], $D111, G$14 )</f>
        <v>0</v>
      </c>
      <c r="H111" s="22" cm="1">
        <f t="array" ref="H111" xml:space="preserve"> INDEX( VfM_Metrics_2023_Consol_Source[], $D111, H$14 )</f>
        <v>0</v>
      </c>
      <c r="I111" s="22" cm="1">
        <f t="array" ref="I111" xml:space="preserve"> INDEX( VfM_Metrics_2023_Consol_Source[], $D111, I$14 )</f>
        <v>0</v>
      </c>
      <c r="J111" s="22" cm="1">
        <f t="array" ref="J111" xml:space="preserve"> INDEX( VfM_Metrics_2023_Consol_Source[], $D111, J$14 )</f>
        <v>8.6206896551724137E-4</v>
      </c>
      <c r="K111" s="22" cm="1">
        <f t="array" ref="K111" xml:space="preserve"> INDEX( VfM_Metrics_2023_Consol_Source[], $D111, K$14 )</f>
        <v>0</v>
      </c>
      <c r="L111" s="22" cm="1">
        <f t="array" ref="L111" xml:space="preserve"> INDEX( VfM_Metrics_2023_Consol_Source[], $D111, L$14 )</f>
        <v>0</v>
      </c>
      <c r="M111" s="22" cm="1">
        <f t="array" ref="M111" xml:space="preserve"> INDEX( VfM_Metrics_2023_Consol_Source[], $D111, M$14 )</f>
        <v>0</v>
      </c>
      <c r="N111" s="23">
        <f xml:space="preserve"> -- AND( tblFilterRegion[[#This Row],[London]] &gt;= $N$10, N$13 = "Yes" )</f>
        <v>0</v>
      </c>
      <c r="O111" s="23">
        <f xml:space="preserve"> -- AND( tblFilterRegion[[#This Row],[South East]] &gt;= $N$10, O$13 = "Yes" )</f>
        <v>0</v>
      </c>
      <c r="P111" s="23">
        <f xml:space="preserve"> -- AND( tblFilterRegion[[#This Row],[South West]] &gt;= $N$10, P$13 = "Yes" )</f>
        <v>0</v>
      </c>
      <c r="Q111" s="23">
        <f xml:space="preserve"> -- AND( tblFilterRegion[[#This Row],[East Midlands]] &gt;= $N$10, Q$13 = "Yes" )</f>
        <v>0</v>
      </c>
      <c r="R111" s="23">
        <f xml:space="preserve"> -- AND( tblFilterRegion[[#This Row],[West Midlands]] &gt;= $N$10, R$13 = "Yes" )</f>
        <v>0</v>
      </c>
      <c r="S111" s="23">
        <f xml:space="preserve"> -- AND( tblFilterRegion[[#This Row],[East of England]] &gt;= $N$10, S$13 = "Yes" )</f>
        <v>0</v>
      </c>
      <c r="T111" s="23">
        <f xml:space="preserve"> -- AND( tblFilterRegion[[#This Row],[North East]] &gt;= $N$10, T$13 = "Yes" )</f>
        <v>0</v>
      </c>
      <c r="U111" s="23">
        <f xml:space="preserve"> -- AND( tblFilterRegion[[#This Row],[North West]] &gt;= $N$10, U$13 = "Yes" )</f>
        <v>0</v>
      </c>
      <c r="V111" s="23">
        <f xml:space="preserve"> -- AND( tblFilterRegion[[#This Row],[Yorkshire &amp; the Humber]] &gt;= $N$10, V$13 = "Yes" )</f>
        <v>0</v>
      </c>
      <c r="W111" s="22">
        <f xml:space="preserve"> SUMIF( $E$13:$M$13, "Yes", tblFilterRegion[[#This Row],[London]:[Yorkshire &amp; the Humber]] )</f>
        <v>0</v>
      </c>
      <c r="X111" s="23">
        <f xml:space="preserve"> -- ( SUM( tblFilterRegion[[#This Row],[Incl for Lon]:[Incl for YH]] ) &gt; 0 )</f>
        <v>0</v>
      </c>
      <c r="Y111" s="23">
        <f xml:space="preserve"> -- ( tblFilterRegion[[#This Row],[Total in selected regions]] &gt; $N$10 )</f>
        <v>0</v>
      </c>
      <c r="Z111" s="24">
        <f xml:space="preserve"> IF( RegionMinimum = 0, 1, IF( $R$10 = $U$8, tblFilterRegion[[#This Row],[Include for region - any]], IF( $R$10 = $U$10, tblFilterRegion[[#This Row],[Include for region - total]], "CHECK" ) ) )</f>
        <v>1</v>
      </c>
      <c r="AA111" s="131" t="str" cm="1">
        <f t="array" ref="AA111" xml:space="preserve"> INDEX( VfM_Metrics_2023_Consol_Source[], $D111, AA$14 )</f>
        <v>London</v>
      </c>
    </row>
    <row r="112" spans="2:27" x14ac:dyDescent="0.2">
      <c r="B112" s="159" t="s" vm="97">
        <v>339</v>
      </c>
      <c r="C112" s="154" t="str" vm="276">
        <f xml:space="preserve"> INDEX( VfM_Metrics_2023_Consol_Source[RP_Code], MATCH( tblFilterRegion[[#This Row],[RP_Name]], VfM_Metrics_2023_Consol_Source[RP_Name], 0 ) )</f>
        <v>L4435</v>
      </c>
      <c r="D112" s="81">
        <f xml:space="preserve"> MATCH( tblFilterRegion[[#This Row],[RP_Code]], VfM_Metrics_2023_Consol_Source[RP_Code], 0 )</f>
        <v>97</v>
      </c>
      <c r="E112" s="22" cm="1">
        <f t="array" ref="E112" xml:space="preserve"> INDEX( VfM_Metrics_2023_Consol_Source[], $D112, E$14 )</f>
        <v>0</v>
      </c>
      <c r="F112" s="22" cm="1">
        <f t="array" ref="F112" xml:space="preserve"> INDEX( VfM_Metrics_2023_Consol_Source[], $D112, F$14 )</f>
        <v>0</v>
      </c>
      <c r="G112" s="22" cm="1">
        <f t="array" ref="G112" xml:space="preserve"> INDEX( VfM_Metrics_2023_Consol_Source[], $D112, G$14 )</f>
        <v>0</v>
      </c>
      <c r="H112" s="22" cm="1">
        <f t="array" ref="H112" xml:space="preserve"> INDEX( VfM_Metrics_2023_Consol_Source[], $D112, H$14 )</f>
        <v>0</v>
      </c>
      <c r="I112" s="22" cm="1">
        <f t="array" ref="I112" xml:space="preserve"> INDEX( VfM_Metrics_2023_Consol_Source[], $D112, I$14 )</f>
        <v>0</v>
      </c>
      <c r="J112" s="22" cm="1">
        <f t="array" ref="J112" xml:space="preserve"> INDEX( VfM_Metrics_2023_Consol_Source[], $D112, J$14 )</f>
        <v>0</v>
      </c>
      <c r="K112" s="22" cm="1">
        <f t="array" ref="K112" xml:space="preserve"> INDEX( VfM_Metrics_2023_Consol_Source[], $D112, K$14 )</f>
        <v>0</v>
      </c>
      <c r="L112" s="22" cm="1">
        <f t="array" ref="L112" xml:space="preserve"> INDEX( VfM_Metrics_2023_Consol_Source[], $D112, L$14 )</f>
        <v>1</v>
      </c>
      <c r="M112" s="22" cm="1">
        <f t="array" ref="M112" xml:space="preserve"> INDEX( VfM_Metrics_2023_Consol_Source[], $D112, M$14 )</f>
        <v>0</v>
      </c>
      <c r="N112" s="23">
        <f xml:space="preserve"> -- AND( tblFilterRegion[[#This Row],[London]] &gt;= $N$10, N$13 = "Yes" )</f>
        <v>0</v>
      </c>
      <c r="O112" s="23">
        <f xml:space="preserve"> -- AND( tblFilterRegion[[#This Row],[South East]] &gt;= $N$10, O$13 = "Yes" )</f>
        <v>0</v>
      </c>
      <c r="P112" s="23">
        <f xml:space="preserve"> -- AND( tblFilterRegion[[#This Row],[South West]] &gt;= $N$10, P$13 = "Yes" )</f>
        <v>0</v>
      </c>
      <c r="Q112" s="23">
        <f xml:space="preserve"> -- AND( tblFilterRegion[[#This Row],[East Midlands]] &gt;= $N$10, Q$13 = "Yes" )</f>
        <v>0</v>
      </c>
      <c r="R112" s="23">
        <f xml:space="preserve"> -- AND( tblFilterRegion[[#This Row],[West Midlands]] &gt;= $N$10, R$13 = "Yes" )</f>
        <v>0</v>
      </c>
      <c r="S112" s="23">
        <f xml:space="preserve"> -- AND( tblFilterRegion[[#This Row],[East of England]] &gt;= $N$10, S$13 = "Yes" )</f>
        <v>0</v>
      </c>
      <c r="T112" s="23">
        <f xml:space="preserve"> -- AND( tblFilterRegion[[#This Row],[North East]] &gt;= $N$10, T$13 = "Yes" )</f>
        <v>0</v>
      </c>
      <c r="U112" s="23">
        <f xml:space="preserve"> -- AND( tblFilterRegion[[#This Row],[North West]] &gt;= $N$10, U$13 = "Yes" )</f>
        <v>0</v>
      </c>
      <c r="V112" s="23">
        <f xml:space="preserve"> -- AND( tblFilterRegion[[#This Row],[Yorkshire &amp; the Humber]] &gt;= $N$10, V$13 = "Yes" )</f>
        <v>0</v>
      </c>
      <c r="W112" s="22">
        <f xml:space="preserve"> SUMIF( $E$13:$M$13, "Yes", tblFilterRegion[[#This Row],[London]:[Yorkshire &amp; the Humber]] )</f>
        <v>0</v>
      </c>
      <c r="X112" s="23">
        <f xml:space="preserve"> -- ( SUM( tblFilterRegion[[#This Row],[Incl for Lon]:[Incl for YH]] ) &gt; 0 )</f>
        <v>0</v>
      </c>
      <c r="Y112" s="23">
        <f xml:space="preserve"> -- ( tblFilterRegion[[#This Row],[Total in selected regions]] &gt; $N$10 )</f>
        <v>0</v>
      </c>
      <c r="Z112" s="24">
        <f xml:space="preserve"> IF( RegionMinimum = 0, 1, IF( $R$10 = $U$8, tblFilterRegion[[#This Row],[Include for region - any]], IF( $R$10 = $U$10, tblFilterRegion[[#This Row],[Include for region - total]], "CHECK" ) ) )</f>
        <v>1</v>
      </c>
      <c r="AA112" s="131" t="str" cm="1">
        <f t="array" ref="AA112" xml:space="preserve"> INDEX( VfM_Metrics_2023_Consol_Source[], $D112, AA$14 )</f>
        <v>North West</v>
      </c>
    </row>
    <row r="113" spans="2:27" x14ac:dyDescent="0.2">
      <c r="B113" s="159" t="s" vm="98">
        <v>341</v>
      </c>
      <c r="C113" s="154" t="str" vm="368">
        <f xml:space="preserve"> INDEX( VfM_Metrics_2023_Consol_Source[RP_Code], MATCH( tblFilterRegion[[#This Row],[RP_Name]], VfM_Metrics_2023_Consol_Source[RP_Name], 0 ) )</f>
        <v>4844</v>
      </c>
      <c r="D113" s="81">
        <f xml:space="preserve"> MATCH( tblFilterRegion[[#This Row],[RP_Code]], VfM_Metrics_2023_Consol_Source[RP_Code], 0 )</f>
        <v>98</v>
      </c>
      <c r="E113" s="22" cm="1">
        <f t="array" ref="E113" xml:space="preserve"> INDEX( VfM_Metrics_2023_Consol_Source[], $D113, E$14 )</f>
        <v>0</v>
      </c>
      <c r="F113" s="22" cm="1">
        <f t="array" ref="F113" xml:space="preserve"> INDEX( VfM_Metrics_2023_Consol_Source[], $D113, F$14 )</f>
        <v>0</v>
      </c>
      <c r="G113" s="22" cm="1">
        <f t="array" ref="G113" xml:space="preserve"> INDEX( VfM_Metrics_2023_Consol_Source[], $D113, G$14 )</f>
        <v>1</v>
      </c>
      <c r="H113" s="22" cm="1">
        <f t="array" ref="H113" xml:space="preserve"> INDEX( VfM_Metrics_2023_Consol_Source[], $D113, H$14 )</f>
        <v>0</v>
      </c>
      <c r="I113" s="22" cm="1">
        <f t="array" ref="I113" xml:space="preserve"> INDEX( VfM_Metrics_2023_Consol_Source[], $D113, I$14 )</f>
        <v>0</v>
      </c>
      <c r="J113" s="22" cm="1">
        <f t="array" ref="J113" xml:space="preserve"> INDEX( VfM_Metrics_2023_Consol_Source[], $D113, J$14 )</f>
        <v>0</v>
      </c>
      <c r="K113" s="22" cm="1">
        <f t="array" ref="K113" xml:space="preserve"> INDEX( VfM_Metrics_2023_Consol_Source[], $D113, K$14 )</f>
        <v>0</v>
      </c>
      <c r="L113" s="22" cm="1">
        <f t="array" ref="L113" xml:space="preserve"> INDEX( VfM_Metrics_2023_Consol_Source[], $D113, L$14 )</f>
        <v>0</v>
      </c>
      <c r="M113" s="22" cm="1">
        <f t="array" ref="M113" xml:space="preserve"> INDEX( VfM_Metrics_2023_Consol_Source[], $D113, M$14 )</f>
        <v>0</v>
      </c>
      <c r="N113" s="23">
        <f xml:space="preserve"> -- AND( tblFilterRegion[[#This Row],[London]] &gt;= $N$10, N$13 = "Yes" )</f>
        <v>0</v>
      </c>
      <c r="O113" s="23">
        <f xml:space="preserve"> -- AND( tblFilterRegion[[#This Row],[South East]] &gt;= $N$10, O$13 = "Yes" )</f>
        <v>0</v>
      </c>
      <c r="P113" s="23">
        <f xml:space="preserve"> -- AND( tblFilterRegion[[#This Row],[South West]] &gt;= $N$10, P$13 = "Yes" )</f>
        <v>0</v>
      </c>
      <c r="Q113" s="23">
        <f xml:space="preserve"> -- AND( tblFilterRegion[[#This Row],[East Midlands]] &gt;= $N$10, Q$13 = "Yes" )</f>
        <v>0</v>
      </c>
      <c r="R113" s="23">
        <f xml:space="preserve"> -- AND( tblFilterRegion[[#This Row],[West Midlands]] &gt;= $N$10, R$13 = "Yes" )</f>
        <v>0</v>
      </c>
      <c r="S113" s="23">
        <f xml:space="preserve"> -- AND( tblFilterRegion[[#This Row],[East of England]] &gt;= $N$10, S$13 = "Yes" )</f>
        <v>0</v>
      </c>
      <c r="T113" s="23">
        <f xml:space="preserve"> -- AND( tblFilterRegion[[#This Row],[North East]] &gt;= $N$10, T$13 = "Yes" )</f>
        <v>0</v>
      </c>
      <c r="U113" s="23">
        <f xml:space="preserve"> -- AND( tblFilterRegion[[#This Row],[North West]] &gt;= $N$10, U$13 = "Yes" )</f>
        <v>0</v>
      </c>
      <c r="V113" s="23">
        <f xml:space="preserve"> -- AND( tblFilterRegion[[#This Row],[Yorkshire &amp; the Humber]] &gt;= $N$10, V$13 = "Yes" )</f>
        <v>0</v>
      </c>
      <c r="W113" s="22">
        <f xml:space="preserve"> SUMIF( $E$13:$M$13, "Yes", tblFilterRegion[[#This Row],[London]:[Yorkshire &amp; the Humber]] )</f>
        <v>0</v>
      </c>
      <c r="X113" s="23">
        <f xml:space="preserve"> -- ( SUM( tblFilterRegion[[#This Row],[Incl for Lon]:[Incl for YH]] ) &gt; 0 )</f>
        <v>0</v>
      </c>
      <c r="Y113" s="23">
        <f xml:space="preserve"> -- ( tblFilterRegion[[#This Row],[Total in selected regions]] &gt; $N$10 )</f>
        <v>0</v>
      </c>
      <c r="Z113" s="24">
        <f xml:space="preserve"> IF( RegionMinimum = 0, 1, IF( $R$10 = $U$8, tblFilterRegion[[#This Row],[Include for region - any]], IF( $R$10 = $U$10, tblFilterRegion[[#This Row],[Include for region - total]], "CHECK" ) ) )</f>
        <v>1</v>
      </c>
      <c r="AA113" s="131" t="str" cm="1">
        <f t="array" ref="AA113" xml:space="preserve"> INDEX( VfM_Metrics_2023_Consol_Source[], $D113, AA$14 )</f>
        <v>South West</v>
      </c>
    </row>
    <row r="114" spans="2:27" x14ac:dyDescent="0.2">
      <c r="B114" s="159" t="s" vm="99">
        <v>343</v>
      </c>
      <c r="C114" s="154" t="str" vm="232">
        <f xml:space="preserve"> INDEX( VfM_Metrics_2023_Consol_Source[RP_Code], MATCH( tblFilterRegion[[#This Row],[RP_Name]], VfM_Metrics_2023_Consol_Source[RP_Name], 0 ) )</f>
        <v>L3736</v>
      </c>
      <c r="D114" s="81">
        <f xml:space="preserve"> MATCH( tblFilterRegion[[#This Row],[RP_Code]], VfM_Metrics_2023_Consol_Source[RP_Code], 0 )</f>
        <v>99</v>
      </c>
      <c r="E114" s="22" cm="1">
        <f t="array" ref="E114" xml:space="preserve"> INDEX( VfM_Metrics_2023_Consol_Source[], $D114, E$14 )</f>
        <v>0</v>
      </c>
      <c r="F114" s="22" cm="1">
        <f t="array" ref="F114" xml:space="preserve"> INDEX( VfM_Metrics_2023_Consol_Source[], $D114, F$14 )</f>
        <v>0</v>
      </c>
      <c r="G114" s="22" cm="1">
        <f t="array" ref="G114" xml:space="preserve"> INDEX( VfM_Metrics_2023_Consol_Source[], $D114, G$14 )</f>
        <v>0</v>
      </c>
      <c r="H114" s="22" cm="1">
        <f t="array" ref="H114" xml:space="preserve"> INDEX( VfM_Metrics_2023_Consol_Source[], $D114, H$14 )</f>
        <v>0</v>
      </c>
      <c r="I114" s="22" cm="1">
        <f t="array" ref="I114" xml:space="preserve"> INDEX( VfM_Metrics_2023_Consol_Source[], $D114, I$14 )</f>
        <v>0</v>
      </c>
      <c r="J114" s="22" cm="1">
        <f t="array" ref="J114" xml:space="preserve"> INDEX( VfM_Metrics_2023_Consol_Source[], $D114, J$14 )</f>
        <v>0</v>
      </c>
      <c r="K114" s="22" cm="1">
        <f t="array" ref="K114" xml:space="preserve"> INDEX( VfM_Metrics_2023_Consol_Source[], $D114, K$14 )</f>
        <v>0</v>
      </c>
      <c r="L114" s="22" cm="1">
        <f t="array" ref="L114" xml:space="preserve"> INDEX( VfM_Metrics_2023_Consol_Source[], $D114, L$14 )</f>
        <v>0</v>
      </c>
      <c r="M114" s="22" cm="1">
        <f t="array" ref="M114" xml:space="preserve"> INDEX( VfM_Metrics_2023_Consol_Source[], $D114, M$14 )</f>
        <v>1</v>
      </c>
      <c r="N114" s="23">
        <f xml:space="preserve"> -- AND( tblFilterRegion[[#This Row],[London]] &gt;= $N$10, N$13 = "Yes" )</f>
        <v>0</v>
      </c>
      <c r="O114" s="23">
        <f xml:space="preserve"> -- AND( tblFilterRegion[[#This Row],[South East]] &gt;= $N$10, O$13 = "Yes" )</f>
        <v>0</v>
      </c>
      <c r="P114" s="23">
        <f xml:space="preserve"> -- AND( tblFilterRegion[[#This Row],[South West]] &gt;= $N$10, P$13 = "Yes" )</f>
        <v>0</v>
      </c>
      <c r="Q114" s="23">
        <f xml:space="preserve"> -- AND( tblFilterRegion[[#This Row],[East Midlands]] &gt;= $N$10, Q$13 = "Yes" )</f>
        <v>0</v>
      </c>
      <c r="R114" s="23">
        <f xml:space="preserve"> -- AND( tblFilterRegion[[#This Row],[West Midlands]] &gt;= $N$10, R$13 = "Yes" )</f>
        <v>0</v>
      </c>
      <c r="S114" s="23">
        <f xml:space="preserve"> -- AND( tblFilterRegion[[#This Row],[East of England]] &gt;= $N$10, S$13 = "Yes" )</f>
        <v>0</v>
      </c>
      <c r="T114" s="23">
        <f xml:space="preserve"> -- AND( tblFilterRegion[[#This Row],[North East]] &gt;= $N$10, T$13 = "Yes" )</f>
        <v>0</v>
      </c>
      <c r="U114" s="23">
        <f xml:space="preserve"> -- AND( tblFilterRegion[[#This Row],[North West]] &gt;= $N$10, U$13 = "Yes" )</f>
        <v>0</v>
      </c>
      <c r="V114" s="23">
        <f xml:space="preserve"> -- AND( tblFilterRegion[[#This Row],[Yorkshire &amp; the Humber]] &gt;= $N$10, V$13 = "Yes" )</f>
        <v>0</v>
      </c>
      <c r="W114" s="22">
        <f xml:space="preserve"> SUMIF( $E$13:$M$13, "Yes", tblFilterRegion[[#This Row],[London]:[Yorkshire &amp; the Humber]] )</f>
        <v>0</v>
      </c>
      <c r="X114" s="23">
        <f xml:space="preserve"> -- ( SUM( tblFilterRegion[[#This Row],[Incl for Lon]:[Incl for YH]] ) &gt; 0 )</f>
        <v>0</v>
      </c>
      <c r="Y114" s="23">
        <f xml:space="preserve"> -- ( tblFilterRegion[[#This Row],[Total in selected regions]] &gt; $N$10 )</f>
        <v>0</v>
      </c>
      <c r="Z114" s="24">
        <f xml:space="preserve"> IF( RegionMinimum = 0, 1, IF( $R$10 = $U$8, tblFilterRegion[[#This Row],[Include for region - any]], IF( $R$10 = $U$10, tblFilterRegion[[#This Row],[Include for region - total]], "CHECK" ) ) )</f>
        <v>1</v>
      </c>
      <c r="AA114" s="131" t="str" cm="1">
        <f t="array" ref="AA114" xml:space="preserve"> INDEX( VfM_Metrics_2023_Consol_Source[], $D114, AA$14 )</f>
        <v>Yorkshire &amp; the Humber</v>
      </c>
    </row>
    <row r="115" spans="2:27" x14ac:dyDescent="0.2">
      <c r="B115" s="159" t="s" vm="100">
        <v>345</v>
      </c>
      <c r="C115" s="154" t="str" vm="258">
        <f xml:space="preserve"> INDEX( VfM_Metrics_2023_Consol_Source[RP_Code], MATCH( tblFilterRegion[[#This Row],[RP_Name]], VfM_Metrics_2023_Consol_Source[RP_Name], 0 ) )</f>
        <v>L4466</v>
      </c>
      <c r="D115" s="81">
        <f xml:space="preserve"> MATCH( tblFilterRegion[[#This Row],[RP_Code]], VfM_Metrics_2023_Consol_Source[RP_Code], 0 )</f>
        <v>100</v>
      </c>
      <c r="E115" s="22" cm="1">
        <f t="array" ref="E115" xml:space="preserve"> INDEX( VfM_Metrics_2023_Consol_Source[], $D115, E$14 )</f>
        <v>0</v>
      </c>
      <c r="F115" s="22" cm="1">
        <f t="array" ref="F115" xml:space="preserve"> INDEX( VfM_Metrics_2023_Consol_Source[], $D115, F$14 )</f>
        <v>3.2345710958726873E-3</v>
      </c>
      <c r="G115" s="22" cm="1">
        <f t="array" ref="G115" xml:space="preserve"> INDEX( VfM_Metrics_2023_Consol_Source[], $D115, G$14 )</f>
        <v>6.4691421917453741E-4</v>
      </c>
      <c r="H115" s="22" cm="1">
        <f t="array" ref="H115" xml:space="preserve"> INDEX( VfM_Metrics_2023_Consol_Source[], $D115, H$14 )</f>
        <v>0.10007762970630095</v>
      </c>
      <c r="I115" s="22" cm="1">
        <f t="array" ref="I115" xml:space="preserve"> INDEX( VfM_Metrics_2023_Consol_Source[], $D115, I$14 )</f>
        <v>0.89604088497865186</v>
      </c>
      <c r="J115" s="22" cm="1">
        <f t="array" ref="J115" xml:space="preserve"> INDEX( VfM_Metrics_2023_Consol_Source[], $D115, J$14 )</f>
        <v>0</v>
      </c>
      <c r="K115" s="22" cm="1">
        <f t="array" ref="K115" xml:space="preserve"> INDEX( VfM_Metrics_2023_Consol_Source[], $D115, K$14 )</f>
        <v>0</v>
      </c>
      <c r="L115" s="22" cm="1">
        <f t="array" ref="L115" xml:space="preserve"> INDEX( VfM_Metrics_2023_Consol_Source[], $D115, L$14 )</f>
        <v>0</v>
      </c>
      <c r="M115" s="22" cm="1">
        <f t="array" ref="M115" xml:space="preserve"> INDEX( VfM_Metrics_2023_Consol_Source[], $D115, M$14 )</f>
        <v>0</v>
      </c>
      <c r="N115" s="23">
        <f xml:space="preserve"> -- AND( tblFilterRegion[[#This Row],[London]] &gt;= $N$10, N$13 = "Yes" )</f>
        <v>0</v>
      </c>
      <c r="O115" s="23">
        <f xml:space="preserve"> -- AND( tblFilterRegion[[#This Row],[South East]] &gt;= $N$10, O$13 = "Yes" )</f>
        <v>0</v>
      </c>
      <c r="P115" s="23">
        <f xml:space="preserve"> -- AND( tblFilterRegion[[#This Row],[South West]] &gt;= $N$10, P$13 = "Yes" )</f>
        <v>0</v>
      </c>
      <c r="Q115" s="23">
        <f xml:space="preserve"> -- AND( tblFilterRegion[[#This Row],[East Midlands]] &gt;= $N$10, Q$13 = "Yes" )</f>
        <v>0</v>
      </c>
      <c r="R115" s="23">
        <f xml:space="preserve"> -- AND( tblFilterRegion[[#This Row],[West Midlands]] &gt;= $N$10, R$13 = "Yes" )</f>
        <v>0</v>
      </c>
      <c r="S115" s="23">
        <f xml:space="preserve"> -- AND( tblFilterRegion[[#This Row],[East of England]] &gt;= $N$10, S$13 = "Yes" )</f>
        <v>0</v>
      </c>
      <c r="T115" s="23">
        <f xml:space="preserve"> -- AND( tblFilterRegion[[#This Row],[North East]] &gt;= $N$10, T$13 = "Yes" )</f>
        <v>0</v>
      </c>
      <c r="U115" s="23">
        <f xml:space="preserve"> -- AND( tblFilterRegion[[#This Row],[North West]] &gt;= $N$10, U$13 = "Yes" )</f>
        <v>0</v>
      </c>
      <c r="V115" s="23">
        <f xml:space="preserve"> -- AND( tblFilterRegion[[#This Row],[Yorkshire &amp; the Humber]] &gt;= $N$10, V$13 = "Yes" )</f>
        <v>0</v>
      </c>
      <c r="W115" s="22">
        <f xml:space="preserve"> SUMIF( $E$13:$M$13, "Yes", tblFilterRegion[[#This Row],[London]:[Yorkshire &amp; the Humber]] )</f>
        <v>0</v>
      </c>
      <c r="X115" s="23">
        <f xml:space="preserve"> -- ( SUM( tblFilterRegion[[#This Row],[Incl for Lon]:[Incl for YH]] ) &gt; 0 )</f>
        <v>0</v>
      </c>
      <c r="Y115" s="23">
        <f xml:space="preserve"> -- ( tblFilterRegion[[#This Row],[Total in selected regions]] &gt; $N$10 )</f>
        <v>0</v>
      </c>
      <c r="Z115" s="24">
        <f xml:space="preserve"> IF( RegionMinimum = 0, 1, IF( $R$10 = $U$8, tblFilterRegion[[#This Row],[Include for region - any]], IF( $R$10 = $U$10, tblFilterRegion[[#This Row],[Include for region - total]], "CHECK" ) ) )</f>
        <v>1</v>
      </c>
      <c r="AA115" s="131" t="str" cm="1">
        <f t="array" ref="AA115" xml:space="preserve"> INDEX( VfM_Metrics_2023_Consol_Source[], $D115, AA$14 )</f>
        <v>West Midlands</v>
      </c>
    </row>
    <row r="116" spans="2:27" x14ac:dyDescent="0.2">
      <c r="B116" s="159" t="s" vm="101">
        <v>347</v>
      </c>
      <c r="C116" s="154" t="str" vm="300">
        <f xml:space="preserve"> INDEX( VfM_Metrics_2023_Consol_Source[RP_Code], MATCH( tblFilterRegion[[#This Row],[RP_Name]], VfM_Metrics_2023_Consol_Source[RP_Name], 0 ) )</f>
        <v>L0386</v>
      </c>
      <c r="D116" s="81">
        <f xml:space="preserve"> MATCH( tblFilterRegion[[#This Row],[RP_Code]], VfM_Metrics_2023_Consol_Source[RP_Code], 0 )</f>
        <v>101</v>
      </c>
      <c r="E116" s="22" cm="1">
        <f t="array" ref="E116" xml:space="preserve"> INDEX( VfM_Metrics_2023_Consol_Source[], $D116, E$14 )</f>
        <v>0.20618444055944055</v>
      </c>
      <c r="F116" s="22" cm="1">
        <f t="array" ref="F116" xml:space="preserve"> INDEX( VfM_Metrics_2023_Consol_Source[], $D116, F$14 )</f>
        <v>0.56293706293706292</v>
      </c>
      <c r="G116" s="22" cm="1">
        <f t="array" ref="G116" xml:space="preserve"> INDEX( VfM_Metrics_2023_Consol_Source[], $D116, G$14 )</f>
        <v>3.8243006993006995E-3</v>
      </c>
      <c r="H116" s="22" cm="1">
        <f t="array" ref="H116" xml:space="preserve"> INDEX( VfM_Metrics_2023_Consol_Source[], $D116, H$14 )</f>
        <v>0</v>
      </c>
      <c r="I116" s="22" cm="1">
        <f t="array" ref="I116" xml:space="preserve"> INDEX( VfM_Metrics_2023_Consol_Source[], $D116, I$14 )</f>
        <v>0</v>
      </c>
      <c r="J116" s="22" cm="1">
        <f t="array" ref="J116" xml:space="preserve"> INDEX( VfM_Metrics_2023_Consol_Source[], $D116, J$14 )</f>
        <v>0.22705419580419581</v>
      </c>
      <c r="K116" s="22" cm="1">
        <f t="array" ref="K116" xml:space="preserve"> INDEX( VfM_Metrics_2023_Consol_Source[], $D116, K$14 )</f>
        <v>0</v>
      </c>
      <c r="L116" s="22" cm="1">
        <f t="array" ref="L116" xml:space="preserve"> INDEX( VfM_Metrics_2023_Consol_Source[], $D116, L$14 )</f>
        <v>0</v>
      </c>
      <c r="M116" s="22" cm="1">
        <f t="array" ref="M116" xml:space="preserve"> INDEX( VfM_Metrics_2023_Consol_Source[], $D116, M$14 )</f>
        <v>0</v>
      </c>
      <c r="N116" s="23">
        <f xml:space="preserve"> -- AND( tblFilterRegion[[#This Row],[London]] &gt;= $N$10, N$13 = "Yes" )</f>
        <v>0</v>
      </c>
      <c r="O116" s="23">
        <f xml:space="preserve"> -- AND( tblFilterRegion[[#This Row],[South East]] &gt;= $N$10, O$13 = "Yes" )</f>
        <v>0</v>
      </c>
      <c r="P116" s="23">
        <f xml:space="preserve"> -- AND( tblFilterRegion[[#This Row],[South West]] &gt;= $N$10, P$13 = "Yes" )</f>
        <v>0</v>
      </c>
      <c r="Q116" s="23">
        <f xml:space="preserve"> -- AND( tblFilterRegion[[#This Row],[East Midlands]] &gt;= $N$10, Q$13 = "Yes" )</f>
        <v>0</v>
      </c>
      <c r="R116" s="23">
        <f xml:space="preserve"> -- AND( tblFilterRegion[[#This Row],[West Midlands]] &gt;= $N$10, R$13 = "Yes" )</f>
        <v>0</v>
      </c>
      <c r="S116" s="23">
        <f xml:space="preserve"> -- AND( tblFilterRegion[[#This Row],[East of England]] &gt;= $N$10, S$13 = "Yes" )</f>
        <v>0</v>
      </c>
      <c r="T116" s="23">
        <f xml:space="preserve"> -- AND( tblFilterRegion[[#This Row],[North East]] &gt;= $N$10, T$13 = "Yes" )</f>
        <v>0</v>
      </c>
      <c r="U116" s="23">
        <f xml:space="preserve"> -- AND( tblFilterRegion[[#This Row],[North West]] &gt;= $N$10, U$13 = "Yes" )</f>
        <v>0</v>
      </c>
      <c r="V116" s="23">
        <f xml:space="preserve"> -- AND( tblFilterRegion[[#This Row],[Yorkshire &amp; the Humber]] &gt;= $N$10, V$13 = "Yes" )</f>
        <v>0</v>
      </c>
      <c r="W116" s="22">
        <f xml:space="preserve"> SUMIF( $E$13:$M$13, "Yes", tblFilterRegion[[#This Row],[London]:[Yorkshire &amp; the Humber]] )</f>
        <v>0</v>
      </c>
      <c r="X116" s="23">
        <f xml:space="preserve"> -- ( SUM( tblFilterRegion[[#This Row],[Incl for Lon]:[Incl for YH]] ) &gt; 0 )</f>
        <v>0</v>
      </c>
      <c r="Y116" s="23">
        <f xml:space="preserve"> -- ( tblFilterRegion[[#This Row],[Total in selected regions]] &gt; $N$10 )</f>
        <v>0</v>
      </c>
      <c r="Z116" s="24">
        <f xml:space="preserve"> IF( RegionMinimum = 0, 1, IF( $R$10 = $U$8, tblFilterRegion[[#This Row],[Include for region - any]], IF( $R$10 = $U$10, tblFilterRegion[[#This Row],[Include for region - total]], "CHECK" ) ) )</f>
        <v>1</v>
      </c>
      <c r="AA116" s="131" t="str" cm="1">
        <f t="array" ref="AA116" xml:space="preserve"> INDEX( VfM_Metrics_2023_Consol_Source[], $D116, AA$14 )</f>
        <v>South East</v>
      </c>
    </row>
    <row r="117" spans="2:27" x14ac:dyDescent="0.2">
      <c r="B117" s="159" t="s" vm="102">
        <v>349</v>
      </c>
      <c r="C117" s="154" t="str" vm="369">
        <f xml:space="preserve"> INDEX( VfM_Metrics_2023_Consol_Source[RP_Code], MATCH( tblFilterRegion[[#This Row],[RP_Name]], VfM_Metrics_2023_Consol_Source[RP_Name], 0 ) )</f>
        <v>4857</v>
      </c>
      <c r="D117" s="81">
        <f xml:space="preserve"> MATCH( tblFilterRegion[[#This Row],[RP_Code]], VfM_Metrics_2023_Consol_Source[RP_Code], 0 )</f>
        <v>102</v>
      </c>
      <c r="E117" s="22" cm="1">
        <f t="array" ref="E117" xml:space="preserve"> INDEX( VfM_Metrics_2023_Consol_Source[], $D117, E$14 )</f>
        <v>0</v>
      </c>
      <c r="F117" s="22" cm="1">
        <f t="array" ref="F117" xml:space="preserve"> INDEX( VfM_Metrics_2023_Consol_Source[], $D117, F$14 )</f>
        <v>0</v>
      </c>
      <c r="G117" s="22" cm="1">
        <f t="array" ref="G117" xml:space="preserve"> INDEX( VfM_Metrics_2023_Consol_Source[], $D117, G$14 )</f>
        <v>0</v>
      </c>
      <c r="H117" s="22" cm="1">
        <f t="array" ref="H117" xml:space="preserve"> INDEX( VfM_Metrics_2023_Consol_Source[], $D117, H$14 )</f>
        <v>0</v>
      </c>
      <c r="I117" s="22" cm="1">
        <f t="array" ref="I117" xml:space="preserve"> INDEX( VfM_Metrics_2023_Consol_Source[], $D117, I$14 )</f>
        <v>2.3369946249123628E-4</v>
      </c>
      <c r="J117" s="22" cm="1">
        <f t="array" ref="J117" xml:space="preserve"> INDEX( VfM_Metrics_2023_Consol_Source[], $D117, J$14 )</f>
        <v>0</v>
      </c>
      <c r="K117" s="22" cm="1">
        <f t="array" ref="K117" xml:space="preserve"> INDEX( VfM_Metrics_2023_Consol_Source[], $D117, K$14 )</f>
        <v>0</v>
      </c>
      <c r="L117" s="22" cm="1">
        <f t="array" ref="L117" xml:space="preserve"> INDEX( VfM_Metrics_2023_Consol_Source[], $D117, L$14 )</f>
        <v>0.98130404300070107</v>
      </c>
      <c r="M117" s="22" cm="1">
        <f t="array" ref="M117" xml:space="preserve"> INDEX( VfM_Metrics_2023_Consol_Source[], $D117, M$14 )</f>
        <v>1.8462257536807667E-2</v>
      </c>
      <c r="N117" s="23">
        <f xml:space="preserve"> -- AND( tblFilterRegion[[#This Row],[London]] &gt;= $N$10, N$13 = "Yes" )</f>
        <v>0</v>
      </c>
      <c r="O117" s="23">
        <f xml:space="preserve"> -- AND( tblFilterRegion[[#This Row],[South East]] &gt;= $N$10, O$13 = "Yes" )</f>
        <v>0</v>
      </c>
      <c r="P117" s="23">
        <f xml:space="preserve"> -- AND( tblFilterRegion[[#This Row],[South West]] &gt;= $N$10, P$13 = "Yes" )</f>
        <v>0</v>
      </c>
      <c r="Q117" s="23">
        <f xml:space="preserve"> -- AND( tblFilterRegion[[#This Row],[East Midlands]] &gt;= $N$10, Q$13 = "Yes" )</f>
        <v>0</v>
      </c>
      <c r="R117" s="23">
        <f xml:space="preserve"> -- AND( tblFilterRegion[[#This Row],[West Midlands]] &gt;= $N$10, R$13 = "Yes" )</f>
        <v>0</v>
      </c>
      <c r="S117" s="23">
        <f xml:space="preserve"> -- AND( tblFilterRegion[[#This Row],[East of England]] &gt;= $N$10, S$13 = "Yes" )</f>
        <v>0</v>
      </c>
      <c r="T117" s="23">
        <f xml:space="preserve"> -- AND( tblFilterRegion[[#This Row],[North East]] &gt;= $N$10, T$13 = "Yes" )</f>
        <v>0</v>
      </c>
      <c r="U117" s="23">
        <f xml:space="preserve"> -- AND( tblFilterRegion[[#This Row],[North West]] &gt;= $N$10, U$13 = "Yes" )</f>
        <v>0</v>
      </c>
      <c r="V117" s="23">
        <f xml:space="preserve"> -- AND( tblFilterRegion[[#This Row],[Yorkshire &amp; the Humber]] &gt;= $N$10, V$13 = "Yes" )</f>
        <v>0</v>
      </c>
      <c r="W117" s="22">
        <f xml:space="preserve"> SUMIF( $E$13:$M$13, "Yes", tblFilterRegion[[#This Row],[London]:[Yorkshire &amp; the Humber]] )</f>
        <v>0</v>
      </c>
      <c r="X117" s="23">
        <f xml:space="preserve"> -- ( SUM( tblFilterRegion[[#This Row],[Incl for Lon]:[Incl for YH]] ) &gt; 0 )</f>
        <v>0</v>
      </c>
      <c r="Y117" s="23">
        <f xml:space="preserve"> -- ( tblFilterRegion[[#This Row],[Total in selected regions]] &gt; $N$10 )</f>
        <v>0</v>
      </c>
      <c r="Z117" s="24">
        <f xml:space="preserve"> IF( RegionMinimum = 0, 1, IF( $R$10 = $U$8, tblFilterRegion[[#This Row],[Include for region - any]], IF( $R$10 = $U$10, tblFilterRegion[[#This Row],[Include for region - total]], "CHECK" ) ) )</f>
        <v>1</v>
      </c>
      <c r="AA117" s="131" t="str" cm="1">
        <f t="array" ref="AA117" xml:space="preserve"> INDEX( VfM_Metrics_2023_Consol_Source[], $D117, AA$14 )</f>
        <v>North West</v>
      </c>
    </row>
    <row r="118" spans="2:27" x14ac:dyDescent="0.2">
      <c r="B118" s="159" t="s" vm="103">
        <v>351</v>
      </c>
      <c r="C118" s="154" t="str" vm="218">
        <f xml:space="preserve"> INDEX( VfM_Metrics_2023_Consol_Source[RP_Code], MATCH( tblFilterRegion[[#This Row],[RP_Name]], VfM_Metrics_2023_Consol_Source[RP_Name], 0 ) )</f>
        <v>L0042</v>
      </c>
      <c r="D118" s="81">
        <f xml:space="preserve"> MATCH( tblFilterRegion[[#This Row],[RP_Code]], VfM_Metrics_2023_Consol_Source[RP_Code], 0 )</f>
        <v>103</v>
      </c>
      <c r="E118" s="22" cm="1">
        <f t="array" ref="E118" xml:space="preserve"> INDEX( VfM_Metrics_2023_Consol_Source[], $D118, E$14 )</f>
        <v>1.8577834721332478E-2</v>
      </c>
      <c r="F118" s="22" cm="1">
        <f t="array" ref="F118" xml:space="preserve"> INDEX( VfM_Metrics_2023_Consol_Source[], $D118, F$14 )</f>
        <v>0.98142216527866755</v>
      </c>
      <c r="G118" s="22" cm="1">
        <f t="array" ref="G118" xml:space="preserve"> INDEX( VfM_Metrics_2023_Consol_Source[], $D118, G$14 )</f>
        <v>0</v>
      </c>
      <c r="H118" s="22" cm="1">
        <f t="array" ref="H118" xml:space="preserve"> INDEX( VfM_Metrics_2023_Consol_Source[], $D118, H$14 )</f>
        <v>0</v>
      </c>
      <c r="I118" s="22" cm="1">
        <f t="array" ref="I118" xml:space="preserve"> INDEX( VfM_Metrics_2023_Consol_Source[], $D118, I$14 )</f>
        <v>0</v>
      </c>
      <c r="J118" s="22" cm="1">
        <f t="array" ref="J118" xml:space="preserve"> INDEX( VfM_Metrics_2023_Consol_Source[], $D118, J$14 )</f>
        <v>0</v>
      </c>
      <c r="K118" s="22" cm="1">
        <f t="array" ref="K118" xml:space="preserve"> INDEX( VfM_Metrics_2023_Consol_Source[], $D118, K$14 )</f>
        <v>0</v>
      </c>
      <c r="L118" s="22" cm="1">
        <f t="array" ref="L118" xml:space="preserve"> INDEX( VfM_Metrics_2023_Consol_Source[], $D118, L$14 )</f>
        <v>0</v>
      </c>
      <c r="M118" s="22" cm="1">
        <f t="array" ref="M118" xml:space="preserve"> INDEX( VfM_Metrics_2023_Consol_Source[], $D118, M$14 )</f>
        <v>0</v>
      </c>
      <c r="N118" s="23">
        <f xml:space="preserve"> -- AND( tblFilterRegion[[#This Row],[London]] &gt;= $N$10, N$13 = "Yes" )</f>
        <v>0</v>
      </c>
      <c r="O118" s="23">
        <f xml:space="preserve"> -- AND( tblFilterRegion[[#This Row],[South East]] &gt;= $N$10, O$13 = "Yes" )</f>
        <v>0</v>
      </c>
      <c r="P118" s="23">
        <f xml:space="preserve"> -- AND( tblFilterRegion[[#This Row],[South West]] &gt;= $N$10, P$13 = "Yes" )</f>
        <v>0</v>
      </c>
      <c r="Q118" s="23">
        <f xml:space="preserve"> -- AND( tblFilterRegion[[#This Row],[East Midlands]] &gt;= $N$10, Q$13 = "Yes" )</f>
        <v>0</v>
      </c>
      <c r="R118" s="23">
        <f xml:space="preserve"> -- AND( tblFilterRegion[[#This Row],[West Midlands]] &gt;= $N$10, R$13 = "Yes" )</f>
        <v>0</v>
      </c>
      <c r="S118" s="23">
        <f xml:space="preserve"> -- AND( tblFilterRegion[[#This Row],[East of England]] &gt;= $N$10, S$13 = "Yes" )</f>
        <v>0</v>
      </c>
      <c r="T118" s="23">
        <f xml:space="preserve"> -- AND( tblFilterRegion[[#This Row],[North East]] &gt;= $N$10, T$13 = "Yes" )</f>
        <v>0</v>
      </c>
      <c r="U118" s="23">
        <f xml:space="preserve"> -- AND( tblFilterRegion[[#This Row],[North West]] &gt;= $N$10, U$13 = "Yes" )</f>
        <v>0</v>
      </c>
      <c r="V118" s="23">
        <f xml:space="preserve"> -- AND( tblFilterRegion[[#This Row],[Yorkshire &amp; the Humber]] &gt;= $N$10, V$13 = "Yes" )</f>
        <v>0</v>
      </c>
      <c r="W118" s="22">
        <f xml:space="preserve"> SUMIF( $E$13:$M$13, "Yes", tblFilterRegion[[#This Row],[London]:[Yorkshire &amp; the Humber]] )</f>
        <v>0</v>
      </c>
      <c r="X118" s="23">
        <f xml:space="preserve"> -- ( SUM( tblFilterRegion[[#This Row],[Incl for Lon]:[Incl for YH]] ) &gt; 0 )</f>
        <v>0</v>
      </c>
      <c r="Y118" s="23">
        <f xml:space="preserve"> -- ( tblFilterRegion[[#This Row],[Total in selected regions]] &gt; $N$10 )</f>
        <v>0</v>
      </c>
      <c r="Z118" s="24">
        <f xml:space="preserve"> IF( RegionMinimum = 0, 1, IF( $R$10 = $U$8, tblFilterRegion[[#This Row],[Include for region - any]], IF( $R$10 = $U$10, tblFilterRegion[[#This Row],[Include for region - total]], "CHECK" ) ) )</f>
        <v>1</v>
      </c>
      <c r="AA118" s="131" t="str" cm="1">
        <f t="array" ref="AA118" xml:space="preserve"> INDEX( VfM_Metrics_2023_Consol_Source[], $D118, AA$14 )</f>
        <v>South East</v>
      </c>
    </row>
    <row r="119" spans="2:27" x14ac:dyDescent="0.2">
      <c r="B119" s="159" t="s" vm="104">
        <v>353</v>
      </c>
      <c r="C119" s="154" t="str" vm="367">
        <f xml:space="preserve"> INDEX( VfM_Metrics_2023_Consol_Source[RP_Code], MATCH( tblFilterRegion[[#This Row],[RP_Name]], VfM_Metrics_2023_Consol_Source[RP_Name], 0 ) )</f>
        <v>L2194</v>
      </c>
      <c r="D119" s="81">
        <f xml:space="preserve"> MATCH( tblFilterRegion[[#This Row],[RP_Code]], VfM_Metrics_2023_Consol_Source[RP_Code], 0 )</f>
        <v>104</v>
      </c>
      <c r="E119" s="22" cm="1">
        <f t="array" ref="E119" xml:space="preserve"> INDEX( VfM_Metrics_2023_Consol_Source[], $D119, E$14 )</f>
        <v>0</v>
      </c>
      <c r="F119" s="22" cm="1">
        <f t="array" ref="F119" xml:space="preserve"> INDEX( VfM_Metrics_2023_Consol_Source[], $D119, F$14 )</f>
        <v>1.1380057803468208E-2</v>
      </c>
      <c r="G119" s="22" cm="1">
        <f t="array" ref="G119" xml:space="preserve"> INDEX( VfM_Metrics_2023_Consol_Source[], $D119, G$14 )</f>
        <v>0</v>
      </c>
      <c r="H119" s="22" cm="1">
        <f t="array" ref="H119" xml:space="preserve"> INDEX( VfM_Metrics_2023_Consol_Source[], $D119, H$14 )</f>
        <v>6.7015895953757232E-2</v>
      </c>
      <c r="I119" s="22" cm="1">
        <f t="array" ref="I119" xml:space="preserve"> INDEX( VfM_Metrics_2023_Consol_Source[], $D119, I$14 )</f>
        <v>1.1199421965317919E-2</v>
      </c>
      <c r="J119" s="22" cm="1">
        <f t="array" ref="J119" xml:space="preserve"> INDEX( VfM_Metrics_2023_Consol_Source[], $D119, J$14 )</f>
        <v>0.13890895953757226</v>
      </c>
      <c r="K119" s="22" cm="1">
        <f t="array" ref="K119" xml:space="preserve"> INDEX( VfM_Metrics_2023_Consol_Source[], $D119, K$14 )</f>
        <v>0</v>
      </c>
      <c r="L119" s="22" cm="1">
        <f t="array" ref="L119" xml:space="preserve"> INDEX( VfM_Metrics_2023_Consol_Source[], $D119, L$14 )</f>
        <v>0.7322976878612717</v>
      </c>
      <c r="M119" s="22" cm="1">
        <f t="array" ref="M119" xml:space="preserve"> INDEX( VfM_Metrics_2023_Consol_Source[], $D119, M$14 )</f>
        <v>3.919797687861272E-2</v>
      </c>
      <c r="N119" s="23">
        <f xml:space="preserve"> -- AND( tblFilterRegion[[#This Row],[London]] &gt;= $N$10, N$13 = "Yes" )</f>
        <v>0</v>
      </c>
      <c r="O119" s="23">
        <f xml:space="preserve"> -- AND( tblFilterRegion[[#This Row],[South East]] &gt;= $N$10, O$13 = "Yes" )</f>
        <v>0</v>
      </c>
      <c r="P119" s="23">
        <f xml:space="preserve"> -- AND( tblFilterRegion[[#This Row],[South West]] &gt;= $N$10, P$13 = "Yes" )</f>
        <v>0</v>
      </c>
      <c r="Q119" s="23">
        <f xml:space="preserve"> -- AND( tblFilterRegion[[#This Row],[East Midlands]] &gt;= $N$10, Q$13 = "Yes" )</f>
        <v>0</v>
      </c>
      <c r="R119" s="23">
        <f xml:space="preserve"> -- AND( tblFilterRegion[[#This Row],[West Midlands]] &gt;= $N$10, R$13 = "Yes" )</f>
        <v>0</v>
      </c>
      <c r="S119" s="23">
        <f xml:space="preserve"> -- AND( tblFilterRegion[[#This Row],[East of England]] &gt;= $N$10, S$13 = "Yes" )</f>
        <v>0</v>
      </c>
      <c r="T119" s="23">
        <f xml:space="preserve"> -- AND( tblFilterRegion[[#This Row],[North East]] &gt;= $N$10, T$13 = "Yes" )</f>
        <v>0</v>
      </c>
      <c r="U119" s="23">
        <f xml:space="preserve"> -- AND( tblFilterRegion[[#This Row],[North West]] &gt;= $N$10, U$13 = "Yes" )</f>
        <v>0</v>
      </c>
      <c r="V119" s="23">
        <f xml:space="preserve"> -- AND( tblFilterRegion[[#This Row],[Yorkshire &amp; the Humber]] &gt;= $N$10, V$13 = "Yes" )</f>
        <v>0</v>
      </c>
      <c r="W119" s="22">
        <f xml:space="preserve"> SUMIF( $E$13:$M$13, "Yes", tblFilterRegion[[#This Row],[London]:[Yorkshire &amp; the Humber]] )</f>
        <v>0</v>
      </c>
      <c r="X119" s="23">
        <f xml:space="preserve"> -- ( SUM( tblFilterRegion[[#This Row],[Incl for Lon]:[Incl for YH]] ) &gt; 0 )</f>
        <v>0</v>
      </c>
      <c r="Y119" s="23">
        <f xml:space="preserve"> -- ( tblFilterRegion[[#This Row],[Total in selected regions]] &gt; $N$10 )</f>
        <v>0</v>
      </c>
      <c r="Z119" s="24">
        <f xml:space="preserve"> IF( RegionMinimum = 0, 1, IF( $R$10 = $U$8, tblFilterRegion[[#This Row],[Include for region - any]], IF( $R$10 = $U$10, tblFilterRegion[[#This Row],[Include for region - total]], "CHECK" ) ) )</f>
        <v>1</v>
      </c>
      <c r="AA119" s="131" t="str" cm="1">
        <f t="array" ref="AA119" xml:space="preserve"> INDEX( VfM_Metrics_2023_Consol_Source[], $D119, AA$14 )</f>
        <v>North West</v>
      </c>
    </row>
    <row r="120" spans="2:27" x14ac:dyDescent="0.2">
      <c r="B120" s="159" t="s" vm="105">
        <v>355</v>
      </c>
      <c r="C120" s="154" t="str" vm="223">
        <f xml:space="preserve"> INDEX( VfM_Metrics_2023_Consol_Source[RP_Code], MATCH( tblFilterRegion[[#This Row],[RP_Name]], VfM_Metrics_2023_Consol_Source[RP_Name], 0 ) )</f>
        <v>L3833</v>
      </c>
      <c r="D120" s="81">
        <f xml:space="preserve"> MATCH( tblFilterRegion[[#This Row],[RP_Code]], VfM_Metrics_2023_Consol_Source[RP_Code], 0 )</f>
        <v>105</v>
      </c>
      <c r="E120" s="22" cm="1">
        <f t="array" ref="E120" xml:space="preserve"> INDEX( VfM_Metrics_2023_Consol_Source[], $D120, E$14 )</f>
        <v>0</v>
      </c>
      <c r="F120" s="22" cm="1">
        <f t="array" ref="F120" xml:space="preserve"> INDEX( VfM_Metrics_2023_Consol_Source[], $D120, F$14 )</f>
        <v>0</v>
      </c>
      <c r="G120" s="22" cm="1">
        <f t="array" ref="G120" xml:space="preserve"> INDEX( VfM_Metrics_2023_Consol_Source[], $D120, G$14 )</f>
        <v>0</v>
      </c>
      <c r="H120" s="22" cm="1">
        <f t="array" ref="H120" xml:space="preserve"> INDEX( VfM_Metrics_2023_Consol_Source[], $D120, H$14 )</f>
        <v>0</v>
      </c>
      <c r="I120" s="22" cm="1">
        <f t="array" ref="I120" xml:space="preserve"> INDEX( VfM_Metrics_2023_Consol_Source[], $D120, I$14 )</f>
        <v>1</v>
      </c>
      <c r="J120" s="22" cm="1">
        <f t="array" ref="J120" xml:space="preserve"> INDEX( VfM_Metrics_2023_Consol_Source[], $D120, J$14 )</f>
        <v>0</v>
      </c>
      <c r="K120" s="22" cm="1">
        <f t="array" ref="K120" xml:space="preserve"> INDEX( VfM_Metrics_2023_Consol_Source[], $D120, K$14 )</f>
        <v>0</v>
      </c>
      <c r="L120" s="22" cm="1">
        <f t="array" ref="L120" xml:space="preserve"> INDEX( VfM_Metrics_2023_Consol_Source[], $D120, L$14 )</f>
        <v>0</v>
      </c>
      <c r="M120" s="22" cm="1">
        <f t="array" ref="M120" xml:space="preserve"> INDEX( VfM_Metrics_2023_Consol_Source[], $D120, M$14 )</f>
        <v>0</v>
      </c>
      <c r="N120" s="23">
        <f xml:space="preserve"> -- AND( tblFilterRegion[[#This Row],[London]] &gt;= $N$10, N$13 = "Yes" )</f>
        <v>0</v>
      </c>
      <c r="O120" s="23">
        <f xml:space="preserve"> -- AND( tblFilterRegion[[#This Row],[South East]] &gt;= $N$10, O$13 = "Yes" )</f>
        <v>0</v>
      </c>
      <c r="P120" s="23">
        <f xml:space="preserve"> -- AND( tblFilterRegion[[#This Row],[South West]] &gt;= $N$10, P$13 = "Yes" )</f>
        <v>0</v>
      </c>
      <c r="Q120" s="23">
        <f xml:space="preserve"> -- AND( tblFilterRegion[[#This Row],[East Midlands]] &gt;= $N$10, Q$13 = "Yes" )</f>
        <v>0</v>
      </c>
      <c r="R120" s="23">
        <f xml:space="preserve"> -- AND( tblFilterRegion[[#This Row],[West Midlands]] &gt;= $N$10, R$13 = "Yes" )</f>
        <v>0</v>
      </c>
      <c r="S120" s="23">
        <f xml:space="preserve"> -- AND( tblFilterRegion[[#This Row],[East of England]] &gt;= $N$10, S$13 = "Yes" )</f>
        <v>0</v>
      </c>
      <c r="T120" s="23">
        <f xml:space="preserve"> -- AND( tblFilterRegion[[#This Row],[North East]] &gt;= $N$10, T$13 = "Yes" )</f>
        <v>0</v>
      </c>
      <c r="U120" s="23">
        <f xml:space="preserve"> -- AND( tblFilterRegion[[#This Row],[North West]] &gt;= $N$10, U$13 = "Yes" )</f>
        <v>0</v>
      </c>
      <c r="V120" s="23">
        <f xml:space="preserve"> -- AND( tblFilterRegion[[#This Row],[Yorkshire &amp; the Humber]] &gt;= $N$10, V$13 = "Yes" )</f>
        <v>0</v>
      </c>
      <c r="W120" s="22">
        <f xml:space="preserve"> SUMIF( $E$13:$M$13, "Yes", tblFilterRegion[[#This Row],[London]:[Yorkshire &amp; the Humber]] )</f>
        <v>0</v>
      </c>
      <c r="X120" s="23">
        <f xml:space="preserve"> -- ( SUM( tblFilterRegion[[#This Row],[Incl for Lon]:[Incl for YH]] ) &gt; 0 )</f>
        <v>0</v>
      </c>
      <c r="Y120" s="23">
        <f xml:space="preserve"> -- ( tblFilterRegion[[#This Row],[Total in selected regions]] &gt; $N$10 )</f>
        <v>0</v>
      </c>
      <c r="Z120" s="24">
        <f xml:space="preserve"> IF( RegionMinimum = 0, 1, IF( $R$10 = $U$8, tblFilterRegion[[#This Row],[Include for region - any]], IF( $R$10 = $U$10, tblFilterRegion[[#This Row],[Include for region - total]], "CHECK" ) ) )</f>
        <v>1</v>
      </c>
      <c r="AA120" s="131" t="str" cm="1">
        <f t="array" ref="AA120" xml:space="preserve"> INDEX( VfM_Metrics_2023_Consol_Source[], $D120, AA$14 )</f>
        <v>West Midlands</v>
      </c>
    </row>
    <row r="121" spans="2:27" x14ac:dyDescent="0.2">
      <c r="B121" s="159" t="s" vm="106">
        <v>357</v>
      </c>
      <c r="C121" s="154" t="str" vm="346">
        <f xml:space="preserve"> INDEX( VfM_Metrics_2023_Consol_Source[RP_Code], MATCH( tblFilterRegion[[#This Row],[RP_Name]], VfM_Metrics_2023_Consol_Source[RP_Name], 0 ) )</f>
        <v>L0006</v>
      </c>
      <c r="D121" s="81">
        <f xml:space="preserve"> MATCH( tblFilterRegion[[#This Row],[RP_Code]], VfM_Metrics_2023_Consol_Source[RP_Code], 0 )</f>
        <v>106</v>
      </c>
      <c r="E121" s="22" cm="1">
        <f t="array" ref="E121" xml:space="preserve"> INDEX( VfM_Metrics_2023_Consol_Source[], $D121, E$14 )</f>
        <v>1</v>
      </c>
      <c r="F121" s="22" cm="1">
        <f t="array" ref="F121" xml:space="preserve"> INDEX( VfM_Metrics_2023_Consol_Source[], $D121, F$14 )</f>
        <v>0</v>
      </c>
      <c r="G121" s="22" cm="1">
        <f t="array" ref="G121" xml:space="preserve"> INDEX( VfM_Metrics_2023_Consol_Source[], $D121, G$14 )</f>
        <v>0</v>
      </c>
      <c r="H121" s="22" cm="1">
        <f t="array" ref="H121" xml:space="preserve"> INDEX( VfM_Metrics_2023_Consol_Source[], $D121, H$14 )</f>
        <v>0</v>
      </c>
      <c r="I121" s="22" cm="1">
        <f t="array" ref="I121" xml:space="preserve"> INDEX( VfM_Metrics_2023_Consol_Source[], $D121, I$14 )</f>
        <v>0</v>
      </c>
      <c r="J121" s="22" cm="1">
        <f t="array" ref="J121" xml:space="preserve"> INDEX( VfM_Metrics_2023_Consol_Source[], $D121, J$14 )</f>
        <v>0</v>
      </c>
      <c r="K121" s="22" cm="1">
        <f t="array" ref="K121" xml:space="preserve"> INDEX( VfM_Metrics_2023_Consol_Source[], $D121, K$14 )</f>
        <v>0</v>
      </c>
      <c r="L121" s="22" cm="1">
        <f t="array" ref="L121" xml:space="preserve"> INDEX( VfM_Metrics_2023_Consol_Source[], $D121, L$14 )</f>
        <v>0</v>
      </c>
      <c r="M121" s="22" cm="1">
        <f t="array" ref="M121" xml:space="preserve"> INDEX( VfM_Metrics_2023_Consol_Source[], $D121, M$14 )</f>
        <v>0</v>
      </c>
      <c r="N121" s="23">
        <f xml:space="preserve"> -- AND( tblFilterRegion[[#This Row],[London]] &gt;= $N$10, N$13 = "Yes" )</f>
        <v>0</v>
      </c>
      <c r="O121" s="23">
        <f xml:space="preserve"> -- AND( tblFilterRegion[[#This Row],[South East]] &gt;= $N$10, O$13 = "Yes" )</f>
        <v>0</v>
      </c>
      <c r="P121" s="23">
        <f xml:space="preserve"> -- AND( tblFilterRegion[[#This Row],[South West]] &gt;= $N$10, P$13 = "Yes" )</f>
        <v>0</v>
      </c>
      <c r="Q121" s="23">
        <f xml:space="preserve"> -- AND( tblFilterRegion[[#This Row],[East Midlands]] &gt;= $N$10, Q$13 = "Yes" )</f>
        <v>0</v>
      </c>
      <c r="R121" s="23">
        <f xml:space="preserve"> -- AND( tblFilterRegion[[#This Row],[West Midlands]] &gt;= $N$10, R$13 = "Yes" )</f>
        <v>0</v>
      </c>
      <c r="S121" s="23">
        <f xml:space="preserve"> -- AND( tblFilterRegion[[#This Row],[East of England]] &gt;= $N$10, S$13 = "Yes" )</f>
        <v>0</v>
      </c>
      <c r="T121" s="23">
        <f xml:space="preserve"> -- AND( tblFilterRegion[[#This Row],[North East]] &gt;= $N$10, T$13 = "Yes" )</f>
        <v>0</v>
      </c>
      <c r="U121" s="23">
        <f xml:space="preserve"> -- AND( tblFilterRegion[[#This Row],[North West]] &gt;= $N$10, U$13 = "Yes" )</f>
        <v>0</v>
      </c>
      <c r="V121" s="23">
        <f xml:space="preserve"> -- AND( tblFilterRegion[[#This Row],[Yorkshire &amp; the Humber]] &gt;= $N$10, V$13 = "Yes" )</f>
        <v>0</v>
      </c>
      <c r="W121" s="22">
        <f xml:space="preserve"> SUMIF( $E$13:$M$13, "Yes", tblFilterRegion[[#This Row],[London]:[Yorkshire &amp; the Humber]] )</f>
        <v>0</v>
      </c>
      <c r="X121" s="23">
        <f xml:space="preserve"> -- ( SUM( tblFilterRegion[[#This Row],[Incl for Lon]:[Incl for YH]] ) &gt; 0 )</f>
        <v>0</v>
      </c>
      <c r="Y121" s="23">
        <f xml:space="preserve"> -- ( tblFilterRegion[[#This Row],[Total in selected regions]] &gt; $N$10 )</f>
        <v>0</v>
      </c>
      <c r="Z121" s="24">
        <f xml:space="preserve"> IF( RegionMinimum = 0, 1, IF( $R$10 = $U$8, tblFilterRegion[[#This Row],[Include for region - any]], IF( $R$10 = $U$10, tblFilterRegion[[#This Row],[Include for region - total]], "CHECK" ) ) )</f>
        <v>1</v>
      </c>
      <c r="AA121" s="131" t="str" cm="1">
        <f t="array" ref="AA121" xml:space="preserve"> INDEX( VfM_Metrics_2023_Consol_Source[], $D121, AA$14 )</f>
        <v>London</v>
      </c>
    </row>
    <row r="122" spans="2:27" x14ac:dyDescent="0.2">
      <c r="B122" s="159" t="s" vm="107">
        <v>359</v>
      </c>
      <c r="C122" s="154" t="str" vm="329">
        <f xml:space="preserve"> INDEX( VfM_Metrics_2023_Consol_Source[RP_Code], MATCH( tblFilterRegion[[#This Row],[RP_Name]], VfM_Metrics_2023_Consol_Source[RP_Name], 0 ) )</f>
        <v>LH4249</v>
      </c>
      <c r="D122" s="81">
        <f xml:space="preserve"> MATCH( tblFilterRegion[[#This Row],[RP_Code]], VfM_Metrics_2023_Consol_Source[RP_Code], 0 )</f>
        <v>107</v>
      </c>
      <c r="E122" s="22" cm="1">
        <f t="array" ref="E122" xml:space="preserve"> INDEX( VfM_Metrics_2023_Consol_Source[], $D122, E$14 )</f>
        <v>0</v>
      </c>
      <c r="F122" s="22" cm="1">
        <f t="array" ref="F122" xml:space="preserve"> INDEX( VfM_Metrics_2023_Consol_Source[], $D122, F$14 )</f>
        <v>0</v>
      </c>
      <c r="G122" s="22" cm="1">
        <f t="array" ref="G122" xml:space="preserve"> INDEX( VfM_Metrics_2023_Consol_Source[], $D122, G$14 )</f>
        <v>1</v>
      </c>
      <c r="H122" s="22" cm="1">
        <f t="array" ref="H122" xml:space="preserve"> INDEX( VfM_Metrics_2023_Consol_Source[], $D122, H$14 )</f>
        <v>0</v>
      </c>
      <c r="I122" s="22" cm="1">
        <f t="array" ref="I122" xml:space="preserve"> INDEX( VfM_Metrics_2023_Consol_Source[], $D122, I$14 )</f>
        <v>0</v>
      </c>
      <c r="J122" s="22" cm="1">
        <f t="array" ref="J122" xml:space="preserve"> INDEX( VfM_Metrics_2023_Consol_Source[], $D122, J$14 )</f>
        <v>0</v>
      </c>
      <c r="K122" s="22" cm="1">
        <f t="array" ref="K122" xml:space="preserve"> INDEX( VfM_Metrics_2023_Consol_Source[], $D122, K$14 )</f>
        <v>0</v>
      </c>
      <c r="L122" s="22" cm="1">
        <f t="array" ref="L122" xml:space="preserve"> INDEX( VfM_Metrics_2023_Consol_Source[], $D122, L$14 )</f>
        <v>0</v>
      </c>
      <c r="M122" s="22" cm="1">
        <f t="array" ref="M122" xml:space="preserve"> INDEX( VfM_Metrics_2023_Consol_Source[], $D122, M$14 )</f>
        <v>0</v>
      </c>
      <c r="N122" s="23">
        <f xml:space="preserve"> -- AND( tblFilterRegion[[#This Row],[London]] &gt;= $N$10, N$13 = "Yes" )</f>
        <v>0</v>
      </c>
      <c r="O122" s="23">
        <f xml:space="preserve"> -- AND( tblFilterRegion[[#This Row],[South East]] &gt;= $N$10, O$13 = "Yes" )</f>
        <v>0</v>
      </c>
      <c r="P122" s="23">
        <f xml:space="preserve"> -- AND( tblFilterRegion[[#This Row],[South West]] &gt;= $N$10, P$13 = "Yes" )</f>
        <v>0</v>
      </c>
      <c r="Q122" s="23">
        <f xml:space="preserve"> -- AND( tblFilterRegion[[#This Row],[East Midlands]] &gt;= $N$10, Q$13 = "Yes" )</f>
        <v>0</v>
      </c>
      <c r="R122" s="23">
        <f xml:space="preserve"> -- AND( tblFilterRegion[[#This Row],[West Midlands]] &gt;= $N$10, R$13 = "Yes" )</f>
        <v>0</v>
      </c>
      <c r="S122" s="23">
        <f xml:space="preserve"> -- AND( tblFilterRegion[[#This Row],[East of England]] &gt;= $N$10, S$13 = "Yes" )</f>
        <v>0</v>
      </c>
      <c r="T122" s="23">
        <f xml:space="preserve"> -- AND( tblFilterRegion[[#This Row],[North East]] &gt;= $N$10, T$13 = "Yes" )</f>
        <v>0</v>
      </c>
      <c r="U122" s="23">
        <f xml:space="preserve"> -- AND( tblFilterRegion[[#This Row],[North West]] &gt;= $N$10, U$13 = "Yes" )</f>
        <v>0</v>
      </c>
      <c r="V122" s="23">
        <f xml:space="preserve"> -- AND( tblFilterRegion[[#This Row],[Yorkshire &amp; the Humber]] &gt;= $N$10, V$13 = "Yes" )</f>
        <v>0</v>
      </c>
      <c r="W122" s="22">
        <f xml:space="preserve"> SUMIF( $E$13:$M$13, "Yes", tblFilterRegion[[#This Row],[London]:[Yorkshire &amp; the Humber]] )</f>
        <v>0</v>
      </c>
      <c r="X122" s="23">
        <f xml:space="preserve"> -- ( SUM( tblFilterRegion[[#This Row],[Incl for Lon]:[Incl for YH]] ) &gt; 0 )</f>
        <v>0</v>
      </c>
      <c r="Y122" s="23">
        <f xml:space="preserve"> -- ( tblFilterRegion[[#This Row],[Total in selected regions]] &gt; $N$10 )</f>
        <v>0</v>
      </c>
      <c r="Z122" s="24">
        <f xml:space="preserve"> IF( RegionMinimum = 0, 1, IF( $R$10 = $U$8, tblFilterRegion[[#This Row],[Include for region - any]], IF( $R$10 = $U$10, tblFilterRegion[[#This Row],[Include for region - total]], "CHECK" ) ) )</f>
        <v>1</v>
      </c>
      <c r="AA122" s="131" t="str" cm="1">
        <f t="array" ref="AA122" xml:space="preserve"> INDEX( VfM_Metrics_2023_Consol_Source[], $D122, AA$14 )</f>
        <v>South West</v>
      </c>
    </row>
    <row r="123" spans="2:27" x14ac:dyDescent="0.2">
      <c r="B123" s="159" t="s" vm="108">
        <v>361</v>
      </c>
      <c r="C123" s="154" t="str" vm="219">
        <f xml:space="preserve"> INDEX( VfM_Metrics_2023_Consol_Source[RP_Code], MATCH( tblFilterRegion[[#This Row],[RP_Name]], VfM_Metrics_2023_Consol_Source[RP_Name], 0 ) )</f>
        <v>LH3859</v>
      </c>
      <c r="D123" s="81">
        <f xml:space="preserve"> MATCH( tblFilterRegion[[#This Row],[RP_Code]], VfM_Metrics_2023_Consol_Source[RP_Code], 0 )</f>
        <v>108</v>
      </c>
      <c r="E123" s="22" cm="1">
        <f t="array" ref="E123" xml:space="preserve"> INDEX( VfM_Metrics_2023_Consol_Source[], $D123, E$14 )</f>
        <v>1</v>
      </c>
      <c r="F123" s="22" cm="1">
        <f t="array" ref="F123" xml:space="preserve"> INDEX( VfM_Metrics_2023_Consol_Source[], $D123, F$14 )</f>
        <v>0</v>
      </c>
      <c r="G123" s="22" cm="1">
        <f t="array" ref="G123" xml:space="preserve"> INDEX( VfM_Metrics_2023_Consol_Source[], $D123, G$14 )</f>
        <v>0</v>
      </c>
      <c r="H123" s="22" cm="1">
        <f t="array" ref="H123" xml:space="preserve"> INDEX( VfM_Metrics_2023_Consol_Source[], $D123, H$14 )</f>
        <v>0</v>
      </c>
      <c r="I123" s="22" cm="1">
        <f t="array" ref="I123" xml:space="preserve"> INDEX( VfM_Metrics_2023_Consol_Source[], $D123, I$14 )</f>
        <v>0</v>
      </c>
      <c r="J123" s="22" cm="1">
        <f t="array" ref="J123" xml:space="preserve"> INDEX( VfM_Metrics_2023_Consol_Source[], $D123, J$14 )</f>
        <v>0</v>
      </c>
      <c r="K123" s="22" cm="1">
        <f t="array" ref="K123" xml:space="preserve"> INDEX( VfM_Metrics_2023_Consol_Source[], $D123, K$14 )</f>
        <v>0</v>
      </c>
      <c r="L123" s="22" cm="1">
        <f t="array" ref="L123" xml:space="preserve"> INDEX( VfM_Metrics_2023_Consol_Source[], $D123, L$14 )</f>
        <v>0</v>
      </c>
      <c r="M123" s="22" cm="1">
        <f t="array" ref="M123" xml:space="preserve"> INDEX( VfM_Metrics_2023_Consol_Source[], $D123, M$14 )</f>
        <v>0</v>
      </c>
      <c r="N123" s="23">
        <f xml:space="preserve"> -- AND( tblFilterRegion[[#This Row],[London]] &gt;= $N$10, N$13 = "Yes" )</f>
        <v>0</v>
      </c>
      <c r="O123" s="23">
        <f xml:space="preserve"> -- AND( tblFilterRegion[[#This Row],[South East]] &gt;= $N$10, O$13 = "Yes" )</f>
        <v>0</v>
      </c>
      <c r="P123" s="23">
        <f xml:space="preserve"> -- AND( tblFilterRegion[[#This Row],[South West]] &gt;= $N$10, P$13 = "Yes" )</f>
        <v>0</v>
      </c>
      <c r="Q123" s="23">
        <f xml:space="preserve"> -- AND( tblFilterRegion[[#This Row],[East Midlands]] &gt;= $N$10, Q$13 = "Yes" )</f>
        <v>0</v>
      </c>
      <c r="R123" s="23">
        <f xml:space="preserve"> -- AND( tblFilterRegion[[#This Row],[West Midlands]] &gt;= $N$10, R$13 = "Yes" )</f>
        <v>0</v>
      </c>
      <c r="S123" s="23">
        <f xml:space="preserve"> -- AND( tblFilterRegion[[#This Row],[East of England]] &gt;= $N$10, S$13 = "Yes" )</f>
        <v>0</v>
      </c>
      <c r="T123" s="23">
        <f xml:space="preserve"> -- AND( tblFilterRegion[[#This Row],[North East]] &gt;= $N$10, T$13 = "Yes" )</f>
        <v>0</v>
      </c>
      <c r="U123" s="23">
        <f xml:space="preserve"> -- AND( tblFilterRegion[[#This Row],[North West]] &gt;= $N$10, U$13 = "Yes" )</f>
        <v>0</v>
      </c>
      <c r="V123" s="23">
        <f xml:space="preserve"> -- AND( tblFilterRegion[[#This Row],[Yorkshire &amp; the Humber]] &gt;= $N$10, V$13 = "Yes" )</f>
        <v>0</v>
      </c>
      <c r="W123" s="22">
        <f xml:space="preserve"> SUMIF( $E$13:$M$13, "Yes", tblFilterRegion[[#This Row],[London]:[Yorkshire &amp; the Humber]] )</f>
        <v>0</v>
      </c>
      <c r="X123" s="23">
        <f xml:space="preserve"> -- ( SUM( tblFilterRegion[[#This Row],[Incl for Lon]:[Incl for YH]] ) &gt; 0 )</f>
        <v>0</v>
      </c>
      <c r="Y123" s="23">
        <f xml:space="preserve"> -- ( tblFilterRegion[[#This Row],[Total in selected regions]] &gt; $N$10 )</f>
        <v>0</v>
      </c>
      <c r="Z123" s="24">
        <f xml:space="preserve"> IF( RegionMinimum = 0, 1, IF( $R$10 = $U$8, tblFilterRegion[[#This Row],[Include for region - any]], IF( $R$10 = $U$10, tblFilterRegion[[#This Row],[Include for region - total]], "CHECK" ) ) )</f>
        <v>1</v>
      </c>
      <c r="AA123" s="131" t="str" cm="1">
        <f t="array" ref="AA123" xml:space="preserve"> INDEX( VfM_Metrics_2023_Consol_Source[], $D123, AA$14 )</f>
        <v>London</v>
      </c>
    </row>
    <row r="124" spans="2:27" x14ac:dyDescent="0.2">
      <c r="B124" s="159" t="s" vm="109">
        <v>363</v>
      </c>
      <c r="C124" s="154" t="str" vm="328">
        <f xml:space="preserve"> INDEX( VfM_Metrics_2023_Consol_Source[RP_Code], MATCH( tblFilterRegion[[#This Row],[RP_Name]], VfM_Metrics_2023_Consol_Source[RP_Name], 0 ) )</f>
        <v>LH0084</v>
      </c>
      <c r="D124" s="81">
        <f xml:space="preserve"> MATCH( tblFilterRegion[[#This Row],[RP_Code]], VfM_Metrics_2023_Consol_Source[RP_Code], 0 )</f>
        <v>109</v>
      </c>
      <c r="E124" s="22" cm="1">
        <f t="array" ref="E124" xml:space="preserve"> INDEX( VfM_Metrics_2023_Consol_Source[], $D124, E$14 )</f>
        <v>0</v>
      </c>
      <c r="F124" s="22" cm="1">
        <f t="array" ref="F124" xml:space="preserve"> INDEX( VfM_Metrics_2023_Consol_Source[], $D124, F$14 )</f>
        <v>0</v>
      </c>
      <c r="G124" s="22" cm="1">
        <f t="array" ref="G124" xml:space="preserve"> INDEX( VfM_Metrics_2023_Consol_Source[], $D124, G$14 )</f>
        <v>0</v>
      </c>
      <c r="H124" s="22" cm="1">
        <f t="array" ref="H124" xml:space="preserve"> INDEX( VfM_Metrics_2023_Consol_Source[], $D124, H$14 )</f>
        <v>0</v>
      </c>
      <c r="I124" s="22" cm="1">
        <f t="array" ref="I124" xml:space="preserve"> INDEX( VfM_Metrics_2023_Consol_Source[], $D124, I$14 )</f>
        <v>0</v>
      </c>
      <c r="J124" s="22" cm="1">
        <f t="array" ref="J124" xml:space="preserve"> INDEX( VfM_Metrics_2023_Consol_Source[], $D124, J$14 )</f>
        <v>0</v>
      </c>
      <c r="K124" s="22" cm="1">
        <f t="array" ref="K124" xml:space="preserve"> INDEX( VfM_Metrics_2023_Consol_Source[], $D124, K$14 )</f>
        <v>0.97358786610878656</v>
      </c>
      <c r="L124" s="22" cm="1">
        <f t="array" ref="L124" xml:space="preserve"> INDEX( VfM_Metrics_2023_Consol_Source[], $D124, L$14 )</f>
        <v>0</v>
      </c>
      <c r="M124" s="22" cm="1">
        <f t="array" ref="M124" xml:space="preserve"> INDEX( VfM_Metrics_2023_Consol_Source[], $D124, M$14 )</f>
        <v>2.6412133891213389E-2</v>
      </c>
      <c r="N124" s="23">
        <f xml:space="preserve"> -- AND( tblFilterRegion[[#This Row],[London]] &gt;= $N$10, N$13 = "Yes" )</f>
        <v>0</v>
      </c>
      <c r="O124" s="23">
        <f xml:space="preserve"> -- AND( tblFilterRegion[[#This Row],[South East]] &gt;= $N$10, O$13 = "Yes" )</f>
        <v>0</v>
      </c>
      <c r="P124" s="23">
        <f xml:space="preserve"> -- AND( tblFilterRegion[[#This Row],[South West]] &gt;= $N$10, P$13 = "Yes" )</f>
        <v>0</v>
      </c>
      <c r="Q124" s="23">
        <f xml:space="preserve"> -- AND( tblFilterRegion[[#This Row],[East Midlands]] &gt;= $N$10, Q$13 = "Yes" )</f>
        <v>0</v>
      </c>
      <c r="R124" s="23">
        <f xml:space="preserve"> -- AND( tblFilterRegion[[#This Row],[West Midlands]] &gt;= $N$10, R$13 = "Yes" )</f>
        <v>0</v>
      </c>
      <c r="S124" s="23">
        <f xml:space="preserve"> -- AND( tblFilterRegion[[#This Row],[East of England]] &gt;= $N$10, S$13 = "Yes" )</f>
        <v>0</v>
      </c>
      <c r="T124" s="23">
        <f xml:space="preserve"> -- AND( tblFilterRegion[[#This Row],[North East]] &gt;= $N$10, T$13 = "Yes" )</f>
        <v>0</v>
      </c>
      <c r="U124" s="23">
        <f xml:space="preserve"> -- AND( tblFilterRegion[[#This Row],[North West]] &gt;= $N$10, U$13 = "Yes" )</f>
        <v>0</v>
      </c>
      <c r="V124" s="23">
        <f xml:space="preserve"> -- AND( tblFilterRegion[[#This Row],[Yorkshire &amp; the Humber]] &gt;= $N$10, V$13 = "Yes" )</f>
        <v>0</v>
      </c>
      <c r="W124" s="22">
        <f xml:space="preserve"> SUMIF( $E$13:$M$13, "Yes", tblFilterRegion[[#This Row],[London]:[Yorkshire &amp; the Humber]] )</f>
        <v>0</v>
      </c>
      <c r="X124" s="23">
        <f xml:space="preserve"> -- ( SUM( tblFilterRegion[[#This Row],[Incl for Lon]:[Incl for YH]] ) &gt; 0 )</f>
        <v>0</v>
      </c>
      <c r="Y124" s="23">
        <f xml:space="preserve"> -- ( tblFilterRegion[[#This Row],[Total in selected regions]] &gt; $N$10 )</f>
        <v>0</v>
      </c>
      <c r="Z124" s="24">
        <f xml:space="preserve"> IF( RegionMinimum = 0, 1, IF( $R$10 = $U$8, tblFilterRegion[[#This Row],[Include for region - any]], IF( $R$10 = $U$10, tblFilterRegion[[#This Row],[Include for region - total]], "CHECK" ) ) )</f>
        <v>1</v>
      </c>
      <c r="AA124" s="131" t="str" cm="1">
        <f t="array" ref="AA124" xml:space="preserve"> INDEX( VfM_Metrics_2023_Consol_Source[], $D124, AA$14 )</f>
        <v>North East</v>
      </c>
    </row>
    <row r="125" spans="2:27" x14ac:dyDescent="0.2">
      <c r="B125" s="159" t="s" vm="110">
        <v>365</v>
      </c>
      <c r="C125" s="154" t="str" vm="239">
        <f xml:space="preserve"> INDEX( VfM_Metrics_2023_Consol_Source[RP_Code], MATCH( tblFilterRegion[[#This Row],[RP_Name]], VfM_Metrics_2023_Consol_Source[RP_Name], 0 ) )</f>
        <v>4880</v>
      </c>
      <c r="D125" s="81">
        <f xml:space="preserve"> MATCH( tblFilterRegion[[#This Row],[RP_Code]], VfM_Metrics_2023_Consol_Source[RP_Code], 0 )</f>
        <v>110</v>
      </c>
      <c r="E125" s="22" cm="1">
        <f t="array" ref="E125" xml:space="preserve"> INDEX( VfM_Metrics_2023_Consol_Source[], $D125, E$14 )</f>
        <v>0.89620458456122309</v>
      </c>
      <c r="F125" s="22" cm="1">
        <f t="array" ref="F125" xml:space="preserve"> INDEX( VfM_Metrics_2023_Consol_Source[], $D125, F$14 )</f>
        <v>4.5687387512114083E-3</v>
      </c>
      <c r="G125" s="22" cm="1">
        <f t="array" ref="G125" xml:space="preserve"> INDEX( VfM_Metrics_2023_Consol_Source[], $D125, G$14 )</f>
        <v>1.5822471865667214E-4</v>
      </c>
      <c r="H125" s="22" cm="1">
        <f t="array" ref="H125" xml:space="preserve"> INDEX( VfM_Metrics_2023_Consol_Source[], $D125, H$14 )</f>
        <v>0</v>
      </c>
      <c r="I125" s="22" cm="1">
        <f t="array" ref="I125" xml:space="preserve"> INDEX( VfM_Metrics_2023_Consol_Source[], $D125, I$14 )</f>
        <v>0</v>
      </c>
      <c r="J125" s="22" cm="1">
        <f t="array" ref="J125" xml:space="preserve"> INDEX( VfM_Metrics_2023_Consol_Source[], $D125, J$14 )</f>
        <v>9.9028895789244675E-2</v>
      </c>
      <c r="K125" s="22" cm="1">
        <f t="array" ref="K125" xml:space="preserve"> INDEX( VfM_Metrics_2023_Consol_Source[], $D125, K$14 )</f>
        <v>0</v>
      </c>
      <c r="L125" s="22" cm="1">
        <f t="array" ref="L125" xml:space="preserve"> INDEX( VfM_Metrics_2023_Consol_Source[], $D125, L$14 )</f>
        <v>1.9778089832084018E-5</v>
      </c>
      <c r="M125" s="22" cm="1">
        <f t="array" ref="M125" xml:space="preserve"> INDEX( VfM_Metrics_2023_Consol_Source[], $D125, M$14 )</f>
        <v>1.9778089832084018E-5</v>
      </c>
      <c r="N125" s="23">
        <f xml:space="preserve"> -- AND( tblFilterRegion[[#This Row],[London]] &gt;= $N$10, N$13 = "Yes" )</f>
        <v>0</v>
      </c>
      <c r="O125" s="23">
        <f xml:space="preserve"> -- AND( tblFilterRegion[[#This Row],[South East]] &gt;= $N$10, O$13 = "Yes" )</f>
        <v>0</v>
      </c>
      <c r="P125" s="23">
        <f xml:space="preserve"> -- AND( tblFilterRegion[[#This Row],[South West]] &gt;= $N$10, P$13 = "Yes" )</f>
        <v>0</v>
      </c>
      <c r="Q125" s="23">
        <f xml:space="preserve"> -- AND( tblFilterRegion[[#This Row],[East Midlands]] &gt;= $N$10, Q$13 = "Yes" )</f>
        <v>0</v>
      </c>
      <c r="R125" s="23">
        <f xml:space="preserve"> -- AND( tblFilterRegion[[#This Row],[West Midlands]] &gt;= $N$10, R$13 = "Yes" )</f>
        <v>0</v>
      </c>
      <c r="S125" s="23">
        <f xml:space="preserve"> -- AND( tblFilterRegion[[#This Row],[East of England]] &gt;= $N$10, S$13 = "Yes" )</f>
        <v>0</v>
      </c>
      <c r="T125" s="23">
        <f xml:space="preserve"> -- AND( tblFilterRegion[[#This Row],[North East]] &gt;= $N$10, T$13 = "Yes" )</f>
        <v>0</v>
      </c>
      <c r="U125" s="23">
        <f xml:space="preserve"> -- AND( tblFilterRegion[[#This Row],[North West]] &gt;= $N$10, U$13 = "Yes" )</f>
        <v>0</v>
      </c>
      <c r="V125" s="23">
        <f xml:space="preserve"> -- AND( tblFilterRegion[[#This Row],[Yorkshire &amp; the Humber]] &gt;= $N$10, V$13 = "Yes" )</f>
        <v>0</v>
      </c>
      <c r="W125" s="22">
        <f xml:space="preserve"> SUMIF( $E$13:$M$13, "Yes", tblFilterRegion[[#This Row],[London]:[Yorkshire &amp; the Humber]] )</f>
        <v>0</v>
      </c>
      <c r="X125" s="23">
        <f xml:space="preserve"> -- ( SUM( tblFilterRegion[[#This Row],[Incl for Lon]:[Incl for YH]] ) &gt; 0 )</f>
        <v>0</v>
      </c>
      <c r="Y125" s="23">
        <f xml:space="preserve"> -- ( tblFilterRegion[[#This Row],[Total in selected regions]] &gt; $N$10 )</f>
        <v>0</v>
      </c>
      <c r="Z125" s="24">
        <f xml:space="preserve"> IF( RegionMinimum = 0, 1, IF( $R$10 = $U$8, tblFilterRegion[[#This Row],[Include for region - any]], IF( $R$10 = $U$10, tblFilterRegion[[#This Row],[Include for region - total]], "CHECK" ) ) )</f>
        <v>1</v>
      </c>
      <c r="AA125" s="131" t="str" cm="1">
        <f t="array" ref="AA125" xml:space="preserve"> INDEX( VfM_Metrics_2023_Consol_Source[], $D125, AA$14 )</f>
        <v>London</v>
      </c>
    </row>
    <row r="126" spans="2:27" x14ac:dyDescent="0.2">
      <c r="B126" s="159" t="s" vm="111">
        <v>367</v>
      </c>
      <c r="C126" s="154" t="str" vm="270">
        <f xml:space="preserve"> INDEX( VfM_Metrics_2023_Consol_Source[RP_Code], MATCH( tblFilterRegion[[#This Row],[RP_Name]], VfM_Metrics_2023_Consol_Source[RP_Name], 0 ) )</f>
        <v>4817</v>
      </c>
      <c r="D126" s="81">
        <f xml:space="preserve"> MATCH( tblFilterRegion[[#This Row],[RP_Code]], VfM_Metrics_2023_Consol_Source[RP_Code], 0 )</f>
        <v>111</v>
      </c>
      <c r="E126" s="22" cm="1">
        <f t="array" ref="E126" xml:space="preserve"> INDEX( VfM_Metrics_2023_Consol_Source[], $D126, E$14 )</f>
        <v>0</v>
      </c>
      <c r="F126" s="22" cm="1">
        <f t="array" ref="F126" xml:space="preserve"> INDEX( VfM_Metrics_2023_Consol_Source[], $D126, F$14 )</f>
        <v>0</v>
      </c>
      <c r="G126" s="22" cm="1">
        <f t="array" ref="G126" xml:space="preserve"> INDEX( VfM_Metrics_2023_Consol_Source[], $D126, G$14 )</f>
        <v>0</v>
      </c>
      <c r="H126" s="22" cm="1">
        <f t="array" ref="H126" xml:space="preserve"> INDEX( VfM_Metrics_2023_Consol_Source[], $D126, H$14 )</f>
        <v>1</v>
      </c>
      <c r="I126" s="22" cm="1">
        <f t="array" ref="I126" xml:space="preserve"> INDEX( VfM_Metrics_2023_Consol_Source[], $D126, I$14 )</f>
        <v>0</v>
      </c>
      <c r="J126" s="22" cm="1">
        <f t="array" ref="J126" xml:space="preserve"> INDEX( VfM_Metrics_2023_Consol_Source[], $D126, J$14 )</f>
        <v>0</v>
      </c>
      <c r="K126" s="22" cm="1">
        <f t="array" ref="K126" xml:space="preserve"> INDEX( VfM_Metrics_2023_Consol_Source[], $D126, K$14 )</f>
        <v>0</v>
      </c>
      <c r="L126" s="22" cm="1">
        <f t="array" ref="L126" xml:space="preserve"> INDEX( VfM_Metrics_2023_Consol_Source[], $D126, L$14 )</f>
        <v>0</v>
      </c>
      <c r="M126" s="22" cm="1">
        <f t="array" ref="M126" xml:space="preserve"> INDEX( VfM_Metrics_2023_Consol_Source[], $D126, M$14 )</f>
        <v>0</v>
      </c>
      <c r="N126" s="23">
        <f xml:space="preserve"> -- AND( tblFilterRegion[[#This Row],[London]] &gt;= $N$10, N$13 = "Yes" )</f>
        <v>0</v>
      </c>
      <c r="O126" s="23">
        <f xml:space="preserve"> -- AND( tblFilterRegion[[#This Row],[South East]] &gt;= $N$10, O$13 = "Yes" )</f>
        <v>0</v>
      </c>
      <c r="P126" s="23">
        <f xml:space="preserve"> -- AND( tblFilterRegion[[#This Row],[South West]] &gt;= $N$10, P$13 = "Yes" )</f>
        <v>0</v>
      </c>
      <c r="Q126" s="23">
        <f xml:space="preserve"> -- AND( tblFilterRegion[[#This Row],[East Midlands]] &gt;= $N$10, Q$13 = "Yes" )</f>
        <v>0</v>
      </c>
      <c r="R126" s="23">
        <f xml:space="preserve"> -- AND( tblFilterRegion[[#This Row],[West Midlands]] &gt;= $N$10, R$13 = "Yes" )</f>
        <v>0</v>
      </c>
      <c r="S126" s="23">
        <f xml:space="preserve"> -- AND( tblFilterRegion[[#This Row],[East of England]] &gt;= $N$10, S$13 = "Yes" )</f>
        <v>0</v>
      </c>
      <c r="T126" s="23">
        <f xml:space="preserve"> -- AND( tblFilterRegion[[#This Row],[North East]] &gt;= $N$10, T$13 = "Yes" )</f>
        <v>0</v>
      </c>
      <c r="U126" s="23">
        <f xml:space="preserve"> -- AND( tblFilterRegion[[#This Row],[North West]] &gt;= $N$10, U$13 = "Yes" )</f>
        <v>0</v>
      </c>
      <c r="V126" s="23">
        <f xml:space="preserve"> -- AND( tblFilterRegion[[#This Row],[Yorkshire &amp; the Humber]] &gt;= $N$10, V$13 = "Yes" )</f>
        <v>0</v>
      </c>
      <c r="W126" s="22">
        <f xml:space="preserve"> SUMIF( $E$13:$M$13, "Yes", tblFilterRegion[[#This Row],[London]:[Yorkshire &amp; the Humber]] )</f>
        <v>0</v>
      </c>
      <c r="X126" s="23">
        <f xml:space="preserve"> -- ( SUM( tblFilterRegion[[#This Row],[Incl for Lon]:[Incl for YH]] ) &gt; 0 )</f>
        <v>0</v>
      </c>
      <c r="Y126" s="23">
        <f xml:space="preserve"> -- ( tblFilterRegion[[#This Row],[Total in selected regions]] &gt; $N$10 )</f>
        <v>0</v>
      </c>
      <c r="Z126" s="24">
        <f xml:space="preserve"> IF( RegionMinimum = 0, 1, IF( $R$10 = $U$8, tblFilterRegion[[#This Row],[Include for region - any]], IF( $R$10 = $U$10, tblFilterRegion[[#This Row],[Include for region - total]], "CHECK" ) ) )</f>
        <v>1</v>
      </c>
      <c r="AA126" s="131" t="str" cm="1">
        <f t="array" ref="AA126" xml:space="preserve"> INDEX( VfM_Metrics_2023_Consol_Source[], $D126, AA$14 )</f>
        <v>East Midlands</v>
      </c>
    </row>
    <row r="127" spans="2:27" x14ac:dyDescent="0.2">
      <c r="B127" s="159" t="s" vm="112">
        <v>369</v>
      </c>
      <c r="C127" s="154" t="str" vm="362">
        <f xml:space="preserve"> INDEX( VfM_Metrics_2023_Consol_Source[RP_Code], MATCH( tblFilterRegion[[#This Row],[RP_Name]], VfM_Metrics_2023_Consol_Source[RP_Name], 0 ) )</f>
        <v>L4459</v>
      </c>
      <c r="D127" s="81">
        <f xml:space="preserve"> MATCH( tblFilterRegion[[#This Row],[RP_Code]], VfM_Metrics_2023_Consol_Source[RP_Code], 0 )</f>
        <v>112</v>
      </c>
      <c r="E127" s="22" cm="1">
        <f t="array" ref="E127" xml:space="preserve"> INDEX( VfM_Metrics_2023_Consol_Source[], $D127, E$14 )</f>
        <v>0</v>
      </c>
      <c r="F127" s="22" cm="1">
        <f t="array" ref="F127" xml:space="preserve"> INDEX( VfM_Metrics_2023_Consol_Source[], $D127, F$14 )</f>
        <v>0</v>
      </c>
      <c r="G127" s="22" cm="1">
        <f t="array" ref="G127" xml:space="preserve"> INDEX( VfM_Metrics_2023_Consol_Source[], $D127, G$14 )</f>
        <v>1</v>
      </c>
      <c r="H127" s="22" cm="1">
        <f t="array" ref="H127" xml:space="preserve"> INDEX( VfM_Metrics_2023_Consol_Source[], $D127, H$14 )</f>
        <v>0</v>
      </c>
      <c r="I127" s="22" cm="1">
        <f t="array" ref="I127" xml:space="preserve"> INDEX( VfM_Metrics_2023_Consol_Source[], $D127, I$14 )</f>
        <v>0</v>
      </c>
      <c r="J127" s="22" cm="1">
        <f t="array" ref="J127" xml:space="preserve"> INDEX( VfM_Metrics_2023_Consol_Source[], $D127, J$14 )</f>
        <v>0</v>
      </c>
      <c r="K127" s="22" cm="1">
        <f t="array" ref="K127" xml:space="preserve"> INDEX( VfM_Metrics_2023_Consol_Source[], $D127, K$14 )</f>
        <v>0</v>
      </c>
      <c r="L127" s="22" cm="1">
        <f t="array" ref="L127" xml:space="preserve"> INDEX( VfM_Metrics_2023_Consol_Source[], $D127, L$14 )</f>
        <v>0</v>
      </c>
      <c r="M127" s="22" cm="1">
        <f t="array" ref="M127" xml:space="preserve"> INDEX( VfM_Metrics_2023_Consol_Source[], $D127, M$14 )</f>
        <v>0</v>
      </c>
      <c r="N127" s="23">
        <f xml:space="preserve"> -- AND( tblFilterRegion[[#This Row],[London]] &gt;= $N$10, N$13 = "Yes" )</f>
        <v>0</v>
      </c>
      <c r="O127" s="23">
        <f xml:space="preserve"> -- AND( tblFilterRegion[[#This Row],[South East]] &gt;= $N$10, O$13 = "Yes" )</f>
        <v>0</v>
      </c>
      <c r="P127" s="23">
        <f xml:space="preserve"> -- AND( tblFilterRegion[[#This Row],[South West]] &gt;= $N$10, P$13 = "Yes" )</f>
        <v>0</v>
      </c>
      <c r="Q127" s="23">
        <f xml:space="preserve"> -- AND( tblFilterRegion[[#This Row],[East Midlands]] &gt;= $N$10, Q$13 = "Yes" )</f>
        <v>0</v>
      </c>
      <c r="R127" s="23">
        <f xml:space="preserve"> -- AND( tblFilterRegion[[#This Row],[West Midlands]] &gt;= $N$10, R$13 = "Yes" )</f>
        <v>0</v>
      </c>
      <c r="S127" s="23">
        <f xml:space="preserve"> -- AND( tblFilterRegion[[#This Row],[East of England]] &gt;= $N$10, S$13 = "Yes" )</f>
        <v>0</v>
      </c>
      <c r="T127" s="23">
        <f xml:space="preserve"> -- AND( tblFilterRegion[[#This Row],[North East]] &gt;= $N$10, T$13 = "Yes" )</f>
        <v>0</v>
      </c>
      <c r="U127" s="23">
        <f xml:space="preserve"> -- AND( tblFilterRegion[[#This Row],[North West]] &gt;= $N$10, U$13 = "Yes" )</f>
        <v>0</v>
      </c>
      <c r="V127" s="23">
        <f xml:space="preserve"> -- AND( tblFilterRegion[[#This Row],[Yorkshire &amp; the Humber]] &gt;= $N$10, V$13 = "Yes" )</f>
        <v>0</v>
      </c>
      <c r="W127" s="22">
        <f xml:space="preserve"> SUMIF( $E$13:$M$13, "Yes", tblFilterRegion[[#This Row],[London]:[Yorkshire &amp; the Humber]] )</f>
        <v>0</v>
      </c>
      <c r="X127" s="23">
        <f xml:space="preserve"> -- ( SUM( tblFilterRegion[[#This Row],[Incl for Lon]:[Incl for YH]] ) &gt; 0 )</f>
        <v>0</v>
      </c>
      <c r="Y127" s="23">
        <f xml:space="preserve"> -- ( tblFilterRegion[[#This Row],[Total in selected regions]] &gt; $N$10 )</f>
        <v>0</v>
      </c>
      <c r="Z127" s="24">
        <f xml:space="preserve"> IF( RegionMinimum = 0, 1, IF( $R$10 = $U$8, tblFilterRegion[[#This Row],[Include for region - any]], IF( $R$10 = $U$10, tblFilterRegion[[#This Row],[Include for region - total]], "CHECK" ) ) )</f>
        <v>1</v>
      </c>
      <c r="AA127" s="131" t="str" cm="1">
        <f t="array" ref="AA127" xml:space="preserve"> INDEX( VfM_Metrics_2023_Consol_Source[], $D127, AA$14 )</f>
        <v>South West</v>
      </c>
    </row>
    <row r="128" spans="2:27" x14ac:dyDescent="0.2">
      <c r="B128" s="159" t="s" vm="113">
        <v>371</v>
      </c>
      <c r="C128" s="154" t="str" vm="334">
        <f xml:space="preserve"> INDEX( VfM_Metrics_2023_Consol_Source[RP_Code], MATCH( tblFilterRegion[[#This Row],[RP_Name]], VfM_Metrics_2023_Consol_Source[RP_Name], 0 ) )</f>
        <v>L4422</v>
      </c>
      <c r="D128" s="81">
        <f xml:space="preserve"> MATCH( tblFilterRegion[[#This Row],[RP_Code]], VfM_Metrics_2023_Consol_Source[RP_Code], 0 )</f>
        <v>113</v>
      </c>
      <c r="E128" s="22" cm="1">
        <f t="array" ref="E128" xml:space="preserve"> INDEX( VfM_Metrics_2023_Consol_Source[], $D128, E$14 )</f>
        <v>0</v>
      </c>
      <c r="F128" s="22" cm="1">
        <f t="array" ref="F128" xml:space="preserve"> INDEX( VfM_Metrics_2023_Consol_Source[], $D128, F$14 )</f>
        <v>0</v>
      </c>
      <c r="G128" s="22" cm="1">
        <f t="array" ref="G128" xml:space="preserve"> INDEX( VfM_Metrics_2023_Consol_Source[], $D128, G$14 )</f>
        <v>1</v>
      </c>
      <c r="H128" s="22" cm="1">
        <f t="array" ref="H128" xml:space="preserve"> INDEX( VfM_Metrics_2023_Consol_Source[], $D128, H$14 )</f>
        <v>0</v>
      </c>
      <c r="I128" s="22" cm="1">
        <f t="array" ref="I128" xml:space="preserve"> INDEX( VfM_Metrics_2023_Consol_Source[], $D128, I$14 )</f>
        <v>0</v>
      </c>
      <c r="J128" s="22" cm="1">
        <f t="array" ref="J128" xml:space="preserve"> INDEX( VfM_Metrics_2023_Consol_Source[], $D128, J$14 )</f>
        <v>0</v>
      </c>
      <c r="K128" s="22" cm="1">
        <f t="array" ref="K128" xml:space="preserve"> INDEX( VfM_Metrics_2023_Consol_Source[], $D128, K$14 )</f>
        <v>0</v>
      </c>
      <c r="L128" s="22" cm="1">
        <f t="array" ref="L128" xml:space="preserve"> INDEX( VfM_Metrics_2023_Consol_Source[], $D128, L$14 )</f>
        <v>0</v>
      </c>
      <c r="M128" s="22" cm="1">
        <f t="array" ref="M128" xml:space="preserve"> INDEX( VfM_Metrics_2023_Consol_Source[], $D128, M$14 )</f>
        <v>0</v>
      </c>
      <c r="N128" s="23">
        <f xml:space="preserve"> -- AND( tblFilterRegion[[#This Row],[London]] &gt;= $N$10, N$13 = "Yes" )</f>
        <v>0</v>
      </c>
      <c r="O128" s="23">
        <f xml:space="preserve"> -- AND( tblFilterRegion[[#This Row],[South East]] &gt;= $N$10, O$13 = "Yes" )</f>
        <v>0</v>
      </c>
      <c r="P128" s="23">
        <f xml:space="preserve"> -- AND( tblFilterRegion[[#This Row],[South West]] &gt;= $N$10, P$13 = "Yes" )</f>
        <v>0</v>
      </c>
      <c r="Q128" s="23">
        <f xml:space="preserve"> -- AND( tblFilterRegion[[#This Row],[East Midlands]] &gt;= $N$10, Q$13 = "Yes" )</f>
        <v>0</v>
      </c>
      <c r="R128" s="23">
        <f xml:space="preserve"> -- AND( tblFilterRegion[[#This Row],[West Midlands]] &gt;= $N$10, R$13 = "Yes" )</f>
        <v>0</v>
      </c>
      <c r="S128" s="23">
        <f xml:space="preserve"> -- AND( tblFilterRegion[[#This Row],[East of England]] &gt;= $N$10, S$13 = "Yes" )</f>
        <v>0</v>
      </c>
      <c r="T128" s="23">
        <f xml:space="preserve"> -- AND( tblFilterRegion[[#This Row],[North East]] &gt;= $N$10, T$13 = "Yes" )</f>
        <v>0</v>
      </c>
      <c r="U128" s="23">
        <f xml:space="preserve"> -- AND( tblFilterRegion[[#This Row],[North West]] &gt;= $N$10, U$13 = "Yes" )</f>
        <v>0</v>
      </c>
      <c r="V128" s="23">
        <f xml:space="preserve"> -- AND( tblFilterRegion[[#This Row],[Yorkshire &amp; the Humber]] &gt;= $N$10, V$13 = "Yes" )</f>
        <v>0</v>
      </c>
      <c r="W128" s="22">
        <f xml:space="preserve"> SUMIF( $E$13:$M$13, "Yes", tblFilterRegion[[#This Row],[London]:[Yorkshire &amp; the Humber]] )</f>
        <v>0</v>
      </c>
      <c r="X128" s="23">
        <f xml:space="preserve"> -- ( SUM( tblFilterRegion[[#This Row],[Incl for Lon]:[Incl for YH]] ) &gt; 0 )</f>
        <v>0</v>
      </c>
      <c r="Y128" s="23">
        <f xml:space="preserve"> -- ( tblFilterRegion[[#This Row],[Total in selected regions]] &gt; $N$10 )</f>
        <v>0</v>
      </c>
      <c r="Z128" s="24">
        <f xml:space="preserve"> IF( RegionMinimum = 0, 1, IF( $R$10 = $U$8, tblFilterRegion[[#This Row],[Include for region - any]], IF( $R$10 = $U$10, tblFilterRegion[[#This Row],[Include for region - total]], "CHECK" ) ) )</f>
        <v>1</v>
      </c>
      <c r="AA128" s="131" t="str" cm="1">
        <f t="array" ref="AA128" xml:space="preserve"> INDEX( VfM_Metrics_2023_Consol_Source[], $D128, AA$14 )</f>
        <v>South West</v>
      </c>
    </row>
    <row r="129" spans="2:27" x14ac:dyDescent="0.2">
      <c r="B129" s="159" t="s" vm="114">
        <v>373</v>
      </c>
      <c r="C129" s="154" t="str" vm="347">
        <f xml:space="preserve"> INDEX( VfM_Metrics_2023_Consol_Source[RP_Code], MATCH( tblFilterRegion[[#This Row],[RP_Name]], VfM_Metrics_2023_Consol_Source[RP_Name], 0 ) )</f>
        <v>L0717</v>
      </c>
      <c r="D129" s="81">
        <f xml:space="preserve"> MATCH( tblFilterRegion[[#This Row],[RP_Code]], VfM_Metrics_2023_Consol_Source[RP_Code], 0 )</f>
        <v>114</v>
      </c>
      <c r="E129" s="22" cm="1">
        <f t="array" ref="E129" xml:space="preserve"> INDEX( VfM_Metrics_2023_Consol_Source[], $D129, E$14 )</f>
        <v>1</v>
      </c>
      <c r="F129" s="22" cm="1">
        <f t="array" ref="F129" xml:space="preserve"> INDEX( VfM_Metrics_2023_Consol_Source[], $D129, F$14 )</f>
        <v>0</v>
      </c>
      <c r="G129" s="22" cm="1">
        <f t="array" ref="G129" xml:space="preserve"> INDEX( VfM_Metrics_2023_Consol_Source[], $D129, G$14 )</f>
        <v>0</v>
      </c>
      <c r="H129" s="22" cm="1">
        <f t="array" ref="H129" xml:space="preserve"> INDEX( VfM_Metrics_2023_Consol_Source[], $D129, H$14 )</f>
        <v>0</v>
      </c>
      <c r="I129" s="22" cm="1">
        <f t="array" ref="I129" xml:space="preserve"> INDEX( VfM_Metrics_2023_Consol_Source[], $D129, I$14 )</f>
        <v>0</v>
      </c>
      <c r="J129" s="22" cm="1">
        <f t="array" ref="J129" xml:space="preserve"> INDEX( VfM_Metrics_2023_Consol_Source[], $D129, J$14 )</f>
        <v>0</v>
      </c>
      <c r="K129" s="22" cm="1">
        <f t="array" ref="K129" xml:space="preserve"> INDEX( VfM_Metrics_2023_Consol_Source[], $D129, K$14 )</f>
        <v>0</v>
      </c>
      <c r="L129" s="22" cm="1">
        <f t="array" ref="L129" xml:space="preserve"> INDEX( VfM_Metrics_2023_Consol_Source[], $D129, L$14 )</f>
        <v>0</v>
      </c>
      <c r="M129" s="22" cm="1">
        <f t="array" ref="M129" xml:space="preserve"> INDEX( VfM_Metrics_2023_Consol_Source[], $D129, M$14 )</f>
        <v>0</v>
      </c>
      <c r="N129" s="23">
        <f xml:space="preserve"> -- AND( tblFilterRegion[[#This Row],[London]] &gt;= $N$10, N$13 = "Yes" )</f>
        <v>0</v>
      </c>
      <c r="O129" s="23">
        <f xml:space="preserve"> -- AND( tblFilterRegion[[#This Row],[South East]] &gt;= $N$10, O$13 = "Yes" )</f>
        <v>0</v>
      </c>
      <c r="P129" s="23">
        <f xml:space="preserve"> -- AND( tblFilterRegion[[#This Row],[South West]] &gt;= $N$10, P$13 = "Yes" )</f>
        <v>0</v>
      </c>
      <c r="Q129" s="23">
        <f xml:space="preserve"> -- AND( tblFilterRegion[[#This Row],[East Midlands]] &gt;= $N$10, Q$13 = "Yes" )</f>
        <v>0</v>
      </c>
      <c r="R129" s="23">
        <f xml:space="preserve"> -- AND( tblFilterRegion[[#This Row],[West Midlands]] &gt;= $N$10, R$13 = "Yes" )</f>
        <v>0</v>
      </c>
      <c r="S129" s="23">
        <f xml:space="preserve"> -- AND( tblFilterRegion[[#This Row],[East of England]] &gt;= $N$10, S$13 = "Yes" )</f>
        <v>0</v>
      </c>
      <c r="T129" s="23">
        <f xml:space="preserve"> -- AND( tblFilterRegion[[#This Row],[North East]] &gt;= $N$10, T$13 = "Yes" )</f>
        <v>0</v>
      </c>
      <c r="U129" s="23">
        <f xml:space="preserve"> -- AND( tblFilterRegion[[#This Row],[North West]] &gt;= $N$10, U$13 = "Yes" )</f>
        <v>0</v>
      </c>
      <c r="V129" s="23">
        <f xml:space="preserve"> -- AND( tblFilterRegion[[#This Row],[Yorkshire &amp; the Humber]] &gt;= $N$10, V$13 = "Yes" )</f>
        <v>0</v>
      </c>
      <c r="W129" s="22">
        <f xml:space="preserve"> SUMIF( $E$13:$M$13, "Yes", tblFilterRegion[[#This Row],[London]:[Yorkshire &amp; the Humber]] )</f>
        <v>0</v>
      </c>
      <c r="X129" s="23">
        <f xml:space="preserve"> -- ( SUM( tblFilterRegion[[#This Row],[Incl for Lon]:[Incl for YH]] ) &gt; 0 )</f>
        <v>0</v>
      </c>
      <c r="Y129" s="23">
        <f xml:space="preserve"> -- ( tblFilterRegion[[#This Row],[Total in selected regions]] &gt; $N$10 )</f>
        <v>0</v>
      </c>
      <c r="Z129" s="24">
        <f xml:space="preserve"> IF( RegionMinimum = 0, 1, IF( $R$10 = $U$8, tblFilterRegion[[#This Row],[Include for region - any]], IF( $R$10 = $U$10, tblFilterRegion[[#This Row],[Include for region - total]], "CHECK" ) ) )</f>
        <v>1</v>
      </c>
      <c r="AA129" s="131" t="str" cm="1">
        <f t="array" ref="AA129" xml:space="preserve"> INDEX( VfM_Metrics_2023_Consol_Source[], $D129, AA$14 )</f>
        <v>London</v>
      </c>
    </row>
    <row r="130" spans="2:27" x14ac:dyDescent="0.2">
      <c r="B130" s="159" t="s" vm="115">
        <v>375</v>
      </c>
      <c r="C130" s="154" t="str" vm="275">
        <f xml:space="preserve"> INDEX( VfM_Metrics_2023_Consol_Source[RP_Code], MATCH( tblFilterRegion[[#This Row],[RP_Name]], VfM_Metrics_2023_Consol_Source[RP_Name], 0 ) )</f>
        <v>4808</v>
      </c>
      <c r="D130" s="81">
        <f xml:space="preserve"> MATCH( tblFilterRegion[[#This Row],[RP_Code]], VfM_Metrics_2023_Consol_Source[RP_Code], 0 )</f>
        <v>115</v>
      </c>
      <c r="E130" s="22" cm="1">
        <f t="array" ref="E130" xml:space="preserve"> INDEX( VfM_Metrics_2023_Consol_Source[], $D130, E$14 )</f>
        <v>0</v>
      </c>
      <c r="F130" s="22" cm="1">
        <f t="array" ref="F130" xml:space="preserve"> INDEX( VfM_Metrics_2023_Consol_Source[], $D130, F$14 )</f>
        <v>0</v>
      </c>
      <c r="G130" s="22" cm="1">
        <f t="array" ref="G130" xml:space="preserve"> INDEX( VfM_Metrics_2023_Consol_Source[], $D130, G$14 )</f>
        <v>0</v>
      </c>
      <c r="H130" s="22" cm="1">
        <f t="array" ref="H130" xml:space="preserve"> INDEX( VfM_Metrics_2023_Consol_Source[], $D130, H$14 )</f>
        <v>0</v>
      </c>
      <c r="I130" s="22" cm="1">
        <f t="array" ref="I130" xml:space="preserve"> INDEX( VfM_Metrics_2023_Consol_Source[], $D130, I$14 )</f>
        <v>0</v>
      </c>
      <c r="J130" s="22" cm="1">
        <f t="array" ref="J130" xml:space="preserve"> INDEX( VfM_Metrics_2023_Consol_Source[], $D130, J$14 )</f>
        <v>0</v>
      </c>
      <c r="K130" s="22" cm="1">
        <f t="array" ref="K130" xml:space="preserve"> INDEX( VfM_Metrics_2023_Consol_Source[], $D130, K$14 )</f>
        <v>0</v>
      </c>
      <c r="L130" s="22" cm="1">
        <f t="array" ref="L130" xml:space="preserve"> INDEX( VfM_Metrics_2023_Consol_Source[], $D130, L$14 )</f>
        <v>1</v>
      </c>
      <c r="M130" s="22" cm="1">
        <f t="array" ref="M130" xml:space="preserve"> INDEX( VfM_Metrics_2023_Consol_Source[], $D130, M$14 )</f>
        <v>0</v>
      </c>
      <c r="N130" s="23">
        <f xml:space="preserve"> -- AND( tblFilterRegion[[#This Row],[London]] &gt;= $N$10, N$13 = "Yes" )</f>
        <v>0</v>
      </c>
      <c r="O130" s="23">
        <f xml:space="preserve"> -- AND( tblFilterRegion[[#This Row],[South East]] &gt;= $N$10, O$13 = "Yes" )</f>
        <v>0</v>
      </c>
      <c r="P130" s="23">
        <f xml:space="preserve"> -- AND( tblFilterRegion[[#This Row],[South West]] &gt;= $N$10, P$13 = "Yes" )</f>
        <v>0</v>
      </c>
      <c r="Q130" s="23">
        <f xml:space="preserve"> -- AND( tblFilterRegion[[#This Row],[East Midlands]] &gt;= $N$10, Q$13 = "Yes" )</f>
        <v>0</v>
      </c>
      <c r="R130" s="23">
        <f xml:space="preserve"> -- AND( tblFilterRegion[[#This Row],[West Midlands]] &gt;= $N$10, R$13 = "Yes" )</f>
        <v>0</v>
      </c>
      <c r="S130" s="23">
        <f xml:space="preserve"> -- AND( tblFilterRegion[[#This Row],[East of England]] &gt;= $N$10, S$13 = "Yes" )</f>
        <v>0</v>
      </c>
      <c r="T130" s="23">
        <f xml:space="preserve"> -- AND( tblFilterRegion[[#This Row],[North East]] &gt;= $N$10, T$13 = "Yes" )</f>
        <v>0</v>
      </c>
      <c r="U130" s="23">
        <f xml:space="preserve"> -- AND( tblFilterRegion[[#This Row],[North West]] &gt;= $N$10, U$13 = "Yes" )</f>
        <v>0</v>
      </c>
      <c r="V130" s="23">
        <f xml:space="preserve"> -- AND( tblFilterRegion[[#This Row],[Yorkshire &amp; the Humber]] &gt;= $N$10, V$13 = "Yes" )</f>
        <v>0</v>
      </c>
      <c r="W130" s="22">
        <f xml:space="preserve"> SUMIF( $E$13:$M$13, "Yes", tblFilterRegion[[#This Row],[London]:[Yorkshire &amp; the Humber]] )</f>
        <v>0</v>
      </c>
      <c r="X130" s="23">
        <f xml:space="preserve"> -- ( SUM( tblFilterRegion[[#This Row],[Incl for Lon]:[Incl for YH]] ) &gt; 0 )</f>
        <v>0</v>
      </c>
      <c r="Y130" s="23">
        <f xml:space="preserve"> -- ( tblFilterRegion[[#This Row],[Total in selected regions]] &gt; $N$10 )</f>
        <v>0</v>
      </c>
      <c r="Z130" s="24">
        <f xml:space="preserve"> IF( RegionMinimum = 0, 1, IF( $R$10 = $U$8, tblFilterRegion[[#This Row],[Include for region - any]], IF( $R$10 = $U$10, tblFilterRegion[[#This Row],[Include for region - total]], "CHECK" ) ) )</f>
        <v>1</v>
      </c>
      <c r="AA130" s="131" t="str" cm="1">
        <f t="array" ref="AA130" xml:space="preserve"> INDEX( VfM_Metrics_2023_Consol_Source[], $D130, AA$14 )</f>
        <v>North West</v>
      </c>
    </row>
    <row r="131" spans="2:27" x14ac:dyDescent="0.2">
      <c r="B131" s="159" t="s" vm="116">
        <v>377</v>
      </c>
      <c r="C131" s="154" t="str" vm="297">
        <f xml:space="preserve"> INDEX( VfM_Metrics_2023_Consol_Source[RP_Code], MATCH( tblFilterRegion[[#This Row],[RP_Name]], VfM_Metrics_2023_Consol_Source[RP_Name], 0 ) )</f>
        <v>4804</v>
      </c>
      <c r="D131" s="81">
        <f xml:space="preserve"> MATCH( tblFilterRegion[[#This Row],[RP_Code]], VfM_Metrics_2023_Consol_Source[RP_Code], 0 )</f>
        <v>116</v>
      </c>
      <c r="E131" s="22" cm="1">
        <f t="array" ref="E131" xml:space="preserve"> INDEX( VfM_Metrics_2023_Consol_Source[], $D131, E$14 )</f>
        <v>0</v>
      </c>
      <c r="F131" s="22" cm="1">
        <f t="array" ref="F131" xml:space="preserve"> INDEX( VfM_Metrics_2023_Consol_Source[], $D131, F$14 )</f>
        <v>0</v>
      </c>
      <c r="G131" s="22" cm="1">
        <f t="array" ref="G131" xml:space="preserve"> INDEX( VfM_Metrics_2023_Consol_Source[], $D131, G$14 )</f>
        <v>0</v>
      </c>
      <c r="H131" s="22" cm="1">
        <f t="array" ref="H131" xml:space="preserve"> INDEX( VfM_Metrics_2023_Consol_Source[], $D131, H$14 )</f>
        <v>0</v>
      </c>
      <c r="I131" s="22" cm="1">
        <f t="array" ref="I131" xml:space="preserve"> INDEX( VfM_Metrics_2023_Consol_Source[], $D131, I$14 )</f>
        <v>0</v>
      </c>
      <c r="J131" s="22" cm="1">
        <f t="array" ref="J131" xml:space="preserve"> INDEX( VfM_Metrics_2023_Consol_Source[], $D131, J$14 )</f>
        <v>0</v>
      </c>
      <c r="K131" s="22" cm="1">
        <f t="array" ref="K131" xml:space="preserve"> INDEX( VfM_Metrics_2023_Consol_Source[], $D131, K$14 )</f>
        <v>0</v>
      </c>
      <c r="L131" s="22" cm="1">
        <f t="array" ref="L131" xml:space="preserve"> INDEX( VfM_Metrics_2023_Consol_Source[], $D131, L$14 )</f>
        <v>1</v>
      </c>
      <c r="M131" s="22" cm="1">
        <f t="array" ref="M131" xml:space="preserve"> INDEX( VfM_Metrics_2023_Consol_Source[], $D131, M$14 )</f>
        <v>0</v>
      </c>
      <c r="N131" s="23">
        <f xml:space="preserve"> -- AND( tblFilterRegion[[#This Row],[London]] &gt;= $N$10, N$13 = "Yes" )</f>
        <v>0</v>
      </c>
      <c r="O131" s="23">
        <f xml:space="preserve"> -- AND( tblFilterRegion[[#This Row],[South East]] &gt;= $N$10, O$13 = "Yes" )</f>
        <v>0</v>
      </c>
      <c r="P131" s="23">
        <f xml:space="preserve"> -- AND( tblFilterRegion[[#This Row],[South West]] &gt;= $N$10, P$13 = "Yes" )</f>
        <v>0</v>
      </c>
      <c r="Q131" s="23">
        <f xml:space="preserve"> -- AND( tblFilterRegion[[#This Row],[East Midlands]] &gt;= $N$10, Q$13 = "Yes" )</f>
        <v>0</v>
      </c>
      <c r="R131" s="23">
        <f xml:space="preserve"> -- AND( tblFilterRegion[[#This Row],[West Midlands]] &gt;= $N$10, R$13 = "Yes" )</f>
        <v>0</v>
      </c>
      <c r="S131" s="23">
        <f xml:space="preserve"> -- AND( tblFilterRegion[[#This Row],[East of England]] &gt;= $N$10, S$13 = "Yes" )</f>
        <v>0</v>
      </c>
      <c r="T131" s="23">
        <f xml:space="preserve"> -- AND( tblFilterRegion[[#This Row],[North East]] &gt;= $N$10, T$13 = "Yes" )</f>
        <v>0</v>
      </c>
      <c r="U131" s="23">
        <f xml:space="preserve"> -- AND( tblFilterRegion[[#This Row],[North West]] &gt;= $N$10, U$13 = "Yes" )</f>
        <v>0</v>
      </c>
      <c r="V131" s="23">
        <f xml:space="preserve"> -- AND( tblFilterRegion[[#This Row],[Yorkshire &amp; the Humber]] &gt;= $N$10, V$13 = "Yes" )</f>
        <v>0</v>
      </c>
      <c r="W131" s="22">
        <f xml:space="preserve"> SUMIF( $E$13:$M$13, "Yes", tblFilterRegion[[#This Row],[London]:[Yorkshire &amp; the Humber]] )</f>
        <v>0</v>
      </c>
      <c r="X131" s="23">
        <f xml:space="preserve"> -- ( SUM( tblFilterRegion[[#This Row],[Incl for Lon]:[Incl for YH]] ) &gt; 0 )</f>
        <v>0</v>
      </c>
      <c r="Y131" s="23">
        <f xml:space="preserve"> -- ( tblFilterRegion[[#This Row],[Total in selected regions]] &gt; $N$10 )</f>
        <v>0</v>
      </c>
      <c r="Z131" s="24">
        <f xml:space="preserve"> IF( RegionMinimum = 0, 1, IF( $R$10 = $U$8, tblFilterRegion[[#This Row],[Include for region - any]], IF( $R$10 = $U$10, tblFilterRegion[[#This Row],[Include for region - total]], "CHECK" ) ) )</f>
        <v>1</v>
      </c>
      <c r="AA131" s="131" t="str" cm="1">
        <f t="array" ref="AA131" xml:space="preserve"> INDEX( VfM_Metrics_2023_Consol_Source[], $D131, AA$14 )</f>
        <v>North West</v>
      </c>
    </row>
    <row r="132" spans="2:27" x14ac:dyDescent="0.2">
      <c r="B132" s="159" t="s" vm="117">
        <v>379</v>
      </c>
      <c r="C132" s="154" t="str" vm="301">
        <f xml:space="preserve"> INDEX( VfM_Metrics_2023_Consol_Source[RP_Code], MATCH( tblFilterRegion[[#This Row],[RP_Name]], VfM_Metrics_2023_Consol_Source[RP_Name], 0 ) )</f>
        <v>L4486</v>
      </c>
      <c r="D132" s="81">
        <f xml:space="preserve"> MATCH( tblFilterRegion[[#This Row],[RP_Code]], VfM_Metrics_2023_Consol_Source[RP_Code], 0 )</f>
        <v>117</v>
      </c>
      <c r="E132" s="22" cm="1">
        <f t="array" ref="E132" xml:space="preserve"> INDEX( VfM_Metrics_2023_Consol_Source[], $D132, E$14 )</f>
        <v>0</v>
      </c>
      <c r="F132" s="22" cm="1">
        <f t="array" ref="F132" xml:space="preserve"> INDEX( VfM_Metrics_2023_Consol_Source[], $D132, F$14 )</f>
        <v>0</v>
      </c>
      <c r="G132" s="22" cm="1">
        <f t="array" ref="G132" xml:space="preserve"> INDEX( VfM_Metrics_2023_Consol_Source[], $D132, G$14 )</f>
        <v>0</v>
      </c>
      <c r="H132" s="22" cm="1">
        <f t="array" ref="H132" xml:space="preserve"> INDEX( VfM_Metrics_2023_Consol_Source[], $D132, H$14 )</f>
        <v>2.5269705510739624E-2</v>
      </c>
      <c r="I132" s="22" cm="1">
        <f t="array" ref="I132" xml:space="preserve"> INDEX( VfM_Metrics_2023_Consol_Source[], $D132, I$14 )</f>
        <v>0</v>
      </c>
      <c r="J132" s="22" cm="1">
        <f t="array" ref="J132" xml:space="preserve"> INDEX( VfM_Metrics_2023_Consol_Source[], $D132, J$14 )</f>
        <v>0</v>
      </c>
      <c r="K132" s="22" cm="1">
        <f t="array" ref="K132" xml:space="preserve"> INDEX( VfM_Metrics_2023_Consol_Source[], $D132, K$14 )</f>
        <v>0</v>
      </c>
      <c r="L132" s="22" cm="1">
        <f t="array" ref="L132" xml:space="preserve"> INDEX( VfM_Metrics_2023_Consol_Source[], $D132, L$14 )</f>
        <v>0</v>
      </c>
      <c r="M132" s="22" cm="1">
        <f t="array" ref="M132" xml:space="preserve"> INDEX( VfM_Metrics_2023_Consol_Source[], $D132, M$14 )</f>
        <v>0.97473029448926041</v>
      </c>
      <c r="N132" s="23">
        <f xml:space="preserve"> -- AND( tblFilterRegion[[#This Row],[London]] &gt;= $N$10, N$13 = "Yes" )</f>
        <v>0</v>
      </c>
      <c r="O132" s="23">
        <f xml:space="preserve"> -- AND( tblFilterRegion[[#This Row],[South East]] &gt;= $N$10, O$13 = "Yes" )</f>
        <v>0</v>
      </c>
      <c r="P132" s="23">
        <f xml:space="preserve"> -- AND( tblFilterRegion[[#This Row],[South West]] &gt;= $N$10, P$13 = "Yes" )</f>
        <v>0</v>
      </c>
      <c r="Q132" s="23">
        <f xml:space="preserve"> -- AND( tblFilterRegion[[#This Row],[East Midlands]] &gt;= $N$10, Q$13 = "Yes" )</f>
        <v>0</v>
      </c>
      <c r="R132" s="23">
        <f xml:space="preserve"> -- AND( tblFilterRegion[[#This Row],[West Midlands]] &gt;= $N$10, R$13 = "Yes" )</f>
        <v>0</v>
      </c>
      <c r="S132" s="23">
        <f xml:space="preserve"> -- AND( tblFilterRegion[[#This Row],[East of England]] &gt;= $N$10, S$13 = "Yes" )</f>
        <v>0</v>
      </c>
      <c r="T132" s="23">
        <f xml:space="preserve"> -- AND( tblFilterRegion[[#This Row],[North East]] &gt;= $N$10, T$13 = "Yes" )</f>
        <v>0</v>
      </c>
      <c r="U132" s="23">
        <f xml:space="preserve"> -- AND( tblFilterRegion[[#This Row],[North West]] &gt;= $N$10, U$13 = "Yes" )</f>
        <v>0</v>
      </c>
      <c r="V132" s="23">
        <f xml:space="preserve"> -- AND( tblFilterRegion[[#This Row],[Yorkshire &amp; the Humber]] &gt;= $N$10, V$13 = "Yes" )</f>
        <v>0</v>
      </c>
      <c r="W132" s="22">
        <f xml:space="preserve"> SUMIF( $E$13:$M$13, "Yes", tblFilterRegion[[#This Row],[London]:[Yorkshire &amp; the Humber]] )</f>
        <v>0</v>
      </c>
      <c r="X132" s="23">
        <f xml:space="preserve"> -- ( SUM( tblFilterRegion[[#This Row],[Incl for Lon]:[Incl for YH]] ) &gt; 0 )</f>
        <v>0</v>
      </c>
      <c r="Y132" s="23">
        <f xml:space="preserve"> -- ( tblFilterRegion[[#This Row],[Total in selected regions]] &gt; $N$10 )</f>
        <v>0</v>
      </c>
      <c r="Z132" s="24">
        <f xml:space="preserve"> IF( RegionMinimum = 0, 1, IF( $R$10 = $U$8, tblFilterRegion[[#This Row],[Include for region - any]], IF( $R$10 = $U$10, tblFilterRegion[[#This Row],[Include for region - total]], "CHECK" ) ) )</f>
        <v>1</v>
      </c>
      <c r="AA132" s="131" t="str" cm="1">
        <f t="array" ref="AA132" xml:space="preserve"> INDEX( VfM_Metrics_2023_Consol_Source[], $D132, AA$14 )</f>
        <v>Yorkshire &amp; the Humber</v>
      </c>
    </row>
    <row r="133" spans="2:27" x14ac:dyDescent="0.2">
      <c r="B133" s="159" t="s" vm="118">
        <v>381</v>
      </c>
      <c r="C133" s="154" t="str" vm="338">
        <f xml:space="preserve"> INDEX( VfM_Metrics_2023_Consol_Source[RP_Code], MATCH( tblFilterRegion[[#This Row],[RP_Name]], VfM_Metrics_2023_Consol_Source[RP_Name], 0 ) )</f>
        <v>4649</v>
      </c>
      <c r="D133" s="81">
        <f xml:space="preserve"> MATCH( tblFilterRegion[[#This Row],[RP_Code]], VfM_Metrics_2023_Consol_Source[RP_Code], 0 )</f>
        <v>118</v>
      </c>
      <c r="E133" s="22" cm="1">
        <f t="array" ref="E133" xml:space="preserve"> INDEX( VfM_Metrics_2023_Consol_Source[], $D133, E$14 )</f>
        <v>0</v>
      </c>
      <c r="F133" s="22" cm="1">
        <f t="array" ref="F133" xml:space="preserve"> INDEX( VfM_Metrics_2023_Consol_Source[], $D133, F$14 )</f>
        <v>0</v>
      </c>
      <c r="G133" s="22" cm="1">
        <f t="array" ref="G133" xml:space="preserve"> INDEX( VfM_Metrics_2023_Consol_Source[], $D133, G$14 )</f>
        <v>0</v>
      </c>
      <c r="H133" s="22" cm="1">
        <f t="array" ref="H133" xml:space="preserve"> INDEX( VfM_Metrics_2023_Consol_Source[], $D133, H$14 )</f>
        <v>1.3507125008441954E-4</v>
      </c>
      <c r="I133" s="22" cm="1">
        <f t="array" ref="I133" xml:space="preserve"> INDEX( VfM_Metrics_2023_Consol_Source[], $D133, I$14 )</f>
        <v>0</v>
      </c>
      <c r="J133" s="22" cm="1">
        <f t="array" ref="J133" xml:space="preserve"> INDEX( VfM_Metrics_2023_Consol_Source[], $D133, J$14 )</f>
        <v>0</v>
      </c>
      <c r="K133" s="22" cm="1">
        <f t="array" ref="K133" xml:space="preserve"> INDEX( VfM_Metrics_2023_Consol_Source[], $D133, K$14 )</f>
        <v>0</v>
      </c>
      <c r="L133" s="22" cm="1">
        <f t="array" ref="L133" xml:space="preserve"> INDEX( VfM_Metrics_2023_Consol_Source[], $D133, L$14 )</f>
        <v>0.99986492874991562</v>
      </c>
      <c r="M133" s="22" cm="1">
        <f t="array" ref="M133" xml:space="preserve"> INDEX( VfM_Metrics_2023_Consol_Source[], $D133, M$14 )</f>
        <v>0</v>
      </c>
      <c r="N133" s="23">
        <f xml:space="preserve"> -- AND( tblFilterRegion[[#This Row],[London]] &gt;= $N$10, N$13 = "Yes" )</f>
        <v>0</v>
      </c>
      <c r="O133" s="23">
        <f xml:space="preserve"> -- AND( tblFilterRegion[[#This Row],[South East]] &gt;= $N$10, O$13 = "Yes" )</f>
        <v>0</v>
      </c>
      <c r="P133" s="23">
        <f xml:space="preserve"> -- AND( tblFilterRegion[[#This Row],[South West]] &gt;= $N$10, P$13 = "Yes" )</f>
        <v>0</v>
      </c>
      <c r="Q133" s="23">
        <f xml:space="preserve"> -- AND( tblFilterRegion[[#This Row],[East Midlands]] &gt;= $N$10, Q$13 = "Yes" )</f>
        <v>0</v>
      </c>
      <c r="R133" s="23">
        <f xml:space="preserve"> -- AND( tblFilterRegion[[#This Row],[West Midlands]] &gt;= $N$10, R$13 = "Yes" )</f>
        <v>0</v>
      </c>
      <c r="S133" s="23">
        <f xml:space="preserve"> -- AND( tblFilterRegion[[#This Row],[East of England]] &gt;= $N$10, S$13 = "Yes" )</f>
        <v>0</v>
      </c>
      <c r="T133" s="23">
        <f xml:space="preserve"> -- AND( tblFilterRegion[[#This Row],[North East]] &gt;= $N$10, T$13 = "Yes" )</f>
        <v>0</v>
      </c>
      <c r="U133" s="23">
        <f xml:space="preserve"> -- AND( tblFilterRegion[[#This Row],[North West]] &gt;= $N$10, U$13 = "Yes" )</f>
        <v>0</v>
      </c>
      <c r="V133" s="23">
        <f xml:space="preserve"> -- AND( tblFilterRegion[[#This Row],[Yorkshire &amp; the Humber]] &gt;= $N$10, V$13 = "Yes" )</f>
        <v>0</v>
      </c>
      <c r="W133" s="22">
        <f xml:space="preserve"> SUMIF( $E$13:$M$13, "Yes", tblFilterRegion[[#This Row],[London]:[Yorkshire &amp; the Humber]] )</f>
        <v>0</v>
      </c>
      <c r="X133" s="23">
        <f xml:space="preserve"> -- ( SUM( tblFilterRegion[[#This Row],[Incl for Lon]:[Incl for YH]] ) &gt; 0 )</f>
        <v>0</v>
      </c>
      <c r="Y133" s="23">
        <f xml:space="preserve"> -- ( tblFilterRegion[[#This Row],[Total in selected regions]] &gt; $N$10 )</f>
        <v>0</v>
      </c>
      <c r="Z133" s="24">
        <f xml:space="preserve"> IF( RegionMinimum = 0, 1, IF( $R$10 = $U$8, tblFilterRegion[[#This Row],[Include for region - any]], IF( $R$10 = $U$10, tblFilterRegion[[#This Row],[Include for region - total]], "CHECK" ) ) )</f>
        <v>1</v>
      </c>
      <c r="AA133" s="131" t="str" cm="1">
        <f t="array" ref="AA133" xml:space="preserve"> INDEX( VfM_Metrics_2023_Consol_Source[], $D133, AA$14 )</f>
        <v>North West</v>
      </c>
    </row>
    <row r="134" spans="2:27" x14ac:dyDescent="0.2">
      <c r="B134" s="159" t="s" vm="119">
        <v>383</v>
      </c>
      <c r="C134" s="154" t="str" vm="253">
        <f xml:space="preserve"> INDEX( VfM_Metrics_2023_Consol_Source[RP_Code], MATCH( tblFilterRegion[[#This Row],[RP_Name]], VfM_Metrics_2023_Consol_Source[RP_Name], 0 ) )</f>
        <v>L4123</v>
      </c>
      <c r="D134" s="81">
        <f xml:space="preserve"> MATCH( tblFilterRegion[[#This Row],[RP_Code]], VfM_Metrics_2023_Consol_Source[RP_Code], 0 )</f>
        <v>119</v>
      </c>
      <c r="E134" s="22" cm="1">
        <f t="array" ref="E134" xml:space="preserve"> INDEX( VfM_Metrics_2023_Consol_Source[], $D134, E$14 )</f>
        <v>0.12815871047737135</v>
      </c>
      <c r="F134" s="22" cm="1">
        <f t="array" ref="F134" xml:space="preserve"> INDEX( VfM_Metrics_2023_Consol_Source[], $D134, F$14 )</f>
        <v>0.27320520768753875</v>
      </c>
      <c r="G134" s="22" cm="1">
        <f t="array" ref="G134" xml:space="preserve"> INDEX( VfM_Metrics_2023_Consol_Source[], $D134, G$14 )</f>
        <v>0</v>
      </c>
      <c r="H134" s="22" cm="1">
        <f t="array" ref="H134" xml:space="preserve"> INDEX( VfM_Metrics_2023_Consol_Source[], $D134, H$14 )</f>
        <v>0.10492250464972101</v>
      </c>
      <c r="I134" s="22" cm="1">
        <f t="array" ref="I134" xml:space="preserve"> INDEX( VfM_Metrics_2023_Consol_Source[], $D134, I$14 )</f>
        <v>0.34060756354618721</v>
      </c>
      <c r="J134" s="22" cm="1">
        <f t="array" ref="J134" xml:space="preserve"> INDEX( VfM_Metrics_2023_Consol_Source[], $D134, J$14 )</f>
        <v>0.15310601363918164</v>
      </c>
      <c r="K134" s="22" cm="1">
        <f t="array" ref="K134" xml:space="preserve"> INDEX( VfM_Metrics_2023_Consol_Source[], $D134, K$14 )</f>
        <v>0</v>
      </c>
      <c r="L134" s="22" cm="1">
        <f t="array" ref="L134" xml:space="preserve"> INDEX( VfM_Metrics_2023_Consol_Source[], $D134, L$14 )</f>
        <v>0</v>
      </c>
      <c r="M134" s="22" cm="1">
        <f t="array" ref="M134" xml:space="preserve"> INDEX( VfM_Metrics_2023_Consol_Source[], $D134, M$14 )</f>
        <v>0</v>
      </c>
      <c r="N134" s="23">
        <f xml:space="preserve"> -- AND( tblFilterRegion[[#This Row],[London]] &gt;= $N$10, N$13 = "Yes" )</f>
        <v>0</v>
      </c>
      <c r="O134" s="23">
        <f xml:space="preserve"> -- AND( tblFilterRegion[[#This Row],[South East]] &gt;= $N$10, O$13 = "Yes" )</f>
        <v>0</v>
      </c>
      <c r="P134" s="23">
        <f xml:space="preserve"> -- AND( tblFilterRegion[[#This Row],[South West]] &gt;= $N$10, P$13 = "Yes" )</f>
        <v>0</v>
      </c>
      <c r="Q134" s="23">
        <f xml:space="preserve"> -- AND( tblFilterRegion[[#This Row],[East Midlands]] &gt;= $N$10, Q$13 = "Yes" )</f>
        <v>0</v>
      </c>
      <c r="R134" s="23">
        <f xml:space="preserve"> -- AND( tblFilterRegion[[#This Row],[West Midlands]] &gt;= $N$10, R$13 = "Yes" )</f>
        <v>0</v>
      </c>
      <c r="S134" s="23">
        <f xml:space="preserve"> -- AND( tblFilterRegion[[#This Row],[East of England]] &gt;= $N$10, S$13 = "Yes" )</f>
        <v>0</v>
      </c>
      <c r="T134" s="23">
        <f xml:space="preserve"> -- AND( tblFilterRegion[[#This Row],[North East]] &gt;= $N$10, T$13 = "Yes" )</f>
        <v>0</v>
      </c>
      <c r="U134" s="23">
        <f xml:space="preserve"> -- AND( tblFilterRegion[[#This Row],[North West]] &gt;= $N$10, U$13 = "Yes" )</f>
        <v>0</v>
      </c>
      <c r="V134" s="23">
        <f xml:space="preserve"> -- AND( tblFilterRegion[[#This Row],[Yorkshire &amp; the Humber]] &gt;= $N$10, V$13 = "Yes" )</f>
        <v>0</v>
      </c>
      <c r="W134" s="22">
        <f xml:space="preserve"> SUMIF( $E$13:$M$13, "Yes", tblFilterRegion[[#This Row],[London]:[Yorkshire &amp; the Humber]] )</f>
        <v>0</v>
      </c>
      <c r="X134" s="23">
        <f xml:space="preserve"> -- ( SUM( tblFilterRegion[[#This Row],[Incl for Lon]:[Incl for YH]] ) &gt; 0 )</f>
        <v>0</v>
      </c>
      <c r="Y134" s="23">
        <f xml:space="preserve"> -- ( tblFilterRegion[[#This Row],[Total in selected regions]] &gt; $N$10 )</f>
        <v>0</v>
      </c>
      <c r="Z134" s="24">
        <f xml:space="preserve"> IF( RegionMinimum = 0, 1, IF( $R$10 = $U$8, tblFilterRegion[[#This Row],[Include for region - any]], IF( $R$10 = $U$10, tblFilterRegion[[#This Row],[Include for region - total]], "CHECK" ) ) )</f>
        <v>1</v>
      </c>
      <c r="AA134" s="131" t="str" cm="1">
        <f t="array" ref="AA134" xml:space="preserve"> INDEX( VfM_Metrics_2023_Consol_Source[], $D134, AA$14 )</f>
        <v>Mixed</v>
      </c>
    </row>
    <row r="135" spans="2:27" x14ac:dyDescent="0.2">
      <c r="B135" s="159" t="s" vm="120">
        <v>385</v>
      </c>
      <c r="C135" s="154" t="str" vm="348">
        <f xml:space="preserve"> INDEX( VfM_Metrics_2023_Consol_Source[RP_Code], MATCH( tblFilterRegion[[#This Row],[RP_Name]], VfM_Metrics_2023_Consol_Source[RP_Name], 0 ) )</f>
        <v>L0871</v>
      </c>
      <c r="D135" s="81">
        <f xml:space="preserve"> MATCH( tblFilterRegion[[#This Row],[RP_Code]], VfM_Metrics_2023_Consol_Source[RP_Code], 0 )</f>
        <v>120</v>
      </c>
      <c r="E135" s="22" cm="1">
        <f t="array" ref="E135" xml:space="preserve"> INDEX( VfM_Metrics_2023_Consol_Source[], $D135, E$14 )</f>
        <v>0.78719948018193631</v>
      </c>
      <c r="F135" s="22" cm="1">
        <f t="array" ref="F135" xml:space="preserve"> INDEX( VfM_Metrics_2023_Consol_Source[], $D135, F$14 )</f>
        <v>4.8732943469785572E-4</v>
      </c>
      <c r="G135" s="22" cm="1">
        <f t="array" ref="G135" xml:space="preserve"> INDEX( VfM_Metrics_2023_Consol_Source[], $D135, G$14 )</f>
        <v>0</v>
      </c>
      <c r="H135" s="22" cm="1">
        <f t="array" ref="H135" xml:space="preserve"> INDEX( VfM_Metrics_2023_Consol_Source[], $D135, H$14 )</f>
        <v>0</v>
      </c>
      <c r="I135" s="22" cm="1">
        <f t="array" ref="I135" xml:space="preserve"> INDEX( VfM_Metrics_2023_Consol_Source[], $D135, I$14 )</f>
        <v>0</v>
      </c>
      <c r="J135" s="22" cm="1">
        <f t="array" ref="J135" xml:space="preserve"> INDEX( VfM_Metrics_2023_Consol_Source[], $D135, J$14 )</f>
        <v>0.21231319038336582</v>
      </c>
      <c r="K135" s="22" cm="1">
        <f t="array" ref="K135" xml:space="preserve"> INDEX( VfM_Metrics_2023_Consol_Source[], $D135, K$14 )</f>
        <v>0</v>
      </c>
      <c r="L135" s="22" cm="1">
        <f t="array" ref="L135" xml:space="preserve"> INDEX( VfM_Metrics_2023_Consol_Source[], $D135, L$14 )</f>
        <v>0</v>
      </c>
      <c r="M135" s="22" cm="1">
        <f t="array" ref="M135" xml:space="preserve"> INDEX( VfM_Metrics_2023_Consol_Source[], $D135, M$14 )</f>
        <v>0</v>
      </c>
      <c r="N135" s="23">
        <f xml:space="preserve"> -- AND( tblFilterRegion[[#This Row],[London]] &gt;= $N$10, N$13 = "Yes" )</f>
        <v>0</v>
      </c>
      <c r="O135" s="23">
        <f xml:space="preserve"> -- AND( tblFilterRegion[[#This Row],[South East]] &gt;= $N$10, O$13 = "Yes" )</f>
        <v>0</v>
      </c>
      <c r="P135" s="23">
        <f xml:space="preserve"> -- AND( tblFilterRegion[[#This Row],[South West]] &gt;= $N$10, P$13 = "Yes" )</f>
        <v>0</v>
      </c>
      <c r="Q135" s="23">
        <f xml:space="preserve"> -- AND( tblFilterRegion[[#This Row],[East Midlands]] &gt;= $N$10, Q$13 = "Yes" )</f>
        <v>0</v>
      </c>
      <c r="R135" s="23">
        <f xml:space="preserve"> -- AND( tblFilterRegion[[#This Row],[West Midlands]] &gt;= $N$10, R$13 = "Yes" )</f>
        <v>0</v>
      </c>
      <c r="S135" s="23">
        <f xml:space="preserve"> -- AND( tblFilterRegion[[#This Row],[East of England]] &gt;= $N$10, S$13 = "Yes" )</f>
        <v>0</v>
      </c>
      <c r="T135" s="23">
        <f xml:space="preserve"> -- AND( tblFilterRegion[[#This Row],[North East]] &gt;= $N$10, T$13 = "Yes" )</f>
        <v>0</v>
      </c>
      <c r="U135" s="23">
        <f xml:space="preserve"> -- AND( tblFilterRegion[[#This Row],[North West]] &gt;= $N$10, U$13 = "Yes" )</f>
        <v>0</v>
      </c>
      <c r="V135" s="23">
        <f xml:space="preserve"> -- AND( tblFilterRegion[[#This Row],[Yorkshire &amp; the Humber]] &gt;= $N$10, V$13 = "Yes" )</f>
        <v>0</v>
      </c>
      <c r="W135" s="22">
        <f xml:space="preserve"> SUMIF( $E$13:$M$13, "Yes", tblFilterRegion[[#This Row],[London]:[Yorkshire &amp; the Humber]] )</f>
        <v>0</v>
      </c>
      <c r="X135" s="23">
        <f xml:space="preserve"> -- ( SUM( tblFilterRegion[[#This Row],[Incl for Lon]:[Incl for YH]] ) &gt; 0 )</f>
        <v>0</v>
      </c>
      <c r="Y135" s="23">
        <f xml:space="preserve"> -- ( tblFilterRegion[[#This Row],[Total in selected regions]] &gt; $N$10 )</f>
        <v>0</v>
      </c>
      <c r="Z135" s="24">
        <f xml:space="preserve"> IF( RegionMinimum = 0, 1, IF( $R$10 = $U$8, tblFilterRegion[[#This Row],[Include for region - any]], IF( $R$10 = $U$10, tblFilterRegion[[#This Row],[Include for region - total]], "CHECK" ) ) )</f>
        <v>1</v>
      </c>
      <c r="AA135" s="131" t="str" cm="1">
        <f t="array" ref="AA135" xml:space="preserve"> INDEX( VfM_Metrics_2023_Consol_Source[], $D135, AA$14 )</f>
        <v>London</v>
      </c>
    </row>
    <row r="136" spans="2:27" x14ac:dyDescent="0.2">
      <c r="B136" s="159" t="s" vm="121">
        <v>387</v>
      </c>
      <c r="C136" s="154" t="str" vm="308">
        <f xml:space="preserve"> INDEX( VfM_Metrics_2023_Consol_Source[RP_Code], MATCH( tblFilterRegion[[#This Row],[RP_Name]], VfM_Metrics_2023_Consol_Source[RP_Name], 0 ) )</f>
        <v>L0028</v>
      </c>
      <c r="D136" s="81">
        <f xml:space="preserve"> MATCH( tblFilterRegion[[#This Row],[RP_Code]], VfM_Metrics_2023_Consol_Source[RP_Code], 0 )</f>
        <v>121</v>
      </c>
      <c r="E136" s="22" cm="1">
        <f t="array" ref="E136" xml:space="preserve"> INDEX( VfM_Metrics_2023_Consol_Source[], $D136, E$14 )</f>
        <v>0</v>
      </c>
      <c r="F136" s="22" cm="1">
        <f t="array" ref="F136" xml:space="preserve"> INDEX( VfM_Metrics_2023_Consol_Source[], $D136, F$14 )</f>
        <v>0</v>
      </c>
      <c r="G136" s="22" cm="1">
        <f t="array" ref="G136" xml:space="preserve"> INDEX( VfM_Metrics_2023_Consol_Source[], $D136, G$14 )</f>
        <v>0</v>
      </c>
      <c r="H136" s="22" cm="1">
        <f t="array" ref="H136" xml:space="preserve"> INDEX( VfM_Metrics_2023_Consol_Source[], $D136, H$14 )</f>
        <v>0</v>
      </c>
      <c r="I136" s="22" cm="1">
        <f t="array" ref="I136" xml:space="preserve"> INDEX( VfM_Metrics_2023_Consol_Source[], $D136, I$14 )</f>
        <v>0</v>
      </c>
      <c r="J136" s="22" cm="1">
        <f t="array" ref="J136" xml:space="preserve"> INDEX( VfM_Metrics_2023_Consol_Source[], $D136, J$14 )</f>
        <v>1</v>
      </c>
      <c r="K136" s="22" cm="1">
        <f t="array" ref="K136" xml:space="preserve"> INDEX( VfM_Metrics_2023_Consol_Source[], $D136, K$14 )</f>
        <v>0</v>
      </c>
      <c r="L136" s="22" cm="1">
        <f t="array" ref="L136" xml:space="preserve"> INDEX( VfM_Metrics_2023_Consol_Source[], $D136, L$14 )</f>
        <v>0</v>
      </c>
      <c r="M136" s="22" cm="1">
        <f t="array" ref="M136" xml:space="preserve"> INDEX( VfM_Metrics_2023_Consol_Source[], $D136, M$14 )</f>
        <v>0</v>
      </c>
      <c r="N136" s="23">
        <f xml:space="preserve"> -- AND( tblFilterRegion[[#This Row],[London]] &gt;= $N$10, N$13 = "Yes" )</f>
        <v>0</v>
      </c>
      <c r="O136" s="23">
        <f xml:space="preserve"> -- AND( tblFilterRegion[[#This Row],[South East]] &gt;= $N$10, O$13 = "Yes" )</f>
        <v>0</v>
      </c>
      <c r="P136" s="23">
        <f xml:space="preserve"> -- AND( tblFilterRegion[[#This Row],[South West]] &gt;= $N$10, P$13 = "Yes" )</f>
        <v>0</v>
      </c>
      <c r="Q136" s="23">
        <f xml:space="preserve"> -- AND( tblFilterRegion[[#This Row],[East Midlands]] &gt;= $N$10, Q$13 = "Yes" )</f>
        <v>0</v>
      </c>
      <c r="R136" s="23">
        <f xml:space="preserve"> -- AND( tblFilterRegion[[#This Row],[West Midlands]] &gt;= $N$10, R$13 = "Yes" )</f>
        <v>0</v>
      </c>
      <c r="S136" s="23">
        <f xml:space="preserve"> -- AND( tblFilterRegion[[#This Row],[East of England]] &gt;= $N$10, S$13 = "Yes" )</f>
        <v>0</v>
      </c>
      <c r="T136" s="23">
        <f xml:space="preserve"> -- AND( tblFilterRegion[[#This Row],[North East]] &gt;= $N$10, T$13 = "Yes" )</f>
        <v>0</v>
      </c>
      <c r="U136" s="23">
        <f xml:space="preserve"> -- AND( tblFilterRegion[[#This Row],[North West]] &gt;= $N$10, U$13 = "Yes" )</f>
        <v>0</v>
      </c>
      <c r="V136" s="23">
        <f xml:space="preserve"> -- AND( tblFilterRegion[[#This Row],[Yorkshire &amp; the Humber]] &gt;= $N$10, V$13 = "Yes" )</f>
        <v>0</v>
      </c>
      <c r="W136" s="22">
        <f xml:space="preserve"> SUMIF( $E$13:$M$13, "Yes", tblFilterRegion[[#This Row],[London]:[Yorkshire &amp; the Humber]] )</f>
        <v>0</v>
      </c>
      <c r="X136" s="23">
        <f xml:space="preserve"> -- ( SUM( tblFilterRegion[[#This Row],[Incl for Lon]:[Incl for YH]] ) &gt; 0 )</f>
        <v>0</v>
      </c>
      <c r="Y136" s="23">
        <f xml:space="preserve"> -- ( tblFilterRegion[[#This Row],[Total in selected regions]] &gt; $N$10 )</f>
        <v>0</v>
      </c>
      <c r="Z136" s="24">
        <f xml:space="preserve"> IF( RegionMinimum = 0, 1, IF( $R$10 = $U$8, tblFilterRegion[[#This Row],[Include for region - any]], IF( $R$10 = $U$10, tblFilterRegion[[#This Row],[Include for region - total]], "CHECK" ) ) )</f>
        <v>1</v>
      </c>
      <c r="AA136" s="131" t="str" cm="1">
        <f t="array" ref="AA136" xml:space="preserve"> INDEX( VfM_Metrics_2023_Consol_Source[], $D136, AA$14 )</f>
        <v>East of England</v>
      </c>
    </row>
    <row r="137" spans="2:27" x14ac:dyDescent="0.2">
      <c r="B137" s="159" t="s" vm="122">
        <v>389</v>
      </c>
      <c r="C137" s="154" t="str" vm="287">
        <f xml:space="preserve"> INDEX( VfM_Metrics_2023_Consol_Source[RP_Code], MATCH( tblFilterRegion[[#This Row],[RP_Name]], VfM_Metrics_2023_Consol_Source[RP_Name], 0 ) )</f>
        <v>L4215</v>
      </c>
      <c r="D137" s="81">
        <f xml:space="preserve"> MATCH( tblFilterRegion[[#This Row],[RP_Code]], VfM_Metrics_2023_Consol_Source[RP_Code], 0 )</f>
        <v>122</v>
      </c>
      <c r="E137" s="22" cm="1">
        <f t="array" ref="E137" xml:space="preserve"> INDEX( VfM_Metrics_2023_Consol_Source[], $D137, E$14 )</f>
        <v>5.5157641073699713E-2</v>
      </c>
      <c r="F137" s="22" cm="1">
        <f t="array" ref="F137" xml:space="preserve"> INDEX( VfM_Metrics_2023_Consol_Source[], $D137, F$14 )</f>
        <v>0.68458397483097932</v>
      </c>
      <c r="G137" s="22" cm="1">
        <f t="array" ref="G137" xml:space="preserve"> INDEX( VfM_Metrics_2023_Consol_Source[], $D137, G$14 )</f>
        <v>0</v>
      </c>
      <c r="H137" s="22" cm="1">
        <f t="array" ref="H137" xml:space="preserve"> INDEX( VfM_Metrics_2023_Consol_Source[], $D137, H$14 )</f>
        <v>0</v>
      </c>
      <c r="I137" s="22" cm="1">
        <f t="array" ref="I137" xml:space="preserve"> INDEX( VfM_Metrics_2023_Consol_Source[], $D137, I$14 )</f>
        <v>0</v>
      </c>
      <c r="J137" s="22" cm="1">
        <f t="array" ref="J137" xml:space="preserve"> INDEX( VfM_Metrics_2023_Consol_Source[], $D137, J$14 )</f>
        <v>0.26025838409532098</v>
      </c>
      <c r="K137" s="22" cm="1">
        <f t="array" ref="K137" xml:space="preserve"> INDEX( VfM_Metrics_2023_Consol_Source[], $D137, K$14 )</f>
        <v>0</v>
      </c>
      <c r="L137" s="22" cm="1">
        <f t="array" ref="L137" xml:space="preserve"> INDEX( VfM_Metrics_2023_Consol_Source[], $D137, L$14 )</f>
        <v>0</v>
      </c>
      <c r="M137" s="22" cm="1">
        <f t="array" ref="M137" xml:space="preserve"> INDEX( VfM_Metrics_2023_Consol_Source[], $D137, M$14 )</f>
        <v>0</v>
      </c>
      <c r="N137" s="23">
        <f xml:space="preserve"> -- AND( tblFilterRegion[[#This Row],[London]] &gt;= $N$10, N$13 = "Yes" )</f>
        <v>0</v>
      </c>
      <c r="O137" s="23">
        <f xml:space="preserve"> -- AND( tblFilterRegion[[#This Row],[South East]] &gt;= $N$10, O$13 = "Yes" )</f>
        <v>0</v>
      </c>
      <c r="P137" s="23">
        <f xml:space="preserve"> -- AND( tblFilterRegion[[#This Row],[South West]] &gt;= $N$10, P$13 = "Yes" )</f>
        <v>0</v>
      </c>
      <c r="Q137" s="23">
        <f xml:space="preserve"> -- AND( tblFilterRegion[[#This Row],[East Midlands]] &gt;= $N$10, Q$13 = "Yes" )</f>
        <v>0</v>
      </c>
      <c r="R137" s="23">
        <f xml:space="preserve"> -- AND( tblFilterRegion[[#This Row],[West Midlands]] &gt;= $N$10, R$13 = "Yes" )</f>
        <v>0</v>
      </c>
      <c r="S137" s="23">
        <f xml:space="preserve"> -- AND( tblFilterRegion[[#This Row],[East of England]] &gt;= $N$10, S$13 = "Yes" )</f>
        <v>0</v>
      </c>
      <c r="T137" s="23">
        <f xml:space="preserve"> -- AND( tblFilterRegion[[#This Row],[North East]] &gt;= $N$10, T$13 = "Yes" )</f>
        <v>0</v>
      </c>
      <c r="U137" s="23">
        <f xml:space="preserve"> -- AND( tblFilterRegion[[#This Row],[North West]] &gt;= $N$10, U$13 = "Yes" )</f>
        <v>0</v>
      </c>
      <c r="V137" s="23">
        <f xml:space="preserve"> -- AND( tblFilterRegion[[#This Row],[Yorkshire &amp; the Humber]] &gt;= $N$10, V$13 = "Yes" )</f>
        <v>0</v>
      </c>
      <c r="W137" s="22">
        <f xml:space="preserve"> SUMIF( $E$13:$M$13, "Yes", tblFilterRegion[[#This Row],[London]:[Yorkshire &amp; the Humber]] )</f>
        <v>0</v>
      </c>
      <c r="X137" s="23">
        <f xml:space="preserve"> -- ( SUM( tblFilterRegion[[#This Row],[Incl for Lon]:[Incl for YH]] ) &gt; 0 )</f>
        <v>0</v>
      </c>
      <c r="Y137" s="23">
        <f xml:space="preserve"> -- ( tblFilterRegion[[#This Row],[Total in selected regions]] &gt; $N$10 )</f>
        <v>0</v>
      </c>
      <c r="Z137" s="24">
        <f xml:space="preserve"> IF( RegionMinimum = 0, 1, IF( $R$10 = $U$8, tblFilterRegion[[#This Row],[Include for region - any]], IF( $R$10 = $U$10, tblFilterRegion[[#This Row],[Include for region - total]], "CHECK" ) ) )</f>
        <v>1</v>
      </c>
      <c r="AA137" s="131" t="str" cm="1">
        <f t="array" ref="AA137" xml:space="preserve"> INDEX( VfM_Metrics_2023_Consol_Source[], $D137, AA$14 )</f>
        <v>South East</v>
      </c>
    </row>
    <row r="138" spans="2:27" x14ac:dyDescent="0.2">
      <c r="B138" s="159" t="s" vm="123">
        <v>391</v>
      </c>
      <c r="C138" s="154" t="str" vm="337">
        <f xml:space="preserve"> INDEX( VfM_Metrics_2023_Consol_Source[RP_Code], MATCH( tblFilterRegion[[#This Row],[RP_Name]], VfM_Metrics_2023_Consol_Source[RP_Name], 0 ) )</f>
        <v>4849</v>
      </c>
      <c r="D138" s="81">
        <f xml:space="preserve"> MATCH( tblFilterRegion[[#This Row],[RP_Code]], VfM_Metrics_2023_Consol_Source[RP_Code], 0 )</f>
        <v>123</v>
      </c>
      <c r="E138" s="22" cm="1">
        <f t="array" ref="E138" xml:space="preserve"> INDEX( VfM_Metrics_2023_Consol_Source[], $D138, E$14 )</f>
        <v>0.35583815028901733</v>
      </c>
      <c r="F138" s="22" cm="1">
        <f t="array" ref="F138" xml:space="preserve"> INDEX( VfM_Metrics_2023_Consol_Source[], $D138, F$14 )</f>
        <v>0.26053179190751447</v>
      </c>
      <c r="G138" s="22" cm="1">
        <f t="array" ref="G138" xml:space="preserve"> INDEX( VfM_Metrics_2023_Consol_Source[], $D138, G$14 )</f>
        <v>0</v>
      </c>
      <c r="H138" s="22" cm="1">
        <f t="array" ref="H138" xml:space="preserve"> INDEX( VfM_Metrics_2023_Consol_Source[], $D138, H$14 )</f>
        <v>0.36763005780346819</v>
      </c>
      <c r="I138" s="22" cm="1">
        <f t="array" ref="I138" xml:space="preserve"> INDEX( VfM_Metrics_2023_Consol_Source[], $D138, I$14 )</f>
        <v>1.3364161849710983E-2</v>
      </c>
      <c r="J138" s="22" cm="1">
        <f t="array" ref="J138" xml:space="preserve"> INDEX( VfM_Metrics_2023_Consol_Source[], $D138, J$14 )</f>
        <v>2.5895953757225434E-3</v>
      </c>
      <c r="K138" s="22" cm="1">
        <f t="array" ref="K138" xml:space="preserve"> INDEX( VfM_Metrics_2023_Consol_Source[], $D138, K$14 )</f>
        <v>4.6242774566473991E-5</v>
      </c>
      <c r="L138" s="22" cm="1">
        <f t="array" ref="L138" xml:space="preserve"> INDEX( VfM_Metrics_2023_Consol_Source[], $D138, L$14 )</f>
        <v>0</v>
      </c>
      <c r="M138" s="22" cm="1">
        <f t="array" ref="M138" xml:space="preserve"> INDEX( VfM_Metrics_2023_Consol_Source[], $D138, M$14 )</f>
        <v>0</v>
      </c>
      <c r="N138" s="23">
        <f xml:space="preserve"> -- AND( tblFilterRegion[[#This Row],[London]] &gt;= $N$10, N$13 = "Yes" )</f>
        <v>0</v>
      </c>
      <c r="O138" s="23">
        <f xml:space="preserve"> -- AND( tblFilterRegion[[#This Row],[South East]] &gt;= $N$10, O$13 = "Yes" )</f>
        <v>0</v>
      </c>
      <c r="P138" s="23">
        <f xml:space="preserve"> -- AND( tblFilterRegion[[#This Row],[South West]] &gt;= $N$10, P$13 = "Yes" )</f>
        <v>0</v>
      </c>
      <c r="Q138" s="23">
        <f xml:space="preserve"> -- AND( tblFilterRegion[[#This Row],[East Midlands]] &gt;= $N$10, Q$13 = "Yes" )</f>
        <v>0</v>
      </c>
      <c r="R138" s="23">
        <f xml:space="preserve"> -- AND( tblFilterRegion[[#This Row],[West Midlands]] &gt;= $N$10, R$13 = "Yes" )</f>
        <v>0</v>
      </c>
      <c r="S138" s="23">
        <f xml:space="preserve"> -- AND( tblFilterRegion[[#This Row],[East of England]] &gt;= $N$10, S$13 = "Yes" )</f>
        <v>0</v>
      </c>
      <c r="T138" s="23">
        <f xml:space="preserve"> -- AND( tblFilterRegion[[#This Row],[North East]] &gt;= $N$10, T$13 = "Yes" )</f>
        <v>0</v>
      </c>
      <c r="U138" s="23">
        <f xml:space="preserve"> -- AND( tblFilterRegion[[#This Row],[North West]] &gt;= $N$10, U$13 = "Yes" )</f>
        <v>0</v>
      </c>
      <c r="V138" s="23">
        <f xml:space="preserve"> -- AND( tblFilterRegion[[#This Row],[Yorkshire &amp; the Humber]] &gt;= $N$10, V$13 = "Yes" )</f>
        <v>0</v>
      </c>
      <c r="W138" s="22">
        <f xml:space="preserve"> SUMIF( $E$13:$M$13, "Yes", tblFilterRegion[[#This Row],[London]:[Yorkshire &amp; the Humber]] )</f>
        <v>0</v>
      </c>
      <c r="X138" s="23">
        <f xml:space="preserve"> -- ( SUM( tblFilterRegion[[#This Row],[Incl for Lon]:[Incl for YH]] ) &gt; 0 )</f>
        <v>0</v>
      </c>
      <c r="Y138" s="23">
        <f xml:space="preserve"> -- ( tblFilterRegion[[#This Row],[Total in selected regions]] &gt; $N$10 )</f>
        <v>0</v>
      </c>
      <c r="Z138" s="24">
        <f xml:space="preserve"> IF( RegionMinimum = 0, 1, IF( $R$10 = $U$8, tblFilterRegion[[#This Row],[Include for region - any]], IF( $R$10 = $U$10, tblFilterRegion[[#This Row],[Include for region - total]], "CHECK" ) ) )</f>
        <v>1</v>
      </c>
      <c r="AA138" s="131" t="str" cm="1">
        <f t="array" ref="AA138" xml:space="preserve"> INDEX( VfM_Metrics_2023_Consol_Source[], $D138, AA$14 )</f>
        <v>Mixed</v>
      </c>
    </row>
    <row r="139" spans="2:27" x14ac:dyDescent="0.2">
      <c r="B139" s="159" t="s" vm="124">
        <v>393</v>
      </c>
      <c r="C139" s="154" t="str" vm="242">
        <f xml:space="preserve"> INDEX( VfM_Metrics_2023_Consol_Source[RP_Code], MATCH( tblFilterRegion[[#This Row],[RP_Name]], VfM_Metrics_2023_Consol_Source[RP_Name], 0 ) )</f>
        <v>4878</v>
      </c>
      <c r="D139" s="81">
        <f xml:space="preserve"> MATCH( tblFilterRegion[[#This Row],[RP_Code]], VfM_Metrics_2023_Consol_Source[RP_Code], 0 )</f>
        <v>124</v>
      </c>
      <c r="E139" s="22" cm="1">
        <f t="array" ref="E139" xml:space="preserve"> INDEX( VfM_Metrics_2023_Consol_Source[], $D139, E$14 )</f>
        <v>0.68377649157926801</v>
      </c>
      <c r="F139" s="22" cm="1">
        <f t="array" ref="F139" xml:space="preserve"> INDEX( VfM_Metrics_2023_Consol_Source[], $D139, F$14 )</f>
        <v>0.19320901692849993</v>
      </c>
      <c r="G139" s="22" cm="1">
        <f t="array" ref="G139" xml:space="preserve"> INDEX( VfM_Metrics_2023_Consol_Source[], $D139, G$14 )</f>
        <v>6.5276992036206969E-5</v>
      </c>
      <c r="H139" s="22" cm="1">
        <f t="array" ref="H139" xml:space="preserve"> INDEX( VfM_Metrics_2023_Consol_Source[], $D139, H$14 )</f>
        <v>1.0444318725793115E-3</v>
      </c>
      <c r="I139" s="22" cm="1">
        <f t="array" ref="I139" xml:space="preserve"> INDEX( VfM_Metrics_2023_Consol_Source[], $D139, I$14 )</f>
        <v>0</v>
      </c>
      <c r="J139" s="22" cm="1">
        <f t="array" ref="J139" xml:space="preserve"> INDEX( VfM_Metrics_2023_Consol_Source[], $D139, J$14 )</f>
        <v>0.12189390312894381</v>
      </c>
      <c r="K139" s="22" cm="1">
        <f t="array" ref="K139" xml:space="preserve"> INDEX( VfM_Metrics_2023_Consol_Source[], $D139, K$14 )</f>
        <v>0</v>
      </c>
      <c r="L139" s="22" cm="1">
        <f t="array" ref="L139" xml:space="preserve"> INDEX( VfM_Metrics_2023_Consol_Source[], $D139, L$14 )</f>
        <v>0</v>
      </c>
      <c r="M139" s="22" cm="1">
        <f t="array" ref="M139" xml:space="preserve"> INDEX( VfM_Metrics_2023_Consol_Source[], $D139, M$14 )</f>
        <v>1.0879498672701162E-5</v>
      </c>
      <c r="N139" s="23">
        <f xml:space="preserve"> -- AND( tblFilterRegion[[#This Row],[London]] &gt;= $N$10, N$13 = "Yes" )</f>
        <v>0</v>
      </c>
      <c r="O139" s="23">
        <f xml:space="preserve"> -- AND( tblFilterRegion[[#This Row],[South East]] &gt;= $N$10, O$13 = "Yes" )</f>
        <v>0</v>
      </c>
      <c r="P139" s="23">
        <f xml:space="preserve"> -- AND( tblFilterRegion[[#This Row],[South West]] &gt;= $N$10, P$13 = "Yes" )</f>
        <v>0</v>
      </c>
      <c r="Q139" s="23">
        <f xml:space="preserve"> -- AND( tblFilterRegion[[#This Row],[East Midlands]] &gt;= $N$10, Q$13 = "Yes" )</f>
        <v>0</v>
      </c>
      <c r="R139" s="23">
        <f xml:space="preserve"> -- AND( tblFilterRegion[[#This Row],[West Midlands]] &gt;= $N$10, R$13 = "Yes" )</f>
        <v>0</v>
      </c>
      <c r="S139" s="23">
        <f xml:space="preserve"> -- AND( tblFilterRegion[[#This Row],[East of England]] &gt;= $N$10, S$13 = "Yes" )</f>
        <v>0</v>
      </c>
      <c r="T139" s="23">
        <f xml:space="preserve"> -- AND( tblFilterRegion[[#This Row],[North East]] &gt;= $N$10, T$13 = "Yes" )</f>
        <v>0</v>
      </c>
      <c r="U139" s="23">
        <f xml:space="preserve"> -- AND( tblFilterRegion[[#This Row],[North West]] &gt;= $N$10, U$13 = "Yes" )</f>
        <v>0</v>
      </c>
      <c r="V139" s="23">
        <f xml:space="preserve"> -- AND( tblFilterRegion[[#This Row],[Yorkshire &amp; the Humber]] &gt;= $N$10, V$13 = "Yes" )</f>
        <v>0</v>
      </c>
      <c r="W139" s="22">
        <f xml:space="preserve"> SUMIF( $E$13:$M$13, "Yes", tblFilterRegion[[#This Row],[London]:[Yorkshire &amp; the Humber]] )</f>
        <v>0</v>
      </c>
      <c r="X139" s="23">
        <f xml:space="preserve"> -- ( SUM( tblFilterRegion[[#This Row],[Incl for Lon]:[Incl for YH]] ) &gt; 0 )</f>
        <v>0</v>
      </c>
      <c r="Y139" s="23">
        <f xml:space="preserve"> -- ( tblFilterRegion[[#This Row],[Total in selected regions]] &gt; $N$10 )</f>
        <v>0</v>
      </c>
      <c r="Z139" s="24">
        <f xml:space="preserve"> IF( RegionMinimum = 0, 1, IF( $R$10 = $U$8, tblFilterRegion[[#This Row],[Include for region - any]], IF( $R$10 = $U$10, tblFilterRegion[[#This Row],[Include for region - total]], "CHECK" ) ) )</f>
        <v>1</v>
      </c>
      <c r="AA139" s="131" t="str" cm="1">
        <f t="array" ref="AA139" xml:space="preserve"> INDEX( VfM_Metrics_2023_Consol_Source[], $D139, AA$14 )</f>
        <v>London</v>
      </c>
    </row>
    <row r="140" spans="2:27" x14ac:dyDescent="0.2">
      <c r="B140" s="159" t="s" vm="125">
        <v>395</v>
      </c>
      <c r="C140" s="154" t="str" vm="357">
        <f xml:space="preserve"> INDEX( VfM_Metrics_2023_Consol_Source[RP_Code], MATCH( tblFilterRegion[[#This Row],[RP_Name]], VfM_Metrics_2023_Consol_Source[RP_Name], 0 ) )</f>
        <v>L4505</v>
      </c>
      <c r="D140" s="81">
        <f xml:space="preserve"> MATCH( tblFilterRegion[[#This Row],[RP_Code]], VfM_Metrics_2023_Consol_Source[RP_Code], 0 )</f>
        <v>125</v>
      </c>
      <c r="E140" s="22" cm="1">
        <f t="array" ref="E140" xml:space="preserve"> INDEX( VfM_Metrics_2023_Consol_Source[], $D140, E$14 )</f>
        <v>1</v>
      </c>
      <c r="F140" s="22" cm="1">
        <f t="array" ref="F140" xml:space="preserve"> INDEX( VfM_Metrics_2023_Consol_Source[], $D140, F$14 )</f>
        <v>0</v>
      </c>
      <c r="G140" s="22" cm="1">
        <f t="array" ref="G140" xml:space="preserve"> INDEX( VfM_Metrics_2023_Consol_Source[], $D140, G$14 )</f>
        <v>0</v>
      </c>
      <c r="H140" s="22" cm="1">
        <f t="array" ref="H140" xml:space="preserve"> INDEX( VfM_Metrics_2023_Consol_Source[], $D140, H$14 )</f>
        <v>0</v>
      </c>
      <c r="I140" s="22" cm="1">
        <f t="array" ref="I140" xml:space="preserve"> INDEX( VfM_Metrics_2023_Consol_Source[], $D140, I$14 )</f>
        <v>0</v>
      </c>
      <c r="J140" s="22" cm="1">
        <f t="array" ref="J140" xml:space="preserve"> INDEX( VfM_Metrics_2023_Consol_Source[], $D140, J$14 )</f>
        <v>0</v>
      </c>
      <c r="K140" s="22" cm="1">
        <f t="array" ref="K140" xml:space="preserve"> INDEX( VfM_Metrics_2023_Consol_Source[], $D140, K$14 )</f>
        <v>0</v>
      </c>
      <c r="L140" s="22" cm="1">
        <f t="array" ref="L140" xml:space="preserve"> INDEX( VfM_Metrics_2023_Consol_Source[], $D140, L$14 )</f>
        <v>0</v>
      </c>
      <c r="M140" s="22" cm="1">
        <f t="array" ref="M140" xml:space="preserve"> INDEX( VfM_Metrics_2023_Consol_Source[], $D140, M$14 )</f>
        <v>0</v>
      </c>
      <c r="N140" s="23">
        <f xml:space="preserve"> -- AND( tblFilterRegion[[#This Row],[London]] &gt;= $N$10, N$13 = "Yes" )</f>
        <v>0</v>
      </c>
      <c r="O140" s="23">
        <f xml:space="preserve"> -- AND( tblFilterRegion[[#This Row],[South East]] &gt;= $N$10, O$13 = "Yes" )</f>
        <v>0</v>
      </c>
      <c r="P140" s="23">
        <f xml:space="preserve"> -- AND( tblFilterRegion[[#This Row],[South West]] &gt;= $N$10, P$13 = "Yes" )</f>
        <v>0</v>
      </c>
      <c r="Q140" s="23">
        <f xml:space="preserve"> -- AND( tblFilterRegion[[#This Row],[East Midlands]] &gt;= $N$10, Q$13 = "Yes" )</f>
        <v>0</v>
      </c>
      <c r="R140" s="23">
        <f xml:space="preserve"> -- AND( tblFilterRegion[[#This Row],[West Midlands]] &gt;= $N$10, R$13 = "Yes" )</f>
        <v>0</v>
      </c>
      <c r="S140" s="23">
        <f xml:space="preserve"> -- AND( tblFilterRegion[[#This Row],[East of England]] &gt;= $N$10, S$13 = "Yes" )</f>
        <v>0</v>
      </c>
      <c r="T140" s="23">
        <f xml:space="preserve"> -- AND( tblFilterRegion[[#This Row],[North East]] &gt;= $N$10, T$13 = "Yes" )</f>
        <v>0</v>
      </c>
      <c r="U140" s="23">
        <f xml:space="preserve"> -- AND( tblFilterRegion[[#This Row],[North West]] &gt;= $N$10, U$13 = "Yes" )</f>
        <v>0</v>
      </c>
      <c r="V140" s="23">
        <f xml:space="preserve"> -- AND( tblFilterRegion[[#This Row],[Yorkshire &amp; the Humber]] &gt;= $N$10, V$13 = "Yes" )</f>
        <v>0</v>
      </c>
      <c r="W140" s="22">
        <f xml:space="preserve"> SUMIF( $E$13:$M$13, "Yes", tblFilterRegion[[#This Row],[London]:[Yorkshire &amp; the Humber]] )</f>
        <v>0</v>
      </c>
      <c r="X140" s="23">
        <f xml:space="preserve"> -- ( SUM( tblFilterRegion[[#This Row],[Incl for Lon]:[Incl for YH]] ) &gt; 0 )</f>
        <v>0</v>
      </c>
      <c r="Y140" s="23">
        <f xml:space="preserve"> -- ( tblFilterRegion[[#This Row],[Total in selected regions]] &gt; $N$10 )</f>
        <v>0</v>
      </c>
      <c r="Z140" s="24">
        <f xml:space="preserve"> IF( RegionMinimum = 0, 1, IF( $R$10 = $U$8, tblFilterRegion[[#This Row],[Include for region - any]], IF( $R$10 = $U$10, tblFilterRegion[[#This Row],[Include for region - total]], "CHECK" ) ) )</f>
        <v>1</v>
      </c>
      <c r="AA140" s="131" t="str" cm="1">
        <f t="array" ref="AA140" xml:space="preserve"> INDEX( VfM_Metrics_2023_Consol_Source[], $D140, AA$14 )</f>
        <v>London</v>
      </c>
    </row>
    <row r="141" spans="2:27" x14ac:dyDescent="0.2">
      <c r="B141" s="159" t="s" vm="126">
        <v>397</v>
      </c>
      <c r="C141" s="154" t="str" vm="220">
        <f xml:space="preserve"> INDEX( VfM_Metrics_2023_Consol_Source[RP_Code], MATCH( tblFilterRegion[[#This Row],[RP_Name]], VfM_Metrics_2023_Consol_Source[RP_Name], 0 ) )</f>
        <v>A4020</v>
      </c>
      <c r="D141" s="81">
        <f xml:space="preserve"> MATCH( tblFilterRegion[[#This Row],[RP_Code]], VfM_Metrics_2023_Consol_Source[RP_Code], 0 )</f>
        <v>126</v>
      </c>
      <c r="E141" s="22" cm="1">
        <f t="array" ref="E141" xml:space="preserve"> INDEX( VfM_Metrics_2023_Consol_Source[], $D141, E$14 )</f>
        <v>0</v>
      </c>
      <c r="F141" s="22" cm="1">
        <f t="array" ref="F141" xml:space="preserve"> INDEX( VfM_Metrics_2023_Consol_Source[], $D141, F$14 )</f>
        <v>0</v>
      </c>
      <c r="G141" s="22" cm="1">
        <f t="array" ref="G141" xml:space="preserve"> INDEX( VfM_Metrics_2023_Consol_Source[], $D141, G$14 )</f>
        <v>0</v>
      </c>
      <c r="H141" s="22" cm="1">
        <f t="array" ref="H141" xml:space="preserve"> INDEX( VfM_Metrics_2023_Consol_Source[], $D141, H$14 )</f>
        <v>0</v>
      </c>
      <c r="I141" s="22" cm="1">
        <f t="array" ref="I141" xml:space="preserve"> INDEX( VfM_Metrics_2023_Consol_Source[], $D141, I$14 )</f>
        <v>0</v>
      </c>
      <c r="J141" s="22" cm="1">
        <f t="array" ref="J141" xml:space="preserve"> INDEX( VfM_Metrics_2023_Consol_Source[], $D141, J$14 )</f>
        <v>0</v>
      </c>
      <c r="K141" s="22" cm="1">
        <f t="array" ref="K141" xml:space="preserve"> INDEX( VfM_Metrics_2023_Consol_Source[], $D141, K$14 )</f>
        <v>0</v>
      </c>
      <c r="L141" s="22" cm="1">
        <f t="array" ref="L141" xml:space="preserve"> INDEX( VfM_Metrics_2023_Consol_Source[], $D141, L$14 )</f>
        <v>0</v>
      </c>
      <c r="M141" s="22" cm="1">
        <f t="array" ref="M141" xml:space="preserve"> INDEX( VfM_Metrics_2023_Consol_Source[], $D141, M$14 )</f>
        <v>1</v>
      </c>
      <c r="N141" s="23">
        <f xml:space="preserve"> -- AND( tblFilterRegion[[#This Row],[London]] &gt;= $N$10, N$13 = "Yes" )</f>
        <v>0</v>
      </c>
      <c r="O141" s="23">
        <f xml:space="preserve"> -- AND( tblFilterRegion[[#This Row],[South East]] &gt;= $N$10, O$13 = "Yes" )</f>
        <v>0</v>
      </c>
      <c r="P141" s="23">
        <f xml:space="preserve"> -- AND( tblFilterRegion[[#This Row],[South West]] &gt;= $N$10, P$13 = "Yes" )</f>
        <v>0</v>
      </c>
      <c r="Q141" s="23">
        <f xml:space="preserve"> -- AND( tblFilterRegion[[#This Row],[East Midlands]] &gt;= $N$10, Q$13 = "Yes" )</f>
        <v>0</v>
      </c>
      <c r="R141" s="23">
        <f xml:space="preserve"> -- AND( tblFilterRegion[[#This Row],[West Midlands]] &gt;= $N$10, R$13 = "Yes" )</f>
        <v>0</v>
      </c>
      <c r="S141" s="23">
        <f xml:space="preserve"> -- AND( tblFilterRegion[[#This Row],[East of England]] &gt;= $N$10, S$13 = "Yes" )</f>
        <v>0</v>
      </c>
      <c r="T141" s="23">
        <f xml:space="preserve"> -- AND( tblFilterRegion[[#This Row],[North East]] &gt;= $N$10, T$13 = "Yes" )</f>
        <v>0</v>
      </c>
      <c r="U141" s="23">
        <f xml:space="preserve"> -- AND( tblFilterRegion[[#This Row],[North West]] &gt;= $N$10, U$13 = "Yes" )</f>
        <v>0</v>
      </c>
      <c r="V141" s="23">
        <f xml:space="preserve"> -- AND( tblFilterRegion[[#This Row],[Yorkshire &amp; the Humber]] &gt;= $N$10, V$13 = "Yes" )</f>
        <v>0</v>
      </c>
      <c r="W141" s="22">
        <f xml:space="preserve"> SUMIF( $E$13:$M$13, "Yes", tblFilterRegion[[#This Row],[London]:[Yorkshire &amp; the Humber]] )</f>
        <v>0</v>
      </c>
      <c r="X141" s="23">
        <f xml:space="preserve"> -- ( SUM( tblFilterRegion[[#This Row],[Incl for Lon]:[Incl for YH]] ) &gt; 0 )</f>
        <v>0</v>
      </c>
      <c r="Y141" s="23">
        <f xml:space="preserve"> -- ( tblFilterRegion[[#This Row],[Total in selected regions]] &gt; $N$10 )</f>
        <v>0</v>
      </c>
      <c r="Z141" s="24">
        <f xml:space="preserve"> IF( RegionMinimum = 0, 1, IF( $R$10 = $U$8, tblFilterRegion[[#This Row],[Include for region - any]], IF( $R$10 = $U$10, tblFilterRegion[[#This Row],[Include for region - total]], "CHECK" ) ) )</f>
        <v>1</v>
      </c>
      <c r="AA141" s="131" t="str" cm="1">
        <f t="array" ref="AA141" xml:space="preserve"> INDEX( VfM_Metrics_2023_Consol_Source[], $D141, AA$14 )</f>
        <v>Yorkshire &amp; the Humber</v>
      </c>
    </row>
    <row r="142" spans="2:27" x14ac:dyDescent="0.2">
      <c r="B142" s="159" t="s" vm="127">
        <v>399</v>
      </c>
      <c r="C142" s="154" t="str" vm="267">
        <f xml:space="preserve"> INDEX( VfM_Metrics_2023_Consol_Source[RP_Code], MATCH( tblFilterRegion[[#This Row],[RP_Name]], VfM_Metrics_2023_Consol_Source[RP_Name], 0 ) )</f>
        <v>L4236</v>
      </c>
      <c r="D142" s="81">
        <f xml:space="preserve"> MATCH( tblFilterRegion[[#This Row],[RP_Code]], VfM_Metrics_2023_Consol_Source[RP_Code], 0 )</f>
        <v>127</v>
      </c>
      <c r="E142" s="22" cm="1">
        <f t="array" ref="E142" xml:space="preserve"> INDEX( VfM_Metrics_2023_Consol_Source[], $D142, E$14 )</f>
        <v>4.087922783680753E-2</v>
      </c>
      <c r="F142" s="22" cm="1">
        <f t="array" ref="F142" xml:space="preserve"> INDEX( VfM_Metrics_2023_Consol_Source[], $D142, F$14 )</f>
        <v>9.5936410090031635E-2</v>
      </c>
      <c r="G142" s="22" cm="1">
        <f t="array" ref="G142" xml:space="preserve"> INDEX( VfM_Metrics_2023_Consol_Source[], $D142, G$14 )</f>
        <v>5.0871927974693809E-2</v>
      </c>
      <c r="H142" s="22" cm="1">
        <f t="array" ref="H142" xml:space="preserve"> INDEX( VfM_Metrics_2023_Consol_Source[], $D142, H$14 )</f>
        <v>0.17346094573769161</v>
      </c>
      <c r="I142" s="22" cm="1">
        <f t="array" ref="I142" xml:space="preserve"> INDEX( VfM_Metrics_2023_Consol_Source[], $D142, I$14 )</f>
        <v>5.1585692270257116E-3</v>
      </c>
      <c r="J142" s="22" cm="1">
        <f t="array" ref="J142" xml:space="preserve"> INDEX( VfM_Metrics_2023_Consol_Source[], $D142, J$14 )</f>
        <v>0.1873793495011761</v>
      </c>
      <c r="K142" s="22" cm="1">
        <f t="array" ref="K142" xml:space="preserve"> INDEX( VfM_Metrics_2023_Consol_Source[], $D142, K$14 )</f>
        <v>8.1060913293860004E-2</v>
      </c>
      <c r="L142" s="22" cm="1">
        <f t="array" ref="L142" xml:space="preserve"> INDEX( VfM_Metrics_2023_Consol_Source[], $D142, L$14 )</f>
        <v>0.20262795036093761</v>
      </c>
      <c r="M142" s="22" cm="1">
        <f t="array" ref="M142" xml:space="preserve"> INDEX( VfM_Metrics_2023_Consol_Source[], $D142, M$14 )</f>
        <v>0.16262470597777598</v>
      </c>
      <c r="N142" s="23">
        <f xml:space="preserve"> -- AND( tblFilterRegion[[#This Row],[London]] &gt;= $N$10, N$13 = "Yes" )</f>
        <v>0</v>
      </c>
      <c r="O142" s="23">
        <f xml:space="preserve"> -- AND( tblFilterRegion[[#This Row],[South East]] &gt;= $N$10, O$13 = "Yes" )</f>
        <v>0</v>
      </c>
      <c r="P142" s="23">
        <f xml:space="preserve"> -- AND( tblFilterRegion[[#This Row],[South West]] &gt;= $N$10, P$13 = "Yes" )</f>
        <v>0</v>
      </c>
      <c r="Q142" s="23">
        <f xml:space="preserve"> -- AND( tblFilterRegion[[#This Row],[East Midlands]] &gt;= $N$10, Q$13 = "Yes" )</f>
        <v>0</v>
      </c>
      <c r="R142" s="23">
        <f xml:space="preserve"> -- AND( tblFilterRegion[[#This Row],[West Midlands]] &gt;= $N$10, R$13 = "Yes" )</f>
        <v>0</v>
      </c>
      <c r="S142" s="23">
        <f xml:space="preserve"> -- AND( tblFilterRegion[[#This Row],[East of England]] &gt;= $N$10, S$13 = "Yes" )</f>
        <v>0</v>
      </c>
      <c r="T142" s="23">
        <f xml:space="preserve"> -- AND( tblFilterRegion[[#This Row],[North East]] &gt;= $N$10, T$13 = "Yes" )</f>
        <v>0</v>
      </c>
      <c r="U142" s="23">
        <f xml:space="preserve"> -- AND( tblFilterRegion[[#This Row],[North West]] &gt;= $N$10, U$13 = "Yes" )</f>
        <v>0</v>
      </c>
      <c r="V142" s="23">
        <f xml:space="preserve"> -- AND( tblFilterRegion[[#This Row],[Yorkshire &amp; the Humber]] &gt;= $N$10, V$13 = "Yes" )</f>
        <v>0</v>
      </c>
      <c r="W142" s="22">
        <f xml:space="preserve"> SUMIF( $E$13:$M$13, "Yes", tblFilterRegion[[#This Row],[London]:[Yorkshire &amp; the Humber]] )</f>
        <v>0</v>
      </c>
      <c r="X142" s="23">
        <f xml:space="preserve"> -- ( SUM( tblFilterRegion[[#This Row],[Incl for Lon]:[Incl for YH]] ) &gt; 0 )</f>
        <v>0</v>
      </c>
      <c r="Y142" s="23">
        <f xml:space="preserve"> -- ( tblFilterRegion[[#This Row],[Total in selected regions]] &gt; $N$10 )</f>
        <v>0</v>
      </c>
      <c r="Z142" s="24">
        <f xml:space="preserve"> IF( RegionMinimum = 0, 1, IF( $R$10 = $U$8, tblFilterRegion[[#This Row],[Include for region - any]], IF( $R$10 = $U$10, tblFilterRegion[[#This Row],[Include for region - total]], "CHECK" ) ) )</f>
        <v>1</v>
      </c>
      <c r="AA142" s="131" t="str" cm="1">
        <f t="array" ref="AA142" xml:space="preserve"> INDEX( VfM_Metrics_2023_Consol_Source[], $D142, AA$14 )</f>
        <v>Mixed</v>
      </c>
    </row>
    <row r="143" spans="2:27" x14ac:dyDescent="0.2">
      <c r="B143" s="159" t="s" vm="128">
        <v>401</v>
      </c>
      <c r="C143" s="154" t="str" vm="266">
        <f xml:space="preserve"> INDEX( VfM_Metrics_2023_Consol_Source[RP_Code], MATCH( tblFilterRegion[[#This Row],[RP_Name]], VfM_Metrics_2023_Consol_Source[RP_Name], 0 ) )</f>
        <v>4789</v>
      </c>
      <c r="D143" s="81">
        <f xml:space="preserve"> MATCH( tblFilterRegion[[#This Row],[RP_Code]], VfM_Metrics_2023_Consol_Source[RP_Code], 0 )</f>
        <v>128</v>
      </c>
      <c r="E143" s="22" cm="1">
        <f t="array" ref="E143" xml:space="preserve"> INDEX( VfM_Metrics_2023_Consol_Source[], $D143, E$14 )</f>
        <v>0</v>
      </c>
      <c r="F143" s="22" cm="1">
        <f t="array" ref="F143" xml:space="preserve"> INDEX( VfM_Metrics_2023_Consol_Source[], $D143, F$14 )</f>
        <v>7.3705308075257001E-3</v>
      </c>
      <c r="G143" s="22" cm="1">
        <f t="array" ref="G143" xml:space="preserve"> INDEX( VfM_Metrics_2023_Consol_Source[], $D143, G$14 )</f>
        <v>7.8015560009482557E-3</v>
      </c>
      <c r="H143" s="22" cm="1">
        <f t="array" ref="H143" xml:space="preserve"> INDEX( VfM_Metrics_2023_Consol_Source[], $D143, H$14 )</f>
        <v>0.44445162819766815</v>
      </c>
      <c r="I143" s="22" cm="1">
        <f t="array" ref="I143" xml:space="preserve"> INDEX( VfM_Metrics_2023_Consol_Source[], $D143, I$14 )</f>
        <v>0.53927717075063042</v>
      </c>
      <c r="J143" s="22" cm="1">
        <f t="array" ref="J143" xml:space="preserve"> INDEX( VfM_Metrics_2023_Consol_Source[], $D143, J$14 )</f>
        <v>8.6205038684511112E-4</v>
      </c>
      <c r="K143" s="22" cm="1">
        <f t="array" ref="K143" xml:space="preserve"> INDEX( VfM_Metrics_2023_Consol_Source[], $D143, K$14 )</f>
        <v>0</v>
      </c>
      <c r="L143" s="22" cm="1">
        <f t="array" ref="L143" xml:space="preserve"> INDEX( VfM_Metrics_2023_Consol_Source[], $D143, L$14 )</f>
        <v>2.3706385638240556E-4</v>
      </c>
      <c r="M143" s="22" cm="1">
        <f t="array" ref="M143" xml:space="preserve"> INDEX( VfM_Metrics_2023_Consol_Source[], $D143, M$14 )</f>
        <v>0</v>
      </c>
      <c r="N143" s="23">
        <f xml:space="preserve"> -- AND( tblFilterRegion[[#This Row],[London]] &gt;= $N$10, N$13 = "Yes" )</f>
        <v>0</v>
      </c>
      <c r="O143" s="23">
        <f xml:space="preserve"> -- AND( tblFilterRegion[[#This Row],[South East]] &gt;= $N$10, O$13 = "Yes" )</f>
        <v>0</v>
      </c>
      <c r="P143" s="23">
        <f xml:space="preserve"> -- AND( tblFilterRegion[[#This Row],[South West]] &gt;= $N$10, P$13 = "Yes" )</f>
        <v>0</v>
      </c>
      <c r="Q143" s="23">
        <f xml:space="preserve"> -- AND( tblFilterRegion[[#This Row],[East Midlands]] &gt;= $N$10, Q$13 = "Yes" )</f>
        <v>0</v>
      </c>
      <c r="R143" s="23">
        <f xml:space="preserve"> -- AND( tblFilterRegion[[#This Row],[West Midlands]] &gt;= $N$10, R$13 = "Yes" )</f>
        <v>0</v>
      </c>
      <c r="S143" s="23">
        <f xml:space="preserve"> -- AND( tblFilterRegion[[#This Row],[East of England]] &gt;= $N$10, S$13 = "Yes" )</f>
        <v>0</v>
      </c>
      <c r="T143" s="23">
        <f xml:space="preserve"> -- AND( tblFilterRegion[[#This Row],[North East]] &gt;= $N$10, T$13 = "Yes" )</f>
        <v>0</v>
      </c>
      <c r="U143" s="23">
        <f xml:space="preserve"> -- AND( tblFilterRegion[[#This Row],[North West]] &gt;= $N$10, U$13 = "Yes" )</f>
        <v>0</v>
      </c>
      <c r="V143" s="23">
        <f xml:space="preserve"> -- AND( tblFilterRegion[[#This Row],[Yorkshire &amp; the Humber]] &gt;= $N$10, V$13 = "Yes" )</f>
        <v>0</v>
      </c>
      <c r="W143" s="22">
        <f xml:space="preserve"> SUMIF( $E$13:$M$13, "Yes", tblFilterRegion[[#This Row],[London]:[Yorkshire &amp; the Humber]] )</f>
        <v>0</v>
      </c>
      <c r="X143" s="23">
        <f xml:space="preserve"> -- ( SUM( tblFilterRegion[[#This Row],[Incl for Lon]:[Incl for YH]] ) &gt; 0 )</f>
        <v>0</v>
      </c>
      <c r="Y143" s="23">
        <f xml:space="preserve"> -- ( tblFilterRegion[[#This Row],[Total in selected regions]] &gt; $N$10 )</f>
        <v>0</v>
      </c>
      <c r="Z143" s="24">
        <f xml:space="preserve"> IF( RegionMinimum = 0, 1, IF( $R$10 = $U$8, tblFilterRegion[[#This Row],[Include for region - any]], IF( $R$10 = $U$10, tblFilterRegion[[#This Row],[Include for region - total]], "CHECK" ) ) )</f>
        <v>1</v>
      </c>
      <c r="AA143" s="131" t="str" cm="1">
        <f t="array" ref="AA143" xml:space="preserve"> INDEX( VfM_Metrics_2023_Consol_Source[], $D143, AA$14 )</f>
        <v>West Midlands</v>
      </c>
    </row>
    <row r="144" spans="2:27" x14ac:dyDescent="0.2">
      <c r="B144" s="159" t="s" vm="129">
        <v>403</v>
      </c>
      <c r="C144" s="154" t="str" vm="274">
        <f xml:space="preserve"> INDEX( VfM_Metrics_2023_Consol_Source[RP_Code], MATCH( tblFilterRegion[[#This Row],[RP_Name]], VfM_Metrics_2023_Consol_Source[RP_Name], 0 ) )</f>
        <v>L4556</v>
      </c>
      <c r="D144" s="81">
        <f xml:space="preserve"> MATCH( tblFilterRegion[[#This Row],[RP_Code]], VfM_Metrics_2023_Consol_Source[RP_Code], 0 )</f>
        <v>129</v>
      </c>
      <c r="E144" s="22" cm="1">
        <f t="array" ref="E144" xml:space="preserve"> INDEX( VfM_Metrics_2023_Consol_Source[], $D144, E$14 )</f>
        <v>0</v>
      </c>
      <c r="F144" s="22" cm="1">
        <f t="array" ref="F144" xml:space="preserve"> INDEX( VfM_Metrics_2023_Consol_Source[], $D144, F$14 )</f>
        <v>0</v>
      </c>
      <c r="G144" s="22" cm="1">
        <f t="array" ref="G144" xml:space="preserve"> INDEX( VfM_Metrics_2023_Consol_Source[], $D144, G$14 )</f>
        <v>0</v>
      </c>
      <c r="H144" s="22" cm="1">
        <f t="array" ref="H144" xml:space="preserve"> INDEX( VfM_Metrics_2023_Consol_Source[], $D144, H$14 )</f>
        <v>0</v>
      </c>
      <c r="I144" s="22" cm="1">
        <f t="array" ref="I144" xml:space="preserve"> INDEX( VfM_Metrics_2023_Consol_Source[], $D144, I$14 )</f>
        <v>1.4487228364468167E-3</v>
      </c>
      <c r="J144" s="22" cm="1">
        <f t="array" ref="J144" xml:space="preserve"> INDEX( VfM_Metrics_2023_Consol_Source[], $D144, J$14 )</f>
        <v>0</v>
      </c>
      <c r="K144" s="22" cm="1">
        <f t="array" ref="K144" xml:space="preserve"> INDEX( VfM_Metrics_2023_Consol_Source[], $D144, K$14 )</f>
        <v>0</v>
      </c>
      <c r="L144" s="22" cm="1">
        <f t="array" ref="L144" xml:space="preserve"> INDEX( VfM_Metrics_2023_Consol_Source[], $D144, L$14 )</f>
        <v>0.99855127716355319</v>
      </c>
      <c r="M144" s="22" cm="1">
        <f t="array" ref="M144" xml:space="preserve"> INDEX( VfM_Metrics_2023_Consol_Source[], $D144, M$14 )</f>
        <v>0</v>
      </c>
      <c r="N144" s="23">
        <f xml:space="preserve"> -- AND( tblFilterRegion[[#This Row],[London]] &gt;= $N$10, N$13 = "Yes" )</f>
        <v>0</v>
      </c>
      <c r="O144" s="23">
        <f xml:space="preserve"> -- AND( tblFilterRegion[[#This Row],[South East]] &gt;= $N$10, O$13 = "Yes" )</f>
        <v>0</v>
      </c>
      <c r="P144" s="23">
        <f xml:space="preserve"> -- AND( tblFilterRegion[[#This Row],[South West]] &gt;= $N$10, P$13 = "Yes" )</f>
        <v>0</v>
      </c>
      <c r="Q144" s="23">
        <f xml:space="preserve"> -- AND( tblFilterRegion[[#This Row],[East Midlands]] &gt;= $N$10, Q$13 = "Yes" )</f>
        <v>0</v>
      </c>
      <c r="R144" s="23">
        <f xml:space="preserve"> -- AND( tblFilterRegion[[#This Row],[West Midlands]] &gt;= $N$10, R$13 = "Yes" )</f>
        <v>0</v>
      </c>
      <c r="S144" s="23">
        <f xml:space="preserve"> -- AND( tblFilterRegion[[#This Row],[East of England]] &gt;= $N$10, S$13 = "Yes" )</f>
        <v>0</v>
      </c>
      <c r="T144" s="23">
        <f xml:space="preserve"> -- AND( tblFilterRegion[[#This Row],[North East]] &gt;= $N$10, T$13 = "Yes" )</f>
        <v>0</v>
      </c>
      <c r="U144" s="23">
        <f xml:space="preserve"> -- AND( tblFilterRegion[[#This Row],[North West]] &gt;= $N$10, U$13 = "Yes" )</f>
        <v>0</v>
      </c>
      <c r="V144" s="23">
        <f xml:space="preserve"> -- AND( tblFilterRegion[[#This Row],[Yorkshire &amp; the Humber]] &gt;= $N$10, V$13 = "Yes" )</f>
        <v>0</v>
      </c>
      <c r="W144" s="22">
        <f xml:space="preserve"> SUMIF( $E$13:$M$13, "Yes", tblFilterRegion[[#This Row],[London]:[Yorkshire &amp; the Humber]] )</f>
        <v>0</v>
      </c>
      <c r="X144" s="23">
        <f xml:space="preserve"> -- ( SUM( tblFilterRegion[[#This Row],[Incl for Lon]:[Incl for YH]] ) &gt; 0 )</f>
        <v>0</v>
      </c>
      <c r="Y144" s="23">
        <f xml:space="preserve"> -- ( tblFilterRegion[[#This Row],[Total in selected regions]] &gt; $N$10 )</f>
        <v>0</v>
      </c>
      <c r="Z144" s="24">
        <f xml:space="preserve"> IF( RegionMinimum = 0, 1, IF( $R$10 = $U$8, tblFilterRegion[[#This Row],[Include for region - any]], IF( $R$10 = $U$10, tblFilterRegion[[#This Row],[Include for region - total]], "CHECK" ) ) )</f>
        <v>1</v>
      </c>
      <c r="AA144" s="131" t="str" cm="1">
        <f t="array" ref="AA144" xml:space="preserve"> INDEX( VfM_Metrics_2023_Consol_Source[], $D144, AA$14 )</f>
        <v>North West</v>
      </c>
    </row>
    <row r="145" spans="2:27" x14ac:dyDescent="0.2">
      <c r="B145" s="159" t="s" vm="130">
        <v>405</v>
      </c>
      <c r="C145" s="154" t="str" vm="286">
        <f xml:space="preserve"> INDEX( VfM_Metrics_2023_Consol_Source[RP_Code], MATCH( tblFilterRegion[[#This Row],[RP_Name]], VfM_Metrics_2023_Consol_Source[RP_Name], 0 ) )</f>
        <v>L4543</v>
      </c>
      <c r="D145" s="81">
        <f xml:space="preserve"> MATCH( tblFilterRegion[[#This Row],[RP_Code]], VfM_Metrics_2023_Consol_Source[RP_Code], 0 )</f>
        <v>130</v>
      </c>
      <c r="E145" s="22" cm="1">
        <f t="array" ref="E145" xml:space="preserve"> INDEX( VfM_Metrics_2023_Consol_Source[], $D145, E$14 )</f>
        <v>0</v>
      </c>
      <c r="F145" s="22" cm="1">
        <f t="array" ref="F145" xml:space="preserve"> INDEX( VfM_Metrics_2023_Consol_Source[], $D145, F$14 )</f>
        <v>0</v>
      </c>
      <c r="G145" s="22" cm="1">
        <f t="array" ref="G145" xml:space="preserve"> INDEX( VfM_Metrics_2023_Consol_Source[], $D145, G$14 )</f>
        <v>1</v>
      </c>
      <c r="H145" s="22" cm="1">
        <f t="array" ref="H145" xml:space="preserve"> INDEX( VfM_Metrics_2023_Consol_Source[], $D145, H$14 )</f>
        <v>0</v>
      </c>
      <c r="I145" s="22" cm="1">
        <f t="array" ref="I145" xml:space="preserve"> INDEX( VfM_Metrics_2023_Consol_Source[], $D145, I$14 )</f>
        <v>0</v>
      </c>
      <c r="J145" s="22" cm="1">
        <f t="array" ref="J145" xml:space="preserve"> INDEX( VfM_Metrics_2023_Consol_Source[], $D145, J$14 )</f>
        <v>0</v>
      </c>
      <c r="K145" s="22" cm="1">
        <f t="array" ref="K145" xml:space="preserve"> INDEX( VfM_Metrics_2023_Consol_Source[], $D145, K$14 )</f>
        <v>0</v>
      </c>
      <c r="L145" s="22" cm="1">
        <f t="array" ref="L145" xml:space="preserve"> INDEX( VfM_Metrics_2023_Consol_Source[], $D145, L$14 )</f>
        <v>0</v>
      </c>
      <c r="M145" s="22" cm="1">
        <f t="array" ref="M145" xml:space="preserve"> INDEX( VfM_Metrics_2023_Consol_Source[], $D145, M$14 )</f>
        <v>0</v>
      </c>
      <c r="N145" s="23">
        <f xml:space="preserve"> -- AND( tblFilterRegion[[#This Row],[London]] &gt;= $N$10, N$13 = "Yes" )</f>
        <v>0</v>
      </c>
      <c r="O145" s="23">
        <f xml:space="preserve"> -- AND( tblFilterRegion[[#This Row],[South East]] &gt;= $N$10, O$13 = "Yes" )</f>
        <v>0</v>
      </c>
      <c r="P145" s="23">
        <f xml:space="preserve"> -- AND( tblFilterRegion[[#This Row],[South West]] &gt;= $N$10, P$13 = "Yes" )</f>
        <v>0</v>
      </c>
      <c r="Q145" s="23">
        <f xml:space="preserve"> -- AND( tblFilterRegion[[#This Row],[East Midlands]] &gt;= $N$10, Q$13 = "Yes" )</f>
        <v>0</v>
      </c>
      <c r="R145" s="23">
        <f xml:space="preserve"> -- AND( tblFilterRegion[[#This Row],[West Midlands]] &gt;= $N$10, R$13 = "Yes" )</f>
        <v>0</v>
      </c>
      <c r="S145" s="23">
        <f xml:space="preserve"> -- AND( tblFilterRegion[[#This Row],[East of England]] &gt;= $N$10, S$13 = "Yes" )</f>
        <v>0</v>
      </c>
      <c r="T145" s="23">
        <f xml:space="preserve"> -- AND( tblFilterRegion[[#This Row],[North East]] &gt;= $N$10, T$13 = "Yes" )</f>
        <v>0</v>
      </c>
      <c r="U145" s="23">
        <f xml:space="preserve"> -- AND( tblFilterRegion[[#This Row],[North West]] &gt;= $N$10, U$13 = "Yes" )</f>
        <v>0</v>
      </c>
      <c r="V145" s="23">
        <f xml:space="preserve"> -- AND( tblFilterRegion[[#This Row],[Yorkshire &amp; the Humber]] &gt;= $N$10, V$13 = "Yes" )</f>
        <v>0</v>
      </c>
      <c r="W145" s="22">
        <f xml:space="preserve"> SUMIF( $E$13:$M$13, "Yes", tblFilterRegion[[#This Row],[London]:[Yorkshire &amp; the Humber]] )</f>
        <v>0</v>
      </c>
      <c r="X145" s="23">
        <f xml:space="preserve"> -- ( SUM( tblFilterRegion[[#This Row],[Incl for Lon]:[Incl for YH]] ) &gt; 0 )</f>
        <v>0</v>
      </c>
      <c r="Y145" s="23">
        <f xml:space="preserve"> -- ( tblFilterRegion[[#This Row],[Total in selected regions]] &gt; $N$10 )</f>
        <v>0</v>
      </c>
      <c r="Z145" s="24">
        <f xml:space="preserve"> IF( RegionMinimum = 0, 1, IF( $R$10 = $U$8, tblFilterRegion[[#This Row],[Include for region - any]], IF( $R$10 = $U$10, tblFilterRegion[[#This Row],[Include for region - total]], "CHECK" ) ) )</f>
        <v>1</v>
      </c>
      <c r="AA145" s="131" t="str" cm="1">
        <f t="array" ref="AA145" xml:space="preserve"> INDEX( VfM_Metrics_2023_Consol_Source[], $D145, AA$14 )</f>
        <v>South West</v>
      </c>
    </row>
    <row r="146" spans="2:27" x14ac:dyDescent="0.2">
      <c r="B146" s="159" t="s" vm="131">
        <v>407</v>
      </c>
      <c r="C146" s="154" t="str" vm="350">
        <f xml:space="preserve"> INDEX( VfM_Metrics_2023_Consol_Source[RP_Code], MATCH( tblFilterRegion[[#This Row],[RP_Name]], VfM_Metrics_2023_Consol_Source[RP_Name], 0 ) )</f>
        <v>L4170</v>
      </c>
      <c r="D146" s="81">
        <f xml:space="preserve"> MATCH( tblFilterRegion[[#This Row],[RP_Code]], VfM_Metrics_2023_Consol_Source[RP_Code], 0 )</f>
        <v>131</v>
      </c>
      <c r="E146" s="22" cm="1">
        <f t="array" ref="E146" xml:space="preserve"> INDEX( VfM_Metrics_2023_Consol_Source[], $D146, E$14 )</f>
        <v>1</v>
      </c>
      <c r="F146" s="22" cm="1">
        <f t="array" ref="F146" xml:space="preserve"> INDEX( VfM_Metrics_2023_Consol_Source[], $D146, F$14 )</f>
        <v>0</v>
      </c>
      <c r="G146" s="22" cm="1">
        <f t="array" ref="G146" xml:space="preserve"> INDEX( VfM_Metrics_2023_Consol_Source[], $D146, G$14 )</f>
        <v>0</v>
      </c>
      <c r="H146" s="22" cm="1">
        <f t="array" ref="H146" xml:space="preserve"> INDEX( VfM_Metrics_2023_Consol_Source[], $D146, H$14 )</f>
        <v>0</v>
      </c>
      <c r="I146" s="22" cm="1">
        <f t="array" ref="I146" xml:space="preserve"> INDEX( VfM_Metrics_2023_Consol_Source[], $D146, I$14 )</f>
        <v>0</v>
      </c>
      <c r="J146" s="22" cm="1">
        <f t="array" ref="J146" xml:space="preserve"> INDEX( VfM_Metrics_2023_Consol_Source[], $D146, J$14 )</f>
        <v>0</v>
      </c>
      <c r="K146" s="22" cm="1">
        <f t="array" ref="K146" xml:space="preserve"> INDEX( VfM_Metrics_2023_Consol_Source[], $D146, K$14 )</f>
        <v>0</v>
      </c>
      <c r="L146" s="22" cm="1">
        <f t="array" ref="L146" xml:space="preserve"> INDEX( VfM_Metrics_2023_Consol_Source[], $D146, L$14 )</f>
        <v>0</v>
      </c>
      <c r="M146" s="22" cm="1">
        <f t="array" ref="M146" xml:space="preserve"> INDEX( VfM_Metrics_2023_Consol_Source[], $D146, M$14 )</f>
        <v>0</v>
      </c>
      <c r="N146" s="23">
        <f xml:space="preserve"> -- AND( tblFilterRegion[[#This Row],[London]] &gt;= $N$10, N$13 = "Yes" )</f>
        <v>0</v>
      </c>
      <c r="O146" s="23">
        <f xml:space="preserve"> -- AND( tblFilterRegion[[#This Row],[South East]] &gt;= $N$10, O$13 = "Yes" )</f>
        <v>0</v>
      </c>
      <c r="P146" s="23">
        <f xml:space="preserve"> -- AND( tblFilterRegion[[#This Row],[South West]] &gt;= $N$10, P$13 = "Yes" )</f>
        <v>0</v>
      </c>
      <c r="Q146" s="23">
        <f xml:space="preserve"> -- AND( tblFilterRegion[[#This Row],[East Midlands]] &gt;= $N$10, Q$13 = "Yes" )</f>
        <v>0</v>
      </c>
      <c r="R146" s="23">
        <f xml:space="preserve"> -- AND( tblFilterRegion[[#This Row],[West Midlands]] &gt;= $N$10, R$13 = "Yes" )</f>
        <v>0</v>
      </c>
      <c r="S146" s="23">
        <f xml:space="preserve"> -- AND( tblFilterRegion[[#This Row],[East of England]] &gt;= $N$10, S$13 = "Yes" )</f>
        <v>0</v>
      </c>
      <c r="T146" s="23">
        <f xml:space="preserve"> -- AND( tblFilterRegion[[#This Row],[North East]] &gt;= $N$10, T$13 = "Yes" )</f>
        <v>0</v>
      </c>
      <c r="U146" s="23">
        <f xml:space="preserve"> -- AND( tblFilterRegion[[#This Row],[North West]] &gt;= $N$10, U$13 = "Yes" )</f>
        <v>0</v>
      </c>
      <c r="V146" s="23">
        <f xml:space="preserve"> -- AND( tblFilterRegion[[#This Row],[Yorkshire &amp; the Humber]] &gt;= $N$10, V$13 = "Yes" )</f>
        <v>0</v>
      </c>
      <c r="W146" s="22">
        <f xml:space="preserve"> SUMIF( $E$13:$M$13, "Yes", tblFilterRegion[[#This Row],[London]:[Yorkshire &amp; the Humber]] )</f>
        <v>0</v>
      </c>
      <c r="X146" s="23">
        <f xml:space="preserve"> -- ( SUM( tblFilterRegion[[#This Row],[Incl for Lon]:[Incl for YH]] ) &gt; 0 )</f>
        <v>0</v>
      </c>
      <c r="Y146" s="23">
        <f xml:space="preserve"> -- ( tblFilterRegion[[#This Row],[Total in selected regions]] &gt; $N$10 )</f>
        <v>0</v>
      </c>
      <c r="Z146" s="24">
        <f xml:space="preserve"> IF( RegionMinimum = 0, 1, IF( $R$10 = $U$8, tblFilterRegion[[#This Row],[Include for region - any]], IF( $R$10 = $U$10, tblFilterRegion[[#This Row],[Include for region - total]], "CHECK" ) ) )</f>
        <v>1</v>
      </c>
      <c r="AA146" s="131" t="str" cm="1">
        <f t="array" ref="AA146" xml:space="preserve"> INDEX( VfM_Metrics_2023_Consol_Source[], $D146, AA$14 )</f>
        <v>London</v>
      </c>
    </row>
    <row r="147" spans="2:27" x14ac:dyDescent="0.2">
      <c r="B147" s="159" t="s" vm="132">
        <v>409</v>
      </c>
      <c r="C147" s="154" t="str" vm="317">
        <f xml:space="preserve"> INDEX( VfM_Metrics_2023_Consol_Source[RP_Code], MATCH( tblFilterRegion[[#This Row],[RP_Name]], VfM_Metrics_2023_Consol_Source[RP_Name], 0 ) )</f>
        <v>L1001</v>
      </c>
      <c r="D147" s="81">
        <f xml:space="preserve"> MATCH( tblFilterRegion[[#This Row],[RP_Code]], VfM_Metrics_2023_Consol_Source[RP_Code], 0 )</f>
        <v>132</v>
      </c>
      <c r="E147" s="22" cm="1">
        <f t="array" ref="E147" xml:space="preserve"> INDEX( VfM_Metrics_2023_Consol_Source[], $D147, E$14 )</f>
        <v>0</v>
      </c>
      <c r="F147" s="22" cm="1">
        <f t="array" ref="F147" xml:space="preserve"> INDEX( VfM_Metrics_2023_Consol_Source[], $D147, F$14 )</f>
        <v>0</v>
      </c>
      <c r="G147" s="22" cm="1">
        <f t="array" ref="G147" xml:space="preserve"> INDEX( VfM_Metrics_2023_Consol_Source[], $D147, G$14 )</f>
        <v>0</v>
      </c>
      <c r="H147" s="22" cm="1">
        <f t="array" ref="H147" xml:space="preserve"> INDEX( VfM_Metrics_2023_Consol_Source[], $D147, H$14 )</f>
        <v>0</v>
      </c>
      <c r="I147" s="22" cm="1">
        <f t="array" ref="I147" xml:space="preserve"> INDEX( VfM_Metrics_2023_Consol_Source[], $D147, I$14 )</f>
        <v>0</v>
      </c>
      <c r="J147" s="22" cm="1">
        <f t="array" ref="J147" xml:space="preserve"> INDEX( VfM_Metrics_2023_Consol_Source[], $D147, J$14 )</f>
        <v>0</v>
      </c>
      <c r="K147" s="22" cm="1">
        <f t="array" ref="K147" xml:space="preserve"> INDEX( VfM_Metrics_2023_Consol_Source[], $D147, K$14 )</f>
        <v>0</v>
      </c>
      <c r="L147" s="22" cm="1">
        <f t="array" ref="L147" xml:space="preserve"> INDEX( VfM_Metrics_2023_Consol_Source[], $D147, L$14 )</f>
        <v>1</v>
      </c>
      <c r="M147" s="22" cm="1">
        <f t="array" ref="M147" xml:space="preserve"> INDEX( VfM_Metrics_2023_Consol_Source[], $D147, M$14 )</f>
        <v>0</v>
      </c>
      <c r="N147" s="23">
        <f xml:space="preserve"> -- AND( tblFilterRegion[[#This Row],[London]] &gt;= $N$10, N$13 = "Yes" )</f>
        <v>0</v>
      </c>
      <c r="O147" s="23">
        <f xml:space="preserve"> -- AND( tblFilterRegion[[#This Row],[South East]] &gt;= $N$10, O$13 = "Yes" )</f>
        <v>0</v>
      </c>
      <c r="P147" s="23">
        <f xml:space="preserve"> -- AND( tblFilterRegion[[#This Row],[South West]] &gt;= $N$10, P$13 = "Yes" )</f>
        <v>0</v>
      </c>
      <c r="Q147" s="23">
        <f xml:space="preserve"> -- AND( tblFilterRegion[[#This Row],[East Midlands]] &gt;= $N$10, Q$13 = "Yes" )</f>
        <v>0</v>
      </c>
      <c r="R147" s="23">
        <f xml:space="preserve"> -- AND( tblFilterRegion[[#This Row],[West Midlands]] &gt;= $N$10, R$13 = "Yes" )</f>
        <v>0</v>
      </c>
      <c r="S147" s="23">
        <f xml:space="preserve"> -- AND( tblFilterRegion[[#This Row],[East of England]] &gt;= $N$10, S$13 = "Yes" )</f>
        <v>0</v>
      </c>
      <c r="T147" s="23">
        <f xml:space="preserve"> -- AND( tblFilterRegion[[#This Row],[North East]] &gt;= $N$10, T$13 = "Yes" )</f>
        <v>0</v>
      </c>
      <c r="U147" s="23">
        <f xml:space="preserve"> -- AND( tblFilterRegion[[#This Row],[North West]] &gt;= $N$10, U$13 = "Yes" )</f>
        <v>0</v>
      </c>
      <c r="V147" s="23">
        <f xml:space="preserve"> -- AND( tblFilterRegion[[#This Row],[Yorkshire &amp; the Humber]] &gt;= $N$10, V$13 = "Yes" )</f>
        <v>0</v>
      </c>
      <c r="W147" s="22">
        <f xml:space="preserve"> SUMIF( $E$13:$M$13, "Yes", tblFilterRegion[[#This Row],[London]:[Yorkshire &amp; the Humber]] )</f>
        <v>0</v>
      </c>
      <c r="X147" s="23">
        <f xml:space="preserve"> -- ( SUM( tblFilterRegion[[#This Row],[Incl for Lon]:[Incl for YH]] ) &gt; 0 )</f>
        <v>0</v>
      </c>
      <c r="Y147" s="23">
        <f xml:space="preserve"> -- ( tblFilterRegion[[#This Row],[Total in selected regions]] &gt; $N$10 )</f>
        <v>0</v>
      </c>
      <c r="Z147" s="24">
        <f xml:space="preserve"> IF( RegionMinimum = 0, 1, IF( $R$10 = $U$8, tblFilterRegion[[#This Row],[Include for region - any]], IF( $R$10 = $U$10, tblFilterRegion[[#This Row],[Include for region - total]], "CHECK" ) ) )</f>
        <v>1</v>
      </c>
      <c r="AA147" s="131" t="str" cm="1">
        <f t="array" ref="AA147" xml:space="preserve"> INDEX( VfM_Metrics_2023_Consol_Source[], $D147, AA$14 )</f>
        <v>North West</v>
      </c>
    </row>
    <row r="148" spans="2:27" x14ac:dyDescent="0.2">
      <c r="B148" s="159" t="s" vm="133">
        <v>411</v>
      </c>
      <c r="C148" s="154" t="str" vm="269">
        <f xml:space="preserve"> INDEX( VfM_Metrics_2023_Consol_Source[RP_Code], MATCH( tblFilterRegion[[#This Row],[RP_Name]], VfM_Metrics_2023_Consol_Source[RP_Name], 0 ) )</f>
        <v>LH4189</v>
      </c>
      <c r="D148" s="81">
        <f xml:space="preserve"> MATCH( tblFilterRegion[[#This Row],[RP_Code]], VfM_Metrics_2023_Consol_Source[RP_Code], 0 )</f>
        <v>133</v>
      </c>
      <c r="E148" s="22" cm="1">
        <f t="array" ref="E148" xml:space="preserve"> INDEX( VfM_Metrics_2023_Consol_Source[], $D148, E$14 )</f>
        <v>1.8509991711944011E-2</v>
      </c>
      <c r="F148" s="22" cm="1">
        <f t="array" ref="F148" xml:space="preserve"> INDEX( VfM_Metrics_2023_Consol_Source[], $D148, F$14 )</f>
        <v>3.1770881296620312E-2</v>
      </c>
      <c r="G148" s="22" cm="1">
        <f t="array" ref="G148" xml:space="preserve"> INDEX( VfM_Metrics_2023_Consol_Source[], $D148, G$14 )</f>
        <v>1.1787457408601161E-2</v>
      </c>
      <c r="H148" s="22" cm="1">
        <f t="array" ref="H148" xml:space="preserve"> INDEX( VfM_Metrics_2023_Consol_Source[], $D148, H$14 )</f>
        <v>6.6212358412376826E-2</v>
      </c>
      <c r="I148" s="22" cm="1">
        <f t="array" ref="I148" xml:space="preserve"> INDEX( VfM_Metrics_2023_Consol_Source[], $D148, I$14 )</f>
        <v>4.8807440832489175E-3</v>
      </c>
      <c r="J148" s="22" cm="1">
        <f t="array" ref="J148" xml:space="preserve"> INDEX( VfM_Metrics_2023_Consol_Source[], $D148, J$14 )</f>
        <v>3.3336402983700157E-2</v>
      </c>
      <c r="K148" s="22" cm="1">
        <f t="array" ref="K148" xml:space="preserve"> INDEX( VfM_Metrics_2023_Consol_Source[], $D148, K$14 )</f>
        <v>2.3206556773183534E-2</v>
      </c>
      <c r="L148" s="22" cm="1">
        <f t="array" ref="L148" xml:space="preserve"> INDEX( VfM_Metrics_2023_Consol_Source[], $D148, L$14 )</f>
        <v>0.72888847960217329</v>
      </c>
      <c r="M148" s="22" cm="1">
        <f t="array" ref="M148" xml:space="preserve"> INDEX( VfM_Metrics_2023_Consol_Source[], $D148, M$14 )</f>
        <v>8.1407127728151757E-2</v>
      </c>
      <c r="N148" s="23">
        <f xml:space="preserve"> -- AND( tblFilterRegion[[#This Row],[London]] &gt;= $N$10, N$13 = "Yes" )</f>
        <v>0</v>
      </c>
      <c r="O148" s="23">
        <f xml:space="preserve"> -- AND( tblFilterRegion[[#This Row],[South East]] &gt;= $N$10, O$13 = "Yes" )</f>
        <v>0</v>
      </c>
      <c r="P148" s="23">
        <f xml:space="preserve"> -- AND( tblFilterRegion[[#This Row],[South West]] &gt;= $N$10, P$13 = "Yes" )</f>
        <v>0</v>
      </c>
      <c r="Q148" s="23">
        <f xml:space="preserve"> -- AND( tblFilterRegion[[#This Row],[East Midlands]] &gt;= $N$10, Q$13 = "Yes" )</f>
        <v>0</v>
      </c>
      <c r="R148" s="23">
        <f xml:space="preserve"> -- AND( tblFilterRegion[[#This Row],[West Midlands]] &gt;= $N$10, R$13 = "Yes" )</f>
        <v>0</v>
      </c>
      <c r="S148" s="23">
        <f xml:space="preserve"> -- AND( tblFilterRegion[[#This Row],[East of England]] &gt;= $N$10, S$13 = "Yes" )</f>
        <v>0</v>
      </c>
      <c r="T148" s="23">
        <f xml:space="preserve"> -- AND( tblFilterRegion[[#This Row],[North East]] &gt;= $N$10, T$13 = "Yes" )</f>
        <v>0</v>
      </c>
      <c r="U148" s="23">
        <f xml:space="preserve"> -- AND( tblFilterRegion[[#This Row],[North West]] &gt;= $N$10, U$13 = "Yes" )</f>
        <v>0</v>
      </c>
      <c r="V148" s="23">
        <f xml:space="preserve"> -- AND( tblFilterRegion[[#This Row],[Yorkshire &amp; the Humber]] &gt;= $N$10, V$13 = "Yes" )</f>
        <v>0</v>
      </c>
      <c r="W148" s="22">
        <f xml:space="preserve"> SUMIF( $E$13:$M$13, "Yes", tblFilterRegion[[#This Row],[London]:[Yorkshire &amp; the Humber]] )</f>
        <v>0</v>
      </c>
      <c r="X148" s="23">
        <f xml:space="preserve"> -- ( SUM( tblFilterRegion[[#This Row],[Incl for Lon]:[Incl for YH]] ) &gt; 0 )</f>
        <v>0</v>
      </c>
      <c r="Y148" s="23">
        <f xml:space="preserve"> -- ( tblFilterRegion[[#This Row],[Total in selected regions]] &gt; $N$10 )</f>
        <v>0</v>
      </c>
      <c r="Z148" s="24">
        <f xml:space="preserve"> IF( RegionMinimum = 0, 1, IF( $R$10 = $U$8, tblFilterRegion[[#This Row],[Include for region - any]], IF( $R$10 = $U$10, tblFilterRegion[[#This Row],[Include for region - total]], "CHECK" ) ) )</f>
        <v>1</v>
      </c>
      <c r="AA148" s="131" t="str" cm="1">
        <f t="array" ref="AA148" xml:space="preserve"> INDEX( VfM_Metrics_2023_Consol_Source[], $D148, AA$14 )</f>
        <v>North West</v>
      </c>
    </row>
    <row r="149" spans="2:27" x14ac:dyDescent="0.2">
      <c r="B149" s="159" t="s" vm="134">
        <v>413</v>
      </c>
      <c r="C149" s="154" t="str" vm="230">
        <f xml:space="preserve"> INDEX( VfM_Metrics_2023_Consol_Source[RP_Code], MATCH( tblFilterRegion[[#This Row],[RP_Name]], VfM_Metrics_2023_Consol_Source[RP_Name], 0 ) )</f>
        <v>A1855</v>
      </c>
      <c r="D149" s="81">
        <f xml:space="preserve"> MATCH( tblFilterRegion[[#This Row],[RP_Code]], VfM_Metrics_2023_Consol_Source[RP_Code], 0 )</f>
        <v>134</v>
      </c>
      <c r="E149" s="22" cm="1">
        <f t="array" ref="E149" xml:space="preserve"> INDEX( VfM_Metrics_2023_Consol_Source[], $D149, E$14 )</f>
        <v>1.3588634959851761E-2</v>
      </c>
      <c r="F149" s="22" cm="1">
        <f t="array" ref="F149" xml:space="preserve"> INDEX( VfM_Metrics_2023_Consol_Source[], $D149, F$14 )</f>
        <v>0</v>
      </c>
      <c r="G149" s="22" cm="1">
        <f t="array" ref="G149" xml:space="preserve"> INDEX( VfM_Metrics_2023_Consol_Source[], $D149, G$14 )</f>
        <v>0</v>
      </c>
      <c r="H149" s="22" cm="1">
        <f t="array" ref="H149" xml:space="preserve"> INDEX( VfM_Metrics_2023_Consol_Source[], $D149, H$14 )</f>
        <v>0</v>
      </c>
      <c r="I149" s="22" cm="1">
        <f t="array" ref="I149" xml:space="preserve"> INDEX( VfM_Metrics_2023_Consol_Source[], $D149, I$14 )</f>
        <v>1.8529956763434219E-2</v>
      </c>
      <c r="J149" s="22" cm="1">
        <f t="array" ref="J149" xml:space="preserve"> INDEX( VfM_Metrics_2023_Consol_Source[], $D149, J$14 )</f>
        <v>0</v>
      </c>
      <c r="K149" s="22" cm="1">
        <f t="array" ref="K149" xml:space="preserve"> INDEX( VfM_Metrics_2023_Consol_Source[], $D149, K$14 )</f>
        <v>0.58307597282273005</v>
      </c>
      <c r="L149" s="22" cm="1">
        <f t="array" ref="L149" xml:space="preserve"> INDEX( VfM_Metrics_2023_Consol_Source[], $D149, L$14 )</f>
        <v>1.2353304508956147E-3</v>
      </c>
      <c r="M149" s="22" cm="1">
        <f t="array" ref="M149" xml:space="preserve"> INDEX( VfM_Metrics_2023_Consol_Source[], $D149, M$14 )</f>
        <v>0.3835701050030883</v>
      </c>
      <c r="N149" s="23">
        <f xml:space="preserve"> -- AND( tblFilterRegion[[#This Row],[London]] &gt;= $N$10, N$13 = "Yes" )</f>
        <v>0</v>
      </c>
      <c r="O149" s="23">
        <f xml:space="preserve"> -- AND( tblFilterRegion[[#This Row],[South East]] &gt;= $N$10, O$13 = "Yes" )</f>
        <v>0</v>
      </c>
      <c r="P149" s="23">
        <f xml:space="preserve"> -- AND( tblFilterRegion[[#This Row],[South West]] &gt;= $N$10, P$13 = "Yes" )</f>
        <v>0</v>
      </c>
      <c r="Q149" s="23">
        <f xml:space="preserve"> -- AND( tblFilterRegion[[#This Row],[East Midlands]] &gt;= $N$10, Q$13 = "Yes" )</f>
        <v>0</v>
      </c>
      <c r="R149" s="23">
        <f xml:space="preserve"> -- AND( tblFilterRegion[[#This Row],[West Midlands]] &gt;= $N$10, R$13 = "Yes" )</f>
        <v>0</v>
      </c>
      <c r="S149" s="23">
        <f xml:space="preserve"> -- AND( tblFilterRegion[[#This Row],[East of England]] &gt;= $N$10, S$13 = "Yes" )</f>
        <v>0</v>
      </c>
      <c r="T149" s="23">
        <f xml:space="preserve"> -- AND( tblFilterRegion[[#This Row],[North East]] &gt;= $N$10, T$13 = "Yes" )</f>
        <v>0</v>
      </c>
      <c r="U149" s="23">
        <f xml:space="preserve"> -- AND( tblFilterRegion[[#This Row],[North West]] &gt;= $N$10, U$13 = "Yes" )</f>
        <v>0</v>
      </c>
      <c r="V149" s="23">
        <f xml:space="preserve"> -- AND( tblFilterRegion[[#This Row],[Yorkshire &amp; the Humber]] &gt;= $N$10, V$13 = "Yes" )</f>
        <v>0</v>
      </c>
      <c r="W149" s="22">
        <f xml:space="preserve"> SUMIF( $E$13:$M$13, "Yes", tblFilterRegion[[#This Row],[London]:[Yorkshire &amp; the Humber]] )</f>
        <v>0</v>
      </c>
      <c r="X149" s="23">
        <f xml:space="preserve"> -- ( SUM( tblFilterRegion[[#This Row],[Incl for Lon]:[Incl for YH]] ) &gt; 0 )</f>
        <v>0</v>
      </c>
      <c r="Y149" s="23">
        <f xml:space="preserve"> -- ( tblFilterRegion[[#This Row],[Total in selected regions]] &gt; $N$10 )</f>
        <v>0</v>
      </c>
      <c r="Z149" s="24">
        <f xml:space="preserve"> IF( RegionMinimum = 0, 1, IF( $R$10 = $U$8, tblFilterRegion[[#This Row],[Include for region - any]], IF( $R$10 = $U$10, tblFilterRegion[[#This Row],[Include for region - total]], "CHECK" ) ) )</f>
        <v>1</v>
      </c>
      <c r="AA149" s="131" t="str" cm="1">
        <f t="array" ref="AA149" xml:space="preserve"> INDEX( VfM_Metrics_2023_Consol_Source[], $D149, AA$14 )</f>
        <v>North East</v>
      </c>
    </row>
    <row r="150" spans="2:27" x14ac:dyDescent="0.2">
      <c r="B150" s="159" t="s" vm="135">
        <v>415</v>
      </c>
      <c r="C150" s="154" t="str" vm="359">
        <f xml:space="preserve"> INDEX( VfM_Metrics_2023_Consol_Source[RP_Code], MATCH( tblFilterRegion[[#This Row],[RP_Name]], VfM_Metrics_2023_Consol_Source[RP_Name], 0 ) )</f>
        <v>L4334</v>
      </c>
      <c r="D150" s="81">
        <f xml:space="preserve"> MATCH( tblFilterRegion[[#This Row],[RP_Code]], VfM_Metrics_2023_Consol_Source[RP_Code], 0 )</f>
        <v>135</v>
      </c>
      <c r="E150" s="22" cm="1">
        <f t="array" ref="E150" xml:space="preserve"> INDEX( VfM_Metrics_2023_Consol_Source[], $D150, E$14 )</f>
        <v>1.266624445851805E-3</v>
      </c>
      <c r="F150" s="22" cm="1">
        <f t="array" ref="F150" xml:space="preserve"> INDEX( VfM_Metrics_2023_Consol_Source[], $D150, F$14 )</f>
        <v>0.99873337555414821</v>
      </c>
      <c r="G150" s="22" cm="1">
        <f t="array" ref="G150" xml:space="preserve"> INDEX( VfM_Metrics_2023_Consol_Source[], $D150, G$14 )</f>
        <v>0</v>
      </c>
      <c r="H150" s="22" cm="1">
        <f t="array" ref="H150" xml:space="preserve"> INDEX( VfM_Metrics_2023_Consol_Source[], $D150, H$14 )</f>
        <v>0</v>
      </c>
      <c r="I150" s="22" cm="1">
        <f t="array" ref="I150" xml:space="preserve"> INDEX( VfM_Metrics_2023_Consol_Source[], $D150, I$14 )</f>
        <v>0</v>
      </c>
      <c r="J150" s="22" cm="1">
        <f t="array" ref="J150" xml:space="preserve"> INDEX( VfM_Metrics_2023_Consol_Source[], $D150, J$14 )</f>
        <v>0</v>
      </c>
      <c r="K150" s="22" cm="1">
        <f t="array" ref="K150" xml:space="preserve"> INDEX( VfM_Metrics_2023_Consol_Source[], $D150, K$14 )</f>
        <v>0</v>
      </c>
      <c r="L150" s="22" cm="1">
        <f t="array" ref="L150" xml:space="preserve"> INDEX( VfM_Metrics_2023_Consol_Source[], $D150, L$14 )</f>
        <v>0</v>
      </c>
      <c r="M150" s="22" cm="1">
        <f t="array" ref="M150" xml:space="preserve"> INDEX( VfM_Metrics_2023_Consol_Source[], $D150, M$14 )</f>
        <v>0</v>
      </c>
      <c r="N150" s="23">
        <f xml:space="preserve"> -- AND( tblFilterRegion[[#This Row],[London]] &gt;= $N$10, N$13 = "Yes" )</f>
        <v>0</v>
      </c>
      <c r="O150" s="23">
        <f xml:space="preserve"> -- AND( tblFilterRegion[[#This Row],[South East]] &gt;= $N$10, O$13 = "Yes" )</f>
        <v>0</v>
      </c>
      <c r="P150" s="23">
        <f xml:space="preserve"> -- AND( tblFilterRegion[[#This Row],[South West]] &gt;= $N$10, P$13 = "Yes" )</f>
        <v>0</v>
      </c>
      <c r="Q150" s="23">
        <f xml:space="preserve"> -- AND( tblFilterRegion[[#This Row],[East Midlands]] &gt;= $N$10, Q$13 = "Yes" )</f>
        <v>0</v>
      </c>
      <c r="R150" s="23">
        <f xml:space="preserve"> -- AND( tblFilterRegion[[#This Row],[West Midlands]] &gt;= $N$10, R$13 = "Yes" )</f>
        <v>0</v>
      </c>
      <c r="S150" s="23">
        <f xml:space="preserve"> -- AND( tblFilterRegion[[#This Row],[East of England]] &gt;= $N$10, S$13 = "Yes" )</f>
        <v>0</v>
      </c>
      <c r="T150" s="23">
        <f xml:space="preserve"> -- AND( tblFilterRegion[[#This Row],[North East]] &gt;= $N$10, T$13 = "Yes" )</f>
        <v>0</v>
      </c>
      <c r="U150" s="23">
        <f xml:space="preserve"> -- AND( tblFilterRegion[[#This Row],[North West]] &gt;= $N$10, U$13 = "Yes" )</f>
        <v>0</v>
      </c>
      <c r="V150" s="23">
        <f xml:space="preserve"> -- AND( tblFilterRegion[[#This Row],[Yorkshire &amp; the Humber]] &gt;= $N$10, V$13 = "Yes" )</f>
        <v>0</v>
      </c>
      <c r="W150" s="22">
        <f xml:space="preserve"> SUMIF( $E$13:$M$13, "Yes", tblFilterRegion[[#This Row],[London]:[Yorkshire &amp; the Humber]] )</f>
        <v>0</v>
      </c>
      <c r="X150" s="23">
        <f xml:space="preserve"> -- ( SUM( tblFilterRegion[[#This Row],[Incl for Lon]:[Incl for YH]] ) &gt; 0 )</f>
        <v>0</v>
      </c>
      <c r="Y150" s="23">
        <f xml:space="preserve"> -- ( tblFilterRegion[[#This Row],[Total in selected regions]] &gt; $N$10 )</f>
        <v>0</v>
      </c>
      <c r="Z150" s="24">
        <f xml:space="preserve"> IF( RegionMinimum = 0, 1, IF( $R$10 = $U$8, tblFilterRegion[[#This Row],[Include for region - any]], IF( $R$10 = $U$10, tblFilterRegion[[#This Row],[Include for region - total]], "CHECK" ) ) )</f>
        <v>1</v>
      </c>
      <c r="AA150" s="131" t="str" cm="1">
        <f t="array" ref="AA150" xml:space="preserve"> INDEX( VfM_Metrics_2023_Consol_Source[], $D150, AA$14 )</f>
        <v>South East</v>
      </c>
    </row>
    <row r="151" spans="2:27" x14ac:dyDescent="0.2">
      <c r="B151" s="159" t="s" vm="136">
        <v>417</v>
      </c>
      <c r="C151" s="154" t="str" vm="356">
        <f xml:space="preserve"> INDEX( VfM_Metrics_2023_Consol_Source[RP_Code], MATCH( tblFilterRegion[[#This Row],[RP_Name]], VfM_Metrics_2023_Consol_Source[RP_Name], 0 ) )</f>
        <v>4682</v>
      </c>
      <c r="D151" s="81">
        <f xml:space="preserve"> MATCH( tblFilterRegion[[#This Row],[RP_Code]], VfM_Metrics_2023_Consol_Source[RP_Code], 0 )</f>
        <v>136</v>
      </c>
      <c r="E151" s="22" cm="1">
        <f t="array" ref="E151" xml:space="preserve"> INDEX( VfM_Metrics_2023_Consol_Source[], $D151, E$14 )</f>
        <v>0</v>
      </c>
      <c r="F151" s="22" cm="1">
        <f t="array" ref="F151" xml:space="preserve"> INDEX( VfM_Metrics_2023_Consol_Source[], $D151, F$14 )</f>
        <v>1</v>
      </c>
      <c r="G151" s="22" cm="1">
        <f t="array" ref="G151" xml:space="preserve"> INDEX( VfM_Metrics_2023_Consol_Source[], $D151, G$14 )</f>
        <v>0</v>
      </c>
      <c r="H151" s="22" cm="1">
        <f t="array" ref="H151" xml:space="preserve"> INDEX( VfM_Metrics_2023_Consol_Source[], $D151, H$14 )</f>
        <v>0</v>
      </c>
      <c r="I151" s="22" cm="1">
        <f t="array" ref="I151" xml:space="preserve"> INDEX( VfM_Metrics_2023_Consol_Source[], $D151, I$14 )</f>
        <v>0</v>
      </c>
      <c r="J151" s="22" cm="1">
        <f t="array" ref="J151" xml:space="preserve"> INDEX( VfM_Metrics_2023_Consol_Source[], $D151, J$14 )</f>
        <v>0</v>
      </c>
      <c r="K151" s="22" cm="1">
        <f t="array" ref="K151" xml:space="preserve"> INDEX( VfM_Metrics_2023_Consol_Source[], $D151, K$14 )</f>
        <v>0</v>
      </c>
      <c r="L151" s="22" cm="1">
        <f t="array" ref="L151" xml:space="preserve"> INDEX( VfM_Metrics_2023_Consol_Source[], $D151, L$14 )</f>
        <v>0</v>
      </c>
      <c r="M151" s="22" cm="1">
        <f t="array" ref="M151" xml:space="preserve"> INDEX( VfM_Metrics_2023_Consol_Source[], $D151, M$14 )</f>
        <v>0</v>
      </c>
      <c r="N151" s="23">
        <f xml:space="preserve"> -- AND( tblFilterRegion[[#This Row],[London]] &gt;= $N$10, N$13 = "Yes" )</f>
        <v>0</v>
      </c>
      <c r="O151" s="23">
        <f xml:space="preserve"> -- AND( tblFilterRegion[[#This Row],[South East]] &gt;= $N$10, O$13 = "Yes" )</f>
        <v>0</v>
      </c>
      <c r="P151" s="23">
        <f xml:space="preserve"> -- AND( tblFilterRegion[[#This Row],[South West]] &gt;= $N$10, P$13 = "Yes" )</f>
        <v>0</v>
      </c>
      <c r="Q151" s="23">
        <f xml:space="preserve"> -- AND( tblFilterRegion[[#This Row],[East Midlands]] &gt;= $N$10, Q$13 = "Yes" )</f>
        <v>0</v>
      </c>
      <c r="R151" s="23">
        <f xml:space="preserve"> -- AND( tblFilterRegion[[#This Row],[West Midlands]] &gt;= $N$10, R$13 = "Yes" )</f>
        <v>0</v>
      </c>
      <c r="S151" s="23">
        <f xml:space="preserve"> -- AND( tblFilterRegion[[#This Row],[East of England]] &gt;= $N$10, S$13 = "Yes" )</f>
        <v>0</v>
      </c>
      <c r="T151" s="23">
        <f xml:space="preserve"> -- AND( tblFilterRegion[[#This Row],[North East]] &gt;= $N$10, T$13 = "Yes" )</f>
        <v>0</v>
      </c>
      <c r="U151" s="23">
        <f xml:space="preserve"> -- AND( tblFilterRegion[[#This Row],[North West]] &gt;= $N$10, U$13 = "Yes" )</f>
        <v>0</v>
      </c>
      <c r="V151" s="23">
        <f xml:space="preserve"> -- AND( tblFilterRegion[[#This Row],[Yorkshire &amp; the Humber]] &gt;= $N$10, V$13 = "Yes" )</f>
        <v>0</v>
      </c>
      <c r="W151" s="22">
        <f xml:space="preserve"> SUMIF( $E$13:$M$13, "Yes", tblFilterRegion[[#This Row],[London]:[Yorkshire &amp; the Humber]] )</f>
        <v>0</v>
      </c>
      <c r="X151" s="23">
        <f xml:space="preserve"> -- ( SUM( tblFilterRegion[[#This Row],[Incl for Lon]:[Incl for YH]] ) &gt; 0 )</f>
        <v>0</v>
      </c>
      <c r="Y151" s="23">
        <f xml:space="preserve"> -- ( tblFilterRegion[[#This Row],[Total in selected regions]] &gt; $N$10 )</f>
        <v>0</v>
      </c>
      <c r="Z151" s="24">
        <f xml:space="preserve"> IF( RegionMinimum = 0, 1, IF( $R$10 = $U$8, tblFilterRegion[[#This Row],[Include for region - any]], IF( $R$10 = $U$10, tblFilterRegion[[#This Row],[Include for region - total]], "CHECK" ) ) )</f>
        <v>1</v>
      </c>
      <c r="AA151" s="131" t="str" cm="1">
        <f t="array" ref="AA151" xml:space="preserve"> INDEX( VfM_Metrics_2023_Consol_Source[], $D151, AA$14 )</f>
        <v>South East</v>
      </c>
    </row>
    <row r="152" spans="2:27" x14ac:dyDescent="0.2">
      <c r="B152" s="159" t="s" vm="137">
        <v>419</v>
      </c>
      <c r="C152" s="154" t="str" vm="283">
        <f xml:space="preserve"> INDEX( VfM_Metrics_2023_Consol_Source[RP_Code], MATCH( tblFilterRegion[[#This Row],[RP_Name]], VfM_Metrics_2023_Consol_Source[RP_Name], 0 ) )</f>
        <v>4653</v>
      </c>
      <c r="D152" s="81">
        <f xml:space="preserve"> MATCH( tblFilterRegion[[#This Row],[RP_Code]], VfM_Metrics_2023_Consol_Source[RP_Code], 0 )</f>
        <v>137</v>
      </c>
      <c r="E152" s="22" cm="1">
        <f t="array" ref="E152" xml:space="preserve"> INDEX( VfM_Metrics_2023_Consol_Source[], $D152, E$14 )</f>
        <v>0</v>
      </c>
      <c r="F152" s="22" cm="1">
        <f t="array" ref="F152" xml:space="preserve"> INDEX( VfM_Metrics_2023_Consol_Source[], $D152, F$14 )</f>
        <v>0</v>
      </c>
      <c r="G152" s="22" cm="1">
        <f t="array" ref="G152" xml:space="preserve"> INDEX( VfM_Metrics_2023_Consol_Source[], $D152, G$14 )</f>
        <v>0</v>
      </c>
      <c r="H152" s="22" cm="1">
        <f t="array" ref="H152" xml:space="preserve"> INDEX( VfM_Metrics_2023_Consol_Source[], $D152, H$14 )</f>
        <v>0</v>
      </c>
      <c r="I152" s="22" cm="1">
        <f t="array" ref="I152" xml:space="preserve"> INDEX( VfM_Metrics_2023_Consol_Source[], $D152, I$14 )</f>
        <v>0</v>
      </c>
      <c r="J152" s="22" cm="1">
        <f t="array" ref="J152" xml:space="preserve"> INDEX( VfM_Metrics_2023_Consol_Source[], $D152, J$14 )</f>
        <v>0</v>
      </c>
      <c r="K152" s="22" cm="1">
        <f t="array" ref="K152" xml:space="preserve"> INDEX( VfM_Metrics_2023_Consol_Source[], $D152, K$14 )</f>
        <v>0</v>
      </c>
      <c r="L152" s="22" cm="1">
        <f t="array" ref="L152" xml:space="preserve"> INDEX( VfM_Metrics_2023_Consol_Source[], $D152, L$14 )</f>
        <v>1</v>
      </c>
      <c r="M152" s="22" cm="1">
        <f t="array" ref="M152" xml:space="preserve"> INDEX( VfM_Metrics_2023_Consol_Source[], $D152, M$14 )</f>
        <v>0</v>
      </c>
      <c r="N152" s="23">
        <f xml:space="preserve"> -- AND( tblFilterRegion[[#This Row],[London]] &gt;= $N$10, N$13 = "Yes" )</f>
        <v>0</v>
      </c>
      <c r="O152" s="23">
        <f xml:space="preserve"> -- AND( tblFilterRegion[[#This Row],[South East]] &gt;= $N$10, O$13 = "Yes" )</f>
        <v>0</v>
      </c>
      <c r="P152" s="23">
        <f xml:space="preserve"> -- AND( tblFilterRegion[[#This Row],[South West]] &gt;= $N$10, P$13 = "Yes" )</f>
        <v>0</v>
      </c>
      <c r="Q152" s="23">
        <f xml:space="preserve"> -- AND( tblFilterRegion[[#This Row],[East Midlands]] &gt;= $N$10, Q$13 = "Yes" )</f>
        <v>0</v>
      </c>
      <c r="R152" s="23">
        <f xml:space="preserve"> -- AND( tblFilterRegion[[#This Row],[West Midlands]] &gt;= $N$10, R$13 = "Yes" )</f>
        <v>0</v>
      </c>
      <c r="S152" s="23">
        <f xml:space="preserve"> -- AND( tblFilterRegion[[#This Row],[East of England]] &gt;= $N$10, S$13 = "Yes" )</f>
        <v>0</v>
      </c>
      <c r="T152" s="23">
        <f xml:space="preserve"> -- AND( tblFilterRegion[[#This Row],[North East]] &gt;= $N$10, T$13 = "Yes" )</f>
        <v>0</v>
      </c>
      <c r="U152" s="23">
        <f xml:space="preserve"> -- AND( tblFilterRegion[[#This Row],[North West]] &gt;= $N$10, U$13 = "Yes" )</f>
        <v>0</v>
      </c>
      <c r="V152" s="23">
        <f xml:space="preserve"> -- AND( tblFilterRegion[[#This Row],[Yorkshire &amp; the Humber]] &gt;= $N$10, V$13 = "Yes" )</f>
        <v>0</v>
      </c>
      <c r="W152" s="22">
        <f xml:space="preserve"> SUMIF( $E$13:$M$13, "Yes", tblFilterRegion[[#This Row],[London]:[Yorkshire &amp; the Humber]] )</f>
        <v>0</v>
      </c>
      <c r="X152" s="23">
        <f xml:space="preserve"> -- ( SUM( tblFilterRegion[[#This Row],[Incl for Lon]:[Incl for YH]] ) &gt; 0 )</f>
        <v>0</v>
      </c>
      <c r="Y152" s="23">
        <f xml:space="preserve"> -- ( tblFilterRegion[[#This Row],[Total in selected regions]] &gt; $N$10 )</f>
        <v>0</v>
      </c>
      <c r="Z152" s="24">
        <f xml:space="preserve"> IF( RegionMinimum = 0, 1, IF( $R$10 = $U$8, tblFilterRegion[[#This Row],[Include for region - any]], IF( $R$10 = $U$10, tblFilterRegion[[#This Row],[Include for region - total]], "CHECK" ) ) )</f>
        <v>1</v>
      </c>
      <c r="AA152" s="131" t="str" cm="1">
        <f t="array" ref="AA152" xml:space="preserve"> INDEX( VfM_Metrics_2023_Consol_Source[], $D152, AA$14 )</f>
        <v>North West</v>
      </c>
    </row>
    <row r="153" spans="2:27" x14ac:dyDescent="0.2">
      <c r="B153" s="159" t="s" vm="138">
        <v>421</v>
      </c>
      <c r="C153" s="154" t="str" vm="360">
        <f xml:space="preserve"> INDEX( VfM_Metrics_2023_Consol_Source[RP_Code], MATCH( tblFilterRegion[[#This Row],[RP_Name]], VfM_Metrics_2023_Consol_Source[RP_Name], 0 ) )</f>
        <v>L4279</v>
      </c>
      <c r="D153" s="81">
        <f xml:space="preserve"> MATCH( tblFilterRegion[[#This Row],[RP_Code]], VfM_Metrics_2023_Consol_Source[RP_Code], 0 )</f>
        <v>138</v>
      </c>
      <c r="E153" s="22" cm="1">
        <f t="array" ref="E153" xml:space="preserve"> INDEX( VfM_Metrics_2023_Consol_Source[], $D153, E$14 )</f>
        <v>0.98648648648648651</v>
      </c>
      <c r="F153" s="22" cm="1">
        <f t="array" ref="F153" xml:space="preserve"> INDEX( VfM_Metrics_2023_Consol_Source[], $D153, F$14 )</f>
        <v>1.2983571807101218E-2</v>
      </c>
      <c r="G153" s="22" cm="1">
        <f t="array" ref="G153" xml:space="preserve"> INDEX( VfM_Metrics_2023_Consol_Source[], $D153, G$14 )</f>
        <v>0</v>
      </c>
      <c r="H153" s="22" cm="1">
        <f t="array" ref="H153" xml:space="preserve"> INDEX( VfM_Metrics_2023_Consol_Source[], $D153, H$14 )</f>
        <v>0</v>
      </c>
      <c r="I153" s="22" cm="1">
        <f t="array" ref="I153" xml:space="preserve"> INDEX( VfM_Metrics_2023_Consol_Source[], $D153, I$14 )</f>
        <v>0</v>
      </c>
      <c r="J153" s="22" cm="1">
        <f t="array" ref="J153" xml:space="preserve"> INDEX( VfM_Metrics_2023_Consol_Source[], $D153, J$14 )</f>
        <v>5.2994170641229468E-4</v>
      </c>
      <c r="K153" s="22" cm="1">
        <f t="array" ref="K153" xml:space="preserve"> INDEX( VfM_Metrics_2023_Consol_Source[], $D153, K$14 )</f>
        <v>0</v>
      </c>
      <c r="L153" s="22" cm="1">
        <f t="array" ref="L153" xml:space="preserve"> INDEX( VfM_Metrics_2023_Consol_Source[], $D153, L$14 )</f>
        <v>0</v>
      </c>
      <c r="M153" s="22" cm="1">
        <f t="array" ref="M153" xml:space="preserve"> INDEX( VfM_Metrics_2023_Consol_Source[], $D153, M$14 )</f>
        <v>0</v>
      </c>
      <c r="N153" s="23">
        <f xml:space="preserve"> -- AND( tblFilterRegion[[#This Row],[London]] &gt;= $N$10, N$13 = "Yes" )</f>
        <v>0</v>
      </c>
      <c r="O153" s="23">
        <f xml:space="preserve"> -- AND( tblFilterRegion[[#This Row],[South East]] &gt;= $N$10, O$13 = "Yes" )</f>
        <v>0</v>
      </c>
      <c r="P153" s="23">
        <f xml:space="preserve"> -- AND( tblFilterRegion[[#This Row],[South West]] &gt;= $N$10, P$13 = "Yes" )</f>
        <v>0</v>
      </c>
      <c r="Q153" s="23">
        <f xml:space="preserve"> -- AND( tblFilterRegion[[#This Row],[East Midlands]] &gt;= $N$10, Q$13 = "Yes" )</f>
        <v>0</v>
      </c>
      <c r="R153" s="23">
        <f xml:space="preserve"> -- AND( tblFilterRegion[[#This Row],[West Midlands]] &gt;= $N$10, R$13 = "Yes" )</f>
        <v>0</v>
      </c>
      <c r="S153" s="23">
        <f xml:space="preserve"> -- AND( tblFilterRegion[[#This Row],[East of England]] &gt;= $N$10, S$13 = "Yes" )</f>
        <v>0</v>
      </c>
      <c r="T153" s="23">
        <f xml:space="preserve"> -- AND( tblFilterRegion[[#This Row],[North East]] &gt;= $N$10, T$13 = "Yes" )</f>
        <v>0</v>
      </c>
      <c r="U153" s="23">
        <f xml:space="preserve"> -- AND( tblFilterRegion[[#This Row],[North West]] &gt;= $N$10, U$13 = "Yes" )</f>
        <v>0</v>
      </c>
      <c r="V153" s="23">
        <f xml:space="preserve"> -- AND( tblFilterRegion[[#This Row],[Yorkshire &amp; the Humber]] &gt;= $N$10, V$13 = "Yes" )</f>
        <v>0</v>
      </c>
      <c r="W153" s="22">
        <f xml:space="preserve"> SUMIF( $E$13:$M$13, "Yes", tblFilterRegion[[#This Row],[London]:[Yorkshire &amp; the Humber]] )</f>
        <v>0</v>
      </c>
      <c r="X153" s="23">
        <f xml:space="preserve"> -- ( SUM( tblFilterRegion[[#This Row],[Incl for Lon]:[Incl for YH]] ) &gt; 0 )</f>
        <v>0</v>
      </c>
      <c r="Y153" s="23">
        <f xml:space="preserve"> -- ( tblFilterRegion[[#This Row],[Total in selected regions]] &gt; $N$10 )</f>
        <v>0</v>
      </c>
      <c r="Z153" s="24">
        <f xml:space="preserve"> IF( RegionMinimum = 0, 1, IF( $R$10 = $U$8, tblFilterRegion[[#This Row],[Include for region - any]], IF( $R$10 = $U$10, tblFilterRegion[[#This Row],[Include for region - total]], "CHECK" ) ) )</f>
        <v>1</v>
      </c>
      <c r="AA153" s="131" t="str" cm="1">
        <f t="array" ref="AA153" xml:space="preserve"> INDEX( VfM_Metrics_2023_Consol_Source[], $D153, AA$14 )</f>
        <v>London</v>
      </c>
    </row>
    <row r="154" spans="2:27" x14ac:dyDescent="0.2">
      <c r="B154" s="159" t="s" vm="139">
        <v>423</v>
      </c>
      <c r="C154" s="154" t="str" vm="273">
        <f xml:space="preserve"> INDEX( VfM_Metrics_2023_Consol_Source[RP_Code], MATCH( tblFilterRegion[[#This Row],[RP_Name]], VfM_Metrics_2023_Consol_Source[RP_Name], 0 ) )</f>
        <v>4607</v>
      </c>
      <c r="D154" s="81">
        <f xml:space="preserve"> MATCH( tblFilterRegion[[#This Row],[RP_Code]], VfM_Metrics_2023_Consol_Source[RP_Code], 0 )</f>
        <v>139</v>
      </c>
      <c r="E154" s="22" cm="1">
        <f t="array" ref="E154" xml:space="preserve"> INDEX( VfM_Metrics_2023_Consol_Source[], $D154, E$14 )</f>
        <v>0</v>
      </c>
      <c r="F154" s="22" cm="1">
        <f t="array" ref="F154" xml:space="preserve"> INDEX( VfM_Metrics_2023_Consol_Source[], $D154, F$14 )</f>
        <v>0</v>
      </c>
      <c r="G154" s="22" cm="1">
        <f t="array" ref="G154" xml:space="preserve"> INDEX( VfM_Metrics_2023_Consol_Source[], $D154, G$14 )</f>
        <v>0</v>
      </c>
      <c r="H154" s="22" cm="1">
        <f t="array" ref="H154" xml:space="preserve"> INDEX( VfM_Metrics_2023_Consol_Source[], $D154, H$14 )</f>
        <v>0</v>
      </c>
      <c r="I154" s="22" cm="1">
        <f t="array" ref="I154" xml:space="preserve"> INDEX( VfM_Metrics_2023_Consol_Source[], $D154, I$14 )</f>
        <v>0</v>
      </c>
      <c r="J154" s="22" cm="1">
        <f t="array" ref="J154" xml:space="preserve"> INDEX( VfM_Metrics_2023_Consol_Source[], $D154, J$14 )</f>
        <v>0</v>
      </c>
      <c r="K154" s="22" cm="1">
        <f t="array" ref="K154" xml:space="preserve"> INDEX( VfM_Metrics_2023_Consol_Source[], $D154, K$14 )</f>
        <v>0</v>
      </c>
      <c r="L154" s="22" cm="1">
        <f t="array" ref="L154" xml:space="preserve"> INDEX( VfM_Metrics_2023_Consol_Source[], $D154, L$14 )</f>
        <v>1</v>
      </c>
      <c r="M154" s="22" cm="1">
        <f t="array" ref="M154" xml:space="preserve"> INDEX( VfM_Metrics_2023_Consol_Source[], $D154, M$14 )</f>
        <v>0</v>
      </c>
      <c r="N154" s="23">
        <f xml:space="preserve"> -- AND( tblFilterRegion[[#This Row],[London]] &gt;= $N$10, N$13 = "Yes" )</f>
        <v>0</v>
      </c>
      <c r="O154" s="23">
        <f xml:space="preserve"> -- AND( tblFilterRegion[[#This Row],[South East]] &gt;= $N$10, O$13 = "Yes" )</f>
        <v>0</v>
      </c>
      <c r="P154" s="23">
        <f xml:space="preserve"> -- AND( tblFilterRegion[[#This Row],[South West]] &gt;= $N$10, P$13 = "Yes" )</f>
        <v>0</v>
      </c>
      <c r="Q154" s="23">
        <f xml:space="preserve"> -- AND( tblFilterRegion[[#This Row],[East Midlands]] &gt;= $N$10, Q$13 = "Yes" )</f>
        <v>0</v>
      </c>
      <c r="R154" s="23">
        <f xml:space="preserve"> -- AND( tblFilterRegion[[#This Row],[West Midlands]] &gt;= $N$10, R$13 = "Yes" )</f>
        <v>0</v>
      </c>
      <c r="S154" s="23">
        <f xml:space="preserve"> -- AND( tblFilterRegion[[#This Row],[East of England]] &gt;= $N$10, S$13 = "Yes" )</f>
        <v>0</v>
      </c>
      <c r="T154" s="23">
        <f xml:space="preserve"> -- AND( tblFilterRegion[[#This Row],[North East]] &gt;= $N$10, T$13 = "Yes" )</f>
        <v>0</v>
      </c>
      <c r="U154" s="23">
        <f xml:space="preserve"> -- AND( tblFilterRegion[[#This Row],[North West]] &gt;= $N$10, U$13 = "Yes" )</f>
        <v>0</v>
      </c>
      <c r="V154" s="23">
        <f xml:space="preserve"> -- AND( tblFilterRegion[[#This Row],[Yorkshire &amp; the Humber]] &gt;= $N$10, V$13 = "Yes" )</f>
        <v>0</v>
      </c>
      <c r="W154" s="22">
        <f xml:space="preserve"> SUMIF( $E$13:$M$13, "Yes", tblFilterRegion[[#This Row],[London]:[Yorkshire &amp; the Humber]] )</f>
        <v>0</v>
      </c>
      <c r="X154" s="23">
        <f xml:space="preserve"> -- ( SUM( tblFilterRegion[[#This Row],[Incl for Lon]:[Incl for YH]] ) &gt; 0 )</f>
        <v>0</v>
      </c>
      <c r="Y154" s="23">
        <f xml:space="preserve"> -- ( tblFilterRegion[[#This Row],[Total in selected regions]] &gt; $N$10 )</f>
        <v>0</v>
      </c>
      <c r="Z154" s="24">
        <f xml:space="preserve"> IF( RegionMinimum = 0, 1, IF( $R$10 = $U$8, tblFilterRegion[[#This Row],[Include for region - any]], IF( $R$10 = $U$10, tblFilterRegion[[#This Row],[Include for region - total]], "CHECK" ) ) )</f>
        <v>1</v>
      </c>
      <c r="AA154" s="131" t="str" cm="1">
        <f t="array" ref="AA154" xml:space="preserve"> INDEX( VfM_Metrics_2023_Consol_Source[], $D154, AA$14 )</f>
        <v>North West</v>
      </c>
    </row>
    <row r="155" spans="2:27" x14ac:dyDescent="0.2">
      <c r="B155" s="159" t="s" vm="140">
        <v>425</v>
      </c>
      <c r="C155" s="154" t="str" vm="364">
        <f xml:space="preserve"> INDEX( VfM_Metrics_2023_Consol_Source[RP_Code], MATCH( tblFilterRegion[[#This Row],[RP_Name]], VfM_Metrics_2023_Consol_Source[RP_Name], 0 ) )</f>
        <v>L4404</v>
      </c>
      <c r="D155" s="81">
        <f xml:space="preserve"> MATCH( tblFilterRegion[[#This Row],[RP_Code]], VfM_Metrics_2023_Consol_Source[RP_Code], 0 )</f>
        <v>140</v>
      </c>
      <c r="E155" s="22" cm="1">
        <f t="array" ref="E155" xml:space="preserve"> INDEX( VfM_Metrics_2023_Consol_Source[], $D155, E$14 )</f>
        <v>0</v>
      </c>
      <c r="F155" s="22" cm="1">
        <f t="array" ref="F155" xml:space="preserve"> INDEX( VfM_Metrics_2023_Consol_Source[], $D155, F$14 )</f>
        <v>0</v>
      </c>
      <c r="G155" s="22" cm="1">
        <f t="array" ref="G155" xml:space="preserve"> INDEX( VfM_Metrics_2023_Consol_Source[], $D155, G$14 )</f>
        <v>0.19815179518254811</v>
      </c>
      <c r="H155" s="22" cm="1">
        <f t="array" ref="H155" xml:space="preserve"> INDEX( VfM_Metrics_2023_Consol_Source[], $D155, H$14 )</f>
        <v>0</v>
      </c>
      <c r="I155" s="22" cm="1">
        <f t="array" ref="I155" xml:space="preserve"> INDEX( VfM_Metrics_2023_Consol_Source[], $D155, I$14 )</f>
        <v>0.80184820481745189</v>
      </c>
      <c r="J155" s="22" cm="1">
        <f t="array" ref="J155" xml:space="preserve"> INDEX( VfM_Metrics_2023_Consol_Source[], $D155, J$14 )</f>
        <v>0</v>
      </c>
      <c r="K155" s="22" cm="1">
        <f t="array" ref="K155" xml:space="preserve"> INDEX( VfM_Metrics_2023_Consol_Source[], $D155, K$14 )</f>
        <v>0</v>
      </c>
      <c r="L155" s="22" cm="1">
        <f t="array" ref="L155" xml:space="preserve"> INDEX( VfM_Metrics_2023_Consol_Source[], $D155, L$14 )</f>
        <v>0</v>
      </c>
      <c r="M155" s="22" cm="1">
        <f t="array" ref="M155" xml:space="preserve"> INDEX( VfM_Metrics_2023_Consol_Source[], $D155, M$14 )</f>
        <v>0</v>
      </c>
      <c r="N155" s="23">
        <f xml:space="preserve"> -- AND( tblFilterRegion[[#This Row],[London]] &gt;= $N$10, N$13 = "Yes" )</f>
        <v>0</v>
      </c>
      <c r="O155" s="23">
        <f xml:space="preserve"> -- AND( tblFilterRegion[[#This Row],[South East]] &gt;= $N$10, O$13 = "Yes" )</f>
        <v>0</v>
      </c>
      <c r="P155" s="23">
        <f xml:space="preserve"> -- AND( tblFilterRegion[[#This Row],[South West]] &gt;= $N$10, P$13 = "Yes" )</f>
        <v>0</v>
      </c>
      <c r="Q155" s="23">
        <f xml:space="preserve"> -- AND( tblFilterRegion[[#This Row],[East Midlands]] &gt;= $N$10, Q$13 = "Yes" )</f>
        <v>0</v>
      </c>
      <c r="R155" s="23">
        <f xml:space="preserve"> -- AND( tblFilterRegion[[#This Row],[West Midlands]] &gt;= $N$10, R$13 = "Yes" )</f>
        <v>0</v>
      </c>
      <c r="S155" s="23">
        <f xml:space="preserve"> -- AND( tblFilterRegion[[#This Row],[East of England]] &gt;= $N$10, S$13 = "Yes" )</f>
        <v>0</v>
      </c>
      <c r="T155" s="23">
        <f xml:space="preserve"> -- AND( tblFilterRegion[[#This Row],[North East]] &gt;= $N$10, T$13 = "Yes" )</f>
        <v>0</v>
      </c>
      <c r="U155" s="23">
        <f xml:space="preserve"> -- AND( tblFilterRegion[[#This Row],[North West]] &gt;= $N$10, U$13 = "Yes" )</f>
        <v>0</v>
      </c>
      <c r="V155" s="23">
        <f xml:space="preserve"> -- AND( tblFilterRegion[[#This Row],[Yorkshire &amp; the Humber]] &gt;= $N$10, V$13 = "Yes" )</f>
        <v>0</v>
      </c>
      <c r="W155" s="22">
        <f xml:space="preserve"> SUMIF( $E$13:$M$13, "Yes", tblFilterRegion[[#This Row],[London]:[Yorkshire &amp; the Humber]] )</f>
        <v>0</v>
      </c>
      <c r="X155" s="23">
        <f xml:space="preserve"> -- ( SUM( tblFilterRegion[[#This Row],[Incl for Lon]:[Incl for YH]] ) &gt; 0 )</f>
        <v>0</v>
      </c>
      <c r="Y155" s="23">
        <f xml:space="preserve"> -- ( tblFilterRegion[[#This Row],[Total in selected regions]] &gt; $N$10 )</f>
        <v>0</v>
      </c>
      <c r="Z155" s="24">
        <f xml:space="preserve"> IF( RegionMinimum = 0, 1, IF( $R$10 = $U$8, tblFilterRegion[[#This Row],[Include for region - any]], IF( $R$10 = $U$10, tblFilterRegion[[#This Row],[Include for region - total]], "CHECK" ) ) )</f>
        <v>1</v>
      </c>
      <c r="AA155" s="131" t="str" cm="1">
        <f t="array" ref="AA155" xml:space="preserve"> INDEX( VfM_Metrics_2023_Consol_Source[], $D155, AA$14 )</f>
        <v>West Midlands</v>
      </c>
    </row>
    <row r="156" spans="2:27" x14ac:dyDescent="0.2">
      <c r="B156" s="159" t="s" vm="141">
        <v>427</v>
      </c>
      <c r="C156" s="154" t="str" vm="384">
        <f xml:space="preserve"> INDEX( VfM_Metrics_2023_Consol_Source[RP_Code], MATCH( tblFilterRegion[[#This Row],[RP_Name]], VfM_Metrics_2023_Consol_Source[RP_Name], 0 ) )</f>
        <v>LH4412</v>
      </c>
      <c r="D156" s="81">
        <f xml:space="preserve"> MATCH( tblFilterRegion[[#This Row],[RP_Code]], VfM_Metrics_2023_Consol_Source[RP_Code], 0 )</f>
        <v>141</v>
      </c>
      <c r="E156" s="22" cm="1">
        <f t="array" ref="E156" xml:space="preserve"> INDEX( VfM_Metrics_2023_Consol_Source[], $D156, E$14 )</f>
        <v>0</v>
      </c>
      <c r="F156" s="22" cm="1">
        <f t="array" ref="F156" xml:space="preserve"> INDEX( VfM_Metrics_2023_Consol_Source[], $D156, F$14 )</f>
        <v>0</v>
      </c>
      <c r="G156" s="22" cm="1">
        <f t="array" ref="G156" xml:space="preserve"> INDEX( VfM_Metrics_2023_Consol_Source[], $D156, G$14 )</f>
        <v>0</v>
      </c>
      <c r="H156" s="22" cm="1">
        <f t="array" ref="H156" xml:space="preserve"> INDEX( VfM_Metrics_2023_Consol_Source[], $D156, H$14 )</f>
        <v>0</v>
      </c>
      <c r="I156" s="22" cm="1">
        <f t="array" ref="I156" xml:space="preserve"> INDEX( VfM_Metrics_2023_Consol_Source[], $D156, I$14 )</f>
        <v>0</v>
      </c>
      <c r="J156" s="22" cm="1">
        <f t="array" ref="J156" xml:space="preserve"> INDEX( VfM_Metrics_2023_Consol_Source[], $D156, J$14 )</f>
        <v>1</v>
      </c>
      <c r="K156" s="22" cm="1">
        <f t="array" ref="K156" xml:space="preserve"> INDEX( VfM_Metrics_2023_Consol_Source[], $D156, K$14 )</f>
        <v>0</v>
      </c>
      <c r="L156" s="22" cm="1">
        <f t="array" ref="L156" xml:space="preserve"> INDEX( VfM_Metrics_2023_Consol_Source[], $D156, L$14 )</f>
        <v>0</v>
      </c>
      <c r="M156" s="22" cm="1">
        <f t="array" ref="M156" xml:space="preserve"> INDEX( VfM_Metrics_2023_Consol_Source[], $D156, M$14 )</f>
        <v>0</v>
      </c>
      <c r="N156" s="23">
        <f xml:space="preserve"> -- AND( tblFilterRegion[[#This Row],[London]] &gt;= $N$10, N$13 = "Yes" )</f>
        <v>0</v>
      </c>
      <c r="O156" s="23">
        <f xml:space="preserve"> -- AND( tblFilterRegion[[#This Row],[South East]] &gt;= $N$10, O$13 = "Yes" )</f>
        <v>0</v>
      </c>
      <c r="P156" s="23">
        <f xml:space="preserve"> -- AND( tblFilterRegion[[#This Row],[South West]] &gt;= $N$10, P$13 = "Yes" )</f>
        <v>0</v>
      </c>
      <c r="Q156" s="23">
        <f xml:space="preserve"> -- AND( tblFilterRegion[[#This Row],[East Midlands]] &gt;= $N$10, Q$13 = "Yes" )</f>
        <v>0</v>
      </c>
      <c r="R156" s="23">
        <f xml:space="preserve"> -- AND( tblFilterRegion[[#This Row],[West Midlands]] &gt;= $N$10, R$13 = "Yes" )</f>
        <v>0</v>
      </c>
      <c r="S156" s="23">
        <f xml:space="preserve"> -- AND( tblFilterRegion[[#This Row],[East of England]] &gt;= $N$10, S$13 = "Yes" )</f>
        <v>0</v>
      </c>
      <c r="T156" s="23">
        <f xml:space="preserve"> -- AND( tblFilterRegion[[#This Row],[North East]] &gt;= $N$10, T$13 = "Yes" )</f>
        <v>0</v>
      </c>
      <c r="U156" s="23">
        <f xml:space="preserve"> -- AND( tblFilterRegion[[#This Row],[North West]] &gt;= $N$10, U$13 = "Yes" )</f>
        <v>0</v>
      </c>
      <c r="V156" s="23">
        <f xml:space="preserve"> -- AND( tblFilterRegion[[#This Row],[Yorkshire &amp; the Humber]] &gt;= $N$10, V$13 = "Yes" )</f>
        <v>0</v>
      </c>
      <c r="W156" s="22">
        <f xml:space="preserve"> SUMIF( $E$13:$M$13, "Yes", tblFilterRegion[[#This Row],[London]:[Yorkshire &amp; the Humber]] )</f>
        <v>0</v>
      </c>
      <c r="X156" s="23">
        <f xml:space="preserve"> -- ( SUM( tblFilterRegion[[#This Row],[Incl for Lon]:[Incl for YH]] ) &gt; 0 )</f>
        <v>0</v>
      </c>
      <c r="Y156" s="23">
        <f xml:space="preserve"> -- ( tblFilterRegion[[#This Row],[Total in selected regions]] &gt; $N$10 )</f>
        <v>0</v>
      </c>
      <c r="Z156" s="24">
        <f xml:space="preserve"> IF( RegionMinimum = 0, 1, IF( $R$10 = $U$8, tblFilterRegion[[#This Row],[Include for region - any]], IF( $R$10 = $U$10, tblFilterRegion[[#This Row],[Include for region - total]], "CHECK" ) ) )</f>
        <v>1</v>
      </c>
      <c r="AA156" s="131" t="str" cm="1">
        <f t="array" ref="AA156" xml:space="preserve"> INDEX( VfM_Metrics_2023_Consol_Source[], $D156, AA$14 )</f>
        <v>East of England</v>
      </c>
    </row>
    <row r="157" spans="2:27" x14ac:dyDescent="0.2">
      <c r="B157" s="159" t="s" vm="142">
        <v>429</v>
      </c>
      <c r="C157" s="154" t="str" vm="383">
        <f xml:space="preserve"> INDEX( VfM_Metrics_2023_Consol_Source[RP_Code], MATCH( tblFilterRegion[[#This Row],[RP_Name]], VfM_Metrics_2023_Consol_Source[RP_Name], 0 ) )</f>
        <v>4609</v>
      </c>
      <c r="D157" s="81">
        <f xml:space="preserve"> MATCH( tblFilterRegion[[#This Row],[RP_Code]], VfM_Metrics_2023_Consol_Source[RP_Code], 0 )</f>
        <v>142</v>
      </c>
      <c r="E157" s="22" cm="1">
        <f t="array" ref="E157" xml:space="preserve"> INDEX( VfM_Metrics_2023_Consol_Source[], $D157, E$14 )</f>
        <v>0</v>
      </c>
      <c r="F157" s="22" cm="1">
        <f t="array" ref="F157" xml:space="preserve"> INDEX( VfM_Metrics_2023_Consol_Source[], $D157, F$14 )</f>
        <v>0</v>
      </c>
      <c r="G157" s="22" cm="1">
        <f t="array" ref="G157" xml:space="preserve"> INDEX( VfM_Metrics_2023_Consol_Source[], $D157, G$14 )</f>
        <v>0</v>
      </c>
      <c r="H157" s="22" cm="1">
        <f t="array" ref="H157" xml:space="preserve"> INDEX( VfM_Metrics_2023_Consol_Source[], $D157, H$14 )</f>
        <v>0</v>
      </c>
      <c r="I157" s="22" cm="1">
        <f t="array" ref="I157" xml:space="preserve"> INDEX( VfM_Metrics_2023_Consol_Source[], $D157, I$14 )</f>
        <v>0</v>
      </c>
      <c r="J157" s="22" cm="1">
        <f t="array" ref="J157" xml:space="preserve"> INDEX( VfM_Metrics_2023_Consol_Source[], $D157, J$14 )</f>
        <v>0</v>
      </c>
      <c r="K157" s="22" cm="1">
        <f t="array" ref="K157" xml:space="preserve"> INDEX( VfM_Metrics_2023_Consol_Source[], $D157, K$14 )</f>
        <v>0</v>
      </c>
      <c r="L157" s="22" cm="1">
        <f t="array" ref="L157" xml:space="preserve"> INDEX( VfM_Metrics_2023_Consol_Source[], $D157, L$14 )</f>
        <v>1</v>
      </c>
      <c r="M157" s="22" cm="1">
        <f t="array" ref="M157" xml:space="preserve"> INDEX( VfM_Metrics_2023_Consol_Source[], $D157, M$14 )</f>
        <v>0</v>
      </c>
      <c r="N157" s="23">
        <f xml:space="preserve"> -- AND( tblFilterRegion[[#This Row],[London]] &gt;= $N$10, N$13 = "Yes" )</f>
        <v>0</v>
      </c>
      <c r="O157" s="23">
        <f xml:space="preserve"> -- AND( tblFilterRegion[[#This Row],[South East]] &gt;= $N$10, O$13 = "Yes" )</f>
        <v>0</v>
      </c>
      <c r="P157" s="23">
        <f xml:space="preserve"> -- AND( tblFilterRegion[[#This Row],[South West]] &gt;= $N$10, P$13 = "Yes" )</f>
        <v>0</v>
      </c>
      <c r="Q157" s="23">
        <f xml:space="preserve"> -- AND( tblFilterRegion[[#This Row],[East Midlands]] &gt;= $N$10, Q$13 = "Yes" )</f>
        <v>0</v>
      </c>
      <c r="R157" s="23">
        <f xml:space="preserve"> -- AND( tblFilterRegion[[#This Row],[West Midlands]] &gt;= $N$10, R$13 = "Yes" )</f>
        <v>0</v>
      </c>
      <c r="S157" s="23">
        <f xml:space="preserve"> -- AND( tblFilterRegion[[#This Row],[East of England]] &gt;= $N$10, S$13 = "Yes" )</f>
        <v>0</v>
      </c>
      <c r="T157" s="23">
        <f xml:space="preserve"> -- AND( tblFilterRegion[[#This Row],[North East]] &gt;= $N$10, T$13 = "Yes" )</f>
        <v>0</v>
      </c>
      <c r="U157" s="23">
        <f xml:space="preserve"> -- AND( tblFilterRegion[[#This Row],[North West]] &gt;= $N$10, U$13 = "Yes" )</f>
        <v>0</v>
      </c>
      <c r="V157" s="23">
        <f xml:space="preserve"> -- AND( tblFilterRegion[[#This Row],[Yorkshire &amp; the Humber]] &gt;= $N$10, V$13 = "Yes" )</f>
        <v>0</v>
      </c>
      <c r="W157" s="22">
        <f xml:space="preserve"> SUMIF( $E$13:$M$13, "Yes", tblFilterRegion[[#This Row],[London]:[Yorkshire &amp; the Humber]] )</f>
        <v>0</v>
      </c>
      <c r="X157" s="23">
        <f xml:space="preserve"> -- ( SUM( tblFilterRegion[[#This Row],[Incl for Lon]:[Incl for YH]] ) &gt; 0 )</f>
        <v>0</v>
      </c>
      <c r="Y157" s="23">
        <f xml:space="preserve"> -- ( tblFilterRegion[[#This Row],[Total in selected regions]] &gt; $N$10 )</f>
        <v>0</v>
      </c>
      <c r="Z157" s="24">
        <f xml:space="preserve"> IF( RegionMinimum = 0, 1, IF( $R$10 = $U$8, tblFilterRegion[[#This Row],[Include for region - any]], IF( $R$10 = $U$10, tblFilterRegion[[#This Row],[Include for region - total]], "CHECK" ) ) )</f>
        <v>1</v>
      </c>
      <c r="AA157" s="131" t="str" cm="1">
        <f t="array" ref="AA157" xml:space="preserve"> INDEX( VfM_Metrics_2023_Consol_Source[], $D157, AA$14 )</f>
        <v>North West</v>
      </c>
    </row>
    <row r="158" spans="2:27" x14ac:dyDescent="0.2">
      <c r="B158" s="159" t="s" vm="143">
        <v>431</v>
      </c>
      <c r="C158" s="154" t="str" vm="310">
        <f xml:space="preserve"> INDEX( VfM_Metrics_2023_Consol_Source[RP_Code], MATCH( tblFilterRegion[[#This Row],[RP_Name]], VfM_Metrics_2023_Consol_Source[RP_Name], 0 ) )</f>
        <v>LH2429</v>
      </c>
      <c r="D158" s="81">
        <f xml:space="preserve"> MATCH( tblFilterRegion[[#This Row],[RP_Code]], VfM_Metrics_2023_Consol_Source[RP_Code], 0 )</f>
        <v>143</v>
      </c>
      <c r="E158" s="22" cm="1">
        <f t="array" ref="E158" xml:space="preserve"> INDEX( VfM_Metrics_2023_Consol_Source[], $D158, E$14 )</f>
        <v>0.19681002563372257</v>
      </c>
      <c r="F158" s="22" cm="1">
        <f t="array" ref="F158" xml:space="preserve"> INDEX( VfM_Metrics_2023_Consol_Source[], $D158, F$14 )</f>
        <v>9.6268869268014812E-2</v>
      </c>
      <c r="G158" s="22" cm="1">
        <f t="array" ref="G158" xml:space="preserve"> INDEX( VfM_Metrics_2023_Consol_Source[], $D158, G$14 )</f>
        <v>0.13101680432925092</v>
      </c>
      <c r="H158" s="22" cm="1">
        <f t="array" ref="H158" xml:space="preserve"> INDEX( VfM_Metrics_2023_Consol_Source[], $D158, H$14 )</f>
        <v>4.8704072913699797E-2</v>
      </c>
      <c r="I158" s="22" cm="1">
        <f t="array" ref="I158" xml:space="preserve"> INDEX( VfM_Metrics_2023_Consol_Source[], $D158, I$14 )</f>
        <v>5.8103104528624321E-2</v>
      </c>
      <c r="J158" s="22" cm="1">
        <f t="array" ref="J158" xml:space="preserve"> INDEX( VfM_Metrics_2023_Consol_Source[], $D158, J$14 )</f>
        <v>0.11478211335801766</v>
      </c>
      <c r="K158" s="22" cm="1">
        <f t="array" ref="K158" xml:space="preserve"> INDEX( VfM_Metrics_2023_Consol_Source[], $D158, K$14 )</f>
        <v>3.7880945599544288E-2</v>
      </c>
      <c r="L158" s="22" cm="1">
        <f t="array" ref="L158" xml:space="preserve"> INDEX( VfM_Metrics_2023_Consol_Source[], $D158, L$14 )</f>
        <v>0.23241241811449728</v>
      </c>
      <c r="M158" s="22" cm="1">
        <f t="array" ref="M158" xml:space="preserve"> INDEX( VfM_Metrics_2023_Consol_Source[], $D158, M$14 )</f>
        <v>8.402164625462831E-2</v>
      </c>
      <c r="N158" s="23">
        <f xml:space="preserve"> -- AND( tblFilterRegion[[#This Row],[London]] &gt;= $N$10, N$13 = "Yes" )</f>
        <v>0</v>
      </c>
      <c r="O158" s="23">
        <f xml:space="preserve"> -- AND( tblFilterRegion[[#This Row],[South East]] &gt;= $N$10, O$13 = "Yes" )</f>
        <v>0</v>
      </c>
      <c r="P158" s="23">
        <f xml:space="preserve"> -- AND( tblFilterRegion[[#This Row],[South West]] &gt;= $N$10, P$13 = "Yes" )</f>
        <v>0</v>
      </c>
      <c r="Q158" s="23">
        <f xml:space="preserve"> -- AND( tblFilterRegion[[#This Row],[East Midlands]] &gt;= $N$10, Q$13 = "Yes" )</f>
        <v>0</v>
      </c>
      <c r="R158" s="23">
        <f xml:space="preserve"> -- AND( tblFilterRegion[[#This Row],[West Midlands]] &gt;= $N$10, R$13 = "Yes" )</f>
        <v>0</v>
      </c>
      <c r="S158" s="23">
        <f xml:space="preserve"> -- AND( tblFilterRegion[[#This Row],[East of England]] &gt;= $N$10, S$13 = "Yes" )</f>
        <v>0</v>
      </c>
      <c r="T158" s="23">
        <f xml:space="preserve"> -- AND( tblFilterRegion[[#This Row],[North East]] &gt;= $N$10, T$13 = "Yes" )</f>
        <v>0</v>
      </c>
      <c r="U158" s="23">
        <f xml:space="preserve"> -- AND( tblFilterRegion[[#This Row],[North West]] &gt;= $N$10, U$13 = "Yes" )</f>
        <v>0</v>
      </c>
      <c r="V158" s="23">
        <f xml:space="preserve"> -- AND( tblFilterRegion[[#This Row],[Yorkshire &amp; the Humber]] &gt;= $N$10, V$13 = "Yes" )</f>
        <v>0</v>
      </c>
      <c r="W158" s="22">
        <f xml:space="preserve"> SUMIF( $E$13:$M$13, "Yes", tblFilterRegion[[#This Row],[London]:[Yorkshire &amp; the Humber]] )</f>
        <v>0</v>
      </c>
      <c r="X158" s="23">
        <f xml:space="preserve"> -- ( SUM( tblFilterRegion[[#This Row],[Incl for Lon]:[Incl for YH]] ) &gt; 0 )</f>
        <v>0</v>
      </c>
      <c r="Y158" s="23">
        <f xml:space="preserve"> -- ( tblFilterRegion[[#This Row],[Total in selected regions]] &gt; $N$10 )</f>
        <v>0</v>
      </c>
      <c r="Z158" s="24">
        <f xml:space="preserve"> IF( RegionMinimum = 0, 1, IF( $R$10 = $U$8, tblFilterRegion[[#This Row],[Include for region - any]], IF( $R$10 = $U$10, tblFilterRegion[[#This Row],[Include for region - total]], "CHECK" ) ) )</f>
        <v>1</v>
      </c>
      <c r="AA158" s="131" t="str" cm="1">
        <f t="array" ref="AA158" xml:space="preserve"> INDEX( VfM_Metrics_2023_Consol_Source[], $D158, AA$14 )</f>
        <v>Mixed</v>
      </c>
    </row>
    <row r="159" spans="2:27" x14ac:dyDescent="0.2">
      <c r="B159" s="159" t="s" vm="144">
        <v>433</v>
      </c>
      <c r="C159" s="154" t="str" vm="251">
        <f xml:space="preserve"> INDEX( VfM_Metrics_2023_Consol_Source[RP_Code], MATCH( tblFilterRegion[[#This Row],[RP_Name]], VfM_Metrics_2023_Consol_Source[RP_Name], 0 ) )</f>
        <v>L0247</v>
      </c>
      <c r="D159" s="81">
        <f xml:space="preserve"> MATCH( tblFilterRegion[[#This Row],[RP_Code]], VfM_Metrics_2023_Consol_Source[RP_Code], 0 )</f>
        <v>144</v>
      </c>
      <c r="E159" s="22" cm="1">
        <f t="array" ref="E159" xml:space="preserve"> INDEX( VfM_Metrics_2023_Consol_Source[], $D159, E$14 )</f>
        <v>0.13272325497197218</v>
      </c>
      <c r="F159" s="22" cm="1">
        <f t="array" ref="F159" xml:space="preserve"> INDEX( VfM_Metrics_2023_Consol_Source[], $D159, F$14 )</f>
        <v>0.13311027603340866</v>
      </c>
      <c r="G159" s="22" cm="1">
        <f t="array" ref="G159" xml:space="preserve"> INDEX( VfM_Metrics_2023_Consol_Source[], $D159, G$14 )</f>
        <v>0.13147479993508035</v>
      </c>
      <c r="H159" s="22" cm="1">
        <f t="array" ref="H159" xml:space="preserve"> INDEX( VfM_Metrics_2023_Consol_Source[], $D159, H$14 )</f>
        <v>1.4244871970935966E-2</v>
      </c>
      <c r="I159" s="22" cm="1">
        <f t="array" ref="I159" xml:space="preserve"> INDEX( VfM_Metrics_2023_Consol_Source[], $D159, I$14 )</f>
        <v>0.12418382251963196</v>
      </c>
      <c r="J159" s="22" cm="1">
        <f t="array" ref="J159" xml:space="preserve"> INDEX( VfM_Metrics_2023_Consol_Source[], $D159, J$14 )</f>
        <v>0.22580806252262825</v>
      </c>
      <c r="K159" s="22" cm="1">
        <f t="array" ref="K159" xml:space="preserve"> INDEX( VfM_Metrics_2023_Consol_Source[], $D159, K$14 )</f>
        <v>1.0986404324648247E-3</v>
      </c>
      <c r="L159" s="22" cm="1">
        <f t="array" ref="L159" xml:space="preserve"> INDEX( VfM_Metrics_2023_Consol_Source[], $D159, L$14 )</f>
        <v>0.1248829573402914</v>
      </c>
      <c r="M159" s="22" cm="1">
        <f t="array" ref="M159" xml:space="preserve"> INDEX( VfM_Metrics_2023_Consol_Source[], $D159, M$14 )</f>
        <v>0.11247331427358644</v>
      </c>
      <c r="N159" s="23">
        <f xml:space="preserve"> -- AND( tblFilterRegion[[#This Row],[London]] &gt;= $N$10, N$13 = "Yes" )</f>
        <v>0</v>
      </c>
      <c r="O159" s="23">
        <f xml:space="preserve"> -- AND( tblFilterRegion[[#This Row],[South East]] &gt;= $N$10, O$13 = "Yes" )</f>
        <v>0</v>
      </c>
      <c r="P159" s="23">
        <f xml:space="preserve"> -- AND( tblFilterRegion[[#This Row],[South West]] &gt;= $N$10, P$13 = "Yes" )</f>
        <v>0</v>
      </c>
      <c r="Q159" s="23">
        <f xml:space="preserve"> -- AND( tblFilterRegion[[#This Row],[East Midlands]] &gt;= $N$10, Q$13 = "Yes" )</f>
        <v>0</v>
      </c>
      <c r="R159" s="23">
        <f xml:space="preserve"> -- AND( tblFilterRegion[[#This Row],[West Midlands]] &gt;= $N$10, R$13 = "Yes" )</f>
        <v>0</v>
      </c>
      <c r="S159" s="23">
        <f xml:space="preserve"> -- AND( tblFilterRegion[[#This Row],[East of England]] &gt;= $N$10, S$13 = "Yes" )</f>
        <v>0</v>
      </c>
      <c r="T159" s="23">
        <f xml:space="preserve"> -- AND( tblFilterRegion[[#This Row],[North East]] &gt;= $N$10, T$13 = "Yes" )</f>
        <v>0</v>
      </c>
      <c r="U159" s="23">
        <f xml:space="preserve"> -- AND( tblFilterRegion[[#This Row],[North West]] &gt;= $N$10, U$13 = "Yes" )</f>
        <v>0</v>
      </c>
      <c r="V159" s="23">
        <f xml:space="preserve"> -- AND( tblFilterRegion[[#This Row],[Yorkshire &amp; the Humber]] &gt;= $N$10, V$13 = "Yes" )</f>
        <v>0</v>
      </c>
      <c r="W159" s="22">
        <f xml:space="preserve"> SUMIF( $E$13:$M$13, "Yes", tblFilterRegion[[#This Row],[London]:[Yorkshire &amp; the Humber]] )</f>
        <v>0</v>
      </c>
      <c r="X159" s="23">
        <f xml:space="preserve"> -- ( SUM( tblFilterRegion[[#This Row],[Incl for Lon]:[Incl for YH]] ) &gt; 0 )</f>
        <v>0</v>
      </c>
      <c r="Y159" s="23">
        <f xml:space="preserve"> -- ( tblFilterRegion[[#This Row],[Total in selected regions]] &gt; $N$10 )</f>
        <v>0</v>
      </c>
      <c r="Z159" s="24">
        <f xml:space="preserve"> IF( RegionMinimum = 0, 1, IF( $R$10 = $U$8, tblFilterRegion[[#This Row],[Include for region - any]], IF( $R$10 = $U$10, tblFilterRegion[[#This Row],[Include for region - total]], "CHECK" ) ) )</f>
        <v>1</v>
      </c>
      <c r="AA159" s="131" t="str" cm="1">
        <f t="array" ref="AA159" xml:space="preserve"> INDEX( VfM_Metrics_2023_Consol_Source[], $D159, AA$14 )</f>
        <v>Mixed</v>
      </c>
    </row>
    <row r="160" spans="2:27" x14ac:dyDescent="0.2">
      <c r="B160" s="159" t="s" vm="145">
        <v>435</v>
      </c>
      <c r="C160" s="154" t="str" vm="358">
        <f xml:space="preserve"> INDEX( VfM_Metrics_2023_Consol_Source[RP_Code], MATCH( tblFilterRegion[[#This Row],[RP_Name]], VfM_Metrics_2023_Consol_Source[RP_Name], 0 ) )</f>
        <v>L4299</v>
      </c>
      <c r="D160" s="81">
        <f xml:space="preserve"> MATCH( tblFilterRegion[[#This Row],[RP_Code]], VfM_Metrics_2023_Consol_Source[RP_Code], 0 )</f>
        <v>145</v>
      </c>
      <c r="E160" s="22" cm="1">
        <f t="array" ref="E160" xml:space="preserve"> INDEX( VfM_Metrics_2023_Consol_Source[], $D160, E$14 )</f>
        <v>0</v>
      </c>
      <c r="F160" s="22" cm="1">
        <f t="array" ref="F160" xml:space="preserve"> INDEX( VfM_Metrics_2023_Consol_Source[], $D160, F$14 )</f>
        <v>1</v>
      </c>
      <c r="G160" s="22" cm="1">
        <f t="array" ref="G160" xml:space="preserve"> INDEX( VfM_Metrics_2023_Consol_Source[], $D160, G$14 )</f>
        <v>0</v>
      </c>
      <c r="H160" s="22" cm="1">
        <f t="array" ref="H160" xml:space="preserve"> INDEX( VfM_Metrics_2023_Consol_Source[], $D160, H$14 )</f>
        <v>0</v>
      </c>
      <c r="I160" s="22" cm="1">
        <f t="array" ref="I160" xml:space="preserve"> INDEX( VfM_Metrics_2023_Consol_Source[], $D160, I$14 )</f>
        <v>0</v>
      </c>
      <c r="J160" s="22" cm="1">
        <f t="array" ref="J160" xml:space="preserve"> INDEX( VfM_Metrics_2023_Consol_Source[], $D160, J$14 )</f>
        <v>0</v>
      </c>
      <c r="K160" s="22" cm="1">
        <f t="array" ref="K160" xml:space="preserve"> INDEX( VfM_Metrics_2023_Consol_Source[], $D160, K$14 )</f>
        <v>0</v>
      </c>
      <c r="L160" s="22" cm="1">
        <f t="array" ref="L160" xml:space="preserve"> INDEX( VfM_Metrics_2023_Consol_Source[], $D160, L$14 )</f>
        <v>0</v>
      </c>
      <c r="M160" s="22" cm="1">
        <f t="array" ref="M160" xml:space="preserve"> INDEX( VfM_Metrics_2023_Consol_Source[], $D160, M$14 )</f>
        <v>0</v>
      </c>
      <c r="N160" s="23">
        <f xml:space="preserve"> -- AND( tblFilterRegion[[#This Row],[London]] &gt;= $N$10, N$13 = "Yes" )</f>
        <v>0</v>
      </c>
      <c r="O160" s="23">
        <f xml:space="preserve"> -- AND( tblFilterRegion[[#This Row],[South East]] &gt;= $N$10, O$13 = "Yes" )</f>
        <v>0</v>
      </c>
      <c r="P160" s="23">
        <f xml:space="preserve"> -- AND( tblFilterRegion[[#This Row],[South West]] &gt;= $N$10, P$13 = "Yes" )</f>
        <v>0</v>
      </c>
      <c r="Q160" s="23">
        <f xml:space="preserve"> -- AND( tblFilterRegion[[#This Row],[East Midlands]] &gt;= $N$10, Q$13 = "Yes" )</f>
        <v>0</v>
      </c>
      <c r="R160" s="23">
        <f xml:space="preserve"> -- AND( tblFilterRegion[[#This Row],[West Midlands]] &gt;= $N$10, R$13 = "Yes" )</f>
        <v>0</v>
      </c>
      <c r="S160" s="23">
        <f xml:space="preserve"> -- AND( tblFilterRegion[[#This Row],[East of England]] &gt;= $N$10, S$13 = "Yes" )</f>
        <v>0</v>
      </c>
      <c r="T160" s="23">
        <f xml:space="preserve"> -- AND( tblFilterRegion[[#This Row],[North East]] &gt;= $N$10, T$13 = "Yes" )</f>
        <v>0</v>
      </c>
      <c r="U160" s="23">
        <f xml:space="preserve"> -- AND( tblFilterRegion[[#This Row],[North West]] &gt;= $N$10, U$13 = "Yes" )</f>
        <v>0</v>
      </c>
      <c r="V160" s="23">
        <f xml:space="preserve"> -- AND( tblFilterRegion[[#This Row],[Yorkshire &amp; the Humber]] &gt;= $N$10, V$13 = "Yes" )</f>
        <v>0</v>
      </c>
      <c r="W160" s="22">
        <f xml:space="preserve"> SUMIF( $E$13:$M$13, "Yes", tblFilterRegion[[#This Row],[London]:[Yorkshire &amp; the Humber]] )</f>
        <v>0</v>
      </c>
      <c r="X160" s="23">
        <f xml:space="preserve"> -- ( SUM( tblFilterRegion[[#This Row],[Incl for Lon]:[Incl for YH]] ) &gt; 0 )</f>
        <v>0</v>
      </c>
      <c r="Y160" s="23">
        <f xml:space="preserve"> -- ( tblFilterRegion[[#This Row],[Total in selected regions]] &gt; $N$10 )</f>
        <v>0</v>
      </c>
      <c r="Z160" s="24">
        <f xml:space="preserve"> IF( RegionMinimum = 0, 1, IF( $R$10 = $U$8, tblFilterRegion[[#This Row],[Include for region - any]], IF( $R$10 = $U$10, tblFilterRegion[[#This Row],[Include for region - total]], "CHECK" ) ) )</f>
        <v>1</v>
      </c>
      <c r="AA160" s="131" t="str" cm="1">
        <f t="array" ref="AA160" xml:space="preserve"> INDEX( VfM_Metrics_2023_Consol_Source[], $D160, AA$14 )</f>
        <v>South East</v>
      </c>
    </row>
    <row r="161" spans="2:27" x14ac:dyDescent="0.2">
      <c r="B161" s="159" t="s" vm="146">
        <v>437</v>
      </c>
      <c r="C161" s="154" t="str" vm="375">
        <f xml:space="preserve"> INDEX( VfM_Metrics_2023_Consol_Source[RP_Code], MATCH( tblFilterRegion[[#This Row],[RP_Name]], VfM_Metrics_2023_Consol_Source[RP_Name], 0 ) )</f>
        <v>LH4097</v>
      </c>
      <c r="D161" s="81">
        <f xml:space="preserve"> MATCH( tblFilterRegion[[#This Row],[RP_Code]], VfM_Metrics_2023_Consol_Source[RP_Code], 0 )</f>
        <v>146</v>
      </c>
      <c r="E161" s="22" cm="1">
        <f t="array" ref="E161" xml:space="preserve"> INDEX( VfM_Metrics_2023_Consol_Source[], $D161, E$14 )</f>
        <v>0</v>
      </c>
      <c r="F161" s="22" cm="1">
        <f t="array" ref="F161" xml:space="preserve"> INDEX( VfM_Metrics_2023_Consol_Source[], $D161, F$14 )</f>
        <v>0</v>
      </c>
      <c r="G161" s="22" cm="1">
        <f t="array" ref="G161" xml:space="preserve"> INDEX( VfM_Metrics_2023_Consol_Source[], $D161, G$14 )</f>
        <v>1</v>
      </c>
      <c r="H161" s="22" cm="1">
        <f t="array" ref="H161" xml:space="preserve"> INDEX( VfM_Metrics_2023_Consol_Source[], $D161, H$14 )</f>
        <v>0</v>
      </c>
      <c r="I161" s="22" cm="1">
        <f t="array" ref="I161" xml:space="preserve"> INDEX( VfM_Metrics_2023_Consol_Source[], $D161, I$14 )</f>
        <v>0</v>
      </c>
      <c r="J161" s="22" cm="1">
        <f t="array" ref="J161" xml:space="preserve"> INDEX( VfM_Metrics_2023_Consol_Source[], $D161, J$14 )</f>
        <v>0</v>
      </c>
      <c r="K161" s="22" cm="1">
        <f t="array" ref="K161" xml:space="preserve"> INDEX( VfM_Metrics_2023_Consol_Source[], $D161, K$14 )</f>
        <v>0</v>
      </c>
      <c r="L161" s="22" cm="1">
        <f t="array" ref="L161" xml:space="preserve"> INDEX( VfM_Metrics_2023_Consol_Source[], $D161, L$14 )</f>
        <v>0</v>
      </c>
      <c r="M161" s="22" cm="1">
        <f t="array" ref="M161" xml:space="preserve"> INDEX( VfM_Metrics_2023_Consol_Source[], $D161, M$14 )</f>
        <v>0</v>
      </c>
      <c r="N161" s="23">
        <f xml:space="preserve"> -- AND( tblFilterRegion[[#This Row],[London]] &gt;= $N$10, N$13 = "Yes" )</f>
        <v>0</v>
      </c>
      <c r="O161" s="23">
        <f xml:space="preserve"> -- AND( tblFilterRegion[[#This Row],[South East]] &gt;= $N$10, O$13 = "Yes" )</f>
        <v>0</v>
      </c>
      <c r="P161" s="23">
        <f xml:space="preserve"> -- AND( tblFilterRegion[[#This Row],[South West]] &gt;= $N$10, P$13 = "Yes" )</f>
        <v>0</v>
      </c>
      <c r="Q161" s="23">
        <f xml:space="preserve"> -- AND( tblFilterRegion[[#This Row],[East Midlands]] &gt;= $N$10, Q$13 = "Yes" )</f>
        <v>0</v>
      </c>
      <c r="R161" s="23">
        <f xml:space="preserve"> -- AND( tblFilterRegion[[#This Row],[West Midlands]] &gt;= $N$10, R$13 = "Yes" )</f>
        <v>0</v>
      </c>
      <c r="S161" s="23">
        <f xml:space="preserve"> -- AND( tblFilterRegion[[#This Row],[East of England]] &gt;= $N$10, S$13 = "Yes" )</f>
        <v>0</v>
      </c>
      <c r="T161" s="23">
        <f xml:space="preserve"> -- AND( tblFilterRegion[[#This Row],[North East]] &gt;= $N$10, T$13 = "Yes" )</f>
        <v>0</v>
      </c>
      <c r="U161" s="23">
        <f xml:space="preserve"> -- AND( tblFilterRegion[[#This Row],[North West]] &gt;= $N$10, U$13 = "Yes" )</f>
        <v>0</v>
      </c>
      <c r="V161" s="23">
        <f xml:space="preserve"> -- AND( tblFilterRegion[[#This Row],[Yorkshire &amp; the Humber]] &gt;= $N$10, V$13 = "Yes" )</f>
        <v>0</v>
      </c>
      <c r="W161" s="22">
        <f xml:space="preserve"> SUMIF( $E$13:$M$13, "Yes", tblFilterRegion[[#This Row],[London]:[Yorkshire &amp; the Humber]] )</f>
        <v>0</v>
      </c>
      <c r="X161" s="23">
        <f xml:space="preserve"> -- ( SUM( tblFilterRegion[[#This Row],[Incl for Lon]:[Incl for YH]] ) &gt; 0 )</f>
        <v>0</v>
      </c>
      <c r="Y161" s="23">
        <f xml:space="preserve"> -- ( tblFilterRegion[[#This Row],[Total in selected regions]] &gt; $N$10 )</f>
        <v>0</v>
      </c>
      <c r="Z161" s="24">
        <f xml:space="preserve"> IF( RegionMinimum = 0, 1, IF( $R$10 = $U$8, tblFilterRegion[[#This Row],[Include for region - any]], IF( $R$10 = $U$10, tblFilterRegion[[#This Row],[Include for region - total]], "CHECK" ) ) )</f>
        <v>1</v>
      </c>
      <c r="AA161" s="131" t="str" cm="1">
        <f t="array" ref="AA161" xml:space="preserve"> INDEX( VfM_Metrics_2023_Consol_Source[], $D161, AA$14 )</f>
        <v>South West</v>
      </c>
    </row>
    <row r="162" spans="2:27" x14ac:dyDescent="0.2">
      <c r="B162" s="159" t="s" vm="147">
        <v>439</v>
      </c>
      <c r="C162" s="154" t="str" vm="353">
        <f xml:space="preserve"> INDEX( VfM_Metrics_2023_Consol_Source[RP_Code], MATCH( tblFilterRegion[[#This Row],[RP_Name]], VfM_Metrics_2023_Consol_Source[RP_Name], 0 ) )</f>
        <v>L4370</v>
      </c>
      <c r="D162" s="81">
        <f xml:space="preserve"> MATCH( tblFilterRegion[[#This Row],[RP_Code]], VfM_Metrics_2023_Consol_Source[RP_Code], 0 )</f>
        <v>147</v>
      </c>
      <c r="E162" s="22" cm="1">
        <f t="array" ref="E162" xml:space="preserve"> INDEX( VfM_Metrics_2023_Consol_Source[], $D162, E$14 )</f>
        <v>0</v>
      </c>
      <c r="F162" s="22" cm="1">
        <f t="array" ref="F162" xml:space="preserve"> INDEX( VfM_Metrics_2023_Consol_Source[], $D162, F$14 )</f>
        <v>6.5111231687466087E-4</v>
      </c>
      <c r="G162" s="22" cm="1">
        <f t="array" ref="G162" xml:space="preserve"> INDEX( VfM_Metrics_2023_Consol_Source[], $D162, G$14 )</f>
        <v>0</v>
      </c>
      <c r="H162" s="22" cm="1">
        <f t="array" ref="H162" xml:space="preserve"> INDEX( VfM_Metrics_2023_Consol_Source[], $D162, H$14 )</f>
        <v>0</v>
      </c>
      <c r="I162" s="22" cm="1">
        <f t="array" ref="I162" xml:space="preserve"> INDEX( VfM_Metrics_2023_Consol_Source[], $D162, I$14 )</f>
        <v>0</v>
      </c>
      <c r="J162" s="22" cm="1">
        <f t="array" ref="J162" xml:space="preserve"> INDEX( VfM_Metrics_2023_Consol_Source[], $D162, J$14 )</f>
        <v>0.99934888768312535</v>
      </c>
      <c r="K162" s="22" cm="1">
        <f t="array" ref="K162" xml:space="preserve"> INDEX( VfM_Metrics_2023_Consol_Source[], $D162, K$14 )</f>
        <v>0</v>
      </c>
      <c r="L162" s="22" cm="1">
        <f t="array" ref="L162" xml:space="preserve"> INDEX( VfM_Metrics_2023_Consol_Source[], $D162, L$14 )</f>
        <v>0</v>
      </c>
      <c r="M162" s="22" cm="1">
        <f t="array" ref="M162" xml:space="preserve"> INDEX( VfM_Metrics_2023_Consol_Source[], $D162, M$14 )</f>
        <v>0</v>
      </c>
      <c r="N162" s="23">
        <f xml:space="preserve"> -- AND( tblFilterRegion[[#This Row],[London]] &gt;= $N$10, N$13 = "Yes" )</f>
        <v>0</v>
      </c>
      <c r="O162" s="23">
        <f xml:space="preserve"> -- AND( tblFilterRegion[[#This Row],[South East]] &gt;= $N$10, O$13 = "Yes" )</f>
        <v>0</v>
      </c>
      <c r="P162" s="23">
        <f xml:space="preserve"> -- AND( tblFilterRegion[[#This Row],[South West]] &gt;= $N$10, P$13 = "Yes" )</f>
        <v>0</v>
      </c>
      <c r="Q162" s="23">
        <f xml:space="preserve"> -- AND( tblFilterRegion[[#This Row],[East Midlands]] &gt;= $N$10, Q$13 = "Yes" )</f>
        <v>0</v>
      </c>
      <c r="R162" s="23">
        <f xml:space="preserve"> -- AND( tblFilterRegion[[#This Row],[West Midlands]] &gt;= $N$10, R$13 = "Yes" )</f>
        <v>0</v>
      </c>
      <c r="S162" s="23">
        <f xml:space="preserve"> -- AND( tblFilterRegion[[#This Row],[East of England]] &gt;= $N$10, S$13 = "Yes" )</f>
        <v>0</v>
      </c>
      <c r="T162" s="23">
        <f xml:space="preserve"> -- AND( tblFilterRegion[[#This Row],[North East]] &gt;= $N$10, T$13 = "Yes" )</f>
        <v>0</v>
      </c>
      <c r="U162" s="23">
        <f xml:space="preserve"> -- AND( tblFilterRegion[[#This Row],[North West]] &gt;= $N$10, U$13 = "Yes" )</f>
        <v>0</v>
      </c>
      <c r="V162" s="23">
        <f xml:space="preserve"> -- AND( tblFilterRegion[[#This Row],[Yorkshire &amp; the Humber]] &gt;= $N$10, V$13 = "Yes" )</f>
        <v>0</v>
      </c>
      <c r="W162" s="22">
        <f xml:space="preserve"> SUMIF( $E$13:$M$13, "Yes", tblFilterRegion[[#This Row],[London]:[Yorkshire &amp; the Humber]] )</f>
        <v>0</v>
      </c>
      <c r="X162" s="23">
        <f xml:space="preserve"> -- ( SUM( tblFilterRegion[[#This Row],[Incl for Lon]:[Incl for YH]] ) &gt; 0 )</f>
        <v>0</v>
      </c>
      <c r="Y162" s="23">
        <f xml:space="preserve"> -- ( tblFilterRegion[[#This Row],[Total in selected regions]] &gt; $N$10 )</f>
        <v>0</v>
      </c>
      <c r="Z162" s="24">
        <f xml:space="preserve"> IF( RegionMinimum = 0, 1, IF( $R$10 = $U$8, tblFilterRegion[[#This Row],[Include for region - any]], IF( $R$10 = $U$10, tblFilterRegion[[#This Row],[Include for region - total]], "CHECK" ) ) )</f>
        <v>1</v>
      </c>
      <c r="AA162" s="131" t="str" cm="1">
        <f t="array" ref="AA162" xml:space="preserve"> INDEX( VfM_Metrics_2023_Consol_Source[], $D162, AA$14 )</f>
        <v>East of England</v>
      </c>
    </row>
    <row r="163" spans="2:27" x14ac:dyDescent="0.2">
      <c r="B163" s="159" t="s" vm="148">
        <v>441</v>
      </c>
      <c r="C163" s="154" t="str" vm="306">
        <f xml:space="preserve"> INDEX( VfM_Metrics_2023_Consol_Source[RP_Code], MATCH( tblFilterRegion[[#This Row],[RP_Name]], VfM_Metrics_2023_Consol_Source[RP_Name], 0 ) )</f>
        <v>LH0050</v>
      </c>
      <c r="D163" s="81">
        <f xml:space="preserve"> MATCH( tblFilterRegion[[#This Row],[RP_Code]], VfM_Metrics_2023_Consol_Source[RP_Code], 0 )</f>
        <v>148</v>
      </c>
      <c r="E163" s="22" cm="1">
        <f t="array" ref="E163" xml:space="preserve"> INDEX( VfM_Metrics_2023_Consol_Source[], $D163, E$14 )</f>
        <v>0.99549954995499546</v>
      </c>
      <c r="F163" s="22" cm="1">
        <f t="array" ref="F163" xml:space="preserve"> INDEX( VfM_Metrics_2023_Consol_Source[], $D163, F$14 )</f>
        <v>2.7002700270027003E-3</v>
      </c>
      <c r="G163" s="22" cm="1">
        <f t="array" ref="G163" xml:space="preserve"> INDEX( VfM_Metrics_2023_Consol_Source[], $D163, G$14 )</f>
        <v>4.5004500450045003E-4</v>
      </c>
      <c r="H163" s="22" cm="1">
        <f t="array" ref="H163" xml:space="preserve"> INDEX( VfM_Metrics_2023_Consol_Source[], $D163, H$14 )</f>
        <v>0</v>
      </c>
      <c r="I163" s="22" cm="1">
        <f t="array" ref="I163" xml:space="preserve"> INDEX( VfM_Metrics_2023_Consol_Source[], $D163, I$14 )</f>
        <v>0</v>
      </c>
      <c r="J163" s="22" cm="1">
        <f t="array" ref="J163" xml:space="preserve"> INDEX( VfM_Metrics_2023_Consol_Source[], $D163, J$14 )</f>
        <v>1.3501350135013501E-3</v>
      </c>
      <c r="K163" s="22" cm="1">
        <f t="array" ref="K163" xml:space="preserve"> INDEX( VfM_Metrics_2023_Consol_Source[], $D163, K$14 )</f>
        <v>0</v>
      </c>
      <c r="L163" s="22" cm="1">
        <f t="array" ref="L163" xml:space="preserve"> INDEX( VfM_Metrics_2023_Consol_Source[], $D163, L$14 )</f>
        <v>0</v>
      </c>
      <c r="M163" s="22" cm="1">
        <f t="array" ref="M163" xml:space="preserve"> INDEX( VfM_Metrics_2023_Consol_Source[], $D163, M$14 )</f>
        <v>0</v>
      </c>
      <c r="N163" s="23">
        <f xml:space="preserve"> -- AND( tblFilterRegion[[#This Row],[London]] &gt;= $N$10, N$13 = "Yes" )</f>
        <v>0</v>
      </c>
      <c r="O163" s="23">
        <f xml:space="preserve"> -- AND( tblFilterRegion[[#This Row],[South East]] &gt;= $N$10, O$13 = "Yes" )</f>
        <v>0</v>
      </c>
      <c r="P163" s="23">
        <f xml:space="preserve"> -- AND( tblFilterRegion[[#This Row],[South West]] &gt;= $N$10, P$13 = "Yes" )</f>
        <v>0</v>
      </c>
      <c r="Q163" s="23">
        <f xml:space="preserve"> -- AND( tblFilterRegion[[#This Row],[East Midlands]] &gt;= $N$10, Q$13 = "Yes" )</f>
        <v>0</v>
      </c>
      <c r="R163" s="23">
        <f xml:space="preserve"> -- AND( tblFilterRegion[[#This Row],[West Midlands]] &gt;= $N$10, R$13 = "Yes" )</f>
        <v>0</v>
      </c>
      <c r="S163" s="23">
        <f xml:space="preserve"> -- AND( tblFilterRegion[[#This Row],[East of England]] &gt;= $N$10, S$13 = "Yes" )</f>
        <v>0</v>
      </c>
      <c r="T163" s="23">
        <f xml:space="preserve"> -- AND( tblFilterRegion[[#This Row],[North East]] &gt;= $N$10, T$13 = "Yes" )</f>
        <v>0</v>
      </c>
      <c r="U163" s="23">
        <f xml:space="preserve"> -- AND( tblFilterRegion[[#This Row],[North West]] &gt;= $N$10, U$13 = "Yes" )</f>
        <v>0</v>
      </c>
      <c r="V163" s="23">
        <f xml:space="preserve"> -- AND( tblFilterRegion[[#This Row],[Yorkshire &amp; the Humber]] &gt;= $N$10, V$13 = "Yes" )</f>
        <v>0</v>
      </c>
      <c r="W163" s="22">
        <f xml:space="preserve"> SUMIF( $E$13:$M$13, "Yes", tblFilterRegion[[#This Row],[London]:[Yorkshire &amp; the Humber]] )</f>
        <v>0</v>
      </c>
      <c r="X163" s="23">
        <f xml:space="preserve"> -- ( SUM( tblFilterRegion[[#This Row],[Incl for Lon]:[Incl for YH]] ) &gt; 0 )</f>
        <v>0</v>
      </c>
      <c r="Y163" s="23">
        <f xml:space="preserve"> -- ( tblFilterRegion[[#This Row],[Total in selected regions]] &gt; $N$10 )</f>
        <v>0</v>
      </c>
      <c r="Z163" s="24">
        <f xml:space="preserve"> IF( RegionMinimum = 0, 1, IF( $R$10 = $U$8, tblFilterRegion[[#This Row],[Include for region - any]], IF( $R$10 = $U$10, tblFilterRegion[[#This Row],[Include for region - total]], "CHECK" ) ) )</f>
        <v>1</v>
      </c>
      <c r="AA163" s="131" t="str" cm="1">
        <f t="array" ref="AA163" xml:space="preserve"> INDEX( VfM_Metrics_2023_Consol_Source[], $D163, AA$14 )</f>
        <v>London</v>
      </c>
    </row>
    <row r="164" spans="2:27" x14ac:dyDescent="0.2">
      <c r="B164" s="159" t="s" vm="149">
        <v>443</v>
      </c>
      <c r="C164" s="154" t="str" vm="365">
        <f xml:space="preserve"> INDEX( VfM_Metrics_2023_Consol_Source[RP_Code], MATCH( tblFilterRegion[[#This Row],[RP_Name]], VfM_Metrics_2023_Consol_Source[RP_Name], 0 ) )</f>
        <v>L4513</v>
      </c>
      <c r="D164" s="81">
        <f xml:space="preserve"> MATCH( tblFilterRegion[[#This Row],[RP_Code]], VfM_Metrics_2023_Consol_Source[RP_Code], 0 )</f>
        <v>149</v>
      </c>
      <c r="E164" s="22" cm="1">
        <f t="array" ref="E164" xml:space="preserve"> INDEX( VfM_Metrics_2023_Consol_Source[], $D164, E$14 )</f>
        <v>0</v>
      </c>
      <c r="F164" s="22" cm="1">
        <f t="array" ref="F164" xml:space="preserve"> INDEX( VfM_Metrics_2023_Consol_Source[], $D164, F$14 )</f>
        <v>1</v>
      </c>
      <c r="G164" s="22" cm="1">
        <f t="array" ref="G164" xml:space="preserve"> INDEX( VfM_Metrics_2023_Consol_Source[], $D164, G$14 )</f>
        <v>0</v>
      </c>
      <c r="H164" s="22" cm="1">
        <f t="array" ref="H164" xml:space="preserve"> INDEX( VfM_Metrics_2023_Consol_Source[], $D164, H$14 )</f>
        <v>0</v>
      </c>
      <c r="I164" s="22" cm="1">
        <f t="array" ref="I164" xml:space="preserve"> INDEX( VfM_Metrics_2023_Consol_Source[], $D164, I$14 )</f>
        <v>0</v>
      </c>
      <c r="J164" s="22" cm="1">
        <f t="array" ref="J164" xml:space="preserve"> INDEX( VfM_Metrics_2023_Consol_Source[], $D164, J$14 )</f>
        <v>0</v>
      </c>
      <c r="K164" s="22" cm="1">
        <f t="array" ref="K164" xml:space="preserve"> INDEX( VfM_Metrics_2023_Consol_Source[], $D164, K$14 )</f>
        <v>0</v>
      </c>
      <c r="L164" s="22" cm="1">
        <f t="array" ref="L164" xml:space="preserve"> INDEX( VfM_Metrics_2023_Consol_Source[], $D164, L$14 )</f>
        <v>0</v>
      </c>
      <c r="M164" s="22" cm="1">
        <f t="array" ref="M164" xml:space="preserve"> INDEX( VfM_Metrics_2023_Consol_Source[], $D164, M$14 )</f>
        <v>0</v>
      </c>
      <c r="N164" s="23">
        <f xml:space="preserve"> -- AND( tblFilterRegion[[#This Row],[London]] &gt;= $N$10, N$13 = "Yes" )</f>
        <v>0</v>
      </c>
      <c r="O164" s="23">
        <f xml:space="preserve"> -- AND( tblFilterRegion[[#This Row],[South East]] &gt;= $N$10, O$13 = "Yes" )</f>
        <v>0</v>
      </c>
      <c r="P164" s="23">
        <f xml:space="preserve"> -- AND( tblFilterRegion[[#This Row],[South West]] &gt;= $N$10, P$13 = "Yes" )</f>
        <v>0</v>
      </c>
      <c r="Q164" s="23">
        <f xml:space="preserve"> -- AND( tblFilterRegion[[#This Row],[East Midlands]] &gt;= $N$10, Q$13 = "Yes" )</f>
        <v>0</v>
      </c>
      <c r="R164" s="23">
        <f xml:space="preserve"> -- AND( tblFilterRegion[[#This Row],[West Midlands]] &gt;= $N$10, R$13 = "Yes" )</f>
        <v>0</v>
      </c>
      <c r="S164" s="23">
        <f xml:space="preserve"> -- AND( tblFilterRegion[[#This Row],[East of England]] &gt;= $N$10, S$13 = "Yes" )</f>
        <v>0</v>
      </c>
      <c r="T164" s="23">
        <f xml:space="preserve"> -- AND( tblFilterRegion[[#This Row],[North East]] &gt;= $N$10, T$13 = "Yes" )</f>
        <v>0</v>
      </c>
      <c r="U164" s="23">
        <f xml:space="preserve"> -- AND( tblFilterRegion[[#This Row],[North West]] &gt;= $N$10, U$13 = "Yes" )</f>
        <v>0</v>
      </c>
      <c r="V164" s="23">
        <f xml:space="preserve"> -- AND( tblFilterRegion[[#This Row],[Yorkshire &amp; the Humber]] &gt;= $N$10, V$13 = "Yes" )</f>
        <v>0</v>
      </c>
      <c r="W164" s="22">
        <f xml:space="preserve"> SUMIF( $E$13:$M$13, "Yes", tblFilterRegion[[#This Row],[London]:[Yorkshire &amp; the Humber]] )</f>
        <v>0</v>
      </c>
      <c r="X164" s="23">
        <f xml:space="preserve"> -- ( SUM( tblFilterRegion[[#This Row],[Incl for Lon]:[Incl for YH]] ) &gt; 0 )</f>
        <v>0</v>
      </c>
      <c r="Y164" s="23">
        <f xml:space="preserve"> -- ( tblFilterRegion[[#This Row],[Total in selected regions]] &gt; $N$10 )</f>
        <v>0</v>
      </c>
      <c r="Z164" s="24">
        <f xml:space="preserve"> IF( RegionMinimum = 0, 1, IF( $R$10 = $U$8, tblFilterRegion[[#This Row],[Include for region - any]], IF( $R$10 = $U$10, tblFilterRegion[[#This Row],[Include for region - total]], "CHECK" ) ) )</f>
        <v>1</v>
      </c>
      <c r="AA164" s="131" t="str" cm="1">
        <f t="array" ref="AA164" xml:space="preserve"> INDEX( VfM_Metrics_2023_Consol_Source[], $D164, AA$14 )</f>
        <v>South East</v>
      </c>
    </row>
    <row r="165" spans="2:27" x14ac:dyDescent="0.2">
      <c r="B165" s="159" t="s" vm="150">
        <v>445</v>
      </c>
      <c r="C165" s="154" t="str" vm="380">
        <f xml:space="preserve"> INDEX( VfM_Metrics_2023_Consol_Source[RP_Code], MATCH( tblFilterRegion[[#This Row],[RP_Name]], VfM_Metrics_2023_Consol_Source[RP_Name], 0 ) )</f>
        <v>L4130</v>
      </c>
      <c r="D165" s="81">
        <f xml:space="preserve"> MATCH( tblFilterRegion[[#This Row],[RP_Code]], VfM_Metrics_2023_Consol_Source[RP_Code], 0 )</f>
        <v>150</v>
      </c>
      <c r="E165" s="22" cm="1">
        <f t="array" ref="E165" xml:space="preserve"> INDEX( VfM_Metrics_2023_Consol_Source[], $D165, E$14 )</f>
        <v>0</v>
      </c>
      <c r="F165" s="22" cm="1">
        <f t="array" ref="F165" xml:space="preserve"> INDEX( VfM_Metrics_2023_Consol_Source[], $D165, F$14 )</f>
        <v>0.9683552899633302</v>
      </c>
      <c r="G165" s="22" cm="1">
        <f t="array" ref="G165" xml:space="preserve"> INDEX( VfM_Metrics_2023_Consol_Source[], $D165, G$14 )</f>
        <v>3.1644710036669833E-2</v>
      </c>
      <c r="H165" s="22" cm="1">
        <f t="array" ref="H165" xml:space="preserve"> INDEX( VfM_Metrics_2023_Consol_Source[], $D165, H$14 )</f>
        <v>0</v>
      </c>
      <c r="I165" s="22" cm="1">
        <f t="array" ref="I165" xml:space="preserve"> INDEX( VfM_Metrics_2023_Consol_Source[], $D165, I$14 )</f>
        <v>0</v>
      </c>
      <c r="J165" s="22" cm="1">
        <f t="array" ref="J165" xml:space="preserve"> INDEX( VfM_Metrics_2023_Consol_Source[], $D165, J$14 )</f>
        <v>0</v>
      </c>
      <c r="K165" s="22" cm="1">
        <f t="array" ref="K165" xml:space="preserve"> INDEX( VfM_Metrics_2023_Consol_Source[], $D165, K$14 )</f>
        <v>0</v>
      </c>
      <c r="L165" s="22" cm="1">
        <f t="array" ref="L165" xml:space="preserve"> INDEX( VfM_Metrics_2023_Consol_Source[], $D165, L$14 )</f>
        <v>0</v>
      </c>
      <c r="M165" s="22" cm="1">
        <f t="array" ref="M165" xml:space="preserve"> INDEX( VfM_Metrics_2023_Consol_Source[], $D165, M$14 )</f>
        <v>0</v>
      </c>
      <c r="N165" s="23">
        <f xml:space="preserve"> -- AND( tblFilterRegion[[#This Row],[London]] &gt;= $N$10, N$13 = "Yes" )</f>
        <v>0</v>
      </c>
      <c r="O165" s="23">
        <f xml:space="preserve"> -- AND( tblFilterRegion[[#This Row],[South East]] &gt;= $N$10, O$13 = "Yes" )</f>
        <v>0</v>
      </c>
      <c r="P165" s="23">
        <f xml:space="preserve"> -- AND( tblFilterRegion[[#This Row],[South West]] &gt;= $N$10, P$13 = "Yes" )</f>
        <v>0</v>
      </c>
      <c r="Q165" s="23">
        <f xml:space="preserve"> -- AND( tblFilterRegion[[#This Row],[East Midlands]] &gt;= $N$10, Q$13 = "Yes" )</f>
        <v>0</v>
      </c>
      <c r="R165" s="23">
        <f xml:space="preserve"> -- AND( tblFilterRegion[[#This Row],[West Midlands]] &gt;= $N$10, R$13 = "Yes" )</f>
        <v>0</v>
      </c>
      <c r="S165" s="23">
        <f xml:space="preserve"> -- AND( tblFilterRegion[[#This Row],[East of England]] &gt;= $N$10, S$13 = "Yes" )</f>
        <v>0</v>
      </c>
      <c r="T165" s="23">
        <f xml:space="preserve"> -- AND( tblFilterRegion[[#This Row],[North East]] &gt;= $N$10, T$13 = "Yes" )</f>
        <v>0</v>
      </c>
      <c r="U165" s="23">
        <f xml:space="preserve"> -- AND( tblFilterRegion[[#This Row],[North West]] &gt;= $N$10, U$13 = "Yes" )</f>
        <v>0</v>
      </c>
      <c r="V165" s="23">
        <f xml:space="preserve"> -- AND( tblFilterRegion[[#This Row],[Yorkshire &amp; the Humber]] &gt;= $N$10, V$13 = "Yes" )</f>
        <v>0</v>
      </c>
      <c r="W165" s="22">
        <f xml:space="preserve"> SUMIF( $E$13:$M$13, "Yes", tblFilterRegion[[#This Row],[London]:[Yorkshire &amp; the Humber]] )</f>
        <v>0</v>
      </c>
      <c r="X165" s="23">
        <f xml:space="preserve"> -- ( SUM( tblFilterRegion[[#This Row],[Incl for Lon]:[Incl for YH]] ) &gt; 0 )</f>
        <v>0</v>
      </c>
      <c r="Y165" s="23">
        <f xml:space="preserve"> -- ( tblFilterRegion[[#This Row],[Total in selected regions]] &gt; $N$10 )</f>
        <v>0</v>
      </c>
      <c r="Z165" s="24">
        <f xml:space="preserve"> IF( RegionMinimum = 0, 1, IF( $R$10 = $U$8, tblFilterRegion[[#This Row],[Include for region - any]], IF( $R$10 = $U$10, tblFilterRegion[[#This Row],[Include for region - total]], "CHECK" ) ) )</f>
        <v>1</v>
      </c>
      <c r="AA165" s="131" t="str" cm="1">
        <f t="array" ref="AA165" xml:space="preserve"> INDEX( VfM_Metrics_2023_Consol_Source[], $D165, AA$14 )</f>
        <v>South East</v>
      </c>
    </row>
    <row r="166" spans="2:27" x14ac:dyDescent="0.2">
      <c r="B166" s="159" t="s" vm="151">
        <v>447</v>
      </c>
      <c r="C166" s="154" t="str" vm="320">
        <f xml:space="preserve"> INDEX( VfM_Metrics_2023_Consol_Source[RP_Code], MATCH( tblFilterRegion[[#This Row],[RP_Name]], VfM_Metrics_2023_Consol_Source[RP_Name], 0 ) )</f>
        <v>4686</v>
      </c>
      <c r="D166" s="81">
        <f xml:space="preserve"> MATCH( tblFilterRegion[[#This Row],[RP_Code]], VfM_Metrics_2023_Consol_Source[RP_Code], 0 )</f>
        <v>151</v>
      </c>
      <c r="E166" s="22" cm="1">
        <f t="array" ref="E166" xml:space="preserve"> INDEX( VfM_Metrics_2023_Consol_Source[], $D166, E$14 )</f>
        <v>0</v>
      </c>
      <c r="F166" s="22" cm="1">
        <f t="array" ref="F166" xml:space="preserve"> INDEX( VfM_Metrics_2023_Consol_Source[], $D166, F$14 )</f>
        <v>0</v>
      </c>
      <c r="G166" s="22" cm="1">
        <f t="array" ref="G166" xml:space="preserve"> INDEX( VfM_Metrics_2023_Consol_Source[], $D166, G$14 )</f>
        <v>0</v>
      </c>
      <c r="H166" s="22" cm="1">
        <f t="array" ref="H166" xml:space="preserve"> INDEX( VfM_Metrics_2023_Consol_Source[], $D166, H$14 )</f>
        <v>0</v>
      </c>
      <c r="I166" s="22" cm="1">
        <f t="array" ref="I166" xml:space="preserve"> INDEX( VfM_Metrics_2023_Consol_Source[], $D166, I$14 )</f>
        <v>0</v>
      </c>
      <c r="J166" s="22" cm="1">
        <f t="array" ref="J166" xml:space="preserve"> INDEX( VfM_Metrics_2023_Consol_Source[], $D166, J$14 )</f>
        <v>0</v>
      </c>
      <c r="K166" s="22" cm="1">
        <f t="array" ref="K166" xml:space="preserve"> INDEX( VfM_Metrics_2023_Consol_Source[], $D166, K$14 )</f>
        <v>0</v>
      </c>
      <c r="L166" s="22" cm="1">
        <f t="array" ref="L166" xml:space="preserve"> INDEX( VfM_Metrics_2023_Consol_Source[], $D166, L$14 )</f>
        <v>1</v>
      </c>
      <c r="M166" s="22" cm="1">
        <f t="array" ref="M166" xml:space="preserve"> INDEX( VfM_Metrics_2023_Consol_Source[], $D166, M$14 )</f>
        <v>0</v>
      </c>
      <c r="N166" s="23">
        <f xml:space="preserve"> -- AND( tblFilterRegion[[#This Row],[London]] &gt;= $N$10, N$13 = "Yes" )</f>
        <v>0</v>
      </c>
      <c r="O166" s="23">
        <f xml:space="preserve"> -- AND( tblFilterRegion[[#This Row],[South East]] &gt;= $N$10, O$13 = "Yes" )</f>
        <v>0</v>
      </c>
      <c r="P166" s="23">
        <f xml:space="preserve"> -- AND( tblFilterRegion[[#This Row],[South West]] &gt;= $N$10, P$13 = "Yes" )</f>
        <v>0</v>
      </c>
      <c r="Q166" s="23">
        <f xml:space="preserve"> -- AND( tblFilterRegion[[#This Row],[East Midlands]] &gt;= $N$10, Q$13 = "Yes" )</f>
        <v>0</v>
      </c>
      <c r="R166" s="23">
        <f xml:space="preserve"> -- AND( tblFilterRegion[[#This Row],[West Midlands]] &gt;= $N$10, R$13 = "Yes" )</f>
        <v>0</v>
      </c>
      <c r="S166" s="23">
        <f xml:space="preserve"> -- AND( tblFilterRegion[[#This Row],[East of England]] &gt;= $N$10, S$13 = "Yes" )</f>
        <v>0</v>
      </c>
      <c r="T166" s="23">
        <f xml:space="preserve"> -- AND( tblFilterRegion[[#This Row],[North East]] &gt;= $N$10, T$13 = "Yes" )</f>
        <v>0</v>
      </c>
      <c r="U166" s="23">
        <f xml:space="preserve"> -- AND( tblFilterRegion[[#This Row],[North West]] &gt;= $N$10, U$13 = "Yes" )</f>
        <v>0</v>
      </c>
      <c r="V166" s="23">
        <f xml:space="preserve"> -- AND( tblFilterRegion[[#This Row],[Yorkshire &amp; the Humber]] &gt;= $N$10, V$13 = "Yes" )</f>
        <v>0</v>
      </c>
      <c r="W166" s="22">
        <f xml:space="preserve"> SUMIF( $E$13:$M$13, "Yes", tblFilterRegion[[#This Row],[London]:[Yorkshire &amp; the Humber]] )</f>
        <v>0</v>
      </c>
      <c r="X166" s="23">
        <f xml:space="preserve"> -- ( SUM( tblFilterRegion[[#This Row],[Incl for Lon]:[Incl for YH]] ) &gt; 0 )</f>
        <v>0</v>
      </c>
      <c r="Y166" s="23">
        <f xml:space="preserve"> -- ( tblFilterRegion[[#This Row],[Total in selected regions]] &gt; $N$10 )</f>
        <v>0</v>
      </c>
      <c r="Z166" s="24">
        <f xml:space="preserve"> IF( RegionMinimum = 0, 1, IF( $R$10 = $U$8, tblFilterRegion[[#This Row],[Include for region - any]], IF( $R$10 = $U$10, tblFilterRegion[[#This Row],[Include for region - total]], "CHECK" ) ) )</f>
        <v>1</v>
      </c>
      <c r="AA166" s="131" t="str" cm="1">
        <f t="array" ref="AA166" xml:space="preserve"> INDEX( VfM_Metrics_2023_Consol_Source[], $D166, AA$14 )</f>
        <v>North West</v>
      </c>
    </row>
    <row r="167" spans="2:27" x14ac:dyDescent="0.2">
      <c r="B167" s="159" t="s" vm="152">
        <v>449</v>
      </c>
      <c r="C167" s="154" t="str" vm="331">
        <f xml:space="preserve"> INDEX( VfM_Metrics_2023_Consol_Source[RP_Code], MATCH( tblFilterRegion[[#This Row],[RP_Name]], VfM_Metrics_2023_Consol_Source[RP_Name], 0 ) )</f>
        <v>L4230</v>
      </c>
      <c r="D167" s="81">
        <f xml:space="preserve"> MATCH( tblFilterRegion[[#This Row],[RP_Code]], VfM_Metrics_2023_Consol_Source[RP_Code], 0 )</f>
        <v>152</v>
      </c>
      <c r="E167" s="22" cm="1">
        <f t="array" ref="E167" xml:space="preserve"> INDEX( VfM_Metrics_2023_Consol_Source[], $D167, E$14 )</f>
        <v>0</v>
      </c>
      <c r="F167" s="22" cm="1">
        <f t="array" ref="F167" xml:space="preserve"> INDEX( VfM_Metrics_2023_Consol_Source[], $D167, F$14 )</f>
        <v>0</v>
      </c>
      <c r="G167" s="22" cm="1">
        <f t="array" ref="G167" xml:space="preserve"> INDEX( VfM_Metrics_2023_Consol_Source[], $D167, G$14 )</f>
        <v>0</v>
      </c>
      <c r="H167" s="22" cm="1">
        <f t="array" ref="H167" xml:space="preserve"> INDEX( VfM_Metrics_2023_Consol_Source[], $D167, H$14 )</f>
        <v>0</v>
      </c>
      <c r="I167" s="22" cm="1">
        <f t="array" ref="I167" xml:space="preserve"> INDEX( VfM_Metrics_2023_Consol_Source[], $D167, I$14 )</f>
        <v>0</v>
      </c>
      <c r="J167" s="22" cm="1">
        <f t="array" ref="J167" xml:space="preserve"> INDEX( VfM_Metrics_2023_Consol_Source[], $D167, J$14 )</f>
        <v>0</v>
      </c>
      <c r="K167" s="22" cm="1">
        <f t="array" ref="K167" xml:space="preserve"> INDEX( VfM_Metrics_2023_Consol_Source[], $D167, K$14 )</f>
        <v>0</v>
      </c>
      <c r="L167" s="22" cm="1">
        <f t="array" ref="L167" xml:space="preserve"> INDEX( VfM_Metrics_2023_Consol_Source[], $D167, L$14 )</f>
        <v>1</v>
      </c>
      <c r="M167" s="22" cm="1">
        <f t="array" ref="M167" xml:space="preserve"> INDEX( VfM_Metrics_2023_Consol_Source[], $D167, M$14 )</f>
        <v>0</v>
      </c>
      <c r="N167" s="23">
        <f xml:space="preserve"> -- AND( tblFilterRegion[[#This Row],[London]] &gt;= $N$10, N$13 = "Yes" )</f>
        <v>0</v>
      </c>
      <c r="O167" s="23">
        <f xml:space="preserve"> -- AND( tblFilterRegion[[#This Row],[South East]] &gt;= $N$10, O$13 = "Yes" )</f>
        <v>0</v>
      </c>
      <c r="P167" s="23">
        <f xml:space="preserve"> -- AND( tblFilterRegion[[#This Row],[South West]] &gt;= $N$10, P$13 = "Yes" )</f>
        <v>0</v>
      </c>
      <c r="Q167" s="23">
        <f xml:space="preserve"> -- AND( tblFilterRegion[[#This Row],[East Midlands]] &gt;= $N$10, Q$13 = "Yes" )</f>
        <v>0</v>
      </c>
      <c r="R167" s="23">
        <f xml:space="preserve"> -- AND( tblFilterRegion[[#This Row],[West Midlands]] &gt;= $N$10, R$13 = "Yes" )</f>
        <v>0</v>
      </c>
      <c r="S167" s="23">
        <f xml:space="preserve"> -- AND( tblFilterRegion[[#This Row],[East of England]] &gt;= $N$10, S$13 = "Yes" )</f>
        <v>0</v>
      </c>
      <c r="T167" s="23">
        <f xml:space="preserve"> -- AND( tblFilterRegion[[#This Row],[North East]] &gt;= $N$10, T$13 = "Yes" )</f>
        <v>0</v>
      </c>
      <c r="U167" s="23">
        <f xml:space="preserve"> -- AND( tblFilterRegion[[#This Row],[North West]] &gt;= $N$10, U$13 = "Yes" )</f>
        <v>0</v>
      </c>
      <c r="V167" s="23">
        <f xml:space="preserve"> -- AND( tblFilterRegion[[#This Row],[Yorkshire &amp; the Humber]] &gt;= $N$10, V$13 = "Yes" )</f>
        <v>0</v>
      </c>
      <c r="W167" s="22">
        <f xml:space="preserve"> SUMIF( $E$13:$M$13, "Yes", tblFilterRegion[[#This Row],[London]:[Yorkshire &amp; the Humber]] )</f>
        <v>0</v>
      </c>
      <c r="X167" s="23">
        <f xml:space="preserve"> -- ( SUM( tblFilterRegion[[#This Row],[Incl for Lon]:[Incl for YH]] ) &gt; 0 )</f>
        <v>0</v>
      </c>
      <c r="Y167" s="23">
        <f xml:space="preserve"> -- ( tblFilterRegion[[#This Row],[Total in selected regions]] &gt; $N$10 )</f>
        <v>0</v>
      </c>
      <c r="Z167" s="24">
        <f xml:space="preserve"> IF( RegionMinimum = 0, 1, IF( $R$10 = $U$8, tblFilterRegion[[#This Row],[Include for region - any]], IF( $R$10 = $U$10, tblFilterRegion[[#This Row],[Include for region - total]], "CHECK" ) ) )</f>
        <v>1</v>
      </c>
      <c r="AA167" s="131" t="str" cm="1">
        <f t="array" ref="AA167" xml:space="preserve"> INDEX( VfM_Metrics_2023_Consol_Source[], $D167, AA$14 )</f>
        <v>North West</v>
      </c>
    </row>
    <row r="168" spans="2:27" x14ac:dyDescent="0.2">
      <c r="B168" s="159" t="s" vm="153">
        <v>451</v>
      </c>
      <c r="C168" s="154" t="str" vm="354">
        <f xml:space="preserve"> INDEX( VfM_Metrics_2023_Consol_Source[RP_Code], MATCH( tblFilterRegion[[#This Row],[RP_Name]], VfM_Metrics_2023_Consol_Source[RP_Name], 0 ) )</f>
        <v>L0078</v>
      </c>
      <c r="D168" s="81">
        <f xml:space="preserve"> MATCH( tblFilterRegion[[#This Row],[RP_Code]], VfM_Metrics_2023_Consol_Source[RP_Code], 0 )</f>
        <v>153</v>
      </c>
      <c r="E168" s="22" cm="1">
        <f t="array" ref="E168" xml:space="preserve"> INDEX( VfM_Metrics_2023_Consol_Source[], $D168, E$14 )</f>
        <v>0</v>
      </c>
      <c r="F168" s="22" cm="1">
        <f t="array" ref="F168" xml:space="preserve"> INDEX( VfM_Metrics_2023_Consol_Source[], $D168, F$14 )</f>
        <v>0</v>
      </c>
      <c r="G168" s="22" cm="1">
        <f t="array" ref="G168" xml:space="preserve"> INDEX( VfM_Metrics_2023_Consol_Source[], $D168, G$14 )</f>
        <v>0</v>
      </c>
      <c r="H168" s="22" cm="1">
        <f t="array" ref="H168" xml:space="preserve"> INDEX( VfM_Metrics_2023_Consol_Source[], $D168, H$14 )</f>
        <v>0.11991034740381024</v>
      </c>
      <c r="I168" s="22" cm="1">
        <f t="array" ref="I168" xml:space="preserve"> INDEX( VfM_Metrics_2023_Consol_Source[], $D168, I$14 )</f>
        <v>0</v>
      </c>
      <c r="J168" s="22" cm="1">
        <f t="array" ref="J168" xml:space="preserve"> INDEX( VfM_Metrics_2023_Consol_Source[], $D168, J$14 )</f>
        <v>0</v>
      </c>
      <c r="K168" s="22" cm="1">
        <f t="array" ref="K168" xml:space="preserve"> INDEX( VfM_Metrics_2023_Consol_Source[], $D168, K$14 )</f>
        <v>0</v>
      </c>
      <c r="L168" s="22" cm="1">
        <f t="array" ref="L168" xml:space="preserve"> INDEX( VfM_Metrics_2023_Consol_Source[], $D168, L$14 )</f>
        <v>0</v>
      </c>
      <c r="M168" s="22" cm="1">
        <f t="array" ref="M168" xml:space="preserve"> INDEX( VfM_Metrics_2023_Consol_Source[], $D168, M$14 )</f>
        <v>0.88008965259618976</v>
      </c>
      <c r="N168" s="23">
        <f xml:space="preserve"> -- AND( tblFilterRegion[[#This Row],[London]] &gt;= $N$10, N$13 = "Yes" )</f>
        <v>0</v>
      </c>
      <c r="O168" s="23">
        <f xml:space="preserve"> -- AND( tblFilterRegion[[#This Row],[South East]] &gt;= $N$10, O$13 = "Yes" )</f>
        <v>0</v>
      </c>
      <c r="P168" s="23">
        <f xml:space="preserve"> -- AND( tblFilterRegion[[#This Row],[South West]] &gt;= $N$10, P$13 = "Yes" )</f>
        <v>0</v>
      </c>
      <c r="Q168" s="23">
        <f xml:space="preserve"> -- AND( tblFilterRegion[[#This Row],[East Midlands]] &gt;= $N$10, Q$13 = "Yes" )</f>
        <v>0</v>
      </c>
      <c r="R168" s="23">
        <f xml:space="preserve"> -- AND( tblFilterRegion[[#This Row],[West Midlands]] &gt;= $N$10, R$13 = "Yes" )</f>
        <v>0</v>
      </c>
      <c r="S168" s="23">
        <f xml:space="preserve"> -- AND( tblFilterRegion[[#This Row],[East of England]] &gt;= $N$10, S$13 = "Yes" )</f>
        <v>0</v>
      </c>
      <c r="T168" s="23">
        <f xml:space="preserve"> -- AND( tblFilterRegion[[#This Row],[North East]] &gt;= $N$10, T$13 = "Yes" )</f>
        <v>0</v>
      </c>
      <c r="U168" s="23">
        <f xml:space="preserve"> -- AND( tblFilterRegion[[#This Row],[North West]] &gt;= $N$10, U$13 = "Yes" )</f>
        <v>0</v>
      </c>
      <c r="V168" s="23">
        <f xml:space="preserve"> -- AND( tblFilterRegion[[#This Row],[Yorkshire &amp; the Humber]] &gt;= $N$10, V$13 = "Yes" )</f>
        <v>0</v>
      </c>
      <c r="W168" s="22">
        <f xml:space="preserve"> SUMIF( $E$13:$M$13, "Yes", tblFilterRegion[[#This Row],[London]:[Yorkshire &amp; the Humber]] )</f>
        <v>0</v>
      </c>
      <c r="X168" s="23">
        <f xml:space="preserve"> -- ( SUM( tblFilterRegion[[#This Row],[Incl for Lon]:[Incl for YH]] ) &gt; 0 )</f>
        <v>0</v>
      </c>
      <c r="Y168" s="23">
        <f xml:space="preserve"> -- ( tblFilterRegion[[#This Row],[Total in selected regions]] &gt; $N$10 )</f>
        <v>0</v>
      </c>
      <c r="Z168" s="24">
        <f xml:space="preserve"> IF( RegionMinimum = 0, 1, IF( $R$10 = $U$8, tblFilterRegion[[#This Row],[Include for region - any]], IF( $R$10 = $U$10, tblFilterRegion[[#This Row],[Include for region - total]], "CHECK" ) ) )</f>
        <v>1</v>
      </c>
      <c r="AA168" s="131" t="str" cm="1">
        <f t="array" ref="AA168" xml:space="preserve"> INDEX( VfM_Metrics_2023_Consol_Source[], $D168, AA$14 )</f>
        <v>Yorkshire &amp; the Humber</v>
      </c>
    </row>
    <row r="169" spans="2:27" x14ac:dyDescent="0.2">
      <c r="B169" s="159" t="s" vm="154">
        <v>453</v>
      </c>
      <c r="C169" s="154" t="str" vm="244">
        <f xml:space="preserve"> INDEX( VfM_Metrics_2023_Consol_Source[RP_Code], MATCH( tblFilterRegion[[#This Row],[RP_Name]], VfM_Metrics_2023_Consol_Source[RP_Name], 0 ) )</f>
        <v>5171</v>
      </c>
      <c r="D169" s="81">
        <f xml:space="preserve"> MATCH( tblFilterRegion[[#This Row],[RP_Code]], VfM_Metrics_2023_Consol_Source[RP_Code], 0 )</f>
        <v>154</v>
      </c>
      <c r="E169" s="22" cm="1">
        <f t="array" ref="E169" xml:space="preserve"> INDEX( VfM_Metrics_2023_Consol_Source[], $D169, E$14 )</f>
        <v>0.42292798562951839</v>
      </c>
      <c r="F169" s="22" cm="1">
        <f t="array" ref="F169" xml:space="preserve"> INDEX( VfM_Metrics_2023_Consol_Source[], $D169, F$14 )</f>
        <v>0.53125138036132336</v>
      </c>
      <c r="G169" s="22" cm="1">
        <f t="array" ref="G169" xml:space="preserve"> INDEX( VfM_Metrics_2023_Consol_Source[], $D169, G$14 )</f>
        <v>4.4171562348160254E-5</v>
      </c>
      <c r="H169" s="22" cm="1">
        <f t="array" ref="H169" xml:space="preserve"> INDEX( VfM_Metrics_2023_Consol_Source[], $D169, H$14 )</f>
        <v>1.1087062149388224E-2</v>
      </c>
      <c r="I169" s="22" cm="1">
        <f t="array" ref="I169" xml:space="preserve"> INDEX( VfM_Metrics_2023_Consol_Source[], $D169, I$14 )</f>
        <v>2.5207238246683451E-2</v>
      </c>
      <c r="J169" s="22" cm="1">
        <f t="array" ref="J169" xml:space="preserve"> INDEX( VfM_Metrics_2023_Consol_Source[], $D169, J$14 )</f>
        <v>9.4674381966223485E-3</v>
      </c>
      <c r="K169" s="22" cm="1">
        <f t="array" ref="K169" xml:space="preserve"> INDEX( VfM_Metrics_2023_Consol_Source[], $D169, K$14 )</f>
        <v>0</v>
      </c>
      <c r="L169" s="22" cm="1">
        <f t="array" ref="L169" xml:space="preserve"> INDEX( VfM_Metrics_2023_Consol_Source[], $D169, L$14 )</f>
        <v>0</v>
      </c>
      <c r="M169" s="22" cm="1">
        <f t="array" ref="M169" xml:space="preserve"> INDEX( VfM_Metrics_2023_Consol_Source[], $D169, M$14 )</f>
        <v>1.4723854116053418E-5</v>
      </c>
      <c r="N169" s="23">
        <f xml:space="preserve"> -- AND( tblFilterRegion[[#This Row],[London]] &gt;= $N$10, N$13 = "Yes" )</f>
        <v>0</v>
      </c>
      <c r="O169" s="23">
        <f xml:space="preserve"> -- AND( tblFilterRegion[[#This Row],[South East]] &gt;= $N$10, O$13 = "Yes" )</f>
        <v>0</v>
      </c>
      <c r="P169" s="23">
        <f xml:space="preserve"> -- AND( tblFilterRegion[[#This Row],[South West]] &gt;= $N$10, P$13 = "Yes" )</f>
        <v>0</v>
      </c>
      <c r="Q169" s="23">
        <f xml:space="preserve"> -- AND( tblFilterRegion[[#This Row],[East Midlands]] &gt;= $N$10, Q$13 = "Yes" )</f>
        <v>0</v>
      </c>
      <c r="R169" s="23">
        <f xml:space="preserve"> -- AND( tblFilterRegion[[#This Row],[West Midlands]] &gt;= $N$10, R$13 = "Yes" )</f>
        <v>0</v>
      </c>
      <c r="S169" s="23">
        <f xml:space="preserve"> -- AND( tblFilterRegion[[#This Row],[East of England]] &gt;= $N$10, S$13 = "Yes" )</f>
        <v>0</v>
      </c>
      <c r="T169" s="23">
        <f xml:space="preserve"> -- AND( tblFilterRegion[[#This Row],[North East]] &gt;= $N$10, T$13 = "Yes" )</f>
        <v>0</v>
      </c>
      <c r="U169" s="23">
        <f xml:space="preserve"> -- AND( tblFilterRegion[[#This Row],[North West]] &gt;= $N$10, U$13 = "Yes" )</f>
        <v>0</v>
      </c>
      <c r="V169" s="23">
        <f xml:space="preserve"> -- AND( tblFilterRegion[[#This Row],[Yorkshire &amp; the Humber]] &gt;= $N$10, V$13 = "Yes" )</f>
        <v>0</v>
      </c>
      <c r="W169" s="22">
        <f xml:space="preserve"> SUMIF( $E$13:$M$13, "Yes", tblFilterRegion[[#This Row],[London]:[Yorkshire &amp; the Humber]] )</f>
        <v>0</v>
      </c>
      <c r="X169" s="23">
        <f xml:space="preserve"> -- ( SUM( tblFilterRegion[[#This Row],[Incl for Lon]:[Incl for YH]] ) &gt; 0 )</f>
        <v>0</v>
      </c>
      <c r="Y169" s="23">
        <f xml:space="preserve"> -- ( tblFilterRegion[[#This Row],[Total in selected regions]] &gt; $N$10 )</f>
        <v>0</v>
      </c>
      <c r="Z169" s="24">
        <f xml:space="preserve"> IF( RegionMinimum = 0, 1, IF( $R$10 = $U$8, tblFilterRegion[[#This Row],[Include for region - any]], IF( $R$10 = $U$10, tblFilterRegion[[#This Row],[Include for region - total]], "CHECK" ) ) )</f>
        <v>1</v>
      </c>
      <c r="AA169" s="131" t="str" cm="1">
        <f t="array" ref="AA169" xml:space="preserve"> INDEX( VfM_Metrics_2023_Consol_Source[], $D169, AA$14 )</f>
        <v>South East</v>
      </c>
    </row>
    <row r="170" spans="2:27" x14ac:dyDescent="0.2">
      <c r="B170" s="159" t="s" vm="155">
        <v>455</v>
      </c>
      <c r="C170" s="154" t="str" vm="382">
        <f xml:space="preserve"> INDEX( VfM_Metrics_2023_Consol_Source[RP_Code], MATCH( tblFilterRegion[[#This Row],[RP_Name]], VfM_Metrics_2023_Consol_Source[RP_Name], 0 ) )</f>
        <v>L4507</v>
      </c>
      <c r="D170" s="81">
        <f xml:space="preserve"> MATCH( tblFilterRegion[[#This Row],[RP_Code]], VfM_Metrics_2023_Consol_Source[RP_Code], 0 )</f>
        <v>155</v>
      </c>
      <c r="E170" s="22" cm="1">
        <f t="array" ref="E170" xml:space="preserve"> INDEX( VfM_Metrics_2023_Consol_Source[], $D170, E$14 )</f>
        <v>0</v>
      </c>
      <c r="F170" s="22" cm="1">
        <f t="array" ref="F170" xml:space="preserve"> INDEX( VfM_Metrics_2023_Consol_Source[], $D170, F$14 )</f>
        <v>0</v>
      </c>
      <c r="G170" s="22" cm="1">
        <f t="array" ref="G170" xml:space="preserve"> INDEX( VfM_Metrics_2023_Consol_Source[], $D170, G$14 )</f>
        <v>0</v>
      </c>
      <c r="H170" s="22" cm="1">
        <f t="array" ref="H170" xml:space="preserve"> INDEX( VfM_Metrics_2023_Consol_Source[], $D170, H$14 )</f>
        <v>0</v>
      </c>
      <c r="I170" s="22" cm="1">
        <f t="array" ref="I170" xml:space="preserve"> INDEX( VfM_Metrics_2023_Consol_Source[], $D170, I$14 )</f>
        <v>0</v>
      </c>
      <c r="J170" s="22" cm="1">
        <f t="array" ref="J170" xml:space="preserve"> INDEX( VfM_Metrics_2023_Consol_Source[], $D170, J$14 )</f>
        <v>0</v>
      </c>
      <c r="K170" s="22" cm="1">
        <f t="array" ref="K170" xml:space="preserve"> INDEX( VfM_Metrics_2023_Consol_Source[], $D170, K$14 )</f>
        <v>0</v>
      </c>
      <c r="L170" s="22" cm="1">
        <f t="array" ref="L170" xml:space="preserve"> INDEX( VfM_Metrics_2023_Consol_Source[], $D170, L$14 )</f>
        <v>1</v>
      </c>
      <c r="M170" s="22" cm="1">
        <f t="array" ref="M170" xml:space="preserve"> INDEX( VfM_Metrics_2023_Consol_Source[], $D170, M$14 )</f>
        <v>0</v>
      </c>
      <c r="N170" s="23">
        <f xml:space="preserve"> -- AND( tblFilterRegion[[#This Row],[London]] &gt;= $N$10, N$13 = "Yes" )</f>
        <v>0</v>
      </c>
      <c r="O170" s="23">
        <f xml:space="preserve"> -- AND( tblFilterRegion[[#This Row],[South East]] &gt;= $N$10, O$13 = "Yes" )</f>
        <v>0</v>
      </c>
      <c r="P170" s="23">
        <f xml:space="preserve"> -- AND( tblFilterRegion[[#This Row],[South West]] &gt;= $N$10, P$13 = "Yes" )</f>
        <v>0</v>
      </c>
      <c r="Q170" s="23">
        <f xml:space="preserve"> -- AND( tblFilterRegion[[#This Row],[East Midlands]] &gt;= $N$10, Q$13 = "Yes" )</f>
        <v>0</v>
      </c>
      <c r="R170" s="23">
        <f xml:space="preserve"> -- AND( tblFilterRegion[[#This Row],[West Midlands]] &gt;= $N$10, R$13 = "Yes" )</f>
        <v>0</v>
      </c>
      <c r="S170" s="23">
        <f xml:space="preserve"> -- AND( tblFilterRegion[[#This Row],[East of England]] &gt;= $N$10, S$13 = "Yes" )</f>
        <v>0</v>
      </c>
      <c r="T170" s="23">
        <f xml:space="preserve"> -- AND( tblFilterRegion[[#This Row],[North East]] &gt;= $N$10, T$13 = "Yes" )</f>
        <v>0</v>
      </c>
      <c r="U170" s="23">
        <f xml:space="preserve"> -- AND( tblFilterRegion[[#This Row],[North West]] &gt;= $N$10, U$13 = "Yes" )</f>
        <v>0</v>
      </c>
      <c r="V170" s="23">
        <f xml:space="preserve"> -- AND( tblFilterRegion[[#This Row],[Yorkshire &amp; the Humber]] &gt;= $N$10, V$13 = "Yes" )</f>
        <v>0</v>
      </c>
      <c r="W170" s="22">
        <f xml:space="preserve"> SUMIF( $E$13:$M$13, "Yes", tblFilterRegion[[#This Row],[London]:[Yorkshire &amp; the Humber]] )</f>
        <v>0</v>
      </c>
      <c r="X170" s="23">
        <f xml:space="preserve"> -- ( SUM( tblFilterRegion[[#This Row],[Incl for Lon]:[Incl for YH]] ) &gt; 0 )</f>
        <v>0</v>
      </c>
      <c r="Y170" s="23">
        <f xml:space="preserve"> -- ( tblFilterRegion[[#This Row],[Total in selected regions]] &gt; $N$10 )</f>
        <v>0</v>
      </c>
      <c r="Z170" s="24">
        <f xml:space="preserve"> IF( RegionMinimum = 0, 1, IF( $R$10 = $U$8, tblFilterRegion[[#This Row],[Include for region - any]], IF( $R$10 = $U$10, tblFilterRegion[[#This Row],[Include for region - total]], "CHECK" ) ) )</f>
        <v>1</v>
      </c>
      <c r="AA170" s="131" t="str" cm="1">
        <f t="array" ref="AA170" xml:space="preserve"> INDEX( VfM_Metrics_2023_Consol_Source[], $D170, AA$14 )</f>
        <v>North West</v>
      </c>
    </row>
    <row r="171" spans="2:27" x14ac:dyDescent="0.2">
      <c r="B171" s="159" t="s" vm="156">
        <v>457</v>
      </c>
      <c r="C171" s="154" t="str" vm="252">
        <f xml:space="preserve"> INDEX( VfM_Metrics_2023_Consol_Source[RP_Code], MATCH( tblFilterRegion[[#This Row],[RP_Name]], VfM_Metrics_2023_Consol_Source[RP_Name], 0 ) )</f>
        <v>4837</v>
      </c>
      <c r="D171" s="81">
        <f xml:space="preserve"> MATCH( tblFilterRegion[[#This Row],[RP_Code]], VfM_Metrics_2023_Consol_Source[RP_Code], 0 )</f>
        <v>156</v>
      </c>
      <c r="E171" s="22" cm="1">
        <f t="array" ref="E171" xml:space="preserve"> INDEX( VfM_Metrics_2023_Consol_Source[], $D171, E$14 )</f>
        <v>0</v>
      </c>
      <c r="F171" s="22" cm="1">
        <f t="array" ref="F171" xml:space="preserve"> INDEX( VfM_Metrics_2023_Consol_Source[], $D171, F$14 )</f>
        <v>0.57337486080178168</v>
      </c>
      <c r="G171" s="22" cm="1">
        <f t="array" ref="G171" xml:space="preserve"> INDEX( VfM_Metrics_2023_Consol_Source[], $D171, G$14 )</f>
        <v>0.42659033964365256</v>
      </c>
      <c r="H171" s="22" cm="1">
        <f t="array" ref="H171" xml:space="preserve"> INDEX( VfM_Metrics_2023_Consol_Source[], $D171, H$14 )</f>
        <v>1.7399777282850779E-5</v>
      </c>
      <c r="I171" s="22" cm="1">
        <f t="array" ref="I171" xml:space="preserve"> INDEX( VfM_Metrics_2023_Consol_Source[], $D171, I$14 )</f>
        <v>0</v>
      </c>
      <c r="J171" s="22" cm="1">
        <f t="array" ref="J171" xml:space="preserve"> INDEX( VfM_Metrics_2023_Consol_Source[], $D171, J$14 )</f>
        <v>1.7399777282850779E-5</v>
      </c>
      <c r="K171" s="22" cm="1">
        <f t="array" ref="K171" xml:space="preserve"> INDEX( VfM_Metrics_2023_Consol_Source[], $D171, K$14 )</f>
        <v>0</v>
      </c>
      <c r="L171" s="22" cm="1">
        <f t="array" ref="L171" xml:space="preserve"> INDEX( VfM_Metrics_2023_Consol_Source[], $D171, L$14 )</f>
        <v>0</v>
      </c>
      <c r="M171" s="22" cm="1">
        <f t="array" ref="M171" xml:space="preserve"> INDEX( VfM_Metrics_2023_Consol_Source[], $D171, M$14 )</f>
        <v>0</v>
      </c>
      <c r="N171" s="23">
        <f xml:space="preserve"> -- AND( tblFilterRegion[[#This Row],[London]] &gt;= $N$10, N$13 = "Yes" )</f>
        <v>0</v>
      </c>
      <c r="O171" s="23">
        <f xml:space="preserve"> -- AND( tblFilterRegion[[#This Row],[South East]] &gt;= $N$10, O$13 = "Yes" )</f>
        <v>0</v>
      </c>
      <c r="P171" s="23">
        <f xml:space="preserve"> -- AND( tblFilterRegion[[#This Row],[South West]] &gt;= $N$10, P$13 = "Yes" )</f>
        <v>0</v>
      </c>
      <c r="Q171" s="23">
        <f xml:space="preserve"> -- AND( tblFilterRegion[[#This Row],[East Midlands]] &gt;= $N$10, Q$13 = "Yes" )</f>
        <v>0</v>
      </c>
      <c r="R171" s="23">
        <f xml:space="preserve"> -- AND( tblFilterRegion[[#This Row],[West Midlands]] &gt;= $N$10, R$13 = "Yes" )</f>
        <v>0</v>
      </c>
      <c r="S171" s="23">
        <f xml:space="preserve"> -- AND( tblFilterRegion[[#This Row],[East of England]] &gt;= $N$10, S$13 = "Yes" )</f>
        <v>0</v>
      </c>
      <c r="T171" s="23">
        <f xml:space="preserve"> -- AND( tblFilterRegion[[#This Row],[North East]] &gt;= $N$10, T$13 = "Yes" )</f>
        <v>0</v>
      </c>
      <c r="U171" s="23">
        <f xml:space="preserve"> -- AND( tblFilterRegion[[#This Row],[North West]] &gt;= $N$10, U$13 = "Yes" )</f>
        <v>0</v>
      </c>
      <c r="V171" s="23">
        <f xml:space="preserve"> -- AND( tblFilterRegion[[#This Row],[Yorkshire &amp; the Humber]] &gt;= $N$10, V$13 = "Yes" )</f>
        <v>0</v>
      </c>
      <c r="W171" s="22">
        <f xml:space="preserve"> SUMIF( $E$13:$M$13, "Yes", tblFilterRegion[[#This Row],[London]:[Yorkshire &amp; the Humber]] )</f>
        <v>0</v>
      </c>
      <c r="X171" s="23">
        <f xml:space="preserve"> -- ( SUM( tblFilterRegion[[#This Row],[Incl for Lon]:[Incl for YH]] ) &gt; 0 )</f>
        <v>0</v>
      </c>
      <c r="Y171" s="23">
        <f xml:space="preserve"> -- ( tblFilterRegion[[#This Row],[Total in selected regions]] &gt; $N$10 )</f>
        <v>0</v>
      </c>
      <c r="Z171" s="24">
        <f xml:space="preserve"> IF( RegionMinimum = 0, 1, IF( $R$10 = $U$8, tblFilterRegion[[#This Row],[Include for region - any]], IF( $R$10 = $U$10, tblFilterRegion[[#This Row],[Include for region - total]], "CHECK" ) ) )</f>
        <v>1</v>
      </c>
      <c r="AA171" s="131" t="str" cm="1">
        <f t="array" ref="AA171" xml:space="preserve"> INDEX( VfM_Metrics_2023_Consol_Source[], $D171, AA$14 )</f>
        <v>South East</v>
      </c>
    </row>
    <row r="172" spans="2:27" x14ac:dyDescent="0.2">
      <c r="B172" s="159" t="s" vm="157">
        <v>459</v>
      </c>
      <c r="C172" s="154" t="str" vm="271">
        <f xml:space="preserve"> INDEX( VfM_Metrics_2023_Consol_Source[RP_Code], MATCH( tblFilterRegion[[#This Row],[RP_Name]], VfM_Metrics_2023_Consol_Source[RP_Name], 0 ) )</f>
        <v>4825</v>
      </c>
      <c r="D172" s="81">
        <f xml:space="preserve"> MATCH( tblFilterRegion[[#This Row],[RP_Code]], VfM_Metrics_2023_Consol_Source[RP_Code], 0 )</f>
        <v>157</v>
      </c>
      <c r="E172" s="22" cm="1">
        <f t="array" ref="E172" xml:space="preserve"> INDEX( VfM_Metrics_2023_Consol_Source[], $D172, E$14 )</f>
        <v>0.73707254891093499</v>
      </c>
      <c r="F172" s="22" cm="1">
        <f t="array" ref="F172" xml:space="preserve"> INDEX( VfM_Metrics_2023_Consol_Source[], $D172, F$14 )</f>
        <v>1.7679986698442611E-2</v>
      </c>
      <c r="G172" s="22" cm="1">
        <f t="array" ref="G172" xml:space="preserve"> INDEX( VfM_Metrics_2023_Consol_Source[], $D172, G$14 )</f>
        <v>0</v>
      </c>
      <c r="H172" s="22" cm="1">
        <f t="array" ref="H172" xml:space="preserve"> INDEX( VfM_Metrics_2023_Consol_Source[], $D172, H$14 )</f>
        <v>0</v>
      </c>
      <c r="I172" s="22" cm="1">
        <f t="array" ref="I172" xml:space="preserve"> INDEX( VfM_Metrics_2023_Consol_Source[], $D172, I$14 )</f>
        <v>0</v>
      </c>
      <c r="J172" s="22" cm="1">
        <f t="array" ref="J172" xml:space="preserve"> INDEX( VfM_Metrics_2023_Consol_Source[], $D172, J$14 )</f>
        <v>0.24524746439062239</v>
      </c>
      <c r="K172" s="22" cm="1">
        <f t="array" ref="K172" xml:space="preserve"> INDEX( VfM_Metrics_2023_Consol_Source[], $D172, K$14 )</f>
        <v>0</v>
      </c>
      <c r="L172" s="22" cm="1">
        <f t="array" ref="L172" xml:space="preserve"> INDEX( VfM_Metrics_2023_Consol_Source[], $D172, L$14 )</f>
        <v>0</v>
      </c>
      <c r="M172" s="22" cm="1">
        <f t="array" ref="M172" xml:space="preserve"> INDEX( VfM_Metrics_2023_Consol_Source[], $D172, M$14 )</f>
        <v>0</v>
      </c>
      <c r="N172" s="23">
        <f xml:space="preserve"> -- AND( tblFilterRegion[[#This Row],[London]] &gt;= $N$10, N$13 = "Yes" )</f>
        <v>0</v>
      </c>
      <c r="O172" s="23">
        <f xml:space="preserve"> -- AND( tblFilterRegion[[#This Row],[South East]] &gt;= $N$10, O$13 = "Yes" )</f>
        <v>0</v>
      </c>
      <c r="P172" s="23">
        <f xml:space="preserve"> -- AND( tblFilterRegion[[#This Row],[South West]] &gt;= $N$10, P$13 = "Yes" )</f>
        <v>0</v>
      </c>
      <c r="Q172" s="23">
        <f xml:space="preserve"> -- AND( tblFilterRegion[[#This Row],[East Midlands]] &gt;= $N$10, Q$13 = "Yes" )</f>
        <v>0</v>
      </c>
      <c r="R172" s="23">
        <f xml:space="preserve"> -- AND( tblFilterRegion[[#This Row],[West Midlands]] &gt;= $N$10, R$13 = "Yes" )</f>
        <v>0</v>
      </c>
      <c r="S172" s="23">
        <f xml:space="preserve"> -- AND( tblFilterRegion[[#This Row],[East of England]] &gt;= $N$10, S$13 = "Yes" )</f>
        <v>0</v>
      </c>
      <c r="T172" s="23">
        <f xml:space="preserve"> -- AND( tblFilterRegion[[#This Row],[North East]] &gt;= $N$10, T$13 = "Yes" )</f>
        <v>0</v>
      </c>
      <c r="U172" s="23">
        <f xml:space="preserve"> -- AND( tblFilterRegion[[#This Row],[North West]] &gt;= $N$10, U$13 = "Yes" )</f>
        <v>0</v>
      </c>
      <c r="V172" s="23">
        <f xml:space="preserve"> -- AND( tblFilterRegion[[#This Row],[Yorkshire &amp; the Humber]] &gt;= $N$10, V$13 = "Yes" )</f>
        <v>0</v>
      </c>
      <c r="W172" s="22">
        <f xml:space="preserve"> SUMIF( $E$13:$M$13, "Yes", tblFilterRegion[[#This Row],[London]:[Yorkshire &amp; the Humber]] )</f>
        <v>0</v>
      </c>
      <c r="X172" s="23">
        <f xml:space="preserve"> -- ( SUM( tblFilterRegion[[#This Row],[Incl for Lon]:[Incl for YH]] ) &gt; 0 )</f>
        <v>0</v>
      </c>
      <c r="Y172" s="23">
        <f xml:space="preserve"> -- ( tblFilterRegion[[#This Row],[Total in selected regions]] &gt; $N$10 )</f>
        <v>0</v>
      </c>
      <c r="Z172" s="24">
        <f xml:space="preserve"> IF( RegionMinimum = 0, 1, IF( $R$10 = $U$8, tblFilterRegion[[#This Row],[Include for region - any]], IF( $R$10 = $U$10, tblFilterRegion[[#This Row],[Include for region - total]], "CHECK" ) ) )</f>
        <v>1</v>
      </c>
      <c r="AA172" s="131" t="str" cm="1">
        <f t="array" ref="AA172" xml:space="preserve"> INDEX( VfM_Metrics_2023_Consol_Source[], $D172, AA$14 )</f>
        <v>London</v>
      </c>
    </row>
    <row r="173" spans="2:27" x14ac:dyDescent="0.2">
      <c r="B173" s="159" t="s" vm="158">
        <v>461</v>
      </c>
      <c r="C173" s="154" t="str" vm="202">
        <f xml:space="preserve"> INDEX( VfM_Metrics_2023_Consol_Source[RP_Code], MATCH( tblFilterRegion[[#This Row],[RP_Name]], VfM_Metrics_2023_Consol_Source[RP_Name], 0 ) )</f>
        <v>LH0279</v>
      </c>
      <c r="D173" s="81">
        <f xml:space="preserve"> MATCH( tblFilterRegion[[#This Row],[RP_Code]], VfM_Metrics_2023_Consol_Source[RP_Code], 0 )</f>
        <v>158</v>
      </c>
      <c r="E173" s="22" cm="1">
        <f t="array" ref="E173" xml:space="preserve"> INDEX( VfM_Metrics_2023_Consol_Source[], $D173, E$14 )</f>
        <v>0.88193624557260919</v>
      </c>
      <c r="F173" s="22" cm="1">
        <f t="array" ref="F173" xml:space="preserve"> INDEX( VfM_Metrics_2023_Consol_Source[], $D173, F$14 )</f>
        <v>5.5489964580873671E-2</v>
      </c>
      <c r="G173" s="22" cm="1">
        <f t="array" ref="G173" xml:space="preserve"> INDEX( VfM_Metrics_2023_Consol_Source[], $D173, G$14 )</f>
        <v>5.9622195985832349E-2</v>
      </c>
      <c r="H173" s="22" cm="1">
        <f t="array" ref="H173" xml:space="preserve"> INDEX( VfM_Metrics_2023_Consol_Source[], $D173, H$14 )</f>
        <v>0</v>
      </c>
      <c r="I173" s="22" cm="1">
        <f t="array" ref="I173" xml:space="preserve"> INDEX( VfM_Metrics_2023_Consol_Source[], $D173, I$14 )</f>
        <v>0</v>
      </c>
      <c r="J173" s="22" cm="1">
        <f t="array" ref="J173" xml:space="preserve"> INDEX( VfM_Metrics_2023_Consol_Source[], $D173, J$14 )</f>
        <v>2.9515938606847697E-3</v>
      </c>
      <c r="K173" s="22" cm="1">
        <f t="array" ref="K173" xml:space="preserve"> INDEX( VfM_Metrics_2023_Consol_Source[], $D173, K$14 )</f>
        <v>0</v>
      </c>
      <c r="L173" s="22" cm="1">
        <f t="array" ref="L173" xml:space="preserve"> INDEX( VfM_Metrics_2023_Consol_Source[], $D173, L$14 )</f>
        <v>0</v>
      </c>
      <c r="M173" s="22" cm="1">
        <f t="array" ref="M173" xml:space="preserve"> INDEX( VfM_Metrics_2023_Consol_Source[], $D173, M$14 )</f>
        <v>0</v>
      </c>
      <c r="N173" s="23">
        <f xml:space="preserve"> -- AND( tblFilterRegion[[#This Row],[London]] &gt;= $N$10, N$13 = "Yes" )</f>
        <v>0</v>
      </c>
      <c r="O173" s="23">
        <f xml:space="preserve"> -- AND( tblFilterRegion[[#This Row],[South East]] &gt;= $N$10, O$13 = "Yes" )</f>
        <v>0</v>
      </c>
      <c r="P173" s="23">
        <f xml:space="preserve"> -- AND( tblFilterRegion[[#This Row],[South West]] &gt;= $N$10, P$13 = "Yes" )</f>
        <v>0</v>
      </c>
      <c r="Q173" s="23">
        <f xml:space="preserve"> -- AND( tblFilterRegion[[#This Row],[East Midlands]] &gt;= $N$10, Q$13 = "Yes" )</f>
        <v>0</v>
      </c>
      <c r="R173" s="23">
        <f xml:space="preserve"> -- AND( tblFilterRegion[[#This Row],[West Midlands]] &gt;= $N$10, R$13 = "Yes" )</f>
        <v>0</v>
      </c>
      <c r="S173" s="23">
        <f xml:space="preserve"> -- AND( tblFilterRegion[[#This Row],[East of England]] &gt;= $N$10, S$13 = "Yes" )</f>
        <v>0</v>
      </c>
      <c r="T173" s="23">
        <f xml:space="preserve"> -- AND( tblFilterRegion[[#This Row],[North East]] &gt;= $N$10, T$13 = "Yes" )</f>
        <v>0</v>
      </c>
      <c r="U173" s="23">
        <f xml:space="preserve"> -- AND( tblFilterRegion[[#This Row],[North West]] &gt;= $N$10, U$13 = "Yes" )</f>
        <v>0</v>
      </c>
      <c r="V173" s="23">
        <f xml:space="preserve"> -- AND( tblFilterRegion[[#This Row],[Yorkshire &amp; the Humber]] &gt;= $N$10, V$13 = "Yes" )</f>
        <v>0</v>
      </c>
      <c r="W173" s="22">
        <f xml:space="preserve"> SUMIF( $E$13:$M$13, "Yes", tblFilterRegion[[#This Row],[London]:[Yorkshire &amp; the Humber]] )</f>
        <v>0</v>
      </c>
      <c r="X173" s="23">
        <f xml:space="preserve"> -- ( SUM( tblFilterRegion[[#This Row],[Incl for Lon]:[Incl for YH]] ) &gt; 0 )</f>
        <v>0</v>
      </c>
      <c r="Y173" s="23">
        <f xml:space="preserve"> -- ( tblFilterRegion[[#This Row],[Total in selected regions]] &gt; $N$10 )</f>
        <v>0</v>
      </c>
      <c r="Z173" s="24">
        <f xml:space="preserve"> IF( RegionMinimum = 0, 1, IF( $R$10 = $U$8, tblFilterRegion[[#This Row],[Include for region - any]], IF( $R$10 = $U$10, tblFilterRegion[[#This Row],[Include for region - total]], "CHECK" ) ) )</f>
        <v>1</v>
      </c>
      <c r="AA173" s="131" t="str" cm="1">
        <f t="array" ref="AA173" xml:space="preserve"> INDEX( VfM_Metrics_2023_Consol_Source[], $D173, AA$14 )</f>
        <v>London</v>
      </c>
    </row>
    <row r="174" spans="2:27" x14ac:dyDescent="0.2">
      <c r="B174" s="159" t="s" vm="159">
        <v>463</v>
      </c>
      <c r="C174" s="154" t="str" vm="261">
        <f xml:space="preserve"> INDEX( VfM_Metrics_2023_Consol_Source[RP_Code], MATCH( tblFilterRegion[[#This Row],[RP_Name]], VfM_Metrics_2023_Consol_Source[RP_Name], 0 ) )</f>
        <v>L1556</v>
      </c>
      <c r="D174" s="81">
        <f xml:space="preserve"> MATCH( tblFilterRegion[[#This Row],[RP_Code]], VfM_Metrics_2023_Consol_Source[RP_Code], 0 )</f>
        <v>159</v>
      </c>
      <c r="E174" s="22" cm="1">
        <f t="array" ref="E174" xml:space="preserve"> INDEX( VfM_Metrics_2023_Consol_Source[], $D174, E$14 )</f>
        <v>3.0813792253412625E-5</v>
      </c>
      <c r="F174" s="22" cm="1">
        <f t="array" ref="F174" xml:space="preserve"> INDEX( VfM_Metrics_2023_Consol_Source[], $D174, F$14 )</f>
        <v>0.22682032477737035</v>
      </c>
      <c r="G174" s="22" cm="1">
        <f t="array" ref="G174" xml:space="preserve"> INDEX( VfM_Metrics_2023_Consol_Source[], $D174, G$14 )</f>
        <v>0.28733861276307276</v>
      </c>
      <c r="H174" s="22" cm="1">
        <f t="array" ref="H174" xml:space="preserve"> INDEX( VfM_Metrics_2023_Consol_Source[], $D174, H$14 )</f>
        <v>5.5772963978676857E-2</v>
      </c>
      <c r="I174" s="22" cm="1">
        <f t="array" ref="I174" xml:space="preserve"> INDEX( VfM_Metrics_2023_Consol_Source[], $D174, I$14 )</f>
        <v>0.25264228268573014</v>
      </c>
      <c r="J174" s="22" cm="1">
        <f t="array" ref="J174" xml:space="preserve"> INDEX( VfM_Metrics_2023_Consol_Source[], $D174, J$14 )</f>
        <v>0.12217668628478107</v>
      </c>
      <c r="K174" s="22" cm="1">
        <f t="array" ref="K174" xml:space="preserve"> INDEX( VfM_Metrics_2023_Consol_Source[], $D174, K$14 )</f>
        <v>0</v>
      </c>
      <c r="L174" s="22" cm="1">
        <f t="array" ref="L174" xml:space="preserve"> INDEX( VfM_Metrics_2023_Consol_Source[], $D174, L$14 )</f>
        <v>0</v>
      </c>
      <c r="M174" s="22" cm="1">
        <f t="array" ref="M174" xml:space="preserve"> INDEX( VfM_Metrics_2023_Consol_Source[], $D174, M$14 )</f>
        <v>5.5218315718115425E-2</v>
      </c>
      <c r="N174" s="23">
        <f xml:space="preserve"> -- AND( tblFilterRegion[[#This Row],[London]] &gt;= $N$10, N$13 = "Yes" )</f>
        <v>0</v>
      </c>
      <c r="O174" s="23">
        <f xml:space="preserve"> -- AND( tblFilterRegion[[#This Row],[South East]] &gt;= $N$10, O$13 = "Yes" )</f>
        <v>0</v>
      </c>
      <c r="P174" s="23">
        <f xml:space="preserve"> -- AND( tblFilterRegion[[#This Row],[South West]] &gt;= $N$10, P$13 = "Yes" )</f>
        <v>0</v>
      </c>
      <c r="Q174" s="23">
        <f xml:space="preserve"> -- AND( tblFilterRegion[[#This Row],[East Midlands]] &gt;= $N$10, Q$13 = "Yes" )</f>
        <v>0</v>
      </c>
      <c r="R174" s="23">
        <f xml:space="preserve"> -- AND( tblFilterRegion[[#This Row],[West Midlands]] &gt;= $N$10, R$13 = "Yes" )</f>
        <v>0</v>
      </c>
      <c r="S174" s="23">
        <f xml:space="preserve"> -- AND( tblFilterRegion[[#This Row],[East of England]] &gt;= $N$10, S$13 = "Yes" )</f>
        <v>0</v>
      </c>
      <c r="T174" s="23">
        <f xml:space="preserve"> -- AND( tblFilterRegion[[#This Row],[North East]] &gt;= $N$10, T$13 = "Yes" )</f>
        <v>0</v>
      </c>
      <c r="U174" s="23">
        <f xml:space="preserve"> -- AND( tblFilterRegion[[#This Row],[North West]] &gt;= $N$10, U$13 = "Yes" )</f>
        <v>0</v>
      </c>
      <c r="V174" s="23">
        <f xml:space="preserve"> -- AND( tblFilterRegion[[#This Row],[Yorkshire &amp; the Humber]] &gt;= $N$10, V$13 = "Yes" )</f>
        <v>0</v>
      </c>
      <c r="W174" s="22">
        <f xml:space="preserve"> SUMIF( $E$13:$M$13, "Yes", tblFilterRegion[[#This Row],[London]:[Yorkshire &amp; the Humber]] )</f>
        <v>0</v>
      </c>
      <c r="X174" s="23">
        <f xml:space="preserve"> -- ( SUM( tblFilterRegion[[#This Row],[Incl for Lon]:[Incl for YH]] ) &gt; 0 )</f>
        <v>0</v>
      </c>
      <c r="Y174" s="23">
        <f xml:space="preserve"> -- ( tblFilterRegion[[#This Row],[Total in selected regions]] &gt; $N$10 )</f>
        <v>0</v>
      </c>
      <c r="Z174" s="24">
        <f xml:space="preserve"> IF( RegionMinimum = 0, 1, IF( $R$10 = $U$8, tblFilterRegion[[#This Row],[Include for region - any]], IF( $R$10 = $U$10, tblFilterRegion[[#This Row],[Include for region - total]], "CHECK" ) ) )</f>
        <v>1</v>
      </c>
      <c r="AA174" s="131" t="str" cm="1">
        <f t="array" ref="AA174" xml:space="preserve"> INDEX( VfM_Metrics_2023_Consol_Source[], $D174, AA$14 )</f>
        <v>Mixed</v>
      </c>
    </row>
    <row r="175" spans="2:27" x14ac:dyDescent="0.2">
      <c r="B175" s="159" t="s" vm="160">
        <v>465</v>
      </c>
      <c r="C175" s="154" t="str" vm="209">
        <f xml:space="preserve"> INDEX( VfM_Metrics_2023_Consol_Source[RP_Code], MATCH( tblFilterRegion[[#This Row],[RP_Name]], VfM_Metrics_2023_Consol_Source[RP_Name], 0 ) )</f>
        <v>4687</v>
      </c>
      <c r="D175" s="81">
        <f xml:space="preserve"> MATCH( tblFilterRegion[[#This Row],[RP_Code]], VfM_Metrics_2023_Consol_Source[RP_Code], 0 )</f>
        <v>160</v>
      </c>
      <c r="E175" s="22" cm="1">
        <f t="array" ref="E175" xml:space="preserve"> INDEX( VfM_Metrics_2023_Consol_Source[], $D175, E$14 )</f>
        <v>0</v>
      </c>
      <c r="F175" s="22" cm="1">
        <f t="array" ref="F175" xml:space="preserve"> INDEX( VfM_Metrics_2023_Consol_Source[], $D175, F$14 )</f>
        <v>0</v>
      </c>
      <c r="G175" s="22" cm="1">
        <f t="array" ref="G175" xml:space="preserve"> INDEX( VfM_Metrics_2023_Consol_Source[], $D175, G$14 )</f>
        <v>0</v>
      </c>
      <c r="H175" s="22" cm="1">
        <f t="array" ref="H175" xml:space="preserve"> INDEX( VfM_Metrics_2023_Consol_Source[], $D175, H$14 )</f>
        <v>0</v>
      </c>
      <c r="I175" s="22" cm="1">
        <f t="array" ref="I175" xml:space="preserve"> INDEX( VfM_Metrics_2023_Consol_Source[], $D175, I$14 )</f>
        <v>1</v>
      </c>
      <c r="J175" s="22" cm="1">
        <f t="array" ref="J175" xml:space="preserve"> INDEX( VfM_Metrics_2023_Consol_Source[], $D175, J$14 )</f>
        <v>0</v>
      </c>
      <c r="K175" s="22" cm="1">
        <f t="array" ref="K175" xml:space="preserve"> INDEX( VfM_Metrics_2023_Consol_Source[], $D175, K$14 )</f>
        <v>0</v>
      </c>
      <c r="L175" s="22" cm="1">
        <f t="array" ref="L175" xml:space="preserve"> INDEX( VfM_Metrics_2023_Consol_Source[], $D175, L$14 )</f>
        <v>0</v>
      </c>
      <c r="M175" s="22" cm="1">
        <f t="array" ref="M175" xml:space="preserve"> INDEX( VfM_Metrics_2023_Consol_Source[], $D175, M$14 )</f>
        <v>0</v>
      </c>
      <c r="N175" s="23">
        <f xml:space="preserve"> -- AND( tblFilterRegion[[#This Row],[London]] &gt;= $N$10, N$13 = "Yes" )</f>
        <v>0</v>
      </c>
      <c r="O175" s="23">
        <f xml:space="preserve"> -- AND( tblFilterRegion[[#This Row],[South East]] &gt;= $N$10, O$13 = "Yes" )</f>
        <v>0</v>
      </c>
      <c r="P175" s="23">
        <f xml:space="preserve"> -- AND( tblFilterRegion[[#This Row],[South West]] &gt;= $N$10, P$13 = "Yes" )</f>
        <v>0</v>
      </c>
      <c r="Q175" s="23">
        <f xml:space="preserve"> -- AND( tblFilterRegion[[#This Row],[East Midlands]] &gt;= $N$10, Q$13 = "Yes" )</f>
        <v>0</v>
      </c>
      <c r="R175" s="23">
        <f xml:space="preserve"> -- AND( tblFilterRegion[[#This Row],[West Midlands]] &gt;= $N$10, R$13 = "Yes" )</f>
        <v>0</v>
      </c>
      <c r="S175" s="23">
        <f xml:space="preserve"> -- AND( tblFilterRegion[[#This Row],[East of England]] &gt;= $N$10, S$13 = "Yes" )</f>
        <v>0</v>
      </c>
      <c r="T175" s="23">
        <f xml:space="preserve"> -- AND( tblFilterRegion[[#This Row],[North East]] &gt;= $N$10, T$13 = "Yes" )</f>
        <v>0</v>
      </c>
      <c r="U175" s="23">
        <f xml:space="preserve"> -- AND( tblFilterRegion[[#This Row],[North West]] &gt;= $N$10, U$13 = "Yes" )</f>
        <v>0</v>
      </c>
      <c r="V175" s="23">
        <f xml:space="preserve"> -- AND( tblFilterRegion[[#This Row],[Yorkshire &amp; the Humber]] &gt;= $N$10, V$13 = "Yes" )</f>
        <v>0</v>
      </c>
      <c r="W175" s="22">
        <f xml:space="preserve"> SUMIF( $E$13:$M$13, "Yes", tblFilterRegion[[#This Row],[London]:[Yorkshire &amp; the Humber]] )</f>
        <v>0</v>
      </c>
      <c r="X175" s="23">
        <f xml:space="preserve"> -- ( SUM( tblFilterRegion[[#This Row],[Incl for Lon]:[Incl for YH]] ) &gt; 0 )</f>
        <v>0</v>
      </c>
      <c r="Y175" s="23">
        <f xml:space="preserve"> -- ( tblFilterRegion[[#This Row],[Total in selected regions]] &gt; $N$10 )</f>
        <v>0</v>
      </c>
      <c r="Z175" s="24">
        <f xml:space="preserve"> IF( RegionMinimum = 0, 1, IF( $R$10 = $U$8, tblFilterRegion[[#This Row],[Include for region - any]], IF( $R$10 = $U$10, tblFilterRegion[[#This Row],[Include for region - total]], "CHECK" ) ) )</f>
        <v>1</v>
      </c>
      <c r="AA175" s="131" t="str" cm="1">
        <f t="array" ref="AA175" xml:space="preserve"> INDEX( VfM_Metrics_2023_Consol_Source[], $D175, AA$14 )</f>
        <v>West Midlands</v>
      </c>
    </row>
    <row r="176" spans="2:27" x14ac:dyDescent="0.2">
      <c r="B176" s="159" t="s" vm="161">
        <v>467</v>
      </c>
      <c r="C176" s="154" t="str" vm="327">
        <f xml:space="preserve"> INDEX( VfM_Metrics_2023_Consol_Source[RP_Code], MATCH( tblFilterRegion[[#This Row],[RP_Name]], VfM_Metrics_2023_Consol_Source[RP_Name], 0 ) )</f>
        <v>LH4403</v>
      </c>
      <c r="D176" s="81">
        <f xml:space="preserve"> MATCH( tblFilterRegion[[#This Row],[RP_Code]], VfM_Metrics_2023_Consol_Source[RP_Code], 0 )</f>
        <v>161</v>
      </c>
      <c r="E176" s="22" cm="1">
        <f t="array" ref="E176" xml:space="preserve"> INDEX( VfM_Metrics_2023_Consol_Source[], $D176, E$14 )</f>
        <v>0</v>
      </c>
      <c r="F176" s="22" cm="1">
        <f t="array" ref="F176" xml:space="preserve"> INDEX( VfM_Metrics_2023_Consol_Source[], $D176, F$14 )</f>
        <v>0</v>
      </c>
      <c r="G176" s="22" cm="1">
        <f t="array" ref="G176" xml:space="preserve"> INDEX( VfM_Metrics_2023_Consol_Source[], $D176, G$14 )</f>
        <v>1</v>
      </c>
      <c r="H176" s="22" cm="1">
        <f t="array" ref="H176" xml:space="preserve"> INDEX( VfM_Metrics_2023_Consol_Source[], $D176, H$14 )</f>
        <v>0</v>
      </c>
      <c r="I176" s="22" cm="1">
        <f t="array" ref="I176" xml:space="preserve"> INDEX( VfM_Metrics_2023_Consol_Source[], $D176, I$14 )</f>
        <v>0</v>
      </c>
      <c r="J176" s="22" cm="1">
        <f t="array" ref="J176" xml:space="preserve"> INDEX( VfM_Metrics_2023_Consol_Source[], $D176, J$14 )</f>
        <v>0</v>
      </c>
      <c r="K176" s="22" cm="1">
        <f t="array" ref="K176" xml:space="preserve"> INDEX( VfM_Metrics_2023_Consol_Source[], $D176, K$14 )</f>
        <v>0</v>
      </c>
      <c r="L176" s="22" cm="1">
        <f t="array" ref="L176" xml:space="preserve"> INDEX( VfM_Metrics_2023_Consol_Source[], $D176, L$14 )</f>
        <v>0</v>
      </c>
      <c r="M176" s="22" cm="1">
        <f t="array" ref="M176" xml:space="preserve"> INDEX( VfM_Metrics_2023_Consol_Source[], $D176, M$14 )</f>
        <v>0</v>
      </c>
      <c r="N176" s="23">
        <f xml:space="preserve"> -- AND( tblFilterRegion[[#This Row],[London]] &gt;= $N$10, N$13 = "Yes" )</f>
        <v>0</v>
      </c>
      <c r="O176" s="23">
        <f xml:space="preserve"> -- AND( tblFilterRegion[[#This Row],[South East]] &gt;= $N$10, O$13 = "Yes" )</f>
        <v>0</v>
      </c>
      <c r="P176" s="23">
        <f xml:space="preserve"> -- AND( tblFilterRegion[[#This Row],[South West]] &gt;= $N$10, P$13 = "Yes" )</f>
        <v>0</v>
      </c>
      <c r="Q176" s="23">
        <f xml:space="preserve"> -- AND( tblFilterRegion[[#This Row],[East Midlands]] &gt;= $N$10, Q$13 = "Yes" )</f>
        <v>0</v>
      </c>
      <c r="R176" s="23">
        <f xml:space="preserve"> -- AND( tblFilterRegion[[#This Row],[West Midlands]] &gt;= $N$10, R$13 = "Yes" )</f>
        <v>0</v>
      </c>
      <c r="S176" s="23">
        <f xml:space="preserve"> -- AND( tblFilterRegion[[#This Row],[East of England]] &gt;= $N$10, S$13 = "Yes" )</f>
        <v>0</v>
      </c>
      <c r="T176" s="23">
        <f xml:space="preserve"> -- AND( tblFilterRegion[[#This Row],[North East]] &gt;= $N$10, T$13 = "Yes" )</f>
        <v>0</v>
      </c>
      <c r="U176" s="23">
        <f xml:space="preserve"> -- AND( tblFilterRegion[[#This Row],[North West]] &gt;= $N$10, U$13 = "Yes" )</f>
        <v>0</v>
      </c>
      <c r="V176" s="23">
        <f xml:space="preserve"> -- AND( tblFilterRegion[[#This Row],[Yorkshire &amp; the Humber]] &gt;= $N$10, V$13 = "Yes" )</f>
        <v>0</v>
      </c>
      <c r="W176" s="22">
        <f xml:space="preserve"> SUMIF( $E$13:$M$13, "Yes", tblFilterRegion[[#This Row],[London]:[Yorkshire &amp; the Humber]] )</f>
        <v>0</v>
      </c>
      <c r="X176" s="23">
        <f xml:space="preserve"> -- ( SUM( tblFilterRegion[[#This Row],[Incl for Lon]:[Incl for YH]] ) &gt; 0 )</f>
        <v>0</v>
      </c>
      <c r="Y176" s="23">
        <f xml:space="preserve"> -- ( tblFilterRegion[[#This Row],[Total in selected regions]] &gt; $N$10 )</f>
        <v>0</v>
      </c>
      <c r="Z176" s="24">
        <f xml:space="preserve"> IF( RegionMinimum = 0, 1, IF( $R$10 = $U$8, tblFilterRegion[[#This Row],[Include for region - any]], IF( $R$10 = $U$10, tblFilterRegion[[#This Row],[Include for region - total]], "CHECK" ) ) )</f>
        <v>1</v>
      </c>
      <c r="AA176" s="131" t="str" cm="1">
        <f t="array" ref="AA176" xml:space="preserve"> INDEX( VfM_Metrics_2023_Consol_Source[], $D176, AA$14 )</f>
        <v>South West</v>
      </c>
    </row>
    <row r="177" spans="2:27" x14ac:dyDescent="0.2">
      <c r="B177" s="159" t="s" vm="162">
        <v>469</v>
      </c>
      <c r="C177" s="154" t="str" vm="247">
        <f xml:space="preserve"> INDEX( VfM_Metrics_2023_Consol_Source[RP_Code], MATCH( tblFilterRegion[[#This Row],[RP_Name]], VfM_Metrics_2023_Consol_Source[RP_Name], 0 ) )</f>
        <v>L0514</v>
      </c>
      <c r="D177" s="81">
        <f xml:space="preserve"> MATCH( tblFilterRegion[[#This Row],[RP_Code]], VfM_Metrics_2023_Consol_Source[RP_Code], 0 )</f>
        <v>162</v>
      </c>
      <c r="E177" s="22" cm="1">
        <f t="array" ref="E177" xml:space="preserve"> INDEX( VfM_Metrics_2023_Consol_Source[], $D177, E$14 )</f>
        <v>0.47502487562189055</v>
      </c>
      <c r="F177" s="22" cm="1">
        <f t="array" ref="F177" xml:space="preserve"> INDEX( VfM_Metrics_2023_Consol_Source[], $D177, F$14 )</f>
        <v>0.19610834715312328</v>
      </c>
      <c r="G177" s="22" cm="1">
        <f t="array" ref="G177" xml:space="preserve"> INDEX( VfM_Metrics_2023_Consol_Source[], $D177, G$14 )</f>
        <v>2.211166390270868E-5</v>
      </c>
      <c r="H177" s="22" cm="1">
        <f t="array" ref="H177" xml:space="preserve"> INDEX( VfM_Metrics_2023_Consol_Source[], $D177, H$14 )</f>
        <v>0.22606965174129354</v>
      </c>
      <c r="I177" s="22" cm="1">
        <f t="array" ref="I177" xml:space="preserve"> INDEX( VfM_Metrics_2023_Consol_Source[], $D177, I$14 )</f>
        <v>1.2824765063571034E-3</v>
      </c>
      <c r="J177" s="22" cm="1">
        <f t="array" ref="J177" xml:space="preserve"> INDEX( VfM_Metrics_2023_Consol_Source[], $D177, J$14 )</f>
        <v>0.10122719734660034</v>
      </c>
      <c r="K177" s="22" cm="1">
        <f t="array" ref="K177" xml:space="preserve"> INDEX( VfM_Metrics_2023_Consol_Source[], $D177, K$14 )</f>
        <v>2.211166390270868E-5</v>
      </c>
      <c r="L177" s="22" cm="1">
        <f t="array" ref="L177" xml:space="preserve"> INDEX( VfM_Metrics_2023_Consol_Source[], $D177, L$14 )</f>
        <v>0</v>
      </c>
      <c r="M177" s="22" cm="1">
        <f t="array" ref="M177" xml:space="preserve"> INDEX( VfM_Metrics_2023_Consol_Source[], $D177, M$14 )</f>
        <v>2.4322830292979546E-4</v>
      </c>
      <c r="N177" s="23">
        <f xml:space="preserve"> -- AND( tblFilterRegion[[#This Row],[London]] &gt;= $N$10, N$13 = "Yes" )</f>
        <v>0</v>
      </c>
      <c r="O177" s="23">
        <f xml:space="preserve"> -- AND( tblFilterRegion[[#This Row],[South East]] &gt;= $N$10, O$13 = "Yes" )</f>
        <v>0</v>
      </c>
      <c r="P177" s="23">
        <f xml:space="preserve"> -- AND( tblFilterRegion[[#This Row],[South West]] &gt;= $N$10, P$13 = "Yes" )</f>
        <v>0</v>
      </c>
      <c r="Q177" s="23">
        <f xml:space="preserve"> -- AND( tblFilterRegion[[#This Row],[East Midlands]] &gt;= $N$10, Q$13 = "Yes" )</f>
        <v>0</v>
      </c>
      <c r="R177" s="23">
        <f xml:space="preserve"> -- AND( tblFilterRegion[[#This Row],[West Midlands]] &gt;= $N$10, R$13 = "Yes" )</f>
        <v>0</v>
      </c>
      <c r="S177" s="23">
        <f xml:space="preserve"> -- AND( tblFilterRegion[[#This Row],[East of England]] &gt;= $N$10, S$13 = "Yes" )</f>
        <v>0</v>
      </c>
      <c r="T177" s="23">
        <f xml:space="preserve"> -- AND( tblFilterRegion[[#This Row],[North East]] &gt;= $N$10, T$13 = "Yes" )</f>
        <v>0</v>
      </c>
      <c r="U177" s="23">
        <f xml:space="preserve"> -- AND( tblFilterRegion[[#This Row],[North West]] &gt;= $N$10, U$13 = "Yes" )</f>
        <v>0</v>
      </c>
      <c r="V177" s="23">
        <f xml:space="preserve"> -- AND( tblFilterRegion[[#This Row],[Yorkshire &amp; the Humber]] &gt;= $N$10, V$13 = "Yes" )</f>
        <v>0</v>
      </c>
      <c r="W177" s="22">
        <f xml:space="preserve"> SUMIF( $E$13:$M$13, "Yes", tblFilterRegion[[#This Row],[London]:[Yorkshire &amp; the Humber]] )</f>
        <v>0</v>
      </c>
      <c r="X177" s="23">
        <f xml:space="preserve"> -- ( SUM( tblFilterRegion[[#This Row],[Incl for Lon]:[Incl for YH]] ) &gt; 0 )</f>
        <v>0</v>
      </c>
      <c r="Y177" s="23">
        <f xml:space="preserve"> -- ( tblFilterRegion[[#This Row],[Total in selected regions]] &gt; $N$10 )</f>
        <v>0</v>
      </c>
      <c r="Z177" s="24">
        <f xml:space="preserve"> IF( RegionMinimum = 0, 1, IF( $R$10 = $U$8, tblFilterRegion[[#This Row],[Include for region - any]], IF( $R$10 = $U$10, tblFilterRegion[[#This Row],[Include for region - total]], "CHECK" ) ) )</f>
        <v>1</v>
      </c>
      <c r="AA177" s="131" t="str" cm="1">
        <f t="array" ref="AA177" xml:space="preserve"> INDEX( VfM_Metrics_2023_Consol_Source[], $D177, AA$14 )</f>
        <v>Mixed</v>
      </c>
    </row>
    <row r="178" spans="2:27" x14ac:dyDescent="0.2">
      <c r="B178" s="159" t="s" vm="163">
        <v>471</v>
      </c>
      <c r="C178" s="154" t="str" vm="201">
        <f xml:space="preserve"> INDEX( VfM_Metrics_2023_Consol_Source[RP_Code], MATCH( tblFilterRegion[[#This Row],[RP_Name]], VfM_Metrics_2023_Consol_Source[RP_Name], 0 ) )</f>
        <v>H1046</v>
      </c>
      <c r="D178" s="81">
        <f xml:space="preserve"> MATCH( tblFilterRegion[[#This Row],[RP_Code]], VfM_Metrics_2023_Consol_Source[RP_Code], 0 )</f>
        <v>163</v>
      </c>
      <c r="E178" s="22" cm="1">
        <f t="array" ref="E178" xml:space="preserve"> INDEX( VfM_Metrics_2023_Consol_Source[], $D178, E$14 )</f>
        <v>3.7100949094046591E-2</v>
      </c>
      <c r="F178" s="22" cm="1">
        <f t="array" ref="F178" xml:space="preserve"> INDEX( VfM_Metrics_2023_Consol_Source[], $D178, F$14 )</f>
        <v>0.16134598792062121</v>
      </c>
      <c r="G178" s="22" cm="1">
        <f t="array" ref="G178" xml:space="preserve"> INDEX( VfM_Metrics_2023_Consol_Source[], $D178, G$14 )</f>
        <v>0.22433132010353754</v>
      </c>
      <c r="H178" s="22" cm="1">
        <f t="array" ref="H178" xml:space="preserve"> INDEX( VfM_Metrics_2023_Consol_Source[], $D178, H$14 )</f>
        <v>8.8869715271786026E-2</v>
      </c>
      <c r="I178" s="22" cm="1">
        <f t="array" ref="I178" xml:space="preserve"> INDEX( VfM_Metrics_2023_Consol_Source[], $D178, I$14 )</f>
        <v>6.9887834339948232E-2</v>
      </c>
      <c r="J178" s="22" cm="1">
        <f t="array" ref="J178" xml:space="preserve"> INDEX( VfM_Metrics_2023_Consol_Source[], $D178, J$14 )</f>
        <v>7.2476272648835202E-2</v>
      </c>
      <c r="K178" s="22" cm="1">
        <f t="array" ref="K178" xml:space="preserve"> INDEX( VfM_Metrics_2023_Consol_Source[], $D178, K$14 )</f>
        <v>8.1104400345125102E-2</v>
      </c>
      <c r="L178" s="22" cm="1">
        <f t="array" ref="L178" xml:space="preserve"> INDEX( VfM_Metrics_2023_Consol_Source[], $D178, L$14 )</f>
        <v>0.16307161345987919</v>
      </c>
      <c r="M178" s="22" cm="1">
        <f t="array" ref="M178" xml:space="preserve"> INDEX( VfM_Metrics_2023_Consol_Source[], $D178, M$14 )</f>
        <v>0.10181190681622088</v>
      </c>
      <c r="N178" s="23">
        <f xml:space="preserve"> -- AND( tblFilterRegion[[#This Row],[London]] &gt;= $N$10, N$13 = "Yes" )</f>
        <v>0</v>
      </c>
      <c r="O178" s="23">
        <f xml:space="preserve"> -- AND( tblFilterRegion[[#This Row],[South East]] &gt;= $N$10, O$13 = "Yes" )</f>
        <v>0</v>
      </c>
      <c r="P178" s="23">
        <f xml:space="preserve"> -- AND( tblFilterRegion[[#This Row],[South West]] &gt;= $N$10, P$13 = "Yes" )</f>
        <v>0</v>
      </c>
      <c r="Q178" s="23">
        <f xml:space="preserve"> -- AND( tblFilterRegion[[#This Row],[East Midlands]] &gt;= $N$10, Q$13 = "Yes" )</f>
        <v>0</v>
      </c>
      <c r="R178" s="23">
        <f xml:space="preserve"> -- AND( tblFilterRegion[[#This Row],[West Midlands]] &gt;= $N$10, R$13 = "Yes" )</f>
        <v>0</v>
      </c>
      <c r="S178" s="23">
        <f xml:space="preserve"> -- AND( tblFilterRegion[[#This Row],[East of England]] &gt;= $N$10, S$13 = "Yes" )</f>
        <v>0</v>
      </c>
      <c r="T178" s="23">
        <f xml:space="preserve"> -- AND( tblFilterRegion[[#This Row],[North East]] &gt;= $N$10, T$13 = "Yes" )</f>
        <v>0</v>
      </c>
      <c r="U178" s="23">
        <f xml:space="preserve"> -- AND( tblFilterRegion[[#This Row],[North West]] &gt;= $N$10, U$13 = "Yes" )</f>
        <v>0</v>
      </c>
      <c r="V178" s="23">
        <f xml:space="preserve"> -- AND( tblFilterRegion[[#This Row],[Yorkshire &amp; the Humber]] &gt;= $N$10, V$13 = "Yes" )</f>
        <v>0</v>
      </c>
      <c r="W178" s="22">
        <f xml:space="preserve"> SUMIF( $E$13:$M$13, "Yes", tblFilterRegion[[#This Row],[London]:[Yorkshire &amp; the Humber]] )</f>
        <v>0</v>
      </c>
      <c r="X178" s="23">
        <f xml:space="preserve"> -- ( SUM( tblFilterRegion[[#This Row],[Incl for Lon]:[Incl for YH]] ) &gt; 0 )</f>
        <v>0</v>
      </c>
      <c r="Y178" s="23">
        <f xml:space="preserve"> -- ( tblFilterRegion[[#This Row],[Total in selected regions]] &gt; $N$10 )</f>
        <v>0</v>
      </c>
      <c r="Z178" s="24">
        <f xml:space="preserve"> IF( RegionMinimum = 0, 1, IF( $R$10 = $U$8, tblFilterRegion[[#This Row],[Include for region - any]], IF( $R$10 = $U$10, tblFilterRegion[[#This Row],[Include for region - total]], "CHECK" ) ) )</f>
        <v>1</v>
      </c>
      <c r="AA178" s="131" t="str" cm="1">
        <f t="array" ref="AA178" xml:space="preserve"> INDEX( VfM_Metrics_2023_Consol_Source[], $D178, AA$14 )</f>
        <v>Mixed</v>
      </c>
    </row>
    <row r="179" spans="2:27" x14ac:dyDescent="0.2">
      <c r="B179" s="159" t="s" vm="164">
        <v>473</v>
      </c>
      <c r="C179" s="154" t="str" vm="314">
        <f xml:space="preserve"> INDEX( VfM_Metrics_2023_Consol_Source[RP_Code], MATCH( tblFilterRegion[[#This Row],[RP_Name]], VfM_Metrics_2023_Consol_Source[RP_Name], 0 ) )</f>
        <v>L0992</v>
      </c>
      <c r="D179" s="81">
        <f xml:space="preserve"> MATCH( tblFilterRegion[[#This Row],[RP_Code]], VfM_Metrics_2023_Consol_Source[RP_Code], 0 )</f>
        <v>164</v>
      </c>
      <c r="E179" s="22" cm="1">
        <f t="array" ref="E179" xml:space="preserve"> INDEX( VfM_Metrics_2023_Consol_Source[], $D179, E$14 )</f>
        <v>0</v>
      </c>
      <c r="F179" s="22" cm="1">
        <f t="array" ref="F179" xml:space="preserve"> INDEX( VfM_Metrics_2023_Consol_Source[], $D179, F$14 )</f>
        <v>0</v>
      </c>
      <c r="G179" s="22" cm="1">
        <f t="array" ref="G179" xml:space="preserve"> INDEX( VfM_Metrics_2023_Consol_Source[], $D179, G$14 )</f>
        <v>0</v>
      </c>
      <c r="H179" s="22" cm="1">
        <f t="array" ref="H179" xml:space="preserve"> INDEX( VfM_Metrics_2023_Consol_Source[], $D179, H$14 )</f>
        <v>0</v>
      </c>
      <c r="I179" s="22" cm="1">
        <f t="array" ref="I179" xml:space="preserve"> INDEX( VfM_Metrics_2023_Consol_Source[], $D179, I$14 )</f>
        <v>0</v>
      </c>
      <c r="J179" s="22" cm="1">
        <f t="array" ref="J179" xml:space="preserve"> INDEX( VfM_Metrics_2023_Consol_Source[], $D179, J$14 )</f>
        <v>1</v>
      </c>
      <c r="K179" s="22" cm="1">
        <f t="array" ref="K179" xml:space="preserve"> INDEX( VfM_Metrics_2023_Consol_Source[], $D179, K$14 )</f>
        <v>0</v>
      </c>
      <c r="L179" s="22" cm="1">
        <f t="array" ref="L179" xml:space="preserve"> INDEX( VfM_Metrics_2023_Consol_Source[], $D179, L$14 )</f>
        <v>0</v>
      </c>
      <c r="M179" s="22" cm="1">
        <f t="array" ref="M179" xml:space="preserve"> INDEX( VfM_Metrics_2023_Consol_Source[], $D179, M$14 )</f>
        <v>0</v>
      </c>
      <c r="N179" s="23">
        <f xml:space="preserve"> -- AND( tblFilterRegion[[#This Row],[London]] &gt;= $N$10, N$13 = "Yes" )</f>
        <v>0</v>
      </c>
      <c r="O179" s="23">
        <f xml:space="preserve"> -- AND( tblFilterRegion[[#This Row],[South East]] &gt;= $N$10, O$13 = "Yes" )</f>
        <v>0</v>
      </c>
      <c r="P179" s="23">
        <f xml:space="preserve"> -- AND( tblFilterRegion[[#This Row],[South West]] &gt;= $N$10, P$13 = "Yes" )</f>
        <v>0</v>
      </c>
      <c r="Q179" s="23">
        <f xml:space="preserve"> -- AND( tblFilterRegion[[#This Row],[East Midlands]] &gt;= $N$10, Q$13 = "Yes" )</f>
        <v>0</v>
      </c>
      <c r="R179" s="23">
        <f xml:space="preserve"> -- AND( tblFilterRegion[[#This Row],[West Midlands]] &gt;= $N$10, R$13 = "Yes" )</f>
        <v>0</v>
      </c>
      <c r="S179" s="23">
        <f xml:space="preserve"> -- AND( tblFilterRegion[[#This Row],[East of England]] &gt;= $N$10, S$13 = "Yes" )</f>
        <v>0</v>
      </c>
      <c r="T179" s="23">
        <f xml:space="preserve"> -- AND( tblFilterRegion[[#This Row],[North East]] &gt;= $N$10, T$13 = "Yes" )</f>
        <v>0</v>
      </c>
      <c r="U179" s="23">
        <f xml:space="preserve"> -- AND( tblFilterRegion[[#This Row],[North West]] &gt;= $N$10, U$13 = "Yes" )</f>
        <v>0</v>
      </c>
      <c r="V179" s="23">
        <f xml:space="preserve"> -- AND( tblFilterRegion[[#This Row],[Yorkshire &amp; the Humber]] &gt;= $N$10, V$13 = "Yes" )</f>
        <v>0</v>
      </c>
      <c r="W179" s="22">
        <f xml:space="preserve"> SUMIF( $E$13:$M$13, "Yes", tblFilterRegion[[#This Row],[London]:[Yorkshire &amp; the Humber]] )</f>
        <v>0</v>
      </c>
      <c r="X179" s="23">
        <f xml:space="preserve"> -- ( SUM( tblFilterRegion[[#This Row],[Incl for Lon]:[Incl for YH]] ) &gt; 0 )</f>
        <v>0</v>
      </c>
      <c r="Y179" s="23">
        <f xml:space="preserve"> -- ( tblFilterRegion[[#This Row],[Total in selected regions]] &gt; $N$10 )</f>
        <v>0</v>
      </c>
      <c r="Z179" s="24">
        <f xml:space="preserve"> IF( RegionMinimum = 0, 1, IF( $R$10 = $U$8, tblFilterRegion[[#This Row],[Include for region - any]], IF( $R$10 = $U$10, tblFilterRegion[[#This Row],[Include for region - total]], "CHECK" ) ) )</f>
        <v>1</v>
      </c>
      <c r="AA179" s="131" t="str" cm="1">
        <f t="array" ref="AA179" xml:space="preserve"> INDEX( VfM_Metrics_2023_Consol_Source[], $D179, AA$14 )</f>
        <v>East of England</v>
      </c>
    </row>
    <row r="180" spans="2:27" x14ac:dyDescent="0.2">
      <c r="B180" s="159" t="s" vm="165">
        <v>475</v>
      </c>
      <c r="C180" s="154" t="str" vm="378">
        <f xml:space="preserve"> INDEX( VfM_Metrics_2023_Consol_Source[RP_Code], MATCH( tblFilterRegion[[#This Row],[RP_Name]], VfM_Metrics_2023_Consol_Source[RP_Name], 0 ) )</f>
        <v>LH4264</v>
      </c>
      <c r="D180" s="81">
        <f xml:space="preserve"> MATCH( tblFilterRegion[[#This Row],[RP_Code]], VfM_Metrics_2023_Consol_Source[RP_Code], 0 )</f>
        <v>165</v>
      </c>
      <c r="E180" s="22" cm="1">
        <f t="array" ref="E180" xml:space="preserve"> INDEX( VfM_Metrics_2023_Consol_Source[], $D180, E$14 )</f>
        <v>0</v>
      </c>
      <c r="F180" s="22" cm="1">
        <f t="array" ref="F180" xml:space="preserve"> INDEX( VfM_Metrics_2023_Consol_Source[], $D180, F$14 )</f>
        <v>0</v>
      </c>
      <c r="G180" s="22" cm="1">
        <f t="array" ref="G180" xml:space="preserve"> INDEX( VfM_Metrics_2023_Consol_Source[], $D180, G$14 )</f>
        <v>0</v>
      </c>
      <c r="H180" s="22" cm="1">
        <f t="array" ref="H180" xml:space="preserve"> INDEX( VfM_Metrics_2023_Consol_Source[], $D180, H$14 )</f>
        <v>0</v>
      </c>
      <c r="I180" s="22" cm="1">
        <f t="array" ref="I180" xml:space="preserve"> INDEX( VfM_Metrics_2023_Consol_Source[], $D180, I$14 )</f>
        <v>1</v>
      </c>
      <c r="J180" s="22" cm="1">
        <f t="array" ref="J180" xml:space="preserve"> INDEX( VfM_Metrics_2023_Consol_Source[], $D180, J$14 )</f>
        <v>0</v>
      </c>
      <c r="K180" s="22" cm="1">
        <f t="array" ref="K180" xml:space="preserve"> INDEX( VfM_Metrics_2023_Consol_Source[], $D180, K$14 )</f>
        <v>0</v>
      </c>
      <c r="L180" s="22" cm="1">
        <f t="array" ref="L180" xml:space="preserve"> INDEX( VfM_Metrics_2023_Consol_Source[], $D180, L$14 )</f>
        <v>0</v>
      </c>
      <c r="M180" s="22" cm="1">
        <f t="array" ref="M180" xml:space="preserve"> INDEX( VfM_Metrics_2023_Consol_Source[], $D180, M$14 )</f>
        <v>0</v>
      </c>
      <c r="N180" s="23">
        <f xml:space="preserve"> -- AND( tblFilterRegion[[#This Row],[London]] &gt;= $N$10, N$13 = "Yes" )</f>
        <v>0</v>
      </c>
      <c r="O180" s="23">
        <f xml:space="preserve"> -- AND( tblFilterRegion[[#This Row],[South East]] &gt;= $N$10, O$13 = "Yes" )</f>
        <v>0</v>
      </c>
      <c r="P180" s="23">
        <f xml:space="preserve"> -- AND( tblFilterRegion[[#This Row],[South West]] &gt;= $N$10, P$13 = "Yes" )</f>
        <v>0</v>
      </c>
      <c r="Q180" s="23">
        <f xml:space="preserve"> -- AND( tblFilterRegion[[#This Row],[East Midlands]] &gt;= $N$10, Q$13 = "Yes" )</f>
        <v>0</v>
      </c>
      <c r="R180" s="23">
        <f xml:space="preserve"> -- AND( tblFilterRegion[[#This Row],[West Midlands]] &gt;= $N$10, R$13 = "Yes" )</f>
        <v>0</v>
      </c>
      <c r="S180" s="23">
        <f xml:space="preserve"> -- AND( tblFilterRegion[[#This Row],[East of England]] &gt;= $N$10, S$13 = "Yes" )</f>
        <v>0</v>
      </c>
      <c r="T180" s="23">
        <f xml:space="preserve"> -- AND( tblFilterRegion[[#This Row],[North East]] &gt;= $N$10, T$13 = "Yes" )</f>
        <v>0</v>
      </c>
      <c r="U180" s="23">
        <f xml:space="preserve"> -- AND( tblFilterRegion[[#This Row],[North West]] &gt;= $N$10, U$13 = "Yes" )</f>
        <v>0</v>
      </c>
      <c r="V180" s="23">
        <f xml:space="preserve"> -- AND( tblFilterRegion[[#This Row],[Yorkshire &amp; the Humber]] &gt;= $N$10, V$13 = "Yes" )</f>
        <v>0</v>
      </c>
      <c r="W180" s="22">
        <f xml:space="preserve"> SUMIF( $E$13:$M$13, "Yes", tblFilterRegion[[#This Row],[London]:[Yorkshire &amp; the Humber]] )</f>
        <v>0</v>
      </c>
      <c r="X180" s="23">
        <f xml:space="preserve"> -- ( SUM( tblFilterRegion[[#This Row],[Incl for Lon]:[Incl for YH]] ) &gt; 0 )</f>
        <v>0</v>
      </c>
      <c r="Y180" s="23">
        <f xml:space="preserve"> -- ( tblFilterRegion[[#This Row],[Total in selected regions]] &gt; $N$10 )</f>
        <v>0</v>
      </c>
      <c r="Z180" s="24">
        <f xml:space="preserve"> IF( RegionMinimum = 0, 1, IF( $R$10 = $U$8, tblFilterRegion[[#This Row],[Include for region - any]], IF( $R$10 = $U$10, tblFilterRegion[[#This Row],[Include for region - total]], "CHECK" ) ) )</f>
        <v>1</v>
      </c>
      <c r="AA180" s="131" t="str" cm="1">
        <f t="array" ref="AA180" xml:space="preserve"> INDEX( VfM_Metrics_2023_Consol_Source[], $D180, AA$14 )</f>
        <v>West Midlands</v>
      </c>
    </row>
    <row r="181" spans="2:27" x14ac:dyDescent="0.2">
      <c r="B181" s="159" t="s" vm="166">
        <v>477</v>
      </c>
      <c r="C181" s="154" t="str" vm="248">
        <f xml:space="preserve"> INDEX( VfM_Metrics_2023_Consol_Source[RP_Code], MATCH( tblFilterRegion[[#This Row],[RP_Name]], VfM_Metrics_2023_Consol_Source[RP_Name], 0 ) )</f>
        <v>4729</v>
      </c>
      <c r="D181" s="81">
        <f xml:space="preserve"> MATCH( tblFilterRegion[[#This Row],[RP_Code]], VfM_Metrics_2023_Consol_Source[RP_Code], 0 )</f>
        <v>166</v>
      </c>
      <c r="E181" s="22" cm="1">
        <f t="array" ref="E181" xml:space="preserve"> INDEX( VfM_Metrics_2023_Consol_Source[], $D181, E$14 )</f>
        <v>0.10820728985866601</v>
      </c>
      <c r="F181" s="22" cm="1">
        <f t="array" ref="F181" xml:space="preserve"> INDEX( VfM_Metrics_2023_Consol_Source[], $D181, F$14 )</f>
        <v>0.21223241590214068</v>
      </c>
      <c r="G181" s="22" cm="1">
        <f t="array" ref="G181" xml:space="preserve"> INDEX( VfM_Metrics_2023_Consol_Source[], $D181, G$14 )</f>
        <v>0.16713777998181667</v>
      </c>
      <c r="H181" s="22" cm="1">
        <f t="array" ref="H181" xml:space="preserve"> INDEX( VfM_Metrics_2023_Consol_Source[], $D181, H$14 )</f>
        <v>7.719646251756343E-2</v>
      </c>
      <c r="I181" s="22" cm="1">
        <f t="array" ref="I181" xml:space="preserve"> INDEX( VfM_Metrics_2023_Consol_Source[], $D181, I$14 )</f>
        <v>1.5703777171667079E-3</v>
      </c>
      <c r="J181" s="22" cm="1">
        <f t="array" ref="J181" xml:space="preserve"> INDEX( VfM_Metrics_2023_Consol_Source[], $D181, J$14 )</f>
        <v>4.9409042069592526E-2</v>
      </c>
      <c r="K181" s="22" cm="1">
        <f t="array" ref="K181" xml:space="preserve"> INDEX( VfM_Metrics_2023_Consol_Source[], $D181, K$14 )</f>
        <v>1.6530291759649558E-5</v>
      </c>
      <c r="L181" s="22" cm="1">
        <f t="array" ref="L181" xml:space="preserve"> INDEX( VfM_Metrics_2023_Consol_Source[], $D181, L$14 )</f>
        <v>0.28119679312339863</v>
      </c>
      <c r="M181" s="22" cm="1">
        <f t="array" ref="M181" xml:space="preserve"> INDEX( VfM_Metrics_2023_Consol_Source[], $D181, M$14 )</f>
        <v>0.10303330853789569</v>
      </c>
      <c r="N181" s="23">
        <f xml:space="preserve"> -- AND( tblFilterRegion[[#This Row],[London]] &gt;= $N$10, N$13 = "Yes" )</f>
        <v>0</v>
      </c>
      <c r="O181" s="23">
        <f xml:space="preserve"> -- AND( tblFilterRegion[[#This Row],[South East]] &gt;= $N$10, O$13 = "Yes" )</f>
        <v>0</v>
      </c>
      <c r="P181" s="23">
        <f xml:space="preserve"> -- AND( tblFilterRegion[[#This Row],[South West]] &gt;= $N$10, P$13 = "Yes" )</f>
        <v>0</v>
      </c>
      <c r="Q181" s="23">
        <f xml:space="preserve"> -- AND( tblFilterRegion[[#This Row],[East Midlands]] &gt;= $N$10, Q$13 = "Yes" )</f>
        <v>0</v>
      </c>
      <c r="R181" s="23">
        <f xml:space="preserve"> -- AND( tblFilterRegion[[#This Row],[West Midlands]] &gt;= $N$10, R$13 = "Yes" )</f>
        <v>0</v>
      </c>
      <c r="S181" s="23">
        <f xml:space="preserve"> -- AND( tblFilterRegion[[#This Row],[East of England]] &gt;= $N$10, S$13 = "Yes" )</f>
        <v>0</v>
      </c>
      <c r="T181" s="23">
        <f xml:space="preserve"> -- AND( tblFilterRegion[[#This Row],[North East]] &gt;= $N$10, T$13 = "Yes" )</f>
        <v>0</v>
      </c>
      <c r="U181" s="23">
        <f xml:space="preserve"> -- AND( tblFilterRegion[[#This Row],[North West]] &gt;= $N$10, U$13 = "Yes" )</f>
        <v>0</v>
      </c>
      <c r="V181" s="23">
        <f xml:space="preserve"> -- AND( tblFilterRegion[[#This Row],[Yorkshire &amp; the Humber]] &gt;= $N$10, V$13 = "Yes" )</f>
        <v>0</v>
      </c>
      <c r="W181" s="22">
        <f xml:space="preserve"> SUMIF( $E$13:$M$13, "Yes", tblFilterRegion[[#This Row],[London]:[Yorkshire &amp; the Humber]] )</f>
        <v>0</v>
      </c>
      <c r="X181" s="23">
        <f xml:space="preserve"> -- ( SUM( tblFilterRegion[[#This Row],[Incl for Lon]:[Incl for YH]] ) &gt; 0 )</f>
        <v>0</v>
      </c>
      <c r="Y181" s="23">
        <f xml:space="preserve"> -- ( tblFilterRegion[[#This Row],[Total in selected regions]] &gt; $N$10 )</f>
        <v>0</v>
      </c>
      <c r="Z181" s="24">
        <f xml:space="preserve"> IF( RegionMinimum = 0, 1, IF( $R$10 = $U$8, tblFilterRegion[[#This Row],[Include for region - any]], IF( $R$10 = $U$10, tblFilterRegion[[#This Row],[Include for region - total]], "CHECK" ) ) )</f>
        <v>1</v>
      </c>
      <c r="AA181" s="131" t="str" cm="1">
        <f t="array" ref="AA181" xml:space="preserve"> INDEX( VfM_Metrics_2023_Consol_Source[], $D181, AA$14 )</f>
        <v>Mixed</v>
      </c>
    </row>
    <row r="182" spans="2:27" x14ac:dyDescent="0.2">
      <c r="B182" s="159" t="s" vm="167">
        <v>479</v>
      </c>
      <c r="C182" s="154" t="str" vm="374">
        <f xml:space="preserve"> INDEX( VfM_Metrics_2023_Consol_Source[RP_Code], MATCH( tblFilterRegion[[#This Row],[RP_Name]], VfM_Metrics_2023_Consol_Source[RP_Name], 0 ) )</f>
        <v>LH4339</v>
      </c>
      <c r="D182" s="81">
        <f xml:space="preserve"> MATCH( tblFilterRegion[[#This Row],[RP_Code]], VfM_Metrics_2023_Consol_Source[RP_Code], 0 )</f>
        <v>167</v>
      </c>
      <c r="E182" s="22" cm="1">
        <f t="array" ref="E182" xml:space="preserve"> INDEX( VfM_Metrics_2023_Consol_Source[], $D182, E$14 )</f>
        <v>0</v>
      </c>
      <c r="F182" s="22" cm="1">
        <f t="array" ref="F182" xml:space="preserve"> INDEX( VfM_Metrics_2023_Consol_Source[], $D182, F$14 )</f>
        <v>0</v>
      </c>
      <c r="G182" s="22" cm="1">
        <f t="array" ref="G182" xml:space="preserve"> INDEX( VfM_Metrics_2023_Consol_Source[], $D182, G$14 )</f>
        <v>0</v>
      </c>
      <c r="H182" s="22" cm="1">
        <f t="array" ref="H182" xml:space="preserve"> INDEX( VfM_Metrics_2023_Consol_Source[], $D182, H$14 )</f>
        <v>0</v>
      </c>
      <c r="I182" s="22" cm="1">
        <f t="array" ref="I182" xml:space="preserve"> INDEX( VfM_Metrics_2023_Consol_Source[], $D182, I$14 )</f>
        <v>0</v>
      </c>
      <c r="J182" s="22" cm="1">
        <f t="array" ref="J182" xml:space="preserve"> INDEX( VfM_Metrics_2023_Consol_Source[], $D182, J$14 )</f>
        <v>1</v>
      </c>
      <c r="K182" s="22" cm="1">
        <f t="array" ref="K182" xml:space="preserve"> INDEX( VfM_Metrics_2023_Consol_Source[], $D182, K$14 )</f>
        <v>0</v>
      </c>
      <c r="L182" s="22" cm="1">
        <f t="array" ref="L182" xml:space="preserve"> INDEX( VfM_Metrics_2023_Consol_Source[], $D182, L$14 )</f>
        <v>0</v>
      </c>
      <c r="M182" s="22" cm="1">
        <f t="array" ref="M182" xml:space="preserve"> INDEX( VfM_Metrics_2023_Consol_Source[], $D182, M$14 )</f>
        <v>0</v>
      </c>
      <c r="N182" s="23">
        <f xml:space="preserve"> -- AND( tblFilterRegion[[#This Row],[London]] &gt;= $N$10, N$13 = "Yes" )</f>
        <v>0</v>
      </c>
      <c r="O182" s="23">
        <f xml:space="preserve"> -- AND( tblFilterRegion[[#This Row],[South East]] &gt;= $N$10, O$13 = "Yes" )</f>
        <v>0</v>
      </c>
      <c r="P182" s="23">
        <f xml:space="preserve"> -- AND( tblFilterRegion[[#This Row],[South West]] &gt;= $N$10, P$13 = "Yes" )</f>
        <v>0</v>
      </c>
      <c r="Q182" s="23">
        <f xml:space="preserve"> -- AND( tblFilterRegion[[#This Row],[East Midlands]] &gt;= $N$10, Q$13 = "Yes" )</f>
        <v>0</v>
      </c>
      <c r="R182" s="23">
        <f xml:space="preserve"> -- AND( tblFilterRegion[[#This Row],[West Midlands]] &gt;= $N$10, R$13 = "Yes" )</f>
        <v>0</v>
      </c>
      <c r="S182" s="23">
        <f xml:space="preserve"> -- AND( tblFilterRegion[[#This Row],[East of England]] &gt;= $N$10, S$13 = "Yes" )</f>
        <v>0</v>
      </c>
      <c r="T182" s="23">
        <f xml:space="preserve"> -- AND( tblFilterRegion[[#This Row],[North East]] &gt;= $N$10, T$13 = "Yes" )</f>
        <v>0</v>
      </c>
      <c r="U182" s="23">
        <f xml:space="preserve"> -- AND( tblFilterRegion[[#This Row],[North West]] &gt;= $N$10, U$13 = "Yes" )</f>
        <v>0</v>
      </c>
      <c r="V182" s="23">
        <f xml:space="preserve"> -- AND( tblFilterRegion[[#This Row],[Yorkshire &amp; the Humber]] &gt;= $N$10, V$13 = "Yes" )</f>
        <v>0</v>
      </c>
      <c r="W182" s="22">
        <f xml:space="preserve"> SUMIF( $E$13:$M$13, "Yes", tblFilterRegion[[#This Row],[London]:[Yorkshire &amp; the Humber]] )</f>
        <v>0</v>
      </c>
      <c r="X182" s="23">
        <f xml:space="preserve"> -- ( SUM( tblFilterRegion[[#This Row],[Incl for Lon]:[Incl for YH]] ) &gt; 0 )</f>
        <v>0</v>
      </c>
      <c r="Y182" s="23">
        <f xml:space="preserve"> -- ( tblFilterRegion[[#This Row],[Total in selected regions]] &gt; $N$10 )</f>
        <v>0</v>
      </c>
      <c r="Z182" s="24">
        <f xml:space="preserve"> IF( RegionMinimum = 0, 1, IF( $R$10 = $U$8, tblFilterRegion[[#This Row],[Include for region - any]], IF( $R$10 = $U$10, tblFilterRegion[[#This Row],[Include for region - total]], "CHECK" ) ) )</f>
        <v>1</v>
      </c>
      <c r="AA182" s="131" t="str" cm="1">
        <f t="array" ref="AA182" xml:space="preserve"> INDEX( VfM_Metrics_2023_Consol_Source[], $D182, AA$14 )</f>
        <v>East of England</v>
      </c>
    </row>
    <row r="183" spans="2:27" x14ac:dyDescent="0.2">
      <c r="B183" s="159" t="s" vm="168">
        <v>481</v>
      </c>
      <c r="C183" s="154" t="str" vm="293">
        <f xml:space="preserve"> INDEX( VfM_Metrics_2023_Consol_Source[RP_Code], MATCH( tblFilterRegion[[#This Row],[RP_Name]], VfM_Metrics_2023_Consol_Source[RP_Name], 0 ) )</f>
        <v>L4491</v>
      </c>
      <c r="D183" s="81">
        <f xml:space="preserve"> MATCH( tblFilterRegion[[#This Row],[RP_Code]], VfM_Metrics_2023_Consol_Source[RP_Code], 0 )</f>
        <v>168</v>
      </c>
      <c r="E183" s="22" cm="1">
        <f t="array" ref="E183" xml:space="preserve"> INDEX( VfM_Metrics_2023_Consol_Source[], $D183, E$14 )</f>
        <v>0</v>
      </c>
      <c r="F183" s="22" cm="1">
        <f t="array" ref="F183" xml:space="preserve"> INDEX( VfM_Metrics_2023_Consol_Source[], $D183, F$14 )</f>
        <v>0</v>
      </c>
      <c r="G183" s="22" cm="1">
        <f t="array" ref="G183" xml:space="preserve"> INDEX( VfM_Metrics_2023_Consol_Source[], $D183, G$14 )</f>
        <v>0</v>
      </c>
      <c r="H183" s="22" cm="1">
        <f t="array" ref="H183" xml:space="preserve"> INDEX( VfM_Metrics_2023_Consol_Source[], $D183, H$14 )</f>
        <v>0</v>
      </c>
      <c r="I183" s="22" cm="1">
        <f t="array" ref="I183" xml:space="preserve"> INDEX( VfM_Metrics_2023_Consol_Source[], $D183, I$14 )</f>
        <v>1</v>
      </c>
      <c r="J183" s="22" cm="1">
        <f t="array" ref="J183" xml:space="preserve"> INDEX( VfM_Metrics_2023_Consol_Source[], $D183, J$14 )</f>
        <v>0</v>
      </c>
      <c r="K183" s="22" cm="1">
        <f t="array" ref="K183" xml:space="preserve"> INDEX( VfM_Metrics_2023_Consol_Source[], $D183, K$14 )</f>
        <v>0</v>
      </c>
      <c r="L183" s="22" cm="1">
        <f t="array" ref="L183" xml:space="preserve"> INDEX( VfM_Metrics_2023_Consol_Source[], $D183, L$14 )</f>
        <v>0</v>
      </c>
      <c r="M183" s="22" cm="1">
        <f t="array" ref="M183" xml:space="preserve"> INDEX( VfM_Metrics_2023_Consol_Source[], $D183, M$14 )</f>
        <v>0</v>
      </c>
      <c r="N183" s="23">
        <f xml:space="preserve"> -- AND( tblFilterRegion[[#This Row],[London]] &gt;= $N$10, N$13 = "Yes" )</f>
        <v>0</v>
      </c>
      <c r="O183" s="23">
        <f xml:space="preserve"> -- AND( tblFilterRegion[[#This Row],[South East]] &gt;= $N$10, O$13 = "Yes" )</f>
        <v>0</v>
      </c>
      <c r="P183" s="23">
        <f xml:space="preserve"> -- AND( tblFilterRegion[[#This Row],[South West]] &gt;= $N$10, P$13 = "Yes" )</f>
        <v>0</v>
      </c>
      <c r="Q183" s="23">
        <f xml:space="preserve"> -- AND( tblFilterRegion[[#This Row],[East Midlands]] &gt;= $N$10, Q$13 = "Yes" )</f>
        <v>0</v>
      </c>
      <c r="R183" s="23">
        <f xml:space="preserve"> -- AND( tblFilterRegion[[#This Row],[West Midlands]] &gt;= $N$10, R$13 = "Yes" )</f>
        <v>0</v>
      </c>
      <c r="S183" s="23">
        <f xml:space="preserve"> -- AND( tblFilterRegion[[#This Row],[East of England]] &gt;= $N$10, S$13 = "Yes" )</f>
        <v>0</v>
      </c>
      <c r="T183" s="23">
        <f xml:space="preserve"> -- AND( tblFilterRegion[[#This Row],[North East]] &gt;= $N$10, T$13 = "Yes" )</f>
        <v>0</v>
      </c>
      <c r="U183" s="23">
        <f xml:space="preserve"> -- AND( tblFilterRegion[[#This Row],[North West]] &gt;= $N$10, U$13 = "Yes" )</f>
        <v>0</v>
      </c>
      <c r="V183" s="23">
        <f xml:space="preserve"> -- AND( tblFilterRegion[[#This Row],[Yorkshire &amp; the Humber]] &gt;= $N$10, V$13 = "Yes" )</f>
        <v>0</v>
      </c>
      <c r="W183" s="22">
        <f xml:space="preserve"> SUMIF( $E$13:$M$13, "Yes", tblFilterRegion[[#This Row],[London]:[Yorkshire &amp; the Humber]] )</f>
        <v>0</v>
      </c>
      <c r="X183" s="23">
        <f xml:space="preserve"> -- ( SUM( tblFilterRegion[[#This Row],[Incl for Lon]:[Incl for YH]] ) &gt; 0 )</f>
        <v>0</v>
      </c>
      <c r="Y183" s="23">
        <f xml:space="preserve"> -- ( tblFilterRegion[[#This Row],[Total in selected regions]] &gt; $N$10 )</f>
        <v>0</v>
      </c>
      <c r="Z183" s="24">
        <f xml:space="preserve"> IF( RegionMinimum = 0, 1, IF( $R$10 = $U$8, tblFilterRegion[[#This Row],[Include for region - any]], IF( $R$10 = $U$10, tblFilterRegion[[#This Row],[Include for region - total]], "CHECK" ) ) )</f>
        <v>1</v>
      </c>
      <c r="AA183" s="131" t="str" cm="1">
        <f t="array" ref="AA183" xml:space="preserve"> INDEX( VfM_Metrics_2023_Consol_Source[], $D183, AA$14 )</f>
        <v>West Midlands</v>
      </c>
    </row>
    <row r="184" spans="2:27" x14ac:dyDescent="0.2">
      <c r="B184" s="159" t="s" vm="169">
        <v>483</v>
      </c>
      <c r="C184" s="154" t="str" vm="208">
        <f xml:space="preserve"> INDEX( VfM_Metrics_2023_Consol_Source[RP_Code], MATCH( tblFilterRegion[[#This Row],[RP_Name]], VfM_Metrics_2023_Consol_Source[RP_Name], 0 ) )</f>
        <v>L0266</v>
      </c>
      <c r="D184" s="81">
        <f xml:space="preserve"> MATCH( tblFilterRegion[[#This Row],[RP_Code]], VfM_Metrics_2023_Consol_Source[RP_Code], 0 )</f>
        <v>169</v>
      </c>
      <c r="E184" s="22" cm="1">
        <f t="array" ref="E184" xml:space="preserve"> INDEX( VfM_Metrics_2023_Consol_Source[], $D184, E$14 )</f>
        <v>0.9916666666666667</v>
      </c>
      <c r="F184" s="22" cm="1">
        <f t="array" ref="F184" xml:space="preserve"> INDEX( VfM_Metrics_2023_Consol_Source[], $D184, F$14 )</f>
        <v>0</v>
      </c>
      <c r="G184" s="22" cm="1">
        <f t="array" ref="G184" xml:space="preserve"> INDEX( VfM_Metrics_2023_Consol_Source[], $D184, G$14 )</f>
        <v>0</v>
      </c>
      <c r="H184" s="22" cm="1">
        <f t="array" ref="H184" xml:space="preserve"> INDEX( VfM_Metrics_2023_Consol_Source[], $D184, H$14 )</f>
        <v>0</v>
      </c>
      <c r="I184" s="22" cm="1">
        <f t="array" ref="I184" xml:space="preserve"> INDEX( VfM_Metrics_2023_Consol_Source[], $D184, I$14 )</f>
        <v>0</v>
      </c>
      <c r="J184" s="22" cm="1">
        <f t="array" ref="J184" xml:space="preserve"> INDEX( VfM_Metrics_2023_Consol_Source[], $D184, J$14 )</f>
        <v>8.3333333333333332E-3</v>
      </c>
      <c r="K184" s="22" cm="1">
        <f t="array" ref="K184" xml:space="preserve"> INDEX( VfM_Metrics_2023_Consol_Source[], $D184, K$14 )</f>
        <v>0</v>
      </c>
      <c r="L184" s="22" cm="1">
        <f t="array" ref="L184" xml:space="preserve"> INDEX( VfM_Metrics_2023_Consol_Source[], $D184, L$14 )</f>
        <v>0</v>
      </c>
      <c r="M184" s="22" cm="1">
        <f t="array" ref="M184" xml:space="preserve"> INDEX( VfM_Metrics_2023_Consol_Source[], $D184, M$14 )</f>
        <v>0</v>
      </c>
      <c r="N184" s="23">
        <f xml:space="preserve"> -- AND( tblFilterRegion[[#This Row],[London]] &gt;= $N$10, N$13 = "Yes" )</f>
        <v>0</v>
      </c>
      <c r="O184" s="23">
        <f xml:space="preserve"> -- AND( tblFilterRegion[[#This Row],[South East]] &gt;= $N$10, O$13 = "Yes" )</f>
        <v>0</v>
      </c>
      <c r="P184" s="23">
        <f xml:space="preserve"> -- AND( tblFilterRegion[[#This Row],[South West]] &gt;= $N$10, P$13 = "Yes" )</f>
        <v>0</v>
      </c>
      <c r="Q184" s="23">
        <f xml:space="preserve"> -- AND( tblFilterRegion[[#This Row],[East Midlands]] &gt;= $N$10, Q$13 = "Yes" )</f>
        <v>0</v>
      </c>
      <c r="R184" s="23">
        <f xml:space="preserve"> -- AND( tblFilterRegion[[#This Row],[West Midlands]] &gt;= $N$10, R$13 = "Yes" )</f>
        <v>0</v>
      </c>
      <c r="S184" s="23">
        <f xml:space="preserve"> -- AND( tblFilterRegion[[#This Row],[East of England]] &gt;= $N$10, S$13 = "Yes" )</f>
        <v>0</v>
      </c>
      <c r="T184" s="23">
        <f xml:space="preserve"> -- AND( tblFilterRegion[[#This Row],[North East]] &gt;= $N$10, T$13 = "Yes" )</f>
        <v>0</v>
      </c>
      <c r="U184" s="23">
        <f xml:space="preserve"> -- AND( tblFilterRegion[[#This Row],[North West]] &gt;= $N$10, U$13 = "Yes" )</f>
        <v>0</v>
      </c>
      <c r="V184" s="23">
        <f xml:space="preserve"> -- AND( tblFilterRegion[[#This Row],[Yorkshire &amp; the Humber]] &gt;= $N$10, V$13 = "Yes" )</f>
        <v>0</v>
      </c>
      <c r="W184" s="22">
        <f xml:space="preserve"> SUMIF( $E$13:$M$13, "Yes", tblFilterRegion[[#This Row],[London]:[Yorkshire &amp; the Humber]] )</f>
        <v>0</v>
      </c>
      <c r="X184" s="23">
        <f xml:space="preserve"> -- ( SUM( tblFilterRegion[[#This Row],[Incl for Lon]:[Incl for YH]] ) &gt; 0 )</f>
        <v>0</v>
      </c>
      <c r="Y184" s="23">
        <f xml:space="preserve"> -- ( tblFilterRegion[[#This Row],[Total in selected regions]] &gt; $N$10 )</f>
        <v>0</v>
      </c>
      <c r="Z184" s="24">
        <f xml:space="preserve"> IF( RegionMinimum = 0, 1, IF( $R$10 = $U$8, tblFilterRegion[[#This Row],[Include for region - any]], IF( $R$10 = $U$10, tblFilterRegion[[#This Row],[Include for region - total]], "CHECK" ) ) )</f>
        <v>1</v>
      </c>
      <c r="AA184" s="131" t="str" cm="1">
        <f t="array" ref="AA184" xml:space="preserve"> INDEX( VfM_Metrics_2023_Consol_Source[], $D184, AA$14 )</f>
        <v>London</v>
      </c>
    </row>
    <row r="185" spans="2:27" x14ac:dyDescent="0.2">
      <c r="B185" s="159" t="s" vm="170">
        <v>485</v>
      </c>
      <c r="C185" s="154" t="str" vm="235">
        <f xml:space="preserve"> INDEX( VfM_Metrics_2023_Consol_Source[RP_Code], MATCH( tblFilterRegion[[#This Row],[RP_Name]], VfM_Metrics_2023_Consol_Source[RP_Name], 0 ) )</f>
        <v>L4118</v>
      </c>
      <c r="D185" s="81">
        <f xml:space="preserve"> MATCH( tblFilterRegion[[#This Row],[RP_Code]], VfM_Metrics_2023_Consol_Source[RP_Code], 0 )</f>
        <v>170</v>
      </c>
      <c r="E185" s="22" cm="1">
        <f t="array" ref="E185" xml:space="preserve"> INDEX( VfM_Metrics_2023_Consol_Source[], $D185, E$14 )</f>
        <v>0</v>
      </c>
      <c r="F185" s="22" cm="1">
        <f t="array" ref="F185" xml:space="preserve"> INDEX( VfM_Metrics_2023_Consol_Source[], $D185, F$14 )</f>
        <v>0</v>
      </c>
      <c r="G185" s="22" cm="1">
        <f t="array" ref="G185" xml:space="preserve"> INDEX( VfM_Metrics_2023_Consol_Source[], $D185, G$14 )</f>
        <v>0</v>
      </c>
      <c r="H185" s="22" cm="1">
        <f t="array" ref="H185" xml:space="preserve"> INDEX( VfM_Metrics_2023_Consol_Source[], $D185, H$14 )</f>
        <v>0</v>
      </c>
      <c r="I185" s="22" cm="1">
        <f t="array" ref="I185" xml:space="preserve"> INDEX( VfM_Metrics_2023_Consol_Source[], $D185, I$14 )</f>
        <v>1</v>
      </c>
      <c r="J185" s="22" cm="1">
        <f t="array" ref="J185" xml:space="preserve"> INDEX( VfM_Metrics_2023_Consol_Source[], $D185, J$14 )</f>
        <v>0</v>
      </c>
      <c r="K185" s="22" cm="1">
        <f t="array" ref="K185" xml:space="preserve"> INDEX( VfM_Metrics_2023_Consol_Source[], $D185, K$14 )</f>
        <v>0</v>
      </c>
      <c r="L185" s="22" cm="1">
        <f t="array" ref="L185" xml:space="preserve"> INDEX( VfM_Metrics_2023_Consol_Source[], $D185, L$14 )</f>
        <v>0</v>
      </c>
      <c r="M185" s="22" cm="1">
        <f t="array" ref="M185" xml:space="preserve"> INDEX( VfM_Metrics_2023_Consol_Source[], $D185, M$14 )</f>
        <v>0</v>
      </c>
      <c r="N185" s="23">
        <f xml:space="preserve"> -- AND( tblFilterRegion[[#This Row],[London]] &gt;= $N$10, N$13 = "Yes" )</f>
        <v>0</v>
      </c>
      <c r="O185" s="23">
        <f xml:space="preserve"> -- AND( tblFilterRegion[[#This Row],[South East]] &gt;= $N$10, O$13 = "Yes" )</f>
        <v>0</v>
      </c>
      <c r="P185" s="23">
        <f xml:space="preserve"> -- AND( tblFilterRegion[[#This Row],[South West]] &gt;= $N$10, P$13 = "Yes" )</f>
        <v>0</v>
      </c>
      <c r="Q185" s="23">
        <f xml:space="preserve"> -- AND( tblFilterRegion[[#This Row],[East Midlands]] &gt;= $N$10, Q$13 = "Yes" )</f>
        <v>0</v>
      </c>
      <c r="R185" s="23">
        <f xml:space="preserve"> -- AND( tblFilterRegion[[#This Row],[West Midlands]] &gt;= $N$10, R$13 = "Yes" )</f>
        <v>0</v>
      </c>
      <c r="S185" s="23">
        <f xml:space="preserve"> -- AND( tblFilterRegion[[#This Row],[East of England]] &gt;= $N$10, S$13 = "Yes" )</f>
        <v>0</v>
      </c>
      <c r="T185" s="23">
        <f xml:space="preserve"> -- AND( tblFilterRegion[[#This Row],[North East]] &gt;= $N$10, T$13 = "Yes" )</f>
        <v>0</v>
      </c>
      <c r="U185" s="23">
        <f xml:space="preserve"> -- AND( tblFilterRegion[[#This Row],[North West]] &gt;= $N$10, U$13 = "Yes" )</f>
        <v>0</v>
      </c>
      <c r="V185" s="23">
        <f xml:space="preserve"> -- AND( tblFilterRegion[[#This Row],[Yorkshire &amp; the Humber]] &gt;= $N$10, V$13 = "Yes" )</f>
        <v>0</v>
      </c>
      <c r="W185" s="22">
        <f xml:space="preserve"> SUMIF( $E$13:$M$13, "Yes", tblFilterRegion[[#This Row],[London]:[Yorkshire &amp; the Humber]] )</f>
        <v>0</v>
      </c>
      <c r="X185" s="23">
        <f xml:space="preserve"> -- ( SUM( tblFilterRegion[[#This Row],[Incl for Lon]:[Incl for YH]] ) &gt; 0 )</f>
        <v>0</v>
      </c>
      <c r="Y185" s="23">
        <f xml:space="preserve"> -- ( tblFilterRegion[[#This Row],[Total in selected regions]] &gt; $N$10 )</f>
        <v>0</v>
      </c>
      <c r="Z185" s="24">
        <f xml:space="preserve"> IF( RegionMinimum = 0, 1, IF( $R$10 = $U$8, tblFilterRegion[[#This Row],[Include for region - any]], IF( $R$10 = $U$10, tblFilterRegion[[#This Row],[Include for region - total]], "CHECK" ) ) )</f>
        <v>1</v>
      </c>
      <c r="AA185" s="131" t="str" cm="1">
        <f t="array" ref="AA185" xml:space="preserve"> INDEX( VfM_Metrics_2023_Consol_Source[], $D185, AA$14 )</f>
        <v>West Midlands</v>
      </c>
    </row>
    <row r="186" spans="2:27" x14ac:dyDescent="0.2">
      <c r="B186" s="159" t="s" vm="171">
        <v>487</v>
      </c>
      <c r="C186" s="154" t="str" vm="241">
        <f xml:space="preserve"> INDEX( VfM_Metrics_2023_Consol_Source[RP_Code], MATCH( tblFilterRegion[[#This Row],[RP_Name]], VfM_Metrics_2023_Consol_Source[RP_Name], 0 ) )</f>
        <v>L4552</v>
      </c>
      <c r="D186" s="81">
        <f xml:space="preserve"> MATCH( tblFilterRegion[[#This Row],[RP_Code]], VfM_Metrics_2023_Consol_Source[RP_Code], 0 )</f>
        <v>171</v>
      </c>
      <c r="E186" s="22" cm="1">
        <f t="array" ref="E186" xml:space="preserve"> INDEX( VfM_Metrics_2023_Consol_Source[], $D186, E$14 )</f>
        <v>0.21369905956112853</v>
      </c>
      <c r="F186" s="22" cm="1">
        <f t="array" ref="F186" xml:space="preserve"> INDEX( VfM_Metrics_2023_Consol_Source[], $D186, F$14 )</f>
        <v>4.0658307210031351E-2</v>
      </c>
      <c r="G186" s="22" cm="1">
        <f t="array" ref="G186" xml:space="preserve"> INDEX( VfM_Metrics_2023_Consol_Source[], $D186, G$14 )</f>
        <v>5.2037617554858938E-3</v>
      </c>
      <c r="H186" s="22" cm="1">
        <f t="array" ref="H186" xml:space="preserve"> INDEX( VfM_Metrics_2023_Consol_Source[], $D186, H$14 )</f>
        <v>7.0799373040752345E-2</v>
      </c>
      <c r="I186" s="22" cm="1">
        <f t="array" ref="I186" xml:space="preserve"> INDEX( VfM_Metrics_2023_Consol_Source[], $D186, I$14 )</f>
        <v>1.3166144200626959E-2</v>
      </c>
      <c r="J186" s="22" cm="1">
        <f t="array" ref="J186" xml:space="preserve"> INDEX( VfM_Metrics_2023_Consol_Source[], $D186, J$14 )</f>
        <v>8.1818181818181825E-3</v>
      </c>
      <c r="K186" s="22" cm="1">
        <f t="array" ref="K186" xml:space="preserve"> INDEX( VfM_Metrics_2023_Consol_Source[], $D186, K$14 )</f>
        <v>6.4623824451410655E-2</v>
      </c>
      <c r="L186" s="22" cm="1">
        <f t="array" ref="L186" xml:space="preserve"> INDEX( VfM_Metrics_2023_Consol_Source[], $D186, L$14 )</f>
        <v>0.54451410658307209</v>
      </c>
      <c r="M186" s="22" cm="1">
        <f t="array" ref="M186" xml:space="preserve"> INDEX( VfM_Metrics_2023_Consol_Source[], $D186, M$14 )</f>
        <v>3.9153605015673984E-2</v>
      </c>
      <c r="N186" s="23">
        <f xml:space="preserve"> -- AND( tblFilterRegion[[#This Row],[London]] &gt;= $N$10, N$13 = "Yes" )</f>
        <v>0</v>
      </c>
      <c r="O186" s="23">
        <f xml:space="preserve"> -- AND( tblFilterRegion[[#This Row],[South East]] &gt;= $N$10, O$13 = "Yes" )</f>
        <v>0</v>
      </c>
      <c r="P186" s="23">
        <f xml:space="preserve"> -- AND( tblFilterRegion[[#This Row],[South West]] &gt;= $N$10, P$13 = "Yes" )</f>
        <v>0</v>
      </c>
      <c r="Q186" s="23">
        <f xml:space="preserve"> -- AND( tblFilterRegion[[#This Row],[East Midlands]] &gt;= $N$10, Q$13 = "Yes" )</f>
        <v>0</v>
      </c>
      <c r="R186" s="23">
        <f xml:space="preserve"> -- AND( tblFilterRegion[[#This Row],[West Midlands]] &gt;= $N$10, R$13 = "Yes" )</f>
        <v>0</v>
      </c>
      <c r="S186" s="23">
        <f xml:space="preserve"> -- AND( tblFilterRegion[[#This Row],[East of England]] &gt;= $N$10, S$13 = "Yes" )</f>
        <v>0</v>
      </c>
      <c r="T186" s="23">
        <f xml:space="preserve"> -- AND( tblFilterRegion[[#This Row],[North East]] &gt;= $N$10, T$13 = "Yes" )</f>
        <v>0</v>
      </c>
      <c r="U186" s="23">
        <f xml:space="preserve"> -- AND( tblFilterRegion[[#This Row],[North West]] &gt;= $N$10, U$13 = "Yes" )</f>
        <v>0</v>
      </c>
      <c r="V186" s="23">
        <f xml:space="preserve"> -- AND( tblFilterRegion[[#This Row],[Yorkshire &amp; the Humber]] &gt;= $N$10, V$13 = "Yes" )</f>
        <v>0</v>
      </c>
      <c r="W186" s="22">
        <f xml:space="preserve"> SUMIF( $E$13:$M$13, "Yes", tblFilterRegion[[#This Row],[London]:[Yorkshire &amp; the Humber]] )</f>
        <v>0</v>
      </c>
      <c r="X186" s="23">
        <f xml:space="preserve"> -- ( SUM( tblFilterRegion[[#This Row],[Incl for Lon]:[Incl for YH]] ) &gt; 0 )</f>
        <v>0</v>
      </c>
      <c r="Y186" s="23">
        <f xml:space="preserve"> -- ( tblFilterRegion[[#This Row],[Total in selected regions]] &gt; $N$10 )</f>
        <v>0</v>
      </c>
      <c r="Z186" s="24">
        <f xml:space="preserve"> IF( RegionMinimum = 0, 1, IF( $R$10 = $U$8, tblFilterRegion[[#This Row],[Include for region - any]], IF( $R$10 = $U$10, tblFilterRegion[[#This Row],[Include for region - total]], "CHECK" ) ) )</f>
        <v>1</v>
      </c>
      <c r="AA186" s="131" t="str" cm="1">
        <f t="array" ref="AA186" xml:space="preserve"> INDEX( VfM_Metrics_2023_Consol_Source[], $D186, AA$14 )</f>
        <v>North West</v>
      </c>
    </row>
    <row r="187" spans="2:27" x14ac:dyDescent="0.2">
      <c r="B187" s="159" t="s" vm="172">
        <v>489</v>
      </c>
      <c r="C187" s="154" t="str" vm="282">
        <f xml:space="preserve"> INDEX( VfM_Metrics_2023_Consol_Source[RP_Code], MATCH( tblFilterRegion[[#This Row],[RP_Name]], VfM_Metrics_2023_Consol_Source[RP_Name], 0 ) )</f>
        <v>LH4220</v>
      </c>
      <c r="D187" s="81">
        <f xml:space="preserve"> MATCH( tblFilterRegion[[#This Row],[RP_Code]], VfM_Metrics_2023_Consol_Source[RP_Code], 0 )</f>
        <v>172</v>
      </c>
      <c r="E187" s="22" cm="1">
        <f t="array" ref="E187" xml:space="preserve"> INDEX( VfM_Metrics_2023_Consol_Source[], $D187, E$14 )</f>
        <v>0</v>
      </c>
      <c r="F187" s="22" cm="1">
        <f t="array" ref="F187" xml:space="preserve"> INDEX( VfM_Metrics_2023_Consol_Source[], $D187, F$14 )</f>
        <v>0</v>
      </c>
      <c r="G187" s="22" cm="1">
        <f t="array" ref="G187" xml:space="preserve"> INDEX( VfM_Metrics_2023_Consol_Source[], $D187, G$14 )</f>
        <v>0</v>
      </c>
      <c r="H187" s="22" cm="1">
        <f t="array" ref="H187" xml:space="preserve"> INDEX( VfM_Metrics_2023_Consol_Source[], $D187, H$14 )</f>
        <v>0</v>
      </c>
      <c r="I187" s="22" cm="1">
        <f t="array" ref="I187" xml:space="preserve"> INDEX( VfM_Metrics_2023_Consol_Source[], $D187, I$14 )</f>
        <v>1</v>
      </c>
      <c r="J187" s="22" cm="1">
        <f t="array" ref="J187" xml:space="preserve"> INDEX( VfM_Metrics_2023_Consol_Source[], $D187, J$14 )</f>
        <v>0</v>
      </c>
      <c r="K187" s="22" cm="1">
        <f t="array" ref="K187" xml:space="preserve"> INDEX( VfM_Metrics_2023_Consol_Source[], $D187, K$14 )</f>
        <v>0</v>
      </c>
      <c r="L187" s="22" cm="1">
        <f t="array" ref="L187" xml:space="preserve"> INDEX( VfM_Metrics_2023_Consol_Source[], $D187, L$14 )</f>
        <v>0</v>
      </c>
      <c r="M187" s="22" cm="1">
        <f t="array" ref="M187" xml:space="preserve"> INDEX( VfM_Metrics_2023_Consol_Source[], $D187, M$14 )</f>
        <v>0</v>
      </c>
      <c r="N187" s="23">
        <f xml:space="preserve"> -- AND( tblFilterRegion[[#This Row],[London]] &gt;= $N$10, N$13 = "Yes" )</f>
        <v>0</v>
      </c>
      <c r="O187" s="23">
        <f xml:space="preserve"> -- AND( tblFilterRegion[[#This Row],[South East]] &gt;= $N$10, O$13 = "Yes" )</f>
        <v>0</v>
      </c>
      <c r="P187" s="23">
        <f xml:space="preserve"> -- AND( tblFilterRegion[[#This Row],[South West]] &gt;= $N$10, P$13 = "Yes" )</f>
        <v>0</v>
      </c>
      <c r="Q187" s="23">
        <f xml:space="preserve"> -- AND( tblFilterRegion[[#This Row],[East Midlands]] &gt;= $N$10, Q$13 = "Yes" )</f>
        <v>0</v>
      </c>
      <c r="R187" s="23">
        <f xml:space="preserve"> -- AND( tblFilterRegion[[#This Row],[West Midlands]] &gt;= $N$10, R$13 = "Yes" )</f>
        <v>0</v>
      </c>
      <c r="S187" s="23">
        <f xml:space="preserve"> -- AND( tblFilterRegion[[#This Row],[East of England]] &gt;= $N$10, S$13 = "Yes" )</f>
        <v>0</v>
      </c>
      <c r="T187" s="23">
        <f xml:space="preserve"> -- AND( tblFilterRegion[[#This Row],[North East]] &gt;= $N$10, T$13 = "Yes" )</f>
        <v>0</v>
      </c>
      <c r="U187" s="23">
        <f xml:space="preserve"> -- AND( tblFilterRegion[[#This Row],[North West]] &gt;= $N$10, U$13 = "Yes" )</f>
        <v>0</v>
      </c>
      <c r="V187" s="23">
        <f xml:space="preserve"> -- AND( tblFilterRegion[[#This Row],[Yorkshire &amp; the Humber]] &gt;= $N$10, V$13 = "Yes" )</f>
        <v>0</v>
      </c>
      <c r="W187" s="22">
        <f xml:space="preserve"> SUMIF( $E$13:$M$13, "Yes", tblFilterRegion[[#This Row],[London]:[Yorkshire &amp; the Humber]] )</f>
        <v>0</v>
      </c>
      <c r="X187" s="23">
        <f xml:space="preserve"> -- ( SUM( tblFilterRegion[[#This Row],[Incl for Lon]:[Incl for YH]] ) &gt; 0 )</f>
        <v>0</v>
      </c>
      <c r="Y187" s="23">
        <f xml:space="preserve"> -- ( tblFilterRegion[[#This Row],[Total in selected regions]] &gt; $N$10 )</f>
        <v>0</v>
      </c>
      <c r="Z187" s="24">
        <f xml:space="preserve"> IF( RegionMinimum = 0, 1, IF( $R$10 = $U$8, tblFilterRegion[[#This Row],[Include for region - any]], IF( $R$10 = $U$10, tblFilterRegion[[#This Row],[Include for region - total]], "CHECK" ) ) )</f>
        <v>1</v>
      </c>
      <c r="AA187" s="131" t="str" cm="1">
        <f t="array" ref="AA187" xml:space="preserve"> INDEX( VfM_Metrics_2023_Consol_Source[], $D187, AA$14 )</f>
        <v>West Midlands</v>
      </c>
    </row>
    <row r="188" spans="2:27" x14ac:dyDescent="0.2">
      <c r="B188" s="159" t="s" vm="173">
        <v>491</v>
      </c>
      <c r="C188" s="154" t="str" vm="260">
        <f xml:space="preserve"> INDEX( VfM_Metrics_2023_Consol_Source[RP_Code], MATCH( tblFilterRegion[[#This Row],[RP_Name]], VfM_Metrics_2023_Consol_Source[RP_Name], 0 ) )</f>
        <v>L4522</v>
      </c>
      <c r="D188" s="81">
        <f xml:space="preserve"> MATCH( tblFilterRegion[[#This Row],[RP_Code]], VfM_Metrics_2023_Consol_Source[RP_Code], 0 )</f>
        <v>173</v>
      </c>
      <c r="E188" s="22" cm="1">
        <f t="array" ref="E188" xml:space="preserve"> INDEX( VfM_Metrics_2023_Consol_Source[], $D188, E$14 )</f>
        <v>0</v>
      </c>
      <c r="F188" s="22" cm="1">
        <f t="array" ref="F188" xml:space="preserve"> INDEX( VfM_Metrics_2023_Consol_Source[], $D188, F$14 )</f>
        <v>0</v>
      </c>
      <c r="G188" s="22" cm="1">
        <f t="array" ref="G188" xml:space="preserve"> INDEX( VfM_Metrics_2023_Consol_Source[], $D188, G$14 )</f>
        <v>0</v>
      </c>
      <c r="H188" s="22" cm="1">
        <f t="array" ref="H188" xml:space="preserve"> INDEX( VfM_Metrics_2023_Consol_Source[], $D188, H$14 )</f>
        <v>0</v>
      </c>
      <c r="I188" s="22" cm="1">
        <f t="array" ref="I188" xml:space="preserve"> INDEX( VfM_Metrics_2023_Consol_Source[], $D188, I$14 )</f>
        <v>0</v>
      </c>
      <c r="J188" s="22" cm="1">
        <f t="array" ref="J188" xml:space="preserve"> INDEX( VfM_Metrics_2023_Consol_Source[], $D188, J$14 )</f>
        <v>2.8920122621319915E-5</v>
      </c>
      <c r="K188" s="22" cm="1">
        <f t="array" ref="K188" xml:space="preserve"> INDEX( VfM_Metrics_2023_Consol_Source[], $D188, K$14 )</f>
        <v>0.95390132454161602</v>
      </c>
      <c r="L188" s="22" cm="1">
        <f t="array" ref="L188" xml:space="preserve"> INDEX( VfM_Metrics_2023_Consol_Source[], $D188, L$14 )</f>
        <v>0</v>
      </c>
      <c r="M188" s="22" cm="1">
        <f t="array" ref="M188" xml:space="preserve"> INDEX( VfM_Metrics_2023_Consol_Source[], $D188, M$14 )</f>
        <v>4.6069755335762623E-2</v>
      </c>
      <c r="N188" s="23">
        <f xml:space="preserve"> -- AND( tblFilterRegion[[#This Row],[London]] &gt;= $N$10, N$13 = "Yes" )</f>
        <v>0</v>
      </c>
      <c r="O188" s="23">
        <f xml:space="preserve"> -- AND( tblFilterRegion[[#This Row],[South East]] &gt;= $N$10, O$13 = "Yes" )</f>
        <v>0</v>
      </c>
      <c r="P188" s="23">
        <f xml:space="preserve"> -- AND( tblFilterRegion[[#This Row],[South West]] &gt;= $N$10, P$13 = "Yes" )</f>
        <v>0</v>
      </c>
      <c r="Q188" s="23">
        <f xml:space="preserve"> -- AND( tblFilterRegion[[#This Row],[East Midlands]] &gt;= $N$10, Q$13 = "Yes" )</f>
        <v>0</v>
      </c>
      <c r="R188" s="23">
        <f xml:space="preserve"> -- AND( tblFilterRegion[[#This Row],[West Midlands]] &gt;= $N$10, R$13 = "Yes" )</f>
        <v>0</v>
      </c>
      <c r="S188" s="23">
        <f xml:space="preserve"> -- AND( tblFilterRegion[[#This Row],[East of England]] &gt;= $N$10, S$13 = "Yes" )</f>
        <v>0</v>
      </c>
      <c r="T188" s="23">
        <f xml:space="preserve"> -- AND( tblFilterRegion[[#This Row],[North East]] &gt;= $N$10, T$13 = "Yes" )</f>
        <v>0</v>
      </c>
      <c r="U188" s="23">
        <f xml:space="preserve"> -- AND( tblFilterRegion[[#This Row],[North West]] &gt;= $N$10, U$13 = "Yes" )</f>
        <v>0</v>
      </c>
      <c r="V188" s="23">
        <f xml:space="preserve"> -- AND( tblFilterRegion[[#This Row],[Yorkshire &amp; the Humber]] &gt;= $N$10, V$13 = "Yes" )</f>
        <v>0</v>
      </c>
      <c r="W188" s="22">
        <f xml:space="preserve"> SUMIF( $E$13:$M$13, "Yes", tblFilterRegion[[#This Row],[London]:[Yorkshire &amp; the Humber]] )</f>
        <v>0</v>
      </c>
      <c r="X188" s="23">
        <f xml:space="preserve"> -- ( SUM( tblFilterRegion[[#This Row],[Incl for Lon]:[Incl for YH]] ) &gt; 0 )</f>
        <v>0</v>
      </c>
      <c r="Y188" s="23">
        <f xml:space="preserve"> -- ( tblFilterRegion[[#This Row],[Total in selected regions]] &gt; $N$10 )</f>
        <v>0</v>
      </c>
      <c r="Z188" s="24">
        <f xml:space="preserve"> IF( RegionMinimum = 0, 1, IF( $R$10 = $U$8, tblFilterRegion[[#This Row],[Include for region - any]], IF( $R$10 = $U$10, tblFilterRegion[[#This Row],[Include for region - total]], "CHECK" ) ) )</f>
        <v>1</v>
      </c>
      <c r="AA188" s="131" t="str" cm="1">
        <f t="array" ref="AA188" xml:space="preserve"> INDEX( VfM_Metrics_2023_Consol_Source[], $D188, AA$14 )</f>
        <v>North East</v>
      </c>
    </row>
    <row r="189" spans="2:27" x14ac:dyDescent="0.2">
      <c r="B189" s="159" t="s" vm="174">
        <v>493</v>
      </c>
      <c r="C189" s="154" t="str" vm="319">
        <f xml:space="preserve"> INDEX( VfM_Metrics_2023_Consol_Source[RP_Code], MATCH( tblFilterRegion[[#This Row],[RP_Name]], VfM_Metrics_2023_Consol_Source[RP_Name], 0 ) )</f>
        <v>L4520</v>
      </c>
      <c r="D189" s="81">
        <f xml:space="preserve"> MATCH( tblFilterRegion[[#This Row],[RP_Code]], VfM_Metrics_2023_Consol_Source[RP_Code], 0 )</f>
        <v>174</v>
      </c>
      <c r="E189" s="22" cm="1">
        <f t="array" ref="E189" xml:space="preserve"> INDEX( VfM_Metrics_2023_Consol_Source[], $D189, E$14 )</f>
        <v>0</v>
      </c>
      <c r="F189" s="22" cm="1">
        <f t="array" ref="F189" xml:space="preserve"> INDEX( VfM_Metrics_2023_Consol_Source[], $D189, F$14 )</f>
        <v>0.14179258952597806</v>
      </c>
      <c r="G189" s="22" cm="1">
        <f t="array" ref="G189" xml:space="preserve"> INDEX( VfM_Metrics_2023_Consol_Source[], $D189, G$14 )</f>
        <v>0</v>
      </c>
      <c r="H189" s="22" cm="1">
        <f t="array" ref="H189" xml:space="preserve"> INDEX( VfM_Metrics_2023_Consol_Source[], $D189, H$14 )</f>
        <v>2.0699648105982198E-4</v>
      </c>
      <c r="I189" s="22" cm="1">
        <f t="array" ref="I189" xml:space="preserve"> INDEX( VfM_Metrics_2023_Consol_Source[], $D189, I$14 )</f>
        <v>0</v>
      </c>
      <c r="J189" s="22" cm="1">
        <f t="array" ref="J189" xml:space="preserve"> INDEX( VfM_Metrics_2023_Consol_Source[], $D189, J$14 )</f>
        <v>0.85800041399296212</v>
      </c>
      <c r="K189" s="22" cm="1">
        <f t="array" ref="K189" xml:space="preserve"> INDEX( VfM_Metrics_2023_Consol_Source[], $D189, K$14 )</f>
        <v>0</v>
      </c>
      <c r="L189" s="22" cm="1">
        <f t="array" ref="L189" xml:space="preserve"> INDEX( VfM_Metrics_2023_Consol_Source[], $D189, L$14 )</f>
        <v>0</v>
      </c>
      <c r="M189" s="22" cm="1">
        <f t="array" ref="M189" xml:space="preserve"> INDEX( VfM_Metrics_2023_Consol_Source[], $D189, M$14 )</f>
        <v>0</v>
      </c>
      <c r="N189" s="23">
        <f xml:space="preserve"> -- AND( tblFilterRegion[[#This Row],[London]] &gt;= $N$10, N$13 = "Yes" )</f>
        <v>0</v>
      </c>
      <c r="O189" s="23">
        <f xml:space="preserve"> -- AND( tblFilterRegion[[#This Row],[South East]] &gt;= $N$10, O$13 = "Yes" )</f>
        <v>0</v>
      </c>
      <c r="P189" s="23">
        <f xml:space="preserve"> -- AND( tblFilterRegion[[#This Row],[South West]] &gt;= $N$10, P$13 = "Yes" )</f>
        <v>0</v>
      </c>
      <c r="Q189" s="23">
        <f xml:space="preserve"> -- AND( tblFilterRegion[[#This Row],[East Midlands]] &gt;= $N$10, Q$13 = "Yes" )</f>
        <v>0</v>
      </c>
      <c r="R189" s="23">
        <f xml:space="preserve"> -- AND( tblFilterRegion[[#This Row],[West Midlands]] &gt;= $N$10, R$13 = "Yes" )</f>
        <v>0</v>
      </c>
      <c r="S189" s="23">
        <f xml:space="preserve"> -- AND( tblFilterRegion[[#This Row],[East of England]] &gt;= $N$10, S$13 = "Yes" )</f>
        <v>0</v>
      </c>
      <c r="T189" s="23">
        <f xml:space="preserve"> -- AND( tblFilterRegion[[#This Row],[North East]] &gt;= $N$10, T$13 = "Yes" )</f>
        <v>0</v>
      </c>
      <c r="U189" s="23">
        <f xml:space="preserve"> -- AND( tblFilterRegion[[#This Row],[North West]] &gt;= $N$10, U$13 = "Yes" )</f>
        <v>0</v>
      </c>
      <c r="V189" s="23">
        <f xml:space="preserve"> -- AND( tblFilterRegion[[#This Row],[Yorkshire &amp; the Humber]] &gt;= $N$10, V$13 = "Yes" )</f>
        <v>0</v>
      </c>
      <c r="W189" s="22">
        <f xml:space="preserve"> SUMIF( $E$13:$M$13, "Yes", tblFilterRegion[[#This Row],[London]:[Yorkshire &amp; the Humber]] )</f>
        <v>0</v>
      </c>
      <c r="X189" s="23">
        <f xml:space="preserve"> -- ( SUM( tblFilterRegion[[#This Row],[Incl for Lon]:[Incl for YH]] ) &gt; 0 )</f>
        <v>0</v>
      </c>
      <c r="Y189" s="23">
        <f xml:space="preserve"> -- ( tblFilterRegion[[#This Row],[Total in selected regions]] &gt; $N$10 )</f>
        <v>0</v>
      </c>
      <c r="Z189" s="24">
        <f xml:space="preserve"> IF( RegionMinimum = 0, 1, IF( $R$10 = $U$8, tblFilterRegion[[#This Row],[Include for region - any]], IF( $R$10 = $U$10, tblFilterRegion[[#This Row],[Include for region - total]], "CHECK" ) ) )</f>
        <v>1</v>
      </c>
      <c r="AA189" s="131" t="str" cm="1">
        <f t="array" ref="AA189" xml:space="preserve"> INDEX( VfM_Metrics_2023_Consol_Source[], $D189, AA$14 )</f>
        <v>East of England</v>
      </c>
    </row>
    <row r="190" spans="2:27" x14ac:dyDescent="0.2">
      <c r="B190" s="159" t="s" vm="175">
        <v>495</v>
      </c>
      <c r="C190" s="154" t="str" vm="249">
        <f xml:space="preserve"> INDEX( VfM_Metrics_2023_Consol_Source[RP_Code], MATCH( tblFilterRegion[[#This Row],[RP_Name]], VfM_Metrics_2023_Consol_Source[RP_Name], 0 ) )</f>
        <v>L4464</v>
      </c>
      <c r="D190" s="81">
        <f xml:space="preserve"> MATCH( tblFilterRegion[[#This Row],[RP_Code]], VfM_Metrics_2023_Consol_Source[RP_Code], 0 )</f>
        <v>175</v>
      </c>
      <c r="E190" s="22" cm="1">
        <f t="array" ref="E190" xml:space="preserve"> INDEX( VfM_Metrics_2023_Consol_Source[], $D190, E$14 )</f>
        <v>0</v>
      </c>
      <c r="F190" s="22" cm="1">
        <f t="array" ref="F190" xml:space="preserve"> INDEX( VfM_Metrics_2023_Consol_Source[], $D190, F$14 )</f>
        <v>0</v>
      </c>
      <c r="G190" s="22" cm="1">
        <f t="array" ref="G190" xml:space="preserve"> INDEX( VfM_Metrics_2023_Consol_Source[], $D190, G$14 )</f>
        <v>0</v>
      </c>
      <c r="H190" s="22" cm="1">
        <f t="array" ref="H190" xml:space="preserve"> INDEX( VfM_Metrics_2023_Consol_Source[], $D190, H$14 )</f>
        <v>9.0120160213618163E-3</v>
      </c>
      <c r="I190" s="22" cm="1">
        <f t="array" ref="I190" xml:space="preserve"> INDEX( VfM_Metrics_2023_Consol_Source[], $D190, I$14 )</f>
        <v>0</v>
      </c>
      <c r="J190" s="22" cm="1">
        <f t="array" ref="J190" xml:space="preserve"> INDEX( VfM_Metrics_2023_Consol_Source[], $D190, J$14 )</f>
        <v>0</v>
      </c>
      <c r="K190" s="22" cm="1">
        <f t="array" ref="K190" xml:space="preserve"> INDEX( VfM_Metrics_2023_Consol_Source[], $D190, K$14 )</f>
        <v>0</v>
      </c>
      <c r="L190" s="22" cm="1">
        <f t="array" ref="L190" xml:space="preserve"> INDEX( VfM_Metrics_2023_Consol_Source[], $D190, L$14 )</f>
        <v>0.41722296395193592</v>
      </c>
      <c r="M190" s="22" cm="1">
        <f t="array" ref="M190" xml:space="preserve"> INDEX( VfM_Metrics_2023_Consol_Source[], $D190, M$14 )</f>
        <v>0.57376502002670227</v>
      </c>
      <c r="N190" s="23">
        <f xml:space="preserve"> -- AND( tblFilterRegion[[#This Row],[London]] &gt;= $N$10, N$13 = "Yes" )</f>
        <v>0</v>
      </c>
      <c r="O190" s="23">
        <f xml:space="preserve"> -- AND( tblFilterRegion[[#This Row],[South East]] &gt;= $N$10, O$13 = "Yes" )</f>
        <v>0</v>
      </c>
      <c r="P190" s="23">
        <f xml:space="preserve"> -- AND( tblFilterRegion[[#This Row],[South West]] &gt;= $N$10, P$13 = "Yes" )</f>
        <v>0</v>
      </c>
      <c r="Q190" s="23">
        <f xml:space="preserve"> -- AND( tblFilterRegion[[#This Row],[East Midlands]] &gt;= $N$10, Q$13 = "Yes" )</f>
        <v>0</v>
      </c>
      <c r="R190" s="23">
        <f xml:space="preserve"> -- AND( tblFilterRegion[[#This Row],[West Midlands]] &gt;= $N$10, R$13 = "Yes" )</f>
        <v>0</v>
      </c>
      <c r="S190" s="23">
        <f xml:space="preserve"> -- AND( tblFilterRegion[[#This Row],[East of England]] &gt;= $N$10, S$13 = "Yes" )</f>
        <v>0</v>
      </c>
      <c r="T190" s="23">
        <f xml:space="preserve"> -- AND( tblFilterRegion[[#This Row],[North East]] &gt;= $N$10, T$13 = "Yes" )</f>
        <v>0</v>
      </c>
      <c r="U190" s="23">
        <f xml:space="preserve"> -- AND( tblFilterRegion[[#This Row],[North West]] &gt;= $N$10, U$13 = "Yes" )</f>
        <v>0</v>
      </c>
      <c r="V190" s="23">
        <f xml:space="preserve"> -- AND( tblFilterRegion[[#This Row],[Yorkshire &amp; the Humber]] &gt;= $N$10, V$13 = "Yes" )</f>
        <v>0</v>
      </c>
      <c r="W190" s="22">
        <f xml:space="preserve"> SUMIF( $E$13:$M$13, "Yes", tblFilterRegion[[#This Row],[London]:[Yorkshire &amp; the Humber]] )</f>
        <v>0</v>
      </c>
      <c r="X190" s="23">
        <f xml:space="preserve"> -- ( SUM( tblFilterRegion[[#This Row],[Incl for Lon]:[Incl for YH]] ) &gt; 0 )</f>
        <v>0</v>
      </c>
      <c r="Y190" s="23">
        <f xml:space="preserve"> -- ( tblFilterRegion[[#This Row],[Total in selected regions]] &gt; $N$10 )</f>
        <v>0</v>
      </c>
      <c r="Z190" s="24">
        <f xml:space="preserve"> IF( RegionMinimum = 0, 1, IF( $R$10 = $U$8, tblFilterRegion[[#This Row],[Include for region - any]], IF( $R$10 = $U$10, tblFilterRegion[[#This Row],[Include for region - total]], "CHECK" ) ) )</f>
        <v>1</v>
      </c>
      <c r="AA190" s="131" t="str" cm="1">
        <f t="array" ref="AA190" xml:space="preserve"> INDEX( VfM_Metrics_2023_Consol_Source[], $D190, AA$14 )</f>
        <v>Yorkshire &amp; the Humber</v>
      </c>
    </row>
    <row r="191" spans="2:27" x14ac:dyDescent="0.2">
      <c r="B191" s="159" t="s" vm="176">
        <v>497</v>
      </c>
      <c r="C191" s="154" t="str" vm="259">
        <f xml:space="preserve"> INDEX( VfM_Metrics_2023_Consol_Source[RP_Code], MATCH( tblFilterRegion[[#This Row],[RP_Name]], VfM_Metrics_2023_Consol_Source[RP_Name], 0 ) )</f>
        <v>5065</v>
      </c>
      <c r="D191" s="81">
        <f xml:space="preserve"> MATCH( tblFilterRegion[[#This Row],[RP_Code]], VfM_Metrics_2023_Consol_Source[RP_Code], 0 )</f>
        <v>176</v>
      </c>
      <c r="E191" s="22" cm="1">
        <f t="array" ref="E191" xml:space="preserve"> INDEX( VfM_Metrics_2023_Consol_Source[], $D191, E$14 )</f>
        <v>0</v>
      </c>
      <c r="F191" s="22" cm="1">
        <f t="array" ref="F191" xml:space="preserve"> INDEX( VfM_Metrics_2023_Consol_Source[], $D191, F$14 )</f>
        <v>0</v>
      </c>
      <c r="G191" s="22" cm="1">
        <f t="array" ref="G191" xml:space="preserve"> INDEX( VfM_Metrics_2023_Consol_Source[], $D191, G$14 )</f>
        <v>0</v>
      </c>
      <c r="H191" s="22" cm="1">
        <f t="array" ref="H191" xml:space="preserve"> INDEX( VfM_Metrics_2023_Consol_Source[], $D191, H$14 )</f>
        <v>0</v>
      </c>
      <c r="I191" s="22" cm="1">
        <f t="array" ref="I191" xml:space="preserve"> INDEX( VfM_Metrics_2023_Consol_Source[], $D191, I$14 )</f>
        <v>0</v>
      </c>
      <c r="J191" s="22" cm="1">
        <f t="array" ref="J191" xml:space="preserve"> INDEX( VfM_Metrics_2023_Consol_Source[], $D191, J$14 )</f>
        <v>0</v>
      </c>
      <c r="K191" s="22" cm="1">
        <f t="array" ref="K191" xml:space="preserve"> INDEX( VfM_Metrics_2023_Consol_Source[], $D191, K$14 )</f>
        <v>0</v>
      </c>
      <c r="L191" s="22" cm="1">
        <f t="array" ref="L191" xml:space="preserve"> INDEX( VfM_Metrics_2023_Consol_Source[], $D191, L$14 )</f>
        <v>1</v>
      </c>
      <c r="M191" s="22" cm="1">
        <f t="array" ref="M191" xml:space="preserve"> INDEX( VfM_Metrics_2023_Consol_Source[], $D191, M$14 )</f>
        <v>0</v>
      </c>
      <c r="N191" s="23">
        <f xml:space="preserve"> -- AND( tblFilterRegion[[#This Row],[London]] &gt;= $N$10, N$13 = "Yes" )</f>
        <v>0</v>
      </c>
      <c r="O191" s="23">
        <f xml:space="preserve"> -- AND( tblFilterRegion[[#This Row],[South East]] &gt;= $N$10, O$13 = "Yes" )</f>
        <v>0</v>
      </c>
      <c r="P191" s="23">
        <f xml:space="preserve"> -- AND( tblFilterRegion[[#This Row],[South West]] &gt;= $N$10, P$13 = "Yes" )</f>
        <v>0</v>
      </c>
      <c r="Q191" s="23">
        <f xml:space="preserve"> -- AND( tblFilterRegion[[#This Row],[East Midlands]] &gt;= $N$10, Q$13 = "Yes" )</f>
        <v>0</v>
      </c>
      <c r="R191" s="23">
        <f xml:space="preserve"> -- AND( tblFilterRegion[[#This Row],[West Midlands]] &gt;= $N$10, R$13 = "Yes" )</f>
        <v>0</v>
      </c>
      <c r="S191" s="23">
        <f xml:space="preserve"> -- AND( tblFilterRegion[[#This Row],[East of England]] &gt;= $N$10, S$13 = "Yes" )</f>
        <v>0</v>
      </c>
      <c r="T191" s="23">
        <f xml:space="preserve"> -- AND( tblFilterRegion[[#This Row],[North East]] &gt;= $N$10, T$13 = "Yes" )</f>
        <v>0</v>
      </c>
      <c r="U191" s="23">
        <f xml:space="preserve"> -- AND( tblFilterRegion[[#This Row],[North West]] &gt;= $N$10, U$13 = "Yes" )</f>
        <v>0</v>
      </c>
      <c r="V191" s="23">
        <f xml:space="preserve"> -- AND( tblFilterRegion[[#This Row],[Yorkshire &amp; the Humber]] &gt;= $N$10, V$13 = "Yes" )</f>
        <v>0</v>
      </c>
      <c r="W191" s="22">
        <f xml:space="preserve"> SUMIF( $E$13:$M$13, "Yes", tblFilterRegion[[#This Row],[London]:[Yorkshire &amp; the Humber]] )</f>
        <v>0</v>
      </c>
      <c r="X191" s="23">
        <f xml:space="preserve"> -- ( SUM( tblFilterRegion[[#This Row],[Incl for Lon]:[Incl for YH]] ) &gt; 0 )</f>
        <v>0</v>
      </c>
      <c r="Y191" s="23">
        <f xml:space="preserve"> -- ( tblFilterRegion[[#This Row],[Total in selected regions]] &gt; $N$10 )</f>
        <v>0</v>
      </c>
      <c r="Z191" s="24">
        <f xml:space="preserve"> IF( RegionMinimum = 0, 1, IF( $R$10 = $U$8, tblFilterRegion[[#This Row],[Include for region - any]], IF( $R$10 = $U$10, tblFilterRegion[[#This Row],[Include for region - total]], "CHECK" ) ) )</f>
        <v>1</v>
      </c>
      <c r="AA191" s="131" t="str" cm="1">
        <f t="array" ref="AA191" xml:space="preserve"> INDEX( VfM_Metrics_2023_Consol_Source[], $D191, AA$14 )</f>
        <v>North West</v>
      </c>
    </row>
    <row r="192" spans="2:27" x14ac:dyDescent="0.2">
      <c r="B192" s="159" t="s" vm="177">
        <v>499</v>
      </c>
      <c r="C192" s="154" t="str" vm="203">
        <f xml:space="preserve"> INDEX( VfM_Metrics_2023_Consol_Source[RP_Code], MATCH( tblFilterRegion[[#This Row],[RP_Name]], VfM_Metrics_2023_Consol_Source[RP_Name], 0 ) )</f>
        <v>L4260</v>
      </c>
      <c r="D192" s="81">
        <f xml:space="preserve"> MATCH( tblFilterRegion[[#This Row],[RP_Code]], VfM_Metrics_2023_Consol_Source[RP_Code], 0 )</f>
        <v>177</v>
      </c>
      <c r="E192" s="22" cm="1">
        <f t="array" ref="E192" xml:space="preserve"> INDEX( VfM_Metrics_2023_Consol_Source[], $D192, E$14 )</f>
        <v>1</v>
      </c>
      <c r="F192" s="22" cm="1">
        <f t="array" ref="F192" xml:space="preserve"> INDEX( VfM_Metrics_2023_Consol_Source[], $D192, F$14 )</f>
        <v>0</v>
      </c>
      <c r="G192" s="22" cm="1">
        <f t="array" ref="G192" xml:space="preserve"> INDEX( VfM_Metrics_2023_Consol_Source[], $D192, G$14 )</f>
        <v>0</v>
      </c>
      <c r="H192" s="22" cm="1">
        <f t="array" ref="H192" xml:space="preserve"> INDEX( VfM_Metrics_2023_Consol_Source[], $D192, H$14 )</f>
        <v>0</v>
      </c>
      <c r="I192" s="22" cm="1">
        <f t="array" ref="I192" xml:space="preserve"> INDEX( VfM_Metrics_2023_Consol_Source[], $D192, I$14 )</f>
        <v>0</v>
      </c>
      <c r="J192" s="22" cm="1">
        <f t="array" ref="J192" xml:space="preserve"> INDEX( VfM_Metrics_2023_Consol_Source[], $D192, J$14 )</f>
        <v>0</v>
      </c>
      <c r="K192" s="22" cm="1">
        <f t="array" ref="K192" xml:space="preserve"> INDEX( VfM_Metrics_2023_Consol_Source[], $D192, K$14 )</f>
        <v>0</v>
      </c>
      <c r="L192" s="22" cm="1">
        <f t="array" ref="L192" xml:space="preserve"> INDEX( VfM_Metrics_2023_Consol_Source[], $D192, L$14 )</f>
        <v>0</v>
      </c>
      <c r="M192" s="22" cm="1">
        <f t="array" ref="M192" xml:space="preserve"> INDEX( VfM_Metrics_2023_Consol_Source[], $D192, M$14 )</f>
        <v>0</v>
      </c>
      <c r="N192" s="23">
        <f xml:space="preserve"> -- AND( tblFilterRegion[[#This Row],[London]] &gt;= $N$10, N$13 = "Yes" )</f>
        <v>0</v>
      </c>
      <c r="O192" s="23">
        <f xml:space="preserve"> -- AND( tblFilterRegion[[#This Row],[South East]] &gt;= $N$10, O$13 = "Yes" )</f>
        <v>0</v>
      </c>
      <c r="P192" s="23">
        <f xml:space="preserve"> -- AND( tblFilterRegion[[#This Row],[South West]] &gt;= $N$10, P$13 = "Yes" )</f>
        <v>0</v>
      </c>
      <c r="Q192" s="23">
        <f xml:space="preserve"> -- AND( tblFilterRegion[[#This Row],[East Midlands]] &gt;= $N$10, Q$13 = "Yes" )</f>
        <v>0</v>
      </c>
      <c r="R192" s="23">
        <f xml:space="preserve"> -- AND( tblFilterRegion[[#This Row],[West Midlands]] &gt;= $N$10, R$13 = "Yes" )</f>
        <v>0</v>
      </c>
      <c r="S192" s="23">
        <f xml:space="preserve"> -- AND( tblFilterRegion[[#This Row],[East of England]] &gt;= $N$10, S$13 = "Yes" )</f>
        <v>0</v>
      </c>
      <c r="T192" s="23">
        <f xml:space="preserve"> -- AND( tblFilterRegion[[#This Row],[North East]] &gt;= $N$10, T$13 = "Yes" )</f>
        <v>0</v>
      </c>
      <c r="U192" s="23">
        <f xml:space="preserve"> -- AND( tblFilterRegion[[#This Row],[North West]] &gt;= $N$10, U$13 = "Yes" )</f>
        <v>0</v>
      </c>
      <c r="V192" s="23">
        <f xml:space="preserve"> -- AND( tblFilterRegion[[#This Row],[Yorkshire &amp; the Humber]] &gt;= $N$10, V$13 = "Yes" )</f>
        <v>0</v>
      </c>
      <c r="W192" s="22">
        <f xml:space="preserve"> SUMIF( $E$13:$M$13, "Yes", tblFilterRegion[[#This Row],[London]:[Yorkshire &amp; the Humber]] )</f>
        <v>0</v>
      </c>
      <c r="X192" s="23">
        <f xml:space="preserve"> -- ( SUM( tblFilterRegion[[#This Row],[Incl for Lon]:[Incl for YH]] ) &gt; 0 )</f>
        <v>0</v>
      </c>
      <c r="Y192" s="23">
        <f xml:space="preserve"> -- ( tblFilterRegion[[#This Row],[Total in selected regions]] &gt; $N$10 )</f>
        <v>0</v>
      </c>
      <c r="Z192" s="24">
        <f xml:space="preserve"> IF( RegionMinimum = 0, 1, IF( $R$10 = $U$8, tblFilterRegion[[#This Row],[Include for region - any]], IF( $R$10 = $U$10, tblFilterRegion[[#This Row],[Include for region - total]], "CHECK" ) ) )</f>
        <v>1</v>
      </c>
      <c r="AA192" s="131" t="str" cm="1">
        <f t="array" ref="AA192" xml:space="preserve"> INDEX( VfM_Metrics_2023_Consol_Source[], $D192, AA$14 )</f>
        <v>London</v>
      </c>
    </row>
    <row r="193" spans="2:27" x14ac:dyDescent="0.2">
      <c r="B193" s="159" t="s" vm="178">
        <v>501</v>
      </c>
      <c r="C193" s="154" t="str" vm="386">
        <f xml:space="preserve"> INDEX( VfM_Metrics_2023_Consol_Source[RP_Code], MATCH( tblFilterRegion[[#This Row],[RP_Name]], VfM_Metrics_2023_Consol_Source[RP_Name], 0 ) )</f>
        <v>L4311</v>
      </c>
      <c r="D193" s="81">
        <f xml:space="preserve"> MATCH( tblFilterRegion[[#This Row],[RP_Code]], VfM_Metrics_2023_Consol_Source[RP_Code], 0 )</f>
        <v>178</v>
      </c>
      <c r="E193" s="22" cm="1">
        <f t="array" ref="E193" xml:space="preserve"> INDEX( VfM_Metrics_2023_Consol_Source[], $D193, E$14 )</f>
        <v>0</v>
      </c>
      <c r="F193" s="22" cm="1">
        <f t="array" ref="F193" xml:space="preserve"> INDEX( VfM_Metrics_2023_Consol_Source[], $D193, F$14 )</f>
        <v>0</v>
      </c>
      <c r="G193" s="22" cm="1">
        <f t="array" ref="G193" xml:space="preserve"> INDEX( VfM_Metrics_2023_Consol_Source[], $D193, G$14 )</f>
        <v>0</v>
      </c>
      <c r="H193" s="22" cm="1">
        <f t="array" ref="H193" xml:space="preserve"> INDEX( VfM_Metrics_2023_Consol_Source[], $D193, H$14 )</f>
        <v>8.6536988819114716E-2</v>
      </c>
      <c r="I193" s="22" cm="1">
        <f t="array" ref="I193" xml:space="preserve"> INDEX( VfM_Metrics_2023_Consol_Source[], $D193, I$14 )</f>
        <v>0.91346301118088524</v>
      </c>
      <c r="J193" s="22" cm="1">
        <f t="array" ref="J193" xml:space="preserve"> INDEX( VfM_Metrics_2023_Consol_Source[], $D193, J$14 )</f>
        <v>0</v>
      </c>
      <c r="K193" s="22" cm="1">
        <f t="array" ref="K193" xml:space="preserve"> INDEX( VfM_Metrics_2023_Consol_Source[], $D193, K$14 )</f>
        <v>0</v>
      </c>
      <c r="L193" s="22" cm="1">
        <f t="array" ref="L193" xml:space="preserve"> INDEX( VfM_Metrics_2023_Consol_Source[], $D193, L$14 )</f>
        <v>0</v>
      </c>
      <c r="M193" s="22" cm="1">
        <f t="array" ref="M193" xml:space="preserve"> INDEX( VfM_Metrics_2023_Consol_Source[], $D193, M$14 )</f>
        <v>0</v>
      </c>
      <c r="N193" s="23">
        <f xml:space="preserve"> -- AND( tblFilterRegion[[#This Row],[London]] &gt;= $N$10, N$13 = "Yes" )</f>
        <v>0</v>
      </c>
      <c r="O193" s="23">
        <f xml:space="preserve"> -- AND( tblFilterRegion[[#This Row],[South East]] &gt;= $N$10, O$13 = "Yes" )</f>
        <v>0</v>
      </c>
      <c r="P193" s="23">
        <f xml:space="preserve"> -- AND( tblFilterRegion[[#This Row],[South West]] &gt;= $N$10, P$13 = "Yes" )</f>
        <v>0</v>
      </c>
      <c r="Q193" s="23">
        <f xml:space="preserve"> -- AND( tblFilterRegion[[#This Row],[East Midlands]] &gt;= $N$10, Q$13 = "Yes" )</f>
        <v>0</v>
      </c>
      <c r="R193" s="23">
        <f xml:space="preserve"> -- AND( tblFilterRegion[[#This Row],[West Midlands]] &gt;= $N$10, R$13 = "Yes" )</f>
        <v>0</v>
      </c>
      <c r="S193" s="23">
        <f xml:space="preserve"> -- AND( tblFilterRegion[[#This Row],[East of England]] &gt;= $N$10, S$13 = "Yes" )</f>
        <v>0</v>
      </c>
      <c r="T193" s="23">
        <f xml:space="preserve"> -- AND( tblFilterRegion[[#This Row],[North East]] &gt;= $N$10, T$13 = "Yes" )</f>
        <v>0</v>
      </c>
      <c r="U193" s="23">
        <f xml:space="preserve"> -- AND( tblFilterRegion[[#This Row],[North West]] &gt;= $N$10, U$13 = "Yes" )</f>
        <v>0</v>
      </c>
      <c r="V193" s="23">
        <f xml:space="preserve"> -- AND( tblFilterRegion[[#This Row],[Yorkshire &amp; the Humber]] &gt;= $N$10, V$13 = "Yes" )</f>
        <v>0</v>
      </c>
      <c r="W193" s="22">
        <f xml:space="preserve"> SUMIF( $E$13:$M$13, "Yes", tblFilterRegion[[#This Row],[London]:[Yorkshire &amp; the Humber]] )</f>
        <v>0</v>
      </c>
      <c r="X193" s="23">
        <f xml:space="preserve"> -- ( SUM( tblFilterRegion[[#This Row],[Incl for Lon]:[Incl for YH]] ) &gt; 0 )</f>
        <v>0</v>
      </c>
      <c r="Y193" s="23">
        <f xml:space="preserve"> -- ( tblFilterRegion[[#This Row],[Total in selected regions]] &gt; $N$10 )</f>
        <v>0</v>
      </c>
      <c r="Z193" s="24">
        <f xml:space="preserve"> IF( RegionMinimum = 0, 1, IF( $R$10 = $U$8, tblFilterRegion[[#This Row],[Include for region - any]], IF( $R$10 = $U$10, tblFilterRegion[[#This Row],[Include for region - total]], "CHECK" ) ) )</f>
        <v>1</v>
      </c>
      <c r="AA193" s="131" t="str" cm="1">
        <f t="array" ref="AA193" xml:space="preserve"> INDEX( VfM_Metrics_2023_Consol_Source[], $D193, AA$14 )</f>
        <v>West Midlands</v>
      </c>
    </row>
    <row r="194" spans="2:27" x14ac:dyDescent="0.2">
      <c r="B194" s="159" t="s" vm="179">
        <v>503</v>
      </c>
      <c r="C194" s="154" t="str" vm="305">
        <f xml:space="preserve"> INDEX( VfM_Metrics_2023_Consol_Source[RP_Code], MATCH( tblFilterRegion[[#This Row],[RP_Name]], VfM_Metrics_2023_Consol_Source[RP_Name], 0 ) )</f>
        <v>L0979</v>
      </c>
      <c r="D194" s="81">
        <f xml:space="preserve"> MATCH( tblFilterRegion[[#This Row],[RP_Code]], VfM_Metrics_2023_Consol_Source[RP_Code], 0 )</f>
        <v>179</v>
      </c>
      <c r="E194" s="22" cm="1">
        <f t="array" ref="E194" xml:space="preserve"> INDEX( VfM_Metrics_2023_Consol_Source[], $D194, E$14 )</f>
        <v>0</v>
      </c>
      <c r="F194" s="22" cm="1">
        <f t="array" ref="F194" xml:space="preserve"> INDEX( VfM_Metrics_2023_Consol_Source[], $D194, F$14 )</f>
        <v>0</v>
      </c>
      <c r="G194" s="22" cm="1">
        <f t="array" ref="G194" xml:space="preserve"> INDEX( VfM_Metrics_2023_Consol_Source[], $D194, G$14 )</f>
        <v>0</v>
      </c>
      <c r="H194" s="22" cm="1">
        <f t="array" ref="H194" xml:space="preserve"> INDEX( VfM_Metrics_2023_Consol_Source[], $D194, H$14 )</f>
        <v>0.11672025723472669</v>
      </c>
      <c r="I194" s="22" cm="1">
        <f t="array" ref="I194" xml:space="preserve"> INDEX( VfM_Metrics_2023_Consol_Source[], $D194, I$14 )</f>
        <v>0.88327974276527332</v>
      </c>
      <c r="J194" s="22" cm="1">
        <f t="array" ref="J194" xml:space="preserve"> INDEX( VfM_Metrics_2023_Consol_Source[], $D194, J$14 )</f>
        <v>0</v>
      </c>
      <c r="K194" s="22" cm="1">
        <f t="array" ref="K194" xml:space="preserve"> INDEX( VfM_Metrics_2023_Consol_Source[], $D194, K$14 )</f>
        <v>0</v>
      </c>
      <c r="L194" s="22" cm="1">
        <f t="array" ref="L194" xml:space="preserve"> INDEX( VfM_Metrics_2023_Consol_Source[], $D194, L$14 )</f>
        <v>0</v>
      </c>
      <c r="M194" s="22" cm="1">
        <f t="array" ref="M194" xml:space="preserve"> INDEX( VfM_Metrics_2023_Consol_Source[], $D194, M$14 )</f>
        <v>0</v>
      </c>
      <c r="N194" s="23">
        <f xml:space="preserve"> -- AND( tblFilterRegion[[#This Row],[London]] &gt;= $N$10, N$13 = "Yes" )</f>
        <v>0</v>
      </c>
      <c r="O194" s="23">
        <f xml:space="preserve"> -- AND( tblFilterRegion[[#This Row],[South East]] &gt;= $N$10, O$13 = "Yes" )</f>
        <v>0</v>
      </c>
      <c r="P194" s="23">
        <f xml:space="preserve"> -- AND( tblFilterRegion[[#This Row],[South West]] &gt;= $N$10, P$13 = "Yes" )</f>
        <v>0</v>
      </c>
      <c r="Q194" s="23">
        <f xml:space="preserve"> -- AND( tblFilterRegion[[#This Row],[East Midlands]] &gt;= $N$10, Q$13 = "Yes" )</f>
        <v>0</v>
      </c>
      <c r="R194" s="23">
        <f xml:space="preserve"> -- AND( tblFilterRegion[[#This Row],[West Midlands]] &gt;= $N$10, R$13 = "Yes" )</f>
        <v>0</v>
      </c>
      <c r="S194" s="23">
        <f xml:space="preserve"> -- AND( tblFilterRegion[[#This Row],[East of England]] &gt;= $N$10, S$13 = "Yes" )</f>
        <v>0</v>
      </c>
      <c r="T194" s="23">
        <f xml:space="preserve"> -- AND( tblFilterRegion[[#This Row],[North East]] &gt;= $N$10, T$13 = "Yes" )</f>
        <v>0</v>
      </c>
      <c r="U194" s="23">
        <f xml:space="preserve"> -- AND( tblFilterRegion[[#This Row],[North West]] &gt;= $N$10, U$13 = "Yes" )</f>
        <v>0</v>
      </c>
      <c r="V194" s="23">
        <f xml:space="preserve"> -- AND( tblFilterRegion[[#This Row],[Yorkshire &amp; the Humber]] &gt;= $N$10, V$13 = "Yes" )</f>
        <v>0</v>
      </c>
      <c r="W194" s="22">
        <f xml:space="preserve"> SUMIF( $E$13:$M$13, "Yes", tblFilterRegion[[#This Row],[London]:[Yorkshire &amp; the Humber]] )</f>
        <v>0</v>
      </c>
      <c r="X194" s="23">
        <f xml:space="preserve"> -- ( SUM( tblFilterRegion[[#This Row],[Incl for Lon]:[Incl for YH]] ) &gt; 0 )</f>
        <v>0</v>
      </c>
      <c r="Y194" s="23">
        <f xml:space="preserve"> -- ( tblFilterRegion[[#This Row],[Total in selected regions]] &gt; $N$10 )</f>
        <v>0</v>
      </c>
      <c r="Z194" s="24">
        <f xml:space="preserve"> IF( RegionMinimum = 0, 1, IF( $R$10 = $U$8, tblFilterRegion[[#This Row],[Include for region - any]], IF( $R$10 = $U$10, tblFilterRegion[[#This Row],[Include for region - total]], "CHECK" ) ) )</f>
        <v>1</v>
      </c>
      <c r="AA194" s="131" t="str" cm="1">
        <f t="array" ref="AA194" xml:space="preserve"> INDEX( VfM_Metrics_2023_Consol_Source[], $D194, AA$14 )</f>
        <v>West Midlands</v>
      </c>
    </row>
    <row r="195" spans="2:27" x14ac:dyDescent="0.2">
      <c r="B195" s="159" t="s" vm="180">
        <v>505</v>
      </c>
      <c r="C195" s="154" t="str" vm="227">
        <f xml:space="preserve"> INDEX( VfM_Metrics_2023_Consol_Source[RP_Code], MATCH( tblFilterRegion[[#This Row],[RP_Name]], VfM_Metrics_2023_Consol_Source[RP_Name], 0 ) )</f>
        <v>L3808</v>
      </c>
      <c r="D195" s="81">
        <f xml:space="preserve"> MATCH( tblFilterRegion[[#This Row],[RP_Code]], VfM_Metrics_2023_Consol_Source[RP_Code], 0 )</f>
        <v>180</v>
      </c>
      <c r="E195" s="22" cm="1">
        <f t="array" ref="E195" xml:space="preserve"> INDEX( VfM_Metrics_2023_Consol_Source[], $D195, E$14 )</f>
        <v>0</v>
      </c>
      <c r="F195" s="22" cm="1">
        <f t="array" ref="F195" xml:space="preserve"> INDEX( VfM_Metrics_2023_Consol_Source[], $D195, F$14 )</f>
        <v>0</v>
      </c>
      <c r="G195" s="22" cm="1">
        <f t="array" ref="G195" xml:space="preserve"> INDEX( VfM_Metrics_2023_Consol_Source[], $D195, G$14 )</f>
        <v>0</v>
      </c>
      <c r="H195" s="22" cm="1">
        <f t="array" ref="H195" xml:space="preserve"> INDEX( VfM_Metrics_2023_Consol_Source[], $D195, H$14 )</f>
        <v>0.97772119669000634</v>
      </c>
      <c r="I195" s="22" cm="1">
        <f t="array" ref="I195" xml:space="preserve"> INDEX( VfM_Metrics_2023_Consol_Source[], $D195, I$14 )</f>
        <v>2.2278803309993635E-2</v>
      </c>
      <c r="J195" s="22" cm="1">
        <f t="array" ref="J195" xml:space="preserve"> INDEX( VfM_Metrics_2023_Consol_Source[], $D195, J$14 )</f>
        <v>0</v>
      </c>
      <c r="K195" s="22" cm="1">
        <f t="array" ref="K195" xml:space="preserve"> INDEX( VfM_Metrics_2023_Consol_Source[], $D195, K$14 )</f>
        <v>0</v>
      </c>
      <c r="L195" s="22" cm="1">
        <f t="array" ref="L195" xml:space="preserve"> INDEX( VfM_Metrics_2023_Consol_Source[], $D195, L$14 )</f>
        <v>0</v>
      </c>
      <c r="M195" s="22" cm="1">
        <f t="array" ref="M195" xml:space="preserve"> INDEX( VfM_Metrics_2023_Consol_Source[], $D195, M$14 )</f>
        <v>0</v>
      </c>
      <c r="N195" s="23">
        <f xml:space="preserve"> -- AND( tblFilterRegion[[#This Row],[London]] &gt;= $N$10, N$13 = "Yes" )</f>
        <v>0</v>
      </c>
      <c r="O195" s="23">
        <f xml:space="preserve"> -- AND( tblFilterRegion[[#This Row],[South East]] &gt;= $N$10, O$13 = "Yes" )</f>
        <v>0</v>
      </c>
      <c r="P195" s="23">
        <f xml:space="preserve"> -- AND( tblFilterRegion[[#This Row],[South West]] &gt;= $N$10, P$13 = "Yes" )</f>
        <v>0</v>
      </c>
      <c r="Q195" s="23">
        <f xml:space="preserve"> -- AND( tblFilterRegion[[#This Row],[East Midlands]] &gt;= $N$10, Q$13 = "Yes" )</f>
        <v>0</v>
      </c>
      <c r="R195" s="23">
        <f xml:space="preserve"> -- AND( tblFilterRegion[[#This Row],[West Midlands]] &gt;= $N$10, R$13 = "Yes" )</f>
        <v>0</v>
      </c>
      <c r="S195" s="23">
        <f xml:space="preserve"> -- AND( tblFilterRegion[[#This Row],[East of England]] &gt;= $N$10, S$13 = "Yes" )</f>
        <v>0</v>
      </c>
      <c r="T195" s="23">
        <f xml:space="preserve"> -- AND( tblFilterRegion[[#This Row],[North East]] &gt;= $N$10, T$13 = "Yes" )</f>
        <v>0</v>
      </c>
      <c r="U195" s="23">
        <f xml:space="preserve"> -- AND( tblFilterRegion[[#This Row],[North West]] &gt;= $N$10, U$13 = "Yes" )</f>
        <v>0</v>
      </c>
      <c r="V195" s="23">
        <f xml:space="preserve"> -- AND( tblFilterRegion[[#This Row],[Yorkshire &amp; the Humber]] &gt;= $N$10, V$13 = "Yes" )</f>
        <v>0</v>
      </c>
      <c r="W195" s="22">
        <f xml:space="preserve"> SUMIF( $E$13:$M$13, "Yes", tblFilterRegion[[#This Row],[London]:[Yorkshire &amp; the Humber]] )</f>
        <v>0</v>
      </c>
      <c r="X195" s="23">
        <f xml:space="preserve"> -- ( SUM( tblFilterRegion[[#This Row],[Incl for Lon]:[Incl for YH]] ) &gt; 0 )</f>
        <v>0</v>
      </c>
      <c r="Y195" s="23">
        <f xml:space="preserve"> -- ( tblFilterRegion[[#This Row],[Total in selected regions]] &gt; $N$10 )</f>
        <v>0</v>
      </c>
      <c r="Z195" s="24">
        <f xml:space="preserve"> IF( RegionMinimum = 0, 1, IF( $R$10 = $U$8, tblFilterRegion[[#This Row],[Include for region - any]], IF( $R$10 = $U$10, tblFilterRegion[[#This Row],[Include for region - total]], "CHECK" ) ) )</f>
        <v>1</v>
      </c>
      <c r="AA195" s="131" t="str" cm="1">
        <f t="array" ref="AA195" xml:space="preserve"> INDEX( VfM_Metrics_2023_Consol_Source[], $D195, AA$14 )</f>
        <v>East Midlands</v>
      </c>
    </row>
    <row r="196" spans="2:27" x14ac:dyDescent="0.2">
      <c r="B196" s="159" t="s" vm="181">
        <v>507</v>
      </c>
      <c r="C196" s="154" t="str" vm="333">
        <f xml:space="preserve"> INDEX( VfM_Metrics_2023_Consol_Source[RP_Code], MATCH( tblFilterRegion[[#This Row],[RP_Name]], VfM_Metrics_2023_Consol_Source[RP_Name], 0 ) )</f>
        <v>L4385</v>
      </c>
      <c r="D196" s="81">
        <f xml:space="preserve"> MATCH( tblFilterRegion[[#This Row],[RP_Code]], VfM_Metrics_2023_Consol_Source[RP_Code], 0 )</f>
        <v>181</v>
      </c>
      <c r="E196" s="22" cm="1">
        <f t="array" ref="E196" xml:space="preserve"> INDEX( VfM_Metrics_2023_Consol_Source[], $D196, E$14 )</f>
        <v>0</v>
      </c>
      <c r="F196" s="22" cm="1">
        <f t="array" ref="F196" xml:space="preserve"> INDEX( VfM_Metrics_2023_Consol_Source[], $D196, F$14 )</f>
        <v>0</v>
      </c>
      <c r="G196" s="22" cm="1">
        <f t="array" ref="G196" xml:space="preserve"> INDEX( VfM_Metrics_2023_Consol_Source[], $D196, G$14 )</f>
        <v>0.99248975876194812</v>
      </c>
      <c r="H196" s="22" cm="1">
        <f t="array" ref="H196" xml:space="preserve"> INDEX( VfM_Metrics_2023_Consol_Source[], $D196, H$14 )</f>
        <v>0</v>
      </c>
      <c r="I196" s="22" cm="1">
        <f t="array" ref="I196" xml:space="preserve"> INDEX( VfM_Metrics_2023_Consol_Source[], $D196, I$14 )</f>
        <v>7.5102412380518889E-3</v>
      </c>
      <c r="J196" s="22" cm="1">
        <f t="array" ref="J196" xml:space="preserve"> INDEX( VfM_Metrics_2023_Consol_Source[], $D196, J$14 )</f>
        <v>0</v>
      </c>
      <c r="K196" s="22" cm="1">
        <f t="array" ref="K196" xml:space="preserve"> INDEX( VfM_Metrics_2023_Consol_Source[], $D196, K$14 )</f>
        <v>0</v>
      </c>
      <c r="L196" s="22" cm="1">
        <f t="array" ref="L196" xml:space="preserve"> INDEX( VfM_Metrics_2023_Consol_Source[], $D196, L$14 )</f>
        <v>0</v>
      </c>
      <c r="M196" s="22" cm="1">
        <f t="array" ref="M196" xml:space="preserve"> INDEX( VfM_Metrics_2023_Consol_Source[], $D196, M$14 )</f>
        <v>0</v>
      </c>
      <c r="N196" s="23">
        <f xml:space="preserve"> -- AND( tblFilterRegion[[#This Row],[London]] &gt;= $N$10, N$13 = "Yes" )</f>
        <v>0</v>
      </c>
      <c r="O196" s="23">
        <f xml:space="preserve"> -- AND( tblFilterRegion[[#This Row],[South East]] &gt;= $N$10, O$13 = "Yes" )</f>
        <v>0</v>
      </c>
      <c r="P196" s="23">
        <f xml:space="preserve"> -- AND( tblFilterRegion[[#This Row],[South West]] &gt;= $N$10, P$13 = "Yes" )</f>
        <v>0</v>
      </c>
      <c r="Q196" s="23">
        <f xml:space="preserve"> -- AND( tblFilterRegion[[#This Row],[East Midlands]] &gt;= $N$10, Q$13 = "Yes" )</f>
        <v>0</v>
      </c>
      <c r="R196" s="23">
        <f xml:space="preserve"> -- AND( tblFilterRegion[[#This Row],[West Midlands]] &gt;= $N$10, R$13 = "Yes" )</f>
        <v>0</v>
      </c>
      <c r="S196" s="23">
        <f xml:space="preserve"> -- AND( tblFilterRegion[[#This Row],[East of England]] &gt;= $N$10, S$13 = "Yes" )</f>
        <v>0</v>
      </c>
      <c r="T196" s="23">
        <f xml:space="preserve"> -- AND( tblFilterRegion[[#This Row],[North East]] &gt;= $N$10, T$13 = "Yes" )</f>
        <v>0</v>
      </c>
      <c r="U196" s="23">
        <f xml:space="preserve"> -- AND( tblFilterRegion[[#This Row],[North West]] &gt;= $N$10, U$13 = "Yes" )</f>
        <v>0</v>
      </c>
      <c r="V196" s="23">
        <f xml:space="preserve"> -- AND( tblFilterRegion[[#This Row],[Yorkshire &amp; the Humber]] &gt;= $N$10, V$13 = "Yes" )</f>
        <v>0</v>
      </c>
      <c r="W196" s="22">
        <f xml:space="preserve"> SUMIF( $E$13:$M$13, "Yes", tblFilterRegion[[#This Row],[London]:[Yorkshire &amp; the Humber]] )</f>
        <v>0</v>
      </c>
      <c r="X196" s="23">
        <f xml:space="preserve"> -- ( SUM( tblFilterRegion[[#This Row],[Incl for Lon]:[Incl for YH]] ) &gt; 0 )</f>
        <v>0</v>
      </c>
      <c r="Y196" s="23">
        <f xml:space="preserve"> -- ( tblFilterRegion[[#This Row],[Total in selected regions]] &gt; $N$10 )</f>
        <v>0</v>
      </c>
      <c r="Z196" s="24">
        <f xml:space="preserve"> IF( RegionMinimum = 0, 1, IF( $R$10 = $U$8, tblFilterRegion[[#This Row],[Include for region - any]], IF( $R$10 = $U$10, tblFilterRegion[[#This Row],[Include for region - total]], "CHECK" ) ) )</f>
        <v>1</v>
      </c>
      <c r="AA196" s="131" t="str" cm="1">
        <f t="array" ref="AA196" xml:space="preserve"> INDEX( VfM_Metrics_2023_Consol_Source[], $D196, AA$14 )</f>
        <v>South West</v>
      </c>
    </row>
    <row r="197" spans="2:27" x14ac:dyDescent="0.2">
      <c r="B197" s="159" t="s" vm="182">
        <v>509</v>
      </c>
      <c r="C197" s="154" t="str" vm="229">
        <f xml:space="preserve"> INDEX( VfM_Metrics_2023_Consol_Source[RP_Code], MATCH( tblFilterRegion[[#This Row],[RP_Name]], VfM_Metrics_2023_Consol_Source[RP_Name], 0 ) )</f>
        <v>LH3737</v>
      </c>
      <c r="D197" s="81">
        <f xml:space="preserve"> MATCH( tblFilterRegion[[#This Row],[RP_Code]], VfM_Metrics_2023_Consol_Source[RP_Code], 0 )</f>
        <v>182</v>
      </c>
      <c r="E197" s="22" cm="1">
        <f t="array" ref="E197" xml:space="preserve"> INDEX( VfM_Metrics_2023_Consol_Source[], $D197, E$14 )</f>
        <v>0</v>
      </c>
      <c r="F197" s="22" cm="1">
        <f t="array" ref="F197" xml:space="preserve"> INDEX( VfM_Metrics_2023_Consol_Source[], $D197, F$14 )</f>
        <v>0</v>
      </c>
      <c r="G197" s="22" cm="1">
        <f t="array" ref="G197" xml:space="preserve"> INDEX( VfM_Metrics_2023_Consol_Source[], $D197, G$14 )</f>
        <v>0</v>
      </c>
      <c r="H197" s="22" cm="1">
        <f t="array" ref="H197" xml:space="preserve"> INDEX( VfM_Metrics_2023_Consol_Source[], $D197, H$14 )</f>
        <v>0</v>
      </c>
      <c r="I197" s="22" cm="1">
        <f t="array" ref="I197" xml:space="preserve"> INDEX( VfM_Metrics_2023_Consol_Source[], $D197, I$14 )</f>
        <v>0</v>
      </c>
      <c r="J197" s="22" cm="1">
        <f t="array" ref="J197" xml:space="preserve"> INDEX( VfM_Metrics_2023_Consol_Source[], $D197, J$14 )</f>
        <v>0</v>
      </c>
      <c r="K197" s="22" cm="1">
        <f t="array" ref="K197" xml:space="preserve"> INDEX( VfM_Metrics_2023_Consol_Source[], $D197, K$14 )</f>
        <v>0</v>
      </c>
      <c r="L197" s="22" cm="1">
        <f t="array" ref="L197" xml:space="preserve"> INDEX( VfM_Metrics_2023_Consol_Source[], $D197, L$14 )</f>
        <v>0</v>
      </c>
      <c r="M197" s="22" cm="1">
        <f t="array" ref="M197" xml:space="preserve"> INDEX( VfM_Metrics_2023_Consol_Source[], $D197, M$14 )</f>
        <v>1</v>
      </c>
      <c r="N197" s="23">
        <f xml:space="preserve"> -- AND( tblFilterRegion[[#This Row],[London]] &gt;= $N$10, N$13 = "Yes" )</f>
        <v>0</v>
      </c>
      <c r="O197" s="23">
        <f xml:space="preserve"> -- AND( tblFilterRegion[[#This Row],[South East]] &gt;= $N$10, O$13 = "Yes" )</f>
        <v>0</v>
      </c>
      <c r="P197" s="23">
        <f xml:space="preserve"> -- AND( tblFilterRegion[[#This Row],[South West]] &gt;= $N$10, P$13 = "Yes" )</f>
        <v>0</v>
      </c>
      <c r="Q197" s="23">
        <f xml:space="preserve"> -- AND( tblFilterRegion[[#This Row],[East Midlands]] &gt;= $N$10, Q$13 = "Yes" )</f>
        <v>0</v>
      </c>
      <c r="R197" s="23">
        <f xml:space="preserve"> -- AND( tblFilterRegion[[#This Row],[West Midlands]] &gt;= $N$10, R$13 = "Yes" )</f>
        <v>0</v>
      </c>
      <c r="S197" s="23">
        <f xml:space="preserve"> -- AND( tblFilterRegion[[#This Row],[East of England]] &gt;= $N$10, S$13 = "Yes" )</f>
        <v>0</v>
      </c>
      <c r="T197" s="23">
        <f xml:space="preserve"> -- AND( tblFilterRegion[[#This Row],[North East]] &gt;= $N$10, T$13 = "Yes" )</f>
        <v>0</v>
      </c>
      <c r="U197" s="23">
        <f xml:space="preserve"> -- AND( tblFilterRegion[[#This Row],[North West]] &gt;= $N$10, U$13 = "Yes" )</f>
        <v>0</v>
      </c>
      <c r="V197" s="23">
        <f xml:space="preserve"> -- AND( tblFilterRegion[[#This Row],[Yorkshire &amp; the Humber]] &gt;= $N$10, V$13 = "Yes" )</f>
        <v>0</v>
      </c>
      <c r="W197" s="22">
        <f xml:space="preserve"> SUMIF( $E$13:$M$13, "Yes", tblFilterRegion[[#This Row],[London]:[Yorkshire &amp; the Humber]] )</f>
        <v>0</v>
      </c>
      <c r="X197" s="23">
        <f xml:space="preserve"> -- ( SUM( tblFilterRegion[[#This Row],[Incl for Lon]:[Incl for YH]] ) &gt; 0 )</f>
        <v>0</v>
      </c>
      <c r="Y197" s="23">
        <f xml:space="preserve"> -- ( tblFilterRegion[[#This Row],[Total in selected regions]] &gt; $N$10 )</f>
        <v>0</v>
      </c>
      <c r="Z197" s="24">
        <f xml:space="preserve"> IF( RegionMinimum = 0, 1, IF( $R$10 = $U$8, tblFilterRegion[[#This Row],[Include for region - any]], IF( $R$10 = $U$10, tblFilterRegion[[#This Row],[Include for region - total]], "CHECK" ) ) )</f>
        <v>1</v>
      </c>
      <c r="AA197" s="131" t="str" cm="1">
        <f t="array" ref="AA197" xml:space="preserve"> INDEX( VfM_Metrics_2023_Consol_Source[], $D197, AA$14 )</f>
        <v>Yorkshire &amp; the Humber</v>
      </c>
    </row>
    <row r="198" spans="2:27" x14ac:dyDescent="0.2">
      <c r="B198" s="159" t="s" vm="183">
        <v>511</v>
      </c>
      <c r="C198" s="154" t="str" vm="264">
        <f xml:space="preserve"> INDEX( VfM_Metrics_2023_Consol_Source[RP_Code], MATCH( tblFilterRegion[[#This Row],[RP_Name]], VfM_Metrics_2023_Consol_Source[RP_Name], 0 ) )</f>
        <v>4850</v>
      </c>
      <c r="D198" s="81">
        <f xml:space="preserve"> MATCH( tblFilterRegion[[#This Row],[RP_Code]], VfM_Metrics_2023_Consol_Source[RP_Code], 0 )</f>
        <v>183</v>
      </c>
      <c r="E198" s="22" cm="1">
        <f t="array" ref="E198" xml:space="preserve"> INDEX( VfM_Metrics_2023_Consol_Source[], $D198, E$14 )</f>
        <v>0</v>
      </c>
      <c r="F198" s="22" cm="1">
        <f t="array" ref="F198" xml:space="preserve"> INDEX( VfM_Metrics_2023_Consol_Source[], $D198, F$14 )</f>
        <v>0.99922593130140303</v>
      </c>
      <c r="G198" s="22" cm="1">
        <f t="array" ref="G198" xml:space="preserve"> INDEX( VfM_Metrics_2023_Consol_Source[], $D198, G$14 )</f>
        <v>7.740686985970005E-4</v>
      </c>
      <c r="H198" s="22" cm="1">
        <f t="array" ref="H198" xml:space="preserve"> INDEX( VfM_Metrics_2023_Consol_Source[], $D198, H$14 )</f>
        <v>0</v>
      </c>
      <c r="I198" s="22" cm="1">
        <f t="array" ref="I198" xml:space="preserve"> INDEX( VfM_Metrics_2023_Consol_Source[], $D198, I$14 )</f>
        <v>0</v>
      </c>
      <c r="J198" s="22" cm="1">
        <f t="array" ref="J198" xml:space="preserve"> INDEX( VfM_Metrics_2023_Consol_Source[], $D198, J$14 )</f>
        <v>0</v>
      </c>
      <c r="K198" s="22" cm="1">
        <f t="array" ref="K198" xml:space="preserve"> INDEX( VfM_Metrics_2023_Consol_Source[], $D198, K$14 )</f>
        <v>0</v>
      </c>
      <c r="L198" s="22" cm="1">
        <f t="array" ref="L198" xml:space="preserve"> INDEX( VfM_Metrics_2023_Consol_Source[], $D198, L$14 )</f>
        <v>0</v>
      </c>
      <c r="M198" s="22" cm="1">
        <f t="array" ref="M198" xml:space="preserve"> INDEX( VfM_Metrics_2023_Consol_Source[], $D198, M$14 )</f>
        <v>0</v>
      </c>
      <c r="N198" s="23">
        <f xml:space="preserve"> -- AND( tblFilterRegion[[#This Row],[London]] &gt;= $N$10, N$13 = "Yes" )</f>
        <v>0</v>
      </c>
      <c r="O198" s="23">
        <f xml:space="preserve"> -- AND( tblFilterRegion[[#This Row],[South East]] &gt;= $N$10, O$13 = "Yes" )</f>
        <v>0</v>
      </c>
      <c r="P198" s="23">
        <f xml:space="preserve"> -- AND( tblFilterRegion[[#This Row],[South West]] &gt;= $N$10, P$13 = "Yes" )</f>
        <v>0</v>
      </c>
      <c r="Q198" s="23">
        <f xml:space="preserve"> -- AND( tblFilterRegion[[#This Row],[East Midlands]] &gt;= $N$10, Q$13 = "Yes" )</f>
        <v>0</v>
      </c>
      <c r="R198" s="23">
        <f xml:space="preserve"> -- AND( tblFilterRegion[[#This Row],[West Midlands]] &gt;= $N$10, R$13 = "Yes" )</f>
        <v>0</v>
      </c>
      <c r="S198" s="23">
        <f xml:space="preserve"> -- AND( tblFilterRegion[[#This Row],[East of England]] &gt;= $N$10, S$13 = "Yes" )</f>
        <v>0</v>
      </c>
      <c r="T198" s="23">
        <f xml:space="preserve"> -- AND( tblFilterRegion[[#This Row],[North East]] &gt;= $N$10, T$13 = "Yes" )</f>
        <v>0</v>
      </c>
      <c r="U198" s="23">
        <f xml:space="preserve"> -- AND( tblFilterRegion[[#This Row],[North West]] &gt;= $N$10, U$13 = "Yes" )</f>
        <v>0</v>
      </c>
      <c r="V198" s="23">
        <f xml:space="preserve"> -- AND( tblFilterRegion[[#This Row],[Yorkshire &amp; the Humber]] &gt;= $N$10, V$13 = "Yes" )</f>
        <v>0</v>
      </c>
      <c r="W198" s="22">
        <f xml:space="preserve"> SUMIF( $E$13:$M$13, "Yes", tblFilterRegion[[#This Row],[London]:[Yorkshire &amp; the Humber]] )</f>
        <v>0</v>
      </c>
      <c r="X198" s="23">
        <f xml:space="preserve"> -- ( SUM( tblFilterRegion[[#This Row],[Incl for Lon]:[Incl for YH]] ) &gt; 0 )</f>
        <v>0</v>
      </c>
      <c r="Y198" s="23">
        <f xml:space="preserve"> -- ( tblFilterRegion[[#This Row],[Total in selected regions]] &gt; $N$10 )</f>
        <v>0</v>
      </c>
      <c r="Z198" s="24">
        <f xml:space="preserve"> IF( RegionMinimum = 0, 1, IF( $R$10 = $U$8, tblFilterRegion[[#This Row],[Include for region - any]], IF( $R$10 = $U$10, tblFilterRegion[[#This Row],[Include for region - total]], "CHECK" ) ) )</f>
        <v>1</v>
      </c>
      <c r="AA198" s="131" t="str" cm="1">
        <f t="array" ref="AA198" xml:space="preserve"> INDEX( VfM_Metrics_2023_Consol_Source[], $D198, AA$14 )</f>
        <v>South East</v>
      </c>
    </row>
    <row r="199" spans="2:27" x14ac:dyDescent="0.2">
      <c r="B199" s="159" t="s" vm="184">
        <v>513</v>
      </c>
      <c r="C199" s="154" t="str" vm="257">
        <f xml:space="preserve"> INDEX( VfM_Metrics_2023_Consol_Source[RP_Code], MATCH( tblFilterRegion[[#This Row],[RP_Name]], VfM_Metrics_2023_Consol_Source[RP_Name], 0 ) )</f>
        <v>L4441</v>
      </c>
      <c r="D199" s="81">
        <f xml:space="preserve"> MATCH( tblFilterRegion[[#This Row],[RP_Code]], VfM_Metrics_2023_Consol_Source[RP_Code], 0 )</f>
        <v>184</v>
      </c>
      <c r="E199" s="22" cm="1">
        <f t="array" ref="E199" xml:space="preserve"> INDEX( VfM_Metrics_2023_Consol_Source[], $D199, E$14 )</f>
        <v>0</v>
      </c>
      <c r="F199" s="22" cm="1">
        <f t="array" ref="F199" xml:space="preserve"> INDEX( VfM_Metrics_2023_Consol_Source[], $D199, F$14 )</f>
        <v>0</v>
      </c>
      <c r="G199" s="22" cm="1">
        <f t="array" ref="G199" xml:space="preserve"> INDEX( VfM_Metrics_2023_Consol_Source[], $D199, G$14 )</f>
        <v>0</v>
      </c>
      <c r="H199" s="22" cm="1">
        <f t="array" ref="H199" xml:space="preserve"> INDEX( VfM_Metrics_2023_Consol_Source[], $D199, H$14 )</f>
        <v>0</v>
      </c>
      <c r="I199" s="22" cm="1">
        <f t="array" ref="I199" xml:space="preserve"> INDEX( VfM_Metrics_2023_Consol_Source[], $D199, I$14 )</f>
        <v>0</v>
      </c>
      <c r="J199" s="22" cm="1">
        <f t="array" ref="J199" xml:space="preserve"> INDEX( VfM_Metrics_2023_Consol_Source[], $D199, J$14 )</f>
        <v>0</v>
      </c>
      <c r="K199" s="22" cm="1">
        <f t="array" ref="K199" xml:space="preserve"> INDEX( VfM_Metrics_2023_Consol_Source[], $D199, K$14 )</f>
        <v>0</v>
      </c>
      <c r="L199" s="22" cm="1">
        <f t="array" ref="L199" xml:space="preserve"> INDEX( VfM_Metrics_2023_Consol_Source[], $D199, L$14 )</f>
        <v>0</v>
      </c>
      <c r="M199" s="22" cm="1">
        <f t="array" ref="M199" xml:space="preserve"> INDEX( VfM_Metrics_2023_Consol_Source[], $D199, M$14 )</f>
        <v>1</v>
      </c>
      <c r="N199" s="23">
        <f xml:space="preserve"> -- AND( tblFilterRegion[[#This Row],[London]] &gt;= $N$10, N$13 = "Yes" )</f>
        <v>0</v>
      </c>
      <c r="O199" s="23">
        <f xml:space="preserve"> -- AND( tblFilterRegion[[#This Row],[South East]] &gt;= $N$10, O$13 = "Yes" )</f>
        <v>0</v>
      </c>
      <c r="P199" s="23">
        <f xml:space="preserve"> -- AND( tblFilterRegion[[#This Row],[South West]] &gt;= $N$10, P$13 = "Yes" )</f>
        <v>0</v>
      </c>
      <c r="Q199" s="23">
        <f xml:space="preserve"> -- AND( tblFilterRegion[[#This Row],[East Midlands]] &gt;= $N$10, Q$13 = "Yes" )</f>
        <v>0</v>
      </c>
      <c r="R199" s="23">
        <f xml:space="preserve"> -- AND( tblFilterRegion[[#This Row],[West Midlands]] &gt;= $N$10, R$13 = "Yes" )</f>
        <v>0</v>
      </c>
      <c r="S199" s="23">
        <f xml:space="preserve"> -- AND( tblFilterRegion[[#This Row],[East of England]] &gt;= $N$10, S$13 = "Yes" )</f>
        <v>0</v>
      </c>
      <c r="T199" s="23">
        <f xml:space="preserve"> -- AND( tblFilterRegion[[#This Row],[North East]] &gt;= $N$10, T$13 = "Yes" )</f>
        <v>0</v>
      </c>
      <c r="U199" s="23">
        <f xml:space="preserve"> -- AND( tblFilterRegion[[#This Row],[North West]] &gt;= $N$10, U$13 = "Yes" )</f>
        <v>0</v>
      </c>
      <c r="V199" s="23">
        <f xml:space="preserve"> -- AND( tblFilterRegion[[#This Row],[Yorkshire &amp; the Humber]] &gt;= $N$10, V$13 = "Yes" )</f>
        <v>0</v>
      </c>
      <c r="W199" s="22">
        <f xml:space="preserve"> SUMIF( $E$13:$M$13, "Yes", tblFilterRegion[[#This Row],[London]:[Yorkshire &amp; the Humber]] )</f>
        <v>0</v>
      </c>
      <c r="X199" s="23">
        <f xml:space="preserve"> -- ( SUM( tblFilterRegion[[#This Row],[Incl for Lon]:[Incl for YH]] ) &gt; 0 )</f>
        <v>0</v>
      </c>
      <c r="Y199" s="23">
        <f xml:space="preserve"> -- ( tblFilterRegion[[#This Row],[Total in selected regions]] &gt; $N$10 )</f>
        <v>0</v>
      </c>
      <c r="Z199" s="24">
        <f xml:space="preserve"> IF( RegionMinimum = 0, 1, IF( $R$10 = $U$8, tblFilterRegion[[#This Row],[Include for region - any]], IF( $R$10 = $U$10, tblFilterRegion[[#This Row],[Include for region - total]], "CHECK" ) ) )</f>
        <v>1</v>
      </c>
      <c r="AA199" s="131" t="str" cm="1">
        <f t="array" ref="AA199" xml:space="preserve"> INDEX( VfM_Metrics_2023_Consol_Source[], $D199, AA$14 )</f>
        <v>Yorkshire &amp; the Humber</v>
      </c>
    </row>
    <row r="200" spans="2:27" x14ac:dyDescent="0.2">
      <c r="B200" s="159" t="s" vm="185">
        <v>515</v>
      </c>
      <c r="C200" s="154" t="str" vm="343">
        <f xml:space="preserve"> INDEX( VfM_Metrics_2023_Consol_Source[RP_Code], MATCH( tblFilterRegion[[#This Row],[RP_Name]], VfM_Metrics_2023_Consol_Source[RP_Name], 0 ) )</f>
        <v>L4389</v>
      </c>
      <c r="D200" s="81">
        <f xml:space="preserve"> MATCH( tblFilterRegion[[#This Row],[RP_Code]], VfM_Metrics_2023_Consol_Source[RP_Code], 0 )</f>
        <v>185</v>
      </c>
      <c r="E200" s="22" cm="1">
        <f t="array" ref="E200" xml:space="preserve"> INDEX( VfM_Metrics_2023_Consol_Source[], $D200, E$14 )</f>
        <v>0</v>
      </c>
      <c r="F200" s="22" cm="1">
        <f t="array" ref="F200" xml:space="preserve"> INDEX( VfM_Metrics_2023_Consol_Source[], $D200, F$14 )</f>
        <v>0</v>
      </c>
      <c r="G200" s="22" cm="1">
        <f t="array" ref="G200" xml:space="preserve"> INDEX( VfM_Metrics_2023_Consol_Source[], $D200, G$14 )</f>
        <v>0</v>
      </c>
      <c r="H200" s="22" cm="1">
        <f t="array" ref="H200" xml:space="preserve"> INDEX( VfM_Metrics_2023_Consol_Source[], $D200, H$14 )</f>
        <v>0</v>
      </c>
      <c r="I200" s="22" cm="1">
        <f t="array" ref="I200" xml:space="preserve"> INDEX( VfM_Metrics_2023_Consol_Source[], $D200, I$14 )</f>
        <v>1</v>
      </c>
      <c r="J200" s="22" cm="1">
        <f t="array" ref="J200" xml:space="preserve"> INDEX( VfM_Metrics_2023_Consol_Source[], $D200, J$14 )</f>
        <v>0</v>
      </c>
      <c r="K200" s="22" cm="1">
        <f t="array" ref="K200" xml:space="preserve"> INDEX( VfM_Metrics_2023_Consol_Source[], $D200, K$14 )</f>
        <v>0</v>
      </c>
      <c r="L200" s="22" cm="1">
        <f t="array" ref="L200" xml:space="preserve"> INDEX( VfM_Metrics_2023_Consol_Source[], $D200, L$14 )</f>
        <v>0</v>
      </c>
      <c r="M200" s="22" cm="1">
        <f t="array" ref="M200" xml:space="preserve"> INDEX( VfM_Metrics_2023_Consol_Source[], $D200, M$14 )</f>
        <v>0</v>
      </c>
      <c r="N200" s="23">
        <f xml:space="preserve"> -- AND( tblFilterRegion[[#This Row],[London]] &gt;= $N$10, N$13 = "Yes" )</f>
        <v>0</v>
      </c>
      <c r="O200" s="23">
        <f xml:space="preserve"> -- AND( tblFilterRegion[[#This Row],[South East]] &gt;= $N$10, O$13 = "Yes" )</f>
        <v>0</v>
      </c>
      <c r="P200" s="23">
        <f xml:space="preserve"> -- AND( tblFilterRegion[[#This Row],[South West]] &gt;= $N$10, P$13 = "Yes" )</f>
        <v>0</v>
      </c>
      <c r="Q200" s="23">
        <f xml:space="preserve"> -- AND( tblFilterRegion[[#This Row],[East Midlands]] &gt;= $N$10, Q$13 = "Yes" )</f>
        <v>0</v>
      </c>
      <c r="R200" s="23">
        <f xml:space="preserve"> -- AND( tblFilterRegion[[#This Row],[West Midlands]] &gt;= $N$10, R$13 = "Yes" )</f>
        <v>0</v>
      </c>
      <c r="S200" s="23">
        <f xml:space="preserve"> -- AND( tblFilterRegion[[#This Row],[East of England]] &gt;= $N$10, S$13 = "Yes" )</f>
        <v>0</v>
      </c>
      <c r="T200" s="23">
        <f xml:space="preserve"> -- AND( tblFilterRegion[[#This Row],[North East]] &gt;= $N$10, T$13 = "Yes" )</f>
        <v>0</v>
      </c>
      <c r="U200" s="23">
        <f xml:space="preserve"> -- AND( tblFilterRegion[[#This Row],[North West]] &gt;= $N$10, U$13 = "Yes" )</f>
        <v>0</v>
      </c>
      <c r="V200" s="23">
        <f xml:space="preserve"> -- AND( tblFilterRegion[[#This Row],[Yorkshire &amp; the Humber]] &gt;= $N$10, V$13 = "Yes" )</f>
        <v>0</v>
      </c>
      <c r="W200" s="22">
        <f xml:space="preserve"> SUMIF( $E$13:$M$13, "Yes", tblFilterRegion[[#This Row],[London]:[Yorkshire &amp; the Humber]] )</f>
        <v>0</v>
      </c>
      <c r="X200" s="23">
        <f xml:space="preserve"> -- ( SUM( tblFilterRegion[[#This Row],[Incl for Lon]:[Incl for YH]] ) &gt; 0 )</f>
        <v>0</v>
      </c>
      <c r="Y200" s="23">
        <f xml:space="preserve"> -- ( tblFilterRegion[[#This Row],[Total in selected regions]] &gt; $N$10 )</f>
        <v>0</v>
      </c>
      <c r="Z200" s="24">
        <f xml:space="preserve"> IF( RegionMinimum = 0, 1, IF( $R$10 = $U$8, tblFilterRegion[[#This Row],[Include for region - any]], IF( $R$10 = $U$10, tblFilterRegion[[#This Row],[Include for region - total]], "CHECK" ) ) )</f>
        <v>1</v>
      </c>
      <c r="AA200" s="131" t="str" cm="1">
        <f t="array" ref="AA200" xml:space="preserve"> INDEX( VfM_Metrics_2023_Consol_Source[], $D200, AA$14 )</f>
        <v>West Midlands</v>
      </c>
    </row>
    <row r="201" spans="2:27" x14ac:dyDescent="0.2">
      <c r="B201" s="159" t="s" vm="186">
        <v>517</v>
      </c>
      <c r="C201" s="154" t="str" vm="351">
        <f xml:space="preserve"> INDEX( VfM_Metrics_2023_Consol_Source[RP_Code], MATCH( tblFilterRegion[[#This Row],[RP_Name]], VfM_Metrics_2023_Consol_Source[RP_Name], 0 ) )</f>
        <v>L0277</v>
      </c>
      <c r="D201" s="81">
        <f xml:space="preserve"> MATCH( tblFilterRegion[[#This Row],[RP_Code]], VfM_Metrics_2023_Consol_Source[RP_Code], 0 )</f>
        <v>186</v>
      </c>
      <c r="E201" s="22" cm="1">
        <f t="array" ref="E201" xml:space="preserve"> INDEX( VfM_Metrics_2023_Consol_Source[], $D201, E$14 )</f>
        <v>0.99970687380917489</v>
      </c>
      <c r="F201" s="22" cm="1">
        <f t="array" ref="F201" xml:space="preserve"> INDEX( VfM_Metrics_2023_Consol_Source[], $D201, F$14 )</f>
        <v>2.9312619082515022E-4</v>
      </c>
      <c r="G201" s="22" cm="1">
        <f t="array" ref="G201" xml:space="preserve"> INDEX( VfM_Metrics_2023_Consol_Source[], $D201, G$14 )</f>
        <v>0</v>
      </c>
      <c r="H201" s="22" cm="1">
        <f t="array" ref="H201" xml:space="preserve"> INDEX( VfM_Metrics_2023_Consol_Source[], $D201, H$14 )</f>
        <v>0</v>
      </c>
      <c r="I201" s="22" cm="1">
        <f t="array" ref="I201" xml:space="preserve"> INDEX( VfM_Metrics_2023_Consol_Source[], $D201, I$14 )</f>
        <v>0</v>
      </c>
      <c r="J201" s="22" cm="1">
        <f t="array" ref="J201" xml:space="preserve"> INDEX( VfM_Metrics_2023_Consol_Source[], $D201, J$14 )</f>
        <v>0</v>
      </c>
      <c r="K201" s="22" cm="1">
        <f t="array" ref="K201" xml:space="preserve"> INDEX( VfM_Metrics_2023_Consol_Source[], $D201, K$14 )</f>
        <v>0</v>
      </c>
      <c r="L201" s="22" cm="1">
        <f t="array" ref="L201" xml:space="preserve"> INDEX( VfM_Metrics_2023_Consol_Source[], $D201, L$14 )</f>
        <v>0</v>
      </c>
      <c r="M201" s="22" cm="1">
        <f t="array" ref="M201" xml:space="preserve"> INDEX( VfM_Metrics_2023_Consol_Source[], $D201, M$14 )</f>
        <v>0</v>
      </c>
      <c r="N201" s="23">
        <f xml:space="preserve"> -- AND( tblFilterRegion[[#This Row],[London]] &gt;= $N$10, N$13 = "Yes" )</f>
        <v>0</v>
      </c>
      <c r="O201" s="23">
        <f xml:space="preserve"> -- AND( tblFilterRegion[[#This Row],[South East]] &gt;= $N$10, O$13 = "Yes" )</f>
        <v>0</v>
      </c>
      <c r="P201" s="23">
        <f xml:space="preserve"> -- AND( tblFilterRegion[[#This Row],[South West]] &gt;= $N$10, P$13 = "Yes" )</f>
        <v>0</v>
      </c>
      <c r="Q201" s="23">
        <f xml:space="preserve"> -- AND( tblFilterRegion[[#This Row],[East Midlands]] &gt;= $N$10, Q$13 = "Yes" )</f>
        <v>0</v>
      </c>
      <c r="R201" s="23">
        <f xml:space="preserve"> -- AND( tblFilterRegion[[#This Row],[West Midlands]] &gt;= $N$10, R$13 = "Yes" )</f>
        <v>0</v>
      </c>
      <c r="S201" s="23">
        <f xml:space="preserve"> -- AND( tblFilterRegion[[#This Row],[East of England]] &gt;= $N$10, S$13 = "Yes" )</f>
        <v>0</v>
      </c>
      <c r="T201" s="23">
        <f xml:space="preserve"> -- AND( tblFilterRegion[[#This Row],[North East]] &gt;= $N$10, T$13 = "Yes" )</f>
        <v>0</v>
      </c>
      <c r="U201" s="23">
        <f xml:space="preserve"> -- AND( tblFilterRegion[[#This Row],[North West]] &gt;= $N$10, U$13 = "Yes" )</f>
        <v>0</v>
      </c>
      <c r="V201" s="23">
        <f xml:space="preserve"> -- AND( tblFilterRegion[[#This Row],[Yorkshire &amp; the Humber]] &gt;= $N$10, V$13 = "Yes" )</f>
        <v>0</v>
      </c>
      <c r="W201" s="22">
        <f xml:space="preserve"> SUMIF( $E$13:$M$13, "Yes", tblFilterRegion[[#This Row],[London]:[Yorkshire &amp; the Humber]] )</f>
        <v>0</v>
      </c>
      <c r="X201" s="23">
        <f xml:space="preserve"> -- ( SUM( tblFilterRegion[[#This Row],[Incl for Lon]:[Incl for YH]] ) &gt; 0 )</f>
        <v>0</v>
      </c>
      <c r="Y201" s="23">
        <f xml:space="preserve"> -- ( tblFilterRegion[[#This Row],[Total in selected regions]] &gt; $N$10 )</f>
        <v>0</v>
      </c>
      <c r="Z201" s="24">
        <f xml:space="preserve"> IF( RegionMinimum = 0, 1, IF( $R$10 = $U$8, tblFilterRegion[[#This Row],[Include for region - any]], IF( $R$10 = $U$10, tblFilterRegion[[#This Row],[Include for region - total]], "CHECK" ) ) )</f>
        <v>1</v>
      </c>
      <c r="AA201" s="131" t="str" cm="1">
        <f t="array" ref="AA201" xml:space="preserve"> INDEX( VfM_Metrics_2023_Consol_Source[], $D201, AA$14 )</f>
        <v>London</v>
      </c>
    </row>
    <row r="202" spans="2:27" x14ac:dyDescent="0.2">
      <c r="B202" s="159" t="s" vm="187">
        <v>519</v>
      </c>
      <c r="C202" s="154" t="str" vm="221">
        <f xml:space="preserve"> INDEX( VfM_Metrics_2023_Consol_Source[RP_Code], MATCH( tblFilterRegion[[#This Row],[RP_Name]], VfM_Metrics_2023_Consol_Source[RP_Name], 0 ) )</f>
        <v>L0518</v>
      </c>
      <c r="D202" s="81">
        <f xml:space="preserve"> MATCH( tblFilterRegion[[#This Row],[RP_Code]], VfM_Metrics_2023_Consol_Source[RP_Code], 0 )</f>
        <v>187</v>
      </c>
      <c r="E202" s="22" cm="1">
        <f t="array" ref="E202" xml:space="preserve"> INDEX( VfM_Metrics_2023_Consol_Source[], $D202, E$14 )</f>
        <v>0</v>
      </c>
      <c r="F202" s="22" cm="1">
        <f t="array" ref="F202" xml:space="preserve"> INDEX( VfM_Metrics_2023_Consol_Source[], $D202, F$14 )</f>
        <v>0</v>
      </c>
      <c r="G202" s="22" cm="1">
        <f t="array" ref="G202" xml:space="preserve"> INDEX( VfM_Metrics_2023_Consol_Source[], $D202, G$14 )</f>
        <v>0</v>
      </c>
      <c r="H202" s="22" cm="1">
        <f t="array" ref="H202" xml:space="preserve"> INDEX( VfM_Metrics_2023_Consol_Source[], $D202, H$14 )</f>
        <v>0</v>
      </c>
      <c r="I202" s="22" cm="1">
        <f t="array" ref="I202" xml:space="preserve"> INDEX( VfM_Metrics_2023_Consol_Source[], $D202, I$14 )</f>
        <v>0</v>
      </c>
      <c r="J202" s="22" cm="1">
        <f t="array" ref="J202" xml:space="preserve"> INDEX( VfM_Metrics_2023_Consol_Source[], $D202, J$14 )</f>
        <v>0</v>
      </c>
      <c r="K202" s="22" cm="1">
        <f t="array" ref="K202" xml:space="preserve"> INDEX( VfM_Metrics_2023_Consol_Source[], $D202, K$14 )</f>
        <v>0</v>
      </c>
      <c r="L202" s="22" cm="1">
        <f t="array" ref="L202" xml:space="preserve"> INDEX( VfM_Metrics_2023_Consol_Source[], $D202, L$14 )</f>
        <v>1</v>
      </c>
      <c r="M202" s="22" cm="1">
        <f t="array" ref="M202" xml:space="preserve"> INDEX( VfM_Metrics_2023_Consol_Source[], $D202, M$14 )</f>
        <v>0</v>
      </c>
      <c r="N202" s="23">
        <f xml:space="preserve"> -- AND( tblFilterRegion[[#This Row],[London]] &gt;= $N$10, N$13 = "Yes" )</f>
        <v>0</v>
      </c>
      <c r="O202" s="23">
        <f xml:space="preserve"> -- AND( tblFilterRegion[[#This Row],[South East]] &gt;= $N$10, O$13 = "Yes" )</f>
        <v>0</v>
      </c>
      <c r="P202" s="23">
        <f xml:space="preserve"> -- AND( tblFilterRegion[[#This Row],[South West]] &gt;= $N$10, P$13 = "Yes" )</f>
        <v>0</v>
      </c>
      <c r="Q202" s="23">
        <f xml:space="preserve"> -- AND( tblFilterRegion[[#This Row],[East Midlands]] &gt;= $N$10, Q$13 = "Yes" )</f>
        <v>0</v>
      </c>
      <c r="R202" s="23">
        <f xml:space="preserve"> -- AND( tblFilterRegion[[#This Row],[West Midlands]] &gt;= $N$10, R$13 = "Yes" )</f>
        <v>0</v>
      </c>
      <c r="S202" s="23">
        <f xml:space="preserve"> -- AND( tblFilterRegion[[#This Row],[East of England]] &gt;= $N$10, S$13 = "Yes" )</f>
        <v>0</v>
      </c>
      <c r="T202" s="23">
        <f xml:space="preserve"> -- AND( tblFilterRegion[[#This Row],[North East]] &gt;= $N$10, T$13 = "Yes" )</f>
        <v>0</v>
      </c>
      <c r="U202" s="23">
        <f xml:space="preserve"> -- AND( tblFilterRegion[[#This Row],[North West]] &gt;= $N$10, U$13 = "Yes" )</f>
        <v>0</v>
      </c>
      <c r="V202" s="23">
        <f xml:space="preserve"> -- AND( tblFilterRegion[[#This Row],[Yorkshire &amp; the Humber]] &gt;= $N$10, V$13 = "Yes" )</f>
        <v>0</v>
      </c>
      <c r="W202" s="22">
        <f xml:space="preserve"> SUMIF( $E$13:$M$13, "Yes", tblFilterRegion[[#This Row],[London]:[Yorkshire &amp; the Humber]] )</f>
        <v>0</v>
      </c>
      <c r="X202" s="23">
        <f xml:space="preserve"> -- ( SUM( tblFilterRegion[[#This Row],[Incl for Lon]:[Incl for YH]] ) &gt; 0 )</f>
        <v>0</v>
      </c>
      <c r="Y202" s="23">
        <f xml:space="preserve"> -- ( tblFilterRegion[[#This Row],[Total in selected regions]] &gt; $N$10 )</f>
        <v>0</v>
      </c>
      <c r="Z202" s="24">
        <f xml:space="preserve"> IF( RegionMinimum = 0, 1, IF( $R$10 = $U$8, tblFilterRegion[[#This Row],[Include for region - any]], IF( $R$10 = $U$10, tblFilterRegion[[#This Row],[Include for region - total]], "CHECK" ) ) )</f>
        <v>1</v>
      </c>
      <c r="AA202" s="131" t="str" cm="1">
        <f t="array" ref="AA202" xml:space="preserve"> INDEX( VfM_Metrics_2023_Consol_Source[], $D202, AA$14 )</f>
        <v>North West</v>
      </c>
    </row>
    <row r="203" spans="2:27" x14ac:dyDescent="0.2">
      <c r="B203" s="159" t="s" vm="188">
        <v>521</v>
      </c>
      <c r="C203" s="154" t="str" vm="376">
        <f xml:space="preserve"> INDEX( VfM_Metrics_2023_Consol_Source[RP_Code], MATCH( tblFilterRegion[[#This Row],[RP_Name]], VfM_Metrics_2023_Consol_Source[RP_Name], 0 ) )</f>
        <v>L4495</v>
      </c>
      <c r="D203" s="81">
        <f xml:space="preserve"> MATCH( tblFilterRegion[[#This Row],[RP_Code]], VfM_Metrics_2023_Consol_Source[RP_Code], 0 )</f>
        <v>188</v>
      </c>
      <c r="E203" s="22" cm="1">
        <f t="array" ref="E203" xml:space="preserve"> INDEX( VfM_Metrics_2023_Consol_Source[], $D203, E$14 )</f>
        <v>0</v>
      </c>
      <c r="F203" s="22" cm="1">
        <f t="array" ref="F203" xml:space="preserve"> INDEX( VfM_Metrics_2023_Consol_Source[], $D203, F$14 )</f>
        <v>0</v>
      </c>
      <c r="G203" s="22" cm="1">
        <f t="array" ref="G203" xml:space="preserve"> INDEX( VfM_Metrics_2023_Consol_Source[], $D203, G$14 )</f>
        <v>0</v>
      </c>
      <c r="H203" s="22" cm="1">
        <f t="array" ref="H203" xml:space="preserve"> INDEX( VfM_Metrics_2023_Consol_Source[], $D203, H$14 )</f>
        <v>0</v>
      </c>
      <c r="I203" s="22" cm="1">
        <f t="array" ref="I203" xml:space="preserve"> INDEX( VfM_Metrics_2023_Consol_Source[], $D203, I$14 )</f>
        <v>0</v>
      </c>
      <c r="J203" s="22" cm="1">
        <f t="array" ref="J203" xml:space="preserve"> INDEX( VfM_Metrics_2023_Consol_Source[], $D203, J$14 )</f>
        <v>1</v>
      </c>
      <c r="K203" s="22" cm="1">
        <f t="array" ref="K203" xml:space="preserve"> INDEX( VfM_Metrics_2023_Consol_Source[], $D203, K$14 )</f>
        <v>0</v>
      </c>
      <c r="L203" s="22" cm="1">
        <f t="array" ref="L203" xml:space="preserve"> INDEX( VfM_Metrics_2023_Consol_Source[], $D203, L$14 )</f>
        <v>0</v>
      </c>
      <c r="M203" s="22" cm="1">
        <f t="array" ref="M203" xml:space="preserve"> INDEX( VfM_Metrics_2023_Consol_Source[], $D203, M$14 )</f>
        <v>0</v>
      </c>
      <c r="N203" s="23">
        <f xml:space="preserve"> -- AND( tblFilterRegion[[#This Row],[London]] &gt;= $N$10, N$13 = "Yes" )</f>
        <v>0</v>
      </c>
      <c r="O203" s="23">
        <f xml:space="preserve"> -- AND( tblFilterRegion[[#This Row],[South East]] &gt;= $N$10, O$13 = "Yes" )</f>
        <v>0</v>
      </c>
      <c r="P203" s="23">
        <f xml:space="preserve"> -- AND( tblFilterRegion[[#This Row],[South West]] &gt;= $N$10, P$13 = "Yes" )</f>
        <v>0</v>
      </c>
      <c r="Q203" s="23">
        <f xml:space="preserve"> -- AND( tblFilterRegion[[#This Row],[East Midlands]] &gt;= $N$10, Q$13 = "Yes" )</f>
        <v>0</v>
      </c>
      <c r="R203" s="23">
        <f xml:space="preserve"> -- AND( tblFilterRegion[[#This Row],[West Midlands]] &gt;= $N$10, R$13 = "Yes" )</f>
        <v>0</v>
      </c>
      <c r="S203" s="23">
        <f xml:space="preserve"> -- AND( tblFilterRegion[[#This Row],[East of England]] &gt;= $N$10, S$13 = "Yes" )</f>
        <v>0</v>
      </c>
      <c r="T203" s="23">
        <f xml:space="preserve"> -- AND( tblFilterRegion[[#This Row],[North East]] &gt;= $N$10, T$13 = "Yes" )</f>
        <v>0</v>
      </c>
      <c r="U203" s="23">
        <f xml:space="preserve"> -- AND( tblFilterRegion[[#This Row],[North West]] &gt;= $N$10, U$13 = "Yes" )</f>
        <v>0</v>
      </c>
      <c r="V203" s="23">
        <f xml:space="preserve"> -- AND( tblFilterRegion[[#This Row],[Yorkshire &amp; the Humber]] &gt;= $N$10, V$13 = "Yes" )</f>
        <v>0</v>
      </c>
      <c r="W203" s="22">
        <f xml:space="preserve"> SUMIF( $E$13:$M$13, "Yes", tblFilterRegion[[#This Row],[London]:[Yorkshire &amp; the Humber]] )</f>
        <v>0</v>
      </c>
      <c r="X203" s="23">
        <f xml:space="preserve"> -- ( SUM( tblFilterRegion[[#This Row],[Incl for Lon]:[Incl for YH]] ) &gt; 0 )</f>
        <v>0</v>
      </c>
      <c r="Y203" s="23">
        <f xml:space="preserve"> -- ( tblFilterRegion[[#This Row],[Total in selected regions]] &gt; $N$10 )</f>
        <v>0</v>
      </c>
      <c r="Z203" s="24">
        <f xml:space="preserve"> IF( RegionMinimum = 0, 1, IF( $R$10 = $U$8, tblFilterRegion[[#This Row],[Include for region - any]], IF( $R$10 = $U$10, tblFilterRegion[[#This Row],[Include for region - total]], "CHECK" ) ) )</f>
        <v>1</v>
      </c>
      <c r="AA203" s="131" t="str" cm="1">
        <f t="array" ref="AA203" xml:space="preserve"> INDEX( VfM_Metrics_2023_Consol_Source[], $D203, AA$14 )</f>
        <v>East of England</v>
      </c>
    </row>
    <row r="204" spans="2:27" x14ac:dyDescent="0.2">
      <c r="B204" s="159" t="s" vm="189">
        <v>523</v>
      </c>
      <c r="C204" s="154" t="str" vm="307">
        <f xml:space="preserve"> INDEX( VfM_Metrics_2023_Consol_Source[RP_Code], MATCH( tblFilterRegion[[#This Row],[RP_Name]], VfM_Metrics_2023_Consol_Source[RP_Name], 0 ) )</f>
        <v>L4383</v>
      </c>
      <c r="D204" s="81">
        <f xml:space="preserve"> MATCH( tblFilterRegion[[#This Row],[RP_Code]], VfM_Metrics_2023_Consol_Source[RP_Code], 0 )</f>
        <v>189</v>
      </c>
      <c r="E204" s="22" cm="1">
        <f t="array" ref="E204" xml:space="preserve"> INDEX( VfM_Metrics_2023_Consol_Source[], $D204, E$14 )</f>
        <v>0.35296367112810706</v>
      </c>
      <c r="F204" s="22" cm="1">
        <f t="array" ref="F204" xml:space="preserve"> INDEX( VfM_Metrics_2023_Consol_Source[], $D204, F$14 )</f>
        <v>0</v>
      </c>
      <c r="G204" s="22" cm="1">
        <f t="array" ref="G204" xml:space="preserve"> INDEX( VfM_Metrics_2023_Consol_Source[], $D204, G$14 )</f>
        <v>0</v>
      </c>
      <c r="H204" s="22" cm="1">
        <f t="array" ref="H204" xml:space="preserve"> INDEX( VfM_Metrics_2023_Consol_Source[], $D204, H$14 )</f>
        <v>0</v>
      </c>
      <c r="I204" s="22" cm="1">
        <f t="array" ref="I204" xml:space="preserve"> INDEX( VfM_Metrics_2023_Consol_Source[], $D204, I$14 )</f>
        <v>0.64703632887189289</v>
      </c>
      <c r="J204" s="22" cm="1">
        <f t="array" ref="J204" xml:space="preserve"> INDEX( VfM_Metrics_2023_Consol_Source[], $D204, J$14 )</f>
        <v>0</v>
      </c>
      <c r="K204" s="22" cm="1">
        <f t="array" ref="K204" xml:space="preserve"> INDEX( VfM_Metrics_2023_Consol_Source[], $D204, K$14 )</f>
        <v>0</v>
      </c>
      <c r="L204" s="22" cm="1">
        <f t="array" ref="L204" xml:space="preserve"> INDEX( VfM_Metrics_2023_Consol_Source[], $D204, L$14 )</f>
        <v>0</v>
      </c>
      <c r="M204" s="22" cm="1">
        <f t="array" ref="M204" xml:space="preserve"> INDEX( VfM_Metrics_2023_Consol_Source[], $D204, M$14 )</f>
        <v>0</v>
      </c>
      <c r="N204" s="23">
        <f xml:space="preserve"> -- AND( tblFilterRegion[[#This Row],[London]] &gt;= $N$10, N$13 = "Yes" )</f>
        <v>0</v>
      </c>
      <c r="O204" s="23">
        <f xml:space="preserve"> -- AND( tblFilterRegion[[#This Row],[South East]] &gt;= $N$10, O$13 = "Yes" )</f>
        <v>0</v>
      </c>
      <c r="P204" s="23">
        <f xml:space="preserve"> -- AND( tblFilterRegion[[#This Row],[South West]] &gt;= $N$10, P$13 = "Yes" )</f>
        <v>0</v>
      </c>
      <c r="Q204" s="23">
        <f xml:space="preserve"> -- AND( tblFilterRegion[[#This Row],[East Midlands]] &gt;= $N$10, Q$13 = "Yes" )</f>
        <v>0</v>
      </c>
      <c r="R204" s="23">
        <f xml:space="preserve"> -- AND( tblFilterRegion[[#This Row],[West Midlands]] &gt;= $N$10, R$13 = "Yes" )</f>
        <v>0</v>
      </c>
      <c r="S204" s="23">
        <f xml:space="preserve"> -- AND( tblFilterRegion[[#This Row],[East of England]] &gt;= $N$10, S$13 = "Yes" )</f>
        <v>0</v>
      </c>
      <c r="T204" s="23">
        <f xml:space="preserve"> -- AND( tblFilterRegion[[#This Row],[North East]] &gt;= $N$10, T$13 = "Yes" )</f>
        <v>0</v>
      </c>
      <c r="U204" s="23">
        <f xml:space="preserve"> -- AND( tblFilterRegion[[#This Row],[North West]] &gt;= $N$10, U$13 = "Yes" )</f>
        <v>0</v>
      </c>
      <c r="V204" s="23">
        <f xml:space="preserve"> -- AND( tblFilterRegion[[#This Row],[Yorkshire &amp; the Humber]] &gt;= $N$10, V$13 = "Yes" )</f>
        <v>0</v>
      </c>
      <c r="W204" s="22">
        <f xml:space="preserve"> SUMIF( $E$13:$M$13, "Yes", tblFilterRegion[[#This Row],[London]:[Yorkshire &amp; the Humber]] )</f>
        <v>0</v>
      </c>
      <c r="X204" s="23">
        <f xml:space="preserve"> -- ( SUM( tblFilterRegion[[#This Row],[Incl for Lon]:[Incl for YH]] ) &gt; 0 )</f>
        <v>0</v>
      </c>
      <c r="Y204" s="23">
        <f xml:space="preserve"> -- ( tblFilterRegion[[#This Row],[Total in selected regions]] &gt; $N$10 )</f>
        <v>0</v>
      </c>
      <c r="Z204" s="24">
        <f xml:space="preserve"> IF( RegionMinimum = 0, 1, IF( $R$10 = $U$8, tblFilterRegion[[#This Row],[Include for region - any]], IF( $R$10 = $U$10, tblFilterRegion[[#This Row],[Include for region - total]], "CHECK" ) ) )</f>
        <v>1</v>
      </c>
      <c r="AA204" s="131" t="str" cm="1">
        <f t="array" ref="AA204" xml:space="preserve"> INDEX( VfM_Metrics_2023_Consol_Source[], $D204, AA$14 )</f>
        <v>West Midlands</v>
      </c>
    </row>
    <row r="205" spans="2:27" x14ac:dyDescent="0.2">
      <c r="B205" s="159" t="s" vm="190">
        <v>525</v>
      </c>
      <c r="C205" s="154" t="str" vm="372">
        <f xml:space="preserve"> INDEX( VfM_Metrics_2023_Consol_Source[RP_Code], MATCH( tblFilterRegion[[#This Row],[RP_Name]], VfM_Metrics_2023_Consol_Source[RP_Name], 0 ) )</f>
        <v>L4341</v>
      </c>
      <c r="D205" s="81">
        <f xml:space="preserve"> MATCH( tblFilterRegion[[#This Row],[RP_Code]], VfM_Metrics_2023_Consol_Source[RP_Code], 0 )</f>
        <v>190</v>
      </c>
      <c r="E205" s="22" cm="1">
        <f t="array" ref="E205" xml:space="preserve"> INDEX( VfM_Metrics_2023_Consol_Source[], $D205, E$14 )</f>
        <v>0</v>
      </c>
      <c r="F205" s="22" cm="1">
        <f t="array" ref="F205" xml:space="preserve"> INDEX( VfM_Metrics_2023_Consol_Source[], $D205, F$14 )</f>
        <v>0</v>
      </c>
      <c r="G205" s="22" cm="1">
        <f t="array" ref="G205" xml:space="preserve"> INDEX( VfM_Metrics_2023_Consol_Source[], $D205, G$14 )</f>
        <v>0</v>
      </c>
      <c r="H205" s="22" cm="1">
        <f t="array" ref="H205" xml:space="preserve"> INDEX( VfM_Metrics_2023_Consol_Source[], $D205, H$14 )</f>
        <v>0</v>
      </c>
      <c r="I205" s="22" cm="1">
        <f t="array" ref="I205" xml:space="preserve"> INDEX( VfM_Metrics_2023_Consol_Source[], $D205, I$14 )</f>
        <v>0</v>
      </c>
      <c r="J205" s="22" cm="1">
        <f t="array" ref="J205" xml:space="preserve"> INDEX( VfM_Metrics_2023_Consol_Source[], $D205, J$14 )</f>
        <v>0</v>
      </c>
      <c r="K205" s="22" cm="1">
        <f t="array" ref="K205" xml:space="preserve"> INDEX( VfM_Metrics_2023_Consol_Source[], $D205, K$14 )</f>
        <v>0</v>
      </c>
      <c r="L205" s="22" cm="1">
        <f t="array" ref="L205" xml:space="preserve"> INDEX( VfM_Metrics_2023_Consol_Source[], $D205, L$14 )</f>
        <v>1</v>
      </c>
      <c r="M205" s="22" cm="1">
        <f t="array" ref="M205" xml:space="preserve"> INDEX( VfM_Metrics_2023_Consol_Source[], $D205, M$14 )</f>
        <v>0</v>
      </c>
      <c r="N205" s="23">
        <f xml:space="preserve"> -- AND( tblFilterRegion[[#This Row],[London]] &gt;= $N$10, N$13 = "Yes" )</f>
        <v>0</v>
      </c>
      <c r="O205" s="23">
        <f xml:space="preserve"> -- AND( tblFilterRegion[[#This Row],[South East]] &gt;= $N$10, O$13 = "Yes" )</f>
        <v>0</v>
      </c>
      <c r="P205" s="23">
        <f xml:space="preserve"> -- AND( tblFilterRegion[[#This Row],[South West]] &gt;= $N$10, P$13 = "Yes" )</f>
        <v>0</v>
      </c>
      <c r="Q205" s="23">
        <f xml:space="preserve"> -- AND( tblFilterRegion[[#This Row],[East Midlands]] &gt;= $N$10, Q$13 = "Yes" )</f>
        <v>0</v>
      </c>
      <c r="R205" s="23">
        <f xml:space="preserve"> -- AND( tblFilterRegion[[#This Row],[West Midlands]] &gt;= $N$10, R$13 = "Yes" )</f>
        <v>0</v>
      </c>
      <c r="S205" s="23">
        <f xml:space="preserve"> -- AND( tblFilterRegion[[#This Row],[East of England]] &gt;= $N$10, S$13 = "Yes" )</f>
        <v>0</v>
      </c>
      <c r="T205" s="23">
        <f xml:space="preserve"> -- AND( tblFilterRegion[[#This Row],[North East]] &gt;= $N$10, T$13 = "Yes" )</f>
        <v>0</v>
      </c>
      <c r="U205" s="23">
        <f xml:space="preserve"> -- AND( tblFilterRegion[[#This Row],[North West]] &gt;= $N$10, U$13 = "Yes" )</f>
        <v>0</v>
      </c>
      <c r="V205" s="23">
        <f xml:space="preserve"> -- AND( tblFilterRegion[[#This Row],[Yorkshire &amp; the Humber]] &gt;= $N$10, V$13 = "Yes" )</f>
        <v>0</v>
      </c>
      <c r="W205" s="22">
        <f xml:space="preserve"> SUMIF( $E$13:$M$13, "Yes", tblFilterRegion[[#This Row],[London]:[Yorkshire &amp; the Humber]] )</f>
        <v>0</v>
      </c>
      <c r="X205" s="23">
        <f xml:space="preserve"> -- ( SUM( tblFilterRegion[[#This Row],[Incl for Lon]:[Incl for YH]] ) &gt; 0 )</f>
        <v>0</v>
      </c>
      <c r="Y205" s="23">
        <f xml:space="preserve"> -- ( tblFilterRegion[[#This Row],[Total in selected regions]] &gt; $N$10 )</f>
        <v>0</v>
      </c>
      <c r="Z205" s="24">
        <f xml:space="preserve"> IF( RegionMinimum = 0, 1, IF( $R$10 = $U$8, tblFilterRegion[[#This Row],[Include for region - any]], IF( $R$10 = $U$10, tblFilterRegion[[#This Row],[Include for region - total]], "CHECK" ) ) )</f>
        <v>1</v>
      </c>
      <c r="AA205" s="131" t="str" cm="1">
        <f t="array" ref="AA205" xml:space="preserve"> INDEX( VfM_Metrics_2023_Consol_Source[], $D205, AA$14 )</f>
        <v>North West</v>
      </c>
    </row>
    <row r="206" spans="2:27" x14ac:dyDescent="0.2">
      <c r="B206" s="159" t="s" vm="191">
        <v>527</v>
      </c>
      <c r="C206" s="154" t="str" vm="352">
        <f xml:space="preserve"> INDEX( VfM_Metrics_2023_Consol_Source[RP_Code], MATCH( tblFilterRegion[[#This Row],[RP_Name]], VfM_Metrics_2023_Consol_Source[RP_Name], 0 ) )</f>
        <v>LH3827</v>
      </c>
      <c r="D206" s="81">
        <f xml:space="preserve"> MATCH( tblFilterRegion[[#This Row],[RP_Code]], VfM_Metrics_2023_Consol_Source[RP_Code], 0 )</f>
        <v>191</v>
      </c>
      <c r="E206" s="22" cm="1">
        <f t="array" ref="E206" xml:space="preserve"> INDEX( VfM_Metrics_2023_Consol_Source[], $D206, E$14 )</f>
        <v>0</v>
      </c>
      <c r="F206" s="22" cm="1">
        <f t="array" ref="F206" xml:space="preserve"> INDEX( VfM_Metrics_2023_Consol_Source[], $D206, F$14 )</f>
        <v>1</v>
      </c>
      <c r="G206" s="22" cm="1">
        <f t="array" ref="G206" xml:space="preserve"> INDEX( VfM_Metrics_2023_Consol_Source[], $D206, G$14 )</f>
        <v>0</v>
      </c>
      <c r="H206" s="22" cm="1">
        <f t="array" ref="H206" xml:space="preserve"> INDEX( VfM_Metrics_2023_Consol_Source[], $D206, H$14 )</f>
        <v>0</v>
      </c>
      <c r="I206" s="22" cm="1">
        <f t="array" ref="I206" xml:space="preserve"> INDEX( VfM_Metrics_2023_Consol_Source[], $D206, I$14 )</f>
        <v>0</v>
      </c>
      <c r="J206" s="22" cm="1">
        <f t="array" ref="J206" xml:space="preserve"> INDEX( VfM_Metrics_2023_Consol_Source[], $D206, J$14 )</f>
        <v>0</v>
      </c>
      <c r="K206" s="22" cm="1">
        <f t="array" ref="K206" xml:space="preserve"> INDEX( VfM_Metrics_2023_Consol_Source[], $D206, K$14 )</f>
        <v>0</v>
      </c>
      <c r="L206" s="22" cm="1">
        <f t="array" ref="L206" xml:space="preserve"> INDEX( VfM_Metrics_2023_Consol_Source[], $D206, L$14 )</f>
        <v>0</v>
      </c>
      <c r="M206" s="22" cm="1">
        <f t="array" ref="M206" xml:space="preserve"> INDEX( VfM_Metrics_2023_Consol_Source[], $D206, M$14 )</f>
        <v>0</v>
      </c>
      <c r="N206" s="23">
        <f xml:space="preserve"> -- AND( tblFilterRegion[[#This Row],[London]] &gt;= $N$10, N$13 = "Yes" )</f>
        <v>0</v>
      </c>
      <c r="O206" s="23">
        <f xml:space="preserve"> -- AND( tblFilterRegion[[#This Row],[South East]] &gt;= $N$10, O$13 = "Yes" )</f>
        <v>0</v>
      </c>
      <c r="P206" s="23">
        <f xml:space="preserve"> -- AND( tblFilterRegion[[#This Row],[South West]] &gt;= $N$10, P$13 = "Yes" )</f>
        <v>0</v>
      </c>
      <c r="Q206" s="23">
        <f xml:space="preserve"> -- AND( tblFilterRegion[[#This Row],[East Midlands]] &gt;= $N$10, Q$13 = "Yes" )</f>
        <v>0</v>
      </c>
      <c r="R206" s="23">
        <f xml:space="preserve"> -- AND( tblFilterRegion[[#This Row],[West Midlands]] &gt;= $N$10, R$13 = "Yes" )</f>
        <v>0</v>
      </c>
      <c r="S206" s="23">
        <f xml:space="preserve"> -- AND( tblFilterRegion[[#This Row],[East of England]] &gt;= $N$10, S$13 = "Yes" )</f>
        <v>0</v>
      </c>
      <c r="T206" s="23">
        <f xml:space="preserve"> -- AND( tblFilterRegion[[#This Row],[North East]] &gt;= $N$10, T$13 = "Yes" )</f>
        <v>0</v>
      </c>
      <c r="U206" s="23">
        <f xml:space="preserve"> -- AND( tblFilterRegion[[#This Row],[North West]] &gt;= $N$10, U$13 = "Yes" )</f>
        <v>0</v>
      </c>
      <c r="V206" s="23">
        <f xml:space="preserve"> -- AND( tblFilterRegion[[#This Row],[Yorkshire &amp; the Humber]] &gt;= $N$10, V$13 = "Yes" )</f>
        <v>0</v>
      </c>
      <c r="W206" s="22">
        <f xml:space="preserve"> SUMIF( $E$13:$M$13, "Yes", tblFilterRegion[[#This Row],[London]:[Yorkshire &amp; the Humber]] )</f>
        <v>0</v>
      </c>
      <c r="X206" s="23">
        <f xml:space="preserve"> -- ( SUM( tblFilterRegion[[#This Row],[Incl for Lon]:[Incl for YH]] ) &gt; 0 )</f>
        <v>0</v>
      </c>
      <c r="Y206" s="23">
        <f xml:space="preserve"> -- ( tblFilterRegion[[#This Row],[Total in selected regions]] &gt; $N$10 )</f>
        <v>0</v>
      </c>
      <c r="Z206" s="24">
        <f xml:space="preserve"> IF( RegionMinimum = 0, 1, IF( $R$10 = $U$8, tblFilterRegion[[#This Row],[Include for region - any]], IF( $R$10 = $U$10, tblFilterRegion[[#This Row],[Include for region - total]], "CHECK" ) ) )</f>
        <v>1</v>
      </c>
      <c r="AA206" s="131" t="str" cm="1">
        <f t="array" ref="AA206" xml:space="preserve"> INDEX( VfM_Metrics_2023_Consol_Source[], $D206, AA$14 )</f>
        <v>South East</v>
      </c>
    </row>
    <row r="207" spans="2:27" x14ac:dyDescent="0.2">
      <c r="B207" s="159" t="s" vm="192">
        <v>529</v>
      </c>
      <c r="C207" s="154" t="str" vm="379">
        <f xml:space="preserve"> INDEX( VfM_Metrics_2023_Consol_Source[RP_Code], MATCH( tblFilterRegion[[#This Row],[RP_Name]], VfM_Metrics_2023_Consol_Source[RP_Name], 0 ) )</f>
        <v>4826</v>
      </c>
      <c r="D207" s="81">
        <f xml:space="preserve"> MATCH( tblFilterRegion[[#This Row],[RP_Code]], VfM_Metrics_2023_Consol_Source[RP_Code], 0 )</f>
        <v>192</v>
      </c>
      <c r="E207" s="22" cm="1">
        <f t="array" ref="E207" xml:space="preserve"> INDEX( VfM_Metrics_2023_Consol_Source[], $D207, E$14 )</f>
        <v>0</v>
      </c>
      <c r="F207" s="22" cm="1">
        <f t="array" ref="F207" xml:space="preserve"> INDEX( VfM_Metrics_2023_Consol_Source[], $D207, F$14 )</f>
        <v>0</v>
      </c>
      <c r="G207" s="22" cm="1">
        <f t="array" ref="G207" xml:space="preserve"> INDEX( VfM_Metrics_2023_Consol_Source[], $D207, G$14 )</f>
        <v>1</v>
      </c>
      <c r="H207" s="22" cm="1">
        <f t="array" ref="H207" xml:space="preserve"> INDEX( VfM_Metrics_2023_Consol_Source[], $D207, H$14 )</f>
        <v>0</v>
      </c>
      <c r="I207" s="22" cm="1">
        <f t="array" ref="I207" xml:space="preserve"> INDEX( VfM_Metrics_2023_Consol_Source[], $D207, I$14 )</f>
        <v>0</v>
      </c>
      <c r="J207" s="22" cm="1">
        <f t="array" ref="J207" xml:space="preserve"> INDEX( VfM_Metrics_2023_Consol_Source[], $D207, J$14 )</f>
        <v>0</v>
      </c>
      <c r="K207" s="22" cm="1">
        <f t="array" ref="K207" xml:space="preserve"> INDEX( VfM_Metrics_2023_Consol_Source[], $D207, K$14 )</f>
        <v>0</v>
      </c>
      <c r="L207" s="22" cm="1">
        <f t="array" ref="L207" xml:space="preserve"> INDEX( VfM_Metrics_2023_Consol_Source[], $D207, L$14 )</f>
        <v>0</v>
      </c>
      <c r="M207" s="22" cm="1">
        <f t="array" ref="M207" xml:space="preserve"> INDEX( VfM_Metrics_2023_Consol_Source[], $D207, M$14 )</f>
        <v>0</v>
      </c>
      <c r="N207" s="23">
        <f xml:space="preserve"> -- AND( tblFilterRegion[[#This Row],[London]] &gt;= $N$10, N$13 = "Yes" )</f>
        <v>0</v>
      </c>
      <c r="O207" s="23">
        <f xml:space="preserve"> -- AND( tblFilterRegion[[#This Row],[South East]] &gt;= $N$10, O$13 = "Yes" )</f>
        <v>0</v>
      </c>
      <c r="P207" s="23">
        <f xml:space="preserve"> -- AND( tblFilterRegion[[#This Row],[South West]] &gt;= $N$10, P$13 = "Yes" )</f>
        <v>0</v>
      </c>
      <c r="Q207" s="23">
        <f xml:space="preserve"> -- AND( tblFilterRegion[[#This Row],[East Midlands]] &gt;= $N$10, Q$13 = "Yes" )</f>
        <v>0</v>
      </c>
      <c r="R207" s="23">
        <f xml:space="preserve"> -- AND( tblFilterRegion[[#This Row],[West Midlands]] &gt;= $N$10, R$13 = "Yes" )</f>
        <v>0</v>
      </c>
      <c r="S207" s="23">
        <f xml:space="preserve"> -- AND( tblFilterRegion[[#This Row],[East of England]] &gt;= $N$10, S$13 = "Yes" )</f>
        <v>0</v>
      </c>
      <c r="T207" s="23">
        <f xml:space="preserve"> -- AND( tblFilterRegion[[#This Row],[North East]] &gt;= $N$10, T$13 = "Yes" )</f>
        <v>0</v>
      </c>
      <c r="U207" s="23">
        <f xml:space="preserve"> -- AND( tblFilterRegion[[#This Row],[North West]] &gt;= $N$10, U$13 = "Yes" )</f>
        <v>0</v>
      </c>
      <c r="V207" s="23">
        <f xml:space="preserve"> -- AND( tblFilterRegion[[#This Row],[Yorkshire &amp; the Humber]] &gt;= $N$10, V$13 = "Yes" )</f>
        <v>0</v>
      </c>
      <c r="W207" s="22">
        <f xml:space="preserve"> SUMIF( $E$13:$M$13, "Yes", tblFilterRegion[[#This Row],[London]:[Yorkshire &amp; the Humber]] )</f>
        <v>0</v>
      </c>
      <c r="X207" s="23">
        <f xml:space="preserve"> -- ( SUM( tblFilterRegion[[#This Row],[Incl for Lon]:[Incl for YH]] ) &gt; 0 )</f>
        <v>0</v>
      </c>
      <c r="Y207" s="23">
        <f xml:space="preserve"> -- ( tblFilterRegion[[#This Row],[Total in selected regions]] &gt; $N$10 )</f>
        <v>0</v>
      </c>
      <c r="Z207" s="24">
        <f xml:space="preserve"> IF( RegionMinimum = 0, 1, IF( $R$10 = $U$8, tblFilterRegion[[#This Row],[Include for region - any]], IF( $R$10 = $U$10, tblFilterRegion[[#This Row],[Include for region - total]], "CHECK" ) ) )</f>
        <v>1</v>
      </c>
      <c r="AA207" s="131" t="str" cm="1">
        <f t="array" ref="AA207" xml:space="preserve"> INDEX( VfM_Metrics_2023_Consol_Source[], $D207, AA$14 )</f>
        <v>South West</v>
      </c>
    </row>
    <row r="208" spans="2:27" x14ac:dyDescent="0.2">
      <c r="B208" s="159" t="s" vm="193">
        <v>531</v>
      </c>
      <c r="C208" s="154" t="str" vm="222">
        <f xml:space="preserve"> INDEX( VfM_Metrics_2023_Consol_Source[RP_Code], MATCH( tblFilterRegion[[#This Row],[RP_Name]], VfM_Metrics_2023_Consol_Source[RP_Name], 0 ) )</f>
        <v>L2424</v>
      </c>
      <c r="D208" s="81">
        <f xml:space="preserve"> MATCH( tblFilterRegion[[#This Row],[RP_Code]], VfM_Metrics_2023_Consol_Source[RP_Code], 0 )</f>
        <v>193</v>
      </c>
      <c r="E208" s="22" cm="1">
        <f t="array" ref="E208" xml:space="preserve"> INDEX( VfM_Metrics_2023_Consol_Source[], $D208, E$14 )</f>
        <v>0</v>
      </c>
      <c r="F208" s="22" cm="1">
        <f t="array" ref="F208" xml:space="preserve"> INDEX( VfM_Metrics_2023_Consol_Source[], $D208, F$14 )</f>
        <v>0</v>
      </c>
      <c r="G208" s="22" cm="1">
        <f t="array" ref="G208" xml:space="preserve"> INDEX( VfM_Metrics_2023_Consol_Source[], $D208, G$14 )</f>
        <v>1</v>
      </c>
      <c r="H208" s="22" cm="1">
        <f t="array" ref="H208" xml:space="preserve"> INDEX( VfM_Metrics_2023_Consol_Source[], $D208, H$14 )</f>
        <v>0</v>
      </c>
      <c r="I208" s="22" cm="1">
        <f t="array" ref="I208" xml:space="preserve"> INDEX( VfM_Metrics_2023_Consol_Source[], $D208, I$14 )</f>
        <v>0</v>
      </c>
      <c r="J208" s="22" cm="1">
        <f t="array" ref="J208" xml:space="preserve"> INDEX( VfM_Metrics_2023_Consol_Source[], $D208, J$14 )</f>
        <v>0</v>
      </c>
      <c r="K208" s="22" cm="1">
        <f t="array" ref="K208" xml:space="preserve"> INDEX( VfM_Metrics_2023_Consol_Source[], $D208, K$14 )</f>
        <v>0</v>
      </c>
      <c r="L208" s="22" cm="1">
        <f t="array" ref="L208" xml:space="preserve"> INDEX( VfM_Metrics_2023_Consol_Source[], $D208, L$14 )</f>
        <v>0</v>
      </c>
      <c r="M208" s="22" cm="1">
        <f t="array" ref="M208" xml:space="preserve"> INDEX( VfM_Metrics_2023_Consol_Source[], $D208, M$14 )</f>
        <v>0</v>
      </c>
      <c r="N208" s="23">
        <f xml:space="preserve"> -- AND( tblFilterRegion[[#This Row],[London]] &gt;= $N$10, N$13 = "Yes" )</f>
        <v>0</v>
      </c>
      <c r="O208" s="23">
        <f xml:space="preserve"> -- AND( tblFilterRegion[[#This Row],[South East]] &gt;= $N$10, O$13 = "Yes" )</f>
        <v>0</v>
      </c>
      <c r="P208" s="23">
        <f xml:space="preserve"> -- AND( tblFilterRegion[[#This Row],[South West]] &gt;= $N$10, P$13 = "Yes" )</f>
        <v>0</v>
      </c>
      <c r="Q208" s="23">
        <f xml:space="preserve"> -- AND( tblFilterRegion[[#This Row],[East Midlands]] &gt;= $N$10, Q$13 = "Yes" )</f>
        <v>0</v>
      </c>
      <c r="R208" s="23">
        <f xml:space="preserve"> -- AND( tblFilterRegion[[#This Row],[West Midlands]] &gt;= $N$10, R$13 = "Yes" )</f>
        <v>0</v>
      </c>
      <c r="S208" s="23">
        <f xml:space="preserve"> -- AND( tblFilterRegion[[#This Row],[East of England]] &gt;= $N$10, S$13 = "Yes" )</f>
        <v>0</v>
      </c>
      <c r="T208" s="23">
        <f xml:space="preserve"> -- AND( tblFilterRegion[[#This Row],[North East]] &gt;= $N$10, T$13 = "Yes" )</f>
        <v>0</v>
      </c>
      <c r="U208" s="23">
        <f xml:space="preserve"> -- AND( tblFilterRegion[[#This Row],[North West]] &gt;= $N$10, U$13 = "Yes" )</f>
        <v>0</v>
      </c>
      <c r="V208" s="23">
        <f xml:space="preserve"> -- AND( tblFilterRegion[[#This Row],[Yorkshire &amp; the Humber]] &gt;= $N$10, V$13 = "Yes" )</f>
        <v>0</v>
      </c>
      <c r="W208" s="22">
        <f xml:space="preserve"> SUMIF( $E$13:$M$13, "Yes", tblFilterRegion[[#This Row],[London]:[Yorkshire &amp; the Humber]] )</f>
        <v>0</v>
      </c>
      <c r="X208" s="23">
        <f xml:space="preserve"> -- ( SUM( tblFilterRegion[[#This Row],[Incl for Lon]:[Incl for YH]] ) &gt; 0 )</f>
        <v>0</v>
      </c>
      <c r="Y208" s="23">
        <f xml:space="preserve"> -- ( tblFilterRegion[[#This Row],[Total in selected regions]] &gt; $N$10 )</f>
        <v>0</v>
      </c>
      <c r="Z208" s="24">
        <f xml:space="preserve"> IF( RegionMinimum = 0, 1, IF( $R$10 = $U$8, tblFilterRegion[[#This Row],[Include for region - any]], IF( $R$10 = $U$10, tblFilterRegion[[#This Row],[Include for region - total]], "CHECK" ) ) )</f>
        <v>1</v>
      </c>
      <c r="AA208" s="131" t="str" cm="1">
        <f t="array" ref="AA208" xml:space="preserve"> INDEX( VfM_Metrics_2023_Consol_Source[], $D208, AA$14 )</f>
        <v>South West</v>
      </c>
    </row>
    <row r="209" spans="2:27" x14ac:dyDescent="0.2">
      <c r="B209" s="159" t="s" vm="194">
        <v>533</v>
      </c>
      <c r="C209" s="154" t="str" vm="332">
        <f xml:space="preserve"> INDEX( VfM_Metrics_2023_Consol_Source[RP_Code], MATCH( tblFilterRegion[[#This Row],[RP_Name]], VfM_Metrics_2023_Consol_Source[RP_Name], 0 ) )</f>
        <v>LH4208</v>
      </c>
      <c r="D209" s="81">
        <f xml:space="preserve"> MATCH( tblFilterRegion[[#This Row],[RP_Code]], VfM_Metrics_2023_Consol_Source[RP_Code], 0 )</f>
        <v>194</v>
      </c>
      <c r="E209" s="22" cm="1">
        <f t="array" ref="E209" xml:space="preserve"> INDEX( VfM_Metrics_2023_Consol_Source[], $D209, E$14 )</f>
        <v>0</v>
      </c>
      <c r="F209" s="22" cm="1">
        <f t="array" ref="F209" xml:space="preserve"> INDEX( VfM_Metrics_2023_Consol_Source[], $D209, F$14 )</f>
        <v>1</v>
      </c>
      <c r="G209" s="22" cm="1">
        <f t="array" ref="G209" xml:space="preserve"> INDEX( VfM_Metrics_2023_Consol_Source[], $D209, G$14 )</f>
        <v>0</v>
      </c>
      <c r="H209" s="22" cm="1">
        <f t="array" ref="H209" xml:space="preserve"> INDEX( VfM_Metrics_2023_Consol_Source[], $D209, H$14 )</f>
        <v>0</v>
      </c>
      <c r="I209" s="22" cm="1">
        <f t="array" ref="I209" xml:space="preserve"> INDEX( VfM_Metrics_2023_Consol_Source[], $D209, I$14 )</f>
        <v>0</v>
      </c>
      <c r="J209" s="22" cm="1">
        <f t="array" ref="J209" xml:space="preserve"> INDEX( VfM_Metrics_2023_Consol_Source[], $D209, J$14 )</f>
        <v>0</v>
      </c>
      <c r="K209" s="22" cm="1">
        <f t="array" ref="K209" xml:space="preserve"> INDEX( VfM_Metrics_2023_Consol_Source[], $D209, K$14 )</f>
        <v>0</v>
      </c>
      <c r="L209" s="22" cm="1">
        <f t="array" ref="L209" xml:space="preserve"> INDEX( VfM_Metrics_2023_Consol_Source[], $D209, L$14 )</f>
        <v>0</v>
      </c>
      <c r="M209" s="22" cm="1">
        <f t="array" ref="M209" xml:space="preserve"> INDEX( VfM_Metrics_2023_Consol_Source[], $D209, M$14 )</f>
        <v>0</v>
      </c>
      <c r="N209" s="23">
        <f xml:space="preserve"> -- AND( tblFilterRegion[[#This Row],[London]] &gt;= $N$10, N$13 = "Yes" )</f>
        <v>0</v>
      </c>
      <c r="O209" s="23">
        <f xml:space="preserve"> -- AND( tblFilterRegion[[#This Row],[South East]] &gt;= $N$10, O$13 = "Yes" )</f>
        <v>0</v>
      </c>
      <c r="P209" s="23">
        <f xml:space="preserve"> -- AND( tblFilterRegion[[#This Row],[South West]] &gt;= $N$10, P$13 = "Yes" )</f>
        <v>0</v>
      </c>
      <c r="Q209" s="23">
        <f xml:space="preserve"> -- AND( tblFilterRegion[[#This Row],[East Midlands]] &gt;= $N$10, Q$13 = "Yes" )</f>
        <v>0</v>
      </c>
      <c r="R209" s="23">
        <f xml:space="preserve"> -- AND( tblFilterRegion[[#This Row],[West Midlands]] &gt;= $N$10, R$13 = "Yes" )</f>
        <v>0</v>
      </c>
      <c r="S209" s="23">
        <f xml:space="preserve"> -- AND( tblFilterRegion[[#This Row],[East of England]] &gt;= $N$10, S$13 = "Yes" )</f>
        <v>0</v>
      </c>
      <c r="T209" s="23">
        <f xml:space="preserve"> -- AND( tblFilterRegion[[#This Row],[North East]] &gt;= $N$10, T$13 = "Yes" )</f>
        <v>0</v>
      </c>
      <c r="U209" s="23">
        <f xml:space="preserve"> -- AND( tblFilterRegion[[#This Row],[North West]] &gt;= $N$10, U$13 = "Yes" )</f>
        <v>0</v>
      </c>
      <c r="V209" s="23">
        <f xml:space="preserve"> -- AND( tblFilterRegion[[#This Row],[Yorkshire &amp; the Humber]] &gt;= $N$10, V$13 = "Yes" )</f>
        <v>0</v>
      </c>
      <c r="W209" s="22">
        <f xml:space="preserve"> SUMIF( $E$13:$M$13, "Yes", tblFilterRegion[[#This Row],[London]:[Yorkshire &amp; the Humber]] )</f>
        <v>0</v>
      </c>
      <c r="X209" s="23">
        <f xml:space="preserve"> -- ( SUM( tblFilterRegion[[#This Row],[Incl for Lon]:[Incl for YH]] ) &gt; 0 )</f>
        <v>0</v>
      </c>
      <c r="Y209" s="23">
        <f xml:space="preserve"> -- ( tblFilterRegion[[#This Row],[Total in selected regions]] &gt; $N$10 )</f>
        <v>0</v>
      </c>
      <c r="Z209" s="24">
        <f xml:space="preserve"> IF( RegionMinimum = 0, 1, IF( $R$10 = $U$8, tblFilterRegion[[#This Row],[Include for region - any]], IF( $R$10 = $U$10, tblFilterRegion[[#This Row],[Include for region - total]], "CHECK" ) ) )</f>
        <v>1</v>
      </c>
      <c r="AA209" s="131" t="str" cm="1">
        <f t="array" ref="AA209" xml:space="preserve"> INDEX( VfM_Metrics_2023_Consol_Source[], $D209, AA$14 )</f>
        <v>South East</v>
      </c>
    </row>
    <row r="210" spans="2:27" x14ac:dyDescent="0.2">
      <c r="B210" s="159" t="s" vm="195">
        <v>535</v>
      </c>
      <c r="C210" s="154" t="str" vm="280">
        <f xml:space="preserve"> INDEX( VfM_Metrics_2023_Consol_Source[RP_Code], MATCH( tblFilterRegion[[#This Row],[RP_Name]], VfM_Metrics_2023_Consol_Source[RP_Name], 0 ) )</f>
        <v>L4219</v>
      </c>
      <c r="D210" s="81">
        <f xml:space="preserve"> MATCH( tblFilterRegion[[#This Row],[RP_Code]], VfM_Metrics_2023_Consol_Source[RP_Code], 0 )</f>
        <v>195</v>
      </c>
      <c r="E210" s="22" cm="1">
        <f t="array" ref="E210" xml:space="preserve"> INDEX( VfM_Metrics_2023_Consol_Source[], $D210, E$14 )</f>
        <v>0</v>
      </c>
      <c r="F210" s="22" cm="1">
        <f t="array" ref="F210" xml:space="preserve"> INDEX( VfM_Metrics_2023_Consol_Source[], $D210, F$14 )</f>
        <v>0</v>
      </c>
      <c r="G210" s="22" cm="1">
        <f t="array" ref="G210" xml:space="preserve"> INDEX( VfM_Metrics_2023_Consol_Source[], $D210, G$14 )</f>
        <v>0</v>
      </c>
      <c r="H210" s="22" cm="1">
        <f t="array" ref="H210" xml:space="preserve"> INDEX( VfM_Metrics_2023_Consol_Source[], $D210, H$14 )</f>
        <v>0</v>
      </c>
      <c r="I210" s="22" cm="1">
        <f t="array" ref="I210" xml:space="preserve"> INDEX( VfM_Metrics_2023_Consol_Source[], $D210, I$14 )</f>
        <v>0</v>
      </c>
      <c r="J210" s="22" cm="1">
        <f t="array" ref="J210" xml:space="preserve"> INDEX( VfM_Metrics_2023_Consol_Source[], $D210, J$14 )</f>
        <v>0</v>
      </c>
      <c r="K210" s="22" cm="1">
        <f t="array" ref="K210" xml:space="preserve"> INDEX( VfM_Metrics_2023_Consol_Source[], $D210, K$14 )</f>
        <v>0</v>
      </c>
      <c r="L210" s="22" cm="1">
        <f t="array" ref="L210" xml:space="preserve"> INDEX( VfM_Metrics_2023_Consol_Source[], $D210, L$14 )</f>
        <v>1</v>
      </c>
      <c r="M210" s="22" cm="1">
        <f t="array" ref="M210" xml:space="preserve"> INDEX( VfM_Metrics_2023_Consol_Source[], $D210, M$14 )</f>
        <v>0</v>
      </c>
      <c r="N210" s="23">
        <f xml:space="preserve"> -- AND( tblFilterRegion[[#This Row],[London]] &gt;= $N$10, N$13 = "Yes" )</f>
        <v>0</v>
      </c>
      <c r="O210" s="23">
        <f xml:space="preserve"> -- AND( tblFilterRegion[[#This Row],[South East]] &gt;= $N$10, O$13 = "Yes" )</f>
        <v>0</v>
      </c>
      <c r="P210" s="23">
        <f xml:space="preserve"> -- AND( tblFilterRegion[[#This Row],[South West]] &gt;= $N$10, P$13 = "Yes" )</f>
        <v>0</v>
      </c>
      <c r="Q210" s="23">
        <f xml:space="preserve"> -- AND( tblFilterRegion[[#This Row],[East Midlands]] &gt;= $N$10, Q$13 = "Yes" )</f>
        <v>0</v>
      </c>
      <c r="R210" s="23">
        <f xml:space="preserve"> -- AND( tblFilterRegion[[#This Row],[West Midlands]] &gt;= $N$10, R$13 = "Yes" )</f>
        <v>0</v>
      </c>
      <c r="S210" s="23">
        <f xml:space="preserve"> -- AND( tblFilterRegion[[#This Row],[East of England]] &gt;= $N$10, S$13 = "Yes" )</f>
        <v>0</v>
      </c>
      <c r="T210" s="23">
        <f xml:space="preserve"> -- AND( tblFilterRegion[[#This Row],[North East]] &gt;= $N$10, T$13 = "Yes" )</f>
        <v>0</v>
      </c>
      <c r="U210" s="23">
        <f xml:space="preserve"> -- AND( tblFilterRegion[[#This Row],[North West]] &gt;= $N$10, U$13 = "Yes" )</f>
        <v>0</v>
      </c>
      <c r="V210" s="23">
        <f xml:space="preserve"> -- AND( tblFilterRegion[[#This Row],[Yorkshire &amp; the Humber]] &gt;= $N$10, V$13 = "Yes" )</f>
        <v>0</v>
      </c>
      <c r="W210" s="22">
        <f xml:space="preserve"> SUMIF( $E$13:$M$13, "Yes", tblFilterRegion[[#This Row],[London]:[Yorkshire &amp; the Humber]] )</f>
        <v>0</v>
      </c>
      <c r="X210" s="23">
        <f xml:space="preserve"> -- ( SUM( tblFilterRegion[[#This Row],[Incl for Lon]:[Incl for YH]] ) &gt; 0 )</f>
        <v>0</v>
      </c>
      <c r="Y210" s="23">
        <f xml:space="preserve"> -- ( tblFilterRegion[[#This Row],[Total in selected regions]] &gt; $N$10 )</f>
        <v>0</v>
      </c>
      <c r="Z210" s="24">
        <f xml:space="preserve"> IF( RegionMinimum = 0, 1, IF( $R$10 = $U$8, tblFilterRegion[[#This Row],[Include for region - any]], IF( $R$10 = $U$10, tblFilterRegion[[#This Row],[Include for region - total]], "CHECK" ) ) )</f>
        <v>1</v>
      </c>
      <c r="AA210" s="131" t="str" cm="1">
        <f t="array" ref="AA210" xml:space="preserve"> INDEX( VfM_Metrics_2023_Consol_Source[], $D210, AA$14 )</f>
        <v>North West</v>
      </c>
    </row>
    <row r="211" spans="2:27" x14ac:dyDescent="0.2">
      <c r="B211" s="159" t="s" vm="196">
        <v>537</v>
      </c>
      <c r="C211" s="154" t="str" vm="205">
        <f xml:space="preserve"> INDEX( VfM_Metrics_2023_Consol_Source[RP_Code], MATCH( tblFilterRegion[[#This Row],[RP_Name]], VfM_Metrics_2023_Consol_Source[RP_Name], 0 ) )</f>
        <v>LH4078</v>
      </c>
      <c r="D211" s="81">
        <f xml:space="preserve"> MATCH( tblFilterRegion[[#This Row],[RP_Code]], VfM_Metrics_2023_Consol_Source[RP_Code], 0 )</f>
        <v>196</v>
      </c>
      <c r="E211" s="22" cm="1">
        <f t="array" ref="E211" xml:space="preserve"> INDEX( VfM_Metrics_2023_Consol_Source[], $D211, E$14 )</f>
        <v>0.94663167104111989</v>
      </c>
      <c r="F211" s="22" cm="1">
        <f t="array" ref="F211" xml:space="preserve"> INDEX( VfM_Metrics_2023_Consol_Source[], $D211, F$14 )</f>
        <v>5.3368328958880142E-2</v>
      </c>
      <c r="G211" s="22" cm="1">
        <f t="array" ref="G211" xml:space="preserve"> INDEX( VfM_Metrics_2023_Consol_Source[], $D211, G$14 )</f>
        <v>0</v>
      </c>
      <c r="H211" s="22" cm="1">
        <f t="array" ref="H211" xml:space="preserve"> INDEX( VfM_Metrics_2023_Consol_Source[], $D211, H$14 )</f>
        <v>0</v>
      </c>
      <c r="I211" s="22" cm="1">
        <f t="array" ref="I211" xml:space="preserve"> INDEX( VfM_Metrics_2023_Consol_Source[], $D211, I$14 )</f>
        <v>0</v>
      </c>
      <c r="J211" s="22" cm="1">
        <f t="array" ref="J211" xml:space="preserve"> INDEX( VfM_Metrics_2023_Consol_Source[], $D211, J$14 )</f>
        <v>0</v>
      </c>
      <c r="K211" s="22" cm="1">
        <f t="array" ref="K211" xml:space="preserve"> INDEX( VfM_Metrics_2023_Consol_Source[], $D211, K$14 )</f>
        <v>0</v>
      </c>
      <c r="L211" s="22" cm="1">
        <f t="array" ref="L211" xml:space="preserve"> INDEX( VfM_Metrics_2023_Consol_Source[], $D211, L$14 )</f>
        <v>0</v>
      </c>
      <c r="M211" s="22" cm="1">
        <f t="array" ref="M211" xml:space="preserve"> INDEX( VfM_Metrics_2023_Consol_Source[], $D211, M$14 )</f>
        <v>0</v>
      </c>
      <c r="N211" s="23">
        <f xml:space="preserve"> -- AND( tblFilterRegion[[#This Row],[London]] &gt;= $N$10, N$13 = "Yes" )</f>
        <v>0</v>
      </c>
      <c r="O211" s="23">
        <f xml:space="preserve"> -- AND( tblFilterRegion[[#This Row],[South East]] &gt;= $N$10, O$13 = "Yes" )</f>
        <v>0</v>
      </c>
      <c r="P211" s="23">
        <f xml:space="preserve"> -- AND( tblFilterRegion[[#This Row],[South West]] &gt;= $N$10, P$13 = "Yes" )</f>
        <v>0</v>
      </c>
      <c r="Q211" s="23">
        <f xml:space="preserve"> -- AND( tblFilterRegion[[#This Row],[East Midlands]] &gt;= $N$10, Q$13 = "Yes" )</f>
        <v>0</v>
      </c>
      <c r="R211" s="23">
        <f xml:space="preserve"> -- AND( tblFilterRegion[[#This Row],[West Midlands]] &gt;= $N$10, R$13 = "Yes" )</f>
        <v>0</v>
      </c>
      <c r="S211" s="23">
        <f xml:space="preserve"> -- AND( tblFilterRegion[[#This Row],[East of England]] &gt;= $N$10, S$13 = "Yes" )</f>
        <v>0</v>
      </c>
      <c r="T211" s="23">
        <f xml:space="preserve"> -- AND( tblFilterRegion[[#This Row],[North East]] &gt;= $N$10, T$13 = "Yes" )</f>
        <v>0</v>
      </c>
      <c r="U211" s="23">
        <f xml:space="preserve"> -- AND( tblFilterRegion[[#This Row],[North West]] &gt;= $N$10, U$13 = "Yes" )</f>
        <v>0</v>
      </c>
      <c r="V211" s="23">
        <f xml:space="preserve"> -- AND( tblFilterRegion[[#This Row],[Yorkshire &amp; the Humber]] &gt;= $N$10, V$13 = "Yes" )</f>
        <v>0</v>
      </c>
      <c r="W211" s="22">
        <f xml:space="preserve"> SUMIF( $E$13:$M$13, "Yes", tblFilterRegion[[#This Row],[London]:[Yorkshire &amp; the Humber]] )</f>
        <v>0</v>
      </c>
      <c r="X211" s="23">
        <f xml:space="preserve"> -- ( SUM( tblFilterRegion[[#This Row],[Incl for Lon]:[Incl for YH]] ) &gt; 0 )</f>
        <v>0</v>
      </c>
      <c r="Y211" s="23">
        <f xml:space="preserve"> -- ( tblFilterRegion[[#This Row],[Total in selected regions]] &gt; $N$10 )</f>
        <v>0</v>
      </c>
      <c r="Z211" s="24">
        <f xml:space="preserve"> IF( RegionMinimum = 0, 1, IF( $R$10 = $U$8, tblFilterRegion[[#This Row],[Include for region - any]], IF( $R$10 = $U$10, tblFilterRegion[[#This Row],[Include for region - total]], "CHECK" ) ) )</f>
        <v>1</v>
      </c>
      <c r="AA211" s="131" t="str" cm="1">
        <f t="array" ref="AA211" xml:space="preserve"> INDEX( VfM_Metrics_2023_Consol_Source[], $D211, AA$14 )</f>
        <v>London</v>
      </c>
    </row>
    <row r="212" spans="2:27" x14ac:dyDescent="0.2">
      <c r="B212" s="159" t="s" vm="197">
        <v>539</v>
      </c>
      <c r="C212" s="154" t="str" vm="281">
        <f xml:space="preserve"> INDEX( VfM_Metrics_2023_Consol_Source[RP_Code], MATCH( tblFilterRegion[[#This Row],[RP_Name]], VfM_Metrics_2023_Consol_Source[RP_Name], 0 ) )</f>
        <v>L4521</v>
      </c>
      <c r="D212" s="81">
        <f xml:space="preserve"> MATCH( tblFilterRegion[[#This Row],[RP_Code]], VfM_Metrics_2023_Consol_Source[RP_Code], 0 )</f>
        <v>197</v>
      </c>
      <c r="E212" s="22" cm="1">
        <f t="array" ref="E212" xml:space="preserve"> INDEX( VfM_Metrics_2023_Consol_Source[], $D212, E$14 )</f>
        <v>0</v>
      </c>
      <c r="F212" s="22" cm="1">
        <f t="array" ref="F212" xml:space="preserve"> INDEX( VfM_Metrics_2023_Consol_Source[], $D212, F$14 )</f>
        <v>0</v>
      </c>
      <c r="G212" s="22" cm="1">
        <f t="array" ref="G212" xml:space="preserve"> INDEX( VfM_Metrics_2023_Consol_Source[], $D212, G$14 )</f>
        <v>0</v>
      </c>
      <c r="H212" s="22" cm="1">
        <f t="array" ref="H212" xml:space="preserve"> INDEX( VfM_Metrics_2023_Consol_Source[], $D212, H$14 )</f>
        <v>0</v>
      </c>
      <c r="I212" s="22" cm="1">
        <f t="array" ref="I212" xml:space="preserve"> INDEX( VfM_Metrics_2023_Consol_Source[], $D212, I$14 )</f>
        <v>0</v>
      </c>
      <c r="J212" s="22" cm="1">
        <f t="array" ref="J212" xml:space="preserve"> INDEX( VfM_Metrics_2023_Consol_Source[], $D212, J$14 )</f>
        <v>0</v>
      </c>
      <c r="K212" s="22" cm="1">
        <f t="array" ref="K212" xml:space="preserve"> INDEX( VfM_Metrics_2023_Consol_Source[], $D212, K$14 )</f>
        <v>0</v>
      </c>
      <c r="L212" s="22" cm="1">
        <f t="array" ref="L212" xml:space="preserve"> INDEX( VfM_Metrics_2023_Consol_Source[], $D212, L$14 )</f>
        <v>1.3405574484723231E-3</v>
      </c>
      <c r="M212" s="22" cm="1">
        <f t="array" ref="M212" xml:space="preserve"> INDEX( VfM_Metrics_2023_Consol_Source[], $D212, M$14 )</f>
        <v>0.99865944255152772</v>
      </c>
      <c r="N212" s="23">
        <f xml:space="preserve"> -- AND( tblFilterRegion[[#This Row],[London]] &gt;= $N$10, N$13 = "Yes" )</f>
        <v>0</v>
      </c>
      <c r="O212" s="23">
        <f xml:space="preserve"> -- AND( tblFilterRegion[[#This Row],[South East]] &gt;= $N$10, O$13 = "Yes" )</f>
        <v>0</v>
      </c>
      <c r="P212" s="23">
        <f xml:space="preserve"> -- AND( tblFilterRegion[[#This Row],[South West]] &gt;= $N$10, P$13 = "Yes" )</f>
        <v>0</v>
      </c>
      <c r="Q212" s="23">
        <f xml:space="preserve"> -- AND( tblFilterRegion[[#This Row],[East Midlands]] &gt;= $N$10, Q$13 = "Yes" )</f>
        <v>0</v>
      </c>
      <c r="R212" s="23">
        <f xml:space="preserve"> -- AND( tblFilterRegion[[#This Row],[West Midlands]] &gt;= $N$10, R$13 = "Yes" )</f>
        <v>0</v>
      </c>
      <c r="S212" s="23">
        <f xml:space="preserve"> -- AND( tblFilterRegion[[#This Row],[East of England]] &gt;= $N$10, S$13 = "Yes" )</f>
        <v>0</v>
      </c>
      <c r="T212" s="23">
        <f xml:space="preserve"> -- AND( tblFilterRegion[[#This Row],[North East]] &gt;= $N$10, T$13 = "Yes" )</f>
        <v>0</v>
      </c>
      <c r="U212" s="23">
        <f xml:space="preserve"> -- AND( tblFilterRegion[[#This Row],[North West]] &gt;= $N$10, U$13 = "Yes" )</f>
        <v>0</v>
      </c>
      <c r="V212" s="23">
        <f xml:space="preserve"> -- AND( tblFilterRegion[[#This Row],[Yorkshire &amp; the Humber]] &gt;= $N$10, V$13 = "Yes" )</f>
        <v>0</v>
      </c>
      <c r="W212" s="22">
        <f xml:space="preserve"> SUMIF( $E$13:$M$13, "Yes", tblFilterRegion[[#This Row],[London]:[Yorkshire &amp; the Humber]] )</f>
        <v>0</v>
      </c>
      <c r="X212" s="23">
        <f xml:space="preserve"> -- ( SUM( tblFilterRegion[[#This Row],[Incl for Lon]:[Incl for YH]] ) &gt; 0 )</f>
        <v>0</v>
      </c>
      <c r="Y212" s="23">
        <f xml:space="preserve"> -- ( tblFilterRegion[[#This Row],[Total in selected regions]] &gt; $N$10 )</f>
        <v>0</v>
      </c>
      <c r="Z212" s="24">
        <f xml:space="preserve"> IF( RegionMinimum = 0, 1, IF( $R$10 = $U$8, tblFilterRegion[[#This Row],[Include for region - any]], IF( $R$10 = $U$10, tblFilterRegion[[#This Row],[Include for region - total]], "CHECK" ) ) )</f>
        <v>1</v>
      </c>
      <c r="AA212" s="131" t="str" cm="1">
        <f t="array" ref="AA212" xml:space="preserve"> INDEX( VfM_Metrics_2023_Consol_Source[], $D212, AA$14 )</f>
        <v>Yorkshire &amp; the Humber</v>
      </c>
    </row>
    <row r="213" spans="2:27" x14ac:dyDescent="0.2">
      <c r="B213" s="159" t="s" vm="198">
        <v>541</v>
      </c>
      <c r="C213" s="154" t="str" vm="336">
        <f xml:space="preserve"> INDEX( VfM_Metrics_2023_Consol_Source[RP_Code], MATCH( tblFilterRegion[[#This Row],[RP_Name]], VfM_Metrics_2023_Consol_Source[RP_Name], 0 ) )</f>
        <v>L4203</v>
      </c>
      <c r="D213" s="81">
        <f xml:space="preserve"> MATCH( tblFilterRegion[[#This Row],[RP_Code]], VfM_Metrics_2023_Consol_Source[RP_Code], 0 )</f>
        <v>198</v>
      </c>
      <c r="E213" s="22" cm="1">
        <f t="array" ref="E213" xml:space="preserve"> INDEX( VfM_Metrics_2023_Consol_Source[], $D213, E$14 )</f>
        <v>3.9831116067872224E-5</v>
      </c>
      <c r="F213" s="22" cm="1">
        <f t="array" ref="F213" xml:space="preserve"> INDEX( VfM_Metrics_2023_Consol_Source[], $D213, F$14 )</f>
        <v>4.7797339281446664E-4</v>
      </c>
      <c r="G213" s="22" cm="1">
        <f t="array" ref="G213" xml:space="preserve"> INDEX( VfM_Metrics_2023_Consol_Source[], $D213, G$14 )</f>
        <v>1.5135824105791443E-3</v>
      </c>
      <c r="H213" s="22" cm="1">
        <f t="array" ref="H213" xml:space="preserve"> INDEX( VfM_Metrics_2023_Consol_Source[], $D213, H$14 )</f>
        <v>6.8907830797418947E-3</v>
      </c>
      <c r="I213" s="22" cm="1">
        <f t="array" ref="I213" xml:space="preserve"> INDEX( VfM_Metrics_2023_Consol_Source[], $D213, I$14 )</f>
        <v>0.12873416713136301</v>
      </c>
      <c r="J213" s="22" cm="1">
        <f t="array" ref="J213" xml:space="preserve"> INDEX( VfM_Metrics_2023_Consol_Source[], $D213, J$14 )</f>
        <v>0</v>
      </c>
      <c r="K213" s="22" cm="1">
        <f t="array" ref="K213" xml:space="preserve"> INDEX( VfM_Metrics_2023_Consol_Source[], $D213, K$14 )</f>
        <v>0</v>
      </c>
      <c r="L213" s="22" cm="1">
        <f t="array" ref="L213" xml:space="preserve"> INDEX( VfM_Metrics_2023_Consol_Source[], $D213, L$14 )</f>
        <v>0.82358798693539392</v>
      </c>
      <c r="M213" s="22" cm="1">
        <f t="array" ref="M213" xml:space="preserve"> INDEX( VfM_Metrics_2023_Consol_Source[], $D213, M$14 )</f>
        <v>3.8755675934039668E-2</v>
      </c>
      <c r="N213" s="23">
        <f xml:space="preserve"> -- AND( tblFilterRegion[[#This Row],[London]] &gt;= $N$10, N$13 = "Yes" )</f>
        <v>0</v>
      </c>
      <c r="O213" s="23">
        <f xml:space="preserve"> -- AND( tblFilterRegion[[#This Row],[South East]] &gt;= $N$10, O$13 = "Yes" )</f>
        <v>0</v>
      </c>
      <c r="P213" s="23">
        <f xml:space="preserve"> -- AND( tblFilterRegion[[#This Row],[South West]] &gt;= $N$10, P$13 = "Yes" )</f>
        <v>0</v>
      </c>
      <c r="Q213" s="23">
        <f xml:space="preserve"> -- AND( tblFilterRegion[[#This Row],[East Midlands]] &gt;= $N$10, Q$13 = "Yes" )</f>
        <v>0</v>
      </c>
      <c r="R213" s="23">
        <f xml:space="preserve"> -- AND( tblFilterRegion[[#This Row],[West Midlands]] &gt;= $N$10, R$13 = "Yes" )</f>
        <v>0</v>
      </c>
      <c r="S213" s="23">
        <f xml:space="preserve"> -- AND( tblFilterRegion[[#This Row],[East of England]] &gt;= $N$10, S$13 = "Yes" )</f>
        <v>0</v>
      </c>
      <c r="T213" s="23">
        <f xml:space="preserve"> -- AND( tblFilterRegion[[#This Row],[North East]] &gt;= $N$10, T$13 = "Yes" )</f>
        <v>0</v>
      </c>
      <c r="U213" s="23">
        <f xml:space="preserve"> -- AND( tblFilterRegion[[#This Row],[North West]] &gt;= $N$10, U$13 = "Yes" )</f>
        <v>0</v>
      </c>
      <c r="V213" s="23">
        <f xml:space="preserve"> -- AND( tblFilterRegion[[#This Row],[Yorkshire &amp; the Humber]] &gt;= $N$10, V$13 = "Yes" )</f>
        <v>0</v>
      </c>
      <c r="W213" s="22">
        <f xml:space="preserve"> SUMIF( $E$13:$M$13, "Yes", tblFilterRegion[[#This Row],[London]:[Yorkshire &amp; the Humber]] )</f>
        <v>0</v>
      </c>
      <c r="X213" s="23">
        <f xml:space="preserve"> -- ( SUM( tblFilterRegion[[#This Row],[Incl for Lon]:[Incl for YH]] ) &gt; 0 )</f>
        <v>0</v>
      </c>
      <c r="Y213" s="23">
        <f xml:space="preserve"> -- ( tblFilterRegion[[#This Row],[Total in selected regions]] &gt; $N$10 )</f>
        <v>0</v>
      </c>
      <c r="Z213" s="24">
        <f xml:space="preserve"> IF( RegionMinimum = 0, 1, IF( $R$10 = $U$8, tblFilterRegion[[#This Row],[Include for region - any]], IF( $R$10 = $U$10, tblFilterRegion[[#This Row],[Include for region - total]], "CHECK" ) ) )</f>
        <v>1</v>
      </c>
      <c r="AA213" s="131" t="str" cm="1">
        <f t="array" ref="AA213" xml:space="preserve"> INDEX( VfM_Metrics_2023_Consol_Source[], $D213, AA$14 )</f>
        <v>North West</v>
      </c>
    </row>
    <row r="216" spans="2:27" x14ac:dyDescent="0.2">
      <c r="G216" s="1" t="s">
        <v>691</v>
      </c>
      <c r="H216" s="163" t="str">
        <f>PropTypeType</f>
        <v>Supported &amp; older people</v>
      </c>
      <c r="I216" s="164"/>
    </row>
    <row r="217" spans="2:27" x14ac:dyDescent="0.2">
      <c r="G217" s="1" t="s">
        <v>692</v>
      </c>
      <c r="H217" s="165" t="str">
        <f xml:space="preserve"> PropTypeMinMax</f>
        <v>Maximum</v>
      </c>
      <c r="I217" s="164"/>
    </row>
    <row r="218" spans="2:27" ht="25.5" x14ac:dyDescent="0.35">
      <c r="B218" s="16" t="s">
        <v>671</v>
      </c>
      <c r="E218" s="82">
        <f xml:space="preserve"> MATCH( tblFilterPropType[[#Headers],[% Supported housing (excl. HOP)]], VfM_Metrics_2023_Consol_Source[#Headers], 0 )</f>
        <v>89</v>
      </c>
      <c r="F218" s="82">
        <f xml:space="preserve"> MATCH( tblFilterPropType[[#Headers],[% Housing for older people]], VfM_Metrics_2023_Consol_Source[#Headers], 0 )</f>
        <v>91</v>
      </c>
      <c r="K218" s="17">
        <f xml:space="preserve"> SUM( tblFilterPropType[Incl for prop type] )</f>
        <v>198</v>
      </c>
    </row>
    <row r="219" spans="2:27" ht="38.25" x14ac:dyDescent="0.2">
      <c r="B219" s="155" t="s">
        <v>39</v>
      </c>
      <c r="C219" s="156" t="s">
        <v>38</v>
      </c>
      <c r="D219" s="156" t="s">
        <v>656</v>
      </c>
      <c r="E219" s="25" t="s">
        <v>119</v>
      </c>
      <c r="F219" s="25" t="s">
        <v>121</v>
      </c>
      <c r="G219" s="25" t="s">
        <v>651</v>
      </c>
      <c r="H219" s="25" t="s">
        <v>652</v>
      </c>
      <c r="I219" s="25" t="s">
        <v>693</v>
      </c>
      <c r="J219" s="25" t="s">
        <v>694</v>
      </c>
      <c r="K219" s="26" t="s">
        <v>695</v>
      </c>
    </row>
    <row r="220" spans="2:27" x14ac:dyDescent="0.2">
      <c r="B220" s="122" t="str" vm="1">
        <f xml:space="preserve"> B16</f>
        <v>A2Dominion Housing Group Limited</v>
      </c>
      <c r="C220" s="122" t="str" vm="335">
        <f xml:space="preserve"> C16</f>
        <v>L4240</v>
      </c>
      <c r="D220" s="81">
        <f xml:space="preserve"> D16</f>
        <v>1</v>
      </c>
      <c r="E220" s="27" cm="1">
        <f t="array" ref="E220" xml:space="preserve"> INDEX( VfM_Metrics_2023_Consol_Source[], $D220, E$218 )</f>
        <v>4.3164904034469251E-2</v>
      </c>
      <c r="F220" s="27" cm="1">
        <f t="array" ref="F220" xml:space="preserve"> INDEX( VfM_Metrics_2023_Consol_Source[], $D220, F$218 )</f>
        <v>3.6271053662358013E-2</v>
      </c>
      <c r="G220" s="27">
        <f xml:space="preserve"> tblFilterPropType[[#This Row],[% Supported housing (excl. HOP)]] + tblFilterPropType[[#This Row],[% Housing for older people]]</f>
        <v>7.9435957696827264E-2</v>
      </c>
      <c r="H220" s="28">
        <f xml:space="preserve"> 1 -tblFilterPropType[[#This Row],[% Supported &amp; older people]]</f>
        <v>0.92056404230317268</v>
      </c>
      <c r="I220" s="27">
        <f xml:space="preserve"> INDEX( B220:H220, MATCH( "% " &amp; $H$216, tblFilterPropType[#Headers], 0 ) )</f>
        <v>7.9435957696827264E-2</v>
      </c>
      <c r="J220" s="27">
        <f t="shared" ref="J220:J251" si="1" xml:space="preserve"> PropTypePercent</f>
        <v>0.2</v>
      </c>
      <c r="K220" s="24">
        <f xml:space="preserve"> IF( PropTypeOnOff = "Yes - pick", -- IF( $H$217 = "Minimum", tblFilterPropType[[#This Row],[Selected Prop Type %]] &gt;= tblFilterPropType[[#This Row],[Cut-off]], tblFilterPropType[[#This Row],[Selected Prop Type %]] &lt;= tblFilterPropType[[#This Row],[Cut-off]] ), 1 )</f>
        <v>1</v>
      </c>
    </row>
    <row r="221" spans="2:27" x14ac:dyDescent="0.2">
      <c r="B221" s="122" t="str" vm="2">
        <f t="shared" ref="B221:B252" si="2" xml:space="preserve"> B17</f>
        <v>Abri Group Limited</v>
      </c>
      <c r="C221" s="122" t="str" vm="254">
        <f t="shared" ref="C221" si="3" xml:space="preserve"> C17</f>
        <v>L4172</v>
      </c>
      <c r="D221" s="81">
        <f t="shared" ref="D221:D252" si="4" xml:space="preserve"> D17</f>
        <v>2</v>
      </c>
      <c r="E221" s="27" cm="1">
        <f t="array" ref="E221" xml:space="preserve"> INDEX( VfM_Metrics_2023_Consol_Source[], $D221, E$218 )</f>
        <v>5.3901598245064243E-3</v>
      </c>
      <c r="F221" s="27" cm="1">
        <f t="array" ref="F221" xml:space="preserve"> INDEX( VfM_Metrics_2023_Consol_Source[], $D221, F$218 )</f>
        <v>8.9595738013162021E-2</v>
      </c>
      <c r="G221" s="27">
        <f xml:space="preserve"> tblFilterPropType[[#This Row],[% Supported housing (excl. HOP)]] + tblFilterPropType[[#This Row],[% Housing for older people]]</f>
        <v>9.4985897837668448E-2</v>
      </c>
      <c r="H221" s="28">
        <f xml:space="preserve"> 1 -tblFilterPropType[[#This Row],[% Supported &amp; older people]]</f>
        <v>0.90501410216233158</v>
      </c>
      <c r="I221" s="27">
        <f xml:space="preserve"> INDEX( B221:H221, MATCH( "% " &amp; $H$216, tblFilterPropType[#Headers], 0 ) )</f>
        <v>9.4985897837668448E-2</v>
      </c>
      <c r="J221" s="27">
        <f t="shared" si="1"/>
        <v>0.2</v>
      </c>
      <c r="K221" s="24">
        <f xml:space="preserve"> IF( PropTypeOnOff = "Yes - pick", -- IF( $H$217 = "Minimum", tblFilterPropType[[#This Row],[Selected Prop Type %]] &gt;= tblFilterPropType[[#This Row],[Cut-off]], tblFilterPropType[[#This Row],[Selected Prop Type %]] &lt;= tblFilterPropType[[#This Row],[Cut-off]] ), 1 )</f>
        <v>1</v>
      </c>
    </row>
    <row r="222" spans="2:27" x14ac:dyDescent="0.2">
      <c r="B222" s="122" t="str" vm="3">
        <f t="shared" si="2"/>
        <v>Accent Group Limited</v>
      </c>
      <c r="C222" s="122" t="str" vm="298">
        <f t="shared" ref="C222" si="5" xml:space="preserve"> C18</f>
        <v>L4511</v>
      </c>
      <c r="D222" s="81">
        <f t="shared" si="4"/>
        <v>3</v>
      </c>
      <c r="E222" s="27" cm="1">
        <f t="array" ref="E222" xml:space="preserve"> INDEX( VfM_Metrics_2023_Consol_Source[], $D222, E$218 )</f>
        <v>7.8988941548183253E-4</v>
      </c>
      <c r="F222" s="27" cm="1">
        <f t="array" ref="F222" xml:space="preserve"> INDEX( VfM_Metrics_2023_Consol_Source[], $D222, F$218 )</f>
        <v>9.7998946814112697E-2</v>
      </c>
      <c r="G222" s="27">
        <f xml:space="preserve"> tblFilterPropType[[#This Row],[% Supported housing (excl. HOP)]] + tblFilterPropType[[#This Row],[% Housing for older people]]</f>
        <v>9.8788836229594529E-2</v>
      </c>
      <c r="H222" s="28">
        <f xml:space="preserve"> 1 -tblFilterPropType[[#This Row],[% Supported &amp; older people]]</f>
        <v>0.90121116377040544</v>
      </c>
      <c r="I222" s="27">
        <f xml:space="preserve"> INDEX( B222:H222, MATCH( "% " &amp; $H$216, tblFilterPropType[#Headers], 0 ) )</f>
        <v>9.8788836229594529E-2</v>
      </c>
      <c r="J222" s="27">
        <f t="shared" si="1"/>
        <v>0.2</v>
      </c>
      <c r="K222" s="24">
        <f xml:space="preserve"> IF( PropTypeOnOff = "Yes - pick", -- IF( $H$217 = "Minimum", tblFilterPropType[[#This Row],[Selected Prop Type %]] &gt;= tblFilterPropType[[#This Row],[Cut-off]], tblFilterPropType[[#This Row],[Selected Prop Type %]] &lt;= tblFilterPropType[[#This Row],[Cut-off]] ), 1 )</f>
        <v>1</v>
      </c>
    </row>
    <row r="223" spans="2:27" x14ac:dyDescent="0.2">
      <c r="B223" s="122" t="str" vm="4">
        <f t="shared" si="2"/>
        <v>Acis Group Limited</v>
      </c>
      <c r="C223" s="122" t="str" vm="392">
        <f t="shared" ref="C223" si="6" xml:space="preserve"> C19</f>
        <v>L4229</v>
      </c>
      <c r="D223" s="81">
        <f t="shared" si="4"/>
        <v>4</v>
      </c>
      <c r="E223" s="27" cm="1">
        <f t="array" ref="E223" xml:space="preserve"> INDEX( VfM_Metrics_2023_Consol_Source[], $D223, E$218 )</f>
        <v>9.1130012150668284E-4</v>
      </c>
      <c r="F223" s="27" cm="1">
        <f t="array" ref="F223" xml:space="preserve"> INDEX( VfM_Metrics_2023_Consol_Source[], $D223, F$218 )</f>
        <v>3.8274605103280679E-2</v>
      </c>
      <c r="G223" s="27">
        <f xml:space="preserve"> tblFilterPropType[[#This Row],[% Supported housing (excl. HOP)]] + tblFilterPropType[[#This Row],[% Housing for older people]]</f>
        <v>3.9185905224787362E-2</v>
      </c>
      <c r="H223" s="28">
        <f xml:space="preserve"> 1 -tblFilterPropType[[#This Row],[% Supported &amp; older people]]</f>
        <v>0.96081409477521262</v>
      </c>
      <c r="I223" s="27">
        <f xml:space="preserve"> INDEX( B223:H223, MATCH( "% " &amp; $H$216, tblFilterPropType[#Headers], 0 ) )</f>
        <v>3.9185905224787362E-2</v>
      </c>
      <c r="J223" s="27">
        <f t="shared" si="1"/>
        <v>0.2</v>
      </c>
      <c r="K223" s="24">
        <f xml:space="preserve"> IF( PropTypeOnOff = "Yes - pick", -- IF( $H$217 = "Minimum", tblFilterPropType[[#This Row],[Selected Prop Type %]] &gt;= tblFilterPropType[[#This Row],[Cut-off]], tblFilterPropType[[#This Row],[Selected Prop Type %]] &lt;= tblFilterPropType[[#This Row],[Cut-off]] ), 1 )</f>
        <v>1</v>
      </c>
    </row>
    <row r="224" spans="2:27" x14ac:dyDescent="0.2">
      <c r="B224" s="122" t="str" vm="5">
        <f t="shared" si="2"/>
        <v>Advance Housing and Support Limited</v>
      </c>
      <c r="C224" s="122" t="str" vm="204">
        <f t="shared" ref="C224" si="7" xml:space="preserve"> C20</f>
        <v>LH0280</v>
      </c>
      <c r="D224" s="81">
        <f t="shared" si="4"/>
        <v>5</v>
      </c>
      <c r="E224" s="27" cm="1">
        <f t="array" ref="E224" xml:space="preserve"> INDEX( VfM_Metrics_2023_Consol_Source[], $D224, E$218 )</f>
        <v>0.62841774988794263</v>
      </c>
      <c r="F224" s="27" cm="1">
        <f t="array" ref="F224" xml:space="preserve"> INDEX( VfM_Metrics_2023_Consol_Source[], $D224, F$218 )</f>
        <v>0</v>
      </c>
      <c r="G224" s="27">
        <f xml:space="preserve"> tblFilterPropType[[#This Row],[% Supported housing (excl. HOP)]] + tblFilterPropType[[#This Row],[% Housing for older people]]</f>
        <v>0.62841774988794263</v>
      </c>
      <c r="H224" s="28">
        <f xml:space="preserve"> 1 -tblFilterPropType[[#This Row],[% Supported &amp; older people]]</f>
        <v>0.37158225011205737</v>
      </c>
      <c r="I224" s="27">
        <f xml:space="preserve"> INDEX( B224:H224, MATCH( "% " &amp; $H$216, tblFilterPropType[#Headers], 0 ) )</f>
        <v>0.62841774988794263</v>
      </c>
      <c r="J224" s="27">
        <f t="shared" si="1"/>
        <v>0.2</v>
      </c>
      <c r="K224" s="24">
        <f xml:space="preserve"> IF( PropTypeOnOff = "Yes - pick", -- IF( $H$217 = "Minimum", tblFilterPropType[[#This Row],[Selected Prop Type %]] &gt;= tblFilterPropType[[#This Row],[Cut-off]], tblFilterPropType[[#This Row],[Selected Prop Type %]] &lt;= tblFilterPropType[[#This Row],[Cut-off]] ), 1 )</f>
        <v>1</v>
      </c>
    </row>
    <row r="225" spans="2:11" x14ac:dyDescent="0.2">
      <c r="B225" s="122" t="str" vm="6">
        <f t="shared" si="2"/>
        <v>Anchor Hanover Group</v>
      </c>
      <c r="C225" s="122" t="str">
        <f t="shared" ref="C225" si="8" xml:space="preserve"> C21</f>
        <v>LH4095</v>
      </c>
      <c r="D225" s="81">
        <f t="shared" si="4"/>
        <v>6</v>
      </c>
      <c r="E225" s="27" cm="1">
        <f t="array" ref="E225" xml:space="preserve"> INDEX( VfM_Metrics_2023_Consol_Source[], $D225, E$218 )</f>
        <v>0</v>
      </c>
      <c r="F225" s="27" cm="1">
        <f t="array" ref="F225" xml:space="preserve"> INDEX( VfM_Metrics_2023_Consol_Source[], $D225, F$218 )</f>
        <v>0.87535670860319115</v>
      </c>
      <c r="G225" s="27">
        <f xml:space="preserve"> tblFilterPropType[[#This Row],[% Supported housing (excl. HOP)]] + tblFilterPropType[[#This Row],[% Housing for older people]]</f>
        <v>0.87535670860319115</v>
      </c>
      <c r="H225" s="28">
        <f xml:space="preserve"> 1 -tblFilterPropType[[#This Row],[% Supported &amp; older people]]</f>
        <v>0.12464329139680885</v>
      </c>
      <c r="I225" s="27">
        <f xml:space="preserve"> INDEX( B225:H225, MATCH( "% " &amp; $H$216, tblFilterPropType[#Headers], 0 ) )</f>
        <v>0.87535670860319115</v>
      </c>
      <c r="J225" s="27">
        <f t="shared" si="1"/>
        <v>0.2</v>
      </c>
      <c r="K225" s="24">
        <f xml:space="preserve"> IF( PropTypeOnOff = "Yes - pick", -- IF( $H$217 = "Minimum", tblFilterPropType[[#This Row],[Selected Prop Type %]] &gt;= tblFilterPropType[[#This Row],[Cut-off]], tblFilterPropType[[#This Row],[Selected Prop Type %]] &lt;= tblFilterPropType[[#This Row],[Cut-off]] ), 1 )</f>
        <v>1</v>
      </c>
    </row>
    <row r="226" spans="2:11" x14ac:dyDescent="0.2">
      <c r="B226" s="122" t="str" vm="7">
        <f t="shared" si="2"/>
        <v>Arawak Walton Housing Association Limited</v>
      </c>
      <c r="C226" s="122" t="str" vm="226">
        <f t="shared" ref="C226" si="9" xml:space="preserve"> C22</f>
        <v>L3713</v>
      </c>
      <c r="D226" s="81">
        <f t="shared" si="4"/>
        <v>7</v>
      </c>
      <c r="E226" s="27" cm="1">
        <f t="array" ref="E226" xml:space="preserve"> INDEX( VfM_Metrics_2023_Consol_Source[], $D226, E$218 )</f>
        <v>0</v>
      </c>
      <c r="F226" s="27" cm="1">
        <f t="array" ref="F226" xml:space="preserve"> INDEX( VfM_Metrics_2023_Consol_Source[], $D226, F$218 )</f>
        <v>0.1330316742081448</v>
      </c>
      <c r="G226" s="27">
        <f xml:space="preserve"> tblFilterPropType[[#This Row],[% Supported housing (excl. HOP)]] + tblFilterPropType[[#This Row],[% Housing for older people]]</f>
        <v>0.1330316742081448</v>
      </c>
      <c r="H226" s="28">
        <f xml:space="preserve"> 1 -tblFilterPropType[[#This Row],[% Supported &amp; older people]]</f>
        <v>0.86696832579185523</v>
      </c>
      <c r="I226" s="27">
        <f xml:space="preserve"> INDEX( B226:H226, MATCH( "% " &amp; $H$216, tblFilterPropType[#Headers], 0 ) )</f>
        <v>0.1330316742081448</v>
      </c>
      <c r="J226" s="27">
        <f t="shared" si="1"/>
        <v>0.2</v>
      </c>
      <c r="K226" s="24">
        <f xml:space="preserve"> IF( PropTypeOnOff = "Yes - pick", -- IF( $H$217 = "Minimum", tblFilterPropType[[#This Row],[Selected Prop Type %]] &gt;= tblFilterPropType[[#This Row],[Cut-off]], tblFilterPropType[[#This Row],[Selected Prop Type %]] &lt;= tblFilterPropType[[#This Row],[Cut-off]] ), 1 )</f>
        <v>1</v>
      </c>
    </row>
    <row r="227" spans="2:11" x14ac:dyDescent="0.2">
      <c r="B227" s="122" t="str" vm="8">
        <f t="shared" si="2"/>
        <v>Arches Housing Limited</v>
      </c>
      <c r="C227" s="122" t="str" vm="233">
        <f t="shared" ref="C227" si="10" xml:space="preserve"> C23</f>
        <v>LH0884</v>
      </c>
      <c r="D227" s="81">
        <f t="shared" si="4"/>
        <v>8</v>
      </c>
      <c r="E227" s="27" cm="1">
        <f t="array" ref="E227" xml:space="preserve"> INDEX( VfM_Metrics_2023_Consol_Source[], $D227, E$218 )</f>
        <v>3.3383915022761758E-2</v>
      </c>
      <c r="F227" s="27" cm="1">
        <f t="array" ref="F227" xml:space="preserve"> INDEX( VfM_Metrics_2023_Consol_Source[], $D227, F$218 )</f>
        <v>0</v>
      </c>
      <c r="G227" s="27">
        <f xml:space="preserve"> tblFilterPropType[[#This Row],[% Supported housing (excl. HOP)]] + tblFilterPropType[[#This Row],[% Housing for older people]]</f>
        <v>3.3383915022761758E-2</v>
      </c>
      <c r="H227" s="28">
        <f xml:space="preserve"> 1 -tblFilterPropType[[#This Row],[% Supported &amp; older people]]</f>
        <v>0.96661608497723828</v>
      </c>
      <c r="I227" s="27">
        <f xml:space="preserve"> INDEX( B227:H227, MATCH( "% " &amp; $H$216, tblFilterPropType[#Headers], 0 ) )</f>
        <v>3.3383915022761758E-2</v>
      </c>
      <c r="J227" s="27">
        <f t="shared" si="1"/>
        <v>0.2</v>
      </c>
      <c r="K227" s="24">
        <f xml:space="preserve"> IF( PropTypeOnOff = "Yes - pick", -- IF( $H$217 = "Minimum", tblFilterPropType[[#This Row],[Selected Prop Type %]] &gt;= tblFilterPropType[[#This Row],[Cut-off]], tblFilterPropType[[#This Row],[Selected Prop Type %]] &lt;= tblFilterPropType[[#This Row],[Cut-off]] ), 1 )</f>
        <v>1</v>
      </c>
    </row>
    <row r="228" spans="2:11" x14ac:dyDescent="0.2">
      <c r="B228" s="122" t="str" vm="9">
        <f t="shared" si="2"/>
        <v>Aspire Housing Limited</v>
      </c>
      <c r="C228" s="122" t="str" vm="385">
        <f t="shared" ref="C228" si="11" xml:space="preserve"> C24</f>
        <v>L4238</v>
      </c>
      <c r="D228" s="81">
        <f t="shared" si="4"/>
        <v>9</v>
      </c>
      <c r="E228" s="27" cm="1">
        <f t="array" ref="E228" xml:space="preserve"> INDEX( VfM_Metrics_2023_Consol_Source[], $D228, E$218 )</f>
        <v>0</v>
      </c>
      <c r="F228" s="27" cm="1">
        <f t="array" ref="F228" xml:space="preserve"> INDEX( VfM_Metrics_2023_Consol_Source[], $D228, F$218 )</f>
        <v>6.8059444324790011E-2</v>
      </c>
      <c r="G228" s="27">
        <f xml:space="preserve"> tblFilterPropType[[#This Row],[% Supported housing (excl. HOP)]] + tblFilterPropType[[#This Row],[% Housing for older people]]</f>
        <v>6.8059444324790011E-2</v>
      </c>
      <c r="H228" s="28">
        <f xml:space="preserve"> 1 -tblFilterPropType[[#This Row],[% Supported &amp; older people]]</f>
        <v>0.93194055567520995</v>
      </c>
      <c r="I228" s="27">
        <f xml:space="preserve"> INDEX( B228:H228, MATCH( "% " &amp; $H$216, tblFilterPropType[#Headers], 0 ) )</f>
        <v>6.8059444324790011E-2</v>
      </c>
      <c r="J228" s="27">
        <f t="shared" si="1"/>
        <v>0.2</v>
      </c>
      <c r="K228" s="24">
        <f xml:space="preserve"> IF( PropTypeOnOff = "Yes - pick", -- IF( $H$217 = "Minimum", tblFilterPropType[[#This Row],[Selected Prop Type %]] &gt;= tblFilterPropType[[#This Row],[Cut-off]], tblFilterPropType[[#This Row],[Selected Prop Type %]] &lt;= tblFilterPropType[[#This Row],[Cut-off]] ), 1 )</f>
        <v>1</v>
      </c>
    </row>
    <row r="229" spans="2:11" x14ac:dyDescent="0.2">
      <c r="B229" s="122" t="str" vm="10">
        <f t="shared" si="2"/>
        <v>Aster Group Limited</v>
      </c>
      <c r="C229" s="122" t="str" vm="250">
        <f t="shared" ref="C229" si="12" xml:space="preserve"> C25</f>
        <v>L4393</v>
      </c>
      <c r="D229" s="81">
        <f t="shared" si="4"/>
        <v>10</v>
      </c>
      <c r="E229" s="27" cm="1">
        <f t="array" ref="E229" xml:space="preserve"> INDEX( VfM_Metrics_2023_Consol_Source[], $D229, E$218 )</f>
        <v>4.2089084621523366E-2</v>
      </c>
      <c r="F229" s="27" cm="1">
        <f t="array" ref="F229" xml:space="preserve"> INDEX( VfM_Metrics_2023_Consol_Source[], $D229, F$218 )</f>
        <v>0.12088789052108888</v>
      </c>
      <c r="G229" s="27">
        <f xml:space="preserve"> tblFilterPropType[[#This Row],[% Supported housing (excl. HOP)]] + tblFilterPropType[[#This Row],[% Housing for older people]]</f>
        <v>0.16297697514261225</v>
      </c>
      <c r="H229" s="28">
        <f xml:space="preserve"> 1 -tblFilterPropType[[#This Row],[% Supported &amp; older people]]</f>
        <v>0.83702302485738778</v>
      </c>
      <c r="I229" s="27">
        <f xml:space="preserve"> INDEX( B229:H229, MATCH( "% " &amp; $H$216, tblFilterPropType[#Headers], 0 ) )</f>
        <v>0.16297697514261225</v>
      </c>
      <c r="J229" s="27">
        <f t="shared" si="1"/>
        <v>0.2</v>
      </c>
      <c r="K229" s="24">
        <f xml:space="preserve"> IF( PropTypeOnOff = "Yes - pick", -- IF( $H$217 = "Minimum", tblFilterPropType[[#This Row],[Selected Prop Type %]] &gt;= tblFilterPropType[[#This Row],[Cut-off]], tblFilterPropType[[#This Row],[Selected Prop Type %]] &lt;= tblFilterPropType[[#This Row],[Cut-off]] ), 1 )</f>
        <v>1</v>
      </c>
    </row>
    <row r="230" spans="2:11" x14ac:dyDescent="0.2">
      <c r="B230" s="122" t="str" vm="11">
        <f t="shared" si="2"/>
        <v>B3 Living Limited</v>
      </c>
      <c r="C230" s="122" t="str" vm="326">
        <f t="shared" ref="C230" si="13" xml:space="preserve"> C26</f>
        <v>L4455</v>
      </c>
      <c r="D230" s="81">
        <f t="shared" si="4"/>
        <v>11</v>
      </c>
      <c r="E230" s="27" cm="1">
        <f t="array" ref="E230" xml:space="preserve"> INDEX( VfM_Metrics_2023_Consol_Source[], $D230, E$218 )</f>
        <v>0</v>
      </c>
      <c r="F230" s="27" cm="1">
        <f t="array" ref="F230" xml:space="preserve"> INDEX( VfM_Metrics_2023_Consol_Source[], $D230, F$218 )</f>
        <v>6.4061790095411172E-2</v>
      </c>
      <c r="G230" s="27">
        <f xml:space="preserve"> tblFilterPropType[[#This Row],[% Supported housing (excl. HOP)]] + tblFilterPropType[[#This Row],[% Housing for older people]]</f>
        <v>6.4061790095411172E-2</v>
      </c>
      <c r="H230" s="28">
        <f xml:space="preserve"> 1 -tblFilterPropType[[#This Row],[% Supported &amp; older people]]</f>
        <v>0.93593820990458887</v>
      </c>
      <c r="I230" s="27">
        <f xml:space="preserve"> INDEX( B230:H230, MATCH( "% " &amp; $H$216, tblFilterPropType[#Headers], 0 ) )</f>
        <v>6.4061790095411172E-2</v>
      </c>
      <c r="J230" s="27">
        <f t="shared" si="1"/>
        <v>0.2</v>
      </c>
      <c r="K230" s="24">
        <f xml:space="preserve"> IF( PropTypeOnOff = "Yes - pick", -- IF( $H$217 = "Minimum", tblFilterPropType[[#This Row],[Selected Prop Type %]] &gt;= tblFilterPropType[[#This Row],[Cut-off]], tblFilterPropType[[#This Row],[Selected Prop Type %]] &lt;= tblFilterPropType[[#This Row],[Cut-off]] ), 1 )</f>
        <v>1</v>
      </c>
    </row>
    <row r="231" spans="2:11" x14ac:dyDescent="0.2">
      <c r="B231" s="122" t="str" vm="12">
        <f t="shared" si="2"/>
        <v>Believe Housing Limited</v>
      </c>
      <c r="C231" s="122" t="str" vm="284">
        <f t="shared" ref="C231" si="14" xml:space="preserve"> C27</f>
        <v>5071</v>
      </c>
      <c r="D231" s="81">
        <f t="shared" si="4"/>
        <v>12</v>
      </c>
      <c r="E231" s="27" cm="1">
        <f t="array" ref="E231" xml:space="preserve"> INDEX( VfM_Metrics_2023_Consol_Source[], $D231, E$218 )</f>
        <v>0</v>
      </c>
      <c r="F231" s="27" cm="1">
        <f t="array" ref="F231" xml:space="preserve"> INDEX( VfM_Metrics_2023_Consol_Source[], $D231, F$218 )</f>
        <v>0</v>
      </c>
      <c r="G231" s="27">
        <f xml:space="preserve"> tblFilterPropType[[#This Row],[% Supported housing (excl. HOP)]] + tblFilterPropType[[#This Row],[% Housing for older people]]</f>
        <v>0</v>
      </c>
      <c r="H231" s="28">
        <f xml:space="preserve"> 1 -tblFilterPropType[[#This Row],[% Supported &amp; older people]]</f>
        <v>1</v>
      </c>
      <c r="I231" s="27">
        <f xml:space="preserve"> INDEX( B231:H231, MATCH( "% " &amp; $H$216, tblFilterPropType[#Headers], 0 ) )</f>
        <v>0</v>
      </c>
      <c r="J231" s="27">
        <f t="shared" si="1"/>
        <v>0.2</v>
      </c>
      <c r="K231" s="24">
        <f xml:space="preserve"> IF( PropTypeOnOff = "Yes - pick", -- IF( $H$217 = "Minimum", tblFilterPropType[[#This Row],[Selected Prop Type %]] &gt;= tblFilterPropType[[#This Row],[Cut-off]], tblFilterPropType[[#This Row],[Selected Prop Type %]] &lt;= tblFilterPropType[[#This Row],[Cut-off]] ), 1 )</f>
        <v>1</v>
      </c>
    </row>
    <row r="232" spans="2:11" x14ac:dyDescent="0.2">
      <c r="B232" s="122" t="str" vm="13">
        <f t="shared" si="2"/>
        <v>Bernicia Group</v>
      </c>
      <c r="C232" s="122" t="str" vm="291">
        <f t="shared" ref="C232" si="15" xml:space="preserve"> C28</f>
        <v>4868</v>
      </c>
      <c r="D232" s="81">
        <f t="shared" si="4"/>
        <v>13</v>
      </c>
      <c r="E232" s="27" cm="1">
        <f t="array" ref="E232" xml:space="preserve"> INDEX( VfM_Metrics_2023_Consol_Source[], $D232, E$218 )</f>
        <v>4.2495808732414896E-2</v>
      </c>
      <c r="F232" s="27" cm="1">
        <f t="array" ref="F232" xml:space="preserve"> INDEX( VfM_Metrics_2023_Consol_Source[], $D232, F$218 )</f>
        <v>0.18667541365988774</v>
      </c>
      <c r="G232" s="27">
        <f xml:space="preserve"> tblFilterPropType[[#This Row],[% Supported housing (excl. HOP)]] + tblFilterPropType[[#This Row],[% Housing for older people]]</f>
        <v>0.22917122239230264</v>
      </c>
      <c r="H232" s="28">
        <f xml:space="preserve"> 1 -tblFilterPropType[[#This Row],[% Supported &amp; older people]]</f>
        <v>0.77082877760769741</v>
      </c>
      <c r="I232" s="27">
        <f xml:space="preserve"> INDEX( B232:H232, MATCH( "% " &amp; $H$216, tblFilterPropType[#Headers], 0 ) )</f>
        <v>0.22917122239230264</v>
      </c>
      <c r="J232" s="27">
        <f t="shared" si="1"/>
        <v>0.2</v>
      </c>
      <c r="K232" s="24">
        <f xml:space="preserve"> IF( PropTypeOnOff = "Yes - pick", -- IF( $H$217 = "Minimum", tblFilterPropType[[#This Row],[Selected Prop Type %]] &gt;= tblFilterPropType[[#This Row],[Cut-off]], tblFilterPropType[[#This Row],[Selected Prop Type %]] &lt;= tblFilterPropType[[#This Row],[Cut-off]] ), 1 )</f>
        <v>1</v>
      </c>
    </row>
    <row r="233" spans="2:11" x14ac:dyDescent="0.2">
      <c r="B233" s="122" t="str" vm="14">
        <f t="shared" si="2"/>
        <v>Beyond Housing Limited</v>
      </c>
      <c r="C233" s="122" t="str" vm="285">
        <f t="shared" ref="C233" si="16" xml:space="preserve"> C29</f>
        <v>LH4401</v>
      </c>
      <c r="D233" s="81">
        <f t="shared" si="4"/>
        <v>14</v>
      </c>
      <c r="E233" s="27" cm="1">
        <f t="array" ref="E233" xml:space="preserve"> INDEX( VfM_Metrics_2023_Consol_Source[], $D233, E$218 )</f>
        <v>9.254974548819991E-4</v>
      </c>
      <c r="F233" s="27" cm="1">
        <f t="array" ref="F233" xml:space="preserve"> INDEX( VfM_Metrics_2023_Consol_Source[], $D233, F$218 )</f>
        <v>1.3551927017914987E-2</v>
      </c>
      <c r="G233" s="27">
        <f xml:space="preserve"> tblFilterPropType[[#This Row],[% Supported housing (excl. HOP)]] + tblFilterPropType[[#This Row],[% Housing for older people]]</f>
        <v>1.4477424472796986E-2</v>
      </c>
      <c r="H233" s="28">
        <f xml:space="preserve"> 1 -tblFilterPropType[[#This Row],[% Supported &amp; older people]]</f>
        <v>0.98552257552720302</v>
      </c>
      <c r="I233" s="27">
        <f xml:space="preserve"> INDEX( B233:H233, MATCH( "% " &amp; $H$216, tblFilterPropType[#Headers], 0 ) )</f>
        <v>1.4477424472796986E-2</v>
      </c>
      <c r="J233" s="27">
        <f t="shared" si="1"/>
        <v>0.2</v>
      </c>
      <c r="K233" s="24">
        <f xml:space="preserve"> IF( PropTypeOnOff = "Yes - pick", -- IF( $H$217 = "Minimum", tblFilterPropType[[#This Row],[Selected Prop Type %]] &gt;= tblFilterPropType[[#This Row],[Cut-off]], tblFilterPropType[[#This Row],[Selected Prop Type %]] &lt;= tblFilterPropType[[#This Row],[Cut-off]] ), 1 )</f>
        <v>1</v>
      </c>
    </row>
    <row r="234" spans="2:11" x14ac:dyDescent="0.2">
      <c r="B234" s="122" t="str" vm="15">
        <f t="shared" si="2"/>
        <v>Black Country Housing Group Limited</v>
      </c>
      <c r="C234" s="122" t="str" vm="215">
        <f t="shared" ref="C234" si="17" xml:space="preserve"> C30</f>
        <v>L1668</v>
      </c>
      <c r="D234" s="81">
        <f t="shared" si="4"/>
        <v>15</v>
      </c>
      <c r="E234" s="27" cm="1">
        <f t="array" ref="E234" xml:space="preserve"> INDEX( VfM_Metrics_2023_Consol_Source[], $D234, E$218 )</f>
        <v>2.9439252336448597E-2</v>
      </c>
      <c r="F234" s="27" cm="1">
        <f t="array" ref="F234" xml:space="preserve"> INDEX( VfM_Metrics_2023_Consol_Source[], $D234, F$218 )</f>
        <v>0.10700934579439253</v>
      </c>
      <c r="G234" s="27">
        <f xml:space="preserve"> tblFilterPropType[[#This Row],[% Supported housing (excl. HOP)]] + tblFilterPropType[[#This Row],[% Housing for older people]]</f>
        <v>0.13644859813084112</v>
      </c>
      <c r="H234" s="28">
        <f xml:space="preserve"> 1 -tblFilterPropType[[#This Row],[% Supported &amp; older people]]</f>
        <v>0.86355140186915891</v>
      </c>
      <c r="I234" s="27">
        <f xml:space="preserve"> INDEX( B234:H234, MATCH( "% " &amp; $H$216, tblFilterPropType[#Headers], 0 ) )</f>
        <v>0.13644859813084112</v>
      </c>
      <c r="J234" s="27">
        <f t="shared" si="1"/>
        <v>0.2</v>
      </c>
      <c r="K234" s="24">
        <f xml:space="preserve"> IF( PropTypeOnOff = "Yes - pick", -- IF( $H$217 = "Minimum", tblFilterPropType[[#This Row],[Selected Prop Type %]] &gt;= tblFilterPropType[[#This Row],[Cut-off]], tblFilterPropType[[#This Row],[Selected Prop Type %]] &lt;= tblFilterPropType[[#This Row],[Cut-off]] ), 1 )</f>
        <v>1</v>
      </c>
    </row>
    <row r="235" spans="2:11" x14ac:dyDescent="0.2">
      <c r="B235" s="122" t="str" vm="16">
        <f t="shared" si="2"/>
        <v>Bolton at Home Limited</v>
      </c>
      <c r="C235" s="122" t="str" vm="278">
        <f t="shared" ref="C235" si="18" xml:space="preserve"> C31</f>
        <v>4568</v>
      </c>
      <c r="D235" s="81">
        <f t="shared" si="4"/>
        <v>16</v>
      </c>
      <c r="E235" s="27" cm="1">
        <f t="array" ref="E235" xml:space="preserve"> INDEX( VfM_Metrics_2023_Consol_Source[], $D235, E$218 )</f>
        <v>5.9934231462819565E-3</v>
      </c>
      <c r="F235" s="27" cm="1">
        <f t="array" ref="F235" xml:space="preserve"> INDEX( VfM_Metrics_2023_Consol_Source[], $D235, F$218 )</f>
        <v>0.11779993635302853</v>
      </c>
      <c r="G235" s="27">
        <f xml:space="preserve"> tblFilterPropType[[#This Row],[% Supported housing (excl. HOP)]] + tblFilterPropType[[#This Row],[% Housing for older people]]</f>
        <v>0.12379335949931049</v>
      </c>
      <c r="H235" s="28">
        <f xml:space="preserve"> 1 -tblFilterPropType[[#This Row],[% Supported &amp; older people]]</f>
        <v>0.87620664050068953</v>
      </c>
      <c r="I235" s="27">
        <f xml:space="preserve"> INDEX( B235:H235, MATCH( "% " &amp; $H$216, tblFilterPropType[#Headers], 0 ) )</f>
        <v>0.12379335949931049</v>
      </c>
      <c r="J235" s="27">
        <f t="shared" si="1"/>
        <v>0.2</v>
      </c>
      <c r="K235" s="24">
        <f xml:space="preserve"> IF( PropTypeOnOff = "Yes - pick", -- IF( $H$217 = "Minimum", tblFilterPropType[[#This Row],[Selected Prop Type %]] &gt;= tblFilterPropType[[#This Row],[Cut-off]], tblFilterPropType[[#This Row],[Selected Prop Type %]] &lt;= tblFilterPropType[[#This Row],[Cut-off]] ), 1 )</f>
        <v>1</v>
      </c>
    </row>
    <row r="236" spans="2:11" x14ac:dyDescent="0.2">
      <c r="B236" s="122" t="str" vm="17">
        <f t="shared" si="2"/>
        <v>Bournemouth Churches Housing Association Limited</v>
      </c>
      <c r="C236" s="122" t="str" vm="206">
        <f t="shared" ref="C236" si="19" xml:space="preserve"> C32</f>
        <v>LH0155</v>
      </c>
      <c r="D236" s="81">
        <f t="shared" si="4"/>
        <v>17</v>
      </c>
      <c r="E236" s="27" cm="1">
        <f t="array" ref="E236" xml:space="preserve"> INDEX( VfM_Metrics_2023_Consol_Source[], $D236, E$218 )</f>
        <v>0.53098039215686277</v>
      </c>
      <c r="F236" s="27" cm="1">
        <f t="array" ref="F236" xml:space="preserve"> INDEX( VfM_Metrics_2023_Consol_Source[], $D236, F$218 )</f>
        <v>0.04</v>
      </c>
      <c r="G236" s="27">
        <f xml:space="preserve"> tblFilterPropType[[#This Row],[% Supported housing (excl. HOP)]] + tblFilterPropType[[#This Row],[% Housing for older people]]</f>
        <v>0.5709803921568628</v>
      </c>
      <c r="H236" s="28">
        <f xml:space="preserve"> 1 -tblFilterPropType[[#This Row],[% Supported &amp; older people]]</f>
        <v>0.4290196078431372</v>
      </c>
      <c r="I236" s="27">
        <f xml:space="preserve"> INDEX( B236:H236, MATCH( "% " &amp; $H$216, tblFilterPropType[#Headers], 0 ) )</f>
        <v>0.5709803921568628</v>
      </c>
      <c r="J236" s="27">
        <f t="shared" si="1"/>
        <v>0.2</v>
      </c>
      <c r="K236" s="24">
        <f xml:space="preserve"> IF( PropTypeOnOff = "Yes - pick", -- IF( $H$217 = "Minimum", tblFilterPropType[[#This Row],[Selected Prop Type %]] &gt;= tblFilterPropType[[#This Row],[Cut-off]], tblFilterPropType[[#This Row],[Selected Prop Type %]] &lt;= tblFilterPropType[[#This Row],[Cut-off]] ), 1 )</f>
        <v>1</v>
      </c>
    </row>
    <row r="237" spans="2:11" x14ac:dyDescent="0.2">
      <c r="B237" s="122" t="str" vm="18">
        <f t="shared" si="2"/>
        <v>Bournville Village Trust</v>
      </c>
      <c r="C237" s="122" t="str" vm="325">
        <f t="shared" ref="C237" si="20" xml:space="preserve"> C33</f>
        <v>L0702</v>
      </c>
      <c r="D237" s="81">
        <f t="shared" si="4"/>
        <v>18</v>
      </c>
      <c r="E237" s="27" cm="1">
        <f t="array" ref="E237" xml:space="preserve"> INDEX( VfM_Metrics_2023_Consol_Source[], $D237, E$218 )</f>
        <v>2.4219590958019376E-3</v>
      </c>
      <c r="F237" s="27" cm="1">
        <f t="array" ref="F237" xml:space="preserve"> INDEX( VfM_Metrics_2023_Consol_Source[], $D237, F$218 )</f>
        <v>7.0505920344456408E-2</v>
      </c>
      <c r="G237" s="27">
        <f xml:space="preserve"> tblFilterPropType[[#This Row],[% Supported housing (excl. HOP)]] + tblFilterPropType[[#This Row],[% Housing for older people]]</f>
        <v>7.2927879440258345E-2</v>
      </c>
      <c r="H237" s="28">
        <f xml:space="preserve"> 1 -tblFilterPropType[[#This Row],[% Supported &amp; older people]]</f>
        <v>0.92707212055974164</v>
      </c>
      <c r="I237" s="27">
        <f xml:space="preserve"> INDEX( B237:H237, MATCH( "% " &amp; $H$216, tblFilterPropType[#Headers], 0 ) )</f>
        <v>7.2927879440258345E-2</v>
      </c>
      <c r="J237" s="27">
        <f t="shared" si="1"/>
        <v>0.2</v>
      </c>
      <c r="K237" s="24">
        <f xml:space="preserve"> IF( PropTypeOnOff = "Yes - pick", -- IF( $H$217 = "Minimum", tblFilterPropType[[#This Row],[Selected Prop Type %]] &gt;= tblFilterPropType[[#This Row],[Cut-off]], tblFilterPropType[[#This Row],[Selected Prop Type %]] &lt;= tblFilterPropType[[#This Row],[Cut-off]] ), 1 )</f>
        <v>1</v>
      </c>
    </row>
    <row r="238" spans="2:11" x14ac:dyDescent="0.2">
      <c r="B238" s="122" t="str" vm="19">
        <f t="shared" si="2"/>
        <v>bpha Limited</v>
      </c>
      <c r="C238" s="122" t="str" vm="294">
        <f t="shared" ref="C238" si="21" xml:space="preserve"> C34</f>
        <v>LH3887</v>
      </c>
      <c r="D238" s="81">
        <f t="shared" si="4"/>
        <v>19</v>
      </c>
      <c r="E238" s="27" cm="1">
        <f t="array" ref="E238" xml:space="preserve"> INDEX( VfM_Metrics_2023_Consol_Source[], $D238, E$218 )</f>
        <v>1.1210117849956885E-2</v>
      </c>
      <c r="F238" s="27" cm="1">
        <f t="array" ref="F238" xml:space="preserve"> INDEX( VfM_Metrics_2023_Consol_Source[], $D238, F$218 )</f>
        <v>5.8005173900546131E-2</v>
      </c>
      <c r="G238" s="27">
        <f xml:space="preserve"> tblFilterPropType[[#This Row],[% Supported housing (excl. HOP)]] + tblFilterPropType[[#This Row],[% Housing for older people]]</f>
        <v>6.9215291750503019E-2</v>
      </c>
      <c r="H238" s="28">
        <f xml:space="preserve"> 1 -tblFilterPropType[[#This Row],[% Supported &amp; older people]]</f>
        <v>0.93078470824949699</v>
      </c>
      <c r="I238" s="27">
        <f xml:space="preserve"> INDEX( B238:H238, MATCH( "% " &amp; $H$216, tblFilterPropType[#Headers], 0 ) )</f>
        <v>6.9215291750503019E-2</v>
      </c>
      <c r="J238" s="27">
        <f t="shared" si="1"/>
        <v>0.2</v>
      </c>
      <c r="K238" s="24">
        <f xml:space="preserve"> IF( PropTypeOnOff = "Yes - pick", -- IF( $H$217 = "Minimum", tblFilterPropType[[#This Row],[Selected Prop Type %]] &gt;= tblFilterPropType[[#This Row],[Cut-off]], tblFilterPropType[[#This Row],[Selected Prop Type %]] &lt;= tblFilterPropType[[#This Row],[Cut-off]] ), 1 )</f>
        <v>1</v>
      </c>
    </row>
    <row r="239" spans="2:11" x14ac:dyDescent="0.2">
      <c r="B239" s="122" t="str" vm="20">
        <f t="shared" si="2"/>
        <v>Brighter Places</v>
      </c>
      <c r="C239" s="122" t="str" vm="324">
        <f t="shared" ref="C239" si="22" xml:space="preserve"> C35</f>
        <v>L3758</v>
      </c>
      <c r="D239" s="81">
        <f t="shared" si="4"/>
        <v>20</v>
      </c>
      <c r="E239" s="27" cm="1">
        <f t="array" ref="E239" xml:space="preserve"> INDEX( VfM_Metrics_2023_Consol_Source[], $D239, E$218 )</f>
        <v>5.284680717206669E-2</v>
      </c>
      <c r="F239" s="27" cm="1">
        <f t="array" ref="F239" xml:space="preserve"> INDEX( VfM_Metrics_2023_Consol_Source[], $D239, F$218 )</f>
        <v>1.1953444479396037E-2</v>
      </c>
      <c r="G239" s="27">
        <f xml:space="preserve"> tblFilterPropType[[#This Row],[% Supported housing (excl. HOP)]] + tblFilterPropType[[#This Row],[% Housing for older people]]</f>
        <v>6.480025165146272E-2</v>
      </c>
      <c r="H239" s="28">
        <f xml:space="preserve"> 1 -tblFilterPropType[[#This Row],[% Supported &amp; older people]]</f>
        <v>0.93519974834853725</v>
      </c>
      <c r="I239" s="27">
        <f xml:space="preserve"> INDEX( B239:H239, MATCH( "% " &amp; $H$216, tblFilterPropType[#Headers], 0 ) )</f>
        <v>6.480025165146272E-2</v>
      </c>
      <c r="J239" s="27">
        <f t="shared" si="1"/>
        <v>0.2</v>
      </c>
      <c r="K239" s="24">
        <f xml:space="preserve"> IF( PropTypeOnOff = "Yes - pick", -- IF( $H$217 = "Minimum", tblFilterPropType[[#This Row],[Selected Prop Type %]] &gt;= tblFilterPropType[[#This Row],[Cut-off]], tblFilterPropType[[#This Row],[Selected Prop Type %]] &lt;= tblFilterPropType[[#This Row],[Cut-off]] ), 1 )</f>
        <v>1</v>
      </c>
    </row>
    <row r="240" spans="2:11" x14ac:dyDescent="0.2">
      <c r="B240" s="122" t="str" vm="21">
        <f t="shared" si="2"/>
        <v>Broadacres Housing Association Limited</v>
      </c>
      <c r="C240" s="122" t="str" vm="366">
        <f t="shared" ref="C240" si="23" xml:space="preserve"> C36</f>
        <v>LH4014</v>
      </c>
      <c r="D240" s="81">
        <f t="shared" si="4"/>
        <v>21</v>
      </c>
      <c r="E240" s="27" cm="1">
        <f t="array" ref="E240" xml:space="preserve"> INDEX( VfM_Metrics_2023_Consol_Source[], $D240, E$218 )</f>
        <v>3.896103896103896E-2</v>
      </c>
      <c r="F240" s="27" cm="1">
        <f t="array" ref="F240" xml:space="preserve"> INDEX( VfM_Metrics_2023_Consol_Source[], $D240, F$218 )</f>
        <v>0</v>
      </c>
      <c r="G240" s="27">
        <f xml:space="preserve"> tblFilterPropType[[#This Row],[% Supported housing (excl. HOP)]] + tblFilterPropType[[#This Row],[% Housing for older people]]</f>
        <v>3.896103896103896E-2</v>
      </c>
      <c r="H240" s="28">
        <f xml:space="preserve"> 1 -tblFilterPropType[[#This Row],[% Supported &amp; older people]]</f>
        <v>0.96103896103896103</v>
      </c>
      <c r="I240" s="27">
        <f xml:space="preserve"> INDEX( B240:H240, MATCH( "% " &amp; $H$216, tblFilterPropType[#Headers], 0 ) )</f>
        <v>3.896103896103896E-2</v>
      </c>
      <c r="J240" s="27">
        <f t="shared" si="1"/>
        <v>0.2</v>
      </c>
      <c r="K240" s="24">
        <f xml:space="preserve"> IF( PropTypeOnOff = "Yes - pick", -- IF( $H$217 = "Minimum", tblFilterPropType[[#This Row],[Selected Prop Type %]] &gt;= tblFilterPropType[[#This Row],[Cut-off]], tblFilterPropType[[#This Row],[Selected Prop Type %]] &lt;= tblFilterPropType[[#This Row],[Cut-off]] ), 1 )</f>
        <v>1</v>
      </c>
    </row>
    <row r="241" spans="2:11" x14ac:dyDescent="0.2">
      <c r="B241" s="122" t="str" vm="22">
        <f t="shared" si="2"/>
        <v>Broadland Housing Association Limited</v>
      </c>
      <c r="C241" s="122" t="str" vm="391">
        <f t="shared" ref="C241" si="24" xml:space="preserve"> C37</f>
        <v>L0026</v>
      </c>
      <c r="D241" s="81">
        <f t="shared" si="4"/>
        <v>22</v>
      </c>
      <c r="E241" s="27" cm="1">
        <f t="array" ref="E241" xml:space="preserve"> INDEX( VfM_Metrics_2023_Consol_Source[], $D241, E$218 )</f>
        <v>2.6918879592579121E-2</v>
      </c>
      <c r="F241" s="27" cm="1">
        <f t="array" ref="F241" xml:space="preserve"> INDEX( VfM_Metrics_2023_Consol_Source[], $D241, F$218 )</f>
        <v>0.10894870862131684</v>
      </c>
      <c r="G241" s="27">
        <f xml:space="preserve"> tblFilterPropType[[#This Row],[% Supported housing (excl. HOP)]] + tblFilterPropType[[#This Row],[% Housing for older people]]</f>
        <v>0.13586758821389597</v>
      </c>
      <c r="H241" s="28">
        <f xml:space="preserve"> 1 -tblFilterPropType[[#This Row],[% Supported &amp; older people]]</f>
        <v>0.864132411786104</v>
      </c>
      <c r="I241" s="27">
        <f xml:space="preserve"> INDEX( B241:H241, MATCH( "% " &amp; $H$216, tblFilterPropType[#Headers], 0 ) )</f>
        <v>0.13586758821389597</v>
      </c>
      <c r="J241" s="27">
        <f t="shared" si="1"/>
        <v>0.2</v>
      </c>
      <c r="K241" s="24">
        <f xml:space="preserve"> IF( PropTypeOnOff = "Yes - pick", -- IF( $H$217 = "Minimum", tblFilterPropType[[#This Row],[Selected Prop Type %]] &gt;= tblFilterPropType[[#This Row],[Cut-off]], tblFilterPropType[[#This Row],[Selected Prop Type %]] &lt;= tblFilterPropType[[#This Row],[Cut-off]] ), 1 )</f>
        <v>1</v>
      </c>
    </row>
    <row r="242" spans="2:11" x14ac:dyDescent="0.2">
      <c r="B242" s="122" t="str" vm="23">
        <f t="shared" si="2"/>
        <v>Bromford Housing Group Limited</v>
      </c>
      <c r="C242" s="122" t="str" vm="263">
        <f t="shared" ref="C242" si="25" xml:space="preserve"> C38</f>
        <v>L4449</v>
      </c>
      <c r="D242" s="81">
        <f t="shared" si="4"/>
        <v>23</v>
      </c>
      <c r="E242" s="27" cm="1">
        <f t="array" ref="E242" xml:space="preserve"> INDEX( VfM_Metrics_2023_Consol_Source[], $D242, E$218 )</f>
        <v>1.9520789288231147E-2</v>
      </c>
      <c r="F242" s="27" cm="1">
        <f t="array" ref="F242" xml:space="preserve"> INDEX( VfM_Metrics_2023_Consol_Source[], $D242, F$218 )</f>
        <v>6.0018792576932115E-2</v>
      </c>
      <c r="G242" s="27">
        <f xml:space="preserve"> tblFilterPropType[[#This Row],[% Supported housing (excl. HOP)]] + tblFilterPropType[[#This Row],[% Housing for older people]]</f>
        <v>7.9539581865163259E-2</v>
      </c>
      <c r="H242" s="28">
        <f xml:space="preserve"> 1 -tblFilterPropType[[#This Row],[% Supported &amp; older people]]</f>
        <v>0.9204604181348367</v>
      </c>
      <c r="I242" s="27">
        <f xml:space="preserve"> INDEX( B242:H242, MATCH( "% " &amp; $H$216, tblFilterPropType[#Headers], 0 ) )</f>
        <v>7.9539581865163259E-2</v>
      </c>
      <c r="J242" s="27">
        <f t="shared" si="1"/>
        <v>0.2</v>
      </c>
      <c r="K242" s="24">
        <f xml:space="preserve"> IF( PropTypeOnOff = "Yes - pick", -- IF( $H$217 = "Minimum", tblFilterPropType[[#This Row],[Selected Prop Type %]] &gt;= tblFilterPropType[[#This Row],[Cut-off]], tblFilterPropType[[#This Row],[Selected Prop Type %]] &lt;= tblFilterPropType[[#This Row],[Cut-off]] ), 1 )</f>
        <v>1</v>
      </c>
    </row>
    <row r="243" spans="2:11" x14ac:dyDescent="0.2">
      <c r="B243" s="122" t="str" vm="24">
        <f t="shared" si="2"/>
        <v>Bromsgrove District Housing Trust Limited</v>
      </c>
      <c r="C243" s="122" t="str" vm="323">
        <f t="shared" ref="C243" si="26" xml:space="preserve"> C39</f>
        <v>LH4415</v>
      </c>
      <c r="D243" s="81">
        <f t="shared" si="4"/>
        <v>24</v>
      </c>
      <c r="E243" s="27" cm="1">
        <f t="array" ref="E243" xml:space="preserve"> INDEX( VfM_Metrics_2023_Consol_Source[], $D243, E$218 )</f>
        <v>7.5150300601202404E-4</v>
      </c>
      <c r="F243" s="27" cm="1">
        <f t="array" ref="F243" xml:space="preserve"> INDEX( VfM_Metrics_2023_Consol_Source[], $D243, F$218 )</f>
        <v>0.22870741482965931</v>
      </c>
      <c r="G243" s="27">
        <f xml:space="preserve"> tblFilterPropType[[#This Row],[% Supported housing (excl. HOP)]] + tblFilterPropType[[#This Row],[% Housing for older people]]</f>
        <v>0.22945891783567132</v>
      </c>
      <c r="H243" s="28">
        <f xml:space="preserve"> 1 -tblFilterPropType[[#This Row],[% Supported &amp; older people]]</f>
        <v>0.77054108216432871</v>
      </c>
      <c r="I243" s="27">
        <f xml:space="preserve"> INDEX( B243:H243, MATCH( "% " &amp; $H$216, tblFilterPropType[#Headers], 0 ) )</f>
        <v>0.22945891783567132</v>
      </c>
      <c r="J243" s="27">
        <f t="shared" si="1"/>
        <v>0.2</v>
      </c>
      <c r="K243" s="24">
        <f xml:space="preserve"> IF( PropTypeOnOff = "Yes - pick", -- IF( $H$217 = "Minimum", tblFilterPropType[[#This Row],[Selected Prop Type %]] &gt;= tblFilterPropType[[#This Row],[Cut-off]], tblFilterPropType[[#This Row],[Selected Prop Type %]] &lt;= tblFilterPropType[[#This Row],[Cut-off]] ), 1 )</f>
        <v>1</v>
      </c>
    </row>
    <row r="244" spans="2:11" x14ac:dyDescent="0.2">
      <c r="B244" s="122" t="str" vm="25">
        <f t="shared" si="2"/>
        <v>Brunelcare</v>
      </c>
      <c r="C244" s="122" t="str" vm="211">
        <f t="shared" ref="C244" si="27" xml:space="preserve"> C40</f>
        <v>LH0269</v>
      </c>
      <c r="D244" s="81">
        <f t="shared" si="4"/>
        <v>25</v>
      </c>
      <c r="E244" s="27" cm="1">
        <f t="array" ref="E244" xml:space="preserve"> INDEX( VfM_Metrics_2023_Consol_Source[], $D244, E$218 )</f>
        <v>0.97539543057996481</v>
      </c>
      <c r="F244" s="27" cm="1">
        <f t="array" ref="F244" xml:space="preserve"> INDEX( VfM_Metrics_2023_Consol_Source[], $D244, F$218 )</f>
        <v>0</v>
      </c>
      <c r="G244" s="27">
        <f xml:space="preserve"> tblFilterPropType[[#This Row],[% Supported housing (excl. HOP)]] + tblFilterPropType[[#This Row],[% Housing for older people]]</f>
        <v>0.97539543057996481</v>
      </c>
      <c r="H244" s="28">
        <f xml:space="preserve"> 1 -tblFilterPropType[[#This Row],[% Supported &amp; older people]]</f>
        <v>2.4604569420035194E-2</v>
      </c>
      <c r="I244" s="27">
        <f xml:space="preserve"> INDEX( B244:H244, MATCH( "% " &amp; $H$216, tblFilterPropType[#Headers], 0 ) )</f>
        <v>0.97539543057996481</v>
      </c>
      <c r="J244" s="27">
        <f t="shared" si="1"/>
        <v>0.2</v>
      </c>
      <c r="K244" s="24">
        <f xml:space="preserve"> IF( PropTypeOnOff = "Yes - pick", -- IF( $H$217 = "Minimum", tblFilterPropType[[#This Row],[Selected Prop Type %]] &gt;= tblFilterPropType[[#This Row],[Cut-off]], tblFilterPropType[[#This Row],[Selected Prop Type %]] &lt;= tblFilterPropType[[#This Row],[Cut-off]] ), 1 )</f>
        <v>1</v>
      </c>
    </row>
    <row r="245" spans="2:11" x14ac:dyDescent="0.2">
      <c r="B245" s="122" t="str" vm="26">
        <f t="shared" si="2"/>
        <v>Calico Homes Limited</v>
      </c>
      <c r="C245" s="122" t="str" vm="393">
        <f t="shared" ref="C245" si="28" xml:space="preserve"> C41</f>
        <v>L4254</v>
      </c>
      <c r="D245" s="81">
        <f t="shared" si="4"/>
        <v>26</v>
      </c>
      <c r="E245" s="27" cm="1">
        <f t="array" ref="E245" xml:space="preserve"> INDEX( VfM_Metrics_2023_Consol_Source[], $D245, E$218 )</f>
        <v>2.7224934284641383E-2</v>
      </c>
      <c r="F245" s="27" cm="1">
        <f t="array" ref="F245" xml:space="preserve"> INDEX( VfM_Metrics_2023_Consol_Source[], $D245, F$218 )</f>
        <v>0.20296657904618851</v>
      </c>
      <c r="G245" s="27">
        <f xml:space="preserve"> tblFilterPropType[[#This Row],[% Supported housing (excl. HOP)]] + tblFilterPropType[[#This Row],[% Housing for older people]]</f>
        <v>0.23019151333082988</v>
      </c>
      <c r="H245" s="28">
        <f xml:space="preserve"> 1 -tblFilterPropType[[#This Row],[% Supported &amp; older people]]</f>
        <v>0.76980848666917012</v>
      </c>
      <c r="I245" s="27">
        <f xml:space="preserve"> INDEX( B245:H245, MATCH( "% " &amp; $H$216, tblFilterPropType[#Headers], 0 ) )</f>
        <v>0.23019151333082988</v>
      </c>
      <c r="J245" s="27">
        <f t="shared" si="1"/>
        <v>0.2</v>
      </c>
      <c r="K245" s="24">
        <f xml:space="preserve"> IF( PropTypeOnOff = "Yes - pick", -- IF( $H$217 = "Minimum", tblFilterPropType[[#This Row],[Selected Prop Type %]] &gt;= tblFilterPropType[[#This Row],[Cut-off]], tblFilterPropType[[#This Row],[Selected Prop Type %]] &lt;= tblFilterPropType[[#This Row],[Cut-off]] ), 1 )</f>
        <v>1</v>
      </c>
    </row>
    <row r="246" spans="2:11" x14ac:dyDescent="0.2">
      <c r="B246" s="122" t="str" vm="27">
        <f t="shared" si="2"/>
        <v>Castles &amp; Coasts Housing Association Limited</v>
      </c>
      <c r="C246" s="122" t="str" vm="371">
        <f t="shared" ref="C246" si="29" xml:space="preserve"> C42</f>
        <v>4858</v>
      </c>
      <c r="D246" s="81">
        <f t="shared" si="4"/>
        <v>27</v>
      </c>
      <c r="E246" s="27" cm="1">
        <f t="array" ref="E246" xml:space="preserve"> INDEX( VfM_Metrics_2023_Consol_Source[], $D246, E$218 )</f>
        <v>5.3970701619121047E-3</v>
      </c>
      <c r="F246" s="27" cm="1">
        <f t="array" ref="F246" xml:space="preserve"> INDEX( VfM_Metrics_2023_Consol_Source[], $D246, F$218 )</f>
        <v>9.7455666923670012E-2</v>
      </c>
      <c r="G246" s="27">
        <f xml:space="preserve"> tblFilterPropType[[#This Row],[% Supported housing (excl. HOP)]] + tblFilterPropType[[#This Row],[% Housing for older people]]</f>
        <v>0.10285273708558211</v>
      </c>
      <c r="H246" s="28">
        <f xml:space="preserve"> 1 -tblFilterPropType[[#This Row],[% Supported &amp; older people]]</f>
        <v>0.89714726291441793</v>
      </c>
      <c r="I246" s="27">
        <f xml:space="preserve"> INDEX( B246:H246, MATCH( "% " &amp; $H$216, tblFilterPropType[#Headers], 0 ) )</f>
        <v>0.10285273708558211</v>
      </c>
      <c r="J246" s="27">
        <f t="shared" si="1"/>
        <v>0.2</v>
      </c>
      <c r="K246" s="24">
        <f xml:space="preserve"> IF( PropTypeOnOff = "Yes - pick", -- IF( $H$217 = "Minimum", tblFilterPropType[[#This Row],[Selected Prop Type %]] &gt;= tblFilterPropType[[#This Row],[Cut-off]], tblFilterPropType[[#This Row],[Selected Prop Type %]] &lt;= tblFilterPropType[[#This Row],[Cut-off]] ), 1 )</f>
        <v>1</v>
      </c>
    </row>
    <row r="247" spans="2:11" x14ac:dyDescent="0.2">
      <c r="B247" s="122" t="str" vm="28">
        <f t="shared" si="2"/>
        <v>Chelmer Housing Partnership Limited</v>
      </c>
      <c r="C247" s="122" t="str" vm="279">
        <f t="shared" ref="C247" si="30" xml:space="preserve"> C43</f>
        <v>L4331</v>
      </c>
      <c r="D247" s="81">
        <f t="shared" si="4"/>
        <v>28</v>
      </c>
      <c r="E247" s="27" cm="1">
        <f t="array" ref="E247" xml:space="preserve"> INDEX( VfM_Metrics_2023_Consol_Source[], $D247, E$218 )</f>
        <v>2.8050490883590462E-3</v>
      </c>
      <c r="F247" s="27" cm="1">
        <f t="array" ref="F247" xml:space="preserve"> INDEX( VfM_Metrics_2023_Consol_Source[], $D247, F$218 )</f>
        <v>0</v>
      </c>
      <c r="G247" s="27">
        <f xml:space="preserve"> tblFilterPropType[[#This Row],[% Supported housing (excl. HOP)]] + tblFilterPropType[[#This Row],[% Housing for older people]]</f>
        <v>2.8050490883590462E-3</v>
      </c>
      <c r="H247" s="28">
        <f xml:space="preserve"> 1 -tblFilterPropType[[#This Row],[% Supported &amp; older people]]</f>
        <v>0.9971949509116409</v>
      </c>
      <c r="I247" s="27">
        <f xml:space="preserve"> INDEX( B247:H247, MATCH( "% " &amp; $H$216, tblFilterPropType[#Headers], 0 ) )</f>
        <v>2.8050490883590462E-3</v>
      </c>
      <c r="J247" s="27">
        <f t="shared" si="1"/>
        <v>0.2</v>
      </c>
      <c r="K247" s="24">
        <f xml:space="preserve"> IF( PropTypeOnOff = "Yes - pick", -- IF( $H$217 = "Minimum", tblFilterPropType[[#This Row],[Selected Prop Type %]] &gt;= tblFilterPropType[[#This Row],[Cut-off]], tblFilterPropType[[#This Row],[Selected Prop Type %]] &lt;= tblFilterPropType[[#This Row],[Cut-off]] ), 1 )</f>
        <v>1</v>
      </c>
    </row>
    <row r="248" spans="2:11" x14ac:dyDescent="0.2">
      <c r="B248" s="122" t="str" vm="29">
        <f t="shared" si="2"/>
        <v>Cheshire Peaks &amp; Plains Housing Trust Limited</v>
      </c>
      <c r="C248" s="122" t="str" vm="370">
        <f t="shared" ref="C248" si="31" xml:space="preserve"> C44</f>
        <v>L4472</v>
      </c>
      <c r="D248" s="81">
        <f t="shared" si="4"/>
        <v>29</v>
      </c>
      <c r="E248" s="27" cm="1">
        <f t="array" ref="E248" xml:space="preserve"> INDEX( VfM_Metrics_2023_Consol_Source[], $D248, E$218 )</f>
        <v>9.5822154082023765E-4</v>
      </c>
      <c r="F248" s="27" cm="1">
        <f t="array" ref="F248" xml:space="preserve"> INDEX( VfM_Metrics_2023_Consol_Source[], $D248, F$218 )</f>
        <v>0.20582598696818705</v>
      </c>
      <c r="G248" s="27">
        <f xml:space="preserve"> tblFilterPropType[[#This Row],[% Supported housing (excl. HOP)]] + tblFilterPropType[[#This Row],[% Housing for older people]]</f>
        <v>0.20678420850900728</v>
      </c>
      <c r="H248" s="28">
        <f xml:space="preserve"> 1 -tblFilterPropType[[#This Row],[% Supported &amp; older people]]</f>
        <v>0.79321579149099275</v>
      </c>
      <c r="I248" s="27">
        <f xml:space="preserve"> INDEX( B248:H248, MATCH( "% " &amp; $H$216, tblFilterPropType[#Headers], 0 ) )</f>
        <v>0.20678420850900728</v>
      </c>
      <c r="J248" s="27">
        <f t="shared" si="1"/>
        <v>0.2</v>
      </c>
      <c r="K248" s="24">
        <f xml:space="preserve"> IF( PropTypeOnOff = "Yes - pick", -- IF( $H$217 = "Minimum", tblFilterPropType[[#This Row],[Selected Prop Type %]] &gt;= tblFilterPropType[[#This Row],[Cut-off]], tblFilterPropType[[#This Row],[Selected Prop Type %]] &lt;= tblFilterPropType[[#This Row],[Cut-off]] ), 1 )</f>
        <v>1</v>
      </c>
    </row>
    <row r="249" spans="2:11" x14ac:dyDescent="0.2">
      <c r="B249" s="122" t="str" vm="30">
        <f t="shared" si="2"/>
        <v>Christian Action (Enfield) Housing Association Limited</v>
      </c>
      <c r="C249" s="122" t="str" vm="214">
        <f t="shared" ref="C249" si="32" xml:space="preserve"> C45</f>
        <v>LH0676</v>
      </c>
      <c r="D249" s="81">
        <f t="shared" si="4"/>
        <v>30</v>
      </c>
      <c r="E249" s="27" cm="1">
        <f t="array" ref="E249" xml:space="preserve"> INDEX( VfM_Metrics_2023_Consol_Source[], $D249, E$218 )</f>
        <v>0.13574982231698648</v>
      </c>
      <c r="F249" s="27" cm="1">
        <f t="array" ref="F249" xml:space="preserve"> INDEX( VfM_Metrics_2023_Consol_Source[], $D249, F$218 )</f>
        <v>0.1634683724235963</v>
      </c>
      <c r="G249" s="27">
        <f xml:space="preserve"> tblFilterPropType[[#This Row],[% Supported housing (excl. HOP)]] + tblFilterPropType[[#This Row],[% Housing for older people]]</f>
        <v>0.29921819474058275</v>
      </c>
      <c r="H249" s="28">
        <f xml:space="preserve"> 1 -tblFilterPropType[[#This Row],[% Supported &amp; older people]]</f>
        <v>0.70078180525941725</v>
      </c>
      <c r="I249" s="27">
        <f xml:space="preserve"> INDEX( B249:H249, MATCH( "% " &amp; $H$216, tblFilterPropType[#Headers], 0 ) )</f>
        <v>0.29921819474058275</v>
      </c>
      <c r="J249" s="27">
        <f t="shared" si="1"/>
        <v>0.2</v>
      </c>
      <c r="K249" s="24">
        <f xml:space="preserve"> IF( PropTypeOnOff = "Yes - pick", -- IF( $H$217 = "Minimum", tblFilterPropType[[#This Row],[Selected Prop Type %]] &gt;= tblFilterPropType[[#This Row],[Cut-off]], tblFilterPropType[[#This Row],[Selected Prop Type %]] &lt;= tblFilterPropType[[#This Row],[Cut-off]] ), 1 )</f>
        <v>1</v>
      </c>
    </row>
    <row r="250" spans="2:11" x14ac:dyDescent="0.2">
      <c r="B250" s="122" t="str" vm="31">
        <f t="shared" si="2"/>
        <v>Citizen Housing Group Limited</v>
      </c>
      <c r="C250" s="122" t="str" vm="342">
        <f t="shared" ref="C250" si="33" xml:space="preserve"> C46</f>
        <v>5075</v>
      </c>
      <c r="D250" s="81">
        <f t="shared" si="4"/>
        <v>31</v>
      </c>
      <c r="E250" s="27" cm="1">
        <f t="array" ref="E250" xml:space="preserve"> INDEX( VfM_Metrics_2023_Consol_Source[], $D250, E$218 )</f>
        <v>1.5339313839621995E-2</v>
      </c>
      <c r="F250" s="27" cm="1">
        <f t="array" ref="F250" xml:space="preserve"> INDEX( VfM_Metrics_2023_Consol_Source[], $D250, F$218 )</f>
        <v>2.4378552352256385E-2</v>
      </c>
      <c r="G250" s="27">
        <f xml:space="preserve"> tblFilterPropType[[#This Row],[% Supported housing (excl. HOP)]] + tblFilterPropType[[#This Row],[% Housing for older people]]</f>
        <v>3.9717866191878379E-2</v>
      </c>
      <c r="H250" s="28">
        <f xml:space="preserve"> 1 -tblFilterPropType[[#This Row],[% Supported &amp; older people]]</f>
        <v>0.96028213380812166</v>
      </c>
      <c r="I250" s="27">
        <f xml:space="preserve"> INDEX( B250:H250, MATCH( "% " &amp; $H$216, tblFilterPropType[#Headers], 0 ) )</f>
        <v>3.9717866191878379E-2</v>
      </c>
      <c r="J250" s="27">
        <f t="shared" si="1"/>
        <v>0.2</v>
      </c>
      <c r="K250" s="24">
        <f xml:space="preserve"> IF( PropTypeOnOff = "Yes - pick", -- IF( $H$217 = "Minimum", tblFilterPropType[[#This Row],[Selected Prop Type %]] &gt;= tblFilterPropType[[#This Row],[Cut-off]], tblFilterPropType[[#This Row],[Selected Prop Type %]] &lt;= tblFilterPropType[[#This Row],[Cut-off]] ), 1 )</f>
        <v>1</v>
      </c>
    </row>
    <row r="251" spans="2:11" x14ac:dyDescent="0.2">
      <c r="B251" s="122" t="str" vm="32">
        <f t="shared" si="2"/>
        <v>Clarion Housing Group Limited</v>
      </c>
      <c r="C251" s="122" t="str" vm="246">
        <f t="shared" ref="C251" si="34" xml:space="preserve"> C47</f>
        <v>LH4087</v>
      </c>
      <c r="D251" s="81">
        <f t="shared" si="4"/>
        <v>32</v>
      </c>
      <c r="E251" s="27" cm="1">
        <f t="array" ref="E251" xml:space="preserve"> INDEX( VfM_Metrics_2023_Consol_Source[], $D251, E$218 )</f>
        <v>1.4766073821191932E-2</v>
      </c>
      <c r="F251" s="27" cm="1">
        <f t="array" ref="F251" xml:space="preserve"> INDEX( VfM_Metrics_2023_Consol_Source[], $D251, F$218 )</f>
        <v>6.0055430134170293E-2</v>
      </c>
      <c r="G251" s="27">
        <f xml:space="preserve"> tblFilterPropType[[#This Row],[% Supported housing (excl. HOP)]] + tblFilterPropType[[#This Row],[% Housing for older people]]</f>
        <v>7.4821503955362217E-2</v>
      </c>
      <c r="H251" s="28">
        <f xml:space="preserve"> 1 -tblFilterPropType[[#This Row],[% Supported &amp; older people]]</f>
        <v>0.92517849604463775</v>
      </c>
      <c r="I251" s="27">
        <f xml:space="preserve"> INDEX( B251:H251, MATCH( "% " &amp; $H$216, tblFilterPropType[#Headers], 0 ) )</f>
        <v>7.4821503955362217E-2</v>
      </c>
      <c r="J251" s="27">
        <f t="shared" si="1"/>
        <v>0.2</v>
      </c>
      <c r="K251" s="24">
        <f xml:space="preserve"> IF( PropTypeOnOff = "Yes - pick", -- IF( $H$217 = "Minimum", tblFilterPropType[[#This Row],[Selected Prop Type %]] &gt;= tblFilterPropType[[#This Row],[Cut-off]], tblFilterPropType[[#This Row],[Selected Prop Type %]] &lt;= tblFilterPropType[[#This Row],[Cut-off]] ), 1 )</f>
        <v>1</v>
      </c>
    </row>
    <row r="252" spans="2:11" x14ac:dyDescent="0.2">
      <c r="B252" s="122" t="str" vm="33">
        <f t="shared" si="2"/>
        <v>Coastline Housing Limited</v>
      </c>
      <c r="C252" s="122" t="str" vm="363">
        <f t="shared" ref="C252:C283" si="35" xml:space="preserve"> C48</f>
        <v>LH4165</v>
      </c>
      <c r="D252" s="81">
        <f t="shared" si="4"/>
        <v>33</v>
      </c>
      <c r="E252" s="27" cm="1">
        <f t="array" ref="E252" xml:space="preserve"> INDEX( VfM_Metrics_2023_Consol_Source[], $D252, E$218 )</f>
        <v>2.0270270270270271E-2</v>
      </c>
      <c r="F252" s="27" cm="1">
        <f t="array" ref="F252" xml:space="preserve"> INDEX( VfM_Metrics_2023_Consol_Source[], $D252, F$218 )</f>
        <v>0.14169316375198729</v>
      </c>
      <c r="G252" s="27">
        <f xml:space="preserve"> tblFilterPropType[[#This Row],[% Supported housing (excl. HOP)]] + tblFilterPropType[[#This Row],[% Housing for older people]]</f>
        <v>0.16196343402225755</v>
      </c>
      <c r="H252" s="28">
        <f xml:space="preserve"> 1 -tblFilterPropType[[#This Row],[% Supported &amp; older people]]</f>
        <v>0.83803656597774245</v>
      </c>
      <c r="I252" s="27">
        <f xml:space="preserve"> INDEX( B252:H252, MATCH( "% " &amp; $H$216, tblFilterPropType[#Headers], 0 ) )</f>
        <v>0.16196343402225755</v>
      </c>
      <c r="J252" s="27">
        <f t="shared" ref="J252:J283" si="36" xml:space="preserve"> PropTypePercent</f>
        <v>0.2</v>
      </c>
      <c r="K252" s="24">
        <f xml:space="preserve"> IF( PropTypeOnOff = "Yes - pick", -- IF( $H$217 = "Minimum", tblFilterPropType[[#This Row],[Selected Prop Type %]] &gt;= tblFilterPropType[[#This Row],[Cut-off]], tblFilterPropType[[#This Row],[Selected Prop Type %]] &lt;= tblFilterPropType[[#This Row],[Cut-off]] ), 1 )</f>
        <v>1</v>
      </c>
    </row>
    <row r="253" spans="2:11" x14ac:dyDescent="0.2">
      <c r="B253" s="122" t="str" vm="34">
        <f t="shared" ref="B253:B284" si="37" xml:space="preserve"> B49</f>
        <v>Cobalt Housing Limited</v>
      </c>
      <c r="C253" s="122" t="str" vm="394">
        <f t="shared" si="35"/>
        <v>L4361</v>
      </c>
      <c r="D253" s="81">
        <f t="shared" ref="D253:D284" si="38" xml:space="preserve"> D49</f>
        <v>34</v>
      </c>
      <c r="E253" s="27" cm="1">
        <f t="array" ref="E253" xml:space="preserve"> INDEX( VfM_Metrics_2023_Consol_Source[], $D253, E$218 )</f>
        <v>0</v>
      </c>
      <c r="F253" s="27" cm="1">
        <f t="array" ref="F253" xml:space="preserve"> INDEX( VfM_Metrics_2023_Consol_Source[], $D253, F$218 )</f>
        <v>0</v>
      </c>
      <c r="G253" s="27">
        <f xml:space="preserve"> tblFilterPropType[[#This Row],[% Supported housing (excl. HOP)]] + tblFilterPropType[[#This Row],[% Housing for older people]]</f>
        <v>0</v>
      </c>
      <c r="H253" s="28">
        <f xml:space="preserve"> 1 -tblFilterPropType[[#This Row],[% Supported &amp; older people]]</f>
        <v>1</v>
      </c>
      <c r="I253" s="27">
        <f xml:space="preserve"> INDEX( B253:H253, MATCH( "% " &amp; $H$216, tblFilterPropType[#Headers], 0 ) )</f>
        <v>0</v>
      </c>
      <c r="J253" s="27">
        <f t="shared" si="36"/>
        <v>0.2</v>
      </c>
      <c r="K253" s="24">
        <f xml:space="preserve"> IF( PropTypeOnOff = "Yes - pick", -- IF( $H$217 = "Minimum", tblFilterPropType[[#This Row],[Selected Prop Type %]] &gt;= tblFilterPropType[[#This Row],[Cut-off]], tblFilterPropType[[#This Row],[Selected Prop Type %]] &lt;= tblFilterPropType[[#This Row],[Cut-off]] ), 1 )</f>
        <v>1</v>
      </c>
    </row>
    <row r="254" spans="2:11" x14ac:dyDescent="0.2">
      <c r="B254" s="122" t="str" vm="35">
        <f t="shared" si="37"/>
        <v>Community Gateway Association Limited</v>
      </c>
      <c r="C254" s="122" t="str" vm="396">
        <f t="shared" si="35"/>
        <v>L4457</v>
      </c>
      <c r="D254" s="81">
        <f t="shared" si="38"/>
        <v>35</v>
      </c>
      <c r="E254" s="27" cm="1">
        <f t="array" ref="E254" xml:space="preserve"> INDEX( VfM_Metrics_2023_Consol_Source[], $D254, E$218 )</f>
        <v>1.4151646059883808E-2</v>
      </c>
      <c r="F254" s="27" cm="1">
        <f t="array" ref="F254" xml:space="preserve"> INDEX( VfM_Metrics_2023_Consol_Source[], $D254, F$218 )</f>
        <v>6.3905854312527932E-2</v>
      </c>
      <c r="G254" s="27">
        <f xml:space="preserve"> tblFilterPropType[[#This Row],[% Supported housing (excl. HOP)]] + tblFilterPropType[[#This Row],[% Housing for older people]]</f>
        <v>7.8057500372411742E-2</v>
      </c>
      <c r="H254" s="28">
        <f xml:space="preserve"> 1 -tblFilterPropType[[#This Row],[% Supported &amp; older people]]</f>
        <v>0.92194249962758823</v>
      </c>
      <c r="I254" s="27">
        <f xml:space="preserve"> INDEX( B254:H254, MATCH( "% " &amp; $H$216, tblFilterPropType[#Headers], 0 ) )</f>
        <v>7.8057500372411742E-2</v>
      </c>
      <c r="J254" s="27">
        <f t="shared" si="36"/>
        <v>0.2</v>
      </c>
      <c r="K254" s="24">
        <f xml:space="preserve"> IF( PropTypeOnOff = "Yes - pick", -- IF( $H$217 = "Minimum", tblFilterPropType[[#This Row],[Selected Prop Type %]] &gt;= tblFilterPropType[[#This Row],[Cut-off]], tblFilterPropType[[#This Row],[Selected Prop Type %]] &lt;= tblFilterPropType[[#This Row],[Cut-off]] ), 1 )</f>
        <v>1</v>
      </c>
    </row>
    <row r="255" spans="2:11" x14ac:dyDescent="0.2">
      <c r="B255" s="122" t="str" vm="36">
        <f t="shared" si="37"/>
        <v>Connect Housing Association Limited</v>
      </c>
      <c r="C255" s="122" t="str" vm="321">
        <f t="shared" si="35"/>
        <v>L2285</v>
      </c>
      <c r="D255" s="81">
        <f t="shared" si="38"/>
        <v>36</v>
      </c>
      <c r="E255" s="27" cm="1">
        <f t="array" ref="E255" xml:space="preserve"> INDEX( VfM_Metrics_2023_Consol_Source[], $D255, E$218 )</f>
        <v>5.2366863905325446E-2</v>
      </c>
      <c r="F255" s="27" cm="1">
        <f t="array" ref="F255" xml:space="preserve"> INDEX( VfM_Metrics_2023_Consol_Source[], $D255, F$218 )</f>
        <v>0.23431952662721894</v>
      </c>
      <c r="G255" s="27">
        <f xml:space="preserve"> tblFilterPropType[[#This Row],[% Supported housing (excl. HOP)]] + tblFilterPropType[[#This Row],[% Housing for older people]]</f>
        <v>0.28668639053254441</v>
      </c>
      <c r="H255" s="28">
        <f xml:space="preserve"> 1 -tblFilterPropType[[#This Row],[% Supported &amp; older people]]</f>
        <v>0.71331360946745559</v>
      </c>
      <c r="I255" s="27">
        <f xml:space="preserve"> INDEX( B255:H255, MATCH( "% " &amp; $H$216, tblFilterPropType[#Headers], 0 ) )</f>
        <v>0.28668639053254441</v>
      </c>
      <c r="J255" s="27">
        <f t="shared" si="36"/>
        <v>0.2</v>
      </c>
      <c r="K255" s="24">
        <f xml:space="preserve"> IF( PropTypeOnOff = "Yes - pick", -- IF( $H$217 = "Minimum", tblFilterPropType[[#This Row],[Selected Prop Type %]] &gt;= tblFilterPropType[[#This Row],[Cut-off]], tblFilterPropType[[#This Row],[Selected Prop Type %]] &lt;= tblFilterPropType[[#This Row],[Cut-off]] ), 1 )</f>
        <v>1</v>
      </c>
    </row>
    <row r="256" spans="2:11" x14ac:dyDescent="0.2">
      <c r="B256" s="122" t="str" vm="37">
        <f t="shared" si="37"/>
        <v>Connexus Homes Limited</v>
      </c>
      <c r="C256" s="122" t="str" vm="277">
        <f t="shared" si="35"/>
        <v>LH4353</v>
      </c>
      <c r="D256" s="81">
        <f t="shared" si="38"/>
        <v>37</v>
      </c>
      <c r="E256" s="27" cm="1">
        <f t="array" ref="E256" xml:space="preserve"> INDEX( VfM_Metrics_2023_Consol_Source[], $D256, E$218 )</f>
        <v>9.8094699113374841E-3</v>
      </c>
      <c r="F256" s="27" cm="1">
        <f t="array" ref="F256" xml:space="preserve"> INDEX( VfM_Metrics_2023_Consol_Source[], $D256, F$218 )</f>
        <v>0.13223920015091492</v>
      </c>
      <c r="G256" s="27">
        <f xml:space="preserve"> tblFilterPropType[[#This Row],[% Supported housing (excl. HOP)]] + tblFilterPropType[[#This Row],[% Housing for older people]]</f>
        <v>0.14204867006225241</v>
      </c>
      <c r="H256" s="28">
        <f xml:space="preserve"> 1 -tblFilterPropType[[#This Row],[% Supported &amp; older people]]</f>
        <v>0.85795132993774759</v>
      </c>
      <c r="I256" s="27">
        <f xml:space="preserve"> INDEX( B256:H256, MATCH( "% " &amp; $H$216, tblFilterPropType[#Headers], 0 ) )</f>
        <v>0.14204867006225241</v>
      </c>
      <c r="J256" s="27">
        <f t="shared" si="36"/>
        <v>0.2</v>
      </c>
      <c r="K256" s="24">
        <f xml:space="preserve"> IF( PropTypeOnOff = "Yes - pick", -- IF( $H$217 = "Minimum", tblFilterPropType[[#This Row],[Selected Prop Type %]] &gt;= tblFilterPropType[[#This Row],[Cut-off]], tblFilterPropType[[#This Row],[Selected Prop Type %]] &lt;= tblFilterPropType[[#This Row],[Cut-off]] ), 1 )</f>
        <v>1</v>
      </c>
    </row>
    <row r="257" spans="2:11" x14ac:dyDescent="0.2">
      <c r="B257" s="122" t="str" vm="38">
        <f t="shared" si="37"/>
        <v>Cornerstone Housing Limited</v>
      </c>
      <c r="C257" s="122" t="str" vm="228">
        <f t="shared" si="35"/>
        <v>L0147</v>
      </c>
      <c r="D257" s="81">
        <f t="shared" si="38"/>
        <v>38</v>
      </c>
      <c r="E257" s="27" cm="1">
        <f t="array" ref="E257" xml:space="preserve"> INDEX( VfM_Metrics_2023_Consol_Source[], $D257, E$218 )</f>
        <v>0</v>
      </c>
      <c r="F257" s="27" cm="1">
        <f t="array" ref="F257" xml:space="preserve"> INDEX( VfM_Metrics_2023_Consol_Source[], $D257, F$218 )</f>
        <v>0</v>
      </c>
      <c r="G257" s="27">
        <f xml:space="preserve"> tblFilterPropType[[#This Row],[% Supported housing (excl. HOP)]] + tblFilterPropType[[#This Row],[% Housing for older people]]</f>
        <v>0</v>
      </c>
      <c r="H257" s="28">
        <f xml:space="preserve"> 1 -tblFilterPropType[[#This Row],[% Supported &amp; older people]]</f>
        <v>1</v>
      </c>
      <c r="I257" s="27">
        <f xml:space="preserve"> INDEX( B257:H257, MATCH( "% " &amp; $H$216, tblFilterPropType[#Headers], 0 ) )</f>
        <v>0</v>
      </c>
      <c r="J257" s="27">
        <f t="shared" si="36"/>
        <v>0.2</v>
      </c>
      <c r="K257" s="24">
        <f xml:space="preserve"> IF( PropTypeOnOff = "Yes - pick", -- IF( $H$217 = "Minimum", tblFilterPropType[[#This Row],[Selected Prop Type %]] &gt;= tblFilterPropType[[#This Row],[Cut-off]], tblFilterPropType[[#This Row],[Selected Prop Type %]] &lt;= tblFilterPropType[[#This Row],[Cut-off]] ), 1 )</f>
        <v>1</v>
      </c>
    </row>
    <row r="258" spans="2:11" x14ac:dyDescent="0.2">
      <c r="B258" s="122" t="str" vm="39">
        <f t="shared" si="37"/>
        <v>Cottsway Housing Association Limited</v>
      </c>
      <c r="C258" s="122" t="str" vm="390">
        <f t="shared" si="35"/>
        <v>L4312</v>
      </c>
      <c r="D258" s="81">
        <f t="shared" si="38"/>
        <v>39</v>
      </c>
      <c r="E258" s="27" cm="1">
        <f t="array" ref="E258" xml:space="preserve"> INDEX( VfM_Metrics_2023_Consol_Source[], $D258, E$218 )</f>
        <v>0</v>
      </c>
      <c r="F258" s="27" cm="1">
        <f t="array" ref="F258" xml:space="preserve"> INDEX( VfM_Metrics_2023_Consol_Source[], $D258, F$218 )</f>
        <v>0</v>
      </c>
      <c r="G258" s="27">
        <f xml:space="preserve"> tblFilterPropType[[#This Row],[% Supported housing (excl. HOP)]] + tblFilterPropType[[#This Row],[% Housing for older people]]</f>
        <v>0</v>
      </c>
      <c r="H258" s="28">
        <f xml:space="preserve"> 1 -tblFilterPropType[[#This Row],[% Supported &amp; older people]]</f>
        <v>1</v>
      </c>
      <c r="I258" s="27">
        <f xml:space="preserve"> INDEX( B258:H258, MATCH( "% " &amp; $H$216, tblFilterPropType[#Headers], 0 ) )</f>
        <v>0</v>
      </c>
      <c r="J258" s="27">
        <f t="shared" si="36"/>
        <v>0.2</v>
      </c>
      <c r="K258" s="24">
        <f xml:space="preserve"> IF( PropTypeOnOff = "Yes - pick", -- IF( $H$217 = "Minimum", tblFilterPropType[[#This Row],[Selected Prop Type %]] &gt;= tblFilterPropType[[#This Row],[Cut-off]], tblFilterPropType[[#This Row],[Selected Prop Type %]] &lt;= tblFilterPropType[[#This Row],[Cut-off]] ), 1 )</f>
        <v>1</v>
      </c>
    </row>
    <row r="259" spans="2:11" x14ac:dyDescent="0.2">
      <c r="B259" s="122" t="str" vm="40">
        <f t="shared" si="37"/>
        <v>Cross Keys Homes Limited</v>
      </c>
      <c r="C259" s="122" t="str" vm="302">
        <f t="shared" si="35"/>
        <v>LH4428</v>
      </c>
      <c r="D259" s="81">
        <f t="shared" si="38"/>
        <v>40</v>
      </c>
      <c r="E259" s="27" cm="1">
        <f t="array" ref="E259" xml:space="preserve"> INDEX( VfM_Metrics_2023_Consol_Source[], $D259, E$218 )</f>
        <v>9.4448094612352169E-3</v>
      </c>
      <c r="F259" s="27" cm="1">
        <f t="array" ref="F259" xml:space="preserve"> INDEX( VfM_Metrics_2023_Consol_Source[], $D259, F$218 )</f>
        <v>9.2723390275952694E-2</v>
      </c>
      <c r="G259" s="27">
        <f xml:space="preserve"> tblFilterPropType[[#This Row],[% Supported housing (excl. HOP)]] + tblFilterPropType[[#This Row],[% Housing for older people]]</f>
        <v>0.10216819973718791</v>
      </c>
      <c r="H259" s="28">
        <f xml:space="preserve"> 1 -tblFilterPropType[[#This Row],[% Supported &amp; older people]]</f>
        <v>0.89783180026281206</v>
      </c>
      <c r="I259" s="27">
        <f xml:space="preserve"> INDEX( B259:H259, MATCH( "% " &amp; $H$216, tblFilterPropType[#Headers], 0 ) )</f>
        <v>0.10216819973718791</v>
      </c>
      <c r="J259" s="27">
        <f t="shared" si="36"/>
        <v>0.2</v>
      </c>
      <c r="K259" s="24">
        <f xml:space="preserve"> IF( PropTypeOnOff = "Yes - pick", -- IF( $H$217 = "Minimum", tblFilterPropType[[#This Row],[Selected Prop Type %]] &gt;= tblFilterPropType[[#This Row],[Cut-off]], tblFilterPropType[[#This Row],[Selected Prop Type %]] &lt;= tblFilterPropType[[#This Row],[Cut-off]] ), 1 )</f>
        <v>1</v>
      </c>
    </row>
    <row r="260" spans="2:11" x14ac:dyDescent="0.2">
      <c r="B260" s="122" t="str" vm="41">
        <f t="shared" si="37"/>
        <v>Croydon Churches Housing Association Limited</v>
      </c>
      <c r="C260" s="122" t="str" vm="213">
        <f t="shared" si="35"/>
        <v>LH0495</v>
      </c>
      <c r="D260" s="81">
        <f t="shared" si="38"/>
        <v>41</v>
      </c>
      <c r="E260" s="27" cm="1">
        <f t="array" ref="E260" xml:space="preserve"> INDEX( VfM_Metrics_2023_Consol_Source[], $D260, E$218 )</f>
        <v>9.0845070422535215E-2</v>
      </c>
      <c r="F260" s="27" cm="1">
        <f t="array" ref="F260" xml:space="preserve"> INDEX( VfM_Metrics_2023_Consol_Source[], $D260, F$218 )</f>
        <v>0.22323943661971832</v>
      </c>
      <c r="G260" s="27">
        <f xml:space="preserve"> tblFilterPropType[[#This Row],[% Supported housing (excl. HOP)]] + tblFilterPropType[[#This Row],[% Housing for older people]]</f>
        <v>0.31408450704225355</v>
      </c>
      <c r="H260" s="28">
        <f xml:space="preserve"> 1 -tblFilterPropType[[#This Row],[% Supported &amp; older people]]</f>
        <v>0.68591549295774645</v>
      </c>
      <c r="I260" s="27">
        <f xml:space="preserve"> INDEX( B260:H260, MATCH( "% " &amp; $H$216, tblFilterPropType[#Headers], 0 ) )</f>
        <v>0.31408450704225355</v>
      </c>
      <c r="J260" s="27">
        <f t="shared" si="36"/>
        <v>0.2</v>
      </c>
      <c r="K260" s="24">
        <f xml:space="preserve"> IF( PropTypeOnOff = "Yes - pick", -- IF( $H$217 = "Minimum", tblFilterPropType[[#This Row],[Selected Prop Type %]] &gt;= tblFilterPropType[[#This Row],[Cut-off]], tblFilterPropType[[#This Row],[Selected Prop Type %]] &lt;= tblFilterPropType[[#This Row],[Cut-off]] ), 1 )</f>
        <v>1</v>
      </c>
    </row>
    <row r="261" spans="2:11" x14ac:dyDescent="0.2">
      <c r="B261" s="122" t="str" vm="42">
        <f t="shared" si="37"/>
        <v>Curo Group (Albion) Limited</v>
      </c>
      <c r="C261" s="122" t="str" vm="272">
        <f t="shared" si="35"/>
        <v>LH4336</v>
      </c>
      <c r="D261" s="81">
        <f t="shared" si="38"/>
        <v>42</v>
      </c>
      <c r="E261" s="27" cm="1">
        <f t="array" ref="E261" xml:space="preserve"> INDEX( VfM_Metrics_2023_Consol_Source[], $D261, E$218 )</f>
        <v>1.7672007540056552E-2</v>
      </c>
      <c r="F261" s="27" cm="1">
        <f t="array" ref="F261" xml:space="preserve"> INDEX( VfM_Metrics_2023_Consol_Source[], $D261, F$218 )</f>
        <v>0.14051209550738297</v>
      </c>
      <c r="G261" s="27">
        <f xml:space="preserve"> tblFilterPropType[[#This Row],[% Supported housing (excl. HOP)]] + tblFilterPropType[[#This Row],[% Housing for older people]]</f>
        <v>0.15818410304743952</v>
      </c>
      <c r="H261" s="28">
        <f xml:space="preserve"> 1 -tblFilterPropType[[#This Row],[% Supported &amp; older people]]</f>
        <v>0.84181589695256043</v>
      </c>
      <c r="I261" s="27">
        <f xml:space="preserve"> INDEX( B261:H261, MATCH( "% " &amp; $H$216, tblFilterPropType[#Headers], 0 ) )</f>
        <v>0.15818410304743952</v>
      </c>
      <c r="J261" s="27">
        <f t="shared" si="36"/>
        <v>0.2</v>
      </c>
      <c r="K261" s="24">
        <f xml:space="preserve"> IF( PropTypeOnOff = "Yes - pick", -- IF( $H$217 = "Minimum", tblFilterPropType[[#This Row],[Selected Prop Type %]] &gt;= tblFilterPropType[[#This Row],[Cut-off]], tblFilterPropType[[#This Row],[Selected Prop Type %]] &lt;= tblFilterPropType[[#This Row],[Cut-off]] ), 1 )</f>
        <v>1</v>
      </c>
    </row>
    <row r="262" spans="2:11" x14ac:dyDescent="0.2">
      <c r="B262" s="122" t="str" vm="43">
        <f t="shared" si="37"/>
        <v>Durham Aged Mineworkers' Homes Association</v>
      </c>
      <c r="C262" s="122" t="str" vm="236">
        <f t="shared" si="35"/>
        <v>5125</v>
      </c>
      <c r="D262" s="81">
        <f t="shared" si="38"/>
        <v>43</v>
      </c>
      <c r="E262" s="27" cm="1">
        <f t="array" ref="E262" xml:space="preserve"> INDEX( VfM_Metrics_2023_Consol_Source[], $D262, E$218 )</f>
        <v>0</v>
      </c>
      <c r="F262" s="27" cm="1">
        <f t="array" ref="F262" xml:space="preserve"> INDEX( VfM_Metrics_2023_Consol_Source[], $D262, F$218 )</f>
        <v>3.5127478753541073E-2</v>
      </c>
      <c r="G262" s="27">
        <f xml:space="preserve"> tblFilterPropType[[#This Row],[% Supported housing (excl. HOP)]] + tblFilterPropType[[#This Row],[% Housing for older people]]</f>
        <v>3.5127478753541073E-2</v>
      </c>
      <c r="H262" s="28">
        <f xml:space="preserve"> 1 -tblFilterPropType[[#This Row],[% Supported &amp; older people]]</f>
        <v>0.96487252124645895</v>
      </c>
      <c r="I262" s="27">
        <f xml:space="preserve"> INDEX( B262:H262, MATCH( "% " &amp; $H$216, tblFilterPropType[#Headers], 0 ) )</f>
        <v>3.5127478753541073E-2</v>
      </c>
      <c r="J262" s="27">
        <f t="shared" si="36"/>
        <v>0.2</v>
      </c>
      <c r="K262" s="24">
        <f xml:space="preserve"> IF( PropTypeOnOff = "Yes - pick", -- IF( $H$217 = "Minimum", tblFilterPropType[[#This Row],[Selected Prop Type %]] &gt;= tblFilterPropType[[#This Row],[Cut-off]], tblFilterPropType[[#This Row],[Selected Prop Type %]] &lt;= tblFilterPropType[[#This Row],[Cut-off]] ), 1 )</f>
        <v>1</v>
      </c>
    </row>
    <row r="263" spans="2:11" x14ac:dyDescent="0.2">
      <c r="B263" s="122" t="str" vm="44">
        <f t="shared" si="37"/>
        <v>East End Homes Limited</v>
      </c>
      <c r="C263" s="122" t="str" vm="217">
        <f t="shared" si="35"/>
        <v>L4434</v>
      </c>
      <c r="D263" s="81">
        <f t="shared" si="38"/>
        <v>44</v>
      </c>
      <c r="E263" s="27" cm="1">
        <f t="array" ref="E263" xml:space="preserve"> INDEX( VfM_Metrics_2023_Consol_Source[], $D263, E$218 )</f>
        <v>0</v>
      </c>
      <c r="F263" s="27" cm="1">
        <f t="array" ref="F263" xml:space="preserve"> INDEX( VfM_Metrics_2023_Consol_Source[], $D263, F$218 )</f>
        <v>0</v>
      </c>
      <c r="G263" s="27">
        <f xml:space="preserve"> tblFilterPropType[[#This Row],[% Supported housing (excl. HOP)]] + tblFilterPropType[[#This Row],[% Housing for older people]]</f>
        <v>0</v>
      </c>
      <c r="H263" s="28">
        <f xml:space="preserve"> 1 -tblFilterPropType[[#This Row],[% Supported &amp; older people]]</f>
        <v>1</v>
      </c>
      <c r="I263" s="27">
        <f xml:space="preserve"> INDEX( B263:H263, MATCH( "% " &amp; $H$216, tblFilterPropType[#Headers], 0 ) )</f>
        <v>0</v>
      </c>
      <c r="J263" s="27">
        <f t="shared" si="36"/>
        <v>0.2</v>
      </c>
      <c r="K263" s="24">
        <f xml:space="preserve"> IF( PropTypeOnOff = "Yes - pick", -- IF( $H$217 = "Minimum", tblFilterPropType[[#This Row],[Selected Prop Type %]] &gt;= tblFilterPropType[[#This Row],[Cut-off]], tblFilterPropType[[#This Row],[Selected Prop Type %]] &lt;= tblFilterPropType[[#This Row],[Cut-off]] ), 1 )</f>
        <v>1</v>
      </c>
    </row>
    <row r="264" spans="2:11" x14ac:dyDescent="0.2">
      <c r="B264" s="122" t="str" vm="45">
        <f t="shared" si="37"/>
        <v>East Midlands Housing Group Limited</v>
      </c>
      <c r="C264" s="122" t="str" vm="303">
        <f t="shared" si="35"/>
        <v>L4530</v>
      </c>
      <c r="D264" s="81">
        <f t="shared" si="38"/>
        <v>45</v>
      </c>
      <c r="E264" s="27" cm="1">
        <f t="array" ref="E264" xml:space="preserve"> INDEX( VfM_Metrics_2023_Consol_Source[], $D264, E$218 )</f>
        <v>3.0181979582778518E-2</v>
      </c>
      <c r="F264" s="27" cm="1">
        <f t="array" ref="F264" xml:space="preserve"> INDEX( VfM_Metrics_2023_Consol_Source[], $D264, F$218 )</f>
        <v>0.19346426986240567</v>
      </c>
      <c r="G264" s="27">
        <f xml:space="preserve"> tblFilterPropType[[#This Row],[% Supported housing (excl. HOP)]] + tblFilterPropType[[#This Row],[% Housing for older people]]</f>
        <v>0.22364624944518419</v>
      </c>
      <c r="H264" s="28">
        <f xml:space="preserve"> 1 -tblFilterPropType[[#This Row],[% Supported &amp; older people]]</f>
        <v>0.77635375055481581</v>
      </c>
      <c r="I264" s="27">
        <f xml:space="preserve"> INDEX( B264:H264, MATCH( "% " &amp; $H$216, tblFilterPropType[#Headers], 0 ) )</f>
        <v>0.22364624944518419</v>
      </c>
      <c r="J264" s="27">
        <f t="shared" si="36"/>
        <v>0.2</v>
      </c>
      <c r="K264" s="24">
        <f xml:space="preserve"> IF( PropTypeOnOff = "Yes - pick", -- IF( $H$217 = "Minimum", tblFilterPropType[[#This Row],[Selected Prop Type %]] &gt;= tblFilterPropType[[#This Row],[Cut-off]], tblFilterPropType[[#This Row],[Selected Prop Type %]] &lt;= tblFilterPropType[[#This Row],[Cut-off]] ), 1 )</f>
        <v>1</v>
      </c>
    </row>
    <row r="265" spans="2:11" x14ac:dyDescent="0.2">
      <c r="B265" s="122" t="str" vm="46">
        <f t="shared" si="37"/>
        <v>Eastlight Community Homes Limited</v>
      </c>
      <c r="C265" s="122" t="str" vm="290">
        <f t="shared" si="35"/>
        <v>L4499</v>
      </c>
      <c r="D265" s="81">
        <f t="shared" si="38"/>
        <v>46</v>
      </c>
      <c r="E265" s="27" cm="1">
        <f t="array" ref="E265" xml:space="preserve"> INDEX( VfM_Metrics_2023_Consol_Source[], $D265, E$218 )</f>
        <v>1.2070641607258587E-2</v>
      </c>
      <c r="F265" s="27" cm="1">
        <f t="array" ref="F265" xml:space="preserve"> INDEX( VfM_Metrics_2023_Consol_Source[], $D265, F$218 )</f>
        <v>5.1604018146467923E-2</v>
      </c>
      <c r="G265" s="27">
        <f xml:space="preserve"> tblFilterPropType[[#This Row],[% Supported housing (excl. HOP)]] + tblFilterPropType[[#This Row],[% Housing for older people]]</f>
        <v>6.3674659753726506E-2</v>
      </c>
      <c r="H265" s="28">
        <f xml:space="preserve"> 1 -tblFilterPropType[[#This Row],[% Supported &amp; older people]]</f>
        <v>0.93632534024627345</v>
      </c>
      <c r="I265" s="27">
        <f xml:space="preserve"> INDEX( B265:H265, MATCH( "% " &amp; $H$216, tblFilterPropType[#Headers], 0 ) )</f>
        <v>6.3674659753726506E-2</v>
      </c>
      <c r="J265" s="27">
        <f t="shared" si="36"/>
        <v>0.2</v>
      </c>
      <c r="K265" s="24">
        <f xml:space="preserve"> IF( PropTypeOnOff = "Yes - pick", -- IF( $H$217 = "Minimum", tblFilterPropType[[#This Row],[Selected Prop Type %]] &gt;= tblFilterPropType[[#This Row],[Cut-off]], tblFilterPropType[[#This Row],[Selected Prop Type %]] &lt;= tblFilterPropType[[#This Row],[Cut-off]] ), 1 )</f>
        <v>1</v>
      </c>
    </row>
    <row r="266" spans="2:11" x14ac:dyDescent="0.2">
      <c r="B266" s="122" t="str" vm="47">
        <f t="shared" si="37"/>
        <v>Eden Housing Association Limited</v>
      </c>
      <c r="C266" s="122" t="str" vm="231">
        <f t="shared" si="35"/>
        <v>L4140</v>
      </c>
      <c r="D266" s="81">
        <f t="shared" si="38"/>
        <v>47</v>
      </c>
      <c r="E266" s="27" cm="1">
        <f t="array" ref="E266" xml:space="preserve"> INDEX( VfM_Metrics_2023_Consol_Source[], $D266, E$218 )</f>
        <v>4.4628099173553717E-2</v>
      </c>
      <c r="F266" s="27" cm="1">
        <f t="array" ref="F266" xml:space="preserve"> INDEX( VfM_Metrics_2023_Consol_Source[], $D266, F$218 )</f>
        <v>3.7465564738292011E-2</v>
      </c>
      <c r="G266" s="27">
        <f xml:space="preserve"> tblFilterPropType[[#This Row],[% Supported housing (excl. HOP)]] + tblFilterPropType[[#This Row],[% Housing for older people]]</f>
        <v>8.2093663911845721E-2</v>
      </c>
      <c r="H266" s="28">
        <f xml:space="preserve"> 1 -tblFilterPropType[[#This Row],[% Supported &amp; older people]]</f>
        <v>0.91790633608815431</v>
      </c>
      <c r="I266" s="27">
        <f xml:space="preserve"> INDEX( B266:H266, MATCH( "% " &amp; $H$216, tblFilterPropType[#Headers], 0 ) )</f>
        <v>8.2093663911845721E-2</v>
      </c>
      <c r="J266" s="27">
        <f t="shared" si="36"/>
        <v>0.2</v>
      </c>
      <c r="K266" s="24">
        <f xml:space="preserve"> IF( PropTypeOnOff = "Yes - pick", -- IF( $H$217 = "Minimum", tblFilterPropType[[#This Row],[Selected Prop Type %]] &gt;= tblFilterPropType[[#This Row],[Cut-off]], tblFilterPropType[[#This Row],[Selected Prop Type %]] &lt;= tblFilterPropType[[#This Row],[Cut-off]] ), 1 )</f>
        <v>1</v>
      </c>
    </row>
    <row r="267" spans="2:11" x14ac:dyDescent="0.2">
      <c r="B267" s="122" t="str" vm="48">
        <f t="shared" si="37"/>
        <v>Empowering People Inspiring Communities Limited</v>
      </c>
      <c r="C267" s="122" t="str" vm="237">
        <f t="shared" si="35"/>
        <v>L4167</v>
      </c>
      <c r="D267" s="81">
        <f t="shared" si="38"/>
        <v>48</v>
      </c>
      <c r="E267" s="27" cm="1">
        <f t="array" ref="E267" xml:space="preserve"> INDEX( VfM_Metrics_2023_Consol_Source[], $D267, E$218 )</f>
        <v>1.4450867052023121E-2</v>
      </c>
      <c r="F267" s="27" cm="1">
        <f t="array" ref="F267" xml:space="preserve"> INDEX( VfM_Metrics_2023_Consol_Source[], $D267, F$218 )</f>
        <v>0</v>
      </c>
      <c r="G267" s="27">
        <f xml:space="preserve"> tblFilterPropType[[#This Row],[% Supported housing (excl. HOP)]] + tblFilterPropType[[#This Row],[% Housing for older people]]</f>
        <v>1.4450867052023121E-2</v>
      </c>
      <c r="H267" s="28">
        <f xml:space="preserve"> 1 -tblFilterPropType[[#This Row],[% Supported &amp; older people]]</f>
        <v>0.98554913294797686</v>
      </c>
      <c r="I267" s="27">
        <f xml:space="preserve"> INDEX( B267:H267, MATCH( "% " &amp; $H$216, tblFilterPropType[#Headers], 0 ) )</f>
        <v>1.4450867052023121E-2</v>
      </c>
      <c r="J267" s="27">
        <f t="shared" si="36"/>
        <v>0.2</v>
      </c>
      <c r="K267" s="24">
        <f xml:space="preserve"> IF( PropTypeOnOff = "Yes - pick", -- IF( $H$217 = "Minimum", tblFilterPropType[[#This Row],[Selected Prop Type %]] &gt;= tblFilterPropType[[#This Row],[Cut-off]], tblFilterPropType[[#This Row],[Selected Prop Type %]] &lt;= tblFilterPropType[[#This Row],[Cut-off]] ), 1 )</f>
        <v>1</v>
      </c>
    </row>
    <row r="268" spans="2:11" x14ac:dyDescent="0.2">
      <c r="B268" s="122" t="str" vm="49">
        <f t="shared" si="37"/>
        <v>English Rural Housing Association Limited</v>
      </c>
      <c r="C268" s="122" t="str" vm="234">
        <f t="shared" si="35"/>
        <v>L4004</v>
      </c>
      <c r="D268" s="81">
        <f t="shared" si="38"/>
        <v>49</v>
      </c>
      <c r="E268" s="27" cm="1">
        <f t="array" ref="E268" xml:space="preserve"> INDEX( VfM_Metrics_2023_Consol_Source[], $D268, E$218 )</f>
        <v>0</v>
      </c>
      <c r="F268" s="27" cm="1">
        <f t="array" ref="F268" xml:space="preserve"> INDEX( VfM_Metrics_2023_Consol_Source[], $D268, F$218 )</f>
        <v>0</v>
      </c>
      <c r="G268" s="27">
        <f xml:space="preserve"> tblFilterPropType[[#This Row],[% Supported housing (excl. HOP)]] + tblFilterPropType[[#This Row],[% Housing for older people]]</f>
        <v>0</v>
      </c>
      <c r="H268" s="28">
        <f xml:space="preserve"> 1 -tblFilterPropType[[#This Row],[% Supported &amp; older people]]</f>
        <v>1</v>
      </c>
      <c r="I268" s="27">
        <f xml:space="preserve"> INDEX( B268:H268, MATCH( "% " &amp; $H$216, tblFilterPropType[#Headers], 0 ) )</f>
        <v>0</v>
      </c>
      <c r="J268" s="27">
        <f t="shared" si="36"/>
        <v>0.2</v>
      </c>
      <c r="K268" s="24">
        <f xml:space="preserve"> IF( PropTypeOnOff = "Yes - pick", -- IF( $H$217 = "Minimum", tblFilterPropType[[#This Row],[Selected Prop Type %]] &gt;= tblFilterPropType[[#This Row],[Cut-off]], tblFilterPropType[[#This Row],[Selected Prop Type %]] &lt;= tblFilterPropType[[#This Row],[Cut-off]] ), 1 )</f>
        <v>1</v>
      </c>
    </row>
    <row r="269" spans="2:11" x14ac:dyDescent="0.2">
      <c r="B269" s="122" t="str" vm="50">
        <f t="shared" si="37"/>
        <v>Estuary Housing Association Limited</v>
      </c>
      <c r="C269" s="122" t="str" vm="316">
        <f t="shared" si="35"/>
        <v>L3535</v>
      </c>
      <c r="D269" s="81">
        <f t="shared" si="38"/>
        <v>50</v>
      </c>
      <c r="E269" s="27" cm="1">
        <f t="array" ref="E269" xml:space="preserve"> INDEX( VfM_Metrics_2023_Consol_Source[], $D269, E$218 )</f>
        <v>2.333641404805915E-2</v>
      </c>
      <c r="F269" s="27" cm="1">
        <f t="array" ref="F269" xml:space="preserve"> INDEX( VfM_Metrics_2023_Consol_Source[], $D269, F$218 )</f>
        <v>1.8022181146025877E-2</v>
      </c>
      <c r="G269" s="27">
        <f xml:space="preserve"> tblFilterPropType[[#This Row],[% Supported housing (excl. HOP)]] + tblFilterPropType[[#This Row],[% Housing for older people]]</f>
        <v>4.1358595194085024E-2</v>
      </c>
      <c r="H269" s="28">
        <f xml:space="preserve"> 1 -tblFilterPropType[[#This Row],[% Supported &amp; older people]]</f>
        <v>0.95864140480591498</v>
      </c>
      <c r="I269" s="27">
        <f xml:space="preserve"> INDEX( B269:H269, MATCH( "% " &amp; $H$216, tblFilterPropType[#Headers], 0 ) )</f>
        <v>4.1358595194085024E-2</v>
      </c>
      <c r="J269" s="27">
        <f t="shared" si="36"/>
        <v>0.2</v>
      </c>
      <c r="K269" s="24">
        <f xml:space="preserve"> IF( PropTypeOnOff = "Yes - pick", -- IF( $H$217 = "Minimum", tblFilterPropType[[#This Row],[Selected Prop Type %]] &gt;= tblFilterPropType[[#This Row],[Cut-off]], tblFilterPropType[[#This Row],[Selected Prop Type %]] &lt;= tblFilterPropType[[#This Row],[Cut-off]] ), 1 )</f>
        <v>1</v>
      </c>
    </row>
    <row r="270" spans="2:11" x14ac:dyDescent="0.2">
      <c r="B270" s="122" t="str" vm="51">
        <f t="shared" si="37"/>
        <v>Fairhive Homes Limited</v>
      </c>
      <c r="C270" s="122" t="str" vm="355">
        <f t="shared" si="35"/>
        <v>L4473</v>
      </c>
      <c r="D270" s="81">
        <f t="shared" si="38"/>
        <v>51</v>
      </c>
      <c r="E270" s="27" cm="1">
        <f t="array" ref="E270" xml:space="preserve"> INDEX( VfM_Metrics_2023_Consol_Source[], $D270, E$218 )</f>
        <v>1.2945745557255502E-3</v>
      </c>
      <c r="F270" s="27" cm="1">
        <f t="array" ref="F270" xml:space="preserve"> INDEX( VfM_Metrics_2023_Consol_Source[], $D270, F$218 )</f>
        <v>7.4379192656231607E-2</v>
      </c>
      <c r="G270" s="27">
        <f xml:space="preserve"> tblFilterPropType[[#This Row],[% Supported housing (excl. HOP)]] + tblFilterPropType[[#This Row],[% Housing for older people]]</f>
        <v>7.5673767211957163E-2</v>
      </c>
      <c r="H270" s="28">
        <f xml:space="preserve"> 1 -tblFilterPropType[[#This Row],[% Supported &amp; older people]]</f>
        <v>0.92432623278804282</v>
      </c>
      <c r="I270" s="27">
        <f xml:space="preserve"> INDEX( B270:H270, MATCH( "% " &amp; $H$216, tblFilterPropType[#Headers], 0 ) )</f>
        <v>7.5673767211957163E-2</v>
      </c>
      <c r="J270" s="27">
        <f t="shared" si="36"/>
        <v>0.2</v>
      </c>
      <c r="K270" s="24">
        <f xml:space="preserve"> IF( PropTypeOnOff = "Yes - pick", -- IF( $H$217 = "Minimum", tblFilterPropType[[#This Row],[Selected Prop Type %]] &gt;= tblFilterPropType[[#This Row],[Cut-off]], tblFilterPropType[[#This Row],[Selected Prop Type %]] &lt;= tblFilterPropType[[#This Row],[Cut-off]] ), 1 )</f>
        <v>1</v>
      </c>
    </row>
    <row r="271" spans="2:11" x14ac:dyDescent="0.2">
      <c r="B271" s="122" t="str" vm="52">
        <f t="shared" si="37"/>
        <v>First Choice Homes Oldham Limited</v>
      </c>
      <c r="C271" s="122" t="str" vm="289">
        <f t="shared" si="35"/>
        <v>4582</v>
      </c>
      <c r="D271" s="81">
        <f t="shared" si="38"/>
        <v>52</v>
      </c>
      <c r="E271" s="27" cm="1">
        <f t="array" ref="E271" xml:space="preserve"> INDEX( VfM_Metrics_2023_Consol_Source[], $D271, E$218 )</f>
        <v>0</v>
      </c>
      <c r="F271" s="27" cm="1">
        <f t="array" ref="F271" xml:space="preserve"> INDEX( VfM_Metrics_2023_Consol_Source[], $D271, F$218 )</f>
        <v>0</v>
      </c>
      <c r="G271" s="27">
        <f xml:space="preserve"> tblFilterPropType[[#This Row],[% Supported housing (excl. HOP)]] + tblFilterPropType[[#This Row],[% Housing for older people]]</f>
        <v>0</v>
      </c>
      <c r="H271" s="28">
        <f xml:space="preserve"> 1 -tblFilterPropType[[#This Row],[% Supported &amp; older people]]</f>
        <v>1</v>
      </c>
      <c r="I271" s="27">
        <f xml:space="preserve"> INDEX( B271:H271, MATCH( "% " &amp; $H$216, tblFilterPropType[#Headers], 0 ) )</f>
        <v>0</v>
      </c>
      <c r="J271" s="27">
        <f t="shared" si="36"/>
        <v>0.2</v>
      </c>
      <c r="K271" s="24">
        <f xml:space="preserve"> IF( PropTypeOnOff = "Yes - pick", -- IF( $H$217 = "Minimum", tblFilterPropType[[#This Row],[Selected Prop Type %]] &gt;= tblFilterPropType[[#This Row],[Cut-off]], tblFilterPropType[[#This Row],[Selected Prop Type %]] &lt;= tblFilterPropType[[#This Row],[Cut-off]] ), 1 )</f>
        <v>1</v>
      </c>
    </row>
    <row r="272" spans="2:11" x14ac:dyDescent="0.2">
      <c r="B272" s="122" t="str" vm="53">
        <f t="shared" si="37"/>
        <v>First Garden Cities Homes Limited</v>
      </c>
      <c r="C272" s="122" t="str" vm="224">
        <f t="shared" si="35"/>
        <v>5090</v>
      </c>
      <c r="D272" s="81">
        <f t="shared" si="38"/>
        <v>53</v>
      </c>
      <c r="E272" s="27" cm="1">
        <f t="array" ref="E272" xml:space="preserve"> INDEX( VfM_Metrics_2023_Consol_Source[], $D272, E$218 )</f>
        <v>2.0255394099515631E-2</v>
      </c>
      <c r="F272" s="27" cm="1">
        <f t="array" ref="F272" xml:space="preserve"> INDEX( VfM_Metrics_2023_Consol_Source[], $D272, F$218 )</f>
        <v>0.20387494495816821</v>
      </c>
      <c r="G272" s="27">
        <f xml:space="preserve"> tblFilterPropType[[#This Row],[% Supported housing (excl. HOP)]] + tblFilterPropType[[#This Row],[% Housing for older people]]</f>
        <v>0.22413033905768384</v>
      </c>
      <c r="H272" s="28">
        <f xml:space="preserve"> 1 -tblFilterPropType[[#This Row],[% Supported &amp; older people]]</f>
        <v>0.77586966094231613</v>
      </c>
      <c r="I272" s="27">
        <f xml:space="preserve"> INDEX( B272:H272, MATCH( "% " &amp; $H$216, tblFilterPropType[#Headers], 0 ) )</f>
        <v>0.22413033905768384</v>
      </c>
      <c r="J272" s="27">
        <f t="shared" si="36"/>
        <v>0.2</v>
      </c>
      <c r="K272" s="24">
        <f xml:space="preserve"> IF( PropTypeOnOff = "Yes - pick", -- IF( $H$217 = "Minimum", tblFilterPropType[[#This Row],[Selected Prop Type %]] &gt;= tblFilterPropType[[#This Row],[Cut-off]], tblFilterPropType[[#This Row],[Selected Prop Type %]] &lt;= tblFilterPropType[[#This Row],[Cut-off]] ), 1 )</f>
        <v>1</v>
      </c>
    </row>
    <row r="273" spans="2:11" x14ac:dyDescent="0.2">
      <c r="B273" s="122" t="str" vm="54">
        <f t="shared" si="37"/>
        <v>Flagship Housing Group Limited</v>
      </c>
      <c r="C273" s="122" t="str" vm="255">
        <f t="shared" si="35"/>
        <v>4651</v>
      </c>
      <c r="D273" s="81">
        <f t="shared" si="38"/>
        <v>54</v>
      </c>
      <c r="E273" s="27" cm="1">
        <f t="array" ref="E273" xml:space="preserve"> INDEX( VfM_Metrics_2023_Consol_Source[], $D273, E$218 )</f>
        <v>7.7697108648579795E-3</v>
      </c>
      <c r="F273" s="27" cm="1">
        <f t="array" ref="F273" xml:space="preserve"> INDEX( VfM_Metrics_2023_Consol_Source[], $D273, F$218 )</f>
        <v>1.3437778626926506E-2</v>
      </c>
      <c r="G273" s="27">
        <f xml:space="preserve"> tblFilterPropType[[#This Row],[% Supported housing (excl. HOP)]] + tblFilterPropType[[#This Row],[% Housing for older people]]</f>
        <v>2.1207489491784484E-2</v>
      </c>
      <c r="H273" s="28">
        <f xml:space="preserve"> 1 -tblFilterPropType[[#This Row],[% Supported &amp; older people]]</f>
        <v>0.97879251050821547</v>
      </c>
      <c r="I273" s="27">
        <f xml:space="preserve"> INDEX( B273:H273, MATCH( "% " &amp; $H$216, tblFilterPropType[#Headers], 0 ) )</f>
        <v>2.1207489491784484E-2</v>
      </c>
      <c r="J273" s="27">
        <f t="shared" si="36"/>
        <v>0.2</v>
      </c>
      <c r="K273" s="24">
        <f xml:space="preserve"> IF( PropTypeOnOff = "Yes - pick", -- IF( $H$217 = "Minimum", tblFilterPropType[[#This Row],[Selected Prop Type %]] &gt;= tblFilterPropType[[#This Row],[Cut-off]], tblFilterPropType[[#This Row],[Selected Prop Type %]] &lt;= tblFilterPropType[[#This Row],[Cut-off]] ), 1 )</f>
        <v>1</v>
      </c>
    </row>
    <row r="274" spans="2:11" x14ac:dyDescent="0.2">
      <c r="B274" s="122" t="str" vm="55">
        <f t="shared" si="37"/>
        <v>ForHousing Limited</v>
      </c>
      <c r="C274" s="122" t="str" vm="296">
        <f t="shared" si="35"/>
        <v>L4528</v>
      </c>
      <c r="D274" s="81">
        <f t="shared" si="38"/>
        <v>55</v>
      </c>
      <c r="E274" s="27" cm="1">
        <f t="array" ref="E274" xml:space="preserve"> INDEX( VfM_Metrics_2023_Consol_Source[], $D274, E$218 )</f>
        <v>7.8816058063052849E-2</v>
      </c>
      <c r="F274" s="27" cm="1">
        <f t="array" ref="F274" xml:space="preserve"> INDEX( VfM_Metrics_2023_Consol_Source[], $D274, F$218 )</f>
        <v>0</v>
      </c>
      <c r="G274" s="27">
        <f xml:space="preserve"> tblFilterPropType[[#This Row],[% Supported housing (excl. HOP)]] + tblFilterPropType[[#This Row],[% Housing for older people]]</f>
        <v>7.8816058063052849E-2</v>
      </c>
      <c r="H274" s="28">
        <f xml:space="preserve"> 1 -tblFilterPropType[[#This Row],[% Supported &amp; older people]]</f>
        <v>0.92118394193694719</v>
      </c>
      <c r="I274" s="27">
        <f xml:space="preserve"> INDEX( B274:H274, MATCH( "% " &amp; $H$216, tblFilterPropType[#Headers], 0 ) )</f>
        <v>7.8816058063052849E-2</v>
      </c>
      <c r="J274" s="27">
        <f t="shared" si="36"/>
        <v>0.2</v>
      </c>
      <c r="K274" s="24">
        <f xml:space="preserve"> IF( PropTypeOnOff = "Yes - pick", -- IF( $H$217 = "Minimum", tblFilterPropType[[#This Row],[Selected Prop Type %]] &gt;= tblFilterPropType[[#This Row],[Cut-off]], tblFilterPropType[[#This Row],[Selected Prop Type %]] &lt;= tblFilterPropType[[#This Row],[Cut-off]] ), 1 )</f>
        <v>1</v>
      </c>
    </row>
    <row r="275" spans="2:11" x14ac:dyDescent="0.2">
      <c r="B275" s="122" t="str" vm="56">
        <f t="shared" si="37"/>
        <v>Framework Housing Association</v>
      </c>
      <c r="C275" s="122" t="str" vm="200">
        <f t="shared" si="35"/>
        <v>LH4184</v>
      </c>
      <c r="D275" s="81">
        <f t="shared" si="38"/>
        <v>56</v>
      </c>
      <c r="E275" s="27" cm="1">
        <f t="array" ref="E275" xml:space="preserve"> INDEX( VfM_Metrics_2023_Consol_Source[], $D275, E$218 )</f>
        <v>0.84791496320523307</v>
      </c>
      <c r="F275" s="27" cm="1">
        <f t="array" ref="F275" xml:space="preserve"> INDEX( VfM_Metrics_2023_Consol_Source[], $D275, F$218 )</f>
        <v>0</v>
      </c>
      <c r="G275" s="27">
        <f xml:space="preserve"> tblFilterPropType[[#This Row],[% Supported housing (excl. HOP)]] + tblFilterPropType[[#This Row],[% Housing for older people]]</f>
        <v>0.84791496320523307</v>
      </c>
      <c r="H275" s="28">
        <f xml:space="preserve"> 1 -tblFilterPropType[[#This Row],[% Supported &amp; older people]]</f>
        <v>0.15208503679476693</v>
      </c>
      <c r="I275" s="27">
        <f xml:space="preserve"> INDEX( B275:H275, MATCH( "% " &amp; $H$216, tblFilterPropType[#Headers], 0 ) )</f>
        <v>0.84791496320523307</v>
      </c>
      <c r="J275" s="27">
        <f t="shared" si="36"/>
        <v>0.2</v>
      </c>
      <c r="K275" s="24">
        <f xml:space="preserve"> IF( PropTypeOnOff = "Yes - pick", -- IF( $H$217 = "Minimum", tblFilterPropType[[#This Row],[Selected Prop Type %]] &gt;= tblFilterPropType[[#This Row],[Cut-off]], tblFilterPropType[[#This Row],[Selected Prop Type %]] &lt;= tblFilterPropType[[#This Row],[Cut-off]] ), 1 )</f>
        <v>1</v>
      </c>
    </row>
    <row r="276" spans="2:11" x14ac:dyDescent="0.2">
      <c r="B276" s="122" t="str" vm="57">
        <f t="shared" si="37"/>
        <v>Freebridge Community Housing Limited</v>
      </c>
      <c r="C276" s="122" t="str" vm="388">
        <f t="shared" si="35"/>
        <v>L4463</v>
      </c>
      <c r="D276" s="81">
        <f t="shared" si="38"/>
        <v>57</v>
      </c>
      <c r="E276" s="27" cm="1">
        <f t="array" ref="E276" xml:space="preserve"> INDEX( VfM_Metrics_2023_Consol_Source[], $D276, E$218 )</f>
        <v>4.1049699457557541E-3</v>
      </c>
      <c r="F276" s="27" cm="1">
        <f t="array" ref="F276" xml:space="preserve"> INDEX( VfM_Metrics_2023_Consol_Source[], $D276, F$218 )</f>
        <v>8.5471338513414458E-2</v>
      </c>
      <c r="G276" s="27">
        <f xml:space="preserve"> tblFilterPropType[[#This Row],[% Supported housing (excl. HOP)]] + tblFilterPropType[[#This Row],[% Housing for older people]]</f>
        <v>8.9576308459170209E-2</v>
      </c>
      <c r="H276" s="28">
        <f xml:space="preserve"> 1 -tblFilterPropType[[#This Row],[% Supported &amp; older people]]</f>
        <v>0.9104236915408298</v>
      </c>
      <c r="I276" s="27">
        <f xml:space="preserve"> INDEX( B276:H276, MATCH( "% " &amp; $H$216, tblFilterPropType[#Headers], 0 ) )</f>
        <v>8.9576308459170209E-2</v>
      </c>
      <c r="J276" s="27">
        <f t="shared" si="36"/>
        <v>0.2</v>
      </c>
      <c r="K276" s="24">
        <f xml:space="preserve"> IF( PropTypeOnOff = "Yes - pick", -- IF( $H$217 = "Minimum", tblFilterPropType[[#This Row],[Selected Prop Type %]] &gt;= tblFilterPropType[[#This Row],[Cut-off]], tblFilterPropType[[#This Row],[Selected Prop Type %]] &lt;= tblFilterPropType[[#This Row],[Cut-off]] ), 1 )</f>
        <v>1</v>
      </c>
    </row>
    <row r="277" spans="2:11" x14ac:dyDescent="0.2">
      <c r="B277" s="122" t="str" vm="58">
        <f t="shared" si="37"/>
        <v>Futures Housing Group Limited</v>
      </c>
      <c r="C277" s="122" t="str" vm="288">
        <f t="shared" si="35"/>
        <v>L4502</v>
      </c>
      <c r="D277" s="81">
        <f t="shared" si="38"/>
        <v>58</v>
      </c>
      <c r="E277" s="27" cm="1">
        <f t="array" ref="E277" xml:space="preserve"> INDEX( VfM_Metrics_2023_Consol_Source[], $D277, E$218 )</f>
        <v>2.008838891120932E-3</v>
      </c>
      <c r="F277" s="27" cm="1">
        <f t="array" ref="F277" xml:space="preserve"> INDEX( VfM_Metrics_2023_Consol_Source[], $D277, F$218 )</f>
        <v>0.31106870229007633</v>
      </c>
      <c r="G277" s="27">
        <f xml:space="preserve"> tblFilterPropType[[#This Row],[% Supported housing (excl. HOP)]] + tblFilterPropType[[#This Row],[% Housing for older people]]</f>
        <v>0.31307754118119724</v>
      </c>
      <c r="H277" s="28">
        <f xml:space="preserve"> 1 -tblFilterPropType[[#This Row],[% Supported &amp; older people]]</f>
        <v>0.68692245881880276</v>
      </c>
      <c r="I277" s="27">
        <f xml:space="preserve"> INDEX( B277:H277, MATCH( "% " &amp; $H$216, tblFilterPropType[#Headers], 0 ) )</f>
        <v>0.31307754118119724</v>
      </c>
      <c r="J277" s="27">
        <f t="shared" si="36"/>
        <v>0.2</v>
      </c>
      <c r="K277" s="24">
        <f xml:space="preserve"> IF( PropTypeOnOff = "Yes - pick", -- IF( $H$217 = "Minimum", tblFilterPropType[[#This Row],[Selected Prop Type %]] &gt;= tblFilterPropType[[#This Row],[Cut-off]], tblFilterPropType[[#This Row],[Selected Prop Type %]] &lt;= tblFilterPropType[[#This Row],[Cut-off]] ), 1 )</f>
        <v>1</v>
      </c>
    </row>
    <row r="278" spans="2:11" x14ac:dyDescent="0.2">
      <c r="B278" s="122" t="str" vm="59">
        <f t="shared" si="37"/>
        <v>Gateway Housing Association Limited</v>
      </c>
      <c r="C278" s="122" t="str" vm="312">
        <f t="shared" si="35"/>
        <v>L0517</v>
      </c>
      <c r="D278" s="81">
        <f t="shared" si="38"/>
        <v>59</v>
      </c>
      <c r="E278" s="27" cm="1">
        <f t="array" ref="E278" xml:space="preserve"> INDEX( VfM_Metrics_2023_Consol_Source[], $D278, E$218 )</f>
        <v>3.6402569593147749E-2</v>
      </c>
      <c r="F278" s="27" cm="1">
        <f t="array" ref="F278" xml:space="preserve"> INDEX( VfM_Metrics_2023_Consol_Source[], $D278, F$218 )</f>
        <v>0.12955032119914348</v>
      </c>
      <c r="G278" s="27">
        <f xml:space="preserve"> tblFilterPropType[[#This Row],[% Supported housing (excl. HOP)]] + tblFilterPropType[[#This Row],[% Housing for older people]]</f>
        <v>0.16595289079229122</v>
      </c>
      <c r="H278" s="28">
        <f xml:space="preserve"> 1 -tblFilterPropType[[#This Row],[% Supported &amp; older people]]</f>
        <v>0.83404710920770875</v>
      </c>
      <c r="I278" s="27">
        <f xml:space="preserve"> INDEX( B278:H278, MATCH( "% " &amp; $H$216, tblFilterPropType[#Headers], 0 ) )</f>
        <v>0.16595289079229122</v>
      </c>
      <c r="J278" s="27">
        <f t="shared" si="36"/>
        <v>0.2</v>
      </c>
      <c r="K278" s="24">
        <f xml:space="preserve"> IF( PropTypeOnOff = "Yes - pick", -- IF( $H$217 = "Minimum", tblFilterPropType[[#This Row],[Selected Prop Type %]] &gt;= tblFilterPropType[[#This Row],[Cut-off]], tblFilterPropType[[#This Row],[Selected Prop Type %]] &lt;= tblFilterPropType[[#This Row],[Cut-off]] ), 1 )</f>
        <v>1</v>
      </c>
    </row>
    <row r="279" spans="2:11" x14ac:dyDescent="0.2">
      <c r="B279" s="122" t="str" vm="60">
        <f t="shared" si="37"/>
        <v>Gentoo Group Limited</v>
      </c>
      <c r="C279" s="122" t="str" vm="344">
        <f t="shared" si="35"/>
        <v>L4313</v>
      </c>
      <c r="D279" s="81">
        <f t="shared" si="38"/>
        <v>60</v>
      </c>
      <c r="E279" s="27" cm="1">
        <f t="array" ref="E279" xml:space="preserve"> INDEX( VfM_Metrics_2023_Consol_Source[], $D279, E$218 )</f>
        <v>4.6672007244610084E-3</v>
      </c>
      <c r="F279" s="27" cm="1">
        <f t="array" ref="F279" xml:space="preserve"> INDEX( VfM_Metrics_2023_Consol_Source[], $D279, F$218 )</f>
        <v>6.6525025251645709E-3</v>
      </c>
      <c r="G279" s="27">
        <f xml:space="preserve"> tblFilterPropType[[#This Row],[% Supported housing (excl. HOP)]] + tblFilterPropType[[#This Row],[% Housing for older people]]</f>
        <v>1.1319703249625579E-2</v>
      </c>
      <c r="H279" s="28">
        <f xml:space="preserve"> 1 -tblFilterPropType[[#This Row],[% Supported &amp; older people]]</f>
        <v>0.98868029675037439</v>
      </c>
      <c r="I279" s="27">
        <f xml:space="preserve"> INDEX( B279:H279, MATCH( "% " &amp; $H$216, tblFilterPropType[#Headers], 0 ) )</f>
        <v>1.1319703249625579E-2</v>
      </c>
      <c r="J279" s="27">
        <f t="shared" si="36"/>
        <v>0.2</v>
      </c>
      <c r="K279" s="24">
        <f xml:space="preserve"> IF( PropTypeOnOff = "Yes - pick", -- IF( $H$217 = "Minimum", tblFilterPropType[[#This Row],[Selected Prop Type %]] &gt;= tblFilterPropType[[#This Row],[Cut-off]], tblFilterPropType[[#This Row],[Selected Prop Type %]] &lt;= tblFilterPropType[[#This Row],[Cut-off]] ), 1 )</f>
        <v>1</v>
      </c>
    </row>
    <row r="280" spans="2:11" x14ac:dyDescent="0.2">
      <c r="B280" s="122" t="str" vm="61">
        <f t="shared" si="37"/>
        <v>Gloucester City Homes Limited</v>
      </c>
      <c r="C280" s="122" t="str" vm="322">
        <f t="shared" si="35"/>
        <v>4584</v>
      </c>
      <c r="D280" s="81">
        <f t="shared" si="38"/>
        <v>61</v>
      </c>
      <c r="E280" s="27" cm="1">
        <f t="array" ref="E280" xml:space="preserve"> INDEX( VfM_Metrics_2023_Consol_Source[], $D280, E$218 )</f>
        <v>1.5443198646075735E-2</v>
      </c>
      <c r="F280" s="27" cm="1">
        <f t="array" ref="F280" xml:space="preserve"> INDEX( VfM_Metrics_2023_Consol_Source[], $D280, F$218 )</f>
        <v>6.1349693251533742E-2</v>
      </c>
      <c r="G280" s="27">
        <f xml:space="preserve"> tblFilterPropType[[#This Row],[% Supported housing (excl. HOP)]] + tblFilterPropType[[#This Row],[% Housing for older people]]</f>
        <v>7.6792891897609475E-2</v>
      </c>
      <c r="H280" s="28">
        <f xml:space="preserve"> 1 -tblFilterPropType[[#This Row],[% Supported &amp; older people]]</f>
        <v>0.92320710810239048</v>
      </c>
      <c r="I280" s="27">
        <f xml:space="preserve"> INDEX( B280:H280, MATCH( "% " &amp; $H$216, tblFilterPropType[#Headers], 0 ) )</f>
        <v>7.6792891897609475E-2</v>
      </c>
      <c r="J280" s="27">
        <f t="shared" si="36"/>
        <v>0.2</v>
      </c>
      <c r="K280" s="24">
        <f xml:space="preserve"> IF( PropTypeOnOff = "Yes - pick", -- IF( $H$217 = "Minimum", tblFilterPropType[[#This Row],[Selected Prop Type %]] &gt;= tblFilterPropType[[#This Row],[Cut-off]], tblFilterPropType[[#This Row],[Selected Prop Type %]] &lt;= tblFilterPropType[[#This Row],[Cut-off]] ), 1 )</f>
        <v>1</v>
      </c>
    </row>
    <row r="281" spans="2:11" x14ac:dyDescent="0.2">
      <c r="B281" s="122" t="str" vm="62">
        <f t="shared" si="37"/>
        <v>Golden Lane Housing Limited</v>
      </c>
      <c r="C281" s="122" t="str" vm="309">
        <f t="shared" si="35"/>
        <v>4803</v>
      </c>
      <c r="D281" s="81">
        <f t="shared" si="38"/>
        <v>62</v>
      </c>
      <c r="E281" s="27" cm="1">
        <f t="array" ref="E281" xml:space="preserve"> INDEX( VfM_Metrics_2023_Consol_Source[], $D281, E$218 )</f>
        <v>0.97603893672781727</v>
      </c>
      <c r="F281" s="27" cm="1">
        <f t="array" ref="F281" xml:space="preserve"> INDEX( VfM_Metrics_2023_Consol_Source[], $D281, F$218 )</f>
        <v>0</v>
      </c>
      <c r="G281" s="27">
        <f xml:space="preserve"> tblFilterPropType[[#This Row],[% Supported housing (excl. HOP)]] + tblFilterPropType[[#This Row],[% Housing for older people]]</f>
        <v>0.97603893672781727</v>
      </c>
      <c r="H281" s="28">
        <f xml:space="preserve"> 1 -tblFilterPropType[[#This Row],[% Supported &amp; older people]]</f>
        <v>2.3961063272182725E-2</v>
      </c>
      <c r="I281" s="27">
        <f xml:space="preserve"> INDEX( B281:H281, MATCH( "% " &amp; $H$216, tblFilterPropType[#Headers], 0 ) )</f>
        <v>0.97603893672781727</v>
      </c>
      <c r="J281" s="27">
        <f t="shared" si="36"/>
        <v>0.2</v>
      </c>
      <c r="K281" s="24">
        <f xml:space="preserve"> IF( PropTypeOnOff = "Yes - pick", -- IF( $H$217 = "Minimum", tblFilterPropType[[#This Row],[Selected Prop Type %]] &gt;= tblFilterPropType[[#This Row],[Cut-off]], tblFilterPropType[[#This Row],[Selected Prop Type %]] &lt;= tblFilterPropType[[#This Row],[Cut-off]] ), 1 )</f>
        <v>1</v>
      </c>
    </row>
    <row r="282" spans="2:11" x14ac:dyDescent="0.2">
      <c r="B282" s="122" t="str" vm="63">
        <f t="shared" si="37"/>
        <v>Golding Homes Limited</v>
      </c>
      <c r="C282" s="122" t="str" vm="361">
        <f t="shared" si="35"/>
        <v>LH4402</v>
      </c>
      <c r="D282" s="81">
        <f t="shared" si="38"/>
        <v>63</v>
      </c>
      <c r="E282" s="27" cm="1">
        <f t="array" ref="E282" xml:space="preserve"> INDEX( VfM_Metrics_2023_Consol_Source[], $D282, E$218 )</f>
        <v>0</v>
      </c>
      <c r="F282" s="27" cm="1">
        <f t="array" ref="F282" xml:space="preserve"> INDEX( VfM_Metrics_2023_Consol_Source[], $D282, F$218 )</f>
        <v>0.12736773350751143</v>
      </c>
      <c r="G282" s="27">
        <f xml:space="preserve"> tblFilterPropType[[#This Row],[% Supported housing (excl. HOP)]] + tblFilterPropType[[#This Row],[% Housing for older people]]</f>
        <v>0.12736773350751143</v>
      </c>
      <c r="H282" s="28">
        <f xml:space="preserve"> 1 -tblFilterPropType[[#This Row],[% Supported &amp; older people]]</f>
        <v>0.8726322664924886</v>
      </c>
      <c r="I282" s="27">
        <f xml:space="preserve"> INDEX( B282:H282, MATCH( "% " &amp; $H$216, tblFilterPropType[#Headers], 0 ) )</f>
        <v>0.12736773350751143</v>
      </c>
      <c r="J282" s="27">
        <f t="shared" si="36"/>
        <v>0.2</v>
      </c>
      <c r="K282" s="24">
        <f xml:space="preserve"> IF( PropTypeOnOff = "Yes - pick", -- IF( $H$217 = "Minimum", tblFilterPropType[[#This Row],[Selected Prop Type %]] &gt;= tblFilterPropType[[#This Row],[Cut-off]], tblFilterPropType[[#This Row],[Selected Prop Type %]] &lt;= tblFilterPropType[[#This Row],[Cut-off]] ), 1 )</f>
        <v>1</v>
      </c>
    </row>
    <row r="283" spans="2:11" x14ac:dyDescent="0.2">
      <c r="B283" s="122" t="str" vm="64">
        <f t="shared" si="37"/>
        <v>Grand Union Housing Group Limited</v>
      </c>
      <c r="C283" s="122" t="str" vm="292">
        <f t="shared" si="35"/>
        <v>5060</v>
      </c>
      <c r="D283" s="81">
        <f t="shared" si="38"/>
        <v>64</v>
      </c>
      <c r="E283" s="27" cm="1">
        <f t="array" ref="E283" xml:space="preserve"> INDEX( VfM_Metrics_2023_Consol_Source[], $D283, E$218 )</f>
        <v>2.9102268990463663E-2</v>
      </c>
      <c r="F283" s="27" cm="1">
        <f t="array" ref="F283" xml:space="preserve"> INDEX( VfM_Metrics_2023_Consol_Source[], $D283, F$218 )</f>
        <v>8.3196317000986522E-2</v>
      </c>
      <c r="G283" s="27">
        <f xml:space="preserve"> tblFilterPropType[[#This Row],[% Supported housing (excl. HOP)]] + tblFilterPropType[[#This Row],[% Housing for older people]]</f>
        <v>0.11229858599145018</v>
      </c>
      <c r="H283" s="28">
        <f xml:space="preserve"> 1 -tblFilterPropType[[#This Row],[% Supported &amp; older people]]</f>
        <v>0.88770141400854985</v>
      </c>
      <c r="I283" s="27">
        <f xml:space="preserve"> INDEX( B283:H283, MATCH( "% " &amp; $H$216, tblFilterPropType[#Headers], 0 ) )</f>
        <v>0.11229858599145018</v>
      </c>
      <c r="J283" s="27">
        <f t="shared" si="36"/>
        <v>0.2</v>
      </c>
      <c r="K283" s="24">
        <f xml:space="preserve"> IF( PropTypeOnOff = "Yes - pick", -- IF( $H$217 = "Minimum", tblFilterPropType[[#This Row],[Selected Prop Type %]] &gt;= tblFilterPropType[[#This Row],[Cut-off]], tblFilterPropType[[#This Row],[Selected Prop Type %]] &lt;= tblFilterPropType[[#This Row],[Cut-off]] ), 1 )</f>
        <v>1</v>
      </c>
    </row>
    <row r="284" spans="2:11" x14ac:dyDescent="0.2">
      <c r="B284" s="122" t="str" vm="65">
        <f t="shared" si="37"/>
        <v>Great Places Housing Group Limited</v>
      </c>
      <c r="C284" s="122" t="str" vm="345">
        <f t="shared" ref="C284:C315" si="39" xml:space="preserve"> C80</f>
        <v>L4465</v>
      </c>
      <c r="D284" s="81">
        <f t="shared" si="38"/>
        <v>65</v>
      </c>
      <c r="E284" s="27" cm="1">
        <f t="array" ref="E284" xml:space="preserve"> INDEX( VfM_Metrics_2023_Consol_Source[], $D284, E$218 )</f>
        <v>6.2836453718260202E-2</v>
      </c>
      <c r="F284" s="27" cm="1">
        <f t="array" ref="F284" xml:space="preserve"> INDEX( VfM_Metrics_2023_Consol_Source[], $D284, F$218 )</f>
        <v>2.2771664046496116E-2</v>
      </c>
      <c r="G284" s="27">
        <f xml:space="preserve"> tblFilterPropType[[#This Row],[% Supported housing (excl. HOP)]] + tblFilterPropType[[#This Row],[% Housing for older people]]</f>
        <v>8.5608117764756325E-2</v>
      </c>
      <c r="H284" s="28">
        <f xml:space="preserve"> 1 -tblFilterPropType[[#This Row],[% Supported &amp; older people]]</f>
        <v>0.9143918822352437</v>
      </c>
      <c r="I284" s="27">
        <f xml:space="preserve"> INDEX( B284:H284, MATCH( "% " &amp; $H$216, tblFilterPropType[#Headers], 0 ) )</f>
        <v>8.5608117764756325E-2</v>
      </c>
      <c r="J284" s="27">
        <f t="shared" ref="J284:J315" si="40" xml:space="preserve"> PropTypePercent</f>
        <v>0.2</v>
      </c>
      <c r="K284" s="24">
        <f xml:space="preserve"> IF( PropTypeOnOff = "Yes - pick", -- IF( $H$217 = "Minimum", tblFilterPropType[[#This Row],[Selected Prop Type %]] &gt;= tblFilterPropType[[#This Row],[Cut-off]], tblFilterPropType[[#This Row],[Selected Prop Type %]] &lt;= tblFilterPropType[[#This Row],[Cut-off]] ), 1 )</f>
        <v>1</v>
      </c>
    </row>
    <row r="285" spans="2:11" x14ac:dyDescent="0.2">
      <c r="B285" s="122" t="str" vm="66">
        <f t="shared" ref="B285:B316" si="41" xml:space="preserve"> B81</f>
        <v>Greatwell Homes Limited</v>
      </c>
      <c r="C285" s="122" t="str" vm="373">
        <f t="shared" si="39"/>
        <v>L4509</v>
      </c>
      <c r="D285" s="81">
        <f t="shared" ref="D285:D316" si="42" xml:space="preserve"> D81</f>
        <v>66</v>
      </c>
      <c r="E285" s="27" cm="1">
        <f t="array" ref="E285" xml:space="preserve"> INDEX( VfM_Metrics_2023_Consol_Source[], $D285, E$218 )</f>
        <v>4.8143053645116916E-2</v>
      </c>
      <c r="F285" s="27" cm="1">
        <f t="array" ref="F285" xml:space="preserve"> INDEX( VfM_Metrics_2023_Consol_Source[], $D285, F$218 )</f>
        <v>0</v>
      </c>
      <c r="G285" s="27">
        <f xml:space="preserve"> tblFilterPropType[[#This Row],[% Supported housing (excl. HOP)]] + tblFilterPropType[[#This Row],[% Housing for older people]]</f>
        <v>4.8143053645116916E-2</v>
      </c>
      <c r="H285" s="28">
        <f xml:space="preserve"> 1 -tblFilterPropType[[#This Row],[% Supported &amp; older people]]</f>
        <v>0.95185694635488305</v>
      </c>
      <c r="I285" s="27">
        <f xml:space="preserve"> INDEX( B285:H285, MATCH( "% " &amp; $H$216, tblFilterPropType[#Headers], 0 ) )</f>
        <v>4.8143053645116916E-2</v>
      </c>
      <c r="J285" s="27">
        <f t="shared" si="40"/>
        <v>0.2</v>
      </c>
      <c r="K285" s="24">
        <f xml:space="preserve"> IF( PropTypeOnOff = "Yes - pick", -- IF( $H$217 = "Minimum", tblFilterPropType[[#This Row],[Selected Prop Type %]] &gt;= tblFilterPropType[[#This Row],[Cut-off]], tblFilterPropType[[#This Row],[Selected Prop Type %]] &lt;= tblFilterPropType[[#This Row],[Cut-off]] ), 1 )</f>
        <v>1</v>
      </c>
    </row>
    <row r="286" spans="2:11" x14ac:dyDescent="0.2">
      <c r="B286" s="122" t="str" vm="67">
        <f t="shared" si="41"/>
        <v>GreenSquareAccord Limited</v>
      </c>
      <c r="C286" s="122" t="str" vm="340">
        <f t="shared" si="39"/>
        <v>LH3902</v>
      </c>
      <c r="D286" s="81">
        <f t="shared" si="42"/>
        <v>67</v>
      </c>
      <c r="E286" s="27" cm="1">
        <f t="array" ref="E286" xml:space="preserve"> INDEX( VfM_Metrics_2023_Consol_Source[], $D286, E$218 )</f>
        <v>4.0750501514376744E-2</v>
      </c>
      <c r="F286" s="27" cm="1">
        <f t="array" ref="F286" xml:space="preserve"> INDEX( VfM_Metrics_2023_Consol_Source[], $D286, F$218 )</f>
        <v>7.5246823742280616E-2</v>
      </c>
      <c r="G286" s="27">
        <f xml:space="preserve"> tblFilterPropType[[#This Row],[% Supported housing (excl. HOP)]] + tblFilterPropType[[#This Row],[% Housing for older people]]</f>
        <v>0.11599732525665736</v>
      </c>
      <c r="H286" s="28">
        <f xml:space="preserve"> 1 -tblFilterPropType[[#This Row],[% Supported &amp; older people]]</f>
        <v>0.8840026747433426</v>
      </c>
      <c r="I286" s="27">
        <f xml:space="preserve"> INDEX( B286:H286, MATCH( "% " &amp; $H$216, tblFilterPropType[#Headers], 0 ) )</f>
        <v>0.11599732525665736</v>
      </c>
      <c r="J286" s="27">
        <f t="shared" si="40"/>
        <v>0.2</v>
      </c>
      <c r="K286" s="24">
        <f xml:space="preserve"> IF( PropTypeOnOff = "Yes - pick", -- IF( $H$217 = "Minimum", tblFilterPropType[[#This Row],[Selected Prop Type %]] &gt;= tblFilterPropType[[#This Row],[Cut-off]], tblFilterPropType[[#This Row],[Selected Prop Type %]] &lt;= tblFilterPropType[[#This Row],[Cut-off]] ), 1 )</f>
        <v>1</v>
      </c>
    </row>
    <row r="287" spans="2:11" x14ac:dyDescent="0.2">
      <c r="B287" s="122" t="str" vm="68">
        <f t="shared" si="41"/>
        <v>Habinteg Housing Association Limited</v>
      </c>
      <c r="C287" s="122" t="str" vm="311">
        <f t="shared" si="39"/>
        <v>LH0459</v>
      </c>
      <c r="D287" s="81">
        <f t="shared" si="42"/>
        <v>68</v>
      </c>
      <c r="E287" s="27" cm="1">
        <f t="array" ref="E287" xml:space="preserve"> INDEX( VfM_Metrics_2023_Consol_Source[], $D287, E$218 )</f>
        <v>0.39323789217179411</v>
      </c>
      <c r="F287" s="27" cm="1">
        <f t="array" ref="F287" xml:space="preserve"> INDEX( VfM_Metrics_2023_Consol_Source[], $D287, F$218 )</f>
        <v>7.4322266219920802E-2</v>
      </c>
      <c r="G287" s="27">
        <f xml:space="preserve"> tblFilterPropType[[#This Row],[% Supported housing (excl. HOP)]] + tblFilterPropType[[#This Row],[% Housing for older people]]</f>
        <v>0.46756015839171494</v>
      </c>
      <c r="H287" s="28">
        <f xml:space="preserve"> 1 -tblFilterPropType[[#This Row],[% Supported &amp; older people]]</f>
        <v>0.53243984160828506</v>
      </c>
      <c r="I287" s="27">
        <f xml:space="preserve"> INDEX( B287:H287, MATCH( "% " &amp; $H$216, tblFilterPropType[#Headers], 0 ) )</f>
        <v>0.46756015839171494</v>
      </c>
      <c r="J287" s="27">
        <f t="shared" si="40"/>
        <v>0.2</v>
      </c>
      <c r="K287" s="24">
        <f xml:space="preserve"> IF( PropTypeOnOff = "Yes - pick", -- IF( $H$217 = "Minimum", tblFilterPropType[[#This Row],[Selected Prop Type %]] &gt;= tblFilterPropType[[#This Row],[Cut-off]], tblFilterPropType[[#This Row],[Selected Prop Type %]] &lt;= tblFilterPropType[[#This Row],[Cut-off]] ), 1 )</f>
        <v>1</v>
      </c>
    </row>
    <row r="288" spans="2:11" x14ac:dyDescent="0.2">
      <c r="B288" s="122" t="str" vm="69">
        <f t="shared" si="41"/>
        <v>Halton Housing</v>
      </c>
      <c r="C288" s="122" t="str" vm="387">
        <f t="shared" si="39"/>
        <v>L4456</v>
      </c>
      <c r="D288" s="81">
        <f t="shared" si="42"/>
        <v>69</v>
      </c>
      <c r="E288" s="27" cm="1">
        <f t="array" ref="E288" xml:space="preserve"> INDEX( VfM_Metrics_2023_Consol_Source[], $D288, E$218 )</f>
        <v>1.7662481026631708E-2</v>
      </c>
      <c r="F288" s="27" cm="1">
        <f t="array" ref="F288" xml:space="preserve"> INDEX( VfM_Metrics_2023_Consol_Source[], $D288, F$218 )</f>
        <v>0</v>
      </c>
      <c r="G288" s="27">
        <f xml:space="preserve"> tblFilterPropType[[#This Row],[% Supported housing (excl. HOP)]] + tblFilterPropType[[#This Row],[% Housing for older people]]</f>
        <v>1.7662481026631708E-2</v>
      </c>
      <c r="H288" s="28">
        <f xml:space="preserve"> 1 -tblFilterPropType[[#This Row],[% Supported &amp; older people]]</f>
        <v>0.9823375189733683</v>
      </c>
      <c r="I288" s="27">
        <f xml:space="preserve"> INDEX( B288:H288, MATCH( "% " &amp; $H$216, tblFilterPropType[#Headers], 0 ) )</f>
        <v>1.7662481026631708E-2</v>
      </c>
      <c r="J288" s="27">
        <f t="shared" si="40"/>
        <v>0.2</v>
      </c>
      <c r="K288" s="24">
        <f xml:space="preserve"> IF( PropTypeOnOff = "Yes - pick", -- IF( $H$217 = "Minimum", tblFilterPropType[[#This Row],[Selected Prop Type %]] &gt;= tblFilterPropType[[#This Row],[Cut-off]], tblFilterPropType[[#This Row],[Selected Prop Type %]] &lt;= tblFilterPropType[[#This Row],[Cut-off]] ), 1 )</f>
        <v>1</v>
      </c>
    </row>
    <row r="289" spans="2:11" x14ac:dyDescent="0.2">
      <c r="B289" s="122" t="str" vm="70">
        <f t="shared" si="41"/>
        <v>Hastoe Housing Association Limited</v>
      </c>
      <c r="C289" s="122" t="str" vm="395">
        <f t="shared" si="39"/>
        <v>L0018</v>
      </c>
      <c r="D289" s="81">
        <f t="shared" si="42"/>
        <v>70</v>
      </c>
      <c r="E289" s="27" cm="1">
        <f t="array" ref="E289" xml:space="preserve"> INDEX( VfM_Metrics_2023_Consol_Source[], $D289, E$218 )</f>
        <v>0</v>
      </c>
      <c r="F289" s="27" cm="1">
        <f t="array" ref="F289" xml:space="preserve"> INDEX( VfM_Metrics_2023_Consol_Source[], $D289, F$218 )</f>
        <v>0</v>
      </c>
      <c r="G289" s="27">
        <f xml:space="preserve"> tblFilterPropType[[#This Row],[% Supported housing (excl. HOP)]] + tblFilterPropType[[#This Row],[% Housing for older people]]</f>
        <v>0</v>
      </c>
      <c r="H289" s="28">
        <f xml:space="preserve"> 1 -tblFilterPropType[[#This Row],[% Supported &amp; older people]]</f>
        <v>1</v>
      </c>
      <c r="I289" s="27">
        <f xml:space="preserve"> INDEX( B289:H289, MATCH( "% " &amp; $H$216, tblFilterPropType[#Headers], 0 ) )</f>
        <v>0</v>
      </c>
      <c r="J289" s="27">
        <f t="shared" si="40"/>
        <v>0.2</v>
      </c>
      <c r="K289" s="24">
        <f xml:space="preserve"> IF( PropTypeOnOff = "Yes - pick", -- IF( $H$217 = "Minimum", tblFilterPropType[[#This Row],[Selected Prop Type %]] &gt;= tblFilterPropType[[#This Row],[Cut-off]], tblFilterPropType[[#This Row],[Selected Prop Type %]] &lt;= tblFilterPropType[[#This Row],[Cut-off]] ), 1 )</f>
        <v>1</v>
      </c>
    </row>
    <row r="290" spans="2:11" x14ac:dyDescent="0.2">
      <c r="B290" s="122" t="str" vm="71">
        <f t="shared" si="41"/>
        <v>Hexagon Housing Association Limited</v>
      </c>
      <c r="C290" s="122" t="str" vm="313">
        <f t="shared" si="39"/>
        <v>L1538</v>
      </c>
      <c r="D290" s="81">
        <f t="shared" si="42"/>
        <v>71</v>
      </c>
      <c r="E290" s="27" cm="1">
        <f t="array" ref="E290" xml:space="preserve"> INDEX( VfM_Metrics_2023_Consol_Source[], $D290, E$218 )</f>
        <v>5.5594324261456156E-2</v>
      </c>
      <c r="F290" s="27" cm="1">
        <f t="array" ref="F290" xml:space="preserve"> INDEX( VfM_Metrics_2023_Consol_Source[], $D290, F$218 )</f>
        <v>0</v>
      </c>
      <c r="G290" s="27">
        <f xml:space="preserve"> tblFilterPropType[[#This Row],[% Supported housing (excl. HOP)]] + tblFilterPropType[[#This Row],[% Housing for older people]]</f>
        <v>5.5594324261456156E-2</v>
      </c>
      <c r="H290" s="28">
        <f xml:space="preserve"> 1 -tblFilterPropType[[#This Row],[% Supported &amp; older people]]</f>
        <v>0.94440567573854384</v>
      </c>
      <c r="I290" s="27">
        <f xml:space="preserve"> INDEX( B290:H290, MATCH( "% " &amp; $H$216, tblFilterPropType[#Headers], 0 ) )</f>
        <v>5.5594324261456156E-2</v>
      </c>
      <c r="J290" s="27">
        <f t="shared" si="40"/>
        <v>0.2</v>
      </c>
      <c r="K290" s="24">
        <f xml:space="preserve"> IF( PropTypeOnOff = "Yes - pick", -- IF( $H$217 = "Minimum", tblFilterPropType[[#This Row],[Selected Prop Type %]] &gt;= tblFilterPropType[[#This Row],[Cut-off]], tblFilterPropType[[#This Row],[Selected Prop Type %]] &lt;= tblFilterPropType[[#This Row],[Cut-off]] ), 1 )</f>
        <v>1</v>
      </c>
    </row>
    <row r="291" spans="2:11" x14ac:dyDescent="0.2">
      <c r="B291" s="122" t="str" vm="72">
        <f t="shared" si="41"/>
        <v>Hightown Housing Association Limited</v>
      </c>
      <c r="C291" s="122" t="str" vm="349">
        <f t="shared" si="39"/>
        <v>L2179</v>
      </c>
      <c r="D291" s="81">
        <f t="shared" si="42"/>
        <v>72</v>
      </c>
      <c r="E291" s="27" cm="1">
        <f t="array" ref="E291" xml:space="preserve"> INDEX( VfM_Metrics_2023_Consol_Source[], $D291, E$218 )</f>
        <v>5.5989946942194918E-2</v>
      </c>
      <c r="F291" s="27" cm="1">
        <f t="array" ref="F291" xml:space="preserve"> INDEX( VfM_Metrics_2023_Consol_Source[], $D291, F$218 )</f>
        <v>1.1309690030717677E-2</v>
      </c>
      <c r="G291" s="27">
        <f xml:space="preserve"> tblFilterPropType[[#This Row],[% Supported housing (excl. HOP)]] + tblFilterPropType[[#This Row],[% Housing for older people]]</f>
        <v>6.7299636972912594E-2</v>
      </c>
      <c r="H291" s="28">
        <f xml:space="preserve"> 1 -tblFilterPropType[[#This Row],[% Supported &amp; older people]]</f>
        <v>0.93270036302708736</v>
      </c>
      <c r="I291" s="27">
        <f xml:space="preserve"> INDEX( B291:H291, MATCH( "% " &amp; $H$216, tblFilterPropType[#Headers], 0 ) )</f>
        <v>6.7299636972912594E-2</v>
      </c>
      <c r="J291" s="27">
        <f t="shared" si="40"/>
        <v>0.2</v>
      </c>
      <c r="K291" s="24">
        <f xml:space="preserve"> IF( PropTypeOnOff = "Yes - pick", -- IF( $H$217 = "Minimum", tblFilterPropType[[#This Row],[Selected Prop Type %]] &gt;= tblFilterPropType[[#This Row],[Cut-off]], tblFilterPropType[[#This Row],[Selected Prop Type %]] &lt;= tblFilterPropType[[#This Row],[Cut-off]] ), 1 )</f>
        <v>1</v>
      </c>
    </row>
    <row r="292" spans="2:11" x14ac:dyDescent="0.2">
      <c r="B292" s="122" t="str" vm="73">
        <f t="shared" si="41"/>
        <v>Home Group Limited</v>
      </c>
      <c r="C292" s="122" t="str" vm="243">
        <f t="shared" si="39"/>
        <v>L3076</v>
      </c>
      <c r="D292" s="81">
        <f t="shared" si="42"/>
        <v>73</v>
      </c>
      <c r="E292" s="27" cm="1">
        <f t="array" ref="E292" xml:space="preserve"> INDEX( VfM_Metrics_2023_Consol_Source[], $D292, E$218 )</f>
        <v>8.3588584465240076E-2</v>
      </c>
      <c r="F292" s="27" cm="1">
        <f t="array" ref="F292" xml:space="preserve"> INDEX( VfM_Metrics_2023_Consol_Source[], $D292, F$218 )</f>
        <v>3.2615813599780309E-2</v>
      </c>
      <c r="G292" s="27">
        <f xml:space="preserve"> tblFilterPropType[[#This Row],[% Supported housing (excl. HOP)]] + tblFilterPropType[[#This Row],[% Housing for older people]]</f>
        <v>0.11620439806502039</v>
      </c>
      <c r="H292" s="28">
        <f xml:space="preserve"> 1 -tblFilterPropType[[#This Row],[% Supported &amp; older people]]</f>
        <v>0.88379560193497964</v>
      </c>
      <c r="I292" s="27">
        <f xml:space="preserve"> INDEX( B292:H292, MATCH( "% " &amp; $H$216, tblFilterPropType[#Headers], 0 ) )</f>
        <v>0.11620439806502039</v>
      </c>
      <c r="J292" s="27">
        <f t="shared" si="40"/>
        <v>0.2</v>
      </c>
      <c r="K292" s="24">
        <f xml:space="preserve"> IF( PropTypeOnOff = "Yes - pick", -- IF( $H$217 = "Minimum", tblFilterPropType[[#This Row],[Selected Prop Type %]] &gt;= tblFilterPropType[[#This Row],[Cut-off]], tblFilterPropType[[#This Row],[Selected Prop Type %]] &lt;= tblFilterPropType[[#This Row],[Cut-off]] ), 1 )</f>
        <v>1</v>
      </c>
    </row>
    <row r="293" spans="2:11" x14ac:dyDescent="0.2">
      <c r="B293" s="122" t="str" vm="74">
        <f t="shared" si="41"/>
        <v>Honeycomb Group Limited</v>
      </c>
      <c r="C293" s="122" t="str" vm="315">
        <f t="shared" si="39"/>
        <v>LH2162</v>
      </c>
      <c r="D293" s="81">
        <f t="shared" si="42"/>
        <v>74</v>
      </c>
      <c r="E293" s="27" cm="1">
        <f t="array" ref="E293" xml:space="preserve"> INDEX( VfM_Metrics_2023_Consol_Source[], $D293, E$218 )</f>
        <v>4.6804389928986445E-2</v>
      </c>
      <c r="F293" s="27" cm="1">
        <f t="array" ref="F293" xml:space="preserve"> INDEX( VfM_Metrics_2023_Consol_Source[], $D293, F$218 )</f>
        <v>0.14138153647514526</v>
      </c>
      <c r="G293" s="27">
        <f xml:space="preserve"> tblFilterPropType[[#This Row],[% Supported housing (excl. HOP)]] + tblFilterPropType[[#This Row],[% Housing for older people]]</f>
        <v>0.1881859264041317</v>
      </c>
      <c r="H293" s="28">
        <f xml:space="preserve"> 1 -tblFilterPropType[[#This Row],[% Supported &amp; older people]]</f>
        <v>0.81181407359586832</v>
      </c>
      <c r="I293" s="27">
        <f xml:space="preserve"> INDEX( B293:H293, MATCH( "% " &amp; $H$216, tblFilterPropType[#Headers], 0 ) )</f>
        <v>0.1881859264041317</v>
      </c>
      <c r="J293" s="27">
        <f t="shared" si="40"/>
        <v>0.2</v>
      </c>
      <c r="K293" s="24">
        <f xml:space="preserve"> IF( PropTypeOnOff = "Yes - pick", -- IF( $H$217 = "Minimum", tblFilterPropType[[#This Row],[Selected Prop Type %]] &gt;= tblFilterPropType[[#This Row],[Cut-off]], tblFilterPropType[[#This Row],[Selected Prop Type %]] &lt;= tblFilterPropType[[#This Row],[Cut-off]] ), 1 )</f>
        <v>1</v>
      </c>
    </row>
    <row r="294" spans="2:11" x14ac:dyDescent="0.2">
      <c r="B294" s="122" t="str" vm="75">
        <f t="shared" si="41"/>
        <v>Housing 21</v>
      </c>
      <c r="C294" s="122" t="str" vm="268">
        <f t="shared" si="39"/>
        <v>L0055</v>
      </c>
      <c r="D294" s="81">
        <f t="shared" si="42"/>
        <v>75</v>
      </c>
      <c r="E294" s="27" cm="1">
        <f t="array" ref="E294" xml:space="preserve"> INDEX( VfM_Metrics_2023_Consol_Source[], $D294, E$218 )</f>
        <v>8.5643101837433819E-3</v>
      </c>
      <c r="F294" s="27" cm="1">
        <f t="array" ref="F294" xml:space="preserve"> INDEX( VfM_Metrics_2023_Consol_Source[], $D294, F$218 )</f>
        <v>0.91363022941970307</v>
      </c>
      <c r="G294" s="27">
        <f xml:space="preserve"> tblFilterPropType[[#This Row],[% Supported housing (excl. HOP)]] + tblFilterPropType[[#This Row],[% Housing for older people]]</f>
        <v>0.92219453960344644</v>
      </c>
      <c r="H294" s="28">
        <f xml:space="preserve"> 1 -tblFilterPropType[[#This Row],[% Supported &amp; older people]]</f>
        <v>7.7805460396553561E-2</v>
      </c>
      <c r="I294" s="27">
        <f xml:space="preserve"> INDEX( B294:H294, MATCH( "% " &amp; $H$216, tblFilterPropType[#Headers], 0 ) )</f>
        <v>0.92219453960344644</v>
      </c>
      <c r="J294" s="27">
        <f t="shared" si="40"/>
        <v>0.2</v>
      </c>
      <c r="K294" s="24">
        <f xml:space="preserve"> IF( PropTypeOnOff = "Yes - pick", -- IF( $H$217 = "Minimum", tblFilterPropType[[#This Row],[Selected Prop Type %]] &gt;= tblFilterPropType[[#This Row],[Cut-off]], tblFilterPropType[[#This Row],[Selected Prop Type %]] &lt;= tblFilterPropType[[#This Row],[Cut-off]] ), 1 )</f>
        <v>1</v>
      </c>
    </row>
    <row r="295" spans="2:11" x14ac:dyDescent="0.2">
      <c r="B295" s="122" t="str" vm="76">
        <f t="shared" si="41"/>
        <v>Housing Solutions</v>
      </c>
      <c r="C295" s="122" t="str" vm="377">
        <f t="shared" si="39"/>
        <v>L4073</v>
      </c>
      <c r="D295" s="81">
        <f t="shared" si="42"/>
        <v>76</v>
      </c>
      <c r="E295" s="27" cm="1">
        <f t="array" ref="E295" xml:space="preserve"> INDEX( VfM_Metrics_2023_Consol_Source[], $D295, E$218 )</f>
        <v>4.2976773581924477E-2</v>
      </c>
      <c r="F295" s="27" cm="1">
        <f t="array" ref="F295" xml:space="preserve"> INDEX( VfM_Metrics_2023_Consol_Source[], $D295, F$218 )</f>
        <v>4.7242850371306683E-2</v>
      </c>
      <c r="G295" s="27">
        <f xml:space="preserve"> tblFilterPropType[[#This Row],[% Supported housing (excl. HOP)]] + tblFilterPropType[[#This Row],[% Housing for older people]]</f>
        <v>9.0219623953231159E-2</v>
      </c>
      <c r="H295" s="28">
        <f xml:space="preserve"> 1 -tblFilterPropType[[#This Row],[% Supported &amp; older people]]</f>
        <v>0.90978037604676887</v>
      </c>
      <c r="I295" s="27">
        <f xml:space="preserve"> INDEX( B295:H295, MATCH( "% " &amp; $H$216, tblFilterPropType[#Headers], 0 ) )</f>
        <v>9.0219623953231159E-2</v>
      </c>
      <c r="J295" s="27">
        <f t="shared" si="40"/>
        <v>0.2</v>
      </c>
      <c r="K295" s="24">
        <f xml:space="preserve"> IF( PropTypeOnOff = "Yes - pick", -- IF( $H$217 = "Minimum", tblFilterPropType[[#This Row],[Selected Prop Type %]] &gt;= tblFilterPropType[[#This Row],[Cut-off]], tblFilterPropType[[#This Row],[Selected Prop Type %]] &lt;= tblFilterPropType[[#This Row],[Cut-off]] ), 1 )</f>
        <v>1</v>
      </c>
    </row>
    <row r="296" spans="2:11" x14ac:dyDescent="0.2">
      <c r="B296" s="122" t="str" vm="77">
        <f t="shared" si="41"/>
        <v>Hundred Houses Society Limited</v>
      </c>
      <c r="C296" s="122" t="str" vm="225">
        <f t="shared" si="39"/>
        <v>L0718</v>
      </c>
      <c r="D296" s="81">
        <f t="shared" si="42"/>
        <v>77</v>
      </c>
      <c r="E296" s="27" cm="1">
        <f t="array" ref="E296" xml:space="preserve"> INDEX( VfM_Metrics_2023_Consol_Source[], $D296, E$218 )</f>
        <v>0</v>
      </c>
      <c r="F296" s="27" cm="1">
        <f t="array" ref="F296" xml:space="preserve"> INDEX( VfM_Metrics_2023_Consol_Source[], $D296, F$218 )</f>
        <v>0</v>
      </c>
      <c r="G296" s="27">
        <f xml:space="preserve"> tblFilterPropType[[#This Row],[% Supported housing (excl. HOP)]] + tblFilterPropType[[#This Row],[% Housing for older people]]</f>
        <v>0</v>
      </c>
      <c r="H296" s="28">
        <f xml:space="preserve"> 1 -tblFilterPropType[[#This Row],[% Supported &amp; older people]]</f>
        <v>1</v>
      </c>
      <c r="I296" s="27">
        <f xml:space="preserve"> INDEX( B296:H296, MATCH( "% " &amp; $H$216, tblFilterPropType[#Headers], 0 ) )</f>
        <v>0</v>
      </c>
      <c r="J296" s="27">
        <f t="shared" si="40"/>
        <v>0.2</v>
      </c>
      <c r="K296" s="24">
        <f xml:space="preserve"> IF( PropTypeOnOff = "Yes - pick", -- IF( $H$217 = "Minimum", tblFilterPropType[[#This Row],[Selected Prop Type %]] &gt;= tblFilterPropType[[#This Row],[Cut-off]], tblFilterPropType[[#This Row],[Selected Prop Type %]] &lt;= tblFilterPropType[[#This Row],[Cut-off]] ), 1 )</f>
        <v>1</v>
      </c>
    </row>
    <row r="297" spans="2:11" x14ac:dyDescent="0.2">
      <c r="B297" s="122" t="str" vm="78">
        <f t="shared" si="41"/>
        <v>Hyde Housing Association Limited</v>
      </c>
      <c r="C297" s="122" t="str" vm="245">
        <f t="shared" si="39"/>
        <v>LH0032</v>
      </c>
      <c r="D297" s="81">
        <f t="shared" si="42"/>
        <v>78</v>
      </c>
      <c r="E297" s="27" cm="1">
        <f t="array" ref="E297" xml:space="preserve"> INDEX( VfM_Metrics_2023_Consol_Source[], $D297, E$218 )</f>
        <v>3.4118744896768922E-2</v>
      </c>
      <c r="F297" s="27" cm="1">
        <f t="array" ref="F297" xml:space="preserve"> INDEX( VfM_Metrics_2023_Consol_Source[], $D297, F$218 )</f>
        <v>4.2254753295229208E-2</v>
      </c>
      <c r="G297" s="27">
        <f xml:space="preserve"> tblFilterPropType[[#This Row],[% Supported housing (excl. HOP)]] + tblFilterPropType[[#This Row],[% Housing for older people]]</f>
        <v>7.6373498191998124E-2</v>
      </c>
      <c r="H297" s="28">
        <f xml:space="preserve"> 1 -tblFilterPropType[[#This Row],[% Supported &amp; older people]]</f>
        <v>0.92362650180800188</v>
      </c>
      <c r="I297" s="27">
        <f xml:space="preserve"> INDEX( B297:H297, MATCH( "% " &amp; $H$216, tblFilterPropType[#Headers], 0 ) )</f>
        <v>7.6373498191998124E-2</v>
      </c>
      <c r="J297" s="27">
        <f t="shared" si="40"/>
        <v>0.2</v>
      </c>
      <c r="K297" s="24">
        <f xml:space="preserve"> IF( PropTypeOnOff = "Yes - pick", -- IF( $H$217 = "Minimum", tblFilterPropType[[#This Row],[Selected Prop Type %]] &gt;= tblFilterPropType[[#This Row],[Cut-off]], tblFilterPropType[[#This Row],[Selected Prop Type %]] &lt;= tblFilterPropType[[#This Row],[Cut-off]] ), 1 )</f>
        <v>1</v>
      </c>
    </row>
    <row r="298" spans="2:11" x14ac:dyDescent="0.2">
      <c r="B298" s="122" t="str" vm="79">
        <f t="shared" si="41"/>
        <v>Inclusion Housing Community Interest Company</v>
      </c>
      <c r="C298" s="122" t="str" vm="304">
        <f t="shared" si="39"/>
        <v>4662</v>
      </c>
      <c r="D298" s="81">
        <f t="shared" si="42"/>
        <v>79</v>
      </c>
      <c r="E298" s="27" cm="1">
        <f t="array" ref="E298" xml:space="preserve"> INDEX( VfM_Metrics_2023_Consol_Source[], $D298, E$218 )</f>
        <v>0.96487493347525277</v>
      </c>
      <c r="F298" s="27" cm="1">
        <f t="array" ref="F298" xml:space="preserve"> INDEX( VfM_Metrics_2023_Consol_Source[], $D298, F$218 )</f>
        <v>3.3262373602980309E-2</v>
      </c>
      <c r="G298" s="27">
        <f xml:space="preserve"> tblFilterPropType[[#This Row],[% Supported housing (excl. HOP)]] + tblFilterPropType[[#This Row],[% Housing for older people]]</f>
        <v>0.99813730707823312</v>
      </c>
      <c r="H298" s="28">
        <f xml:space="preserve"> 1 -tblFilterPropType[[#This Row],[% Supported &amp; older people]]</f>
        <v>1.8626929217668842E-3</v>
      </c>
      <c r="I298" s="27">
        <f xml:space="preserve"> INDEX( B298:H298, MATCH( "% " &amp; $H$216, tblFilterPropType[#Headers], 0 ) )</f>
        <v>0.99813730707823312</v>
      </c>
      <c r="J298" s="27">
        <f t="shared" si="40"/>
        <v>0.2</v>
      </c>
      <c r="K298" s="24">
        <f xml:space="preserve"> IF( PropTypeOnOff = "Yes - pick", -- IF( $H$217 = "Minimum", tblFilterPropType[[#This Row],[Selected Prop Type %]] &gt;= tblFilterPropType[[#This Row],[Cut-off]], tblFilterPropType[[#This Row],[Selected Prop Type %]] &lt;= tblFilterPropType[[#This Row],[Cut-off]] ), 1 )</f>
        <v>1</v>
      </c>
    </row>
    <row r="299" spans="2:11" x14ac:dyDescent="0.2">
      <c r="B299" s="122" t="str" vm="80">
        <f t="shared" si="41"/>
        <v>Incommunities Limited</v>
      </c>
      <c r="C299" s="122" t="str" vm="339">
        <f t="shared" si="39"/>
        <v>L4476</v>
      </c>
      <c r="D299" s="81">
        <f t="shared" si="42"/>
        <v>80</v>
      </c>
      <c r="E299" s="27" cm="1">
        <f t="array" ref="E299" xml:space="preserve"> INDEX( VfM_Metrics_2023_Consol_Source[], $D299, E$218 )</f>
        <v>3.0689329556185078E-3</v>
      </c>
      <c r="F299" s="27" cm="1">
        <f t="array" ref="F299" xml:space="preserve"> INDEX( VfM_Metrics_2023_Consol_Source[], $D299, F$218 )</f>
        <v>3.375826251180359E-2</v>
      </c>
      <c r="G299" s="27">
        <f xml:space="preserve"> tblFilterPropType[[#This Row],[% Supported housing (excl. HOP)]] + tblFilterPropType[[#This Row],[% Housing for older people]]</f>
        <v>3.6827195467422094E-2</v>
      </c>
      <c r="H299" s="28">
        <f xml:space="preserve"> 1 -tblFilterPropType[[#This Row],[% Supported &amp; older people]]</f>
        <v>0.96317280453257792</v>
      </c>
      <c r="I299" s="27">
        <f xml:space="preserve"> INDEX( B299:H299, MATCH( "% " &amp; $H$216, tblFilterPropType[#Headers], 0 ) )</f>
        <v>3.6827195467422094E-2</v>
      </c>
      <c r="J299" s="27">
        <f t="shared" si="40"/>
        <v>0.2</v>
      </c>
      <c r="K299" s="24">
        <f xml:space="preserve"> IF( PropTypeOnOff = "Yes - pick", -- IF( $H$217 = "Minimum", tblFilterPropType[[#This Row],[Selected Prop Type %]] &gt;= tblFilterPropType[[#This Row],[Cut-off]], tblFilterPropType[[#This Row],[Selected Prop Type %]] &lt;= tblFilterPropType[[#This Row],[Cut-off]] ), 1 )</f>
        <v>1</v>
      </c>
    </row>
    <row r="300" spans="2:11" x14ac:dyDescent="0.2">
      <c r="B300" s="122" t="str" vm="81">
        <f t="shared" si="41"/>
        <v>Inquilab Housing Association Limited</v>
      </c>
      <c r="C300" s="122" t="str" vm="216">
        <f t="shared" si="39"/>
        <v>LH3728</v>
      </c>
      <c r="D300" s="81">
        <f t="shared" si="42"/>
        <v>81</v>
      </c>
      <c r="E300" s="27" cm="1">
        <f t="array" ref="E300" xml:space="preserve"> INDEX( VfM_Metrics_2023_Consol_Source[], $D300, E$218 )</f>
        <v>0</v>
      </c>
      <c r="F300" s="27" cm="1">
        <f t="array" ref="F300" xml:space="preserve"> INDEX( VfM_Metrics_2023_Consol_Source[], $D300, F$218 )</f>
        <v>0</v>
      </c>
      <c r="G300" s="27">
        <f xml:space="preserve"> tblFilterPropType[[#This Row],[% Supported housing (excl. HOP)]] + tblFilterPropType[[#This Row],[% Housing for older people]]</f>
        <v>0</v>
      </c>
      <c r="H300" s="28">
        <f xml:space="preserve"> 1 -tblFilterPropType[[#This Row],[% Supported &amp; older people]]</f>
        <v>1</v>
      </c>
      <c r="I300" s="27">
        <f xml:space="preserve"> INDEX( B300:H300, MATCH( "% " &amp; $H$216, tblFilterPropType[#Headers], 0 ) )</f>
        <v>0</v>
      </c>
      <c r="J300" s="27">
        <f t="shared" si="40"/>
        <v>0.2</v>
      </c>
      <c r="K300" s="24">
        <f xml:space="preserve"> IF( PropTypeOnOff = "Yes - pick", -- IF( $H$217 = "Minimum", tblFilterPropType[[#This Row],[Selected Prop Type %]] &gt;= tblFilterPropType[[#This Row],[Cut-off]], tblFilterPropType[[#This Row],[Selected Prop Type %]] &lt;= tblFilterPropType[[#This Row],[Cut-off]] ), 1 )</f>
        <v>1</v>
      </c>
    </row>
    <row r="301" spans="2:11" x14ac:dyDescent="0.2">
      <c r="B301" s="122" t="str" vm="82">
        <f t="shared" si="41"/>
        <v>Irwell Valley Housing Association Limited</v>
      </c>
      <c r="C301" s="122" t="str" vm="389">
        <f t="shared" si="39"/>
        <v>L0061</v>
      </c>
      <c r="D301" s="81">
        <f t="shared" si="42"/>
        <v>82</v>
      </c>
      <c r="E301" s="27" cm="1">
        <f t="array" ref="E301" xml:space="preserve"> INDEX( VfM_Metrics_2023_Consol_Source[], $D301, E$218 )</f>
        <v>3.5524703960800326E-2</v>
      </c>
      <c r="F301" s="27" cm="1">
        <f t="array" ref="F301" xml:space="preserve"> INDEX( VfM_Metrics_2023_Consol_Source[], $D301, F$218 )</f>
        <v>6.2202259425615899E-2</v>
      </c>
      <c r="G301" s="27">
        <f xml:space="preserve"> tblFilterPropType[[#This Row],[% Supported housing (excl. HOP)]] + tblFilterPropType[[#This Row],[% Housing for older people]]</f>
        <v>9.7726963386416232E-2</v>
      </c>
      <c r="H301" s="28">
        <f xml:space="preserve"> 1 -tblFilterPropType[[#This Row],[% Supported &amp; older people]]</f>
        <v>0.90227303661358382</v>
      </c>
      <c r="I301" s="27">
        <f xml:space="preserve"> INDEX( B301:H301, MATCH( "% " &amp; $H$216, tblFilterPropType[#Headers], 0 ) )</f>
        <v>9.7726963386416232E-2</v>
      </c>
      <c r="J301" s="27">
        <f t="shared" si="40"/>
        <v>0.2</v>
      </c>
      <c r="K301" s="24">
        <f xml:space="preserve"> IF( PropTypeOnOff = "Yes - pick", -- IF( $H$217 = "Minimum", tblFilterPropType[[#This Row],[Selected Prop Type %]] &gt;= tblFilterPropType[[#This Row],[Cut-off]], tblFilterPropType[[#This Row],[Selected Prop Type %]] &lt;= tblFilterPropType[[#This Row],[Cut-off]] ), 1 )</f>
        <v>1</v>
      </c>
    </row>
    <row r="302" spans="2:11" x14ac:dyDescent="0.2">
      <c r="B302" s="122" t="str" vm="83">
        <f t="shared" si="41"/>
        <v>Islington and Shoreditch Housing Association Limited</v>
      </c>
      <c r="C302" s="122" t="str" vm="210">
        <f t="shared" si="39"/>
        <v>L0457</v>
      </c>
      <c r="D302" s="81">
        <f t="shared" si="42"/>
        <v>83</v>
      </c>
      <c r="E302" s="27" cm="1">
        <f t="array" ref="E302" xml:space="preserve"> INDEX( VfM_Metrics_2023_Consol_Source[], $D302, E$218 )</f>
        <v>2.9635901778154106E-2</v>
      </c>
      <c r="F302" s="27" cm="1">
        <f t="array" ref="F302" xml:space="preserve"> INDEX( VfM_Metrics_2023_Consol_Source[], $D302, F$218 )</f>
        <v>1.7781541066892465E-2</v>
      </c>
      <c r="G302" s="27">
        <f xml:space="preserve"> tblFilterPropType[[#This Row],[% Supported housing (excl. HOP)]] + tblFilterPropType[[#This Row],[% Housing for older people]]</f>
        <v>4.7417442845046572E-2</v>
      </c>
      <c r="H302" s="28">
        <f xml:space="preserve"> 1 -tblFilterPropType[[#This Row],[% Supported &amp; older people]]</f>
        <v>0.95258255715495344</v>
      </c>
      <c r="I302" s="27">
        <f xml:space="preserve"> INDEX( B302:H302, MATCH( "% " &amp; $H$216, tblFilterPropType[#Headers], 0 ) )</f>
        <v>4.7417442845046572E-2</v>
      </c>
      <c r="J302" s="27">
        <f t="shared" si="40"/>
        <v>0.2</v>
      </c>
      <c r="K302" s="24">
        <f xml:space="preserve"> IF( PropTypeOnOff = "Yes - pick", -- IF( $H$217 = "Minimum", tblFilterPropType[[#This Row],[Selected Prop Type %]] &gt;= tblFilterPropType[[#This Row],[Cut-off]], tblFilterPropType[[#This Row],[Selected Prop Type %]] &lt;= tblFilterPropType[[#This Row],[Cut-off]] ), 1 )</f>
        <v>1</v>
      </c>
    </row>
    <row r="303" spans="2:11" x14ac:dyDescent="0.2">
      <c r="B303" s="122" t="str" vm="84">
        <f t="shared" si="41"/>
        <v>Jigsaw Homes Group Limited</v>
      </c>
      <c r="C303" s="122" t="str" vm="262">
        <f t="shared" si="39"/>
        <v>LH4345</v>
      </c>
      <c r="D303" s="81">
        <f t="shared" si="42"/>
        <v>84</v>
      </c>
      <c r="E303" s="27" cm="1">
        <f t="array" ref="E303" xml:space="preserve"> INDEX( VfM_Metrics_2023_Consol_Source[], $D303, E$218 )</f>
        <v>2.0427724195770682E-2</v>
      </c>
      <c r="F303" s="27" cm="1">
        <f t="array" ref="F303" xml:space="preserve"> INDEX( VfM_Metrics_2023_Consol_Source[], $D303, F$218 )</f>
        <v>9.3092913197148505E-2</v>
      </c>
      <c r="G303" s="27">
        <f xml:space="preserve"> tblFilterPropType[[#This Row],[% Supported housing (excl. HOP)]] + tblFilterPropType[[#This Row],[% Housing for older people]]</f>
        <v>0.11352063739291919</v>
      </c>
      <c r="H303" s="28">
        <f xml:space="preserve"> 1 -tblFilterPropType[[#This Row],[% Supported &amp; older people]]</f>
        <v>0.88647936260708082</v>
      </c>
      <c r="I303" s="27">
        <f xml:space="preserve"> INDEX( B303:H303, MATCH( "% " &amp; $H$216, tblFilterPropType[#Headers], 0 ) )</f>
        <v>0.11352063739291919</v>
      </c>
      <c r="J303" s="27">
        <f t="shared" si="40"/>
        <v>0.2</v>
      </c>
      <c r="K303" s="24">
        <f xml:space="preserve"> IF( PropTypeOnOff = "Yes - pick", -- IF( $H$217 = "Minimum", tblFilterPropType[[#This Row],[Selected Prop Type %]] &gt;= tblFilterPropType[[#This Row],[Cut-off]], tblFilterPropType[[#This Row],[Selected Prop Type %]] &lt;= tblFilterPropType[[#This Row],[Cut-off]] ), 1 )</f>
        <v>1</v>
      </c>
    </row>
    <row r="304" spans="2:11" x14ac:dyDescent="0.2">
      <c r="B304" s="122" t="str" vm="85">
        <f t="shared" si="41"/>
        <v>'Johnnie' Johnson Housing Trust Limited</v>
      </c>
      <c r="C304" s="122" t="str" vm="318">
        <f t="shared" si="39"/>
        <v>L1231</v>
      </c>
      <c r="D304" s="81">
        <f t="shared" si="42"/>
        <v>85</v>
      </c>
      <c r="E304" s="27" cm="1">
        <f t="array" ref="E304" xml:space="preserve"> INDEX( VfM_Metrics_2023_Consol_Source[], $D304, E$218 )</f>
        <v>1.8207855973813421E-2</v>
      </c>
      <c r="F304" s="27" cm="1">
        <f t="array" ref="F304" xml:space="preserve"> INDEX( VfM_Metrics_2023_Consol_Source[], $D304, F$218 )</f>
        <v>0.49549918166939444</v>
      </c>
      <c r="G304" s="27">
        <f xml:space="preserve"> tblFilterPropType[[#This Row],[% Supported housing (excl. HOP)]] + tblFilterPropType[[#This Row],[% Housing for older people]]</f>
        <v>0.51370703764320791</v>
      </c>
      <c r="H304" s="28">
        <f xml:space="preserve"> 1 -tblFilterPropType[[#This Row],[% Supported &amp; older people]]</f>
        <v>0.48629296235679209</v>
      </c>
      <c r="I304" s="27">
        <f xml:space="preserve"> INDEX( B304:H304, MATCH( "% " &amp; $H$216, tblFilterPropType[#Headers], 0 ) )</f>
        <v>0.51370703764320791</v>
      </c>
      <c r="J304" s="27">
        <f t="shared" si="40"/>
        <v>0.2</v>
      </c>
      <c r="K304" s="24">
        <f xml:space="preserve"> IF( PropTypeOnOff = "Yes - pick", -- IF( $H$217 = "Minimum", tblFilterPropType[[#This Row],[Selected Prop Type %]] &gt;= tblFilterPropType[[#This Row],[Cut-off]], tblFilterPropType[[#This Row],[Selected Prop Type %]] &lt;= tblFilterPropType[[#This Row],[Cut-off]] ), 1 )</f>
        <v>1</v>
      </c>
    </row>
    <row r="305" spans="2:11" x14ac:dyDescent="0.2">
      <c r="B305" s="122" t="str" vm="86">
        <f t="shared" si="41"/>
        <v>Joseph Rowntree Housing Trust</v>
      </c>
      <c r="C305" s="122" t="str" vm="207">
        <f t="shared" si="39"/>
        <v>5079</v>
      </c>
      <c r="D305" s="81">
        <f t="shared" si="42"/>
        <v>86</v>
      </c>
      <c r="E305" s="27" cm="1">
        <f t="array" ref="E305" xml:space="preserve"> INDEX( VfM_Metrics_2023_Consol_Source[], $D305, E$218 )</f>
        <v>2.1561017680034499E-2</v>
      </c>
      <c r="F305" s="27" cm="1">
        <f t="array" ref="F305" xml:space="preserve"> INDEX( VfM_Metrics_2023_Consol_Source[], $D305, F$218 )</f>
        <v>0.13885295385942217</v>
      </c>
      <c r="G305" s="27">
        <f xml:space="preserve"> tblFilterPropType[[#This Row],[% Supported housing (excl. HOP)]] + tblFilterPropType[[#This Row],[% Housing for older people]]</f>
        <v>0.16041397153945666</v>
      </c>
      <c r="H305" s="28">
        <f xml:space="preserve"> 1 -tblFilterPropType[[#This Row],[% Supported &amp; older people]]</f>
        <v>0.83958602846054331</v>
      </c>
      <c r="I305" s="27">
        <f xml:space="preserve"> INDEX( B305:H305, MATCH( "% " &amp; $H$216, tblFilterPropType[#Headers], 0 ) )</f>
        <v>0.16041397153945666</v>
      </c>
      <c r="J305" s="27">
        <f t="shared" si="40"/>
        <v>0.2</v>
      </c>
      <c r="K305" s="24">
        <f xml:space="preserve"> IF( PropTypeOnOff = "Yes - pick", -- IF( $H$217 = "Minimum", tblFilterPropType[[#This Row],[Selected Prop Type %]] &gt;= tblFilterPropType[[#This Row],[Cut-off]], tblFilterPropType[[#This Row],[Selected Prop Type %]] &lt;= tblFilterPropType[[#This Row],[Cut-off]] ), 1 )</f>
        <v>1</v>
      </c>
    </row>
    <row r="306" spans="2:11" x14ac:dyDescent="0.2">
      <c r="B306" s="122" t="str" vm="87">
        <f t="shared" si="41"/>
        <v>Karbon Homes Limited</v>
      </c>
      <c r="C306" s="122" t="str" vm="265">
        <f t="shared" si="39"/>
        <v>4846</v>
      </c>
      <c r="D306" s="81">
        <f t="shared" si="42"/>
        <v>87</v>
      </c>
      <c r="E306" s="27" cm="1">
        <f t="array" ref="E306" xml:space="preserve"> INDEX( VfM_Metrics_2023_Consol_Source[], $D306, E$218 )</f>
        <v>2.133914709477092E-2</v>
      </c>
      <c r="F306" s="27" cm="1">
        <f t="array" ref="F306" xml:space="preserve"> INDEX( VfM_Metrics_2023_Consol_Source[], $D306, F$218 )</f>
        <v>3.2239949790242133E-2</v>
      </c>
      <c r="G306" s="27">
        <f xml:space="preserve"> tblFilterPropType[[#This Row],[% Supported housing (excl. HOP)]] + tblFilterPropType[[#This Row],[% Housing for older people]]</f>
        <v>5.3579096885013056E-2</v>
      </c>
      <c r="H306" s="28">
        <f xml:space="preserve"> 1 -tblFilterPropType[[#This Row],[% Supported &amp; older people]]</f>
        <v>0.94642090311498694</v>
      </c>
      <c r="I306" s="27">
        <f xml:space="preserve"> INDEX( B306:H306, MATCH( "% " &amp; $H$216, tblFilterPropType[#Headers], 0 ) )</f>
        <v>5.3579096885013056E-2</v>
      </c>
      <c r="J306" s="27">
        <f t="shared" si="40"/>
        <v>0.2</v>
      </c>
      <c r="K306" s="24">
        <f xml:space="preserve"> IF( PropTypeOnOff = "Yes - pick", -- IF( $H$217 = "Minimum", tblFilterPropType[[#This Row],[Selected Prop Type %]] &gt;= tblFilterPropType[[#This Row],[Cut-off]], tblFilterPropType[[#This Row],[Selected Prop Type %]] &lt;= tblFilterPropType[[#This Row],[Cut-off]] ), 1 )</f>
        <v>1</v>
      </c>
    </row>
    <row r="307" spans="2:11" x14ac:dyDescent="0.2">
      <c r="B307" s="122" t="str" vm="88">
        <f t="shared" si="41"/>
        <v>Leeds Federated Housing Association Limited</v>
      </c>
      <c r="C307" s="122" t="str" vm="330">
        <f t="shared" si="39"/>
        <v>LH0989</v>
      </c>
      <c r="D307" s="81">
        <f t="shared" si="42"/>
        <v>88</v>
      </c>
      <c r="E307" s="27" cm="1">
        <f t="array" ref="E307" xml:space="preserve"> INDEX( VfM_Metrics_2023_Consol_Source[], $D307, E$218 )</f>
        <v>4.6741573033707864E-2</v>
      </c>
      <c r="F307" s="27" cm="1">
        <f t="array" ref="F307" xml:space="preserve"> INDEX( VfM_Metrics_2023_Consol_Source[], $D307, F$218 )</f>
        <v>5.7078651685393257E-2</v>
      </c>
      <c r="G307" s="27">
        <f xml:space="preserve"> tblFilterPropType[[#This Row],[% Supported housing (excl. HOP)]] + tblFilterPropType[[#This Row],[% Housing for older people]]</f>
        <v>0.10382022471910113</v>
      </c>
      <c r="H307" s="28">
        <f xml:space="preserve"> 1 -tblFilterPropType[[#This Row],[% Supported &amp; older people]]</f>
        <v>0.89617977528089887</v>
      </c>
      <c r="I307" s="27">
        <f xml:space="preserve"> INDEX( B307:H307, MATCH( "% " &amp; $H$216, tblFilterPropType[#Headers], 0 ) )</f>
        <v>0.10382022471910113</v>
      </c>
      <c r="J307" s="27">
        <f t="shared" si="40"/>
        <v>0.2</v>
      </c>
      <c r="K307" s="24">
        <f xml:space="preserve"> IF( PropTypeOnOff = "Yes - pick", -- IF( $H$217 = "Minimum", tblFilterPropType[[#This Row],[Selected Prop Type %]] &gt;= tblFilterPropType[[#This Row],[Cut-off]], tblFilterPropType[[#This Row],[Selected Prop Type %]] &lt;= tblFilterPropType[[#This Row],[Cut-off]] ), 1 )</f>
        <v>1</v>
      </c>
    </row>
    <row r="308" spans="2:11" x14ac:dyDescent="0.2">
      <c r="B308" s="122" t="str" vm="89">
        <f t="shared" si="41"/>
        <v>Lincolnshire Housing Partnership Limited</v>
      </c>
      <c r="C308" s="122" t="str" vm="299">
        <f t="shared" si="39"/>
        <v>4877</v>
      </c>
      <c r="D308" s="81">
        <f t="shared" si="42"/>
        <v>89</v>
      </c>
      <c r="E308" s="27" cm="1">
        <f t="array" ref="E308" xml:space="preserve"> INDEX( VfM_Metrics_2023_Consol_Source[], $D308, E$218 )</f>
        <v>1.6425755584756898E-3</v>
      </c>
      <c r="F308" s="27" cm="1">
        <f t="array" ref="F308" xml:space="preserve"> INDEX( VfM_Metrics_2023_Consol_Source[], $D308, F$218 )</f>
        <v>0.139865308804205</v>
      </c>
      <c r="G308" s="27">
        <f xml:space="preserve"> tblFilterPropType[[#This Row],[% Supported housing (excl. HOP)]] + tblFilterPropType[[#This Row],[% Housing for older people]]</f>
        <v>0.14150788436268069</v>
      </c>
      <c r="H308" s="28">
        <f xml:space="preserve"> 1 -tblFilterPropType[[#This Row],[% Supported &amp; older people]]</f>
        <v>0.85849211563731931</v>
      </c>
      <c r="I308" s="27">
        <f xml:space="preserve"> INDEX( B308:H308, MATCH( "% " &amp; $H$216, tblFilterPropType[#Headers], 0 ) )</f>
        <v>0.14150788436268069</v>
      </c>
      <c r="J308" s="27">
        <f t="shared" si="40"/>
        <v>0.2</v>
      </c>
      <c r="K308" s="24">
        <f xml:space="preserve"> IF( PropTypeOnOff = "Yes - pick", -- IF( $H$217 = "Minimum", tblFilterPropType[[#This Row],[Selected Prop Type %]] &gt;= tblFilterPropType[[#This Row],[Cut-off]], tblFilterPropType[[#This Row],[Selected Prop Type %]] &lt;= tblFilterPropType[[#This Row],[Cut-off]] ), 1 )</f>
        <v>1</v>
      </c>
    </row>
    <row r="309" spans="2:11" x14ac:dyDescent="0.2">
      <c r="B309" s="122" t="str" vm="90">
        <f t="shared" si="41"/>
        <v>LiveWest Homes Limited</v>
      </c>
      <c r="C309" s="122" t="str" vm="256">
        <f t="shared" si="39"/>
        <v>4873</v>
      </c>
      <c r="D309" s="81">
        <f t="shared" si="42"/>
        <v>90</v>
      </c>
      <c r="E309" s="27" cm="1">
        <f t="array" ref="E309" xml:space="preserve"> INDEX( VfM_Metrics_2023_Consol_Source[], $D309, E$218 )</f>
        <v>3.6951438359889066E-2</v>
      </c>
      <c r="F309" s="27" cm="1">
        <f t="array" ref="F309" xml:space="preserve"> INDEX( VfM_Metrics_2023_Consol_Source[], $D309, F$218 )</f>
        <v>4.9921148512697806E-2</v>
      </c>
      <c r="G309" s="27">
        <f xml:space="preserve"> tblFilterPropType[[#This Row],[% Supported housing (excl. HOP)]] + tblFilterPropType[[#This Row],[% Housing for older people]]</f>
        <v>8.6872586872586866E-2</v>
      </c>
      <c r="H309" s="28">
        <f xml:space="preserve"> 1 -tblFilterPropType[[#This Row],[% Supported &amp; older people]]</f>
        <v>0.91312741312741319</v>
      </c>
      <c r="I309" s="27">
        <f xml:space="preserve"> INDEX( B309:H309, MATCH( "% " &amp; $H$216, tblFilterPropType[#Headers], 0 ) )</f>
        <v>8.6872586872586866E-2</v>
      </c>
      <c r="J309" s="27">
        <f t="shared" si="40"/>
        <v>0.2</v>
      </c>
      <c r="K309" s="24">
        <f xml:space="preserve"> IF( PropTypeOnOff = "Yes - pick", -- IF( $H$217 = "Minimum", tblFilterPropType[[#This Row],[Selected Prop Type %]] &gt;= tblFilterPropType[[#This Row],[Cut-off]], tblFilterPropType[[#This Row],[Selected Prop Type %]] &lt;= tblFilterPropType[[#This Row],[Cut-off]] ), 1 )</f>
        <v>1</v>
      </c>
    </row>
    <row r="310" spans="2:11" x14ac:dyDescent="0.2">
      <c r="B310" s="122" t="str" vm="91">
        <f t="shared" si="41"/>
        <v>Livin Housing Limited</v>
      </c>
      <c r="C310" s="122" t="str" vm="381">
        <f t="shared" si="39"/>
        <v>L4538</v>
      </c>
      <c r="D310" s="81">
        <f t="shared" si="42"/>
        <v>91</v>
      </c>
      <c r="E310" s="27" cm="1">
        <f t="array" ref="E310" xml:space="preserve"> INDEX( VfM_Metrics_2023_Consol_Source[], $D310, E$218 )</f>
        <v>0</v>
      </c>
      <c r="F310" s="27" cm="1">
        <f t="array" ref="F310" xml:space="preserve"> INDEX( VfM_Metrics_2023_Consol_Source[], $D310, F$218 )</f>
        <v>0</v>
      </c>
      <c r="G310" s="27">
        <f xml:space="preserve"> tblFilterPropType[[#This Row],[% Supported housing (excl. HOP)]] + tblFilterPropType[[#This Row],[% Housing for older people]]</f>
        <v>0</v>
      </c>
      <c r="H310" s="28">
        <f xml:space="preserve"> 1 -tblFilterPropType[[#This Row],[% Supported &amp; older people]]</f>
        <v>1</v>
      </c>
      <c r="I310" s="27">
        <f xml:space="preserve"> INDEX( B310:H310, MATCH( "% " &amp; $H$216, tblFilterPropType[#Headers], 0 ) )</f>
        <v>0</v>
      </c>
      <c r="J310" s="27">
        <f t="shared" si="40"/>
        <v>0.2</v>
      </c>
      <c r="K310" s="24">
        <f xml:space="preserve"> IF( PropTypeOnOff = "Yes - pick", -- IF( $H$217 = "Minimum", tblFilterPropType[[#This Row],[Selected Prop Type %]] &gt;= tblFilterPropType[[#This Row],[Cut-off]], tblFilterPropType[[#This Row],[Selected Prop Type %]] &lt;= tblFilterPropType[[#This Row],[Cut-off]] ), 1 )</f>
        <v>1</v>
      </c>
    </row>
    <row r="311" spans="2:11" x14ac:dyDescent="0.2">
      <c r="B311" s="122" t="str" vm="92">
        <f t="shared" si="41"/>
        <v>Livv Housing Group</v>
      </c>
      <c r="C311" s="122" t="str" vm="295">
        <f t="shared" si="39"/>
        <v>LH4343</v>
      </c>
      <c r="D311" s="81">
        <f t="shared" si="42"/>
        <v>92</v>
      </c>
      <c r="E311" s="27" cm="1">
        <f t="array" ref="E311" xml:space="preserve"> INDEX( VfM_Metrics_2023_Consol_Source[], $D311, E$218 )</f>
        <v>1.0066594393681276E-3</v>
      </c>
      <c r="F311" s="27" cm="1">
        <f t="array" ref="F311" xml:space="preserve"> INDEX( VfM_Metrics_2023_Consol_Source[], $D311, F$218 )</f>
        <v>4.4447886015177324E-2</v>
      </c>
      <c r="G311" s="27">
        <f xml:space="preserve"> tblFilterPropType[[#This Row],[% Supported housing (excl. HOP)]] + tblFilterPropType[[#This Row],[% Housing for older people]]</f>
        <v>4.5454545454545449E-2</v>
      </c>
      <c r="H311" s="28">
        <f xml:space="preserve"> 1 -tblFilterPropType[[#This Row],[% Supported &amp; older people]]</f>
        <v>0.95454545454545459</v>
      </c>
      <c r="I311" s="27">
        <f xml:space="preserve"> INDEX( B311:H311, MATCH( "% " &amp; $H$216, tblFilterPropType[#Headers], 0 ) )</f>
        <v>4.5454545454545449E-2</v>
      </c>
      <c r="J311" s="27">
        <f t="shared" si="40"/>
        <v>0.2</v>
      </c>
      <c r="K311" s="24">
        <f xml:space="preserve"> IF( PropTypeOnOff = "Yes - pick", -- IF( $H$217 = "Minimum", tblFilterPropType[[#This Row],[Selected Prop Type %]] &gt;= tblFilterPropType[[#This Row],[Cut-off]], tblFilterPropType[[#This Row],[Selected Prop Type %]] &lt;= tblFilterPropType[[#This Row],[Cut-off]] ), 1 )</f>
        <v>1</v>
      </c>
    </row>
    <row r="312" spans="2:11" x14ac:dyDescent="0.2">
      <c r="B312" s="122" t="str" vm="93">
        <f t="shared" si="41"/>
        <v>Local Space</v>
      </c>
      <c r="C312" s="122" t="str" vm="212">
        <f t="shared" si="39"/>
        <v>LH4454</v>
      </c>
      <c r="D312" s="81">
        <f t="shared" si="42"/>
        <v>93</v>
      </c>
      <c r="E312" s="27" cm="1">
        <f t="array" ref="E312" xml:space="preserve"> INDEX( VfM_Metrics_2023_Consol_Source[], $D312, E$218 )</f>
        <v>0</v>
      </c>
      <c r="F312" s="27" cm="1">
        <f t="array" ref="F312" xml:space="preserve"> INDEX( VfM_Metrics_2023_Consol_Source[], $D312, F$218 )</f>
        <v>0</v>
      </c>
      <c r="G312" s="27">
        <f xml:space="preserve"> tblFilterPropType[[#This Row],[% Supported housing (excl. HOP)]] + tblFilterPropType[[#This Row],[% Housing for older people]]</f>
        <v>0</v>
      </c>
      <c r="H312" s="28">
        <f xml:space="preserve"> 1 -tblFilterPropType[[#This Row],[% Supported &amp; older people]]</f>
        <v>1</v>
      </c>
      <c r="I312" s="27">
        <f xml:space="preserve"> INDEX( B312:H312, MATCH( "% " &amp; $H$216, tblFilterPropType[#Headers], 0 ) )</f>
        <v>0</v>
      </c>
      <c r="J312" s="27">
        <f t="shared" si="40"/>
        <v>0.2</v>
      </c>
      <c r="K312" s="24">
        <f xml:space="preserve"> IF( PropTypeOnOff = "Yes - pick", -- IF( $H$217 = "Minimum", tblFilterPropType[[#This Row],[Selected Prop Type %]] &gt;= tblFilterPropType[[#This Row],[Cut-off]], tblFilterPropType[[#This Row],[Selected Prop Type %]] &lt;= tblFilterPropType[[#This Row],[Cut-off]] ), 1 )</f>
        <v>1</v>
      </c>
    </row>
    <row r="313" spans="2:11" x14ac:dyDescent="0.2">
      <c r="B313" s="122" t="str" vm="94">
        <f t="shared" si="41"/>
        <v>London &amp; Quadrant Housing Trust</v>
      </c>
      <c r="C313" s="122" t="str" vm="240">
        <f t="shared" si="39"/>
        <v>L4517</v>
      </c>
      <c r="D313" s="81">
        <f t="shared" si="42"/>
        <v>94</v>
      </c>
      <c r="E313" s="27" cm="1">
        <f t="array" ref="E313" xml:space="preserve"> INDEX( VfM_Metrics_2023_Consol_Source[], $D313, E$218 )</f>
        <v>2.7788560337938122E-2</v>
      </c>
      <c r="F313" s="27" cm="1">
        <f t="array" ref="F313" xml:space="preserve"> INDEX( VfM_Metrics_2023_Consol_Source[], $D313, F$218 )</f>
        <v>5.6935723256079464E-2</v>
      </c>
      <c r="G313" s="27">
        <f xml:space="preserve"> tblFilterPropType[[#This Row],[% Supported housing (excl. HOP)]] + tblFilterPropType[[#This Row],[% Housing for older people]]</f>
        <v>8.4724283594017583E-2</v>
      </c>
      <c r="H313" s="28">
        <f xml:space="preserve"> 1 -tblFilterPropType[[#This Row],[% Supported &amp; older people]]</f>
        <v>0.91527571640598238</v>
      </c>
      <c r="I313" s="27">
        <f xml:space="preserve"> INDEX( B313:H313, MATCH( "% " &amp; $H$216, tblFilterPropType[#Headers], 0 ) )</f>
        <v>8.4724283594017583E-2</v>
      </c>
      <c r="J313" s="27">
        <f t="shared" si="40"/>
        <v>0.2</v>
      </c>
      <c r="K313" s="24">
        <f xml:space="preserve"> IF( PropTypeOnOff = "Yes - pick", -- IF( $H$217 = "Minimum", tblFilterPropType[[#This Row],[Selected Prop Type %]] &gt;= tblFilterPropType[[#This Row],[Cut-off]], tblFilterPropType[[#This Row],[Selected Prop Type %]] &lt;= tblFilterPropType[[#This Row],[Cut-off]] ), 1 )</f>
        <v>1</v>
      </c>
    </row>
    <row r="314" spans="2:11" x14ac:dyDescent="0.2">
      <c r="B314" s="122" t="str" vm="95">
        <f t="shared" si="41"/>
        <v>Longhurst Group Limited</v>
      </c>
      <c r="C314" s="122" t="str" vm="341">
        <f t="shared" si="39"/>
        <v>L4277</v>
      </c>
      <c r="D314" s="81">
        <f t="shared" si="42"/>
        <v>95</v>
      </c>
      <c r="E314" s="27" cm="1">
        <f t="array" ref="E314" xml:space="preserve"> INDEX( VfM_Metrics_2023_Consol_Source[], $D314, E$218 )</f>
        <v>2.2470404288586106E-2</v>
      </c>
      <c r="F314" s="27" cm="1">
        <f t="array" ref="F314" xml:space="preserve"> INDEX( VfM_Metrics_2023_Consol_Source[], $D314, F$218 )</f>
        <v>5.2669198123743578E-2</v>
      </c>
      <c r="G314" s="27">
        <f xml:space="preserve"> tblFilterPropType[[#This Row],[% Supported housing (excl. HOP)]] + tblFilterPropType[[#This Row],[% Housing for older people]]</f>
        <v>7.5139602412329684E-2</v>
      </c>
      <c r="H314" s="28">
        <f xml:space="preserve"> 1 -tblFilterPropType[[#This Row],[% Supported &amp; older people]]</f>
        <v>0.92486039758767036</v>
      </c>
      <c r="I314" s="27">
        <f xml:space="preserve"> INDEX( B314:H314, MATCH( "% " &amp; $H$216, tblFilterPropType[#Headers], 0 ) )</f>
        <v>7.5139602412329684E-2</v>
      </c>
      <c r="J314" s="27">
        <f t="shared" si="40"/>
        <v>0.2</v>
      </c>
      <c r="K314" s="24">
        <f xml:space="preserve"> IF( PropTypeOnOff = "Yes - pick", -- IF( $H$217 = "Minimum", tblFilterPropType[[#This Row],[Selected Prop Type %]] &gt;= tblFilterPropType[[#This Row],[Cut-off]], tblFilterPropType[[#This Row],[Selected Prop Type %]] &lt;= tblFilterPropType[[#This Row],[Cut-off]] ), 1 )</f>
        <v>1</v>
      </c>
    </row>
    <row r="315" spans="2:11" x14ac:dyDescent="0.2">
      <c r="B315" s="122" t="str" vm="96">
        <f t="shared" si="41"/>
        <v>Look Ahead Care and Support Limited</v>
      </c>
      <c r="C315" s="122" t="str" vm="199">
        <f t="shared" si="39"/>
        <v>LH0013</v>
      </c>
      <c r="D315" s="81">
        <f t="shared" si="42"/>
        <v>96</v>
      </c>
      <c r="E315" s="27" cm="1">
        <f t="array" ref="E315" xml:space="preserve"> INDEX( VfM_Metrics_2023_Consol_Source[], $D315, E$218 )</f>
        <v>0.94895397489539746</v>
      </c>
      <c r="F315" s="27" cm="1">
        <f t="array" ref="F315" xml:space="preserve"> INDEX( VfM_Metrics_2023_Consol_Source[], $D315, F$218 )</f>
        <v>0</v>
      </c>
      <c r="G315" s="27">
        <f xml:space="preserve"> tblFilterPropType[[#This Row],[% Supported housing (excl. HOP)]] + tblFilterPropType[[#This Row],[% Housing for older people]]</f>
        <v>0.94895397489539746</v>
      </c>
      <c r="H315" s="28">
        <f xml:space="preserve"> 1 -tblFilterPropType[[#This Row],[% Supported &amp; older people]]</f>
        <v>5.1046025104602544E-2</v>
      </c>
      <c r="I315" s="27">
        <f xml:space="preserve"> INDEX( B315:H315, MATCH( "% " &amp; $H$216, tblFilterPropType[#Headers], 0 ) )</f>
        <v>0.94895397489539746</v>
      </c>
      <c r="J315" s="27">
        <f t="shared" si="40"/>
        <v>0.2</v>
      </c>
      <c r="K315" s="24">
        <f xml:space="preserve"> IF( PropTypeOnOff = "Yes - pick", -- IF( $H$217 = "Minimum", tblFilterPropType[[#This Row],[Selected Prop Type %]] &gt;= tblFilterPropType[[#This Row],[Cut-off]], tblFilterPropType[[#This Row],[Selected Prop Type %]] &lt;= tblFilterPropType[[#This Row],[Cut-off]] ), 1 )</f>
        <v>1</v>
      </c>
    </row>
    <row r="316" spans="2:11" x14ac:dyDescent="0.2">
      <c r="B316" s="122" t="str" vm="97">
        <f t="shared" si="41"/>
        <v>Magenta Living</v>
      </c>
      <c r="C316" s="122" t="str" vm="276">
        <f t="shared" ref="C316:C347" si="43" xml:space="preserve"> C112</f>
        <v>L4435</v>
      </c>
      <c r="D316" s="81">
        <f t="shared" si="42"/>
        <v>97</v>
      </c>
      <c r="E316" s="27" cm="1">
        <f t="array" ref="E316" xml:space="preserve"> INDEX( VfM_Metrics_2023_Consol_Source[], $D316, E$218 )</f>
        <v>1.9891788669637173E-3</v>
      </c>
      <c r="F316" s="27" cm="1">
        <f t="array" ref="F316" xml:space="preserve"> INDEX( VfM_Metrics_2023_Consol_Source[], $D316, F$218 )</f>
        <v>0.12866008911521323</v>
      </c>
      <c r="G316" s="27">
        <f xml:space="preserve"> tblFilterPropType[[#This Row],[% Supported housing (excl. HOP)]] + tblFilterPropType[[#This Row],[% Housing for older people]]</f>
        <v>0.13064926798217696</v>
      </c>
      <c r="H316" s="28">
        <f xml:space="preserve"> 1 -tblFilterPropType[[#This Row],[% Supported &amp; older people]]</f>
        <v>0.86935073201782309</v>
      </c>
      <c r="I316" s="27">
        <f xml:space="preserve"> INDEX( B316:H316, MATCH( "% " &amp; $H$216, tblFilterPropType[#Headers], 0 ) )</f>
        <v>0.13064926798217696</v>
      </c>
      <c r="J316" s="27">
        <f t="shared" ref="J316:J347" si="44" xml:space="preserve"> PropTypePercent</f>
        <v>0.2</v>
      </c>
      <c r="K316" s="24">
        <f xml:space="preserve"> IF( PropTypeOnOff = "Yes - pick", -- IF( $H$217 = "Minimum", tblFilterPropType[[#This Row],[Selected Prop Type %]] &gt;= tblFilterPropType[[#This Row],[Cut-off]], tblFilterPropType[[#This Row],[Selected Prop Type %]] &lt;= tblFilterPropType[[#This Row],[Cut-off]] ), 1 )</f>
        <v>1</v>
      </c>
    </row>
    <row r="317" spans="2:11" x14ac:dyDescent="0.2">
      <c r="B317" s="122" t="str" vm="98">
        <f t="shared" ref="B317:B348" si="45" xml:space="preserve"> B113</f>
        <v>Magna Housing Limited</v>
      </c>
      <c r="C317" s="122" t="str" vm="368">
        <f t="shared" si="43"/>
        <v>4844</v>
      </c>
      <c r="D317" s="81">
        <f t="shared" ref="D317:D348" si="46" xml:space="preserve"> D113</f>
        <v>98</v>
      </c>
      <c r="E317" s="27" cm="1">
        <f t="array" ref="E317" xml:space="preserve"> INDEX( VfM_Metrics_2023_Consol_Source[], $D317, E$218 )</f>
        <v>2.5439847836424157E-2</v>
      </c>
      <c r="F317" s="27" cm="1">
        <f t="array" ref="F317" xml:space="preserve"> INDEX( VfM_Metrics_2023_Consol_Source[], $D317, F$218 )</f>
        <v>0.21944840703756538</v>
      </c>
      <c r="G317" s="27">
        <f xml:space="preserve"> tblFilterPropType[[#This Row],[% Supported housing (excl. HOP)]] + tblFilterPropType[[#This Row],[% Housing for older people]]</f>
        <v>0.24488825487398955</v>
      </c>
      <c r="H317" s="28">
        <f xml:space="preserve"> 1 -tblFilterPropType[[#This Row],[% Supported &amp; older people]]</f>
        <v>0.75511174512601043</v>
      </c>
      <c r="I317" s="27">
        <f xml:space="preserve"> INDEX( B317:H317, MATCH( "% " &amp; $H$216, tblFilterPropType[#Headers], 0 ) )</f>
        <v>0.24488825487398955</v>
      </c>
      <c r="J317" s="27">
        <f t="shared" si="44"/>
        <v>0.2</v>
      </c>
      <c r="K317" s="24">
        <f xml:space="preserve"> IF( PropTypeOnOff = "Yes - pick", -- IF( $H$217 = "Minimum", tblFilterPropType[[#This Row],[Selected Prop Type %]] &gt;= tblFilterPropType[[#This Row],[Cut-off]], tblFilterPropType[[#This Row],[Selected Prop Type %]] &lt;= tblFilterPropType[[#This Row],[Cut-off]] ), 1 )</f>
        <v>1</v>
      </c>
    </row>
    <row r="318" spans="2:11" x14ac:dyDescent="0.2">
      <c r="B318" s="122" t="str" vm="99">
        <f t="shared" si="45"/>
        <v>Manningham Housing Association Limited</v>
      </c>
      <c r="C318" s="122" t="str" vm="232">
        <f t="shared" si="43"/>
        <v>L3736</v>
      </c>
      <c r="D318" s="81">
        <f t="shared" si="46"/>
        <v>99</v>
      </c>
      <c r="E318" s="27" cm="1">
        <f t="array" ref="E318" xml:space="preserve"> INDEX( VfM_Metrics_2023_Consol_Source[], $D318, E$218 )</f>
        <v>0</v>
      </c>
      <c r="F318" s="27" cm="1">
        <f t="array" ref="F318" xml:space="preserve"> INDEX( VfM_Metrics_2023_Consol_Source[], $D318, F$218 )</f>
        <v>0</v>
      </c>
      <c r="G318" s="27">
        <f xml:space="preserve"> tblFilterPropType[[#This Row],[% Supported housing (excl. HOP)]] + tblFilterPropType[[#This Row],[% Housing for older people]]</f>
        <v>0</v>
      </c>
      <c r="H318" s="28">
        <f xml:space="preserve"> 1 -tblFilterPropType[[#This Row],[% Supported &amp; older people]]</f>
        <v>1</v>
      </c>
      <c r="I318" s="27">
        <f xml:space="preserve"> INDEX( B318:H318, MATCH( "% " &amp; $H$216, tblFilterPropType[#Headers], 0 ) )</f>
        <v>0</v>
      </c>
      <c r="J318" s="27">
        <f t="shared" si="44"/>
        <v>0.2</v>
      </c>
      <c r="K318" s="24">
        <f xml:space="preserve"> IF( PropTypeOnOff = "Yes - pick", -- IF( $H$217 = "Minimum", tblFilterPropType[[#This Row],[Selected Prop Type %]] &gt;= tblFilterPropType[[#This Row],[Cut-off]], tblFilterPropType[[#This Row],[Selected Prop Type %]] &lt;= tblFilterPropType[[#This Row],[Cut-off]] ), 1 )</f>
        <v>1</v>
      </c>
    </row>
    <row r="319" spans="2:11" x14ac:dyDescent="0.2">
      <c r="B319" s="122" t="str" vm="100">
        <f t="shared" si="45"/>
        <v>Midland Heart Limited</v>
      </c>
      <c r="C319" s="122" t="str" vm="258">
        <f t="shared" si="43"/>
        <v>L4466</v>
      </c>
      <c r="D319" s="81">
        <f t="shared" si="46"/>
        <v>100</v>
      </c>
      <c r="E319" s="27" cm="1">
        <f t="array" ref="E319" xml:space="preserve"> INDEX( VfM_Metrics_2023_Consol_Source[], $D319, E$218 )</f>
        <v>3.2362564384981696E-2</v>
      </c>
      <c r="F319" s="27" cm="1">
        <f t="array" ref="F319" xml:space="preserve"> INDEX( VfM_Metrics_2023_Consol_Source[], $D319, F$218 )</f>
        <v>8.8924163400174935E-2</v>
      </c>
      <c r="G319" s="27">
        <f xml:space="preserve"> tblFilterPropType[[#This Row],[% Supported housing (excl. HOP)]] + tblFilterPropType[[#This Row],[% Housing for older people]]</f>
        <v>0.12128672778515663</v>
      </c>
      <c r="H319" s="28">
        <f xml:space="preserve"> 1 -tblFilterPropType[[#This Row],[% Supported &amp; older people]]</f>
        <v>0.87871327221484341</v>
      </c>
      <c r="I319" s="27">
        <f xml:space="preserve"> INDEX( B319:H319, MATCH( "% " &amp; $H$216, tblFilterPropType[#Headers], 0 ) )</f>
        <v>0.12128672778515663</v>
      </c>
      <c r="J319" s="27">
        <f t="shared" si="44"/>
        <v>0.2</v>
      </c>
      <c r="K319" s="24">
        <f xml:space="preserve"> IF( PropTypeOnOff = "Yes - pick", -- IF( $H$217 = "Minimum", tblFilterPropType[[#This Row],[Selected Prop Type %]] &gt;= tblFilterPropType[[#This Row],[Cut-off]], tblFilterPropType[[#This Row],[Selected Prop Type %]] &lt;= tblFilterPropType[[#This Row],[Cut-off]] ), 1 )</f>
        <v>1</v>
      </c>
    </row>
    <row r="320" spans="2:11" x14ac:dyDescent="0.2">
      <c r="B320" s="122" t="str" vm="101">
        <f t="shared" si="45"/>
        <v>Moat Homes Limited</v>
      </c>
      <c r="C320" s="122" t="str" vm="300">
        <f t="shared" si="43"/>
        <v>L0386</v>
      </c>
      <c r="D320" s="81">
        <f t="shared" si="46"/>
        <v>101</v>
      </c>
      <c r="E320" s="27" cm="1">
        <f t="array" ref="E320" xml:space="preserve"> INDEX( VfM_Metrics_2023_Consol_Source[], $D320, E$218 )</f>
        <v>1.1748633879781421E-2</v>
      </c>
      <c r="F320" s="27" cm="1">
        <f t="array" ref="F320" xml:space="preserve"> INDEX( VfM_Metrics_2023_Consol_Source[], $D320, F$218 )</f>
        <v>8.0327868852459017E-2</v>
      </c>
      <c r="G320" s="27">
        <f xml:space="preserve"> tblFilterPropType[[#This Row],[% Supported housing (excl. HOP)]] + tblFilterPropType[[#This Row],[% Housing for older people]]</f>
        <v>9.2076502732240439E-2</v>
      </c>
      <c r="H320" s="28">
        <f xml:space="preserve"> 1 -tblFilterPropType[[#This Row],[% Supported &amp; older people]]</f>
        <v>0.90792349726775956</v>
      </c>
      <c r="I320" s="27">
        <f xml:space="preserve"> INDEX( B320:H320, MATCH( "% " &amp; $H$216, tblFilterPropType[#Headers], 0 ) )</f>
        <v>9.2076502732240439E-2</v>
      </c>
      <c r="J320" s="27">
        <f t="shared" si="44"/>
        <v>0.2</v>
      </c>
      <c r="K320" s="24">
        <f xml:space="preserve"> IF( PropTypeOnOff = "Yes - pick", -- IF( $H$217 = "Minimum", tblFilterPropType[[#This Row],[Selected Prop Type %]] &gt;= tblFilterPropType[[#This Row],[Cut-off]], tblFilterPropType[[#This Row],[Selected Prop Type %]] &lt;= tblFilterPropType[[#This Row],[Cut-off]] ), 1 )</f>
        <v>1</v>
      </c>
    </row>
    <row r="321" spans="2:11" x14ac:dyDescent="0.2">
      <c r="B321" s="122" t="str" vm="102">
        <f t="shared" si="45"/>
        <v>Mosscare St. Vincent's Housing Group Limited</v>
      </c>
      <c r="C321" s="122" t="str" vm="369">
        <f t="shared" si="43"/>
        <v>4857</v>
      </c>
      <c r="D321" s="81">
        <f t="shared" si="46"/>
        <v>102</v>
      </c>
      <c r="E321" s="27" cm="1">
        <f t="array" ref="E321" xml:space="preserve"> INDEX( VfM_Metrics_2023_Consol_Source[], $D321, E$218 )</f>
        <v>7.6070291307937257E-2</v>
      </c>
      <c r="F321" s="27" cm="1">
        <f t="array" ref="F321" xml:space="preserve"> INDEX( VfM_Metrics_2023_Consol_Source[], $D321, F$218 )</f>
        <v>7.2060384479301798E-2</v>
      </c>
      <c r="G321" s="27">
        <f xml:space="preserve"> tblFilterPropType[[#This Row],[% Supported housing (excl. HOP)]] + tblFilterPropType[[#This Row],[% Housing for older people]]</f>
        <v>0.14813067578723904</v>
      </c>
      <c r="H321" s="28">
        <f xml:space="preserve"> 1 -tblFilterPropType[[#This Row],[% Supported &amp; older people]]</f>
        <v>0.85186932421276096</v>
      </c>
      <c r="I321" s="27">
        <f xml:space="preserve"> INDEX( B321:H321, MATCH( "% " &amp; $H$216, tblFilterPropType[#Headers], 0 ) )</f>
        <v>0.14813067578723904</v>
      </c>
      <c r="J321" s="27">
        <f t="shared" si="44"/>
        <v>0.2</v>
      </c>
      <c r="K321" s="24">
        <f xml:space="preserve"> IF( PropTypeOnOff = "Yes - pick", -- IF( $H$217 = "Minimum", tblFilterPropType[[#This Row],[Selected Prop Type %]] &gt;= tblFilterPropType[[#This Row],[Cut-off]], tblFilterPropType[[#This Row],[Selected Prop Type %]] &lt;= tblFilterPropType[[#This Row],[Cut-off]] ), 1 )</f>
        <v>1</v>
      </c>
    </row>
    <row r="322" spans="2:11" x14ac:dyDescent="0.2">
      <c r="B322" s="122" t="str" vm="103">
        <f t="shared" si="45"/>
        <v>Mount Green Housing Association Limited</v>
      </c>
      <c r="C322" s="122" t="str" vm="218">
        <f t="shared" si="43"/>
        <v>L0042</v>
      </c>
      <c r="D322" s="81">
        <f t="shared" si="46"/>
        <v>103</v>
      </c>
      <c r="E322" s="27" cm="1">
        <f t="array" ref="E322" xml:space="preserve"> INDEX( VfM_Metrics_2023_Consol_Source[], $D322, E$218 )</f>
        <v>3.2092426187419767E-2</v>
      </c>
      <c r="F322" s="27" cm="1">
        <f t="array" ref="F322" xml:space="preserve"> INDEX( VfM_Metrics_2023_Consol_Source[], $D322, F$218 )</f>
        <v>0.18421052631578946</v>
      </c>
      <c r="G322" s="27">
        <f xml:space="preserve"> tblFilterPropType[[#This Row],[% Supported housing (excl. HOP)]] + tblFilterPropType[[#This Row],[% Housing for older people]]</f>
        <v>0.21630295250320924</v>
      </c>
      <c r="H322" s="28">
        <f xml:space="preserve"> 1 -tblFilterPropType[[#This Row],[% Supported &amp; older people]]</f>
        <v>0.78369704749679081</v>
      </c>
      <c r="I322" s="27">
        <f xml:space="preserve"> INDEX( B322:H322, MATCH( "% " &amp; $H$216, tblFilterPropType[#Headers], 0 ) )</f>
        <v>0.21630295250320924</v>
      </c>
      <c r="J322" s="27">
        <f t="shared" si="44"/>
        <v>0.2</v>
      </c>
      <c r="K322" s="24">
        <f xml:space="preserve"> IF( PropTypeOnOff = "Yes - pick", -- IF( $H$217 = "Minimum", tblFilterPropType[[#This Row],[Selected Prop Type %]] &gt;= tblFilterPropType[[#This Row],[Cut-off]], tblFilterPropType[[#This Row],[Selected Prop Type %]] &lt;= tblFilterPropType[[#This Row],[Cut-off]] ), 1 )</f>
        <v>1</v>
      </c>
    </row>
    <row r="323" spans="2:11" x14ac:dyDescent="0.2">
      <c r="B323" s="122" t="str" vm="104">
        <f t="shared" si="45"/>
        <v>Muir Group Housing Association Limited</v>
      </c>
      <c r="C323" s="122" t="str" vm="367">
        <f t="shared" si="43"/>
        <v>L2194</v>
      </c>
      <c r="D323" s="81">
        <f t="shared" si="46"/>
        <v>104</v>
      </c>
      <c r="E323" s="27" cm="1">
        <f t="array" ref="E323" xml:space="preserve"> INDEX( VfM_Metrics_2023_Consol_Source[], $D323, E$218 )</f>
        <v>6.5667380442541043E-2</v>
      </c>
      <c r="F323" s="27" cm="1">
        <f t="array" ref="F323" xml:space="preserve"> INDEX( VfM_Metrics_2023_Consol_Source[], $D323, F$218 )</f>
        <v>3.6045681655960025E-2</v>
      </c>
      <c r="G323" s="27">
        <f xml:space="preserve"> tblFilterPropType[[#This Row],[% Supported housing (excl. HOP)]] + tblFilterPropType[[#This Row],[% Housing for older people]]</f>
        <v>0.10171306209850106</v>
      </c>
      <c r="H323" s="28">
        <f xml:space="preserve"> 1 -tblFilterPropType[[#This Row],[% Supported &amp; older people]]</f>
        <v>0.89828693790149894</v>
      </c>
      <c r="I323" s="27">
        <f xml:space="preserve"> INDEX( B323:H323, MATCH( "% " &amp; $H$216, tblFilterPropType[#Headers], 0 ) )</f>
        <v>0.10171306209850106</v>
      </c>
      <c r="J323" s="27">
        <f t="shared" si="44"/>
        <v>0.2</v>
      </c>
      <c r="K323" s="24">
        <f xml:space="preserve"> IF( PropTypeOnOff = "Yes - pick", -- IF( $H$217 = "Minimum", tblFilterPropType[[#This Row],[Selected Prop Type %]] &gt;= tblFilterPropType[[#This Row],[Cut-off]], tblFilterPropType[[#This Row],[Selected Prop Type %]] &lt;= tblFilterPropType[[#This Row],[Cut-off]] ), 1 )</f>
        <v>1</v>
      </c>
    </row>
    <row r="324" spans="2:11" x14ac:dyDescent="0.2">
      <c r="B324" s="122" t="str" vm="105">
        <f t="shared" si="45"/>
        <v>Nehemiah United Churches Housing Association Limited</v>
      </c>
      <c r="C324" s="122" t="str" vm="223">
        <f t="shared" si="43"/>
        <v>L3833</v>
      </c>
      <c r="D324" s="81">
        <f t="shared" si="46"/>
        <v>105</v>
      </c>
      <c r="E324" s="27" cm="1">
        <f t="array" ref="E324" xml:space="preserve"> INDEX( VfM_Metrics_2023_Consol_Source[], $D324, E$218 )</f>
        <v>2.8594771241830064E-2</v>
      </c>
      <c r="F324" s="27" cm="1">
        <f t="array" ref="F324" xml:space="preserve"> INDEX( VfM_Metrics_2023_Consol_Source[], $D324, F$218 )</f>
        <v>0.22058823529411764</v>
      </c>
      <c r="G324" s="27">
        <f xml:space="preserve"> tblFilterPropType[[#This Row],[% Supported housing (excl. HOP)]] + tblFilterPropType[[#This Row],[% Housing for older people]]</f>
        <v>0.24918300653594772</v>
      </c>
      <c r="H324" s="28">
        <f xml:space="preserve"> 1 -tblFilterPropType[[#This Row],[% Supported &amp; older people]]</f>
        <v>0.75081699346405228</v>
      </c>
      <c r="I324" s="27">
        <f xml:space="preserve"> INDEX( B324:H324, MATCH( "% " &amp; $H$216, tblFilterPropType[#Headers], 0 ) )</f>
        <v>0.24918300653594772</v>
      </c>
      <c r="J324" s="27">
        <f t="shared" si="44"/>
        <v>0.2</v>
      </c>
      <c r="K324" s="24">
        <f xml:space="preserve"> IF( PropTypeOnOff = "Yes - pick", -- IF( $H$217 = "Minimum", tblFilterPropType[[#This Row],[Selected Prop Type %]] &gt;= tblFilterPropType[[#This Row],[Cut-off]], tblFilterPropType[[#This Row],[Selected Prop Type %]] &lt;= tblFilterPropType[[#This Row],[Cut-off]] ), 1 )</f>
        <v>1</v>
      </c>
    </row>
    <row r="325" spans="2:11" x14ac:dyDescent="0.2">
      <c r="B325" s="122" t="str" vm="106">
        <f t="shared" si="45"/>
        <v>Newlon Housing Trust</v>
      </c>
      <c r="C325" s="122" t="str" vm="346">
        <f t="shared" si="43"/>
        <v>L0006</v>
      </c>
      <c r="D325" s="81">
        <f t="shared" si="46"/>
        <v>106</v>
      </c>
      <c r="E325" s="27" cm="1">
        <f t="array" ref="E325" xml:space="preserve"> INDEX( VfM_Metrics_2023_Consol_Source[], $D325, E$218 )</f>
        <v>5.2747252747252747E-2</v>
      </c>
      <c r="F325" s="27" cm="1">
        <f t="array" ref="F325" xml:space="preserve"> INDEX( VfM_Metrics_2023_Consol_Source[], $D325, F$218 )</f>
        <v>2.651098901098901E-2</v>
      </c>
      <c r="G325" s="27">
        <f xml:space="preserve"> tblFilterPropType[[#This Row],[% Supported housing (excl. HOP)]] + tblFilterPropType[[#This Row],[% Housing for older people]]</f>
        <v>7.9258241758241754E-2</v>
      </c>
      <c r="H325" s="28">
        <f xml:space="preserve"> 1 -tblFilterPropType[[#This Row],[% Supported &amp; older people]]</f>
        <v>0.9207417582417583</v>
      </c>
      <c r="I325" s="27">
        <f xml:space="preserve"> INDEX( B325:H325, MATCH( "% " &amp; $H$216, tblFilterPropType[#Headers], 0 ) )</f>
        <v>7.9258241758241754E-2</v>
      </c>
      <c r="J325" s="27">
        <f t="shared" si="44"/>
        <v>0.2</v>
      </c>
      <c r="K325" s="24">
        <f xml:space="preserve"> IF( PropTypeOnOff = "Yes - pick", -- IF( $H$217 = "Minimum", tblFilterPropType[[#This Row],[Selected Prop Type %]] &gt;= tblFilterPropType[[#This Row],[Cut-off]], tblFilterPropType[[#This Row],[Selected Prop Type %]] &lt;= tblFilterPropType[[#This Row],[Cut-off]] ), 1 )</f>
        <v>1</v>
      </c>
    </row>
    <row r="326" spans="2:11" x14ac:dyDescent="0.2">
      <c r="B326" s="122" t="str" vm="107">
        <f t="shared" si="45"/>
        <v>North Devon Homes</v>
      </c>
      <c r="C326" s="122" t="str" vm="329">
        <f t="shared" si="43"/>
        <v>LH4249</v>
      </c>
      <c r="D326" s="81">
        <f t="shared" si="46"/>
        <v>107</v>
      </c>
      <c r="E326" s="27" cm="1">
        <f t="array" ref="E326" xml:space="preserve"> INDEX( VfM_Metrics_2023_Consol_Source[], $D326, E$218 )</f>
        <v>0</v>
      </c>
      <c r="F326" s="27" cm="1">
        <f t="array" ref="F326" xml:space="preserve"> INDEX( VfM_Metrics_2023_Consol_Source[], $D326, F$218 )</f>
        <v>0.15324519230769232</v>
      </c>
      <c r="G326" s="27">
        <f xml:space="preserve"> tblFilterPropType[[#This Row],[% Supported housing (excl. HOP)]] + tblFilterPropType[[#This Row],[% Housing for older people]]</f>
        <v>0.15324519230769232</v>
      </c>
      <c r="H326" s="28">
        <f xml:space="preserve"> 1 -tblFilterPropType[[#This Row],[% Supported &amp; older people]]</f>
        <v>0.84675480769230771</v>
      </c>
      <c r="I326" s="27">
        <f xml:space="preserve"> INDEX( B326:H326, MATCH( "% " &amp; $H$216, tblFilterPropType[#Headers], 0 ) )</f>
        <v>0.15324519230769232</v>
      </c>
      <c r="J326" s="27">
        <f t="shared" si="44"/>
        <v>0.2</v>
      </c>
      <c r="K326" s="24">
        <f xml:space="preserve"> IF( PropTypeOnOff = "Yes - pick", -- IF( $H$217 = "Minimum", tblFilterPropType[[#This Row],[Selected Prop Type %]] &gt;= tblFilterPropType[[#This Row],[Cut-off]], tblFilterPropType[[#This Row],[Selected Prop Type %]] &lt;= tblFilterPropType[[#This Row],[Cut-off]] ), 1 )</f>
        <v>1</v>
      </c>
    </row>
    <row r="327" spans="2:11" x14ac:dyDescent="0.2">
      <c r="B327" s="122" t="str" vm="108">
        <f t="shared" si="45"/>
        <v>North London Muslim Housing Association Limited</v>
      </c>
      <c r="C327" s="122" t="str" vm="219">
        <f t="shared" si="43"/>
        <v>LH3859</v>
      </c>
      <c r="D327" s="81">
        <f t="shared" si="46"/>
        <v>108</v>
      </c>
      <c r="E327" s="27" cm="1">
        <f t="array" ref="E327" xml:space="preserve"> INDEX( VfM_Metrics_2023_Consol_Source[], $D327, E$218 )</f>
        <v>0</v>
      </c>
      <c r="F327" s="27" cm="1">
        <f t="array" ref="F327" xml:space="preserve"> INDEX( VfM_Metrics_2023_Consol_Source[], $D327, F$218 )</f>
        <v>0</v>
      </c>
      <c r="G327" s="27">
        <f xml:space="preserve"> tblFilterPropType[[#This Row],[% Supported housing (excl. HOP)]] + tblFilterPropType[[#This Row],[% Housing for older people]]</f>
        <v>0</v>
      </c>
      <c r="H327" s="28">
        <f xml:space="preserve"> 1 -tblFilterPropType[[#This Row],[% Supported &amp; older people]]</f>
        <v>1</v>
      </c>
      <c r="I327" s="27">
        <f xml:space="preserve"> INDEX( B327:H327, MATCH( "% " &amp; $H$216, tblFilterPropType[#Headers], 0 ) )</f>
        <v>0</v>
      </c>
      <c r="J327" s="27">
        <f t="shared" si="44"/>
        <v>0.2</v>
      </c>
      <c r="K327" s="24">
        <f xml:space="preserve"> IF( PropTypeOnOff = "Yes - pick", -- IF( $H$217 = "Minimum", tblFilterPropType[[#This Row],[Selected Prop Type %]] &gt;= tblFilterPropType[[#This Row],[Cut-off]], tblFilterPropType[[#This Row],[Selected Prop Type %]] &lt;= tblFilterPropType[[#This Row],[Cut-off]] ), 1 )</f>
        <v>1</v>
      </c>
    </row>
    <row r="328" spans="2:11" x14ac:dyDescent="0.2">
      <c r="B328" s="122" t="str" vm="109">
        <f t="shared" si="45"/>
        <v>North Star Housing Group</v>
      </c>
      <c r="C328" s="122" t="str" vm="328">
        <f t="shared" si="43"/>
        <v>LH0084</v>
      </c>
      <c r="D328" s="81">
        <f t="shared" si="46"/>
        <v>109</v>
      </c>
      <c r="E328" s="27" cm="1">
        <f t="array" ref="E328" xml:space="preserve"> INDEX( VfM_Metrics_2023_Consol_Source[], $D328, E$218 )</f>
        <v>0.10559330893883952</v>
      </c>
      <c r="F328" s="27" cm="1">
        <f t="array" ref="F328" xml:space="preserve"> INDEX( VfM_Metrics_2023_Consol_Source[], $D328, F$218 )</f>
        <v>5.0444328280188189E-2</v>
      </c>
      <c r="G328" s="27">
        <f xml:space="preserve"> tblFilterPropType[[#This Row],[% Supported housing (excl. HOP)]] + tblFilterPropType[[#This Row],[% Housing for older people]]</f>
        <v>0.15603763721902769</v>
      </c>
      <c r="H328" s="28">
        <f xml:space="preserve"> 1 -tblFilterPropType[[#This Row],[% Supported &amp; older people]]</f>
        <v>0.84396236278097225</v>
      </c>
      <c r="I328" s="27">
        <f xml:space="preserve"> INDEX( B328:H328, MATCH( "% " &amp; $H$216, tblFilterPropType[#Headers], 0 ) )</f>
        <v>0.15603763721902769</v>
      </c>
      <c r="J328" s="27">
        <f t="shared" si="44"/>
        <v>0.2</v>
      </c>
      <c r="K328" s="24">
        <f xml:space="preserve"> IF( PropTypeOnOff = "Yes - pick", -- IF( $H$217 = "Minimum", tblFilterPropType[[#This Row],[Selected Prop Type %]] &gt;= tblFilterPropType[[#This Row],[Cut-off]], tblFilterPropType[[#This Row],[Selected Prop Type %]] &lt;= tblFilterPropType[[#This Row],[Cut-off]] ), 1 )</f>
        <v>1</v>
      </c>
    </row>
    <row r="329" spans="2:11" x14ac:dyDescent="0.2">
      <c r="B329" s="122" t="str" vm="110">
        <f t="shared" si="45"/>
        <v>Notting Hill Genesis</v>
      </c>
      <c r="C329" s="122" t="str" vm="239">
        <f t="shared" si="43"/>
        <v>4880</v>
      </c>
      <c r="D329" s="81">
        <f t="shared" si="46"/>
        <v>110</v>
      </c>
      <c r="E329" s="27" cm="1">
        <f t="array" ref="E329" xml:space="preserve"> INDEX( VfM_Metrics_2023_Consol_Source[], $D329, E$218 )</f>
        <v>4.8052228125551398E-2</v>
      </c>
      <c r="F329" s="27" cm="1">
        <f t="array" ref="F329" xml:space="preserve"> INDEX( VfM_Metrics_2023_Consol_Source[], $D329, F$218 )</f>
        <v>3.3524810320152136E-2</v>
      </c>
      <c r="G329" s="27">
        <f xml:space="preserve"> tblFilterPropType[[#This Row],[% Supported housing (excl. HOP)]] + tblFilterPropType[[#This Row],[% Housing for older people]]</f>
        <v>8.1577038445703534E-2</v>
      </c>
      <c r="H329" s="28">
        <f xml:space="preserve"> 1 -tblFilterPropType[[#This Row],[% Supported &amp; older people]]</f>
        <v>0.91842296155429648</v>
      </c>
      <c r="I329" s="27">
        <f xml:space="preserve"> INDEX( B329:H329, MATCH( "% " &amp; $H$216, tblFilterPropType[#Headers], 0 ) )</f>
        <v>8.1577038445703534E-2</v>
      </c>
      <c r="J329" s="27">
        <f t="shared" si="44"/>
        <v>0.2</v>
      </c>
      <c r="K329" s="24">
        <f xml:space="preserve"> IF( PropTypeOnOff = "Yes - pick", -- IF( $H$217 = "Minimum", tblFilterPropType[[#This Row],[Selected Prop Type %]] &gt;= tblFilterPropType[[#This Row],[Cut-off]], tblFilterPropType[[#This Row],[Selected Prop Type %]] &lt;= tblFilterPropType[[#This Row],[Cut-off]] ), 1 )</f>
        <v>1</v>
      </c>
    </row>
    <row r="330" spans="2:11" x14ac:dyDescent="0.2">
      <c r="B330" s="122" t="str" vm="111">
        <f t="shared" si="45"/>
        <v>Nottingham Community Housing Association Limited</v>
      </c>
      <c r="C330" s="122" t="str" vm="270">
        <f t="shared" si="43"/>
        <v>4817</v>
      </c>
      <c r="D330" s="81">
        <f t="shared" si="46"/>
        <v>111</v>
      </c>
      <c r="E330" s="27" cm="1">
        <f t="array" ref="E330" xml:space="preserve"> INDEX( VfM_Metrics_2023_Consol_Source[], $D330, E$218 )</f>
        <v>5.8032128514056223E-2</v>
      </c>
      <c r="F330" s="27" cm="1">
        <f t="array" ref="F330" xml:space="preserve"> INDEX( VfM_Metrics_2023_Consol_Source[], $D330, F$218 )</f>
        <v>3.3333333333333333E-2</v>
      </c>
      <c r="G330" s="27">
        <f xml:space="preserve"> tblFilterPropType[[#This Row],[% Supported housing (excl. HOP)]] + tblFilterPropType[[#This Row],[% Housing for older people]]</f>
        <v>9.1365461847389556E-2</v>
      </c>
      <c r="H330" s="28">
        <f xml:space="preserve"> 1 -tblFilterPropType[[#This Row],[% Supported &amp; older people]]</f>
        <v>0.90863453815261042</v>
      </c>
      <c r="I330" s="27">
        <f xml:space="preserve"> INDEX( B330:H330, MATCH( "% " &amp; $H$216, tblFilterPropType[#Headers], 0 ) )</f>
        <v>9.1365461847389556E-2</v>
      </c>
      <c r="J330" s="27">
        <f t="shared" si="44"/>
        <v>0.2</v>
      </c>
      <c r="K330" s="24">
        <f xml:space="preserve"> IF( PropTypeOnOff = "Yes - pick", -- IF( $H$217 = "Minimum", tblFilterPropType[[#This Row],[Selected Prop Type %]] &gt;= tblFilterPropType[[#This Row],[Cut-off]], tblFilterPropType[[#This Row],[Selected Prop Type %]] &lt;= tblFilterPropType[[#This Row],[Cut-off]] ), 1 )</f>
        <v>1</v>
      </c>
    </row>
    <row r="331" spans="2:11" x14ac:dyDescent="0.2">
      <c r="B331" s="122" t="str" vm="112">
        <f t="shared" si="45"/>
        <v>NSAH (Alliance Homes) Limited</v>
      </c>
      <c r="C331" s="122" t="str" vm="362">
        <f t="shared" si="43"/>
        <v>L4459</v>
      </c>
      <c r="D331" s="81">
        <f t="shared" si="46"/>
        <v>112</v>
      </c>
      <c r="E331" s="27" cm="1">
        <f t="array" ref="E331" xml:space="preserve"> INDEX( VfM_Metrics_2023_Consol_Source[], $D331, E$218 )</f>
        <v>6.9229636176167328E-3</v>
      </c>
      <c r="F331" s="27" cm="1">
        <f t="array" ref="F331" xml:space="preserve"> INDEX( VfM_Metrics_2023_Consol_Source[], $D331, F$218 )</f>
        <v>0</v>
      </c>
      <c r="G331" s="27">
        <f xml:space="preserve"> tblFilterPropType[[#This Row],[% Supported housing (excl. HOP)]] + tblFilterPropType[[#This Row],[% Housing for older people]]</f>
        <v>6.9229636176167328E-3</v>
      </c>
      <c r="H331" s="28">
        <f xml:space="preserve"> 1 -tblFilterPropType[[#This Row],[% Supported &amp; older people]]</f>
        <v>0.99307703638238332</v>
      </c>
      <c r="I331" s="27">
        <f xml:space="preserve"> INDEX( B331:H331, MATCH( "% " &amp; $H$216, tblFilterPropType[#Headers], 0 ) )</f>
        <v>6.9229636176167328E-3</v>
      </c>
      <c r="J331" s="27">
        <f t="shared" si="44"/>
        <v>0.2</v>
      </c>
      <c r="K331" s="24">
        <f xml:space="preserve"> IF( PropTypeOnOff = "Yes - pick", -- IF( $H$217 = "Minimum", tblFilterPropType[[#This Row],[Selected Prop Type %]] &gt;= tblFilterPropType[[#This Row],[Cut-off]], tblFilterPropType[[#This Row],[Selected Prop Type %]] &lt;= tblFilterPropType[[#This Row],[Cut-off]] ), 1 )</f>
        <v>1</v>
      </c>
    </row>
    <row r="332" spans="2:11" x14ac:dyDescent="0.2">
      <c r="B332" s="122" t="str" vm="113">
        <f t="shared" si="45"/>
        <v>Ocean Housing Group Limited</v>
      </c>
      <c r="C332" s="122" t="str" vm="334">
        <f t="shared" si="43"/>
        <v>L4422</v>
      </c>
      <c r="D332" s="81">
        <f t="shared" si="46"/>
        <v>113</v>
      </c>
      <c r="E332" s="27" cm="1">
        <f t="array" ref="E332" xml:space="preserve"> INDEX( VfM_Metrics_2023_Consol_Source[], $D332, E$218 )</f>
        <v>2.9635901778154107E-3</v>
      </c>
      <c r="F332" s="27" cm="1">
        <f t="array" ref="F332" xml:space="preserve"> INDEX( VfM_Metrics_2023_Consol_Source[], $D332, F$218 )</f>
        <v>0.13230313293818799</v>
      </c>
      <c r="G332" s="27">
        <f xml:space="preserve"> tblFilterPropType[[#This Row],[% Supported housing (excl. HOP)]] + tblFilterPropType[[#This Row],[% Housing for older people]]</f>
        <v>0.13526672311600341</v>
      </c>
      <c r="H332" s="28">
        <f xml:space="preserve"> 1 -tblFilterPropType[[#This Row],[% Supported &amp; older people]]</f>
        <v>0.86473327688399659</v>
      </c>
      <c r="I332" s="27">
        <f xml:space="preserve"> INDEX( B332:H332, MATCH( "% " &amp; $H$216, tblFilterPropType[#Headers], 0 ) )</f>
        <v>0.13526672311600341</v>
      </c>
      <c r="J332" s="27">
        <f t="shared" si="44"/>
        <v>0.2</v>
      </c>
      <c r="K332" s="24">
        <f xml:space="preserve"> IF( PropTypeOnOff = "Yes - pick", -- IF( $H$217 = "Minimum", tblFilterPropType[[#This Row],[Selected Prop Type %]] &gt;= tblFilterPropType[[#This Row],[Cut-off]], tblFilterPropType[[#This Row],[Selected Prop Type %]] &lt;= tblFilterPropType[[#This Row],[Cut-off]] ), 1 )</f>
        <v>1</v>
      </c>
    </row>
    <row r="333" spans="2:11" x14ac:dyDescent="0.2">
      <c r="B333" s="122" t="str" vm="114">
        <f t="shared" si="45"/>
        <v>Octavia Housing</v>
      </c>
      <c r="C333" s="122" t="str" vm="347">
        <f t="shared" si="43"/>
        <v>L0717</v>
      </c>
      <c r="D333" s="81">
        <f t="shared" si="46"/>
        <v>114</v>
      </c>
      <c r="E333" s="27" cm="1">
        <f t="array" ref="E333" xml:space="preserve"> INDEX( VfM_Metrics_2023_Consol_Source[], $D333, E$218 )</f>
        <v>5.120359037127703E-2</v>
      </c>
      <c r="F333" s="27" cm="1">
        <f t="array" ref="F333" xml:space="preserve"> INDEX( VfM_Metrics_2023_Consol_Source[], $D333, F$218 )</f>
        <v>2.7947776417788658E-2</v>
      </c>
      <c r="G333" s="27">
        <f xml:space="preserve"> tblFilterPropType[[#This Row],[% Supported housing (excl. HOP)]] + tblFilterPropType[[#This Row],[% Housing for older people]]</f>
        <v>7.9151366789065689E-2</v>
      </c>
      <c r="H333" s="28">
        <f xml:space="preserve"> 1 -tblFilterPropType[[#This Row],[% Supported &amp; older people]]</f>
        <v>0.92084863321093435</v>
      </c>
      <c r="I333" s="27">
        <f xml:space="preserve"> INDEX( B333:H333, MATCH( "% " &amp; $H$216, tblFilterPropType[#Headers], 0 ) )</f>
        <v>7.9151366789065689E-2</v>
      </c>
      <c r="J333" s="27">
        <f t="shared" si="44"/>
        <v>0.2</v>
      </c>
      <c r="K333" s="24">
        <f xml:space="preserve"> IF( PropTypeOnOff = "Yes - pick", -- IF( $H$217 = "Minimum", tblFilterPropType[[#This Row],[Selected Prop Type %]] &gt;= tblFilterPropType[[#This Row],[Cut-off]], tblFilterPropType[[#This Row],[Selected Prop Type %]] &lt;= tblFilterPropType[[#This Row],[Cut-off]] ), 1 )</f>
        <v>1</v>
      </c>
    </row>
    <row r="334" spans="2:11" x14ac:dyDescent="0.2">
      <c r="B334" s="122" t="str" vm="115">
        <f t="shared" si="45"/>
        <v>One Manchester Limited</v>
      </c>
      <c r="C334" s="122" t="str" vm="275">
        <f t="shared" si="43"/>
        <v>4808</v>
      </c>
      <c r="D334" s="81">
        <f t="shared" si="46"/>
        <v>115</v>
      </c>
      <c r="E334" s="27" cm="1">
        <f t="array" ref="E334" xml:space="preserve"> INDEX( VfM_Metrics_2023_Consol_Source[], $D334, E$218 )</f>
        <v>5.0603019313485704E-4</v>
      </c>
      <c r="F334" s="27" cm="1">
        <f t="array" ref="F334" xml:space="preserve"> INDEX( VfM_Metrics_2023_Consol_Source[], $D334, F$218 )</f>
        <v>2.0241207725394283E-2</v>
      </c>
      <c r="G334" s="27">
        <f xml:space="preserve"> tblFilterPropType[[#This Row],[% Supported housing (excl. HOP)]] + tblFilterPropType[[#This Row],[% Housing for older people]]</f>
        <v>2.074723791852914E-2</v>
      </c>
      <c r="H334" s="28">
        <f xml:space="preserve"> 1 -tblFilterPropType[[#This Row],[% Supported &amp; older people]]</f>
        <v>0.97925276208147083</v>
      </c>
      <c r="I334" s="27">
        <f xml:space="preserve"> INDEX( B334:H334, MATCH( "% " &amp; $H$216, tblFilterPropType[#Headers], 0 ) )</f>
        <v>2.074723791852914E-2</v>
      </c>
      <c r="J334" s="27">
        <f t="shared" si="44"/>
        <v>0.2</v>
      </c>
      <c r="K334" s="24">
        <f xml:space="preserve"> IF( PropTypeOnOff = "Yes - pick", -- IF( $H$217 = "Minimum", tblFilterPropType[[#This Row],[Selected Prop Type %]] &gt;= tblFilterPropType[[#This Row],[Cut-off]], tblFilterPropType[[#This Row],[Selected Prop Type %]] &lt;= tblFilterPropType[[#This Row],[Cut-off]] ), 1 )</f>
        <v>1</v>
      </c>
    </row>
    <row r="335" spans="2:11" x14ac:dyDescent="0.2">
      <c r="B335" s="122" t="str" vm="116">
        <f t="shared" si="45"/>
        <v>One Vision Housing Limited</v>
      </c>
      <c r="C335" s="122" t="str" vm="297">
        <f t="shared" si="43"/>
        <v>4804</v>
      </c>
      <c r="D335" s="81">
        <f t="shared" si="46"/>
        <v>116</v>
      </c>
      <c r="E335" s="27" cm="1">
        <f t="array" ref="E335" xml:space="preserve"> INDEX( VfM_Metrics_2023_Consol_Source[], $D335, E$218 )</f>
        <v>7.5940601677310149E-2</v>
      </c>
      <c r="F335" s="27" cm="1">
        <f t="array" ref="F335" xml:space="preserve"> INDEX( VfM_Metrics_2023_Consol_Source[], $D335, F$218 )</f>
        <v>0</v>
      </c>
      <c r="G335" s="27">
        <f xml:space="preserve"> tblFilterPropType[[#This Row],[% Supported housing (excl. HOP)]] + tblFilterPropType[[#This Row],[% Housing for older people]]</f>
        <v>7.5940601677310149E-2</v>
      </c>
      <c r="H335" s="28">
        <f xml:space="preserve"> 1 -tblFilterPropType[[#This Row],[% Supported &amp; older people]]</f>
        <v>0.92405939832268991</v>
      </c>
      <c r="I335" s="27">
        <f xml:space="preserve"> INDEX( B335:H335, MATCH( "% " &amp; $H$216, tblFilterPropType[#Headers], 0 ) )</f>
        <v>7.5940601677310149E-2</v>
      </c>
      <c r="J335" s="27">
        <f t="shared" si="44"/>
        <v>0.2</v>
      </c>
      <c r="K335" s="24">
        <f xml:space="preserve"> IF( PropTypeOnOff = "Yes - pick", -- IF( $H$217 = "Minimum", tblFilterPropType[[#This Row],[Selected Prop Type %]] &gt;= tblFilterPropType[[#This Row],[Cut-off]], tblFilterPropType[[#This Row],[Selected Prop Type %]] &lt;= tblFilterPropType[[#This Row],[Cut-off]] ), 1 )</f>
        <v>1</v>
      </c>
    </row>
    <row r="336" spans="2:11" x14ac:dyDescent="0.2">
      <c r="B336" s="122" t="str" vm="117">
        <f t="shared" si="45"/>
        <v>Ongo Homes Limited</v>
      </c>
      <c r="C336" s="122" t="str" vm="301">
        <f t="shared" si="43"/>
        <v>L4486</v>
      </c>
      <c r="D336" s="81">
        <f t="shared" si="46"/>
        <v>117</v>
      </c>
      <c r="E336" s="27" cm="1">
        <f t="array" ref="E336" xml:space="preserve"> INDEX( VfM_Metrics_2023_Consol_Source[], $D336, E$218 )</f>
        <v>3.5005834305717621E-3</v>
      </c>
      <c r="F336" s="27" cm="1">
        <f t="array" ref="F336" xml:space="preserve"> INDEX( VfM_Metrics_2023_Consol_Source[], $D336, F$218 )</f>
        <v>0</v>
      </c>
      <c r="G336" s="27">
        <f xml:space="preserve"> tblFilterPropType[[#This Row],[% Supported housing (excl. HOP)]] + tblFilterPropType[[#This Row],[% Housing for older people]]</f>
        <v>3.5005834305717621E-3</v>
      </c>
      <c r="H336" s="28">
        <f xml:space="preserve"> 1 -tblFilterPropType[[#This Row],[% Supported &amp; older people]]</f>
        <v>0.9964994165694282</v>
      </c>
      <c r="I336" s="27">
        <f xml:space="preserve"> INDEX( B336:H336, MATCH( "% " &amp; $H$216, tblFilterPropType[#Headers], 0 ) )</f>
        <v>3.5005834305717621E-3</v>
      </c>
      <c r="J336" s="27">
        <f t="shared" si="44"/>
        <v>0.2</v>
      </c>
      <c r="K336" s="24">
        <f xml:space="preserve"> IF( PropTypeOnOff = "Yes - pick", -- IF( $H$217 = "Minimum", tblFilterPropType[[#This Row],[Selected Prop Type %]] &gt;= tblFilterPropType[[#This Row],[Cut-off]], tblFilterPropType[[#This Row],[Selected Prop Type %]] &lt;= tblFilterPropType[[#This Row],[Cut-off]] ), 1 )</f>
        <v>1</v>
      </c>
    </row>
    <row r="337" spans="2:11" x14ac:dyDescent="0.2">
      <c r="B337" s="122" t="str" vm="118">
        <f t="shared" si="45"/>
        <v>Onward Group Limited</v>
      </c>
      <c r="C337" s="122" t="str" vm="338">
        <f t="shared" si="43"/>
        <v>4649</v>
      </c>
      <c r="D337" s="81">
        <f t="shared" si="46"/>
        <v>118</v>
      </c>
      <c r="E337" s="27" cm="1">
        <f t="array" ref="E337" xml:space="preserve"> INDEX( VfM_Metrics_2023_Consol_Source[], $D337, E$218 )</f>
        <v>6.5031875063244177E-2</v>
      </c>
      <c r="F337" s="27" cm="1">
        <f t="array" ref="F337" xml:space="preserve"> INDEX( VfM_Metrics_2023_Consol_Source[], $D337, F$218 )</f>
        <v>0.13067089418828212</v>
      </c>
      <c r="G337" s="27">
        <f xml:space="preserve"> tblFilterPropType[[#This Row],[% Supported housing (excl. HOP)]] + tblFilterPropType[[#This Row],[% Housing for older people]]</f>
        <v>0.1957027692515263</v>
      </c>
      <c r="H337" s="28">
        <f xml:space="preserve"> 1 -tblFilterPropType[[#This Row],[% Supported &amp; older people]]</f>
        <v>0.8042972307484737</v>
      </c>
      <c r="I337" s="27">
        <f xml:space="preserve"> INDEX( B337:H337, MATCH( "% " &amp; $H$216, tblFilterPropType[#Headers], 0 ) )</f>
        <v>0.1957027692515263</v>
      </c>
      <c r="J337" s="27">
        <f t="shared" si="44"/>
        <v>0.2</v>
      </c>
      <c r="K337" s="24">
        <f xml:space="preserve"> IF( PropTypeOnOff = "Yes - pick", -- IF( $H$217 = "Minimum", tblFilterPropType[[#This Row],[Selected Prop Type %]] &gt;= tblFilterPropType[[#This Row],[Cut-off]], tblFilterPropType[[#This Row],[Selected Prop Type %]] &lt;= tblFilterPropType[[#This Row],[Cut-off]] ), 1 )</f>
        <v>1</v>
      </c>
    </row>
    <row r="338" spans="2:11" x14ac:dyDescent="0.2">
      <c r="B338" s="122" t="str" vm="119">
        <f t="shared" si="45"/>
        <v>Orbit Group Limited</v>
      </c>
      <c r="C338" s="122" t="str" vm="253">
        <f t="shared" si="43"/>
        <v>L4123</v>
      </c>
      <c r="D338" s="81">
        <f t="shared" si="46"/>
        <v>119</v>
      </c>
      <c r="E338" s="27" cm="1">
        <f t="array" ref="E338" xml:space="preserve"> INDEX( VfM_Metrics_2023_Consol_Source[], $D338, E$218 )</f>
        <v>1.5823257202567546E-2</v>
      </c>
      <c r="F338" s="27" cm="1">
        <f t="array" ref="F338" xml:space="preserve"> INDEX( VfM_Metrics_2023_Consol_Source[], $D338, F$218 )</f>
        <v>6.7845947156291983E-2</v>
      </c>
      <c r="G338" s="27">
        <f xml:space="preserve"> tblFilterPropType[[#This Row],[% Supported housing (excl. HOP)]] + tblFilterPropType[[#This Row],[% Housing for older people]]</f>
        <v>8.3669204358859522E-2</v>
      </c>
      <c r="H338" s="28">
        <f xml:space="preserve"> 1 -tblFilterPropType[[#This Row],[% Supported &amp; older people]]</f>
        <v>0.91633079564114051</v>
      </c>
      <c r="I338" s="27">
        <f xml:space="preserve"> INDEX( B338:H338, MATCH( "% " &amp; $H$216, tblFilterPropType[#Headers], 0 ) )</f>
        <v>8.3669204358859522E-2</v>
      </c>
      <c r="J338" s="27">
        <f t="shared" si="44"/>
        <v>0.2</v>
      </c>
      <c r="K338" s="24">
        <f xml:space="preserve"> IF( PropTypeOnOff = "Yes - pick", -- IF( $H$217 = "Minimum", tblFilterPropType[[#This Row],[Selected Prop Type %]] &gt;= tblFilterPropType[[#This Row],[Cut-off]], tblFilterPropType[[#This Row],[Selected Prop Type %]] &lt;= tblFilterPropType[[#This Row],[Cut-off]] ), 1 )</f>
        <v>1</v>
      </c>
    </row>
    <row r="339" spans="2:11" x14ac:dyDescent="0.2">
      <c r="B339" s="122" t="str" vm="120">
        <f t="shared" si="45"/>
        <v>Origin Housing Limited</v>
      </c>
      <c r="C339" s="122" t="str" vm="348">
        <f t="shared" si="43"/>
        <v>L0871</v>
      </c>
      <c r="D339" s="81">
        <f t="shared" si="46"/>
        <v>120</v>
      </c>
      <c r="E339" s="27" cm="1">
        <f t="array" ref="E339" xml:space="preserve"> INDEX( VfM_Metrics_2023_Consol_Source[], $D339, E$218 )</f>
        <v>4.4390243902439022E-2</v>
      </c>
      <c r="F339" s="27" cm="1">
        <f t="array" ref="F339" xml:space="preserve"> INDEX( VfM_Metrics_2023_Consol_Source[], $D339, F$218 )</f>
        <v>6.5365853658536588E-2</v>
      </c>
      <c r="G339" s="27">
        <f xml:space="preserve"> tblFilterPropType[[#This Row],[% Supported housing (excl. HOP)]] + tblFilterPropType[[#This Row],[% Housing for older people]]</f>
        <v>0.10975609756097561</v>
      </c>
      <c r="H339" s="28">
        <f xml:space="preserve"> 1 -tblFilterPropType[[#This Row],[% Supported &amp; older people]]</f>
        <v>0.8902439024390244</v>
      </c>
      <c r="I339" s="27">
        <f xml:space="preserve"> INDEX( B339:H339, MATCH( "% " &amp; $H$216, tblFilterPropType[#Headers], 0 ) )</f>
        <v>0.10975609756097561</v>
      </c>
      <c r="J339" s="27">
        <f t="shared" si="44"/>
        <v>0.2</v>
      </c>
      <c r="K339" s="24">
        <f xml:space="preserve"> IF( PropTypeOnOff = "Yes - pick", -- IF( $H$217 = "Minimum", tblFilterPropType[[#This Row],[Selected Prop Type %]] &gt;= tblFilterPropType[[#This Row],[Cut-off]], tblFilterPropType[[#This Row],[Selected Prop Type %]] &lt;= tblFilterPropType[[#This Row],[Cut-off]] ), 1 )</f>
        <v>1</v>
      </c>
    </row>
    <row r="340" spans="2:11" x14ac:dyDescent="0.2">
      <c r="B340" s="122" t="str" vm="121">
        <f t="shared" si="45"/>
        <v>Orwell Housing Association Limited</v>
      </c>
      <c r="C340" s="122" t="str" vm="308">
        <f t="shared" si="43"/>
        <v>L0028</v>
      </c>
      <c r="D340" s="81">
        <f t="shared" si="46"/>
        <v>121</v>
      </c>
      <c r="E340" s="27" cm="1">
        <f t="array" ref="E340" xml:space="preserve"> INDEX( VfM_Metrics_2023_Consol_Source[], $D340, E$218 )</f>
        <v>0.10132501948558068</v>
      </c>
      <c r="F340" s="27" cm="1">
        <f t="array" ref="F340" xml:space="preserve"> INDEX( VfM_Metrics_2023_Consol_Source[], $D340, F$218 )</f>
        <v>0.11119771369186801</v>
      </c>
      <c r="G340" s="27">
        <f xml:space="preserve"> tblFilterPropType[[#This Row],[% Supported housing (excl. HOP)]] + tblFilterPropType[[#This Row],[% Housing for older people]]</f>
        <v>0.21252273317744869</v>
      </c>
      <c r="H340" s="28">
        <f xml:space="preserve"> 1 -tblFilterPropType[[#This Row],[% Supported &amp; older people]]</f>
        <v>0.78747726682255137</v>
      </c>
      <c r="I340" s="27">
        <f xml:space="preserve"> INDEX( B340:H340, MATCH( "% " &amp; $H$216, tblFilterPropType[#Headers], 0 ) )</f>
        <v>0.21252273317744869</v>
      </c>
      <c r="J340" s="27">
        <f t="shared" si="44"/>
        <v>0.2</v>
      </c>
      <c r="K340" s="24">
        <f xml:space="preserve"> IF( PropTypeOnOff = "Yes - pick", -- IF( $H$217 = "Minimum", tblFilterPropType[[#This Row],[Selected Prop Type %]] &gt;= tblFilterPropType[[#This Row],[Cut-off]], tblFilterPropType[[#This Row],[Selected Prop Type %]] &lt;= tblFilterPropType[[#This Row],[Cut-off]] ), 1 )</f>
        <v>1</v>
      </c>
    </row>
    <row r="341" spans="2:11" x14ac:dyDescent="0.2">
      <c r="B341" s="122" t="str" vm="122">
        <f t="shared" si="45"/>
        <v>Paradigm Housing Group Limited</v>
      </c>
      <c r="C341" s="122" t="str" vm="287">
        <f t="shared" si="43"/>
        <v>L4215</v>
      </c>
      <c r="D341" s="81">
        <f t="shared" si="46"/>
        <v>122</v>
      </c>
      <c r="E341" s="27" cm="1">
        <f t="array" ref="E341" xml:space="preserve"> INDEX( VfM_Metrics_2023_Consol_Source[], $D341, E$218 )</f>
        <v>9.1662735054256258E-3</v>
      </c>
      <c r="F341" s="27" cm="1">
        <f t="array" ref="F341" xml:space="preserve"> INDEX( VfM_Metrics_2023_Consol_Source[], $D341, F$218 )</f>
        <v>1.684976747320887E-3</v>
      </c>
      <c r="G341" s="27">
        <f xml:space="preserve"> tblFilterPropType[[#This Row],[% Supported housing (excl. HOP)]] + tblFilterPropType[[#This Row],[% Housing for older people]]</f>
        <v>1.0851250252746513E-2</v>
      </c>
      <c r="H341" s="28">
        <f xml:space="preserve"> 1 -tblFilterPropType[[#This Row],[% Supported &amp; older people]]</f>
        <v>0.98914874974725353</v>
      </c>
      <c r="I341" s="27">
        <f xml:space="preserve"> INDEX( B341:H341, MATCH( "% " &amp; $H$216, tblFilterPropType[#Headers], 0 ) )</f>
        <v>1.0851250252746513E-2</v>
      </c>
      <c r="J341" s="27">
        <f t="shared" si="44"/>
        <v>0.2</v>
      </c>
      <c r="K341" s="24">
        <f xml:space="preserve"> IF( PropTypeOnOff = "Yes - pick", -- IF( $H$217 = "Minimum", tblFilterPropType[[#This Row],[Selected Prop Type %]] &gt;= tblFilterPropType[[#This Row],[Cut-off]], tblFilterPropType[[#This Row],[Selected Prop Type %]] &lt;= tblFilterPropType[[#This Row],[Cut-off]] ), 1 )</f>
        <v>1</v>
      </c>
    </row>
    <row r="342" spans="2:11" x14ac:dyDescent="0.2">
      <c r="B342" s="122" t="str" vm="123">
        <f t="shared" si="45"/>
        <v>Paragon Asra Housing Limited</v>
      </c>
      <c r="C342" s="122" t="str" vm="337">
        <f t="shared" si="43"/>
        <v>4849</v>
      </c>
      <c r="D342" s="81">
        <f t="shared" si="46"/>
        <v>123</v>
      </c>
      <c r="E342" s="27" cm="1">
        <f t="array" ref="E342" xml:space="preserve"> INDEX( VfM_Metrics_2023_Consol_Source[], $D342, E$218 )</f>
        <v>2.8043870609468276E-2</v>
      </c>
      <c r="F342" s="27" cm="1">
        <f t="array" ref="F342" xml:space="preserve"> INDEX( VfM_Metrics_2023_Consol_Source[], $D342, F$218 )</f>
        <v>0.10532648433523069</v>
      </c>
      <c r="G342" s="27">
        <f xml:space="preserve"> tblFilterPropType[[#This Row],[% Supported housing (excl. HOP)]] + tblFilterPropType[[#This Row],[% Housing for older people]]</f>
        <v>0.13337035494469895</v>
      </c>
      <c r="H342" s="28">
        <f xml:space="preserve"> 1 -tblFilterPropType[[#This Row],[% Supported &amp; older people]]</f>
        <v>0.86662964505530105</v>
      </c>
      <c r="I342" s="27">
        <f xml:space="preserve"> INDEX( B342:H342, MATCH( "% " &amp; $H$216, tblFilterPropType[#Headers], 0 ) )</f>
        <v>0.13337035494469895</v>
      </c>
      <c r="J342" s="27">
        <f t="shared" si="44"/>
        <v>0.2</v>
      </c>
      <c r="K342" s="24">
        <f xml:space="preserve"> IF( PropTypeOnOff = "Yes - pick", -- IF( $H$217 = "Minimum", tblFilterPropType[[#This Row],[Selected Prop Type %]] &gt;= tblFilterPropType[[#This Row],[Cut-off]], tblFilterPropType[[#This Row],[Selected Prop Type %]] &lt;= tblFilterPropType[[#This Row],[Cut-off]] ), 1 )</f>
        <v>1</v>
      </c>
    </row>
    <row r="343" spans="2:11" x14ac:dyDescent="0.2">
      <c r="B343" s="122" t="str" vm="124">
        <f t="shared" si="45"/>
        <v>Peabody Trust</v>
      </c>
      <c r="C343" s="122" t="str" vm="242">
        <f t="shared" si="43"/>
        <v>4878</v>
      </c>
      <c r="D343" s="81">
        <f t="shared" si="46"/>
        <v>124</v>
      </c>
      <c r="E343" s="27" cm="1">
        <f t="array" ref="E343" xml:space="preserve"> INDEX( VfM_Metrics_2023_Consol_Source[], $D343, E$218 )</f>
        <v>3.8766375545851529E-2</v>
      </c>
      <c r="F343" s="27" cm="1">
        <f t="array" ref="F343" xml:space="preserve"> INDEX( VfM_Metrics_2023_Consol_Source[], $D343, F$218 )</f>
        <v>2.836244541484716E-2</v>
      </c>
      <c r="G343" s="27">
        <f xml:space="preserve"> tblFilterPropType[[#This Row],[% Supported housing (excl. HOP)]] + tblFilterPropType[[#This Row],[% Housing for older people]]</f>
        <v>6.7128820960698693E-2</v>
      </c>
      <c r="H343" s="28">
        <f xml:space="preserve"> 1 -tblFilterPropType[[#This Row],[% Supported &amp; older people]]</f>
        <v>0.93287117903930128</v>
      </c>
      <c r="I343" s="27">
        <f xml:space="preserve"> INDEX( B343:H343, MATCH( "% " &amp; $H$216, tblFilterPropType[#Headers], 0 ) )</f>
        <v>6.7128820960698693E-2</v>
      </c>
      <c r="J343" s="27">
        <f t="shared" si="44"/>
        <v>0.2</v>
      </c>
      <c r="K343" s="24">
        <f xml:space="preserve"> IF( PropTypeOnOff = "Yes - pick", -- IF( $H$217 = "Minimum", tblFilterPropType[[#This Row],[Selected Prop Type %]] &gt;= tblFilterPropType[[#This Row],[Cut-off]], tblFilterPropType[[#This Row],[Selected Prop Type %]] &lt;= tblFilterPropType[[#This Row],[Cut-off]] ), 1 )</f>
        <v>1</v>
      </c>
    </row>
    <row r="344" spans="2:11" x14ac:dyDescent="0.2">
      <c r="B344" s="122" t="str" vm="125">
        <f t="shared" si="45"/>
        <v>Phoenix Community Housing Association (Bellingham and Downham) Limited</v>
      </c>
      <c r="C344" s="122" t="str" vm="357">
        <f t="shared" si="43"/>
        <v>L4505</v>
      </c>
      <c r="D344" s="81">
        <f t="shared" si="46"/>
        <v>125</v>
      </c>
      <c r="E344" s="27" cm="1">
        <f t="array" ref="E344" xml:space="preserve"> INDEX( VfM_Metrics_2023_Consol_Source[], $D344, E$218 )</f>
        <v>0</v>
      </c>
      <c r="F344" s="27" cm="1">
        <f t="array" ref="F344" xml:space="preserve"> INDEX( VfM_Metrics_2023_Consol_Source[], $D344, F$218 )</f>
        <v>0</v>
      </c>
      <c r="G344" s="27">
        <f xml:space="preserve"> tblFilterPropType[[#This Row],[% Supported housing (excl. HOP)]] + tblFilterPropType[[#This Row],[% Housing for older people]]</f>
        <v>0</v>
      </c>
      <c r="H344" s="28">
        <f xml:space="preserve"> 1 -tblFilterPropType[[#This Row],[% Supported &amp; older people]]</f>
        <v>1</v>
      </c>
      <c r="I344" s="27">
        <f xml:space="preserve"> INDEX( B344:H344, MATCH( "% " &amp; $H$216, tblFilterPropType[#Headers], 0 ) )</f>
        <v>0</v>
      </c>
      <c r="J344" s="27">
        <f t="shared" si="44"/>
        <v>0.2</v>
      </c>
      <c r="K344" s="24">
        <f xml:space="preserve"> IF( PropTypeOnOff = "Yes - pick", -- IF( $H$217 = "Minimum", tblFilterPropType[[#This Row],[Selected Prop Type %]] &gt;= tblFilterPropType[[#This Row],[Cut-off]], tblFilterPropType[[#This Row],[Selected Prop Type %]] &lt;= tblFilterPropType[[#This Row],[Cut-off]] ), 1 )</f>
        <v>1</v>
      </c>
    </row>
    <row r="345" spans="2:11" x14ac:dyDescent="0.2">
      <c r="B345" s="122" t="str" vm="126">
        <f t="shared" si="45"/>
        <v>Pickering and Ferens Homes</v>
      </c>
      <c r="C345" s="122" t="str" vm="220">
        <f t="shared" si="43"/>
        <v>A4020</v>
      </c>
      <c r="D345" s="81">
        <f t="shared" si="46"/>
        <v>126</v>
      </c>
      <c r="E345" s="27" cm="1">
        <f t="array" ref="E345" xml:space="preserve"> INDEX( VfM_Metrics_2023_Consol_Source[], $D345, E$218 )</f>
        <v>0</v>
      </c>
      <c r="F345" s="27" cm="1">
        <f t="array" ref="F345" xml:space="preserve"> INDEX( VfM_Metrics_2023_Consol_Source[], $D345, F$218 )</f>
        <v>0.13365990202939118</v>
      </c>
      <c r="G345" s="27">
        <f xml:space="preserve"> tblFilterPropType[[#This Row],[% Supported housing (excl. HOP)]] + tblFilterPropType[[#This Row],[% Housing for older people]]</f>
        <v>0.13365990202939118</v>
      </c>
      <c r="H345" s="28">
        <f xml:space="preserve"> 1 -tblFilterPropType[[#This Row],[% Supported &amp; older people]]</f>
        <v>0.86634009797060885</v>
      </c>
      <c r="I345" s="27">
        <f xml:space="preserve"> INDEX( B345:H345, MATCH( "% " &amp; $H$216, tblFilterPropType[#Headers], 0 ) )</f>
        <v>0.13365990202939118</v>
      </c>
      <c r="J345" s="27">
        <f t="shared" si="44"/>
        <v>0.2</v>
      </c>
      <c r="K345" s="24">
        <f xml:space="preserve"> IF( PropTypeOnOff = "Yes - pick", -- IF( $H$217 = "Minimum", tblFilterPropType[[#This Row],[Selected Prop Type %]] &gt;= tblFilterPropType[[#This Row],[Cut-off]], tblFilterPropType[[#This Row],[Selected Prop Type %]] &lt;= tblFilterPropType[[#This Row],[Cut-off]] ), 1 )</f>
        <v>1</v>
      </c>
    </row>
    <row r="346" spans="2:11" x14ac:dyDescent="0.2">
      <c r="B346" s="122" t="str" vm="127">
        <f t="shared" si="45"/>
        <v>Places for People Group Limited</v>
      </c>
      <c r="C346" s="122" t="str" vm="267">
        <f t="shared" si="43"/>
        <v>L4236</v>
      </c>
      <c r="D346" s="81">
        <f t="shared" si="46"/>
        <v>127</v>
      </c>
      <c r="E346" s="27" cm="1">
        <f t="array" ref="E346" xml:space="preserve"> INDEX( VfM_Metrics_2023_Consol_Source[], $D346, E$218 )</f>
        <v>4.9455902508297692E-2</v>
      </c>
      <c r="F346" s="27" cm="1">
        <f t="array" ref="F346" xml:space="preserve"> INDEX( VfM_Metrics_2023_Consol_Source[], $D346, F$218 )</f>
        <v>6.6051288825773213E-2</v>
      </c>
      <c r="G346" s="27">
        <f xml:space="preserve"> tblFilterPropType[[#This Row],[% Supported housing (excl. HOP)]] + tblFilterPropType[[#This Row],[% Housing for older people]]</f>
        <v>0.1155071913340709</v>
      </c>
      <c r="H346" s="28">
        <f xml:space="preserve"> 1 -tblFilterPropType[[#This Row],[% Supported &amp; older people]]</f>
        <v>0.88449280866592905</v>
      </c>
      <c r="I346" s="27">
        <f xml:space="preserve"> INDEX( B346:H346, MATCH( "% " &amp; $H$216, tblFilterPropType[#Headers], 0 ) )</f>
        <v>0.1155071913340709</v>
      </c>
      <c r="J346" s="27">
        <f t="shared" si="44"/>
        <v>0.2</v>
      </c>
      <c r="K346" s="24">
        <f xml:space="preserve"> IF( PropTypeOnOff = "Yes - pick", -- IF( $H$217 = "Minimum", tblFilterPropType[[#This Row],[Selected Prop Type %]] &gt;= tblFilterPropType[[#This Row],[Cut-off]], tblFilterPropType[[#This Row],[Selected Prop Type %]] &lt;= tblFilterPropType[[#This Row],[Cut-off]] ), 1 )</f>
        <v>1</v>
      </c>
    </row>
    <row r="347" spans="2:11" x14ac:dyDescent="0.2">
      <c r="B347" s="122" t="str" vm="128">
        <f t="shared" si="45"/>
        <v>Platform Housing Group Limited</v>
      </c>
      <c r="C347" s="122" t="str" vm="266">
        <f t="shared" si="43"/>
        <v>4789</v>
      </c>
      <c r="D347" s="81">
        <f t="shared" si="46"/>
        <v>128</v>
      </c>
      <c r="E347" s="27" cm="1">
        <f t="array" ref="E347" xml:space="preserve"> INDEX( VfM_Metrics_2023_Consol_Source[], $D347, E$218 )</f>
        <v>7.2223306656256101E-3</v>
      </c>
      <c r="F347" s="27" cm="1">
        <f t="array" ref="F347" xml:space="preserve"> INDEX( VfM_Metrics_2023_Consol_Source[], $D347, F$218 )</f>
        <v>6.4545513696401852E-2</v>
      </c>
      <c r="G347" s="27">
        <f xml:space="preserve"> tblFilterPropType[[#This Row],[% Supported housing (excl. HOP)]] + tblFilterPropType[[#This Row],[% Housing for older people]]</f>
        <v>7.1767844362027461E-2</v>
      </c>
      <c r="H347" s="28">
        <f xml:space="preserve"> 1 -tblFilterPropType[[#This Row],[% Supported &amp; older people]]</f>
        <v>0.92823215563797257</v>
      </c>
      <c r="I347" s="27">
        <f xml:space="preserve"> INDEX( B347:H347, MATCH( "% " &amp; $H$216, tblFilterPropType[#Headers], 0 ) )</f>
        <v>7.1767844362027461E-2</v>
      </c>
      <c r="J347" s="27">
        <f t="shared" si="44"/>
        <v>0.2</v>
      </c>
      <c r="K347" s="24">
        <f xml:space="preserve"> IF( PropTypeOnOff = "Yes - pick", -- IF( $H$217 = "Minimum", tblFilterPropType[[#This Row],[Selected Prop Type %]] &gt;= tblFilterPropType[[#This Row],[Cut-off]], tblFilterPropType[[#This Row],[Selected Prop Type %]] &lt;= tblFilterPropType[[#This Row],[Cut-off]] ), 1 )</f>
        <v>1</v>
      </c>
    </row>
    <row r="348" spans="2:11" x14ac:dyDescent="0.2">
      <c r="B348" s="122" t="str" vm="129">
        <f t="shared" si="45"/>
        <v>Plus Dane Housing Limited</v>
      </c>
      <c r="C348" s="122" t="str" vm="274">
        <f t="shared" ref="C348:C379" si="47" xml:space="preserve"> C144</f>
        <v>L4556</v>
      </c>
      <c r="D348" s="81">
        <f t="shared" si="46"/>
        <v>129</v>
      </c>
      <c r="E348" s="27" cm="1">
        <f t="array" ref="E348" xml:space="preserve"> INDEX( VfM_Metrics_2023_Consol_Source[], $D348, E$218 )</f>
        <v>1.9192537085181219E-2</v>
      </c>
      <c r="F348" s="27" cm="1">
        <f t="array" ref="F348" xml:space="preserve"> INDEX( VfM_Metrics_2023_Consol_Source[], $D348, F$218 )</f>
        <v>2.8750573482183819E-2</v>
      </c>
      <c r="G348" s="27">
        <f xml:space="preserve"> tblFilterPropType[[#This Row],[% Supported housing (excl. HOP)]] + tblFilterPropType[[#This Row],[% Housing for older people]]</f>
        <v>4.7943110567365041E-2</v>
      </c>
      <c r="H348" s="28">
        <f xml:space="preserve"> 1 -tblFilterPropType[[#This Row],[% Supported &amp; older people]]</f>
        <v>0.952056889432635</v>
      </c>
      <c r="I348" s="27">
        <f xml:space="preserve"> INDEX( B348:H348, MATCH( "% " &amp; $H$216, tblFilterPropType[#Headers], 0 ) )</f>
        <v>4.7943110567365041E-2</v>
      </c>
      <c r="J348" s="27">
        <f t="shared" ref="J348:J379" si="48" xml:space="preserve"> PropTypePercent</f>
        <v>0.2</v>
      </c>
      <c r="K348" s="24">
        <f xml:space="preserve"> IF( PropTypeOnOff = "Yes - pick", -- IF( $H$217 = "Minimum", tblFilterPropType[[#This Row],[Selected Prop Type %]] &gt;= tblFilterPropType[[#This Row],[Cut-off]], tblFilterPropType[[#This Row],[Selected Prop Type %]] &lt;= tblFilterPropType[[#This Row],[Cut-off]] ), 1 )</f>
        <v>1</v>
      </c>
    </row>
    <row r="349" spans="2:11" x14ac:dyDescent="0.2">
      <c r="B349" s="122" t="str" vm="130">
        <f t="shared" ref="B349:B380" si="49" xml:space="preserve"> B145</f>
        <v>Plymouth Community Homes Limited</v>
      </c>
      <c r="C349" s="122" t="str" vm="286">
        <f t="shared" si="47"/>
        <v>L4543</v>
      </c>
      <c r="D349" s="81">
        <f t="shared" ref="D349:D380" si="50" xml:space="preserve"> D145</f>
        <v>130</v>
      </c>
      <c r="E349" s="27" cm="1">
        <f t="array" ref="E349" xml:space="preserve"> INDEX( VfM_Metrics_2023_Consol_Source[], $D349, E$218 )</f>
        <v>9.2487548422800228E-2</v>
      </c>
      <c r="F349" s="27" cm="1">
        <f t="array" ref="F349" xml:space="preserve"> INDEX( VfM_Metrics_2023_Consol_Source[], $D349, F$218 )</f>
        <v>0</v>
      </c>
      <c r="G349" s="27">
        <f xml:space="preserve"> tblFilterPropType[[#This Row],[% Supported housing (excl. HOP)]] + tblFilterPropType[[#This Row],[% Housing for older people]]</f>
        <v>9.2487548422800228E-2</v>
      </c>
      <c r="H349" s="28">
        <f xml:space="preserve"> 1 -tblFilterPropType[[#This Row],[% Supported &amp; older people]]</f>
        <v>0.90751245157719973</v>
      </c>
      <c r="I349" s="27">
        <f xml:space="preserve"> INDEX( B349:H349, MATCH( "% " &amp; $H$216, tblFilterPropType[#Headers], 0 ) )</f>
        <v>9.2487548422800228E-2</v>
      </c>
      <c r="J349" s="27">
        <f t="shared" si="48"/>
        <v>0.2</v>
      </c>
      <c r="K349" s="24">
        <f xml:space="preserve"> IF( PropTypeOnOff = "Yes - pick", -- IF( $H$217 = "Minimum", tblFilterPropType[[#This Row],[Selected Prop Type %]] &gt;= tblFilterPropType[[#This Row],[Cut-off]], tblFilterPropType[[#This Row],[Selected Prop Type %]] &lt;= tblFilterPropType[[#This Row],[Cut-off]] ), 1 )</f>
        <v>1</v>
      </c>
    </row>
    <row r="350" spans="2:11" x14ac:dyDescent="0.2">
      <c r="B350" s="122" t="str" vm="131">
        <f t="shared" si="49"/>
        <v>Poplar Housing And Regeneration Community Association Limited</v>
      </c>
      <c r="C350" s="122" t="str" vm="350">
        <f t="shared" si="47"/>
        <v>L4170</v>
      </c>
      <c r="D350" s="81">
        <f t="shared" si="50"/>
        <v>131</v>
      </c>
      <c r="E350" s="27" cm="1">
        <f t="array" ref="E350" xml:space="preserve"> INDEX( VfM_Metrics_2023_Consol_Source[], $D350, E$218 )</f>
        <v>0</v>
      </c>
      <c r="F350" s="27" cm="1">
        <f t="array" ref="F350" xml:space="preserve"> INDEX( VfM_Metrics_2023_Consol_Source[], $D350, F$218 )</f>
        <v>0</v>
      </c>
      <c r="G350" s="27">
        <f xml:space="preserve"> tblFilterPropType[[#This Row],[% Supported housing (excl. HOP)]] + tblFilterPropType[[#This Row],[% Housing for older people]]</f>
        <v>0</v>
      </c>
      <c r="H350" s="28">
        <f xml:space="preserve"> 1 -tblFilterPropType[[#This Row],[% Supported &amp; older people]]</f>
        <v>1</v>
      </c>
      <c r="I350" s="27">
        <f xml:space="preserve"> INDEX( B350:H350, MATCH( "% " &amp; $H$216, tblFilterPropType[#Headers], 0 ) )</f>
        <v>0</v>
      </c>
      <c r="J350" s="27">
        <f t="shared" si="48"/>
        <v>0.2</v>
      </c>
      <c r="K350" s="24">
        <f xml:space="preserve"> IF( PropTypeOnOff = "Yes - pick", -- IF( $H$217 = "Minimum", tblFilterPropType[[#This Row],[Selected Prop Type %]] &gt;= tblFilterPropType[[#This Row],[Cut-off]], tblFilterPropType[[#This Row],[Selected Prop Type %]] &lt;= tblFilterPropType[[#This Row],[Cut-off]] ), 1 )</f>
        <v>1</v>
      </c>
    </row>
    <row r="351" spans="2:11" x14ac:dyDescent="0.2">
      <c r="B351" s="122" t="str" vm="132">
        <f t="shared" si="49"/>
        <v>Prima Housing Group Limited</v>
      </c>
      <c r="C351" s="122" t="str" vm="317">
        <f t="shared" si="47"/>
        <v>L1001</v>
      </c>
      <c r="D351" s="81">
        <f t="shared" si="50"/>
        <v>132</v>
      </c>
      <c r="E351" s="27" cm="1">
        <f t="array" ref="E351" xml:space="preserve"> INDEX( VfM_Metrics_2023_Consol_Source[], $D351, E$218 )</f>
        <v>1.9140625000000001E-2</v>
      </c>
      <c r="F351" s="27" cm="1">
        <f t="array" ref="F351" xml:space="preserve"> INDEX( VfM_Metrics_2023_Consol_Source[], $D351, F$218 )</f>
        <v>7.7734374999999994E-2</v>
      </c>
      <c r="G351" s="27">
        <f xml:space="preserve"> tblFilterPropType[[#This Row],[% Supported housing (excl. HOP)]] + tblFilterPropType[[#This Row],[% Housing for older people]]</f>
        <v>9.6874999999999989E-2</v>
      </c>
      <c r="H351" s="28">
        <f xml:space="preserve"> 1 -tblFilterPropType[[#This Row],[% Supported &amp; older people]]</f>
        <v>0.90312499999999996</v>
      </c>
      <c r="I351" s="27">
        <f xml:space="preserve"> INDEX( B351:H351, MATCH( "% " &amp; $H$216, tblFilterPropType[#Headers], 0 ) )</f>
        <v>9.6874999999999989E-2</v>
      </c>
      <c r="J351" s="27">
        <f t="shared" si="48"/>
        <v>0.2</v>
      </c>
      <c r="K351" s="24">
        <f xml:space="preserve"> IF( PropTypeOnOff = "Yes - pick", -- IF( $H$217 = "Minimum", tblFilterPropType[[#This Row],[Selected Prop Type %]] &gt;= tblFilterPropType[[#This Row],[Cut-off]], tblFilterPropType[[#This Row],[Selected Prop Type %]] &lt;= tblFilterPropType[[#This Row],[Cut-off]] ), 1 )</f>
        <v>1</v>
      </c>
    </row>
    <row r="352" spans="2:11" x14ac:dyDescent="0.2">
      <c r="B352" s="122" t="str" vm="133">
        <f t="shared" si="49"/>
        <v>Progress Housing Group Limited</v>
      </c>
      <c r="C352" s="122" t="str" vm="269">
        <f t="shared" si="47"/>
        <v>LH4189</v>
      </c>
      <c r="D352" s="81">
        <f t="shared" si="50"/>
        <v>133</v>
      </c>
      <c r="E352" s="27" cm="1">
        <f t="array" ref="E352" xml:space="preserve"> INDEX( VfM_Metrics_2023_Consol_Source[], $D352, E$218 )</f>
        <v>0.39135194307608101</v>
      </c>
      <c r="F352" s="27" cm="1">
        <f t="array" ref="F352" xml:space="preserve"> INDEX( VfM_Metrics_2023_Consol_Source[], $D352, F$218 )</f>
        <v>0.11065498996533479</v>
      </c>
      <c r="G352" s="27">
        <f xml:space="preserve"> tblFilterPropType[[#This Row],[% Supported housing (excl. HOP)]] + tblFilterPropType[[#This Row],[% Housing for older people]]</f>
        <v>0.50200693304141586</v>
      </c>
      <c r="H352" s="28">
        <f xml:space="preserve"> 1 -tblFilterPropType[[#This Row],[% Supported &amp; older people]]</f>
        <v>0.49799306695858414</v>
      </c>
      <c r="I352" s="27">
        <f xml:space="preserve"> INDEX( B352:H352, MATCH( "% " &amp; $H$216, tblFilterPropType[#Headers], 0 ) )</f>
        <v>0.50200693304141586</v>
      </c>
      <c r="J352" s="27">
        <f t="shared" si="48"/>
        <v>0.2</v>
      </c>
      <c r="K352" s="24">
        <f xml:space="preserve"> IF( PropTypeOnOff = "Yes - pick", -- IF( $H$217 = "Minimum", tblFilterPropType[[#This Row],[Selected Prop Type %]] &gt;= tblFilterPropType[[#This Row],[Cut-off]], tblFilterPropType[[#This Row],[Selected Prop Type %]] &lt;= tblFilterPropType[[#This Row],[Cut-off]] ), 1 )</f>
        <v>1</v>
      </c>
    </row>
    <row r="353" spans="2:11" x14ac:dyDescent="0.2">
      <c r="B353" s="122" t="str" vm="134">
        <f t="shared" si="49"/>
        <v>Railway Housing Association and Benefit Fund</v>
      </c>
      <c r="C353" s="122" t="str" vm="230">
        <f t="shared" si="47"/>
        <v>A1855</v>
      </c>
      <c r="D353" s="81">
        <f t="shared" si="50"/>
        <v>134</v>
      </c>
      <c r="E353" s="27" cm="1">
        <f t="array" ref="E353" xml:space="preserve"> INDEX( VfM_Metrics_2023_Consol_Source[], $D353, E$218 )</f>
        <v>0.30389129092032119</v>
      </c>
      <c r="F353" s="27" cm="1">
        <f t="array" ref="F353" xml:space="preserve"> INDEX( VfM_Metrics_2023_Consol_Source[], $D353, F$218 )</f>
        <v>0.26436071649166154</v>
      </c>
      <c r="G353" s="27">
        <f xml:space="preserve"> tblFilterPropType[[#This Row],[% Supported housing (excl. HOP)]] + tblFilterPropType[[#This Row],[% Housing for older people]]</f>
        <v>0.56825200741198278</v>
      </c>
      <c r="H353" s="28">
        <f xml:space="preserve"> 1 -tblFilterPropType[[#This Row],[% Supported &amp; older people]]</f>
        <v>0.43174799258801722</v>
      </c>
      <c r="I353" s="27">
        <f xml:space="preserve"> INDEX( B353:H353, MATCH( "% " &amp; $H$216, tblFilterPropType[#Headers], 0 ) )</f>
        <v>0.56825200741198278</v>
      </c>
      <c r="J353" s="27">
        <f t="shared" si="48"/>
        <v>0.2</v>
      </c>
      <c r="K353" s="24">
        <f xml:space="preserve"> IF( PropTypeOnOff = "Yes - pick", -- IF( $H$217 = "Minimum", tblFilterPropType[[#This Row],[Selected Prop Type %]] &gt;= tblFilterPropType[[#This Row],[Cut-off]], tblFilterPropType[[#This Row],[Selected Prop Type %]] &lt;= tblFilterPropType[[#This Row],[Cut-off]] ), 1 )</f>
        <v>1</v>
      </c>
    </row>
    <row r="354" spans="2:11" x14ac:dyDescent="0.2">
      <c r="B354" s="122" t="str" vm="135">
        <f t="shared" si="49"/>
        <v>Raven Housing Trust Limited</v>
      </c>
      <c r="C354" s="122" t="str" vm="359">
        <f t="shared" si="47"/>
        <v>L4334</v>
      </c>
      <c r="D354" s="81">
        <f t="shared" si="50"/>
        <v>135</v>
      </c>
      <c r="E354" s="27" cm="1">
        <f t="array" ref="E354" xml:space="preserve"> INDEX( VfM_Metrics_2023_Consol_Source[], $D354, E$218 )</f>
        <v>0</v>
      </c>
      <c r="F354" s="27" cm="1">
        <f t="array" ref="F354" xml:space="preserve"> INDEX( VfM_Metrics_2023_Consol_Source[], $D354, F$218 )</f>
        <v>5.4199683042789222E-2</v>
      </c>
      <c r="G354" s="27">
        <f xml:space="preserve"> tblFilterPropType[[#This Row],[% Supported housing (excl. HOP)]] + tblFilterPropType[[#This Row],[% Housing for older people]]</f>
        <v>5.4199683042789222E-2</v>
      </c>
      <c r="H354" s="28">
        <f xml:space="preserve"> 1 -tblFilterPropType[[#This Row],[% Supported &amp; older people]]</f>
        <v>0.94580031695721078</v>
      </c>
      <c r="I354" s="27">
        <f xml:space="preserve"> INDEX( B354:H354, MATCH( "% " &amp; $H$216, tblFilterPropType[#Headers], 0 ) )</f>
        <v>5.4199683042789222E-2</v>
      </c>
      <c r="J354" s="27">
        <f t="shared" si="48"/>
        <v>0.2</v>
      </c>
      <c r="K354" s="24">
        <f xml:space="preserve"> IF( PropTypeOnOff = "Yes - pick", -- IF( $H$217 = "Minimum", tblFilterPropType[[#This Row],[Selected Prop Type %]] &gt;= tblFilterPropType[[#This Row],[Cut-off]], tblFilterPropType[[#This Row],[Selected Prop Type %]] &lt;= tblFilterPropType[[#This Row],[Cut-off]] ), 1 )</f>
        <v>1</v>
      </c>
    </row>
    <row r="355" spans="2:11" x14ac:dyDescent="0.2">
      <c r="B355" s="122" t="str" vm="136">
        <f t="shared" si="49"/>
        <v>Red Kite Community Housing Limited</v>
      </c>
      <c r="C355" s="122" t="str" vm="356">
        <f t="shared" si="47"/>
        <v>4682</v>
      </c>
      <c r="D355" s="81">
        <f t="shared" si="50"/>
        <v>136</v>
      </c>
      <c r="E355" s="27" cm="1">
        <f t="array" ref="E355" xml:space="preserve"> INDEX( VfM_Metrics_2023_Consol_Source[], $D355, E$218 )</f>
        <v>0</v>
      </c>
      <c r="F355" s="27" cm="1">
        <f t="array" ref="F355" xml:space="preserve"> INDEX( VfM_Metrics_2023_Consol_Source[], $D355, F$218 )</f>
        <v>0.31312217194570136</v>
      </c>
      <c r="G355" s="27">
        <f xml:space="preserve"> tblFilterPropType[[#This Row],[% Supported housing (excl. HOP)]] + tblFilterPropType[[#This Row],[% Housing for older people]]</f>
        <v>0.31312217194570136</v>
      </c>
      <c r="H355" s="28">
        <f xml:space="preserve"> 1 -tblFilterPropType[[#This Row],[% Supported &amp; older people]]</f>
        <v>0.68687782805429864</v>
      </c>
      <c r="I355" s="27">
        <f xml:space="preserve"> INDEX( B355:H355, MATCH( "% " &amp; $H$216, tblFilterPropType[#Headers], 0 ) )</f>
        <v>0.31312217194570136</v>
      </c>
      <c r="J355" s="27">
        <f t="shared" si="48"/>
        <v>0.2</v>
      </c>
      <c r="K355" s="24">
        <f xml:space="preserve"> IF( PropTypeOnOff = "Yes - pick", -- IF( $H$217 = "Minimum", tblFilterPropType[[#This Row],[Selected Prop Type %]] &gt;= tblFilterPropType[[#This Row],[Cut-off]], tblFilterPropType[[#This Row],[Selected Prop Type %]] &lt;= tblFilterPropType[[#This Row],[Cut-off]] ), 1 )</f>
        <v>1</v>
      </c>
    </row>
    <row r="356" spans="2:11" x14ac:dyDescent="0.2">
      <c r="B356" s="122" t="str" vm="137">
        <f t="shared" si="49"/>
        <v>Regenda Limited</v>
      </c>
      <c r="C356" s="122" t="str" vm="283">
        <f t="shared" si="47"/>
        <v>4653</v>
      </c>
      <c r="D356" s="81">
        <f t="shared" si="50"/>
        <v>137</v>
      </c>
      <c r="E356" s="27" cm="1">
        <f t="array" ref="E356" xml:space="preserve"> INDEX( VfM_Metrics_2023_Consol_Source[], $D356, E$218 )</f>
        <v>7.0981754995655955E-2</v>
      </c>
      <c r="F356" s="27" cm="1">
        <f t="array" ref="F356" xml:space="preserve"> INDEX( VfM_Metrics_2023_Consol_Source[], $D356, F$218 )</f>
        <v>8.2363162467419634E-2</v>
      </c>
      <c r="G356" s="27">
        <f xml:space="preserve"> tblFilterPropType[[#This Row],[% Supported housing (excl. HOP)]] + tblFilterPropType[[#This Row],[% Housing for older people]]</f>
        <v>0.1533449174630756</v>
      </c>
      <c r="H356" s="28">
        <f xml:space="preserve"> 1 -tblFilterPropType[[#This Row],[% Supported &amp; older people]]</f>
        <v>0.84665508253692434</v>
      </c>
      <c r="I356" s="27">
        <f xml:space="preserve"> INDEX( B356:H356, MATCH( "% " &amp; $H$216, tblFilterPropType[#Headers], 0 ) )</f>
        <v>0.1533449174630756</v>
      </c>
      <c r="J356" s="27">
        <f t="shared" si="48"/>
        <v>0.2</v>
      </c>
      <c r="K356" s="24">
        <f xml:space="preserve"> IF( PropTypeOnOff = "Yes - pick", -- IF( $H$217 = "Minimum", tblFilterPropType[[#This Row],[Selected Prop Type %]] &gt;= tblFilterPropType[[#This Row],[Cut-off]], tblFilterPropType[[#This Row],[Selected Prop Type %]] &lt;= tblFilterPropType[[#This Row],[Cut-off]] ), 1 )</f>
        <v>1</v>
      </c>
    </row>
    <row r="357" spans="2:11" x14ac:dyDescent="0.2">
      <c r="B357" s="122" t="str" vm="138">
        <f t="shared" si="49"/>
        <v>Richmond Housing Partnership Limited</v>
      </c>
      <c r="C357" s="122" t="str" vm="360">
        <f t="shared" si="47"/>
        <v>L4279</v>
      </c>
      <c r="D357" s="81">
        <f t="shared" si="50"/>
        <v>138</v>
      </c>
      <c r="E357" s="27" cm="1">
        <f t="array" ref="E357" xml:space="preserve"> INDEX( VfM_Metrics_2023_Consol_Source[], $D357, E$218 )</f>
        <v>0</v>
      </c>
      <c r="F357" s="27" cm="1">
        <f t="array" ref="F357" xml:space="preserve"> INDEX( VfM_Metrics_2023_Consol_Source[], $D357, F$218 )</f>
        <v>5.1758460517584606E-2</v>
      </c>
      <c r="G357" s="27">
        <f xml:space="preserve"> tblFilterPropType[[#This Row],[% Supported housing (excl. HOP)]] + tblFilterPropType[[#This Row],[% Housing for older people]]</f>
        <v>5.1758460517584606E-2</v>
      </c>
      <c r="H357" s="28">
        <f xml:space="preserve"> 1 -tblFilterPropType[[#This Row],[% Supported &amp; older people]]</f>
        <v>0.94824153948241541</v>
      </c>
      <c r="I357" s="27">
        <f xml:space="preserve"> INDEX( B357:H357, MATCH( "% " &amp; $H$216, tblFilterPropType[#Headers], 0 ) )</f>
        <v>5.1758460517584606E-2</v>
      </c>
      <c r="J357" s="27">
        <f t="shared" si="48"/>
        <v>0.2</v>
      </c>
      <c r="K357" s="24">
        <f xml:space="preserve"> IF( PropTypeOnOff = "Yes - pick", -- IF( $H$217 = "Minimum", tblFilterPropType[[#This Row],[Selected Prop Type %]] &gt;= tblFilterPropType[[#This Row],[Cut-off]], tblFilterPropType[[#This Row],[Selected Prop Type %]] &lt;= tblFilterPropType[[#This Row],[Cut-off]] ), 1 )</f>
        <v>1</v>
      </c>
    </row>
    <row r="358" spans="2:11" x14ac:dyDescent="0.2">
      <c r="B358" s="122" t="str" vm="139">
        <f t="shared" si="49"/>
        <v>Rochdale Boroughwide Housing Limited</v>
      </c>
      <c r="C358" s="122" t="str" vm="273">
        <f t="shared" si="47"/>
        <v>4607</v>
      </c>
      <c r="D358" s="81">
        <f t="shared" si="50"/>
        <v>139</v>
      </c>
      <c r="E358" s="27" cm="1">
        <f t="array" ref="E358" xml:space="preserve"> INDEX( VfM_Metrics_2023_Consol_Source[], $D358, E$218 )</f>
        <v>0</v>
      </c>
      <c r="F358" s="27" cm="1">
        <f t="array" ref="F358" xml:space="preserve"> INDEX( VfM_Metrics_2023_Consol_Source[], $D358, F$218 )</f>
        <v>7.5512841221127447E-2</v>
      </c>
      <c r="G358" s="27">
        <f xml:space="preserve"> tblFilterPropType[[#This Row],[% Supported housing (excl. HOP)]] + tblFilterPropType[[#This Row],[% Housing for older people]]</f>
        <v>7.5512841221127447E-2</v>
      </c>
      <c r="H358" s="28">
        <f xml:space="preserve"> 1 -tblFilterPropType[[#This Row],[% Supported &amp; older people]]</f>
        <v>0.92448715877887255</v>
      </c>
      <c r="I358" s="27">
        <f xml:space="preserve"> INDEX( B358:H358, MATCH( "% " &amp; $H$216, tblFilterPropType[#Headers], 0 ) )</f>
        <v>7.5512841221127447E-2</v>
      </c>
      <c r="J358" s="27">
        <f t="shared" si="48"/>
        <v>0.2</v>
      </c>
      <c r="K358" s="24">
        <f xml:space="preserve"> IF( PropTypeOnOff = "Yes - pick", -- IF( $H$217 = "Minimum", tblFilterPropType[[#This Row],[Selected Prop Type %]] &gt;= tblFilterPropType[[#This Row],[Cut-off]], tblFilterPropType[[#This Row],[Selected Prop Type %]] &lt;= tblFilterPropType[[#This Row],[Cut-off]] ), 1 )</f>
        <v>1</v>
      </c>
    </row>
    <row r="359" spans="2:11" x14ac:dyDescent="0.2">
      <c r="B359" s="122" t="str" vm="140">
        <f t="shared" si="49"/>
        <v>Rooftop Housing Group Limited</v>
      </c>
      <c r="C359" s="122" t="str" vm="364">
        <f t="shared" si="47"/>
        <v>L4404</v>
      </c>
      <c r="D359" s="81">
        <f t="shared" si="50"/>
        <v>140</v>
      </c>
      <c r="E359" s="27" cm="1">
        <f t="array" ref="E359" xml:space="preserve"> INDEX( VfM_Metrics_2023_Consol_Source[], $D359, E$218 )</f>
        <v>1.8569254185692542E-2</v>
      </c>
      <c r="F359" s="27" cm="1">
        <f t="array" ref="F359" xml:space="preserve"> INDEX( VfM_Metrics_2023_Consol_Source[], $D359, F$218 )</f>
        <v>6.5296803652968041E-2</v>
      </c>
      <c r="G359" s="27">
        <f xml:space="preserve"> tblFilterPropType[[#This Row],[% Supported housing (excl. HOP)]] + tblFilterPropType[[#This Row],[% Housing for older people]]</f>
        <v>8.3866057838660579E-2</v>
      </c>
      <c r="H359" s="28">
        <f xml:space="preserve"> 1 -tblFilterPropType[[#This Row],[% Supported &amp; older people]]</f>
        <v>0.91613394216133948</v>
      </c>
      <c r="I359" s="27">
        <f xml:space="preserve"> INDEX( B359:H359, MATCH( "% " &amp; $H$216, tblFilterPropType[#Headers], 0 ) )</f>
        <v>8.3866057838660579E-2</v>
      </c>
      <c r="J359" s="27">
        <f t="shared" si="48"/>
        <v>0.2</v>
      </c>
      <c r="K359" s="24">
        <f xml:space="preserve"> IF( PropTypeOnOff = "Yes - pick", -- IF( $H$217 = "Minimum", tblFilterPropType[[#This Row],[Selected Prop Type %]] &gt;= tblFilterPropType[[#This Row],[Cut-off]], tblFilterPropType[[#This Row],[Selected Prop Type %]] &lt;= tblFilterPropType[[#This Row],[Cut-off]] ), 1 )</f>
        <v>1</v>
      </c>
    </row>
    <row r="360" spans="2:11" x14ac:dyDescent="0.2">
      <c r="B360" s="122" t="str" vm="141">
        <f t="shared" si="49"/>
        <v>Saffron Housing Trust Limited</v>
      </c>
      <c r="C360" s="122" t="str" vm="384">
        <f t="shared" si="47"/>
        <v>LH4412</v>
      </c>
      <c r="D360" s="81">
        <f t="shared" si="50"/>
        <v>141</v>
      </c>
      <c r="E360" s="27" cm="1">
        <f t="array" ref="E360" xml:space="preserve"> INDEX( VfM_Metrics_2023_Consol_Source[], $D360, E$218 )</f>
        <v>1.9461310913903161E-2</v>
      </c>
      <c r="F360" s="27" cm="1">
        <f t="array" ref="F360" xml:space="preserve"> INDEX( VfM_Metrics_2023_Consol_Source[], $D360, F$218 )</f>
        <v>9.5905340183714771E-2</v>
      </c>
      <c r="G360" s="27">
        <f xml:space="preserve"> tblFilterPropType[[#This Row],[% Supported housing (excl. HOP)]] + tblFilterPropType[[#This Row],[% Housing for older people]]</f>
        <v>0.11536665109761793</v>
      </c>
      <c r="H360" s="28">
        <f xml:space="preserve"> 1 -tblFilterPropType[[#This Row],[% Supported &amp; older people]]</f>
        <v>0.8846333489023821</v>
      </c>
      <c r="I360" s="27">
        <f xml:space="preserve"> INDEX( B360:H360, MATCH( "% " &amp; $H$216, tblFilterPropType[#Headers], 0 ) )</f>
        <v>0.11536665109761793</v>
      </c>
      <c r="J360" s="27">
        <f t="shared" si="48"/>
        <v>0.2</v>
      </c>
      <c r="K360" s="24">
        <f xml:space="preserve"> IF( PropTypeOnOff = "Yes - pick", -- IF( $H$217 = "Minimum", tblFilterPropType[[#This Row],[Selected Prop Type %]] &gt;= tblFilterPropType[[#This Row],[Cut-off]], tblFilterPropType[[#This Row],[Selected Prop Type %]] &lt;= tblFilterPropType[[#This Row],[Cut-off]] ), 1 )</f>
        <v>1</v>
      </c>
    </row>
    <row r="361" spans="2:11" x14ac:dyDescent="0.2">
      <c r="B361" s="122" t="str" vm="142">
        <f t="shared" si="49"/>
        <v>Salix Homes Limited</v>
      </c>
      <c r="C361" s="122" t="str" vm="383">
        <f t="shared" si="47"/>
        <v>4609</v>
      </c>
      <c r="D361" s="81">
        <f t="shared" si="50"/>
        <v>142</v>
      </c>
      <c r="E361" s="27" cm="1">
        <f t="array" ref="E361" xml:space="preserve"> INDEX( VfM_Metrics_2023_Consol_Source[], $D361, E$218 )</f>
        <v>0</v>
      </c>
      <c r="F361" s="27" cm="1">
        <f t="array" ref="F361" xml:space="preserve"> INDEX( VfM_Metrics_2023_Consol_Source[], $D361, F$218 )</f>
        <v>3.7709497206703912E-2</v>
      </c>
      <c r="G361" s="27">
        <f xml:space="preserve"> tblFilterPropType[[#This Row],[% Supported housing (excl. HOP)]] + tblFilterPropType[[#This Row],[% Housing for older people]]</f>
        <v>3.7709497206703912E-2</v>
      </c>
      <c r="H361" s="28">
        <f xml:space="preserve"> 1 -tblFilterPropType[[#This Row],[% Supported &amp; older people]]</f>
        <v>0.96229050279329609</v>
      </c>
      <c r="I361" s="27">
        <f xml:space="preserve"> INDEX( B361:H361, MATCH( "% " &amp; $H$216, tblFilterPropType[#Headers], 0 ) )</f>
        <v>3.7709497206703912E-2</v>
      </c>
      <c r="J361" s="27">
        <f t="shared" si="48"/>
        <v>0.2</v>
      </c>
      <c r="K361" s="24">
        <f xml:space="preserve"> IF( PropTypeOnOff = "Yes - pick", -- IF( $H$217 = "Minimum", tblFilterPropType[[#This Row],[Selected Prop Type %]] &gt;= tblFilterPropType[[#This Row],[Cut-off]], tblFilterPropType[[#This Row],[Selected Prop Type %]] &lt;= tblFilterPropType[[#This Row],[Cut-off]] ), 1 )</f>
        <v>1</v>
      </c>
    </row>
    <row r="362" spans="2:11" x14ac:dyDescent="0.2">
      <c r="B362" s="122" t="str" vm="143">
        <f t="shared" si="49"/>
        <v>Salvation Army Housing Association</v>
      </c>
      <c r="C362" s="122" t="str" vm="310">
        <f t="shared" si="47"/>
        <v>LH2429</v>
      </c>
      <c r="D362" s="81">
        <f t="shared" si="50"/>
        <v>143</v>
      </c>
      <c r="E362" s="27" cm="1">
        <f t="array" ref="E362" xml:space="preserve"> INDEX( VfM_Metrics_2023_Consol_Source[], $D362, E$218 )</f>
        <v>0.54872226902555465</v>
      </c>
      <c r="F362" s="27" cm="1">
        <f t="array" ref="F362" xml:space="preserve"> INDEX( VfM_Metrics_2023_Consol_Source[], $D362, F$218 )</f>
        <v>8.1156978376860436E-2</v>
      </c>
      <c r="G362" s="27">
        <f xml:space="preserve"> tblFilterPropType[[#This Row],[% Supported housing (excl. HOP)]] + tblFilterPropType[[#This Row],[% Housing for older people]]</f>
        <v>0.62987924740241508</v>
      </c>
      <c r="H362" s="28">
        <f xml:space="preserve"> 1 -tblFilterPropType[[#This Row],[% Supported &amp; older people]]</f>
        <v>0.37012075259758492</v>
      </c>
      <c r="I362" s="27">
        <f xml:space="preserve"> INDEX( B362:H362, MATCH( "% " &amp; $H$216, tblFilterPropType[#Headers], 0 ) )</f>
        <v>0.62987924740241508</v>
      </c>
      <c r="J362" s="27">
        <f t="shared" si="48"/>
        <v>0.2</v>
      </c>
      <c r="K362" s="24">
        <f xml:space="preserve"> IF( PropTypeOnOff = "Yes - pick", -- IF( $H$217 = "Minimum", tblFilterPropType[[#This Row],[Selected Prop Type %]] &gt;= tblFilterPropType[[#This Row],[Cut-off]], tblFilterPropType[[#This Row],[Selected Prop Type %]] &lt;= tblFilterPropType[[#This Row],[Cut-off]] ), 1 )</f>
        <v>1</v>
      </c>
    </row>
    <row r="363" spans="2:11" x14ac:dyDescent="0.2">
      <c r="B363" s="122" t="str" vm="144">
        <f t="shared" si="49"/>
        <v>Sanctuary Housing Association</v>
      </c>
      <c r="C363" s="122" t="str" vm="251">
        <f t="shared" si="47"/>
        <v>L0247</v>
      </c>
      <c r="D363" s="81">
        <f t="shared" si="50"/>
        <v>144</v>
      </c>
      <c r="E363" s="27" cm="1">
        <f t="array" ref="E363" xml:space="preserve"> INDEX( VfM_Metrics_2023_Consol_Source[], $D363, E$218 )</f>
        <v>5.5806881768671879E-2</v>
      </c>
      <c r="F363" s="27" cm="1">
        <f t="array" ref="F363" xml:space="preserve"> INDEX( VfM_Metrics_2023_Consol_Source[], $D363, F$218 )</f>
        <v>0.12948492665844144</v>
      </c>
      <c r="G363" s="27">
        <f xml:space="preserve"> tblFilterPropType[[#This Row],[% Supported housing (excl. HOP)]] + tblFilterPropType[[#This Row],[% Housing for older people]]</f>
        <v>0.18529180842711332</v>
      </c>
      <c r="H363" s="28">
        <f xml:space="preserve"> 1 -tblFilterPropType[[#This Row],[% Supported &amp; older people]]</f>
        <v>0.81470819157288665</v>
      </c>
      <c r="I363" s="27">
        <f xml:space="preserve"> INDEX( B363:H363, MATCH( "% " &amp; $H$216, tblFilterPropType[#Headers], 0 ) )</f>
        <v>0.18529180842711332</v>
      </c>
      <c r="J363" s="27">
        <f t="shared" si="48"/>
        <v>0.2</v>
      </c>
      <c r="K363" s="24">
        <f xml:space="preserve"> IF( PropTypeOnOff = "Yes - pick", -- IF( $H$217 = "Minimum", tblFilterPropType[[#This Row],[Selected Prop Type %]] &gt;= tblFilterPropType[[#This Row],[Cut-off]], tblFilterPropType[[#This Row],[Selected Prop Type %]] &lt;= tblFilterPropType[[#This Row],[Cut-off]] ), 1 )</f>
        <v>1</v>
      </c>
    </row>
    <row r="364" spans="2:11" x14ac:dyDescent="0.2">
      <c r="B364" s="122" t="str" vm="145">
        <f t="shared" si="49"/>
        <v>Saxon Weald</v>
      </c>
      <c r="C364" s="122" t="str" vm="358">
        <f t="shared" si="47"/>
        <v>L4299</v>
      </c>
      <c r="D364" s="81">
        <f t="shared" si="50"/>
        <v>145</v>
      </c>
      <c r="E364" s="27" cm="1">
        <f t="array" ref="E364" xml:space="preserve"> INDEX( VfM_Metrics_2023_Consol_Source[], $D364, E$218 )</f>
        <v>3.114754098360656E-3</v>
      </c>
      <c r="F364" s="27" cm="1">
        <f t="array" ref="F364" xml:space="preserve"> INDEX( VfM_Metrics_2023_Consol_Source[], $D364, F$218 )</f>
        <v>0.20885245901639343</v>
      </c>
      <c r="G364" s="27">
        <f xml:space="preserve"> tblFilterPropType[[#This Row],[% Supported housing (excl. HOP)]] + tblFilterPropType[[#This Row],[% Housing for older people]]</f>
        <v>0.21196721311475408</v>
      </c>
      <c r="H364" s="28">
        <f xml:space="preserve"> 1 -tblFilterPropType[[#This Row],[% Supported &amp; older people]]</f>
        <v>0.78803278688524592</v>
      </c>
      <c r="I364" s="27">
        <f xml:space="preserve"> INDEX( B364:H364, MATCH( "% " &amp; $H$216, tblFilterPropType[#Headers], 0 ) )</f>
        <v>0.21196721311475408</v>
      </c>
      <c r="J364" s="27">
        <f t="shared" si="48"/>
        <v>0.2</v>
      </c>
      <c r="K364" s="24">
        <f xml:space="preserve"> IF( PropTypeOnOff = "Yes - pick", -- IF( $H$217 = "Minimum", tblFilterPropType[[#This Row],[Selected Prop Type %]] &gt;= tblFilterPropType[[#This Row],[Cut-off]], tblFilterPropType[[#This Row],[Selected Prop Type %]] &lt;= tblFilterPropType[[#This Row],[Cut-off]] ), 1 )</f>
        <v>1</v>
      </c>
    </row>
    <row r="365" spans="2:11" x14ac:dyDescent="0.2">
      <c r="B365" s="122" t="str" vm="146">
        <f t="shared" si="49"/>
        <v>Selwood Housing Society Limited</v>
      </c>
      <c r="C365" s="122" t="str" vm="375">
        <f t="shared" si="47"/>
        <v>LH4097</v>
      </c>
      <c r="D365" s="81">
        <f t="shared" si="50"/>
        <v>146</v>
      </c>
      <c r="E365" s="27" cm="1">
        <f t="array" ref="E365" xml:space="preserve"> INDEX( VfM_Metrics_2023_Consol_Source[], $D365, E$218 )</f>
        <v>1.1590843233845263E-2</v>
      </c>
      <c r="F365" s="27" cm="1">
        <f t="array" ref="F365" xml:space="preserve"> INDEX( VfM_Metrics_2023_Consol_Source[], $D365, F$218 )</f>
        <v>0.20501303969863807</v>
      </c>
      <c r="G365" s="27">
        <f xml:space="preserve"> tblFilterPropType[[#This Row],[% Supported housing (excl. HOP)]] + tblFilterPropType[[#This Row],[% Housing for older people]]</f>
        <v>0.21660388293248334</v>
      </c>
      <c r="H365" s="28">
        <f xml:space="preserve"> 1 -tblFilterPropType[[#This Row],[% Supported &amp; older people]]</f>
        <v>0.78339611706751666</v>
      </c>
      <c r="I365" s="27">
        <f xml:space="preserve"> INDEX( B365:H365, MATCH( "% " &amp; $H$216, tblFilterPropType[#Headers], 0 ) )</f>
        <v>0.21660388293248334</v>
      </c>
      <c r="J365" s="27">
        <f t="shared" si="48"/>
        <v>0.2</v>
      </c>
      <c r="K365" s="24">
        <f xml:space="preserve"> IF( PropTypeOnOff = "Yes - pick", -- IF( $H$217 = "Minimum", tblFilterPropType[[#This Row],[Selected Prop Type %]] &gt;= tblFilterPropType[[#This Row],[Cut-off]], tblFilterPropType[[#This Row],[Selected Prop Type %]] &lt;= tblFilterPropType[[#This Row],[Cut-off]] ), 1 )</f>
        <v>1</v>
      </c>
    </row>
    <row r="366" spans="2:11" x14ac:dyDescent="0.2">
      <c r="B366" s="122" t="str" vm="147">
        <f t="shared" si="49"/>
        <v>Settle Group</v>
      </c>
      <c r="C366" s="122" t="str" vm="353">
        <f t="shared" si="47"/>
        <v>L4370</v>
      </c>
      <c r="D366" s="81">
        <f t="shared" si="50"/>
        <v>147</v>
      </c>
      <c r="E366" s="27" cm="1">
        <f t="array" ref="E366" xml:space="preserve"> INDEX( VfM_Metrics_2023_Consol_Source[], $D366, E$218 )</f>
        <v>1.1504327818560315E-2</v>
      </c>
      <c r="F366" s="27" cm="1">
        <f t="array" ref="F366" xml:space="preserve"> INDEX( VfM_Metrics_2023_Consol_Source[], $D366, F$218 )</f>
        <v>8.4803330776816038E-2</v>
      </c>
      <c r="G366" s="27">
        <f xml:space="preserve"> tblFilterPropType[[#This Row],[% Supported housing (excl. HOP)]] + tblFilterPropType[[#This Row],[% Housing for older people]]</f>
        <v>9.630765859537635E-2</v>
      </c>
      <c r="H366" s="28">
        <f xml:space="preserve"> 1 -tblFilterPropType[[#This Row],[% Supported &amp; older people]]</f>
        <v>0.90369234140462362</v>
      </c>
      <c r="I366" s="27">
        <f xml:space="preserve"> INDEX( B366:H366, MATCH( "% " &amp; $H$216, tblFilterPropType[#Headers], 0 ) )</f>
        <v>9.630765859537635E-2</v>
      </c>
      <c r="J366" s="27">
        <f t="shared" si="48"/>
        <v>0.2</v>
      </c>
      <c r="K366" s="24">
        <f xml:space="preserve"> IF( PropTypeOnOff = "Yes - pick", -- IF( $H$217 = "Minimum", tblFilterPropType[[#This Row],[Selected Prop Type %]] &gt;= tblFilterPropType[[#This Row],[Cut-off]], tblFilterPropType[[#This Row],[Selected Prop Type %]] &lt;= tblFilterPropType[[#This Row],[Cut-off]] ), 1 )</f>
        <v>1</v>
      </c>
    </row>
    <row r="367" spans="2:11" x14ac:dyDescent="0.2">
      <c r="B367" s="122" t="str" vm="148">
        <f t="shared" si="49"/>
        <v>Shepherds Bush Housing Association Limited</v>
      </c>
      <c r="C367" s="122" t="str" vm="306">
        <f t="shared" si="47"/>
        <v>LH0050</v>
      </c>
      <c r="D367" s="81">
        <f t="shared" si="50"/>
        <v>148</v>
      </c>
      <c r="E367" s="27" cm="1">
        <f t="array" ref="E367" xml:space="preserve"> INDEX( VfM_Metrics_2023_Consol_Source[], $D367, E$218 )</f>
        <v>4.5840787119856889E-2</v>
      </c>
      <c r="F367" s="27" cm="1">
        <f t="array" ref="F367" xml:space="preserve"> INDEX( VfM_Metrics_2023_Consol_Source[], $D367, F$218 )</f>
        <v>1.6323792486583184E-2</v>
      </c>
      <c r="G367" s="27">
        <f xml:space="preserve"> tblFilterPropType[[#This Row],[% Supported housing (excl. HOP)]] + tblFilterPropType[[#This Row],[% Housing for older people]]</f>
        <v>6.2164579606440076E-2</v>
      </c>
      <c r="H367" s="28">
        <f xml:space="preserve"> 1 -tblFilterPropType[[#This Row],[% Supported &amp; older people]]</f>
        <v>0.93783542039355994</v>
      </c>
      <c r="I367" s="27">
        <f xml:space="preserve"> INDEX( B367:H367, MATCH( "% " &amp; $H$216, tblFilterPropType[#Headers], 0 ) )</f>
        <v>6.2164579606440076E-2</v>
      </c>
      <c r="J367" s="27">
        <f t="shared" si="48"/>
        <v>0.2</v>
      </c>
      <c r="K367" s="24">
        <f xml:space="preserve"> IF( PropTypeOnOff = "Yes - pick", -- IF( $H$217 = "Minimum", tblFilterPropType[[#This Row],[Selected Prop Type %]] &gt;= tblFilterPropType[[#This Row],[Cut-off]], tblFilterPropType[[#This Row],[Selected Prop Type %]] &lt;= tblFilterPropType[[#This Row],[Cut-off]] ), 1 )</f>
        <v>1</v>
      </c>
    </row>
    <row r="368" spans="2:11" x14ac:dyDescent="0.2">
      <c r="B368" s="122" t="str" vm="149">
        <f t="shared" si="49"/>
        <v>Silva Homes Limited</v>
      </c>
      <c r="C368" s="122" t="str" vm="365">
        <f t="shared" si="47"/>
        <v>L4513</v>
      </c>
      <c r="D368" s="81">
        <f t="shared" si="50"/>
        <v>149</v>
      </c>
      <c r="E368" s="27" cm="1">
        <f t="array" ref="E368" xml:space="preserve"> INDEX( VfM_Metrics_2023_Consol_Source[], $D368, E$218 )</f>
        <v>6.7171644990710305E-3</v>
      </c>
      <c r="F368" s="27" cm="1">
        <f t="array" ref="F368" xml:space="preserve"> INDEX( VfM_Metrics_2023_Consol_Source[], $D368, F$218 )</f>
        <v>5.002143775903959E-2</v>
      </c>
      <c r="G368" s="27">
        <f xml:space="preserve"> tblFilterPropType[[#This Row],[% Supported housing (excl. HOP)]] + tblFilterPropType[[#This Row],[% Housing for older people]]</f>
        <v>5.6738602258110622E-2</v>
      </c>
      <c r="H368" s="28">
        <f xml:space="preserve"> 1 -tblFilterPropType[[#This Row],[% Supported &amp; older people]]</f>
        <v>0.94326139774188933</v>
      </c>
      <c r="I368" s="27">
        <f xml:space="preserve"> INDEX( B368:H368, MATCH( "% " &amp; $H$216, tblFilterPropType[#Headers], 0 ) )</f>
        <v>5.6738602258110622E-2</v>
      </c>
      <c r="J368" s="27">
        <f t="shared" si="48"/>
        <v>0.2</v>
      </c>
      <c r="K368" s="24">
        <f xml:space="preserve"> IF( PropTypeOnOff = "Yes - pick", -- IF( $H$217 = "Minimum", tblFilterPropType[[#This Row],[Selected Prop Type %]] &gt;= tblFilterPropType[[#This Row],[Cut-off]], tblFilterPropType[[#This Row],[Selected Prop Type %]] &lt;= tblFilterPropType[[#This Row],[Cut-off]] ), 1 )</f>
        <v>1</v>
      </c>
    </row>
    <row r="369" spans="2:11" x14ac:dyDescent="0.2">
      <c r="B369" s="122" t="str" vm="150">
        <f t="shared" si="49"/>
        <v>Soha Housing Limited</v>
      </c>
      <c r="C369" s="122" t="str" vm="380">
        <f t="shared" si="47"/>
        <v>L4130</v>
      </c>
      <c r="D369" s="81">
        <f t="shared" si="50"/>
        <v>150</v>
      </c>
      <c r="E369" s="27" cm="1">
        <f t="array" ref="E369" xml:space="preserve"> INDEX( VfM_Metrics_2023_Consol_Source[], $D369, E$218 )</f>
        <v>1.3331500824628917E-2</v>
      </c>
      <c r="F369" s="27" cm="1">
        <f t="array" ref="F369" xml:space="preserve"> INDEX( VfM_Metrics_2023_Consol_Source[], $D369, F$218 )</f>
        <v>7.6140736668499173E-2</v>
      </c>
      <c r="G369" s="27">
        <f xml:space="preserve"> tblFilterPropType[[#This Row],[% Supported housing (excl. HOP)]] + tblFilterPropType[[#This Row],[% Housing for older people]]</f>
        <v>8.947223749312809E-2</v>
      </c>
      <c r="H369" s="28">
        <f xml:space="preserve"> 1 -tblFilterPropType[[#This Row],[% Supported &amp; older people]]</f>
        <v>0.91052776250687195</v>
      </c>
      <c r="I369" s="27">
        <f xml:space="preserve"> INDEX( B369:H369, MATCH( "% " &amp; $H$216, tblFilterPropType[#Headers], 0 ) )</f>
        <v>8.947223749312809E-2</v>
      </c>
      <c r="J369" s="27">
        <f t="shared" si="48"/>
        <v>0.2</v>
      </c>
      <c r="K369" s="24">
        <f xml:space="preserve"> IF( PropTypeOnOff = "Yes - pick", -- IF( $H$217 = "Minimum", tblFilterPropType[[#This Row],[Selected Prop Type %]] &gt;= tblFilterPropType[[#This Row],[Cut-off]], tblFilterPropType[[#This Row],[Selected Prop Type %]] &lt;= tblFilterPropType[[#This Row],[Cut-off]] ), 1 )</f>
        <v>1</v>
      </c>
    </row>
    <row r="370" spans="2:11" x14ac:dyDescent="0.2">
      <c r="B370" s="122" t="str" vm="151">
        <f t="shared" si="49"/>
        <v>South Lakes Housing</v>
      </c>
      <c r="C370" s="122" t="str" vm="320">
        <f t="shared" si="47"/>
        <v>4686</v>
      </c>
      <c r="D370" s="81">
        <f t="shared" si="50"/>
        <v>151</v>
      </c>
      <c r="E370" s="27" cm="1">
        <f t="array" ref="E370" xml:space="preserve"> INDEX( VfM_Metrics_2023_Consol_Source[], $D370, E$218 )</f>
        <v>0</v>
      </c>
      <c r="F370" s="27" cm="1">
        <f t="array" ref="F370" xml:space="preserve"> INDEX( VfM_Metrics_2023_Consol_Source[], $D370, F$218 )</f>
        <v>0.12855831037649221</v>
      </c>
      <c r="G370" s="27">
        <f xml:space="preserve"> tblFilterPropType[[#This Row],[% Supported housing (excl. HOP)]] + tblFilterPropType[[#This Row],[% Housing for older people]]</f>
        <v>0.12855831037649221</v>
      </c>
      <c r="H370" s="28">
        <f xml:space="preserve"> 1 -tblFilterPropType[[#This Row],[% Supported &amp; older people]]</f>
        <v>0.87144168962350776</v>
      </c>
      <c r="I370" s="27">
        <f xml:space="preserve"> INDEX( B370:H370, MATCH( "% " &amp; $H$216, tblFilterPropType[#Headers], 0 ) )</f>
        <v>0.12855831037649221</v>
      </c>
      <c r="J370" s="27">
        <f t="shared" si="48"/>
        <v>0.2</v>
      </c>
      <c r="K370" s="24">
        <f xml:space="preserve"> IF( PropTypeOnOff = "Yes - pick", -- IF( $H$217 = "Minimum", tblFilterPropType[[#This Row],[Selected Prop Type %]] &gt;= tblFilterPropType[[#This Row],[Cut-off]], tblFilterPropType[[#This Row],[Selected Prop Type %]] &lt;= tblFilterPropType[[#This Row],[Cut-off]] ), 1 )</f>
        <v>1</v>
      </c>
    </row>
    <row r="371" spans="2:11" x14ac:dyDescent="0.2">
      <c r="B371" s="122" t="str" vm="152">
        <f t="shared" si="49"/>
        <v>South Liverpool Homes Limited</v>
      </c>
      <c r="C371" s="122" t="str" vm="331">
        <f t="shared" si="47"/>
        <v>L4230</v>
      </c>
      <c r="D371" s="81">
        <f t="shared" si="50"/>
        <v>152</v>
      </c>
      <c r="E371" s="27" cm="1">
        <f t="array" ref="E371" xml:space="preserve"> INDEX( VfM_Metrics_2023_Consol_Source[], $D371, E$218 )</f>
        <v>7.8308535630383712E-4</v>
      </c>
      <c r="F371" s="27" cm="1">
        <f t="array" ref="F371" xml:space="preserve"> INDEX( VfM_Metrics_2023_Consol_Source[], $D371, F$218 )</f>
        <v>3.0801357347950926E-2</v>
      </c>
      <c r="G371" s="27">
        <f xml:space="preserve"> tblFilterPropType[[#This Row],[% Supported housing (excl. HOP)]] + tblFilterPropType[[#This Row],[% Housing for older people]]</f>
        <v>3.1584442704254763E-2</v>
      </c>
      <c r="H371" s="28">
        <f xml:space="preserve"> 1 -tblFilterPropType[[#This Row],[% Supported &amp; older people]]</f>
        <v>0.96841555729574524</v>
      </c>
      <c r="I371" s="27">
        <f xml:space="preserve"> INDEX( B371:H371, MATCH( "% " &amp; $H$216, tblFilterPropType[#Headers], 0 ) )</f>
        <v>3.1584442704254763E-2</v>
      </c>
      <c r="J371" s="27">
        <f t="shared" si="48"/>
        <v>0.2</v>
      </c>
      <c r="K371" s="24">
        <f xml:space="preserve"> IF( PropTypeOnOff = "Yes - pick", -- IF( $H$217 = "Minimum", tblFilterPropType[[#This Row],[Selected Prop Type %]] &gt;= tblFilterPropType[[#This Row],[Cut-off]], tblFilterPropType[[#This Row],[Selected Prop Type %]] &lt;= tblFilterPropType[[#This Row],[Cut-off]] ), 1 )</f>
        <v>1</v>
      </c>
    </row>
    <row r="372" spans="2:11" x14ac:dyDescent="0.2">
      <c r="B372" s="122" t="str" vm="153">
        <f t="shared" si="49"/>
        <v>South Yorkshire Housing Association Limited</v>
      </c>
      <c r="C372" s="122" t="str" vm="354">
        <f t="shared" si="47"/>
        <v>L0078</v>
      </c>
      <c r="D372" s="81">
        <f t="shared" si="50"/>
        <v>153</v>
      </c>
      <c r="E372" s="27" cm="1">
        <f t="array" ref="E372" xml:space="preserve"> INDEX( VfM_Metrics_2023_Consol_Source[], $D372, E$218 )</f>
        <v>0.18340449229626879</v>
      </c>
      <c r="F372" s="27" cm="1">
        <f t="array" ref="F372" xml:space="preserve"> INDEX( VfM_Metrics_2023_Consol_Source[], $D372, F$218 )</f>
        <v>5.810284017078151E-2</v>
      </c>
      <c r="G372" s="27">
        <f xml:space="preserve"> tblFilterPropType[[#This Row],[% Supported housing (excl. HOP)]] + tblFilterPropType[[#This Row],[% Housing for older people]]</f>
        <v>0.24150733246705031</v>
      </c>
      <c r="H372" s="28">
        <f xml:space="preserve"> 1 -tblFilterPropType[[#This Row],[% Supported &amp; older people]]</f>
        <v>0.75849266753294975</v>
      </c>
      <c r="I372" s="27">
        <f xml:space="preserve"> INDEX( B372:H372, MATCH( "% " &amp; $H$216, tblFilterPropType[#Headers], 0 ) )</f>
        <v>0.24150733246705031</v>
      </c>
      <c r="J372" s="27">
        <f t="shared" si="48"/>
        <v>0.2</v>
      </c>
      <c r="K372" s="24">
        <f xml:space="preserve"> IF( PropTypeOnOff = "Yes - pick", -- IF( $H$217 = "Minimum", tblFilterPropType[[#This Row],[Selected Prop Type %]] &gt;= tblFilterPropType[[#This Row],[Cut-off]], tblFilterPropType[[#This Row],[Selected Prop Type %]] &lt;= tblFilterPropType[[#This Row],[Cut-off]] ), 1 )</f>
        <v>1</v>
      </c>
    </row>
    <row r="373" spans="2:11" x14ac:dyDescent="0.2">
      <c r="B373" s="122" t="str" vm="154">
        <f t="shared" si="49"/>
        <v>Southern Housing</v>
      </c>
      <c r="C373" s="122" t="str" vm="244">
        <f t="shared" si="47"/>
        <v>5171</v>
      </c>
      <c r="D373" s="81">
        <f t="shared" si="50"/>
        <v>154</v>
      </c>
      <c r="E373" s="27" cm="1">
        <f t="array" ref="E373" xml:space="preserve"> INDEX( VfM_Metrics_2023_Consol_Source[], $D373, E$218 )</f>
        <v>2.4066157172804251E-2</v>
      </c>
      <c r="F373" s="27" cm="1">
        <f t="array" ref="F373" xml:space="preserve"> INDEX( VfM_Metrics_2023_Consol_Source[], $D373, F$218 )</f>
        <v>9.4614000627238667E-2</v>
      </c>
      <c r="G373" s="27">
        <f xml:space="preserve"> tblFilterPropType[[#This Row],[% Supported housing (excl. HOP)]] + tblFilterPropType[[#This Row],[% Housing for older people]]</f>
        <v>0.11868015780004292</v>
      </c>
      <c r="H373" s="28">
        <f xml:space="preserve"> 1 -tblFilterPropType[[#This Row],[% Supported &amp; older people]]</f>
        <v>0.88131984219995707</v>
      </c>
      <c r="I373" s="27">
        <f xml:space="preserve"> INDEX( B373:H373, MATCH( "% " &amp; $H$216, tblFilterPropType[#Headers], 0 ) )</f>
        <v>0.11868015780004292</v>
      </c>
      <c r="J373" s="27">
        <f t="shared" si="48"/>
        <v>0.2</v>
      </c>
      <c r="K373" s="24">
        <f xml:space="preserve"> IF( PropTypeOnOff = "Yes - pick", -- IF( $H$217 = "Minimum", tblFilterPropType[[#This Row],[Selected Prop Type %]] &gt;= tblFilterPropType[[#This Row],[Cut-off]], tblFilterPropType[[#This Row],[Selected Prop Type %]] &lt;= tblFilterPropType[[#This Row],[Cut-off]] ), 1 )</f>
        <v>1</v>
      </c>
    </row>
    <row r="374" spans="2:11" x14ac:dyDescent="0.2">
      <c r="B374" s="122" t="str" vm="155">
        <f t="shared" si="49"/>
        <v>Southway Housing Trust (Manchester) Limited</v>
      </c>
      <c r="C374" s="122" t="str" vm="382">
        <f t="shared" si="47"/>
        <v>L4507</v>
      </c>
      <c r="D374" s="81">
        <f t="shared" si="50"/>
        <v>155</v>
      </c>
      <c r="E374" s="27" cm="1">
        <f t="array" ref="E374" xml:space="preserve"> INDEX( VfM_Metrics_2023_Consol_Source[], $D374, E$218 )</f>
        <v>0</v>
      </c>
      <c r="F374" s="27" cm="1">
        <f t="array" ref="F374" xml:space="preserve"> INDEX( VfM_Metrics_2023_Consol_Source[], $D374, F$218 )</f>
        <v>3.6073134574205239E-2</v>
      </c>
      <c r="G374" s="27">
        <f xml:space="preserve"> tblFilterPropType[[#This Row],[% Supported housing (excl. HOP)]] + tblFilterPropType[[#This Row],[% Housing for older people]]</f>
        <v>3.6073134574205239E-2</v>
      </c>
      <c r="H374" s="28">
        <f xml:space="preserve"> 1 -tblFilterPropType[[#This Row],[% Supported &amp; older people]]</f>
        <v>0.96392686542579475</v>
      </c>
      <c r="I374" s="27">
        <f xml:space="preserve"> INDEX( B374:H374, MATCH( "% " &amp; $H$216, tblFilterPropType[#Headers], 0 ) )</f>
        <v>3.6073134574205239E-2</v>
      </c>
      <c r="J374" s="27">
        <f t="shared" si="48"/>
        <v>0.2</v>
      </c>
      <c r="K374" s="24">
        <f xml:space="preserve"> IF( PropTypeOnOff = "Yes - pick", -- IF( $H$217 = "Minimum", tblFilterPropType[[#This Row],[Selected Prop Type %]] &gt;= tblFilterPropType[[#This Row],[Cut-off]], tblFilterPropType[[#This Row],[Selected Prop Type %]] &lt;= tblFilterPropType[[#This Row],[Cut-off]] ), 1 )</f>
        <v>1</v>
      </c>
    </row>
    <row r="375" spans="2:11" x14ac:dyDescent="0.2">
      <c r="B375" s="122" t="str" vm="156">
        <f t="shared" si="49"/>
        <v>Sovereign Housing Association Limited</v>
      </c>
      <c r="C375" s="122" t="str" vm="252">
        <f t="shared" si="47"/>
        <v>4837</v>
      </c>
      <c r="D375" s="81">
        <f t="shared" si="50"/>
        <v>156</v>
      </c>
      <c r="E375" s="27" cm="1">
        <f t="array" ref="E375" xml:space="preserve"> INDEX( VfM_Metrics_2023_Consol_Source[], $D375, E$218 )</f>
        <v>1.9687795316929754E-2</v>
      </c>
      <c r="F375" s="27" cm="1">
        <f t="array" ref="F375" xml:space="preserve"> INDEX( VfM_Metrics_2023_Consol_Source[], $D375, F$218 )</f>
        <v>3.900808512127682E-2</v>
      </c>
      <c r="G375" s="27">
        <f xml:space="preserve"> tblFilterPropType[[#This Row],[% Supported housing (excl. HOP)]] + tblFilterPropType[[#This Row],[% Housing for older people]]</f>
        <v>5.8695880438206574E-2</v>
      </c>
      <c r="H375" s="28">
        <f xml:space="preserve"> 1 -tblFilterPropType[[#This Row],[% Supported &amp; older people]]</f>
        <v>0.94130411956179338</v>
      </c>
      <c r="I375" s="27">
        <f xml:space="preserve"> INDEX( B375:H375, MATCH( "% " &amp; $H$216, tblFilterPropType[#Headers], 0 ) )</f>
        <v>5.8695880438206574E-2</v>
      </c>
      <c r="J375" s="27">
        <f t="shared" si="48"/>
        <v>0.2</v>
      </c>
      <c r="K375" s="24">
        <f xml:space="preserve"> IF( PropTypeOnOff = "Yes - pick", -- IF( $H$217 = "Minimum", tblFilterPropType[[#This Row],[Selected Prop Type %]] &gt;= tblFilterPropType[[#This Row],[Cut-off]], tblFilterPropType[[#This Row],[Selected Prop Type %]] &lt;= tblFilterPropType[[#This Row],[Cut-off]] ), 1 )</f>
        <v>1</v>
      </c>
    </row>
    <row r="376" spans="2:11" x14ac:dyDescent="0.2">
      <c r="B376" s="122" t="str" vm="157">
        <f t="shared" si="49"/>
        <v>Sovereign Network Homes</v>
      </c>
      <c r="C376" s="122" t="str" vm="271">
        <f t="shared" si="47"/>
        <v>4825</v>
      </c>
      <c r="D376" s="81">
        <f t="shared" si="50"/>
        <v>157</v>
      </c>
      <c r="E376" s="27" cm="1">
        <f t="array" ref="E376" xml:space="preserve"> INDEX( VfM_Metrics_2023_Consol_Source[], $D376, E$218 )</f>
        <v>1.883969634842356E-2</v>
      </c>
      <c r="F376" s="27" cm="1">
        <f t="array" ref="F376" xml:space="preserve"> INDEX( VfM_Metrics_2023_Consol_Source[], $D376, F$218 )</f>
        <v>7.9348368149830997E-2</v>
      </c>
      <c r="G376" s="27">
        <f xml:space="preserve"> tblFilterPropType[[#This Row],[% Supported housing (excl. HOP)]] + tblFilterPropType[[#This Row],[% Housing for older people]]</f>
        <v>9.8188064498254554E-2</v>
      </c>
      <c r="H376" s="28">
        <f xml:space="preserve"> 1 -tblFilterPropType[[#This Row],[% Supported &amp; older people]]</f>
        <v>0.90181193550174543</v>
      </c>
      <c r="I376" s="27">
        <f xml:space="preserve"> INDEX( B376:H376, MATCH( "% " &amp; $H$216, tblFilterPropType[#Headers], 0 ) )</f>
        <v>9.8188064498254554E-2</v>
      </c>
      <c r="J376" s="27">
        <f t="shared" si="48"/>
        <v>0.2</v>
      </c>
      <c r="K376" s="24">
        <f xml:space="preserve"> IF( PropTypeOnOff = "Yes - pick", -- IF( $H$217 = "Minimum", tblFilterPropType[[#This Row],[Selected Prop Type %]] &gt;= tblFilterPropType[[#This Row],[Cut-off]], tblFilterPropType[[#This Row],[Selected Prop Type %]] &lt;= tblFilterPropType[[#This Row],[Cut-off]] ), 1 )</f>
        <v>1</v>
      </c>
    </row>
    <row r="377" spans="2:11" x14ac:dyDescent="0.2">
      <c r="B377" s="122" t="str" vm="158">
        <f t="shared" si="49"/>
        <v>St Mungo Community Housing Association</v>
      </c>
      <c r="C377" s="122" t="str" vm="202">
        <f t="shared" si="47"/>
        <v>LH0279</v>
      </c>
      <c r="D377" s="81">
        <f t="shared" si="50"/>
        <v>158</v>
      </c>
      <c r="E377" s="27" cm="1">
        <f t="array" ref="E377" xml:space="preserve"> INDEX( VfM_Metrics_2023_Consol_Source[], $D377, E$218 )</f>
        <v>0.82561463693539161</v>
      </c>
      <c r="F377" s="27" cm="1">
        <f t="array" ref="F377" xml:space="preserve"> INDEX( VfM_Metrics_2023_Consol_Source[], $D377, F$218 )</f>
        <v>0</v>
      </c>
      <c r="G377" s="27">
        <f xml:space="preserve"> tblFilterPropType[[#This Row],[% Supported housing (excl. HOP)]] + tblFilterPropType[[#This Row],[% Housing for older people]]</f>
        <v>0.82561463693539161</v>
      </c>
      <c r="H377" s="28">
        <f xml:space="preserve"> 1 -tblFilterPropType[[#This Row],[% Supported &amp; older people]]</f>
        <v>0.17438536306460839</v>
      </c>
      <c r="I377" s="27">
        <f xml:space="preserve"> INDEX( B377:H377, MATCH( "% " &amp; $H$216, tblFilterPropType[#Headers], 0 ) )</f>
        <v>0.82561463693539161</v>
      </c>
      <c r="J377" s="27">
        <f t="shared" si="48"/>
        <v>0.2</v>
      </c>
      <c r="K377" s="24">
        <f xml:space="preserve"> IF( PropTypeOnOff = "Yes - pick", -- IF( $H$217 = "Minimum", tblFilterPropType[[#This Row],[Selected Prop Type %]] &gt;= tblFilterPropType[[#This Row],[Cut-off]], tblFilterPropType[[#This Row],[Selected Prop Type %]] &lt;= tblFilterPropType[[#This Row],[Cut-off]] ), 1 )</f>
        <v>1</v>
      </c>
    </row>
    <row r="378" spans="2:11" x14ac:dyDescent="0.2">
      <c r="B378" s="122" t="str" vm="159">
        <f t="shared" si="49"/>
        <v>Stonewater Limited</v>
      </c>
      <c r="C378" s="122" t="str" vm="261">
        <f t="shared" si="47"/>
        <v>L1556</v>
      </c>
      <c r="D378" s="81">
        <f t="shared" si="50"/>
        <v>159</v>
      </c>
      <c r="E378" s="27" cm="1">
        <f t="array" ref="E378" xml:space="preserve"> INDEX( VfM_Metrics_2023_Consol_Source[], $D378, E$218 )</f>
        <v>1.9426546391752578E-2</v>
      </c>
      <c r="F378" s="27" cm="1">
        <f t="array" ref="F378" xml:space="preserve"> INDEX( VfM_Metrics_2023_Consol_Source[], $D378, F$218 )</f>
        <v>7.6997422680412375E-2</v>
      </c>
      <c r="G378" s="27">
        <f xml:space="preserve"> tblFilterPropType[[#This Row],[% Supported housing (excl. HOP)]] + tblFilterPropType[[#This Row],[% Housing for older people]]</f>
        <v>9.6423969072164953E-2</v>
      </c>
      <c r="H378" s="28">
        <f xml:space="preserve"> 1 -tblFilterPropType[[#This Row],[% Supported &amp; older people]]</f>
        <v>0.90357603092783501</v>
      </c>
      <c r="I378" s="27">
        <f xml:space="preserve"> INDEX( B378:H378, MATCH( "% " &amp; $H$216, tblFilterPropType[#Headers], 0 ) )</f>
        <v>9.6423969072164953E-2</v>
      </c>
      <c r="J378" s="27">
        <f t="shared" si="48"/>
        <v>0.2</v>
      </c>
      <c r="K378" s="24">
        <f xml:space="preserve"> IF( PropTypeOnOff = "Yes - pick", -- IF( $H$217 = "Minimum", tblFilterPropType[[#This Row],[Selected Prop Type %]] &gt;= tblFilterPropType[[#This Row],[Cut-off]], tblFilterPropType[[#This Row],[Selected Prop Type %]] &lt;= tblFilterPropType[[#This Row],[Cut-off]] ), 1 )</f>
        <v>1</v>
      </c>
    </row>
    <row r="379" spans="2:11" x14ac:dyDescent="0.2">
      <c r="B379" s="122" t="str" vm="160">
        <f t="shared" si="49"/>
        <v>Sustain (UK) Ltd</v>
      </c>
      <c r="C379" s="122" t="str" vm="209">
        <f t="shared" si="47"/>
        <v>4687</v>
      </c>
      <c r="D379" s="81">
        <f t="shared" si="50"/>
        <v>160</v>
      </c>
      <c r="E379" s="27" cm="1">
        <f t="array" ref="E379" xml:space="preserve"> INDEX( VfM_Metrics_2023_Consol_Source[], $D379, E$218 )</f>
        <v>1</v>
      </c>
      <c r="F379" s="27" cm="1">
        <f t="array" ref="F379" xml:space="preserve"> INDEX( VfM_Metrics_2023_Consol_Source[], $D379, F$218 )</f>
        <v>0</v>
      </c>
      <c r="G379" s="27">
        <f xml:space="preserve"> tblFilterPropType[[#This Row],[% Supported housing (excl. HOP)]] + tblFilterPropType[[#This Row],[% Housing for older people]]</f>
        <v>1</v>
      </c>
      <c r="H379" s="28">
        <f xml:space="preserve"> 1 -tblFilterPropType[[#This Row],[% Supported &amp; older people]]</f>
        <v>0</v>
      </c>
      <c r="I379" s="27">
        <f xml:space="preserve"> INDEX( B379:H379, MATCH( "% " &amp; $H$216, tblFilterPropType[#Headers], 0 ) )</f>
        <v>1</v>
      </c>
      <c r="J379" s="27">
        <f t="shared" si="48"/>
        <v>0.2</v>
      </c>
      <c r="K379" s="24">
        <f xml:space="preserve"> IF( PropTypeOnOff = "Yes - pick", -- IF( $H$217 = "Minimum", tblFilterPropType[[#This Row],[Selected Prop Type %]] &gt;= tblFilterPropType[[#This Row],[Cut-off]], tblFilterPropType[[#This Row],[Selected Prop Type %]] &lt;= tblFilterPropType[[#This Row],[Cut-off]] ), 1 )</f>
        <v>1</v>
      </c>
    </row>
    <row r="380" spans="2:11" x14ac:dyDescent="0.2">
      <c r="B380" s="122" t="str" vm="161">
        <f t="shared" si="49"/>
        <v>Teign Housing</v>
      </c>
      <c r="C380" s="122" t="str" vm="327">
        <f t="shared" ref="C380:C411" si="51" xml:space="preserve"> C176</f>
        <v>LH4403</v>
      </c>
      <c r="D380" s="81">
        <f t="shared" si="50"/>
        <v>161</v>
      </c>
      <c r="E380" s="27" cm="1">
        <f t="array" ref="E380" xml:space="preserve"> INDEX( VfM_Metrics_2023_Consol_Source[], $D380, E$218 )</f>
        <v>0</v>
      </c>
      <c r="F380" s="27" cm="1">
        <f t="array" ref="F380" xml:space="preserve"> INDEX( VfM_Metrics_2023_Consol_Source[], $D380, F$218 )</f>
        <v>0.26466684364215554</v>
      </c>
      <c r="G380" s="27">
        <f xml:space="preserve"> tblFilterPropType[[#This Row],[% Supported housing (excl. HOP)]] + tblFilterPropType[[#This Row],[% Housing for older people]]</f>
        <v>0.26466684364215554</v>
      </c>
      <c r="H380" s="28">
        <f xml:space="preserve"> 1 -tblFilterPropType[[#This Row],[% Supported &amp; older people]]</f>
        <v>0.73533315635784446</v>
      </c>
      <c r="I380" s="27">
        <f xml:space="preserve"> INDEX( B380:H380, MATCH( "% " &amp; $H$216, tblFilterPropType[#Headers], 0 ) )</f>
        <v>0.26466684364215554</v>
      </c>
      <c r="J380" s="27">
        <f t="shared" ref="J380:J411" si="52" xml:space="preserve"> PropTypePercent</f>
        <v>0.2</v>
      </c>
      <c r="K380" s="24">
        <f xml:space="preserve"> IF( PropTypeOnOff = "Yes - pick", -- IF( $H$217 = "Minimum", tblFilterPropType[[#This Row],[Selected Prop Type %]] &gt;= tblFilterPropType[[#This Row],[Cut-off]], tblFilterPropType[[#This Row],[Selected Prop Type %]] &lt;= tblFilterPropType[[#This Row],[Cut-off]] ), 1 )</f>
        <v>1</v>
      </c>
    </row>
    <row r="381" spans="2:11" x14ac:dyDescent="0.2">
      <c r="B381" s="122" t="str" vm="162">
        <f t="shared" ref="B381:B412" si="53" xml:space="preserve"> B177</f>
        <v>Thames Valley Housing Association Limited</v>
      </c>
      <c r="C381" s="122" t="str" vm="247">
        <f t="shared" si="51"/>
        <v>L0514</v>
      </c>
      <c r="D381" s="81">
        <f t="shared" ref="D381:D412" si="54" xml:space="preserve"> D177</f>
        <v>162</v>
      </c>
      <c r="E381" s="27" cm="1">
        <f t="array" ref="E381" xml:space="preserve"> INDEX( VfM_Metrics_2023_Consol_Source[], $D381, E$218 )</f>
        <v>4.2970985779069257E-2</v>
      </c>
      <c r="F381" s="27" cm="1">
        <f t="array" ref="F381" xml:space="preserve"> INDEX( VfM_Metrics_2023_Consol_Source[], $D381, F$218 )</f>
        <v>7.1478888742130056E-2</v>
      </c>
      <c r="G381" s="27">
        <f xml:space="preserve"> tblFilterPropType[[#This Row],[% Supported housing (excl. HOP)]] + tblFilterPropType[[#This Row],[% Housing for older people]]</f>
        <v>0.11444987452119931</v>
      </c>
      <c r="H381" s="28">
        <f xml:space="preserve"> 1 -tblFilterPropType[[#This Row],[% Supported &amp; older people]]</f>
        <v>0.88555012547880074</v>
      </c>
      <c r="I381" s="27">
        <f xml:space="preserve"> INDEX( B381:H381, MATCH( "% " &amp; $H$216, tblFilterPropType[#Headers], 0 ) )</f>
        <v>0.11444987452119931</v>
      </c>
      <c r="J381" s="27">
        <f t="shared" si="52"/>
        <v>0.2</v>
      </c>
      <c r="K381" s="24">
        <f xml:space="preserve"> IF( PropTypeOnOff = "Yes - pick", -- IF( $H$217 = "Minimum", tblFilterPropType[[#This Row],[Selected Prop Type %]] &gt;= tblFilterPropType[[#This Row],[Cut-off]], tblFilterPropType[[#This Row],[Selected Prop Type %]] &lt;= tblFilterPropType[[#This Row],[Cut-off]] ), 1 )</f>
        <v>1</v>
      </c>
    </row>
    <row r="382" spans="2:11" x14ac:dyDescent="0.2">
      <c r="B382" s="122" t="str" vm="163">
        <f t="shared" si="53"/>
        <v>The Abbeyfield Society</v>
      </c>
      <c r="C382" s="122" t="str" vm="201">
        <f t="shared" si="51"/>
        <v>H1046</v>
      </c>
      <c r="D382" s="81">
        <f t="shared" si="54"/>
        <v>163</v>
      </c>
      <c r="E382" s="27" cm="1">
        <f t="array" ref="E382" xml:space="preserve"> INDEX( VfM_Metrics_2023_Consol_Source[], $D382, E$218 )</f>
        <v>0</v>
      </c>
      <c r="F382" s="27" cm="1">
        <f t="array" ref="F382" xml:space="preserve"> INDEX( VfM_Metrics_2023_Consol_Source[], $D382, F$218 )</f>
        <v>0.60794780545670224</v>
      </c>
      <c r="G382" s="27">
        <f xml:space="preserve"> tblFilterPropType[[#This Row],[% Supported housing (excl. HOP)]] + tblFilterPropType[[#This Row],[% Housing for older people]]</f>
        <v>0.60794780545670224</v>
      </c>
      <c r="H382" s="28">
        <f xml:space="preserve"> 1 -tblFilterPropType[[#This Row],[% Supported &amp; older people]]</f>
        <v>0.39205219454329776</v>
      </c>
      <c r="I382" s="27">
        <f xml:space="preserve"> INDEX( B382:H382, MATCH( "% " &amp; $H$216, tblFilterPropType[#Headers], 0 ) )</f>
        <v>0.60794780545670224</v>
      </c>
      <c r="J382" s="27">
        <f t="shared" si="52"/>
        <v>0.2</v>
      </c>
      <c r="K382" s="24">
        <f xml:space="preserve"> IF( PropTypeOnOff = "Yes - pick", -- IF( $H$217 = "Minimum", tblFilterPropType[[#This Row],[Selected Prop Type %]] &gt;= tblFilterPropType[[#This Row],[Cut-off]], tblFilterPropType[[#This Row],[Selected Prop Type %]] &lt;= tblFilterPropType[[#This Row],[Cut-off]] ), 1 )</f>
        <v>1</v>
      </c>
    </row>
    <row r="383" spans="2:11" x14ac:dyDescent="0.2">
      <c r="B383" s="122" t="str" vm="164">
        <f t="shared" si="53"/>
        <v>The Cambridge Housing Society Limited</v>
      </c>
      <c r="C383" s="122" t="str" vm="314">
        <f t="shared" si="51"/>
        <v>L0992</v>
      </c>
      <c r="D383" s="81">
        <f t="shared" si="54"/>
        <v>164</v>
      </c>
      <c r="E383" s="27" cm="1">
        <f t="array" ref="E383" xml:space="preserve"> INDEX( VfM_Metrics_2023_Consol_Source[], $D383, E$218 )</f>
        <v>6.2073448163795904E-2</v>
      </c>
      <c r="F383" s="27" cm="1">
        <f t="array" ref="F383" xml:space="preserve"> INDEX( VfM_Metrics_2023_Consol_Source[], $D383, F$218 )</f>
        <v>6.9873253168670782E-2</v>
      </c>
      <c r="G383" s="27">
        <f xml:space="preserve"> tblFilterPropType[[#This Row],[% Supported housing (excl. HOP)]] + tblFilterPropType[[#This Row],[% Housing for older people]]</f>
        <v>0.13194670133246669</v>
      </c>
      <c r="H383" s="28">
        <f xml:space="preserve"> 1 -tblFilterPropType[[#This Row],[% Supported &amp; older people]]</f>
        <v>0.86805329866753334</v>
      </c>
      <c r="I383" s="27">
        <f xml:space="preserve"> INDEX( B383:H383, MATCH( "% " &amp; $H$216, tblFilterPropType[#Headers], 0 ) )</f>
        <v>0.13194670133246669</v>
      </c>
      <c r="J383" s="27">
        <f t="shared" si="52"/>
        <v>0.2</v>
      </c>
      <c r="K383" s="24">
        <f xml:space="preserve"> IF( PropTypeOnOff = "Yes - pick", -- IF( $H$217 = "Minimum", tblFilterPropType[[#This Row],[Selected Prop Type %]] &gt;= tblFilterPropType[[#This Row],[Cut-off]], tblFilterPropType[[#This Row],[Selected Prop Type %]] &lt;= tblFilterPropType[[#This Row],[Cut-off]] ), 1 )</f>
        <v>1</v>
      </c>
    </row>
    <row r="384" spans="2:11" x14ac:dyDescent="0.2">
      <c r="B384" s="122" t="str" vm="165">
        <f t="shared" si="53"/>
        <v>The Community Housing Group Limited</v>
      </c>
      <c r="C384" s="122" t="str" vm="378">
        <f t="shared" si="51"/>
        <v>LH4264</v>
      </c>
      <c r="D384" s="81">
        <f t="shared" si="54"/>
        <v>165</v>
      </c>
      <c r="E384" s="27" cm="1">
        <f t="array" ref="E384" xml:space="preserve"> INDEX( VfM_Metrics_2023_Consol_Source[], $D384, E$218 )</f>
        <v>0.31937779248717524</v>
      </c>
      <c r="F384" s="27" cm="1">
        <f t="array" ref="F384" xml:space="preserve"> INDEX( VfM_Metrics_2023_Consol_Source[], $D384, F$218 )</f>
        <v>0</v>
      </c>
      <c r="G384" s="27">
        <f xml:space="preserve"> tblFilterPropType[[#This Row],[% Supported housing (excl. HOP)]] + tblFilterPropType[[#This Row],[% Housing for older people]]</f>
        <v>0.31937779248717524</v>
      </c>
      <c r="H384" s="28">
        <f xml:space="preserve"> 1 -tblFilterPropType[[#This Row],[% Supported &amp; older people]]</f>
        <v>0.68062220751282476</v>
      </c>
      <c r="I384" s="27">
        <f xml:space="preserve"> INDEX( B384:H384, MATCH( "% " &amp; $H$216, tblFilterPropType[#Headers], 0 ) )</f>
        <v>0.31937779248717524</v>
      </c>
      <c r="J384" s="27">
        <f t="shared" si="52"/>
        <v>0.2</v>
      </c>
      <c r="K384" s="24">
        <f xml:space="preserve"> IF( PropTypeOnOff = "Yes - pick", -- IF( $H$217 = "Minimum", tblFilterPropType[[#This Row],[Selected Prop Type %]] &gt;= tblFilterPropType[[#This Row],[Cut-off]], tblFilterPropType[[#This Row],[Selected Prop Type %]] &lt;= tblFilterPropType[[#This Row],[Cut-off]] ), 1 )</f>
        <v>1</v>
      </c>
    </row>
    <row r="385" spans="2:11" x14ac:dyDescent="0.2">
      <c r="B385" s="122" t="str" vm="166">
        <f t="shared" si="53"/>
        <v>The Guinness Partnership Limited</v>
      </c>
      <c r="C385" s="122" t="str" vm="248">
        <f t="shared" si="51"/>
        <v>4729</v>
      </c>
      <c r="D385" s="81">
        <f t="shared" si="54"/>
        <v>166</v>
      </c>
      <c r="E385" s="27" cm="1">
        <f t="array" ref="E385" xml:space="preserve"> INDEX( VfM_Metrics_2023_Consol_Source[], $D385, E$218 )</f>
        <v>1.290912111646453E-2</v>
      </c>
      <c r="F385" s="27" cm="1">
        <f t="array" ref="F385" xml:space="preserve"> INDEX( VfM_Metrics_2023_Consol_Source[], $D385, F$218 )</f>
        <v>0.12593454062136566</v>
      </c>
      <c r="G385" s="27">
        <f xml:space="preserve"> tblFilterPropType[[#This Row],[% Supported housing (excl. HOP)]] + tblFilterPropType[[#This Row],[% Housing for older people]]</f>
        <v>0.13884366173783019</v>
      </c>
      <c r="H385" s="28">
        <f xml:space="preserve"> 1 -tblFilterPropType[[#This Row],[% Supported &amp; older people]]</f>
        <v>0.86115633826216986</v>
      </c>
      <c r="I385" s="27">
        <f xml:space="preserve"> INDEX( B385:H385, MATCH( "% " &amp; $H$216, tblFilterPropType[#Headers], 0 ) )</f>
        <v>0.13884366173783019</v>
      </c>
      <c r="J385" s="27">
        <f t="shared" si="52"/>
        <v>0.2</v>
      </c>
      <c r="K385" s="24">
        <f xml:space="preserve"> IF( PropTypeOnOff = "Yes - pick", -- IF( $H$217 = "Minimum", tblFilterPropType[[#This Row],[Selected Prop Type %]] &gt;= tblFilterPropType[[#This Row],[Cut-off]], tblFilterPropType[[#This Row],[Selected Prop Type %]] &lt;= tblFilterPropType[[#This Row],[Cut-off]] ), 1 )</f>
        <v>1</v>
      </c>
    </row>
    <row r="386" spans="2:11" x14ac:dyDescent="0.2">
      <c r="B386" s="122" t="str" vm="167">
        <f t="shared" si="53"/>
        <v>The Havebury Housing Partnership</v>
      </c>
      <c r="C386" s="122" t="str" vm="374">
        <f t="shared" si="51"/>
        <v>LH4339</v>
      </c>
      <c r="D386" s="81">
        <f t="shared" si="54"/>
        <v>167</v>
      </c>
      <c r="E386" s="27" cm="1">
        <f t="array" ref="E386" xml:space="preserve"> INDEX( VfM_Metrics_2023_Consol_Source[], $D386, E$218 )</f>
        <v>1.364522417153996E-2</v>
      </c>
      <c r="F386" s="27" cm="1">
        <f t="array" ref="F386" xml:space="preserve"> INDEX( VfM_Metrics_2023_Consol_Source[], $D386, F$218 )</f>
        <v>3.6758563074352546E-2</v>
      </c>
      <c r="G386" s="27">
        <f xml:space="preserve"> tblFilterPropType[[#This Row],[% Supported housing (excl. HOP)]] + tblFilterPropType[[#This Row],[% Housing for older people]]</f>
        <v>5.0403787245892506E-2</v>
      </c>
      <c r="H386" s="28">
        <f xml:space="preserve"> 1 -tblFilterPropType[[#This Row],[% Supported &amp; older people]]</f>
        <v>0.94959621275410755</v>
      </c>
      <c r="I386" s="27">
        <f xml:space="preserve"> INDEX( B386:H386, MATCH( "% " &amp; $H$216, tblFilterPropType[#Headers], 0 ) )</f>
        <v>5.0403787245892506E-2</v>
      </c>
      <c r="J386" s="27">
        <f t="shared" si="52"/>
        <v>0.2</v>
      </c>
      <c r="K386" s="24">
        <f xml:space="preserve"> IF( PropTypeOnOff = "Yes - pick", -- IF( $H$217 = "Minimum", tblFilterPropType[[#This Row],[Selected Prop Type %]] &gt;= tblFilterPropType[[#This Row],[Cut-off]], tblFilterPropType[[#This Row],[Selected Prop Type %]] &lt;= tblFilterPropType[[#This Row],[Cut-off]] ), 1 )</f>
        <v>1</v>
      </c>
    </row>
    <row r="387" spans="2:11" x14ac:dyDescent="0.2">
      <c r="B387" s="122" t="str" vm="168">
        <f t="shared" si="53"/>
        <v>The Housing Plus Group Limited</v>
      </c>
      <c r="C387" s="122" t="str" vm="293">
        <f t="shared" si="51"/>
        <v>L4491</v>
      </c>
      <c r="D387" s="81">
        <f t="shared" si="54"/>
        <v>168</v>
      </c>
      <c r="E387" s="27" cm="1">
        <f t="array" ref="E387" xml:space="preserve"> INDEX( VfM_Metrics_2023_Consol_Source[], $D387, E$218 )</f>
        <v>1.3177392040643523E-2</v>
      </c>
      <c r="F387" s="27" cm="1">
        <f t="array" ref="F387" xml:space="preserve"> INDEX( VfM_Metrics_2023_Consol_Source[], $D387, F$218 )</f>
        <v>9.785139712108383E-2</v>
      </c>
      <c r="G387" s="27">
        <f xml:space="preserve"> tblFilterPropType[[#This Row],[% Supported housing (excl. HOP)]] + tblFilterPropType[[#This Row],[% Housing for older people]]</f>
        <v>0.11102878916172736</v>
      </c>
      <c r="H387" s="28">
        <f xml:space="preserve"> 1 -tblFilterPropType[[#This Row],[% Supported &amp; older people]]</f>
        <v>0.88897121083827269</v>
      </c>
      <c r="I387" s="27">
        <f xml:space="preserve"> INDEX( B387:H387, MATCH( "% " &amp; $H$216, tblFilterPropType[#Headers], 0 ) )</f>
        <v>0.11102878916172736</v>
      </c>
      <c r="J387" s="27">
        <f t="shared" si="52"/>
        <v>0.2</v>
      </c>
      <c r="K387" s="24">
        <f xml:space="preserve"> IF( PropTypeOnOff = "Yes - pick", -- IF( $H$217 = "Minimum", tblFilterPropType[[#This Row],[Selected Prop Type %]] &gt;= tblFilterPropType[[#This Row],[Cut-off]], tblFilterPropType[[#This Row],[Selected Prop Type %]] &lt;= tblFilterPropType[[#This Row],[Cut-off]] ), 1 )</f>
        <v>1</v>
      </c>
    </row>
    <row r="388" spans="2:11" x14ac:dyDescent="0.2">
      <c r="B388" s="122" t="str" vm="169">
        <f t="shared" si="53"/>
        <v>The Industrial Dwellings Society (1885) Limited</v>
      </c>
      <c r="C388" s="122" t="str" vm="208">
        <f t="shared" si="51"/>
        <v>L0266</v>
      </c>
      <c r="D388" s="81">
        <f t="shared" si="54"/>
        <v>169</v>
      </c>
      <c r="E388" s="27" cm="1">
        <f t="array" ref="E388" xml:space="preserve"> INDEX( VfM_Metrics_2023_Consol_Source[], $D388, E$218 )</f>
        <v>2.0847810979847115E-3</v>
      </c>
      <c r="F388" s="27" cm="1">
        <f t="array" ref="F388" xml:space="preserve"> INDEX( VfM_Metrics_2023_Consol_Source[], $D388, F$218 )</f>
        <v>0.14176511466296038</v>
      </c>
      <c r="G388" s="27">
        <f xml:space="preserve"> tblFilterPropType[[#This Row],[% Supported housing (excl. HOP)]] + tblFilterPropType[[#This Row],[% Housing for older people]]</f>
        <v>0.14384989576094509</v>
      </c>
      <c r="H388" s="28">
        <f xml:space="preserve"> 1 -tblFilterPropType[[#This Row],[% Supported &amp; older people]]</f>
        <v>0.85615010423905491</v>
      </c>
      <c r="I388" s="27">
        <f xml:space="preserve"> INDEX( B388:H388, MATCH( "% " &amp; $H$216, tblFilterPropType[#Headers], 0 ) )</f>
        <v>0.14384989576094509</v>
      </c>
      <c r="J388" s="27">
        <f t="shared" si="52"/>
        <v>0.2</v>
      </c>
      <c r="K388" s="24">
        <f xml:space="preserve"> IF( PropTypeOnOff = "Yes - pick", -- IF( $H$217 = "Minimum", tblFilterPropType[[#This Row],[Selected Prop Type %]] &gt;= tblFilterPropType[[#This Row],[Cut-off]], tblFilterPropType[[#This Row],[Selected Prop Type %]] &lt;= tblFilterPropType[[#This Row],[Cut-off]] ), 1 )</f>
        <v>1</v>
      </c>
    </row>
    <row r="389" spans="2:11" x14ac:dyDescent="0.2">
      <c r="B389" s="122" t="str" vm="170">
        <f t="shared" si="53"/>
        <v>The Pioneer Housing and Community Group Limited</v>
      </c>
      <c r="C389" s="122" t="str" vm="235">
        <f t="shared" si="51"/>
        <v>L4118</v>
      </c>
      <c r="D389" s="81">
        <f t="shared" si="54"/>
        <v>170</v>
      </c>
      <c r="E389" s="27" cm="1">
        <f t="array" ref="E389" xml:space="preserve"> INDEX( VfM_Metrics_2023_Consol_Source[], $D389, E$218 )</f>
        <v>0</v>
      </c>
      <c r="F389" s="27" cm="1">
        <f t="array" ref="F389" xml:space="preserve"> INDEX( VfM_Metrics_2023_Consol_Source[], $D389, F$218 )</f>
        <v>5.293631100082713E-2</v>
      </c>
      <c r="G389" s="27">
        <f xml:space="preserve"> tblFilterPropType[[#This Row],[% Supported housing (excl. HOP)]] + tblFilterPropType[[#This Row],[% Housing for older people]]</f>
        <v>5.293631100082713E-2</v>
      </c>
      <c r="H389" s="28">
        <f xml:space="preserve"> 1 -tblFilterPropType[[#This Row],[% Supported &amp; older people]]</f>
        <v>0.94706368899917281</v>
      </c>
      <c r="I389" s="27">
        <f xml:space="preserve"> INDEX( B389:H389, MATCH( "% " &amp; $H$216, tblFilterPropType[#Headers], 0 ) )</f>
        <v>5.293631100082713E-2</v>
      </c>
      <c r="J389" s="27">
        <f t="shared" si="52"/>
        <v>0.2</v>
      </c>
      <c r="K389" s="24">
        <f xml:space="preserve"> IF( PropTypeOnOff = "Yes - pick", -- IF( $H$217 = "Minimum", tblFilterPropType[[#This Row],[Selected Prop Type %]] &gt;= tblFilterPropType[[#This Row],[Cut-off]], tblFilterPropType[[#This Row],[Selected Prop Type %]] &lt;= tblFilterPropType[[#This Row],[Cut-off]] ), 1 )</f>
        <v>1</v>
      </c>
    </row>
    <row r="390" spans="2:11" x14ac:dyDescent="0.2">
      <c r="B390" s="122" t="str" vm="171">
        <f t="shared" si="53"/>
        <v>The Riverside Group Limited</v>
      </c>
      <c r="C390" s="122" t="str" vm="241">
        <f t="shared" si="51"/>
        <v>L4552</v>
      </c>
      <c r="D390" s="81">
        <f t="shared" si="54"/>
        <v>171</v>
      </c>
      <c r="E390" s="27" cm="1">
        <f t="array" ref="E390" xml:space="preserve"> INDEX( VfM_Metrics_2023_Consol_Source[], $D390, E$218 )</f>
        <v>8.265145493368245E-2</v>
      </c>
      <c r="F390" s="27" cm="1">
        <f t="array" ref="F390" xml:space="preserve"> INDEX( VfM_Metrics_2023_Consol_Source[], $D390, F$218 )</f>
        <v>7.7991303128068457E-2</v>
      </c>
      <c r="G390" s="27">
        <f xml:space="preserve"> tblFilterPropType[[#This Row],[% Supported housing (excl. HOP)]] + tblFilterPropType[[#This Row],[% Housing for older people]]</f>
        <v>0.16064275806175091</v>
      </c>
      <c r="H390" s="28">
        <f xml:space="preserve"> 1 -tblFilterPropType[[#This Row],[% Supported &amp; older people]]</f>
        <v>0.83935724193824912</v>
      </c>
      <c r="I390" s="27">
        <f xml:space="preserve"> INDEX( B390:H390, MATCH( "% " &amp; $H$216, tblFilterPropType[#Headers], 0 ) )</f>
        <v>0.16064275806175091</v>
      </c>
      <c r="J390" s="27">
        <f t="shared" si="52"/>
        <v>0.2</v>
      </c>
      <c r="K390" s="24">
        <f xml:space="preserve"> IF( PropTypeOnOff = "Yes - pick", -- IF( $H$217 = "Minimum", tblFilterPropType[[#This Row],[Selected Prop Type %]] &gt;= tblFilterPropType[[#This Row],[Cut-off]], tblFilterPropType[[#This Row],[Selected Prop Type %]] &lt;= tblFilterPropType[[#This Row],[Cut-off]] ), 1 )</f>
        <v>1</v>
      </c>
    </row>
    <row r="391" spans="2:11" x14ac:dyDescent="0.2">
      <c r="B391" s="122" t="str" vm="172">
        <f t="shared" si="53"/>
        <v>The Wrekin Housing Group Limited</v>
      </c>
      <c r="C391" s="122" t="str" vm="282">
        <f t="shared" si="51"/>
        <v>LH4220</v>
      </c>
      <c r="D391" s="81">
        <f t="shared" si="54"/>
        <v>172</v>
      </c>
      <c r="E391" s="27" cm="1">
        <f t="array" ref="E391" xml:space="preserve"> INDEX( VfM_Metrics_2023_Consol_Source[], $D391, E$218 )</f>
        <v>6.8053219146658513E-3</v>
      </c>
      <c r="F391" s="27" cm="1">
        <f t="array" ref="F391" xml:space="preserve"> INDEX( VfM_Metrics_2023_Consol_Source[], $D391, F$218 )</f>
        <v>9.9938828567059185E-2</v>
      </c>
      <c r="G391" s="27">
        <f xml:space="preserve"> tblFilterPropType[[#This Row],[% Supported housing (excl. HOP)]] + tblFilterPropType[[#This Row],[% Housing for older people]]</f>
        <v>0.10674415048172503</v>
      </c>
      <c r="H391" s="28">
        <f xml:space="preserve"> 1 -tblFilterPropType[[#This Row],[% Supported &amp; older people]]</f>
        <v>0.89325584951827497</v>
      </c>
      <c r="I391" s="27">
        <f xml:space="preserve"> INDEX( B391:H391, MATCH( "% " &amp; $H$216, tblFilterPropType[#Headers], 0 ) )</f>
        <v>0.10674415048172503</v>
      </c>
      <c r="J391" s="27">
        <f t="shared" si="52"/>
        <v>0.2</v>
      </c>
      <c r="K391" s="24">
        <f xml:space="preserve"> IF( PropTypeOnOff = "Yes - pick", -- IF( $H$217 = "Minimum", tblFilterPropType[[#This Row],[Selected Prop Type %]] &gt;= tblFilterPropType[[#This Row],[Cut-off]], tblFilterPropType[[#This Row],[Selected Prop Type %]] &lt;= tblFilterPropType[[#This Row],[Cut-off]] ), 1 )</f>
        <v>1</v>
      </c>
    </row>
    <row r="392" spans="2:11" x14ac:dyDescent="0.2">
      <c r="B392" s="122" t="str" vm="173">
        <f t="shared" si="53"/>
        <v>Thirteen Housing Group Limited</v>
      </c>
      <c r="C392" s="122" t="str" vm="260">
        <f t="shared" si="51"/>
        <v>L4522</v>
      </c>
      <c r="D392" s="81">
        <f t="shared" si="54"/>
        <v>173</v>
      </c>
      <c r="E392" s="27" cm="1">
        <f t="array" ref="E392" xml:space="preserve"> INDEX( VfM_Metrics_2023_Consol_Source[], $D392, E$218 )</f>
        <v>7.311341282966316E-3</v>
      </c>
      <c r="F392" s="27" cm="1">
        <f t="array" ref="F392" xml:space="preserve"> INDEX( VfM_Metrics_2023_Consol_Source[], $D392, F$218 )</f>
        <v>6.8964516784170371E-2</v>
      </c>
      <c r="G392" s="27">
        <f xml:space="preserve"> tblFilterPropType[[#This Row],[% Supported housing (excl. HOP)]] + tblFilterPropType[[#This Row],[% Housing for older people]]</f>
        <v>7.6275858067136687E-2</v>
      </c>
      <c r="H392" s="28">
        <f xml:space="preserve"> 1 -tblFilterPropType[[#This Row],[% Supported &amp; older people]]</f>
        <v>0.92372414193286334</v>
      </c>
      <c r="I392" s="27">
        <f xml:space="preserve"> INDEX( B392:H392, MATCH( "% " &amp; $H$216, tblFilterPropType[#Headers], 0 ) )</f>
        <v>7.6275858067136687E-2</v>
      </c>
      <c r="J392" s="27">
        <f t="shared" si="52"/>
        <v>0.2</v>
      </c>
      <c r="K392" s="24">
        <f xml:space="preserve"> IF( PropTypeOnOff = "Yes - pick", -- IF( $H$217 = "Minimum", tblFilterPropType[[#This Row],[Selected Prop Type %]] &gt;= tblFilterPropType[[#This Row],[Cut-off]], tblFilterPropType[[#This Row],[Selected Prop Type %]] &lt;= tblFilterPropType[[#This Row],[Cut-off]] ), 1 )</f>
        <v>1</v>
      </c>
    </row>
    <row r="393" spans="2:11" x14ac:dyDescent="0.2">
      <c r="B393" s="122" t="str" vm="174">
        <f t="shared" si="53"/>
        <v>Thrive Homes Limited</v>
      </c>
      <c r="C393" s="122" t="str" vm="319">
        <f t="shared" si="51"/>
        <v>L4520</v>
      </c>
      <c r="D393" s="81">
        <f t="shared" si="54"/>
        <v>174</v>
      </c>
      <c r="E393" s="27" cm="1">
        <f t="array" ref="E393" xml:space="preserve"> INDEX( VfM_Metrics_2023_Consol_Source[], $D393, E$218 )</f>
        <v>0</v>
      </c>
      <c r="F393" s="27" cm="1">
        <f t="array" ref="F393" xml:space="preserve"> INDEX( VfM_Metrics_2023_Consol_Source[], $D393, F$218 )</f>
        <v>0.12084656084656084</v>
      </c>
      <c r="G393" s="27">
        <f xml:space="preserve"> tblFilterPropType[[#This Row],[% Supported housing (excl. HOP)]] + tblFilterPropType[[#This Row],[% Housing for older people]]</f>
        <v>0.12084656084656084</v>
      </c>
      <c r="H393" s="28">
        <f xml:space="preserve"> 1 -tblFilterPropType[[#This Row],[% Supported &amp; older people]]</f>
        <v>0.87915343915343913</v>
      </c>
      <c r="I393" s="27">
        <f xml:space="preserve"> INDEX( B393:H393, MATCH( "% " &amp; $H$216, tblFilterPropType[#Headers], 0 ) )</f>
        <v>0.12084656084656084</v>
      </c>
      <c r="J393" s="27">
        <f t="shared" si="52"/>
        <v>0.2</v>
      </c>
      <c r="K393" s="24">
        <f xml:space="preserve"> IF( PropTypeOnOff = "Yes - pick", -- IF( $H$217 = "Minimum", tblFilterPropType[[#This Row],[Selected Prop Type %]] &gt;= tblFilterPropType[[#This Row],[Cut-off]], tblFilterPropType[[#This Row],[Selected Prop Type %]] &lt;= tblFilterPropType[[#This Row],[Cut-off]] ), 1 )</f>
        <v>1</v>
      </c>
    </row>
    <row r="394" spans="2:11" x14ac:dyDescent="0.2">
      <c r="B394" s="122" t="str" vm="175">
        <f t="shared" si="53"/>
        <v>Together Housing Group Limited</v>
      </c>
      <c r="C394" s="122" t="str" vm="249">
        <f t="shared" si="51"/>
        <v>L4464</v>
      </c>
      <c r="D394" s="81">
        <f t="shared" si="54"/>
        <v>175</v>
      </c>
      <c r="E394" s="27" cm="1">
        <f t="array" ref="E394" xml:space="preserve"> INDEX( VfM_Metrics_2023_Consol_Source[], $D394, E$218 )</f>
        <v>1.2511843058574374E-2</v>
      </c>
      <c r="F394" s="27" cm="1">
        <f t="array" ref="F394" xml:space="preserve"> INDEX( VfM_Metrics_2023_Consol_Source[], $D394, F$218 )</f>
        <v>1.3710081926099314E-2</v>
      </c>
      <c r="G394" s="27">
        <f xml:space="preserve"> tblFilterPropType[[#This Row],[% Supported housing (excl. HOP)]] + tblFilterPropType[[#This Row],[% Housing for older people]]</f>
        <v>2.622192498467369E-2</v>
      </c>
      <c r="H394" s="28">
        <f xml:space="preserve"> 1 -tblFilterPropType[[#This Row],[% Supported &amp; older people]]</f>
        <v>0.97377807501532632</v>
      </c>
      <c r="I394" s="27">
        <f xml:space="preserve"> INDEX( B394:H394, MATCH( "% " &amp; $H$216, tblFilterPropType[#Headers], 0 ) )</f>
        <v>2.622192498467369E-2</v>
      </c>
      <c r="J394" s="27">
        <f t="shared" si="52"/>
        <v>0.2</v>
      </c>
      <c r="K394" s="24">
        <f xml:space="preserve"> IF( PropTypeOnOff = "Yes - pick", -- IF( $H$217 = "Minimum", tblFilterPropType[[#This Row],[Selected Prop Type %]] &gt;= tblFilterPropType[[#This Row],[Cut-off]], tblFilterPropType[[#This Row],[Selected Prop Type %]] &lt;= tblFilterPropType[[#This Row],[Cut-off]] ), 1 )</f>
        <v>1</v>
      </c>
    </row>
    <row r="395" spans="2:11" x14ac:dyDescent="0.2">
      <c r="B395" s="122" t="str" vm="176">
        <f t="shared" si="53"/>
        <v>Torus62 Limited</v>
      </c>
      <c r="C395" s="122" t="str" vm="259">
        <f t="shared" si="51"/>
        <v>5065</v>
      </c>
      <c r="D395" s="81">
        <f t="shared" si="54"/>
        <v>176</v>
      </c>
      <c r="E395" s="27" cm="1">
        <f t="array" ref="E395" xml:space="preserve"> INDEX( VfM_Metrics_2023_Consol_Source[], $D395, E$218 )</f>
        <v>4.1829046505585865E-3</v>
      </c>
      <c r="F395" s="27" cm="1">
        <f t="array" ref="F395" xml:space="preserve"> INDEX( VfM_Metrics_2023_Consol_Source[], $D395, F$218 )</f>
        <v>8.791893998441154E-2</v>
      </c>
      <c r="G395" s="27">
        <f xml:space="preserve"> tblFilterPropType[[#This Row],[% Supported housing (excl. HOP)]] + tblFilterPropType[[#This Row],[% Housing for older people]]</f>
        <v>9.210184463497012E-2</v>
      </c>
      <c r="H395" s="28">
        <f xml:space="preserve"> 1 -tblFilterPropType[[#This Row],[% Supported &amp; older people]]</f>
        <v>0.90789815536502982</v>
      </c>
      <c r="I395" s="27">
        <f xml:space="preserve"> INDEX( B395:H395, MATCH( "% " &amp; $H$216, tblFilterPropType[#Headers], 0 ) )</f>
        <v>9.210184463497012E-2</v>
      </c>
      <c r="J395" s="27">
        <f t="shared" si="52"/>
        <v>0.2</v>
      </c>
      <c r="K395" s="24">
        <f xml:space="preserve"> IF( PropTypeOnOff = "Yes - pick", -- IF( $H$217 = "Minimum", tblFilterPropType[[#This Row],[Selected Prop Type %]] &gt;= tblFilterPropType[[#This Row],[Cut-off]], tblFilterPropType[[#This Row],[Selected Prop Type %]] &lt;= tblFilterPropType[[#This Row],[Cut-off]] ), 1 )</f>
        <v>1</v>
      </c>
    </row>
    <row r="396" spans="2:11" x14ac:dyDescent="0.2">
      <c r="B396" s="122" t="str" vm="177">
        <f t="shared" si="53"/>
        <v>Tower Hamlets Community Housing</v>
      </c>
      <c r="C396" s="122" t="str" vm="203">
        <f t="shared" si="51"/>
        <v>L4260</v>
      </c>
      <c r="D396" s="81">
        <f t="shared" si="54"/>
        <v>177</v>
      </c>
      <c r="E396" s="27" cm="1">
        <f t="array" ref="E396" xml:space="preserve"> INDEX( VfM_Metrics_2023_Consol_Source[], $D396, E$218 )</f>
        <v>0</v>
      </c>
      <c r="F396" s="27" cm="1">
        <f t="array" ref="F396" xml:space="preserve"> INDEX( VfM_Metrics_2023_Consol_Source[], $D396, F$218 )</f>
        <v>0</v>
      </c>
      <c r="G396" s="27">
        <f xml:space="preserve"> tblFilterPropType[[#This Row],[% Supported housing (excl. HOP)]] + tblFilterPropType[[#This Row],[% Housing for older people]]</f>
        <v>0</v>
      </c>
      <c r="H396" s="28">
        <f xml:space="preserve"> 1 -tblFilterPropType[[#This Row],[% Supported &amp; older people]]</f>
        <v>1</v>
      </c>
      <c r="I396" s="27">
        <f xml:space="preserve"> INDEX( B396:H396, MATCH( "% " &amp; $H$216, tblFilterPropType[#Headers], 0 ) )</f>
        <v>0</v>
      </c>
      <c r="J396" s="27">
        <f t="shared" si="52"/>
        <v>0.2</v>
      </c>
      <c r="K396" s="24">
        <f xml:space="preserve"> IF( PropTypeOnOff = "Yes - pick", -- IF( $H$217 = "Minimum", tblFilterPropType[[#This Row],[Selected Prop Type %]] &gt;= tblFilterPropType[[#This Row],[Cut-off]], tblFilterPropType[[#This Row],[Selected Prop Type %]] &lt;= tblFilterPropType[[#This Row],[Cut-off]] ), 1 )</f>
        <v>1</v>
      </c>
    </row>
    <row r="397" spans="2:11" x14ac:dyDescent="0.2">
      <c r="B397" s="122" t="str" vm="178">
        <f t="shared" si="53"/>
        <v>Trent &amp; Dove Housing Limited</v>
      </c>
      <c r="C397" s="122" t="str" vm="386">
        <f t="shared" si="51"/>
        <v>L4311</v>
      </c>
      <c r="D397" s="81">
        <f t="shared" si="54"/>
        <v>178</v>
      </c>
      <c r="E397" s="27" cm="1">
        <f t="array" ref="E397" xml:space="preserve"> INDEX( VfM_Metrics_2023_Consol_Source[], $D397, E$218 )</f>
        <v>3.0707815138952864E-4</v>
      </c>
      <c r="F397" s="27" cm="1">
        <f t="array" ref="F397" xml:space="preserve"> INDEX( VfM_Metrics_2023_Consol_Source[], $D397, F$218 )</f>
        <v>2.5333947489636112E-2</v>
      </c>
      <c r="G397" s="27">
        <f xml:space="preserve"> tblFilterPropType[[#This Row],[% Supported housing (excl. HOP)]] + tblFilterPropType[[#This Row],[% Housing for older people]]</f>
        <v>2.564102564102564E-2</v>
      </c>
      <c r="H397" s="28">
        <f xml:space="preserve"> 1 -tblFilterPropType[[#This Row],[% Supported &amp; older people]]</f>
        <v>0.97435897435897434</v>
      </c>
      <c r="I397" s="27">
        <f xml:space="preserve"> INDEX( B397:H397, MATCH( "% " &amp; $H$216, tblFilterPropType[#Headers], 0 ) )</f>
        <v>2.564102564102564E-2</v>
      </c>
      <c r="J397" s="27">
        <f t="shared" si="52"/>
        <v>0.2</v>
      </c>
      <c r="K397" s="24">
        <f xml:space="preserve"> IF( PropTypeOnOff = "Yes - pick", -- IF( $H$217 = "Minimum", tblFilterPropType[[#This Row],[Selected Prop Type %]] &gt;= tblFilterPropType[[#This Row],[Cut-off]], tblFilterPropType[[#This Row],[Selected Prop Type %]] &lt;= tblFilterPropType[[#This Row],[Cut-off]] ), 1 )</f>
        <v>1</v>
      </c>
    </row>
    <row r="398" spans="2:11" x14ac:dyDescent="0.2">
      <c r="B398" s="122" t="str" vm="179">
        <f t="shared" si="53"/>
        <v>Trident Housing Association Limited</v>
      </c>
      <c r="C398" s="122" t="str" vm="305">
        <f t="shared" si="51"/>
        <v>L0979</v>
      </c>
      <c r="D398" s="81">
        <f t="shared" si="54"/>
        <v>179</v>
      </c>
      <c r="E398" s="27" cm="1">
        <f t="array" ref="E398" xml:space="preserve"> INDEX( VfM_Metrics_2023_Consol_Source[], $D398, E$218 )</f>
        <v>0.18340196388976876</v>
      </c>
      <c r="F398" s="27" cm="1">
        <f t="array" ref="F398" xml:space="preserve"> INDEX( VfM_Metrics_2023_Consol_Source[], $D398, F$218 )</f>
        <v>0.14127336078555591</v>
      </c>
      <c r="G398" s="27">
        <f xml:space="preserve"> tblFilterPropType[[#This Row],[% Supported housing (excl. HOP)]] + tblFilterPropType[[#This Row],[% Housing for older people]]</f>
        <v>0.32467532467532467</v>
      </c>
      <c r="H398" s="28">
        <f xml:space="preserve"> 1 -tblFilterPropType[[#This Row],[% Supported &amp; older people]]</f>
        <v>0.67532467532467533</v>
      </c>
      <c r="I398" s="27">
        <f xml:space="preserve"> INDEX( B398:H398, MATCH( "% " &amp; $H$216, tblFilterPropType[#Headers], 0 ) )</f>
        <v>0.32467532467532467</v>
      </c>
      <c r="J398" s="27">
        <f t="shared" si="52"/>
        <v>0.2</v>
      </c>
      <c r="K398" s="24">
        <f xml:space="preserve"> IF( PropTypeOnOff = "Yes - pick", -- IF( $H$217 = "Minimum", tblFilterPropType[[#This Row],[Selected Prop Type %]] &gt;= tblFilterPropType[[#This Row],[Cut-off]], tblFilterPropType[[#This Row],[Selected Prop Type %]] &lt;= tblFilterPropType[[#This Row],[Cut-off]] ), 1 )</f>
        <v>1</v>
      </c>
    </row>
    <row r="399" spans="2:11" x14ac:dyDescent="0.2">
      <c r="B399" s="122" t="str" vm="180">
        <f t="shared" si="53"/>
        <v>Tuntum Housing Association Limited</v>
      </c>
      <c r="C399" s="122" t="str" vm="227">
        <f t="shared" si="51"/>
        <v>L3808</v>
      </c>
      <c r="D399" s="81">
        <f t="shared" si="54"/>
        <v>180</v>
      </c>
      <c r="E399" s="27" cm="1">
        <f t="array" ref="E399" xml:space="preserve"> INDEX( VfM_Metrics_2023_Consol_Source[], $D399, E$218 )</f>
        <v>6.4208518753973293E-2</v>
      </c>
      <c r="F399" s="27" cm="1">
        <f t="array" ref="F399" xml:space="preserve"> INDEX( VfM_Metrics_2023_Consol_Source[], $D399, F$218 )</f>
        <v>5.8486967577876671E-2</v>
      </c>
      <c r="G399" s="27">
        <f xml:space="preserve"> tblFilterPropType[[#This Row],[% Supported housing (excl. HOP)]] + tblFilterPropType[[#This Row],[% Housing for older people]]</f>
        <v>0.12269548633184996</v>
      </c>
      <c r="H399" s="28">
        <f xml:space="preserve"> 1 -tblFilterPropType[[#This Row],[% Supported &amp; older people]]</f>
        <v>0.8773045136681501</v>
      </c>
      <c r="I399" s="27">
        <f xml:space="preserve"> INDEX( B399:H399, MATCH( "% " &amp; $H$216, tblFilterPropType[#Headers], 0 ) )</f>
        <v>0.12269548633184996</v>
      </c>
      <c r="J399" s="27">
        <f t="shared" si="52"/>
        <v>0.2</v>
      </c>
      <c r="K399" s="24">
        <f xml:space="preserve"> IF( PropTypeOnOff = "Yes - pick", -- IF( $H$217 = "Minimum", tblFilterPropType[[#This Row],[Selected Prop Type %]] &gt;= tblFilterPropType[[#This Row],[Cut-off]], tblFilterPropType[[#This Row],[Selected Prop Type %]] &lt;= tblFilterPropType[[#This Row],[Cut-off]] ), 1 )</f>
        <v>1</v>
      </c>
    </row>
    <row r="400" spans="2:11" x14ac:dyDescent="0.2">
      <c r="B400" s="122" t="str" vm="181">
        <f t="shared" si="53"/>
        <v>Two Rivers Housing</v>
      </c>
      <c r="C400" s="122" t="str" vm="333">
        <f t="shared" si="51"/>
        <v>L4385</v>
      </c>
      <c r="D400" s="81">
        <f t="shared" si="54"/>
        <v>181</v>
      </c>
      <c r="E400" s="27" cm="1">
        <f t="array" ref="E400" xml:space="preserve"> INDEX( VfM_Metrics_2023_Consol_Source[], $D400, E$218 )</f>
        <v>0</v>
      </c>
      <c r="F400" s="27" cm="1">
        <f t="array" ref="F400" xml:space="preserve"> INDEX( VfM_Metrics_2023_Consol_Source[], $D400, F$218 )</f>
        <v>0.13628034814475493</v>
      </c>
      <c r="G400" s="27">
        <f xml:space="preserve"> tblFilterPropType[[#This Row],[% Supported housing (excl. HOP)]] + tblFilterPropType[[#This Row],[% Housing for older people]]</f>
        <v>0.13628034814475493</v>
      </c>
      <c r="H400" s="28">
        <f xml:space="preserve"> 1 -tblFilterPropType[[#This Row],[% Supported &amp; older people]]</f>
        <v>0.86371965185524502</v>
      </c>
      <c r="I400" s="27">
        <f xml:space="preserve"> INDEX( B400:H400, MATCH( "% " &amp; $H$216, tblFilterPropType[#Headers], 0 ) )</f>
        <v>0.13628034814475493</v>
      </c>
      <c r="J400" s="27">
        <f t="shared" si="52"/>
        <v>0.2</v>
      </c>
      <c r="K400" s="24">
        <f xml:space="preserve"> IF( PropTypeOnOff = "Yes - pick", -- IF( $H$217 = "Minimum", tblFilterPropType[[#This Row],[Selected Prop Type %]] &gt;= tblFilterPropType[[#This Row],[Cut-off]], tblFilterPropType[[#This Row],[Selected Prop Type %]] &lt;= tblFilterPropType[[#This Row],[Cut-off]] ), 1 )</f>
        <v>1</v>
      </c>
    </row>
    <row r="401" spans="2:11" x14ac:dyDescent="0.2">
      <c r="B401" s="122" t="str" vm="182">
        <f t="shared" si="53"/>
        <v>Unity Housing Association Limited</v>
      </c>
      <c r="C401" s="122" t="str" vm="229">
        <f t="shared" si="51"/>
        <v>LH3737</v>
      </c>
      <c r="D401" s="81">
        <f t="shared" si="54"/>
        <v>182</v>
      </c>
      <c r="E401" s="27" cm="1">
        <f t="array" ref="E401" xml:space="preserve"> INDEX( VfM_Metrics_2023_Consol_Source[], $D401, E$218 )</f>
        <v>1.3708513708513708E-2</v>
      </c>
      <c r="F401" s="27" cm="1">
        <f t="array" ref="F401" xml:space="preserve"> INDEX( VfM_Metrics_2023_Consol_Source[], $D401, F$218 )</f>
        <v>0</v>
      </c>
      <c r="G401" s="27">
        <f xml:space="preserve"> tblFilterPropType[[#This Row],[% Supported housing (excl. HOP)]] + tblFilterPropType[[#This Row],[% Housing for older people]]</f>
        <v>1.3708513708513708E-2</v>
      </c>
      <c r="H401" s="28">
        <f xml:space="preserve"> 1 -tblFilterPropType[[#This Row],[% Supported &amp; older people]]</f>
        <v>0.98629148629148633</v>
      </c>
      <c r="I401" s="27">
        <f xml:space="preserve"> INDEX( B401:H401, MATCH( "% " &amp; $H$216, tblFilterPropType[#Headers], 0 ) )</f>
        <v>1.3708513708513708E-2</v>
      </c>
      <c r="J401" s="27">
        <f t="shared" si="52"/>
        <v>0.2</v>
      </c>
      <c r="K401" s="24">
        <f xml:space="preserve"> IF( PropTypeOnOff = "Yes - pick", -- IF( $H$217 = "Minimum", tblFilterPropType[[#This Row],[Selected Prop Type %]] &gt;= tblFilterPropType[[#This Row],[Cut-off]], tblFilterPropType[[#This Row],[Selected Prop Type %]] &lt;= tblFilterPropType[[#This Row],[Cut-off]] ), 1 )</f>
        <v>1</v>
      </c>
    </row>
    <row r="402" spans="2:11" x14ac:dyDescent="0.2">
      <c r="B402" s="122" t="str" vm="183">
        <f t="shared" si="53"/>
        <v>Vivid Housing Limited</v>
      </c>
      <c r="C402" s="122" t="str" vm="264">
        <f t="shared" si="51"/>
        <v>4850</v>
      </c>
      <c r="D402" s="81">
        <f t="shared" si="54"/>
        <v>183</v>
      </c>
      <c r="E402" s="27" cm="1">
        <f t="array" ref="E402" xml:space="preserve"> INDEX( VfM_Metrics_2023_Consol_Source[], $D402, E$218 )</f>
        <v>7.7926312357352459E-3</v>
      </c>
      <c r="F402" s="27" cm="1">
        <f t="array" ref="F402" xml:space="preserve"> INDEX( VfM_Metrics_2023_Consol_Source[], $D402, F$218 )</f>
        <v>3.8245842843169224E-2</v>
      </c>
      <c r="G402" s="27">
        <f xml:space="preserve"> tblFilterPropType[[#This Row],[% Supported housing (excl. HOP)]] + tblFilterPropType[[#This Row],[% Housing for older people]]</f>
        <v>4.6038474078904469E-2</v>
      </c>
      <c r="H402" s="28">
        <f xml:space="preserve"> 1 -tblFilterPropType[[#This Row],[% Supported &amp; older people]]</f>
        <v>0.95396152592109551</v>
      </c>
      <c r="I402" s="27">
        <f xml:space="preserve"> INDEX( B402:H402, MATCH( "% " &amp; $H$216, tblFilterPropType[#Headers], 0 ) )</f>
        <v>4.6038474078904469E-2</v>
      </c>
      <c r="J402" s="27">
        <f t="shared" si="52"/>
        <v>0.2</v>
      </c>
      <c r="K402" s="24">
        <f xml:space="preserve"> IF( PropTypeOnOff = "Yes - pick", -- IF( $H$217 = "Minimum", tblFilterPropType[[#This Row],[Selected Prop Type %]] &gt;= tblFilterPropType[[#This Row],[Cut-off]], tblFilterPropType[[#This Row],[Selected Prop Type %]] &lt;= tblFilterPropType[[#This Row],[Cut-off]] ), 1 )</f>
        <v>1</v>
      </c>
    </row>
    <row r="403" spans="2:11" x14ac:dyDescent="0.2">
      <c r="B403" s="122" t="str" vm="184">
        <f t="shared" si="53"/>
        <v>Wakefield And District Housing Limited</v>
      </c>
      <c r="C403" s="122" t="str" vm="257">
        <f t="shared" si="51"/>
        <v>L4441</v>
      </c>
      <c r="D403" s="81">
        <f t="shared" si="54"/>
        <v>184</v>
      </c>
      <c r="E403" s="27" cm="1">
        <f t="array" ref="E403" xml:space="preserve"> INDEX( VfM_Metrics_2023_Consol_Source[], $D403, E$218 )</f>
        <v>4.8646095717884134E-2</v>
      </c>
      <c r="F403" s="27" cm="1">
        <f t="array" ref="F403" xml:space="preserve"> INDEX( VfM_Metrics_2023_Consol_Source[], $D403, F$218 )</f>
        <v>0</v>
      </c>
      <c r="G403" s="27">
        <f xml:space="preserve"> tblFilterPropType[[#This Row],[% Supported housing (excl. HOP)]] + tblFilterPropType[[#This Row],[% Housing for older people]]</f>
        <v>4.8646095717884134E-2</v>
      </c>
      <c r="H403" s="28">
        <f xml:space="preserve"> 1 -tblFilterPropType[[#This Row],[% Supported &amp; older people]]</f>
        <v>0.95135390428211586</v>
      </c>
      <c r="I403" s="27">
        <f xml:space="preserve"> INDEX( B403:H403, MATCH( "% " &amp; $H$216, tblFilterPropType[#Headers], 0 ) )</f>
        <v>4.8646095717884134E-2</v>
      </c>
      <c r="J403" s="27">
        <f t="shared" si="52"/>
        <v>0.2</v>
      </c>
      <c r="K403" s="24">
        <f xml:space="preserve"> IF( PropTypeOnOff = "Yes - pick", -- IF( $H$217 = "Minimum", tblFilterPropType[[#This Row],[Selected Prop Type %]] &gt;= tblFilterPropType[[#This Row],[Cut-off]], tblFilterPropType[[#This Row],[Selected Prop Type %]] &lt;= tblFilterPropType[[#This Row],[Cut-off]] ), 1 )</f>
        <v>1</v>
      </c>
    </row>
    <row r="404" spans="2:11" x14ac:dyDescent="0.2">
      <c r="B404" s="122" t="str" vm="185">
        <f t="shared" si="53"/>
        <v>Walsall Housing Group Limited</v>
      </c>
      <c r="C404" s="122" t="str" vm="343">
        <f t="shared" si="51"/>
        <v>L4389</v>
      </c>
      <c r="D404" s="81">
        <f t="shared" si="54"/>
        <v>185</v>
      </c>
      <c r="E404" s="27" cm="1">
        <f t="array" ref="E404" xml:space="preserve"> INDEX( VfM_Metrics_2023_Consol_Source[], $D404, E$218 )</f>
        <v>4.1400075272864136E-3</v>
      </c>
      <c r="F404" s="27" cm="1">
        <f t="array" ref="F404" xml:space="preserve"> INDEX( VfM_Metrics_2023_Consol_Source[], $D404, F$218 )</f>
        <v>0</v>
      </c>
      <c r="G404" s="27">
        <f xml:space="preserve"> tblFilterPropType[[#This Row],[% Supported housing (excl. HOP)]] + tblFilterPropType[[#This Row],[% Housing for older people]]</f>
        <v>4.1400075272864136E-3</v>
      </c>
      <c r="H404" s="28">
        <f xml:space="preserve"> 1 -tblFilterPropType[[#This Row],[% Supported &amp; older people]]</f>
        <v>0.99585999247271362</v>
      </c>
      <c r="I404" s="27">
        <f xml:space="preserve"> INDEX( B404:H404, MATCH( "% " &amp; $H$216, tblFilterPropType[#Headers], 0 ) )</f>
        <v>4.1400075272864136E-3</v>
      </c>
      <c r="J404" s="27">
        <f t="shared" si="52"/>
        <v>0.2</v>
      </c>
      <c r="K404" s="24">
        <f xml:space="preserve"> IF( PropTypeOnOff = "Yes - pick", -- IF( $H$217 = "Minimum", tblFilterPropType[[#This Row],[Selected Prop Type %]] &gt;= tblFilterPropType[[#This Row],[Cut-off]], tblFilterPropType[[#This Row],[Selected Prop Type %]] &lt;= tblFilterPropType[[#This Row],[Cut-off]] ), 1 )</f>
        <v>1</v>
      </c>
    </row>
    <row r="405" spans="2:11" x14ac:dyDescent="0.2">
      <c r="B405" s="122" t="str" vm="186">
        <f t="shared" si="53"/>
        <v>Wandle Housing Association Limited</v>
      </c>
      <c r="C405" s="122" t="str" vm="351">
        <f t="shared" si="51"/>
        <v>L0277</v>
      </c>
      <c r="D405" s="81">
        <f t="shared" si="54"/>
        <v>186</v>
      </c>
      <c r="E405" s="27" cm="1">
        <f t="array" ref="E405" xml:space="preserve"> INDEX( VfM_Metrics_2023_Consol_Source[], $D405, E$218 )</f>
        <v>2.1732788798133021E-2</v>
      </c>
      <c r="F405" s="27" cm="1">
        <f t="array" ref="F405" xml:space="preserve"> INDEX( VfM_Metrics_2023_Consol_Source[], $D405, F$218 )</f>
        <v>6.7094515752625442E-3</v>
      </c>
      <c r="G405" s="27">
        <f xml:space="preserve"> tblFilterPropType[[#This Row],[% Supported housing (excl. HOP)]] + tblFilterPropType[[#This Row],[% Housing for older people]]</f>
        <v>2.8442240373395565E-2</v>
      </c>
      <c r="H405" s="28">
        <f xml:space="preserve"> 1 -tblFilterPropType[[#This Row],[% Supported &amp; older people]]</f>
        <v>0.9715577596266044</v>
      </c>
      <c r="I405" s="27">
        <f xml:space="preserve"> INDEX( B405:H405, MATCH( "% " &amp; $H$216, tblFilterPropType[#Headers], 0 ) )</f>
        <v>2.8442240373395565E-2</v>
      </c>
      <c r="J405" s="27">
        <f t="shared" si="52"/>
        <v>0.2</v>
      </c>
      <c r="K405" s="24">
        <f xml:space="preserve"> IF( PropTypeOnOff = "Yes - pick", -- IF( $H$217 = "Minimum", tblFilterPropType[[#This Row],[Selected Prop Type %]] &gt;= tblFilterPropType[[#This Row],[Cut-off]], tblFilterPropType[[#This Row],[Selected Prop Type %]] &lt;= tblFilterPropType[[#This Row],[Cut-off]] ), 1 )</f>
        <v>1</v>
      </c>
    </row>
    <row r="406" spans="2:11" x14ac:dyDescent="0.2">
      <c r="B406" s="122" t="str" vm="187">
        <f t="shared" si="53"/>
        <v>Warrington Housing Association Limited</v>
      </c>
      <c r="C406" s="122" t="str" vm="221">
        <f t="shared" si="51"/>
        <v>L0518</v>
      </c>
      <c r="D406" s="81">
        <f t="shared" si="54"/>
        <v>187</v>
      </c>
      <c r="E406" s="27" cm="1">
        <f t="array" ref="E406" xml:space="preserve"> INDEX( VfM_Metrics_2023_Consol_Source[], $D406, E$218 )</f>
        <v>5.5427251732101619E-2</v>
      </c>
      <c r="F406" s="27" cm="1">
        <f t="array" ref="F406" xml:space="preserve"> INDEX( VfM_Metrics_2023_Consol_Source[], $D406, F$218 )</f>
        <v>0.12086220169361046</v>
      </c>
      <c r="G406" s="27">
        <f xml:space="preserve"> tblFilterPropType[[#This Row],[% Supported housing (excl. HOP)]] + tblFilterPropType[[#This Row],[% Housing for older people]]</f>
        <v>0.17628945342571209</v>
      </c>
      <c r="H406" s="28">
        <f xml:space="preserve"> 1 -tblFilterPropType[[#This Row],[% Supported &amp; older people]]</f>
        <v>0.82371054657428788</v>
      </c>
      <c r="I406" s="27">
        <f xml:space="preserve"> INDEX( B406:H406, MATCH( "% " &amp; $H$216, tblFilterPropType[#Headers], 0 ) )</f>
        <v>0.17628945342571209</v>
      </c>
      <c r="J406" s="27">
        <f t="shared" si="52"/>
        <v>0.2</v>
      </c>
      <c r="K406" s="24">
        <f xml:space="preserve"> IF( PropTypeOnOff = "Yes - pick", -- IF( $H$217 = "Minimum", tblFilterPropType[[#This Row],[Selected Prop Type %]] &gt;= tblFilterPropType[[#This Row],[Cut-off]], tblFilterPropType[[#This Row],[Selected Prop Type %]] &lt;= tblFilterPropType[[#This Row],[Cut-off]] ), 1 )</f>
        <v>1</v>
      </c>
    </row>
    <row r="407" spans="2:11" x14ac:dyDescent="0.2">
      <c r="B407" s="122" t="str" vm="188">
        <f t="shared" si="53"/>
        <v>Watford Community Housing Trust</v>
      </c>
      <c r="C407" s="122" t="str" vm="376">
        <f t="shared" si="51"/>
        <v>L4495</v>
      </c>
      <c r="D407" s="81">
        <f t="shared" si="54"/>
        <v>188</v>
      </c>
      <c r="E407" s="27" cm="1">
        <f t="array" ref="E407" xml:space="preserve"> INDEX( VfM_Metrics_2023_Consol_Source[], $D407, E$218 )</f>
        <v>0</v>
      </c>
      <c r="F407" s="27" cm="1">
        <f t="array" ref="F407" xml:space="preserve"> INDEX( VfM_Metrics_2023_Consol_Source[], $D407, F$218 )</f>
        <v>9.0088359585094119E-2</v>
      </c>
      <c r="G407" s="27">
        <f xml:space="preserve"> tblFilterPropType[[#This Row],[% Supported housing (excl. HOP)]] + tblFilterPropType[[#This Row],[% Housing for older people]]</f>
        <v>9.0088359585094119E-2</v>
      </c>
      <c r="H407" s="28">
        <f xml:space="preserve"> 1 -tblFilterPropType[[#This Row],[% Supported &amp; older people]]</f>
        <v>0.90991164041490591</v>
      </c>
      <c r="I407" s="27">
        <f xml:space="preserve"> INDEX( B407:H407, MATCH( "% " &amp; $H$216, tblFilterPropType[#Headers], 0 ) )</f>
        <v>9.0088359585094119E-2</v>
      </c>
      <c r="J407" s="27">
        <f t="shared" si="52"/>
        <v>0.2</v>
      </c>
      <c r="K407" s="24">
        <f xml:space="preserve"> IF( PropTypeOnOff = "Yes - pick", -- IF( $H$217 = "Minimum", tblFilterPropType[[#This Row],[Selected Prop Type %]] &gt;= tblFilterPropType[[#This Row],[Cut-off]], tblFilterPropType[[#This Row],[Selected Prop Type %]] &lt;= tblFilterPropType[[#This Row],[Cut-off]] ), 1 )</f>
        <v>1</v>
      </c>
    </row>
    <row r="408" spans="2:11" x14ac:dyDescent="0.2">
      <c r="B408" s="122" t="str" vm="189">
        <f t="shared" si="53"/>
        <v>Watmos Community Homes</v>
      </c>
      <c r="C408" s="122" t="str" vm="307">
        <f t="shared" si="51"/>
        <v>L4383</v>
      </c>
      <c r="D408" s="81">
        <f t="shared" si="54"/>
        <v>189</v>
      </c>
      <c r="E408" s="27" cm="1">
        <f t="array" ref="E408" xml:space="preserve"> INDEX( VfM_Metrics_2023_Consol_Source[], $D408, E$218 )</f>
        <v>0</v>
      </c>
      <c r="F408" s="27" cm="1">
        <f t="array" ref="F408" xml:space="preserve"> INDEX( VfM_Metrics_2023_Consol_Source[], $D408, F$218 )</f>
        <v>3.2887189292543022E-2</v>
      </c>
      <c r="G408" s="27">
        <f xml:space="preserve"> tblFilterPropType[[#This Row],[% Supported housing (excl. HOP)]] + tblFilterPropType[[#This Row],[% Housing for older people]]</f>
        <v>3.2887189292543022E-2</v>
      </c>
      <c r="H408" s="28">
        <f xml:space="preserve"> 1 -tblFilterPropType[[#This Row],[% Supported &amp; older people]]</f>
        <v>0.96711281070745703</v>
      </c>
      <c r="I408" s="27">
        <f xml:space="preserve"> INDEX( B408:H408, MATCH( "% " &amp; $H$216, tblFilterPropType[#Headers], 0 ) )</f>
        <v>3.2887189292543022E-2</v>
      </c>
      <c r="J408" s="27">
        <f t="shared" si="52"/>
        <v>0.2</v>
      </c>
      <c r="K408" s="24">
        <f xml:space="preserve"> IF( PropTypeOnOff = "Yes - pick", -- IF( $H$217 = "Minimum", tblFilterPropType[[#This Row],[Selected Prop Type %]] &gt;= tblFilterPropType[[#This Row],[Cut-off]], tblFilterPropType[[#This Row],[Selected Prop Type %]] &lt;= tblFilterPropType[[#This Row],[Cut-off]] ), 1 )</f>
        <v>1</v>
      </c>
    </row>
    <row r="409" spans="2:11" x14ac:dyDescent="0.2">
      <c r="B409" s="122" t="str" vm="190">
        <f t="shared" si="53"/>
        <v>Weaver Vale Housing Trust Limited</v>
      </c>
      <c r="C409" s="122" t="str" vm="372">
        <f t="shared" si="51"/>
        <v>L4341</v>
      </c>
      <c r="D409" s="81">
        <f t="shared" si="54"/>
        <v>190</v>
      </c>
      <c r="E409" s="27" cm="1">
        <f t="array" ref="E409" xml:space="preserve"> INDEX( VfM_Metrics_2023_Consol_Source[], $D409, E$218 )</f>
        <v>1.420678768745067E-3</v>
      </c>
      <c r="F409" s="27" cm="1">
        <f t="array" ref="F409" xml:space="preserve"> INDEX( VfM_Metrics_2023_Consol_Source[], $D409, F$218 )</f>
        <v>1.7205998421468034E-2</v>
      </c>
      <c r="G409" s="27">
        <f xml:space="preserve"> tblFilterPropType[[#This Row],[% Supported housing (excl. HOP)]] + tblFilterPropType[[#This Row],[% Housing for older people]]</f>
        <v>1.86266771902131E-2</v>
      </c>
      <c r="H409" s="28">
        <f xml:space="preserve"> 1 -tblFilterPropType[[#This Row],[% Supported &amp; older people]]</f>
        <v>0.98137332280978695</v>
      </c>
      <c r="I409" s="27">
        <f xml:space="preserve"> INDEX( B409:H409, MATCH( "% " &amp; $H$216, tblFilterPropType[#Headers], 0 ) )</f>
        <v>1.86266771902131E-2</v>
      </c>
      <c r="J409" s="27">
        <f t="shared" si="52"/>
        <v>0.2</v>
      </c>
      <c r="K409" s="24">
        <f xml:space="preserve"> IF( PropTypeOnOff = "Yes - pick", -- IF( $H$217 = "Minimum", tblFilterPropType[[#This Row],[Selected Prop Type %]] &gt;= tblFilterPropType[[#This Row],[Cut-off]], tblFilterPropType[[#This Row],[Selected Prop Type %]] &lt;= tblFilterPropType[[#This Row],[Cut-off]] ), 1 )</f>
        <v>1</v>
      </c>
    </row>
    <row r="410" spans="2:11" x14ac:dyDescent="0.2">
      <c r="B410" s="122" t="str" vm="191">
        <f t="shared" si="53"/>
        <v>West Kent Housing Association</v>
      </c>
      <c r="C410" s="122" t="str" vm="352">
        <f t="shared" si="51"/>
        <v>LH3827</v>
      </c>
      <c r="D410" s="81">
        <f t="shared" si="54"/>
        <v>191</v>
      </c>
      <c r="E410" s="27" cm="1">
        <f t="array" ref="E410" xml:space="preserve"> INDEX( VfM_Metrics_2023_Consol_Source[], $D410, E$218 )</f>
        <v>8.916237598894889E-3</v>
      </c>
      <c r="F410" s="27" cm="1">
        <f t="array" ref="F410" xml:space="preserve"> INDEX( VfM_Metrics_2023_Consol_Source[], $D410, F$218 )</f>
        <v>8.5143790028883587E-2</v>
      </c>
      <c r="G410" s="27">
        <f xml:space="preserve"> tblFilterPropType[[#This Row],[% Supported housing (excl. HOP)]] + tblFilterPropType[[#This Row],[% Housing for older people]]</f>
        <v>9.4060027627778472E-2</v>
      </c>
      <c r="H410" s="28">
        <f xml:space="preserve"> 1 -tblFilterPropType[[#This Row],[% Supported &amp; older people]]</f>
        <v>0.90593997237222157</v>
      </c>
      <c r="I410" s="27">
        <f xml:space="preserve"> INDEX( B410:H410, MATCH( "% " &amp; $H$216, tblFilterPropType[#Headers], 0 ) )</f>
        <v>9.4060027627778472E-2</v>
      </c>
      <c r="J410" s="27">
        <f t="shared" si="52"/>
        <v>0.2</v>
      </c>
      <c r="K410" s="24">
        <f xml:space="preserve"> IF( PropTypeOnOff = "Yes - pick", -- IF( $H$217 = "Minimum", tblFilterPropType[[#This Row],[Selected Prop Type %]] &gt;= tblFilterPropType[[#This Row],[Cut-off]], tblFilterPropType[[#This Row],[Selected Prop Type %]] &lt;= tblFilterPropType[[#This Row],[Cut-off]] ), 1 )</f>
        <v>1</v>
      </c>
    </row>
    <row r="411" spans="2:11" x14ac:dyDescent="0.2">
      <c r="B411" s="122" t="str" vm="192">
        <f t="shared" si="53"/>
        <v>Westward Housing Group Limited</v>
      </c>
      <c r="C411" s="122" t="str" vm="379">
        <f t="shared" si="51"/>
        <v>4826</v>
      </c>
      <c r="D411" s="81">
        <f t="shared" si="54"/>
        <v>192</v>
      </c>
      <c r="E411" s="27" cm="1">
        <f t="array" ref="E411" xml:space="preserve"> INDEX( VfM_Metrics_2023_Consol_Source[], $D411, E$218 )</f>
        <v>4.5829892650701899E-2</v>
      </c>
      <c r="F411" s="27" cm="1">
        <f t="array" ref="F411" xml:space="preserve"> INDEX( VfM_Metrics_2023_Consol_Source[], $D411, F$218 )</f>
        <v>9.0283512248830161E-2</v>
      </c>
      <c r="G411" s="27">
        <f xml:space="preserve"> tblFilterPropType[[#This Row],[% Supported housing (excl. HOP)]] + tblFilterPropType[[#This Row],[% Housing for older people]]</f>
        <v>0.13611340489953205</v>
      </c>
      <c r="H411" s="28">
        <f xml:space="preserve"> 1 -tblFilterPropType[[#This Row],[% Supported &amp; older people]]</f>
        <v>0.86388659510046795</v>
      </c>
      <c r="I411" s="27">
        <f xml:space="preserve"> INDEX( B411:H411, MATCH( "% " &amp; $H$216, tblFilterPropType[#Headers], 0 ) )</f>
        <v>0.13611340489953205</v>
      </c>
      <c r="J411" s="27">
        <f t="shared" si="52"/>
        <v>0.2</v>
      </c>
      <c r="K411" s="24">
        <f xml:space="preserve"> IF( PropTypeOnOff = "Yes - pick", -- IF( $H$217 = "Minimum", tblFilterPropType[[#This Row],[Selected Prop Type %]] &gt;= tblFilterPropType[[#This Row],[Cut-off]], tblFilterPropType[[#This Row],[Selected Prop Type %]] &lt;= tblFilterPropType[[#This Row],[Cut-off]] ), 1 )</f>
        <v>1</v>
      </c>
    </row>
    <row r="412" spans="2:11" x14ac:dyDescent="0.2">
      <c r="B412" s="122" t="str" vm="193">
        <f t="shared" si="53"/>
        <v>Willow Tree Housing Partnership Limited</v>
      </c>
      <c r="C412" s="122" t="str" vm="222">
        <f t="shared" ref="C412:C417" si="55" xml:space="preserve"> C208</f>
        <v>L2424</v>
      </c>
      <c r="D412" s="81">
        <f t="shared" si="54"/>
        <v>193</v>
      </c>
      <c r="E412" s="27" cm="1">
        <f t="array" ref="E412" xml:space="preserve"> INDEX( VfM_Metrics_2023_Consol_Source[], $D412, E$218 )</f>
        <v>0</v>
      </c>
      <c r="F412" s="27" cm="1">
        <f t="array" ref="F412" xml:space="preserve"> INDEX( VfM_Metrics_2023_Consol_Source[], $D412, F$218 )</f>
        <v>4.992076069730586E-2</v>
      </c>
      <c r="G412" s="27">
        <f xml:space="preserve"> tblFilterPropType[[#This Row],[% Supported housing (excl. HOP)]] + tblFilterPropType[[#This Row],[% Housing for older people]]</f>
        <v>4.992076069730586E-2</v>
      </c>
      <c r="H412" s="28">
        <f xml:space="preserve"> 1 -tblFilterPropType[[#This Row],[% Supported &amp; older people]]</f>
        <v>0.95007923930269411</v>
      </c>
      <c r="I412" s="27">
        <f xml:space="preserve"> INDEX( B412:H412, MATCH( "% " &amp; $H$216, tblFilterPropType[#Headers], 0 ) )</f>
        <v>4.992076069730586E-2</v>
      </c>
      <c r="J412" s="27">
        <f t="shared" ref="J412:J417" si="56" xml:space="preserve"> PropTypePercent</f>
        <v>0.2</v>
      </c>
      <c r="K412" s="24">
        <f xml:space="preserve"> IF( PropTypeOnOff = "Yes - pick", -- IF( $H$217 = "Minimum", tblFilterPropType[[#This Row],[Selected Prop Type %]] &gt;= tblFilterPropType[[#This Row],[Cut-off]], tblFilterPropType[[#This Row],[Selected Prop Type %]] &lt;= tblFilterPropType[[#This Row],[Cut-off]] ), 1 )</f>
        <v>1</v>
      </c>
    </row>
    <row r="413" spans="2:11" x14ac:dyDescent="0.2">
      <c r="B413" s="122" t="str" vm="194">
        <f t="shared" ref="B413:B417" si="57" xml:space="preserve"> B209</f>
        <v>Worthing Homes Limited</v>
      </c>
      <c r="C413" s="122" t="str" vm="332">
        <f t="shared" si="55"/>
        <v>LH4208</v>
      </c>
      <c r="D413" s="81">
        <f t="shared" ref="D413:D417" si="58" xml:space="preserve"> D209</f>
        <v>194</v>
      </c>
      <c r="E413" s="27" cm="1">
        <f t="array" ref="E413" xml:space="preserve"> INDEX( VfM_Metrics_2023_Consol_Source[], $D413, E$218 )</f>
        <v>2.989942919271541E-3</v>
      </c>
      <c r="F413" s="27" cm="1">
        <f t="array" ref="F413" xml:space="preserve"> INDEX( VfM_Metrics_2023_Consol_Source[], $D413, F$218 )</f>
        <v>5.8439793422125574E-2</v>
      </c>
      <c r="G413" s="27">
        <f xml:space="preserve"> tblFilterPropType[[#This Row],[% Supported housing (excl. HOP)]] + tblFilterPropType[[#This Row],[% Housing for older people]]</f>
        <v>6.1429736341397118E-2</v>
      </c>
      <c r="H413" s="28">
        <f xml:space="preserve"> 1 -tblFilterPropType[[#This Row],[% Supported &amp; older people]]</f>
        <v>0.93857026365860285</v>
      </c>
      <c r="I413" s="27">
        <f xml:space="preserve"> INDEX( B413:H413, MATCH( "% " &amp; $H$216, tblFilterPropType[#Headers], 0 ) )</f>
        <v>6.1429736341397118E-2</v>
      </c>
      <c r="J413" s="27">
        <f t="shared" si="56"/>
        <v>0.2</v>
      </c>
      <c r="K413" s="24">
        <f xml:space="preserve"> IF( PropTypeOnOff = "Yes - pick", -- IF( $H$217 = "Minimum", tblFilterPropType[[#This Row],[Selected Prop Type %]] &gt;= tblFilterPropType[[#This Row],[Cut-off]], tblFilterPropType[[#This Row],[Selected Prop Type %]] &lt;= tblFilterPropType[[#This Row],[Cut-off]] ), 1 )</f>
        <v>1</v>
      </c>
    </row>
    <row r="414" spans="2:11" x14ac:dyDescent="0.2">
      <c r="B414" s="122" t="str" vm="195">
        <f t="shared" si="57"/>
        <v>Wythenshawe Community Housing Group Limited</v>
      </c>
      <c r="C414" s="122" t="str" vm="280">
        <f t="shared" si="55"/>
        <v>L4219</v>
      </c>
      <c r="D414" s="81">
        <f t="shared" si="58"/>
        <v>195</v>
      </c>
      <c r="E414" s="27" cm="1">
        <f t="array" ref="E414" xml:space="preserve"> INDEX( VfM_Metrics_2023_Consol_Source[], $D414, E$218 )</f>
        <v>1.1732785803329178E-3</v>
      </c>
      <c r="F414" s="27" cm="1">
        <f t="array" ref="F414" xml:space="preserve"> INDEX( VfM_Metrics_2023_Consol_Source[], $D414, F$218 )</f>
        <v>5.0597638776857081E-3</v>
      </c>
      <c r="G414" s="27">
        <f xml:space="preserve"> tblFilterPropType[[#This Row],[% Supported housing (excl. HOP)]] + tblFilterPropType[[#This Row],[% Housing for older people]]</f>
        <v>6.2330424580186259E-3</v>
      </c>
      <c r="H414" s="28">
        <f xml:space="preserve"> 1 -tblFilterPropType[[#This Row],[% Supported &amp; older people]]</f>
        <v>0.99376695754198141</v>
      </c>
      <c r="I414" s="27">
        <f xml:space="preserve"> INDEX( B414:H414, MATCH( "% " &amp; $H$216, tblFilterPropType[#Headers], 0 ) )</f>
        <v>6.2330424580186259E-3</v>
      </c>
      <c r="J414" s="27">
        <f t="shared" si="56"/>
        <v>0.2</v>
      </c>
      <c r="K414" s="24">
        <f xml:space="preserve"> IF( PropTypeOnOff = "Yes - pick", -- IF( $H$217 = "Minimum", tblFilterPropType[[#This Row],[Selected Prop Type %]] &gt;= tblFilterPropType[[#This Row],[Cut-off]], tblFilterPropType[[#This Row],[Selected Prop Type %]] &lt;= tblFilterPropType[[#This Row],[Cut-off]] ), 1 )</f>
        <v>1</v>
      </c>
    </row>
    <row r="415" spans="2:11" x14ac:dyDescent="0.2">
      <c r="B415" s="122" t="str" vm="196">
        <f t="shared" si="57"/>
        <v>YMCA St Paul's Group</v>
      </c>
      <c r="C415" s="122" t="str" vm="205">
        <f t="shared" si="55"/>
        <v>LH4078</v>
      </c>
      <c r="D415" s="81">
        <f t="shared" si="58"/>
        <v>196</v>
      </c>
      <c r="E415" s="27" cm="1">
        <f t="array" ref="E415" xml:space="preserve"> INDEX( VfM_Metrics_2023_Consol_Source[], $D415, E$218 )</f>
        <v>0.91267842149454237</v>
      </c>
      <c r="F415" s="27" cm="1">
        <f t="array" ref="F415" xml:space="preserve"> INDEX( VfM_Metrics_2023_Consol_Source[], $D415, F$218 )</f>
        <v>0</v>
      </c>
      <c r="G415" s="27">
        <f xml:space="preserve"> tblFilterPropType[[#This Row],[% Supported housing (excl. HOP)]] + tblFilterPropType[[#This Row],[% Housing for older people]]</f>
        <v>0.91267842149454237</v>
      </c>
      <c r="H415" s="28">
        <f xml:space="preserve"> 1 -tblFilterPropType[[#This Row],[% Supported &amp; older people]]</f>
        <v>8.7321578505457631E-2</v>
      </c>
      <c r="I415" s="27">
        <f xml:space="preserve"> INDEX( B415:H415, MATCH( "% " &amp; $H$216, tblFilterPropType[#Headers], 0 ) )</f>
        <v>0.91267842149454237</v>
      </c>
      <c r="J415" s="27">
        <f t="shared" si="56"/>
        <v>0.2</v>
      </c>
      <c r="K415" s="24">
        <f xml:space="preserve"> IF( PropTypeOnOff = "Yes - pick", -- IF( $H$217 = "Minimum", tblFilterPropType[[#This Row],[Selected Prop Type %]] &gt;= tblFilterPropType[[#This Row],[Cut-off]], tblFilterPropType[[#This Row],[Selected Prop Type %]] &lt;= tblFilterPropType[[#This Row],[Cut-off]] ), 1 )</f>
        <v>1</v>
      </c>
    </row>
    <row r="416" spans="2:11" x14ac:dyDescent="0.2">
      <c r="B416" s="122" t="str" vm="197">
        <f t="shared" si="57"/>
        <v>Yorkshire Housing Limited</v>
      </c>
      <c r="C416" s="122" t="str" vm="281">
        <f t="shared" si="55"/>
        <v>L4521</v>
      </c>
      <c r="D416" s="81">
        <f t="shared" si="58"/>
        <v>197</v>
      </c>
      <c r="E416" s="27" cm="1">
        <f t="array" ref="E416" xml:space="preserve"> INDEX( VfM_Metrics_2023_Consol_Source[], $D416, E$218 )</f>
        <v>2.2530916483144165E-2</v>
      </c>
      <c r="F416" s="27" cm="1">
        <f t="array" ref="F416" xml:space="preserve"> INDEX( VfM_Metrics_2023_Consol_Source[], $D416, F$218 )</f>
        <v>4.8845219944660907E-2</v>
      </c>
      <c r="G416" s="27">
        <f xml:space="preserve"> tblFilterPropType[[#This Row],[% Supported housing (excl. HOP)]] + tblFilterPropType[[#This Row],[% Housing for older people]]</f>
        <v>7.1376136427805076E-2</v>
      </c>
      <c r="H416" s="28">
        <f xml:space="preserve"> 1 -tblFilterPropType[[#This Row],[% Supported &amp; older people]]</f>
        <v>0.92862386357219495</v>
      </c>
      <c r="I416" s="27">
        <f xml:space="preserve"> INDEX( B416:H416, MATCH( "% " &amp; $H$216, tblFilterPropType[#Headers], 0 ) )</f>
        <v>7.1376136427805076E-2</v>
      </c>
      <c r="J416" s="27">
        <f t="shared" si="56"/>
        <v>0.2</v>
      </c>
      <c r="K416" s="24">
        <f xml:space="preserve"> IF( PropTypeOnOff = "Yes - pick", -- IF( $H$217 = "Minimum", tblFilterPropType[[#This Row],[Selected Prop Type %]] &gt;= tblFilterPropType[[#This Row],[Cut-off]], tblFilterPropType[[#This Row],[Selected Prop Type %]] &lt;= tblFilterPropType[[#This Row],[Cut-off]] ), 1 )</f>
        <v>1</v>
      </c>
    </row>
    <row r="417" spans="2:11" x14ac:dyDescent="0.2">
      <c r="B417" s="122" t="str" vm="198">
        <f t="shared" si="57"/>
        <v>Your Housing Group Limited</v>
      </c>
      <c r="C417" s="122" t="str" vm="336">
        <f t="shared" si="55"/>
        <v>L4203</v>
      </c>
      <c r="D417" s="81">
        <f t="shared" si="58"/>
        <v>198</v>
      </c>
      <c r="E417" s="27" cm="1">
        <f t="array" ref="E417" xml:space="preserve"> INDEX( VfM_Metrics_2023_Consol_Source[], $D417, E$218 )</f>
        <v>3.1812557378357878E-2</v>
      </c>
      <c r="F417" s="27" cm="1">
        <f t="array" ref="F417" xml:space="preserve"> INDEX( VfM_Metrics_2023_Consol_Source[], $D417, F$218 )</f>
        <v>0.12293936853869795</v>
      </c>
      <c r="G417" s="27">
        <f xml:space="preserve"> tblFilterPropType[[#This Row],[% Supported housing (excl. HOP)]] + tblFilterPropType[[#This Row],[% Housing for older people]]</f>
        <v>0.15475192591705583</v>
      </c>
      <c r="H417" s="28">
        <f xml:space="preserve"> 1 -tblFilterPropType[[#This Row],[% Supported &amp; older people]]</f>
        <v>0.84524807408294422</v>
      </c>
      <c r="I417" s="27">
        <f xml:space="preserve"> INDEX( B417:H417, MATCH( "% " &amp; $H$216, tblFilterPropType[#Headers], 0 ) )</f>
        <v>0.15475192591705583</v>
      </c>
      <c r="J417" s="27">
        <f t="shared" si="56"/>
        <v>0.2</v>
      </c>
      <c r="K417" s="24">
        <f xml:space="preserve"> IF( PropTypeOnOff = "Yes - pick", -- IF( $H$217 = "Minimum", tblFilterPropType[[#This Row],[Selected Prop Type %]] &gt;= tblFilterPropType[[#This Row],[Cut-off]], tblFilterPropType[[#This Row],[Selected Prop Type %]] &lt;= tblFilterPropType[[#This Row],[Cut-off]] ), 1 )</f>
        <v>1</v>
      </c>
    </row>
    <row r="420" spans="2:11" ht="25.5" x14ac:dyDescent="0.35">
      <c r="B420" s="16" t="s">
        <v>672</v>
      </c>
      <c r="E420" s="82">
        <f xml:space="preserve"> MATCH( tblFilterSize[[#Headers],[Total social stock owned]], VfM_Metrics_2023_Consol_Source[#Headers], 0 )</f>
        <v>88</v>
      </c>
      <c r="F420" s="17">
        <f xml:space="preserve"> SUM( tblFilterSize[Incl for size] )</f>
        <v>198</v>
      </c>
      <c r="H420" s="166" t="s">
        <v>696</v>
      </c>
      <c r="I420" s="167">
        <f xml:space="preserve"> SizeMin</f>
        <v>1000</v>
      </c>
      <c r="J420" s="166" t="s">
        <v>697</v>
      </c>
      <c r="K420" s="167">
        <f xml:space="preserve"> SizeMax</f>
        <v>10000</v>
      </c>
    </row>
    <row r="421" spans="2:11" x14ac:dyDescent="0.2">
      <c r="B421" s="155" t="s">
        <v>39</v>
      </c>
      <c r="C421" s="156" t="s">
        <v>38</v>
      </c>
      <c r="D421" s="156" t="s">
        <v>656</v>
      </c>
      <c r="E421" s="25" t="s">
        <v>118</v>
      </c>
      <c r="F421" s="26" t="s">
        <v>698</v>
      </c>
    </row>
    <row r="422" spans="2:11" x14ac:dyDescent="0.2">
      <c r="B422" s="122" t="str" vm="1">
        <f t="shared" ref="B422:D453" si="59" xml:space="preserve"> B220</f>
        <v>A2Dominion Housing Group Limited</v>
      </c>
      <c r="C422" s="122" t="str" vm="335">
        <f t="shared" si="59"/>
        <v>L4240</v>
      </c>
      <c r="D422" s="81">
        <f t="shared" si="59"/>
        <v>1</v>
      </c>
      <c r="E422" s="29" cm="1" vm="4550">
        <f t="array" ref="E422" xml:space="preserve"> INDEX( VfM_Metrics_2023_Consol_Source[], $D422, E$420 )</f>
        <v>28177</v>
      </c>
      <c r="F422" s="24">
        <f xml:space="preserve"> -- OR( SizeOnOff = "All", AND( tblFilterSize[[#This Row],[Total social stock owned]] &gt;= $I$420, tblFilterSize[[#This Row],[Total social stock owned]] &lt;= $K$420 ) )</f>
        <v>1</v>
      </c>
    </row>
    <row r="423" spans="2:11" x14ac:dyDescent="0.2">
      <c r="B423" s="122" t="str" vm="2">
        <f t="shared" si="59"/>
        <v>Abri Group Limited</v>
      </c>
      <c r="C423" s="122" t="str" vm="254">
        <f t="shared" ref="C423:D423" si="60" xml:space="preserve"> C221</f>
        <v>L4172</v>
      </c>
      <c r="D423" s="81">
        <f t="shared" si="60"/>
        <v>2</v>
      </c>
      <c r="E423" s="29" cm="1" vm="8096">
        <f t="array" ref="E423" xml:space="preserve"> INDEX( VfM_Metrics_2023_Consol_Source[], $D423, E$420 )</f>
        <v>32342</v>
      </c>
      <c r="F423" s="24">
        <f xml:space="preserve"> -- OR( SizeOnOff = "All", AND( tblFilterSize[[#This Row],[Total social stock owned]] &gt;= $I$420, tblFilterSize[[#This Row],[Total social stock owned]] &lt;= $K$420 ) )</f>
        <v>1</v>
      </c>
    </row>
    <row r="424" spans="2:11" x14ac:dyDescent="0.2">
      <c r="B424" s="122" t="str" vm="3">
        <f t="shared" si="59"/>
        <v>Accent Group Limited</v>
      </c>
      <c r="C424" s="122" t="str" vm="298">
        <f t="shared" ref="C424:D424" si="61" xml:space="preserve"> C222</f>
        <v>L4511</v>
      </c>
      <c r="D424" s="81">
        <f t="shared" si="61"/>
        <v>3</v>
      </c>
      <c r="E424" s="29" cm="1" vm="3275">
        <f t="array" ref="E424" xml:space="preserve"> INDEX( VfM_Metrics_2023_Consol_Source[], $D424, E$420 )</f>
        <v>19024</v>
      </c>
      <c r="F424" s="24">
        <f xml:space="preserve"> -- OR( SizeOnOff = "All", AND( tblFilterSize[[#This Row],[Total social stock owned]] &gt;= $I$420, tblFilterSize[[#This Row],[Total social stock owned]] &lt;= $K$420 ) )</f>
        <v>1</v>
      </c>
    </row>
    <row r="425" spans="2:11" x14ac:dyDescent="0.2">
      <c r="B425" s="122" t="str" vm="4">
        <f t="shared" si="59"/>
        <v>Acis Group Limited</v>
      </c>
      <c r="C425" s="122" t="str" vm="392">
        <f t="shared" ref="C425:D425" si="62" xml:space="preserve"> C223</f>
        <v>L4229</v>
      </c>
      <c r="D425" s="81">
        <f t="shared" si="62"/>
        <v>4</v>
      </c>
      <c r="E425" s="29" cm="1" vm="6661">
        <f t="array" ref="E425" xml:space="preserve"> INDEX( VfM_Metrics_2023_Consol_Source[], $D425, E$420 )</f>
        <v>6610</v>
      </c>
      <c r="F425" s="24">
        <f xml:space="preserve"> -- OR( SizeOnOff = "All", AND( tblFilterSize[[#This Row],[Total social stock owned]] &gt;= $I$420, tblFilterSize[[#This Row],[Total social stock owned]] &lt;= $K$420 ) )</f>
        <v>1</v>
      </c>
    </row>
    <row r="426" spans="2:11" x14ac:dyDescent="0.2">
      <c r="B426" s="122" t="str" vm="5">
        <f t="shared" si="59"/>
        <v>Advance Housing and Support Limited</v>
      </c>
      <c r="C426" s="122" t="str" vm="204">
        <f t="shared" ref="C426:D426" si="63" xml:space="preserve"> C224</f>
        <v>LH0280</v>
      </c>
      <c r="D426" s="81">
        <f t="shared" si="63"/>
        <v>5</v>
      </c>
      <c r="E426" s="29" cm="1" vm="700">
        <f t="array" ref="E426" xml:space="preserve"> INDEX( VfM_Metrics_2023_Consol_Source[], $D426, E$420 )</f>
        <v>2243</v>
      </c>
      <c r="F426" s="24">
        <f xml:space="preserve"> -- OR( SizeOnOff = "All", AND( tblFilterSize[[#This Row],[Total social stock owned]] &gt;= $I$420, tblFilterSize[[#This Row],[Total social stock owned]] &lt;= $K$420 ) )</f>
        <v>1</v>
      </c>
    </row>
    <row r="427" spans="2:11" x14ac:dyDescent="0.2">
      <c r="B427" s="122" t="str" vm="6">
        <f t="shared" si="59"/>
        <v>Anchor Hanover Group</v>
      </c>
      <c r="C427" s="122" t="str">
        <f t="shared" ref="C427:D427" si="64" xml:space="preserve"> C225</f>
        <v>LH4095</v>
      </c>
      <c r="D427" s="81">
        <f t="shared" si="64"/>
        <v>6</v>
      </c>
      <c r="E427" s="29" cm="1" vm="8062">
        <f t="array" ref="E427" xml:space="preserve"> INDEX( VfM_Metrics_2023_Consol_Source[], $D427, E$420 )</f>
        <v>40338</v>
      </c>
      <c r="F427" s="24">
        <f xml:space="preserve"> -- OR( SizeOnOff = "All", AND( tblFilterSize[[#This Row],[Total social stock owned]] &gt;= $I$420, tblFilterSize[[#This Row],[Total social stock owned]] &lt;= $K$420 ) )</f>
        <v>1</v>
      </c>
    </row>
    <row r="428" spans="2:11" x14ac:dyDescent="0.2">
      <c r="B428" s="122" t="str" vm="7">
        <f t="shared" si="59"/>
        <v>Arawak Walton Housing Association Limited</v>
      </c>
      <c r="C428" s="122" t="str" vm="226">
        <f t="shared" ref="C428:D428" si="65" xml:space="preserve"> C226</f>
        <v>L3713</v>
      </c>
      <c r="D428" s="81">
        <f t="shared" si="65"/>
        <v>7</v>
      </c>
      <c r="E428" s="29" cm="1" vm="8741">
        <f t="array" ref="E428" xml:space="preserve"> INDEX( VfM_Metrics_2023_Consol_Source[], $D428, E$420 )</f>
        <v>1105</v>
      </c>
      <c r="F428" s="24">
        <f xml:space="preserve"> -- OR( SizeOnOff = "All", AND( tblFilterSize[[#This Row],[Total social stock owned]] &gt;= $I$420, tblFilterSize[[#This Row],[Total social stock owned]] &lt;= $K$420 ) )</f>
        <v>1</v>
      </c>
    </row>
    <row r="429" spans="2:11" x14ac:dyDescent="0.2">
      <c r="B429" s="122" t="str" vm="8">
        <f t="shared" si="59"/>
        <v>Arches Housing Limited</v>
      </c>
      <c r="C429" s="122" t="str" vm="233">
        <f t="shared" ref="C429:D429" si="66" xml:space="preserve"> C227</f>
        <v>LH0884</v>
      </c>
      <c r="D429" s="81">
        <f t="shared" si="66"/>
        <v>8</v>
      </c>
      <c r="E429" s="29" cm="1" vm="1301">
        <f t="array" ref="E429" xml:space="preserve"> INDEX( VfM_Metrics_2023_Consol_Source[], $D429, E$420 )</f>
        <v>1316</v>
      </c>
      <c r="F429" s="24">
        <f xml:space="preserve"> -- OR( SizeOnOff = "All", AND( tblFilterSize[[#This Row],[Total social stock owned]] &gt;= $I$420, tblFilterSize[[#This Row],[Total social stock owned]] &lt;= $K$420 ) )</f>
        <v>1</v>
      </c>
    </row>
    <row r="430" spans="2:11" x14ac:dyDescent="0.2">
      <c r="B430" s="122" t="str" vm="9">
        <f t="shared" si="59"/>
        <v>Aspire Housing Limited</v>
      </c>
      <c r="C430" s="122" t="str" vm="385">
        <f t="shared" ref="C430:D430" si="67" xml:space="preserve"> C228</f>
        <v>L4238</v>
      </c>
      <c r="D430" s="81">
        <f t="shared" si="67"/>
        <v>9</v>
      </c>
      <c r="E430" s="29" cm="1" vm="6375">
        <f t="array" ref="E430" xml:space="preserve"> INDEX( VfM_Metrics_2023_Consol_Source[], $D430, E$420 )</f>
        <v>9300</v>
      </c>
      <c r="F430" s="24">
        <f xml:space="preserve"> -- OR( SizeOnOff = "All", AND( tblFilterSize[[#This Row],[Total social stock owned]] &gt;= $I$420, tblFilterSize[[#This Row],[Total social stock owned]] &lt;= $K$420 ) )</f>
        <v>1</v>
      </c>
    </row>
    <row r="431" spans="2:11" x14ac:dyDescent="0.2">
      <c r="B431" s="122" t="str" vm="10">
        <f t="shared" si="59"/>
        <v>Aster Group Limited</v>
      </c>
      <c r="C431" s="122" t="str" vm="250">
        <f t="shared" ref="C431:D431" si="68" xml:space="preserve"> C229</f>
        <v>L4393</v>
      </c>
      <c r="D431" s="81">
        <f t="shared" si="68"/>
        <v>10</v>
      </c>
      <c r="E431" s="29" cm="1" vm="1464">
        <f t="array" ref="E431" xml:space="preserve"> INDEX( VfM_Metrics_2023_Consol_Source[], $D431, E$420 )</f>
        <v>34384</v>
      </c>
      <c r="F431" s="24">
        <f xml:space="preserve"> -- OR( SizeOnOff = "All", AND( tblFilterSize[[#This Row],[Total social stock owned]] &gt;= $I$420, tblFilterSize[[#This Row],[Total social stock owned]] &lt;= $K$420 ) )</f>
        <v>1</v>
      </c>
    </row>
    <row r="432" spans="2:11" x14ac:dyDescent="0.2">
      <c r="B432" s="122" t="str" vm="11">
        <f t="shared" si="59"/>
        <v>B3 Living Limited</v>
      </c>
      <c r="C432" s="122" t="str" vm="326">
        <f t="shared" ref="C432:D432" si="69" xml:space="preserve"> C230</f>
        <v>L4455</v>
      </c>
      <c r="D432" s="81">
        <f t="shared" si="69"/>
        <v>11</v>
      </c>
      <c r="E432" s="29" cm="1" vm="4248">
        <f t="array" ref="E432" xml:space="preserve"> INDEX( VfM_Metrics_2023_Consol_Source[], $D432, E$420 )</f>
        <v>4540</v>
      </c>
      <c r="F432" s="24">
        <f xml:space="preserve"> -- OR( SizeOnOff = "All", AND( tblFilterSize[[#This Row],[Total social stock owned]] &gt;= $I$420, tblFilterSize[[#This Row],[Total social stock owned]] &lt;= $K$420 ) )</f>
        <v>1</v>
      </c>
    </row>
    <row r="433" spans="2:6" x14ac:dyDescent="0.2">
      <c r="B433" s="122" t="str" vm="12">
        <f t="shared" si="59"/>
        <v>Believe Housing Limited</v>
      </c>
      <c r="C433" s="122" t="str" vm="284">
        <f t="shared" ref="C433:D433" si="70" xml:space="preserve"> C231</f>
        <v>5071</v>
      </c>
      <c r="D433" s="81">
        <f t="shared" si="70"/>
        <v>12</v>
      </c>
      <c r="E433" s="29" cm="1" vm="7608">
        <f t="array" ref="E433" xml:space="preserve"> INDEX( VfM_Metrics_2023_Consol_Source[], $D433, E$420 )</f>
        <v>18044</v>
      </c>
      <c r="F433" s="24">
        <f xml:space="preserve"> -- OR( SizeOnOff = "All", AND( tblFilterSize[[#This Row],[Total social stock owned]] &gt;= $I$420, tblFilterSize[[#This Row],[Total social stock owned]] &lt;= $K$420 ) )</f>
        <v>1</v>
      </c>
    </row>
    <row r="434" spans="2:6" x14ac:dyDescent="0.2">
      <c r="B434" s="122" t="str" vm="13">
        <f t="shared" si="59"/>
        <v>Bernicia Group</v>
      </c>
      <c r="C434" s="122" t="str" vm="291">
        <f t="shared" ref="C434:D434" si="71" xml:space="preserve"> C232</f>
        <v>4868</v>
      </c>
      <c r="D434" s="81">
        <f t="shared" si="71"/>
        <v>13</v>
      </c>
      <c r="E434" s="29" cm="1" vm="3039">
        <f t="array" ref="E434" xml:space="preserve"> INDEX( VfM_Metrics_2023_Consol_Source[], $D434, E$420 )</f>
        <v>13715</v>
      </c>
      <c r="F434" s="24">
        <f xml:space="preserve"> -- OR( SizeOnOff = "All", AND( tblFilterSize[[#This Row],[Total social stock owned]] &gt;= $I$420, tblFilterSize[[#This Row],[Total social stock owned]] &lt;= $K$420 ) )</f>
        <v>1</v>
      </c>
    </row>
    <row r="435" spans="2:6" x14ac:dyDescent="0.2">
      <c r="B435" s="122" t="str" vm="14">
        <f t="shared" si="59"/>
        <v>Beyond Housing Limited</v>
      </c>
      <c r="C435" s="122" t="str" vm="285">
        <f t="shared" ref="C435:D435" si="72" xml:space="preserve"> C233</f>
        <v>LH4401</v>
      </c>
      <c r="D435" s="81">
        <f t="shared" si="72"/>
        <v>14</v>
      </c>
      <c r="E435" s="29" cm="1" vm="2827">
        <f t="array" ref="E435" xml:space="preserve"> INDEX( VfM_Metrics_2023_Consol_Source[], $D435, E$420 )</f>
        <v>15130</v>
      </c>
      <c r="F435" s="24">
        <f xml:space="preserve"> -- OR( SizeOnOff = "All", AND( tblFilterSize[[#This Row],[Total social stock owned]] &gt;= $I$420, tblFilterSize[[#This Row],[Total social stock owned]] &lt;= $K$420 ) )</f>
        <v>1</v>
      </c>
    </row>
    <row r="436" spans="2:6" x14ac:dyDescent="0.2">
      <c r="B436" s="122" t="str" vm="15">
        <f t="shared" si="59"/>
        <v>Black Country Housing Group Limited</v>
      </c>
      <c r="C436" s="122" t="str" vm="215">
        <f t="shared" ref="C436:D436" si="73" xml:space="preserve"> C234</f>
        <v>L1668</v>
      </c>
      <c r="D436" s="81">
        <f t="shared" si="73"/>
        <v>15</v>
      </c>
      <c r="E436" s="29" cm="1" vm="8736">
        <f t="array" ref="E436" xml:space="preserve"> INDEX( VfM_Metrics_2023_Consol_Source[], $D436, E$420 )</f>
        <v>2134</v>
      </c>
      <c r="F436" s="24">
        <f xml:space="preserve"> -- OR( SizeOnOff = "All", AND( tblFilterSize[[#This Row],[Total social stock owned]] &gt;= $I$420, tblFilterSize[[#This Row],[Total social stock owned]] &lt;= $K$420 ) )</f>
        <v>1</v>
      </c>
    </row>
    <row r="437" spans="2:6" x14ac:dyDescent="0.2">
      <c r="B437" s="122" t="str" vm="16">
        <f t="shared" si="59"/>
        <v>Bolton at Home Limited</v>
      </c>
      <c r="C437" s="122" t="str" vm="278">
        <f t="shared" ref="C437:D437" si="74" xml:space="preserve"> C235</f>
        <v>4568</v>
      </c>
      <c r="D437" s="81">
        <f t="shared" si="74"/>
        <v>16</v>
      </c>
      <c r="E437" s="29" cm="1" vm="2601">
        <f t="array" ref="E437" xml:space="preserve"> INDEX( VfM_Metrics_2023_Consol_Source[], $D437, E$420 )</f>
        <v>18912</v>
      </c>
      <c r="F437" s="24">
        <f xml:space="preserve"> -- OR( SizeOnOff = "All", AND( tblFilterSize[[#This Row],[Total social stock owned]] &gt;= $I$420, tblFilterSize[[#This Row],[Total social stock owned]] &lt;= $K$420 ) )</f>
        <v>1</v>
      </c>
    </row>
    <row r="438" spans="2:6" x14ac:dyDescent="0.2">
      <c r="B438" s="122" t="str" vm="17">
        <f t="shared" si="59"/>
        <v>Bournemouth Churches Housing Association Limited</v>
      </c>
      <c r="C438" s="122" t="str" vm="206">
        <f t="shared" ref="C438:D438" si="75" xml:space="preserve"> C236</f>
        <v>LH0155</v>
      </c>
      <c r="D438" s="81">
        <f t="shared" si="75"/>
        <v>17</v>
      </c>
      <c r="E438" s="29" cm="1" vm="838">
        <f t="array" ref="E438" xml:space="preserve"> INDEX( VfM_Metrics_2023_Consol_Source[], $D438, E$420 )</f>
        <v>1309</v>
      </c>
      <c r="F438" s="24">
        <f xml:space="preserve"> -- OR( SizeOnOff = "All", AND( tblFilterSize[[#This Row],[Total social stock owned]] &gt;= $I$420, tblFilterSize[[#This Row],[Total social stock owned]] &lt;= $K$420 ) )</f>
        <v>1</v>
      </c>
    </row>
    <row r="439" spans="2:6" x14ac:dyDescent="0.2">
      <c r="B439" s="122" t="str" vm="18">
        <f t="shared" si="59"/>
        <v>Bournville Village Trust</v>
      </c>
      <c r="C439" s="122" t="str" vm="325">
        <f t="shared" ref="C439:D439" si="76" xml:space="preserve"> C237</f>
        <v>L0702</v>
      </c>
      <c r="D439" s="81">
        <f t="shared" si="76"/>
        <v>18</v>
      </c>
      <c r="E439" s="29" cm="1" vm="4219">
        <f t="array" ref="E439" xml:space="preserve"> INDEX( VfM_Metrics_2023_Consol_Source[], $D439, E$420 )</f>
        <v>3720</v>
      </c>
      <c r="F439" s="24">
        <f xml:space="preserve"> -- OR( SizeOnOff = "All", AND( tblFilterSize[[#This Row],[Total social stock owned]] &gt;= $I$420, tblFilterSize[[#This Row],[Total social stock owned]] &lt;= $K$420 ) )</f>
        <v>1</v>
      </c>
    </row>
    <row r="440" spans="2:6" x14ac:dyDescent="0.2">
      <c r="B440" s="122" t="str" vm="19">
        <f t="shared" si="59"/>
        <v>bpha Limited</v>
      </c>
      <c r="C440" s="122" t="str" vm="294">
        <f t="shared" ref="C440:D440" si="77" xml:space="preserve"> C238</f>
        <v>LH3887</v>
      </c>
      <c r="D440" s="81">
        <f t="shared" si="77"/>
        <v>19</v>
      </c>
      <c r="E440" s="29" cm="1" vm="3145">
        <f t="array" ref="E440" xml:space="preserve"> INDEX( VfM_Metrics_2023_Consol_Source[], $D440, E$420 )</f>
        <v>17363</v>
      </c>
      <c r="F440" s="24">
        <f xml:space="preserve"> -- OR( SizeOnOff = "All", AND( tblFilterSize[[#This Row],[Total social stock owned]] &gt;= $I$420, tblFilterSize[[#This Row],[Total social stock owned]] &lt;= $K$420 ) )</f>
        <v>1</v>
      </c>
    </row>
    <row r="441" spans="2:6" x14ac:dyDescent="0.2">
      <c r="B441" s="122" t="str" vm="20">
        <f t="shared" si="59"/>
        <v>Brighter Places</v>
      </c>
      <c r="C441" s="122" t="str" vm="324">
        <f t="shared" ref="C441:D441" si="78" xml:space="preserve"> C239</f>
        <v>L3758</v>
      </c>
      <c r="D441" s="81">
        <f t="shared" si="78"/>
        <v>20</v>
      </c>
      <c r="E441" s="29" cm="1" vm="4184">
        <f t="array" ref="E441" xml:space="preserve"> INDEX( VfM_Metrics_2023_Consol_Source[], $D441, E$420 )</f>
        <v>3195</v>
      </c>
      <c r="F441" s="24">
        <f xml:space="preserve"> -- OR( SizeOnOff = "All", AND( tblFilterSize[[#This Row],[Total social stock owned]] &gt;= $I$420, tblFilterSize[[#This Row],[Total social stock owned]] &lt;= $K$420 ) )</f>
        <v>1</v>
      </c>
    </row>
    <row r="442" spans="2:6" x14ac:dyDescent="0.2">
      <c r="B442" s="122" t="str" vm="21">
        <f t="shared" si="59"/>
        <v>Broadacres Housing Association Limited</v>
      </c>
      <c r="C442" s="122" t="str" vm="366">
        <f t="shared" ref="C442:D442" si="79" xml:space="preserve"> C240</f>
        <v>LH4014</v>
      </c>
      <c r="D442" s="81">
        <f t="shared" si="79"/>
        <v>21</v>
      </c>
      <c r="E442" s="29" cm="1" vm="7248">
        <f t="array" ref="E442" xml:space="preserve"> INDEX( VfM_Metrics_2023_Consol_Source[], $D442, E$420 )</f>
        <v>6656</v>
      </c>
      <c r="F442" s="24">
        <f xml:space="preserve"> -- OR( SizeOnOff = "All", AND( tblFilterSize[[#This Row],[Total social stock owned]] &gt;= $I$420, tblFilterSize[[#This Row],[Total social stock owned]] &lt;= $K$420 ) )</f>
        <v>1</v>
      </c>
    </row>
    <row r="443" spans="2:6" x14ac:dyDescent="0.2">
      <c r="B443" s="122" t="str" vm="22">
        <f t="shared" si="59"/>
        <v>Broadland Housing Association Limited</v>
      </c>
      <c r="C443" s="122" t="str" vm="391">
        <f t="shared" ref="C443:D443" si="80" xml:space="preserve"> C241</f>
        <v>L0026</v>
      </c>
      <c r="D443" s="81">
        <f t="shared" si="80"/>
        <v>22</v>
      </c>
      <c r="E443" s="29" cm="1" vm="6624">
        <f t="array" ref="E443" xml:space="preserve"> INDEX( VfM_Metrics_2023_Consol_Source[], $D443, E$420 )</f>
        <v>5548</v>
      </c>
      <c r="F443" s="24">
        <f xml:space="preserve"> -- OR( SizeOnOff = "All", AND( tblFilterSize[[#This Row],[Total social stock owned]] &gt;= $I$420, tblFilterSize[[#This Row],[Total social stock owned]] &lt;= $K$420 ) )</f>
        <v>1</v>
      </c>
    </row>
    <row r="444" spans="2:6" x14ac:dyDescent="0.2">
      <c r="B444" s="122" t="str" vm="23">
        <f t="shared" si="59"/>
        <v>Bromford Housing Group Limited</v>
      </c>
      <c r="C444" s="122" t="str" vm="263">
        <f t="shared" ref="C444:D444" si="81" xml:space="preserve"> C242</f>
        <v>L4449</v>
      </c>
      <c r="D444" s="81">
        <f t="shared" si="81"/>
        <v>23</v>
      </c>
      <c r="E444" s="29" cm="1" vm="2114">
        <f t="array" ref="E444" xml:space="preserve"> INDEX( VfM_Metrics_2023_Consol_Source[], $D444, E$420 )</f>
        <v>42808</v>
      </c>
      <c r="F444" s="24">
        <f xml:space="preserve"> -- OR( SizeOnOff = "All", AND( tblFilterSize[[#This Row],[Total social stock owned]] &gt;= $I$420, tblFilterSize[[#This Row],[Total social stock owned]] &lt;= $K$420 ) )</f>
        <v>1</v>
      </c>
    </row>
    <row r="445" spans="2:6" x14ac:dyDescent="0.2">
      <c r="B445" s="122" t="str" vm="24">
        <f t="shared" si="59"/>
        <v>Bromsgrove District Housing Trust Limited</v>
      </c>
      <c r="C445" s="122" t="str" vm="323">
        <f t="shared" ref="C445:D445" si="82" xml:space="preserve"> C243</f>
        <v>LH4415</v>
      </c>
      <c r="D445" s="81">
        <f t="shared" si="82"/>
        <v>24</v>
      </c>
      <c r="E445" s="29" cm="1" vm="4145">
        <f t="array" ref="E445" xml:space="preserve"> INDEX( VfM_Metrics_2023_Consol_Source[], $D445, E$420 )</f>
        <v>4072</v>
      </c>
      <c r="F445" s="24">
        <f xml:space="preserve"> -- OR( SizeOnOff = "All", AND( tblFilterSize[[#This Row],[Total social stock owned]] &gt;= $I$420, tblFilterSize[[#This Row],[Total social stock owned]] &lt;= $K$420 ) )</f>
        <v>1</v>
      </c>
    </row>
    <row r="446" spans="2:6" x14ac:dyDescent="0.2">
      <c r="B446" s="122" t="str" vm="25">
        <f t="shared" si="59"/>
        <v>Brunelcare</v>
      </c>
      <c r="C446" s="122" t="str" vm="211">
        <f t="shared" ref="C446:D446" si="83" xml:space="preserve"> C244</f>
        <v>LH0269</v>
      </c>
      <c r="D446" s="81">
        <f t="shared" si="83"/>
        <v>25</v>
      </c>
      <c r="E446" s="29" cm="1" vm="8906">
        <f t="array" ref="E446" xml:space="preserve"> INDEX( VfM_Metrics_2023_Consol_Source[], $D446, E$420 )</f>
        <v>1128</v>
      </c>
      <c r="F446" s="24">
        <f xml:space="preserve"> -- OR( SizeOnOff = "All", AND( tblFilterSize[[#This Row],[Total social stock owned]] &gt;= $I$420, tblFilterSize[[#This Row],[Total social stock owned]] &lt;= $K$420 ) )</f>
        <v>1</v>
      </c>
    </row>
    <row r="447" spans="2:6" x14ac:dyDescent="0.2">
      <c r="B447" s="122" t="str" vm="26">
        <f t="shared" si="59"/>
        <v>Calico Homes Limited</v>
      </c>
      <c r="C447" s="122" t="str" vm="393">
        <f t="shared" ref="C447:D447" si="84" xml:space="preserve"> C245</f>
        <v>L4254</v>
      </c>
      <c r="D447" s="81">
        <f t="shared" si="84"/>
        <v>26</v>
      </c>
      <c r="E447" s="29" cm="1" vm="6701">
        <f t="array" ref="E447" xml:space="preserve"> INDEX( VfM_Metrics_2023_Consol_Source[], $D447, E$420 )</f>
        <v>5293</v>
      </c>
      <c r="F447" s="24">
        <f xml:space="preserve"> -- OR( SizeOnOff = "All", AND( tblFilterSize[[#This Row],[Total social stock owned]] &gt;= $I$420, tblFilterSize[[#This Row],[Total social stock owned]] &lt;= $K$420 ) )</f>
        <v>1</v>
      </c>
    </row>
    <row r="448" spans="2:6" x14ac:dyDescent="0.2">
      <c r="B448" s="122" t="str" vm="27">
        <f t="shared" si="59"/>
        <v>Castles &amp; Coasts Housing Association Limited</v>
      </c>
      <c r="C448" s="122" t="str" vm="371">
        <f t="shared" ref="C448:D448" si="85" xml:space="preserve"> C246</f>
        <v>4858</v>
      </c>
      <c r="D448" s="81">
        <f t="shared" si="85"/>
        <v>27</v>
      </c>
      <c r="E448" s="29" cm="1" vm="5833">
        <f t="array" ref="E448" xml:space="preserve"> INDEX( VfM_Metrics_2023_Consol_Source[], $D448, E$420 )</f>
        <v>6795</v>
      </c>
      <c r="F448" s="24">
        <f xml:space="preserve"> -- OR( SizeOnOff = "All", AND( tblFilterSize[[#This Row],[Total social stock owned]] &gt;= $I$420, tblFilterSize[[#This Row],[Total social stock owned]] &lt;= $K$420 ) )</f>
        <v>1</v>
      </c>
    </row>
    <row r="449" spans="2:6" x14ac:dyDescent="0.2">
      <c r="B449" s="122" t="str" vm="28">
        <f t="shared" si="59"/>
        <v>Chelmer Housing Partnership Limited</v>
      </c>
      <c r="C449" s="122" t="str" vm="279">
        <f t="shared" ref="C449:D449" si="86" xml:space="preserve"> C247</f>
        <v>L4331</v>
      </c>
      <c r="D449" s="81">
        <f t="shared" si="86"/>
        <v>28</v>
      </c>
      <c r="E449" s="29" cm="1" vm="2632">
        <f t="array" ref="E449" xml:space="preserve"> INDEX( VfM_Metrics_2023_Consol_Source[], $D449, E$420 )</f>
        <v>10036</v>
      </c>
      <c r="F449" s="24">
        <f xml:space="preserve"> -- OR( SizeOnOff = "All", AND( tblFilterSize[[#This Row],[Total social stock owned]] &gt;= $I$420, tblFilterSize[[#This Row],[Total social stock owned]] &lt;= $K$420 ) )</f>
        <v>1</v>
      </c>
    </row>
    <row r="450" spans="2:6" x14ac:dyDescent="0.2">
      <c r="B450" s="122" t="str" vm="29">
        <f t="shared" si="59"/>
        <v>Cheshire Peaks &amp; Plains Housing Trust Limited</v>
      </c>
      <c r="C450" s="122" t="str" vm="370">
        <f t="shared" ref="C450:D450" si="87" xml:space="preserve"> C248</f>
        <v>L4472</v>
      </c>
      <c r="D450" s="81">
        <f t="shared" si="87"/>
        <v>29</v>
      </c>
      <c r="E450" s="29" cm="1" vm="5803">
        <f t="array" ref="E450" xml:space="preserve"> INDEX( VfM_Metrics_2023_Consol_Source[], $D450, E$420 )</f>
        <v>5239</v>
      </c>
      <c r="F450" s="24">
        <f xml:space="preserve"> -- OR( SizeOnOff = "All", AND( tblFilterSize[[#This Row],[Total social stock owned]] &gt;= $I$420, tblFilterSize[[#This Row],[Total social stock owned]] &lt;= $K$420 ) )</f>
        <v>1</v>
      </c>
    </row>
    <row r="451" spans="2:6" x14ac:dyDescent="0.2">
      <c r="B451" s="122" t="str" vm="30">
        <f t="shared" si="59"/>
        <v>Christian Action (Enfield) Housing Association Limited</v>
      </c>
      <c r="C451" s="122" t="str" vm="214">
        <f t="shared" ref="C451:D451" si="88" xml:space="preserve"> C249</f>
        <v>LH0676</v>
      </c>
      <c r="D451" s="81">
        <f t="shared" si="88"/>
        <v>30</v>
      </c>
      <c r="E451" s="29" cm="1" vm="8698">
        <f t="array" ref="E451" xml:space="preserve"> INDEX( VfM_Metrics_2023_Consol_Source[], $D451, E$420 )</f>
        <v>1358</v>
      </c>
      <c r="F451" s="24">
        <f xml:space="preserve"> -- OR( SizeOnOff = "All", AND( tblFilterSize[[#This Row],[Total social stock owned]] &gt;= $I$420, tblFilterSize[[#This Row],[Total social stock owned]] &lt;= $K$420 ) )</f>
        <v>1</v>
      </c>
    </row>
    <row r="452" spans="2:6" x14ac:dyDescent="0.2">
      <c r="B452" s="122" t="str" vm="31">
        <f t="shared" si="59"/>
        <v>Citizen Housing Group Limited</v>
      </c>
      <c r="C452" s="122" t="str" vm="342">
        <f t="shared" ref="C452:D452" si="89" xml:space="preserve"> C250</f>
        <v>5075</v>
      </c>
      <c r="D452" s="81">
        <f t="shared" si="89"/>
        <v>31</v>
      </c>
      <c r="E452" s="29" cm="1" vm="7048">
        <f t="array" ref="E452" xml:space="preserve"> INDEX( VfM_Metrics_2023_Consol_Source[], $D452, E$420 )</f>
        <v>29244</v>
      </c>
      <c r="F452" s="24">
        <f xml:space="preserve"> -- OR( SizeOnOff = "All", AND( tblFilterSize[[#This Row],[Total social stock owned]] &gt;= $I$420, tblFilterSize[[#This Row],[Total social stock owned]] &lt;= $K$420 ) )</f>
        <v>1</v>
      </c>
    </row>
    <row r="453" spans="2:6" x14ac:dyDescent="0.2">
      <c r="B453" s="122" t="str" vm="32">
        <f t="shared" si="59"/>
        <v>Clarion Housing Group Limited</v>
      </c>
      <c r="C453" s="122" t="str" vm="246">
        <f t="shared" ref="C453:D453" si="90" xml:space="preserve"> C251</f>
        <v>LH4087</v>
      </c>
      <c r="D453" s="81">
        <f t="shared" si="90"/>
        <v>32</v>
      </c>
      <c r="E453" s="29" cm="1" vm="1632">
        <f t="array" ref="E453" xml:space="preserve"> INDEX( VfM_Metrics_2023_Consol_Source[], $D453, E$420 )</f>
        <v>109520</v>
      </c>
      <c r="F453" s="24">
        <f xml:space="preserve"> -- OR( SizeOnOff = "All", AND( tblFilterSize[[#This Row],[Total social stock owned]] &gt;= $I$420, tblFilterSize[[#This Row],[Total social stock owned]] &lt;= $K$420 ) )</f>
        <v>1</v>
      </c>
    </row>
    <row r="454" spans="2:6" x14ac:dyDescent="0.2">
      <c r="B454" s="122" t="str" vm="33">
        <f t="shared" ref="B454:D485" si="91" xml:space="preserve"> B252</f>
        <v>Coastline Housing Limited</v>
      </c>
      <c r="C454" s="122" t="str" vm="363">
        <f t="shared" si="91"/>
        <v>LH4165</v>
      </c>
      <c r="D454" s="81">
        <f t="shared" si="91"/>
        <v>33</v>
      </c>
      <c r="E454" s="29" cm="1" vm="5538">
        <f t="array" ref="E454" xml:space="preserve"> INDEX( VfM_Metrics_2023_Consol_Source[], $D454, E$420 )</f>
        <v>5111</v>
      </c>
      <c r="F454" s="24">
        <f xml:space="preserve"> -- OR( SizeOnOff = "All", AND( tblFilterSize[[#This Row],[Total social stock owned]] &gt;= $I$420, tblFilterSize[[#This Row],[Total social stock owned]] &lt;= $K$420 ) )</f>
        <v>1</v>
      </c>
    </row>
    <row r="455" spans="2:6" x14ac:dyDescent="0.2">
      <c r="B455" s="122" t="str" vm="34">
        <f t="shared" si="91"/>
        <v>Cobalt Housing Limited</v>
      </c>
      <c r="C455" s="122" t="str" vm="394">
        <f t="shared" si="91"/>
        <v>L4361</v>
      </c>
      <c r="D455" s="81">
        <f t="shared" si="91"/>
        <v>34</v>
      </c>
      <c r="E455" s="29" cm="1" vm="6781">
        <f t="array" ref="E455" xml:space="preserve"> INDEX( VfM_Metrics_2023_Consol_Source[], $D455, E$420 )</f>
        <v>5797</v>
      </c>
      <c r="F455" s="24">
        <f xml:space="preserve"> -- OR( SizeOnOff = "All", AND( tblFilterSize[[#This Row],[Total social stock owned]] &gt;= $I$420, tblFilterSize[[#This Row],[Total social stock owned]] &lt;= $K$420 ) )</f>
        <v>1</v>
      </c>
    </row>
    <row r="456" spans="2:6" x14ac:dyDescent="0.2">
      <c r="B456" s="122" t="str" vm="35">
        <f t="shared" si="91"/>
        <v>Community Gateway Association Limited</v>
      </c>
      <c r="C456" s="122" t="str" vm="396">
        <f t="shared" si="91"/>
        <v>L4457</v>
      </c>
      <c r="D456" s="81">
        <f t="shared" si="91"/>
        <v>35</v>
      </c>
      <c r="E456" s="29" cm="1" vm="6820">
        <f t="array" ref="E456" xml:space="preserve"> INDEX( VfM_Metrics_2023_Consol_Source[], $D456, E$420 )</f>
        <v>6742</v>
      </c>
      <c r="F456" s="24">
        <f xml:space="preserve"> -- OR( SizeOnOff = "All", AND( tblFilterSize[[#This Row],[Total social stock owned]] &gt;= $I$420, tblFilterSize[[#This Row],[Total social stock owned]] &lt;= $K$420 ) )</f>
        <v>1</v>
      </c>
    </row>
    <row r="457" spans="2:6" x14ac:dyDescent="0.2">
      <c r="B457" s="122" t="str" vm="36">
        <f t="shared" si="91"/>
        <v>Connect Housing Association Limited</v>
      </c>
      <c r="C457" s="122" t="str" vm="321">
        <f t="shared" si="91"/>
        <v>L2285</v>
      </c>
      <c r="D457" s="81">
        <f t="shared" si="91"/>
        <v>36</v>
      </c>
      <c r="E457" s="29" cm="1" vm="4069">
        <f t="array" ref="E457" xml:space="preserve"> INDEX( VfM_Metrics_2023_Consol_Source[], $D457, E$420 )</f>
        <v>3412</v>
      </c>
      <c r="F457" s="24">
        <f xml:space="preserve"> -- OR( SizeOnOff = "All", AND( tblFilterSize[[#This Row],[Total social stock owned]] &gt;= $I$420, tblFilterSize[[#This Row],[Total social stock owned]] &lt;= $K$420 ) )</f>
        <v>1</v>
      </c>
    </row>
    <row r="458" spans="2:6" x14ac:dyDescent="0.2">
      <c r="B458" s="122" t="str" vm="37">
        <f t="shared" si="91"/>
        <v>Connexus Homes Limited</v>
      </c>
      <c r="C458" s="122" t="str" vm="277">
        <f t="shared" si="91"/>
        <v>LH4353</v>
      </c>
      <c r="D458" s="81">
        <f t="shared" si="91"/>
        <v>37</v>
      </c>
      <c r="E458" s="29" cm="1" vm="7737">
        <f t="array" ref="E458" xml:space="preserve"> INDEX( VfM_Metrics_2023_Consol_Source[], $D458, E$420 )</f>
        <v>10673</v>
      </c>
      <c r="F458" s="24">
        <f xml:space="preserve"> -- OR( SizeOnOff = "All", AND( tblFilterSize[[#This Row],[Total social stock owned]] &gt;= $I$420, tblFilterSize[[#This Row],[Total social stock owned]] &lt;= $K$420 ) )</f>
        <v>1</v>
      </c>
    </row>
    <row r="459" spans="2:6" x14ac:dyDescent="0.2">
      <c r="B459" s="122" t="str" vm="38">
        <f t="shared" si="91"/>
        <v>Cornerstone Housing Limited</v>
      </c>
      <c r="C459" s="122" t="str" vm="228">
        <f t="shared" si="91"/>
        <v>L0147</v>
      </c>
      <c r="D459" s="81">
        <f t="shared" si="91"/>
        <v>38</v>
      </c>
      <c r="E459" s="29" cm="1" vm="8485">
        <f t="array" ref="E459" xml:space="preserve"> INDEX( VfM_Metrics_2023_Consol_Source[], $D459, E$420 )</f>
        <v>1381</v>
      </c>
      <c r="F459" s="24">
        <f xml:space="preserve"> -- OR( SizeOnOff = "All", AND( tblFilterSize[[#This Row],[Total social stock owned]] &gt;= $I$420, tblFilterSize[[#This Row],[Total social stock owned]] &lt;= $K$420 ) )</f>
        <v>1</v>
      </c>
    </row>
    <row r="460" spans="2:6" x14ac:dyDescent="0.2">
      <c r="B460" s="122" t="str" vm="39">
        <f t="shared" si="91"/>
        <v>Cottsway Housing Association Limited</v>
      </c>
      <c r="C460" s="122" t="str" vm="390">
        <f t="shared" si="91"/>
        <v>L4312</v>
      </c>
      <c r="D460" s="81">
        <f t="shared" si="91"/>
        <v>39</v>
      </c>
      <c r="E460" s="29" cm="1" vm="6590">
        <f t="array" ref="E460" xml:space="preserve"> INDEX( VfM_Metrics_2023_Consol_Source[], $D460, E$420 )</f>
        <v>5386</v>
      </c>
      <c r="F460" s="24">
        <f xml:space="preserve"> -- OR( SizeOnOff = "All", AND( tblFilterSize[[#This Row],[Total social stock owned]] &gt;= $I$420, tblFilterSize[[#This Row],[Total social stock owned]] &lt;= $K$420 ) )</f>
        <v>1</v>
      </c>
    </row>
    <row r="461" spans="2:6" x14ac:dyDescent="0.2">
      <c r="B461" s="122" t="str" vm="40">
        <f t="shared" si="91"/>
        <v>Cross Keys Homes Limited</v>
      </c>
      <c r="C461" s="122" t="str" vm="302">
        <f t="shared" si="91"/>
        <v>LH4428</v>
      </c>
      <c r="D461" s="81">
        <f t="shared" si="91"/>
        <v>40</v>
      </c>
      <c r="E461" s="29" cm="1" vm="3419">
        <f t="array" ref="E461" xml:space="preserve"> INDEX( VfM_Metrics_2023_Consol_Source[], $D461, E$420 )</f>
        <v>12230</v>
      </c>
      <c r="F461" s="24">
        <f xml:space="preserve"> -- OR( SizeOnOff = "All", AND( tblFilterSize[[#This Row],[Total social stock owned]] &gt;= $I$420, tblFilterSize[[#This Row],[Total social stock owned]] &lt;= $K$420 ) )</f>
        <v>1</v>
      </c>
    </row>
    <row r="462" spans="2:6" x14ac:dyDescent="0.2">
      <c r="B462" s="122" t="str" vm="41">
        <f t="shared" si="91"/>
        <v>Croydon Churches Housing Association Limited</v>
      </c>
      <c r="C462" s="122" t="str" vm="213">
        <f t="shared" si="91"/>
        <v>LH0495</v>
      </c>
      <c r="D462" s="81">
        <f t="shared" si="91"/>
        <v>41</v>
      </c>
      <c r="E462" s="29" cm="1" vm="876">
        <f t="array" ref="E462" xml:space="preserve"> INDEX( VfM_Metrics_2023_Consol_Source[], $D462, E$420 )</f>
        <v>1444</v>
      </c>
      <c r="F462" s="24">
        <f xml:space="preserve"> -- OR( SizeOnOff = "All", AND( tblFilterSize[[#This Row],[Total social stock owned]] &gt;= $I$420, tblFilterSize[[#This Row],[Total social stock owned]] &lt;= $K$420 ) )</f>
        <v>1</v>
      </c>
    </row>
    <row r="463" spans="2:6" x14ac:dyDescent="0.2">
      <c r="B463" s="122" t="str" vm="42">
        <f t="shared" si="91"/>
        <v>Curo Group (Albion) Limited</v>
      </c>
      <c r="C463" s="122" t="str" vm="272">
        <f t="shared" si="91"/>
        <v>LH4336</v>
      </c>
      <c r="D463" s="81">
        <f t="shared" si="91"/>
        <v>42</v>
      </c>
      <c r="E463" s="29" cm="1" vm="8041">
        <f t="array" ref="E463" xml:space="preserve"> INDEX( VfM_Metrics_2023_Consol_Source[], $D463, E$420 )</f>
        <v>12773</v>
      </c>
      <c r="F463" s="24">
        <f xml:space="preserve"> -- OR( SizeOnOff = "All", AND( tblFilterSize[[#This Row],[Total social stock owned]] &gt;= $I$420, tblFilterSize[[#This Row],[Total social stock owned]] &lt;= $K$420 ) )</f>
        <v>1</v>
      </c>
    </row>
    <row r="464" spans="2:6" x14ac:dyDescent="0.2">
      <c r="B464" s="122" t="str" vm="43">
        <f t="shared" si="91"/>
        <v>Durham Aged Mineworkers' Homes Association</v>
      </c>
      <c r="C464" s="122" t="str" vm="236">
        <f t="shared" si="91"/>
        <v>5125</v>
      </c>
      <c r="D464" s="81">
        <f t="shared" si="91"/>
        <v>43</v>
      </c>
      <c r="E464" s="29" cm="1" vm="1367">
        <f t="array" ref="E464" xml:space="preserve"> INDEX( VfM_Metrics_2023_Consol_Source[], $D464, E$420 )</f>
        <v>1784</v>
      </c>
      <c r="F464" s="24">
        <f xml:space="preserve"> -- OR( SizeOnOff = "All", AND( tblFilterSize[[#This Row],[Total social stock owned]] &gt;= $I$420, tblFilterSize[[#This Row],[Total social stock owned]] &lt;= $K$420 ) )</f>
        <v>1</v>
      </c>
    </row>
    <row r="465" spans="2:6" x14ac:dyDescent="0.2">
      <c r="B465" s="122" t="str" vm="44">
        <f t="shared" si="91"/>
        <v>East End Homes Limited</v>
      </c>
      <c r="C465" s="122" t="str" vm="217">
        <f t="shared" si="91"/>
        <v>L4434</v>
      </c>
      <c r="D465" s="81">
        <f t="shared" si="91"/>
        <v>44</v>
      </c>
      <c r="E465" s="29" cm="1" vm="947">
        <f t="array" ref="E465" xml:space="preserve"> INDEX( VfM_Metrics_2023_Consol_Source[], $D465, E$420 )</f>
        <v>2372</v>
      </c>
      <c r="F465" s="24">
        <f xml:space="preserve"> -- OR( SizeOnOff = "All", AND( tblFilterSize[[#This Row],[Total social stock owned]] &gt;= $I$420, tblFilterSize[[#This Row],[Total social stock owned]] &lt;= $K$420 ) )</f>
        <v>1</v>
      </c>
    </row>
    <row r="466" spans="2:6" x14ac:dyDescent="0.2">
      <c r="B466" s="122" t="str" vm="45">
        <f t="shared" si="91"/>
        <v>East Midlands Housing Group Limited</v>
      </c>
      <c r="C466" s="122" t="str" vm="303">
        <f t="shared" si="91"/>
        <v>L4530</v>
      </c>
      <c r="D466" s="81">
        <f t="shared" si="91"/>
        <v>45</v>
      </c>
      <c r="E466" s="29" cm="1" vm="3455">
        <f t="array" ref="E466" xml:space="preserve"> INDEX( VfM_Metrics_2023_Consol_Source[], $D466, E$420 )</f>
        <v>18583</v>
      </c>
      <c r="F466" s="24">
        <f xml:space="preserve"> -- OR( SizeOnOff = "All", AND( tblFilterSize[[#This Row],[Total social stock owned]] &gt;= $I$420, tblFilterSize[[#This Row],[Total social stock owned]] &lt;= $K$420 ) )</f>
        <v>1</v>
      </c>
    </row>
    <row r="467" spans="2:6" x14ac:dyDescent="0.2">
      <c r="B467" s="122" t="str" vm="46">
        <f t="shared" si="91"/>
        <v>Eastlight Community Homes Limited</v>
      </c>
      <c r="C467" s="122" t="str" vm="290">
        <f t="shared" si="91"/>
        <v>L4499</v>
      </c>
      <c r="D467" s="81">
        <f t="shared" si="91"/>
        <v>46</v>
      </c>
      <c r="E467" s="29" cm="1" vm="7753">
        <f t="array" ref="E467" xml:space="preserve"> INDEX( VfM_Metrics_2023_Consol_Source[], $D467, E$420 )</f>
        <v>12450</v>
      </c>
      <c r="F467" s="24">
        <f xml:space="preserve"> -- OR( SizeOnOff = "All", AND( tblFilterSize[[#This Row],[Total social stock owned]] &gt;= $I$420, tblFilterSize[[#This Row],[Total social stock owned]] &lt;= $K$420 ) )</f>
        <v>1</v>
      </c>
    </row>
    <row r="468" spans="2:6" x14ac:dyDescent="0.2">
      <c r="B468" s="122" t="str" vm="47">
        <f t="shared" si="91"/>
        <v>Eden Housing Association Limited</v>
      </c>
      <c r="C468" s="122" t="str" vm="231">
        <f t="shared" si="91"/>
        <v>L4140</v>
      </c>
      <c r="D468" s="81">
        <f t="shared" si="91"/>
        <v>47</v>
      </c>
      <c r="E468" s="29" cm="1" vm="1266">
        <f t="array" ref="E468" xml:space="preserve"> INDEX( VfM_Metrics_2023_Consol_Source[], $D468, E$420 )</f>
        <v>1823</v>
      </c>
      <c r="F468" s="24">
        <f xml:space="preserve"> -- OR( SizeOnOff = "All", AND( tblFilterSize[[#This Row],[Total social stock owned]] &gt;= $I$420, tblFilterSize[[#This Row],[Total social stock owned]] &lt;= $K$420 ) )</f>
        <v>1</v>
      </c>
    </row>
    <row r="469" spans="2:6" x14ac:dyDescent="0.2">
      <c r="B469" s="122" t="str" vm="48">
        <f t="shared" si="91"/>
        <v>Empowering People Inspiring Communities Limited</v>
      </c>
      <c r="C469" s="122" t="str" vm="237">
        <f t="shared" si="91"/>
        <v>L4167</v>
      </c>
      <c r="D469" s="81">
        <f t="shared" si="91"/>
        <v>48</v>
      </c>
      <c r="E469" s="29" cm="1" vm="8435">
        <f t="array" ref="E469" xml:space="preserve"> INDEX( VfM_Metrics_2023_Consol_Source[], $D469, E$420 )</f>
        <v>1387</v>
      </c>
      <c r="F469" s="24">
        <f xml:space="preserve"> -- OR( SizeOnOff = "All", AND( tblFilterSize[[#This Row],[Total social stock owned]] &gt;= $I$420, tblFilterSize[[#This Row],[Total social stock owned]] &lt;= $K$420 ) )</f>
        <v>1</v>
      </c>
    </row>
    <row r="470" spans="2:6" x14ac:dyDescent="0.2">
      <c r="B470" s="122" t="str" vm="49">
        <f t="shared" si="91"/>
        <v>English Rural Housing Association Limited</v>
      </c>
      <c r="C470" s="122" t="str" vm="234">
        <f t="shared" si="91"/>
        <v>L4004</v>
      </c>
      <c r="D470" s="81">
        <f t="shared" si="91"/>
        <v>49</v>
      </c>
      <c r="E470" s="29" cm="1" vm="8419">
        <f t="array" ref="E470" xml:space="preserve"> INDEX( VfM_Metrics_2023_Consol_Source[], $D470, E$420 )</f>
        <v>1343</v>
      </c>
      <c r="F470" s="24">
        <f xml:space="preserve"> -- OR( SizeOnOff = "All", AND( tblFilterSize[[#This Row],[Total social stock owned]] &gt;= $I$420, tblFilterSize[[#This Row],[Total social stock owned]] &lt;= $K$420 ) )</f>
        <v>1</v>
      </c>
    </row>
    <row r="471" spans="2:6" x14ac:dyDescent="0.2">
      <c r="B471" s="122" t="str" vm="50">
        <f t="shared" si="91"/>
        <v>Estuary Housing Association Limited</v>
      </c>
      <c r="C471" s="122" t="str" vm="316">
        <f t="shared" si="91"/>
        <v>L3535</v>
      </c>
      <c r="D471" s="81">
        <f t="shared" si="91"/>
        <v>50</v>
      </c>
      <c r="E471" s="29" cm="1" vm="3899">
        <f t="array" ref="E471" xml:space="preserve"> INDEX( VfM_Metrics_2023_Consol_Source[], $D471, E$420 )</f>
        <v>4331</v>
      </c>
      <c r="F471" s="24">
        <f xml:space="preserve"> -- OR( SizeOnOff = "All", AND( tblFilterSize[[#This Row],[Total social stock owned]] &gt;= $I$420, tblFilterSize[[#This Row],[Total social stock owned]] &lt;= $K$420 ) )</f>
        <v>1</v>
      </c>
    </row>
    <row r="472" spans="2:6" x14ac:dyDescent="0.2">
      <c r="B472" s="122" t="str" vm="51">
        <f t="shared" si="91"/>
        <v>Fairhive Homes Limited</v>
      </c>
      <c r="C472" s="122" t="str" vm="355">
        <f t="shared" si="91"/>
        <v>L4473</v>
      </c>
      <c r="D472" s="81">
        <f t="shared" si="91"/>
        <v>51</v>
      </c>
      <c r="E472" s="29" cm="1" vm="5270">
        <f t="array" ref="E472" xml:space="preserve"> INDEX( VfM_Metrics_2023_Consol_Source[], $D472, E$420 )</f>
        <v>8564</v>
      </c>
      <c r="F472" s="24">
        <f xml:space="preserve"> -- OR( SizeOnOff = "All", AND( tblFilterSize[[#This Row],[Total social stock owned]] &gt;= $I$420, tblFilterSize[[#This Row],[Total social stock owned]] &lt;= $K$420 ) )</f>
        <v>1</v>
      </c>
    </row>
    <row r="473" spans="2:6" x14ac:dyDescent="0.2">
      <c r="B473" s="122" t="str" vm="52">
        <f t="shared" si="91"/>
        <v>First Choice Homes Oldham Limited</v>
      </c>
      <c r="C473" s="122" t="str" vm="289">
        <f t="shared" si="91"/>
        <v>4582</v>
      </c>
      <c r="D473" s="81">
        <f t="shared" si="91"/>
        <v>52</v>
      </c>
      <c r="E473" s="29" cm="1" vm="7851">
        <f t="array" ref="E473" xml:space="preserve"> INDEX( VfM_Metrics_2023_Consol_Source[], $D473, E$420 )</f>
        <v>11426</v>
      </c>
      <c r="F473" s="24">
        <f xml:space="preserve"> -- OR( SizeOnOff = "All", AND( tblFilterSize[[#This Row],[Total social stock owned]] &gt;= $I$420, tblFilterSize[[#This Row],[Total social stock owned]] &lt;= $K$420 ) )</f>
        <v>1</v>
      </c>
    </row>
    <row r="474" spans="2:6" x14ac:dyDescent="0.2">
      <c r="B474" s="122" t="str" vm="53">
        <f t="shared" si="91"/>
        <v>First Garden Cities Homes Limited</v>
      </c>
      <c r="C474" s="122" t="str" vm="224">
        <f t="shared" si="91"/>
        <v>5090</v>
      </c>
      <c r="D474" s="81">
        <f t="shared" si="91"/>
        <v>53</v>
      </c>
      <c r="E474" s="29" cm="1" vm="1301">
        <f t="array" ref="E474" xml:space="preserve"> INDEX( VfM_Metrics_2023_Consol_Source[], $D474, E$420 )</f>
        <v>2276</v>
      </c>
      <c r="F474" s="24">
        <f xml:space="preserve"> -- OR( SizeOnOff = "All", AND( tblFilterSize[[#This Row],[Total social stock owned]] &gt;= $I$420, tblFilterSize[[#This Row],[Total social stock owned]] &lt;= $K$420 ) )</f>
        <v>1</v>
      </c>
    </row>
    <row r="475" spans="2:6" x14ac:dyDescent="0.2">
      <c r="B475" s="122" t="str" vm="54">
        <f t="shared" si="91"/>
        <v>Flagship Housing Group Limited</v>
      </c>
      <c r="C475" s="122" t="str" vm="255">
        <f t="shared" si="91"/>
        <v>4651</v>
      </c>
      <c r="D475" s="81">
        <f t="shared" si="91"/>
        <v>54</v>
      </c>
      <c r="E475" s="29" cm="1" vm="1889">
        <f t="array" ref="E475" xml:space="preserve"> INDEX( VfM_Metrics_2023_Consol_Source[], $D475, E$420 )</f>
        <v>31550</v>
      </c>
      <c r="F475" s="24">
        <f xml:space="preserve"> -- OR( SizeOnOff = "All", AND( tblFilterSize[[#This Row],[Total social stock owned]] &gt;= $I$420, tblFilterSize[[#This Row],[Total social stock owned]] &lt;= $K$420 ) )</f>
        <v>1</v>
      </c>
    </row>
    <row r="476" spans="2:6" x14ac:dyDescent="0.2">
      <c r="B476" s="122" t="str" vm="55">
        <f t="shared" si="91"/>
        <v>ForHousing Limited</v>
      </c>
      <c r="C476" s="122" t="str" vm="296">
        <f t="shared" si="91"/>
        <v>L4528</v>
      </c>
      <c r="D476" s="81">
        <f t="shared" si="91"/>
        <v>55</v>
      </c>
      <c r="E476" s="29" cm="1" vm="3209">
        <f t="array" ref="E476" xml:space="preserve"> INDEX( VfM_Metrics_2023_Consol_Source[], $D476, E$420 )</f>
        <v>17790</v>
      </c>
      <c r="F476" s="24">
        <f xml:space="preserve"> -- OR( SizeOnOff = "All", AND( tblFilterSize[[#This Row],[Total social stock owned]] &gt;= $I$420, tblFilterSize[[#This Row],[Total social stock owned]] &lt;= $K$420 ) )</f>
        <v>1</v>
      </c>
    </row>
    <row r="477" spans="2:6" x14ac:dyDescent="0.2">
      <c r="B477" s="122" t="str" vm="56">
        <f t="shared" si="91"/>
        <v>Framework Housing Association</v>
      </c>
      <c r="C477" s="122" t="str" vm="200">
        <f t="shared" si="91"/>
        <v>LH4184</v>
      </c>
      <c r="D477" s="81">
        <f t="shared" si="91"/>
        <v>56</v>
      </c>
      <c r="E477" s="29" cm="1" vm="624">
        <f t="array" ref="E477" xml:space="preserve"> INDEX( VfM_Metrics_2023_Consol_Source[], $D477, E$420 )</f>
        <v>1223</v>
      </c>
      <c r="F477" s="24">
        <f xml:space="preserve"> -- OR( SizeOnOff = "All", AND( tblFilterSize[[#This Row],[Total social stock owned]] &gt;= $I$420, tblFilterSize[[#This Row],[Total social stock owned]] &lt;= $K$420 ) )</f>
        <v>1</v>
      </c>
    </row>
    <row r="478" spans="2:6" x14ac:dyDescent="0.2">
      <c r="B478" s="122" t="str" vm="57">
        <f t="shared" si="91"/>
        <v>Freebridge Community Housing Limited</v>
      </c>
      <c r="C478" s="122" t="str" vm="388">
        <f t="shared" si="91"/>
        <v>L4463</v>
      </c>
      <c r="D478" s="81">
        <f t="shared" si="91"/>
        <v>57</v>
      </c>
      <c r="E478" s="29" cm="1" vm="6504">
        <f t="array" ref="E478" xml:space="preserve"> INDEX( VfM_Metrics_2023_Consol_Source[], $D478, E$420 )</f>
        <v>6832</v>
      </c>
      <c r="F478" s="24">
        <f xml:space="preserve"> -- OR( SizeOnOff = "All", AND( tblFilterSize[[#This Row],[Total social stock owned]] &gt;= $I$420, tblFilterSize[[#This Row],[Total social stock owned]] &lt;= $K$420 ) )</f>
        <v>1</v>
      </c>
    </row>
    <row r="479" spans="2:6" x14ac:dyDescent="0.2">
      <c r="B479" s="122" t="str" vm="58">
        <f t="shared" si="91"/>
        <v>Futures Housing Group Limited</v>
      </c>
      <c r="C479" s="122" t="str" vm="288">
        <f t="shared" si="91"/>
        <v>L4502</v>
      </c>
      <c r="D479" s="81">
        <f t="shared" si="91"/>
        <v>58</v>
      </c>
      <c r="E479" s="29" cm="1" vm="2933">
        <f t="array" ref="E479" xml:space="preserve"> INDEX( VfM_Metrics_2023_Consol_Source[], $D479, E$420 )</f>
        <v>10063</v>
      </c>
      <c r="F479" s="24">
        <f xml:space="preserve"> -- OR( SizeOnOff = "All", AND( tblFilterSize[[#This Row],[Total social stock owned]] &gt;= $I$420, tblFilterSize[[#This Row],[Total social stock owned]] &lt;= $K$420 ) )</f>
        <v>1</v>
      </c>
    </row>
    <row r="480" spans="2:6" x14ac:dyDescent="0.2">
      <c r="B480" s="122" t="str" vm="59">
        <f t="shared" si="91"/>
        <v>Gateway Housing Association Limited</v>
      </c>
      <c r="C480" s="122" t="str" vm="312">
        <f t="shared" si="91"/>
        <v>L0517</v>
      </c>
      <c r="D480" s="81">
        <f t="shared" si="91"/>
        <v>59</v>
      </c>
      <c r="E480" s="29" cm="1" vm="3747">
        <f t="array" ref="E480" xml:space="preserve"> INDEX( VfM_Metrics_2023_Consol_Source[], $D480, E$420 )</f>
        <v>2803</v>
      </c>
      <c r="F480" s="24">
        <f xml:space="preserve"> -- OR( SizeOnOff = "All", AND( tblFilterSize[[#This Row],[Total social stock owned]] &gt;= $I$420, tblFilterSize[[#This Row],[Total social stock owned]] &lt;= $K$420 ) )</f>
        <v>1</v>
      </c>
    </row>
    <row r="481" spans="2:6" x14ac:dyDescent="0.2">
      <c r="B481" s="122" t="str" vm="60">
        <f t="shared" si="91"/>
        <v>Gentoo Group Limited</v>
      </c>
      <c r="C481" s="122" t="str" vm="344">
        <f t="shared" si="91"/>
        <v>L4313</v>
      </c>
      <c r="D481" s="81">
        <f t="shared" si="91"/>
        <v>60</v>
      </c>
      <c r="E481" s="29" cm="1" vm="5642">
        <f t="array" ref="E481" xml:space="preserve"> INDEX( VfM_Metrics_2023_Consol_Source[], $D481, E$420 )</f>
        <v>28701</v>
      </c>
      <c r="F481" s="24">
        <f xml:space="preserve"> -- OR( SizeOnOff = "All", AND( tblFilterSize[[#This Row],[Total social stock owned]] &gt;= $I$420, tblFilterSize[[#This Row],[Total social stock owned]] &lt;= $K$420 ) )</f>
        <v>1</v>
      </c>
    </row>
    <row r="482" spans="2:6" x14ac:dyDescent="0.2">
      <c r="B482" s="122" t="str" vm="61">
        <f t="shared" si="91"/>
        <v>Gloucester City Homes Limited</v>
      </c>
      <c r="C482" s="122" t="str" vm="322">
        <f t="shared" si="91"/>
        <v>4584</v>
      </c>
      <c r="D482" s="81">
        <f t="shared" si="91"/>
        <v>61</v>
      </c>
      <c r="E482" s="29" cm="1" vm="4110">
        <f t="array" ref="E482" xml:space="preserve"> INDEX( VfM_Metrics_2023_Consol_Source[], $D482, E$420 )</f>
        <v>4756</v>
      </c>
      <c r="F482" s="24">
        <f xml:space="preserve"> -- OR( SizeOnOff = "All", AND( tblFilterSize[[#This Row],[Total social stock owned]] &gt;= $I$420, tblFilterSize[[#This Row],[Total social stock owned]] &lt;= $K$420 ) )</f>
        <v>1</v>
      </c>
    </row>
    <row r="483" spans="2:6" x14ac:dyDescent="0.2">
      <c r="B483" s="122" t="str" vm="62">
        <f t="shared" si="91"/>
        <v>Golden Lane Housing Limited</v>
      </c>
      <c r="C483" s="122" t="str" vm="309">
        <f t="shared" si="91"/>
        <v>4803</v>
      </c>
      <c r="D483" s="81">
        <f t="shared" si="91"/>
        <v>62</v>
      </c>
      <c r="E483" s="29" cm="1" vm="3636">
        <f t="array" ref="E483" xml:space="preserve"> INDEX( VfM_Metrics_2023_Consol_Source[], $D483, E$420 )</f>
        <v>2671</v>
      </c>
      <c r="F483" s="24">
        <f xml:space="preserve"> -- OR( SizeOnOff = "All", AND( tblFilterSize[[#This Row],[Total social stock owned]] &gt;= $I$420, tblFilterSize[[#This Row],[Total social stock owned]] &lt;= $K$420 ) )</f>
        <v>1</v>
      </c>
    </row>
    <row r="484" spans="2:6" x14ac:dyDescent="0.2">
      <c r="B484" s="122" t="str" vm="63">
        <f t="shared" si="91"/>
        <v>Golding Homes Limited</v>
      </c>
      <c r="C484" s="122" t="str" vm="361">
        <f t="shared" si="91"/>
        <v>LH4402</v>
      </c>
      <c r="D484" s="81">
        <f t="shared" si="91"/>
        <v>63</v>
      </c>
      <c r="E484" s="29" cm="1" vm="5471">
        <f t="array" ref="E484" xml:space="preserve"> INDEX( VfM_Metrics_2023_Consol_Source[], $D484, E$420 )</f>
        <v>7783</v>
      </c>
      <c r="F484" s="24">
        <f xml:space="preserve"> -- OR( SizeOnOff = "All", AND( tblFilterSize[[#This Row],[Total social stock owned]] &gt;= $I$420, tblFilterSize[[#This Row],[Total social stock owned]] &lt;= $K$420 ) )</f>
        <v>1</v>
      </c>
    </row>
    <row r="485" spans="2:6" x14ac:dyDescent="0.2">
      <c r="B485" s="122" t="str" vm="64">
        <f t="shared" si="91"/>
        <v>Grand Union Housing Group Limited</v>
      </c>
      <c r="C485" s="122" t="str" vm="292">
        <f t="shared" si="91"/>
        <v>5060</v>
      </c>
      <c r="D485" s="81">
        <f t="shared" si="91"/>
        <v>64</v>
      </c>
      <c r="E485" s="29" cm="1" vm="1916">
        <f t="array" ref="E485" xml:space="preserve"> INDEX( VfM_Metrics_2023_Consol_Source[], $D485, E$420 )</f>
        <v>12266</v>
      </c>
      <c r="F485" s="24">
        <f xml:space="preserve"> -- OR( SizeOnOff = "All", AND( tblFilterSize[[#This Row],[Total social stock owned]] &gt;= $I$420, tblFilterSize[[#This Row],[Total social stock owned]] &lt;= $K$420 ) )</f>
        <v>1</v>
      </c>
    </row>
    <row r="486" spans="2:6" x14ac:dyDescent="0.2">
      <c r="B486" s="122" t="str" vm="65">
        <f t="shared" ref="B486:D517" si="92" xml:space="preserve"> B284</f>
        <v>Great Places Housing Group Limited</v>
      </c>
      <c r="C486" s="122" t="str" vm="345">
        <f t="shared" si="92"/>
        <v>L4465</v>
      </c>
      <c r="D486" s="81">
        <f t="shared" si="92"/>
        <v>65</v>
      </c>
      <c r="E486" s="29" cm="1" vm="4907">
        <f t="array" ref="E486" xml:space="preserve"> INDEX( VfM_Metrics_2023_Consol_Source[], $D486, E$420 )</f>
        <v>21331</v>
      </c>
      <c r="F486" s="24">
        <f xml:space="preserve"> -- OR( SizeOnOff = "All", AND( tblFilterSize[[#This Row],[Total social stock owned]] &gt;= $I$420, tblFilterSize[[#This Row],[Total social stock owned]] &lt;= $K$420 ) )</f>
        <v>1</v>
      </c>
    </row>
    <row r="487" spans="2:6" x14ac:dyDescent="0.2">
      <c r="B487" s="122" t="str" vm="66">
        <f t="shared" si="92"/>
        <v>Greatwell Homes Limited</v>
      </c>
      <c r="C487" s="122" t="str" vm="373">
        <f t="shared" si="92"/>
        <v>L4509</v>
      </c>
      <c r="D487" s="81">
        <f t="shared" si="92"/>
        <v>66</v>
      </c>
      <c r="E487" s="29" cm="1" vm="5916">
        <f t="array" ref="E487" xml:space="preserve"> INDEX( VfM_Metrics_2023_Consol_Source[], $D487, E$420 )</f>
        <v>5078</v>
      </c>
      <c r="F487" s="24">
        <f xml:space="preserve"> -- OR( SizeOnOff = "All", AND( tblFilterSize[[#This Row],[Total social stock owned]] &gt;= $I$420, tblFilterSize[[#This Row],[Total social stock owned]] &lt;= $K$420 ) )</f>
        <v>1</v>
      </c>
    </row>
    <row r="488" spans="2:6" x14ac:dyDescent="0.2">
      <c r="B488" s="122" t="str" vm="67">
        <f t="shared" si="92"/>
        <v>GreenSquareAccord Limited</v>
      </c>
      <c r="C488" s="122" t="str" vm="340">
        <f t="shared" si="92"/>
        <v>LH3902</v>
      </c>
      <c r="D488" s="81">
        <f t="shared" si="92"/>
        <v>67</v>
      </c>
      <c r="E488" s="29" cm="1" vm="4741">
        <f t="array" ref="E488" xml:space="preserve"> INDEX( VfM_Metrics_2023_Consol_Source[], $D488, E$420 )</f>
        <v>25313</v>
      </c>
      <c r="F488" s="24">
        <f xml:space="preserve"> -- OR( SizeOnOff = "All", AND( tblFilterSize[[#This Row],[Total social stock owned]] &gt;= $I$420, tblFilterSize[[#This Row],[Total social stock owned]] &lt;= $K$420 ) )</f>
        <v>1</v>
      </c>
    </row>
    <row r="489" spans="2:6" x14ac:dyDescent="0.2">
      <c r="B489" s="122" t="str" vm="68">
        <f t="shared" si="92"/>
        <v>Habinteg Housing Association Limited</v>
      </c>
      <c r="C489" s="122" t="str" vm="311">
        <f t="shared" si="92"/>
        <v>LH0459</v>
      </c>
      <c r="D489" s="81">
        <f t="shared" si="92"/>
        <v>68</v>
      </c>
      <c r="E489" s="29" cm="1" vm="3705">
        <f t="array" ref="E489" xml:space="preserve"> INDEX( VfM_Metrics_2023_Consol_Source[], $D489, E$420 )</f>
        <v>3320</v>
      </c>
      <c r="F489" s="24">
        <f xml:space="preserve"> -- OR( SizeOnOff = "All", AND( tblFilterSize[[#This Row],[Total social stock owned]] &gt;= $I$420, tblFilterSize[[#This Row],[Total social stock owned]] &lt;= $K$420 ) )</f>
        <v>1</v>
      </c>
    </row>
    <row r="490" spans="2:6" x14ac:dyDescent="0.2">
      <c r="B490" s="122" t="str" vm="69">
        <f t="shared" si="92"/>
        <v>Halton Housing</v>
      </c>
      <c r="C490" s="122" t="str" vm="387">
        <f t="shared" si="92"/>
        <v>L4456</v>
      </c>
      <c r="D490" s="81">
        <f t="shared" si="92"/>
        <v>69</v>
      </c>
      <c r="E490" s="29" cm="1" vm="6464">
        <f t="array" ref="E490" xml:space="preserve"> INDEX( VfM_Metrics_2023_Consol_Source[], $D490, E$420 )</f>
        <v>7330</v>
      </c>
      <c r="F490" s="24">
        <f xml:space="preserve"> -- OR( SizeOnOff = "All", AND( tblFilterSize[[#This Row],[Total social stock owned]] &gt;= $I$420, tblFilterSize[[#This Row],[Total social stock owned]] &lt;= $K$420 ) )</f>
        <v>1</v>
      </c>
    </row>
    <row r="491" spans="2:6" x14ac:dyDescent="0.2">
      <c r="B491" s="122" t="str" vm="70">
        <f t="shared" si="92"/>
        <v>Hastoe Housing Association Limited</v>
      </c>
      <c r="C491" s="122" t="str" vm="395">
        <f t="shared" si="92"/>
        <v>L0018</v>
      </c>
      <c r="D491" s="81">
        <f t="shared" si="92"/>
        <v>70</v>
      </c>
      <c r="E491" s="29" cm="1" vm="6781">
        <f t="array" ref="E491" xml:space="preserve"> INDEX( VfM_Metrics_2023_Consol_Source[], $D491, E$420 )</f>
        <v>5075</v>
      </c>
      <c r="F491" s="24">
        <f xml:space="preserve"> -- OR( SizeOnOff = "All", AND( tblFilterSize[[#This Row],[Total social stock owned]] &gt;= $I$420, tblFilterSize[[#This Row],[Total social stock owned]] &lt;= $K$420 ) )</f>
        <v>1</v>
      </c>
    </row>
    <row r="492" spans="2:6" x14ac:dyDescent="0.2">
      <c r="B492" s="122" t="str" vm="71">
        <f t="shared" si="92"/>
        <v>Hexagon Housing Association Limited</v>
      </c>
      <c r="C492" s="122" t="str" vm="313">
        <f t="shared" si="92"/>
        <v>L1538</v>
      </c>
      <c r="D492" s="81">
        <f t="shared" si="92"/>
        <v>71</v>
      </c>
      <c r="E492" s="29" cm="1" vm="3786">
        <f t="array" ref="E492" xml:space="preserve"> INDEX( VfM_Metrics_2023_Consol_Source[], $D492, E$420 )</f>
        <v>4313</v>
      </c>
      <c r="F492" s="24">
        <f xml:space="preserve"> -- OR( SizeOnOff = "All", AND( tblFilterSize[[#This Row],[Total social stock owned]] &gt;= $I$420, tblFilterSize[[#This Row],[Total social stock owned]] &lt;= $K$420 ) )</f>
        <v>1</v>
      </c>
    </row>
    <row r="493" spans="2:6" x14ac:dyDescent="0.2">
      <c r="B493" s="122" t="str" vm="72">
        <f t="shared" si="92"/>
        <v>Hightown Housing Association Limited</v>
      </c>
      <c r="C493" s="122" t="str" vm="349">
        <f t="shared" si="92"/>
        <v>L2179</v>
      </c>
      <c r="D493" s="81">
        <f t="shared" si="92"/>
        <v>72</v>
      </c>
      <c r="E493" s="29" cm="1" vm="5050">
        <f t="array" ref="E493" xml:space="preserve"> INDEX( VfM_Metrics_2023_Consol_Source[], $D493, E$420 )</f>
        <v>6980</v>
      </c>
      <c r="F493" s="24">
        <f xml:space="preserve"> -- OR( SizeOnOff = "All", AND( tblFilterSize[[#This Row],[Total social stock owned]] &gt;= $I$420, tblFilterSize[[#This Row],[Total social stock owned]] &lt;= $K$420 ) )</f>
        <v>1</v>
      </c>
    </row>
    <row r="494" spans="2:6" x14ac:dyDescent="0.2">
      <c r="B494" s="122" t="str" vm="73">
        <f t="shared" si="92"/>
        <v>Home Group Limited</v>
      </c>
      <c r="C494" s="122" t="str" vm="243">
        <f t="shared" si="92"/>
        <v>L3076</v>
      </c>
      <c r="D494" s="81">
        <f t="shared" si="92"/>
        <v>73</v>
      </c>
      <c r="E494" s="29" cm="1" vm="1549">
        <f t="array" ref="E494" xml:space="preserve"> INDEX( VfM_Metrics_2023_Consol_Source[], $D494, E$420 )</f>
        <v>50973</v>
      </c>
      <c r="F494" s="24">
        <f xml:space="preserve"> -- OR( SizeOnOff = "All", AND( tblFilterSize[[#This Row],[Total social stock owned]] &gt;= $I$420, tblFilterSize[[#This Row],[Total social stock owned]] &lt;= $K$420 ) )</f>
        <v>1</v>
      </c>
    </row>
    <row r="495" spans="2:6" x14ac:dyDescent="0.2">
      <c r="B495" s="122" t="str" vm="74">
        <f t="shared" si="92"/>
        <v>Honeycomb Group Limited</v>
      </c>
      <c r="C495" s="122" t="str" vm="315">
        <f t="shared" si="92"/>
        <v>LH2162</v>
      </c>
      <c r="D495" s="81">
        <f t="shared" si="92"/>
        <v>74</v>
      </c>
      <c r="E495" s="29" cm="1" vm="3857">
        <f t="array" ref="E495" xml:space="preserve"> INDEX( VfM_Metrics_2023_Consol_Source[], $D495, E$420 )</f>
        <v>3121</v>
      </c>
      <c r="F495" s="24">
        <f xml:space="preserve"> -- OR( SizeOnOff = "All", AND( tblFilterSize[[#This Row],[Total social stock owned]] &gt;= $I$420, tblFilterSize[[#This Row],[Total social stock owned]] &lt;= $K$420 ) )</f>
        <v>1</v>
      </c>
    </row>
    <row r="496" spans="2:6" x14ac:dyDescent="0.2">
      <c r="B496" s="122" t="str" vm="75">
        <f t="shared" si="92"/>
        <v>Housing 21</v>
      </c>
      <c r="C496" s="122" t="str" vm="268">
        <f t="shared" si="92"/>
        <v>L0055</v>
      </c>
      <c r="D496" s="81">
        <f t="shared" si="92"/>
        <v>75</v>
      </c>
      <c r="E496" s="29" cm="1" vm="2279">
        <f t="array" ref="E496" xml:space="preserve"> INDEX( VfM_Metrics_2023_Consol_Source[], $D496, E$420 )</f>
        <v>19733</v>
      </c>
      <c r="F496" s="24">
        <f xml:space="preserve"> -- OR( SizeOnOff = "All", AND( tblFilterSize[[#This Row],[Total social stock owned]] &gt;= $I$420, tblFilterSize[[#This Row],[Total social stock owned]] &lt;= $K$420 ) )</f>
        <v>1</v>
      </c>
    </row>
    <row r="497" spans="2:6" x14ac:dyDescent="0.2">
      <c r="B497" s="122" t="str" vm="76">
        <f t="shared" si="92"/>
        <v>Housing Solutions</v>
      </c>
      <c r="C497" s="122" t="str" vm="377">
        <f t="shared" si="92"/>
        <v>L4073</v>
      </c>
      <c r="D497" s="81">
        <f t="shared" si="92"/>
        <v>76</v>
      </c>
      <c r="E497" s="29" cm="1" vm="6076">
        <f t="array" ref="E497" xml:space="preserve"> INDEX( VfM_Metrics_2023_Consol_Source[], $D497, E$420 )</f>
        <v>6389</v>
      </c>
      <c r="F497" s="24">
        <f xml:space="preserve"> -- OR( SizeOnOff = "All", AND( tblFilterSize[[#This Row],[Total social stock owned]] &gt;= $I$420, tblFilterSize[[#This Row],[Total social stock owned]] &lt;= $K$420 ) )</f>
        <v>1</v>
      </c>
    </row>
    <row r="498" spans="2:6" x14ac:dyDescent="0.2">
      <c r="B498" s="122" t="str" vm="77">
        <f t="shared" si="92"/>
        <v>Hundred Houses Society Limited</v>
      </c>
      <c r="C498" s="122" t="str" vm="225">
        <f t="shared" si="92"/>
        <v>L0718</v>
      </c>
      <c r="D498" s="81">
        <f t="shared" si="92"/>
        <v>77</v>
      </c>
      <c r="E498" s="29" cm="1" vm="1133">
        <f t="array" ref="E498" xml:space="preserve"> INDEX( VfM_Metrics_2023_Consol_Source[], $D498, E$420 )</f>
        <v>1368</v>
      </c>
      <c r="F498" s="24">
        <f xml:space="preserve"> -- OR( SizeOnOff = "All", AND( tblFilterSize[[#This Row],[Total social stock owned]] &gt;= $I$420, tblFilterSize[[#This Row],[Total social stock owned]] &lt;= $K$420 ) )</f>
        <v>1</v>
      </c>
    </row>
    <row r="499" spans="2:6" x14ac:dyDescent="0.2">
      <c r="B499" s="122" t="str" vm="78">
        <f t="shared" si="92"/>
        <v>Hyde Housing Association Limited</v>
      </c>
      <c r="C499" s="122" t="str" vm="245">
        <f t="shared" si="92"/>
        <v>LH0032</v>
      </c>
      <c r="D499" s="81">
        <f t="shared" si="92"/>
        <v>78</v>
      </c>
      <c r="E499" s="29" cm="1" vm="1601">
        <f t="array" ref="E499" xml:space="preserve"> INDEX( VfM_Metrics_2023_Consol_Source[], $D499, E$420 )</f>
        <v>34455</v>
      </c>
      <c r="F499" s="24">
        <f xml:space="preserve"> -- OR( SizeOnOff = "All", AND( tblFilterSize[[#This Row],[Total social stock owned]] &gt;= $I$420, tblFilterSize[[#This Row],[Total social stock owned]] &lt;= $K$420 ) )</f>
        <v>1</v>
      </c>
    </row>
    <row r="500" spans="2:6" x14ac:dyDescent="0.2">
      <c r="B500" s="122" t="str" vm="79">
        <f t="shared" si="92"/>
        <v>Inclusion Housing Community Interest Company</v>
      </c>
      <c r="C500" s="122" t="str" vm="304">
        <f t="shared" si="92"/>
        <v>4662</v>
      </c>
      <c r="D500" s="81">
        <f t="shared" si="92"/>
        <v>79</v>
      </c>
      <c r="E500" s="29" cm="1" vm="3482">
        <f t="array" ref="E500" xml:space="preserve"> INDEX( VfM_Metrics_2023_Consol_Source[], $D500, E$420 )</f>
        <v>3758</v>
      </c>
      <c r="F500" s="24">
        <f xml:space="preserve"> -- OR( SizeOnOff = "All", AND( tblFilterSize[[#This Row],[Total social stock owned]] &gt;= $I$420, tblFilterSize[[#This Row],[Total social stock owned]] &lt;= $K$420 ) )</f>
        <v>1</v>
      </c>
    </row>
    <row r="501" spans="2:6" x14ac:dyDescent="0.2">
      <c r="B501" s="122" t="str" vm="80">
        <f t="shared" si="92"/>
        <v>Incommunities Limited</v>
      </c>
      <c r="C501" s="122" t="str" vm="339">
        <f t="shared" si="92"/>
        <v>L4476</v>
      </c>
      <c r="D501" s="81">
        <f t="shared" si="92"/>
        <v>80</v>
      </c>
      <c r="E501" s="29" cm="1" vm="4697">
        <f t="array" ref="E501" xml:space="preserve"> INDEX( VfM_Metrics_2023_Consol_Source[], $D501, E$420 )</f>
        <v>21192</v>
      </c>
      <c r="F501" s="24">
        <f xml:space="preserve"> -- OR( SizeOnOff = "All", AND( tblFilterSize[[#This Row],[Total social stock owned]] &gt;= $I$420, tblFilterSize[[#This Row],[Total social stock owned]] &lt;= $K$420 ) )</f>
        <v>1</v>
      </c>
    </row>
    <row r="502" spans="2:6" x14ac:dyDescent="0.2">
      <c r="B502" s="122" t="str" vm="81">
        <f t="shared" si="92"/>
        <v>Inquilab Housing Association Limited</v>
      </c>
      <c r="C502" s="122" t="str" vm="216">
        <f t="shared" si="92"/>
        <v>LH3728</v>
      </c>
      <c r="D502" s="81">
        <f t="shared" si="92"/>
        <v>81</v>
      </c>
      <c r="E502" s="29" cm="1" vm="933">
        <f t="array" ref="E502" xml:space="preserve"> INDEX( VfM_Metrics_2023_Consol_Source[], $D502, E$420 )</f>
        <v>1332</v>
      </c>
      <c r="F502" s="24">
        <f xml:space="preserve"> -- OR( SizeOnOff = "All", AND( tblFilterSize[[#This Row],[Total social stock owned]] &gt;= $I$420, tblFilterSize[[#This Row],[Total social stock owned]] &lt;= $K$420 ) )</f>
        <v>1</v>
      </c>
    </row>
    <row r="503" spans="2:6" x14ac:dyDescent="0.2">
      <c r="B503" s="122" t="str" vm="82">
        <f t="shared" si="92"/>
        <v>Irwell Valley Housing Association Limited</v>
      </c>
      <c r="C503" s="122" t="str" vm="389">
        <f t="shared" si="92"/>
        <v>L0061</v>
      </c>
      <c r="D503" s="81">
        <f t="shared" si="92"/>
        <v>82</v>
      </c>
      <c r="E503" s="29" cm="1" vm="6548">
        <f t="array" ref="E503" xml:space="preserve"> INDEX( VfM_Metrics_2023_Consol_Source[], $D503, E$420 )</f>
        <v>7423</v>
      </c>
      <c r="F503" s="24">
        <f xml:space="preserve"> -- OR( SizeOnOff = "All", AND( tblFilterSize[[#This Row],[Total social stock owned]] &gt;= $I$420, tblFilterSize[[#This Row],[Total social stock owned]] &lt;= $K$420 ) )</f>
        <v>1</v>
      </c>
    </row>
    <row r="504" spans="2:6" x14ac:dyDescent="0.2">
      <c r="B504" s="122" t="str" vm="83">
        <f t="shared" si="92"/>
        <v>Islington and Shoreditch Housing Association Limited</v>
      </c>
      <c r="C504" s="122" t="str" vm="210">
        <f t="shared" si="92"/>
        <v>L0457</v>
      </c>
      <c r="D504" s="81">
        <f t="shared" si="92"/>
        <v>83</v>
      </c>
      <c r="E504" s="29" cm="1" vm="8995">
        <f t="array" ref="E504" xml:space="preserve"> INDEX( VfM_Metrics_2023_Consol_Source[], $D504, E$420 )</f>
        <v>2403</v>
      </c>
      <c r="F504" s="24">
        <f xml:space="preserve"> -- OR( SizeOnOff = "All", AND( tblFilterSize[[#This Row],[Total social stock owned]] &gt;= $I$420, tblFilterSize[[#This Row],[Total social stock owned]] &lt;= $K$420 ) )</f>
        <v>1</v>
      </c>
    </row>
    <row r="505" spans="2:6" x14ac:dyDescent="0.2">
      <c r="B505" s="122" t="str" vm="84">
        <f t="shared" si="92"/>
        <v>Jigsaw Homes Group Limited</v>
      </c>
      <c r="C505" s="122" t="str" vm="262">
        <f t="shared" si="92"/>
        <v>LH4345</v>
      </c>
      <c r="D505" s="81">
        <f t="shared" si="92"/>
        <v>84</v>
      </c>
      <c r="E505" s="29" cm="1" vm="7978">
        <f t="array" ref="E505" xml:space="preserve"> INDEX( VfM_Metrics_2023_Consol_Source[], $D505, E$420 )</f>
        <v>33428</v>
      </c>
      <c r="F505" s="24">
        <f xml:space="preserve"> -- OR( SizeOnOff = "All", AND( tblFilterSize[[#This Row],[Total social stock owned]] &gt;= $I$420, tblFilterSize[[#This Row],[Total social stock owned]] &lt;= $K$420 ) )</f>
        <v>1</v>
      </c>
    </row>
    <row r="506" spans="2:6" x14ac:dyDescent="0.2">
      <c r="B506" s="122" t="str" vm="85">
        <f t="shared" si="92"/>
        <v>'Johnnie' Johnson Housing Trust Limited</v>
      </c>
      <c r="C506" s="122" t="str" vm="318">
        <f t="shared" si="92"/>
        <v>L1231</v>
      </c>
      <c r="D506" s="81">
        <f t="shared" si="92"/>
        <v>85</v>
      </c>
      <c r="E506" s="29" cm="1" vm="7439">
        <f t="array" ref="E506" xml:space="preserve"> INDEX( VfM_Metrics_2023_Consol_Source[], $D506, E$420 )</f>
        <v>4908</v>
      </c>
      <c r="F506" s="24">
        <f xml:space="preserve"> -- OR( SizeOnOff = "All", AND( tblFilterSize[[#This Row],[Total social stock owned]] &gt;= $I$420, tblFilterSize[[#This Row],[Total social stock owned]] &lt;= $K$420 ) )</f>
        <v>1</v>
      </c>
    </row>
    <row r="507" spans="2:6" x14ac:dyDescent="0.2">
      <c r="B507" s="122" t="str" vm="86">
        <f t="shared" si="92"/>
        <v>Joseph Rowntree Housing Trust</v>
      </c>
      <c r="C507" s="122" t="str" vm="207">
        <f t="shared" si="92"/>
        <v>5079</v>
      </c>
      <c r="D507" s="81">
        <f t="shared" si="92"/>
        <v>86</v>
      </c>
      <c r="E507" s="29" cm="1" vm="9045">
        <f t="array" ref="E507" xml:space="preserve"> INDEX( VfM_Metrics_2023_Consol_Source[], $D507, E$420 )</f>
        <v>2154</v>
      </c>
      <c r="F507" s="24">
        <f xml:space="preserve"> -- OR( SizeOnOff = "All", AND( tblFilterSize[[#This Row],[Total social stock owned]] &gt;= $I$420, tblFilterSize[[#This Row],[Total social stock owned]] &lt;= $K$420 ) )</f>
        <v>1</v>
      </c>
    </row>
    <row r="508" spans="2:6" x14ac:dyDescent="0.2">
      <c r="B508" s="122" t="str" vm="87">
        <f t="shared" si="92"/>
        <v>Karbon Homes Limited</v>
      </c>
      <c r="C508" s="122" t="str" vm="265">
        <f t="shared" si="92"/>
        <v>4846</v>
      </c>
      <c r="D508" s="81">
        <f t="shared" si="92"/>
        <v>87</v>
      </c>
      <c r="E508" s="29" cm="1" vm="2172">
        <f t="array" ref="E508" xml:space="preserve"> INDEX( VfM_Metrics_2023_Consol_Source[], $D508, E$420 )</f>
        <v>30403</v>
      </c>
      <c r="F508" s="24">
        <f xml:space="preserve"> -- OR( SizeOnOff = "All", AND( tblFilterSize[[#This Row],[Total social stock owned]] &gt;= $I$420, tblFilterSize[[#This Row],[Total social stock owned]] &lt;= $K$420 ) )</f>
        <v>1</v>
      </c>
    </row>
    <row r="509" spans="2:6" x14ac:dyDescent="0.2">
      <c r="B509" s="122" t="str" vm="88">
        <f t="shared" si="92"/>
        <v>Leeds Federated Housing Association Limited</v>
      </c>
      <c r="C509" s="122" t="str" vm="330">
        <f t="shared" si="92"/>
        <v>LH0989</v>
      </c>
      <c r="D509" s="81">
        <f t="shared" si="92"/>
        <v>88</v>
      </c>
      <c r="E509" s="29" cm="1" vm="4387">
        <f t="array" ref="E509" xml:space="preserve"> INDEX( VfM_Metrics_2023_Consol_Source[], $D509, E$420 )</f>
        <v>4452</v>
      </c>
      <c r="F509" s="24">
        <f xml:space="preserve"> -- OR( SizeOnOff = "All", AND( tblFilterSize[[#This Row],[Total social stock owned]] &gt;= $I$420, tblFilterSize[[#This Row],[Total social stock owned]] &lt;= $K$420 ) )</f>
        <v>1</v>
      </c>
    </row>
    <row r="510" spans="2:6" x14ac:dyDescent="0.2">
      <c r="B510" s="122" t="str" vm="89">
        <f t="shared" si="92"/>
        <v>Lincolnshire Housing Partnership Limited</v>
      </c>
      <c r="C510" s="122" t="str" vm="299">
        <f t="shared" si="92"/>
        <v>4877</v>
      </c>
      <c r="D510" s="81">
        <f t="shared" si="92"/>
        <v>89</v>
      </c>
      <c r="E510" s="29" cm="1" vm="3311">
        <f t="array" ref="E510" xml:space="preserve"> INDEX( VfM_Metrics_2023_Consol_Source[], $D510, E$420 )</f>
        <v>12245</v>
      </c>
      <c r="F510" s="24">
        <f xml:space="preserve"> -- OR( SizeOnOff = "All", AND( tblFilterSize[[#This Row],[Total social stock owned]] &gt;= $I$420, tblFilterSize[[#This Row],[Total social stock owned]] &lt;= $K$420 ) )</f>
        <v>1</v>
      </c>
    </row>
    <row r="511" spans="2:6" x14ac:dyDescent="0.2">
      <c r="B511" s="122" t="str" vm="90">
        <f t="shared" si="92"/>
        <v>LiveWest Homes Limited</v>
      </c>
      <c r="C511" s="122" t="str" vm="256">
        <f t="shared" si="92"/>
        <v>4873</v>
      </c>
      <c r="D511" s="81">
        <f t="shared" si="92"/>
        <v>90</v>
      </c>
      <c r="E511" s="29" cm="1" vm="1916">
        <f t="array" ref="E511" xml:space="preserve"> INDEX( VfM_Metrics_2023_Consol_Source[], $D511, E$420 )</f>
        <v>36983</v>
      </c>
      <c r="F511" s="24">
        <f xml:space="preserve"> -- OR( SizeOnOff = "All", AND( tblFilterSize[[#This Row],[Total social stock owned]] &gt;= $I$420, tblFilterSize[[#This Row],[Total social stock owned]] &lt;= $K$420 ) )</f>
        <v>1</v>
      </c>
    </row>
    <row r="512" spans="2:6" x14ac:dyDescent="0.2">
      <c r="B512" s="122" t="str" vm="91">
        <f t="shared" si="92"/>
        <v>Livin Housing Limited</v>
      </c>
      <c r="C512" s="122" t="str" vm="381">
        <f t="shared" si="92"/>
        <v>L4538</v>
      </c>
      <c r="D512" s="81">
        <f t="shared" si="92"/>
        <v>91</v>
      </c>
      <c r="E512" s="29" cm="1" vm="6225">
        <f t="array" ref="E512" xml:space="preserve"> INDEX( VfM_Metrics_2023_Consol_Source[], $D512, E$420 )</f>
        <v>8670</v>
      </c>
      <c r="F512" s="24">
        <f xml:space="preserve"> -- OR( SizeOnOff = "All", AND( tblFilterSize[[#This Row],[Total social stock owned]] &gt;= $I$420, tblFilterSize[[#This Row],[Total social stock owned]] &lt;= $K$420 ) )</f>
        <v>1</v>
      </c>
    </row>
    <row r="513" spans="2:6" x14ac:dyDescent="0.2">
      <c r="B513" s="122" t="str" vm="92">
        <f t="shared" si="92"/>
        <v>Livv Housing Group</v>
      </c>
      <c r="C513" s="122" t="str" vm="295">
        <f t="shared" si="92"/>
        <v>LH4343</v>
      </c>
      <c r="D513" s="81">
        <f t="shared" si="92"/>
        <v>92</v>
      </c>
      <c r="E513" s="29" cm="1" vm="3182">
        <f t="array" ref="E513" xml:space="preserve"> INDEX( VfM_Metrics_2023_Consol_Source[], $D513, E$420 )</f>
        <v>12963</v>
      </c>
      <c r="F513" s="24">
        <f xml:space="preserve"> -- OR( SizeOnOff = "All", AND( tblFilterSize[[#This Row],[Total social stock owned]] &gt;= $I$420, tblFilterSize[[#This Row],[Total social stock owned]] &lt;= $K$420 ) )</f>
        <v>1</v>
      </c>
    </row>
    <row r="514" spans="2:6" x14ac:dyDescent="0.2">
      <c r="B514" s="122" t="str" vm="93">
        <f t="shared" si="92"/>
        <v>Local Space</v>
      </c>
      <c r="C514" s="122" t="str" vm="212">
        <f t="shared" si="92"/>
        <v>LH4454</v>
      </c>
      <c r="D514" s="81">
        <f t="shared" si="92"/>
        <v>93</v>
      </c>
      <c r="E514" s="29" cm="1" vm="848">
        <f t="array" ref="E514" xml:space="preserve"> INDEX( VfM_Metrics_2023_Consol_Source[], $D514, E$420 )</f>
        <v>1350</v>
      </c>
      <c r="F514" s="24">
        <f xml:space="preserve"> -- OR( SizeOnOff = "All", AND( tblFilterSize[[#This Row],[Total social stock owned]] &gt;= $I$420, tblFilterSize[[#This Row],[Total social stock owned]] &lt;= $K$420 ) )</f>
        <v>1</v>
      </c>
    </row>
    <row r="515" spans="2:6" x14ac:dyDescent="0.2">
      <c r="B515" s="122" t="str" vm="94">
        <f t="shared" si="92"/>
        <v>London &amp; Quadrant Housing Trust</v>
      </c>
      <c r="C515" s="122" t="str" vm="240">
        <f t="shared" si="92"/>
        <v>L4517</v>
      </c>
      <c r="D515" s="81">
        <f t="shared" si="92"/>
        <v>94</v>
      </c>
      <c r="E515" s="29" cm="1" vm="1464">
        <f t="array" ref="E515" xml:space="preserve"> INDEX( VfM_Metrics_2023_Consol_Source[], $D515, E$420 )</f>
        <v>88736</v>
      </c>
      <c r="F515" s="24">
        <f xml:space="preserve"> -- OR( SizeOnOff = "All", AND( tblFilterSize[[#This Row],[Total social stock owned]] &gt;= $I$420, tblFilterSize[[#This Row],[Total social stock owned]] &lt;= $K$420 ) )</f>
        <v>1</v>
      </c>
    </row>
    <row r="516" spans="2:6" x14ac:dyDescent="0.2">
      <c r="B516" s="122" t="str" vm="95">
        <f t="shared" si="92"/>
        <v>Longhurst Group Limited</v>
      </c>
      <c r="C516" s="122" t="str" vm="341">
        <f t="shared" si="92"/>
        <v>L4277</v>
      </c>
      <c r="D516" s="81">
        <f t="shared" si="92"/>
        <v>95</v>
      </c>
      <c r="E516" s="29" cm="1" vm="4776">
        <f t="array" ref="E516" xml:space="preserve"> INDEX( VfM_Metrics_2023_Consol_Source[], $D516, E$420 )</f>
        <v>22549</v>
      </c>
      <c r="F516" s="24">
        <f xml:space="preserve"> -- OR( SizeOnOff = "All", AND( tblFilterSize[[#This Row],[Total social stock owned]] &gt;= $I$420, tblFilterSize[[#This Row],[Total social stock owned]] &lt;= $K$420 ) )</f>
        <v>1</v>
      </c>
    </row>
    <row r="517" spans="2:6" x14ac:dyDescent="0.2">
      <c r="B517" s="122" t="str" vm="96">
        <f t="shared" si="92"/>
        <v>Look Ahead Care and Support Limited</v>
      </c>
      <c r="C517" s="122" t="str" vm="199">
        <f t="shared" si="92"/>
        <v>LH0013</v>
      </c>
      <c r="D517" s="81">
        <f t="shared" si="92"/>
        <v>96</v>
      </c>
      <c r="E517" s="29" cm="1" vm="9175">
        <f t="array" ref="E517" xml:space="preserve"> INDEX( VfM_Metrics_2023_Consol_Source[], $D517, E$420 )</f>
        <v>1255</v>
      </c>
      <c r="F517" s="24">
        <f xml:space="preserve"> -- OR( SizeOnOff = "All", AND( tblFilterSize[[#This Row],[Total social stock owned]] &gt;= $I$420, tblFilterSize[[#This Row],[Total social stock owned]] &lt;= $K$420 ) )</f>
        <v>1</v>
      </c>
    </row>
    <row r="518" spans="2:6" x14ac:dyDescent="0.2">
      <c r="B518" s="122" t="str" vm="97">
        <f t="shared" ref="B518:D549" si="93" xml:space="preserve"> B316</f>
        <v>Magenta Living</v>
      </c>
      <c r="C518" s="122" t="str" vm="276">
        <f t="shared" si="93"/>
        <v>L4435</v>
      </c>
      <c r="D518" s="81">
        <f t="shared" si="93"/>
        <v>97</v>
      </c>
      <c r="E518" s="29" cm="1" vm="2535">
        <f t="array" ref="E518" xml:space="preserve"> INDEX( VfM_Metrics_2023_Consol_Source[], $D518, E$420 )</f>
        <v>12634</v>
      </c>
      <c r="F518" s="24">
        <f xml:space="preserve"> -- OR( SizeOnOff = "All", AND( tblFilterSize[[#This Row],[Total social stock owned]] &gt;= $I$420, tblFilterSize[[#This Row],[Total social stock owned]] &lt;= $K$420 ) )</f>
        <v>1</v>
      </c>
    </row>
    <row r="519" spans="2:6" x14ac:dyDescent="0.2">
      <c r="B519" s="122" t="str" vm="98">
        <f t="shared" si="93"/>
        <v>Magna Housing Limited</v>
      </c>
      <c r="C519" s="122" t="str" vm="368">
        <f t="shared" si="93"/>
        <v>4844</v>
      </c>
      <c r="D519" s="81">
        <f t="shared" si="93"/>
        <v>98</v>
      </c>
      <c r="E519" s="29" cm="1" vm="6908">
        <f t="array" ref="E519" xml:space="preserve"> INDEX( VfM_Metrics_2023_Consol_Source[], $D519, E$420 )</f>
        <v>8450</v>
      </c>
      <c r="F519" s="24">
        <f xml:space="preserve"> -- OR( SizeOnOff = "All", AND( tblFilterSize[[#This Row],[Total social stock owned]] &gt;= $I$420, tblFilterSize[[#This Row],[Total social stock owned]] &lt;= $K$420 ) )</f>
        <v>1</v>
      </c>
    </row>
    <row r="520" spans="2:6" x14ac:dyDescent="0.2">
      <c r="B520" s="122" t="str" vm="99">
        <f t="shared" si="93"/>
        <v>Manningham Housing Association Limited</v>
      </c>
      <c r="C520" s="122" t="str" vm="232">
        <f t="shared" si="93"/>
        <v>L3736</v>
      </c>
      <c r="D520" s="81">
        <f t="shared" si="93"/>
        <v>99</v>
      </c>
      <c r="E520" s="29" cm="1" vm="8394">
        <f t="array" ref="E520" xml:space="preserve"> INDEX( VfM_Metrics_2023_Consol_Source[], $D520, E$420 )</f>
        <v>1393</v>
      </c>
      <c r="F520" s="24">
        <f xml:space="preserve"> -- OR( SizeOnOff = "All", AND( tblFilterSize[[#This Row],[Total social stock owned]] &gt;= $I$420, tblFilterSize[[#This Row],[Total social stock owned]] &lt;= $K$420 ) )</f>
        <v>1</v>
      </c>
    </row>
    <row r="521" spans="2:6" x14ac:dyDescent="0.2">
      <c r="B521" s="122" t="str" vm="100">
        <f t="shared" si="93"/>
        <v>Midland Heart Limited</v>
      </c>
      <c r="C521" s="122" t="str" vm="258">
        <f t="shared" si="93"/>
        <v>L4466</v>
      </c>
      <c r="D521" s="81">
        <f t="shared" si="93"/>
        <v>100</v>
      </c>
      <c r="E521" s="29" cm="1" vm="1982">
        <f t="array" ref="E521" xml:space="preserve"> INDEX( VfM_Metrics_2023_Consol_Source[], $D521, E$420 )</f>
        <v>31172</v>
      </c>
      <c r="F521" s="24">
        <f xml:space="preserve"> -- OR( SizeOnOff = "All", AND( tblFilterSize[[#This Row],[Total social stock owned]] &gt;= $I$420, tblFilterSize[[#This Row],[Total social stock owned]] &lt;= $K$420 ) )</f>
        <v>1</v>
      </c>
    </row>
    <row r="522" spans="2:6" x14ac:dyDescent="0.2">
      <c r="B522" s="122" t="str" vm="101">
        <f t="shared" si="93"/>
        <v>Moat Homes Limited</v>
      </c>
      <c r="C522" s="122" t="str" vm="300">
        <f t="shared" si="93"/>
        <v>L0386</v>
      </c>
      <c r="D522" s="81">
        <f t="shared" si="93"/>
        <v>101</v>
      </c>
      <c r="E522" s="29" cm="1" vm="3351">
        <f t="array" ref="E522" xml:space="preserve"> INDEX( VfM_Metrics_2023_Consol_Source[], $D522, E$420 )</f>
        <v>18326</v>
      </c>
      <c r="F522" s="24">
        <f xml:space="preserve"> -- OR( SizeOnOff = "All", AND( tblFilterSize[[#This Row],[Total social stock owned]] &gt;= $I$420, tblFilterSize[[#This Row],[Total social stock owned]] &lt;= $K$420 ) )</f>
        <v>1</v>
      </c>
    </row>
    <row r="523" spans="2:6" x14ac:dyDescent="0.2">
      <c r="B523" s="122" t="str" vm="102">
        <f t="shared" si="93"/>
        <v>Mosscare St. Vincent's Housing Group Limited</v>
      </c>
      <c r="C523" s="122" t="str" vm="369">
        <f t="shared" si="93"/>
        <v>4857</v>
      </c>
      <c r="D523" s="81">
        <f t="shared" si="93"/>
        <v>102</v>
      </c>
      <c r="E523" s="29" cm="1" vm="5761">
        <f t="array" ref="E523" xml:space="preserve"> INDEX( VfM_Metrics_2023_Consol_Source[], $D523, E$420 )</f>
        <v>8558</v>
      </c>
      <c r="F523" s="24">
        <f xml:space="preserve"> -- OR( SizeOnOff = "All", AND( tblFilterSize[[#This Row],[Total social stock owned]] &gt;= $I$420, tblFilterSize[[#This Row],[Total social stock owned]] &lt;= $K$420 ) )</f>
        <v>1</v>
      </c>
    </row>
    <row r="524" spans="2:6" x14ac:dyDescent="0.2">
      <c r="B524" s="122" t="str" vm="103">
        <f t="shared" si="93"/>
        <v>Mount Green Housing Association Limited</v>
      </c>
      <c r="C524" s="122" t="str" vm="218">
        <f t="shared" si="93"/>
        <v>L0042</v>
      </c>
      <c r="D524" s="81">
        <f t="shared" si="93"/>
        <v>103</v>
      </c>
      <c r="E524" s="29" cm="1" vm="1035">
        <f t="array" ref="E524" xml:space="preserve"> INDEX( VfM_Metrics_2023_Consol_Source[], $D524, E$420 )</f>
        <v>1579</v>
      </c>
      <c r="F524" s="24">
        <f xml:space="preserve"> -- OR( SizeOnOff = "All", AND( tblFilterSize[[#This Row],[Total social stock owned]] &gt;= $I$420, tblFilterSize[[#This Row],[Total social stock owned]] &lt;= $K$420 ) )</f>
        <v>1</v>
      </c>
    </row>
    <row r="525" spans="2:6" x14ac:dyDescent="0.2">
      <c r="B525" s="122" t="str" vm="104">
        <f t="shared" si="93"/>
        <v>Muir Group Housing Association Limited</v>
      </c>
      <c r="C525" s="122" t="str" vm="367">
        <f t="shared" si="93"/>
        <v>L2194</v>
      </c>
      <c r="D525" s="81">
        <f t="shared" si="93"/>
        <v>104</v>
      </c>
      <c r="E525" s="29" cm="1" vm="5677">
        <f t="array" ref="E525" xml:space="preserve"> INDEX( VfM_Metrics_2023_Consol_Source[], $D525, E$420 )</f>
        <v>5600</v>
      </c>
      <c r="F525" s="24">
        <f xml:space="preserve"> -- OR( SizeOnOff = "All", AND( tblFilterSize[[#This Row],[Total social stock owned]] &gt;= $I$420, tblFilterSize[[#This Row],[Total social stock owned]] &lt;= $K$420 ) )</f>
        <v>1</v>
      </c>
    </row>
    <row r="526" spans="2:6" x14ac:dyDescent="0.2">
      <c r="B526" s="122" t="str" vm="105">
        <f t="shared" si="93"/>
        <v>Nehemiah United Churches Housing Association Limited</v>
      </c>
      <c r="C526" s="122" t="str" vm="223">
        <f t="shared" si="93"/>
        <v>L3833</v>
      </c>
      <c r="D526" s="81">
        <f t="shared" si="93"/>
        <v>105</v>
      </c>
      <c r="E526" s="29" cm="1" vm="8666">
        <f t="array" ref="E526" xml:space="preserve"> INDEX( VfM_Metrics_2023_Consol_Source[], $D526, E$420 )</f>
        <v>1223</v>
      </c>
      <c r="F526" s="24">
        <f xml:space="preserve"> -- OR( SizeOnOff = "All", AND( tblFilterSize[[#This Row],[Total social stock owned]] &gt;= $I$420, tblFilterSize[[#This Row],[Total social stock owned]] &lt;= $K$420 ) )</f>
        <v>1</v>
      </c>
    </row>
    <row r="527" spans="2:6" x14ac:dyDescent="0.2">
      <c r="B527" s="122" t="str" vm="106">
        <f t="shared" si="93"/>
        <v>Newlon Housing Trust</v>
      </c>
      <c r="C527" s="122" t="str" vm="346">
        <f t="shared" si="93"/>
        <v>L0006</v>
      </c>
      <c r="D527" s="81">
        <f t="shared" si="93"/>
        <v>106</v>
      </c>
      <c r="E527" s="29" cm="1" vm="4950">
        <f t="array" ref="E527" xml:space="preserve"> INDEX( VfM_Metrics_2023_Consol_Source[], $D527, E$420 )</f>
        <v>7436</v>
      </c>
      <c r="F527" s="24">
        <f xml:space="preserve"> -- OR( SizeOnOff = "All", AND( tblFilterSize[[#This Row],[Total social stock owned]] &gt;= $I$420, tblFilterSize[[#This Row],[Total social stock owned]] &lt;= $K$420 ) )</f>
        <v>1</v>
      </c>
    </row>
    <row r="528" spans="2:6" x14ac:dyDescent="0.2">
      <c r="B528" s="122" t="str" vm="107">
        <f t="shared" si="93"/>
        <v>North Devon Homes</v>
      </c>
      <c r="C528" s="122" t="str" vm="329">
        <f t="shared" si="93"/>
        <v>LH4249</v>
      </c>
      <c r="D528" s="81">
        <f t="shared" si="93"/>
        <v>107</v>
      </c>
      <c r="E528" s="29" cm="1" vm="4349">
        <f t="array" ref="E528" xml:space="preserve"> INDEX( VfM_Metrics_2023_Consol_Source[], $D528, E$420 )</f>
        <v>3332</v>
      </c>
      <c r="F528" s="24">
        <f xml:space="preserve"> -- OR( SizeOnOff = "All", AND( tblFilterSize[[#This Row],[Total social stock owned]] &gt;= $I$420, tblFilterSize[[#This Row],[Total social stock owned]] &lt;= $K$420 ) )</f>
        <v>1</v>
      </c>
    </row>
    <row r="529" spans="2:6" x14ac:dyDescent="0.2">
      <c r="B529" s="122" t="str" vm="108">
        <f t="shared" si="93"/>
        <v>North London Muslim Housing Association Limited</v>
      </c>
      <c r="C529" s="122" t="str" vm="219">
        <f t="shared" si="93"/>
        <v>LH3859</v>
      </c>
      <c r="D529" s="81">
        <f t="shared" si="93"/>
        <v>108</v>
      </c>
      <c r="E529" s="29" cm="1" vm="989">
        <f t="array" ref="E529" xml:space="preserve"> INDEX( VfM_Metrics_2023_Consol_Source[], $D529, E$420 )</f>
        <v>1067</v>
      </c>
      <c r="F529" s="24">
        <f xml:space="preserve"> -- OR( SizeOnOff = "All", AND( tblFilterSize[[#This Row],[Total social stock owned]] &gt;= $I$420, tblFilterSize[[#This Row],[Total social stock owned]] &lt;= $K$420 ) )</f>
        <v>1</v>
      </c>
    </row>
    <row r="530" spans="2:6" x14ac:dyDescent="0.2">
      <c r="B530" s="122" t="str" vm="109">
        <f t="shared" si="93"/>
        <v>North Star Housing Group</v>
      </c>
      <c r="C530" s="122" t="str" vm="328">
        <f t="shared" si="93"/>
        <v>LH0084</v>
      </c>
      <c r="D530" s="81">
        <f t="shared" si="93"/>
        <v>109</v>
      </c>
      <c r="E530" s="29" cm="1" vm="4309">
        <f t="array" ref="E530" xml:space="preserve"> INDEX( VfM_Metrics_2023_Consol_Source[], $D530, E$420 )</f>
        <v>3827</v>
      </c>
      <c r="F530" s="24">
        <f xml:space="preserve"> -- OR( SizeOnOff = "All", AND( tblFilterSize[[#This Row],[Total social stock owned]] &gt;= $I$420, tblFilterSize[[#This Row],[Total social stock owned]] &lt;= $K$420 ) )</f>
        <v>1</v>
      </c>
    </row>
    <row r="531" spans="2:6" x14ac:dyDescent="0.2">
      <c r="B531" s="122" t="str" vm="110">
        <f t="shared" si="93"/>
        <v>Notting Hill Genesis</v>
      </c>
      <c r="C531" s="122" t="str" vm="239">
        <f t="shared" si="93"/>
        <v>4880</v>
      </c>
      <c r="D531" s="81">
        <f t="shared" si="93"/>
        <v>110</v>
      </c>
      <c r="E531" s="29" cm="1" vm="1448">
        <f t="array" ref="E531" xml:space="preserve"> INDEX( VfM_Metrics_2023_Consol_Source[], $D531, E$420 )</f>
        <v>50459</v>
      </c>
      <c r="F531" s="24">
        <f xml:space="preserve"> -- OR( SizeOnOff = "All", AND( tblFilterSize[[#This Row],[Total social stock owned]] &gt;= $I$420, tblFilterSize[[#This Row],[Total social stock owned]] &lt;= $K$420 ) )</f>
        <v>1</v>
      </c>
    </row>
    <row r="532" spans="2:6" x14ac:dyDescent="0.2">
      <c r="B532" s="122" t="str" vm="111">
        <f t="shared" si="93"/>
        <v>Nottingham Community Housing Association Limited</v>
      </c>
      <c r="C532" s="122" t="str" vm="270">
        <f t="shared" si="93"/>
        <v>4817</v>
      </c>
      <c r="D532" s="81">
        <f t="shared" si="93"/>
        <v>111</v>
      </c>
      <c r="E532" s="29" cm="1" vm="2335">
        <f t="array" ref="E532" xml:space="preserve"> INDEX( VfM_Metrics_2023_Consol_Source[], $D532, E$420 )</f>
        <v>10024</v>
      </c>
      <c r="F532" s="24">
        <f xml:space="preserve"> -- OR( SizeOnOff = "All", AND( tblFilterSize[[#This Row],[Total social stock owned]] &gt;= $I$420, tblFilterSize[[#This Row],[Total social stock owned]] &lt;= $K$420 ) )</f>
        <v>1</v>
      </c>
    </row>
    <row r="533" spans="2:6" x14ac:dyDescent="0.2">
      <c r="B533" s="122" t="str" vm="112">
        <f t="shared" si="93"/>
        <v>NSAH (Alliance Homes) Limited</v>
      </c>
      <c r="C533" s="122" t="str" vm="362">
        <f t="shared" si="93"/>
        <v>L4459</v>
      </c>
      <c r="D533" s="81">
        <f t="shared" si="93"/>
        <v>112</v>
      </c>
      <c r="E533" s="29" cm="1" vm="5505">
        <f t="array" ref="E533" xml:space="preserve"> INDEX( VfM_Metrics_2023_Consol_Source[], $D533, E$420 )</f>
        <v>6868</v>
      </c>
      <c r="F533" s="24">
        <f xml:space="preserve"> -- OR( SizeOnOff = "All", AND( tblFilterSize[[#This Row],[Total social stock owned]] &gt;= $I$420, tblFilterSize[[#This Row],[Total social stock owned]] &lt;= $K$420 ) )</f>
        <v>1</v>
      </c>
    </row>
    <row r="534" spans="2:6" x14ac:dyDescent="0.2">
      <c r="B534" s="122" t="str" vm="113">
        <f t="shared" si="93"/>
        <v>Ocean Housing Group Limited</v>
      </c>
      <c r="C534" s="122" t="str" vm="334">
        <f t="shared" si="93"/>
        <v>L4422</v>
      </c>
      <c r="D534" s="81">
        <f t="shared" si="93"/>
        <v>113</v>
      </c>
      <c r="E534" s="29" cm="1" vm="4513">
        <f t="array" ref="E534" xml:space="preserve"> INDEX( VfM_Metrics_2023_Consol_Source[], $D534, E$420 )</f>
        <v>4271</v>
      </c>
      <c r="F534" s="24">
        <f xml:space="preserve"> -- OR( SizeOnOff = "All", AND( tblFilterSize[[#This Row],[Total social stock owned]] &gt;= $I$420, tblFilterSize[[#This Row],[Total social stock owned]] &lt;= $K$420 ) )</f>
        <v>1</v>
      </c>
    </row>
    <row r="535" spans="2:6" x14ac:dyDescent="0.2">
      <c r="B535" s="122" t="str" vm="114">
        <f t="shared" si="93"/>
        <v>Octavia Housing</v>
      </c>
      <c r="C535" s="122" t="str" vm="347">
        <f t="shared" si="93"/>
        <v>L0717</v>
      </c>
      <c r="D535" s="81">
        <f t="shared" si="93"/>
        <v>114</v>
      </c>
      <c r="E535" s="29" cm="1" vm="4986">
        <f t="array" ref="E535" xml:space="preserve"> INDEX( VfM_Metrics_2023_Consol_Source[], $D535, E$420 )</f>
        <v>5050</v>
      </c>
      <c r="F535" s="24">
        <f xml:space="preserve"> -- OR( SizeOnOff = "All", AND( tblFilterSize[[#This Row],[Total social stock owned]] &gt;= $I$420, tblFilterSize[[#This Row],[Total social stock owned]] &lt;= $K$420 ) )</f>
        <v>1</v>
      </c>
    </row>
    <row r="536" spans="2:6" x14ac:dyDescent="0.2">
      <c r="B536" s="122" t="str" vm="115">
        <f t="shared" si="93"/>
        <v>One Manchester Limited</v>
      </c>
      <c r="C536" s="122" t="str" vm="275">
        <f t="shared" si="93"/>
        <v>4808</v>
      </c>
      <c r="D536" s="81">
        <f t="shared" si="93"/>
        <v>115</v>
      </c>
      <c r="E536" s="29" cm="1" vm="2495">
        <f t="array" ref="E536" xml:space="preserve"> INDEX( VfM_Metrics_2023_Consol_Source[], $D536, E$420 )</f>
        <v>11888</v>
      </c>
      <c r="F536" s="24">
        <f xml:space="preserve"> -- OR( SizeOnOff = "All", AND( tblFilterSize[[#This Row],[Total social stock owned]] &gt;= $I$420, tblFilterSize[[#This Row],[Total social stock owned]] &lt;= $K$420 ) )</f>
        <v>1</v>
      </c>
    </row>
    <row r="537" spans="2:6" x14ac:dyDescent="0.2">
      <c r="B537" s="122" t="str" vm="116">
        <f t="shared" si="93"/>
        <v>One Vision Housing Limited</v>
      </c>
      <c r="C537" s="122" t="str" vm="297">
        <f t="shared" si="93"/>
        <v>4804</v>
      </c>
      <c r="D537" s="81">
        <f t="shared" si="93"/>
        <v>116</v>
      </c>
      <c r="E537" s="29" cm="1" vm="3243">
        <f t="array" ref="E537" xml:space="preserve"> INDEX( VfM_Metrics_2023_Consol_Source[], $D537, E$420 )</f>
        <v>13007</v>
      </c>
      <c r="F537" s="24">
        <f xml:space="preserve"> -- OR( SizeOnOff = "All", AND( tblFilterSize[[#This Row],[Total social stock owned]] &gt;= $I$420, tblFilterSize[[#This Row],[Total social stock owned]] &lt;= $K$420 ) )</f>
        <v>1</v>
      </c>
    </row>
    <row r="538" spans="2:6" x14ac:dyDescent="0.2">
      <c r="B538" s="122" t="str" vm="117">
        <f t="shared" si="93"/>
        <v>Ongo Homes Limited</v>
      </c>
      <c r="C538" s="122" t="str" vm="301">
        <f t="shared" si="93"/>
        <v>L4486</v>
      </c>
      <c r="D538" s="81">
        <f t="shared" si="93"/>
        <v>117</v>
      </c>
      <c r="E538" s="29" cm="1" vm="3390">
        <f t="array" ref="E538" xml:space="preserve"> INDEX( VfM_Metrics_2023_Consol_Source[], $D538, E$420 )</f>
        <v>10289</v>
      </c>
      <c r="F538" s="24">
        <f xml:space="preserve"> -- OR( SizeOnOff = "All", AND( tblFilterSize[[#This Row],[Total social stock owned]] &gt;= $I$420, tblFilterSize[[#This Row],[Total social stock owned]] &lt;= $K$420 ) )</f>
        <v>1</v>
      </c>
    </row>
    <row r="539" spans="2:6" x14ac:dyDescent="0.2">
      <c r="B539" s="122" t="str" vm="118">
        <f t="shared" si="93"/>
        <v>Onward Group Limited</v>
      </c>
      <c r="C539" s="122" t="str" vm="338">
        <f t="shared" si="93"/>
        <v>4649</v>
      </c>
      <c r="D539" s="81">
        <f t="shared" si="93"/>
        <v>118</v>
      </c>
      <c r="E539" s="29" cm="1" vm="7345">
        <f t="array" ref="E539" xml:space="preserve"> INDEX( VfM_Metrics_2023_Consol_Source[], $D539, E$420 )</f>
        <v>29686</v>
      </c>
      <c r="F539" s="24">
        <f xml:space="preserve"> -- OR( SizeOnOff = "All", AND( tblFilterSize[[#This Row],[Total social stock owned]] &gt;= $I$420, tblFilterSize[[#This Row],[Total social stock owned]] &lt;= $K$420 ) )</f>
        <v>1</v>
      </c>
    </row>
    <row r="540" spans="2:6" x14ac:dyDescent="0.2">
      <c r="B540" s="122" t="str" vm="119">
        <f t="shared" si="93"/>
        <v>Orbit Group Limited</v>
      </c>
      <c r="C540" s="122" t="str" vm="253">
        <f t="shared" si="93"/>
        <v>L4123</v>
      </c>
      <c r="D540" s="81">
        <f t="shared" si="93"/>
        <v>119</v>
      </c>
      <c r="E540" s="29" cm="1" vm="1834">
        <f t="array" ref="E540" xml:space="preserve"> INDEX( VfM_Metrics_2023_Consol_Source[], $D540, E$420 )</f>
        <v>40339</v>
      </c>
      <c r="F540" s="24">
        <f xml:space="preserve"> -- OR( SizeOnOff = "All", AND( tblFilterSize[[#This Row],[Total social stock owned]] &gt;= $I$420, tblFilterSize[[#This Row],[Total social stock owned]] &lt;= $K$420 ) )</f>
        <v>1</v>
      </c>
    </row>
    <row r="541" spans="2:6" x14ac:dyDescent="0.2">
      <c r="B541" s="122" t="str" vm="120">
        <f t="shared" si="93"/>
        <v>Origin Housing Limited</v>
      </c>
      <c r="C541" s="122" t="str" vm="348">
        <f t="shared" si="93"/>
        <v>L0871</v>
      </c>
      <c r="D541" s="81">
        <f t="shared" si="93"/>
        <v>120</v>
      </c>
      <c r="E541" s="29" cm="1" vm="5016">
        <f t="array" ref="E541" xml:space="preserve"> INDEX( VfM_Metrics_2023_Consol_Source[], $D541, E$420 )</f>
        <v>6729</v>
      </c>
      <c r="F541" s="24">
        <f xml:space="preserve"> -- OR( SizeOnOff = "All", AND( tblFilterSize[[#This Row],[Total social stock owned]] &gt;= $I$420, tblFilterSize[[#This Row],[Total social stock owned]] &lt;= $K$420 ) )</f>
        <v>1</v>
      </c>
    </row>
    <row r="542" spans="2:6" x14ac:dyDescent="0.2">
      <c r="B542" s="122" t="str" vm="121">
        <f t="shared" si="93"/>
        <v>Orwell Housing Association Limited</v>
      </c>
      <c r="C542" s="122" t="str" vm="308">
        <f t="shared" si="93"/>
        <v>L0028</v>
      </c>
      <c r="D542" s="81">
        <f t="shared" si="93"/>
        <v>121</v>
      </c>
      <c r="E542" s="29" cm="1" vm="3607">
        <f t="array" ref="E542" xml:space="preserve"> INDEX( VfM_Metrics_2023_Consol_Source[], $D542, E$420 )</f>
        <v>3847</v>
      </c>
      <c r="F542" s="24">
        <f xml:space="preserve"> -- OR( SizeOnOff = "All", AND( tblFilterSize[[#This Row],[Total social stock owned]] &gt;= $I$420, tblFilterSize[[#This Row],[Total social stock owned]] &lt;= $K$420 ) )</f>
        <v>1</v>
      </c>
    </row>
    <row r="543" spans="2:6" x14ac:dyDescent="0.2">
      <c r="B543" s="122" t="str" vm="122">
        <f t="shared" si="93"/>
        <v>Paradigm Housing Group Limited</v>
      </c>
      <c r="C543" s="122" t="str" vm="287">
        <f t="shared" si="93"/>
        <v>L4215</v>
      </c>
      <c r="D543" s="81">
        <f t="shared" si="93"/>
        <v>122</v>
      </c>
      <c r="E543" s="29" cm="1" vm="2897">
        <f t="array" ref="E543" xml:space="preserve"> INDEX( VfM_Metrics_2023_Consol_Source[], $D543, E$420 )</f>
        <v>15020</v>
      </c>
      <c r="F543" s="24">
        <f xml:space="preserve"> -- OR( SizeOnOff = "All", AND( tblFilterSize[[#This Row],[Total social stock owned]] &gt;= $I$420, tblFilterSize[[#This Row],[Total social stock owned]] &lt;= $K$420 ) )</f>
        <v>1</v>
      </c>
    </row>
    <row r="544" spans="2:6" x14ac:dyDescent="0.2">
      <c r="B544" s="122" t="str" vm="123">
        <f t="shared" si="93"/>
        <v>Paragon Asra Housing Limited</v>
      </c>
      <c r="C544" s="122" t="str" vm="337">
        <f t="shared" si="93"/>
        <v>4849</v>
      </c>
      <c r="D544" s="81">
        <f t="shared" si="93"/>
        <v>123</v>
      </c>
      <c r="E544" s="29" cm="1" vm="4629">
        <f t="array" ref="E544" xml:space="preserve"> INDEX( VfM_Metrics_2023_Consol_Source[], $D544, E$420 )</f>
        <v>21692</v>
      </c>
      <c r="F544" s="24">
        <f xml:space="preserve"> -- OR( SizeOnOff = "All", AND( tblFilterSize[[#This Row],[Total social stock owned]] &gt;= $I$420, tblFilterSize[[#This Row],[Total social stock owned]] &lt;= $K$420 ) )</f>
        <v>1</v>
      </c>
    </row>
    <row r="545" spans="2:6" x14ac:dyDescent="0.2">
      <c r="B545" s="122" t="str" vm="124">
        <f t="shared" si="93"/>
        <v>Peabody Trust</v>
      </c>
      <c r="C545" s="122" t="str" vm="242">
        <f t="shared" si="93"/>
        <v>4878</v>
      </c>
      <c r="D545" s="81">
        <f t="shared" si="93"/>
        <v>124</v>
      </c>
      <c r="E545" s="29" cm="1" vm="1522">
        <f t="array" ref="E545" xml:space="preserve"> INDEX( VfM_Metrics_2023_Consol_Source[], $D545, E$420 )</f>
        <v>92799</v>
      </c>
      <c r="F545" s="24">
        <f xml:space="preserve"> -- OR( SizeOnOff = "All", AND( tblFilterSize[[#This Row],[Total social stock owned]] &gt;= $I$420, tblFilterSize[[#This Row],[Total social stock owned]] &lt;= $K$420 ) )</f>
        <v>1</v>
      </c>
    </row>
    <row r="546" spans="2:6" x14ac:dyDescent="0.2">
      <c r="B546" s="122" t="str" vm="125">
        <f t="shared" si="93"/>
        <v>Phoenix Community Housing Association (Bellingham and Downham) Limited</v>
      </c>
      <c r="C546" s="122" t="str" vm="357">
        <f t="shared" si="93"/>
        <v>L4505</v>
      </c>
      <c r="D546" s="81">
        <f t="shared" si="93"/>
        <v>125</v>
      </c>
      <c r="E546" s="29" cm="1" vm="5335">
        <f t="array" ref="E546" xml:space="preserve"> INDEX( VfM_Metrics_2023_Consol_Source[], $D546, E$420 )</f>
        <v>6498</v>
      </c>
      <c r="F546" s="24">
        <f xml:space="preserve"> -- OR( SizeOnOff = "All", AND( tblFilterSize[[#This Row],[Total social stock owned]] &gt;= $I$420, tblFilterSize[[#This Row],[Total social stock owned]] &lt;= $K$420 ) )</f>
        <v>1</v>
      </c>
    </row>
    <row r="547" spans="2:6" x14ac:dyDescent="0.2">
      <c r="B547" s="122" t="str" vm="126">
        <f t="shared" si="93"/>
        <v>Pickering and Ferens Homes</v>
      </c>
      <c r="C547" s="122" t="str" vm="220">
        <f t="shared" si="93"/>
        <v>A4020</v>
      </c>
      <c r="D547" s="81">
        <f t="shared" si="93"/>
        <v>126</v>
      </c>
      <c r="E547" s="29" cm="1" vm="1022">
        <f t="array" ref="E547" xml:space="preserve"> INDEX( VfM_Metrics_2023_Consol_Source[], $D547, E$420 )</f>
        <v>1429</v>
      </c>
      <c r="F547" s="24">
        <f xml:space="preserve"> -- OR( SizeOnOff = "All", AND( tblFilterSize[[#This Row],[Total social stock owned]] &gt;= $I$420, tblFilterSize[[#This Row],[Total social stock owned]] &lt;= $K$420 ) )</f>
        <v>1</v>
      </c>
    </row>
    <row r="548" spans="2:6" x14ac:dyDescent="0.2">
      <c r="B548" s="122" t="str" vm="127">
        <f t="shared" si="93"/>
        <v>Places for People Group Limited</v>
      </c>
      <c r="C548" s="122" t="str" vm="267">
        <f t="shared" si="93"/>
        <v>L4236</v>
      </c>
      <c r="D548" s="81">
        <f t="shared" si="93"/>
        <v>127</v>
      </c>
      <c r="E548" s="29" cm="1" vm="2239">
        <f t="array" ref="E548" xml:space="preserve"> INDEX( VfM_Metrics_2023_Consol_Source[], $D548, E$420 )</f>
        <v>70663</v>
      </c>
      <c r="F548" s="24">
        <f xml:space="preserve"> -- OR( SizeOnOff = "All", AND( tblFilterSize[[#This Row],[Total social stock owned]] &gt;= $I$420, tblFilterSize[[#This Row],[Total social stock owned]] &lt;= $K$420 ) )</f>
        <v>1</v>
      </c>
    </row>
    <row r="549" spans="2:6" x14ac:dyDescent="0.2">
      <c r="B549" s="122" t="str" vm="128">
        <f t="shared" si="93"/>
        <v>Platform Housing Group Limited</v>
      </c>
      <c r="C549" s="122" t="str" vm="266">
        <f t="shared" si="93"/>
        <v>4789</v>
      </c>
      <c r="D549" s="81">
        <f t="shared" si="93"/>
        <v>128</v>
      </c>
      <c r="E549" s="29" cm="1" vm="7895">
        <f t="array" ref="E549" xml:space="preserve"> INDEX( VfM_Metrics_2023_Consol_Source[], $D549, E$420 )</f>
        <v>46401</v>
      </c>
      <c r="F549" s="24">
        <f xml:space="preserve"> -- OR( SizeOnOff = "All", AND( tblFilterSize[[#This Row],[Total social stock owned]] &gt;= $I$420, tblFilterSize[[#This Row],[Total social stock owned]] &lt;= $K$420 ) )</f>
        <v>1</v>
      </c>
    </row>
    <row r="550" spans="2:6" x14ac:dyDescent="0.2">
      <c r="B550" s="122" t="str" vm="129">
        <f t="shared" ref="B550:D581" si="94" xml:space="preserve"> B348</f>
        <v>Plus Dane Housing Limited</v>
      </c>
      <c r="C550" s="122" t="str" vm="274">
        <f t="shared" si="94"/>
        <v>L4556</v>
      </c>
      <c r="D550" s="81">
        <f t="shared" si="94"/>
        <v>129</v>
      </c>
      <c r="E550" s="29" cm="1" vm="8103">
        <f t="array" ref="E550" xml:space="preserve"> INDEX( VfM_Metrics_2023_Consol_Source[], $D550, E$420 )</f>
        <v>13355</v>
      </c>
      <c r="F550" s="24">
        <f xml:space="preserve"> -- OR( SizeOnOff = "All", AND( tblFilterSize[[#This Row],[Total social stock owned]] &gt;= $I$420, tblFilterSize[[#This Row],[Total social stock owned]] &lt;= $K$420 ) )</f>
        <v>1</v>
      </c>
    </row>
    <row r="551" spans="2:6" x14ac:dyDescent="0.2">
      <c r="B551" s="122" t="str" vm="130">
        <f t="shared" si="94"/>
        <v>Plymouth Community Homes Limited</v>
      </c>
      <c r="C551" s="122" t="str" vm="286">
        <f t="shared" si="94"/>
        <v>L4543</v>
      </c>
      <c r="D551" s="81">
        <f t="shared" si="94"/>
        <v>130</v>
      </c>
      <c r="E551" s="29" cm="1" vm="2864">
        <f t="array" ref="E551" xml:space="preserve"> INDEX( VfM_Metrics_2023_Consol_Source[], $D551, E$420 )</f>
        <v>14475</v>
      </c>
      <c r="F551" s="24">
        <f xml:space="preserve"> -- OR( SizeOnOff = "All", AND( tblFilterSize[[#This Row],[Total social stock owned]] &gt;= $I$420, tblFilterSize[[#This Row],[Total social stock owned]] &lt;= $K$420 ) )</f>
        <v>1</v>
      </c>
    </row>
    <row r="552" spans="2:6" x14ac:dyDescent="0.2">
      <c r="B552" s="122" t="str" vm="131">
        <f t="shared" si="94"/>
        <v>Poplar Housing And Regeneration Community Association Limited</v>
      </c>
      <c r="C552" s="122" t="str" vm="350">
        <f t="shared" si="94"/>
        <v>L4170</v>
      </c>
      <c r="D552" s="81">
        <f t="shared" si="94"/>
        <v>131</v>
      </c>
      <c r="E552" s="29" cm="1" vm="7349">
        <f t="array" ref="E552" xml:space="preserve"> INDEX( VfM_Metrics_2023_Consol_Source[], $D552, E$420 )</f>
        <v>5318</v>
      </c>
      <c r="F552" s="24">
        <f xml:space="preserve"> -- OR( SizeOnOff = "All", AND( tblFilterSize[[#This Row],[Total social stock owned]] &gt;= $I$420, tblFilterSize[[#This Row],[Total social stock owned]] &lt;= $K$420 ) )</f>
        <v>1</v>
      </c>
    </row>
    <row r="553" spans="2:6" x14ac:dyDescent="0.2">
      <c r="B553" s="122" t="str" vm="132">
        <f t="shared" si="94"/>
        <v>Prima Housing Group Limited</v>
      </c>
      <c r="C553" s="122" t="str" vm="317">
        <f t="shared" si="94"/>
        <v>L1001</v>
      </c>
      <c r="D553" s="81">
        <f t="shared" si="94"/>
        <v>132</v>
      </c>
      <c r="E553" s="29" cm="1" vm="3933">
        <f t="array" ref="E553" xml:space="preserve"> INDEX( VfM_Metrics_2023_Consol_Source[], $D553, E$420 )</f>
        <v>2666</v>
      </c>
      <c r="F553" s="24">
        <f xml:space="preserve"> -- OR( SizeOnOff = "All", AND( tblFilterSize[[#This Row],[Total social stock owned]] &gt;= $I$420, tblFilterSize[[#This Row],[Total social stock owned]] &lt;= $K$420 ) )</f>
        <v>1</v>
      </c>
    </row>
    <row r="554" spans="2:6" x14ac:dyDescent="0.2">
      <c r="B554" s="122" t="str" vm="133">
        <f t="shared" si="94"/>
        <v>Progress Housing Group Limited</v>
      </c>
      <c r="C554" s="122" t="str" vm="269">
        <f t="shared" si="94"/>
        <v>LH4189</v>
      </c>
      <c r="D554" s="81">
        <f t="shared" si="94"/>
        <v>133</v>
      </c>
      <c r="E554" s="29" cm="1" vm="2309">
        <f t="array" ref="E554" xml:space="preserve"> INDEX( VfM_Metrics_2023_Consol_Source[], $D554, E$420 )</f>
        <v>11000</v>
      </c>
      <c r="F554" s="24">
        <f xml:space="preserve"> -- OR( SizeOnOff = "All", AND( tblFilterSize[[#This Row],[Total social stock owned]] &gt;= $I$420, tblFilterSize[[#This Row],[Total social stock owned]] &lt;= $K$420 ) )</f>
        <v>1</v>
      </c>
    </row>
    <row r="555" spans="2:6" x14ac:dyDescent="0.2">
      <c r="B555" s="122" t="str" vm="134">
        <f t="shared" si="94"/>
        <v>Railway Housing Association and Benefit Fund</v>
      </c>
      <c r="C555" s="122" t="str" vm="230">
        <f t="shared" si="94"/>
        <v>A1855</v>
      </c>
      <c r="D555" s="81">
        <f t="shared" si="94"/>
        <v>134</v>
      </c>
      <c r="E555" s="29" cm="1" vm="1365">
        <f t="array" ref="E555" xml:space="preserve"> INDEX( VfM_Metrics_2023_Consol_Source[], $D555, E$420 )</f>
        <v>1547</v>
      </c>
      <c r="F555" s="24">
        <f xml:space="preserve"> -- OR( SizeOnOff = "All", AND( tblFilterSize[[#This Row],[Total social stock owned]] &gt;= $I$420, tblFilterSize[[#This Row],[Total social stock owned]] &lt;= $K$420 ) )</f>
        <v>1</v>
      </c>
    </row>
    <row r="556" spans="2:6" x14ac:dyDescent="0.2">
      <c r="B556" s="122" t="str" vm="135">
        <f t="shared" si="94"/>
        <v>Raven Housing Trust Limited</v>
      </c>
      <c r="C556" s="122" t="str" vm="359">
        <f t="shared" si="94"/>
        <v>L4334</v>
      </c>
      <c r="D556" s="81">
        <f t="shared" si="94"/>
        <v>135</v>
      </c>
      <c r="E556" s="29" cm="1" vm="5401">
        <f t="array" ref="E556" xml:space="preserve"> INDEX( VfM_Metrics_2023_Consol_Source[], $D556, E$420 )</f>
        <v>6337</v>
      </c>
      <c r="F556" s="24">
        <f xml:space="preserve"> -- OR( SizeOnOff = "All", AND( tblFilterSize[[#This Row],[Total social stock owned]] &gt;= $I$420, tblFilterSize[[#This Row],[Total social stock owned]] &lt;= $K$420 ) )</f>
        <v>1</v>
      </c>
    </row>
    <row r="557" spans="2:6" x14ac:dyDescent="0.2">
      <c r="B557" s="122" t="str" vm="136">
        <f t="shared" si="94"/>
        <v>Red Kite Community Housing Limited</v>
      </c>
      <c r="C557" s="122" t="str" vm="356">
        <f t="shared" si="94"/>
        <v>4682</v>
      </c>
      <c r="D557" s="81">
        <f t="shared" si="94"/>
        <v>136</v>
      </c>
      <c r="E557" s="29" cm="1" vm="5300">
        <f t="array" ref="E557" xml:space="preserve"> INDEX( VfM_Metrics_2023_Consol_Source[], $D557, E$420 )</f>
        <v>5525</v>
      </c>
      <c r="F557" s="24">
        <f xml:space="preserve"> -- OR( SizeOnOff = "All", AND( tblFilterSize[[#This Row],[Total social stock owned]] &gt;= $I$420, tblFilterSize[[#This Row],[Total social stock owned]] &lt;= $K$420 ) )</f>
        <v>1</v>
      </c>
    </row>
    <row r="558" spans="2:6" x14ac:dyDescent="0.2">
      <c r="B558" s="122" t="str" vm="137">
        <f t="shared" si="94"/>
        <v>Regenda Limited</v>
      </c>
      <c r="C558" s="122" t="str" vm="283">
        <f t="shared" si="94"/>
        <v>4653</v>
      </c>
      <c r="D558" s="81">
        <f t="shared" si="94"/>
        <v>137</v>
      </c>
      <c r="E558" s="29" cm="1" vm="2752">
        <f t="array" ref="E558" xml:space="preserve"> INDEX( VfM_Metrics_2023_Consol_Source[], $D558, E$420 )</f>
        <v>12133</v>
      </c>
      <c r="F558" s="24">
        <f xml:space="preserve"> -- OR( SizeOnOff = "All", AND( tblFilterSize[[#This Row],[Total social stock owned]] &gt;= $I$420, tblFilterSize[[#This Row],[Total social stock owned]] &lt;= $K$420 ) )</f>
        <v>1</v>
      </c>
    </row>
    <row r="559" spans="2:6" x14ac:dyDescent="0.2">
      <c r="B559" s="122" t="str" vm="138">
        <f t="shared" si="94"/>
        <v>Richmond Housing Partnership Limited</v>
      </c>
      <c r="C559" s="122" t="str" vm="360">
        <f t="shared" si="94"/>
        <v>L4279</v>
      </c>
      <c r="D559" s="81">
        <f t="shared" si="94"/>
        <v>138</v>
      </c>
      <c r="E559" s="29" cm="1" vm="5437">
        <f t="array" ref="E559" xml:space="preserve"> INDEX( VfM_Metrics_2023_Consol_Source[], $D559, E$420 )</f>
        <v>7588</v>
      </c>
      <c r="F559" s="24">
        <f xml:space="preserve"> -- OR( SizeOnOff = "All", AND( tblFilterSize[[#This Row],[Total social stock owned]] &gt;= $I$420, tblFilterSize[[#This Row],[Total social stock owned]] &lt;= $K$420 ) )</f>
        <v>1</v>
      </c>
    </row>
    <row r="560" spans="2:6" x14ac:dyDescent="0.2">
      <c r="B560" s="122" t="str" vm="139">
        <f t="shared" si="94"/>
        <v>Rochdale Boroughwide Housing Limited</v>
      </c>
      <c r="C560" s="122" t="str" vm="273">
        <f t="shared" si="94"/>
        <v>4607</v>
      </c>
      <c r="D560" s="81">
        <f t="shared" si="94"/>
        <v>139</v>
      </c>
      <c r="E560" s="29" cm="1" vm="2429">
        <f t="array" ref="E560" xml:space="preserve"> INDEX( VfM_Metrics_2023_Consol_Source[], $D560, E$420 )</f>
        <v>12381</v>
      </c>
      <c r="F560" s="24">
        <f xml:space="preserve"> -- OR( SizeOnOff = "All", AND( tblFilterSize[[#This Row],[Total social stock owned]] &gt;= $I$420, tblFilterSize[[#This Row],[Total social stock owned]] &lt;= $K$420 ) )</f>
        <v>1</v>
      </c>
    </row>
    <row r="561" spans="2:6" x14ac:dyDescent="0.2">
      <c r="B561" s="122" t="str" vm="140">
        <f t="shared" si="94"/>
        <v>Rooftop Housing Group Limited</v>
      </c>
      <c r="C561" s="122" t="str" vm="364">
        <f t="shared" si="94"/>
        <v>L4404</v>
      </c>
      <c r="D561" s="81">
        <f t="shared" si="94"/>
        <v>140</v>
      </c>
      <c r="E561" s="29" cm="1" vm="4408">
        <f t="array" ref="E561" xml:space="preserve"> INDEX( VfM_Metrics_2023_Consol_Source[], $D561, E$420 )</f>
        <v>6609</v>
      </c>
      <c r="F561" s="24">
        <f xml:space="preserve"> -- OR( SizeOnOff = "All", AND( tblFilterSize[[#This Row],[Total social stock owned]] &gt;= $I$420, tblFilterSize[[#This Row],[Total social stock owned]] &lt;= $K$420 ) )</f>
        <v>1</v>
      </c>
    </row>
    <row r="562" spans="2:6" x14ac:dyDescent="0.2">
      <c r="B562" s="122" t="str" vm="141">
        <f t="shared" si="94"/>
        <v>Saffron Housing Trust Limited</v>
      </c>
      <c r="C562" s="122" t="str" vm="384">
        <f t="shared" si="94"/>
        <v>LH4412</v>
      </c>
      <c r="D562" s="81">
        <f t="shared" si="94"/>
        <v>141</v>
      </c>
      <c r="E562" s="29" cm="1" vm="6336">
        <f t="array" ref="E562" xml:space="preserve"> INDEX( VfM_Metrics_2023_Consol_Source[], $D562, E$420 )</f>
        <v>6626</v>
      </c>
      <c r="F562" s="24">
        <f xml:space="preserve"> -- OR( SizeOnOff = "All", AND( tblFilterSize[[#This Row],[Total social stock owned]] &gt;= $I$420, tblFilterSize[[#This Row],[Total social stock owned]] &lt;= $K$420 ) )</f>
        <v>1</v>
      </c>
    </row>
    <row r="563" spans="2:6" x14ac:dyDescent="0.2">
      <c r="B563" s="122" t="str" vm="142">
        <f t="shared" si="94"/>
        <v>Salix Homes Limited</v>
      </c>
      <c r="C563" s="122" t="str" vm="383">
        <f t="shared" si="94"/>
        <v>4609</v>
      </c>
      <c r="D563" s="81">
        <f t="shared" si="94"/>
        <v>142</v>
      </c>
      <c r="E563" s="29" cm="1" vm="6294">
        <f t="array" ref="E563" xml:space="preserve"> INDEX( VfM_Metrics_2023_Consol_Source[], $D563, E$420 )</f>
        <v>7876</v>
      </c>
      <c r="F563" s="24">
        <f xml:space="preserve"> -- OR( SizeOnOff = "All", AND( tblFilterSize[[#This Row],[Total social stock owned]] &gt;= $I$420, tblFilterSize[[#This Row],[Total social stock owned]] &lt;= $K$420 ) )</f>
        <v>1</v>
      </c>
    </row>
    <row r="564" spans="2:6" x14ac:dyDescent="0.2">
      <c r="B564" s="122" t="str" vm="143">
        <f t="shared" si="94"/>
        <v>Salvation Army Housing Association</v>
      </c>
      <c r="C564" s="122" t="str" vm="310">
        <f t="shared" si="94"/>
        <v>LH2429</v>
      </c>
      <c r="D564" s="81">
        <f t="shared" si="94"/>
        <v>143</v>
      </c>
      <c r="E564" s="29" cm="1" vm="3668">
        <f t="array" ref="E564" xml:space="preserve"> INDEX( VfM_Metrics_2023_Consol_Source[], $D564, E$420 )</f>
        <v>3612</v>
      </c>
      <c r="F564" s="24">
        <f xml:space="preserve"> -- OR( SizeOnOff = "All", AND( tblFilterSize[[#This Row],[Total social stock owned]] &gt;= $I$420, tblFilterSize[[#This Row],[Total social stock owned]] &lt;= $K$420 ) )</f>
        <v>1</v>
      </c>
    </row>
    <row r="565" spans="2:6" x14ac:dyDescent="0.2">
      <c r="B565" s="122" t="str" vm="144">
        <f t="shared" si="94"/>
        <v>Sanctuary Housing Association</v>
      </c>
      <c r="C565" s="122" t="str" vm="251">
        <f t="shared" si="94"/>
        <v>L0247</v>
      </c>
      <c r="D565" s="81">
        <f t="shared" si="94"/>
        <v>144</v>
      </c>
      <c r="E565" s="29" cm="1" vm="1772">
        <f t="array" ref="E565" xml:space="preserve"> INDEX( VfM_Metrics_2023_Consol_Source[], $D565, E$420 )</f>
        <v>88889</v>
      </c>
      <c r="F565" s="24">
        <f xml:space="preserve"> -- OR( SizeOnOff = "All", AND( tblFilterSize[[#This Row],[Total social stock owned]] &gt;= $I$420, tblFilterSize[[#This Row],[Total social stock owned]] &lt;= $K$420 ) )</f>
        <v>1</v>
      </c>
    </row>
    <row r="566" spans="2:6" x14ac:dyDescent="0.2">
      <c r="B566" s="122" t="str" vm="145">
        <f t="shared" si="94"/>
        <v>Saxon Weald</v>
      </c>
      <c r="C566" s="122" t="str" vm="358">
        <f t="shared" si="94"/>
        <v>L4299</v>
      </c>
      <c r="D566" s="81">
        <f t="shared" si="94"/>
        <v>145</v>
      </c>
      <c r="E566" s="29" cm="1" vm="5363">
        <f t="array" ref="E566" xml:space="preserve"> INDEX( VfM_Metrics_2023_Consol_Source[], $D566, E$420 )</f>
        <v>6164</v>
      </c>
      <c r="F566" s="24">
        <f xml:space="preserve"> -- OR( SizeOnOff = "All", AND( tblFilterSize[[#This Row],[Total social stock owned]] &gt;= $I$420, tblFilterSize[[#This Row],[Total social stock owned]] &lt;= $K$420 ) )</f>
        <v>1</v>
      </c>
    </row>
    <row r="567" spans="2:6" x14ac:dyDescent="0.2">
      <c r="B567" s="122" t="str" vm="146">
        <f t="shared" si="94"/>
        <v>Selwood Housing Society Limited</v>
      </c>
      <c r="C567" s="122" t="str" vm="375">
        <f t="shared" si="94"/>
        <v>LH4097</v>
      </c>
      <c r="D567" s="81">
        <f t="shared" si="94"/>
        <v>146</v>
      </c>
      <c r="E567" s="29" cm="1" vm="5991">
        <f t="array" ref="E567" xml:space="preserve"> INDEX( VfM_Metrics_2023_Consol_Source[], $D567, E$420 )</f>
        <v>6961</v>
      </c>
      <c r="F567" s="24">
        <f xml:space="preserve"> -- OR( SizeOnOff = "All", AND( tblFilterSize[[#This Row],[Total social stock owned]] &gt;= $I$420, tblFilterSize[[#This Row],[Total social stock owned]] &lt;= $K$420 ) )</f>
        <v>1</v>
      </c>
    </row>
    <row r="568" spans="2:6" x14ac:dyDescent="0.2">
      <c r="B568" s="122" t="str" vm="147">
        <f t="shared" si="94"/>
        <v>Settle Group</v>
      </c>
      <c r="C568" s="122" t="str" vm="353">
        <f t="shared" si="94"/>
        <v>L4370</v>
      </c>
      <c r="D568" s="81">
        <f t="shared" si="94"/>
        <v>147</v>
      </c>
      <c r="E568" s="29" cm="1" vm="5196">
        <f t="array" ref="E568" xml:space="preserve"> INDEX( VfM_Metrics_2023_Consol_Source[], $D568, E$420 )</f>
        <v>9266</v>
      </c>
      <c r="F568" s="24">
        <f xml:space="preserve"> -- OR( SizeOnOff = "All", AND( tblFilterSize[[#This Row],[Total social stock owned]] &gt;= $I$420, tblFilterSize[[#This Row],[Total social stock owned]] &lt;= $K$420 ) )</f>
        <v>1</v>
      </c>
    </row>
    <row r="569" spans="2:6" x14ac:dyDescent="0.2">
      <c r="B569" s="122" t="str" vm="148">
        <f t="shared" si="94"/>
        <v>Shepherds Bush Housing Association Limited</v>
      </c>
      <c r="C569" s="122" t="str" vm="306">
        <f t="shared" si="94"/>
        <v>LH0050</v>
      </c>
      <c r="D569" s="81">
        <f t="shared" si="94"/>
        <v>148</v>
      </c>
      <c r="E569" s="29" cm="1" vm="3579">
        <f t="array" ref="E569" xml:space="preserve"> INDEX( VfM_Metrics_2023_Consol_Source[], $D569, E$420 )</f>
        <v>4616</v>
      </c>
      <c r="F569" s="24">
        <f xml:space="preserve"> -- OR( SizeOnOff = "All", AND( tblFilterSize[[#This Row],[Total social stock owned]] &gt;= $I$420, tblFilterSize[[#This Row],[Total social stock owned]] &lt;= $K$420 ) )</f>
        <v>1</v>
      </c>
    </row>
    <row r="570" spans="2:6" x14ac:dyDescent="0.2">
      <c r="B570" s="122" t="str" vm="149">
        <f t="shared" si="94"/>
        <v>Silva Homes Limited</v>
      </c>
      <c r="C570" s="122" t="str" vm="365">
        <f t="shared" si="94"/>
        <v>L4513</v>
      </c>
      <c r="D570" s="81">
        <f t="shared" si="94"/>
        <v>149</v>
      </c>
      <c r="E570" s="29" cm="1" vm="5602">
        <f t="array" ref="E570" xml:space="preserve"> INDEX( VfM_Metrics_2023_Consol_Source[], $D570, E$420 )</f>
        <v>6957</v>
      </c>
      <c r="F570" s="24">
        <f xml:space="preserve"> -- OR( SizeOnOff = "All", AND( tblFilterSize[[#This Row],[Total social stock owned]] &gt;= $I$420, tblFilterSize[[#This Row],[Total social stock owned]] &lt;= $K$420 ) )</f>
        <v>1</v>
      </c>
    </row>
    <row r="571" spans="2:6" x14ac:dyDescent="0.2">
      <c r="B571" s="122" t="str" vm="150">
        <f t="shared" si="94"/>
        <v>Soha Housing Limited</v>
      </c>
      <c r="C571" s="122" t="str" vm="380">
        <f t="shared" si="94"/>
        <v>L4130</v>
      </c>
      <c r="D571" s="81">
        <f t="shared" si="94"/>
        <v>150</v>
      </c>
      <c r="E571" s="29" cm="1" vm="6189">
        <f t="array" ref="E571" xml:space="preserve"> INDEX( VfM_Metrics_2023_Consol_Source[], $D571, E$420 )</f>
        <v>7363</v>
      </c>
      <c r="F571" s="24">
        <f xml:space="preserve"> -- OR( SizeOnOff = "All", AND( tblFilterSize[[#This Row],[Total social stock owned]] &gt;= $I$420, tblFilterSize[[#This Row],[Total social stock owned]] &lt;= $K$420 ) )</f>
        <v>1</v>
      </c>
    </row>
    <row r="572" spans="2:6" x14ac:dyDescent="0.2">
      <c r="B572" s="122" t="str" vm="151">
        <f t="shared" si="94"/>
        <v>South Lakes Housing</v>
      </c>
      <c r="C572" s="122" t="str" vm="320">
        <f t="shared" si="94"/>
        <v>4686</v>
      </c>
      <c r="D572" s="81">
        <f t="shared" si="94"/>
        <v>151</v>
      </c>
      <c r="E572" s="29" cm="1" vm="4030">
        <f t="array" ref="E572" xml:space="preserve"> INDEX( VfM_Metrics_2023_Consol_Source[], $D572, E$420 )</f>
        <v>3300</v>
      </c>
      <c r="F572" s="24">
        <f xml:space="preserve"> -- OR( SizeOnOff = "All", AND( tblFilterSize[[#This Row],[Total social stock owned]] &gt;= $I$420, tblFilterSize[[#This Row],[Total social stock owned]] &lt;= $K$420 ) )</f>
        <v>1</v>
      </c>
    </row>
    <row r="573" spans="2:6" x14ac:dyDescent="0.2">
      <c r="B573" s="122" t="str" vm="152">
        <f t="shared" si="94"/>
        <v>South Liverpool Homes Limited</v>
      </c>
      <c r="C573" s="122" t="str" vm="331">
        <f t="shared" si="94"/>
        <v>L4230</v>
      </c>
      <c r="D573" s="81">
        <f t="shared" si="94"/>
        <v>152</v>
      </c>
      <c r="E573" s="29" cm="1" vm="4413">
        <f t="array" ref="E573" xml:space="preserve"> INDEX( VfM_Metrics_2023_Consol_Source[], $D573, E$420 )</f>
        <v>3830</v>
      </c>
      <c r="F573" s="24">
        <f xml:space="preserve"> -- OR( SizeOnOff = "All", AND( tblFilterSize[[#This Row],[Total social stock owned]] &gt;= $I$420, tblFilterSize[[#This Row],[Total social stock owned]] &lt;= $K$420 ) )</f>
        <v>1</v>
      </c>
    </row>
    <row r="574" spans="2:6" x14ac:dyDescent="0.2">
      <c r="B574" s="122" t="str" vm="153">
        <f t="shared" si="94"/>
        <v>South Yorkshire Housing Association Limited</v>
      </c>
      <c r="C574" s="122" t="str" vm="354">
        <f t="shared" si="94"/>
        <v>L0078</v>
      </c>
      <c r="D574" s="81">
        <f t="shared" si="94"/>
        <v>153</v>
      </c>
      <c r="E574" s="29" cm="1" vm="5238">
        <f t="array" ref="E574" xml:space="preserve"> INDEX( VfM_Metrics_2023_Consol_Source[], $D574, E$420 )</f>
        <v>5386</v>
      </c>
      <c r="F574" s="24">
        <f xml:space="preserve"> -- OR( SizeOnOff = "All", AND( tblFilterSize[[#This Row],[Total social stock owned]] &gt;= $I$420, tblFilterSize[[#This Row],[Total social stock owned]] &lt;= $K$420 ) )</f>
        <v>1</v>
      </c>
    </row>
    <row r="575" spans="2:6" x14ac:dyDescent="0.2">
      <c r="B575" s="122" t="str" vm="154">
        <f t="shared" si="94"/>
        <v>Southern Housing</v>
      </c>
      <c r="C575" s="122" t="str" vm="244">
        <f t="shared" si="94"/>
        <v>5171</v>
      </c>
      <c r="D575" s="81">
        <f t="shared" si="94"/>
        <v>154</v>
      </c>
      <c r="E575" s="29" cm="1" vm="1660">
        <f t="array" ref="E575" xml:space="preserve"> INDEX( VfM_Metrics_2023_Consol_Source[], $D575, E$420 )</f>
        <v>70031</v>
      </c>
      <c r="F575" s="24">
        <f xml:space="preserve"> -- OR( SizeOnOff = "All", AND( tblFilterSize[[#This Row],[Total social stock owned]] &gt;= $I$420, tblFilterSize[[#This Row],[Total social stock owned]] &lt;= $K$420 ) )</f>
        <v>1</v>
      </c>
    </row>
    <row r="576" spans="2:6" x14ac:dyDescent="0.2">
      <c r="B576" s="122" t="str" vm="155">
        <f t="shared" si="94"/>
        <v>Southway Housing Trust (Manchester) Limited</v>
      </c>
      <c r="C576" s="122" t="str" vm="382">
        <f t="shared" si="94"/>
        <v>L4507</v>
      </c>
      <c r="D576" s="81">
        <f t="shared" si="94"/>
        <v>155</v>
      </c>
      <c r="E576" s="29" cm="1" vm="6258">
        <f t="array" ref="E576" xml:space="preserve"> INDEX( VfM_Metrics_2023_Consol_Source[], $D576, E$420 )</f>
        <v>6164</v>
      </c>
      <c r="F576" s="24">
        <f xml:space="preserve"> -- OR( SizeOnOff = "All", AND( tblFilterSize[[#This Row],[Total social stock owned]] &gt;= $I$420, tblFilterSize[[#This Row],[Total social stock owned]] &lt;= $K$420 ) )</f>
        <v>1</v>
      </c>
    </row>
    <row r="577" spans="2:6" x14ac:dyDescent="0.2">
      <c r="B577" s="122" t="str" vm="156">
        <f t="shared" si="94"/>
        <v>Sovereign Housing Association Limited</v>
      </c>
      <c r="C577" s="122" t="str" vm="252">
        <f t="shared" si="94"/>
        <v>4837</v>
      </c>
      <c r="D577" s="81">
        <f t="shared" si="94"/>
        <v>156</v>
      </c>
      <c r="E577" s="29" cm="1" vm="1801">
        <f t="array" ref="E577" xml:space="preserve"> INDEX( VfM_Metrics_2023_Consol_Source[], $D577, E$420 )</f>
        <v>57576</v>
      </c>
      <c r="F577" s="24">
        <f xml:space="preserve"> -- OR( SizeOnOff = "All", AND( tblFilterSize[[#This Row],[Total social stock owned]] &gt;= $I$420, tblFilterSize[[#This Row],[Total social stock owned]] &lt;= $K$420 ) )</f>
        <v>1</v>
      </c>
    </row>
    <row r="578" spans="2:6" x14ac:dyDescent="0.2">
      <c r="B578" s="122" t="str" vm="157">
        <f t="shared" si="94"/>
        <v>Sovereign Network Homes</v>
      </c>
      <c r="C578" s="122" t="str" vm="271">
        <f t="shared" si="94"/>
        <v>4825</v>
      </c>
      <c r="D578" s="81">
        <f t="shared" si="94"/>
        <v>157</v>
      </c>
      <c r="E578" s="29" cm="1" vm="2360">
        <f t="array" ref="E578" xml:space="preserve"> INDEX( VfM_Metrics_2023_Consol_Source[], $D578, E$420 )</f>
        <v>18043</v>
      </c>
      <c r="F578" s="24">
        <f xml:space="preserve"> -- OR( SizeOnOff = "All", AND( tblFilterSize[[#This Row],[Total social stock owned]] &gt;= $I$420, tblFilterSize[[#This Row],[Total social stock owned]] &lt;= $K$420 ) )</f>
        <v>1</v>
      </c>
    </row>
    <row r="579" spans="2:6" x14ac:dyDescent="0.2">
      <c r="B579" s="122" t="str" vm="158">
        <f t="shared" si="94"/>
        <v>St Mungo Community Housing Association</v>
      </c>
      <c r="C579" s="122" t="str" vm="202">
        <f t="shared" si="94"/>
        <v>LH0279</v>
      </c>
      <c r="D579" s="81">
        <f t="shared" si="94"/>
        <v>158</v>
      </c>
      <c r="E579" s="29" cm="1" vm="656">
        <f t="array" ref="E579" xml:space="preserve"> INDEX( VfM_Metrics_2023_Consol_Source[], $D579, E$420 )</f>
        <v>1749</v>
      </c>
      <c r="F579" s="24">
        <f xml:space="preserve"> -- OR( SizeOnOff = "All", AND( tblFilterSize[[#This Row],[Total social stock owned]] &gt;= $I$420, tblFilterSize[[#This Row],[Total social stock owned]] &lt;= $K$420 ) )</f>
        <v>1</v>
      </c>
    </row>
    <row r="580" spans="2:6" x14ac:dyDescent="0.2">
      <c r="B580" s="122" t="str" vm="159">
        <f t="shared" si="94"/>
        <v>Stonewater Limited</v>
      </c>
      <c r="C580" s="122" t="str" vm="261">
        <f t="shared" si="94"/>
        <v>L1556</v>
      </c>
      <c r="D580" s="81">
        <f t="shared" si="94"/>
        <v>159</v>
      </c>
      <c r="E580" s="29" cm="1" vm="7644">
        <f t="array" ref="E580" xml:space="preserve"> INDEX( VfM_Metrics_2023_Consol_Source[], $D580, E$420 )</f>
        <v>32803</v>
      </c>
      <c r="F580" s="24">
        <f xml:space="preserve"> -- OR( SizeOnOff = "All", AND( tblFilterSize[[#This Row],[Total social stock owned]] &gt;= $I$420, tblFilterSize[[#This Row],[Total social stock owned]] &lt;= $K$420 ) )</f>
        <v>1</v>
      </c>
    </row>
    <row r="581" spans="2:6" x14ac:dyDescent="0.2">
      <c r="B581" s="122" t="str" vm="160">
        <f t="shared" si="94"/>
        <v>Sustain (UK) Ltd</v>
      </c>
      <c r="C581" s="122" t="str" vm="209">
        <f t="shared" si="94"/>
        <v>4687</v>
      </c>
      <c r="D581" s="81">
        <f t="shared" si="94"/>
        <v>160</v>
      </c>
      <c r="E581" s="29" cm="1" vm="9106">
        <f t="array" ref="E581" xml:space="preserve"> INDEX( VfM_Metrics_2023_Consol_Source[], $D581, E$420 )</f>
        <v>2038</v>
      </c>
      <c r="F581" s="24">
        <f xml:space="preserve"> -- OR( SizeOnOff = "All", AND( tblFilterSize[[#This Row],[Total social stock owned]] &gt;= $I$420, tblFilterSize[[#This Row],[Total social stock owned]] &lt;= $K$420 ) )</f>
        <v>1</v>
      </c>
    </row>
    <row r="582" spans="2:6" x14ac:dyDescent="0.2">
      <c r="B582" s="122" t="str" vm="161">
        <f t="shared" ref="B582:D613" si="95" xml:space="preserve"> B380</f>
        <v>Teign Housing</v>
      </c>
      <c r="C582" s="122" t="str" vm="327">
        <f t="shared" si="95"/>
        <v>LH4403</v>
      </c>
      <c r="D582" s="81">
        <f t="shared" si="95"/>
        <v>161</v>
      </c>
      <c r="E582" s="29" cm="1" vm="4282">
        <f t="array" ref="E582" xml:space="preserve"> INDEX( VfM_Metrics_2023_Consol_Source[], $D582, E$420 )</f>
        <v>3782</v>
      </c>
      <c r="F582" s="24">
        <f xml:space="preserve"> -- OR( SizeOnOff = "All", AND( tblFilterSize[[#This Row],[Total social stock owned]] &gt;= $I$420, tblFilterSize[[#This Row],[Total social stock owned]] &lt;= $K$420 ) )</f>
        <v>1</v>
      </c>
    </row>
    <row r="583" spans="2:6" x14ac:dyDescent="0.2">
      <c r="B583" s="122" t="str" vm="162">
        <f t="shared" si="95"/>
        <v>Thames Valley Housing Association Limited</v>
      </c>
      <c r="C583" s="122" t="str" vm="247">
        <f t="shared" si="95"/>
        <v>L0514</v>
      </c>
      <c r="D583" s="81">
        <f t="shared" si="95"/>
        <v>162</v>
      </c>
      <c r="E583" s="29" cm="1" vm="1660">
        <f t="array" ref="E583" xml:space="preserve"> INDEX( VfM_Metrics_2023_Consol_Source[], $D583, E$420 )</f>
        <v>45406</v>
      </c>
      <c r="F583" s="24">
        <f xml:space="preserve"> -- OR( SizeOnOff = "All", AND( tblFilterSize[[#This Row],[Total social stock owned]] &gt;= $I$420, tblFilterSize[[#This Row],[Total social stock owned]] &lt;= $K$420 ) )</f>
        <v>1</v>
      </c>
    </row>
    <row r="584" spans="2:6" x14ac:dyDescent="0.2">
      <c r="B584" s="122" t="str" vm="163">
        <f t="shared" si="95"/>
        <v>The Abbeyfield Society</v>
      </c>
      <c r="C584" s="122" t="str" vm="201">
        <f t="shared" si="95"/>
        <v>H1046</v>
      </c>
      <c r="D584" s="81">
        <f t="shared" si="95"/>
        <v>163</v>
      </c>
      <c r="E584" s="29" cm="1" vm="9192">
        <f t="array" ref="E584" xml:space="preserve"> INDEX( VfM_Metrics_2023_Consol_Source[], $D584, E$420 )</f>
        <v>1873</v>
      </c>
      <c r="F584" s="24">
        <f xml:space="preserve"> -- OR( SizeOnOff = "All", AND( tblFilterSize[[#This Row],[Total social stock owned]] &gt;= $I$420, tblFilterSize[[#This Row],[Total social stock owned]] &lt;= $K$420 ) )</f>
        <v>1</v>
      </c>
    </row>
    <row r="585" spans="2:6" x14ac:dyDescent="0.2">
      <c r="B585" s="122" t="str" vm="164">
        <f t="shared" si="95"/>
        <v>The Cambridge Housing Society Limited</v>
      </c>
      <c r="C585" s="122" t="str" vm="314">
        <f t="shared" si="95"/>
        <v>L0992</v>
      </c>
      <c r="D585" s="81">
        <f t="shared" si="95"/>
        <v>164</v>
      </c>
      <c r="E585" s="29" cm="1" vm="3826">
        <f t="array" ref="E585" xml:space="preserve"> INDEX( VfM_Metrics_2023_Consol_Source[], $D585, E$420 )</f>
        <v>3072</v>
      </c>
      <c r="F585" s="24">
        <f xml:space="preserve"> -- OR( SizeOnOff = "All", AND( tblFilterSize[[#This Row],[Total social stock owned]] &gt;= $I$420, tblFilterSize[[#This Row],[Total social stock owned]] &lt;= $K$420 ) )</f>
        <v>1</v>
      </c>
    </row>
    <row r="586" spans="2:6" x14ac:dyDescent="0.2">
      <c r="B586" s="122" t="str" vm="165">
        <f t="shared" si="95"/>
        <v>The Community Housing Group Limited</v>
      </c>
      <c r="C586" s="122" t="str" vm="378">
        <f t="shared" si="95"/>
        <v>LH4264</v>
      </c>
      <c r="D586" s="81">
        <f t="shared" si="95"/>
        <v>165</v>
      </c>
      <c r="E586" s="29" cm="1" vm="6113">
        <f t="array" ref="E586" xml:space="preserve"> INDEX( VfM_Metrics_2023_Consol_Source[], $D586, E$420 )</f>
        <v>6040</v>
      </c>
      <c r="F586" s="24">
        <f xml:space="preserve"> -- OR( SizeOnOff = "All", AND( tblFilterSize[[#This Row],[Total social stock owned]] &gt;= $I$420, tblFilterSize[[#This Row],[Total social stock owned]] &lt;= $K$420 ) )</f>
        <v>1</v>
      </c>
    </row>
    <row r="587" spans="2:6" x14ac:dyDescent="0.2">
      <c r="B587" s="122" t="str" vm="166">
        <f t="shared" si="95"/>
        <v>The Guinness Partnership Limited</v>
      </c>
      <c r="C587" s="122" t="str" vm="248">
        <f t="shared" si="95"/>
        <v>4729</v>
      </c>
      <c r="D587" s="81">
        <f t="shared" si="95"/>
        <v>166</v>
      </c>
      <c r="E587" s="29" cm="1" vm="1694">
        <f t="array" ref="E587" xml:space="preserve"> INDEX( VfM_Metrics_2023_Consol_Source[], $D587, E$420 )</f>
        <v>60576</v>
      </c>
      <c r="F587" s="24">
        <f xml:space="preserve"> -- OR( SizeOnOff = "All", AND( tblFilterSize[[#This Row],[Total social stock owned]] &gt;= $I$420, tblFilterSize[[#This Row],[Total social stock owned]] &lt;= $K$420 ) )</f>
        <v>1</v>
      </c>
    </row>
    <row r="588" spans="2:6" x14ac:dyDescent="0.2">
      <c r="B588" s="122" t="str" vm="167">
        <f t="shared" si="95"/>
        <v>The Havebury Housing Partnership</v>
      </c>
      <c r="C588" s="122" t="str" vm="374">
        <f t="shared" si="95"/>
        <v>LH4339</v>
      </c>
      <c r="D588" s="81">
        <f t="shared" si="95"/>
        <v>167</v>
      </c>
      <c r="E588" s="29" cm="1" vm="5955">
        <f t="array" ref="E588" xml:space="preserve"> INDEX( VfM_Metrics_2023_Consol_Source[], $D588, E$420 )</f>
        <v>7251</v>
      </c>
      <c r="F588" s="24">
        <f xml:space="preserve"> -- OR( SizeOnOff = "All", AND( tblFilterSize[[#This Row],[Total social stock owned]] &gt;= $I$420, tblFilterSize[[#This Row],[Total social stock owned]] &lt;= $K$420 ) )</f>
        <v>1</v>
      </c>
    </row>
    <row r="589" spans="2:6" x14ac:dyDescent="0.2">
      <c r="B589" s="122" t="str" vm="168">
        <f t="shared" si="95"/>
        <v>The Housing Plus Group Limited</v>
      </c>
      <c r="C589" s="122" t="str" vm="293">
        <f t="shared" si="95"/>
        <v>L4491</v>
      </c>
      <c r="D589" s="81">
        <f t="shared" si="95"/>
        <v>168</v>
      </c>
      <c r="E589" s="29" cm="1" vm="7081">
        <f t="array" ref="E589" xml:space="preserve"> INDEX( VfM_Metrics_2023_Consol_Source[], $D589, E$420 )</f>
        <v>18908</v>
      </c>
      <c r="F589" s="24">
        <f xml:space="preserve"> -- OR( SizeOnOff = "All", AND( tblFilterSize[[#This Row],[Total social stock owned]] &gt;= $I$420, tblFilterSize[[#This Row],[Total social stock owned]] &lt;= $K$420 ) )</f>
        <v>1</v>
      </c>
    </row>
    <row r="590" spans="2:6" x14ac:dyDescent="0.2">
      <c r="B590" s="122" t="str" vm="169">
        <f t="shared" si="95"/>
        <v>The Industrial Dwellings Society (1885) Limited</v>
      </c>
      <c r="C590" s="122" t="str" vm="208">
        <f t="shared" si="95"/>
        <v>L0266</v>
      </c>
      <c r="D590" s="81">
        <f t="shared" si="95"/>
        <v>169</v>
      </c>
      <c r="E590" s="29" cm="1" vm="773">
        <f t="array" ref="E590" xml:space="preserve"> INDEX( VfM_Metrics_2023_Consol_Source[], $D590, E$420 )</f>
        <v>1426</v>
      </c>
      <c r="F590" s="24">
        <f xml:space="preserve"> -- OR( SizeOnOff = "All", AND( tblFilterSize[[#This Row],[Total social stock owned]] &gt;= $I$420, tblFilterSize[[#This Row],[Total social stock owned]] &lt;= $K$420 ) )</f>
        <v>1</v>
      </c>
    </row>
    <row r="591" spans="2:6" x14ac:dyDescent="0.2">
      <c r="B591" s="122" t="str" vm="170">
        <f t="shared" si="95"/>
        <v>The Pioneer Housing and Community Group Limited</v>
      </c>
      <c r="C591" s="122" t="str" vm="235">
        <f t="shared" si="95"/>
        <v>L4118</v>
      </c>
      <c r="D591" s="81">
        <f t="shared" si="95"/>
        <v>170</v>
      </c>
      <c r="E591" s="29" cm="1" vm="8141">
        <f t="array" ref="E591" xml:space="preserve"> INDEX( VfM_Metrics_2023_Consol_Source[], $D591, E$420 )</f>
        <v>2417</v>
      </c>
      <c r="F591" s="24">
        <f xml:space="preserve"> -- OR( SizeOnOff = "All", AND( tblFilterSize[[#This Row],[Total social stock owned]] &gt;= $I$420, tblFilterSize[[#This Row],[Total social stock owned]] &lt;= $K$420 ) )</f>
        <v>1</v>
      </c>
    </row>
    <row r="592" spans="2:6" x14ac:dyDescent="0.2">
      <c r="B592" s="122" t="str" vm="171">
        <f t="shared" si="95"/>
        <v>The Riverside Group Limited</v>
      </c>
      <c r="C592" s="122" t="str" vm="241">
        <f t="shared" si="95"/>
        <v>L4552</v>
      </c>
      <c r="D592" s="81">
        <f t="shared" si="95"/>
        <v>171</v>
      </c>
      <c r="E592" s="29" cm="1" vm="1494">
        <f t="array" ref="E592" xml:space="preserve"> INDEX( VfM_Metrics_2023_Consol_Source[], $D592, E$420 )</f>
        <v>66944</v>
      </c>
      <c r="F592" s="24">
        <f xml:space="preserve"> -- OR( SizeOnOff = "All", AND( tblFilterSize[[#This Row],[Total social stock owned]] &gt;= $I$420, tblFilterSize[[#This Row],[Total social stock owned]] &lt;= $K$420 ) )</f>
        <v>1</v>
      </c>
    </row>
    <row r="593" spans="2:6" x14ac:dyDescent="0.2">
      <c r="B593" s="122" t="str" vm="172">
        <f t="shared" si="95"/>
        <v>The Wrekin Housing Group Limited</v>
      </c>
      <c r="C593" s="122" t="str" vm="282">
        <f t="shared" si="95"/>
        <v>LH4220</v>
      </c>
      <c r="D593" s="81">
        <f t="shared" si="95"/>
        <v>172</v>
      </c>
      <c r="E593" s="29" cm="1" vm="2169">
        <f t="array" ref="E593" xml:space="preserve"> INDEX( VfM_Metrics_2023_Consol_Source[], $D593, E$420 )</f>
        <v>13167</v>
      </c>
      <c r="F593" s="24">
        <f xml:space="preserve"> -- OR( SizeOnOff = "All", AND( tblFilterSize[[#This Row],[Total social stock owned]] &gt;= $I$420, tblFilterSize[[#This Row],[Total social stock owned]] &lt;= $K$420 ) )</f>
        <v>1</v>
      </c>
    </row>
    <row r="594" spans="2:6" x14ac:dyDescent="0.2">
      <c r="B594" s="122" t="str" vm="173">
        <f t="shared" si="95"/>
        <v>Thirteen Housing Group Limited</v>
      </c>
      <c r="C594" s="122" t="str" vm="260">
        <f t="shared" si="95"/>
        <v>L4522</v>
      </c>
      <c r="D594" s="81">
        <f t="shared" si="95"/>
        <v>173</v>
      </c>
      <c r="E594" s="29" cm="1" vm="2037">
        <f t="array" ref="E594" xml:space="preserve"> INDEX( VfM_Metrics_2023_Consol_Source[], $D594, E$420 )</f>
        <v>34579</v>
      </c>
      <c r="F594" s="24">
        <f xml:space="preserve"> -- OR( SizeOnOff = "All", AND( tblFilterSize[[#This Row],[Total social stock owned]] &gt;= $I$420, tblFilterSize[[#This Row],[Total social stock owned]] &lt;= $K$420 ) )</f>
        <v>1</v>
      </c>
    </row>
    <row r="595" spans="2:6" x14ac:dyDescent="0.2">
      <c r="B595" s="122" t="str" vm="174">
        <f t="shared" si="95"/>
        <v>Thrive Homes Limited</v>
      </c>
      <c r="C595" s="122" t="str" vm="319">
        <f t="shared" si="95"/>
        <v>L4520</v>
      </c>
      <c r="D595" s="81">
        <f t="shared" si="95"/>
        <v>174</v>
      </c>
      <c r="E595" s="29" cm="1" vm="3993">
        <f t="array" ref="E595" xml:space="preserve"> INDEX( VfM_Metrics_2023_Consol_Source[], $D595, E$420 )</f>
        <v>4831</v>
      </c>
      <c r="F595" s="24">
        <f xml:space="preserve"> -- OR( SizeOnOff = "All", AND( tblFilterSize[[#This Row],[Total social stock owned]] &gt;= $I$420, tblFilterSize[[#This Row],[Total social stock owned]] &lt;= $K$420 ) )</f>
        <v>1</v>
      </c>
    </row>
    <row r="596" spans="2:6" x14ac:dyDescent="0.2">
      <c r="B596" s="122" t="str" vm="175">
        <f t="shared" si="95"/>
        <v>Together Housing Group Limited</v>
      </c>
      <c r="C596" s="122" t="str" vm="249">
        <f t="shared" si="95"/>
        <v>L4464</v>
      </c>
      <c r="D596" s="81">
        <f t="shared" si="95"/>
        <v>175</v>
      </c>
      <c r="E596" s="29" cm="1" vm="1894">
        <f t="array" ref="E596" xml:space="preserve"> INDEX( VfM_Metrics_2023_Consol_Source[], $D596, E$420 )</f>
        <v>35968</v>
      </c>
      <c r="F596" s="24">
        <f xml:space="preserve"> -- OR( SizeOnOff = "All", AND( tblFilterSize[[#This Row],[Total social stock owned]] &gt;= $I$420, tblFilterSize[[#This Row],[Total social stock owned]] &lt;= $K$420 ) )</f>
        <v>1</v>
      </c>
    </row>
    <row r="597" spans="2:6" x14ac:dyDescent="0.2">
      <c r="B597" s="122" t="str" vm="176">
        <f t="shared" si="95"/>
        <v>Torus62 Limited</v>
      </c>
      <c r="C597" s="122" t="str" vm="259">
        <f t="shared" si="95"/>
        <v>5065</v>
      </c>
      <c r="D597" s="81">
        <f t="shared" si="95"/>
        <v>176</v>
      </c>
      <c r="E597" s="29" cm="1" vm="2007">
        <f t="array" ref="E597" xml:space="preserve"> INDEX( VfM_Metrics_2023_Consol_Source[], $D597, E$420 )</f>
        <v>38674</v>
      </c>
      <c r="F597" s="24">
        <f xml:space="preserve"> -- OR( SizeOnOff = "All", AND( tblFilterSize[[#This Row],[Total social stock owned]] &gt;= $I$420, tblFilterSize[[#This Row],[Total social stock owned]] &lt;= $K$420 ) )</f>
        <v>1</v>
      </c>
    </row>
    <row r="598" spans="2:6" x14ac:dyDescent="0.2">
      <c r="B598" s="122" t="str" vm="177">
        <f t="shared" si="95"/>
        <v>Tower Hamlets Community Housing</v>
      </c>
      <c r="C598" s="122" t="str" vm="203">
        <f t="shared" si="95"/>
        <v>L4260</v>
      </c>
      <c r="D598" s="81">
        <f t="shared" si="95"/>
        <v>177</v>
      </c>
      <c r="E598" s="29" cm="1" vm="679">
        <f t="array" ref="E598" xml:space="preserve"> INDEX( VfM_Metrics_2023_Consol_Source[], $D598, E$420 )</f>
        <v>2054</v>
      </c>
      <c r="F598" s="24">
        <f xml:space="preserve"> -- OR( SizeOnOff = "All", AND( tblFilterSize[[#This Row],[Total social stock owned]] &gt;= $I$420, tblFilterSize[[#This Row],[Total social stock owned]] &lt;= $K$420 ) )</f>
        <v>1</v>
      </c>
    </row>
    <row r="599" spans="2:6" x14ac:dyDescent="0.2">
      <c r="B599" s="122" t="str" vm="178">
        <f t="shared" si="95"/>
        <v>Trent &amp; Dove Housing Limited</v>
      </c>
      <c r="C599" s="122" t="str" vm="386">
        <f t="shared" si="95"/>
        <v>L4311</v>
      </c>
      <c r="D599" s="81">
        <f t="shared" si="95"/>
        <v>178</v>
      </c>
      <c r="E599" s="29" cm="1" vm="6420">
        <f t="array" ref="E599" xml:space="preserve"> INDEX( VfM_Metrics_2023_Consol_Source[], $D599, E$420 )</f>
        <v>6529</v>
      </c>
      <c r="F599" s="24">
        <f xml:space="preserve"> -- OR( SizeOnOff = "All", AND( tblFilterSize[[#This Row],[Total social stock owned]] &gt;= $I$420, tblFilterSize[[#This Row],[Total social stock owned]] &lt;= $K$420 ) )</f>
        <v>1</v>
      </c>
    </row>
    <row r="600" spans="2:6" x14ac:dyDescent="0.2">
      <c r="B600" s="122" t="str" vm="179">
        <f t="shared" si="95"/>
        <v>Trident Housing Association Limited</v>
      </c>
      <c r="C600" s="122" t="str" vm="305">
        <f t="shared" si="95"/>
        <v>L0979</v>
      </c>
      <c r="D600" s="81">
        <f t="shared" si="95"/>
        <v>179</v>
      </c>
      <c r="E600" s="29" cm="1" vm="3510">
        <f t="array" ref="E600" xml:space="preserve"> INDEX( VfM_Metrics_2023_Consol_Source[], $D600, E$420 )</f>
        <v>3158</v>
      </c>
      <c r="F600" s="24">
        <f xml:space="preserve"> -- OR( SizeOnOff = "All", AND( tblFilterSize[[#This Row],[Total social stock owned]] &gt;= $I$420, tblFilterSize[[#This Row],[Total social stock owned]] &lt;= $K$420 ) )</f>
        <v>1</v>
      </c>
    </row>
    <row r="601" spans="2:6" x14ac:dyDescent="0.2">
      <c r="B601" s="122" t="str" vm="180">
        <f t="shared" si="95"/>
        <v>Tuntum Housing Association Limited</v>
      </c>
      <c r="C601" s="122" t="str" vm="227">
        <f t="shared" si="95"/>
        <v>L3808</v>
      </c>
      <c r="D601" s="81">
        <f t="shared" si="95"/>
        <v>180</v>
      </c>
      <c r="E601" s="29" cm="1" vm="1181">
        <f t="array" ref="E601" xml:space="preserve"> INDEX( VfM_Metrics_2023_Consol_Source[], $D601, E$420 )</f>
        <v>1571</v>
      </c>
      <c r="F601" s="24">
        <f xml:space="preserve"> -- OR( SizeOnOff = "All", AND( tblFilterSize[[#This Row],[Total social stock owned]] &gt;= $I$420, tblFilterSize[[#This Row],[Total social stock owned]] &lt;= $K$420 ) )</f>
        <v>1</v>
      </c>
    </row>
    <row r="602" spans="2:6" x14ac:dyDescent="0.2">
      <c r="B602" s="122" t="str" vm="181">
        <f t="shared" si="95"/>
        <v>Two Rivers Housing</v>
      </c>
      <c r="C602" s="122" t="str" vm="333">
        <f t="shared" si="95"/>
        <v>L4385</v>
      </c>
      <c r="D602" s="81">
        <f t="shared" si="95"/>
        <v>181</v>
      </c>
      <c r="E602" s="29" cm="1" vm="4476">
        <f t="array" ref="E602" xml:space="preserve"> INDEX( VfM_Metrics_2023_Consol_Source[], $D602, E$420 )</f>
        <v>4384</v>
      </c>
      <c r="F602" s="24">
        <f xml:space="preserve"> -- OR( SizeOnOff = "All", AND( tblFilterSize[[#This Row],[Total social stock owned]] &gt;= $I$420, tblFilterSize[[#This Row],[Total social stock owned]] &lt;= $K$420 ) )</f>
        <v>1</v>
      </c>
    </row>
    <row r="603" spans="2:6" x14ac:dyDescent="0.2">
      <c r="B603" s="122" t="str" vm="182">
        <f t="shared" si="95"/>
        <v>Unity Housing Association Limited</v>
      </c>
      <c r="C603" s="122" t="str" vm="229">
        <f t="shared" si="95"/>
        <v>LH3737</v>
      </c>
      <c r="D603" s="81">
        <f t="shared" si="95"/>
        <v>182</v>
      </c>
      <c r="E603" s="29" cm="1" vm="8730">
        <f t="array" ref="E603" xml:space="preserve"> INDEX( VfM_Metrics_2023_Consol_Source[], $D603, E$420 )</f>
        <v>1385</v>
      </c>
      <c r="F603" s="24">
        <f xml:space="preserve"> -- OR( SizeOnOff = "All", AND( tblFilterSize[[#This Row],[Total social stock owned]] &gt;= $I$420, tblFilterSize[[#This Row],[Total social stock owned]] &lt;= $K$420 ) )</f>
        <v>1</v>
      </c>
    </row>
    <row r="604" spans="2:6" x14ac:dyDescent="0.2">
      <c r="B604" s="122" t="str" vm="183">
        <f t="shared" si="95"/>
        <v>Vivid Housing Limited</v>
      </c>
      <c r="C604" s="122" t="str" vm="264">
        <f t="shared" si="95"/>
        <v>4850</v>
      </c>
      <c r="D604" s="81">
        <f t="shared" si="95"/>
        <v>183</v>
      </c>
      <c r="E604" s="29" cm="1" vm="2143">
        <f t="array" ref="E604" xml:space="preserve"> INDEX( VfM_Metrics_2023_Consol_Source[], $D604, E$420 )</f>
        <v>31005</v>
      </c>
      <c r="F604" s="24">
        <f xml:space="preserve"> -- OR( SizeOnOff = "All", AND( tblFilterSize[[#This Row],[Total social stock owned]] &gt;= $I$420, tblFilterSize[[#This Row],[Total social stock owned]] &lt;= $K$420 ) )</f>
        <v>1</v>
      </c>
    </row>
    <row r="605" spans="2:6" x14ac:dyDescent="0.2">
      <c r="B605" s="122" t="str" vm="184">
        <f t="shared" si="95"/>
        <v>Wakefield And District Housing Limited</v>
      </c>
      <c r="C605" s="122" t="str" vm="257">
        <f t="shared" si="95"/>
        <v>L4441</v>
      </c>
      <c r="D605" s="81">
        <f t="shared" si="95"/>
        <v>184</v>
      </c>
      <c r="E605" s="29" cm="1" vm="1946">
        <f t="array" ref="E605" xml:space="preserve"> INDEX( VfM_Metrics_2023_Consol_Source[], $D605, E$420 )</f>
        <v>31890</v>
      </c>
      <c r="F605" s="24">
        <f xml:space="preserve"> -- OR( SizeOnOff = "All", AND( tblFilterSize[[#This Row],[Total social stock owned]] &gt;= $I$420, tblFilterSize[[#This Row],[Total social stock owned]] &lt;= $K$420 ) )</f>
        <v>1</v>
      </c>
    </row>
    <row r="606" spans="2:6" x14ac:dyDescent="0.2">
      <c r="B606" s="122" t="str" vm="185">
        <f t="shared" si="95"/>
        <v>Walsall Housing Group Limited</v>
      </c>
      <c r="C606" s="122" t="str" vm="343">
        <f t="shared" si="95"/>
        <v>L4389</v>
      </c>
      <c r="D606" s="81">
        <f t="shared" si="95"/>
        <v>185</v>
      </c>
      <c r="E606" s="29" cm="1" vm="4840">
        <f t="array" ref="E606" xml:space="preserve"> INDEX( VfM_Metrics_2023_Consol_Source[], $D606, E$420 )</f>
        <v>21316</v>
      </c>
      <c r="F606" s="24">
        <f xml:space="preserve"> -- OR( SizeOnOff = "All", AND( tblFilterSize[[#This Row],[Total social stock owned]] &gt;= $I$420, tblFilterSize[[#This Row],[Total social stock owned]] &lt;= $K$420 ) )</f>
        <v>1</v>
      </c>
    </row>
    <row r="607" spans="2:6" x14ac:dyDescent="0.2">
      <c r="B607" s="122" t="str" vm="186">
        <f t="shared" si="95"/>
        <v>Wandle Housing Association Limited</v>
      </c>
      <c r="C607" s="122" t="str" vm="351">
        <f t="shared" si="95"/>
        <v>L0277</v>
      </c>
      <c r="D607" s="81">
        <f t="shared" si="95"/>
        <v>186</v>
      </c>
      <c r="E607" s="29" cm="1" vm="5123">
        <f t="array" ref="E607" xml:space="preserve"> INDEX( VfM_Metrics_2023_Consol_Source[], $D607, E$420 )</f>
        <v>6895</v>
      </c>
      <c r="F607" s="24">
        <f xml:space="preserve"> -- OR( SizeOnOff = "All", AND( tblFilterSize[[#This Row],[Total social stock owned]] &gt;= $I$420, tblFilterSize[[#This Row],[Total social stock owned]] &lt;= $K$420 ) )</f>
        <v>1</v>
      </c>
    </row>
    <row r="608" spans="2:6" x14ac:dyDescent="0.2">
      <c r="B608" s="122" t="str" vm="187">
        <f t="shared" si="95"/>
        <v>Warrington Housing Association Limited</v>
      </c>
      <c r="C608" s="122" t="str" vm="221">
        <f t="shared" si="95"/>
        <v>L0518</v>
      </c>
      <c r="D608" s="81">
        <f t="shared" si="95"/>
        <v>187</v>
      </c>
      <c r="E608" s="29" cm="1" vm="8569">
        <f t="array" ref="E608" xml:space="preserve"> INDEX( VfM_Metrics_2023_Consol_Source[], $D608, E$420 )</f>
        <v>1298</v>
      </c>
      <c r="F608" s="24">
        <f xml:space="preserve"> -- OR( SizeOnOff = "All", AND( tblFilterSize[[#This Row],[Total social stock owned]] &gt;= $I$420, tblFilterSize[[#This Row],[Total social stock owned]] &lt;= $K$420 ) )</f>
        <v>1</v>
      </c>
    </row>
    <row r="609" spans="2:12" x14ac:dyDescent="0.2">
      <c r="B609" s="122" t="str" vm="188">
        <f t="shared" si="95"/>
        <v>Watford Community Housing Trust</v>
      </c>
      <c r="C609" s="122" t="str" vm="376">
        <f t="shared" si="95"/>
        <v>L4495</v>
      </c>
      <c r="D609" s="81">
        <f t="shared" si="95"/>
        <v>188</v>
      </c>
      <c r="E609" s="29" cm="1" vm="6113">
        <f t="array" ref="E609" xml:space="preserve"> INDEX( VfM_Metrics_2023_Consol_Source[], $D609, E$420 )</f>
        <v>5220</v>
      </c>
      <c r="F609" s="24">
        <f xml:space="preserve"> -- OR( SizeOnOff = "All", AND( tblFilterSize[[#This Row],[Total social stock owned]] &gt;= $I$420, tblFilterSize[[#This Row],[Total social stock owned]] &lt;= $K$420 ) )</f>
        <v>1</v>
      </c>
    </row>
    <row r="610" spans="2:12" x14ac:dyDescent="0.2">
      <c r="B610" s="122" t="str" vm="189">
        <f t="shared" si="95"/>
        <v>Watmos Community Homes</v>
      </c>
      <c r="C610" s="122" t="str" vm="307">
        <f t="shared" si="95"/>
        <v>L4383</v>
      </c>
      <c r="D610" s="81">
        <f t="shared" si="95"/>
        <v>189</v>
      </c>
      <c r="E610" s="29" cm="1" vm="3582">
        <f t="array" ref="E610" xml:space="preserve"> INDEX( VfM_Metrics_2023_Consol_Source[], $D610, E$420 )</f>
        <v>2615</v>
      </c>
      <c r="F610" s="24">
        <f xml:space="preserve"> -- OR( SizeOnOff = "All", AND( tblFilterSize[[#This Row],[Total social stock owned]] &gt;= $I$420, tblFilterSize[[#This Row],[Total social stock owned]] &lt;= $K$420 ) )</f>
        <v>1</v>
      </c>
    </row>
    <row r="611" spans="2:12" x14ac:dyDescent="0.2">
      <c r="B611" s="122" t="str" vm="190">
        <f t="shared" si="95"/>
        <v>Weaver Vale Housing Trust Limited</v>
      </c>
      <c r="C611" s="122" t="str" vm="372">
        <f t="shared" si="95"/>
        <v>L4341</v>
      </c>
      <c r="D611" s="81">
        <f t="shared" si="95"/>
        <v>190</v>
      </c>
      <c r="E611" s="29" cm="1" vm="5876">
        <f t="array" ref="E611" xml:space="preserve"> INDEX( VfM_Metrics_2023_Consol_Source[], $D611, E$420 )</f>
        <v>6345</v>
      </c>
      <c r="F611" s="24">
        <f xml:space="preserve"> -- OR( SizeOnOff = "All", AND( tblFilterSize[[#This Row],[Total social stock owned]] &gt;= $I$420, tblFilterSize[[#This Row],[Total social stock owned]] &lt;= $K$420 ) )</f>
        <v>1</v>
      </c>
    </row>
    <row r="612" spans="2:12" x14ac:dyDescent="0.2">
      <c r="B612" s="122" t="str" vm="191">
        <f t="shared" si="95"/>
        <v>West Kent Housing Association</v>
      </c>
      <c r="C612" s="122" t="str" vm="352">
        <f t="shared" si="95"/>
        <v>LH3827</v>
      </c>
      <c r="D612" s="81">
        <f t="shared" si="95"/>
        <v>191</v>
      </c>
      <c r="E612" s="29" cm="1" vm="5162">
        <f t="array" ref="E612" xml:space="preserve"> INDEX( VfM_Metrics_2023_Consol_Source[], $D612, E$420 )</f>
        <v>7954</v>
      </c>
      <c r="F612" s="24">
        <f xml:space="preserve"> -- OR( SizeOnOff = "All", AND( tblFilterSize[[#This Row],[Total social stock owned]] &gt;= $I$420, tblFilterSize[[#This Row],[Total social stock owned]] &lt;= $K$420 ) )</f>
        <v>1</v>
      </c>
    </row>
    <row r="613" spans="2:12" x14ac:dyDescent="0.2">
      <c r="B613" s="122" t="str" vm="192">
        <f t="shared" si="95"/>
        <v>Westward Housing Group Limited</v>
      </c>
      <c r="C613" s="122" t="str" vm="379">
        <f t="shared" si="95"/>
        <v>4826</v>
      </c>
      <c r="D613" s="81">
        <f t="shared" si="95"/>
        <v>192</v>
      </c>
      <c r="E613" s="29" cm="1" vm="6155">
        <f t="array" ref="E613" xml:space="preserve"> INDEX( VfM_Metrics_2023_Consol_Source[], $D613, E$420 )</f>
        <v>7276</v>
      </c>
      <c r="F613" s="24">
        <f xml:space="preserve"> -- OR( SizeOnOff = "All", AND( tblFilterSize[[#This Row],[Total social stock owned]] &gt;= $I$420, tblFilterSize[[#This Row],[Total social stock owned]] &lt;= $K$420 ) )</f>
        <v>1</v>
      </c>
    </row>
    <row r="614" spans="2:12" x14ac:dyDescent="0.2">
      <c r="B614" s="122" t="str" vm="193">
        <f t="shared" ref="B614:D619" si="96" xml:space="preserve"> B412</f>
        <v>Willow Tree Housing Partnership Limited</v>
      </c>
      <c r="C614" s="122" t="str" vm="222">
        <f t="shared" si="96"/>
        <v>L2424</v>
      </c>
      <c r="D614" s="81">
        <f t="shared" si="96"/>
        <v>193</v>
      </c>
      <c r="E614" s="29" cm="1" vm="8528">
        <f t="array" ref="E614" xml:space="preserve"> INDEX( VfM_Metrics_2023_Consol_Source[], $D614, E$420 )</f>
        <v>1494</v>
      </c>
      <c r="F614" s="24">
        <f xml:space="preserve"> -- OR( SizeOnOff = "All", AND( tblFilterSize[[#This Row],[Total social stock owned]] &gt;= $I$420, tblFilterSize[[#This Row],[Total social stock owned]] &lt;= $K$420 ) )</f>
        <v>1</v>
      </c>
    </row>
    <row r="615" spans="2:12" x14ac:dyDescent="0.2">
      <c r="B615" s="122" t="str" vm="194">
        <f t="shared" si="96"/>
        <v>Worthing Homes Limited</v>
      </c>
      <c r="C615" s="122" t="str" vm="332">
        <f t="shared" si="96"/>
        <v>LH4208</v>
      </c>
      <c r="D615" s="81">
        <f t="shared" si="96"/>
        <v>194</v>
      </c>
      <c r="E615" s="29" cm="1" vm="4450">
        <f t="array" ref="E615" xml:space="preserve"> INDEX( VfM_Metrics_2023_Consol_Source[], $D615, E$420 )</f>
        <v>3690</v>
      </c>
      <c r="F615" s="24">
        <f xml:space="preserve"> -- OR( SizeOnOff = "All", AND( tblFilterSize[[#This Row],[Total social stock owned]] &gt;= $I$420, tblFilterSize[[#This Row],[Total social stock owned]] &lt;= $K$420 ) )</f>
        <v>1</v>
      </c>
    </row>
    <row r="616" spans="2:12" x14ac:dyDescent="0.2">
      <c r="B616" s="122" t="str" vm="195">
        <f t="shared" si="96"/>
        <v>Wythenshawe Community Housing Group Limited</v>
      </c>
      <c r="C616" s="122" t="str" vm="280">
        <f t="shared" si="96"/>
        <v>L4219</v>
      </c>
      <c r="D616" s="81">
        <f t="shared" si="96"/>
        <v>195</v>
      </c>
      <c r="E616" s="29" cm="1" vm="2662">
        <f t="array" ref="E616" xml:space="preserve"> INDEX( VfM_Metrics_2023_Consol_Source[], $D616, E$420 )</f>
        <v>13627</v>
      </c>
      <c r="F616" s="24">
        <f xml:space="preserve"> -- OR( SizeOnOff = "All", AND( tblFilterSize[[#This Row],[Total social stock owned]] &gt;= $I$420, tblFilterSize[[#This Row],[Total social stock owned]] &lt;= $K$420 ) )</f>
        <v>1</v>
      </c>
    </row>
    <row r="617" spans="2:12" x14ac:dyDescent="0.2">
      <c r="B617" s="122" t="str" vm="196">
        <f t="shared" si="96"/>
        <v>YMCA St Paul's Group</v>
      </c>
      <c r="C617" s="122" t="str" vm="205">
        <f t="shared" si="96"/>
        <v>LH4078</v>
      </c>
      <c r="D617" s="81">
        <f t="shared" si="96"/>
        <v>196</v>
      </c>
      <c r="E617" s="29" cm="1" vm="722">
        <f t="array" ref="E617" xml:space="preserve"> INDEX( VfM_Metrics_2023_Consol_Source[], $D617, E$420 )</f>
        <v>1191</v>
      </c>
      <c r="F617" s="24">
        <f xml:space="preserve"> -- OR( SizeOnOff = "All", AND( tblFilterSize[[#This Row],[Total social stock owned]] &gt;= $I$420, tblFilterSize[[#This Row],[Total social stock owned]] &lt;= $K$420 ) )</f>
        <v>1</v>
      </c>
    </row>
    <row r="618" spans="2:12" x14ac:dyDescent="0.2">
      <c r="B618" s="122" t="str" vm="197">
        <f t="shared" si="96"/>
        <v>Yorkshire Housing Limited</v>
      </c>
      <c r="C618" s="122" t="str" vm="281">
        <f t="shared" si="96"/>
        <v>L4521</v>
      </c>
      <c r="D618" s="81">
        <f t="shared" si="96"/>
        <v>197</v>
      </c>
      <c r="E618" s="29" cm="1" vm="2691">
        <f t="array" ref="E618" xml:space="preserve"> INDEX( VfM_Metrics_2023_Consol_Source[], $D618, E$420 )</f>
        <v>17903</v>
      </c>
      <c r="F618" s="24">
        <f xml:space="preserve"> -- OR( SizeOnOff = "All", AND( tblFilterSize[[#This Row],[Total social stock owned]] &gt;= $I$420, tblFilterSize[[#This Row],[Total social stock owned]] &lt;= $K$420 ) )</f>
        <v>1</v>
      </c>
    </row>
    <row r="619" spans="2:12" x14ac:dyDescent="0.2">
      <c r="B619" s="122" t="str" vm="198">
        <f t="shared" si="96"/>
        <v>Your Housing Group Limited</v>
      </c>
      <c r="C619" s="122" t="str" vm="336">
        <f t="shared" si="96"/>
        <v>L4203</v>
      </c>
      <c r="D619" s="81">
        <f t="shared" si="96"/>
        <v>198</v>
      </c>
      <c r="E619" s="29" cm="1" vm="4590">
        <f t="array" ref="E619" xml:space="preserve"> INDEX( VfM_Metrics_2023_Consol_Source[], $D619, E$420 )</f>
        <v>25889</v>
      </c>
      <c r="F619" s="24">
        <f xml:space="preserve"> -- OR( SizeOnOff = "All", AND( tblFilterSize[[#This Row],[Total social stock owned]] &gt;= $I$420, tblFilterSize[[#This Row],[Total social stock owned]] &lt;= $K$420 ) )</f>
        <v>1</v>
      </c>
    </row>
    <row r="621" spans="2:12" x14ac:dyDescent="0.2">
      <c r="I621" s="15"/>
      <c r="J621" s="15"/>
      <c r="K621" s="15"/>
      <c r="L621" s="15"/>
    </row>
    <row r="622" spans="2:12" ht="25.5" x14ac:dyDescent="0.35">
      <c r="B622" s="16" t="s">
        <v>674</v>
      </c>
      <c r="E622" s="82">
        <f xml:space="preserve"> MATCH( tblFilterRP_Type[[#Headers],[Provider Type]], VfM_Metrics_2023_Consol_Source[#Headers], 0 )</f>
        <v>96</v>
      </c>
      <c r="I622" s="82">
        <f xml:space="preserve"> MATCH( tblFilterRP_Type[[#Headers],[Date of largest transfer]], VfM_Metrics_2023_Consol_Source[#Headers], 0 )</f>
        <v>97</v>
      </c>
      <c r="J622" s="82">
        <f xml:space="preserve"> MATCH( tblFilterRP_Type[[#Headers],[LSVT age]], VfM_Metrics_2023_Consol_Source[#Headers], 0 )</f>
        <v>98</v>
      </c>
      <c r="K622" s="17"/>
      <c r="L622" s="17"/>
    </row>
    <row r="623" spans="2:12" ht="38.25" x14ac:dyDescent="0.2">
      <c r="B623" s="155" t="s">
        <v>39</v>
      </c>
      <c r="C623" s="156" t="s">
        <v>38</v>
      </c>
      <c r="D623" s="156" t="s">
        <v>656</v>
      </c>
      <c r="E623" s="25" t="s">
        <v>126</v>
      </c>
      <c r="F623" s="157" t="s">
        <v>699</v>
      </c>
      <c r="G623" s="157" t="s">
        <v>700</v>
      </c>
      <c r="H623" s="26" t="s">
        <v>701</v>
      </c>
      <c r="I623" s="25" t="s">
        <v>127</v>
      </c>
      <c r="J623" s="25" t="s">
        <v>128</v>
      </c>
    </row>
    <row r="624" spans="2:12" x14ac:dyDescent="0.2">
      <c r="B624" s="122" t="str" vm="1">
        <f t="shared" ref="B624:D624" si="97" xml:space="preserve"> B422</f>
        <v>A2Dominion Housing Group Limited</v>
      </c>
      <c r="C624" s="122" t="str" vm="335">
        <f t="shared" si="97"/>
        <v>L4240</v>
      </c>
      <c r="D624" s="81">
        <f t="shared" si="97"/>
        <v>1</v>
      </c>
      <c r="E624" s="29" t="str" cm="1">
        <f t="array" ref="E624" xml:space="preserve"> INDEX( VfM_Metrics_2023_Consol_Source[], $D624, E$622 )</f>
        <v>Traditional</v>
      </c>
      <c r="F624" s="23">
        <f xml:space="preserve"> -- AND( tblFilterRP_Type[[#This Row],[Provider Type]] = "Traditional", RP_TypeTrad = "Yes" )</f>
        <v>1</v>
      </c>
      <c r="G624" s="23">
        <f xml:space="preserve"> -- AND( tblFilterRP_Type[[#This Row],[Provider Type]] = "LSVT", RP_TypeLSVT = "Yes" )</f>
        <v>0</v>
      </c>
      <c r="H624" s="24">
        <f xml:space="preserve"> SUM( tblFilterRP_Type[[#This Row],[Incl. for traditional]], tblFilterRP_Type[[#This Row],[Incl. for LSVT]] )</f>
        <v>1</v>
      </c>
      <c r="I624" s="132" t="str" cm="1">
        <f t="array" ref="I624" xml:space="preserve"> INDEX( VfM_Metrics_2023_Consol_Source[], $D624, I$622 )</f>
        <v/>
      </c>
      <c r="J624" s="29" cm="1">
        <f t="array" ref="J624" xml:space="preserve"> INDEX( VfM_Metrics_2023_Consol_Source[], $D624, J$622 )</f>
        <v>0</v>
      </c>
    </row>
    <row r="625" spans="2:10" x14ac:dyDescent="0.2">
      <c r="B625" s="122" t="str" vm="2">
        <f t="shared" ref="B625:D625" si="98" xml:space="preserve"> B423</f>
        <v>Abri Group Limited</v>
      </c>
      <c r="C625" s="122" t="str" vm="254">
        <f t="shared" si="98"/>
        <v>L4172</v>
      </c>
      <c r="D625" s="81">
        <f t="shared" si="98"/>
        <v>2</v>
      </c>
      <c r="E625" s="29" t="str" cm="1">
        <f t="array" ref="E625" xml:space="preserve"> INDEX( VfM_Metrics_2023_Consol_Source[], $D625, E$622 )</f>
        <v>Traditional</v>
      </c>
      <c r="F625" s="23">
        <f xml:space="preserve"> -- AND( tblFilterRP_Type[[#This Row],[Provider Type]] = "Traditional", RP_TypeTrad = "Yes" )</f>
        <v>1</v>
      </c>
      <c r="G625" s="23">
        <f xml:space="preserve"> -- AND( tblFilterRP_Type[[#This Row],[Provider Type]] = "LSVT", RP_TypeLSVT = "Yes" )</f>
        <v>0</v>
      </c>
      <c r="H625" s="24">
        <f xml:space="preserve"> SUM( tblFilterRP_Type[[#This Row],[Incl. for traditional]], tblFilterRP_Type[[#This Row],[Incl. for LSVT]] )</f>
        <v>1</v>
      </c>
      <c r="I625" s="132" t="str" cm="1">
        <f t="array" ref="I625" xml:space="preserve"> INDEX( VfM_Metrics_2023_Consol_Source[], $D625, I$622 )</f>
        <v/>
      </c>
      <c r="J625" s="29" cm="1">
        <f t="array" ref="J625" xml:space="preserve"> INDEX( VfM_Metrics_2023_Consol_Source[], $D625, J$622 )</f>
        <v>0</v>
      </c>
    </row>
    <row r="626" spans="2:10" x14ac:dyDescent="0.2">
      <c r="B626" s="122" t="str" vm="3">
        <f t="shared" ref="B626:D626" si="99" xml:space="preserve"> B424</f>
        <v>Accent Group Limited</v>
      </c>
      <c r="C626" s="122" t="str" vm="298">
        <f t="shared" si="99"/>
        <v>L4511</v>
      </c>
      <c r="D626" s="81">
        <f t="shared" si="99"/>
        <v>3</v>
      </c>
      <c r="E626" s="29" t="str" cm="1">
        <f t="array" ref="E626" xml:space="preserve"> INDEX( VfM_Metrics_2023_Consol_Source[], $D626, E$622 )</f>
        <v>Traditional</v>
      </c>
      <c r="F626" s="23">
        <f xml:space="preserve"> -- AND( tblFilterRP_Type[[#This Row],[Provider Type]] = "Traditional", RP_TypeTrad = "Yes" )</f>
        <v>1</v>
      </c>
      <c r="G626" s="23">
        <f xml:space="preserve"> -- AND( tblFilterRP_Type[[#This Row],[Provider Type]] = "LSVT", RP_TypeLSVT = "Yes" )</f>
        <v>0</v>
      </c>
      <c r="H626" s="24">
        <f xml:space="preserve"> SUM( tblFilterRP_Type[[#This Row],[Incl. for traditional]], tblFilterRP_Type[[#This Row],[Incl. for LSVT]] )</f>
        <v>1</v>
      </c>
      <c r="I626" s="132" t="str" cm="1">
        <f t="array" ref="I626" xml:space="preserve"> INDEX( VfM_Metrics_2023_Consol_Source[], $D626, I$622 )</f>
        <v/>
      </c>
      <c r="J626" s="29" cm="1">
        <f t="array" ref="J626" xml:space="preserve"> INDEX( VfM_Metrics_2023_Consol_Source[], $D626, J$622 )</f>
        <v>0</v>
      </c>
    </row>
    <row r="627" spans="2:10" x14ac:dyDescent="0.2">
      <c r="B627" s="122" t="str" vm="4">
        <f t="shared" ref="B627:D627" si="100" xml:space="preserve"> B425</f>
        <v>Acis Group Limited</v>
      </c>
      <c r="C627" s="122" t="str" vm="392">
        <f t="shared" si="100"/>
        <v>L4229</v>
      </c>
      <c r="D627" s="81">
        <f t="shared" si="100"/>
        <v>4</v>
      </c>
      <c r="E627" s="29" t="str" cm="1">
        <f t="array" ref="E627" xml:space="preserve"> INDEX( VfM_Metrics_2023_Consol_Source[], $D627, E$622 )</f>
        <v>Traditional</v>
      </c>
      <c r="F627" s="23">
        <f xml:space="preserve"> -- AND( tblFilterRP_Type[[#This Row],[Provider Type]] = "Traditional", RP_TypeTrad = "Yes" )</f>
        <v>1</v>
      </c>
      <c r="G627" s="23">
        <f xml:space="preserve"> -- AND( tblFilterRP_Type[[#This Row],[Provider Type]] = "LSVT", RP_TypeLSVT = "Yes" )</f>
        <v>0</v>
      </c>
      <c r="H627" s="24">
        <f xml:space="preserve"> SUM( tblFilterRP_Type[[#This Row],[Incl. for traditional]], tblFilterRP_Type[[#This Row],[Incl. for LSVT]] )</f>
        <v>1</v>
      </c>
      <c r="I627" s="132" cm="1">
        <f t="array" ref="I627" xml:space="preserve"> INDEX( VfM_Metrics_2023_Consol_Source[], $D627, I$622 )</f>
        <v>0</v>
      </c>
      <c r="J627" s="29" t="str" cm="1">
        <f t="array" ref="J627" xml:space="preserve"> INDEX( VfM_Metrics_2023_Consol_Source[], $D627, J$622 )</f>
        <v>&gt;= 12 years</v>
      </c>
    </row>
    <row r="628" spans="2:10" x14ac:dyDescent="0.2">
      <c r="B628" s="122" t="str" vm="5">
        <f t="shared" ref="B628:D628" si="101" xml:space="preserve"> B426</f>
        <v>Advance Housing and Support Limited</v>
      </c>
      <c r="C628" s="122" t="str" vm="204">
        <f t="shared" si="101"/>
        <v>LH0280</v>
      </c>
      <c r="D628" s="81">
        <f t="shared" si="101"/>
        <v>5</v>
      </c>
      <c r="E628" s="29" t="str" cm="1">
        <f t="array" ref="E628" xml:space="preserve"> INDEX( VfM_Metrics_2023_Consol_Source[], $D628, E$622 )</f>
        <v>Traditional</v>
      </c>
      <c r="F628" s="23">
        <f xml:space="preserve"> -- AND( tblFilterRP_Type[[#This Row],[Provider Type]] = "Traditional", RP_TypeTrad = "Yes" )</f>
        <v>1</v>
      </c>
      <c r="G628" s="23">
        <f xml:space="preserve"> -- AND( tblFilterRP_Type[[#This Row],[Provider Type]] = "LSVT", RP_TypeLSVT = "Yes" )</f>
        <v>0</v>
      </c>
      <c r="H628" s="24">
        <f xml:space="preserve"> SUM( tblFilterRP_Type[[#This Row],[Incl. for traditional]], tblFilterRP_Type[[#This Row],[Incl. for LSVT]] )</f>
        <v>1</v>
      </c>
      <c r="I628" s="132" t="str" cm="1">
        <f t="array" ref="I628" xml:space="preserve"> INDEX( VfM_Metrics_2023_Consol_Source[], $D628, I$622 )</f>
        <v/>
      </c>
      <c r="J628" s="29" cm="1">
        <f t="array" ref="J628" xml:space="preserve"> INDEX( VfM_Metrics_2023_Consol_Source[], $D628, J$622 )</f>
        <v>0</v>
      </c>
    </row>
    <row r="629" spans="2:10" x14ac:dyDescent="0.2">
      <c r="B629" s="122" t="str" vm="6">
        <f t="shared" ref="B629:D629" si="102" xml:space="preserve"> B427</f>
        <v>Anchor Hanover Group</v>
      </c>
      <c r="C629" s="122" t="str">
        <f t="shared" si="102"/>
        <v>LH4095</v>
      </c>
      <c r="D629" s="81">
        <f t="shared" si="102"/>
        <v>6</v>
      </c>
      <c r="E629" s="29" t="str" cm="1">
        <f t="array" ref="E629" xml:space="preserve"> INDEX( VfM_Metrics_2023_Consol_Source[], $D629, E$622 )</f>
        <v>Traditional</v>
      </c>
      <c r="F629" s="23">
        <f xml:space="preserve"> -- AND( tblFilterRP_Type[[#This Row],[Provider Type]] = "Traditional", RP_TypeTrad = "Yes" )</f>
        <v>1</v>
      </c>
      <c r="G629" s="23">
        <f xml:space="preserve"> -- AND( tblFilterRP_Type[[#This Row],[Provider Type]] = "LSVT", RP_TypeLSVT = "Yes" )</f>
        <v>0</v>
      </c>
      <c r="H629" s="24">
        <f xml:space="preserve"> SUM( tblFilterRP_Type[[#This Row],[Incl. for traditional]], tblFilterRP_Type[[#This Row],[Incl. for LSVT]] )</f>
        <v>1</v>
      </c>
      <c r="I629" s="132" t="str" cm="1">
        <f t="array" ref="I629" xml:space="preserve"> INDEX( VfM_Metrics_2023_Consol_Source[], $D629, I$622 )</f>
        <v/>
      </c>
      <c r="J629" s="29" cm="1">
        <f t="array" ref="J629" xml:space="preserve"> INDEX( VfM_Metrics_2023_Consol_Source[], $D629, J$622 )</f>
        <v>0</v>
      </c>
    </row>
    <row r="630" spans="2:10" x14ac:dyDescent="0.2">
      <c r="B630" s="122" t="str" vm="7">
        <f t="shared" ref="B630:D630" si="103" xml:space="preserve"> B428</f>
        <v>Arawak Walton Housing Association Limited</v>
      </c>
      <c r="C630" s="122" t="str" vm="226">
        <f t="shared" si="103"/>
        <v>L3713</v>
      </c>
      <c r="D630" s="81">
        <f t="shared" si="103"/>
        <v>7</v>
      </c>
      <c r="E630" s="29" t="str" cm="1">
        <f t="array" ref="E630" xml:space="preserve"> INDEX( VfM_Metrics_2023_Consol_Source[], $D630, E$622 )</f>
        <v>Traditional</v>
      </c>
      <c r="F630" s="23">
        <f xml:space="preserve"> -- AND( tblFilterRP_Type[[#This Row],[Provider Type]] = "Traditional", RP_TypeTrad = "Yes" )</f>
        <v>1</v>
      </c>
      <c r="G630" s="23">
        <f xml:space="preserve"> -- AND( tblFilterRP_Type[[#This Row],[Provider Type]] = "LSVT", RP_TypeLSVT = "Yes" )</f>
        <v>0</v>
      </c>
      <c r="H630" s="24">
        <f xml:space="preserve"> SUM( tblFilterRP_Type[[#This Row],[Incl. for traditional]], tblFilterRP_Type[[#This Row],[Incl. for LSVT]] )</f>
        <v>1</v>
      </c>
      <c r="I630" s="132" t="str" cm="1">
        <f t="array" ref="I630" xml:space="preserve"> INDEX( VfM_Metrics_2023_Consol_Source[], $D630, I$622 )</f>
        <v/>
      </c>
      <c r="J630" s="29" cm="1">
        <f t="array" ref="J630" xml:space="preserve"> INDEX( VfM_Metrics_2023_Consol_Source[], $D630, J$622 )</f>
        <v>0</v>
      </c>
    </row>
    <row r="631" spans="2:10" x14ac:dyDescent="0.2">
      <c r="B631" s="122" t="str" vm="8">
        <f t="shared" ref="B631:D631" si="104" xml:space="preserve"> B429</f>
        <v>Arches Housing Limited</v>
      </c>
      <c r="C631" s="122" t="str" vm="233">
        <f t="shared" si="104"/>
        <v>LH0884</v>
      </c>
      <c r="D631" s="81">
        <f t="shared" si="104"/>
        <v>8</v>
      </c>
      <c r="E631" s="29" t="str" cm="1">
        <f t="array" ref="E631" xml:space="preserve"> INDEX( VfM_Metrics_2023_Consol_Source[], $D631, E$622 )</f>
        <v>Traditional</v>
      </c>
      <c r="F631" s="23">
        <f xml:space="preserve"> -- AND( tblFilterRP_Type[[#This Row],[Provider Type]] = "Traditional", RP_TypeTrad = "Yes" )</f>
        <v>1</v>
      </c>
      <c r="G631" s="23">
        <f xml:space="preserve"> -- AND( tblFilterRP_Type[[#This Row],[Provider Type]] = "LSVT", RP_TypeLSVT = "Yes" )</f>
        <v>0</v>
      </c>
      <c r="H631" s="24">
        <f xml:space="preserve"> SUM( tblFilterRP_Type[[#This Row],[Incl. for traditional]], tblFilterRP_Type[[#This Row],[Incl. for LSVT]] )</f>
        <v>1</v>
      </c>
      <c r="I631" s="132" t="str" cm="1">
        <f t="array" ref="I631" xml:space="preserve"> INDEX( VfM_Metrics_2023_Consol_Source[], $D631, I$622 )</f>
        <v/>
      </c>
      <c r="J631" s="29" cm="1">
        <f t="array" ref="J631" xml:space="preserve"> INDEX( VfM_Metrics_2023_Consol_Source[], $D631, J$622 )</f>
        <v>0</v>
      </c>
    </row>
    <row r="632" spans="2:10" x14ac:dyDescent="0.2">
      <c r="B632" s="122" t="str" vm="9">
        <f t="shared" ref="B632:D632" si="105" xml:space="preserve"> B430</f>
        <v>Aspire Housing Limited</v>
      </c>
      <c r="C632" s="122" t="str" vm="385">
        <f t="shared" si="105"/>
        <v>L4238</v>
      </c>
      <c r="D632" s="81">
        <f t="shared" si="105"/>
        <v>9</v>
      </c>
      <c r="E632" s="29" t="str" cm="1">
        <f t="array" ref="E632" xml:space="preserve"> INDEX( VfM_Metrics_2023_Consol_Source[], $D632, E$622 )</f>
        <v>Traditional</v>
      </c>
      <c r="F632" s="23">
        <f xml:space="preserve"> -- AND( tblFilterRP_Type[[#This Row],[Provider Type]] = "Traditional", RP_TypeTrad = "Yes" )</f>
        <v>1</v>
      </c>
      <c r="G632" s="23">
        <f xml:space="preserve"> -- AND( tblFilterRP_Type[[#This Row],[Provider Type]] = "LSVT", RP_TypeLSVT = "Yes" )</f>
        <v>0</v>
      </c>
      <c r="H632" s="24">
        <f xml:space="preserve"> SUM( tblFilterRP_Type[[#This Row],[Incl. for traditional]], tblFilterRP_Type[[#This Row],[Incl. for LSVT]] )</f>
        <v>1</v>
      </c>
      <c r="I632" s="132" cm="1">
        <f t="array" ref="I632" xml:space="preserve"> INDEX( VfM_Metrics_2023_Consol_Source[], $D632, I$622 )</f>
        <v>0</v>
      </c>
      <c r="J632" s="29" t="str" cm="1">
        <f t="array" ref="J632" xml:space="preserve"> INDEX( VfM_Metrics_2023_Consol_Source[], $D632, J$622 )</f>
        <v>&gt;= 12 years</v>
      </c>
    </row>
    <row r="633" spans="2:10" x14ac:dyDescent="0.2">
      <c r="B633" s="122" t="str" vm="10">
        <f t="shared" ref="B633:D633" si="106" xml:space="preserve"> B431</f>
        <v>Aster Group Limited</v>
      </c>
      <c r="C633" s="122" t="str" vm="250">
        <f t="shared" si="106"/>
        <v>L4393</v>
      </c>
      <c r="D633" s="81">
        <f t="shared" si="106"/>
        <v>10</v>
      </c>
      <c r="E633" s="29" t="str" cm="1">
        <f t="array" ref="E633" xml:space="preserve"> INDEX( VfM_Metrics_2023_Consol_Source[], $D633, E$622 )</f>
        <v>Traditional</v>
      </c>
      <c r="F633" s="23">
        <f xml:space="preserve"> -- AND( tblFilterRP_Type[[#This Row],[Provider Type]] = "Traditional", RP_TypeTrad = "Yes" )</f>
        <v>1</v>
      </c>
      <c r="G633" s="23">
        <f xml:space="preserve"> -- AND( tblFilterRP_Type[[#This Row],[Provider Type]] = "LSVT", RP_TypeLSVT = "Yes" )</f>
        <v>0</v>
      </c>
      <c r="H633" s="24">
        <f xml:space="preserve"> SUM( tblFilterRP_Type[[#This Row],[Incl. for traditional]], tblFilterRP_Type[[#This Row],[Incl. for LSVT]] )</f>
        <v>1</v>
      </c>
      <c r="I633" s="132" cm="1">
        <f t="array" ref="I633" xml:space="preserve"> INDEX( VfM_Metrics_2023_Consol_Source[], $D633, I$622 )</f>
        <v>0</v>
      </c>
      <c r="J633" s="29" t="str" cm="1">
        <f t="array" ref="J633" xml:space="preserve"> INDEX( VfM_Metrics_2023_Consol_Source[], $D633, J$622 )</f>
        <v>&gt;= 12 years</v>
      </c>
    </row>
    <row r="634" spans="2:10" x14ac:dyDescent="0.2">
      <c r="B634" s="122" t="str" vm="11">
        <f t="shared" ref="B634:D634" si="107" xml:space="preserve"> B432</f>
        <v>B3 Living Limited</v>
      </c>
      <c r="C634" s="122" t="str" vm="326">
        <f t="shared" si="107"/>
        <v>L4455</v>
      </c>
      <c r="D634" s="81">
        <f t="shared" si="107"/>
        <v>11</v>
      </c>
      <c r="E634" s="29" t="str" cm="1">
        <f t="array" ref="E634" xml:space="preserve"> INDEX( VfM_Metrics_2023_Consol_Source[], $D634, E$622 )</f>
        <v>Traditional</v>
      </c>
      <c r="F634" s="23">
        <f xml:space="preserve"> -- AND( tblFilterRP_Type[[#This Row],[Provider Type]] = "Traditional", RP_TypeTrad = "Yes" )</f>
        <v>1</v>
      </c>
      <c r="G634" s="23">
        <f xml:space="preserve"> -- AND( tblFilterRP_Type[[#This Row],[Provider Type]] = "LSVT", RP_TypeLSVT = "Yes" )</f>
        <v>0</v>
      </c>
      <c r="H634" s="24">
        <f xml:space="preserve"> SUM( tblFilterRP_Type[[#This Row],[Incl. for traditional]], tblFilterRP_Type[[#This Row],[Incl. for LSVT]] )</f>
        <v>1</v>
      </c>
      <c r="I634" s="132" cm="1">
        <f t="array" ref="I634" xml:space="preserve"> INDEX( VfM_Metrics_2023_Consol_Source[], $D634, I$622 )</f>
        <v>0</v>
      </c>
      <c r="J634" s="29" t="str" cm="1">
        <f t="array" ref="J634" xml:space="preserve"> INDEX( VfM_Metrics_2023_Consol_Source[], $D634, J$622 )</f>
        <v>&gt;= 12 years</v>
      </c>
    </row>
    <row r="635" spans="2:10" x14ac:dyDescent="0.2">
      <c r="B635" s="122" t="str" vm="12">
        <f t="shared" ref="B635:D635" si="108" xml:space="preserve"> B433</f>
        <v>Believe Housing Limited</v>
      </c>
      <c r="C635" s="122" t="str" vm="284">
        <f t="shared" si="108"/>
        <v>5071</v>
      </c>
      <c r="D635" s="81">
        <f t="shared" si="108"/>
        <v>12</v>
      </c>
      <c r="E635" s="29" t="str" cm="1">
        <f t="array" ref="E635" xml:space="preserve"> INDEX( VfM_Metrics_2023_Consol_Source[], $D635, E$622 )</f>
        <v>LSVT</v>
      </c>
      <c r="F635" s="23">
        <f xml:space="preserve"> -- AND( tblFilterRP_Type[[#This Row],[Provider Type]] = "Traditional", RP_TypeTrad = "Yes" )</f>
        <v>0</v>
      </c>
      <c r="G635" s="23">
        <f xml:space="preserve"> -- AND( tblFilterRP_Type[[#This Row],[Provider Type]] = "LSVT", RP_TypeLSVT = "Yes" )</f>
        <v>1</v>
      </c>
      <c r="H635" s="24">
        <f xml:space="preserve"> SUM( tblFilterRP_Type[[#This Row],[Incl. for traditional]], tblFilterRP_Type[[#This Row],[Incl. for LSVT]] )</f>
        <v>1</v>
      </c>
      <c r="I635" s="132" cm="1">
        <f t="array" ref="I635" xml:space="preserve"> INDEX( VfM_Metrics_2023_Consol_Source[], $D635, I$622 )</f>
        <v>42107</v>
      </c>
      <c r="J635" s="29" t="str" cm="1">
        <f t="array" ref="J635" xml:space="preserve"> INDEX( VfM_Metrics_2023_Consol_Source[], $D635, J$622 )</f>
        <v>&lt; 12 years</v>
      </c>
    </row>
    <row r="636" spans="2:10" x14ac:dyDescent="0.2">
      <c r="B636" s="122" t="str" vm="13">
        <f t="shared" ref="B636:D636" si="109" xml:space="preserve"> B434</f>
        <v>Bernicia Group</v>
      </c>
      <c r="C636" s="122" t="str" vm="291">
        <f t="shared" si="109"/>
        <v>4868</v>
      </c>
      <c r="D636" s="81">
        <f t="shared" si="109"/>
        <v>13</v>
      </c>
      <c r="E636" s="29" t="str" cm="1">
        <f t="array" ref="E636" xml:space="preserve"> INDEX( VfM_Metrics_2023_Consol_Source[], $D636, E$622 )</f>
        <v>Traditional</v>
      </c>
      <c r="F636" s="23">
        <f xml:space="preserve"> -- AND( tblFilterRP_Type[[#This Row],[Provider Type]] = "Traditional", RP_TypeTrad = "Yes" )</f>
        <v>1</v>
      </c>
      <c r="G636" s="23">
        <f xml:space="preserve"> -- AND( tblFilterRP_Type[[#This Row],[Provider Type]] = "LSVT", RP_TypeLSVT = "Yes" )</f>
        <v>0</v>
      </c>
      <c r="H636" s="24">
        <f xml:space="preserve"> SUM( tblFilterRP_Type[[#This Row],[Incl. for traditional]], tblFilterRP_Type[[#This Row],[Incl. for LSVT]] )</f>
        <v>1</v>
      </c>
      <c r="I636" s="132" cm="1">
        <f t="array" ref="I636" xml:space="preserve"> INDEX( VfM_Metrics_2023_Consol_Source[], $D636, I$622 )</f>
        <v>0</v>
      </c>
      <c r="J636" s="29" t="str" cm="1">
        <f t="array" ref="J636" xml:space="preserve"> INDEX( VfM_Metrics_2023_Consol_Source[], $D636, J$622 )</f>
        <v>&gt;= 12 years</v>
      </c>
    </row>
    <row r="637" spans="2:10" x14ac:dyDescent="0.2">
      <c r="B637" s="122" t="str" vm="14">
        <f t="shared" ref="B637:D637" si="110" xml:space="preserve"> B435</f>
        <v>Beyond Housing Limited</v>
      </c>
      <c r="C637" s="122" t="str" vm="285">
        <f t="shared" si="110"/>
        <v>LH4401</v>
      </c>
      <c r="D637" s="81">
        <f t="shared" si="110"/>
        <v>14</v>
      </c>
      <c r="E637" s="29" t="str" cm="1">
        <f t="array" ref="E637" xml:space="preserve"> INDEX( VfM_Metrics_2023_Consol_Source[], $D637, E$622 )</f>
        <v>Traditional</v>
      </c>
      <c r="F637" s="23">
        <f xml:space="preserve"> -- AND( tblFilterRP_Type[[#This Row],[Provider Type]] = "Traditional", RP_TypeTrad = "Yes" )</f>
        <v>1</v>
      </c>
      <c r="G637" s="23">
        <f xml:space="preserve"> -- AND( tblFilterRP_Type[[#This Row],[Provider Type]] = "LSVT", RP_TypeLSVT = "Yes" )</f>
        <v>0</v>
      </c>
      <c r="H637" s="24">
        <f xml:space="preserve"> SUM( tblFilterRP_Type[[#This Row],[Incl. for traditional]], tblFilterRP_Type[[#This Row],[Incl. for LSVT]] )</f>
        <v>1</v>
      </c>
      <c r="I637" s="132" cm="1">
        <f t="array" ref="I637" xml:space="preserve"> INDEX( VfM_Metrics_2023_Consol_Source[], $D637, I$622 )</f>
        <v>0</v>
      </c>
      <c r="J637" s="29" t="str" cm="1">
        <f t="array" ref="J637" xml:space="preserve"> INDEX( VfM_Metrics_2023_Consol_Source[], $D637, J$622 )</f>
        <v>&gt;= 12 years</v>
      </c>
    </row>
    <row r="638" spans="2:10" x14ac:dyDescent="0.2">
      <c r="B638" s="122" t="str" vm="15">
        <f t="shared" ref="B638:D638" si="111" xml:space="preserve"> B436</f>
        <v>Black Country Housing Group Limited</v>
      </c>
      <c r="C638" s="122" t="str" vm="215">
        <f t="shared" si="111"/>
        <v>L1668</v>
      </c>
      <c r="D638" s="81">
        <f t="shared" si="111"/>
        <v>15</v>
      </c>
      <c r="E638" s="29" t="str" cm="1">
        <f t="array" ref="E638" xml:space="preserve"> INDEX( VfM_Metrics_2023_Consol_Source[], $D638, E$622 )</f>
        <v>Traditional</v>
      </c>
      <c r="F638" s="23">
        <f xml:space="preserve"> -- AND( tblFilterRP_Type[[#This Row],[Provider Type]] = "Traditional", RP_TypeTrad = "Yes" )</f>
        <v>1</v>
      </c>
      <c r="G638" s="23">
        <f xml:space="preserve"> -- AND( tblFilterRP_Type[[#This Row],[Provider Type]] = "LSVT", RP_TypeLSVT = "Yes" )</f>
        <v>0</v>
      </c>
      <c r="H638" s="24">
        <f xml:space="preserve"> SUM( tblFilterRP_Type[[#This Row],[Incl. for traditional]], tblFilterRP_Type[[#This Row],[Incl. for LSVT]] )</f>
        <v>1</v>
      </c>
      <c r="I638" s="132" t="str" cm="1">
        <f t="array" ref="I638" xml:space="preserve"> INDEX( VfM_Metrics_2023_Consol_Source[], $D638, I$622 )</f>
        <v/>
      </c>
      <c r="J638" s="29" cm="1">
        <f t="array" ref="J638" xml:space="preserve"> INDEX( VfM_Metrics_2023_Consol_Source[], $D638, J$622 )</f>
        <v>0</v>
      </c>
    </row>
    <row r="639" spans="2:10" x14ac:dyDescent="0.2">
      <c r="B639" s="122" t="str" vm="16">
        <f t="shared" ref="B639:D639" si="112" xml:space="preserve"> B437</f>
        <v>Bolton at Home Limited</v>
      </c>
      <c r="C639" s="122" t="str" vm="278">
        <f t="shared" si="112"/>
        <v>4568</v>
      </c>
      <c r="D639" s="81">
        <f t="shared" si="112"/>
        <v>16</v>
      </c>
      <c r="E639" s="29" t="str" cm="1">
        <f t="array" ref="E639" xml:space="preserve"> INDEX( VfM_Metrics_2023_Consol_Source[], $D639, E$622 )</f>
        <v>Traditional</v>
      </c>
      <c r="F639" s="23">
        <f xml:space="preserve"> -- AND( tblFilterRP_Type[[#This Row],[Provider Type]] = "Traditional", RP_TypeTrad = "Yes" )</f>
        <v>1</v>
      </c>
      <c r="G639" s="23">
        <f xml:space="preserve"> -- AND( tblFilterRP_Type[[#This Row],[Provider Type]] = "LSVT", RP_TypeLSVT = "Yes" )</f>
        <v>0</v>
      </c>
      <c r="H639" s="24">
        <f xml:space="preserve"> SUM( tblFilterRP_Type[[#This Row],[Incl. for traditional]], tblFilterRP_Type[[#This Row],[Incl. for LSVT]] )</f>
        <v>1</v>
      </c>
      <c r="I639" s="132" cm="1">
        <f t="array" ref="I639" xml:space="preserve"> INDEX( VfM_Metrics_2023_Consol_Source[], $D639, I$622 )</f>
        <v>0</v>
      </c>
      <c r="J639" s="29" t="str" cm="1">
        <f t="array" ref="J639" xml:space="preserve"> INDEX( VfM_Metrics_2023_Consol_Source[], $D639, J$622 )</f>
        <v>&gt;= 12 years</v>
      </c>
    </row>
    <row r="640" spans="2:10" x14ac:dyDescent="0.2">
      <c r="B640" s="122" t="str" vm="17">
        <f t="shared" ref="B640:D640" si="113" xml:space="preserve"> B438</f>
        <v>Bournemouth Churches Housing Association Limited</v>
      </c>
      <c r="C640" s="122" t="str" vm="206">
        <f t="shared" si="113"/>
        <v>LH0155</v>
      </c>
      <c r="D640" s="81">
        <f t="shared" si="113"/>
        <v>17</v>
      </c>
      <c r="E640" s="29" t="str" cm="1">
        <f t="array" ref="E640" xml:space="preserve"> INDEX( VfM_Metrics_2023_Consol_Source[], $D640, E$622 )</f>
        <v>Traditional</v>
      </c>
      <c r="F640" s="23">
        <f xml:space="preserve"> -- AND( tblFilterRP_Type[[#This Row],[Provider Type]] = "Traditional", RP_TypeTrad = "Yes" )</f>
        <v>1</v>
      </c>
      <c r="G640" s="23">
        <f xml:space="preserve"> -- AND( tblFilterRP_Type[[#This Row],[Provider Type]] = "LSVT", RP_TypeLSVT = "Yes" )</f>
        <v>0</v>
      </c>
      <c r="H640" s="24">
        <f xml:space="preserve"> SUM( tblFilterRP_Type[[#This Row],[Incl. for traditional]], tblFilterRP_Type[[#This Row],[Incl. for LSVT]] )</f>
        <v>1</v>
      </c>
      <c r="I640" s="132" t="str" cm="1">
        <f t="array" ref="I640" xml:space="preserve"> INDEX( VfM_Metrics_2023_Consol_Source[], $D640, I$622 )</f>
        <v/>
      </c>
      <c r="J640" s="29" cm="1">
        <f t="array" ref="J640" xml:space="preserve"> INDEX( VfM_Metrics_2023_Consol_Source[], $D640, J$622 )</f>
        <v>0</v>
      </c>
    </row>
    <row r="641" spans="2:10" x14ac:dyDescent="0.2">
      <c r="B641" s="122" t="str" vm="18">
        <f t="shared" ref="B641:D641" si="114" xml:space="preserve"> B439</f>
        <v>Bournville Village Trust</v>
      </c>
      <c r="C641" s="122" t="str" vm="325">
        <f t="shared" si="114"/>
        <v>L0702</v>
      </c>
      <c r="D641" s="81">
        <f t="shared" si="114"/>
        <v>18</v>
      </c>
      <c r="E641" s="29" t="str" cm="1">
        <f t="array" ref="E641" xml:space="preserve"> INDEX( VfM_Metrics_2023_Consol_Source[], $D641, E$622 )</f>
        <v>Traditional</v>
      </c>
      <c r="F641" s="23">
        <f xml:space="preserve"> -- AND( tblFilterRP_Type[[#This Row],[Provider Type]] = "Traditional", RP_TypeTrad = "Yes" )</f>
        <v>1</v>
      </c>
      <c r="G641" s="23">
        <f xml:space="preserve"> -- AND( tblFilterRP_Type[[#This Row],[Provider Type]] = "LSVT", RP_TypeLSVT = "Yes" )</f>
        <v>0</v>
      </c>
      <c r="H641" s="24">
        <f xml:space="preserve"> SUM( tblFilterRP_Type[[#This Row],[Incl. for traditional]], tblFilterRP_Type[[#This Row],[Incl. for LSVT]] )</f>
        <v>1</v>
      </c>
      <c r="I641" s="132" t="str" cm="1">
        <f t="array" ref="I641" xml:space="preserve"> INDEX( VfM_Metrics_2023_Consol_Source[], $D641, I$622 )</f>
        <v/>
      </c>
      <c r="J641" s="29" cm="1">
        <f t="array" ref="J641" xml:space="preserve"> INDEX( VfM_Metrics_2023_Consol_Source[], $D641, J$622 )</f>
        <v>0</v>
      </c>
    </row>
    <row r="642" spans="2:10" x14ac:dyDescent="0.2">
      <c r="B642" s="122" t="str" vm="19">
        <f t="shared" ref="B642:D642" si="115" xml:space="preserve"> B440</f>
        <v>bpha Limited</v>
      </c>
      <c r="C642" s="122" t="str" vm="294">
        <f t="shared" si="115"/>
        <v>LH3887</v>
      </c>
      <c r="D642" s="81">
        <f t="shared" si="115"/>
        <v>19</v>
      </c>
      <c r="E642" s="29" t="str" cm="1">
        <f t="array" ref="E642" xml:space="preserve"> INDEX( VfM_Metrics_2023_Consol_Source[], $D642, E$622 )</f>
        <v>Traditional</v>
      </c>
      <c r="F642" s="23">
        <f xml:space="preserve"> -- AND( tblFilterRP_Type[[#This Row],[Provider Type]] = "Traditional", RP_TypeTrad = "Yes" )</f>
        <v>1</v>
      </c>
      <c r="G642" s="23">
        <f xml:space="preserve"> -- AND( tblFilterRP_Type[[#This Row],[Provider Type]] = "LSVT", RP_TypeLSVT = "Yes" )</f>
        <v>0</v>
      </c>
      <c r="H642" s="24">
        <f xml:space="preserve"> SUM( tblFilterRP_Type[[#This Row],[Incl. for traditional]], tblFilterRP_Type[[#This Row],[Incl. for LSVT]] )</f>
        <v>1</v>
      </c>
      <c r="I642" s="132" t="str" cm="1">
        <f t="array" ref="I642" xml:space="preserve"> INDEX( VfM_Metrics_2023_Consol_Source[], $D642, I$622 )</f>
        <v/>
      </c>
      <c r="J642" s="29" cm="1">
        <f t="array" ref="J642" xml:space="preserve"> INDEX( VfM_Metrics_2023_Consol_Source[], $D642, J$622 )</f>
        <v>0</v>
      </c>
    </row>
    <row r="643" spans="2:10" x14ac:dyDescent="0.2">
      <c r="B643" s="122" t="str" vm="20">
        <f t="shared" ref="B643:D643" si="116" xml:space="preserve"> B441</f>
        <v>Brighter Places</v>
      </c>
      <c r="C643" s="122" t="str" vm="324">
        <f t="shared" si="116"/>
        <v>L3758</v>
      </c>
      <c r="D643" s="81">
        <f t="shared" si="116"/>
        <v>20</v>
      </c>
      <c r="E643" s="29" t="str" cm="1">
        <f t="array" ref="E643" xml:space="preserve"> INDEX( VfM_Metrics_2023_Consol_Source[], $D643, E$622 )</f>
        <v>Traditional</v>
      </c>
      <c r="F643" s="23">
        <f xml:space="preserve"> -- AND( tblFilterRP_Type[[#This Row],[Provider Type]] = "Traditional", RP_TypeTrad = "Yes" )</f>
        <v>1</v>
      </c>
      <c r="G643" s="23">
        <f xml:space="preserve"> -- AND( tblFilterRP_Type[[#This Row],[Provider Type]] = "LSVT", RP_TypeLSVT = "Yes" )</f>
        <v>0</v>
      </c>
      <c r="H643" s="24">
        <f xml:space="preserve"> SUM( tblFilterRP_Type[[#This Row],[Incl. for traditional]], tblFilterRP_Type[[#This Row],[Incl. for LSVT]] )</f>
        <v>1</v>
      </c>
      <c r="I643" s="132" t="str" cm="1">
        <f t="array" ref="I643" xml:space="preserve"> INDEX( VfM_Metrics_2023_Consol_Source[], $D643, I$622 )</f>
        <v/>
      </c>
      <c r="J643" s="29" cm="1">
        <f t="array" ref="J643" xml:space="preserve"> INDEX( VfM_Metrics_2023_Consol_Source[], $D643, J$622 )</f>
        <v>0</v>
      </c>
    </row>
    <row r="644" spans="2:10" x14ac:dyDescent="0.2">
      <c r="B644" s="122" t="str" vm="21">
        <f t="shared" ref="B644:D644" si="117" xml:space="preserve"> B442</f>
        <v>Broadacres Housing Association Limited</v>
      </c>
      <c r="C644" s="122" t="str" vm="366">
        <f t="shared" si="117"/>
        <v>LH4014</v>
      </c>
      <c r="D644" s="81">
        <f t="shared" si="117"/>
        <v>21</v>
      </c>
      <c r="E644" s="29" t="str" cm="1">
        <f t="array" ref="E644" xml:space="preserve"> INDEX( VfM_Metrics_2023_Consol_Source[], $D644, E$622 )</f>
        <v>Traditional</v>
      </c>
      <c r="F644" s="23">
        <f xml:space="preserve"> -- AND( tblFilterRP_Type[[#This Row],[Provider Type]] = "Traditional", RP_TypeTrad = "Yes" )</f>
        <v>1</v>
      </c>
      <c r="G644" s="23">
        <f xml:space="preserve"> -- AND( tblFilterRP_Type[[#This Row],[Provider Type]] = "LSVT", RP_TypeLSVT = "Yes" )</f>
        <v>0</v>
      </c>
      <c r="H644" s="24">
        <f xml:space="preserve"> SUM( tblFilterRP_Type[[#This Row],[Incl. for traditional]], tblFilterRP_Type[[#This Row],[Incl. for LSVT]] )</f>
        <v>1</v>
      </c>
      <c r="I644" s="132" cm="1">
        <f t="array" ref="I644" xml:space="preserve"> INDEX( VfM_Metrics_2023_Consol_Source[], $D644, I$622 )</f>
        <v>0</v>
      </c>
      <c r="J644" s="29" t="str" cm="1">
        <f t="array" ref="J644" xml:space="preserve"> INDEX( VfM_Metrics_2023_Consol_Source[], $D644, J$622 )</f>
        <v>&gt;= 12 years</v>
      </c>
    </row>
    <row r="645" spans="2:10" x14ac:dyDescent="0.2">
      <c r="B645" s="122" t="str" vm="22">
        <f t="shared" ref="B645:D645" si="118" xml:space="preserve"> B443</f>
        <v>Broadland Housing Association Limited</v>
      </c>
      <c r="C645" s="122" t="str" vm="391">
        <f t="shared" si="118"/>
        <v>L0026</v>
      </c>
      <c r="D645" s="81">
        <f t="shared" si="118"/>
        <v>22</v>
      </c>
      <c r="E645" s="29" t="str" cm="1">
        <f t="array" ref="E645" xml:space="preserve"> INDEX( VfM_Metrics_2023_Consol_Source[], $D645, E$622 )</f>
        <v>Traditional</v>
      </c>
      <c r="F645" s="23">
        <f xml:space="preserve"> -- AND( tblFilterRP_Type[[#This Row],[Provider Type]] = "Traditional", RP_TypeTrad = "Yes" )</f>
        <v>1</v>
      </c>
      <c r="G645" s="23">
        <f xml:space="preserve"> -- AND( tblFilterRP_Type[[#This Row],[Provider Type]] = "LSVT", RP_TypeLSVT = "Yes" )</f>
        <v>0</v>
      </c>
      <c r="H645" s="24">
        <f xml:space="preserve"> SUM( tblFilterRP_Type[[#This Row],[Incl. for traditional]], tblFilterRP_Type[[#This Row],[Incl. for LSVT]] )</f>
        <v>1</v>
      </c>
      <c r="I645" s="132" t="str" cm="1">
        <f t="array" ref="I645" xml:space="preserve"> INDEX( VfM_Metrics_2023_Consol_Source[], $D645, I$622 )</f>
        <v/>
      </c>
      <c r="J645" s="29" cm="1">
        <f t="array" ref="J645" xml:space="preserve"> INDEX( VfM_Metrics_2023_Consol_Source[], $D645, J$622 )</f>
        <v>0</v>
      </c>
    </row>
    <row r="646" spans="2:10" x14ac:dyDescent="0.2">
      <c r="B646" s="122" t="str" vm="23">
        <f t="shared" ref="B646:D646" si="119" xml:space="preserve"> B444</f>
        <v>Bromford Housing Group Limited</v>
      </c>
      <c r="C646" s="122" t="str" vm="263">
        <f t="shared" si="119"/>
        <v>L4449</v>
      </c>
      <c r="D646" s="81">
        <f t="shared" si="119"/>
        <v>23</v>
      </c>
      <c r="E646" s="29" t="str" cm="1">
        <f t="array" ref="E646" xml:space="preserve"> INDEX( VfM_Metrics_2023_Consol_Source[], $D646, E$622 )</f>
        <v>Traditional</v>
      </c>
      <c r="F646" s="23">
        <f xml:space="preserve"> -- AND( tblFilterRP_Type[[#This Row],[Provider Type]] = "Traditional", RP_TypeTrad = "Yes" )</f>
        <v>1</v>
      </c>
      <c r="G646" s="23">
        <f xml:space="preserve"> -- AND( tblFilterRP_Type[[#This Row],[Provider Type]] = "LSVT", RP_TypeLSVT = "Yes" )</f>
        <v>0</v>
      </c>
      <c r="H646" s="24">
        <f xml:space="preserve"> SUM( tblFilterRP_Type[[#This Row],[Incl. for traditional]], tblFilterRP_Type[[#This Row],[Incl. for LSVT]] )</f>
        <v>1</v>
      </c>
      <c r="I646" s="132" t="str" cm="1">
        <f t="array" ref="I646" xml:space="preserve"> INDEX( VfM_Metrics_2023_Consol_Source[], $D646, I$622 )</f>
        <v/>
      </c>
      <c r="J646" s="29" cm="1">
        <f t="array" ref="J646" xml:space="preserve"> INDEX( VfM_Metrics_2023_Consol_Source[], $D646, J$622 )</f>
        <v>0</v>
      </c>
    </row>
    <row r="647" spans="2:10" x14ac:dyDescent="0.2">
      <c r="B647" s="122" t="str" vm="24">
        <f t="shared" ref="B647:D647" si="120" xml:space="preserve"> B445</f>
        <v>Bromsgrove District Housing Trust Limited</v>
      </c>
      <c r="C647" s="122" t="str" vm="323">
        <f t="shared" si="120"/>
        <v>LH4415</v>
      </c>
      <c r="D647" s="81">
        <f t="shared" si="120"/>
        <v>24</v>
      </c>
      <c r="E647" s="29" t="str" cm="1">
        <f t="array" ref="E647" xml:space="preserve"> INDEX( VfM_Metrics_2023_Consol_Source[], $D647, E$622 )</f>
        <v>Traditional</v>
      </c>
      <c r="F647" s="23">
        <f xml:space="preserve"> -- AND( tblFilterRP_Type[[#This Row],[Provider Type]] = "Traditional", RP_TypeTrad = "Yes" )</f>
        <v>1</v>
      </c>
      <c r="G647" s="23">
        <f xml:space="preserve"> -- AND( tblFilterRP_Type[[#This Row],[Provider Type]] = "LSVT", RP_TypeLSVT = "Yes" )</f>
        <v>0</v>
      </c>
      <c r="H647" s="24">
        <f xml:space="preserve"> SUM( tblFilterRP_Type[[#This Row],[Incl. for traditional]], tblFilterRP_Type[[#This Row],[Incl. for LSVT]] )</f>
        <v>1</v>
      </c>
      <c r="I647" s="132" cm="1">
        <f t="array" ref="I647" xml:space="preserve"> INDEX( VfM_Metrics_2023_Consol_Source[], $D647, I$622 )</f>
        <v>0</v>
      </c>
      <c r="J647" s="29" t="str" cm="1">
        <f t="array" ref="J647" xml:space="preserve"> INDEX( VfM_Metrics_2023_Consol_Source[], $D647, J$622 )</f>
        <v>&gt;= 12 years</v>
      </c>
    </row>
    <row r="648" spans="2:10" x14ac:dyDescent="0.2">
      <c r="B648" s="122" t="str" vm="25">
        <f t="shared" ref="B648:D648" si="121" xml:space="preserve"> B446</f>
        <v>Brunelcare</v>
      </c>
      <c r="C648" s="122" t="str" vm="211">
        <f t="shared" si="121"/>
        <v>LH0269</v>
      </c>
      <c r="D648" s="81">
        <f t="shared" si="121"/>
        <v>25</v>
      </c>
      <c r="E648" s="29" t="str" cm="1">
        <f t="array" ref="E648" xml:space="preserve"> INDEX( VfM_Metrics_2023_Consol_Source[], $D648, E$622 )</f>
        <v>Traditional</v>
      </c>
      <c r="F648" s="23">
        <f xml:space="preserve"> -- AND( tblFilterRP_Type[[#This Row],[Provider Type]] = "Traditional", RP_TypeTrad = "Yes" )</f>
        <v>1</v>
      </c>
      <c r="G648" s="23">
        <f xml:space="preserve"> -- AND( tblFilterRP_Type[[#This Row],[Provider Type]] = "LSVT", RP_TypeLSVT = "Yes" )</f>
        <v>0</v>
      </c>
      <c r="H648" s="24">
        <f xml:space="preserve"> SUM( tblFilterRP_Type[[#This Row],[Incl. for traditional]], tblFilterRP_Type[[#This Row],[Incl. for LSVT]] )</f>
        <v>1</v>
      </c>
      <c r="I648" s="132" t="str" cm="1">
        <f t="array" ref="I648" xml:space="preserve"> INDEX( VfM_Metrics_2023_Consol_Source[], $D648, I$622 )</f>
        <v/>
      </c>
      <c r="J648" s="29" cm="1">
        <f t="array" ref="J648" xml:space="preserve"> INDEX( VfM_Metrics_2023_Consol_Source[], $D648, J$622 )</f>
        <v>0</v>
      </c>
    </row>
    <row r="649" spans="2:10" x14ac:dyDescent="0.2">
      <c r="B649" s="122" t="str" vm="26">
        <f t="shared" ref="B649:D649" si="122" xml:space="preserve"> B447</f>
        <v>Calico Homes Limited</v>
      </c>
      <c r="C649" s="122" t="str" vm="393">
        <f t="shared" si="122"/>
        <v>L4254</v>
      </c>
      <c r="D649" s="81">
        <f t="shared" si="122"/>
        <v>26</v>
      </c>
      <c r="E649" s="29" t="str" cm="1">
        <f t="array" ref="E649" xml:space="preserve"> INDEX( VfM_Metrics_2023_Consol_Source[], $D649, E$622 )</f>
        <v>Traditional</v>
      </c>
      <c r="F649" s="23">
        <f xml:space="preserve"> -- AND( tblFilterRP_Type[[#This Row],[Provider Type]] = "Traditional", RP_TypeTrad = "Yes" )</f>
        <v>1</v>
      </c>
      <c r="G649" s="23">
        <f xml:space="preserve"> -- AND( tblFilterRP_Type[[#This Row],[Provider Type]] = "LSVT", RP_TypeLSVT = "Yes" )</f>
        <v>0</v>
      </c>
      <c r="H649" s="24">
        <f xml:space="preserve"> SUM( tblFilterRP_Type[[#This Row],[Incl. for traditional]], tblFilterRP_Type[[#This Row],[Incl. for LSVT]] )</f>
        <v>1</v>
      </c>
      <c r="I649" s="132" cm="1">
        <f t="array" ref="I649" xml:space="preserve"> INDEX( VfM_Metrics_2023_Consol_Source[], $D649, I$622 )</f>
        <v>0</v>
      </c>
      <c r="J649" s="29" t="str" cm="1">
        <f t="array" ref="J649" xml:space="preserve"> INDEX( VfM_Metrics_2023_Consol_Source[], $D649, J$622 )</f>
        <v>&gt;= 12 years</v>
      </c>
    </row>
    <row r="650" spans="2:10" x14ac:dyDescent="0.2">
      <c r="B650" s="122" t="str" vm="27">
        <f t="shared" ref="B650:D650" si="123" xml:space="preserve"> B448</f>
        <v>Castles &amp; Coasts Housing Association Limited</v>
      </c>
      <c r="C650" s="122" t="str" vm="371">
        <f t="shared" si="123"/>
        <v>4858</v>
      </c>
      <c r="D650" s="81">
        <f t="shared" si="123"/>
        <v>27</v>
      </c>
      <c r="E650" s="29" t="str" cm="1">
        <f t="array" ref="E650" xml:space="preserve"> INDEX( VfM_Metrics_2023_Consol_Source[], $D650, E$622 )</f>
        <v>Traditional</v>
      </c>
      <c r="F650" s="23">
        <f xml:space="preserve"> -- AND( tblFilterRP_Type[[#This Row],[Provider Type]] = "Traditional", RP_TypeTrad = "Yes" )</f>
        <v>1</v>
      </c>
      <c r="G650" s="23">
        <f xml:space="preserve"> -- AND( tblFilterRP_Type[[#This Row],[Provider Type]] = "LSVT", RP_TypeLSVT = "Yes" )</f>
        <v>0</v>
      </c>
      <c r="H650" s="24">
        <f xml:space="preserve"> SUM( tblFilterRP_Type[[#This Row],[Incl. for traditional]], tblFilterRP_Type[[#This Row],[Incl. for LSVT]] )</f>
        <v>1</v>
      </c>
      <c r="I650" s="132" cm="1">
        <f t="array" ref="I650" xml:space="preserve"> INDEX( VfM_Metrics_2023_Consol_Source[], $D650, I$622 )</f>
        <v>0</v>
      </c>
      <c r="J650" s="29" t="str" cm="1">
        <f t="array" ref="J650" xml:space="preserve"> INDEX( VfM_Metrics_2023_Consol_Source[], $D650, J$622 )</f>
        <v>&gt;= 12 years</v>
      </c>
    </row>
    <row r="651" spans="2:10" x14ac:dyDescent="0.2">
      <c r="B651" s="122" t="str" vm="28">
        <f t="shared" ref="B651:D651" si="124" xml:space="preserve"> B449</f>
        <v>Chelmer Housing Partnership Limited</v>
      </c>
      <c r="C651" s="122" t="str" vm="279">
        <f t="shared" si="124"/>
        <v>L4331</v>
      </c>
      <c r="D651" s="81">
        <f t="shared" si="124"/>
        <v>28</v>
      </c>
      <c r="E651" s="29" t="str" cm="1">
        <f t="array" ref="E651" xml:space="preserve"> INDEX( VfM_Metrics_2023_Consol_Source[], $D651, E$622 )</f>
        <v>Traditional</v>
      </c>
      <c r="F651" s="23">
        <f xml:space="preserve"> -- AND( tblFilterRP_Type[[#This Row],[Provider Type]] = "Traditional", RP_TypeTrad = "Yes" )</f>
        <v>1</v>
      </c>
      <c r="G651" s="23">
        <f xml:space="preserve"> -- AND( tblFilterRP_Type[[#This Row],[Provider Type]] = "LSVT", RP_TypeLSVT = "Yes" )</f>
        <v>0</v>
      </c>
      <c r="H651" s="24">
        <f xml:space="preserve"> SUM( tblFilterRP_Type[[#This Row],[Incl. for traditional]], tblFilterRP_Type[[#This Row],[Incl. for LSVT]] )</f>
        <v>1</v>
      </c>
      <c r="I651" s="132" cm="1">
        <f t="array" ref="I651" xml:space="preserve"> INDEX( VfM_Metrics_2023_Consol_Source[], $D651, I$622 )</f>
        <v>0</v>
      </c>
      <c r="J651" s="29" t="str" cm="1">
        <f t="array" ref="J651" xml:space="preserve"> INDEX( VfM_Metrics_2023_Consol_Source[], $D651, J$622 )</f>
        <v>&gt;= 12 years</v>
      </c>
    </row>
    <row r="652" spans="2:10" x14ac:dyDescent="0.2">
      <c r="B652" s="122" t="str" vm="29">
        <f t="shared" ref="B652:D652" si="125" xml:space="preserve"> B450</f>
        <v>Cheshire Peaks &amp; Plains Housing Trust Limited</v>
      </c>
      <c r="C652" s="122" t="str" vm="370">
        <f t="shared" si="125"/>
        <v>L4472</v>
      </c>
      <c r="D652" s="81">
        <f t="shared" si="125"/>
        <v>29</v>
      </c>
      <c r="E652" s="29" t="str" cm="1">
        <f t="array" ref="E652" xml:space="preserve"> INDEX( VfM_Metrics_2023_Consol_Source[], $D652, E$622 )</f>
        <v>Traditional</v>
      </c>
      <c r="F652" s="23">
        <f xml:space="preserve"> -- AND( tblFilterRP_Type[[#This Row],[Provider Type]] = "Traditional", RP_TypeTrad = "Yes" )</f>
        <v>1</v>
      </c>
      <c r="G652" s="23">
        <f xml:space="preserve"> -- AND( tblFilterRP_Type[[#This Row],[Provider Type]] = "LSVT", RP_TypeLSVT = "Yes" )</f>
        <v>0</v>
      </c>
      <c r="H652" s="24">
        <f xml:space="preserve"> SUM( tblFilterRP_Type[[#This Row],[Incl. for traditional]], tblFilterRP_Type[[#This Row],[Incl. for LSVT]] )</f>
        <v>1</v>
      </c>
      <c r="I652" s="132" cm="1">
        <f t="array" ref="I652" xml:space="preserve"> INDEX( VfM_Metrics_2023_Consol_Source[], $D652, I$622 )</f>
        <v>0</v>
      </c>
      <c r="J652" s="29" t="str" cm="1">
        <f t="array" ref="J652" xml:space="preserve"> INDEX( VfM_Metrics_2023_Consol_Source[], $D652, J$622 )</f>
        <v>&gt;= 12 years</v>
      </c>
    </row>
    <row r="653" spans="2:10" x14ac:dyDescent="0.2">
      <c r="B653" s="122" t="str" vm="30">
        <f t="shared" ref="B653:D653" si="126" xml:space="preserve"> B451</f>
        <v>Christian Action (Enfield) Housing Association Limited</v>
      </c>
      <c r="C653" s="122" t="str" vm="214">
        <f t="shared" si="126"/>
        <v>LH0676</v>
      </c>
      <c r="D653" s="81">
        <f t="shared" si="126"/>
        <v>30</v>
      </c>
      <c r="E653" s="29" t="str" cm="1">
        <f t="array" ref="E653" xml:space="preserve"> INDEX( VfM_Metrics_2023_Consol_Source[], $D653, E$622 )</f>
        <v>Traditional</v>
      </c>
      <c r="F653" s="23">
        <f xml:space="preserve"> -- AND( tblFilterRP_Type[[#This Row],[Provider Type]] = "Traditional", RP_TypeTrad = "Yes" )</f>
        <v>1</v>
      </c>
      <c r="G653" s="23">
        <f xml:space="preserve"> -- AND( tblFilterRP_Type[[#This Row],[Provider Type]] = "LSVT", RP_TypeLSVT = "Yes" )</f>
        <v>0</v>
      </c>
      <c r="H653" s="24">
        <f xml:space="preserve"> SUM( tblFilterRP_Type[[#This Row],[Incl. for traditional]], tblFilterRP_Type[[#This Row],[Incl. for LSVT]] )</f>
        <v>1</v>
      </c>
      <c r="I653" s="132" t="str" cm="1">
        <f t="array" ref="I653" xml:space="preserve"> INDEX( VfM_Metrics_2023_Consol_Source[], $D653, I$622 )</f>
        <v/>
      </c>
      <c r="J653" s="29" cm="1">
        <f t="array" ref="J653" xml:space="preserve"> INDEX( VfM_Metrics_2023_Consol_Source[], $D653, J$622 )</f>
        <v>0</v>
      </c>
    </row>
    <row r="654" spans="2:10" x14ac:dyDescent="0.2">
      <c r="B654" s="122" t="str" vm="31">
        <f t="shared" ref="B654:D654" si="127" xml:space="preserve"> B452</f>
        <v>Citizen Housing Group Limited</v>
      </c>
      <c r="C654" s="122" t="str" vm="342">
        <f t="shared" si="127"/>
        <v>5075</v>
      </c>
      <c r="D654" s="81">
        <f t="shared" si="127"/>
        <v>31</v>
      </c>
      <c r="E654" s="29" t="str" cm="1">
        <f t="array" ref="E654" xml:space="preserve"> INDEX( VfM_Metrics_2023_Consol_Source[], $D654, E$622 )</f>
        <v>Traditional</v>
      </c>
      <c r="F654" s="23">
        <f xml:space="preserve"> -- AND( tblFilterRP_Type[[#This Row],[Provider Type]] = "Traditional", RP_TypeTrad = "Yes" )</f>
        <v>1</v>
      </c>
      <c r="G654" s="23">
        <f xml:space="preserve"> -- AND( tblFilterRP_Type[[#This Row],[Provider Type]] = "LSVT", RP_TypeLSVT = "Yes" )</f>
        <v>0</v>
      </c>
      <c r="H654" s="24">
        <f xml:space="preserve"> SUM( tblFilterRP_Type[[#This Row],[Incl. for traditional]], tblFilterRP_Type[[#This Row],[Incl. for LSVT]] )</f>
        <v>1</v>
      </c>
      <c r="I654" s="132" cm="1">
        <f t="array" ref="I654" xml:space="preserve"> INDEX( VfM_Metrics_2023_Consol_Source[], $D654, I$622 )</f>
        <v>0</v>
      </c>
      <c r="J654" s="29" t="str" cm="1">
        <f t="array" ref="J654" xml:space="preserve"> INDEX( VfM_Metrics_2023_Consol_Source[], $D654, J$622 )</f>
        <v>&gt;= 12 years</v>
      </c>
    </row>
    <row r="655" spans="2:10" x14ac:dyDescent="0.2">
      <c r="B655" s="122" t="str" vm="32">
        <f t="shared" ref="B655:D655" si="128" xml:space="preserve"> B453</f>
        <v>Clarion Housing Group Limited</v>
      </c>
      <c r="C655" s="122" t="str" vm="246">
        <f t="shared" si="128"/>
        <v>LH4087</v>
      </c>
      <c r="D655" s="81">
        <f t="shared" si="128"/>
        <v>32</v>
      </c>
      <c r="E655" s="29" t="str" cm="1">
        <f t="array" ref="E655" xml:space="preserve"> INDEX( VfM_Metrics_2023_Consol_Source[], $D655, E$622 )</f>
        <v>Traditional</v>
      </c>
      <c r="F655" s="23">
        <f xml:space="preserve"> -- AND( tblFilterRP_Type[[#This Row],[Provider Type]] = "Traditional", RP_TypeTrad = "Yes" )</f>
        <v>1</v>
      </c>
      <c r="G655" s="23">
        <f xml:space="preserve"> -- AND( tblFilterRP_Type[[#This Row],[Provider Type]] = "LSVT", RP_TypeLSVT = "Yes" )</f>
        <v>0</v>
      </c>
      <c r="H655" s="24">
        <f xml:space="preserve"> SUM( tblFilterRP_Type[[#This Row],[Incl. for traditional]], tblFilterRP_Type[[#This Row],[Incl. for LSVT]] )</f>
        <v>1</v>
      </c>
      <c r="I655" s="132" t="str" cm="1">
        <f t="array" ref="I655" xml:space="preserve"> INDEX( VfM_Metrics_2023_Consol_Source[], $D655, I$622 )</f>
        <v/>
      </c>
      <c r="J655" s="29" cm="1">
        <f t="array" ref="J655" xml:space="preserve"> INDEX( VfM_Metrics_2023_Consol_Source[], $D655, J$622 )</f>
        <v>0</v>
      </c>
    </row>
    <row r="656" spans="2:10" x14ac:dyDescent="0.2">
      <c r="B656" s="122" t="str" vm="33">
        <f t="shared" ref="B656:D656" si="129" xml:space="preserve"> B454</f>
        <v>Coastline Housing Limited</v>
      </c>
      <c r="C656" s="122" t="str" vm="363">
        <f t="shared" si="129"/>
        <v>LH4165</v>
      </c>
      <c r="D656" s="81">
        <f t="shared" si="129"/>
        <v>33</v>
      </c>
      <c r="E656" s="29" t="str" cm="1">
        <f t="array" ref="E656" xml:space="preserve"> INDEX( VfM_Metrics_2023_Consol_Source[], $D656, E$622 )</f>
        <v>Traditional</v>
      </c>
      <c r="F656" s="23">
        <f xml:space="preserve"> -- AND( tblFilterRP_Type[[#This Row],[Provider Type]] = "Traditional", RP_TypeTrad = "Yes" )</f>
        <v>1</v>
      </c>
      <c r="G656" s="23">
        <f xml:space="preserve"> -- AND( tblFilterRP_Type[[#This Row],[Provider Type]] = "LSVT", RP_TypeLSVT = "Yes" )</f>
        <v>0</v>
      </c>
      <c r="H656" s="24">
        <f xml:space="preserve"> SUM( tblFilterRP_Type[[#This Row],[Incl. for traditional]], tblFilterRP_Type[[#This Row],[Incl. for LSVT]] )</f>
        <v>1</v>
      </c>
      <c r="I656" s="132" cm="1">
        <f t="array" ref="I656" xml:space="preserve"> INDEX( VfM_Metrics_2023_Consol_Source[], $D656, I$622 )</f>
        <v>0</v>
      </c>
      <c r="J656" s="29" t="str" cm="1">
        <f t="array" ref="J656" xml:space="preserve"> INDEX( VfM_Metrics_2023_Consol_Source[], $D656, J$622 )</f>
        <v>&gt;= 12 years</v>
      </c>
    </row>
    <row r="657" spans="2:10" x14ac:dyDescent="0.2">
      <c r="B657" s="122" t="str" vm="34">
        <f t="shared" ref="B657:D657" si="130" xml:space="preserve"> B455</f>
        <v>Cobalt Housing Limited</v>
      </c>
      <c r="C657" s="122" t="str" vm="394">
        <f t="shared" si="130"/>
        <v>L4361</v>
      </c>
      <c r="D657" s="81">
        <f t="shared" si="130"/>
        <v>34</v>
      </c>
      <c r="E657" s="29" t="str" cm="1">
        <f t="array" ref="E657" xml:space="preserve"> INDEX( VfM_Metrics_2023_Consol_Source[], $D657, E$622 )</f>
        <v>Traditional</v>
      </c>
      <c r="F657" s="23">
        <f xml:space="preserve"> -- AND( tblFilterRP_Type[[#This Row],[Provider Type]] = "Traditional", RP_TypeTrad = "Yes" )</f>
        <v>1</v>
      </c>
      <c r="G657" s="23">
        <f xml:space="preserve"> -- AND( tblFilterRP_Type[[#This Row],[Provider Type]] = "LSVT", RP_TypeLSVT = "Yes" )</f>
        <v>0</v>
      </c>
      <c r="H657" s="24">
        <f xml:space="preserve"> SUM( tblFilterRP_Type[[#This Row],[Incl. for traditional]], tblFilterRP_Type[[#This Row],[Incl. for LSVT]] )</f>
        <v>1</v>
      </c>
      <c r="I657" s="132" cm="1">
        <f t="array" ref="I657" xml:space="preserve"> INDEX( VfM_Metrics_2023_Consol_Source[], $D657, I$622 )</f>
        <v>0</v>
      </c>
      <c r="J657" s="29" t="str" cm="1">
        <f t="array" ref="J657" xml:space="preserve"> INDEX( VfM_Metrics_2023_Consol_Source[], $D657, J$622 )</f>
        <v>&gt;= 12 years</v>
      </c>
    </row>
    <row r="658" spans="2:10" x14ac:dyDescent="0.2">
      <c r="B658" s="122" t="str" vm="35">
        <f t="shared" ref="B658:D658" si="131" xml:space="preserve"> B456</f>
        <v>Community Gateway Association Limited</v>
      </c>
      <c r="C658" s="122" t="str" vm="396">
        <f t="shared" si="131"/>
        <v>L4457</v>
      </c>
      <c r="D658" s="81">
        <f t="shared" si="131"/>
        <v>35</v>
      </c>
      <c r="E658" s="29" t="str" cm="1">
        <f t="array" ref="E658" xml:space="preserve"> INDEX( VfM_Metrics_2023_Consol_Source[], $D658, E$622 )</f>
        <v>Traditional</v>
      </c>
      <c r="F658" s="23">
        <f xml:space="preserve"> -- AND( tblFilterRP_Type[[#This Row],[Provider Type]] = "Traditional", RP_TypeTrad = "Yes" )</f>
        <v>1</v>
      </c>
      <c r="G658" s="23">
        <f xml:space="preserve"> -- AND( tblFilterRP_Type[[#This Row],[Provider Type]] = "LSVT", RP_TypeLSVT = "Yes" )</f>
        <v>0</v>
      </c>
      <c r="H658" s="24">
        <f xml:space="preserve"> SUM( tblFilterRP_Type[[#This Row],[Incl. for traditional]], tblFilterRP_Type[[#This Row],[Incl. for LSVT]] )</f>
        <v>1</v>
      </c>
      <c r="I658" s="132" cm="1">
        <f t="array" ref="I658" xml:space="preserve"> INDEX( VfM_Metrics_2023_Consol_Source[], $D658, I$622 )</f>
        <v>0</v>
      </c>
      <c r="J658" s="29" t="str" cm="1">
        <f t="array" ref="J658" xml:space="preserve"> INDEX( VfM_Metrics_2023_Consol_Source[], $D658, J$622 )</f>
        <v>&gt;= 12 years</v>
      </c>
    </row>
    <row r="659" spans="2:10" x14ac:dyDescent="0.2">
      <c r="B659" s="122" t="str" vm="36">
        <f t="shared" ref="B659:D659" si="132" xml:space="preserve"> B457</f>
        <v>Connect Housing Association Limited</v>
      </c>
      <c r="C659" s="122" t="str" vm="321">
        <f t="shared" si="132"/>
        <v>L2285</v>
      </c>
      <c r="D659" s="81">
        <f t="shared" si="132"/>
        <v>36</v>
      </c>
      <c r="E659" s="29" t="str" cm="1">
        <f t="array" ref="E659" xml:space="preserve"> INDEX( VfM_Metrics_2023_Consol_Source[], $D659, E$622 )</f>
        <v>Traditional</v>
      </c>
      <c r="F659" s="23">
        <f xml:space="preserve"> -- AND( tblFilterRP_Type[[#This Row],[Provider Type]] = "Traditional", RP_TypeTrad = "Yes" )</f>
        <v>1</v>
      </c>
      <c r="G659" s="23">
        <f xml:space="preserve"> -- AND( tblFilterRP_Type[[#This Row],[Provider Type]] = "LSVT", RP_TypeLSVT = "Yes" )</f>
        <v>0</v>
      </c>
      <c r="H659" s="24">
        <f xml:space="preserve"> SUM( tblFilterRP_Type[[#This Row],[Incl. for traditional]], tblFilterRP_Type[[#This Row],[Incl. for LSVT]] )</f>
        <v>1</v>
      </c>
      <c r="I659" s="132" t="str" cm="1">
        <f t="array" ref="I659" xml:space="preserve"> INDEX( VfM_Metrics_2023_Consol_Source[], $D659, I$622 )</f>
        <v/>
      </c>
      <c r="J659" s="29" cm="1">
        <f t="array" ref="J659" xml:space="preserve"> INDEX( VfM_Metrics_2023_Consol_Source[], $D659, J$622 )</f>
        <v>0</v>
      </c>
    </row>
    <row r="660" spans="2:10" x14ac:dyDescent="0.2">
      <c r="B660" s="122" t="str" vm="37">
        <f t="shared" ref="B660:D660" si="133" xml:space="preserve"> B458</f>
        <v>Connexus Homes Limited</v>
      </c>
      <c r="C660" s="122" t="str" vm="277">
        <f t="shared" si="133"/>
        <v>LH4353</v>
      </c>
      <c r="D660" s="81">
        <f t="shared" si="133"/>
        <v>37</v>
      </c>
      <c r="E660" s="29" t="str" cm="1">
        <f t="array" ref="E660" xml:space="preserve"> INDEX( VfM_Metrics_2023_Consol_Source[], $D660, E$622 )</f>
        <v>Traditional</v>
      </c>
      <c r="F660" s="23">
        <f xml:space="preserve"> -- AND( tblFilterRP_Type[[#This Row],[Provider Type]] = "Traditional", RP_TypeTrad = "Yes" )</f>
        <v>1</v>
      </c>
      <c r="G660" s="23">
        <f xml:space="preserve"> -- AND( tblFilterRP_Type[[#This Row],[Provider Type]] = "LSVT", RP_TypeLSVT = "Yes" )</f>
        <v>0</v>
      </c>
      <c r="H660" s="24">
        <f xml:space="preserve"> SUM( tblFilterRP_Type[[#This Row],[Incl. for traditional]], tblFilterRP_Type[[#This Row],[Incl. for LSVT]] )</f>
        <v>1</v>
      </c>
      <c r="I660" s="132" cm="1">
        <f t="array" ref="I660" xml:space="preserve"> INDEX( VfM_Metrics_2023_Consol_Source[], $D660, I$622 )</f>
        <v>0</v>
      </c>
      <c r="J660" s="29" t="str" cm="1">
        <f t="array" ref="J660" xml:space="preserve"> INDEX( VfM_Metrics_2023_Consol_Source[], $D660, J$622 )</f>
        <v>&gt;= 12 years</v>
      </c>
    </row>
    <row r="661" spans="2:10" x14ac:dyDescent="0.2">
      <c r="B661" s="122" t="str" vm="38">
        <f t="shared" ref="B661:D661" si="134" xml:space="preserve"> B459</f>
        <v>Cornerstone Housing Limited</v>
      </c>
      <c r="C661" s="122" t="str" vm="228">
        <f t="shared" si="134"/>
        <v>L0147</v>
      </c>
      <c r="D661" s="81">
        <f t="shared" si="134"/>
        <v>38</v>
      </c>
      <c r="E661" s="29" t="str" cm="1">
        <f t="array" ref="E661" xml:space="preserve"> INDEX( VfM_Metrics_2023_Consol_Source[], $D661, E$622 )</f>
        <v>Traditional</v>
      </c>
      <c r="F661" s="23">
        <f xml:space="preserve"> -- AND( tblFilterRP_Type[[#This Row],[Provider Type]] = "Traditional", RP_TypeTrad = "Yes" )</f>
        <v>1</v>
      </c>
      <c r="G661" s="23">
        <f xml:space="preserve"> -- AND( tblFilterRP_Type[[#This Row],[Provider Type]] = "LSVT", RP_TypeLSVT = "Yes" )</f>
        <v>0</v>
      </c>
      <c r="H661" s="24">
        <f xml:space="preserve"> SUM( tblFilterRP_Type[[#This Row],[Incl. for traditional]], tblFilterRP_Type[[#This Row],[Incl. for LSVT]] )</f>
        <v>1</v>
      </c>
      <c r="I661" s="132" t="str" cm="1">
        <f t="array" ref="I661" xml:space="preserve"> INDEX( VfM_Metrics_2023_Consol_Source[], $D661, I$622 )</f>
        <v/>
      </c>
      <c r="J661" s="29" cm="1">
        <f t="array" ref="J661" xml:space="preserve"> INDEX( VfM_Metrics_2023_Consol_Source[], $D661, J$622 )</f>
        <v>0</v>
      </c>
    </row>
    <row r="662" spans="2:10" x14ac:dyDescent="0.2">
      <c r="B662" s="122" t="str" vm="39">
        <f t="shared" ref="B662:D662" si="135" xml:space="preserve"> B460</f>
        <v>Cottsway Housing Association Limited</v>
      </c>
      <c r="C662" s="122" t="str" vm="390">
        <f t="shared" si="135"/>
        <v>L4312</v>
      </c>
      <c r="D662" s="81">
        <f t="shared" si="135"/>
        <v>39</v>
      </c>
      <c r="E662" s="29" t="str" cm="1">
        <f t="array" ref="E662" xml:space="preserve"> INDEX( VfM_Metrics_2023_Consol_Source[], $D662, E$622 )</f>
        <v>Traditional</v>
      </c>
      <c r="F662" s="23">
        <f xml:space="preserve"> -- AND( tblFilterRP_Type[[#This Row],[Provider Type]] = "Traditional", RP_TypeTrad = "Yes" )</f>
        <v>1</v>
      </c>
      <c r="G662" s="23">
        <f xml:space="preserve"> -- AND( tblFilterRP_Type[[#This Row],[Provider Type]] = "LSVT", RP_TypeLSVT = "Yes" )</f>
        <v>0</v>
      </c>
      <c r="H662" s="24">
        <f xml:space="preserve"> SUM( tblFilterRP_Type[[#This Row],[Incl. for traditional]], tblFilterRP_Type[[#This Row],[Incl. for LSVT]] )</f>
        <v>1</v>
      </c>
      <c r="I662" s="132" cm="1">
        <f t="array" ref="I662" xml:space="preserve"> INDEX( VfM_Metrics_2023_Consol_Source[], $D662, I$622 )</f>
        <v>0</v>
      </c>
      <c r="J662" s="29" t="str" cm="1">
        <f t="array" ref="J662" xml:space="preserve"> INDEX( VfM_Metrics_2023_Consol_Source[], $D662, J$622 )</f>
        <v>&gt;= 12 years</v>
      </c>
    </row>
    <row r="663" spans="2:10" x14ac:dyDescent="0.2">
      <c r="B663" s="122" t="str" vm="40">
        <f t="shared" ref="B663:D663" si="136" xml:space="preserve"> B461</f>
        <v>Cross Keys Homes Limited</v>
      </c>
      <c r="C663" s="122" t="str" vm="302">
        <f t="shared" si="136"/>
        <v>LH4428</v>
      </c>
      <c r="D663" s="81">
        <f t="shared" si="136"/>
        <v>40</v>
      </c>
      <c r="E663" s="29" t="str" cm="1">
        <f t="array" ref="E663" xml:space="preserve"> INDEX( VfM_Metrics_2023_Consol_Source[], $D663, E$622 )</f>
        <v>Traditional</v>
      </c>
      <c r="F663" s="23">
        <f xml:space="preserve"> -- AND( tblFilterRP_Type[[#This Row],[Provider Type]] = "Traditional", RP_TypeTrad = "Yes" )</f>
        <v>1</v>
      </c>
      <c r="G663" s="23">
        <f xml:space="preserve"> -- AND( tblFilterRP_Type[[#This Row],[Provider Type]] = "LSVT", RP_TypeLSVT = "Yes" )</f>
        <v>0</v>
      </c>
      <c r="H663" s="24">
        <f xml:space="preserve"> SUM( tblFilterRP_Type[[#This Row],[Incl. for traditional]], tblFilterRP_Type[[#This Row],[Incl. for LSVT]] )</f>
        <v>1</v>
      </c>
      <c r="I663" s="132" cm="1">
        <f t="array" ref="I663" xml:space="preserve"> INDEX( VfM_Metrics_2023_Consol_Source[], $D663, I$622 )</f>
        <v>0</v>
      </c>
      <c r="J663" s="29" t="str" cm="1">
        <f t="array" ref="J663" xml:space="preserve"> INDEX( VfM_Metrics_2023_Consol_Source[], $D663, J$622 )</f>
        <v>&gt;= 12 years</v>
      </c>
    </row>
    <row r="664" spans="2:10" x14ac:dyDescent="0.2">
      <c r="B664" s="122" t="str" vm="41">
        <f t="shared" ref="B664:D664" si="137" xml:space="preserve"> B462</f>
        <v>Croydon Churches Housing Association Limited</v>
      </c>
      <c r="C664" s="122" t="str" vm="213">
        <f t="shared" si="137"/>
        <v>LH0495</v>
      </c>
      <c r="D664" s="81">
        <f t="shared" si="137"/>
        <v>41</v>
      </c>
      <c r="E664" s="29" t="str" cm="1">
        <f t="array" ref="E664" xml:space="preserve"> INDEX( VfM_Metrics_2023_Consol_Source[], $D664, E$622 )</f>
        <v>Traditional</v>
      </c>
      <c r="F664" s="23">
        <f xml:space="preserve"> -- AND( tblFilterRP_Type[[#This Row],[Provider Type]] = "Traditional", RP_TypeTrad = "Yes" )</f>
        <v>1</v>
      </c>
      <c r="G664" s="23">
        <f xml:space="preserve"> -- AND( tblFilterRP_Type[[#This Row],[Provider Type]] = "LSVT", RP_TypeLSVT = "Yes" )</f>
        <v>0</v>
      </c>
      <c r="H664" s="24">
        <f xml:space="preserve"> SUM( tblFilterRP_Type[[#This Row],[Incl. for traditional]], tblFilterRP_Type[[#This Row],[Incl. for LSVT]] )</f>
        <v>1</v>
      </c>
      <c r="I664" s="132" t="str" cm="1">
        <f t="array" ref="I664" xml:space="preserve"> INDEX( VfM_Metrics_2023_Consol_Source[], $D664, I$622 )</f>
        <v/>
      </c>
      <c r="J664" s="29" cm="1">
        <f t="array" ref="J664" xml:space="preserve"> INDEX( VfM_Metrics_2023_Consol_Source[], $D664, J$622 )</f>
        <v>0</v>
      </c>
    </row>
    <row r="665" spans="2:10" x14ac:dyDescent="0.2">
      <c r="B665" s="122" t="str" vm="42">
        <f t="shared" ref="B665:D665" si="138" xml:space="preserve"> B463</f>
        <v>Curo Group (Albion) Limited</v>
      </c>
      <c r="C665" s="122" t="str" vm="272">
        <f t="shared" si="138"/>
        <v>LH4336</v>
      </c>
      <c r="D665" s="81">
        <f t="shared" si="138"/>
        <v>42</v>
      </c>
      <c r="E665" s="29" t="str" cm="1">
        <f t="array" ref="E665" xml:space="preserve"> INDEX( VfM_Metrics_2023_Consol_Source[], $D665, E$622 )</f>
        <v>Traditional</v>
      </c>
      <c r="F665" s="23">
        <f xml:space="preserve"> -- AND( tblFilterRP_Type[[#This Row],[Provider Type]] = "Traditional", RP_TypeTrad = "Yes" )</f>
        <v>1</v>
      </c>
      <c r="G665" s="23">
        <f xml:space="preserve"> -- AND( tblFilterRP_Type[[#This Row],[Provider Type]] = "LSVT", RP_TypeLSVT = "Yes" )</f>
        <v>0</v>
      </c>
      <c r="H665" s="24">
        <f xml:space="preserve"> SUM( tblFilterRP_Type[[#This Row],[Incl. for traditional]], tblFilterRP_Type[[#This Row],[Incl. for LSVT]] )</f>
        <v>1</v>
      </c>
      <c r="I665" s="132" cm="1">
        <f t="array" ref="I665" xml:space="preserve"> INDEX( VfM_Metrics_2023_Consol_Source[], $D665, I$622 )</f>
        <v>0</v>
      </c>
      <c r="J665" s="29" t="str" cm="1">
        <f t="array" ref="J665" xml:space="preserve"> INDEX( VfM_Metrics_2023_Consol_Source[], $D665, J$622 )</f>
        <v>&gt;= 12 years</v>
      </c>
    </row>
    <row r="666" spans="2:10" x14ac:dyDescent="0.2">
      <c r="B666" s="122" t="str" vm="43">
        <f t="shared" ref="B666:D666" si="139" xml:space="preserve"> B464</f>
        <v>Durham Aged Mineworkers' Homes Association</v>
      </c>
      <c r="C666" s="122" t="str" vm="236">
        <f t="shared" si="139"/>
        <v>5125</v>
      </c>
      <c r="D666" s="81">
        <f t="shared" si="139"/>
        <v>43</v>
      </c>
      <c r="E666" s="29" t="str" cm="1">
        <f t="array" ref="E666" xml:space="preserve"> INDEX( VfM_Metrics_2023_Consol_Source[], $D666, E$622 )</f>
        <v>Traditional</v>
      </c>
      <c r="F666" s="23">
        <f xml:space="preserve"> -- AND( tblFilterRP_Type[[#This Row],[Provider Type]] = "Traditional", RP_TypeTrad = "Yes" )</f>
        <v>1</v>
      </c>
      <c r="G666" s="23">
        <f xml:space="preserve"> -- AND( tblFilterRP_Type[[#This Row],[Provider Type]] = "LSVT", RP_TypeLSVT = "Yes" )</f>
        <v>0</v>
      </c>
      <c r="H666" s="24">
        <f xml:space="preserve"> SUM( tblFilterRP_Type[[#This Row],[Incl. for traditional]], tblFilterRP_Type[[#This Row],[Incl. for LSVT]] )</f>
        <v>1</v>
      </c>
      <c r="I666" s="132" t="str" cm="1">
        <f t="array" ref="I666" xml:space="preserve"> INDEX( VfM_Metrics_2023_Consol_Source[], $D666, I$622 )</f>
        <v/>
      </c>
      <c r="J666" s="29" cm="1">
        <f t="array" ref="J666" xml:space="preserve"> INDEX( VfM_Metrics_2023_Consol_Source[], $D666, J$622 )</f>
        <v>0</v>
      </c>
    </row>
    <row r="667" spans="2:10" x14ac:dyDescent="0.2">
      <c r="B667" s="122" t="str" vm="44">
        <f t="shared" ref="B667:D667" si="140" xml:space="preserve"> B465</f>
        <v>East End Homes Limited</v>
      </c>
      <c r="C667" s="122" t="str" vm="217">
        <f t="shared" si="140"/>
        <v>L4434</v>
      </c>
      <c r="D667" s="81">
        <f t="shared" si="140"/>
        <v>44</v>
      </c>
      <c r="E667" s="29" t="str" cm="1">
        <f t="array" ref="E667" xml:space="preserve"> INDEX( VfM_Metrics_2023_Consol_Source[], $D667, E$622 )</f>
        <v>Traditional</v>
      </c>
      <c r="F667" s="23">
        <f xml:space="preserve"> -- AND( tblFilterRP_Type[[#This Row],[Provider Type]] = "Traditional", RP_TypeTrad = "Yes" )</f>
        <v>1</v>
      </c>
      <c r="G667" s="23">
        <f xml:space="preserve"> -- AND( tblFilterRP_Type[[#This Row],[Provider Type]] = "LSVT", RP_TypeLSVT = "Yes" )</f>
        <v>0</v>
      </c>
      <c r="H667" s="24">
        <f xml:space="preserve"> SUM( tblFilterRP_Type[[#This Row],[Incl. for traditional]], tblFilterRP_Type[[#This Row],[Incl. for LSVT]] )</f>
        <v>1</v>
      </c>
      <c r="I667" s="132" cm="1">
        <f t="array" ref="I667" xml:space="preserve"> INDEX( VfM_Metrics_2023_Consol_Source[], $D667, I$622 )</f>
        <v>0</v>
      </c>
      <c r="J667" s="29" t="str" cm="1">
        <f t="array" ref="J667" xml:space="preserve"> INDEX( VfM_Metrics_2023_Consol_Source[], $D667, J$622 )</f>
        <v>&gt;= 12 years</v>
      </c>
    </row>
    <row r="668" spans="2:10" x14ac:dyDescent="0.2">
      <c r="B668" s="122" t="str" vm="45">
        <f t="shared" ref="B668:D668" si="141" xml:space="preserve"> B466</f>
        <v>East Midlands Housing Group Limited</v>
      </c>
      <c r="C668" s="122" t="str" vm="303">
        <f t="shared" si="141"/>
        <v>L4530</v>
      </c>
      <c r="D668" s="81">
        <f t="shared" si="141"/>
        <v>45</v>
      </c>
      <c r="E668" s="29" t="str" cm="1">
        <f t="array" ref="E668" xml:space="preserve"> INDEX( VfM_Metrics_2023_Consol_Source[], $D668, E$622 )</f>
        <v>Traditional</v>
      </c>
      <c r="F668" s="23">
        <f xml:space="preserve"> -- AND( tblFilterRP_Type[[#This Row],[Provider Type]] = "Traditional", RP_TypeTrad = "Yes" )</f>
        <v>1</v>
      </c>
      <c r="G668" s="23">
        <f xml:space="preserve"> -- AND( tblFilterRP_Type[[#This Row],[Provider Type]] = "LSVT", RP_TypeLSVT = "Yes" )</f>
        <v>0</v>
      </c>
      <c r="H668" s="24">
        <f xml:space="preserve"> SUM( tblFilterRP_Type[[#This Row],[Incl. for traditional]], tblFilterRP_Type[[#This Row],[Incl. for LSVT]] )</f>
        <v>1</v>
      </c>
      <c r="I668" s="132" t="str" cm="1">
        <f t="array" ref="I668" xml:space="preserve"> INDEX( VfM_Metrics_2023_Consol_Source[], $D668, I$622 )</f>
        <v/>
      </c>
      <c r="J668" s="29" cm="1">
        <f t="array" ref="J668" xml:space="preserve"> INDEX( VfM_Metrics_2023_Consol_Source[], $D668, J$622 )</f>
        <v>0</v>
      </c>
    </row>
    <row r="669" spans="2:10" x14ac:dyDescent="0.2">
      <c r="B669" s="122" t="str" vm="46">
        <f t="shared" ref="B669:D669" si="142" xml:space="preserve"> B467</f>
        <v>Eastlight Community Homes Limited</v>
      </c>
      <c r="C669" s="122" t="str" vm="290">
        <f t="shared" si="142"/>
        <v>L4499</v>
      </c>
      <c r="D669" s="81">
        <f t="shared" si="142"/>
        <v>46</v>
      </c>
      <c r="E669" s="29" t="str" cm="1">
        <f t="array" ref="E669" xml:space="preserve"> INDEX( VfM_Metrics_2023_Consol_Source[], $D669, E$622 )</f>
        <v>Traditional</v>
      </c>
      <c r="F669" s="23">
        <f xml:space="preserve"> -- AND( tblFilterRP_Type[[#This Row],[Provider Type]] = "Traditional", RP_TypeTrad = "Yes" )</f>
        <v>1</v>
      </c>
      <c r="G669" s="23">
        <f xml:space="preserve"> -- AND( tblFilterRP_Type[[#This Row],[Provider Type]] = "LSVT", RP_TypeLSVT = "Yes" )</f>
        <v>0</v>
      </c>
      <c r="H669" s="24">
        <f xml:space="preserve"> SUM( tblFilterRP_Type[[#This Row],[Incl. for traditional]], tblFilterRP_Type[[#This Row],[Incl. for LSVT]] )</f>
        <v>1</v>
      </c>
      <c r="I669" s="132" cm="1">
        <f t="array" ref="I669" xml:space="preserve"> INDEX( VfM_Metrics_2023_Consol_Source[], $D669, I$622 )</f>
        <v>0</v>
      </c>
      <c r="J669" s="29" t="str" cm="1">
        <f t="array" ref="J669" xml:space="preserve"> INDEX( VfM_Metrics_2023_Consol_Source[], $D669, J$622 )</f>
        <v>&gt;= 12 years</v>
      </c>
    </row>
    <row r="670" spans="2:10" x14ac:dyDescent="0.2">
      <c r="B670" s="122" t="str" vm="47">
        <f t="shared" ref="B670:D670" si="143" xml:space="preserve"> B468</f>
        <v>Eden Housing Association Limited</v>
      </c>
      <c r="C670" s="122" t="str" vm="231">
        <f t="shared" si="143"/>
        <v>L4140</v>
      </c>
      <c r="D670" s="81">
        <f t="shared" si="143"/>
        <v>47</v>
      </c>
      <c r="E670" s="29" t="str" cm="1">
        <f t="array" ref="E670" xml:space="preserve"> INDEX( VfM_Metrics_2023_Consol_Source[], $D670, E$622 )</f>
        <v>Traditional</v>
      </c>
      <c r="F670" s="23">
        <f xml:space="preserve"> -- AND( tblFilterRP_Type[[#This Row],[Provider Type]] = "Traditional", RP_TypeTrad = "Yes" )</f>
        <v>1</v>
      </c>
      <c r="G670" s="23">
        <f xml:space="preserve"> -- AND( tblFilterRP_Type[[#This Row],[Provider Type]] = "LSVT", RP_TypeLSVT = "Yes" )</f>
        <v>0</v>
      </c>
      <c r="H670" s="24">
        <f xml:space="preserve"> SUM( tblFilterRP_Type[[#This Row],[Incl. for traditional]], tblFilterRP_Type[[#This Row],[Incl. for LSVT]] )</f>
        <v>1</v>
      </c>
      <c r="I670" s="132" cm="1">
        <f t="array" ref="I670" xml:space="preserve"> INDEX( VfM_Metrics_2023_Consol_Source[], $D670, I$622 )</f>
        <v>0</v>
      </c>
      <c r="J670" s="29" t="str" cm="1">
        <f t="array" ref="J670" xml:space="preserve"> INDEX( VfM_Metrics_2023_Consol_Source[], $D670, J$622 )</f>
        <v>&gt;= 12 years</v>
      </c>
    </row>
    <row r="671" spans="2:10" x14ac:dyDescent="0.2">
      <c r="B671" s="122" t="str" vm="48">
        <f t="shared" ref="B671:D671" si="144" xml:space="preserve"> B469</f>
        <v>Empowering People Inspiring Communities Limited</v>
      </c>
      <c r="C671" s="122" t="str" vm="237">
        <f t="shared" si="144"/>
        <v>L4167</v>
      </c>
      <c r="D671" s="81">
        <f t="shared" si="144"/>
        <v>48</v>
      </c>
      <c r="E671" s="29" t="str" cm="1">
        <f t="array" ref="E671" xml:space="preserve"> INDEX( VfM_Metrics_2023_Consol_Source[], $D671, E$622 )</f>
        <v>Traditional</v>
      </c>
      <c r="F671" s="23">
        <f xml:space="preserve"> -- AND( tblFilterRP_Type[[#This Row],[Provider Type]] = "Traditional", RP_TypeTrad = "Yes" )</f>
        <v>1</v>
      </c>
      <c r="G671" s="23">
        <f xml:space="preserve"> -- AND( tblFilterRP_Type[[#This Row],[Provider Type]] = "LSVT", RP_TypeLSVT = "Yes" )</f>
        <v>0</v>
      </c>
      <c r="H671" s="24">
        <f xml:space="preserve"> SUM( tblFilterRP_Type[[#This Row],[Incl. for traditional]], tblFilterRP_Type[[#This Row],[Incl. for LSVT]] )</f>
        <v>1</v>
      </c>
      <c r="I671" s="132" cm="1">
        <f t="array" ref="I671" xml:space="preserve"> INDEX( VfM_Metrics_2023_Consol_Source[], $D671, I$622 )</f>
        <v>0</v>
      </c>
      <c r="J671" s="29" t="str" cm="1">
        <f t="array" ref="J671" xml:space="preserve"> INDEX( VfM_Metrics_2023_Consol_Source[], $D671, J$622 )</f>
        <v>&gt;= 12 years</v>
      </c>
    </row>
    <row r="672" spans="2:10" x14ac:dyDescent="0.2">
      <c r="B672" s="122" t="str" vm="49">
        <f t="shared" ref="B672:D672" si="145" xml:space="preserve"> B470</f>
        <v>English Rural Housing Association Limited</v>
      </c>
      <c r="C672" s="122" t="str" vm="234">
        <f t="shared" si="145"/>
        <v>L4004</v>
      </c>
      <c r="D672" s="81">
        <f t="shared" si="145"/>
        <v>49</v>
      </c>
      <c r="E672" s="29" t="str" cm="1">
        <f t="array" ref="E672" xml:space="preserve"> INDEX( VfM_Metrics_2023_Consol_Source[], $D672, E$622 )</f>
        <v>Traditional</v>
      </c>
      <c r="F672" s="23">
        <f xml:space="preserve"> -- AND( tblFilterRP_Type[[#This Row],[Provider Type]] = "Traditional", RP_TypeTrad = "Yes" )</f>
        <v>1</v>
      </c>
      <c r="G672" s="23">
        <f xml:space="preserve"> -- AND( tblFilterRP_Type[[#This Row],[Provider Type]] = "LSVT", RP_TypeLSVT = "Yes" )</f>
        <v>0</v>
      </c>
      <c r="H672" s="24">
        <f xml:space="preserve"> SUM( tblFilterRP_Type[[#This Row],[Incl. for traditional]], tblFilterRP_Type[[#This Row],[Incl. for LSVT]] )</f>
        <v>1</v>
      </c>
      <c r="I672" s="132" t="str" cm="1">
        <f t="array" ref="I672" xml:space="preserve"> INDEX( VfM_Metrics_2023_Consol_Source[], $D672, I$622 )</f>
        <v/>
      </c>
      <c r="J672" s="29" cm="1">
        <f t="array" ref="J672" xml:space="preserve"> INDEX( VfM_Metrics_2023_Consol_Source[], $D672, J$622 )</f>
        <v>0</v>
      </c>
    </row>
    <row r="673" spans="2:10" x14ac:dyDescent="0.2">
      <c r="B673" s="122" t="str" vm="50">
        <f t="shared" ref="B673:D673" si="146" xml:space="preserve"> B471</f>
        <v>Estuary Housing Association Limited</v>
      </c>
      <c r="C673" s="122" t="str" vm="316">
        <f t="shared" si="146"/>
        <v>L3535</v>
      </c>
      <c r="D673" s="81">
        <f t="shared" si="146"/>
        <v>50</v>
      </c>
      <c r="E673" s="29" t="str" cm="1">
        <f t="array" ref="E673" xml:space="preserve"> INDEX( VfM_Metrics_2023_Consol_Source[], $D673, E$622 )</f>
        <v>Traditional</v>
      </c>
      <c r="F673" s="23">
        <f xml:space="preserve"> -- AND( tblFilterRP_Type[[#This Row],[Provider Type]] = "Traditional", RP_TypeTrad = "Yes" )</f>
        <v>1</v>
      </c>
      <c r="G673" s="23">
        <f xml:space="preserve"> -- AND( tblFilterRP_Type[[#This Row],[Provider Type]] = "LSVT", RP_TypeLSVT = "Yes" )</f>
        <v>0</v>
      </c>
      <c r="H673" s="24">
        <f xml:space="preserve"> SUM( tblFilterRP_Type[[#This Row],[Incl. for traditional]], tblFilterRP_Type[[#This Row],[Incl. for LSVT]] )</f>
        <v>1</v>
      </c>
      <c r="I673" s="132" t="str" cm="1">
        <f t="array" ref="I673" xml:space="preserve"> INDEX( VfM_Metrics_2023_Consol_Source[], $D673, I$622 )</f>
        <v/>
      </c>
      <c r="J673" s="29" cm="1">
        <f t="array" ref="J673" xml:space="preserve"> INDEX( VfM_Metrics_2023_Consol_Source[], $D673, J$622 )</f>
        <v>0</v>
      </c>
    </row>
    <row r="674" spans="2:10" x14ac:dyDescent="0.2">
      <c r="B674" s="122" t="str" vm="51">
        <f t="shared" ref="B674:D674" si="147" xml:space="preserve"> B472</f>
        <v>Fairhive Homes Limited</v>
      </c>
      <c r="C674" s="122" t="str" vm="355">
        <f t="shared" si="147"/>
        <v>L4473</v>
      </c>
      <c r="D674" s="81">
        <f t="shared" si="147"/>
        <v>51</v>
      </c>
      <c r="E674" s="29" t="str" cm="1">
        <f t="array" ref="E674" xml:space="preserve"> INDEX( VfM_Metrics_2023_Consol_Source[], $D674, E$622 )</f>
        <v>Traditional</v>
      </c>
      <c r="F674" s="23">
        <f xml:space="preserve"> -- AND( tblFilterRP_Type[[#This Row],[Provider Type]] = "Traditional", RP_TypeTrad = "Yes" )</f>
        <v>1</v>
      </c>
      <c r="G674" s="23">
        <f xml:space="preserve"> -- AND( tblFilterRP_Type[[#This Row],[Provider Type]] = "LSVT", RP_TypeLSVT = "Yes" )</f>
        <v>0</v>
      </c>
      <c r="H674" s="24">
        <f xml:space="preserve"> SUM( tblFilterRP_Type[[#This Row],[Incl. for traditional]], tblFilterRP_Type[[#This Row],[Incl. for LSVT]] )</f>
        <v>1</v>
      </c>
      <c r="I674" s="132" cm="1">
        <f t="array" ref="I674" xml:space="preserve"> INDEX( VfM_Metrics_2023_Consol_Source[], $D674, I$622 )</f>
        <v>0</v>
      </c>
      <c r="J674" s="29" t="str" cm="1">
        <f t="array" ref="J674" xml:space="preserve"> INDEX( VfM_Metrics_2023_Consol_Source[], $D674, J$622 )</f>
        <v>&gt;= 12 years</v>
      </c>
    </row>
    <row r="675" spans="2:10" x14ac:dyDescent="0.2">
      <c r="B675" s="122" t="str" vm="52">
        <f t="shared" ref="B675:D675" si="148" xml:space="preserve"> B473</f>
        <v>First Choice Homes Oldham Limited</v>
      </c>
      <c r="C675" s="122" t="str" vm="289">
        <f t="shared" si="148"/>
        <v>4582</v>
      </c>
      <c r="D675" s="81">
        <f t="shared" si="148"/>
        <v>52</v>
      </c>
      <c r="E675" s="29" t="str" cm="1">
        <f t="array" ref="E675" xml:space="preserve"> INDEX( VfM_Metrics_2023_Consol_Source[], $D675, E$622 )</f>
        <v>Traditional</v>
      </c>
      <c r="F675" s="23">
        <f xml:space="preserve"> -- AND( tblFilterRP_Type[[#This Row],[Provider Type]] = "Traditional", RP_TypeTrad = "Yes" )</f>
        <v>1</v>
      </c>
      <c r="G675" s="23">
        <f xml:space="preserve"> -- AND( tblFilterRP_Type[[#This Row],[Provider Type]] = "LSVT", RP_TypeLSVT = "Yes" )</f>
        <v>0</v>
      </c>
      <c r="H675" s="24">
        <f xml:space="preserve"> SUM( tblFilterRP_Type[[#This Row],[Incl. for traditional]], tblFilterRP_Type[[#This Row],[Incl. for LSVT]] )</f>
        <v>1</v>
      </c>
      <c r="I675" s="132" cm="1">
        <f t="array" ref="I675" xml:space="preserve"> INDEX( VfM_Metrics_2023_Consol_Source[], $D675, I$622 )</f>
        <v>0</v>
      </c>
      <c r="J675" s="29" t="str" cm="1">
        <f t="array" ref="J675" xml:space="preserve"> INDEX( VfM_Metrics_2023_Consol_Source[], $D675, J$622 )</f>
        <v>&gt;= 12 years</v>
      </c>
    </row>
    <row r="676" spans="2:10" x14ac:dyDescent="0.2">
      <c r="B676" s="122" t="str" vm="53">
        <f t="shared" ref="B676:D676" si="149" xml:space="preserve"> B474</f>
        <v>First Garden Cities Homes Limited</v>
      </c>
      <c r="C676" s="122" t="str" vm="224">
        <f t="shared" si="149"/>
        <v>5090</v>
      </c>
      <c r="D676" s="81">
        <f t="shared" si="149"/>
        <v>53</v>
      </c>
      <c r="E676" s="29" t="str" cm="1">
        <f t="array" ref="E676" xml:space="preserve"> INDEX( VfM_Metrics_2023_Consol_Source[], $D676, E$622 )</f>
        <v>Traditional</v>
      </c>
      <c r="F676" s="23">
        <f xml:space="preserve"> -- AND( tblFilterRP_Type[[#This Row],[Provider Type]] = "Traditional", RP_TypeTrad = "Yes" )</f>
        <v>1</v>
      </c>
      <c r="G676" s="23">
        <f xml:space="preserve"> -- AND( tblFilterRP_Type[[#This Row],[Provider Type]] = "LSVT", RP_TypeLSVT = "Yes" )</f>
        <v>0</v>
      </c>
      <c r="H676" s="24">
        <f xml:space="preserve"> SUM( tblFilterRP_Type[[#This Row],[Incl. for traditional]], tblFilterRP_Type[[#This Row],[Incl. for LSVT]] )</f>
        <v>1</v>
      </c>
      <c r="I676" s="132" t="str" cm="1">
        <f t="array" ref="I676" xml:space="preserve"> INDEX( VfM_Metrics_2023_Consol_Source[], $D676, I$622 )</f>
        <v/>
      </c>
      <c r="J676" s="29" cm="1">
        <f t="array" ref="J676" xml:space="preserve"> INDEX( VfM_Metrics_2023_Consol_Source[], $D676, J$622 )</f>
        <v>0</v>
      </c>
    </row>
    <row r="677" spans="2:10" x14ac:dyDescent="0.2">
      <c r="B677" s="122" t="str" vm="54">
        <f t="shared" ref="B677:D677" si="150" xml:space="preserve"> B475</f>
        <v>Flagship Housing Group Limited</v>
      </c>
      <c r="C677" s="122" t="str" vm="255">
        <f t="shared" si="150"/>
        <v>4651</v>
      </c>
      <c r="D677" s="81">
        <f t="shared" si="150"/>
        <v>54</v>
      </c>
      <c r="E677" s="29" t="str" cm="1">
        <f t="array" ref="E677" xml:space="preserve"> INDEX( VfM_Metrics_2023_Consol_Source[], $D677, E$622 )</f>
        <v>Traditional</v>
      </c>
      <c r="F677" s="23">
        <f xml:space="preserve"> -- AND( tblFilterRP_Type[[#This Row],[Provider Type]] = "Traditional", RP_TypeTrad = "Yes" )</f>
        <v>1</v>
      </c>
      <c r="G677" s="23">
        <f xml:space="preserve"> -- AND( tblFilterRP_Type[[#This Row],[Provider Type]] = "LSVT", RP_TypeLSVT = "Yes" )</f>
        <v>0</v>
      </c>
      <c r="H677" s="24">
        <f xml:space="preserve"> SUM( tblFilterRP_Type[[#This Row],[Incl. for traditional]], tblFilterRP_Type[[#This Row],[Incl. for LSVT]] )</f>
        <v>1</v>
      </c>
      <c r="I677" s="132" cm="1">
        <f t="array" ref="I677" xml:space="preserve"> INDEX( VfM_Metrics_2023_Consol_Source[], $D677, I$622 )</f>
        <v>0</v>
      </c>
      <c r="J677" s="29" t="str" cm="1">
        <f t="array" ref="J677" xml:space="preserve"> INDEX( VfM_Metrics_2023_Consol_Source[], $D677, J$622 )</f>
        <v>&gt;= 12 years</v>
      </c>
    </row>
    <row r="678" spans="2:10" x14ac:dyDescent="0.2">
      <c r="B678" s="122" t="str" vm="55">
        <f t="shared" ref="B678:D678" si="151" xml:space="preserve"> B476</f>
        <v>ForHousing Limited</v>
      </c>
      <c r="C678" s="122" t="str" vm="296">
        <f t="shared" si="151"/>
        <v>L4528</v>
      </c>
      <c r="D678" s="81">
        <f t="shared" si="151"/>
        <v>55</v>
      </c>
      <c r="E678" s="29" t="str" cm="1">
        <f t="array" ref="E678" xml:space="preserve"> INDEX( VfM_Metrics_2023_Consol_Source[], $D678, E$622 )</f>
        <v>Traditional</v>
      </c>
      <c r="F678" s="23">
        <f xml:space="preserve"> -- AND( tblFilterRP_Type[[#This Row],[Provider Type]] = "Traditional", RP_TypeTrad = "Yes" )</f>
        <v>1</v>
      </c>
      <c r="G678" s="23">
        <f xml:space="preserve"> -- AND( tblFilterRP_Type[[#This Row],[Provider Type]] = "LSVT", RP_TypeLSVT = "Yes" )</f>
        <v>0</v>
      </c>
      <c r="H678" s="24">
        <f xml:space="preserve"> SUM( tblFilterRP_Type[[#This Row],[Incl. for traditional]], tblFilterRP_Type[[#This Row],[Incl. for LSVT]] )</f>
        <v>1</v>
      </c>
      <c r="I678" s="132" cm="1">
        <f t="array" ref="I678" xml:space="preserve"> INDEX( VfM_Metrics_2023_Consol_Source[], $D678, I$622 )</f>
        <v>0</v>
      </c>
      <c r="J678" s="29" t="str" cm="1">
        <f t="array" ref="J678" xml:space="preserve"> INDEX( VfM_Metrics_2023_Consol_Source[], $D678, J$622 )</f>
        <v>&gt;= 12 years</v>
      </c>
    </row>
    <row r="679" spans="2:10" x14ac:dyDescent="0.2">
      <c r="B679" s="122" t="str" vm="56">
        <f t="shared" ref="B679:D679" si="152" xml:space="preserve"> B477</f>
        <v>Framework Housing Association</v>
      </c>
      <c r="C679" s="122" t="str" vm="200">
        <f t="shared" si="152"/>
        <v>LH4184</v>
      </c>
      <c r="D679" s="81">
        <f t="shared" si="152"/>
        <v>56</v>
      </c>
      <c r="E679" s="29" t="str" cm="1">
        <f t="array" ref="E679" xml:space="preserve"> INDEX( VfM_Metrics_2023_Consol_Source[], $D679, E$622 )</f>
        <v>Traditional</v>
      </c>
      <c r="F679" s="23">
        <f xml:space="preserve"> -- AND( tblFilterRP_Type[[#This Row],[Provider Type]] = "Traditional", RP_TypeTrad = "Yes" )</f>
        <v>1</v>
      </c>
      <c r="G679" s="23">
        <f xml:space="preserve"> -- AND( tblFilterRP_Type[[#This Row],[Provider Type]] = "LSVT", RP_TypeLSVT = "Yes" )</f>
        <v>0</v>
      </c>
      <c r="H679" s="24">
        <f xml:space="preserve"> SUM( tblFilterRP_Type[[#This Row],[Incl. for traditional]], tblFilterRP_Type[[#This Row],[Incl. for LSVT]] )</f>
        <v>1</v>
      </c>
      <c r="I679" s="132" t="str" cm="1">
        <f t="array" ref="I679" xml:space="preserve"> INDEX( VfM_Metrics_2023_Consol_Source[], $D679, I$622 )</f>
        <v/>
      </c>
      <c r="J679" s="29" cm="1">
        <f t="array" ref="J679" xml:space="preserve"> INDEX( VfM_Metrics_2023_Consol_Source[], $D679, J$622 )</f>
        <v>0</v>
      </c>
    </row>
    <row r="680" spans="2:10" x14ac:dyDescent="0.2">
      <c r="B680" s="122" t="str" vm="57">
        <f t="shared" ref="B680:D680" si="153" xml:space="preserve"> B478</f>
        <v>Freebridge Community Housing Limited</v>
      </c>
      <c r="C680" s="122" t="str" vm="388">
        <f t="shared" si="153"/>
        <v>L4463</v>
      </c>
      <c r="D680" s="81">
        <f t="shared" si="153"/>
        <v>57</v>
      </c>
      <c r="E680" s="29" t="str" cm="1">
        <f t="array" ref="E680" xml:space="preserve"> INDEX( VfM_Metrics_2023_Consol_Source[], $D680, E$622 )</f>
        <v>Traditional</v>
      </c>
      <c r="F680" s="23">
        <f xml:space="preserve"> -- AND( tblFilterRP_Type[[#This Row],[Provider Type]] = "Traditional", RP_TypeTrad = "Yes" )</f>
        <v>1</v>
      </c>
      <c r="G680" s="23">
        <f xml:space="preserve"> -- AND( tblFilterRP_Type[[#This Row],[Provider Type]] = "LSVT", RP_TypeLSVT = "Yes" )</f>
        <v>0</v>
      </c>
      <c r="H680" s="24">
        <f xml:space="preserve"> SUM( tblFilterRP_Type[[#This Row],[Incl. for traditional]], tblFilterRP_Type[[#This Row],[Incl. for LSVT]] )</f>
        <v>1</v>
      </c>
      <c r="I680" s="132" cm="1">
        <f t="array" ref="I680" xml:space="preserve"> INDEX( VfM_Metrics_2023_Consol_Source[], $D680, I$622 )</f>
        <v>0</v>
      </c>
      <c r="J680" s="29" t="str" cm="1">
        <f t="array" ref="J680" xml:space="preserve"> INDEX( VfM_Metrics_2023_Consol_Source[], $D680, J$622 )</f>
        <v>&gt;= 12 years</v>
      </c>
    </row>
    <row r="681" spans="2:10" x14ac:dyDescent="0.2">
      <c r="B681" s="122" t="str" vm="58">
        <f t="shared" ref="B681:D681" si="154" xml:space="preserve"> B479</f>
        <v>Futures Housing Group Limited</v>
      </c>
      <c r="C681" s="122" t="str" vm="288">
        <f t="shared" si="154"/>
        <v>L4502</v>
      </c>
      <c r="D681" s="81">
        <f t="shared" si="154"/>
        <v>58</v>
      </c>
      <c r="E681" s="29" t="str" cm="1">
        <f t="array" ref="E681" xml:space="preserve"> INDEX( VfM_Metrics_2023_Consol_Source[], $D681, E$622 )</f>
        <v>Traditional</v>
      </c>
      <c r="F681" s="23">
        <f xml:space="preserve"> -- AND( tblFilterRP_Type[[#This Row],[Provider Type]] = "Traditional", RP_TypeTrad = "Yes" )</f>
        <v>1</v>
      </c>
      <c r="G681" s="23">
        <f xml:space="preserve"> -- AND( tblFilterRP_Type[[#This Row],[Provider Type]] = "LSVT", RP_TypeLSVT = "Yes" )</f>
        <v>0</v>
      </c>
      <c r="H681" s="24">
        <f xml:space="preserve"> SUM( tblFilterRP_Type[[#This Row],[Incl. for traditional]], tblFilterRP_Type[[#This Row],[Incl. for LSVT]] )</f>
        <v>1</v>
      </c>
      <c r="I681" s="132" cm="1">
        <f t="array" ref="I681" xml:space="preserve"> INDEX( VfM_Metrics_2023_Consol_Source[], $D681, I$622 )</f>
        <v>0</v>
      </c>
      <c r="J681" s="29" t="str" cm="1">
        <f t="array" ref="J681" xml:space="preserve"> INDEX( VfM_Metrics_2023_Consol_Source[], $D681, J$622 )</f>
        <v>&gt;= 12 years</v>
      </c>
    </row>
    <row r="682" spans="2:10" x14ac:dyDescent="0.2">
      <c r="B682" s="122" t="str" vm="59">
        <f t="shared" ref="B682:D682" si="155" xml:space="preserve"> B480</f>
        <v>Gateway Housing Association Limited</v>
      </c>
      <c r="C682" s="122" t="str" vm="312">
        <f t="shared" si="155"/>
        <v>L0517</v>
      </c>
      <c r="D682" s="81">
        <f t="shared" si="155"/>
        <v>59</v>
      </c>
      <c r="E682" s="29" t="str" cm="1">
        <f t="array" ref="E682" xml:space="preserve"> INDEX( VfM_Metrics_2023_Consol_Source[], $D682, E$622 )</f>
        <v>Traditional</v>
      </c>
      <c r="F682" s="23">
        <f xml:space="preserve"> -- AND( tblFilterRP_Type[[#This Row],[Provider Type]] = "Traditional", RP_TypeTrad = "Yes" )</f>
        <v>1</v>
      </c>
      <c r="G682" s="23">
        <f xml:space="preserve"> -- AND( tblFilterRP_Type[[#This Row],[Provider Type]] = "LSVT", RP_TypeLSVT = "Yes" )</f>
        <v>0</v>
      </c>
      <c r="H682" s="24">
        <f xml:space="preserve"> SUM( tblFilterRP_Type[[#This Row],[Incl. for traditional]], tblFilterRP_Type[[#This Row],[Incl. for LSVT]] )</f>
        <v>1</v>
      </c>
      <c r="I682" s="132" t="str" cm="1">
        <f t="array" ref="I682" xml:space="preserve"> INDEX( VfM_Metrics_2023_Consol_Source[], $D682, I$622 )</f>
        <v/>
      </c>
      <c r="J682" s="29" cm="1">
        <f t="array" ref="J682" xml:space="preserve"> INDEX( VfM_Metrics_2023_Consol_Source[], $D682, J$622 )</f>
        <v>0</v>
      </c>
    </row>
    <row r="683" spans="2:10" x14ac:dyDescent="0.2">
      <c r="B683" s="122" t="str" vm="60">
        <f t="shared" ref="B683:D683" si="156" xml:space="preserve"> B481</f>
        <v>Gentoo Group Limited</v>
      </c>
      <c r="C683" s="122" t="str" vm="344">
        <f t="shared" si="156"/>
        <v>L4313</v>
      </c>
      <c r="D683" s="81">
        <f t="shared" si="156"/>
        <v>60</v>
      </c>
      <c r="E683" s="29" t="str" cm="1">
        <f t="array" ref="E683" xml:space="preserve"> INDEX( VfM_Metrics_2023_Consol_Source[], $D683, E$622 )</f>
        <v>Traditional</v>
      </c>
      <c r="F683" s="23">
        <f xml:space="preserve"> -- AND( tblFilterRP_Type[[#This Row],[Provider Type]] = "Traditional", RP_TypeTrad = "Yes" )</f>
        <v>1</v>
      </c>
      <c r="G683" s="23">
        <f xml:space="preserve"> -- AND( tblFilterRP_Type[[#This Row],[Provider Type]] = "LSVT", RP_TypeLSVT = "Yes" )</f>
        <v>0</v>
      </c>
      <c r="H683" s="24">
        <f xml:space="preserve"> SUM( tblFilterRP_Type[[#This Row],[Incl. for traditional]], tblFilterRP_Type[[#This Row],[Incl. for LSVT]] )</f>
        <v>1</v>
      </c>
      <c r="I683" s="132" cm="1">
        <f t="array" ref="I683" xml:space="preserve"> INDEX( VfM_Metrics_2023_Consol_Source[], $D683, I$622 )</f>
        <v>0</v>
      </c>
      <c r="J683" s="29" t="str" cm="1">
        <f t="array" ref="J683" xml:space="preserve"> INDEX( VfM_Metrics_2023_Consol_Source[], $D683, J$622 )</f>
        <v>&gt;= 12 years</v>
      </c>
    </row>
    <row r="684" spans="2:10" x14ac:dyDescent="0.2">
      <c r="B684" s="122" t="str" vm="61">
        <f t="shared" ref="B684:D684" si="157" xml:space="preserve"> B482</f>
        <v>Gloucester City Homes Limited</v>
      </c>
      <c r="C684" s="122" t="str" vm="322">
        <f t="shared" si="157"/>
        <v>4584</v>
      </c>
      <c r="D684" s="81">
        <f t="shared" si="157"/>
        <v>61</v>
      </c>
      <c r="E684" s="29" t="str" cm="1">
        <f t="array" ref="E684" xml:space="preserve"> INDEX( VfM_Metrics_2023_Consol_Source[], $D684, E$622 )</f>
        <v>LSVT</v>
      </c>
      <c r="F684" s="23">
        <f xml:space="preserve"> -- AND( tblFilterRP_Type[[#This Row],[Provider Type]] = "Traditional", RP_TypeTrad = "Yes" )</f>
        <v>0</v>
      </c>
      <c r="G684" s="23">
        <f xml:space="preserve"> -- AND( tblFilterRP_Type[[#This Row],[Provider Type]] = "LSVT", RP_TypeLSVT = "Yes" )</f>
        <v>1</v>
      </c>
      <c r="H684" s="24">
        <f xml:space="preserve"> SUM( tblFilterRP_Type[[#This Row],[Incl. for traditional]], tblFilterRP_Type[[#This Row],[Incl. for LSVT]] )</f>
        <v>1</v>
      </c>
      <c r="I684" s="132" cm="1">
        <f t="array" ref="I684" xml:space="preserve"> INDEX( VfM_Metrics_2023_Consol_Source[], $D684, I$622 )</f>
        <v>42079</v>
      </c>
      <c r="J684" s="29" t="str" cm="1">
        <f t="array" ref="J684" xml:space="preserve"> INDEX( VfM_Metrics_2023_Consol_Source[], $D684, J$622 )</f>
        <v>&lt; 12 years</v>
      </c>
    </row>
    <row r="685" spans="2:10" x14ac:dyDescent="0.2">
      <c r="B685" s="122" t="str" vm="62">
        <f t="shared" ref="B685:D685" si="158" xml:space="preserve"> B483</f>
        <v>Golden Lane Housing Limited</v>
      </c>
      <c r="C685" s="122" t="str" vm="309">
        <f t="shared" si="158"/>
        <v>4803</v>
      </c>
      <c r="D685" s="81">
        <f t="shared" si="158"/>
        <v>62</v>
      </c>
      <c r="E685" s="29" t="str" cm="1">
        <f t="array" ref="E685" xml:space="preserve"> INDEX( VfM_Metrics_2023_Consol_Source[], $D685, E$622 )</f>
        <v>Traditional</v>
      </c>
      <c r="F685" s="23">
        <f xml:space="preserve"> -- AND( tblFilterRP_Type[[#This Row],[Provider Type]] = "Traditional", RP_TypeTrad = "Yes" )</f>
        <v>1</v>
      </c>
      <c r="G685" s="23">
        <f xml:space="preserve"> -- AND( tblFilterRP_Type[[#This Row],[Provider Type]] = "LSVT", RP_TypeLSVT = "Yes" )</f>
        <v>0</v>
      </c>
      <c r="H685" s="24">
        <f xml:space="preserve"> SUM( tblFilterRP_Type[[#This Row],[Incl. for traditional]], tblFilterRP_Type[[#This Row],[Incl. for LSVT]] )</f>
        <v>1</v>
      </c>
      <c r="I685" s="132" t="str" cm="1">
        <f t="array" ref="I685" xml:space="preserve"> INDEX( VfM_Metrics_2023_Consol_Source[], $D685, I$622 )</f>
        <v/>
      </c>
      <c r="J685" s="29" cm="1">
        <f t="array" ref="J685" xml:space="preserve"> INDEX( VfM_Metrics_2023_Consol_Source[], $D685, J$622 )</f>
        <v>0</v>
      </c>
    </row>
    <row r="686" spans="2:10" x14ac:dyDescent="0.2">
      <c r="B686" s="122" t="str" vm="63">
        <f t="shared" ref="B686:D686" si="159" xml:space="preserve"> B484</f>
        <v>Golding Homes Limited</v>
      </c>
      <c r="C686" s="122" t="str" vm="361">
        <f t="shared" si="159"/>
        <v>LH4402</v>
      </c>
      <c r="D686" s="81">
        <f t="shared" si="159"/>
        <v>63</v>
      </c>
      <c r="E686" s="29" t="str" cm="1">
        <f t="array" ref="E686" xml:space="preserve"> INDEX( VfM_Metrics_2023_Consol_Source[], $D686, E$622 )</f>
        <v>Traditional</v>
      </c>
      <c r="F686" s="23">
        <f xml:space="preserve"> -- AND( tblFilterRP_Type[[#This Row],[Provider Type]] = "Traditional", RP_TypeTrad = "Yes" )</f>
        <v>1</v>
      </c>
      <c r="G686" s="23">
        <f xml:space="preserve"> -- AND( tblFilterRP_Type[[#This Row],[Provider Type]] = "LSVT", RP_TypeLSVT = "Yes" )</f>
        <v>0</v>
      </c>
      <c r="H686" s="24">
        <f xml:space="preserve"> SUM( tblFilterRP_Type[[#This Row],[Incl. for traditional]], tblFilterRP_Type[[#This Row],[Incl. for LSVT]] )</f>
        <v>1</v>
      </c>
      <c r="I686" s="132" cm="1">
        <f t="array" ref="I686" xml:space="preserve"> INDEX( VfM_Metrics_2023_Consol_Source[], $D686, I$622 )</f>
        <v>0</v>
      </c>
      <c r="J686" s="29" t="str" cm="1">
        <f t="array" ref="J686" xml:space="preserve"> INDEX( VfM_Metrics_2023_Consol_Source[], $D686, J$622 )</f>
        <v>&gt;= 12 years</v>
      </c>
    </row>
    <row r="687" spans="2:10" x14ac:dyDescent="0.2">
      <c r="B687" s="122" t="str" vm="64">
        <f t="shared" ref="B687:D687" si="160" xml:space="preserve"> B485</f>
        <v>Grand Union Housing Group Limited</v>
      </c>
      <c r="C687" s="122" t="str" vm="292">
        <f t="shared" si="160"/>
        <v>5060</v>
      </c>
      <c r="D687" s="81">
        <f t="shared" si="160"/>
        <v>64</v>
      </c>
      <c r="E687" s="29" t="str" cm="1">
        <f t="array" ref="E687" xml:space="preserve"> INDEX( VfM_Metrics_2023_Consol_Source[], $D687, E$622 )</f>
        <v>Traditional</v>
      </c>
      <c r="F687" s="23">
        <f xml:space="preserve"> -- AND( tblFilterRP_Type[[#This Row],[Provider Type]] = "Traditional", RP_TypeTrad = "Yes" )</f>
        <v>1</v>
      </c>
      <c r="G687" s="23">
        <f xml:space="preserve"> -- AND( tblFilterRP_Type[[#This Row],[Provider Type]] = "LSVT", RP_TypeLSVT = "Yes" )</f>
        <v>0</v>
      </c>
      <c r="H687" s="24">
        <f xml:space="preserve"> SUM( tblFilterRP_Type[[#This Row],[Incl. for traditional]], tblFilterRP_Type[[#This Row],[Incl. for LSVT]] )</f>
        <v>1</v>
      </c>
      <c r="I687" s="132" cm="1">
        <f t="array" ref="I687" xml:space="preserve"> INDEX( VfM_Metrics_2023_Consol_Source[], $D687, I$622 )</f>
        <v>0</v>
      </c>
      <c r="J687" s="29" t="str" cm="1">
        <f t="array" ref="J687" xml:space="preserve"> INDEX( VfM_Metrics_2023_Consol_Source[], $D687, J$622 )</f>
        <v>&gt;= 12 years</v>
      </c>
    </row>
    <row r="688" spans="2:10" x14ac:dyDescent="0.2">
      <c r="B688" s="122" t="str" vm="65">
        <f t="shared" ref="B688:D688" si="161" xml:space="preserve"> B486</f>
        <v>Great Places Housing Group Limited</v>
      </c>
      <c r="C688" s="122" t="str" vm="345">
        <f t="shared" si="161"/>
        <v>L4465</v>
      </c>
      <c r="D688" s="81">
        <f t="shared" si="161"/>
        <v>65</v>
      </c>
      <c r="E688" s="29" t="str" cm="1">
        <f t="array" ref="E688" xml:space="preserve"> INDEX( VfM_Metrics_2023_Consol_Source[], $D688, E$622 )</f>
        <v>Traditional</v>
      </c>
      <c r="F688" s="23">
        <f xml:space="preserve"> -- AND( tblFilterRP_Type[[#This Row],[Provider Type]] = "Traditional", RP_TypeTrad = "Yes" )</f>
        <v>1</v>
      </c>
      <c r="G688" s="23">
        <f xml:space="preserve"> -- AND( tblFilterRP_Type[[#This Row],[Provider Type]] = "LSVT", RP_TypeLSVT = "Yes" )</f>
        <v>0</v>
      </c>
      <c r="H688" s="24">
        <f xml:space="preserve"> SUM( tblFilterRP_Type[[#This Row],[Incl. for traditional]], tblFilterRP_Type[[#This Row],[Incl. for LSVT]] )</f>
        <v>1</v>
      </c>
      <c r="I688" s="132" t="str" cm="1">
        <f t="array" ref="I688" xml:space="preserve"> INDEX( VfM_Metrics_2023_Consol_Source[], $D688, I$622 )</f>
        <v/>
      </c>
      <c r="J688" s="29" cm="1">
        <f t="array" ref="J688" xml:space="preserve"> INDEX( VfM_Metrics_2023_Consol_Source[], $D688, J$622 )</f>
        <v>0</v>
      </c>
    </row>
    <row r="689" spans="2:10" x14ac:dyDescent="0.2">
      <c r="B689" s="122" t="str" vm="66">
        <f t="shared" ref="B689:D689" si="162" xml:space="preserve"> B487</f>
        <v>Greatwell Homes Limited</v>
      </c>
      <c r="C689" s="122" t="str" vm="373">
        <f t="shared" si="162"/>
        <v>L4509</v>
      </c>
      <c r="D689" s="81">
        <f t="shared" si="162"/>
        <v>66</v>
      </c>
      <c r="E689" s="29" t="str" cm="1">
        <f t="array" ref="E689" xml:space="preserve"> INDEX( VfM_Metrics_2023_Consol_Source[], $D689, E$622 )</f>
        <v>Traditional</v>
      </c>
      <c r="F689" s="23">
        <f xml:space="preserve"> -- AND( tblFilterRP_Type[[#This Row],[Provider Type]] = "Traditional", RP_TypeTrad = "Yes" )</f>
        <v>1</v>
      </c>
      <c r="G689" s="23">
        <f xml:space="preserve"> -- AND( tblFilterRP_Type[[#This Row],[Provider Type]] = "LSVT", RP_TypeLSVT = "Yes" )</f>
        <v>0</v>
      </c>
      <c r="H689" s="24">
        <f xml:space="preserve"> SUM( tblFilterRP_Type[[#This Row],[Incl. for traditional]], tblFilterRP_Type[[#This Row],[Incl. for LSVT]] )</f>
        <v>1</v>
      </c>
      <c r="I689" s="132" cm="1">
        <f t="array" ref="I689" xml:space="preserve"> INDEX( VfM_Metrics_2023_Consol_Source[], $D689, I$622 )</f>
        <v>0</v>
      </c>
      <c r="J689" s="29" t="str" cm="1">
        <f t="array" ref="J689" xml:space="preserve"> INDEX( VfM_Metrics_2023_Consol_Source[], $D689, J$622 )</f>
        <v>&gt;= 12 years</v>
      </c>
    </row>
    <row r="690" spans="2:10" x14ac:dyDescent="0.2">
      <c r="B690" s="122" t="str" vm="67">
        <f t="shared" ref="B690:D690" si="163" xml:space="preserve"> B488</f>
        <v>GreenSquareAccord Limited</v>
      </c>
      <c r="C690" s="122" t="str" vm="340">
        <f t="shared" si="163"/>
        <v>LH3902</v>
      </c>
      <c r="D690" s="81">
        <f t="shared" si="163"/>
        <v>67</v>
      </c>
      <c r="E690" s="29" t="str" cm="1">
        <f t="array" ref="E690" xml:space="preserve"> INDEX( VfM_Metrics_2023_Consol_Source[], $D690, E$622 )</f>
        <v>Traditional</v>
      </c>
      <c r="F690" s="23">
        <f xml:space="preserve"> -- AND( tblFilterRP_Type[[#This Row],[Provider Type]] = "Traditional", RP_TypeTrad = "Yes" )</f>
        <v>1</v>
      </c>
      <c r="G690" s="23">
        <f xml:space="preserve"> -- AND( tblFilterRP_Type[[#This Row],[Provider Type]] = "LSVT", RP_TypeLSVT = "Yes" )</f>
        <v>0</v>
      </c>
      <c r="H690" s="24">
        <f xml:space="preserve"> SUM( tblFilterRP_Type[[#This Row],[Incl. for traditional]], tblFilterRP_Type[[#This Row],[Incl. for LSVT]] )</f>
        <v>1</v>
      </c>
      <c r="I690" s="132" t="str" cm="1">
        <f t="array" ref="I690" xml:space="preserve"> INDEX( VfM_Metrics_2023_Consol_Source[], $D690, I$622 )</f>
        <v/>
      </c>
      <c r="J690" s="29" cm="1">
        <f t="array" ref="J690" xml:space="preserve"> INDEX( VfM_Metrics_2023_Consol_Source[], $D690, J$622 )</f>
        <v>0</v>
      </c>
    </row>
    <row r="691" spans="2:10" x14ac:dyDescent="0.2">
      <c r="B691" s="122" t="str" vm="68">
        <f t="shared" ref="B691:D691" si="164" xml:space="preserve"> B489</f>
        <v>Habinteg Housing Association Limited</v>
      </c>
      <c r="C691" s="122" t="str" vm="311">
        <f t="shared" si="164"/>
        <v>LH0459</v>
      </c>
      <c r="D691" s="81">
        <f t="shared" si="164"/>
        <v>68</v>
      </c>
      <c r="E691" s="29" t="str" cm="1">
        <f t="array" ref="E691" xml:space="preserve"> INDEX( VfM_Metrics_2023_Consol_Source[], $D691, E$622 )</f>
        <v>Traditional</v>
      </c>
      <c r="F691" s="23">
        <f xml:space="preserve"> -- AND( tblFilterRP_Type[[#This Row],[Provider Type]] = "Traditional", RP_TypeTrad = "Yes" )</f>
        <v>1</v>
      </c>
      <c r="G691" s="23">
        <f xml:space="preserve"> -- AND( tblFilterRP_Type[[#This Row],[Provider Type]] = "LSVT", RP_TypeLSVT = "Yes" )</f>
        <v>0</v>
      </c>
      <c r="H691" s="24">
        <f xml:space="preserve"> SUM( tblFilterRP_Type[[#This Row],[Incl. for traditional]], tblFilterRP_Type[[#This Row],[Incl. for LSVT]] )</f>
        <v>1</v>
      </c>
      <c r="I691" s="132" t="str" cm="1">
        <f t="array" ref="I691" xml:space="preserve"> INDEX( VfM_Metrics_2023_Consol_Source[], $D691, I$622 )</f>
        <v/>
      </c>
      <c r="J691" s="29" cm="1">
        <f t="array" ref="J691" xml:space="preserve"> INDEX( VfM_Metrics_2023_Consol_Source[], $D691, J$622 )</f>
        <v>0</v>
      </c>
    </row>
    <row r="692" spans="2:10" x14ac:dyDescent="0.2">
      <c r="B692" s="122" t="str" vm="69">
        <f t="shared" ref="B692:D692" si="165" xml:space="preserve"> B490</f>
        <v>Halton Housing</v>
      </c>
      <c r="C692" s="122" t="str" vm="387">
        <f t="shared" si="165"/>
        <v>L4456</v>
      </c>
      <c r="D692" s="81">
        <f t="shared" si="165"/>
        <v>69</v>
      </c>
      <c r="E692" s="29" t="str" cm="1">
        <f t="array" ref="E692" xml:space="preserve"> INDEX( VfM_Metrics_2023_Consol_Source[], $D692, E$622 )</f>
        <v>Traditional</v>
      </c>
      <c r="F692" s="23">
        <f xml:space="preserve"> -- AND( tblFilterRP_Type[[#This Row],[Provider Type]] = "Traditional", RP_TypeTrad = "Yes" )</f>
        <v>1</v>
      </c>
      <c r="G692" s="23">
        <f xml:space="preserve"> -- AND( tblFilterRP_Type[[#This Row],[Provider Type]] = "LSVT", RP_TypeLSVT = "Yes" )</f>
        <v>0</v>
      </c>
      <c r="H692" s="24">
        <f xml:space="preserve"> SUM( tblFilterRP_Type[[#This Row],[Incl. for traditional]], tblFilterRP_Type[[#This Row],[Incl. for LSVT]] )</f>
        <v>1</v>
      </c>
      <c r="I692" s="132" cm="1">
        <f t="array" ref="I692" xml:space="preserve"> INDEX( VfM_Metrics_2023_Consol_Source[], $D692, I$622 )</f>
        <v>0</v>
      </c>
      <c r="J692" s="29" t="str" cm="1">
        <f t="array" ref="J692" xml:space="preserve"> INDEX( VfM_Metrics_2023_Consol_Source[], $D692, J$622 )</f>
        <v>&gt;= 12 years</v>
      </c>
    </row>
    <row r="693" spans="2:10" x14ac:dyDescent="0.2">
      <c r="B693" s="122" t="str" vm="70">
        <f t="shared" ref="B693:D693" si="166" xml:space="preserve"> B491</f>
        <v>Hastoe Housing Association Limited</v>
      </c>
      <c r="C693" s="122" t="str" vm="395">
        <f t="shared" si="166"/>
        <v>L0018</v>
      </c>
      <c r="D693" s="81">
        <f t="shared" si="166"/>
        <v>70</v>
      </c>
      <c r="E693" s="29" t="str" cm="1">
        <f t="array" ref="E693" xml:space="preserve"> INDEX( VfM_Metrics_2023_Consol_Source[], $D693, E$622 )</f>
        <v>Traditional</v>
      </c>
      <c r="F693" s="23">
        <f xml:space="preserve"> -- AND( tblFilterRP_Type[[#This Row],[Provider Type]] = "Traditional", RP_TypeTrad = "Yes" )</f>
        <v>1</v>
      </c>
      <c r="G693" s="23">
        <f xml:space="preserve"> -- AND( tblFilterRP_Type[[#This Row],[Provider Type]] = "LSVT", RP_TypeLSVT = "Yes" )</f>
        <v>0</v>
      </c>
      <c r="H693" s="24">
        <f xml:space="preserve"> SUM( tblFilterRP_Type[[#This Row],[Incl. for traditional]], tblFilterRP_Type[[#This Row],[Incl. for LSVT]] )</f>
        <v>1</v>
      </c>
      <c r="I693" s="132" t="str" cm="1">
        <f t="array" ref="I693" xml:space="preserve"> INDEX( VfM_Metrics_2023_Consol_Source[], $D693, I$622 )</f>
        <v/>
      </c>
      <c r="J693" s="29" cm="1">
        <f t="array" ref="J693" xml:space="preserve"> INDEX( VfM_Metrics_2023_Consol_Source[], $D693, J$622 )</f>
        <v>0</v>
      </c>
    </row>
    <row r="694" spans="2:10" x14ac:dyDescent="0.2">
      <c r="B694" s="122" t="str" vm="71">
        <f t="shared" ref="B694:D694" si="167" xml:space="preserve"> B492</f>
        <v>Hexagon Housing Association Limited</v>
      </c>
      <c r="C694" s="122" t="str" vm="313">
        <f t="shared" si="167"/>
        <v>L1538</v>
      </c>
      <c r="D694" s="81">
        <f t="shared" si="167"/>
        <v>71</v>
      </c>
      <c r="E694" s="29" t="str" cm="1">
        <f t="array" ref="E694" xml:space="preserve"> INDEX( VfM_Metrics_2023_Consol_Source[], $D694, E$622 )</f>
        <v>Traditional</v>
      </c>
      <c r="F694" s="23">
        <f xml:space="preserve"> -- AND( tblFilterRP_Type[[#This Row],[Provider Type]] = "Traditional", RP_TypeTrad = "Yes" )</f>
        <v>1</v>
      </c>
      <c r="G694" s="23">
        <f xml:space="preserve"> -- AND( tblFilterRP_Type[[#This Row],[Provider Type]] = "LSVT", RP_TypeLSVT = "Yes" )</f>
        <v>0</v>
      </c>
      <c r="H694" s="24">
        <f xml:space="preserve"> SUM( tblFilterRP_Type[[#This Row],[Incl. for traditional]], tblFilterRP_Type[[#This Row],[Incl. for LSVT]] )</f>
        <v>1</v>
      </c>
      <c r="I694" s="132" t="str" cm="1">
        <f t="array" ref="I694" xml:space="preserve"> INDEX( VfM_Metrics_2023_Consol_Source[], $D694, I$622 )</f>
        <v/>
      </c>
      <c r="J694" s="29" cm="1">
        <f t="array" ref="J694" xml:space="preserve"> INDEX( VfM_Metrics_2023_Consol_Source[], $D694, J$622 )</f>
        <v>0</v>
      </c>
    </row>
    <row r="695" spans="2:10" x14ac:dyDescent="0.2">
      <c r="B695" s="122" t="str" vm="72">
        <f t="shared" ref="B695:D695" si="168" xml:space="preserve"> B493</f>
        <v>Hightown Housing Association Limited</v>
      </c>
      <c r="C695" s="122" t="str" vm="349">
        <f t="shared" si="168"/>
        <v>L2179</v>
      </c>
      <c r="D695" s="81">
        <f t="shared" si="168"/>
        <v>72</v>
      </c>
      <c r="E695" s="29" t="str" cm="1">
        <f t="array" ref="E695" xml:space="preserve"> INDEX( VfM_Metrics_2023_Consol_Source[], $D695, E$622 )</f>
        <v>Traditional</v>
      </c>
      <c r="F695" s="23">
        <f xml:space="preserve"> -- AND( tblFilterRP_Type[[#This Row],[Provider Type]] = "Traditional", RP_TypeTrad = "Yes" )</f>
        <v>1</v>
      </c>
      <c r="G695" s="23">
        <f xml:space="preserve"> -- AND( tblFilterRP_Type[[#This Row],[Provider Type]] = "LSVT", RP_TypeLSVT = "Yes" )</f>
        <v>0</v>
      </c>
      <c r="H695" s="24">
        <f xml:space="preserve"> SUM( tblFilterRP_Type[[#This Row],[Incl. for traditional]], tblFilterRP_Type[[#This Row],[Incl. for LSVT]] )</f>
        <v>1</v>
      </c>
      <c r="I695" s="132" t="str" cm="1">
        <f t="array" ref="I695" xml:space="preserve"> INDEX( VfM_Metrics_2023_Consol_Source[], $D695, I$622 )</f>
        <v/>
      </c>
      <c r="J695" s="29" cm="1">
        <f t="array" ref="J695" xml:space="preserve"> INDEX( VfM_Metrics_2023_Consol_Source[], $D695, J$622 )</f>
        <v>0</v>
      </c>
    </row>
    <row r="696" spans="2:10" x14ac:dyDescent="0.2">
      <c r="B696" s="122" t="str" vm="73">
        <f t="shared" ref="B696:D696" si="169" xml:space="preserve"> B494</f>
        <v>Home Group Limited</v>
      </c>
      <c r="C696" s="122" t="str" vm="243">
        <f t="shared" si="169"/>
        <v>L3076</v>
      </c>
      <c r="D696" s="81">
        <f t="shared" si="169"/>
        <v>73</v>
      </c>
      <c r="E696" s="29" t="str" cm="1">
        <f t="array" ref="E696" xml:space="preserve"> INDEX( VfM_Metrics_2023_Consol_Source[], $D696, E$622 )</f>
        <v>Traditional</v>
      </c>
      <c r="F696" s="23">
        <f xml:space="preserve"> -- AND( tblFilterRP_Type[[#This Row],[Provider Type]] = "Traditional", RP_TypeTrad = "Yes" )</f>
        <v>1</v>
      </c>
      <c r="G696" s="23">
        <f xml:space="preserve"> -- AND( tblFilterRP_Type[[#This Row],[Provider Type]] = "LSVT", RP_TypeLSVT = "Yes" )</f>
        <v>0</v>
      </c>
      <c r="H696" s="24">
        <f xml:space="preserve"> SUM( tblFilterRP_Type[[#This Row],[Incl. for traditional]], tblFilterRP_Type[[#This Row],[Incl. for LSVT]] )</f>
        <v>1</v>
      </c>
      <c r="I696" s="132" t="str" cm="1">
        <f t="array" ref="I696" xml:space="preserve"> INDEX( VfM_Metrics_2023_Consol_Source[], $D696, I$622 )</f>
        <v/>
      </c>
      <c r="J696" s="29" cm="1">
        <f t="array" ref="J696" xml:space="preserve"> INDEX( VfM_Metrics_2023_Consol_Source[], $D696, J$622 )</f>
        <v>0</v>
      </c>
    </row>
    <row r="697" spans="2:10" x14ac:dyDescent="0.2">
      <c r="B697" s="122" t="str" vm="74">
        <f t="shared" ref="B697:D697" si="170" xml:space="preserve"> B495</f>
        <v>Honeycomb Group Limited</v>
      </c>
      <c r="C697" s="122" t="str" vm="315">
        <f t="shared" si="170"/>
        <v>LH2162</v>
      </c>
      <c r="D697" s="81">
        <f t="shared" si="170"/>
        <v>74</v>
      </c>
      <c r="E697" s="29" t="str" cm="1">
        <f t="array" ref="E697" xml:space="preserve"> INDEX( VfM_Metrics_2023_Consol_Source[], $D697, E$622 )</f>
        <v>Traditional</v>
      </c>
      <c r="F697" s="23">
        <f xml:space="preserve"> -- AND( tblFilterRP_Type[[#This Row],[Provider Type]] = "Traditional", RP_TypeTrad = "Yes" )</f>
        <v>1</v>
      </c>
      <c r="G697" s="23">
        <f xml:space="preserve"> -- AND( tblFilterRP_Type[[#This Row],[Provider Type]] = "LSVT", RP_TypeLSVT = "Yes" )</f>
        <v>0</v>
      </c>
      <c r="H697" s="24">
        <f xml:space="preserve"> SUM( tblFilterRP_Type[[#This Row],[Incl. for traditional]], tblFilterRP_Type[[#This Row],[Incl. for LSVT]] )</f>
        <v>1</v>
      </c>
      <c r="I697" s="132" t="str" cm="1">
        <f t="array" ref="I697" xml:space="preserve"> INDEX( VfM_Metrics_2023_Consol_Source[], $D697, I$622 )</f>
        <v/>
      </c>
      <c r="J697" s="29" cm="1">
        <f t="array" ref="J697" xml:space="preserve"> INDEX( VfM_Metrics_2023_Consol_Source[], $D697, J$622 )</f>
        <v>0</v>
      </c>
    </row>
    <row r="698" spans="2:10" x14ac:dyDescent="0.2">
      <c r="B698" s="122" t="str" vm="75">
        <f t="shared" ref="B698:D698" si="171" xml:space="preserve"> B496</f>
        <v>Housing 21</v>
      </c>
      <c r="C698" s="122" t="str" vm="268">
        <f t="shared" si="171"/>
        <v>L0055</v>
      </c>
      <c r="D698" s="81">
        <f t="shared" si="171"/>
        <v>75</v>
      </c>
      <c r="E698" s="29" t="str" cm="1">
        <f t="array" ref="E698" xml:space="preserve"> INDEX( VfM_Metrics_2023_Consol_Source[], $D698, E$622 )</f>
        <v>Traditional</v>
      </c>
      <c r="F698" s="23">
        <f xml:space="preserve"> -- AND( tblFilterRP_Type[[#This Row],[Provider Type]] = "Traditional", RP_TypeTrad = "Yes" )</f>
        <v>1</v>
      </c>
      <c r="G698" s="23">
        <f xml:space="preserve"> -- AND( tblFilterRP_Type[[#This Row],[Provider Type]] = "LSVT", RP_TypeLSVT = "Yes" )</f>
        <v>0</v>
      </c>
      <c r="H698" s="24">
        <f xml:space="preserve"> SUM( tblFilterRP_Type[[#This Row],[Incl. for traditional]], tblFilterRP_Type[[#This Row],[Incl. for LSVT]] )</f>
        <v>1</v>
      </c>
      <c r="I698" s="132" t="str" cm="1">
        <f t="array" ref="I698" xml:space="preserve"> INDEX( VfM_Metrics_2023_Consol_Source[], $D698, I$622 )</f>
        <v/>
      </c>
      <c r="J698" s="29" cm="1">
        <f t="array" ref="J698" xml:space="preserve"> INDEX( VfM_Metrics_2023_Consol_Source[], $D698, J$622 )</f>
        <v>0</v>
      </c>
    </row>
    <row r="699" spans="2:10" x14ac:dyDescent="0.2">
      <c r="B699" s="122" t="str" vm="76">
        <f t="shared" ref="B699:D699" si="172" xml:space="preserve"> B497</f>
        <v>Housing Solutions</v>
      </c>
      <c r="C699" s="122" t="str" vm="377">
        <f t="shared" si="172"/>
        <v>L4073</v>
      </c>
      <c r="D699" s="81">
        <f t="shared" si="172"/>
        <v>76</v>
      </c>
      <c r="E699" s="29" t="str" cm="1">
        <f t="array" ref="E699" xml:space="preserve"> INDEX( VfM_Metrics_2023_Consol_Source[], $D699, E$622 )</f>
        <v>Traditional</v>
      </c>
      <c r="F699" s="23">
        <f xml:space="preserve"> -- AND( tblFilterRP_Type[[#This Row],[Provider Type]] = "Traditional", RP_TypeTrad = "Yes" )</f>
        <v>1</v>
      </c>
      <c r="G699" s="23">
        <f xml:space="preserve"> -- AND( tblFilterRP_Type[[#This Row],[Provider Type]] = "LSVT", RP_TypeLSVT = "Yes" )</f>
        <v>0</v>
      </c>
      <c r="H699" s="24">
        <f xml:space="preserve"> SUM( tblFilterRP_Type[[#This Row],[Incl. for traditional]], tblFilterRP_Type[[#This Row],[Incl. for LSVT]] )</f>
        <v>1</v>
      </c>
      <c r="I699" s="132" t="str" cm="1">
        <f t="array" ref="I699" xml:space="preserve"> INDEX( VfM_Metrics_2023_Consol_Source[], $D699, I$622 )</f>
        <v/>
      </c>
      <c r="J699" s="29" cm="1">
        <f t="array" ref="J699" xml:space="preserve"> INDEX( VfM_Metrics_2023_Consol_Source[], $D699, J$622 )</f>
        <v>0</v>
      </c>
    </row>
    <row r="700" spans="2:10" x14ac:dyDescent="0.2">
      <c r="B700" s="122" t="str" vm="77">
        <f t="shared" ref="B700:D700" si="173" xml:space="preserve"> B498</f>
        <v>Hundred Houses Society Limited</v>
      </c>
      <c r="C700" s="122" t="str" vm="225">
        <f t="shared" si="173"/>
        <v>L0718</v>
      </c>
      <c r="D700" s="81">
        <f t="shared" si="173"/>
        <v>77</v>
      </c>
      <c r="E700" s="29" t="str" cm="1">
        <f t="array" ref="E700" xml:space="preserve"> INDEX( VfM_Metrics_2023_Consol_Source[], $D700, E$622 )</f>
        <v>Traditional</v>
      </c>
      <c r="F700" s="23">
        <f xml:space="preserve"> -- AND( tblFilterRP_Type[[#This Row],[Provider Type]] = "Traditional", RP_TypeTrad = "Yes" )</f>
        <v>1</v>
      </c>
      <c r="G700" s="23">
        <f xml:space="preserve"> -- AND( tblFilterRP_Type[[#This Row],[Provider Type]] = "LSVT", RP_TypeLSVT = "Yes" )</f>
        <v>0</v>
      </c>
      <c r="H700" s="24">
        <f xml:space="preserve"> SUM( tblFilterRP_Type[[#This Row],[Incl. for traditional]], tblFilterRP_Type[[#This Row],[Incl. for LSVT]] )</f>
        <v>1</v>
      </c>
      <c r="I700" s="132" t="str" cm="1">
        <f t="array" ref="I700" xml:space="preserve"> INDEX( VfM_Metrics_2023_Consol_Source[], $D700, I$622 )</f>
        <v/>
      </c>
      <c r="J700" s="29" cm="1">
        <f t="array" ref="J700" xml:space="preserve"> INDEX( VfM_Metrics_2023_Consol_Source[], $D700, J$622 )</f>
        <v>0</v>
      </c>
    </row>
    <row r="701" spans="2:10" x14ac:dyDescent="0.2">
      <c r="B701" s="122" t="str" vm="78">
        <f t="shared" ref="B701:D701" si="174" xml:space="preserve"> B499</f>
        <v>Hyde Housing Association Limited</v>
      </c>
      <c r="C701" s="122" t="str" vm="245">
        <f t="shared" si="174"/>
        <v>LH0032</v>
      </c>
      <c r="D701" s="81">
        <f t="shared" si="174"/>
        <v>78</v>
      </c>
      <c r="E701" s="29" t="str" cm="1">
        <f t="array" ref="E701" xml:space="preserve"> INDEX( VfM_Metrics_2023_Consol_Source[], $D701, E$622 )</f>
        <v>Traditional</v>
      </c>
      <c r="F701" s="23">
        <f xml:space="preserve"> -- AND( tblFilterRP_Type[[#This Row],[Provider Type]] = "Traditional", RP_TypeTrad = "Yes" )</f>
        <v>1</v>
      </c>
      <c r="G701" s="23">
        <f xml:space="preserve"> -- AND( tblFilterRP_Type[[#This Row],[Provider Type]] = "LSVT", RP_TypeLSVT = "Yes" )</f>
        <v>0</v>
      </c>
      <c r="H701" s="24">
        <f xml:space="preserve"> SUM( tblFilterRP_Type[[#This Row],[Incl. for traditional]], tblFilterRP_Type[[#This Row],[Incl. for LSVT]] )</f>
        <v>1</v>
      </c>
      <c r="I701" s="132" t="str" cm="1">
        <f t="array" ref="I701" xml:space="preserve"> INDEX( VfM_Metrics_2023_Consol_Source[], $D701, I$622 )</f>
        <v/>
      </c>
      <c r="J701" s="29" cm="1">
        <f t="array" ref="J701" xml:space="preserve"> INDEX( VfM_Metrics_2023_Consol_Source[], $D701, J$622 )</f>
        <v>0</v>
      </c>
    </row>
    <row r="702" spans="2:10" x14ac:dyDescent="0.2">
      <c r="B702" s="122" t="str" vm="79">
        <f t="shared" ref="B702:D702" si="175" xml:space="preserve"> B500</f>
        <v>Inclusion Housing Community Interest Company</v>
      </c>
      <c r="C702" s="122" t="str" vm="304">
        <f t="shared" si="175"/>
        <v>4662</v>
      </c>
      <c r="D702" s="81">
        <f t="shared" si="175"/>
        <v>79</v>
      </c>
      <c r="E702" s="29" t="str" cm="1">
        <f t="array" ref="E702" xml:space="preserve"> INDEX( VfM_Metrics_2023_Consol_Source[], $D702, E$622 )</f>
        <v>Traditional</v>
      </c>
      <c r="F702" s="23">
        <f xml:space="preserve"> -- AND( tblFilterRP_Type[[#This Row],[Provider Type]] = "Traditional", RP_TypeTrad = "Yes" )</f>
        <v>1</v>
      </c>
      <c r="G702" s="23">
        <f xml:space="preserve"> -- AND( tblFilterRP_Type[[#This Row],[Provider Type]] = "LSVT", RP_TypeLSVT = "Yes" )</f>
        <v>0</v>
      </c>
      <c r="H702" s="24">
        <f xml:space="preserve"> SUM( tblFilterRP_Type[[#This Row],[Incl. for traditional]], tblFilterRP_Type[[#This Row],[Incl. for LSVT]] )</f>
        <v>1</v>
      </c>
      <c r="I702" s="132" t="str" cm="1">
        <f t="array" ref="I702" xml:space="preserve"> INDEX( VfM_Metrics_2023_Consol_Source[], $D702, I$622 )</f>
        <v/>
      </c>
      <c r="J702" s="29" cm="1">
        <f t="array" ref="J702" xml:space="preserve"> INDEX( VfM_Metrics_2023_Consol_Source[], $D702, J$622 )</f>
        <v>0</v>
      </c>
    </row>
    <row r="703" spans="2:10" x14ac:dyDescent="0.2">
      <c r="B703" s="122" t="str" vm="80">
        <f t="shared" ref="B703:D703" si="176" xml:space="preserve"> B501</f>
        <v>Incommunities Limited</v>
      </c>
      <c r="C703" s="122" t="str" vm="339">
        <f t="shared" si="176"/>
        <v>L4476</v>
      </c>
      <c r="D703" s="81">
        <f t="shared" si="176"/>
        <v>80</v>
      </c>
      <c r="E703" s="29" t="str" cm="1">
        <f t="array" ref="E703" xml:space="preserve"> INDEX( VfM_Metrics_2023_Consol_Source[], $D703, E$622 )</f>
        <v>Traditional</v>
      </c>
      <c r="F703" s="23">
        <f xml:space="preserve"> -- AND( tblFilterRP_Type[[#This Row],[Provider Type]] = "Traditional", RP_TypeTrad = "Yes" )</f>
        <v>1</v>
      </c>
      <c r="G703" s="23">
        <f xml:space="preserve"> -- AND( tblFilterRP_Type[[#This Row],[Provider Type]] = "LSVT", RP_TypeLSVT = "Yes" )</f>
        <v>0</v>
      </c>
      <c r="H703" s="24">
        <f xml:space="preserve"> SUM( tblFilterRP_Type[[#This Row],[Incl. for traditional]], tblFilterRP_Type[[#This Row],[Incl. for LSVT]] )</f>
        <v>1</v>
      </c>
      <c r="I703" s="132" cm="1">
        <f t="array" ref="I703" xml:space="preserve"> INDEX( VfM_Metrics_2023_Consol_Source[], $D703, I$622 )</f>
        <v>0</v>
      </c>
      <c r="J703" s="29" t="str" cm="1">
        <f t="array" ref="J703" xml:space="preserve"> INDEX( VfM_Metrics_2023_Consol_Source[], $D703, J$622 )</f>
        <v>&gt;= 12 years</v>
      </c>
    </row>
    <row r="704" spans="2:10" x14ac:dyDescent="0.2">
      <c r="B704" s="122" t="str" vm="81">
        <f t="shared" ref="B704:D704" si="177" xml:space="preserve"> B502</f>
        <v>Inquilab Housing Association Limited</v>
      </c>
      <c r="C704" s="122" t="str" vm="216">
        <f t="shared" si="177"/>
        <v>LH3728</v>
      </c>
      <c r="D704" s="81">
        <f t="shared" si="177"/>
        <v>81</v>
      </c>
      <c r="E704" s="29" t="str" cm="1">
        <f t="array" ref="E704" xml:space="preserve"> INDEX( VfM_Metrics_2023_Consol_Source[], $D704, E$622 )</f>
        <v>Traditional</v>
      </c>
      <c r="F704" s="23">
        <f xml:space="preserve"> -- AND( tblFilterRP_Type[[#This Row],[Provider Type]] = "Traditional", RP_TypeTrad = "Yes" )</f>
        <v>1</v>
      </c>
      <c r="G704" s="23">
        <f xml:space="preserve"> -- AND( tblFilterRP_Type[[#This Row],[Provider Type]] = "LSVT", RP_TypeLSVT = "Yes" )</f>
        <v>0</v>
      </c>
      <c r="H704" s="24">
        <f xml:space="preserve"> SUM( tblFilterRP_Type[[#This Row],[Incl. for traditional]], tblFilterRP_Type[[#This Row],[Incl. for LSVT]] )</f>
        <v>1</v>
      </c>
      <c r="I704" s="132" t="str" cm="1">
        <f t="array" ref="I704" xml:space="preserve"> INDEX( VfM_Metrics_2023_Consol_Source[], $D704, I$622 )</f>
        <v/>
      </c>
      <c r="J704" s="29" cm="1">
        <f t="array" ref="J704" xml:space="preserve"> INDEX( VfM_Metrics_2023_Consol_Source[], $D704, J$622 )</f>
        <v>0</v>
      </c>
    </row>
    <row r="705" spans="2:10" x14ac:dyDescent="0.2">
      <c r="B705" s="122" t="str" vm="82">
        <f t="shared" ref="B705:D705" si="178" xml:space="preserve"> B503</f>
        <v>Irwell Valley Housing Association Limited</v>
      </c>
      <c r="C705" s="122" t="str" vm="389">
        <f t="shared" si="178"/>
        <v>L0061</v>
      </c>
      <c r="D705" s="81">
        <f t="shared" si="178"/>
        <v>82</v>
      </c>
      <c r="E705" s="29" t="str" cm="1">
        <f t="array" ref="E705" xml:space="preserve"> INDEX( VfM_Metrics_2023_Consol_Source[], $D705, E$622 )</f>
        <v>Traditional</v>
      </c>
      <c r="F705" s="23">
        <f xml:space="preserve"> -- AND( tblFilterRP_Type[[#This Row],[Provider Type]] = "Traditional", RP_TypeTrad = "Yes" )</f>
        <v>1</v>
      </c>
      <c r="G705" s="23">
        <f xml:space="preserve"> -- AND( tblFilterRP_Type[[#This Row],[Provider Type]] = "LSVT", RP_TypeLSVT = "Yes" )</f>
        <v>0</v>
      </c>
      <c r="H705" s="24">
        <f xml:space="preserve"> SUM( tblFilterRP_Type[[#This Row],[Incl. for traditional]], tblFilterRP_Type[[#This Row],[Incl. for LSVT]] )</f>
        <v>1</v>
      </c>
      <c r="I705" s="132" t="str" cm="1">
        <f t="array" ref="I705" xml:space="preserve"> INDEX( VfM_Metrics_2023_Consol_Source[], $D705, I$622 )</f>
        <v/>
      </c>
      <c r="J705" s="29" cm="1">
        <f t="array" ref="J705" xml:space="preserve"> INDEX( VfM_Metrics_2023_Consol_Source[], $D705, J$622 )</f>
        <v>0</v>
      </c>
    </row>
    <row r="706" spans="2:10" x14ac:dyDescent="0.2">
      <c r="B706" s="122" t="str" vm="83">
        <f t="shared" ref="B706:D706" si="179" xml:space="preserve"> B504</f>
        <v>Islington and Shoreditch Housing Association Limited</v>
      </c>
      <c r="C706" s="122" t="str" vm="210">
        <f t="shared" si="179"/>
        <v>L0457</v>
      </c>
      <c r="D706" s="81">
        <f t="shared" si="179"/>
        <v>83</v>
      </c>
      <c r="E706" s="29" t="str" cm="1">
        <f t="array" ref="E706" xml:space="preserve"> INDEX( VfM_Metrics_2023_Consol_Source[], $D706, E$622 )</f>
        <v>Traditional</v>
      </c>
      <c r="F706" s="23">
        <f xml:space="preserve"> -- AND( tblFilterRP_Type[[#This Row],[Provider Type]] = "Traditional", RP_TypeTrad = "Yes" )</f>
        <v>1</v>
      </c>
      <c r="G706" s="23">
        <f xml:space="preserve"> -- AND( tblFilterRP_Type[[#This Row],[Provider Type]] = "LSVT", RP_TypeLSVT = "Yes" )</f>
        <v>0</v>
      </c>
      <c r="H706" s="24">
        <f xml:space="preserve"> SUM( tblFilterRP_Type[[#This Row],[Incl. for traditional]], tblFilterRP_Type[[#This Row],[Incl. for LSVT]] )</f>
        <v>1</v>
      </c>
      <c r="I706" s="132" t="str" cm="1">
        <f t="array" ref="I706" xml:space="preserve"> INDEX( VfM_Metrics_2023_Consol_Source[], $D706, I$622 )</f>
        <v/>
      </c>
      <c r="J706" s="29" cm="1">
        <f t="array" ref="J706" xml:space="preserve"> INDEX( VfM_Metrics_2023_Consol_Source[], $D706, J$622 )</f>
        <v>0</v>
      </c>
    </row>
    <row r="707" spans="2:10" x14ac:dyDescent="0.2">
      <c r="B707" s="122" t="str" vm="84">
        <f t="shared" ref="B707:D707" si="180" xml:space="preserve"> B505</f>
        <v>Jigsaw Homes Group Limited</v>
      </c>
      <c r="C707" s="122" t="str" vm="262">
        <f t="shared" si="180"/>
        <v>LH4345</v>
      </c>
      <c r="D707" s="81">
        <f t="shared" si="180"/>
        <v>84</v>
      </c>
      <c r="E707" s="29" t="str" cm="1">
        <f t="array" ref="E707" xml:space="preserve"> INDEX( VfM_Metrics_2023_Consol_Source[], $D707, E$622 )</f>
        <v>Traditional</v>
      </c>
      <c r="F707" s="23">
        <f xml:space="preserve"> -- AND( tblFilterRP_Type[[#This Row],[Provider Type]] = "Traditional", RP_TypeTrad = "Yes" )</f>
        <v>1</v>
      </c>
      <c r="G707" s="23">
        <f xml:space="preserve"> -- AND( tblFilterRP_Type[[#This Row],[Provider Type]] = "LSVT", RP_TypeLSVT = "Yes" )</f>
        <v>0</v>
      </c>
      <c r="H707" s="24">
        <f xml:space="preserve"> SUM( tblFilterRP_Type[[#This Row],[Incl. for traditional]], tblFilterRP_Type[[#This Row],[Incl. for LSVT]] )</f>
        <v>1</v>
      </c>
      <c r="I707" s="132" cm="1">
        <f t="array" ref="I707" xml:space="preserve"> INDEX( VfM_Metrics_2023_Consol_Source[], $D707, I$622 )</f>
        <v>0</v>
      </c>
      <c r="J707" s="29" t="str" cm="1">
        <f t="array" ref="J707" xml:space="preserve"> INDEX( VfM_Metrics_2023_Consol_Source[], $D707, J$622 )</f>
        <v>&gt;= 12 years</v>
      </c>
    </row>
    <row r="708" spans="2:10" x14ac:dyDescent="0.2">
      <c r="B708" s="122" t="str" vm="85">
        <f t="shared" ref="B708:D708" si="181" xml:space="preserve"> B506</f>
        <v>'Johnnie' Johnson Housing Trust Limited</v>
      </c>
      <c r="C708" s="122" t="str" vm="318">
        <f t="shared" si="181"/>
        <v>L1231</v>
      </c>
      <c r="D708" s="81">
        <f t="shared" si="181"/>
        <v>85</v>
      </c>
      <c r="E708" s="29" t="str" cm="1">
        <f t="array" ref="E708" xml:space="preserve"> INDEX( VfM_Metrics_2023_Consol_Source[], $D708, E$622 )</f>
        <v>Traditional</v>
      </c>
      <c r="F708" s="23">
        <f xml:space="preserve"> -- AND( tblFilterRP_Type[[#This Row],[Provider Type]] = "Traditional", RP_TypeTrad = "Yes" )</f>
        <v>1</v>
      </c>
      <c r="G708" s="23">
        <f xml:space="preserve"> -- AND( tblFilterRP_Type[[#This Row],[Provider Type]] = "LSVT", RP_TypeLSVT = "Yes" )</f>
        <v>0</v>
      </c>
      <c r="H708" s="24">
        <f xml:space="preserve"> SUM( tblFilterRP_Type[[#This Row],[Incl. for traditional]], tblFilterRP_Type[[#This Row],[Incl. for LSVT]] )</f>
        <v>1</v>
      </c>
      <c r="I708" s="132" t="str" cm="1">
        <f t="array" ref="I708" xml:space="preserve"> INDEX( VfM_Metrics_2023_Consol_Source[], $D708, I$622 )</f>
        <v/>
      </c>
      <c r="J708" s="29" cm="1">
        <f t="array" ref="J708" xml:space="preserve"> INDEX( VfM_Metrics_2023_Consol_Source[], $D708, J$622 )</f>
        <v>0</v>
      </c>
    </row>
    <row r="709" spans="2:10" x14ac:dyDescent="0.2">
      <c r="B709" s="122" t="str" vm="86">
        <f t="shared" ref="B709:D709" si="182" xml:space="preserve"> B507</f>
        <v>Joseph Rowntree Housing Trust</v>
      </c>
      <c r="C709" s="122" t="str" vm="207">
        <f t="shared" si="182"/>
        <v>5079</v>
      </c>
      <c r="D709" s="81">
        <f t="shared" si="182"/>
        <v>86</v>
      </c>
      <c r="E709" s="29" t="str" cm="1">
        <f t="array" ref="E709" xml:space="preserve"> INDEX( VfM_Metrics_2023_Consol_Source[], $D709, E$622 )</f>
        <v>Traditional</v>
      </c>
      <c r="F709" s="23">
        <f xml:space="preserve"> -- AND( tblFilterRP_Type[[#This Row],[Provider Type]] = "Traditional", RP_TypeTrad = "Yes" )</f>
        <v>1</v>
      </c>
      <c r="G709" s="23">
        <f xml:space="preserve"> -- AND( tblFilterRP_Type[[#This Row],[Provider Type]] = "LSVT", RP_TypeLSVT = "Yes" )</f>
        <v>0</v>
      </c>
      <c r="H709" s="24">
        <f xml:space="preserve"> SUM( tblFilterRP_Type[[#This Row],[Incl. for traditional]], tblFilterRP_Type[[#This Row],[Incl. for LSVT]] )</f>
        <v>1</v>
      </c>
      <c r="I709" s="132" t="str" cm="1">
        <f t="array" ref="I709" xml:space="preserve"> INDEX( VfM_Metrics_2023_Consol_Source[], $D709, I$622 )</f>
        <v/>
      </c>
      <c r="J709" s="29" cm="1">
        <f t="array" ref="J709" xml:space="preserve"> INDEX( VfM_Metrics_2023_Consol_Source[], $D709, J$622 )</f>
        <v>0</v>
      </c>
    </row>
    <row r="710" spans="2:10" x14ac:dyDescent="0.2">
      <c r="B710" s="122" t="str" vm="87">
        <f t="shared" ref="B710:D710" si="183" xml:space="preserve"> B508</f>
        <v>Karbon Homes Limited</v>
      </c>
      <c r="C710" s="122" t="str" vm="265">
        <f t="shared" si="183"/>
        <v>4846</v>
      </c>
      <c r="D710" s="81">
        <f t="shared" si="183"/>
        <v>87</v>
      </c>
      <c r="E710" s="29" t="str" cm="1">
        <f t="array" ref="E710" xml:space="preserve"> INDEX( VfM_Metrics_2023_Consol_Source[], $D710, E$622 )</f>
        <v>Traditional</v>
      </c>
      <c r="F710" s="23">
        <f xml:space="preserve"> -- AND( tblFilterRP_Type[[#This Row],[Provider Type]] = "Traditional", RP_TypeTrad = "Yes" )</f>
        <v>1</v>
      </c>
      <c r="G710" s="23">
        <f xml:space="preserve"> -- AND( tblFilterRP_Type[[#This Row],[Provider Type]] = "LSVT", RP_TypeLSVT = "Yes" )</f>
        <v>0</v>
      </c>
      <c r="H710" s="24">
        <f xml:space="preserve"> SUM( tblFilterRP_Type[[#This Row],[Incl. for traditional]], tblFilterRP_Type[[#This Row],[Incl. for LSVT]] )</f>
        <v>1</v>
      </c>
      <c r="I710" s="132" cm="1">
        <f t="array" ref="I710" xml:space="preserve"> INDEX( VfM_Metrics_2023_Consol_Source[], $D710, I$622 )</f>
        <v>0</v>
      </c>
      <c r="J710" s="29" t="str" cm="1">
        <f t="array" ref="J710" xml:space="preserve"> INDEX( VfM_Metrics_2023_Consol_Source[], $D710, J$622 )</f>
        <v>&gt;= 12 years</v>
      </c>
    </row>
    <row r="711" spans="2:10" x14ac:dyDescent="0.2">
      <c r="B711" s="122" t="str" vm="88">
        <f t="shared" ref="B711:D711" si="184" xml:space="preserve"> B509</f>
        <v>Leeds Federated Housing Association Limited</v>
      </c>
      <c r="C711" s="122" t="str" vm="330">
        <f t="shared" si="184"/>
        <v>LH0989</v>
      </c>
      <c r="D711" s="81">
        <f t="shared" si="184"/>
        <v>88</v>
      </c>
      <c r="E711" s="29" t="str" cm="1">
        <f t="array" ref="E711" xml:space="preserve"> INDEX( VfM_Metrics_2023_Consol_Source[], $D711, E$622 )</f>
        <v>Traditional</v>
      </c>
      <c r="F711" s="23">
        <f xml:space="preserve"> -- AND( tblFilterRP_Type[[#This Row],[Provider Type]] = "Traditional", RP_TypeTrad = "Yes" )</f>
        <v>1</v>
      </c>
      <c r="G711" s="23">
        <f xml:space="preserve"> -- AND( tblFilterRP_Type[[#This Row],[Provider Type]] = "LSVT", RP_TypeLSVT = "Yes" )</f>
        <v>0</v>
      </c>
      <c r="H711" s="24">
        <f xml:space="preserve"> SUM( tblFilterRP_Type[[#This Row],[Incl. for traditional]], tblFilterRP_Type[[#This Row],[Incl. for LSVT]] )</f>
        <v>1</v>
      </c>
      <c r="I711" s="132" t="str" cm="1">
        <f t="array" ref="I711" xml:space="preserve"> INDEX( VfM_Metrics_2023_Consol_Source[], $D711, I$622 )</f>
        <v/>
      </c>
      <c r="J711" s="29" cm="1">
        <f t="array" ref="J711" xml:space="preserve"> INDEX( VfM_Metrics_2023_Consol_Source[], $D711, J$622 )</f>
        <v>0</v>
      </c>
    </row>
    <row r="712" spans="2:10" x14ac:dyDescent="0.2">
      <c r="B712" s="122" t="str" vm="89">
        <f t="shared" ref="B712:D712" si="185" xml:space="preserve"> B510</f>
        <v>Lincolnshire Housing Partnership Limited</v>
      </c>
      <c r="C712" s="122" t="str" vm="299">
        <f t="shared" si="185"/>
        <v>4877</v>
      </c>
      <c r="D712" s="81">
        <f t="shared" si="185"/>
        <v>89</v>
      </c>
      <c r="E712" s="29" t="str" cm="1">
        <f t="array" ref="E712" xml:space="preserve"> INDEX( VfM_Metrics_2023_Consol_Source[], $D712, E$622 )</f>
        <v>Traditional</v>
      </c>
      <c r="F712" s="23">
        <f xml:space="preserve"> -- AND( tblFilterRP_Type[[#This Row],[Provider Type]] = "Traditional", RP_TypeTrad = "Yes" )</f>
        <v>1</v>
      </c>
      <c r="G712" s="23">
        <f xml:space="preserve"> -- AND( tblFilterRP_Type[[#This Row],[Provider Type]] = "LSVT", RP_TypeLSVT = "Yes" )</f>
        <v>0</v>
      </c>
      <c r="H712" s="24">
        <f xml:space="preserve"> SUM( tblFilterRP_Type[[#This Row],[Incl. for traditional]], tblFilterRP_Type[[#This Row],[Incl. for LSVT]] )</f>
        <v>1</v>
      </c>
      <c r="I712" s="132" cm="1">
        <f t="array" ref="I712" xml:space="preserve"> INDEX( VfM_Metrics_2023_Consol_Source[], $D712, I$622 )</f>
        <v>0</v>
      </c>
      <c r="J712" s="29" t="str" cm="1">
        <f t="array" ref="J712" xml:space="preserve"> INDEX( VfM_Metrics_2023_Consol_Source[], $D712, J$622 )</f>
        <v>&gt;= 12 years</v>
      </c>
    </row>
    <row r="713" spans="2:10" x14ac:dyDescent="0.2">
      <c r="B713" s="122" t="str" vm="90">
        <f t="shared" ref="B713:D713" si="186" xml:space="preserve"> B511</f>
        <v>LiveWest Homes Limited</v>
      </c>
      <c r="C713" s="122" t="str" vm="256">
        <f t="shared" si="186"/>
        <v>4873</v>
      </c>
      <c r="D713" s="81">
        <f t="shared" si="186"/>
        <v>90</v>
      </c>
      <c r="E713" s="29" t="str" cm="1">
        <f t="array" ref="E713" xml:space="preserve"> INDEX( VfM_Metrics_2023_Consol_Source[], $D713, E$622 )</f>
        <v>Traditional</v>
      </c>
      <c r="F713" s="23">
        <f xml:space="preserve"> -- AND( tblFilterRP_Type[[#This Row],[Provider Type]] = "Traditional", RP_TypeTrad = "Yes" )</f>
        <v>1</v>
      </c>
      <c r="G713" s="23">
        <f xml:space="preserve"> -- AND( tblFilterRP_Type[[#This Row],[Provider Type]] = "LSVT", RP_TypeLSVT = "Yes" )</f>
        <v>0</v>
      </c>
      <c r="H713" s="24">
        <f xml:space="preserve"> SUM( tblFilterRP_Type[[#This Row],[Incl. for traditional]], tblFilterRP_Type[[#This Row],[Incl. for LSVT]] )</f>
        <v>1</v>
      </c>
      <c r="I713" s="132" t="str" cm="1">
        <f t="array" ref="I713" xml:space="preserve"> INDEX( VfM_Metrics_2023_Consol_Source[], $D713, I$622 )</f>
        <v/>
      </c>
      <c r="J713" s="29" cm="1">
        <f t="array" ref="J713" xml:space="preserve"> INDEX( VfM_Metrics_2023_Consol_Source[], $D713, J$622 )</f>
        <v>0</v>
      </c>
    </row>
    <row r="714" spans="2:10" x14ac:dyDescent="0.2">
      <c r="B714" s="122" t="str" vm="91">
        <f t="shared" ref="B714:D714" si="187" xml:space="preserve"> B512</f>
        <v>Livin Housing Limited</v>
      </c>
      <c r="C714" s="122" t="str" vm="381">
        <f t="shared" si="187"/>
        <v>L4538</v>
      </c>
      <c r="D714" s="81">
        <f t="shared" si="187"/>
        <v>91</v>
      </c>
      <c r="E714" s="29" t="str" cm="1">
        <f t="array" ref="E714" xml:space="preserve"> INDEX( VfM_Metrics_2023_Consol_Source[], $D714, E$622 )</f>
        <v>Traditional</v>
      </c>
      <c r="F714" s="23">
        <f xml:space="preserve"> -- AND( tblFilterRP_Type[[#This Row],[Provider Type]] = "Traditional", RP_TypeTrad = "Yes" )</f>
        <v>1</v>
      </c>
      <c r="G714" s="23">
        <f xml:space="preserve"> -- AND( tblFilterRP_Type[[#This Row],[Provider Type]] = "LSVT", RP_TypeLSVT = "Yes" )</f>
        <v>0</v>
      </c>
      <c r="H714" s="24">
        <f xml:space="preserve"> SUM( tblFilterRP_Type[[#This Row],[Incl. for traditional]], tblFilterRP_Type[[#This Row],[Incl. for LSVT]] )</f>
        <v>1</v>
      </c>
      <c r="I714" s="132" cm="1">
        <f t="array" ref="I714" xml:space="preserve"> INDEX( VfM_Metrics_2023_Consol_Source[], $D714, I$622 )</f>
        <v>0</v>
      </c>
      <c r="J714" s="29" t="str" cm="1">
        <f t="array" ref="J714" xml:space="preserve"> INDEX( VfM_Metrics_2023_Consol_Source[], $D714, J$622 )</f>
        <v>&gt;= 12 years</v>
      </c>
    </row>
    <row r="715" spans="2:10" x14ac:dyDescent="0.2">
      <c r="B715" s="122" t="str" vm="92">
        <f t="shared" ref="B715:D715" si="188" xml:space="preserve"> B513</f>
        <v>Livv Housing Group</v>
      </c>
      <c r="C715" s="122" t="str" vm="295">
        <f t="shared" si="188"/>
        <v>LH4343</v>
      </c>
      <c r="D715" s="81">
        <f t="shared" si="188"/>
        <v>92</v>
      </c>
      <c r="E715" s="29" t="str" cm="1">
        <f t="array" ref="E715" xml:space="preserve"> INDEX( VfM_Metrics_2023_Consol_Source[], $D715, E$622 )</f>
        <v>Traditional</v>
      </c>
      <c r="F715" s="23">
        <f xml:space="preserve"> -- AND( tblFilterRP_Type[[#This Row],[Provider Type]] = "Traditional", RP_TypeTrad = "Yes" )</f>
        <v>1</v>
      </c>
      <c r="G715" s="23">
        <f xml:space="preserve"> -- AND( tblFilterRP_Type[[#This Row],[Provider Type]] = "LSVT", RP_TypeLSVT = "Yes" )</f>
        <v>0</v>
      </c>
      <c r="H715" s="24">
        <f xml:space="preserve"> SUM( tblFilterRP_Type[[#This Row],[Incl. for traditional]], tblFilterRP_Type[[#This Row],[Incl. for LSVT]] )</f>
        <v>1</v>
      </c>
      <c r="I715" s="132" cm="1">
        <f t="array" ref="I715" xml:space="preserve"> INDEX( VfM_Metrics_2023_Consol_Source[], $D715, I$622 )</f>
        <v>0</v>
      </c>
      <c r="J715" s="29" t="str" cm="1">
        <f t="array" ref="J715" xml:space="preserve"> INDEX( VfM_Metrics_2023_Consol_Source[], $D715, J$622 )</f>
        <v>&gt;= 12 years</v>
      </c>
    </row>
    <row r="716" spans="2:10" x14ac:dyDescent="0.2">
      <c r="B716" s="122" t="str" vm="93">
        <f t="shared" ref="B716:D716" si="189" xml:space="preserve"> B514</f>
        <v>Local Space</v>
      </c>
      <c r="C716" s="122" t="str" vm="212">
        <f t="shared" si="189"/>
        <v>LH4454</v>
      </c>
      <c r="D716" s="81">
        <f t="shared" si="189"/>
        <v>93</v>
      </c>
      <c r="E716" s="29" t="str" cm="1">
        <f t="array" ref="E716" xml:space="preserve"> INDEX( VfM_Metrics_2023_Consol_Source[], $D716, E$622 )</f>
        <v>Traditional</v>
      </c>
      <c r="F716" s="23">
        <f xml:space="preserve"> -- AND( tblFilterRP_Type[[#This Row],[Provider Type]] = "Traditional", RP_TypeTrad = "Yes" )</f>
        <v>1</v>
      </c>
      <c r="G716" s="23">
        <f xml:space="preserve"> -- AND( tblFilterRP_Type[[#This Row],[Provider Type]] = "LSVT", RP_TypeLSVT = "Yes" )</f>
        <v>0</v>
      </c>
      <c r="H716" s="24">
        <f xml:space="preserve"> SUM( tblFilterRP_Type[[#This Row],[Incl. for traditional]], tblFilterRP_Type[[#This Row],[Incl. for LSVT]] )</f>
        <v>1</v>
      </c>
      <c r="I716" s="132" t="str" cm="1">
        <f t="array" ref="I716" xml:space="preserve"> INDEX( VfM_Metrics_2023_Consol_Source[], $D716, I$622 )</f>
        <v/>
      </c>
      <c r="J716" s="29" cm="1">
        <f t="array" ref="J716" xml:space="preserve"> INDEX( VfM_Metrics_2023_Consol_Source[], $D716, J$622 )</f>
        <v>0</v>
      </c>
    </row>
    <row r="717" spans="2:10" x14ac:dyDescent="0.2">
      <c r="B717" s="122" t="str" vm="94">
        <f t="shared" ref="B717:D717" si="190" xml:space="preserve"> B515</f>
        <v>London &amp; Quadrant Housing Trust</v>
      </c>
      <c r="C717" s="122" t="str" vm="240">
        <f t="shared" si="190"/>
        <v>L4517</v>
      </c>
      <c r="D717" s="81">
        <f t="shared" si="190"/>
        <v>94</v>
      </c>
      <c r="E717" s="29" t="str" cm="1">
        <f t="array" ref="E717" xml:space="preserve"> INDEX( VfM_Metrics_2023_Consol_Source[], $D717, E$622 )</f>
        <v>Traditional</v>
      </c>
      <c r="F717" s="23">
        <f xml:space="preserve"> -- AND( tblFilterRP_Type[[#This Row],[Provider Type]] = "Traditional", RP_TypeTrad = "Yes" )</f>
        <v>1</v>
      </c>
      <c r="G717" s="23">
        <f xml:space="preserve"> -- AND( tblFilterRP_Type[[#This Row],[Provider Type]] = "LSVT", RP_TypeLSVT = "Yes" )</f>
        <v>0</v>
      </c>
      <c r="H717" s="24">
        <f xml:space="preserve"> SUM( tblFilterRP_Type[[#This Row],[Incl. for traditional]], tblFilterRP_Type[[#This Row],[Incl. for LSVT]] )</f>
        <v>1</v>
      </c>
      <c r="I717" s="132" t="str" cm="1">
        <f t="array" ref="I717" xml:space="preserve"> INDEX( VfM_Metrics_2023_Consol_Source[], $D717, I$622 )</f>
        <v/>
      </c>
      <c r="J717" s="29" cm="1">
        <f t="array" ref="J717" xml:space="preserve"> INDEX( VfM_Metrics_2023_Consol_Source[], $D717, J$622 )</f>
        <v>0</v>
      </c>
    </row>
    <row r="718" spans="2:10" x14ac:dyDescent="0.2">
      <c r="B718" s="122" t="str" vm="95">
        <f t="shared" ref="B718:D718" si="191" xml:space="preserve"> B516</f>
        <v>Longhurst Group Limited</v>
      </c>
      <c r="C718" s="122" t="str" vm="341">
        <f t="shared" si="191"/>
        <v>L4277</v>
      </c>
      <c r="D718" s="81">
        <f t="shared" si="191"/>
        <v>95</v>
      </c>
      <c r="E718" s="29" t="str" cm="1">
        <f t="array" ref="E718" xml:space="preserve"> INDEX( VfM_Metrics_2023_Consol_Source[], $D718, E$622 )</f>
        <v>Traditional</v>
      </c>
      <c r="F718" s="23">
        <f xml:space="preserve"> -- AND( tblFilterRP_Type[[#This Row],[Provider Type]] = "Traditional", RP_TypeTrad = "Yes" )</f>
        <v>1</v>
      </c>
      <c r="G718" s="23">
        <f xml:space="preserve"> -- AND( tblFilterRP_Type[[#This Row],[Provider Type]] = "LSVT", RP_TypeLSVT = "Yes" )</f>
        <v>0</v>
      </c>
      <c r="H718" s="24">
        <f xml:space="preserve"> SUM( tblFilterRP_Type[[#This Row],[Incl. for traditional]], tblFilterRP_Type[[#This Row],[Incl. for LSVT]] )</f>
        <v>1</v>
      </c>
      <c r="I718" s="132" t="str" cm="1">
        <f t="array" ref="I718" xml:space="preserve"> INDEX( VfM_Metrics_2023_Consol_Source[], $D718, I$622 )</f>
        <v/>
      </c>
      <c r="J718" s="29" cm="1">
        <f t="array" ref="J718" xml:space="preserve"> INDEX( VfM_Metrics_2023_Consol_Source[], $D718, J$622 )</f>
        <v>0</v>
      </c>
    </row>
    <row r="719" spans="2:10" x14ac:dyDescent="0.2">
      <c r="B719" s="122" t="str" vm="96">
        <f t="shared" ref="B719:D719" si="192" xml:space="preserve"> B517</f>
        <v>Look Ahead Care and Support Limited</v>
      </c>
      <c r="C719" s="122" t="str" vm="199">
        <f t="shared" si="192"/>
        <v>LH0013</v>
      </c>
      <c r="D719" s="81">
        <f t="shared" si="192"/>
        <v>96</v>
      </c>
      <c r="E719" s="29" t="str" cm="1">
        <f t="array" ref="E719" xml:space="preserve"> INDEX( VfM_Metrics_2023_Consol_Source[], $D719, E$622 )</f>
        <v>Traditional</v>
      </c>
      <c r="F719" s="23">
        <f xml:space="preserve"> -- AND( tblFilterRP_Type[[#This Row],[Provider Type]] = "Traditional", RP_TypeTrad = "Yes" )</f>
        <v>1</v>
      </c>
      <c r="G719" s="23">
        <f xml:space="preserve"> -- AND( tblFilterRP_Type[[#This Row],[Provider Type]] = "LSVT", RP_TypeLSVT = "Yes" )</f>
        <v>0</v>
      </c>
      <c r="H719" s="24">
        <f xml:space="preserve"> SUM( tblFilterRP_Type[[#This Row],[Incl. for traditional]], tblFilterRP_Type[[#This Row],[Incl. for LSVT]] )</f>
        <v>1</v>
      </c>
      <c r="I719" s="132" t="str" cm="1">
        <f t="array" ref="I719" xml:space="preserve"> INDEX( VfM_Metrics_2023_Consol_Source[], $D719, I$622 )</f>
        <v/>
      </c>
      <c r="J719" s="29" cm="1">
        <f t="array" ref="J719" xml:space="preserve"> INDEX( VfM_Metrics_2023_Consol_Source[], $D719, J$622 )</f>
        <v>0</v>
      </c>
    </row>
    <row r="720" spans="2:10" x14ac:dyDescent="0.2">
      <c r="B720" s="122" t="str" vm="97">
        <f t="shared" ref="B720:D720" si="193" xml:space="preserve"> B518</f>
        <v>Magenta Living</v>
      </c>
      <c r="C720" s="122" t="str" vm="276">
        <f t="shared" si="193"/>
        <v>L4435</v>
      </c>
      <c r="D720" s="81">
        <f t="shared" si="193"/>
        <v>97</v>
      </c>
      <c r="E720" s="29" t="str" cm="1">
        <f t="array" ref="E720" xml:space="preserve"> INDEX( VfM_Metrics_2023_Consol_Source[], $D720, E$622 )</f>
        <v>Traditional</v>
      </c>
      <c r="F720" s="23">
        <f xml:space="preserve"> -- AND( tblFilterRP_Type[[#This Row],[Provider Type]] = "Traditional", RP_TypeTrad = "Yes" )</f>
        <v>1</v>
      </c>
      <c r="G720" s="23">
        <f xml:space="preserve"> -- AND( tblFilterRP_Type[[#This Row],[Provider Type]] = "LSVT", RP_TypeLSVT = "Yes" )</f>
        <v>0</v>
      </c>
      <c r="H720" s="24">
        <f xml:space="preserve"> SUM( tblFilterRP_Type[[#This Row],[Incl. for traditional]], tblFilterRP_Type[[#This Row],[Incl. for LSVT]] )</f>
        <v>1</v>
      </c>
      <c r="I720" s="132" cm="1">
        <f t="array" ref="I720" xml:space="preserve"> INDEX( VfM_Metrics_2023_Consol_Source[], $D720, I$622 )</f>
        <v>0</v>
      </c>
      <c r="J720" s="29" t="str" cm="1">
        <f t="array" ref="J720" xml:space="preserve"> INDEX( VfM_Metrics_2023_Consol_Source[], $D720, J$622 )</f>
        <v>&gt;= 12 years</v>
      </c>
    </row>
    <row r="721" spans="2:10" x14ac:dyDescent="0.2">
      <c r="B721" s="122" t="str" vm="98">
        <f t="shared" ref="B721:D721" si="194" xml:space="preserve"> B519</f>
        <v>Magna Housing Limited</v>
      </c>
      <c r="C721" s="122" t="str" vm="368">
        <f t="shared" si="194"/>
        <v>4844</v>
      </c>
      <c r="D721" s="81">
        <f t="shared" si="194"/>
        <v>98</v>
      </c>
      <c r="E721" s="29" t="str" cm="1">
        <f t="array" ref="E721" xml:space="preserve"> INDEX( VfM_Metrics_2023_Consol_Source[], $D721, E$622 )</f>
        <v>Traditional</v>
      </c>
      <c r="F721" s="23">
        <f xml:space="preserve"> -- AND( tblFilterRP_Type[[#This Row],[Provider Type]] = "Traditional", RP_TypeTrad = "Yes" )</f>
        <v>1</v>
      </c>
      <c r="G721" s="23">
        <f xml:space="preserve"> -- AND( tblFilterRP_Type[[#This Row],[Provider Type]] = "LSVT", RP_TypeLSVT = "Yes" )</f>
        <v>0</v>
      </c>
      <c r="H721" s="24">
        <f xml:space="preserve"> SUM( tblFilterRP_Type[[#This Row],[Incl. for traditional]], tblFilterRP_Type[[#This Row],[Incl. for LSVT]] )</f>
        <v>1</v>
      </c>
      <c r="I721" s="132" cm="1">
        <f t="array" ref="I721" xml:space="preserve"> INDEX( VfM_Metrics_2023_Consol_Source[], $D721, I$622 )</f>
        <v>0</v>
      </c>
      <c r="J721" s="29" t="str" cm="1">
        <f t="array" ref="J721" xml:space="preserve"> INDEX( VfM_Metrics_2023_Consol_Source[], $D721, J$622 )</f>
        <v>&gt;= 12 years</v>
      </c>
    </row>
    <row r="722" spans="2:10" x14ac:dyDescent="0.2">
      <c r="B722" s="122" t="str" vm="99">
        <f t="shared" ref="B722:D722" si="195" xml:space="preserve"> B520</f>
        <v>Manningham Housing Association Limited</v>
      </c>
      <c r="C722" s="122" t="str" vm="232">
        <f t="shared" si="195"/>
        <v>L3736</v>
      </c>
      <c r="D722" s="81">
        <f t="shared" si="195"/>
        <v>99</v>
      </c>
      <c r="E722" s="29" t="str" cm="1">
        <f t="array" ref="E722" xml:space="preserve"> INDEX( VfM_Metrics_2023_Consol_Source[], $D722, E$622 )</f>
        <v>Traditional</v>
      </c>
      <c r="F722" s="23">
        <f xml:space="preserve"> -- AND( tblFilterRP_Type[[#This Row],[Provider Type]] = "Traditional", RP_TypeTrad = "Yes" )</f>
        <v>1</v>
      </c>
      <c r="G722" s="23">
        <f xml:space="preserve"> -- AND( tblFilterRP_Type[[#This Row],[Provider Type]] = "LSVT", RP_TypeLSVT = "Yes" )</f>
        <v>0</v>
      </c>
      <c r="H722" s="24">
        <f xml:space="preserve"> SUM( tblFilterRP_Type[[#This Row],[Incl. for traditional]], tblFilterRP_Type[[#This Row],[Incl. for LSVT]] )</f>
        <v>1</v>
      </c>
      <c r="I722" s="132" t="str" cm="1">
        <f t="array" ref="I722" xml:space="preserve"> INDEX( VfM_Metrics_2023_Consol_Source[], $D722, I$622 )</f>
        <v/>
      </c>
      <c r="J722" s="29" cm="1">
        <f t="array" ref="J722" xml:space="preserve"> INDEX( VfM_Metrics_2023_Consol_Source[], $D722, J$622 )</f>
        <v>0</v>
      </c>
    </row>
    <row r="723" spans="2:10" x14ac:dyDescent="0.2">
      <c r="B723" s="122" t="str" vm="100">
        <f t="shared" ref="B723:D723" si="196" xml:space="preserve"> B521</f>
        <v>Midland Heart Limited</v>
      </c>
      <c r="C723" s="122" t="str" vm="258">
        <f t="shared" si="196"/>
        <v>L4466</v>
      </c>
      <c r="D723" s="81">
        <f t="shared" si="196"/>
        <v>100</v>
      </c>
      <c r="E723" s="29" t="str" cm="1">
        <f t="array" ref="E723" xml:space="preserve"> INDEX( VfM_Metrics_2023_Consol_Source[], $D723, E$622 )</f>
        <v>Traditional</v>
      </c>
      <c r="F723" s="23">
        <f xml:space="preserve"> -- AND( tblFilterRP_Type[[#This Row],[Provider Type]] = "Traditional", RP_TypeTrad = "Yes" )</f>
        <v>1</v>
      </c>
      <c r="G723" s="23">
        <f xml:space="preserve"> -- AND( tblFilterRP_Type[[#This Row],[Provider Type]] = "LSVT", RP_TypeLSVT = "Yes" )</f>
        <v>0</v>
      </c>
      <c r="H723" s="24">
        <f xml:space="preserve"> SUM( tblFilterRP_Type[[#This Row],[Incl. for traditional]], tblFilterRP_Type[[#This Row],[Incl. for LSVT]] )</f>
        <v>1</v>
      </c>
      <c r="I723" s="132" t="str" cm="1">
        <f t="array" ref="I723" xml:space="preserve"> INDEX( VfM_Metrics_2023_Consol_Source[], $D723, I$622 )</f>
        <v/>
      </c>
      <c r="J723" s="29" cm="1">
        <f t="array" ref="J723" xml:space="preserve"> INDEX( VfM_Metrics_2023_Consol_Source[], $D723, J$622 )</f>
        <v>0</v>
      </c>
    </row>
    <row r="724" spans="2:10" x14ac:dyDescent="0.2">
      <c r="B724" s="122" t="str" vm="101">
        <f t="shared" ref="B724:D724" si="197" xml:space="preserve"> B522</f>
        <v>Moat Homes Limited</v>
      </c>
      <c r="C724" s="122" t="str" vm="300">
        <f t="shared" si="197"/>
        <v>L0386</v>
      </c>
      <c r="D724" s="81">
        <f t="shared" si="197"/>
        <v>101</v>
      </c>
      <c r="E724" s="29" t="str" cm="1">
        <f t="array" ref="E724" xml:space="preserve"> INDEX( VfM_Metrics_2023_Consol_Source[], $D724, E$622 )</f>
        <v>Traditional</v>
      </c>
      <c r="F724" s="23">
        <f xml:space="preserve"> -- AND( tblFilterRP_Type[[#This Row],[Provider Type]] = "Traditional", RP_TypeTrad = "Yes" )</f>
        <v>1</v>
      </c>
      <c r="G724" s="23">
        <f xml:space="preserve"> -- AND( tblFilterRP_Type[[#This Row],[Provider Type]] = "LSVT", RP_TypeLSVT = "Yes" )</f>
        <v>0</v>
      </c>
      <c r="H724" s="24">
        <f xml:space="preserve"> SUM( tblFilterRP_Type[[#This Row],[Incl. for traditional]], tblFilterRP_Type[[#This Row],[Incl. for LSVT]] )</f>
        <v>1</v>
      </c>
      <c r="I724" s="132" t="str" cm="1">
        <f t="array" ref="I724" xml:space="preserve"> INDEX( VfM_Metrics_2023_Consol_Source[], $D724, I$622 )</f>
        <v/>
      </c>
      <c r="J724" s="29" cm="1">
        <f t="array" ref="J724" xml:space="preserve"> INDEX( VfM_Metrics_2023_Consol_Source[], $D724, J$622 )</f>
        <v>0</v>
      </c>
    </row>
    <row r="725" spans="2:10" x14ac:dyDescent="0.2">
      <c r="B725" s="122" t="str" vm="102">
        <f t="shared" ref="B725:D725" si="198" xml:space="preserve"> B523</f>
        <v>Mosscare St. Vincent's Housing Group Limited</v>
      </c>
      <c r="C725" s="122" t="str" vm="369">
        <f t="shared" si="198"/>
        <v>4857</v>
      </c>
      <c r="D725" s="81">
        <f t="shared" si="198"/>
        <v>102</v>
      </c>
      <c r="E725" s="29" t="str" cm="1">
        <f t="array" ref="E725" xml:space="preserve"> INDEX( VfM_Metrics_2023_Consol_Source[], $D725, E$622 )</f>
        <v>Traditional</v>
      </c>
      <c r="F725" s="23">
        <f xml:space="preserve"> -- AND( tblFilterRP_Type[[#This Row],[Provider Type]] = "Traditional", RP_TypeTrad = "Yes" )</f>
        <v>1</v>
      </c>
      <c r="G725" s="23">
        <f xml:space="preserve"> -- AND( tblFilterRP_Type[[#This Row],[Provider Type]] = "LSVT", RP_TypeLSVT = "Yes" )</f>
        <v>0</v>
      </c>
      <c r="H725" s="24">
        <f xml:space="preserve"> SUM( tblFilterRP_Type[[#This Row],[Incl. for traditional]], tblFilterRP_Type[[#This Row],[Incl. for LSVT]] )</f>
        <v>1</v>
      </c>
      <c r="I725" s="132" t="str" cm="1">
        <f t="array" ref="I725" xml:space="preserve"> INDEX( VfM_Metrics_2023_Consol_Source[], $D725, I$622 )</f>
        <v/>
      </c>
      <c r="J725" s="29" cm="1">
        <f t="array" ref="J725" xml:space="preserve"> INDEX( VfM_Metrics_2023_Consol_Source[], $D725, J$622 )</f>
        <v>0</v>
      </c>
    </row>
    <row r="726" spans="2:10" x14ac:dyDescent="0.2">
      <c r="B726" s="122" t="str" vm="103">
        <f t="shared" ref="B726:D726" si="199" xml:space="preserve"> B524</f>
        <v>Mount Green Housing Association Limited</v>
      </c>
      <c r="C726" s="122" t="str" vm="218">
        <f t="shared" si="199"/>
        <v>L0042</v>
      </c>
      <c r="D726" s="81">
        <f t="shared" si="199"/>
        <v>103</v>
      </c>
      <c r="E726" s="29" t="str" cm="1">
        <f t="array" ref="E726" xml:space="preserve"> INDEX( VfM_Metrics_2023_Consol_Source[], $D726, E$622 )</f>
        <v>Traditional</v>
      </c>
      <c r="F726" s="23">
        <f xml:space="preserve"> -- AND( tblFilterRP_Type[[#This Row],[Provider Type]] = "Traditional", RP_TypeTrad = "Yes" )</f>
        <v>1</v>
      </c>
      <c r="G726" s="23">
        <f xml:space="preserve"> -- AND( tblFilterRP_Type[[#This Row],[Provider Type]] = "LSVT", RP_TypeLSVT = "Yes" )</f>
        <v>0</v>
      </c>
      <c r="H726" s="24">
        <f xml:space="preserve"> SUM( tblFilterRP_Type[[#This Row],[Incl. for traditional]], tblFilterRP_Type[[#This Row],[Incl. for LSVT]] )</f>
        <v>1</v>
      </c>
      <c r="I726" s="132" t="str" cm="1">
        <f t="array" ref="I726" xml:space="preserve"> INDEX( VfM_Metrics_2023_Consol_Source[], $D726, I$622 )</f>
        <v/>
      </c>
      <c r="J726" s="29" cm="1">
        <f t="array" ref="J726" xml:space="preserve"> INDEX( VfM_Metrics_2023_Consol_Source[], $D726, J$622 )</f>
        <v>0</v>
      </c>
    </row>
    <row r="727" spans="2:10" x14ac:dyDescent="0.2">
      <c r="B727" s="122" t="str" vm="104">
        <f t="shared" ref="B727:D727" si="200" xml:space="preserve"> B525</f>
        <v>Muir Group Housing Association Limited</v>
      </c>
      <c r="C727" s="122" t="str" vm="367">
        <f t="shared" si="200"/>
        <v>L2194</v>
      </c>
      <c r="D727" s="81">
        <f t="shared" si="200"/>
        <v>104</v>
      </c>
      <c r="E727" s="29" t="str" cm="1">
        <f t="array" ref="E727" xml:space="preserve"> INDEX( VfM_Metrics_2023_Consol_Source[], $D727, E$622 )</f>
        <v>Traditional</v>
      </c>
      <c r="F727" s="23">
        <f xml:space="preserve"> -- AND( tblFilterRP_Type[[#This Row],[Provider Type]] = "Traditional", RP_TypeTrad = "Yes" )</f>
        <v>1</v>
      </c>
      <c r="G727" s="23">
        <f xml:space="preserve"> -- AND( tblFilterRP_Type[[#This Row],[Provider Type]] = "LSVT", RP_TypeLSVT = "Yes" )</f>
        <v>0</v>
      </c>
      <c r="H727" s="24">
        <f xml:space="preserve"> SUM( tblFilterRP_Type[[#This Row],[Incl. for traditional]], tblFilterRP_Type[[#This Row],[Incl. for LSVT]] )</f>
        <v>1</v>
      </c>
      <c r="I727" s="132" t="str" cm="1">
        <f t="array" ref="I727" xml:space="preserve"> INDEX( VfM_Metrics_2023_Consol_Source[], $D727, I$622 )</f>
        <v/>
      </c>
      <c r="J727" s="29" cm="1">
        <f t="array" ref="J727" xml:space="preserve"> INDEX( VfM_Metrics_2023_Consol_Source[], $D727, J$622 )</f>
        <v>0</v>
      </c>
    </row>
    <row r="728" spans="2:10" x14ac:dyDescent="0.2">
      <c r="B728" s="122" t="str" vm="105">
        <f t="shared" ref="B728:D728" si="201" xml:space="preserve"> B526</f>
        <v>Nehemiah United Churches Housing Association Limited</v>
      </c>
      <c r="C728" s="122" t="str" vm="223">
        <f t="shared" si="201"/>
        <v>L3833</v>
      </c>
      <c r="D728" s="81">
        <f t="shared" si="201"/>
        <v>105</v>
      </c>
      <c r="E728" s="29" t="str" cm="1">
        <f t="array" ref="E728" xml:space="preserve"> INDEX( VfM_Metrics_2023_Consol_Source[], $D728, E$622 )</f>
        <v>Traditional</v>
      </c>
      <c r="F728" s="23">
        <f xml:space="preserve"> -- AND( tblFilterRP_Type[[#This Row],[Provider Type]] = "Traditional", RP_TypeTrad = "Yes" )</f>
        <v>1</v>
      </c>
      <c r="G728" s="23">
        <f xml:space="preserve"> -- AND( tblFilterRP_Type[[#This Row],[Provider Type]] = "LSVT", RP_TypeLSVT = "Yes" )</f>
        <v>0</v>
      </c>
      <c r="H728" s="24">
        <f xml:space="preserve"> SUM( tblFilterRP_Type[[#This Row],[Incl. for traditional]], tblFilterRP_Type[[#This Row],[Incl. for LSVT]] )</f>
        <v>1</v>
      </c>
      <c r="I728" s="132" t="str" cm="1">
        <f t="array" ref="I728" xml:space="preserve"> INDEX( VfM_Metrics_2023_Consol_Source[], $D728, I$622 )</f>
        <v/>
      </c>
      <c r="J728" s="29" cm="1">
        <f t="array" ref="J728" xml:space="preserve"> INDEX( VfM_Metrics_2023_Consol_Source[], $D728, J$622 )</f>
        <v>0</v>
      </c>
    </row>
    <row r="729" spans="2:10" x14ac:dyDescent="0.2">
      <c r="B729" s="122" t="str" vm="106">
        <f t="shared" ref="B729:D729" si="202" xml:space="preserve"> B527</f>
        <v>Newlon Housing Trust</v>
      </c>
      <c r="C729" s="122" t="str" vm="346">
        <f t="shared" si="202"/>
        <v>L0006</v>
      </c>
      <c r="D729" s="81">
        <f t="shared" si="202"/>
        <v>106</v>
      </c>
      <c r="E729" s="29" t="str" cm="1">
        <f t="array" ref="E729" xml:space="preserve"> INDEX( VfM_Metrics_2023_Consol_Source[], $D729, E$622 )</f>
        <v>Traditional</v>
      </c>
      <c r="F729" s="23">
        <f xml:space="preserve"> -- AND( tblFilterRP_Type[[#This Row],[Provider Type]] = "Traditional", RP_TypeTrad = "Yes" )</f>
        <v>1</v>
      </c>
      <c r="G729" s="23">
        <f xml:space="preserve"> -- AND( tblFilterRP_Type[[#This Row],[Provider Type]] = "LSVT", RP_TypeLSVT = "Yes" )</f>
        <v>0</v>
      </c>
      <c r="H729" s="24">
        <f xml:space="preserve"> SUM( tblFilterRP_Type[[#This Row],[Incl. for traditional]], tblFilterRP_Type[[#This Row],[Incl. for LSVT]] )</f>
        <v>1</v>
      </c>
      <c r="I729" s="132" t="str" cm="1">
        <f t="array" ref="I729" xml:space="preserve"> INDEX( VfM_Metrics_2023_Consol_Source[], $D729, I$622 )</f>
        <v/>
      </c>
      <c r="J729" s="29" cm="1">
        <f t="array" ref="J729" xml:space="preserve"> INDEX( VfM_Metrics_2023_Consol_Source[], $D729, J$622 )</f>
        <v>0</v>
      </c>
    </row>
    <row r="730" spans="2:10" x14ac:dyDescent="0.2">
      <c r="B730" s="122" t="str" vm="107">
        <f t="shared" ref="B730:D730" si="203" xml:space="preserve"> B528</f>
        <v>North Devon Homes</v>
      </c>
      <c r="C730" s="122" t="str" vm="329">
        <f t="shared" si="203"/>
        <v>LH4249</v>
      </c>
      <c r="D730" s="81">
        <f t="shared" si="203"/>
        <v>107</v>
      </c>
      <c r="E730" s="29" t="str" cm="1">
        <f t="array" ref="E730" xml:space="preserve"> INDEX( VfM_Metrics_2023_Consol_Source[], $D730, E$622 )</f>
        <v>Traditional</v>
      </c>
      <c r="F730" s="23">
        <f xml:space="preserve"> -- AND( tblFilterRP_Type[[#This Row],[Provider Type]] = "Traditional", RP_TypeTrad = "Yes" )</f>
        <v>1</v>
      </c>
      <c r="G730" s="23">
        <f xml:space="preserve"> -- AND( tblFilterRP_Type[[#This Row],[Provider Type]] = "LSVT", RP_TypeLSVT = "Yes" )</f>
        <v>0</v>
      </c>
      <c r="H730" s="24">
        <f xml:space="preserve"> SUM( tblFilterRP_Type[[#This Row],[Incl. for traditional]], tblFilterRP_Type[[#This Row],[Incl. for LSVT]] )</f>
        <v>1</v>
      </c>
      <c r="I730" s="132" cm="1">
        <f t="array" ref="I730" xml:space="preserve"> INDEX( VfM_Metrics_2023_Consol_Source[], $D730, I$622 )</f>
        <v>0</v>
      </c>
      <c r="J730" s="29" t="str" cm="1">
        <f t="array" ref="J730" xml:space="preserve"> INDEX( VfM_Metrics_2023_Consol_Source[], $D730, J$622 )</f>
        <v>&gt;= 12 years</v>
      </c>
    </row>
    <row r="731" spans="2:10" x14ac:dyDescent="0.2">
      <c r="B731" s="122" t="str" vm="108">
        <f t="shared" ref="B731:D731" si="204" xml:space="preserve"> B529</f>
        <v>North London Muslim Housing Association Limited</v>
      </c>
      <c r="C731" s="122" t="str" vm="219">
        <f t="shared" si="204"/>
        <v>LH3859</v>
      </c>
      <c r="D731" s="81">
        <f t="shared" si="204"/>
        <v>108</v>
      </c>
      <c r="E731" s="29" t="str" cm="1">
        <f t="array" ref="E731" xml:space="preserve"> INDEX( VfM_Metrics_2023_Consol_Source[], $D731, E$622 )</f>
        <v>Traditional</v>
      </c>
      <c r="F731" s="23">
        <f xml:space="preserve"> -- AND( tblFilterRP_Type[[#This Row],[Provider Type]] = "Traditional", RP_TypeTrad = "Yes" )</f>
        <v>1</v>
      </c>
      <c r="G731" s="23">
        <f xml:space="preserve"> -- AND( tblFilterRP_Type[[#This Row],[Provider Type]] = "LSVT", RP_TypeLSVT = "Yes" )</f>
        <v>0</v>
      </c>
      <c r="H731" s="24">
        <f xml:space="preserve"> SUM( tblFilterRP_Type[[#This Row],[Incl. for traditional]], tblFilterRP_Type[[#This Row],[Incl. for LSVT]] )</f>
        <v>1</v>
      </c>
      <c r="I731" s="132" t="str" cm="1">
        <f t="array" ref="I731" xml:space="preserve"> INDEX( VfM_Metrics_2023_Consol_Source[], $D731, I$622 )</f>
        <v/>
      </c>
      <c r="J731" s="29" cm="1">
        <f t="array" ref="J731" xml:space="preserve"> INDEX( VfM_Metrics_2023_Consol_Source[], $D731, J$622 )</f>
        <v>0</v>
      </c>
    </row>
    <row r="732" spans="2:10" x14ac:dyDescent="0.2">
      <c r="B732" s="122" t="str" vm="109">
        <f t="shared" ref="B732:D732" si="205" xml:space="preserve"> B530</f>
        <v>North Star Housing Group</v>
      </c>
      <c r="C732" s="122" t="str" vm="328">
        <f t="shared" si="205"/>
        <v>LH0084</v>
      </c>
      <c r="D732" s="81">
        <f t="shared" si="205"/>
        <v>109</v>
      </c>
      <c r="E732" s="29" t="str" cm="1">
        <f t="array" ref="E732" xml:space="preserve"> INDEX( VfM_Metrics_2023_Consol_Source[], $D732, E$622 )</f>
        <v>Traditional</v>
      </c>
      <c r="F732" s="23">
        <f xml:space="preserve"> -- AND( tblFilterRP_Type[[#This Row],[Provider Type]] = "Traditional", RP_TypeTrad = "Yes" )</f>
        <v>1</v>
      </c>
      <c r="G732" s="23">
        <f xml:space="preserve"> -- AND( tblFilterRP_Type[[#This Row],[Provider Type]] = "LSVT", RP_TypeLSVT = "Yes" )</f>
        <v>0</v>
      </c>
      <c r="H732" s="24">
        <f xml:space="preserve"> SUM( tblFilterRP_Type[[#This Row],[Incl. for traditional]], tblFilterRP_Type[[#This Row],[Incl. for LSVT]] )</f>
        <v>1</v>
      </c>
      <c r="I732" s="132" t="str" cm="1">
        <f t="array" ref="I732" xml:space="preserve"> INDEX( VfM_Metrics_2023_Consol_Source[], $D732, I$622 )</f>
        <v/>
      </c>
      <c r="J732" s="29" cm="1">
        <f t="array" ref="J732" xml:space="preserve"> INDEX( VfM_Metrics_2023_Consol_Source[], $D732, J$622 )</f>
        <v>0</v>
      </c>
    </row>
    <row r="733" spans="2:10" x14ac:dyDescent="0.2">
      <c r="B733" s="122" t="str" vm="110">
        <f t="shared" ref="B733:D733" si="206" xml:space="preserve"> B531</f>
        <v>Notting Hill Genesis</v>
      </c>
      <c r="C733" s="122" t="str" vm="239">
        <f t="shared" si="206"/>
        <v>4880</v>
      </c>
      <c r="D733" s="81">
        <f t="shared" si="206"/>
        <v>110</v>
      </c>
      <c r="E733" s="29" t="str" cm="1">
        <f t="array" ref="E733" xml:space="preserve"> INDEX( VfM_Metrics_2023_Consol_Source[], $D733, E$622 )</f>
        <v>Traditional</v>
      </c>
      <c r="F733" s="23">
        <f xml:space="preserve"> -- AND( tblFilterRP_Type[[#This Row],[Provider Type]] = "Traditional", RP_TypeTrad = "Yes" )</f>
        <v>1</v>
      </c>
      <c r="G733" s="23">
        <f xml:space="preserve"> -- AND( tblFilterRP_Type[[#This Row],[Provider Type]] = "LSVT", RP_TypeLSVT = "Yes" )</f>
        <v>0</v>
      </c>
      <c r="H733" s="24">
        <f xml:space="preserve"> SUM( tblFilterRP_Type[[#This Row],[Incl. for traditional]], tblFilterRP_Type[[#This Row],[Incl. for LSVT]] )</f>
        <v>1</v>
      </c>
      <c r="I733" s="132" t="str" cm="1">
        <f t="array" ref="I733" xml:space="preserve"> INDEX( VfM_Metrics_2023_Consol_Source[], $D733, I$622 )</f>
        <v/>
      </c>
      <c r="J733" s="29" cm="1">
        <f t="array" ref="J733" xml:space="preserve"> INDEX( VfM_Metrics_2023_Consol_Source[], $D733, J$622 )</f>
        <v>0</v>
      </c>
    </row>
    <row r="734" spans="2:10" x14ac:dyDescent="0.2">
      <c r="B734" s="122" t="str" vm="111">
        <f t="shared" ref="B734:D734" si="207" xml:space="preserve"> B532</f>
        <v>Nottingham Community Housing Association Limited</v>
      </c>
      <c r="C734" s="122" t="str" vm="270">
        <f t="shared" si="207"/>
        <v>4817</v>
      </c>
      <c r="D734" s="81">
        <f t="shared" si="207"/>
        <v>111</v>
      </c>
      <c r="E734" s="29" t="str" cm="1">
        <f t="array" ref="E734" xml:space="preserve"> INDEX( VfM_Metrics_2023_Consol_Source[], $D734, E$622 )</f>
        <v>Traditional</v>
      </c>
      <c r="F734" s="23">
        <f xml:space="preserve"> -- AND( tblFilterRP_Type[[#This Row],[Provider Type]] = "Traditional", RP_TypeTrad = "Yes" )</f>
        <v>1</v>
      </c>
      <c r="G734" s="23">
        <f xml:space="preserve"> -- AND( tblFilterRP_Type[[#This Row],[Provider Type]] = "LSVT", RP_TypeLSVT = "Yes" )</f>
        <v>0</v>
      </c>
      <c r="H734" s="24">
        <f xml:space="preserve"> SUM( tblFilterRP_Type[[#This Row],[Incl. for traditional]], tblFilterRP_Type[[#This Row],[Incl. for LSVT]] )</f>
        <v>1</v>
      </c>
      <c r="I734" s="132" t="str" cm="1">
        <f t="array" ref="I734" xml:space="preserve"> INDEX( VfM_Metrics_2023_Consol_Source[], $D734, I$622 )</f>
        <v/>
      </c>
      <c r="J734" s="29" cm="1">
        <f t="array" ref="J734" xml:space="preserve"> INDEX( VfM_Metrics_2023_Consol_Source[], $D734, J$622 )</f>
        <v>0</v>
      </c>
    </row>
    <row r="735" spans="2:10" x14ac:dyDescent="0.2">
      <c r="B735" s="122" t="str" vm="112">
        <f t="shared" ref="B735:D735" si="208" xml:space="preserve"> B533</f>
        <v>NSAH (Alliance Homes) Limited</v>
      </c>
      <c r="C735" s="122" t="str" vm="362">
        <f t="shared" si="208"/>
        <v>L4459</v>
      </c>
      <c r="D735" s="81">
        <f t="shared" si="208"/>
        <v>112</v>
      </c>
      <c r="E735" s="29" t="str" cm="1">
        <f t="array" ref="E735" xml:space="preserve"> INDEX( VfM_Metrics_2023_Consol_Source[], $D735, E$622 )</f>
        <v>Traditional</v>
      </c>
      <c r="F735" s="23">
        <f xml:space="preserve"> -- AND( tblFilterRP_Type[[#This Row],[Provider Type]] = "Traditional", RP_TypeTrad = "Yes" )</f>
        <v>1</v>
      </c>
      <c r="G735" s="23">
        <f xml:space="preserve"> -- AND( tblFilterRP_Type[[#This Row],[Provider Type]] = "LSVT", RP_TypeLSVT = "Yes" )</f>
        <v>0</v>
      </c>
      <c r="H735" s="24">
        <f xml:space="preserve"> SUM( tblFilterRP_Type[[#This Row],[Incl. for traditional]], tblFilterRP_Type[[#This Row],[Incl. for LSVT]] )</f>
        <v>1</v>
      </c>
      <c r="I735" s="132" cm="1">
        <f t="array" ref="I735" xml:space="preserve"> INDEX( VfM_Metrics_2023_Consol_Source[], $D735, I$622 )</f>
        <v>0</v>
      </c>
      <c r="J735" s="29" t="str" cm="1">
        <f t="array" ref="J735" xml:space="preserve"> INDEX( VfM_Metrics_2023_Consol_Source[], $D735, J$622 )</f>
        <v>&gt;= 12 years</v>
      </c>
    </row>
    <row r="736" spans="2:10" x14ac:dyDescent="0.2">
      <c r="B736" s="122" t="str" vm="113">
        <f t="shared" ref="B736:D736" si="209" xml:space="preserve"> B534</f>
        <v>Ocean Housing Group Limited</v>
      </c>
      <c r="C736" s="122" t="str" vm="334">
        <f t="shared" si="209"/>
        <v>L4422</v>
      </c>
      <c r="D736" s="81">
        <f t="shared" si="209"/>
        <v>113</v>
      </c>
      <c r="E736" s="29" t="str" cm="1">
        <f t="array" ref="E736" xml:space="preserve"> INDEX( VfM_Metrics_2023_Consol_Source[], $D736, E$622 )</f>
        <v>Traditional</v>
      </c>
      <c r="F736" s="23">
        <f xml:space="preserve"> -- AND( tblFilterRP_Type[[#This Row],[Provider Type]] = "Traditional", RP_TypeTrad = "Yes" )</f>
        <v>1</v>
      </c>
      <c r="G736" s="23">
        <f xml:space="preserve"> -- AND( tblFilterRP_Type[[#This Row],[Provider Type]] = "LSVT", RP_TypeLSVT = "Yes" )</f>
        <v>0</v>
      </c>
      <c r="H736" s="24">
        <f xml:space="preserve"> SUM( tblFilterRP_Type[[#This Row],[Incl. for traditional]], tblFilterRP_Type[[#This Row],[Incl. for LSVT]] )</f>
        <v>1</v>
      </c>
      <c r="I736" s="132" cm="1">
        <f t="array" ref="I736" xml:space="preserve"> INDEX( VfM_Metrics_2023_Consol_Source[], $D736, I$622 )</f>
        <v>0</v>
      </c>
      <c r="J736" s="29" t="str" cm="1">
        <f t="array" ref="J736" xml:space="preserve"> INDEX( VfM_Metrics_2023_Consol_Source[], $D736, J$622 )</f>
        <v>&gt;= 12 years</v>
      </c>
    </row>
    <row r="737" spans="2:10" x14ac:dyDescent="0.2">
      <c r="B737" s="122" t="str" vm="114">
        <f t="shared" ref="B737:D737" si="210" xml:space="preserve"> B535</f>
        <v>Octavia Housing</v>
      </c>
      <c r="C737" s="122" t="str" vm="347">
        <f t="shared" si="210"/>
        <v>L0717</v>
      </c>
      <c r="D737" s="81">
        <f t="shared" si="210"/>
        <v>114</v>
      </c>
      <c r="E737" s="29" t="str" cm="1">
        <f t="array" ref="E737" xml:space="preserve"> INDEX( VfM_Metrics_2023_Consol_Source[], $D737, E$622 )</f>
        <v>Traditional</v>
      </c>
      <c r="F737" s="23">
        <f xml:space="preserve"> -- AND( tblFilterRP_Type[[#This Row],[Provider Type]] = "Traditional", RP_TypeTrad = "Yes" )</f>
        <v>1</v>
      </c>
      <c r="G737" s="23">
        <f xml:space="preserve"> -- AND( tblFilterRP_Type[[#This Row],[Provider Type]] = "LSVT", RP_TypeLSVT = "Yes" )</f>
        <v>0</v>
      </c>
      <c r="H737" s="24">
        <f xml:space="preserve"> SUM( tblFilterRP_Type[[#This Row],[Incl. for traditional]], tblFilterRP_Type[[#This Row],[Incl. for LSVT]] )</f>
        <v>1</v>
      </c>
      <c r="I737" s="132" t="str" cm="1">
        <f t="array" ref="I737" xml:space="preserve"> INDEX( VfM_Metrics_2023_Consol_Source[], $D737, I$622 )</f>
        <v/>
      </c>
      <c r="J737" s="29" cm="1">
        <f t="array" ref="J737" xml:space="preserve"> INDEX( VfM_Metrics_2023_Consol_Source[], $D737, J$622 )</f>
        <v>0</v>
      </c>
    </row>
    <row r="738" spans="2:10" x14ac:dyDescent="0.2">
      <c r="B738" s="122" t="str" vm="115">
        <f t="shared" ref="B738:D738" si="211" xml:space="preserve"> B536</f>
        <v>One Manchester Limited</v>
      </c>
      <c r="C738" s="122" t="str" vm="275">
        <f t="shared" si="211"/>
        <v>4808</v>
      </c>
      <c r="D738" s="81">
        <f t="shared" si="211"/>
        <v>115</v>
      </c>
      <c r="E738" s="29" t="str" cm="1">
        <f t="array" ref="E738" xml:space="preserve"> INDEX( VfM_Metrics_2023_Consol_Source[], $D738, E$622 )</f>
        <v>Traditional</v>
      </c>
      <c r="F738" s="23">
        <f xml:space="preserve"> -- AND( tblFilterRP_Type[[#This Row],[Provider Type]] = "Traditional", RP_TypeTrad = "Yes" )</f>
        <v>1</v>
      </c>
      <c r="G738" s="23">
        <f xml:space="preserve"> -- AND( tblFilterRP_Type[[#This Row],[Provider Type]] = "LSVT", RP_TypeLSVT = "Yes" )</f>
        <v>0</v>
      </c>
      <c r="H738" s="24">
        <f xml:space="preserve"> SUM( tblFilterRP_Type[[#This Row],[Incl. for traditional]], tblFilterRP_Type[[#This Row],[Incl. for LSVT]] )</f>
        <v>1</v>
      </c>
      <c r="I738" s="132" cm="1">
        <f t="array" ref="I738" xml:space="preserve"> INDEX( VfM_Metrics_2023_Consol_Source[], $D738, I$622 )</f>
        <v>0</v>
      </c>
      <c r="J738" s="29" t="str" cm="1">
        <f t="array" ref="J738" xml:space="preserve"> INDEX( VfM_Metrics_2023_Consol_Source[], $D738, J$622 )</f>
        <v>&gt;= 12 years</v>
      </c>
    </row>
    <row r="739" spans="2:10" x14ac:dyDescent="0.2">
      <c r="B739" s="122" t="str" vm="116">
        <f t="shared" ref="B739:D739" si="212" xml:space="preserve"> B537</f>
        <v>One Vision Housing Limited</v>
      </c>
      <c r="C739" s="122" t="str" vm="297">
        <f t="shared" si="212"/>
        <v>4804</v>
      </c>
      <c r="D739" s="81">
        <f t="shared" si="212"/>
        <v>116</v>
      </c>
      <c r="E739" s="29" t="str" cm="1">
        <f t="array" ref="E739" xml:space="preserve"> INDEX( VfM_Metrics_2023_Consol_Source[], $D739, E$622 )</f>
        <v>Traditional</v>
      </c>
      <c r="F739" s="23">
        <f xml:space="preserve"> -- AND( tblFilterRP_Type[[#This Row],[Provider Type]] = "Traditional", RP_TypeTrad = "Yes" )</f>
        <v>1</v>
      </c>
      <c r="G739" s="23">
        <f xml:space="preserve"> -- AND( tblFilterRP_Type[[#This Row],[Provider Type]] = "LSVT", RP_TypeLSVT = "Yes" )</f>
        <v>0</v>
      </c>
      <c r="H739" s="24">
        <f xml:space="preserve"> SUM( tblFilterRP_Type[[#This Row],[Incl. for traditional]], tblFilterRP_Type[[#This Row],[Incl. for LSVT]] )</f>
        <v>1</v>
      </c>
      <c r="I739" s="132" cm="1">
        <f t="array" ref="I739" xml:space="preserve"> INDEX( VfM_Metrics_2023_Consol_Source[], $D739, I$622 )</f>
        <v>0</v>
      </c>
      <c r="J739" s="29" t="str" cm="1">
        <f t="array" ref="J739" xml:space="preserve"> INDEX( VfM_Metrics_2023_Consol_Source[], $D739, J$622 )</f>
        <v>&gt;= 12 years</v>
      </c>
    </row>
    <row r="740" spans="2:10" x14ac:dyDescent="0.2">
      <c r="B740" s="122" t="str" vm="117">
        <f t="shared" ref="B740:D740" si="213" xml:space="preserve"> B538</f>
        <v>Ongo Homes Limited</v>
      </c>
      <c r="C740" s="122" t="str" vm="301">
        <f t="shared" si="213"/>
        <v>L4486</v>
      </c>
      <c r="D740" s="81">
        <f t="shared" si="213"/>
        <v>117</v>
      </c>
      <c r="E740" s="29" t="str" cm="1">
        <f t="array" ref="E740" xml:space="preserve"> INDEX( VfM_Metrics_2023_Consol_Source[], $D740, E$622 )</f>
        <v>Traditional</v>
      </c>
      <c r="F740" s="23">
        <f xml:space="preserve"> -- AND( tblFilterRP_Type[[#This Row],[Provider Type]] = "Traditional", RP_TypeTrad = "Yes" )</f>
        <v>1</v>
      </c>
      <c r="G740" s="23">
        <f xml:space="preserve"> -- AND( tblFilterRP_Type[[#This Row],[Provider Type]] = "LSVT", RP_TypeLSVT = "Yes" )</f>
        <v>0</v>
      </c>
      <c r="H740" s="24">
        <f xml:space="preserve"> SUM( tblFilterRP_Type[[#This Row],[Incl. for traditional]], tblFilterRP_Type[[#This Row],[Incl. for LSVT]] )</f>
        <v>1</v>
      </c>
      <c r="I740" s="132" cm="1">
        <f t="array" ref="I740" xml:space="preserve"> INDEX( VfM_Metrics_2023_Consol_Source[], $D740, I$622 )</f>
        <v>0</v>
      </c>
      <c r="J740" s="29" t="str" cm="1">
        <f t="array" ref="J740" xml:space="preserve"> INDEX( VfM_Metrics_2023_Consol_Source[], $D740, J$622 )</f>
        <v>&gt;= 12 years</v>
      </c>
    </row>
    <row r="741" spans="2:10" x14ac:dyDescent="0.2">
      <c r="B741" s="122" t="str" vm="118">
        <f t="shared" ref="B741:D741" si="214" xml:space="preserve"> B539</f>
        <v>Onward Group Limited</v>
      </c>
      <c r="C741" s="122" t="str" vm="338">
        <f t="shared" si="214"/>
        <v>4649</v>
      </c>
      <c r="D741" s="81">
        <f t="shared" si="214"/>
        <v>118</v>
      </c>
      <c r="E741" s="29" t="str" cm="1">
        <f t="array" ref="E741" xml:space="preserve"> INDEX( VfM_Metrics_2023_Consol_Source[], $D741, E$622 )</f>
        <v>Traditional</v>
      </c>
      <c r="F741" s="23">
        <f xml:space="preserve"> -- AND( tblFilterRP_Type[[#This Row],[Provider Type]] = "Traditional", RP_TypeTrad = "Yes" )</f>
        <v>1</v>
      </c>
      <c r="G741" s="23">
        <f xml:space="preserve"> -- AND( tblFilterRP_Type[[#This Row],[Provider Type]] = "LSVT", RP_TypeLSVT = "Yes" )</f>
        <v>0</v>
      </c>
      <c r="H741" s="24">
        <f xml:space="preserve"> SUM( tblFilterRP_Type[[#This Row],[Incl. for traditional]], tblFilterRP_Type[[#This Row],[Incl. for LSVT]] )</f>
        <v>1</v>
      </c>
      <c r="I741" s="132" cm="1">
        <f t="array" ref="I741" xml:space="preserve"> INDEX( VfM_Metrics_2023_Consol_Source[], $D741, I$622 )</f>
        <v>0</v>
      </c>
      <c r="J741" s="29" t="str" cm="1">
        <f t="array" ref="J741" xml:space="preserve"> INDEX( VfM_Metrics_2023_Consol_Source[], $D741, J$622 )</f>
        <v>&gt;= 12 years</v>
      </c>
    </row>
    <row r="742" spans="2:10" x14ac:dyDescent="0.2">
      <c r="B742" s="122" t="str" vm="119">
        <f t="shared" ref="B742:D742" si="215" xml:space="preserve"> B540</f>
        <v>Orbit Group Limited</v>
      </c>
      <c r="C742" s="122" t="str" vm="253">
        <f t="shared" si="215"/>
        <v>L4123</v>
      </c>
      <c r="D742" s="81">
        <f t="shared" si="215"/>
        <v>119</v>
      </c>
      <c r="E742" s="29" t="str" cm="1">
        <f t="array" ref="E742" xml:space="preserve"> INDEX( VfM_Metrics_2023_Consol_Source[], $D742, E$622 )</f>
        <v>Traditional</v>
      </c>
      <c r="F742" s="23">
        <f xml:space="preserve"> -- AND( tblFilterRP_Type[[#This Row],[Provider Type]] = "Traditional", RP_TypeTrad = "Yes" )</f>
        <v>1</v>
      </c>
      <c r="G742" s="23">
        <f xml:space="preserve"> -- AND( tblFilterRP_Type[[#This Row],[Provider Type]] = "LSVT", RP_TypeLSVT = "Yes" )</f>
        <v>0</v>
      </c>
      <c r="H742" s="24">
        <f xml:space="preserve"> SUM( tblFilterRP_Type[[#This Row],[Incl. for traditional]], tblFilterRP_Type[[#This Row],[Incl. for LSVT]] )</f>
        <v>1</v>
      </c>
      <c r="I742" s="132" t="str" cm="1">
        <f t="array" ref="I742" xml:space="preserve"> INDEX( VfM_Metrics_2023_Consol_Source[], $D742, I$622 )</f>
        <v/>
      </c>
      <c r="J742" s="29" cm="1">
        <f t="array" ref="J742" xml:space="preserve"> INDEX( VfM_Metrics_2023_Consol_Source[], $D742, J$622 )</f>
        <v>0</v>
      </c>
    </row>
    <row r="743" spans="2:10" x14ac:dyDescent="0.2">
      <c r="B743" s="122" t="str" vm="120">
        <f t="shared" ref="B743:D743" si="216" xml:space="preserve"> B541</f>
        <v>Origin Housing Limited</v>
      </c>
      <c r="C743" s="122" t="str" vm="348">
        <f t="shared" si="216"/>
        <v>L0871</v>
      </c>
      <c r="D743" s="81">
        <f t="shared" si="216"/>
        <v>120</v>
      </c>
      <c r="E743" s="29" t="str" cm="1">
        <f t="array" ref="E743" xml:space="preserve"> INDEX( VfM_Metrics_2023_Consol_Source[], $D743, E$622 )</f>
        <v>Traditional</v>
      </c>
      <c r="F743" s="23">
        <f xml:space="preserve"> -- AND( tblFilterRP_Type[[#This Row],[Provider Type]] = "Traditional", RP_TypeTrad = "Yes" )</f>
        <v>1</v>
      </c>
      <c r="G743" s="23">
        <f xml:space="preserve"> -- AND( tblFilterRP_Type[[#This Row],[Provider Type]] = "LSVT", RP_TypeLSVT = "Yes" )</f>
        <v>0</v>
      </c>
      <c r="H743" s="24">
        <f xml:space="preserve"> SUM( tblFilterRP_Type[[#This Row],[Incl. for traditional]], tblFilterRP_Type[[#This Row],[Incl. for LSVT]] )</f>
        <v>1</v>
      </c>
      <c r="I743" s="132" t="str" cm="1">
        <f t="array" ref="I743" xml:space="preserve"> INDEX( VfM_Metrics_2023_Consol_Source[], $D743, I$622 )</f>
        <v/>
      </c>
      <c r="J743" s="29" cm="1">
        <f t="array" ref="J743" xml:space="preserve"> INDEX( VfM_Metrics_2023_Consol_Source[], $D743, J$622 )</f>
        <v>0</v>
      </c>
    </row>
    <row r="744" spans="2:10" x14ac:dyDescent="0.2">
      <c r="B744" s="122" t="str" vm="121">
        <f t="shared" ref="B744:D744" si="217" xml:space="preserve"> B542</f>
        <v>Orwell Housing Association Limited</v>
      </c>
      <c r="C744" s="122" t="str" vm="308">
        <f t="shared" si="217"/>
        <v>L0028</v>
      </c>
      <c r="D744" s="81">
        <f t="shared" si="217"/>
        <v>121</v>
      </c>
      <c r="E744" s="29" t="str" cm="1">
        <f t="array" ref="E744" xml:space="preserve"> INDEX( VfM_Metrics_2023_Consol_Source[], $D744, E$622 )</f>
        <v>Traditional</v>
      </c>
      <c r="F744" s="23">
        <f xml:space="preserve"> -- AND( tblFilterRP_Type[[#This Row],[Provider Type]] = "Traditional", RP_TypeTrad = "Yes" )</f>
        <v>1</v>
      </c>
      <c r="G744" s="23">
        <f xml:space="preserve"> -- AND( tblFilterRP_Type[[#This Row],[Provider Type]] = "LSVT", RP_TypeLSVT = "Yes" )</f>
        <v>0</v>
      </c>
      <c r="H744" s="24">
        <f xml:space="preserve"> SUM( tblFilterRP_Type[[#This Row],[Incl. for traditional]], tblFilterRP_Type[[#This Row],[Incl. for LSVT]] )</f>
        <v>1</v>
      </c>
      <c r="I744" s="132" t="str" cm="1">
        <f t="array" ref="I744" xml:space="preserve"> INDEX( VfM_Metrics_2023_Consol_Source[], $D744, I$622 )</f>
        <v/>
      </c>
      <c r="J744" s="29" cm="1">
        <f t="array" ref="J744" xml:space="preserve"> INDEX( VfM_Metrics_2023_Consol_Source[], $D744, J$622 )</f>
        <v>0</v>
      </c>
    </row>
    <row r="745" spans="2:10" x14ac:dyDescent="0.2">
      <c r="B745" s="122" t="str" vm="122">
        <f t="shared" ref="B745:D745" si="218" xml:space="preserve"> B543</f>
        <v>Paradigm Housing Group Limited</v>
      </c>
      <c r="C745" s="122" t="str" vm="287">
        <f t="shared" si="218"/>
        <v>L4215</v>
      </c>
      <c r="D745" s="81">
        <f t="shared" si="218"/>
        <v>122</v>
      </c>
      <c r="E745" s="29" t="str" cm="1">
        <f t="array" ref="E745" xml:space="preserve"> INDEX( VfM_Metrics_2023_Consol_Source[], $D745, E$622 )</f>
        <v>Traditional</v>
      </c>
      <c r="F745" s="23">
        <f xml:space="preserve"> -- AND( tblFilterRP_Type[[#This Row],[Provider Type]] = "Traditional", RP_TypeTrad = "Yes" )</f>
        <v>1</v>
      </c>
      <c r="G745" s="23">
        <f xml:space="preserve"> -- AND( tblFilterRP_Type[[#This Row],[Provider Type]] = "LSVT", RP_TypeLSVT = "Yes" )</f>
        <v>0</v>
      </c>
      <c r="H745" s="24">
        <f xml:space="preserve"> SUM( tblFilterRP_Type[[#This Row],[Incl. for traditional]], tblFilterRP_Type[[#This Row],[Incl. for LSVT]] )</f>
        <v>1</v>
      </c>
      <c r="I745" s="132" t="str" cm="1">
        <f t="array" ref="I745" xml:space="preserve"> INDEX( VfM_Metrics_2023_Consol_Source[], $D745, I$622 )</f>
        <v/>
      </c>
      <c r="J745" s="29" cm="1">
        <f t="array" ref="J745" xml:space="preserve"> INDEX( VfM_Metrics_2023_Consol_Source[], $D745, J$622 )</f>
        <v>0</v>
      </c>
    </row>
    <row r="746" spans="2:10" x14ac:dyDescent="0.2">
      <c r="B746" s="122" t="str" vm="123">
        <f t="shared" ref="B746:D746" si="219" xml:space="preserve"> B544</f>
        <v>Paragon Asra Housing Limited</v>
      </c>
      <c r="C746" s="122" t="str" vm="337">
        <f t="shared" si="219"/>
        <v>4849</v>
      </c>
      <c r="D746" s="81">
        <f t="shared" si="219"/>
        <v>123</v>
      </c>
      <c r="E746" s="29" t="str" cm="1">
        <f t="array" ref="E746" xml:space="preserve"> INDEX( VfM_Metrics_2023_Consol_Source[], $D746, E$622 )</f>
        <v>Traditional</v>
      </c>
      <c r="F746" s="23">
        <f xml:space="preserve"> -- AND( tblFilterRP_Type[[#This Row],[Provider Type]] = "Traditional", RP_TypeTrad = "Yes" )</f>
        <v>1</v>
      </c>
      <c r="G746" s="23">
        <f xml:space="preserve"> -- AND( tblFilterRP_Type[[#This Row],[Provider Type]] = "LSVT", RP_TypeLSVT = "Yes" )</f>
        <v>0</v>
      </c>
      <c r="H746" s="24">
        <f xml:space="preserve"> SUM( tblFilterRP_Type[[#This Row],[Incl. for traditional]], tblFilterRP_Type[[#This Row],[Incl. for LSVT]] )</f>
        <v>1</v>
      </c>
      <c r="I746" s="132" t="str" cm="1">
        <f t="array" ref="I746" xml:space="preserve"> INDEX( VfM_Metrics_2023_Consol_Source[], $D746, I$622 )</f>
        <v/>
      </c>
      <c r="J746" s="29" cm="1">
        <f t="array" ref="J746" xml:space="preserve"> INDEX( VfM_Metrics_2023_Consol_Source[], $D746, J$622 )</f>
        <v>0</v>
      </c>
    </row>
    <row r="747" spans="2:10" x14ac:dyDescent="0.2">
      <c r="B747" s="122" t="str" vm="124">
        <f t="shared" ref="B747:D747" si="220" xml:space="preserve"> B545</f>
        <v>Peabody Trust</v>
      </c>
      <c r="C747" s="122" t="str" vm="242">
        <f t="shared" si="220"/>
        <v>4878</v>
      </c>
      <c r="D747" s="81">
        <f t="shared" si="220"/>
        <v>124</v>
      </c>
      <c r="E747" s="29" t="str" cm="1">
        <f t="array" ref="E747" xml:space="preserve"> INDEX( VfM_Metrics_2023_Consol_Source[], $D747, E$622 )</f>
        <v>Traditional</v>
      </c>
      <c r="F747" s="23">
        <f xml:space="preserve"> -- AND( tblFilterRP_Type[[#This Row],[Provider Type]] = "Traditional", RP_TypeTrad = "Yes" )</f>
        <v>1</v>
      </c>
      <c r="G747" s="23">
        <f xml:space="preserve"> -- AND( tblFilterRP_Type[[#This Row],[Provider Type]] = "LSVT", RP_TypeLSVT = "Yes" )</f>
        <v>0</v>
      </c>
      <c r="H747" s="24">
        <f xml:space="preserve"> SUM( tblFilterRP_Type[[#This Row],[Incl. for traditional]], tblFilterRP_Type[[#This Row],[Incl. for LSVT]] )</f>
        <v>1</v>
      </c>
      <c r="I747" s="132" t="str" cm="1">
        <f t="array" ref="I747" xml:space="preserve"> INDEX( VfM_Metrics_2023_Consol_Source[], $D747, I$622 )</f>
        <v/>
      </c>
      <c r="J747" s="29" cm="1">
        <f t="array" ref="J747" xml:space="preserve"> INDEX( VfM_Metrics_2023_Consol_Source[], $D747, J$622 )</f>
        <v>0</v>
      </c>
    </row>
    <row r="748" spans="2:10" x14ac:dyDescent="0.2">
      <c r="B748" s="122" t="str" vm="125">
        <f t="shared" ref="B748:D748" si="221" xml:space="preserve"> B546</f>
        <v>Phoenix Community Housing Association (Bellingham and Downham) Limited</v>
      </c>
      <c r="C748" s="122" t="str" vm="357">
        <f t="shared" si="221"/>
        <v>L4505</v>
      </c>
      <c r="D748" s="81">
        <f t="shared" si="221"/>
        <v>125</v>
      </c>
      <c r="E748" s="29" t="str" cm="1">
        <f t="array" ref="E748" xml:space="preserve"> INDEX( VfM_Metrics_2023_Consol_Source[], $D748, E$622 )</f>
        <v>Traditional</v>
      </c>
      <c r="F748" s="23">
        <f xml:space="preserve"> -- AND( tblFilterRP_Type[[#This Row],[Provider Type]] = "Traditional", RP_TypeTrad = "Yes" )</f>
        <v>1</v>
      </c>
      <c r="G748" s="23">
        <f xml:space="preserve"> -- AND( tblFilterRP_Type[[#This Row],[Provider Type]] = "LSVT", RP_TypeLSVT = "Yes" )</f>
        <v>0</v>
      </c>
      <c r="H748" s="24">
        <f xml:space="preserve"> SUM( tblFilterRP_Type[[#This Row],[Incl. for traditional]], tblFilterRP_Type[[#This Row],[Incl. for LSVT]] )</f>
        <v>1</v>
      </c>
      <c r="I748" s="132" cm="1">
        <f t="array" ref="I748" xml:space="preserve"> INDEX( VfM_Metrics_2023_Consol_Source[], $D748, I$622 )</f>
        <v>0</v>
      </c>
      <c r="J748" s="29" t="str" cm="1">
        <f t="array" ref="J748" xml:space="preserve"> INDEX( VfM_Metrics_2023_Consol_Source[], $D748, J$622 )</f>
        <v>&gt;= 12 years</v>
      </c>
    </row>
    <row r="749" spans="2:10" x14ac:dyDescent="0.2">
      <c r="B749" s="122" t="str" vm="126">
        <f t="shared" ref="B749:D749" si="222" xml:space="preserve"> B547</f>
        <v>Pickering and Ferens Homes</v>
      </c>
      <c r="C749" s="122" t="str" vm="220">
        <f t="shared" si="222"/>
        <v>A4020</v>
      </c>
      <c r="D749" s="81">
        <f t="shared" si="222"/>
        <v>126</v>
      </c>
      <c r="E749" s="29" t="str" cm="1">
        <f t="array" ref="E749" xml:space="preserve"> INDEX( VfM_Metrics_2023_Consol_Source[], $D749, E$622 )</f>
        <v>Traditional</v>
      </c>
      <c r="F749" s="23">
        <f xml:space="preserve"> -- AND( tblFilterRP_Type[[#This Row],[Provider Type]] = "Traditional", RP_TypeTrad = "Yes" )</f>
        <v>1</v>
      </c>
      <c r="G749" s="23">
        <f xml:space="preserve"> -- AND( tblFilterRP_Type[[#This Row],[Provider Type]] = "LSVT", RP_TypeLSVT = "Yes" )</f>
        <v>0</v>
      </c>
      <c r="H749" s="24">
        <f xml:space="preserve"> SUM( tblFilterRP_Type[[#This Row],[Incl. for traditional]], tblFilterRP_Type[[#This Row],[Incl. for LSVT]] )</f>
        <v>1</v>
      </c>
      <c r="I749" s="132" t="str" cm="1">
        <f t="array" ref="I749" xml:space="preserve"> INDEX( VfM_Metrics_2023_Consol_Source[], $D749, I$622 )</f>
        <v/>
      </c>
      <c r="J749" s="29" cm="1">
        <f t="array" ref="J749" xml:space="preserve"> INDEX( VfM_Metrics_2023_Consol_Source[], $D749, J$622 )</f>
        <v>0</v>
      </c>
    </row>
    <row r="750" spans="2:10" x14ac:dyDescent="0.2">
      <c r="B750" s="122" t="str" vm="127">
        <f t="shared" ref="B750:D750" si="223" xml:space="preserve"> B548</f>
        <v>Places for People Group Limited</v>
      </c>
      <c r="C750" s="122" t="str" vm="267">
        <f t="shared" si="223"/>
        <v>L4236</v>
      </c>
      <c r="D750" s="81">
        <f t="shared" si="223"/>
        <v>127</v>
      </c>
      <c r="E750" s="29" t="str" cm="1">
        <f t="array" ref="E750" xml:space="preserve"> INDEX( VfM_Metrics_2023_Consol_Source[], $D750, E$622 )</f>
        <v>Traditional</v>
      </c>
      <c r="F750" s="23">
        <f xml:space="preserve"> -- AND( tblFilterRP_Type[[#This Row],[Provider Type]] = "Traditional", RP_TypeTrad = "Yes" )</f>
        <v>1</v>
      </c>
      <c r="G750" s="23">
        <f xml:space="preserve"> -- AND( tblFilterRP_Type[[#This Row],[Provider Type]] = "LSVT", RP_TypeLSVT = "Yes" )</f>
        <v>0</v>
      </c>
      <c r="H750" s="24">
        <f xml:space="preserve"> SUM( tblFilterRP_Type[[#This Row],[Incl. for traditional]], tblFilterRP_Type[[#This Row],[Incl. for LSVT]] )</f>
        <v>1</v>
      </c>
      <c r="I750" s="132" t="str" cm="1">
        <f t="array" ref="I750" xml:space="preserve"> INDEX( VfM_Metrics_2023_Consol_Source[], $D750, I$622 )</f>
        <v/>
      </c>
      <c r="J750" s="29" cm="1">
        <f t="array" ref="J750" xml:space="preserve"> INDEX( VfM_Metrics_2023_Consol_Source[], $D750, J$622 )</f>
        <v>0</v>
      </c>
    </row>
    <row r="751" spans="2:10" x14ac:dyDescent="0.2">
      <c r="B751" s="122" t="str" vm="128">
        <f t="shared" ref="B751:D751" si="224" xml:space="preserve"> B549</f>
        <v>Platform Housing Group Limited</v>
      </c>
      <c r="C751" s="122" t="str" vm="266">
        <f t="shared" si="224"/>
        <v>4789</v>
      </c>
      <c r="D751" s="81">
        <f t="shared" si="224"/>
        <v>128</v>
      </c>
      <c r="E751" s="29" t="str" cm="1">
        <f t="array" ref="E751" xml:space="preserve"> INDEX( VfM_Metrics_2023_Consol_Source[], $D751, E$622 )</f>
        <v>Traditional</v>
      </c>
      <c r="F751" s="23">
        <f xml:space="preserve"> -- AND( tblFilterRP_Type[[#This Row],[Provider Type]] = "Traditional", RP_TypeTrad = "Yes" )</f>
        <v>1</v>
      </c>
      <c r="G751" s="23">
        <f xml:space="preserve"> -- AND( tblFilterRP_Type[[#This Row],[Provider Type]] = "LSVT", RP_TypeLSVT = "Yes" )</f>
        <v>0</v>
      </c>
      <c r="H751" s="24">
        <f xml:space="preserve"> SUM( tblFilterRP_Type[[#This Row],[Incl. for traditional]], tblFilterRP_Type[[#This Row],[Incl. for LSVT]] )</f>
        <v>1</v>
      </c>
      <c r="I751" s="132" t="str" cm="1">
        <f t="array" ref="I751" xml:space="preserve"> INDEX( VfM_Metrics_2023_Consol_Source[], $D751, I$622 )</f>
        <v/>
      </c>
      <c r="J751" s="29" cm="1">
        <f t="array" ref="J751" xml:space="preserve"> INDEX( VfM_Metrics_2023_Consol_Source[], $D751, J$622 )</f>
        <v>0</v>
      </c>
    </row>
    <row r="752" spans="2:10" x14ac:dyDescent="0.2">
      <c r="B752" s="122" t="str" vm="129">
        <f t="shared" ref="B752:D752" si="225" xml:space="preserve"> B550</f>
        <v>Plus Dane Housing Limited</v>
      </c>
      <c r="C752" s="122" t="str" vm="274">
        <f t="shared" si="225"/>
        <v>L4556</v>
      </c>
      <c r="D752" s="81">
        <f t="shared" si="225"/>
        <v>129</v>
      </c>
      <c r="E752" s="29" t="str" cm="1">
        <f t="array" ref="E752" xml:space="preserve"> INDEX( VfM_Metrics_2023_Consol_Source[], $D752, E$622 )</f>
        <v>Traditional</v>
      </c>
      <c r="F752" s="23">
        <f xml:space="preserve"> -- AND( tblFilterRP_Type[[#This Row],[Provider Type]] = "Traditional", RP_TypeTrad = "Yes" )</f>
        <v>1</v>
      </c>
      <c r="G752" s="23">
        <f xml:space="preserve"> -- AND( tblFilterRP_Type[[#This Row],[Provider Type]] = "LSVT", RP_TypeLSVT = "Yes" )</f>
        <v>0</v>
      </c>
      <c r="H752" s="24">
        <f xml:space="preserve"> SUM( tblFilterRP_Type[[#This Row],[Incl. for traditional]], tblFilterRP_Type[[#This Row],[Incl. for LSVT]] )</f>
        <v>1</v>
      </c>
      <c r="I752" s="132" t="str" cm="1">
        <f t="array" ref="I752" xml:space="preserve"> INDEX( VfM_Metrics_2023_Consol_Source[], $D752, I$622 )</f>
        <v/>
      </c>
      <c r="J752" s="29" cm="1">
        <f t="array" ref="J752" xml:space="preserve"> INDEX( VfM_Metrics_2023_Consol_Source[], $D752, J$622 )</f>
        <v>0</v>
      </c>
    </row>
    <row r="753" spans="2:10" x14ac:dyDescent="0.2">
      <c r="B753" s="122" t="str" vm="130">
        <f t="shared" ref="B753:D753" si="226" xml:space="preserve"> B551</f>
        <v>Plymouth Community Homes Limited</v>
      </c>
      <c r="C753" s="122" t="str" vm="286">
        <f t="shared" si="226"/>
        <v>L4543</v>
      </c>
      <c r="D753" s="81">
        <f t="shared" si="226"/>
        <v>130</v>
      </c>
      <c r="E753" s="29" t="str" cm="1">
        <f t="array" ref="E753" xml:space="preserve"> INDEX( VfM_Metrics_2023_Consol_Source[], $D753, E$622 )</f>
        <v>Traditional</v>
      </c>
      <c r="F753" s="23">
        <f xml:space="preserve"> -- AND( tblFilterRP_Type[[#This Row],[Provider Type]] = "Traditional", RP_TypeTrad = "Yes" )</f>
        <v>1</v>
      </c>
      <c r="G753" s="23">
        <f xml:space="preserve"> -- AND( tblFilterRP_Type[[#This Row],[Provider Type]] = "LSVT", RP_TypeLSVT = "Yes" )</f>
        <v>0</v>
      </c>
      <c r="H753" s="24">
        <f xml:space="preserve"> SUM( tblFilterRP_Type[[#This Row],[Incl. for traditional]], tblFilterRP_Type[[#This Row],[Incl. for LSVT]] )</f>
        <v>1</v>
      </c>
      <c r="I753" s="132" cm="1">
        <f t="array" ref="I753" xml:space="preserve"> INDEX( VfM_Metrics_2023_Consol_Source[], $D753, I$622 )</f>
        <v>0</v>
      </c>
      <c r="J753" s="29" t="str" cm="1">
        <f t="array" ref="J753" xml:space="preserve"> INDEX( VfM_Metrics_2023_Consol_Source[], $D753, J$622 )</f>
        <v>&gt;= 12 years</v>
      </c>
    </row>
    <row r="754" spans="2:10" x14ac:dyDescent="0.2">
      <c r="B754" s="122" t="str" vm="131">
        <f t="shared" ref="B754:D754" si="227" xml:space="preserve"> B552</f>
        <v>Poplar Housing And Regeneration Community Association Limited</v>
      </c>
      <c r="C754" s="122" t="str" vm="350">
        <f t="shared" si="227"/>
        <v>L4170</v>
      </c>
      <c r="D754" s="81">
        <f t="shared" si="227"/>
        <v>131</v>
      </c>
      <c r="E754" s="29" t="str" cm="1">
        <f t="array" ref="E754" xml:space="preserve"> INDEX( VfM_Metrics_2023_Consol_Source[], $D754, E$622 )</f>
        <v>Traditional</v>
      </c>
      <c r="F754" s="23">
        <f xml:space="preserve"> -- AND( tblFilterRP_Type[[#This Row],[Provider Type]] = "Traditional", RP_TypeTrad = "Yes" )</f>
        <v>1</v>
      </c>
      <c r="G754" s="23">
        <f xml:space="preserve"> -- AND( tblFilterRP_Type[[#This Row],[Provider Type]] = "LSVT", RP_TypeLSVT = "Yes" )</f>
        <v>0</v>
      </c>
      <c r="H754" s="24">
        <f xml:space="preserve"> SUM( tblFilterRP_Type[[#This Row],[Incl. for traditional]], tblFilterRP_Type[[#This Row],[Incl. for LSVT]] )</f>
        <v>1</v>
      </c>
      <c r="I754" s="132" cm="1">
        <f t="array" ref="I754" xml:space="preserve"> INDEX( VfM_Metrics_2023_Consol_Source[], $D754, I$622 )</f>
        <v>0</v>
      </c>
      <c r="J754" s="29" t="str" cm="1">
        <f t="array" ref="J754" xml:space="preserve"> INDEX( VfM_Metrics_2023_Consol_Source[], $D754, J$622 )</f>
        <v>&gt;= 12 years</v>
      </c>
    </row>
    <row r="755" spans="2:10" x14ac:dyDescent="0.2">
      <c r="B755" s="122" t="str" vm="132">
        <f t="shared" ref="B755:D755" si="228" xml:space="preserve"> B553</f>
        <v>Prima Housing Group Limited</v>
      </c>
      <c r="C755" s="122" t="str" vm="317">
        <f t="shared" si="228"/>
        <v>L1001</v>
      </c>
      <c r="D755" s="81">
        <f t="shared" si="228"/>
        <v>132</v>
      </c>
      <c r="E755" s="29" t="str" cm="1">
        <f t="array" ref="E755" xml:space="preserve"> INDEX( VfM_Metrics_2023_Consol_Source[], $D755, E$622 )</f>
        <v>Traditional</v>
      </c>
      <c r="F755" s="23">
        <f xml:space="preserve"> -- AND( tblFilterRP_Type[[#This Row],[Provider Type]] = "Traditional", RP_TypeTrad = "Yes" )</f>
        <v>1</v>
      </c>
      <c r="G755" s="23">
        <f xml:space="preserve"> -- AND( tblFilterRP_Type[[#This Row],[Provider Type]] = "LSVT", RP_TypeLSVT = "Yes" )</f>
        <v>0</v>
      </c>
      <c r="H755" s="24">
        <f xml:space="preserve"> SUM( tblFilterRP_Type[[#This Row],[Incl. for traditional]], tblFilterRP_Type[[#This Row],[Incl. for LSVT]] )</f>
        <v>1</v>
      </c>
      <c r="I755" s="132" t="str" cm="1">
        <f t="array" ref="I755" xml:space="preserve"> INDEX( VfM_Metrics_2023_Consol_Source[], $D755, I$622 )</f>
        <v/>
      </c>
      <c r="J755" s="29" cm="1">
        <f t="array" ref="J755" xml:space="preserve"> INDEX( VfM_Metrics_2023_Consol_Source[], $D755, J$622 )</f>
        <v>0</v>
      </c>
    </row>
    <row r="756" spans="2:10" x14ac:dyDescent="0.2">
      <c r="B756" s="122" t="str" vm="133">
        <f t="shared" ref="B756:D756" si="229" xml:space="preserve"> B554</f>
        <v>Progress Housing Group Limited</v>
      </c>
      <c r="C756" s="122" t="str" vm="269">
        <f t="shared" si="229"/>
        <v>LH4189</v>
      </c>
      <c r="D756" s="81">
        <f t="shared" si="229"/>
        <v>133</v>
      </c>
      <c r="E756" s="29" t="str" cm="1">
        <f t="array" ref="E756" xml:space="preserve"> INDEX( VfM_Metrics_2023_Consol_Source[], $D756, E$622 )</f>
        <v>Traditional</v>
      </c>
      <c r="F756" s="23">
        <f xml:space="preserve"> -- AND( tblFilterRP_Type[[#This Row],[Provider Type]] = "Traditional", RP_TypeTrad = "Yes" )</f>
        <v>1</v>
      </c>
      <c r="G756" s="23">
        <f xml:space="preserve"> -- AND( tblFilterRP_Type[[#This Row],[Provider Type]] = "LSVT", RP_TypeLSVT = "Yes" )</f>
        <v>0</v>
      </c>
      <c r="H756" s="24">
        <f xml:space="preserve"> SUM( tblFilterRP_Type[[#This Row],[Incl. for traditional]], tblFilterRP_Type[[#This Row],[Incl. for LSVT]] )</f>
        <v>1</v>
      </c>
      <c r="I756" s="132" t="str" cm="1">
        <f t="array" ref="I756" xml:space="preserve"> INDEX( VfM_Metrics_2023_Consol_Source[], $D756, I$622 )</f>
        <v/>
      </c>
      <c r="J756" s="29" cm="1">
        <f t="array" ref="J756" xml:space="preserve"> INDEX( VfM_Metrics_2023_Consol_Source[], $D756, J$622 )</f>
        <v>0</v>
      </c>
    </row>
    <row r="757" spans="2:10" x14ac:dyDescent="0.2">
      <c r="B757" s="122" t="str" vm="134">
        <f t="shared" ref="B757:D757" si="230" xml:space="preserve"> B555</f>
        <v>Railway Housing Association and Benefit Fund</v>
      </c>
      <c r="C757" s="122" t="str" vm="230">
        <f t="shared" si="230"/>
        <v>A1855</v>
      </c>
      <c r="D757" s="81">
        <f t="shared" si="230"/>
        <v>134</v>
      </c>
      <c r="E757" s="29" t="str" cm="1">
        <f t="array" ref="E757" xml:space="preserve"> INDEX( VfM_Metrics_2023_Consol_Source[], $D757, E$622 )</f>
        <v>Traditional</v>
      </c>
      <c r="F757" s="23">
        <f xml:space="preserve"> -- AND( tblFilterRP_Type[[#This Row],[Provider Type]] = "Traditional", RP_TypeTrad = "Yes" )</f>
        <v>1</v>
      </c>
      <c r="G757" s="23">
        <f xml:space="preserve"> -- AND( tblFilterRP_Type[[#This Row],[Provider Type]] = "LSVT", RP_TypeLSVT = "Yes" )</f>
        <v>0</v>
      </c>
      <c r="H757" s="24">
        <f xml:space="preserve"> SUM( tblFilterRP_Type[[#This Row],[Incl. for traditional]], tblFilterRP_Type[[#This Row],[Incl. for LSVT]] )</f>
        <v>1</v>
      </c>
      <c r="I757" s="132" t="str" cm="1">
        <f t="array" ref="I757" xml:space="preserve"> INDEX( VfM_Metrics_2023_Consol_Source[], $D757, I$622 )</f>
        <v/>
      </c>
      <c r="J757" s="29" cm="1">
        <f t="array" ref="J757" xml:space="preserve"> INDEX( VfM_Metrics_2023_Consol_Source[], $D757, J$622 )</f>
        <v>0</v>
      </c>
    </row>
    <row r="758" spans="2:10" x14ac:dyDescent="0.2">
      <c r="B758" s="122" t="str" vm="135">
        <f t="shared" ref="B758:D758" si="231" xml:space="preserve"> B556</f>
        <v>Raven Housing Trust Limited</v>
      </c>
      <c r="C758" s="122" t="str" vm="359">
        <f t="shared" si="231"/>
        <v>L4334</v>
      </c>
      <c r="D758" s="81">
        <f t="shared" si="231"/>
        <v>135</v>
      </c>
      <c r="E758" s="29" t="str" cm="1">
        <f t="array" ref="E758" xml:space="preserve"> INDEX( VfM_Metrics_2023_Consol_Source[], $D758, E$622 )</f>
        <v>Traditional</v>
      </c>
      <c r="F758" s="23">
        <f xml:space="preserve"> -- AND( tblFilterRP_Type[[#This Row],[Provider Type]] = "Traditional", RP_TypeTrad = "Yes" )</f>
        <v>1</v>
      </c>
      <c r="G758" s="23">
        <f xml:space="preserve"> -- AND( tblFilterRP_Type[[#This Row],[Provider Type]] = "LSVT", RP_TypeLSVT = "Yes" )</f>
        <v>0</v>
      </c>
      <c r="H758" s="24">
        <f xml:space="preserve"> SUM( tblFilterRP_Type[[#This Row],[Incl. for traditional]], tblFilterRP_Type[[#This Row],[Incl. for LSVT]] )</f>
        <v>1</v>
      </c>
      <c r="I758" s="132" cm="1">
        <f t="array" ref="I758" xml:space="preserve"> INDEX( VfM_Metrics_2023_Consol_Source[], $D758, I$622 )</f>
        <v>0</v>
      </c>
      <c r="J758" s="29" t="str" cm="1">
        <f t="array" ref="J758" xml:space="preserve"> INDEX( VfM_Metrics_2023_Consol_Source[], $D758, J$622 )</f>
        <v>&gt;= 12 years</v>
      </c>
    </row>
    <row r="759" spans="2:10" x14ac:dyDescent="0.2">
      <c r="B759" s="122" t="str" vm="136">
        <f t="shared" ref="B759:D759" si="232" xml:space="preserve"> B557</f>
        <v>Red Kite Community Housing Limited</v>
      </c>
      <c r="C759" s="122" t="str" vm="356">
        <f t="shared" si="232"/>
        <v>4682</v>
      </c>
      <c r="D759" s="81">
        <f t="shared" si="232"/>
        <v>136</v>
      </c>
      <c r="E759" s="29" t="str" cm="1">
        <f t="array" ref="E759" xml:space="preserve"> INDEX( VfM_Metrics_2023_Consol_Source[], $D759, E$622 )</f>
        <v>Traditional</v>
      </c>
      <c r="F759" s="23">
        <f xml:space="preserve"> -- AND( tblFilterRP_Type[[#This Row],[Provider Type]] = "Traditional", RP_TypeTrad = "Yes" )</f>
        <v>1</v>
      </c>
      <c r="G759" s="23">
        <f xml:space="preserve"> -- AND( tblFilterRP_Type[[#This Row],[Provider Type]] = "LSVT", RP_TypeLSVT = "Yes" )</f>
        <v>0</v>
      </c>
      <c r="H759" s="24">
        <f xml:space="preserve"> SUM( tblFilterRP_Type[[#This Row],[Incl. for traditional]], tblFilterRP_Type[[#This Row],[Incl. for LSVT]] )</f>
        <v>1</v>
      </c>
      <c r="I759" s="132" cm="1">
        <f t="array" ref="I759" xml:space="preserve"> INDEX( VfM_Metrics_2023_Consol_Source[], $D759, I$622 )</f>
        <v>0</v>
      </c>
      <c r="J759" s="29" t="str" cm="1">
        <f t="array" ref="J759" xml:space="preserve"> INDEX( VfM_Metrics_2023_Consol_Source[], $D759, J$622 )</f>
        <v>&gt;= 12 years</v>
      </c>
    </row>
    <row r="760" spans="2:10" x14ac:dyDescent="0.2">
      <c r="B760" s="122" t="str" vm="137">
        <f t="shared" ref="B760:D760" si="233" xml:space="preserve"> B558</f>
        <v>Regenda Limited</v>
      </c>
      <c r="C760" s="122" t="str" vm="283">
        <f t="shared" si="233"/>
        <v>4653</v>
      </c>
      <c r="D760" s="81">
        <f t="shared" si="233"/>
        <v>137</v>
      </c>
      <c r="E760" s="29" t="str" cm="1">
        <f t="array" ref="E760" xml:space="preserve"> INDEX( VfM_Metrics_2023_Consol_Source[], $D760, E$622 )</f>
        <v>Traditional</v>
      </c>
      <c r="F760" s="23">
        <f xml:space="preserve"> -- AND( tblFilterRP_Type[[#This Row],[Provider Type]] = "Traditional", RP_TypeTrad = "Yes" )</f>
        <v>1</v>
      </c>
      <c r="G760" s="23">
        <f xml:space="preserve"> -- AND( tblFilterRP_Type[[#This Row],[Provider Type]] = "LSVT", RP_TypeLSVT = "Yes" )</f>
        <v>0</v>
      </c>
      <c r="H760" s="24">
        <f xml:space="preserve"> SUM( tblFilterRP_Type[[#This Row],[Incl. for traditional]], tblFilterRP_Type[[#This Row],[Incl. for LSVT]] )</f>
        <v>1</v>
      </c>
      <c r="I760" s="132" t="str" cm="1">
        <f t="array" ref="I760" xml:space="preserve"> INDEX( VfM_Metrics_2023_Consol_Source[], $D760, I$622 )</f>
        <v/>
      </c>
      <c r="J760" s="29" cm="1">
        <f t="array" ref="J760" xml:space="preserve"> INDEX( VfM_Metrics_2023_Consol_Source[], $D760, J$622 )</f>
        <v>0</v>
      </c>
    </row>
    <row r="761" spans="2:10" x14ac:dyDescent="0.2">
      <c r="B761" s="122" t="str" vm="138">
        <f t="shared" ref="B761:D761" si="234" xml:space="preserve"> B559</f>
        <v>Richmond Housing Partnership Limited</v>
      </c>
      <c r="C761" s="122" t="str" vm="360">
        <f t="shared" si="234"/>
        <v>L4279</v>
      </c>
      <c r="D761" s="81">
        <f t="shared" si="234"/>
        <v>138</v>
      </c>
      <c r="E761" s="29" t="str" cm="1">
        <f t="array" ref="E761" xml:space="preserve"> INDEX( VfM_Metrics_2023_Consol_Source[], $D761, E$622 )</f>
        <v>Traditional</v>
      </c>
      <c r="F761" s="23">
        <f xml:space="preserve"> -- AND( tblFilterRP_Type[[#This Row],[Provider Type]] = "Traditional", RP_TypeTrad = "Yes" )</f>
        <v>1</v>
      </c>
      <c r="G761" s="23">
        <f xml:space="preserve"> -- AND( tblFilterRP_Type[[#This Row],[Provider Type]] = "LSVT", RP_TypeLSVT = "Yes" )</f>
        <v>0</v>
      </c>
      <c r="H761" s="24">
        <f xml:space="preserve"> SUM( tblFilterRP_Type[[#This Row],[Incl. for traditional]], tblFilterRP_Type[[#This Row],[Incl. for LSVT]] )</f>
        <v>1</v>
      </c>
      <c r="I761" s="132" cm="1">
        <f t="array" ref="I761" xml:space="preserve"> INDEX( VfM_Metrics_2023_Consol_Source[], $D761, I$622 )</f>
        <v>0</v>
      </c>
      <c r="J761" s="29" t="str" cm="1">
        <f t="array" ref="J761" xml:space="preserve"> INDEX( VfM_Metrics_2023_Consol_Source[], $D761, J$622 )</f>
        <v>&gt;= 12 years</v>
      </c>
    </row>
    <row r="762" spans="2:10" x14ac:dyDescent="0.2">
      <c r="B762" s="122" t="str" vm="139">
        <f t="shared" ref="B762:D762" si="235" xml:space="preserve"> B560</f>
        <v>Rochdale Boroughwide Housing Limited</v>
      </c>
      <c r="C762" s="122" t="str" vm="273">
        <f t="shared" si="235"/>
        <v>4607</v>
      </c>
      <c r="D762" s="81">
        <f t="shared" si="235"/>
        <v>139</v>
      </c>
      <c r="E762" s="29" t="str" cm="1">
        <f t="array" ref="E762" xml:space="preserve"> INDEX( VfM_Metrics_2023_Consol_Source[], $D762, E$622 )</f>
        <v>LSVT</v>
      </c>
      <c r="F762" s="23">
        <f xml:space="preserve"> -- AND( tblFilterRP_Type[[#This Row],[Provider Type]] = "Traditional", RP_TypeTrad = "Yes" )</f>
        <v>0</v>
      </c>
      <c r="G762" s="23">
        <f xml:space="preserve"> -- AND( tblFilterRP_Type[[#This Row],[Provider Type]] = "LSVT", RP_TypeLSVT = "Yes" )</f>
        <v>1</v>
      </c>
      <c r="H762" s="24">
        <f xml:space="preserve"> SUM( tblFilterRP_Type[[#This Row],[Incl. for traditional]], tblFilterRP_Type[[#This Row],[Incl. for LSVT]] )</f>
        <v>1</v>
      </c>
      <c r="I762" s="132" cm="1">
        <f t="array" ref="I762" xml:space="preserve"> INDEX( VfM_Metrics_2023_Consol_Source[], $D762, I$622 )</f>
        <v>40994</v>
      </c>
      <c r="J762" s="29" t="str" cm="1">
        <f t="array" ref="J762" xml:space="preserve"> INDEX( VfM_Metrics_2023_Consol_Source[], $D762, J$622 )</f>
        <v>&lt; 12 years</v>
      </c>
    </row>
    <row r="763" spans="2:10" x14ac:dyDescent="0.2">
      <c r="B763" s="122" t="str" vm="140">
        <f t="shared" ref="B763:D763" si="236" xml:space="preserve"> B561</f>
        <v>Rooftop Housing Group Limited</v>
      </c>
      <c r="C763" s="122" t="str" vm="364">
        <f t="shared" si="236"/>
        <v>L4404</v>
      </c>
      <c r="D763" s="81">
        <f t="shared" si="236"/>
        <v>140</v>
      </c>
      <c r="E763" s="29" t="str" cm="1">
        <f t="array" ref="E763" xml:space="preserve"> INDEX( VfM_Metrics_2023_Consol_Source[], $D763, E$622 )</f>
        <v>Traditional</v>
      </c>
      <c r="F763" s="23">
        <f xml:space="preserve"> -- AND( tblFilterRP_Type[[#This Row],[Provider Type]] = "Traditional", RP_TypeTrad = "Yes" )</f>
        <v>1</v>
      </c>
      <c r="G763" s="23">
        <f xml:space="preserve"> -- AND( tblFilterRP_Type[[#This Row],[Provider Type]] = "LSVT", RP_TypeLSVT = "Yes" )</f>
        <v>0</v>
      </c>
      <c r="H763" s="24">
        <f xml:space="preserve"> SUM( tblFilterRP_Type[[#This Row],[Incl. for traditional]], tblFilterRP_Type[[#This Row],[Incl. for LSVT]] )</f>
        <v>1</v>
      </c>
      <c r="I763" s="132" cm="1">
        <f t="array" ref="I763" xml:space="preserve"> INDEX( VfM_Metrics_2023_Consol_Source[], $D763, I$622 )</f>
        <v>0</v>
      </c>
      <c r="J763" s="29" t="str" cm="1">
        <f t="array" ref="J763" xml:space="preserve"> INDEX( VfM_Metrics_2023_Consol_Source[], $D763, J$622 )</f>
        <v>&gt;= 12 years</v>
      </c>
    </row>
    <row r="764" spans="2:10" x14ac:dyDescent="0.2">
      <c r="B764" s="122" t="str" vm="141">
        <f t="shared" ref="B764:D764" si="237" xml:space="preserve"> B562</f>
        <v>Saffron Housing Trust Limited</v>
      </c>
      <c r="C764" s="122" t="str" vm="384">
        <f t="shared" si="237"/>
        <v>LH4412</v>
      </c>
      <c r="D764" s="81">
        <f t="shared" si="237"/>
        <v>141</v>
      </c>
      <c r="E764" s="29" t="str" cm="1">
        <f t="array" ref="E764" xml:space="preserve"> INDEX( VfM_Metrics_2023_Consol_Source[], $D764, E$622 )</f>
        <v>Traditional</v>
      </c>
      <c r="F764" s="23">
        <f xml:space="preserve"> -- AND( tblFilterRP_Type[[#This Row],[Provider Type]] = "Traditional", RP_TypeTrad = "Yes" )</f>
        <v>1</v>
      </c>
      <c r="G764" s="23">
        <f xml:space="preserve"> -- AND( tblFilterRP_Type[[#This Row],[Provider Type]] = "LSVT", RP_TypeLSVT = "Yes" )</f>
        <v>0</v>
      </c>
      <c r="H764" s="24">
        <f xml:space="preserve"> SUM( tblFilterRP_Type[[#This Row],[Incl. for traditional]], tblFilterRP_Type[[#This Row],[Incl. for LSVT]] )</f>
        <v>1</v>
      </c>
      <c r="I764" s="132" cm="1">
        <f t="array" ref="I764" xml:space="preserve"> INDEX( VfM_Metrics_2023_Consol_Source[], $D764, I$622 )</f>
        <v>0</v>
      </c>
      <c r="J764" s="29" t="str" cm="1">
        <f t="array" ref="J764" xml:space="preserve"> INDEX( VfM_Metrics_2023_Consol_Source[], $D764, J$622 )</f>
        <v>&gt;= 12 years</v>
      </c>
    </row>
    <row r="765" spans="2:10" x14ac:dyDescent="0.2">
      <c r="B765" s="122" t="str" vm="142">
        <f t="shared" ref="B765:D765" si="238" xml:space="preserve"> B563</f>
        <v>Salix Homes Limited</v>
      </c>
      <c r="C765" s="122" t="str" vm="383">
        <f t="shared" si="238"/>
        <v>4609</v>
      </c>
      <c r="D765" s="81">
        <f t="shared" si="238"/>
        <v>142</v>
      </c>
      <c r="E765" s="29" t="str" cm="1">
        <f t="array" ref="E765" xml:space="preserve"> INDEX( VfM_Metrics_2023_Consol_Source[], $D765, E$622 )</f>
        <v>LSVT</v>
      </c>
      <c r="F765" s="23">
        <f xml:space="preserve"> -- AND( tblFilterRP_Type[[#This Row],[Provider Type]] = "Traditional", RP_TypeTrad = "Yes" )</f>
        <v>0</v>
      </c>
      <c r="G765" s="23">
        <f xml:space="preserve"> -- AND( tblFilterRP_Type[[#This Row],[Provider Type]] = "LSVT", RP_TypeLSVT = "Yes" )</f>
        <v>1</v>
      </c>
      <c r="H765" s="24">
        <f xml:space="preserve"> SUM( tblFilterRP_Type[[#This Row],[Incl. for traditional]], tblFilterRP_Type[[#This Row],[Incl. for LSVT]] )</f>
        <v>1</v>
      </c>
      <c r="I765" s="132" cm="1">
        <f t="array" ref="I765" xml:space="preserve"> INDEX( VfM_Metrics_2023_Consol_Source[], $D765, I$622 )</f>
        <v>42086</v>
      </c>
      <c r="J765" s="29" t="str" cm="1">
        <f t="array" ref="J765" xml:space="preserve"> INDEX( VfM_Metrics_2023_Consol_Source[], $D765, J$622 )</f>
        <v>&lt; 12 years</v>
      </c>
    </row>
    <row r="766" spans="2:10" x14ac:dyDescent="0.2">
      <c r="B766" s="122" t="str" vm="143">
        <f t="shared" ref="B766:D766" si="239" xml:space="preserve"> B564</f>
        <v>Salvation Army Housing Association</v>
      </c>
      <c r="C766" s="122" t="str" vm="310">
        <f t="shared" si="239"/>
        <v>LH2429</v>
      </c>
      <c r="D766" s="81">
        <f t="shared" si="239"/>
        <v>143</v>
      </c>
      <c r="E766" s="29" t="str" cm="1">
        <f t="array" ref="E766" xml:space="preserve"> INDEX( VfM_Metrics_2023_Consol_Source[], $D766, E$622 )</f>
        <v>Traditional</v>
      </c>
      <c r="F766" s="23">
        <f xml:space="preserve"> -- AND( tblFilterRP_Type[[#This Row],[Provider Type]] = "Traditional", RP_TypeTrad = "Yes" )</f>
        <v>1</v>
      </c>
      <c r="G766" s="23">
        <f xml:space="preserve"> -- AND( tblFilterRP_Type[[#This Row],[Provider Type]] = "LSVT", RP_TypeLSVT = "Yes" )</f>
        <v>0</v>
      </c>
      <c r="H766" s="24">
        <f xml:space="preserve"> SUM( tblFilterRP_Type[[#This Row],[Incl. for traditional]], tblFilterRP_Type[[#This Row],[Incl. for LSVT]] )</f>
        <v>1</v>
      </c>
      <c r="I766" s="132" t="str" cm="1">
        <f t="array" ref="I766" xml:space="preserve"> INDEX( VfM_Metrics_2023_Consol_Source[], $D766, I$622 )</f>
        <v/>
      </c>
      <c r="J766" s="29" cm="1">
        <f t="array" ref="J766" xml:space="preserve"> INDEX( VfM_Metrics_2023_Consol_Source[], $D766, J$622 )</f>
        <v>0</v>
      </c>
    </row>
    <row r="767" spans="2:10" x14ac:dyDescent="0.2">
      <c r="B767" s="122" t="str" vm="144">
        <f t="shared" ref="B767:D767" si="240" xml:space="preserve"> B565</f>
        <v>Sanctuary Housing Association</v>
      </c>
      <c r="C767" s="122" t="str" vm="251">
        <f t="shared" si="240"/>
        <v>L0247</v>
      </c>
      <c r="D767" s="81">
        <f t="shared" si="240"/>
        <v>144</v>
      </c>
      <c r="E767" s="29" t="str" cm="1">
        <f t="array" ref="E767" xml:space="preserve"> INDEX( VfM_Metrics_2023_Consol_Source[], $D767, E$622 )</f>
        <v>Traditional</v>
      </c>
      <c r="F767" s="23">
        <f xml:space="preserve"> -- AND( tblFilterRP_Type[[#This Row],[Provider Type]] = "Traditional", RP_TypeTrad = "Yes" )</f>
        <v>1</v>
      </c>
      <c r="G767" s="23">
        <f xml:space="preserve"> -- AND( tblFilterRP_Type[[#This Row],[Provider Type]] = "LSVT", RP_TypeLSVT = "Yes" )</f>
        <v>0</v>
      </c>
      <c r="H767" s="24">
        <f xml:space="preserve"> SUM( tblFilterRP_Type[[#This Row],[Incl. for traditional]], tblFilterRP_Type[[#This Row],[Incl. for LSVT]] )</f>
        <v>1</v>
      </c>
      <c r="I767" s="132" t="str" cm="1">
        <f t="array" ref="I767" xml:space="preserve"> INDEX( VfM_Metrics_2023_Consol_Source[], $D767, I$622 )</f>
        <v/>
      </c>
      <c r="J767" s="29" cm="1">
        <f t="array" ref="J767" xml:space="preserve"> INDEX( VfM_Metrics_2023_Consol_Source[], $D767, J$622 )</f>
        <v>0</v>
      </c>
    </row>
    <row r="768" spans="2:10" x14ac:dyDescent="0.2">
      <c r="B768" s="122" t="str" vm="145">
        <f t="shared" ref="B768:D768" si="241" xml:space="preserve"> B566</f>
        <v>Saxon Weald</v>
      </c>
      <c r="C768" s="122" t="str" vm="358">
        <f t="shared" si="241"/>
        <v>L4299</v>
      </c>
      <c r="D768" s="81">
        <f t="shared" si="241"/>
        <v>145</v>
      </c>
      <c r="E768" s="29" t="str" cm="1">
        <f t="array" ref="E768" xml:space="preserve"> INDEX( VfM_Metrics_2023_Consol_Source[], $D768, E$622 )</f>
        <v>Traditional</v>
      </c>
      <c r="F768" s="23">
        <f xml:space="preserve"> -- AND( tblFilterRP_Type[[#This Row],[Provider Type]] = "Traditional", RP_TypeTrad = "Yes" )</f>
        <v>1</v>
      </c>
      <c r="G768" s="23">
        <f xml:space="preserve"> -- AND( tblFilterRP_Type[[#This Row],[Provider Type]] = "LSVT", RP_TypeLSVT = "Yes" )</f>
        <v>0</v>
      </c>
      <c r="H768" s="24">
        <f xml:space="preserve"> SUM( tblFilterRP_Type[[#This Row],[Incl. for traditional]], tblFilterRP_Type[[#This Row],[Incl. for LSVT]] )</f>
        <v>1</v>
      </c>
      <c r="I768" s="132" cm="1">
        <f t="array" ref="I768" xml:space="preserve"> INDEX( VfM_Metrics_2023_Consol_Source[], $D768, I$622 )</f>
        <v>0</v>
      </c>
      <c r="J768" s="29" t="str" cm="1">
        <f t="array" ref="J768" xml:space="preserve"> INDEX( VfM_Metrics_2023_Consol_Source[], $D768, J$622 )</f>
        <v>&gt;= 12 years</v>
      </c>
    </row>
    <row r="769" spans="2:10" x14ac:dyDescent="0.2">
      <c r="B769" s="122" t="str" vm="146">
        <f t="shared" ref="B769:D769" si="242" xml:space="preserve"> B567</f>
        <v>Selwood Housing Society Limited</v>
      </c>
      <c r="C769" s="122" t="str" vm="375">
        <f t="shared" si="242"/>
        <v>LH4097</v>
      </c>
      <c r="D769" s="81">
        <f t="shared" si="242"/>
        <v>146</v>
      </c>
      <c r="E769" s="29" t="str" cm="1">
        <f t="array" ref="E769" xml:space="preserve"> INDEX( VfM_Metrics_2023_Consol_Source[], $D769, E$622 )</f>
        <v>Traditional</v>
      </c>
      <c r="F769" s="23">
        <f xml:space="preserve"> -- AND( tblFilterRP_Type[[#This Row],[Provider Type]] = "Traditional", RP_TypeTrad = "Yes" )</f>
        <v>1</v>
      </c>
      <c r="G769" s="23">
        <f xml:space="preserve"> -- AND( tblFilterRP_Type[[#This Row],[Provider Type]] = "LSVT", RP_TypeLSVT = "Yes" )</f>
        <v>0</v>
      </c>
      <c r="H769" s="24">
        <f xml:space="preserve"> SUM( tblFilterRP_Type[[#This Row],[Incl. for traditional]], tblFilterRP_Type[[#This Row],[Incl. for LSVT]] )</f>
        <v>1</v>
      </c>
      <c r="I769" s="132" cm="1">
        <f t="array" ref="I769" xml:space="preserve"> INDEX( VfM_Metrics_2023_Consol_Source[], $D769, I$622 )</f>
        <v>0</v>
      </c>
      <c r="J769" s="29" t="str" cm="1">
        <f t="array" ref="J769" xml:space="preserve"> INDEX( VfM_Metrics_2023_Consol_Source[], $D769, J$622 )</f>
        <v>&gt;= 12 years</v>
      </c>
    </row>
    <row r="770" spans="2:10" x14ac:dyDescent="0.2">
      <c r="B770" s="122" t="str" vm="147">
        <f t="shared" ref="B770:D770" si="243" xml:space="preserve"> B568</f>
        <v>Settle Group</v>
      </c>
      <c r="C770" s="122" t="str" vm="353">
        <f t="shared" si="243"/>
        <v>L4370</v>
      </c>
      <c r="D770" s="81">
        <f t="shared" si="243"/>
        <v>147</v>
      </c>
      <c r="E770" s="29" t="str" cm="1">
        <f t="array" ref="E770" xml:space="preserve"> INDEX( VfM_Metrics_2023_Consol_Source[], $D770, E$622 )</f>
        <v>Traditional</v>
      </c>
      <c r="F770" s="23">
        <f xml:space="preserve"> -- AND( tblFilterRP_Type[[#This Row],[Provider Type]] = "Traditional", RP_TypeTrad = "Yes" )</f>
        <v>1</v>
      </c>
      <c r="G770" s="23">
        <f xml:space="preserve"> -- AND( tblFilterRP_Type[[#This Row],[Provider Type]] = "LSVT", RP_TypeLSVT = "Yes" )</f>
        <v>0</v>
      </c>
      <c r="H770" s="24">
        <f xml:space="preserve"> SUM( tblFilterRP_Type[[#This Row],[Incl. for traditional]], tblFilterRP_Type[[#This Row],[Incl. for LSVT]] )</f>
        <v>1</v>
      </c>
      <c r="I770" s="132" cm="1">
        <f t="array" ref="I770" xml:space="preserve"> INDEX( VfM_Metrics_2023_Consol_Source[], $D770, I$622 )</f>
        <v>0</v>
      </c>
      <c r="J770" s="29" t="str" cm="1">
        <f t="array" ref="J770" xml:space="preserve"> INDEX( VfM_Metrics_2023_Consol_Source[], $D770, J$622 )</f>
        <v>&gt;= 12 years</v>
      </c>
    </row>
    <row r="771" spans="2:10" x14ac:dyDescent="0.2">
      <c r="B771" s="122" t="str" vm="148">
        <f t="shared" ref="B771:D771" si="244" xml:space="preserve"> B569</f>
        <v>Shepherds Bush Housing Association Limited</v>
      </c>
      <c r="C771" s="122" t="str" vm="306">
        <f t="shared" si="244"/>
        <v>LH0050</v>
      </c>
      <c r="D771" s="81">
        <f t="shared" si="244"/>
        <v>148</v>
      </c>
      <c r="E771" s="29" t="str" cm="1">
        <f t="array" ref="E771" xml:space="preserve"> INDEX( VfM_Metrics_2023_Consol_Source[], $D771, E$622 )</f>
        <v>Traditional</v>
      </c>
      <c r="F771" s="23">
        <f xml:space="preserve"> -- AND( tblFilterRP_Type[[#This Row],[Provider Type]] = "Traditional", RP_TypeTrad = "Yes" )</f>
        <v>1</v>
      </c>
      <c r="G771" s="23">
        <f xml:space="preserve"> -- AND( tblFilterRP_Type[[#This Row],[Provider Type]] = "LSVT", RP_TypeLSVT = "Yes" )</f>
        <v>0</v>
      </c>
      <c r="H771" s="24">
        <f xml:space="preserve"> SUM( tblFilterRP_Type[[#This Row],[Incl. for traditional]], tblFilterRP_Type[[#This Row],[Incl. for LSVT]] )</f>
        <v>1</v>
      </c>
      <c r="I771" s="132" t="str" cm="1">
        <f t="array" ref="I771" xml:space="preserve"> INDEX( VfM_Metrics_2023_Consol_Source[], $D771, I$622 )</f>
        <v/>
      </c>
      <c r="J771" s="29" cm="1">
        <f t="array" ref="J771" xml:space="preserve"> INDEX( VfM_Metrics_2023_Consol_Source[], $D771, J$622 )</f>
        <v>0</v>
      </c>
    </row>
    <row r="772" spans="2:10" x14ac:dyDescent="0.2">
      <c r="B772" s="122" t="str" vm="149">
        <f t="shared" ref="B772:D772" si="245" xml:space="preserve"> B570</f>
        <v>Silva Homes Limited</v>
      </c>
      <c r="C772" s="122" t="str" vm="365">
        <f t="shared" si="245"/>
        <v>L4513</v>
      </c>
      <c r="D772" s="81">
        <f t="shared" si="245"/>
        <v>149</v>
      </c>
      <c r="E772" s="29" t="str" cm="1">
        <f t="array" ref="E772" xml:space="preserve"> INDEX( VfM_Metrics_2023_Consol_Source[], $D772, E$622 )</f>
        <v>Traditional</v>
      </c>
      <c r="F772" s="23">
        <f xml:space="preserve"> -- AND( tblFilterRP_Type[[#This Row],[Provider Type]] = "Traditional", RP_TypeTrad = "Yes" )</f>
        <v>1</v>
      </c>
      <c r="G772" s="23">
        <f xml:space="preserve"> -- AND( tblFilterRP_Type[[#This Row],[Provider Type]] = "LSVT", RP_TypeLSVT = "Yes" )</f>
        <v>0</v>
      </c>
      <c r="H772" s="24">
        <f xml:space="preserve"> SUM( tblFilterRP_Type[[#This Row],[Incl. for traditional]], tblFilterRP_Type[[#This Row],[Incl. for LSVT]] )</f>
        <v>1</v>
      </c>
      <c r="I772" s="132" cm="1">
        <f t="array" ref="I772" xml:space="preserve"> INDEX( VfM_Metrics_2023_Consol_Source[], $D772, I$622 )</f>
        <v>0</v>
      </c>
      <c r="J772" s="29" t="str" cm="1">
        <f t="array" ref="J772" xml:space="preserve"> INDEX( VfM_Metrics_2023_Consol_Source[], $D772, J$622 )</f>
        <v>&gt;= 12 years</v>
      </c>
    </row>
    <row r="773" spans="2:10" x14ac:dyDescent="0.2">
      <c r="B773" s="122" t="str" vm="150">
        <f t="shared" ref="B773:D773" si="246" xml:space="preserve"> B571</f>
        <v>Soha Housing Limited</v>
      </c>
      <c r="C773" s="122" t="str" vm="380">
        <f t="shared" si="246"/>
        <v>L4130</v>
      </c>
      <c r="D773" s="81">
        <f t="shared" si="246"/>
        <v>150</v>
      </c>
      <c r="E773" s="29" t="str" cm="1">
        <f t="array" ref="E773" xml:space="preserve"> INDEX( VfM_Metrics_2023_Consol_Source[], $D773, E$622 )</f>
        <v>Traditional</v>
      </c>
      <c r="F773" s="23">
        <f xml:space="preserve"> -- AND( tblFilterRP_Type[[#This Row],[Provider Type]] = "Traditional", RP_TypeTrad = "Yes" )</f>
        <v>1</v>
      </c>
      <c r="G773" s="23">
        <f xml:space="preserve"> -- AND( tblFilterRP_Type[[#This Row],[Provider Type]] = "LSVT", RP_TypeLSVT = "Yes" )</f>
        <v>0</v>
      </c>
      <c r="H773" s="24">
        <f xml:space="preserve"> SUM( tblFilterRP_Type[[#This Row],[Incl. for traditional]], tblFilterRP_Type[[#This Row],[Incl. for LSVT]] )</f>
        <v>1</v>
      </c>
      <c r="I773" s="132" cm="1">
        <f t="array" ref="I773" xml:space="preserve"> INDEX( VfM_Metrics_2023_Consol_Source[], $D773, I$622 )</f>
        <v>0</v>
      </c>
      <c r="J773" s="29" t="str" cm="1">
        <f t="array" ref="J773" xml:space="preserve"> INDEX( VfM_Metrics_2023_Consol_Source[], $D773, J$622 )</f>
        <v>&gt;= 12 years</v>
      </c>
    </row>
    <row r="774" spans="2:10" x14ac:dyDescent="0.2">
      <c r="B774" s="122" t="str" vm="151">
        <f t="shared" ref="B774:D774" si="247" xml:space="preserve"> B572</f>
        <v>South Lakes Housing</v>
      </c>
      <c r="C774" s="122" t="str" vm="320">
        <f t="shared" si="247"/>
        <v>4686</v>
      </c>
      <c r="D774" s="81">
        <f t="shared" si="247"/>
        <v>151</v>
      </c>
      <c r="E774" s="29" t="str" cm="1">
        <f t="array" ref="E774" xml:space="preserve"> INDEX( VfM_Metrics_2023_Consol_Source[], $D774, E$622 )</f>
        <v>LSVT</v>
      </c>
      <c r="F774" s="23">
        <f xml:space="preserve"> -- AND( tblFilterRP_Type[[#This Row],[Provider Type]] = "Traditional", RP_TypeTrad = "Yes" )</f>
        <v>0</v>
      </c>
      <c r="G774" s="23">
        <f xml:space="preserve"> -- AND( tblFilterRP_Type[[#This Row],[Provider Type]] = "LSVT", RP_TypeLSVT = "Yes" )</f>
        <v>1</v>
      </c>
      <c r="H774" s="24">
        <f xml:space="preserve"> SUM( tblFilterRP_Type[[#This Row],[Incl. for traditional]], tblFilterRP_Type[[#This Row],[Incl. for LSVT]] )</f>
        <v>1</v>
      </c>
      <c r="I774" s="132" cm="1">
        <f t="array" ref="I774" xml:space="preserve"> INDEX( VfM_Metrics_2023_Consol_Source[], $D774, I$622 )</f>
        <v>40973</v>
      </c>
      <c r="J774" s="29" t="str" cm="1">
        <f t="array" ref="J774" xml:space="preserve"> INDEX( VfM_Metrics_2023_Consol_Source[], $D774, J$622 )</f>
        <v>&lt; 12 years</v>
      </c>
    </row>
    <row r="775" spans="2:10" x14ac:dyDescent="0.2">
      <c r="B775" s="122" t="str" vm="152">
        <f t="shared" ref="B775:D775" si="248" xml:space="preserve"> B573</f>
        <v>South Liverpool Homes Limited</v>
      </c>
      <c r="C775" s="122" t="str" vm="331">
        <f t="shared" si="248"/>
        <v>L4230</v>
      </c>
      <c r="D775" s="81">
        <f t="shared" si="248"/>
        <v>152</v>
      </c>
      <c r="E775" s="29" t="str" cm="1">
        <f t="array" ref="E775" xml:space="preserve"> INDEX( VfM_Metrics_2023_Consol_Source[], $D775, E$622 )</f>
        <v>Traditional</v>
      </c>
      <c r="F775" s="23">
        <f xml:space="preserve"> -- AND( tblFilterRP_Type[[#This Row],[Provider Type]] = "Traditional", RP_TypeTrad = "Yes" )</f>
        <v>1</v>
      </c>
      <c r="G775" s="23">
        <f xml:space="preserve"> -- AND( tblFilterRP_Type[[#This Row],[Provider Type]] = "LSVT", RP_TypeLSVT = "Yes" )</f>
        <v>0</v>
      </c>
      <c r="H775" s="24">
        <f xml:space="preserve"> SUM( tblFilterRP_Type[[#This Row],[Incl. for traditional]], tblFilterRP_Type[[#This Row],[Incl. for LSVT]] )</f>
        <v>1</v>
      </c>
      <c r="I775" s="132" cm="1">
        <f t="array" ref="I775" xml:space="preserve"> INDEX( VfM_Metrics_2023_Consol_Source[], $D775, I$622 )</f>
        <v>0</v>
      </c>
      <c r="J775" s="29" t="str" cm="1">
        <f t="array" ref="J775" xml:space="preserve"> INDEX( VfM_Metrics_2023_Consol_Source[], $D775, J$622 )</f>
        <v>&gt;= 12 years</v>
      </c>
    </row>
    <row r="776" spans="2:10" x14ac:dyDescent="0.2">
      <c r="B776" s="122" t="str" vm="153">
        <f t="shared" ref="B776:D776" si="249" xml:space="preserve"> B574</f>
        <v>South Yorkshire Housing Association Limited</v>
      </c>
      <c r="C776" s="122" t="str" vm="354">
        <f t="shared" si="249"/>
        <v>L0078</v>
      </c>
      <c r="D776" s="81">
        <f t="shared" si="249"/>
        <v>153</v>
      </c>
      <c r="E776" s="29" t="str" cm="1">
        <f t="array" ref="E776" xml:space="preserve"> INDEX( VfM_Metrics_2023_Consol_Source[], $D776, E$622 )</f>
        <v>Traditional</v>
      </c>
      <c r="F776" s="23">
        <f xml:space="preserve"> -- AND( tblFilterRP_Type[[#This Row],[Provider Type]] = "Traditional", RP_TypeTrad = "Yes" )</f>
        <v>1</v>
      </c>
      <c r="G776" s="23">
        <f xml:space="preserve"> -- AND( tblFilterRP_Type[[#This Row],[Provider Type]] = "LSVT", RP_TypeLSVT = "Yes" )</f>
        <v>0</v>
      </c>
      <c r="H776" s="24">
        <f xml:space="preserve"> SUM( tblFilterRP_Type[[#This Row],[Incl. for traditional]], tblFilterRP_Type[[#This Row],[Incl. for LSVT]] )</f>
        <v>1</v>
      </c>
      <c r="I776" s="132" t="str" cm="1">
        <f t="array" ref="I776" xml:space="preserve"> INDEX( VfM_Metrics_2023_Consol_Source[], $D776, I$622 )</f>
        <v/>
      </c>
      <c r="J776" s="29" cm="1">
        <f t="array" ref="J776" xml:space="preserve"> INDEX( VfM_Metrics_2023_Consol_Source[], $D776, J$622 )</f>
        <v>0</v>
      </c>
    </row>
    <row r="777" spans="2:10" x14ac:dyDescent="0.2">
      <c r="B777" s="122" t="str" vm="154">
        <f t="shared" ref="B777:D777" si="250" xml:space="preserve"> B575</f>
        <v>Southern Housing</v>
      </c>
      <c r="C777" s="122" t="str" vm="244">
        <f t="shared" si="250"/>
        <v>5171</v>
      </c>
      <c r="D777" s="81">
        <f t="shared" si="250"/>
        <v>154</v>
      </c>
      <c r="E777" s="29" t="str" cm="1">
        <f t="array" ref="E777" xml:space="preserve"> INDEX( VfM_Metrics_2023_Consol_Source[], $D777, E$622 )</f>
        <v>Traditional</v>
      </c>
      <c r="F777" s="23">
        <f xml:space="preserve"> -- AND( tblFilterRP_Type[[#This Row],[Provider Type]] = "Traditional", RP_TypeTrad = "Yes" )</f>
        <v>1</v>
      </c>
      <c r="G777" s="23">
        <f xml:space="preserve"> -- AND( tblFilterRP_Type[[#This Row],[Provider Type]] = "LSVT", RP_TypeLSVT = "Yes" )</f>
        <v>0</v>
      </c>
      <c r="H777" s="24">
        <f xml:space="preserve"> SUM( tblFilterRP_Type[[#This Row],[Incl. for traditional]], tblFilterRP_Type[[#This Row],[Incl. for LSVT]] )</f>
        <v>1</v>
      </c>
      <c r="I777" s="132" t="str" cm="1">
        <f t="array" ref="I777" xml:space="preserve"> INDEX( VfM_Metrics_2023_Consol_Source[], $D777, I$622 )</f>
        <v/>
      </c>
      <c r="J777" s="29" cm="1">
        <f t="array" ref="J777" xml:space="preserve"> INDEX( VfM_Metrics_2023_Consol_Source[], $D777, J$622 )</f>
        <v>0</v>
      </c>
    </row>
    <row r="778" spans="2:10" x14ac:dyDescent="0.2">
      <c r="B778" s="122" t="str" vm="155">
        <f t="shared" ref="B778:D778" si="251" xml:space="preserve"> B576</f>
        <v>Southway Housing Trust (Manchester) Limited</v>
      </c>
      <c r="C778" s="122" t="str" vm="382">
        <f t="shared" si="251"/>
        <v>L4507</v>
      </c>
      <c r="D778" s="81">
        <f t="shared" si="251"/>
        <v>155</v>
      </c>
      <c r="E778" s="29" t="str" cm="1">
        <f t="array" ref="E778" xml:space="preserve"> INDEX( VfM_Metrics_2023_Consol_Source[], $D778, E$622 )</f>
        <v>Traditional</v>
      </c>
      <c r="F778" s="23">
        <f xml:space="preserve"> -- AND( tblFilterRP_Type[[#This Row],[Provider Type]] = "Traditional", RP_TypeTrad = "Yes" )</f>
        <v>1</v>
      </c>
      <c r="G778" s="23">
        <f xml:space="preserve"> -- AND( tblFilterRP_Type[[#This Row],[Provider Type]] = "LSVT", RP_TypeLSVT = "Yes" )</f>
        <v>0</v>
      </c>
      <c r="H778" s="24">
        <f xml:space="preserve"> SUM( tblFilterRP_Type[[#This Row],[Incl. for traditional]], tblFilterRP_Type[[#This Row],[Incl. for LSVT]] )</f>
        <v>1</v>
      </c>
      <c r="I778" s="132" cm="1">
        <f t="array" ref="I778" xml:space="preserve"> INDEX( VfM_Metrics_2023_Consol_Source[], $D778, I$622 )</f>
        <v>0</v>
      </c>
      <c r="J778" s="29" t="str" cm="1">
        <f t="array" ref="J778" xml:space="preserve"> INDEX( VfM_Metrics_2023_Consol_Source[], $D778, J$622 )</f>
        <v>&gt;= 12 years</v>
      </c>
    </row>
    <row r="779" spans="2:10" x14ac:dyDescent="0.2">
      <c r="B779" s="122" t="str" vm="156">
        <f t="shared" ref="B779:D779" si="252" xml:space="preserve"> B577</f>
        <v>Sovereign Housing Association Limited</v>
      </c>
      <c r="C779" s="122" t="str" vm="252">
        <f t="shared" si="252"/>
        <v>4837</v>
      </c>
      <c r="D779" s="81">
        <f t="shared" si="252"/>
        <v>156</v>
      </c>
      <c r="E779" s="29" t="str" cm="1">
        <f t="array" ref="E779" xml:space="preserve"> INDEX( VfM_Metrics_2023_Consol_Source[], $D779, E$622 )</f>
        <v>Traditional</v>
      </c>
      <c r="F779" s="23">
        <f xml:space="preserve"> -- AND( tblFilterRP_Type[[#This Row],[Provider Type]] = "Traditional", RP_TypeTrad = "Yes" )</f>
        <v>1</v>
      </c>
      <c r="G779" s="23">
        <f xml:space="preserve"> -- AND( tblFilterRP_Type[[#This Row],[Provider Type]] = "LSVT", RP_TypeLSVT = "Yes" )</f>
        <v>0</v>
      </c>
      <c r="H779" s="24">
        <f xml:space="preserve"> SUM( tblFilterRP_Type[[#This Row],[Incl. for traditional]], tblFilterRP_Type[[#This Row],[Incl. for LSVT]] )</f>
        <v>1</v>
      </c>
      <c r="I779" s="132" t="str" cm="1">
        <f t="array" ref="I779" xml:space="preserve"> INDEX( VfM_Metrics_2023_Consol_Source[], $D779, I$622 )</f>
        <v/>
      </c>
      <c r="J779" s="29" cm="1">
        <f t="array" ref="J779" xml:space="preserve"> INDEX( VfM_Metrics_2023_Consol_Source[], $D779, J$622 )</f>
        <v>0</v>
      </c>
    </row>
    <row r="780" spans="2:10" x14ac:dyDescent="0.2">
      <c r="B780" s="122" t="str" vm="157">
        <f t="shared" ref="B780:D780" si="253" xml:space="preserve"> B578</f>
        <v>Sovereign Network Homes</v>
      </c>
      <c r="C780" s="122" t="str" vm="271">
        <f t="shared" si="253"/>
        <v>4825</v>
      </c>
      <c r="D780" s="81">
        <f t="shared" si="253"/>
        <v>157</v>
      </c>
      <c r="E780" s="29" t="str" cm="1">
        <f t="array" ref="E780" xml:space="preserve"> INDEX( VfM_Metrics_2023_Consol_Source[], $D780, E$622 )</f>
        <v>Traditional</v>
      </c>
      <c r="F780" s="23">
        <f xml:space="preserve"> -- AND( tblFilterRP_Type[[#This Row],[Provider Type]] = "Traditional", RP_TypeTrad = "Yes" )</f>
        <v>1</v>
      </c>
      <c r="G780" s="23">
        <f xml:space="preserve"> -- AND( tblFilterRP_Type[[#This Row],[Provider Type]] = "LSVT", RP_TypeLSVT = "Yes" )</f>
        <v>0</v>
      </c>
      <c r="H780" s="24">
        <f xml:space="preserve"> SUM( tblFilterRP_Type[[#This Row],[Incl. for traditional]], tblFilterRP_Type[[#This Row],[Incl. for LSVT]] )</f>
        <v>1</v>
      </c>
      <c r="I780" s="132" t="str" cm="1">
        <f t="array" ref="I780" xml:space="preserve"> INDEX( VfM_Metrics_2023_Consol_Source[], $D780, I$622 )</f>
        <v/>
      </c>
      <c r="J780" s="29" cm="1">
        <f t="array" ref="J780" xml:space="preserve"> INDEX( VfM_Metrics_2023_Consol_Source[], $D780, J$622 )</f>
        <v>0</v>
      </c>
    </row>
    <row r="781" spans="2:10" x14ac:dyDescent="0.2">
      <c r="B781" s="122" t="str" vm="158">
        <f t="shared" ref="B781:D781" si="254" xml:space="preserve"> B579</f>
        <v>St Mungo Community Housing Association</v>
      </c>
      <c r="C781" s="122" t="str" vm="202">
        <f t="shared" si="254"/>
        <v>LH0279</v>
      </c>
      <c r="D781" s="81">
        <f t="shared" si="254"/>
        <v>158</v>
      </c>
      <c r="E781" s="29" t="str" cm="1">
        <f t="array" ref="E781" xml:space="preserve"> INDEX( VfM_Metrics_2023_Consol_Source[], $D781, E$622 )</f>
        <v>Traditional</v>
      </c>
      <c r="F781" s="23">
        <f xml:space="preserve"> -- AND( tblFilterRP_Type[[#This Row],[Provider Type]] = "Traditional", RP_TypeTrad = "Yes" )</f>
        <v>1</v>
      </c>
      <c r="G781" s="23">
        <f xml:space="preserve"> -- AND( tblFilterRP_Type[[#This Row],[Provider Type]] = "LSVT", RP_TypeLSVT = "Yes" )</f>
        <v>0</v>
      </c>
      <c r="H781" s="24">
        <f xml:space="preserve"> SUM( tblFilterRP_Type[[#This Row],[Incl. for traditional]], tblFilterRP_Type[[#This Row],[Incl. for LSVT]] )</f>
        <v>1</v>
      </c>
      <c r="I781" s="132" t="str" cm="1">
        <f t="array" ref="I781" xml:space="preserve"> INDEX( VfM_Metrics_2023_Consol_Source[], $D781, I$622 )</f>
        <v/>
      </c>
      <c r="J781" s="29" cm="1">
        <f t="array" ref="J781" xml:space="preserve"> INDEX( VfM_Metrics_2023_Consol_Source[], $D781, J$622 )</f>
        <v>0</v>
      </c>
    </row>
    <row r="782" spans="2:10" x14ac:dyDescent="0.2">
      <c r="B782" s="122" t="str" vm="159">
        <f t="shared" ref="B782:D782" si="255" xml:space="preserve"> B580</f>
        <v>Stonewater Limited</v>
      </c>
      <c r="C782" s="122" t="str" vm="261">
        <f t="shared" si="255"/>
        <v>L1556</v>
      </c>
      <c r="D782" s="81">
        <f t="shared" si="255"/>
        <v>159</v>
      </c>
      <c r="E782" s="29" t="str" cm="1">
        <f t="array" ref="E782" xml:space="preserve"> INDEX( VfM_Metrics_2023_Consol_Source[], $D782, E$622 )</f>
        <v>Traditional</v>
      </c>
      <c r="F782" s="23">
        <f xml:space="preserve"> -- AND( tblFilterRP_Type[[#This Row],[Provider Type]] = "Traditional", RP_TypeTrad = "Yes" )</f>
        <v>1</v>
      </c>
      <c r="G782" s="23">
        <f xml:space="preserve"> -- AND( tblFilterRP_Type[[#This Row],[Provider Type]] = "LSVT", RP_TypeLSVT = "Yes" )</f>
        <v>0</v>
      </c>
      <c r="H782" s="24">
        <f xml:space="preserve"> SUM( tblFilterRP_Type[[#This Row],[Incl. for traditional]], tblFilterRP_Type[[#This Row],[Incl. for LSVT]] )</f>
        <v>1</v>
      </c>
      <c r="I782" s="132" t="str" cm="1">
        <f t="array" ref="I782" xml:space="preserve"> INDEX( VfM_Metrics_2023_Consol_Source[], $D782, I$622 )</f>
        <v/>
      </c>
      <c r="J782" s="29" cm="1">
        <f t="array" ref="J782" xml:space="preserve"> INDEX( VfM_Metrics_2023_Consol_Source[], $D782, J$622 )</f>
        <v>0</v>
      </c>
    </row>
    <row r="783" spans="2:10" x14ac:dyDescent="0.2">
      <c r="B783" s="122" t="str" vm="160">
        <f t="shared" ref="B783:D783" si="256" xml:space="preserve"> B581</f>
        <v>Sustain (UK) Ltd</v>
      </c>
      <c r="C783" s="122" t="str" vm="209">
        <f t="shared" si="256"/>
        <v>4687</v>
      </c>
      <c r="D783" s="81">
        <f t="shared" si="256"/>
        <v>160</v>
      </c>
      <c r="E783" s="29" t="str" cm="1">
        <f t="array" ref="E783" xml:space="preserve"> INDEX( VfM_Metrics_2023_Consol_Source[], $D783, E$622 )</f>
        <v>Traditional</v>
      </c>
      <c r="F783" s="23">
        <f xml:space="preserve"> -- AND( tblFilterRP_Type[[#This Row],[Provider Type]] = "Traditional", RP_TypeTrad = "Yes" )</f>
        <v>1</v>
      </c>
      <c r="G783" s="23">
        <f xml:space="preserve"> -- AND( tblFilterRP_Type[[#This Row],[Provider Type]] = "LSVT", RP_TypeLSVT = "Yes" )</f>
        <v>0</v>
      </c>
      <c r="H783" s="24">
        <f xml:space="preserve"> SUM( tblFilterRP_Type[[#This Row],[Incl. for traditional]], tblFilterRP_Type[[#This Row],[Incl. for LSVT]] )</f>
        <v>1</v>
      </c>
      <c r="I783" s="132" t="str" cm="1">
        <f t="array" ref="I783" xml:space="preserve"> INDEX( VfM_Metrics_2023_Consol_Source[], $D783, I$622 )</f>
        <v/>
      </c>
      <c r="J783" s="29" cm="1">
        <f t="array" ref="J783" xml:space="preserve"> INDEX( VfM_Metrics_2023_Consol_Source[], $D783, J$622 )</f>
        <v>0</v>
      </c>
    </row>
    <row r="784" spans="2:10" x14ac:dyDescent="0.2">
      <c r="B784" s="122" t="str" vm="161">
        <f t="shared" ref="B784:D784" si="257" xml:space="preserve"> B582</f>
        <v>Teign Housing</v>
      </c>
      <c r="C784" s="122" t="str" vm="327">
        <f t="shared" si="257"/>
        <v>LH4403</v>
      </c>
      <c r="D784" s="81">
        <f t="shared" si="257"/>
        <v>161</v>
      </c>
      <c r="E784" s="29" t="str" cm="1">
        <f t="array" ref="E784" xml:space="preserve"> INDEX( VfM_Metrics_2023_Consol_Source[], $D784, E$622 )</f>
        <v>Traditional</v>
      </c>
      <c r="F784" s="23">
        <f xml:space="preserve"> -- AND( tblFilterRP_Type[[#This Row],[Provider Type]] = "Traditional", RP_TypeTrad = "Yes" )</f>
        <v>1</v>
      </c>
      <c r="G784" s="23">
        <f xml:space="preserve"> -- AND( tblFilterRP_Type[[#This Row],[Provider Type]] = "LSVT", RP_TypeLSVT = "Yes" )</f>
        <v>0</v>
      </c>
      <c r="H784" s="24">
        <f xml:space="preserve"> SUM( tblFilterRP_Type[[#This Row],[Incl. for traditional]], tblFilterRP_Type[[#This Row],[Incl. for LSVT]] )</f>
        <v>1</v>
      </c>
      <c r="I784" s="132" cm="1">
        <f t="array" ref="I784" xml:space="preserve"> INDEX( VfM_Metrics_2023_Consol_Source[], $D784, I$622 )</f>
        <v>0</v>
      </c>
      <c r="J784" s="29" t="str" cm="1">
        <f t="array" ref="J784" xml:space="preserve"> INDEX( VfM_Metrics_2023_Consol_Source[], $D784, J$622 )</f>
        <v>&gt;= 12 years</v>
      </c>
    </row>
    <row r="785" spans="2:10" x14ac:dyDescent="0.2">
      <c r="B785" s="122" t="str" vm="162">
        <f t="shared" ref="B785:D785" si="258" xml:space="preserve"> B583</f>
        <v>Thames Valley Housing Association Limited</v>
      </c>
      <c r="C785" s="122" t="str" vm="247">
        <f t="shared" si="258"/>
        <v>L0514</v>
      </c>
      <c r="D785" s="81">
        <f t="shared" si="258"/>
        <v>162</v>
      </c>
      <c r="E785" s="29" t="str" cm="1">
        <f t="array" ref="E785" xml:space="preserve"> INDEX( VfM_Metrics_2023_Consol_Source[], $D785, E$622 )</f>
        <v>Traditional</v>
      </c>
      <c r="F785" s="23">
        <f xml:space="preserve"> -- AND( tblFilterRP_Type[[#This Row],[Provider Type]] = "Traditional", RP_TypeTrad = "Yes" )</f>
        <v>1</v>
      </c>
      <c r="G785" s="23">
        <f xml:space="preserve"> -- AND( tblFilterRP_Type[[#This Row],[Provider Type]] = "LSVT", RP_TypeLSVT = "Yes" )</f>
        <v>0</v>
      </c>
      <c r="H785" s="24">
        <f xml:space="preserve"> SUM( tblFilterRP_Type[[#This Row],[Incl. for traditional]], tblFilterRP_Type[[#This Row],[Incl. for LSVT]] )</f>
        <v>1</v>
      </c>
      <c r="I785" s="132" t="str" cm="1">
        <f t="array" ref="I785" xml:space="preserve"> INDEX( VfM_Metrics_2023_Consol_Source[], $D785, I$622 )</f>
        <v/>
      </c>
      <c r="J785" s="29" cm="1">
        <f t="array" ref="J785" xml:space="preserve"> INDEX( VfM_Metrics_2023_Consol_Source[], $D785, J$622 )</f>
        <v>0</v>
      </c>
    </row>
    <row r="786" spans="2:10" x14ac:dyDescent="0.2">
      <c r="B786" s="122" t="str" vm="163">
        <f t="shared" ref="B786:D786" si="259" xml:space="preserve"> B584</f>
        <v>The Abbeyfield Society</v>
      </c>
      <c r="C786" s="122" t="str" vm="201">
        <f t="shared" si="259"/>
        <v>H1046</v>
      </c>
      <c r="D786" s="81">
        <f t="shared" si="259"/>
        <v>163</v>
      </c>
      <c r="E786" s="29" t="str" cm="1">
        <f t="array" ref="E786" xml:space="preserve"> INDEX( VfM_Metrics_2023_Consol_Source[], $D786, E$622 )</f>
        <v>Traditional</v>
      </c>
      <c r="F786" s="23">
        <f xml:space="preserve"> -- AND( tblFilterRP_Type[[#This Row],[Provider Type]] = "Traditional", RP_TypeTrad = "Yes" )</f>
        <v>1</v>
      </c>
      <c r="G786" s="23">
        <f xml:space="preserve"> -- AND( tblFilterRP_Type[[#This Row],[Provider Type]] = "LSVT", RP_TypeLSVT = "Yes" )</f>
        <v>0</v>
      </c>
      <c r="H786" s="24">
        <f xml:space="preserve"> SUM( tblFilterRP_Type[[#This Row],[Incl. for traditional]], tblFilterRP_Type[[#This Row],[Incl. for LSVT]] )</f>
        <v>1</v>
      </c>
      <c r="I786" s="132" t="str" cm="1">
        <f t="array" ref="I786" xml:space="preserve"> INDEX( VfM_Metrics_2023_Consol_Source[], $D786, I$622 )</f>
        <v/>
      </c>
      <c r="J786" s="29" cm="1">
        <f t="array" ref="J786" xml:space="preserve"> INDEX( VfM_Metrics_2023_Consol_Source[], $D786, J$622 )</f>
        <v>0</v>
      </c>
    </row>
    <row r="787" spans="2:10" x14ac:dyDescent="0.2">
      <c r="B787" s="122" t="str" vm="164">
        <f t="shared" ref="B787:D787" si="260" xml:space="preserve"> B585</f>
        <v>The Cambridge Housing Society Limited</v>
      </c>
      <c r="C787" s="122" t="str" vm="314">
        <f t="shared" si="260"/>
        <v>L0992</v>
      </c>
      <c r="D787" s="81">
        <f t="shared" si="260"/>
        <v>164</v>
      </c>
      <c r="E787" s="29" t="str" cm="1">
        <f t="array" ref="E787" xml:space="preserve"> INDEX( VfM_Metrics_2023_Consol_Source[], $D787, E$622 )</f>
        <v>Traditional</v>
      </c>
      <c r="F787" s="23">
        <f xml:space="preserve"> -- AND( tblFilterRP_Type[[#This Row],[Provider Type]] = "Traditional", RP_TypeTrad = "Yes" )</f>
        <v>1</v>
      </c>
      <c r="G787" s="23">
        <f xml:space="preserve"> -- AND( tblFilterRP_Type[[#This Row],[Provider Type]] = "LSVT", RP_TypeLSVT = "Yes" )</f>
        <v>0</v>
      </c>
      <c r="H787" s="24">
        <f xml:space="preserve"> SUM( tblFilterRP_Type[[#This Row],[Incl. for traditional]], tblFilterRP_Type[[#This Row],[Incl. for LSVT]] )</f>
        <v>1</v>
      </c>
      <c r="I787" s="132" t="str" cm="1">
        <f t="array" ref="I787" xml:space="preserve"> INDEX( VfM_Metrics_2023_Consol_Source[], $D787, I$622 )</f>
        <v/>
      </c>
      <c r="J787" s="29" cm="1">
        <f t="array" ref="J787" xml:space="preserve"> INDEX( VfM_Metrics_2023_Consol_Source[], $D787, J$622 )</f>
        <v>0</v>
      </c>
    </row>
    <row r="788" spans="2:10" x14ac:dyDescent="0.2">
      <c r="B788" s="122" t="str" vm="165">
        <f t="shared" ref="B788:D788" si="261" xml:space="preserve"> B586</f>
        <v>The Community Housing Group Limited</v>
      </c>
      <c r="C788" s="122" t="str" vm="378">
        <f t="shared" si="261"/>
        <v>LH4264</v>
      </c>
      <c r="D788" s="81">
        <f t="shared" si="261"/>
        <v>165</v>
      </c>
      <c r="E788" s="29" t="str" cm="1">
        <f t="array" ref="E788" xml:space="preserve"> INDEX( VfM_Metrics_2023_Consol_Source[], $D788, E$622 )</f>
        <v>Traditional</v>
      </c>
      <c r="F788" s="23">
        <f xml:space="preserve"> -- AND( tblFilterRP_Type[[#This Row],[Provider Type]] = "Traditional", RP_TypeTrad = "Yes" )</f>
        <v>1</v>
      </c>
      <c r="G788" s="23">
        <f xml:space="preserve"> -- AND( tblFilterRP_Type[[#This Row],[Provider Type]] = "LSVT", RP_TypeLSVT = "Yes" )</f>
        <v>0</v>
      </c>
      <c r="H788" s="24">
        <f xml:space="preserve"> SUM( tblFilterRP_Type[[#This Row],[Incl. for traditional]], tblFilterRP_Type[[#This Row],[Incl. for LSVT]] )</f>
        <v>1</v>
      </c>
      <c r="I788" s="132" cm="1">
        <f t="array" ref="I788" xml:space="preserve"> INDEX( VfM_Metrics_2023_Consol_Source[], $D788, I$622 )</f>
        <v>0</v>
      </c>
      <c r="J788" s="29" t="str" cm="1">
        <f t="array" ref="J788" xml:space="preserve"> INDEX( VfM_Metrics_2023_Consol_Source[], $D788, J$622 )</f>
        <v>&gt;= 12 years</v>
      </c>
    </row>
    <row r="789" spans="2:10" x14ac:dyDescent="0.2">
      <c r="B789" s="122" t="str" vm="166">
        <f t="shared" ref="B789:D789" si="262" xml:space="preserve"> B587</f>
        <v>The Guinness Partnership Limited</v>
      </c>
      <c r="C789" s="122" t="str" vm="248">
        <f t="shared" si="262"/>
        <v>4729</v>
      </c>
      <c r="D789" s="81">
        <f t="shared" si="262"/>
        <v>166</v>
      </c>
      <c r="E789" s="29" t="str" cm="1">
        <f t="array" ref="E789" xml:space="preserve"> INDEX( VfM_Metrics_2023_Consol_Source[], $D789, E$622 )</f>
        <v>Traditional</v>
      </c>
      <c r="F789" s="23">
        <f xml:space="preserve"> -- AND( tblFilterRP_Type[[#This Row],[Provider Type]] = "Traditional", RP_TypeTrad = "Yes" )</f>
        <v>1</v>
      </c>
      <c r="G789" s="23">
        <f xml:space="preserve"> -- AND( tblFilterRP_Type[[#This Row],[Provider Type]] = "LSVT", RP_TypeLSVT = "Yes" )</f>
        <v>0</v>
      </c>
      <c r="H789" s="24">
        <f xml:space="preserve"> SUM( tblFilterRP_Type[[#This Row],[Incl. for traditional]], tblFilterRP_Type[[#This Row],[Incl. for LSVT]] )</f>
        <v>1</v>
      </c>
      <c r="I789" s="132" t="str" cm="1">
        <f t="array" ref="I789" xml:space="preserve"> INDEX( VfM_Metrics_2023_Consol_Source[], $D789, I$622 )</f>
        <v/>
      </c>
      <c r="J789" s="29" cm="1">
        <f t="array" ref="J789" xml:space="preserve"> INDEX( VfM_Metrics_2023_Consol_Source[], $D789, J$622 )</f>
        <v>0</v>
      </c>
    </row>
    <row r="790" spans="2:10" x14ac:dyDescent="0.2">
      <c r="B790" s="122" t="str" vm="167">
        <f t="shared" ref="B790:D790" si="263" xml:space="preserve"> B588</f>
        <v>The Havebury Housing Partnership</v>
      </c>
      <c r="C790" s="122" t="str" vm="374">
        <f t="shared" si="263"/>
        <v>LH4339</v>
      </c>
      <c r="D790" s="81">
        <f t="shared" si="263"/>
        <v>167</v>
      </c>
      <c r="E790" s="29" t="str" cm="1">
        <f t="array" ref="E790" xml:space="preserve"> INDEX( VfM_Metrics_2023_Consol_Source[], $D790, E$622 )</f>
        <v>Traditional</v>
      </c>
      <c r="F790" s="23">
        <f xml:space="preserve"> -- AND( tblFilterRP_Type[[#This Row],[Provider Type]] = "Traditional", RP_TypeTrad = "Yes" )</f>
        <v>1</v>
      </c>
      <c r="G790" s="23">
        <f xml:space="preserve"> -- AND( tblFilterRP_Type[[#This Row],[Provider Type]] = "LSVT", RP_TypeLSVT = "Yes" )</f>
        <v>0</v>
      </c>
      <c r="H790" s="24">
        <f xml:space="preserve"> SUM( tblFilterRP_Type[[#This Row],[Incl. for traditional]], tblFilterRP_Type[[#This Row],[Incl. for LSVT]] )</f>
        <v>1</v>
      </c>
      <c r="I790" s="132" cm="1">
        <f t="array" ref="I790" xml:space="preserve"> INDEX( VfM_Metrics_2023_Consol_Source[], $D790, I$622 )</f>
        <v>0</v>
      </c>
      <c r="J790" s="29" t="str" cm="1">
        <f t="array" ref="J790" xml:space="preserve"> INDEX( VfM_Metrics_2023_Consol_Source[], $D790, J$622 )</f>
        <v>&gt;= 12 years</v>
      </c>
    </row>
    <row r="791" spans="2:10" x14ac:dyDescent="0.2">
      <c r="B791" s="122" t="str" vm="168">
        <f t="shared" ref="B791:D791" si="264" xml:space="preserve"> B589</f>
        <v>The Housing Plus Group Limited</v>
      </c>
      <c r="C791" s="122" t="str" vm="293">
        <f t="shared" si="264"/>
        <v>L4491</v>
      </c>
      <c r="D791" s="81">
        <f t="shared" si="264"/>
        <v>168</v>
      </c>
      <c r="E791" s="29" t="str" cm="1">
        <f t="array" ref="E791" xml:space="preserve"> INDEX( VfM_Metrics_2023_Consol_Source[], $D791, E$622 )</f>
        <v>Traditional</v>
      </c>
      <c r="F791" s="23">
        <f xml:space="preserve"> -- AND( tblFilterRP_Type[[#This Row],[Provider Type]] = "Traditional", RP_TypeTrad = "Yes" )</f>
        <v>1</v>
      </c>
      <c r="G791" s="23">
        <f xml:space="preserve"> -- AND( tblFilterRP_Type[[#This Row],[Provider Type]] = "LSVT", RP_TypeLSVT = "Yes" )</f>
        <v>0</v>
      </c>
      <c r="H791" s="24">
        <f xml:space="preserve"> SUM( tblFilterRP_Type[[#This Row],[Incl. for traditional]], tblFilterRP_Type[[#This Row],[Incl. for LSVT]] )</f>
        <v>1</v>
      </c>
      <c r="I791" s="132" cm="1">
        <f t="array" ref="I791" xml:space="preserve"> INDEX( VfM_Metrics_2023_Consol_Source[], $D791, I$622 )</f>
        <v>0</v>
      </c>
      <c r="J791" s="29" t="str" cm="1">
        <f t="array" ref="J791" xml:space="preserve"> INDEX( VfM_Metrics_2023_Consol_Source[], $D791, J$622 )</f>
        <v>&gt;= 12 years</v>
      </c>
    </row>
    <row r="792" spans="2:10" x14ac:dyDescent="0.2">
      <c r="B792" s="122" t="str" vm="169">
        <f t="shared" ref="B792:D792" si="265" xml:space="preserve"> B590</f>
        <v>The Industrial Dwellings Society (1885) Limited</v>
      </c>
      <c r="C792" s="122" t="str" vm="208">
        <f t="shared" si="265"/>
        <v>L0266</v>
      </c>
      <c r="D792" s="81">
        <f t="shared" si="265"/>
        <v>169</v>
      </c>
      <c r="E792" s="29" t="str" cm="1">
        <f t="array" ref="E792" xml:space="preserve"> INDEX( VfM_Metrics_2023_Consol_Source[], $D792, E$622 )</f>
        <v>Traditional</v>
      </c>
      <c r="F792" s="23">
        <f xml:space="preserve"> -- AND( tblFilterRP_Type[[#This Row],[Provider Type]] = "Traditional", RP_TypeTrad = "Yes" )</f>
        <v>1</v>
      </c>
      <c r="G792" s="23">
        <f xml:space="preserve"> -- AND( tblFilterRP_Type[[#This Row],[Provider Type]] = "LSVT", RP_TypeLSVT = "Yes" )</f>
        <v>0</v>
      </c>
      <c r="H792" s="24">
        <f xml:space="preserve"> SUM( tblFilterRP_Type[[#This Row],[Incl. for traditional]], tblFilterRP_Type[[#This Row],[Incl. for LSVT]] )</f>
        <v>1</v>
      </c>
      <c r="I792" s="132" t="str" cm="1">
        <f t="array" ref="I792" xml:space="preserve"> INDEX( VfM_Metrics_2023_Consol_Source[], $D792, I$622 )</f>
        <v/>
      </c>
      <c r="J792" s="29" cm="1">
        <f t="array" ref="J792" xml:space="preserve"> INDEX( VfM_Metrics_2023_Consol_Source[], $D792, J$622 )</f>
        <v>0</v>
      </c>
    </row>
    <row r="793" spans="2:10" x14ac:dyDescent="0.2">
      <c r="B793" s="122" t="str" vm="170">
        <f t="shared" ref="B793:D793" si="266" xml:space="preserve"> B591</f>
        <v>The Pioneer Housing and Community Group Limited</v>
      </c>
      <c r="C793" s="122" t="str" vm="235">
        <f t="shared" si="266"/>
        <v>L4118</v>
      </c>
      <c r="D793" s="81">
        <f t="shared" si="266"/>
        <v>170</v>
      </c>
      <c r="E793" s="29" t="str" cm="1">
        <f t="array" ref="E793" xml:space="preserve"> INDEX( VfM_Metrics_2023_Consol_Source[], $D793, E$622 )</f>
        <v>Traditional</v>
      </c>
      <c r="F793" s="23">
        <f xml:space="preserve"> -- AND( tblFilterRP_Type[[#This Row],[Provider Type]] = "Traditional", RP_TypeTrad = "Yes" )</f>
        <v>1</v>
      </c>
      <c r="G793" s="23">
        <f xml:space="preserve"> -- AND( tblFilterRP_Type[[#This Row],[Provider Type]] = "LSVT", RP_TypeLSVT = "Yes" )</f>
        <v>0</v>
      </c>
      <c r="H793" s="24">
        <f xml:space="preserve"> SUM( tblFilterRP_Type[[#This Row],[Incl. for traditional]], tblFilterRP_Type[[#This Row],[Incl. for LSVT]] )</f>
        <v>1</v>
      </c>
      <c r="I793" s="132" t="str" cm="1">
        <f t="array" ref="I793" xml:space="preserve"> INDEX( VfM_Metrics_2023_Consol_Source[], $D793, I$622 )</f>
        <v/>
      </c>
      <c r="J793" s="29" cm="1">
        <f t="array" ref="J793" xml:space="preserve"> INDEX( VfM_Metrics_2023_Consol_Source[], $D793, J$622 )</f>
        <v>0</v>
      </c>
    </row>
    <row r="794" spans="2:10" x14ac:dyDescent="0.2">
      <c r="B794" s="122" t="str" vm="171">
        <f t="shared" ref="B794:D794" si="267" xml:space="preserve"> B592</f>
        <v>The Riverside Group Limited</v>
      </c>
      <c r="C794" s="122" t="str" vm="241">
        <f t="shared" si="267"/>
        <v>L4552</v>
      </c>
      <c r="D794" s="81">
        <f t="shared" si="267"/>
        <v>171</v>
      </c>
      <c r="E794" s="29" t="str" cm="1">
        <f t="array" ref="E794" xml:space="preserve"> INDEX( VfM_Metrics_2023_Consol_Source[], $D794, E$622 )</f>
        <v>Traditional</v>
      </c>
      <c r="F794" s="23">
        <f xml:space="preserve"> -- AND( tblFilterRP_Type[[#This Row],[Provider Type]] = "Traditional", RP_TypeTrad = "Yes" )</f>
        <v>1</v>
      </c>
      <c r="G794" s="23">
        <f xml:space="preserve"> -- AND( tblFilterRP_Type[[#This Row],[Provider Type]] = "LSVT", RP_TypeLSVT = "Yes" )</f>
        <v>0</v>
      </c>
      <c r="H794" s="24">
        <f xml:space="preserve"> SUM( tblFilterRP_Type[[#This Row],[Incl. for traditional]], tblFilterRP_Type[[#This Row],[Incl. for LSVT]] )</f>
        <v>1</v>
      </c>
      <c r="I794" s="132" t="str" cm="1">
        <f t="array" ref="I794" xml:space="preserve"> INDEX( VfM_Metrics_2023_Consol_Source[], $D794, I$622 )</f>
        <v/>
      </c>
      <c r="J794" s="29" cm="1">
        <f t="array" ref="J794" xml:space="preserve"> INDEX( VfM_Metrics_2023_Consol_Source[], $D794, J$622 )</f>
        <v>0</v>
      </c>
    </row>
    <row r="795" spans="2:10" x14ac:dyDescent="0.2">
      <c r="B795" s="122" t="str" vm="172">
        <f t="shared" ref="B795:D795" si="268" xml:space="preserve"> B593</f>
        <v>The Wrekin Housing Group Limited</v>
      </c>
      <c r="C795" s="122" t="str" vm="282">
        <f t="shared" si="268"/>
        <v>LH4220</v>
      </c>
      <c r="D795" s="81">
        <f t="shared" si="268"/>
        <v>172</v>
      </c>
      <c r="E795" s="29" t="str" cm="1">
        <f t="array" ref="E795" xml:space="preserve"> INDEX( VfM_Metrics_2023_Consol_Source[], $D795, E$622 )</f>
        <v>Traditional</v>
      </c>
      <c r="F795" s="23">
        <f xml:space="preserve"> -- AND( tblFilterRP_Type[[#This Row],[Provider Type]] = "Traditional", RP_TypeTrad = "Yes" )</f>
        <v>1</v>
      </c>
      <c r="G795" s="23">
        <f xml:space="preserve"> -- AND( tblFilterRP_Type[[#This Row],[Provider Type]] = "LSVT", RP_TypeLSVT = "Yes" )</f>
        <v>0</v>
      </c>
      <c r="H795" s="24">
        <f xml:space="preserve"> SUM( tblFilterRP_Type[[#This Row],[Incl. for traditional]], tblFilterRP_Type[[#This Row],[Incl. for LSVT]] )</f>
        <v>1</v>
      </c>
      <c r="I795" s="132" cm="1">
        <f t="array" ref="I795" xml:space="preserve"> INDEX( VfM_Metrics_2023_Consol_Source[], $D795, I$622 )</f>
        <v>0</v>
      </c>
      <c r="J795" s="29" t="str" cm="1">
        <f t="array" ref="J795" xml:space="preserve"> INDEX( VfM_Metrics_2023_Consol_Source[], $D795, J$622 )</f>
        <v>&gt;= 12 years</v>
      </c>
    </row>
    <row r="796" spans="2:10" x14ac:dyDescent="0.2">
      <c r="B796" s="122" t="str" vm="173">
        <f t="shared" ref="B796:D796" si="269" xml:space="preserve"> B594</f>
        <v>Thirteen Housing Group Limited</v>
      </c>
      <c r="C796" s="122" t="str" vm="260">
        <f t="shared" si="269"/>
        <v>L4522</v>
      </c>
      <c r="D796" s="81">
        <f t="shared" si="269"/>
        <v>173</v>
      </c>
      <c r="E796" s="29" t="str" cm="1">
        <f t="array" ref="E796" xml:space="preserve"> INDEX( VfM_Metrics_2023_Consol_Source[], $D796, E$622 )</f>
        <v>Traditional</v>
      </c>
      <c r="F796" s="23">
        <f xml:space="preserve"> -- AND( tblFilterRP_Type[[#This Row],[Provider Type]] = "Traditional", RP_TypeTrad = "Yes" )</f>
        <v>1</v>
      </c>
      <c r="G796" s="23">
        <f xml:space="preserve"> -- AND( tblFilterRP_Type[[#This Row],[Provider Type]] = "LSVT", RP_TypeLSVT = "Yes" )</f>
        <v>0</v>
      </c>
      <c r="H796" s="24">
        <f xml:space="preserve"> SUM( tblFilterRP_Type[[#This Row],[Incl. for traditional]], tblFilterRP_Type[[#This Row],[Incl. for LSVT]] )</f>
        <v>1</v>
      </c>
      <c r="I796" s="132" cm="1">
        <f t="array" ref="I796" xml:space="preserve"> INDEX( VfM_Metrics_2023_Consol_Source[], $D796, I$622 )</f>
        <v>0</v>
      </c>
      <c r="J796" s="29" t="str" cm="1">
        <f t="array" ref="J796" xml:space="preserve"> INDEX( VfM_Metrics_2023_Consol_Source[], $D796, J$622 )</f>
        <v>&gt;= 12 years</v>
      </c>
    </row>
    <row r="797" spans="2:10" x14ac:dyDescent="0.2">
      <c r="B797" s="122" t="str" vm="174">
        <f t="shared" ref="B797:D797" si="270" xml:space="preserve"> B595</f>
        <v>Thrive Homes Limited</v>
      </c>
      <c r="C797" s="122" t="str" vm="319">
        <f t="shared" si="270"/>
        <v>L4520</v>
      </c>
      <c r="D797" s="81">
        <f t="shared" si="270"/>
        <v>174</v>
      </c>
      <c r="E797" s="29" t="str" cm="1">
        <f t="array" ref="E797" xml:space="preserve"> INDEX( VfM_Metrics_2023_Consol_Source[], $D797, E$622 )</f>
        <v>Traditional</v>
      </c>
      <c r="F797" s="23">
        <f xml:space="preserve"> -- AND( tblFilterRP_Type[[#This Row],[Provider Type]] = "Traditional", RP_TypeTrad = "Yes" )</f>
        <v>1</v>
      </c>
      <c r="G797" s="23">
        <f xml:space="preserve"> -- AND( tblFilterRP_Type[[#This Row],[Provider Type]] = "LSVT", RP_TypeLSVT = "Yes" )</f>
        <v>0</v>
      </c>
      <c r="H797" s="24">
        <f xml:space="preserve"> SUM( tblFilterRP_Type[[#This Row],[Incl. for traditional]], tblFilterRP_Type[[#This Row],[Incl. for LSVT]] )</f>
        <v>1</v>
      </c>
      <c r="I797" s="132" cm="1">
        <f t="array" ref="I797" xml:space="preserve"> INDEX( VfM_Metrics_2023_Consol_Source[], $D797, I$622 )</f>
        <v>0</v>
      </c>
      <c r="J797" s="29" t="str" cm="1">
        <f t="array" ref="J797" xml:space="preserve"> INDEX( VfM_Metrics_2023_Consol_Source[], $D797, J$622 )</f>
        <v>&gt;= 12 years</v>
      </c>
    </row>
    <row r="798" spans="2:10" x14ac:dyDescent="0.2">
      <c r="B798" s="122" t="str" vm="175">
        <f t="shared" ref="B798:D798" si="271" xml:space="preserve"> B596</f>
        <v>Together Housing Group Limited</v>
      </c>
      <c r="C798" s="122" t="str" vm="249">
        <f t="shared" si="271"/>
        <v>L4464</v>
      </c>
      <c r="D798" s="81">
        <f t="shared" si="271"/>
        <v>175</v>
      </c>
      <c r="E798" s="29" t="str" cm="1">
        <f t="array" ref="E798" xml:space="preserve"> INDEX( VfM_Metrics_2023_Consol_Source[], $D798, E$622 )</f>
        <v>Traditional</v>
      </c>
      <c r="F798" s="23">
        <f xml:space="preserve"> -- AND( tblFilterRP_Type[[#This Row],[Provider Type]] = "Traditional", RP_TypeTrad = "Yes" )</f>
        <v>1</v>
      </c>
      <c r="G798" s="23">
        <f xml:space="preserve"> -- AND( tblFilterRP_Type[[#This Row],[Provider Type]] = "LSVT", RP_TypeLSVT = "Yes" )</f>
        <v>0</v>
      </c>
      <c r="H798" s="24">
        <f xml:space="preserve"> SUM( tblFilterRP_Type[[#This Row],[Incl. for traditional]], tblFilterRP_Type[[#This Row],[Incl. for LSVT]] )</f>
        <v>1</v>
      </c>
      <c r="I798" s="132" cm="1">
        <f t="array" ref="I798" xml:space="preserve"> INDEX( VfM_Metrics_2023_Consol_Source[], $D798, I$622 )</f>
        <v>0</v>
      </c>
      <c r="J798" s="29" t="str" cm="1">
        <f t="array" ref="J798" xml:space="preserve"> INDEX( VfM_Metrics_2023_Consol_Source[], $D798, J$622 )</f>
        <v>&gt;= 12 years</v>
      </c>
    </row>
    <row r="799" spans="2:10" x14ac:dyDescent="0.2">
      <c r="B799" s="122" t="str" vm="176">
        <f t="shared" ref="B799:D799" si="272" xml:space="preserve"> B597</f>
        <v>Torus62 Limited</v>
      </c>
      <c r="C799" s="122" t="str" vm="259">
        <f t="shared" si="272"/>
        <v>5065</v>
      </c>
      <c r="D799" s="81">
        <f t="shared" si="272"/>
        <v>176</v>
      </c>
      <c r="E799" s="29" t="str" cm="1">
        <f t="array" ref="E799" xml:space="preserve"> INDEX( VfM_Metrics_2023_Consol_Source[], $D799, E$622 )</f>
        <v>Traditional</v>
      </c>
      <c r="F799" s="23">
        <f xml:space="preserve"> -- AND( tblFilterRP_Type[[#This Row],[Provider Type]] = "Traditional", RP_TypeTrad = "Yes" )</f>
        <v>1</v>
      </c>
      <c r="G799" s="23">
        <f xml:space="preserve"> -- AND( tblFilterRP_Type[[#This Row],[Provider Type]] = "LSVT", RP_TypeLSVT = "Yes" )</f>
        <v>0</v>
      </c>
      <c r="H799" s="24">
        <f xml:space="preserve"> SUM( tblFilterRP_Type[[#This Row],[Incl. for traditional]], tblFilterRP_Type[[#This Row],[Incl. for LSVT]] )</f>
        <v>1</v>
      </c>
      <c r="I799" s="132" cm="1">
        <f t="array" ref="I799" xml:space="preserve"> INDEX( VfM_Metrics_2023_Consol_Source[], $D799, I$622 )</f>
        <v>0</v>
      </c>
      <c r="J799" s="29" t="str" cm="1">
        <f t="array" ref="J799" xml:space="preserve"> INDEX( VfM_Metrics_2023_Consol_Source[], $D799, J$622 )</f>
        <v>&gt;= 12 years</v>
      </c>
    </row>
    <row r="800" spans="2:10" x14ac:dyDescent="0.2">
      <c r="B800" s="122" t="str" vm="177">
        <f t="shared" ref="B800:D800" si="273" xml:space="preserve"> B598</f>
        <v>Tower Hamlets Community Housing</v>
      </c>
      <c r="C800" s="122" t="str" vm="203">
        <f t="shared" si="273"/>
        <v>L4260</v>
      </c>
      <c r="D800" s="81">
        <f t="shared" si="273"/>
        <v>177</v>
      </c>
      <c r="E800" s="29" t="str" cm="1">
        <f t="array" ref="E800" xml:space="preserve"> INDEX( VfM_Metrics_2023_Consol_Source[], $D800, E$622 )</f>
        <v>Traditional</v>
      </c>
      <c r="F800" s="23">
        <f xml:space="preserve"> -- AND( tblFilterRP_Type[[#This Row],[Provider Type]] = "Traditional", RP_TypeTrad = "Yes" )</f>
        <v>1</v>
      </c>
      <c r="G800" s="23">
        <f xml:space="preserve"> -- AND( tblFilterRP_Type[[#This Row],[Provider Type]] = "LSVT", RP_TypeLSVT = "Yes" )</f>
        <v>0</v>
      </c>
      <c r="H800" s="24">
        <f xml:space="preserve"> SUM( tblFilterRP_Type[[#This Row],[Incl. for traditional]], tblFilterRP_Type[[#This Row],[Incl. for LSVT]] )</f>
        <v>1</v>
      </c>
      <c r="I800" s="132" cm="1">
        <f t="array" ref="I800" xml:space="preserve"> INDEX( VfM_Metrics_2023_Consol_Source[], $D800, I$622 )</f>
        <v>0</v>
      </c>
      <c r="J800" s="29" t="str" cm="1">
        <f t="array" ref="J800" xml:space="preserve"> INDEX( VfM_Metrics_2023_Consol_Source[], $D800, J$622 )</f>
        <v>&gt;= 12 years</v>
      </c>
    </row>
    <row r="801" spans="2:10" x14ac:dyDescent="0.2">
      <c r="B801" s="122" t="str" vm="178">
        <f t="shared" ref="B801:D801" si="274" xml:space="preserve"> B599</f>
        <v>Trent &amp; Dove Housing Limited</v>
      </c>
      <c r="C801" s="122" t="str" vm="386">
        <f t="shared" si="274"/>
        <v>L4311</v>
      </c>
      <c r="D801" s="81">
        <f t="shared" si="274"/>
        <v>178</v>
      </c>
      <c r="E801" s="29" t="str" cm="1">
        <f t="array" ref="E801" xml:space="preserve"> INDEX( VfM_Metrics_2023_Consol_Source[], $D801, E$622 )</f>
        <v>Traditional</v>
      </c>
      <c r="F801" s="23">
        <f xml:space="preserve"> -- AND( tblFilterRP_Type[[#This Row],[Provider Type]] = "Traditional", RP_TypeTrad = "Yes" )</f>
        <v>1</v>
      </c>
      <c r="G801" s="23">
        <f xml:space="preserve"> -- AND( tblFilterRP_Type[[#This Row],[Provider Type]] = "LSVT", RP_TypeLSVT = "Yes" )</f>
        <v>0</v>
      </c>
      <c r="H801" s="24">
        <f xml:space="preserve"> SUM( tblFilterRP_Type[[#This Row],[Incl. for traditional]], tblFilterRP_Type[[#This Row],[Incl. for LSVT]] )</f>
        <v>1</v>
      </c>
      <c r="I801" s="132" cm="1">
        <f t="array" ref="I801" xml:space="preserve"> INDEX( VfM_Metrics_2023_Consol_Source[], $D801, I$622 )</f>
        <v>0</v>
      </c>
      <c r="J801" s="29" t="str" cm="1">
        <f t="array" ref="J801" xml:space="preserve"> INDEX( VfM_Metrics_2023_Consol_Source[], $D801, J$622 )</f>
        <v>&gt;= 12 years</v>
      </c>
    </row>
    <row r="802" spans="2:10" x14ac:dyDescent="0.2">
      <c r="B802" s="122" t="str" vm="179">
        <f t="shared" ref="B802:D802" si="275" xml:space="preserve"> B600</f>
        <v>Trident Housing Association Limited</v>
      </c>
      <c r="C802" s="122" t="str" vm="305">
        <f t="shared" si="275"/>
        <v>L0979</v>
      </c>
      <c r="D802" s="81">
        <f t="shared" si="275"/>
        <v>179</v>
      </c>
      <c r="E802" s="29" t="str" cm="1">
        <f t="array" ref="E802" xml:space="preserve"> INDEX( VfM_Metrics_2023_Consol_Source[], $D802, E$622 )</f>
        <v>Traditional</v>
      </c>
      <c r="F802" s="23">
        <f xml:space="preserve"> -- AND( tblFilterRP_Type[[#This Row],[Provider Type]] = "Traditional", RP_TypeTrad = "Yes" )</f>
        <v>1</v>
      </c>
      <c r="G802" s="23">
        <f xml:space="preserve"> -- AND( tblFilterRP_Type[[#This Row],[Provider Type]] = "LSVT", RP_TypeLSVT = "Yes" )</f>
        <v>0</v>
      </c>
      <c r="H802" s="24">
        <f xml:space="preserve"> SUM( tblFilterRP_Type[[#This Row],[Incl. for traditional]], tblFilterRP_Type[[#This Row],[Incl. for LSVT]] )</f>
        <v>1</v>
      </c>
      <c r="I802" s="132" t="str" cm="1">
        <f t="array" ref="I802" xml:space="preserve"> INDEX( VfM_Metrics_2023_Consol_Source[], $D802, I$622 )</f>
        <v/>
      </c>
      <c r="J802" s="29" cm="1">
        <f t="array" ref="J802" xml:space="preserve"> INDEX( VfM_Metrics_2023_Consol_Source[], $D802, J$622 )</f>
        <v>0</v>
      </c>
    </row>
    <row r="803" spans="2:10" x14ac:dyDescent="0.2">
      <c r="B803" s="122" t="str" vm="180">
        <f t="shared" ref="B803:D803" si="276" xml:space="preserve"> B601</f>
        <v>Tuntum Housing Association Limited</v>
      </c>
      <c r="C803" s="122" t="str" vm="227">
        <f t="shared" si="276"/>
        <v>L3808</v>
      </c>
      <c r="D803" s="81">
        <f t="shared" si="276"/>
        <v>180</v>
      </c>
      <c r="E803" s="29" t="str" cm="1">
        <f t="array" ref="E803" xml:space="preserve"> INDEX( VfM_Metrics_2023_Consol_Source[], $D803, E$622 )</f>
        <v>Traditional</v>
      </c>
      <c r="F803" s="23">
        <f xml:space="preserve"> -- AND( tblFilterRP_Type[[#This Row],[Provider Type]] = "Traditional", RP_TypeTrad = "Yes" )</f>
        <v>1</v>
      </c>
      <c r="G803" s="23">
        <f xml:space="preserve"> -- AND( tblFilterRP_Type[[#This Row],[Provider Type]] = "LSVT", RP_TypeLSVT = "Yes" )</f>
        <v>0</v>
      </c>
      <c r="H803" s="24">
        <f xml:space="preserve"> SUM( tblFilterRP_Type[[#This Row],[Incl. for traditional]], tblFilterRP_Type[[#This Row],[Incl. for LSVT]] )</f>
        <v>1</v>
      </c>
      <c r="I803" s="132" t="str" cm="1">
        <f t="array" ref="I803" xml:space="preserve"> INDEX( VfM_Metrics_2023_Consol_Source[], $D803, I$622 )</f>
        <v/>
      </c>
      <c r="J803" s="29" cm="1">
        <f t="array" ref="J803" xml:space="preserve"> INDEX( VfM_Metrics_2023_Consol_Source[], $D803, J$622 )</f>
        <v>0</v>
      </c>
    </row>
    <row r="804" spans="2:10" x14ac:dyDescent="0.2">
      <c r="B804" s="122" t="str" vm="181">
        <f t="shared" ref="B804:D804" si="277" xml:space="preserve"> B602</f>
        <v>Two Rivers Housing</v>
      </c>
      <c r="C804" s="122" t="str" vm="333">
        <f t="shared" si="277"/>
        <v>L4385</v>
      </c>
      <c r="D804" s="81">
        <f t="shared" si="277"/>
        <v>181</v>
      </c>
      <c r="E804" s="29" t="str" cm="1">
        <f t="array" ref="E804" xml:space="preserve"> INDEX( VfM_Metrics_2023_Consol_Source[], $D804, E$622 )</f>
        <v>Traditional</v>
      </c>
      <c r="F804" s="23">
        <f xml:space="preserve"> -- AND( tblFilterRP_Type[[#This Row],[Provider Type]] = "Traditional", RP_TypeTrad = "Yes" )</f>
        <v>1</v>
      </c>
      <c r="G804" s="23">
        <f xml:space="preserve"> -- AND( tblFilterRP_Type[[#This Row],[Provider Type]] = "LSVT", RP_TypeLSVT = "Yes" )</f>
        <v>0</v>
      </c>
      <c r="H804" s="24">
        <f xml:space="preserve"> SUM( tblFilterRP_Type[[#This Row],[Incl. for traditional]], tblFilterRP_Type[[#This Row],[Incl. for LSVT]] )</f>
        <v>1</v>
      </c>
      <c r="I804" s="132" cm="1">
        <f t="array" ref="I804" xml:space="preserve"> INDEX( VfM_Metrics_2023_Consol_Source[], $D804, I$622 )</f>
        <v>0</v>
      </c>
      <c r="J804" s="29" t="str" cm="1">
        <f t="array" ref="J804" xml:space="preserve"> INDEX( VfM_Metrics_2023_Consol_Source[], $D804, J$622 )</f>
        <v>&gt;= 12 years</v>
      </c>
    </row>
    <row r="805" spans="2:10" x14ac:dyDescent="0.2">
      <c r="B805" s="122" t="str" vm="182">
        <f t="shared" ref="B805:D805" si="278" xml:space="preserve"> B603</f>
        <v>Unity Housing Association Limited</v>
      </c>
      <c r="C805" s="122" t="str" vm="229">
        <f t="shared" si="278"/>
        <v>LH3737</v>
      </c>
      <c r="D805" s="81">
        <f t="shared" si="278"/>
        <v>182</v>
      </c>
      <c r="E805" s="29" t="str" cm="1">
        <f t="array" ref="E805" xml:space="preserve"> INDEX( VfM_Metrics_2023_Consol_Source[], $D805, E$622 )</f>
        <v>Traditional</v>
      </c>
      <c r="F805" s="23">
        <f xml:space="preserve"> -- AND( tblFilterRP_Type[[#This Row],[Provider Type]] = "Traditional", RP_TypeTrad = "Yes" )</f>
        <v>1</v>
      </c>
      <c r="G805" s="23">
        <f xml:space="preserve"> -- AND( tblFilterRP_Type[[#This Row],[Provider Type]] = "LSVT", RP_TypeLSVT = "Yes" )</f>
        <v>0</v>
      </c>
      <c r="H805" s="24">
        <f xml:space="preserve"> SUM( tblFilterRP_Type[[#This Row],[Incl. for traditional]], tblFilterRP_Type[[#This Row],[Incl. for LSVT]] )</f>
        <v>1</v>
      </c>
      <c r="I805" s="132" t="str" cm="1">
        <f t="array" ref="I805" xml:space="preserve"> INDEX( VfM_Metrics_2023_Consol_Source[], $D805, I$622 )</f>
        <v/>
      </c>
      <c r="J805" s="29" cm="1">
        <f t="array" ref="J805" xml:space="preserve"> INDEX( VfM_Metrics_2023_Consol_Source[], $D805, J$622 )</f>
        <v>0</v>
      </c>
    </row>
    <row r="806" spans="2:10" x14ac:dyDescent="0.2">
      <c r="B806" s="122" t="str" vm="183">
        <f t="shared" ref="B806:D806" si="279" xml:space="preserve"> B604</f>
        <v>Vivid Housing Limited</v>
      </c>
      <c r="C806" s="122" t="str" vm="264">
        <f t="shared" si="279"/>
        <v>4850</v>
      </c>
      <c r="D806" s="81">
        <f t="shared" si="279"/>
        <v>183</v>
      </c>
      <c r="E806" s="29" t="str" cm="1">
        <f t="array" ref="E806" xml:space="preserve"> INDEX( VfM_Metrics_2023_Consol_Source[], $D806, E$622 )</f>
        <v>Traditional</v>
      </c>
      <c r="F806" s="23">
        <f xml:space="preserve"> -- AND( tblFilterRP_Type[[#This Row],[Provider Type]] = "Traditional", RP_TypeTrad = "Yes" )</f>
        <v>1</v>
      </c>
      <c r="G806" s="23">
        <f xml:space="preserve"> -- AND( tblFilterRP_Type[[#This Row],[Provider Type]] = "LSVT", RP_TypeLSVT = "Yes" )</f>
        <v>0</v>
      </c>
      <c r="H806" s="24">
        <f xml:space="preserve"> SUM( tblFilterRP_Type[[#This Row],[Incl. for traditional]], tblFilterRP_Type[[#This Row],[Incl. for LSVT]] )</f>
        <v>1</v>
      </c>
      <c r="I806" s="132" cm="1">
        <f t="array" ref="I806" xml:space="preserve"> INDEX( VfM_Metrics_2023_Consol_Source[], $D806, I$622 )</f>
        <v>0</v>
      </c>
      <c r="J806" s="29" t="str" cm="1">
        <f t="array" ref="J806" xml:space="preserve"> INDEX( VfM_Metrics_2023_Consol_Source[], $D806, J$622 )</f>
        <v>&gt;= 12 years</v>
      </c>
    </row>
    <row r="807" spans="2:10" x14ac:dyDescent="0.2">
      <c r="B807" s="122" t="str" vm="184">
        <f t="shared" ref="B807:D807" si="280" xml:space="preserve"> B605</f>
        <v>Wakefield And District Housing Limited</v>
      </c>
      <c r="C807" s="122" t="str" vm="257">
        <f t="shared" si="280"/>
        <v>L4441</v>
      </c>
      <c r="D807" s="81">
        <f t="shared" si="280"/>
        <v>184</v>
      </c>
      <c r="E807" s="29" t="str" cm="1">
        <f t="array" ref="E807" xml:space="preserve"> INDEX( VfM_Metrics_2023_Consol_Source[], $D807, E$622 )</f>
        <v>Traditional</v>
      </c>
      <c r="F807" s="23">
        <f xml:space="preserve"> -- AND( tblFilterRP_Type[[#This Row],[Provider Type]] = "Traditional", RP_TypeTrad = "Yes" )</f>
        <v>1</v>
      </c>
      <c r="G807" s="23">
        <f xml:space="preserve"> -- AND( tblFilterRP_Type[[#This Row],[Provider Type]] = "LSVT", RP_TypeLSVT = "Yes" )</f>
        <v>0</v>
      </c>
      <c r="H807" s="24">
        <f xml:space="preserve"> SUM( tblFilterRP_Type[[#This Row],[Incl. for traditional]], tblFilterRP_Type[[#This Row],[Incl. for LSVT]] )</f>
        <v>1</v>
      </c>
      <c r="I807" s="132" cm="1">
        <f t="array" ref="I807" xml:space="preserve"> INDEX( VfM_Metrics_2023_Consol_Source[], $D807, I$622 )</f>
        <v>0</v>
      </c>
      <c r="J807" s="29" t="str" cm="1">
        <f t="array" ref="J807" xml:space="preserve"> INDEX( VfM_Metrics_2023_Consol_Source[], $D807, J$622 )</f>
        <v>&gt;= 12 years</v>
      </c>
    </row>
    <row r="808" spans="2:10" x14ac:dyDescent="0.2">
      <c r="B808" s="122" t="str" vm="185">
        <f t="shared" ref="B808:D808" si="281" xml:space="preserve"> B606</f>
        <v>Walsall Housing Group Limited</v>
      </c>
      <c r="C808" s="122" t="str" vm="343">
        <f t="shared" si="281"/>
        <v>L4389</v>
      </c>
      <c r="D808" s="81">
        <f t="shared" si="281"/>
        <v>185</v>
      </c>
      <c r="E808" s="29" t="str" cm="1">
        <f t="array" ref="E808" xml:space="preserve"> INDEX( VfM_Metrics_2023_Consol_Source[], $D808, E$622 )</f>
        <v>Traditional</v>
      </c>
      <c r="F808" s="23">
        <f xml:space="preserve"> -- AND( tblFilterRP_Type[[#This Row],[Provider Type]] = "Traditional", RP_TypeTrad = "Yes" )</f>
        <v>1</v>
      </c>
      <c r="G808" s="23">
        <f xml:space="preserve"> -- AND( tblFilterRP_Type[[#This Row],[Provider Type]] = "LSVT", RP_TypeLSVT = "Yes" )</f>
        <v>0</v>
      </c>
      <c r="H808" s="24">
        <f xml:space="preserve"> SUM( tblFilterRP_Type[[#This Row],[Incl. for traditional]], tblFilterRP_Type[[#This Row],[Incl. for LSVT]] )</f>
        <v>1</v>
      </c>
      <c r="I808" s="132" cm="1">
        <f t="array" ref="I808" xml:space="preserve"> INDEX( VfM_Metrics_2023_Consol_Source[], $D808, I$622 )</f>
        <v>0</v>
      </c>
      <c r="J808" s="29" t="str" cm="1">
        <f t="array" ref="J808" xml:space="preserve"> INDEX( VfM_Metrics_2023_Consol_Source[], $D808, J$622 )</f>
        <v>&gt;= 12 years</v>
      </c>
    </row>
    <row r="809" spans="2:10" x14ac:dyDescent="0.2">
      <c r="B809" s="122" t="str" vm="186">
        <f t="shared" ref="B809:D809" si="282" xml:space="preserve"> B607</f>
        <v>Wandle Housing Association Limited</v>
      </c>
      <c r="C809" s="122" t="str" vm="351">
        <f t="shared" si="282"/>
        <v>L0277</v>
      </c>
      <c r="D809" s="81">
        <f t="shared" si="282"/>
        <v>186</v>
      </c>
      <c r="E809" s="29" t="str" cm="1">
        <f t="array" ref="E809" xml:space="preserve"> INDEX( VfM_Metrics_2023_Consol_Source[], $D809, E$622 )</f>
        <v>Traditional</v>
      </c>
      <c r="F809" s="23">
        <f xml:space="preserve"> -- AND( tblFilterRP_Type[[#This Row],[Provider Type]] = "Traditional", RP_TypeTrad = "Yes" )</f>
        <v>1</v>
      </c>
      <c r="G809" s="23">
        <f xml:space="preserve"> -- AND( tblFilterRP_Type[[#This Row],[Provider Type]] = "LSVT", RP_TypeLSVT = "Yes" )</f>
        <v>0</v>
      </c>
      <c r="H809" s="24">
        <f xml:space="preserve"> SUM( tblFilterRP_Type[[#This Row],[Incl. for traditional]], tblFilterRP_Type[[#This Row],[Incl. for LSVT]] )</f>
        <v>1</v>
      </c>
      <c r="I809" s="132" t="str" cm="1">
        <f t="array" ref="I809" xml:space="preserve"> INDEX( VfM_Metrics_2023_Consol_Source[], $D809, I$622 )</f>
        <v/>
      </c>
      <c r="J809" s="29" cm="1">
        <f t="array" ref="J809" xml:space="preserve"> INDEX( VfM_Metrics_2023_Consol_Source[], $D809, J$622 )</f>
        <v>0</v>
      </c>
    </row>
    <row r="810" spans="2:10" x14ac:dyDescent="0.2">
      <c r="B810" s="122" t="str" vm="187">
        <f t="shared" ref="B810:D810" si="283" xml:space="preserve"> B608</f>
        <v>Warrington Housing Association Limited</v>
      </c>
      <c r="C810" s="122" t="str" vm="221">
        <f t="shared" si="283"/>
        <v>L0518</v>
      </c>
      <c r="D810" s="81">
        <f t="shared" si="283"/>
        <v>187</v>
      </c>
      <c r="E810" s="29" t="str" cm="1">
        <f t="array" ref="E810" xml:space="preserve"> INDEX( VfM_Metrics_2023_Consol_Source[], $D810, E$622 )</f>
        <v>Traditional</v>
      </c>
      <c r="F810" s="23">
        <f xml:space="preserve"> -- AND( tblFilterRP_Type[[#This Row],[Provider Type]] = "Traditional", RP_TypeTrad = "Yes" )</f>
        <v>1</v>
      </c>
      <c r="G810" s="23">
        <f xml:space="preserve"> -- AND( tblFilterRP_Type[[#This Row],[Provider Type]] = "LSVT", RP_TypeLSVT = "Yes" )</f>
        <v>0</v>
      </c>
      <c r="H810" s="24">
        <f xml:space="preserve"> SUM( tblFilterRP_Type[[#This Row],[Incl. for traditional]], tblFilterRP_Type[[#This Row],[Incl. for LSVT]] )</f>
        <v>1</v>
      </c>
      <c r="I810" s="132" t="str" cm="1">
        <f t="array" ref="I810" xml:space="preserve"> INDEX( VfM_Metrics_2023_Consol_Source[], $D810, I$622 )</f>
        <v/>
      </c>
      <c r="J810" s="29" cm="1">
        <f t="array" ref="J810" xml:space="preserve"> INDEX( VfM_Metrics_2023_Consol_Source[], $D810, J$622 )</f>
        <v>0</v>
      </c>
    </row>
    <row r="811" spans="2:10" x14ac:dyDescent="0.2">
      <c r="B811" s="122" t="str" vm="188">
        <f t="shared" ref="B811:D811" si="284" xml:space="preserve"> B609</f>
        <v>Watford Community Housing Trust</v>
      </c>
      <c r="C811" s="122" t="str" vm="376">
        <f t="shared" si="284"/>
        <v>L4495</v>
      </c>
      <c r="D811" s="81">
        <f t="shared" si="284"/>
        <v>188</v>
      </c>
      <c r="E811" s="29" t="str" cm="1">
        <f t="array" ref="E811" xml:space="preserve"> INDEX( VfM_Metrics_2023_Consol_Source[], $D811, E$622 )</f>
        <v>Traditional</v>
      </c>
      <c r="F811" s="23">
        <f xml:space="preserve"> -- AND( tblFilterRP_Type[[#This Row],[Provider Type]] = "Traditional", RP_TypeTrad = "Yes" )</f>
        <v>1</v>
      </c>
      <c r="G811" s="23">
        <f xml:space="preserve"> -- AND( tblFilterRP_Type[[#This Row],[Provider Type]] = "LSVT", RP_TypeLSVT = "Yes" )</f>
        <v>0</v>
      </c>
      <c r="H811" s="24">
        <f xml:space="preserve"> SUM( tblFilterRP_Type[[#This Row],[Incl. for traditional]], tblFilterRP_Type[[#This Row],[Incl. for LSVT]] )</f>
        <v>1</v>
      </c>
      <c r="I811" s="132" cm="1">
        <f t="array" ref="I811" xml:space="preserve"> INDEX( VfM_Metrics_2023_Consol_Source[], $D811, I$622 )</f>
        <v>0</v>
      </c>
      <c r="J811" s="29" t="str" cm="1">
        <f t="array" ref="J811" xml:space="preserve"> INDEX( VfM_Metrics_2023_Consol_Source[], $D811, J$622 )</f>
        <v>&gt;= 12 years</v>
      </c>
    </row>
    <row r="812" spans="2:10" x14ac:dyDescent="0.2">
      <c r="B812" s="122" t="str" vm="189">
        <f t="shared" ref="B812:D812" si="285" xml:space="preserve"> B610</f>
        <v>Watmos Community Homes</v>
      </c>
      <c r="C812" s="122" t="str" vm="307">
        <f t="shared" si="285"/>
        <v>L4383</v>
      </c>
      <c r="D812" s="81">
        <f t="shared" si="285"/>
        <v>189</v>
      </c>
      <c r="E812" s="29" t="str" cm="1">
        <f t="array" ref="E812" xml:space="preserve"> INDEX( VfM_Metrics_2023_Consol_Source[], $D812, E$622 )</f>
        <v>Traditional</v>
      </c>
      <c r="F812" s="23">
        <f xml:space="preserve"> -- AND( tblFilterRP_Type[[#This Row],[Provider Type]] = "Traditional", RP_TypeTrad = "Yes" )</f>
        <v>1</v>
      </c>
      <c r="G812" s="23">
        <f xml:space="preserve"> -- AND( tblFilterRP_Type[[#This Row],[Provider Type]] = "LSVT", RP_TypeLSVT = "Yes" )</f>
        <v>0</v>
      </c>
      <c r="H812" s="24">
        <f xml:space="preserve"> SUM( tblFilterRP_Type[[#This Row],[Incl. for traditional]], tblFilterRP_Type[[#This Row],[Incl. for LSVT]] )</f>
        <v>1</v>
      </c>
      <c r="I812" s="132" cm="1">
        <f t="array" ref="I812" xml:space="preserve"> INDEX( VfM_Metrics_2023_Consol_Source[], $D812, I$622 )</f>
        <v>0</v>
      </c>
      <c r="J812" s="29" t="str" cm="1">
        <f t="array" ref="J812" xml:space="preserve"> INDEX( VfM_Metrics_2023_Consol_Source[], $D812, J$622 )</f>
        <v>&gt;= 12 years</v>
      </c>
    </row>
    <row r="813" spans="2:10" x14ac:dyDescent="0.2">
      <c r="B813" s="122" t="str" vm="190">
        <f t="shared" ref="B813:D813" si="286" xml:space="preserve"> B611</f>
        <v>Weaver Vale Housing Trust Limited</v>
      </c>
      <c r="C813" s="122" t="str" vm="372">
        <f t="shared" si="286"/>
        <v>L4341</v>
      </c>
      <c r="D813" s="81">
        <f t="shared" si="286"/>
        <v>190</v>
      </c>
      <c r="E813" s="29" t="str" cm="1">
        <f t="array" ref="E813" xml:space="preserve"> INDEX( VfM_Metrics_2023_Consol_Source[], $D813, E$622 )</f>
        <v>Traditional</v>
      </c>
      <c r="F813" s="23">
        <f xml:space="preserve"> -- AND( tblFilterRP_Type[[#This Row],[Provider Type]] = "Traditional", RP_TypeTrad = "Yes" )</f>
        <v>1</v>
      </c>
      <c r="G813" s="23">
        <f xml:space="preserve"> -- AND( tblFilterRP_Type[[#This Row],[Provider Type]] = "LSVT", RP_TypeLSVT = "Yes" )</f>
        <v>0</v>
      </c>
      <c r="H813" s="24">
        <f xml:space="preserve"> SUM( tblFilterRP_Type[[#This Row],[Incl. for traditional]], tblFilterRP_Type[[#This Row],[Incl. for LSVT]] )</f>
        <v>1</v>
      </c>
      <c r="I813" s="132" cm="1">
        <f t="array" ref="I813" xml:space="preserve"> INDEX( VfM_Metrics_2023_Consol_Source[], $D813, I$622 )</f>
        <v>0</v>
      </c>
      <c r="J813" s="29" t="str" cm="1">
        <f t="array" ref="J813" xml:space="preserve"> INDEX( VfM_Metrics_2023_Consol_Source[], $D813, J$622 )</f>
        <v>&gt;= 12 years</v>
      </c>
    </row>
    <row r="814" spans="2:10" x14ac:dyDescent="0.2">
      <c r="B814" s="122" t="str" vm="191">
        <f t="shared" ref="B814:D814" si="287" xml:space="preserve"> B612</f>
        <v>West Kent Housing Association</v>
      </c>
      <c r="C814" s="122" t="str" vm="352">
        <f t="shared" si="287"/>
        <v>LH3827</v>
      </c>
      <c r="D814" s="81">
        <f t="shared" si="287"/>
        <v>191</v>
      </c>
      <c r="E814" s="29" t="str" cm="1">
        <f t="array" ref="E814" xml:space="preserve"> INDEX( VfM_Metrics_2023_Consol_Source[], $D814, E$622 )</f>
        <v>Traditional</v>
      </c>
      <c r="F814" s="23">
        <f xml:space="preserve"> -- AND( tblFilterRP_Type[[#This Row],[Provider Type]] = "Traditional", RP_TypeTrad = "Yes" )</f>
        <v>1</v>
      </c>
      <c r="G814" s="23">
        <f xml:space="preserve"> -- AND( tblFilterRP_Type[[#This Row],[Provider Type]] = "LSVT", RP_TypeLSVT = "Yes" )</f>
        <v>0</v>
      </c>
      <c r="H814" s="24">
        <f xml:space="preserve"> SUM( tblFilterRP_Type[[#This Row],[Incl. for traditional]], tblFilterRP_Type[[#This Row],[Incl. for LSVT]] )</f>
        <v>1</v>
      </c>
      <c r="I814" s="132" cm="1">
        <f t="array" ref="I814" xml:space="preserve"> INDEX( VfM_Metrics_2023_Consol_Source[], $D814, I$622 )</f>
        <v>0</v>
      </c>
      <c r="J814" s="29" t="str" cm="1">
        <f t="array" ref="J814" xml:space="preserve"> INDEX( VfM_Metrics_2023_Consol_Source[], $D814, J$622 )</f>
        <v>&gt;= 12 years</v>
      </c>
    </row>
    <row r="815" spans="2:10" x14ac:dyDescent="0.2">
      <c r="B815" s="122" t="str" vm="192">
        <f t="shared" ref="B815:D815" si="288" xml:space="preserve"> B613</f>
        <v>Westward Housing Group Limited</v>
      </c>
      <c r="C815" s="122" t="str" vm="379">
        <f t="shared" si="288"/>
        <v>4826</v>
      </c>
      <c r="D815" s="81">
        <f t="shared" si="288"/>
        <v>192</v>
      </c>
      <c r="E815" s="29" t="str" cm="1">
        <f t="array" ref="E815" xml:space="preserve"> INDEX( VfM_Metrics_2023_Consol_Source[], $D815, E$622 )</f>
        <v>Traditional</v>
      </c>
      <c r="F815" s="23">
        <f xml:space="preserve"> -- AND( tblFilterRP_Type[[#This Row],[Provider Type]] = "Traditional", RP_TypeTrad = "Yes" )</f>
        <v>1</v>
      </c>
      <c r="G815" s="23">
        <f xml:space="preserve"> -- AND( tblFilterRP_Type[[#This Row],[Provider Type]] = "LSVT", RP_TypeLSVT = "Yes" )</f>
        <v>0</v>
      </c>
      <c r="H815" s="24">
        <f xml:space="preserve"> SUM( tblFilterRP_Type[[#This Row],[Incl. for traditional]], tblFilterRP_Type[[#This Row],[Incl. for LSVT]] )</f>
        <v>1</v>
      </c>
      <c r="I815" s="132" t="str" cm="1">
        <f t="array" ref="I815" xml:space="preserve"> INDEX( VfM_Metrics_2023_Consol_Source[], $D815, I$622 )</f>
        <v/>
      </c>
      <c r="J815" s="29" cm="1">
        <f t="array" ref="J815" xml:space="preserve"> INDEX( VfM_Metrics_2023_Consol_Source[], $D815, J$622 )</f>
        <v>0</v>
      </c>
    </row>
    <row r="816" spans="2:10" x14ac:dyDescent="0.2">
      <c r="B816" s="122" t="str" vm="193">
        <f t="shared" ref="B816:D816" si="289" xml:space="preserve"> B614</f>
        <v>Willow Tree Housing Partnership Limited</v>
      </c>
      <c r="C816" s="122" t="str" vm="222">
        <f t="shared" si="289"/>
        <v>L2424</v>
      </c>
      <c r="D816" s="81">
        <f t="shared" si="289"/>
        <v>193</v>
      </c>
      <c r="E816" s="29" t="str" cm="1">
        <f t="array" ref="E816" xml:space="preserve"> INDEX( VfM_Metrics_2023_Consol_Source[], $D816, E$622 )</f>
        <v>Traditional</v>
      </c>
      <c r="F816" s="23">
        <f xml:space="preserve"> -- AND( tblFilterRP_Type[[#This Row],[Provider Type]] = "Traditional", RP_TypeTrad = "Yes" )</f>
        <v>1</v>
      </c>
      <c r="G816" s="23">
        <f xml:space="preserve"> -- AND( tblFilterRP_Type[[#This Row],[Provider Type]] = "LSVT", RP_TypeLSVT = "Yes" )</f>
        <v>0</v>
      </c>
      <c r="H816" s="24">
        <f xml:space="preserve"> SUM( tblFilterRP_Type[[#This Row],[Incl. for traditional]], tblFilterRP_Type[[#This Row],[Incl. for LSVT]] )</f>
        <v>1</v>
      </c>
      <c r="I816" s="132" t="str" cm="1">
        <f t="array" ref="I816" xml:space="preserve"> INDEX( VfM_Metrics_2023_Consol_Source[], $D816, I$622 )</f>
        <v/>
      </c>
      <c r="J816" s="29" cm="1">
        <f t="array" ref="J816" xml:space="preserve"> INDEX( VfM_Metrics_2023_Consol_Source[], $D816, J$622 )</f>
        <v>0</v>
      </c>
    </row>
    <row r="817" spans="2:55" x14ac:dyDescent="0.2">
      <c r="B817" s="122" t="str" vm="194">
        <f t="shared" ref="B817:D817" si="290" xml:space="preserve"> B615</f>
        <v>Worthing Homes Limited</v>
      </c>
      <c r="C817" s="122" t="str" vm="332">
        <f t="shared" si="290"/>
        <v>LH4208</v>
      </c>
      <c r="D817" s="81">
        <f t="shared" si="290"/>
        <v>194</v>
      </c>
      <c r="E817" s="29" t="str" cm="1">
        <f t="array" ref="E817" xml:space="preserve"> INDEX( VfM_Metrics_2023_Consol_Source[], $D817, E$622 )</f>
        <v>Traditional</v>
      </c>
      <c r="F817" s="23">
        <f xml:space="preserve"> -- AND( tblFilterRP_Type[[#This Row],[Provider Type]] = "Traditional", RP_TypeTrad = "Yes" )</f>
        <v>1</v>
      </c>
      <c r="G817" s="23">
        <f xml:space="preserve"> -- AND( tblFilterRP_Type[[#This Row],[Provider Type]] = "LSVT", RP_TypeLSVT = "Yes" )</f>
        <v>0</v>
      </c>
      <c r="H817" s="24">
        <f xml:space="preserve"> SUM( tblFilterRP_Type[[#This Row],[Incl. for traditional]], tblFilterRP_Type[[#This Row],[Incl. for LSVT]] )</f>
        <v>1</v>
      </c>
      <c r="I817" s="132" cm="1">
        <f t="array" ref="I817" xml:space="preserve"> INDEX( VfM_Metrics_2023_Consol_Source[], $D817, I$622 )</f>
        <v>0</v>
      </c>
      <c r="J817" s="29" t="str" cm="1">
        <f t="array" ref="J817" xml:space="preserve"> INDEX( VfM_Metrics_2023_Consol_Source[], $D817, J$622 )</f>
        <v>&gt;= 12 years</v>
      </c>
    </row>
    <row r="818" spans="2:55" x14ac:dyDescent="0.2">
      <c r="B818" s="122" t="str" vm="195">
        <f t="shared" ref="B818:D818" si="291" xml:space="preserve"> B616</f>
        <v>Wythenshawe Community Housing Group Limited</v>
      </c>
      <c r="C818" s="122" t="str" vm="280">
        <f t="shared" si="291"/>
        <v>L4219</v>
      </c>
      <c r="D818" s="81">
        <f t="shared" si="291"/>
        <v>195</v>
      </c>
      <c r="E818" s="29" t="str" cm="1">
        <f t="array" ref="E818" xml:space="preserve"> INDEX( VfM_Metrics_2023_Consol_Source[], $D818, E$622 )</f>
        <v>Traditional</v>
      </c>
      <c r="F818" s="23">
        <f xml:space="preserve"> -- AND( tblFilterRP_Type[[#This Row],[Provider Type]] = "Traditional", RP_TypeTrad = "Yes" )</f>
        <v>1</v>
      </c>
      <c r="G818" s="23">
        <f xml:space="preserve"> -- AND( tblFilterRP_Type[[#This Row],[Provider Type]] = "LSVT", RP_TypeLSVT = "Yes" )</f>
        <v>0</v>
      </c>
      <c r="H818" s="24">
        <f xml:space="preserve"> SUM( tblFilterRP_Type[[#This Row],[Incl. for traditional]], tblFilterRP_Type[[#This Row],[Incl. for LSVT]] )</f>
        <v>1</v>
      </c>
      <c r="I818" s="132" cm="1">
        <f t="array" ref="I818" xml:space="preserve"> INDEX( VfM_Metrics_2023_Consol_Source[], $D818, I$622 )</f>
        <v>0</v>
      </c>
      <c r="J818" s="29" t="str" cm="1">
        <f t="array" ref="J818" xml:space="preserve"> INDEX( VfM_Metrics_2023_Consol_Source[], $D818, J$622 )</f>
        <v>&gt;= 12 years</v>
      </c>
    </row>
    <row r="819" spans="2:55" x14ac:dyDescent="0.2">
      <c r="B819" s="122" t="str" vm="196">
        <f t="shared" ref="B819:D819" si="292" xml:space="preserve"> B617</f>
        <v>YMCA St Paul's Group</v>
      </c>
      <c r="C819" s="122" t="str" vm="205">
        <f t="shared" si="292"/>
        <v>LH4078</v>
      </c>
      <c r="D819" s="81">
        <f t="shared" si="292"/>
        <v>196</v>
      </c>
      <c r="E819" s="29" t="str" cm="1">
        <f t="array" ref="E819" xml:space="preserve"> INDEX( VfM_Metrics_2023_Consol_Source[], $D819, E$622 )</f>
        <v>Traditional</v>
      </c>
      <c r="F819" s="23">
        <f xml:space="preserve"> -- AND( tblFilterRP_Type[[#This Row],[Provider Type]] = "Traditional", RP_TypeTrad = "Yes" )</f>
        <v>1</v>
      </c>
      <c r="G819" s="23">
        <f xml:space="preserve"> -- AND( tblFilterRP_Type[[#This Row],[Provider Type]] = "LSVT", RP_TypeLSVT = "Yes" )</f>
        <v>0</v>
      </c>
      <c r="H819" s="24">
        <f xml:space="preserve"> SUM( tblFilterRP_Type[[#This Row],[Incl. for traditional]], tblFilterRP_Type[[#This Row],[Incl. for LSVT]] )</f>
        <v>1</v>
      </c>
      <c r="I819" s="132" t="str" cm="1">
        <f t="array" ref="I819" xml:space="preserve"> INDEX( VfM_Metrics_2023_Consol_Source[], $D819, I$622 )</f>
        <v/>
      </c>
      <c r="J819" s="29" cm="1">
        <f t="array" ref="J819" xml:space="preserve"> INDEX( VfM_Metrics_2023_Consol_Source[], $D819, J$622 )</f>
        <v>0</v>
      </c>
    </row>
    <row r="820" spans="2:55" x14ac:dyDescent="0.2">
      <c r="B820" s="122" t="str" vm="197">
        <f t="shared" ref="B820:D820" si="293" xml:space="preserve"> B618</f>
        <v>Yorkshire Housing Limited</v>
      </c>
      <c r="C820" s="122" t="str" vm="281">
        <f t="shared" si="293"/>
        <v>L4521</v>
      </c>
      <c r="D820" s="81">
        <f t="shared" si="293"/>
        <v>197</v>
      </c>
      <c r="E820" s="29" t="str" cm="1">
        <f t="array" ref="E820" xml:space="preserve"> INDEX( VfM_Metrics_2023_Consol_Source[], $D820, E$622 )</f>
        <v>Traditional</v>
      </c>
      <c r="F820" s="23">
        <f xml:space="preserve"> -- AND( tblFilterRP_Type[[#This Row],[Provider Type]] = "Traditional", RP_TypeTrad = "Yes" )</f>
        <v>1</v>
      </c>
      <c r="G820" s="23">
        <f xml:space="preserve"> -- AND( tblFilterRP_Type[[#This Row],[Provider Type]] = "LSVT", RP_TypeLSVT = "Yes" )</f>
        <v>0</v>
      </c>
      <c r="H820" s="24">
        <f xml:space="preserve"> SUM( tblFilterRP_Type[[#This Row],[Incl. for traditional]], tblFilterRP_Type[[#This Row],[Incl. for LSVT]] )</f>
        <v>1</v>
      </c>
      <c r="I820" s="132" t="str" cm="1">
        <f t="array" ref="I820" xml:space="preserve"> INDEX( VfM_Metrics_2023_Consol_Source[], $D820, I$622 )</f>
        <v/>
      </c>
      <c r="J820" s="29" cm="1">
        <f t="array" ref="J820" xml:space="preserve"> INDEX( VfM_Metrics_2023_Consol_Source[], $D820, J$622 )</f>
        <v>0</v>
      </c>
      <c r="K820" s="38"/>
    </row>
    <row r="821" spans="2:55" x14ac:dyDescent="0.2">
      <c r="B821" s="122" t="str" vm="198">
        <f t="shared" ref="B821:D821" si="294" xml:space="preserve"> B619</f>
        <v>Your Housing Group Limited</v>
      </c>
      <c r="C821" s="122" t="str" vm="336">
        <f t="shared" si="294"/>
        <v>L4203</v>
      </c>
      <c r="D821" s="81">
        <f t="shared" si="294"/>
        <v>198</v>
      </c>
      <c r="E821" s="29" t="str" cm="1">
        <f t="array" ref="E821" xml:space="preserve"> INDEX( VfM_Metrics_2023_Consol_Source[], $D821, E$622 )</f>
        <v>Traditional</v>
      </c>
      <c r="F821" s="23">
        <f xml:space="preserve"> -- AND( tblFilterRP_Type[[#This Row],[Provider Type]] = "Traditional", RP_TypeTrad = "Yes" )</f>
        <v>1</v>
      </c>
      <c r="G821" s="23">
        <f xml:space="preserve"> -- AND( tblFilterRP_Type[[#This Row],[Provider Type]] = "LSVT", RP_TypeLSVT = "Yes" )</f>
        <v>0</v>
      </c>
      <c r="H821" s="24">
        <f xml:space="preserve"> SUM( tblFilterRP_Type[[#This Row],[Incl. for traditional]], tblFilterRP_Type[[#This Row],[Incl. for LSVT]] )</f>
        <v>1</v>
      </c>
      <c r="I821" s="132" t="str" cm="1">
        <f t="array" ref="I821" xml:space="preserve"> INDEX( VfM_Metrics_2023_Consol_Source[], $D821, I$622 )</f>
        <v/>
      </c>
      <c r="J821" s="29" cm="1">
        <f t="array" ref="J821" xml:space="preserve"> INDEX( VfM_Metrics_2023_Consol_Source[], $D821, J$622 )</f>
        <v>0</v>
      </c>
      <c r="K821" s="38"/>
    </row>
    <row r="823" spans="2:55" s="36" customFormat="1" ht="49.5" customHeight="1" x14ac:dyDescent="0.2">
      <c r="D823" s="37" t="str">
        <f>tblFilterAll[[#Headers],[Reinvestment]]</f>
        <v>Reinvestment</v>
      </c>
      <c r="E823" s="41" t="s">
        <v>702</v>
      </c>
      <c r="F823" s="37"/>
      <c r="G823" s="37" t="str">
        <f>tblFilterAll[[#Headers],[New Supply (Social)]]</f>
        <v>New Supply (Social)</v>
      </c>
      <c r="H823" s="41" t="str">
        <f t="shared" ref="H823:H828" si="295" xml:space="preserve"> E823</f>
        <v>k</v>
      </c>
      <c r="I823" s="37"/>
      <c r="J823" s="37" t="str">
        <f>tblFilterAll[[#Headers],[New Supply (Non-Social)]]</f>
        <v>New Supply (Non-Social)</v>
      </c>
      <c r="K823" s="41" t="str">
        <f t="shared" ref="K823:K828" si="296" xml:space="preserve"> H823</f>
        <v>k</v>
      </c>
      <c r="L823" s="37"/>
      <c r="M823" s="37" t="str">
        <f>tblFilterAll[[#Headers],[Gearing]]</f>
        <v>Gearing</v>
      </c>
      <c r="N823" s="41" t="str">
        <f t="shared" ref="N823:N828" si="297" xml:space="preserve"> K823</f>
        <v>k</v>
      </c>
      <c r="O823" s="37"/>
      <c r="P823" s="37" t="str">
        <f>tblFilterAll[[#Headers],[EBITDA MRI Interest Cover]]</f>
        <v>EBITDA MRI Interest Cover</v>
      </c>
      <c r="Q823" s="41" t="str">
        <f t="shared" ref="Q823:Q828" si="298" xml:space="preserve"> N823</f>
        <v>k</v>
      </c>
      <c r="R823" s="37"/>
      <c r="S823" s="37" t="str">
        <f>tblFilterAll[[#Headers],[Headline Social Housing Cost per unit]]</f>
        <v>Headline Social Housing Cost per unit</v>
      </c>
      <c r="T823" s="41" t="str">
        <f t="shared" ref="T823:T828" si="299" xml:space="preserve"> Q823</f>
        <v>k</v>
      </c>
      <c r="U823" s="37"/>
      <c r="V823" s="37" t="str">
        <f>tblFilterAll[[#Headers],[Operating Margin (SHL)]]</f>
        <v>Operating Margin (SHL)</v>
      </c>
      <c r="W823" s="41" t="str">
        <f t="shared" ref="W823:W828" si="300" xml:space="preserve"> T823</f>
        <v>k</v>
      </c>
      <c r="X823" s="37"/>
      <c r="Y823" s="37" t="str">
        <f>tblFilterAll[[#Headers],[Operating Margin (Overall)]]</f>
        <v>Operating Margin (Overall)</v>
      </c>
      <c r="Z823" s="41" t="str">
        <f t="shared" ref="Z823:Z828" si="301" xml:space="preserve"> W823</f>
        <v>k</v>
      </c>
      <c r="AA823" s="37"/>
      <c r="AB823" s="37" t="str">
        <f>tblFilterAll[[#Headers],[ROCE]]</f>
        <v>ROCE</v>
      </c>
      <c r="AC823" s="41" t="str">
        <f t="shared" ref="AC823:AC828" si="302" xml:space="preserve"> Z823</f>
        <v>k</v>
      </c>
      <c r="AD823" s="37"/>
    </row>
    <row r="824" spans="2:55" s="11" customFormat="1" x14ac:dyDescent="0.25">
      <c r="C824" s="11" t="s">
        <v>696</v>
      </c>
      <c r="D824" s="38" cm="1">
        <f t="array" ref="D824">_xlfn.PERCENTILE.INC( IF( tblFilterAll[Include in output] = 1, tblFilterAll[Reinvestment] ), E824 )</f>
        <v>7.7051904551709814E-3</v>
      </c>
      <c r="E824" s="42">
        <v>0</v>
      </c>
      <c r="F824" s="38"/>
      <c r="G824" s="38" cm="1">
        <f t="array" ref="G824">_xlfn.PERCENTILE.INC( IF( tblFilterAll[Include in output] = 1, tblFilterAll[New Supply (Social)] ), H824 )</f>
        <v>0</v>
      </c>
      <c r="H824" s="42">
        <f t="shared" si="295"/>
        <v>0</v>
      </c>
      <c r="I824" s="38"/>
      <c r="J824" s="38" cm="1">
        <f t="array" ref="J824">_xlfn.PERCENTILE.INC( IF( tblFilterAll[Include in output] = 1, tblFilterAll[New Supply (Non-Social)] ), K824 )</f>
        <v>0</v>
      </c>
      <c r="K824" s="42">
        <f t="shared" si="296"/>
        <v>0</v>
      </c>
      <c r="L824" s="38"/>
      <c r="M824" s="38" cm="1">
        <f t="array" ref="M824">_xlfn.PERCENTILE.INC( IF( tblFilterAll[Include in output] = 1, tblFilterAll[Gearing] ), N824 )</f>
        <v>-7.2028318584070794</v>
      </c>
      <c r="N824" s="42">
        <f t="shared" si="297"/>
        <v>0</v>
      </c>
      <c r="O824" s="38"/>
      <c r="P824" s="38" cm="1">
        <f t="array" ref="P824">_xlfn.PERCENTILE.INC( IF( tblFilterAll[Include in output] = 1, tblFilterAll[EBITDA MRI Interest Cover] ), Q824 )</f>
        <v>-37.990521327014221</v>
      </c>
      <c r="Q824" s="42">
        <f t="shared" si="298"/>
        <v>0</v>
      </c>
      <c r="R824" s="39"/>
      <c r="S824" s="39" cm="1">
        <f t="array" ref="S824">_xlfn.PERCENTILE.INC( IF( tblFilterAll[Include in output] = 1, tblFilterAll[Headline Social Housing Cost per unit] ), T824 )</f>
        <v>3014.1409877585479</v>
      </c>
      <c r="T824" s="42">
        <f t="shared" si="299"/>
        <v>0</v>
      </c>
      <c r="U824" s="38"/>
      <c r="V824" s="38" cm="1">
        <f t="array" ref="V824">_xlfn.PERCENTILE.INC( IF( tblFilterAll[Include in output] = 1, tblFilterAll[Operating Margin (SHL)] ), W824 )</f>
        <v>-0.29085527340707273</v>
      </c>
      <c r="W824" s="42">
        <f t="shared" si="300"/>
        <v>0</v>
      </c>
      <c r="X824" s="38"/>
      <c r="Y824" s="38" cm="1">
        <f t="array" ref="Y824">_xlfn.PERCENTILE.INC( IF( tblFilterAll[Include in output] = 1, tblFilterAll[Operating Margin (Overall)] ), Z824 )</f>
        <v>-0.29303696983442956</v>
      </c>
      <c r="Z824" s="42">
        <f t="shared" si="301"/>
        <v>0</v>
      </c>
      <c r="AA824" s="38"/>
      <c r="AB824" s="38" cm="1">
        <f t="array" ref="AB824">_xlfn.PERCENTILE.INC( IF( tblFilterAll[Include in output] = 1, tblFilterAll[ROCE] ), AC824 )</f>
        <v>-5.6700406085217286E-2</v>
      </c>
      <c r="AC824" s="42">
        <f t="shared" si="302"/>
        <v>0</v>
      </c>
      <c r="AD824" s="38"/>
    </row>
    <row r="825" spans="2:55" s="11" customFormat="1" x14ac:dyDescent="0.25">
      <c r="C825" s="11" t="s">
        <v>703</v>
      </c>
      <c r="D825" s="38" cm="1">
        <f t="array" ref="D825">_xlfn.PERCENTILE.EXC( IF( tblFilterAll[Include in output] = 1, tblFilterAll[Reinvestment] ), E825 )</f>
        <v>4.3348249552847322E-2</v>
      </c>
      <c r="E825" s="42">
        <f xml:space="preserve"> E824 + 0.25</f>
        <v>0.25</v>
      </c>
      <c r="F825" s="38"/>
      <c r="G825" s="38" cm="1">
        <f t="array" ref="G825">_xlfn.PERCENTILE.EXC( IF( tblFilterAll[Include in output] = 1, tblFilterAll[New Supply (Social)] ), H825 )</f>
        <v>6.3419916693361637E-3</v>
      </c>
      <c r="H825" s="42">
        <f t="shared" si="295"/>
        <v>0.25</v>
      </c>
      <c r="I825" s="38"/>
      <c r="J825" s="38" cm="1">
        <f t="array" ref="J825">_xlfn.PERCENTILE.EXC( IF( tblFilterAll[Include in output] = 1, tblFilterAll[New Supply (Non-Social)] ), K825 )</f>
        <v>0</v>
      </c>
      <c r="K825" s="42">
        <f t="shared" si="296"/>
        <v>0.25</v>
      </c>
      <c r="L825" s="38"/>
      <c r="M825" s="38" cm="1">
        <f t="array" ref="M825">_xlfn.PERCENTILE.EXC( IF( tblFilterAll[Include in output] = 1, tblFilterAll[Gearing] ), N825 )</f>
        <v>0.33376859919726637</v>
      </c>
      <c r="N825" s="42">
        <f t="shared" si="297"/>
        <v>0.25</v>
      </c>
      <c r="O825" s="38"/>
      <c r="P825" s="38" cm="1">
        <f t="array" ref="P825">_xlfn.PERCENTILE.EXC( IF( tblFilterAll[Include in output] = 1, tblFilterAll[EBITDA MRI Interest Cover] ), Q825 )</f>
        <v>0.88699522285829968</v>
      </c>
      <c r="Q825" s="42">
        <f t="shared" si="298"/>
        <v>0.25</v>
      </c>
      <c r="R825" s="39"/>
      <c r="S825" s="39" cm="1">
        <f t="array" ref="S825">_xlfn.PERCENTILE.EXC( IF( tblFilterAll[Include in output] = 1, tblFilterAll[Headline Social Housing Cost per unit] ), T825 )</f>
        <v>4081.9535677606673</v>
      </c>
      <c r="T825" s="42">
        <f t="shared" si="299"/>
        <v>0.25</v>
      </c>
      <c r="U825" s="38"/>
      <c r="V825" s="38" cm="1">
        <f t="array" ref="V825">_xlfn.PERCENTILE.EXC( IF( tblFilterAll[Include in output] = 1, tblFilterAll[Operating Margin (SHL)] ), W825 )</f>
        <v>0.14418824249898199</v>
      </c>
      <c r="W825" s="42">
        <f t="shared" si="300"/>
        <v>0.25</v>
      </c>
      <c r="X825" s="38"/>
      <c r="Y825" s="38" cm="1">
        <f t="array" ref="Y825">_xlfn.PERCENTILE.EXC( IF( tblFilterAll[Include in output] = 1, tblFilterAll[Operating Margin (Overall)] ), Z825 )</f>
        <v>0.12020343356217647</v>
      </c>
      <c r="Z825" s="42">
        <f t="shared" si="301"/>
        <v>0.25</v>
      </c>
      <c r="AA825" s="38"/>
      <c r="AB825" s="38" cm="1">
        <f t="array" ref="AB825">_xlfn.PERCENTILE.EXC( IF( tblFilterAll[Include in output] = 1, tblFilterAll[ROCE] ), AC825 )</f>
        <v>2.1916347917711472E-2</v>
      </c>
      <c r="AC825" s="42">
        <f t="shared" si="302"/>
        <v>0.25</v>
      </c>
      <c r="AD825" s="38"/>
    </row>
    <row r="826" spans="2:55" s="11" customFormat="1" x14ac:dyDescent="0.25">
      <c r="C826" s="40" t="s">
        <v>704</v>
      </c>
      <c r="D826" s="38" cm="1">
        <f t="array" ref="D826">_xlfn.PERCENTILE.INC( IF( tblFilterAll[Include in output] = 1, tblFilterAll[Reinvestment] ), E826 )</f>
        <v>6.7325251006994574E-2</v>
      </c>
      <c r="E826" s="42">
        <f t="shared" ref="E826:E828" si="303" xml:space="preserve"> E825 + 0.25</f>
        <v>0.5</v>
      </c>
      <c r="F826" s="38"/>
      <c r="G826" s="38" cm="1">
        <f t="array" ref="G826">_xlfn.PERCENTILE.INC( IF( tblFilterAll[Include in output] = 1, tblFilterAll[New Supply (Social)] ), H826 )</f>
        <v>1.2784126424634119E-2</v>
      </c>
      <c r="H826" s="42">
        <f t="shared" si="295"/>
        <v>0.5</v>
      </c>
      <c r="I826" s="38"/>
      <c r="J826" s="38" cm="1">
        <f t="array" ref="J826">_xlfn.PERCENTILE.INC( IF( tblFilterAll[Include in output] = 1, tblFilterAll[New Supply (Non-Social)] ), K826 )</f>
        <v>0</v>
      </c>
      <c r="K826" s="42">
        <f t="shared" si="296"/>
        <v>0.5</v>
      </c>
      <c r="L826" s="38"/>
      <c r="M826" s="38" cm="1">
        <f t="array" ref="M826">_xlfn.PERCENTILE.INC( IF( tblFilterAll[Include in output] = 1, tblFilterAll[Gearing] ), N826 )</f>
        <v>0.45280022097921413</v>
      </c>
      <c r="N826" s="42">
        <f t="shared" si="297"/>
        <v>0.5</v>
      </c>
      <c r="O826" s="38"/>
      <c r="P826" s="38" cm="1">
        <f t="array" ref="P826">_xlfn.PERCENTILE.INC( IF( tblFilterAll[Include in output] = 1, tblFilterAll[EBITDA MRI Interest Cover] ), Q826 )</f>
        <v>1.2839864739320244</v>
      </c>
      <c r="Q826" s="42">
        <f t="shared" si="298"/>
        <v>0.5</v>
      </c>
      <c r="R826" s="39"/>
      <c r="S826" s="39" cm="1">
        <f t="array" ref="S826">_xlfn.PERCENTILE.INC( IF( tblFilterAll[Include in output] = 1, tblFilterAll[Headline Social Housing Cost per unit] ), T826 )</f>
        <v>4585.8213755163106</v>
      </c>
      <c r="T826" s="42">
        <f t="shared" si="299"/>
        <v>0.5</v>
      </c>
      <c r="U826" s="38"/>
      <c r="V826" s="38" cm="1">
        <f t="array" ref="V826">_xlfn.PERCENTILE.INC( IF( tblFilterAll[Include in output] = 1, tblFilterAll[Operating Margin (SHL)] ), W826 )</f>
        <v>0.19779745009397015</v>
      </c>
      <c r="W826" s="42">
        <f t="shared" si="300"/>
        <v>0.5</v>
      </c>
      <c r="X826" s="38"/>
      <c r="Y826" s="38" cm="1">
        <f t="array" ref="Y826">_xlfn.PERCENTILE.INC( IF( tblFilterAll[Include in output] = 1, tblFilterAll[Operating Margin (Overall)] ), Z826 )</f>
        <v>0.18200361890025568</v>
      </c>
      <c r="Z826" s="42">
        <f t="shared" si="301"/>
        <v>0.5</v>
      </c>
      <c r="AA826" s="38"/>
      <c r="AB826" s="38" cm="1">
        <f t="array" ref="AB826">_xlfn.PERCENTILE.INC( IF( tblFilterAll[Include in output] = 1, tblFilterAll[ROCE] ), AC826 )</f>
        <v>2.8402087807861236E-2</v>
      </c>
      <c r="AC826" s="42">
        <f t="shared" si="302"/>
        <v>0.5</v>
      </c>
      <c r="AD826" s="38"/>
    </row>
    <row r="827" spans="2:55" s="11" customFormat="1" ht="12" customHeight="1" x14ac:dyDescent="0.25">
      <c r="C827" s="11" t="s">
        <v>705</v>
      </c>
      <c r="D827" s="38" cm="1">
        <f t="array" ref="D827">_xlfn.PERCENTILE.EXC( IF( tblFilterAll[Include in output] = 1, tblFilterAll[Reinvestment] ), E827 )</f>
        <v>9.3726424724453819E-2</v>
      </c>
      <c r="E827" s="42">
        <f t="shared" si="303"/>
        <v>0.75</v>
      </c>
      <c r="F827" s="38"/>
      <c r="G827" s="38" cm="1">
        <f t="array" ref="G827">_xlfn.PERCENTILE.EXC( IF( tblFilterAll[Include in output] = 1, tblFilterAll[New Supply (Social)] ), H827 )</f>
        <v>2.2335343873529385E-2</v>
      </c>
      <c r="H827" s="42">
        <f t="shared" si="295"/>
        <v>0.75</v>
      </c>
      <c r="I827" s="38"/>
      <c r="J827" s="38" cm="1">
        <f t="array" ref="J827">_xlfn.PERCENTILE.EXC( IF( tblFilterAll[Include in output] = 1, tblFilterAll[New Supply (Non-Social)] ), K827 )</f>
        <v>7.6979812587672368E-4</v>
      </c>
      <c r="K827" s="42">
        <f t="shared" si="296"/>
        <v>0.75</v>
      </c>
      <c r="L827" s="38"/>
      <c r="M827" s="38" cm="1">
        <f t="array" ref="M827">_xlfn.PERCENTILE.EXC( IF( tblFilterAll[Include in output] = 1, tblFilterAll[Gearing] ), N827 )</f>
        <v>0.53745237267202894</v>
      </c>
      <c r="N827" s="42">
        <f t="shared" si="297"/>
        <v>0.75</v>
      </c>
      <c r="O827" s="38"/>
      <c r="P827" s="38" cm="1">
        <f t="array" ref="P827">_xlfn.PERCENTILE.EXC( IF( tblFilterAll[Include in output] = 1, tblFilterAll[EBITDA MRI Interest Cover] ), Q827 )</f>
        <v>1.6934675672312474</v>
      </c>
      <c r="Q827" s="42">
        <f t="shared" si="298"/>
        <v>0.75</v>
      </c>
      <c r="R827" s="39"/>
      <c r="S827" s="39" cm="1">
        <f t="array" ref="S827">_xlfn.PERCENTILE.EXC( IF( tblFilterAll[Include in output] = 1, tblFilterAll[Headline Social Housing Cost per unit] ), T827 )</f>
        <v>5847.4499311948121</v>
      </c>
      <c r="T827" s="42">
        <f t="shared" si="299"/>
        <v>0.75</v>
      </c>
      <c r="U827" s="38"/>
      <c r="V827" s="38" cm="1">
        <f t="array" ref="V827">_xlfn.PERCENTILE.EXC( IF( tblFilterAll[Include in output] = 1, tblFilterAll[Operating Margin (SHL)] ), W827 )</f>
        <v>0.25468515235305322</v>
      </c>
      <c r="W827" s="42">
        <f t="shared" si="300"/>
        <v>0.75</v>
      </c>
      <c r="X827" s="38"/>
      <c r="Y827" s="38" cm="1">
        <f t="array" ref="Y827">_xlfn.PERCENTILE.EXC( IF( tblFilterAll[Include in output] = 1, tblFilterAll[Operating Margin (Overall)] ), Z827 )</f>
        <v>0.23020812852119121</v>
      </c>
      <c r="Z827" s="42">
        <f t="shared" si="301"/>
        <v>0.75</v>
      </c>
      <c r="AA827" s="38"/>
      <c r="AB827" s="38" cm="1">
        <f t="array" ref="AB827">_xlfn.PERCENTILE.EXC( IF( tblFilterAll[Include in output] = 1, tblFilterAll[ROCE] ), AC827 )</f>
        <v>3.6311338265847232E-2</v>
      </c>
      <c r="AC827" s="42">
        <f t="shared" si="302"/>
        <v>0.75</v>
      </c>
      <c r="AD827" s="38"/>
    </row>
    <row r="828" spans="2:55" s="11" customFormat="1" x14ac:dyDescent="0.25">
      <c r="C828" s="11" t="s">
        <v>697</v>
      </c>
      <c r="D828" s="38" cm="1">
        <f t="array" ref="D828">_xlfn.PERCENTILE.INC( IF( tblFilterAll[Include in output] = 1, tblFilterAll[Reinvestment] ), E828 )</f>
        <v>0.23221327771078448</v>
      </c>
      <c r="E828" s="42">
        <f t="shared" si="303"/>
        <v>1</v>
      </c>
      <c r="F828" s="38"/>
      <c r="G828" s="38" cm="1">
        <f t="array" ref="G828">_xlfn.PERCENTILE.INC( IF( tblFilterAll[Include in output] = 1, tblFilterAll[New Supply (Social)] ), H828 )</f>
        <v>0.11229377328366152</v>
      </c>
      <c r="H828" s="42">
        <f t="shared" si="295"/>
        <v>1</v>
      </c>
      <c r="I828" s="38"/>
      <c r="J828" s="38" cm="1">
        <f t="array" ref="J828">_xlfn.PERCENTILE.INC( IF( tblFilterAll[Include in output] = 1, tblFilterAll[New Supply (Non-Social)] ), K828 )</f>
        <v>3.6165469407976221E-2</v>
      </c>
      <c r="K828" s="42">
        <f t="shared" si="296"/>
        <v>1</v>
      </c>
      <c r="L828" s="38"/>
      <c r="M828" s="38" cm="1">
        <f t="array" ref="M828">_xlfn.PERCENTILE.INC( IF( tblFilterAll[Include in output] = 1, tblFilterAll[Gearing] ), N828 )</f>
        <v>0.81152004198648564</v>
      </c>
      <c r="N828" s="42">
        <f t="shared" si="297"/>
        <v>1</v>
      </c>
      <c r="O828" s="38"/>
      <c r="P828" s="38" cm="1">
        <f t="array" ref="P828">_xlfn.PERCENTILE.INC( IF( tblFilterAll[Include in output] = 1, tblFilterAll[EBITDA MRI Interest Cover] ), Q828 )</f>
        <v>13.108949416342412</v>
      </c>
      <c r="Q828" s="42">
        <f t="shared" si="298"/>
        <v>1</v>
      </c>
      <c r="R828" s="39"/>
      <c r="S828" s="39" cm="1">
        <f t="array" ref="S828">_xlfn.PERCENTILE.INC( IF( tblFilterAll[Include in output] = 1, tblFilterAll[Headline Social Housing Cost per unit] ), T828 )</f>
        <v>30446.12244897959</v>
      </c>
      <c r="T828" s="42">
        <f t="shared" si="299"/>
        <v>1</v>
      </c>
      <c r="U828" s="38"/>
      <c r="V828" s="38" cm="1">
        <f t="array" ref="V828">_xlfn.PERCENTILE.INC( IF( tblFilterAll[Include in output] = 1, tblFilterAll[Operating Margin (SHL)] ), W828 )</f>
        <v>0.42938720433366906</v>
      </c>
      <c r="W828" s="42">
        <f t="shared" si="300"/>
        <v>1</v>
      </c>
      <c r="X828" s="38"/>
      <c r="Y828" s="38" cm="1">
        <f t="array" ref="Y828">_xlfn.PERCENTILE.INC( IF( tblFilterAll[Include in output] = 1, tblFilterAll[Operating Margin (Overall)] ), Z828 )</f>
        <v>0.54421270578729419</v>
      </c>
      <c r="Z828" s="42">
        <f t="shared" si="301"/>
        <v>1</v>
      </c>
      <c r="AA828" s="38"/>
      <c r="AB828" s="38" cm="1">
        <f t="array" ref="AB828">_xlfn.PERCENTILE.INC( IF( tblFilterAll[Include in output] = 1, tblFilterAll[ROCE] ), AC828 )</f>
        <v>0.22406057206954572</v>
      </c>
      <c r="AC828" s="42">
        <f t="shared" si="302"/>
        <v>1</v>
      </c>
      <c r="AD828" s="38"/>
    </row>
    <row r="829" spans="2:55" s="11" customFormat="1" x14ac:dyDescent="0.25">
      <c r="D829" s="38"/>
      <c r="E829" s="42"/>
      <c r="F829" s="38"/>
      <c r="G829" s="38"/>
      <c r="H829" s="42"/>
      <c r="I829" s="38"/>
      <c r="J829" s="38"/>
      <c r="K829" s="42"/>
      <c r="L829" s="38"/>
      <c r="M829" s="38"/>
      <c r="N829" s="42"/>
      <c r="O829" s="38"/>
      <c r="P829" s="38"/>
      <c r="Q829" s="42"/>
      <c r="R829" s="38"/>
      <c r="S829" s="39"/>
      <c r="T829" s="42"/>
      <c r="U829" s="38"/>
      <c r="V829" s="38"/>
      <c r="W829" s="42"/>
      <c r="X829" s="38"/>
      <c r="Y829" s="38"/>
      <c r="Z829" s="42"/>
      <c r="AA829" s="38"/>
      <c r="AB829" s="38"/>
      <c r="AC829" s="42"/>
      <c r="AD829" s="38"/>
    </row>
    <row r="830" spans="2:55" ht="25.5" customHeight="1" x14ac:dyDescent="0.2">
      <c r="B830" s="449" t="s">
        <v>670</v>
      </c>
      <c r="C830" s="449"/>
    </row>
    <row r="831" spans="2:55" ht="12.75" customHeight="1" x14ac:dyDescent="0.2">
      <c r="B831" s="449"/>
      <c r="C831" s="449"/>
      <c r="AJ831" s="82">
        <f xml:space="preserve"> MATCH( tblFilterAll[[#Headers],[Region with 50%+ of social stock owned]], VfM_Metrics_2023_Consol_Source[#Headers], 0 )</f>
        <v>99</v>
      </c>
    </row>
    <row r="832" spans="2:55" ht="12.75" customHeight="1" x14ac:dyDescent="0.2">
      <c r="B832" s="449"/>
      <c r="C832" s="449"/>
      <c r="D832" s="82">
        <f xml:space="preserve"> MATCH( tblFilterAll[[#Headers],[Reinvestment]], VfM_Metrics_2023_Consol_Source[#Headers], 0 )</f>
        <v>4</v>
      </c>
      <c r="G832" s="82">
        <f xml:space="preserve"> MATCH( tblFilterAll[[#Headers],[New Supply (Social)]], VfM_Metrics_2023_Consol_Source[#Headers], 0 )</f>
        <v>14</v>
      </c>
      <c r="J832" s="82">
        <f xml:space="preserve"> MATCH( tblFilterAll[[#Headers],[New Supply (Non-Social)]], VfM_Metrics_2023_Consol_Source[#Headers], 0 )</f>
        <v>21</v>
      </c>
      <c r="M832" s="82">
        <f xml:space="preserve"> MATCH( tblFilterAll[[#Headers],[Gearing]], VfM_Metrics_2023_Consol_Source[#Headers], 0 )</f>
        <v>31</v>
      </c>
      <c r="P832" s="82">
        <f xml:space="preserve"> MATCH( tblFilterAll[[#Headers],[EBITDA MRI Interest Cover]], VfM_Metrics_2023_Consol_Source[#Headers], 0 )</f>
        <v>41</v>
      </c>
      <c r="S832" s="82">
        <f xml:space="preserve"> MATCH( tblFilterAll[[#Headers],[Headline Social Housing Cost per unit]], VfM_Metrics_2023_Consol_Source[#Headers], 0 )</f>
        <v>54</v>
      </c>
      <c r="V832" s="82">
        <f xml:space="preserve"> MATCH( tblFilterAll[[#Headers],[Operating Margin (SHL)]], VfM_Metrics_2023_Consol_Source[#Headers], 0 )</f>
        <v>70</v>
      </c>
      <c r="Y832" s="82">
        <f xml:space="preserve"> MATCH( tblFilterAll[[#Headers],[Operating Margin (Overall)]], VfM_Metrics_2023_Consol_Source[#Headers], 0 )</f>
        <v>75</v>
      </c>
      <c r="AB832" s="82">
        <f xml:space="preserve"> MATCH( tblFilterAll[[#Headers],[ROCE]], VfM_Metrics_2023_Consol_Source[#Headers], 0 )</f>
        <v>82</v>
      </c>
      <c r="AE832" s="82">
        <f xml:space="preserve"> MATCH( tblFilterAll[[#Headers],[Total social stock owned]], VfM_Metrics_2023_Consol_Source[#Headers], 0 )</f>
        <v>88</v>
      </c>
      <c r="AF832" s="82">
        <f xml:space="preserve"> MATCH( tblFilterAll[[#Headers],[% Supported housing (excl. HOP)]], VfM_Metrics_2023_Consol_Source[#Headers], 0 )</f>
        <v>89</v>
      </c>
      <c r="AG832" s="82">
        <f xml:space="preserve"> MATCH( tblFilterAll[[#Headers],[% Housing for older people]], VfM_Metrics_2023_Consol_Source[#Headers], 0 )</f>
        <v>91</v>
      </c>
      <c r="AH832" s="82">
        <f xml:space="preserve"> MATCH( tblFilterAll[[#Headers],[% SH and OP]], VfM_Metrics_2023_Consol_Source[#Headers], 0 )</f>
        <v>93</v>
      </c>
      <c r="AI832" s="82">
        <f xml:space="preserve"> MATCH( tblFilterAll[[#Headers],[Provider Type]], VfM_Metrics_2023_Consol_Source[#Headers], 0 )</f>
        <v>96</v>
      </c>
      <c r="AJ832" s="82">
        <f xml:space="preserve"> MATCH( tblFilterAll[[#Headers],[Region with 50%+ of social stock owned]], VfM_Metrics_2023_Consol_Source[#Headers], 0 )</f>
        <v>99</v>
      </c>
      <c r="AP832" s="17">
        <f xml:space="preserve"> SUM( tblFilterAll[Meets initial criteria] )</f>
        <v>198</v>
      </c>
      <c r="AQ832" s="17"/>
      <c r="AR832" s="17">
        <f xml:space="preserve"> SUM( tblFilterAll[Initial List] )</f>
        <v>198</v>
      </c>
      <c r="AS832" s="17">
        <f xml:space="preserve"> SUM( tblFilterAll[Include in output] )</f>
        <v>198</v>
      </c>
      <c r="AT832" s="82">
        <f xml:space="preserve"> MATCH( tblFilterAll[[#Headers],[LSVT age]], VfM_Metrics_2023_Consol_Source[#Headers], 0 )</f>
        <v>98</v>
      </c>
      <c r="AU832" s="82">
        <f xml:space="preserve"> MATCH( tblFilterAll[[#Headers],[London]], VfM_Metrics_2023_Consol_Source[#Headers], 0 )</f>
        <v>100</v>
      </c>
      <c r="AV832" s="82">
        <f xml:space="preserve"> MATCH( tblFilterAll[[#Headers],[South East]], VfM_Metrics_2023_Consol_Source[#Headers], 0 )</f>
        <v>101</v>
      </c>
      <c r="AW832" s="82">
        <f xml:space="preserve"> MATCH( tblFilterAll[[#Headers],[South West]], VfM_Metrics_2023_Consol_Source[#Headers], 0 )</f>
        <v>102</v>
      </c>
      <c r="AX832" s="82">
        <f xml:space="preserve"> MATCH( tblFilterAll[[#Headers],[East Midlands]], VfM_Metrics_2023_Consol_Source[#Headers], 0 )</f>
        <v>103</v>
      </c>
      <c r="AY832" s="82">
        <f xml:space="preserve"> MATCH( tblFilterAll[[#Headers],[West Midlands]], VfM_Metrics_2023_Consol_Source[#Headers], 0 )</f>
        <v>104</v>
      </c>
      <c r="AZ832" s="82">
        <f xml:space="preserve"> MATCH( tblFilterAll[[#Headers],[East of England]], VfM_Metrics_2023_Consol_Source[#Headers], 0 )</f>
        <v>105</v>
      </c>
      <c r="BA832" s="82">
        <f xml:space="preserve"> MATCH( tblFilterAll[[#Headers],[North East]], VfM_Metrics_2023_Consol_Source[#Headers], 0 )</f>
        <v>106</v>
      </c>
      <c r="BB832" s="82">
        <f xml:space="preserve"> MATCH( tblFilterAll[[#Headers],[North West]], VfM_Metrics_2023_Consol_Source[#Headers], 0 )</f>
        <v>107</v>
      </c>
      <c r="BC832" s="82">
        <f xml:space="preserve"> MATCH( tblFilterAll[[#Headers],[Yorkshire &amp; the Humber]], VfM_Metrics_2023_Consol_Source[#Headers], 0 )</f>
        <v>108</v>
      </c>
    </row>
    <row r="833" spans="2:55" ht="76.5" x14ac:dyDescent="0.2">
      <c r="B833" s="155" t="s">
        <v>706</v>
      </c>
      <c r="C833" s="156" t="s">
        <v>707</v>
      </c>
      <c r="D833" s="156" t="s">
        <v>41</v>
      </c>
      <c r="E833" s="156" t="s">
        <v>708</v>
      </c>
      <c r="F833" s="156" t="s">
        <v>709</v>
      </c>
      <c r="G833" s="156" t="s">
        <v>51</v>
      </c>
      <c r="H833" s="156" t="s">
        <v>710</v>
      </c>
      <c r="I833" s="156" t="s">
        <v>711</v>
      </c>
      <c r="J833" s="156" t="s">
        <v>28</v>
      </c>
      <c r="K833" s="156" t="s">
        <v>712</v>
      </c>
      <c r="L833" s="156" t="s">
        <v>713</v>
      </c>
      <c r="M833" s="156" t="s">
        <v>29</v>
      </c>
      <c r="N833" s="156" t="s">
        <v>714</v>
      </c>
      <c r="O833" s="156" t="s">
        <v>715</v>
      </c>
      <c r="P833" s="156" t="s">
        <v>30</v>
      </c>
      <c r="Q833" s="156" t="s">
        <v>716</v>
      </c>
      <c r="R833" s="156" t="s">
        <v>717</v>
      </c>
      <c r="S833" s="156" t="s">
        <v>31</v>
      </c>
      <c r="T833" s="156" t="s">
        <v>718</v>
      </c>
      <c r="U833" s="156" t="s">
        <v>719</v>
      </c>
      <c r="V833" s="156" t="s">
        <v>32</v>
      </c>
      <c r="W833" s="156" t="s">
        <v>720</v>
      </c>
      <c r="X833" s="156" t="s">
        <v>721</v>
      </c>
      <c r="Y833" s="156" t="s">
        <v>33</v>
      </c>
      <c r="Z833" s="156" t="s">
        <v>722</v>
      </c>
      <c r="AA833" s="156" t="s">
        <v>723</v>
      </c>
      <c r="AB833" s="156" t="s">
        <v>34</v>
      </c>
      <c r="AC833" s="156" t="s">
        <v>724</v>
      </c>
      <c r="AD833" s="156" t="s">
        <v>725</v>
      </c>
      <c r="AE833" s="156" t="s">
        <v>118</v>
      </c>
      <c r="AF833" s="156" t="s">
        <v>119</v>
      </c>
      <c r="AG833" s="156" t="s">
        <v>121</v>
      </c>
      <c r="AH833" s="156" t="s">
        <v>123</v>
      </c>
      <c r="AI833" s="307" t="s">
        <v>126</v>
      </c>
      <c r="AJ833" s="156" t="s">
        <v>129</v>
      </c>
      <c r="AK833" s="156" t="s">
        <v>656</v>
      </c>
      <c r="AL833" s="156" t="s">
        <v>726</v>
      </c>
      <c r="AM833" s="156" t="s">
        <v>727</v>
      </c>
      <c r="AN833" s="156" t="s">
        <v>728</v>
      </c>
      <c r="AO833" s="158" t="s">
        <v>729</v>
      </c>
      <c r="AP833" s="158" t="s">
        <v>653</v>
      </c>
      <c r="AQ833" s="158" t="s">
        <v>730</v>
      </c>
      <c r="AR833" s="156" t="s">
        <v>731</v>
      </c>
      <c r="AS833" s="156" t="s">
        <v>732</v>
      </c>
      <c r="AT833" s="156" t="s">
        <v>128</v>
      </c>
      <c r="AU833" s="156" t="s">
        <v>130</v>
      </c>
      <c r="AV833" s="156" t="s">
        <v>131</v>
      </c>
      <c r="AW833" s="156" t="s">
        <v>132</v>
      </c>
      <c r="AX833" s="156" t="s">
        <v>133</v>
      </c>
      <c r="AY833" s="156" t="s">
        <v>134</v>
      </c>
      <c r="AZ833" s="156" t="s">
        <v>135</v>
      </c>
      <c r="BA833" s="156" t="s">
        <v>136</v>
      </c>
      <c r="BB833" s="156" t="s">
        <v>137</v>
      </c>
      <c r="BC833" s="156" t="s">
        <v>138</v>
      </c>
    </row>
    <row r="834" spans="2:55" x14ac:dyDescent="0.2">
      <c r="B834" s="122" t="str" vm="1">
        <f t="shared" ref="B834:C834" si="304" xml:space="preserve"> B624</f>
        <v>A2Dominion Housing Group Limited</v>
      </c>
      <c r="C834" s="122" t="str" vm="335">
        <f t="shared" si="304"/>
        <v>L4240</v>
      </c>
      <c r="D834" s="30" cm="1">
        <f t="array" ref="D834" xml:space="preserve"> INDEX( VfM_Metrics_2023_Consol_Source[], $AK834, D$832 )</f>
        <v>3.1077261663747413E-2</v>
      </c>
      <c r="E834" s="35">
        <f xml:space="preserve"> IF( tblFilterAll[[#This Row],[Reinvestment]] &lt; D$825, 4, IF( tblFilterAll[[#This Row],[Reinvestment]] &lt; D$826, 3, IF( tblFilterAll[[#This Row],[Reinvestment]] &lt; D$827, 2, 1 ) ) )</f>
        <v>4</v>
      </c>
      <c r="F834" s="35">
        <f xml:space="preserve"> COUNTIFS( tblFilterAll[Include in output], 1, tblFilterAll[Reinvestment], "&gt;" &amp; tblFilterAll[[#This Row],[Reinvestment]] ) + 1</f>
        <v>171</v>
      </c>
      <c r="G834" s="30" cm="1">
        <f t="array" ref="G834" xml:space="preserve"> INDEX( VfM_Metrics_2023_Consol_Source[], $AK834, G$832 )</f>
        <v>1.5708957582653772E-2</v>
      </c>
      <c r="H834" s="35">
        <f xml:space="preserve"> IF( tblFilterAll[[#This Row],[New Supply (Social)]] &lt; G$825, 4, IF( tblFilterAll[[#This Row],[New Supply (Social)]] &lt; G$826, 3, IF( tblFilterAll[[#This Row],[New Supply (Social)]] &lt; G$827, 2, 1 ) ) )</f>
        <v>2</v>
      </c>
      <c r="I834" s="35">
        <f xml:space="preserve"> COUNTIFS( tblFilterAll[Include in output], 1, tblFilterAll[New Supply (Social)], "&gt;" &amp; tblFilterAll[[#This Row],[New Supply (Social)]] ) + 1</f>
        <v>79</v>
      </c>
      <c r="J834" s="31" cm="1">
        <f t="array" ref="J834" xml:space="preserve"> INDEX( VfM_Metrics_2023_Consol_Source[], $AK834, J$832 )</f>
        <v>7.0475084984661304E-3</v>
      </c>
      <c r="K834" s="35">
        <f xml:space="preserve"> IF( tblFilterAll[[#This Row],[New Supply (Non-Social)]] &lt; J$825, 4, IF( tblFilterAll[[#This Row],[New Supply (Non-Social)]] &lt; J$826, 3, IF( tblFilterAll[[#This Row],[New Supply (Non-Social)]] &lt; J$827, 2, 1 ) ) )</f>
        <v>1</v>
      </c>
      <c r="L834" s="35">
        <f xml:space="preserve"> COUNTIFS( tblFilterAll[Include in output], 1, tblFilterAll[New Supply (Non-Social)], "&gt;" &amp; tblFilterAll[[#This Row],[New Supply (Non-Social)]] ) + 1</f>
        <v>14</v>
      </c>
      <c r="M834" s="30" cm="1">
        <f t="array" ref="M834" xml:space="preserve"> INDEX( VfM_Metrics_2023_Consol_Source[], $AK834, M$832 )</f>
        <v>0.54204152544300632</v>
      </c>
      <c r="N834" s="35">
        <f xml:space="preserve"> IF( tblFilterAll[[#This Row],[Gearing]] &lt; M$825, 4, IF( tblFilterAll[[#This Row],[Gearing]] &lt; M$826, 3, IF( tblFilterAll[[#This Row],[Gearing]] &lt; M$827, 2, 1 ) ) )</f>
        <v>1</v>
      </c>
      <c r="O834" s="35">
        <f xml:space="preserve"> COUNTIFS( tblFilterAll[Include in output], 1, tblFilterAll[Gearing], "&gt;" &amp; tblFilterAll[[#This Row],[Gearing]] ) + 1</f>
        <v>46</v>
      </c>
      <c r="P834" s="30" cm="1">
        <f t="array" ref="P834" xml:space="preserve"> INDEX( VfM_Metrics_2023_Consol_Source[], $AK834, P$832 )</f>
        <v>0.26795554310264313</v>
      </c>
      <c r="Q834" s="35">
        <f xml:space="preserve"> IF( tblFilterAll[[#This Row],[EBITDA MRI Interest Cover]] &lt; P$825, 4, IF( tblFilterAll[[#This Row],[EBITDA MRI Interest Cover]] &lt; P$826, 3, IF( tblFilterAll[[#This Row],[EBITDA MRI Interest Cover]] &lt; P$827, 2, 1 ) ) )</f>
        <v>4</v>
      </c>
      <c r="R834" s="35">
        <f xml:space="preserve"> COUNTIFS( tblFilterAll[Include in output], 1, tblFilterAll[EBITDA MRI Interest Cover], "&gt;" &amp; tblFilterAll[[#This Row],[EBITDA MRI Interest Cover]] ) + 1</f>
        <v>176</v>
      </c>
      <c r="S834" s="32" cm="1">
        <f t="array" ref="S834" xml:space="preserve"> INDEX( VfM_Metrics_2023_Consol_Source[], $AK834, S$832 )</f>
        <v>7555.7320344486807</v>
      </c>
      <c r="T834" s="35">
        <f xml:space="preserve"> IF( tblFilterAll[[#This Row],[Headline Social Housing Cost per unit]] &lt; S$825, 4, IF( tblFilterAll[[#This Row],[Headline Social Housing Cost per unit]] &lt; S$826, 3, IF( tblFilterAll[[#This Row],[Headline Social Housing Cost per unit]] &lt; S$827, 2, 1 ) ) )</f>
        <v>1</v>
      </c>
      <c r="U834" s="35">
        <f xml:space="preserve"> COUNTIFS( tblFilterAll[Include in output], 1, tblFilterAll[Headline Social Housing Cost per unit], "&gt;" &amp; tblFilterAll[[#This Row],[Headline Social Housing Cost per unit]] ) + 1</f>
        <v>28</v>
      </c>
      <c r="V834" s="30" cm="1">
        <f t="array" ref="V834" xml:space="preserve"> INDEX( VfM_Metrics_2023_Consol_Source[], $AK834, V$832 )</f>
        <v>0.1206342661787696</v>
      </c>
      <c r="W834" s="35">
        <f xml:space="preserve"> IF( tblFilterAll[[#This Row],[Operating Margin (SHL)]] &lt; V$825, 4, IF( tblFilterAll[[#This Row],[Operating Margin (SHL)]] &lt; V$826, 3, IF( tblFilterAll[[#This Row],[Operating Margin (SHL)]] &lt; V$827, 2, 1 ) ) )</f>
        <v>4</v>
      </c>
      <c r="X834" s="35">
        <f xml:space="preserve"> COUNTIFS( tblFilterAll[Include in output], 1, tblFilterAll[Operating Margin (SHL)], "&gt;" &amp; tblFilterAll[[#This Row],[Operating Margin (SHL)]] ) + 1</f>
        <v>163</v>
      </c>
      <c r="Y834" s="30" cm="1">
        <f t="array" ref="Y834" xml:space="preserve"> INDEX( VfM_Metrics_2023_Consol_Source[], $AK834, Y$832 )</f>
        <v>5.735769150710418E-2</v>
      </c>
      <c r="Z834" s="35">
        <f xml:space="preserve"> IF( tblFilterAll[[#This Row],[Operating Margin (Overall)]] &lt; Y$825, 4, IF( tblFilterAll[[#This Row],[Operating Margin (Overall)]] &lt; Y$826, 3, IF( tblFilterAll[[#This Row],[Operating Margin (Overall)]] &lt; Y$827, 2, 1 ) ) )</f>
        <v>4</v>
      </c>
      <c r="AA834" s="35">
        <f xml:space="preserve"> COUNTIFS( tblFilterAll[Include in output], 1, tblFilterAll[Operating Margin (Overall)], "&gt;" &amp; tblFilterAll[[#This Row],[Operating Margin (Overall)]] ) + 1</f>
        <v>180</v>
      </c>
      <c r="AB834" s="30" cm="1">
        <f t="array" ref="AB834" xml:space="preserve"> INDEX( VfM_Metrics_2023_Consol_Source[], $AK834, AB$832 )</f>
        <v>1.181647313309594E-2</v>
      </c>
      <c r="AC834" s="35">
        <f xml:space="preserve"> IF( tblFilterAll[[#This Row],[ROCE]] &lt; AB$825, 4, IF( tblFilterAll[[#This Row],[ROCE]] &lt; AB$826, 3, IF( tblFilterAll[[#This Row],[ROCE]] &lt; AB$827, 2, 1 ) ) )</f>
        <v>4</v>
      </c>
      <c r="AD834" s="35">
        <f xml:space="preserve"> COUNTIFS( tblFilterAll[Include in output], 1, tblFilterAll[ROCE], "&gt;" &amp; tblFilterAll[[#This Row],[ROCE]] ) + 1</f>
        <v>185</v>
      </c>
      <c r="AE834" s="33" cm="1" vm="4550">
        <f t="array" ref="AE834" xml:space="preserve"> INDEX( VfM_Metrics_2023_Consol_Source[], $AK834, AE$832 )</f>
        <v>28177</v>
      </c>
      <c r="AF834" s="30" cm="1">
        <f t="array" ref="AF834" xml:space="preserve"> INDEX( VfM_Metrics_2023_Consol_Source[], $AK834, AF$832 )</f>
        <v>4.3164904034469251E-2</v>
      </c>
      <c r="AG834" s="30" cm="1">
        <f t="array" ref="AG834" xml:space="preserve"> INDEX( VfM_Metrics_2023_Consol_Source[], $AK834, AG$832 )</f>
        <v>3.6271053662358013E-2</v>
      </c>
      <c r="AH834" s="30" cm="1">
        <f t="array" ref="AH834" xml:space="preserve"> INDEX( VfM_Metrics_2023_Consol_Source[], $AK834, AH$832 )</f>
        <v>7.9435957696827264E-2</v>
      </c>
      <c r="AI834" s="30" t="str" cm="1">
        <f t="array" ref="AI834" xml:space="preserve"> INDEX( VfM_Metrics_2023_Consol_Source[], $AK834, AI$832 )</f>
        <v>Traditional</v>
      </c>
      <c r="AJ834" s="34" t="str" cm="1">
        <f t="array" ref="AJ834" xml:space="preserve"> INDEX( VfM_Metrics_2023_Consol_Source[], $AK834, AJ$832 )</f>
        <v>South East</v>
      </c>
      <c r="AK834" s="81">
        <f xml:space="preserve"> MATCH( tblFilterAll[[#This Row],[Code]], VfM_Metrics_2023_Consol_Source[RP_Code], 0 )</f>
        <v>1</v>
      </c>
      <c r="AL834" s="24">
        <f xml:space="preserve"> INDEX( tblFilterRegion[Include for region],  MATCH( tblFilterAll[[#This Row],[Code]], tblFilterRegion[RP_Code], 0 ) )</f>
        <v>1</v>
      </c>
      <c r="AM834" s="24">
        <f xml:space="preserve"> INDEX( tblFilterPropType[Incl for prop type],  MATCH( tblFilterAll[[#This Row],[Code]], tblFilterPropType[RP_Code], 0 ) )</f>
        <v>1</v>
      </c>
      <c r="AN834" s="24">
        <f xml:space="preserve"> INDEX( tblFilterSize[Incl for size],  MATCH( tblFilterAll[[#This Row],[Code]], tblFilterSize[RP_Code], 0 ) )</f>
        <v>1</v>
      </c>
      <c r="AO834" s="24">
        <f xml:space="preserve"> INDEX( tblFilterRP_Type[Incl, for RP Type],  MATCH( tblFilterAll[[#This Row],[Code]], tblFilterRP_Type[RP_Code], 0 ) )</f>
        <v>1</v>
      </c>
      <c r="AP834" s="24">
        <f xml:space="preserve">  -- ( SUM( tblFilterAll[[#This Row],[Filter Region]:[Filter RP Type]] ) = 4 )</f>
        <v>1</v>
      </c>
      <c r="AQ834" s="24">
        <f xml:space="preserve"> -- ( tblFilterAll[[#This Row],[Provider name]] = SelectedProvider )</f>
        <v>1</v>
      </c>
      <c r="AR834" s="24">
        <f xml:space="preserve">  -- ( OR( SUM( tblFilterAll[[#This Row],[Filter Region]:[Filter RP Type]] ) = 4, tblFilterAll[[#This Row],[SelectedProvider]] = 1 ) )</f>
        <v>1</v>
      </c>
      <c r="AS834" s="24">
        <f xml:space="preserve"> -- ( INDEX( PeersCritera[Included in final peers], MATCH( tblFilterAll[[#This Row],[Provider name]], PeersCritera[RP_Name], 0 ) ) = 1 )</f>
        <v>1</v>
      </c>
      <c r="AT834" s="30" t="str" cm="1">
        <f t="array" ref="AT834" xml:space="preserve"> SUBSTITUTE( INDEX( VfM_Metrics_2023_Consol_Source[], $AK834, AT$832 ), 0, "" )</f>
        <v/>
      </c>
      <c r="AU834" s="34" cm="1">
        <f t="array" ref="AU834" xml:space="preserve"> INDEX( VfM_Metrics_2023_Consol_Source[], $AK834, AU$832 )</f>
        <v>0.47504424778761062</v>
      </c>
      <c r="AV834" s="34" cm="1">
        <f t="array" ref="AV834" xml:space="preserve"> INDEX( VfM_Metrics_2023_Consol_Source[], $AK834, AV$832 )</f>
        <v>0.5151622418879056</v>
      </c>
      <c r="AW834" s="34" cm="1">
        <f t="array" ref="AW834" xml:space="preserve"> INDEX( VfM_Metrics_2023_Consol_Source[], $AK834, AW$832 )</f>
        <v>9.7541789577187815E-3</v>
      </c>
      <c r="AX834" s="34" cm="1">
        <f t="array" ref="AX834" xml:space="preserve"> INDEX( VfM_Metrics_2023_Consol_Source[], $AK834, AX$832 )</f>
        <v>0</v>
      </c>
      <c r="AY834" s="34" cm="1">
        <f t="array" ref="AY834" xml:space="preserve"> INDEX( VfM_Metrics_2023_Consol_Source[], $AK834, AY$832 )</f>
        <v>0</v>
      </c>
      <c r="AZ834" s="34" cm="1">
        <f t="array" ref="AZ834" xml:space="preserve"> INDEX( VfM_Metrics_2023_Consol_Source[], $AK834, AZ$832 )</f>
        <v>3.9331366764995083E-5</v>
      </c>
      <c r="BA834" s="34" cm="1">
        <f t="array" ref="BA834" xml:space="preserve"> INDEX( VfM_Metrics_2023_Consol_Source[], $AK834, BA$832 )</f>
        <v>0</v>
      </c>
      <c r="BB834" s="34" cm="1">
        <f t="array" ref="BB834" xml:space="preserve"> INDEX( VfM_Metrics_2023_Consol_Source[], $AK834, BB$832 )</f>
        <v>0</v>
      </c>
      <c r="BC834" s="34" cm="1">
        <f t="array" ref="BC834" xml:space="preserve"> INDEX( VfM_Metrics_2023_Consol_Source[], $AK834, BC$832 )</f>
        <v>0</v>
      </c>
    </row>
    <row r="835" spans="2:55" x14ac:dyDescent="0.2">
      <c r="B835" s="122" t="str" vm="2">
        <f t="shared" ref="B835" si="305" xml:space="preserve"> B625</f>
        <v>Abri Group Limited</v>
      </c>
      <c r="C835" s="122" t="str" vm="254">
        <f t="shared" ref="C835" si="306" xml:space="preserve"> C625</f>
        <v>L4172</v>
      </c>
      <c r="D835" s="30" cm="1">
        <f t="array" ref="D835" xml:space="preserve"> INDEX( VfM_Metrics_2023_Consol_Source[], $AK835, D$832 )</f>
        <v>8.8942469938366991E-2</v>
      </c>
      <c r="E835" s="35">
        <f xml:space="preserve"> IF( tblFilterAll[[#This Row],[Reinvestment]] &lt; D$825, 4, IF( tblFilterAll[[#This Row],[Reinvestment]] &lt; D$826, 3, IF( tblFilterAll[[#This Row],[Reinvestment]] &lt; D$827, 2, 1 ) ) )</f>
        <v>2</v>
      </c>
      <c r="F835" s="35">
        <f xml:space="preserve"> COUNTIFS( tblFilterAll[Include in output], 1, tblFilterAll[Reinvestment], "&gt;" &amp; tblFilterAll[[#This Row],[Reinvestment]] ) + 1</f>
        <v>56</v>
      </c>
      <c r="G835" s="30" cm="1">
        <f t="array" ref="G835" xml:space="preserve"> INDEX( VfM_Metrics_2023_Consol_Source[], $AK835, G$832 )</f>
        <v>2.2767384398164489E-2</v>
      </c>
      <c r="H835" s="35">
        <f xml:space="preserve"> IF( tblFilterAll[[#This Row],[New Supply (Social)]] &lt; G$825, 4, IF( tblFilterAll[[#This Row],[New Supply (Social)]] &lt; G$826, 3, IF( tblFilterAll[[#This Row],[New Supply (Social)]] &lt; G$827, 2, 1 ) ) )</f>
        <v>1</v>
      </c>
      <c r="I835" s="35">
        <f xml:space="preserve"> COUNTIFS( tblFilterAll[Include in output], 1, tblFilterAll[New Supply (Social)], "&gt;" &amp; tblFilterAll[[#This Row],[New Supply (Social)]] ) + 1</f>
        <v>45</v>
      </c>
      <c r="J835" s="31" cm="1">
        <f t="array" ref="J835" xml:space="preserve"> INDEX( VfM_Metrics_2023_Consol_Source[], $AK835, J$832 )</f>
        <v>2.9067232508792838E-4</v>
      </c>
      <c r="K835" s="35">
        <f xml:space="preserve"> IF( tblFilterAll[[#This Row],[New Supply (Non-Social)]] &lt; J$825, 4, IF( tblFilterAll[[#This Row],[New Supply (Non-Social)]] &lt; J$826, 3, IF( tblFilterAll[[#This Row],[New Supply (Non-Social)]] &lt; J$827, 2, 1 ) ) )</f>
        <v>2</v>
      </c>
      <c r="L835" s="35">
        <f xml:space="preserve"> COUNTIFS( tblFilterAll[Include in output], 1, tblFilterAll[New Supply (Non-Social)], "&gt;" &amp; tblFilterAll[[#This Row],[New Supply (Non-Social)]] ) + 1</f>
        <v>66</v>
      </c>
      <c r="M835" s="30" cm="1">
        <f t="array" ref="M835" xml:space="preserve"> INDEX( VfM_Metrics_2023_Consol_Source[], $AK835, M$832 )</f>
        <v>0.51826566135592622</v>
      </c>
      <c r="N835" s="35">
        <f xml:space="preserve"> IF( tblFilterAll[[#This Row],[Gearing]] &lt; M$825, 4, IF( tblFilterAll[[#This Row],[Gearing]] &lt; M$826, 3, IF( tblFilterAll[[#This Row],[Gearing]] &lt; M$827, 2, 1 ) ) )</f>
        <v>2</v>
      </c>
      <c r="O835" s="35">
        <f xml:space="preserve"> COUNTIFS( tblFilterAll[Include in output], 1, tblFilterAll[Gearing], "&gt;" &amp; tblFilterAll[[#This Row],[Gearing]] ) + 1</f>
        <v>61</v>
      </c>
      <c r="P835" s="30" cm="1">
        <f t="array" ref="P835" xml:space="preserve"> INDEX( VfM_Metrics_2023_Consol_Source[], $AK835, P$832 )</f>
        <v>1.4435628306051898</v>
      </c>
      <c r="Q835" s="35">
        <f xml:space="preserve"> IF( tblFilterAll[[#This Row],[EBITDA MRI Interest Cover]] &lt; P$825, 4, IF( tblFilterAll[[#This Row],[EBITDA MRI Interest Cover]] &lt; P$826, 3, IF( tblFilterAll[[#This Row],[EBITDA MRI Interest Cover]] &lt; P$827, 2, 1 ) ) )</f>
        <v>2</v>
      </c>
      <c r="R835" s="35">
        <f xml:space="preserve"> COUNTIFS( tblFilterAll[Include in output], 1, tblFilterAll[EBITDA MRI Interest Cover], "&gt;" &amp; tblFilterAll[[#This Row],[EBITDA MRI Interest Cover]] ) + 1</f>
        <v>73</v>
      </c>
      <c r="S835" s="32" cm="1">
        <f t="array" ref="S835" xml:space="preserve"> INDEX( VfM_Metrics_2023_Consol_Source[], $AK835, S$832 )</f>
        <v>4414.9236856981342</v>
      </c>
      <c r="T835" s="35">
        <f xml:space="preserve"> IF( tblFilterAll[[#This Row],[Headline Social Housing Cost per unit]] &lt; S$825, 4, IF( tblFilterAll[[#This Row],[Headline Social Housing Cost per unit]] &lt; S$826, 3, IF( tblFilterAll[[#This Row],[Headline Social Housing Cost per unit]] &lt; S$827, 2, 1 ) ) )</f>
        <v>3</v>
      </c>
      <c r="U835" s="35">
        <f xml:space="preserve"> COUNTIFS( tblFilterAll[Include in output], 1, tblFilterAll[Headline Social Housing Cost per unit], "&gt;" &amp; tblFilterAll[[#This Row],[Headline Social Housing Cost per unit]] ) + 1</f>
        <v>116</v>
      </c>
      <c r="V835" s="30" cm="1">
        <f t="array" ref="V835" xml:space="preserve"> INDEX( VfM_Metrics_2023_Consol_Source[], $AK835, V$832 )</f>
        <v>0.23192578216131163</v>
      </c>
      <c r="W835" s="35">
        <f xml:space="preserve"> IF( tblFilterAll[[#This Row],[Operating Margin (SHL)]] &lt; V$825, 4, IF( tblFilterAll[[#This Row],[Operating Margin (SHL)]] &lt; V$826, 3, IF( tblFilterAll[[#This Row],[Operating Margin (SHL)]] &lt; V$827, 2, 1 ) ) )</f>
        <v>2</v>
      </c>
      <c r="X835" s="35">
        <f xml:space="preserve"> COUNTIFS( tblFilterAll[Include in output], 1, tblFilterAll[Operating Margin (SHL)], "&gt;" &amp; tblFilterAll[[#This Row],[Operating Margin (SHL)]] ) + 1</f>
        <v>68</v>
      </c>
      <c r="Y835" s="30" cm="1">
        <f t="array" ref="Y835" xml:space="preserve"> INDEX( VfM_Metrics_2023_Consol_Source[], $AK835, Y$832 )</f>
        <v>0.20961751284811181</v>
      </c>
      <c r="Z835" s="35">
        <f xml:space="preserve"> IF( tblFilterAll[[#This Row],[Operating Margin (Overall)]] &lt; Y$825, 4, IF( tblFilterAll[[#This Row],[Operating Margin (Overall)]] &lt; Y$826, 3, IF( tblFilterAll[[#This Row],[Operating Margin (Overall)]] &lt; Y$827, 2, 1 ) ) )</f>
        <v>2</v>
      </c>
      <c r="AA835" s="35">
        <f xml:space="preserve"> COUNTIFS( tblFilterAll[Include in output], 1, tblFilterAll[Operating Margin (Overall)], "&gt;" &amp; tblFilterAll[[#This Row],[Operating Margin (Overall)]] ) + 1</f>
        <v>74</v>
      </c>
      <c r="AB835" s="30" cm="1">
        <f t="array" ref="AB835" xml:space="preserve"> INDEX( VfM_Metrics_2023_Consol_Source[], $AK835, AB$832 )</f>
        <v>3.0790707703106691E-2</v>
      </c>
      <c r="AC835" s="35">
        <f xml:space="preserve"> IF( tblFilterAll[[#This Row],[ROCE]] &lt; AB$825, 4, IF( tblFilterAll[[#This Row],[ROCE]] &lt; AB$826, 3, IF( tblFilterAll[[#This Row],[ROCE]] &lt; AB$827, 2, 1 ) ) )</f>
        <v>2</v>
      </c>
      <c r="AD835" s="35">
        <f xml:space="preserve"> COUNTIFS( tblFilterAll[Include in output], 1, tblFilterAll[ROCE], "&gt;" &amp; tblFilterAll[[#This Row],[ROCE]] ) + 1</f>
        <v>78</v>
      </c>
      <c r="AE835" s="33" cm="1" vm="8096">
        <f t="array" ref="AE835" xml:space="preserve"> INDEX( VfM_Metrics_2023_Consol_Source[], $AK835, AE$832 )</f>
        <v>32342</v>
      </c>
      <c r="AF835" s="30" cm="1">
        <f t="array" ref="AF835" xml:space="preserve"> INDEX( VfM_Metrics_2023_Consol_Source[], $AK835, AF$832 )</f>
        <v>5.3901598245064243E-3</v>
      </c>
      <c r="AG835" s="30" cm="1">
        <f t="array" ref="AG835" xml:space="preserve"> INDEX( VfM_Metrics_2023_Consol_Source[], $AK835, AG$832 )</f>
        <v>8.9595738013162021E-2</v>
      </c>
      <c r="AH835" s="30" cm="1">
        <f t="array" ref="AH835" xml:space="preserve"> INDEX( VfM_Metrics_2023_Consol_Source[], $AK835, AH$832 )</f>
        <v>9.4985897837668448E-2</v>
      </c>
      <c r="AI835" s="30" t="str" cm="1">
        <f t="array" ref="AI835" xml:space="preserve"> INDEX( VfM_Metrics_2023_Consol_Source[], $AK835, AI$832 )</f>
        <v>Traditional</v>
      </c>
      <c r="AJ835" s="34" t="str" cm="1">
        <f t="array" ref="AJ835" xml:space="preserve"> INDEX( VfM_Metrics_2023_Consol_Source[], $AK835, AJ$832 )</f>
        <v>South East</v>
      </c>
      <c r="AK835" s="81">
        <f xml:space="preserve"> MATCH( tblFilterAll[[#This Row],[Code]], VfM_Metrics_2023_Consol_Source[RP_Code], 0 )</f>
        <v>2</v>
      </c>
      <c r="AL835" s="24">
        <f xml:space="preserve"> INDEX( tblFilterRegion[Include for region],  MATCH( tblFilterAll[[#This Row],[Code]], tblFilterRegion[RP_Code], 0 ) )</f>
        <v>1</v>
      </c>
      <c r="AM835" s="24">
        <f xml:space="preserve"> INDEX( tblFilterPropType[Incl for prop type],  MATCH( tblFilterAll[[#This Row],[Code]], tblFilterPropType[RP_Code], 0 ) )</f>
        <v>1</v>
      </c>
      <c r="AN835" s="24">
        <f xml:space="preserve"> INDEX( tblFilterSize[Incl for size],  MATCH( tblFilterAll[[#This Row],[Code]], tblFilterSize[RP_Code], 0 ) )</f>
        <v>1</v>
      </c>
      <c r="AO835" s="24">
        <f xml:space="preserve"> INDEX( tblFilterRP_Type[Incl, for RP Type],  MATCH( tblFilterAll[[#This Row],[Code]], tblFilterRP_Type[RP_Code], 0 ) )</f>
        <v>1</v>
      </c>
      <c r="AP835" s="24">
        <f xml:space="preserve">  -- ( SUM( tblFilterAll[[#This Row],[Filter Region]:[Filter RP Type]] ) = 4 )</f>
        <v>1</v>
      </c>
      <c r="AQ835" s="24">
        <f xml:space="preserve"> -- ( tblFilterAll[[#This Row],[Provider name]] = SelectedProvider )</f>
        <v>0</v>
      </c>
      <c r="AR835" s="24">
        <f xml:space="preserve">  -- ( OR( SUM( tblFilterAll[[#This Row],[Filter Region]:[Filter RP Type]] ) = 4, tblFilterAll[[#This Row],[SelectedProvider]] = 1 ) )</f>
        <v>1</v>
      </c>
      <c r="AS835" s="24">
        <f xml:space="preserve"> -- ( INDEX( PeersCritera[Included in final peers], MATCH( tblFilterAll[[#This Row],[Provider name]], PeersCritera[RP_Name], 0 ) ) = 1 )</f>
        <v>1</v>
      </c>
      <c r="AT835" s="30" t="str" cm="1">
        <f t="array" ref="AT835" xml:space="preserve"> SUBSTITUTE( INDEX( VfM_Metrics_2023_Consol_Source[], $AK835, AT$832 ), 0, "" )</f>
        <v/>
      </c>
      <c r="AU835" s="34" cm="1">
        <f t="array" ref="AU835" xml:space="preserve"> INDEX( VfM_Metrics_2023_Consol_Source[], $AK835, AU$832 )</f>
        <v>0</v>
      </c>
      <c r="AV835" s="34" cm="1">
        <f t="array" ref="AV835" xml:space="preserve"> INDEX( VfM_Metrics_2023_Consol_Source[], $AK835, AV$832 )</f>
        <v>0.58751324070035515</v>
      </c>
      <c r="AW835" s="34" cm="1">
        <f t="array" ref="AW835" xml:space="preserve"> INDEX( VfM_Metrics_2023_Consol_Source[], $AK835, AW$832 )</f>
        <v>0.41248675929964485</v>
      </c>
      <c r="AX835" s="34" cm="1">
        <f t="array" ref="AX835" xml:space="preserve"> INDEX( VfM_Metrics_2023_Consol_Source[], $AK835, AX$832 )</f>
        <v>0</v>
      </c>
      <c r="AY835" s="34" cm="1">
        <f t="array" ref="AY835" xml:space="preserve"> INDEX( VfM_Metrics_2023_Consol_Source[], $AK835, AY$832 )</f>
        <v>0</v>
      </c>
      <c r="AZ835" s="34" cm="1">
        <f t="array" ref="AZ835" xml:space="preserve"> INDEX( VfM_Metrics_2023_Consol_Source[], $AK835, AZ$832 )</f>
        <v>0</v>
      </c>
      <c r="BA835" s="34" cm="1">
        <f t="array" ref="BA835" xml:space="preserve"> INDEX( VfM_Metrics_2023_Consol_Source[], $AK835, BA$832 )</f>
        <v>0</v>
      </c>
      <c r="BB835" s="34" cm="1">
        <f t="array" ref="BB835" xml:space="preserve"> INDEX( VfM_Metrics_2023_Consol_Source[], $AK835, BB$832 )</f>
        <v>0</v>
      </c>
      <c r="BC835" s="34" cm="1">
        <f t="array" ref="BC835" xml:space="preserve"> INDEX( VfM_Metrics_2023_Consol_Source[], $AK835, BC$832 )</f>
        <v>0</v>
      </c>
    </row>
    <row r="836" spans="2:55" x14ac:dyDescent="0.2">
      <c r="B836" s="122" t="str" vm="3">
        <f t="shared" ref="B836" si="307" xml:space="preserve"> B626</f>
        <v>Accent Group Limited</v>
      </c>
      <c r="C836" s="122" t="str" vm="298">
        <f t="shared" ref="C836" si="308" xml:space="preserve"> C626</f>
        <v>L4511</v>
      </c>
      <c r="D836" s="30" cm="1">
        <f t="array" ref="D836" xml:space="preserve"> INDEX( VfM_Metrics_2023_Consol_Source[], $AK836, D$832 )</f>
        <v>9.9638455120505093E-2</v>
      </c>
      <c r="E836" s="35">
        <f xml:space="preserve"> IF( tblFilterAll[[#This Row],[Reinvestment]] &lt; D$825, 4, IF( tblFilterAll[[#This Row],[Reinvestment]] &lt; D$826, 3, IF( tblFilterAll[[#This Row],[Reinvestment]] &lt; D$827, 2, 1 ) ) )</f>
        <v>1</v>
      </c>
      <c r="F836" s="35">
        <f xml:space="preserve"> COUNTIFS( tblFilterAll[Include in output], 1, tblFilterAll[Reinvestment], "&gt;" &amp; tblFilterAll[[#This Row],[Reinvestment]] ) + 1</f>
        <v>42</v>
      </c>
      <c r="G836" s="30" cm="1">
        <f t="array" ref="G836" xml:space="preserve"> INDEX( VfM_Metrics_2023_Consol_Source[], $AK836, G$832 )</f>
        <v>1.1406644238856182E-2</v>
      </c>
      <c r="H836" s="35">
        <f xml:space="preserve"> IF( tblFilterAll[[#This Row],[New Supply (Social)]] &lt; G$825, 4, IF( tblFilterAll[[#This Row],[New Supply (Social)]] &lt; G$826, 3, IF( tblFilterAll[[#This Row],[New Supply (Social)]] &lt; G$827, 2, 1 ) ) )</f>
        <v>3</v>
      </c>
      <c r="I836" s="35">
        <f xml:space="preserve"> COUNTIFS( tblFilterAll[Include in output], 1, tblFilterAll[New Supply (Social)], "&gt;" &amp; tblFilterAll[[#This Row],[New Supply (Social)]] ) + 1</f>
        <v>115</v>
      </c>
      <c r="J836" s="31" cm="1">
        <f t="array" ref="J836" xml:space="preserve"> INDEX( VfM_Metrics_2023_Consol_Source[], $AK836, J$832 )</f>
        <v>9.4478269997900479E-4</v>
      </c>
      <c r="K836" s="35">
        <f xml:space="preserve"> IF( tblFilterAll[[#This Row],[New Supply (Non-Social)]] &lt; J$825, 4, IF( tblFilterAll[[#This Row],[New Supply (Non-Social)]] &lt; J$826, 3, IF( tblFilterAll[[#This Row],[New Supply (Non-Social)]] &lt; J$827, 2, 1 ) ) )</f>
        <v>1</v>
      </c>
      <c r="L836" s="35">
        <f xml:space="preserve"> COUNTIFS( tblFilterAll[Include in output], 1, tblFilterAll[New Supply (Non-Social)], "&gt;" &amp; tblFilterAll[[#This Row],[New Supply (Non-Social)]] ) + 1</f>
        <v>46</v>
      </c>
      <c r="M836" s="30" cm="1">
        <f t="array" ref="M836" xml:space="preserve"> INDEX( VfM_Metrics_2023_Consol_Source[], $AK836, M$832 )</f>
        <v>0.41938495949632243</v>
      </c>
      <c r="N836" s="35">
        <f xml:space="preserve"> IF( tblFilterAll[[#This Row],[Gearing]] &lt; M$825, 4, IF( tblFilterAll[[#This Row],[Gearing]] &lt; M$826, 3, IF( tblFilterAll[[#This Row],[Gearing]] &lt; M$827, 2, 1 ) ) )</f>
        <v>3</v>
      </c>
      <c r="O836" s="35">
        <f xml:space="preserve"> COUNTIFS( tblFilterAll[Include in output], 1, tblFilterAll[Gearing], "&gt;" &amp; tblFilterAll[[#This Row],[Gearing]] ) + 1</f>
        <v>121</v>
      </c>
      <c r="P836" s="30" cm="1">
        <f t="array" ref="P836" xml:space="preserve"> INDEX( VfM_Metrics_2023_Consol_Source[], $AK836, P$832 )</f>
        <v>2.0388143525741032</v>
      </c>
      <c r="Q836" s="35">
        <f xml:space="preserve"> IF( tblFilterAll[[#This Row],[EBITDA MRI Interest Cover]] &lt; P$825, 4, IF( tblFilterAll[[#This Row],[EBITDA MRI Interest Cover]] &lt; P$826, 3, IF( tblFilterAll[[#This Row],[EBITDA MRI Interest Cover]] &lt; P$827, 2, 1 ) ) )</f>
        <v>1</v>
      </c>
      <c r="R836" s="35">
        <f xml:space="preserve"> COUNTIFS( tblFilterAll[Include in output], 1, tblFilterAll[EBITDA MRI Interest Cover], "&gt;" &amp; tblFilterAll[[#This Row],[EBITDA MRI Interest Cover]] ) + 1</f>
        <v>29</v>
      </c>
      <c r="S836" s="32" cm="1">
        <f t="array" ref="S836" xml:space="preserve"> INDEX( VfM_Metrics_2023_Consol_Source[], $AK836, S$832 )</f>
        <v>3904.308985811876</v>
      </c>
      <c r="T836" s="35">
        <f xml:space="preserve"> IF( tblFilterAll[[#This Row],[Headline Social Housing Cost per unit]] &lt; S$825, 4, IF( tblFilterAll[[#This Row],[Headline Social Housing Cost per unit]] &lt; S$826, 3, IF( tblFilterAll[[#This Row],[Headline Social Housing Cost per unit]] &lt; S$827, 2, 1 ) ) )</f>
        <v>4</v>
      </c>
      <c r="U836" s="35">
        <f xml:space="preserve"> COUNTIFS( tblFilterAll[Include in output], 1, tblFilterAll[Headline Social Housing Cost per unit], "&gt;" &amp; tblFilterAll[[#This Row],[Headline Social Housing Cost per unit]] ) + 1</f>
        <v>173</v>
      </c>
      <c r="V836" s="30" cm="1">
        <f t="array" ref="V836" xml:space="preserve"> INDEX( VfM_Metrics_2023_Consol_Source[], $AK836, V$832 )</f>
        <v>0.25190067354667128</v>
      </c>
      <c r="W836" s="35">
        <f xml:space="preserve"> IF( tblFilterAll[[#This Row],[Operating Margin (SHL)]] &lt; V$825, 4, IF( tblFilterAll[[#This Row],[Operating Margin (SHL)]] &lt; V$826, 3, IF( tblFilterAll[[#This Row],[Operating Margin (SHL)]] &lt; V$827, 2, 1 ) ) )</f>
        <v>2</v>
      </c>
      <c r="X836" s="35">
        <f xml:space="preserve"> COUNTIFS( tblFilterAll[Include in output], 1, tblFilterAll[Operating Margin (SHL)], "&gt;" &amp; tblFilterAll[[#This Row],[Operating Margin (SHL)]] ) + 1</f>
        <v>54</v>
      </c>
      <c r="Y836" s="30" cm="1">
        <f t="array" ref="Y836" xml:space="preserve"> INDEX( VfM_Metrics_2023_Consol_Source[], $AK836, Y$832 )</f>
        <v>0.24556764489141272</v>
      </c>
      <c r="Z836" s="35">
        <f xml:space="preserve"> IF( tblFilterAll[[#This Row],[Operating Margin (Overall)]] &lt; Y$825, 4, IF( tblFilterAll[[#This Row],[Operating Margin (Overall)]] &lt; Y$826, 3, IF( tblFilterAll[[#This Row],[Operating Margin (Overall)]] &lt; Y$827, 2, 1 ) ) )</f>
        <v>1</v>
      </c>
      <c r="AA836" s="35">
        <f xml:space="preserve"> COUNTIFS( tblFilterAll[Include in output], 1, tblFilterAll[Operating Margin (Overall)], "&gt;" &amp; tblFilterAll[[#This Row],[Operating Margin (Overall)]] ) + 1</f>
        <v>38</v>
      </c>
      <c r="AB836" s="30" cm="1">
        <f t="array" ref="AB836" xml:space="preserve"> INDEX( VfM_Metrics_2023_Consol_Source[], $AK836, AB$832 )</f>
        <v>3.3267275510291336E-2</v>
      </c>
      <c r="AC836" s="35">
        <f xml:space="preserve"> IF( tblFilterAll[[#This Row],[ROCE]] &lt; AB$825, 4, IF( tblFilterAll[[#This Row],[ROCE]] &lt; AB$826, 3, IF( tblFilterAll[[#This Row],[ROCE]] &lt; AB$827, 2, 1 ) ) )</f>
        <v>2</v>
      </c>
      <c r="AD836" s="35">
        <f xml:space="preserve"> COUNTIFS( tblFilterAll[Include in output], 1, tblFilterAll[ROCE], "&gt;" &amp; tblFilterAll[[#This Row],[ROCE]] ) + 1</f>
        <v>64</v>
      </c>
      <c r="AE836" s="33" cm="1" vm="3275">
        <f t="array" ref="AE836" xml:space="preserve"> INDEX( VfM_Metrics_2023_Consol_Source[], $AK836, AE$832 )</f>
        <v>19024</v>
      </c>
      <c r="AF836" s="30" cm="1">
        <f t="array" ref="AF836" xml:space="preserve"> INDEX( VfM_Metrics_2023_Consol_Source[], $AK836, AF$832 )</f>
        <v>7.8988941548183253E-4</v>
      </c>
      <c r="AG836" s="30" cm="1">
        <f t="array" ref="AG836" xml:space="preserve"> INDEX( VfM_Metrics_2023_Consol_Source[], $AK836, AG$832 )</f>
        <v>9.7998946814112697E-2</v>
      </c>
      <c r="AH836" s="30" cm="1">
        <f t="array" ref="AH836" xml:space="preserve"> INDEX( VfM_Metrics_2023_Consol_Source[], $AK836, AH$832 )</f>
        <v>9.8788836229594529E-2</v>
      </c>
      <c r="AI836" s="30" t="str" cm="1">
        <f t="array" ref="AI836" xml:space="preserve"> INDEX( VfM_Metrics_2023_Consol_Source[], $AK836, AI$832 )</f>
        <v>Traditional</v>
      </c>
      <c r="AJ836" s="34" t="str" cm="1">
        <f t="array" ref="AJ836" xml:space="preserve"> INDEX( VfM_Metrics_2023_Consol_Source[], $AK836, AJ$832 )</f>
        <v>Mixed</v>
      </c>
      <c r="AK836" s="81">
        <f xml:space="preserve"> MATCH( tblFilterAll[[#This Row],[Code]], VfM_Metrics_2023_Consol_Source[RP_Code], 0 )</f>
        <v>3</v>
      </c>
      <c r="AL836" s="24">
        <f xml:space="preserve"> INDEX( tblFilterRegion[Include for region],  MATCH( tblFilterAll[[#This Row],[Code]], tblFilterRegion[RP_Code], 0 ) )</f>
        <v>1</v>
      </c>
      <c r="AM836" s="24">
        <f xml:space="preserve"> INDEX( tblFilterPropType[Incl for prop type],  MATCH( tblFilterAll[[#This Row],[Code]], tblFilterPropType[RP_Code], 0 ) )</f>
        <v>1</v>
      </c>
      <c r="AN836" s="24">
        <f xml:space="preserve"> INDEX( tblFilterSize[Incl for size],  MATCH( tblFilterAll[[#This Row],[Code]], tblFilterSize[RP_Code], 0 ) )</f>
        <v>1</v>
      </c>
      <c r="AO836" s="24">
        <f xml:space="preserve"> INDEX( tblFilterRP_Type[Incl, for RP Type],  MATCH( tblFilterAll[[#This Row],[Code]], tblFilterRP_Type[RP_Code], 0 ) )</f>
        <v>1</v>
      </c>
      <c r="AP836" s="24">
        <f xml:space="preserve">  -- ( SUM( tblFilterAll[[#This Row],[Filter Region]:[Filter RP Type]] ) = 4 )</f>
        <v>1</v>
      </c>
      <c r="AQ836" s="24">
        <f xml:space="preserve"> -- ( tblFilterAll[[#This Row],[Provider name]] = SelectedProvider )</f>
        <v>0</v>
      </c>
      <c r="AR836" s="24">
        <f xml:space="preserve">  -- ( OR( SUM( tblFilterAll[[#This Row],[Filter Region]:[Filter RP Type]] ) = 4, tblFilterAll[[#This Row],[SelectedProvider]] = 1 ) )</f>
        <v>1</v>
      </c>
      <c r="AS836" s="24">
        <f xml:space="preserve"> -- ( INDEX( PeersCritera[Included in final peers], MATCH( tblFilterAll[[#This Row],[Provider name]], PeersCritera[RP_Name], 0 ) ) = 1 )</f>
        <v>1</v>
      </c>
      <c r="AT836" s="30" t="str" cm="1">
        <f t="array" ref="AT836" xml:space="preserve"> SUBSTITUTE( INDEX( VfM_Metrics_2023_Consol_Source[], $AK836, AT$832 ), 0, "" )</f>
        <v/>
      </c>
      <c r="AU836" s="34" cm="1">
        <f t="array" ref="AU836" xml:space="preserve"> INDEX( VfM_Metrics_2023_Consol_Source[], $AK836, AU$832 )</f>
        <v>1.9991582491582492E-3</v>
      </c>
      <c r="AV836" s="34" cm="1">
        <f t="array" ref="AV836" xml:space="preserve"> INDEX( VfM_Metrics_2023_Consol_Source[], $AK836, AV$832 )</f>
        <v>0.20533459595959597</v>
      </c>
      <c r="AW836" s="34" cm="1">
        <f t="array" ref="AW836" xml:space="preserve"> INDEX( VfM_Metrics_2023_Consol_Source[], $AK836, AW$832 )</f>
        <v>0</v>
      </c>
      <c r="AX836" s="34" cm="1">
        <f t="array" ref="AX836" xml:space="preserve"> INDEX( VfM_Metrics_2023_Consol_Source[], $AK836, AX$832 )</f>
        <v>5.8922558922558925E-2</v>
      </c>
      <c r="AY836" s="34" cm="1">
        <f t="array" ref="AY836" xml:space="preserve"> INDEX( VfM_Metrics_2023_Consol_Source[], $AK836, AY$832 )</f>
        <v>0</v>
      </c>
      <c r="AZ836" s="34" cm="1">
        <f t="array" ref="AZ836" xml:space="preserve"> INDEX( VfM_Metrics_2023_Consol_Source[], $AK836, AZ$832 )</f>
        <v>0.16629840067340068</v>
      </c>
      <c r="BA836" s="34" cm="1">
        <f t="array" ref="BA836" xml:space="preserve"> INDEX( VfM_Metrics_2023_Consol_Source[], $AK836, BA$832 )</f>
        <v>0.13604797979797981</v>
      </c>
      <c r="BB836" s="34" cm="1">
        <f t="array" ref="BB836" xml:space="preserve"> INDEX( VfM_Metrics_2023_Consol_Source[], $AK836, BB$832 )</f>
        <v>0.21148989898989898</v>
      </c>
      <c r="BC836" s="34" cm="1">
        <f t="array" ref="BC836" xml:space="preserve"> INDEX( VfM_Metrics_2023_Consol_Source[], $AK836, BC$832 )</f>
        <v>0.21990740740740741</v>
      </c>
    </row>
    <row r="837" spans="2:55" x14ac:dyDescent="0.2">
      <c r="B837" s="122" t="str" vm="4">
        <f t="shared" ref="B837" si="309" xml:space="preserve"> B627</f>
        <v>Acis Group Limited</v>
      </c>
      <c r="C837" s="122" t="str" vm="392">
        <f t="shared" ref="C837" si="310" xml:space="preserve"> C627</f>
        <v>L4229</v>
      </c>
      <c r="D837" s="30" cm="1">
        <f t="array" ref="D837" xml:space="preserve"> INDEX( VfM_Metrics_2023_Consol_Source[], $AK837, D$832 )</f>
        <v>7.9237709674745069E-2</v>
      </c>
      <c r="E837" s="35">
        <f xml:space="preserve"> IF( tblFilterAll[[#This Row],[Reinvestment]] &lt; D$825, 4, IF( tblFilterAll[[#This Row],[Reinvestment]] &lt; D$826, 3, IF( tblFilterAll[[#This Row],[Reinvestment]] &lt; D$827, 2, 1 ) ) )</f>
        <v>2</v>
      </c>
      <c r="F837" s="35">
        <f xml:space="preserve"> COUNTIFS( tblFilterAll[Include in output], 1, tblFilterAll[Reinvestment], "&gt;" &amp; tblFilterAll[[#This Row],[Reinvestment]] ) + 1</f>
        <v>75</v>
      </c>
      <c r="G837" s="30" cm="1">
        <f t="array" ref="G837" xml:space="preserve"> INDEX( VfM_Metrics_2023_Consol_Source[], $AK837, G$832 )</f>
        <v>1.3464447806354009E-2</v>
      </c>
      <c r="H837" s="35">
        <f xml:space="preserve"> IF( tblFilterAll[[#This Row],[New Supply (Social)]] &lt; G$825, 4, IF( tblFilterAll[[#This Row],[New Supply (Social)]] &lt; G$826, 3, IF( tblFilterAll[[#This Row],[New Supply (Social)]] &lt; G$827, 2, 1 ) ) )</f>
        <v>2</v>
      </c>
      <c r="I837" s="35">
        <f xml:space="preserve"> COUNTIFS( tblFilterAll[Include in output], 1, tblFilterAll[New Supply (Social)], "&gt;" &amp; tblFilterAll[[#This Row],[New Supply (Social)]] ) + 1</f>
        <v>95</v>
      </c>
      <c r="J837" s="31" cm="1">
        <f t="array" ref="J837" xml:space="preserve"> INDEX( VfM_Metrics_2023_Consol_Source[], $AK837, J$832 )</f>
        <v>1.4082703879144795E-3</v>
      </c>
      <c r="K837" s="35">
        <f xml:space="preserve"> IF( tblFilterAll[[#This Row],[New Supply (Non-Social)]] &lt; J$825, 4, IF( tblFilterAll[[#This Row],[New Supply (Non-Social)]] &lt; J$826, 3, IF( tblFilterAll[[#This Row],[New Supply (Non-Social)]] &lt; J$827, 2, 1 ) ) )</f>
        <v>1</v>
      </c>
      <c r="L837" s="35">
        <f xml:space="preserve"> COUNTIFS( tblFilterAll[Include in output], 1, tblFilterAll[New Supply (Non-Social)], "&gt;" &amp; tblFilterAll[[#This Row],[New Supply (Non-Social)]] ) + 1</f>
        <v>41</v>
      </c>
      <c r="M837" s="30" cm="1">
        <f t="array" ref="M837" xml:space="preserve"> INDEX( VfM_Metrics_2023_Consol_Source[], $AK837, M$832 )</f>
        <v>0.63454071904275011</v>
      </c>
      <c r="N837" s="35">
        <f xml:space="preserve"> IF( tblFilterAll[[#This Row],[Gearing]] &lt; M$825, 4, IF( tblFilterAll[[#This Row],[Gearing]] &lt; M$826, 3, IF( tblFilterAll[[#This Row],[Gearing]] &lt; M$827, 2, 1 ) ) )</f>
        <v>1</v>
      </c>
      <c r="O837" s="35">
        <f xml:space="preserve"> COUNTIFS( tblFilterAll[Include in output], 1, tblFilterAll[Gearing], "&gt;" &amp; tblFilterAll[[#This Row],[Gearing]] ) + 1</f>
        <v>15</v>
      </c>
      <c r="P837" s="30" cm="1">
        <f t="array" ref="P837" xml:space="preserve"> INDEX( VfM_Metrics_2023_Consol_Source[], $AK837, P$832 )</f>
        <v>1.3027703557868091</v>
      </c>
      <c r="Q837" s="35">
        <f xml:space="preserve"> IF( tblFilterAll[[#This Row],[EBITDA MRI Interest Cover]] &lt; P$825, 4, IF( tblFilterAll[[#This Row],[EBITDA MRI Interest Cover]] &lt; P$826, 3, IF( tblFilterAll[[#This Row],[EBITDA MRI Interest Cover]] &lt; P$827, 2, 1 ) ) )</f>
        <v>2</v>
      </c>
      <c r="R837" s="35">
        <f xml:space="preserve"> COUNTIFS( tblFilterAll[Include in output], 1, tblFilterAll[EBITDA MRI Interest Cover], "&gt;" &amp; tblFilterAll[[#This Row],[EBITDA MRI Interest Cover]] ) + 1</f>
        <v>93</v>
      </c>
      <c r="S837" s="32" cm="1">
        <f t="array" ref="S837" xml:space="preserve"> INDEX( VfM_Metrics_2023_Consol_Source[], $AK837, S$832 )</f>
        <v>3646.7473524962179</v>
      </c>
      <c r="T837" s="35">
        <f xml:space="preserve"> IF( tblFilterAll[[#This Row],[Headline Social Housing Cost per unit]] &lt; S$825, 4, IF( tblFilterAll[[#This Row],[Headline Social Housing Cost per unit]] &lt; S$826, 3, IF( tblFilterAll[[#This Row],[Headline Social Housing Cost per unit]] &lt; S$827, 2, 1 ) ) )</f>
        <v>4</v>
      </c>
      <c r="U837" s="35">
        <f xml:space="preserve"> COUNTIFS( tblFilterAll[Include in output], 1, tblFilterAll[Headline Social Housing Cost per unit], "&gt;" &amp; tblFilterAll[[#This Row],[Headline Social Housing Cost per unit]] ) + 1</f>
        <v>186</v>
      </c>
      <c r="V837" s="30" cm="1">
        <f t="array" ref="V837" xml:space="preserve"> INDEX( VfM_Metrics_2023_Consol_Source[], $AK837, V$832 )</f>
        <v>0.25210028878970858</v>
      </c>
      <c r="W837" s="35">
        <f xml:space="preserve"> IF( tblFilterAll[[#This Row],[Operating Margin (SHL)]] &lt; V$825, 4, IF( tblFilterAll[[#This Row],[Operating Margin (SHL)]] &lt; V$826, 3, IF( tblFilterAll[[#This Row],[Operating Margin (SHL)]] &lt; V$827, 2, 1 ) ) )</f>
        <v>2</v>
      </c>
      <c r="X837" s="35">
        <f xml:space="preserve"> COUNTIFS( tblFilterAll[Include in output], 1, tblFilterAll[Operating Margin (SHL)], "&gt;" &amp; tblFilterAll[[#This Row],[Operating Margin (SHL)]] ) + 1</f>
        <v>53</v>
      </c>
      <c r="Y837" s="30" cm="1">
        <f t="array" ref="Y837" xml:space="preserve"> INDEX( VfM_Metrics_2023_Consol_Source[], $AK837, Y$832 )</f>
        <v>0.26013277428371767</v>
      </c>
      <c r="Z837" s="35">
        <f xml:space="preserve"> IF( tblFilterAll[[#This Row],[Operating Margin (Overall)]] &lt; Y$825, 4, IF( tblFilterAll[[#This Row],[Operating Margin (Overall)]] &lt; Y$826, 3, IF( tblFilterAll[[#This Row],[Operating Margin (Overall)]] &lt; Y$827, 2, 1 ) ) )</f>
        <v>1</v>
      </c>
      <c r="AA837" s="35">
        <f xml:space="preserve"> COUNTIFS( tblFilterAll[Include in output], 1, tblFilterAll[Operating Margin (Overall)], "&gt;" &amp; tblFilterAll[[#This Row],[Operating Margin (Overall)]] ) + 1</f>
        <v>30</v>
      </c>
      <c r="AB837" s="30" cm="1">
        <f t="array" ref="AB837" xml:space="preserve"> INDEX( VfM_Metrics_2023_Consol_Source[], $AK837, AB$832 )</f>
        <v>3.8941271273408497E-2</v>
      </c>
      <c r="AC837" s="35">
        <f xml:space="preserve"> IF( tblFilterAll[[#This Row],[ROCE]] &lt; AB$825, 4, IF( tblFilterAll[[#This Row],[ROCE]] &lt; AB$826, 3, IF( tblFilterAll[[#This Row],[ROCE]] &lt; AB$827, 2, 1 ) ) )</f>
        <v>1</v>
      </c>
      <c r="AD837" s="35">
        <f xml:space="preserve"> COUNTIFS( tblFilterAll[Include in output], 1, tblFilterAll[ROCE], "&gt;" &amp; tblFilterAll[[#This Row],[ROCE]] ) + 1</f>
        <v>34</v>
      </c>
      <c r="AE837" s="33" cm="1" vm="6661">
        <f t="array" ref="AE837" xml:space="preserve"> INDEX( VfM_Metrics_2023_Consol_Source[], $AK837, AE$832 )</f>
        <v>6610</v>
      </c>
      <c r="AF837" s="30" cm="1">
        <f t="array" ref="AF837" xml:space="preserve"> INDEX( VfM_Metrics_2023_Consol_Source[], $AK837, AF$832 )</f>
        <v>9.1130012150668284E-4</v>
      </c>
      <c r="AG837" s="30" cm="1">
        <f t="array" ref="AG837" xml:space="preserve"> INDEX( VfM_Metrics_2023_Consol_Source[], $AK837, AG$832 )</f>
        <v>3.8274605103280679E-2</v>
      </c>
      <c r="AH837" s="30" cm="1">
        <f t="array" ref="AH837" xml:space="preserve"> INDEX( VfM_Metrics_2023_Consol_Source[], $AK837, AH$832 )</f>
        <v>3.9185905224787362E-2</v>
      </c>
      <c r="AI837" s="30" t="str" cm="1">
        <f t="array" ref="AI837" xml:space="preserve"> INDEX( VfM_Metrics_2023_Consol_Source[], $AK837, AI$832 )</f>
        <v>Traditional</v>
      </c>
      <c r="AJ837" s="34" t="str" cm="1">
        <f t="array" ref="AJ837" xml:space="preserve"> INDEX( VfM_Metrics_2023_Consol_Source[], $AK837, AJ$832 )</f>
        <v>East Midlands</v>
      </c>
      <c r="AK837" s="81">
        <f xml:space="preserve"> MATCH( tblFilterAll[[#This Row],[Code]], VfM_Metrics_2023_Consol_Source[RP_Code], 0 )</f>
        <v>4</v>
      </c>
      <c r="AL837" s="24">
        <f xml:space="preserve"> INDEX( tblFilterRegion[Include for region],  MATCH( tblFilterAll[[#This Row],[Code]], tblFilterRegion[RP_Code], 0 ) )</f>
        <v>1</v>
      </c>
      <c r="AM837" s="24">
        <f xml:space="preserve"> INDEX( tblFilterPropType[Incl for prop type],  MATCH( tblFilterAll[[#This Row],[Code]], tblFilterPropType[RP_Code], 0 ) )</f>
        <v>1</v>
      </c>
      <c r="AN837" s="24">
        <f xml:space="preserve"> INDEX( tblFilterSize[Incl for size],  MATCH( tblFilterAll[[#This Row],[Code]], tblFilterSize[RP_Code], 0 ) )</f>
        <v>1</v>
      </c>
      <c r="AO837" s="24">
        <f xml:space="preserve"> INDEX( tblFilterRP_Type[Incl, for RP Type],  MATCH( tblFilterAll[[#This Row],[Code]], tblFilterRP_Type[RP_Code], 0 ) )</f>
        <v>1</v>
      </c>
      <c r="AP837" s="24">
        <f xml:space="preserve">  -- ( SUM( tblFilterAll[[#This Row],[Filter Region]:[Filter RP Type]] ) = 4 )</f>
        <v>1</v>
      </c>
      <c r="AQ837" s="24">
        <f xml:space="preserve"> -- ( tblFilterAll[[#This Row],[Provider name]] = SelectedProvider )</f>
        <v>0</v>
      </c>
      <c r="AR837" s="24">
        <f xml:space="preserve">  -- ( OR( SUM( tblFilterAll[[#This Row],[Filter Region]:[Filter RP Type]] ) = 4, tblFilterAll[[#This Row],[SelectedProvider]] = 1 ) )</f>
        <v>1</v>
      </c>
      <c r="AS837" s="24">
        <f xml:space="preserve"> -- ( INDEX( PeersCritera[Included in final peers], MATCH( tblFilterAll[[#This Row],[Provider name]], PeersCritera[RP_Name], 0 ) ) = 1 )</f>
        <v>1</v>
      </c>
      <c r="AT837" s="30" t="str" cm="1">
        <f t="array" ref="AT837" xml:space="preserve"> SUBSTITUTE( INDEX( VfM_Metrics_2023_Consol_Source[], $AK837, AT$832 ), 0, "" )</f>
        <v>&gt;= 12 years</v>
      </c>
      <c r="AU837" s="34" cm="1">
        <f t="array" ref="AU837" xml:space="preserve"> INDEX( VfM_Metrics_2023_Consol_Source[], $AK837, AU$832 )</f>
        <v>0</v>
      </c>
      <c r="AV837" s="34" cm="1">
        <f t="array" ref="AV837" xml:space="preserve"> INDEX( VfM_Metrics_2023_Consol_Source[], $AK837, AV$832 )</f>
        <v>0</v>
      </c>
      <c r="AW837" s="34" cm="1">
        <f t="array" ref="AW837" xml:space="preserve"> INDEX( VfM_Metrics_2023_Consol_Source[], $AK837, AW$832 )</f>
        <v>0</v>
      </c>
      <c r="AX837" s="34" cm="1">
        <f t="array" ref="AX837" xml:space="preserve"> INDEX( VfM_Metrics_2023_Consol_Source[], $AK837, AX$832 )</f>
        <v>0.76762481089258694</v>
      </c>
      <c r="AY837" s="34" cm="1">
        <f t="array" ref="AY837" xml:space="preserve"> INDEX( VfM_Metrics_2023_Consol_Source[], $AK837, AY$832 )</f>
        <v>0</v>
      </c>
      <c r="AZ837" s="34" cm="1">
        <f t="array" ref="AZ837" xml:space="preserve"> INDEX( VfM_Metrics_2023_Consol_Source[], $AK837, AZ$832 )</f>
        <v>0</v>
      </c>
      <c r="BA837" s="34" cm="1">
        <f t="array" ref="BA837" xml:space="preserve"> INDEX( VfM_Metrics_2023_Consol_Source[], $AK837, BA$832 )</f>
        <v>0</v>
      </c>
      <c r="BB837" s="34" cm="1">
        <f t="array" ref="BB837" xml:space="preserve"> INDEX( VfM_Metrics_2023_Consol_Source[], $AK837, BB$832 )</f>
        <v>0</v>
      </c>
      <c r="BC837" s="34" cm="1">
        <f t="array" ref="BC837" xml:space="preserve"> INDEX( VfM_Metrics_2023_Consol_Source[], $AK837, BC$832 )</f>
        <v>0.232375189107413</v>
      </c>
    </row>
    <row r="838" spans="2:55" x14ac:dyDescent="0.2">
      <c r="B838" s="122" t="str" vm="5">
        <f t="shared" ref="B838" si="311" xml:space="preserve"> B628</f>
        <v>Advance Housing and Support Limited</v>
      </c>
      <c r="C838" s="122" t="str" vm="204">
        <f t="shared" ref="C838" si="312" xml:space="preserve"> C628</f>
        <v>LH0280</v>
      </c>
      <c r="D838" s="30" cm="1">
        <f t="array" ref="D838" xml:space="preserve"> INDEX( VfM_Metrics_2023_Consol_Source[], $AK838, D$832 )</f>
        <v>8.651176640596947E-2</v>
      </c>
      <c r="E838" s="35">
        <f xml:space="preserve"> IF( tblFilterAll[[#This Row],[Reinvestment]] &lt; D$825, 4, IF( tblFilterAll[[#This Row],[Reinvestment]] &lt; D$826, 3, IF( tblFilterAll[[#This Row],[Reinvestment]] &lt; D$827, 2, 1 ) ) )</f>
        <v>2</v>
      </c>
      <c r="F838" s="35">
        <f xml:space="preserve"> COUNTIFS( tblFilterAll[Include in output], 1, tblFilterAll[Reinvestment], "&gt;" &amp; tblFilterAll[[#This Row],[Reinvestment]] ) + 1</f>
        <v>60</v>
      </c>
      <c r="G838" s="30" cm="1">
        <f t="array" ref="G838" xml:space="preserve"> INDEX( VfM_Metrics_2023_Consol_Source[], $AK838, G$832 )</f>
        <v>2.5858225590726706E-2</v>
      </c>
      <c r="H838" s="35">
        <f xml:space="preserve"> IF( tblFilterAll[[#This Row],[New Supply (Social)]] &lt; G$825, 4, IF( tblFilterAll[[#This Row],[New Supply (Social)]] &lt; G$826, 3, IF( tblFilterAll[[#This Row],[New Supply (Social)]] &lt; G$827, 2, 1 ) ) )</f>
        <v>1</v>
      </c>
      <c r="I838" s="35">
        <f xml:space="preserve"> COUNTIFS( tblFilterAll[Include in output], 1, tblFilterAll[New Supply (Social)], "&gt;" &amp; tblFilterAll[[#This Row],[New Supply (Social)]] ) + 1</f>
        <v>33</v>
      </c>
      <c r="J838" s="31" cm="1">
        <f t="array" ref="J838" xml:space="preserve"> INDEX( VfM_Metrics_2023_Consol_Source[], $AK838, J$832 )</f>
        <v>0</v>
      </c>
      <c r="K838" s="35">
        <f xml:space="preserve"> IF( tblFilterAll[[#This Row],[New Supply (Non-Social)]] &lt; J$825, 4, IF( tblFilterAll[[#This Row],[New Supply (Non-Social)]] &lt; J$826, 3, IF( tblFilterAll[[#This Row],[New Supply (Non-Social)]] &lt; J$827, 2, 1 ) ) )</f>
        <v>2</v>
      </c>
      <c r="L838" s="35">
        <f xml:space="preserve"> COUNTIFS( tblFilterAll[Include in output], 1, tblFilterAll[New Supply (Non-Social)], "&gt;" &amp; tblFilterAll[[#This Row],[New Supply (Non-Social)]] ) + 1</f>
        <v>72</v>
      </c>
      <c r="M838" s="30" cm="1">
        <f t="array" ref="M838" xml:space="preserve"> INDEX( VfM_Metrics_2023_Consol_Source[], $AK838, M$832 )</f>
        <v>-8.5565899755651112E-3</v>
      </c>
      <c r="N838" s="35">
        <f xml:space="preserve"> IF( tblFilterAll[[#This Row],[Gearing]] &lt; M$825, 4, IF( tblFilterAll[[#This Row],[Gearing]] &lt; M$826, 3, IF( tblFilterAll[[#This Row],[Gearing]] &lt; M$827, 2, 1 ) ) )</f>
        <v>4</v>
      </c>
      <c r="O838" s="35">
        <f xml:space="preserve"> COUNTIFS( tblFilterAll[Include in output], 1, tblFilterAll[Gearing], "&gt;" &amp; tblFilterAll[[#This Row],[Gearing]] ) + 1</f>
        <v>192</v>
      </c>
      <c r="P838" s="30" cm="1">
        <f t="array" ref="P838" xml:space="preserve"> INDEX( VfM_Metrics_2023_Consol_Source[], $AK838, P$832 )</f>
        <v>4.3608490566037732</v>
      </c>
      <c r="Q838" s="35">
        <f xml:space="preserve"> IF( tblFilterAll[[#This Row],[EBITDA MRI Interest Cover]] &lt; P$825, 4, IF( tblFilterAll[[#This Row],[EBITDA MRI Interest Cover]] &lt; P$826, 3, IF( tblFilterAll[[#This Row],[EBITDA MRI Interest Cover]] &lt; P$827, 2, 1 ) ) )</f>
        <v>1</v>
      </c>
      <c r="R838" s="35">
        <f xml:space="preserve"> COUNTIFS( tblFilterAll[Include in output], 1, tblFilterAll[EBITDA MRI Interest Cover], "&gt;" &amp; tblFilterAll[[#This Row],[EBITDA MRI Interest Cover]] ) + 1</f>
        <v>2</v>
      </c>
      <c r="S838" s="32" cm="1">
        <f t="array" ref="S838" xml:space="preserve"> INDEX( VfM_Metrics_2023_Consol_Source[], $AK838, S$832 )</f>
        <v>16111.593573599652</v>
      </c>
      <c r="T838" s="35">
        <f xml:space="preserve"> IF( tblFilterAll[[#This Row],[Headline Social Housing Cost per unit]] &lt; S$825, 4, IF( tblFilterAll[[#This Row],[Headline Social Housing Cost per unit]] &lt; S$826, 3, IF( tblFilterAll[[#This Row],[Headline Social Housing Cost per unit]] &lt; S$827, 2, 1 ) ) )</f>
        <v>1</v>
      </c>
      <c r="U838" s="35">
        <f xml:space="preserve"> COUNTIFS( tblFilterAll[Include in output], 1, tblFilterAll[Headline Social Housing Cost per unit], "&gt;" &amp; tblFilterAll[[#This Row],[Headline Social Housing Cost per unit]] ) + 1</f>
        <v>7</v>
      </c>
      <c r="V838" s="30" cm="1">
        <f t="array" ref="V838" xml:space="preserve"> INDEX( VfM_Metrics_2023_Consol_Source[], $AK838, V$832 )</f>
        <v>0.11266726137377342</v>
      </c>
      <c r="W838" s="35">
        <f xml:space="preserve"> IF( tblFilterAll[[#This Row],[Operating Margin (SHL)]] &lt; V$825, 4, IF( tblFilterAll[[#This Row],[Operating Margin (SHL)]] &lt; V$826, 3, IF( tblFilterAll[[#This Row],[Operating Margin (SHL)]] &lt; V$827, 2, 1 ) ) )</f>
        <v>4</v>
      </c>
      <c r="X838" s="35">
        <f xml:space="preserve"> COUNTIFS( tblFilterAll[Include in output], 1, tblFilterAll[Operating Margin (SHL)], "&gt;" &amp; tblFilterAll[[#This Row],[Operating Margin (SHL)]] ) + 1</f>
        <v>168</v>
      </c>
      <c r="Y838" s="30" cm="1">
        <f t="array" ref="Y838" xml:space="preserve"> INDEX( VfM_Metrics_2023_Consol_Source[], $AK838, Y$832 )</f>
        <v>2.6907741839193193E-2</v>
      </c>
      <c r="Z838" s="35">
        <f xml:space="preserve"> IF( tblFilterAll[[#This Row],[Operating Margin (Overall)]] &lt; Y$825, 4, IF( tblFilterAll[[#This Row],[Operating Margin (Overall)]] &lt; Y$826, 3, IF( tblFilterAll[[#This Row],[Operating Margin (Overall)]] &lt; Y$827, 2, 1 ) ) )</f>
        <v>4</v>
      </c>
      <c r="AA838" s="35">
        <f xml:space="preserve"> COUNTIFS( tblFilterAll[Include in output], 1, tblFilterAll[Operating Margin (Overall)], "&gt;" &amp; tblFilterAll[[#This Row],[Operating Margin (Overall)]] ) + 1</f>
        <v>189</v>
      </c>
      <c r="AB838" s="30" cm="1">
        <f t="array" ref="AB838" xml:space="preserve"> INDEX( VfM_Metrics_2023_Consol_Source[], $AK838, AB$832 )</f>
        <v>1.6309027226295066E-2</v>
      </c>
      <c r="AC838" s="35">
        <f xml:space="preserve"> IF( tblFilterAll[[#This Row],[ROCE]] &lt; AB$825, 4, IF( tblFilterAll[[#This Row],[ROCE]] &lt; AB$826, 3, IF( tblFilterAll[[#This Row],[ROCE]] &lt; AB$827, 2, 1 ) ) )</f>
        <v>4</v>
      </c>
      <c r="AD838" s="35">
        <f xml:space="preserve"> COUNTIFS( tblFilterAll[Include in output], 1, tblFilterAll[ROCE], "&gt;" &amp; tblFilterAll[[#This Row],[ROCE]] ) + 1</f>
        <v>177</v>
      </c>
      <c r="AE838" s="33" cm="1" vm="700">
        <f t="array" ref="AE838" xml:space="preserve"> INDEX( VfM_Metrics_2023_Consol_Source[], $AK838, AE$832 )</f>
        <v>2243</v>
      </c>
      <c r="AF838" s="30" cm="1">
        <f t="array" ref="AF838" xml:space="preserve"> INDEX( VfM_Metrics_2023_Consol_Source[], $AK838, AF$832 )</f>
        <v>0.62841774988794263</v>
      </c>
      <c r="AG838" s="30" cm="1">
        <f t="array" ref="AG838" xml:space="preserve"> INDEX( VfM_Metrics_2023_Consol_Source[], $AK838, AG$832 )</f>
        <v>0</v>
      </c>
      <c r="AH838" s="30" cm="1">
        <f t="array" ref="AH838" xml:space="preserve"> INDEX( VfM_Metrics_2023_Consol_Source[], $AK838, AH$832 )</f>
        <v>0.62841774988794263</v>
      </c>
      <c r="AI838" s="30" t="str" cm="1">
        <f t="array" ref="AI838" xml:space="preserve"> INDEX( VfM_Metrics_2023_Consol_Source[], $AK838, AI$832 )</f>
        <v>Traditional</v>
      </c>
      <c r="AJ838" s="34" t="str" cm="1">
        <f t="array" ref="AJ838" xml:space="preserve"> INDEX( VfM_Metrics_2023_Consol_Source[], $AK838, AJ$832 )</f>
        <v>Mixed</v>
      </c>
      <c r="AK838" s="81">
        <f xml:space="preserve"> MATCH( tblFilterAll[[#This Row],[Code]], VfM_Metrics_2023_Consol_Source[RP_Code], 0 )</f>
        <v>5</v>
      </c>
      <c r="AL838" s="24">
        <f xml:space="preserve"> INDEX( tblFilterRegion[Include for region],  MATCH( tblFilterAll[[#This Row],[Code]], tblFilterRegion[RP_Code], 0 ) )</f>
        <v>1</v>
      </c>
      <c r="AM838" s="24">
        <f xml:space="preserve"> INDEX( tblFilterPropType[Incl for prop type],  MATCH( tblFilterAll[[#This Row],[Code]], tblFilterPropType[RP_Code], 0 ) )</f>
        <v>1</v>
      </c>
      <c r="AN838" s="24">
        <f xml:space="preserve"> INDEX( tblFilterSize[Incl for size],  MATCH( tblFilterAll[[#This Row],[Code]], tblFilterSize[RP_Code], 0 ) )</f>
        <v>1</v>
      </c>
      <c r="AO838" s="24">
        <f xml:space="preserve"> INDEX( tblFilterRP_Type[Incl, for RP Type],  MATCH( tblFilterAll[[#This Row],[Code]], tblFilterRP_Type[RP_Code], 0 ) )</f>
        <v>1</v>
      </c>
      <c r="AP838" s="24">
        <f xml:space="preserve">  -- ( SUM( tblFilterAll[[#This Row],[Filter Region]:[Filter RP Type]] ) = 4 )</f>
        <v>1</v>
      </c>
      <c r="AQ838" s="24">
        <f xml:space="preserve"> -- ( tblFilterAll[[#This Row],[Provider name]] = SelectedProvider )</f>
        <v>0</v>
      </c>
      <c r="AR838" s="24">
        <f xml:space="preserve">  -- ( OR( SUM( tblFilterAll[[#This Row],[Filter Region]:[Filter RP Type]] ) = 4, tblFilterAll[[#This Row],[SelectedProvider]] = 1 ) )</f>
        <v>1</v>
      </c>
      <c r="AS838" s="24">
        <f xml:space="preserve"> -- ( INDEX( PeersCritera[Included in final peers], MATCH( tblFilterAll[[#This Row],[Provider name]], PeersCritera[RP_Name], 0 ) ) = 1 )</f>
        <v>1</v>
      </c>
      <c r="AT838" s="30" t="str" cm="1">
        <f t="array" ref="AT838" xml:space="preserve"> SUBSTITUTE( INDEX( VfM_Metrics_2023_Consol_Source[], $AK838, AT$832 ), 0, "" )</f>
        <v/>
      </c>
      <c r="AU838" s="34" cm="1">
        <f t="array" ref="AU838" xml:space="preserve"> INDEX( VfM_Metrics_2023_Consol_Source[], $AK838, AU$832 )</f>
        <v>2.7089072543617997E-2</v>
      </c>
      <c r="AV838" s="34" cm="1">
        <f t="array" ref="AV838" xml:space="preserve"> INDEX( VfM_Metrics_2023_Consol_Source[], $AK838, AV$832 )</f>
        <v>0.28053259871441688</v>
      </c>
      <c r="AW838" s="34" cm="1">
        <f t="array" ref="AW838" xml:space="preserve"> INDEX( VfM_Metrics_2023_Consol_Source[], $AK838, AW$832 )</f>
        <v>0.32277318640955005</v>
      </c>
      <c r="AX838" s="34" cm="1">
        <f t="array" ref="AX838" xml:space="preserve"> INDEX( VfM_Metrics_2023_Consol_Source[], $AK838, AX$832 )</f>
        <v>0.24793388429752067</v>
      </c>
      <c r="AY838" s="34" cm="1">
        <f t="array" ref="AY838" xml:space="preserve"> INDEX( VfM_Metrics_2023_Consol_Source[], $AK838, AY$832 )</f>
        <v>8.7695133149678597E-2</v>
      </c>
      <c r="AZ838" s="34" cm="1">
        <f t="array" ref="AZ838" xml:space="preserve"> INDEX( VfM_Metrics_2023_Consol_Source[], $AK838, AZ$832 )</f>
        <v>3.1221303948576674E-2</v>
      </c>
      <c r="BA838" s="34" cm="1">
        <f t="array" ref="BA838" xml:space="preserve"> INDEX( VfM_Metrics_2023_Consol_Source[], $AK838, BA$832 )</f>
        <v>4.591368227731864E-4</v>
      </c>
      <c r="BB838" s="34" cm="1">
        <f t="array" ref="BB838" xml:space="preserve"> INDEX( VfM_Metrics_2023_Consol_Source[], $AK838, BB$832 )</f>
        <v>9.1827364554637281E-4</v>
      </c>
      <c r="BC838" s="34" cm="1">
        <f t="array" ref="BC838" xml:space="preserve"> INDEX( VfM_Metrics_2023_Consol_Source[], $AK838, BC$832 )</f>
        <v>1.3774104683195593E-3</v>
      </c>
    </row>
    <row r="839" spans="2:55" x14ac:dyDescent="0.2">
      <c r="B839" s="122" t="str" vm="6">
        <f t="shared" ref="B839" si="313" xml:space="preserve"> B629</f>
        <v>Anchor Hanover Group</v>
      </c>
      <c r="C839" s="122" t="str">
        <f t="shared" ref="C839" si="314" xml:space="preserve"> C629</f>
        <v>LH4095</v>
      </c>
      <c r="D839" s="30" cm="1">
        <f t="array" ref="D839" xml:space="preserve"> INDEX( VfM_Metrics_2023_Consol_Source[], $AK839, D$832 )</f>
        <v>0.17459660855715944</v>
      </c>
      <c r="E839" s="35">
        <f xml:space="preserve"> IF( tblFilterAll[[#This Row],[Reinvestment]] &lt; D$825, 4, IF( tblFilterAll[[#This Row],[Reinvestment]] &lt; D$826, 3, IF( tblFilterAll[[#This Row],[Reinvestment]] &lt; D$827, 2, 1 ) ) )</f>
        <v>1</v>
      </c>
      <c r="F839" s="35">
        <f xml:space="preserve"> COUNTIFS( tblFilterAll[Include in output], 1, tblFilterAll[Reinvestment], "&gt;" &amp; tblFilterAll[[#This Row],[Reinvestment]] ) + 1</f>
        <v>6</v>
      </c>
      <c r="G839" s="30" cm="1">
        <f t="array" ref="G839" xml:space="preserve"> INDEX( VfM_Metrics_2023_Consol_Source[], $AK839, G$832 )</f>
        <v>4.2275849920732781E-3</v>
      </c>
      <c r="H839" s="35">
        <f xml:space="preserve"> IF( tblFilterAll[[#This Row],[New Supply (Social)]] &lt; G$825, 4, IF( tblFilterAll[[#This Row],[New Supply (Social)]] &lt; G$826, 3, IF( tblFilterAll[[#This Row],[New Supply (Social)]] &lt; G$827, 2, 1 ) ) )</f>
        <v>4</v>
      </c>
      <c r="I839" s="35">
        <f xml:space="preserve"> COUNTIFS( tblFilterAll[Include in output], 1, tblFilterAll[New Supply (Social)], "&gt;" &amp; tblFilterAll[[#This Row],[New Supply (Social)]] ) + 1</f>
        <v>164</v>
      </c>
      <c r="J839" s="31" cm="1">
        <f t="array" ref="J839" xml:space="preserve"> INDEX( VfM_Metrics_2023_Consol_Source[], $AK839, J$832 )</f>
        <v>1.6766817044437544E-2</v>
      </c>
      <c r="K839" s="35">
        <f xml:space="preserve"> IF( tblFilterAll[[#This Row],[New Supply (Non-Social)]] &lt; J$825, 4, IF( tblFilterAll[[#This Row],[New Supply (Non-Social)]] &lt; J$826, 3, IF( tblFilterAll[[#This Row],[New Supply (Non-Social)]] &lt; J$827, 2, 1 ) ) )</f>
        <v>1</v>
      </c>
      <c r="L839" s="35">
        <f xml:space="preserve"> COUNTIFS( tblFilterAll[Include in output], 1, tblFilterAll[New Supply (Non-Social)], "&gt;" &amp; tblFilterAll[[#This Row],[New Supply (Non-Social)]] ) + 1</f>
        <v>2</v>
      </c>
      <c r="M839" s="30" cm="1">
        <f t="array" ref="M839" xml:space="preserve"> INDEX( VfM_Metrics_2023_Consol_Source[], $AK839, M$832 )</f>
        <v>0.54326215579305426</v>
      </c>
      <c r="N839" s="35">
        <f xml:space="preserve"> IF( tblFilterAll[[#This Row],[Gearing]] &lt; M$825, 4, IF( tblFilterAll[[#This Row],[Gearing]] &lt; M$826, 3, IF( tblFilterAll[[#This Row],[Gearing]] &lt; M$827, 2, 1 ) ) )</f>
        <v>1</v>
      </c>
      <c r="O839" s="35">
        <f xml:space="preserve"> COUNTIFS( tblFilterAll[Include in output], 1, tblFilterAll[Gearing], "&gt;" &amp; tblFilterAll[[#This Row],[Gearing]] ) + 1</f>
        <v>45</v>
      </c>
      <c r="P839" s="30" cm="1">
        <f t="array" ref="P839" xml:space="preserve"> INDEX( VfM_Metrics_2023_Consol_Source[], $AK839, P$832 )</f>
        <v>1.4454092575935791</v>
      </c>
      <c r="Q839" s="35">
        <f xml:space="preserve"> IF( tblFilterAll[[#This Row],[EBITDA MRI Interest Cover]] &lt; P$825, 4, IF( tblFilterAll[[#This Row],[EBITDA MRI Interest Cover]] &lt; P$826, 3, IF( tblFilterAll[[#This Row],[EBITDA MRI Interest Cover]] &lt; P$827, 2, 1 ) ) )</f>
        <v>2</v>
      </c>
      <c r="R839" s="35">
        <f xml:space="preserve"> COUNTIFS( tblFilterAll[Include in output], 1, tblFilterAll[EBITDA MRI Interest Cover], "&gt;" &amp; tblFilterAll[[#This Row],[EBITDA MRI Interest Cover]] ) + 1</f>
        <v>72</v>
      </c>
      <c r="S839" s="32" cm="1">
        <f t="array" ref="S839" xml:space="preserve"> INDEX( VfM_Metrics_2023_Consol_Source[], $AK839, S$832 )</f>
        <v>11167.356287867593</v>
      </c>
      <c r="T839" s="35">
        <f xml:space="preserve"> IF( tblFilterAll[[#This Row],[Headline Social Housing Cost per unit]] &lt; S$825, 4, IF( tblFilterAll[[#This Row],[Headline Social Housing Cost per unit]] &lt; S$826, 3, IF( tblFilterAll[[#This Row],[Headline Social Housing Cost per unit]] &lt; S$827, 2, 1 ) ) )</f>
        <v>1</v>
      </c>
      <c r="U839" s="35">
        <f xml:space="preserve"> COUNTIFS( tblFilterAll[Include in output], 1, tblFilterAll[Headline Social Housing Cost per unit], "&gt;" &amp; tblFilterAll[[#This Row],[Headline Social Housing Cost per unit]] ) + 1</f>
        <v>12</v>
      </c>
      <c r="V839" s="30" cm="1">
        <f t="array" ref="V839" xml:space="preserve"> INDEX( VfM_Metrics_2023_Consol_Source[], $AK839, V$832 )</f>
        <v>8.7706834972356776E-2</v>
      </c>
      <c r="W839" s="35">
        <f xml:space="preserve"> IF( tblFilterAll[[#This Row],[Operating Margin (SHL)]] &lt; V$825, 4, IF( tblFilterAll[[#This Row],[Operating Margin (SHL)]] &lt; V$826, 3, IF( tblFilterAll[[#This Row],[Operating Margin (SHL)]] &lt; V$827, 2, 1 ) ) )</f>
        <v>4</v>
      </c>
      <c r="X839" s="35">
        <f xml:space="preserve"> COUNTIFS( tblFilterAll[Include in output], 1, tblFilterAll[Operating Margin (SHL)], "&gt;" &amp; tblFilterAll[[#This Row],[Operating Margin (SHL)]] ) + 1</f>
        <v>179</v>
      </c>
      <c r="Y839" s="30" cm="1">
        <f t="array" ref="Y839" xml:space="preserve"> INDEX( VfM_Metrics_2023_Consol_Source[], $AK839, Y$832 )</f>
        <v>6.2003795011755895E-2</v>
      </c>
      <c r="Z839" s="35">
        <f xml:space="preserve"> IF( tblFilterAll[[#This Row],[Operating Margin (Overall)]] &lt; Y$825, 4, IF( tblFilterAll[[#This Row],[Operating Margin (Overall)]] &lt; Y$826, 3, IF( tblFilterAll[[#This Row],[Operating Margin (Overall)]] &lt; Y$827, 2, 1 ) ) )</f>
        <v>4</v>
      </c>
      <c r="AA839" s="35">
        <f xml:space="preserve"> COUNTIFS( tblFilterAll[Include in output], 1, tblFilterAll[Operating Margin (Overall)], "&gt;" &amp; tblFilterAll[[#This Row],[Operating Margin (Overall)]] ) + 1</f>
        <v>178</v>
      </c>
      <c r="AB839" s="30" cm="1">
        <f t="array" ref="AB839" xml:space="preserve"> INDEX( VfM_Metrics_2023_Consol_Source[], $AK839, AB$832 )</f>
        <v>2.3750306068798573E-2</v>
      </c>
      <c r="AC839" s="35">
        <f xml:space="preserve"> IF( tblFilterAll[[#This Row],[ROCE]] &lt; AB$825, 4, IF( tblFilterAll[[#This Row],[ROCE]] &lt; AB$826, 3, IF( tblFilterAll[[#This Row],[ROCE]] &lt; AB$827, 2, 1 ) ) )</f>
        <v>3</v>
      </c>
      <c r="AD839" s="35">
        <f xml:space="preserve"> COUNTIFS( tblFilterAll[Include in output], 1, tblFilterAll[ROCE], "&gt;" &amp; tblFilterAll[[#This Row],[ROCE]] ) + 1</f>
        <v>135</v>
      </c>
      <c r="AE839" s="33" cm="1" vm="8062">
        <f t="array" ref="AE839" xml:space="preserve"> INDEX( VfM_Metrics_2023_Consol_Source[], $AK839, AE$832 )</f>
        <v>40338</v>
      </c>
      <c r="AF839" s="30" cm="1">
        <f t="array" ref="AF839" xml:space="preserve"> INDEX( VfM_Metrics_2023_Consol_Source[], $AK839, AF$832 )</f>
        <v>0</v>
      </c>
      <c r="AG839" s="30" cm="1">
        <f t="array" ref="AG839" xml:space="preserve"> INDEX( VfM_Metrics_2023_Consol_Source[], $AK839, AG$832 )</f>
        <v>0.87535670860319115</v>
      </c>
      <c r="AH839" s="30" cm="1">
        <f t="array" ref="AH839" xml:space="preserve"> INDEX( VfM_Metrics_2023_Consol_Source[], $AK839, AH$832 )</f>
        <v>0.87535670860319115</v>
      </c>
      <c r="AI839" s="30" t="str" cm="1">
        <f t="array" ref="AI839" xml:space="preserve"> INDEX( VfM_Metrics_2023_Consol_Source[], $AK839, AI$832 )</f>
        <v>Traditional</v>
      </c>
      <c r="AJ839" s="34" t="str" cm="1">
        <f t="array" ref="AJ839" xml:space="preserve"> INDEX( VfM_Metrics_2023_Consol_Source[], $AK839, AJ$832 )</f>
        <v>Mixed</v>
      </c>
      <c r="AK839" s="81">
        <f xml:space="preserve"> MATCH( tblFilterAll[[#This Row],[Code]], VfM_Metrics_2023_Consol_Source[RP_Code], 0 )</f>
        <v>6</v>
      </c>
      <c r="AL839" s="24">
        <f xml:space="preserve"> INDEX( tblFilterRegion[Include for region],  MATCH( tblFilterAll[[#This Row],[Code]], tblFilterRegion[RP_Code], 0 ) )</f>
        <v>1</v>
      </c>
      <c r="AM839" s="24">
        <f xml:space="preserve"> INDEX( tblFilterPropType[Incl for prop type],  MATCH( tblFilterAll[[#This Row],[Code]], tblFilterPropType[RP_Code], 0 ) )</f>
        <v>1</v>
      </c>
      <c r="AN839" s="24">
        <f xml:space="preserve"> INDEX( tblFilterSize[Incl for size],  MATCH( tblFilterAll[[#This Row],[Code]], tblFilterSize[RP_Code], 0 ) )</f>
        <v>1</v>
      </c>
      <c r="AO839" s="24">
        <f xml:space="preserve"> INDEX( tblFilterRP_Type[Incl, for RP Type],  MATCH( tblFilterAll[[#This Row],[Code]], tblFilterRP_Type[RP_Code], 0 ) )</f>
        <v>1</v>
      </c>
      <c r="AP839" s="24">
        <f xml:space="preserve">  -- ( SUM( tblFilterAll[[#This Row],[Filter Region]:[Filter RP Type]] ) = 4 )</f>
        <v>1</v>
      </c>
      <c r="AQ839" s="24">
        <f xml:space="preserve"> -- ( tblFilterAll[[#This Row],[Provider name]] = SelectedProvider )</f>
        <v>0</v>
      </c>
      <c r="AR839" s="24">
        <f xml:space="preserve">  -- ( OR( SUM( tblFilterAll[[#This Row],[Filter Region]:[Filter RP Type]] ) = 4, tblFilterAll[[#This Row],[SelectedProvider]] = 1 ) )</f>
        <v>1</v>
      </c>
      <c r="AS839" s="24">
        <f xml:space="preserve"> -- ( INDEX( PeersCritera[Included in final peers], MATCH( tblFilterAll[[#This Row],[Provider name]], PeersCritera[RP_Name], 0 ) ) = 1 )</f>
        <v>1</v>
      </c>
      <c r="AT839" s="30" t="str" cm="1">
        <f t="array" ref="AT839" xml:space="preserve"> SUBSTITUTE( INDEX( VfM_Metrics_2023_Consol_Source[], $AK839, AT$832 ), 0, "" )</f>
        <v/>
      </c>
      <c r="AU839" s="34" cm="1">
        <f t="array" ref="AU839" xml:space="preserve"> INDEX( VfM_Metrics_2023_Consol_Source[], $AK839, AU$832 )</f>
        <v>0.12019956850053938</v>
      </c>
      <c r="AV839" s="34" cm="1">
        <f t="array" ref="AV839" xml:space="preserve"> INDEX( VfM_Metrics_2023_Consol_Source[], $AK839, AV$832 )</f>
        <v>0.13994066882416398</v>
      </c>
      <c r="AW839" s="34" cm="1">
        <f t="array" ref="AW839" xml:space="preserve"> INDEX( VfM_Metrics_2023_Consol_Source[], $AK839, AW$832 )</f>
        <v>7.5862998921251354E-2</v>
      </c>
      <c r="AX839" s="34" cm="1">
        <f t="array" ref="AX839" xml:space="preserve"> INDEX( VfM_Metrics_2023_Consol_Source[], $AK839, AX$832 )</f>
        <v>5.7281553398058252E-2</v>
      </c>
      <c r="AY839" s="34" cm="1">
        <f t="array" ref="AY839" xml:space="preserve"> INDEX( VfM_Metrics_2023_Consol_Source[], $AK839, AY$832 )</f>
        <v>7.1413160733549086E-2</v>
      </c>
      <c r="AZ839" s="34" cm="1">
        <f t="array" ref="AZ839" xml:space="preserve"> INDEX( VfM_Metrics_2023_Consol_Source[], $AK839, AZ$832 )</f>
        <v>9.6359223300970867E-2</v>
      </c>
      <c r="BA839" s="34" cm="1">
        <f t="array" ref="BA839" xml:space="preserve"> INDEX( VfM_Metrics_2023_Consol_Source[], $AK839, BA$832 )</f>
        <v>0.12704962243797197</v>
      </c>
      <c r="BB839" s="34" cm="1">
        <f t="array" ref="BB839" xml:space="preserve"> INDEX( VfM_Metrics_2023_Consol_Source[], $AK839, BB$832 )</f>
        <v>0.17651024811218985</v>
      </c>
      <c r="BC839" s="34" cm="1">
        <f t="array" ref="BC839" xml:space="preserve"> INDEX( VfM_Metrics_2023_Consol_Source[], $AK839, BC$832 )</f>
        <v>0.1353829557713053</v>
      </c>
    </row>
    <row r="840" spans="2:55" x14ac:dyDescent="0.2">
      <c r="B840" s="122" t="str" vm="7">
        <f t="shared" ref="B840" si="315" xml:space="preserve"> B630</f>
        <v>Arawak Walton Housing Association Limited</v>
      </c>
      <c r="C840" s="122" t="str" vm="226">
        <f t="shared" ref="C840" si="316" xml:space="preserve"> C630</f>
        <v>L3713</v>
      </c>
      <c r="D840" s="30" cm="1">
        <f t="array" ref="D840" xml:space="preserve"> INDEX( VfM_Metrics_2023_Consol_Source[], $AK840, D$832 )</f>
        <v>3.0735544562484795E-2</v>
      </c>
      <c r="E840" s="35">
        <f xml:space="preserve"> IF( tblFilterAll[[#This Row],[Reinvestment]] &lt; D$825, 4, IF( tblFilterAll[[#This Row],[Reinvestment]] &lt; D$826, 3, IF( tblFilterAll[[#This Row],[Reinvestment]] &lt; D$827, 2, 1 ) ) )</f>
        <v>4</v>
      </c>
      <c r="F840" s="35">
        <f xml:space="preserve"> COUNTIFS( tblFilterAll[Include in output], 1, tblFilterAll[Reinvestment], "&gt;" &amp; tblFilterAll[[#This Row],[Reinvestment]] ) + 1</f>
        <v>172</v>
      </c>
      <c r="G840" s="30" cm="1">
        <f t="array" ref="G840" xml:space="preserve"> INDEX( VfM_Metrics_2023_Consol_Source[], $AK840, G$832 )</f>
        <v>8.9686098654708521E-4</v>
      </c>
      <c r="H840" s="35">
        <f xml:space="preserve"> IF( tblFilterAll[[#This Row],[New Supply (Social)]] &lt; G$825, 4, IF( tblFilterAll[[#This Row],[New Supply (Social)]] &lt; G$826, 3, IF( tblFilterAll[[#This Row],[New Supply (Social)]] &lt; G$827, 2, 1 ) ) )</f>
        <v>4</v>
      </c>
      <c r="I840" s="35">
        <f xml:space="preserve"> COUNTIFS( tblFilterAll[Include in output], 1, tblFilterAll[New Supply (Social)], "&gt;" &amp; tblFilterAll[[#This Row],[New Supply (Social)]] ) + 1</f>
        <v>181</v>
      </c>
      <c r="J840" s="31" cm="1">
        <f t="array" ref="J840" xml:space="preserve"> INDEX( VfM_Metrics_2023_Consol_Source[], $AK840, J$832 )</f>
        <v>0</v>
      </c>
      <c r="K840" s="35">
        <f xml:space="preserve"> IF( tblFilterAll[[#This Row],[New Supply (Non-Social)]] &lt; J$825, 4, IF( tblFilterAll[[#This Row],[New Supply (Non-Social)]] &lt; J$826, 3, IF( tblFilterAll[[#This Row],[New Supply (Non-Social)]] &lt; J$827, 2, 1 ) ) )</f>
        <v>2</v>
      </c>
      <c r="L840" s="35">
        <f xml:space="preserve"> COUNTIFS( tblFilterAll[Include in output], 1, tblFilterAll[New Supply (Non-Social)], "&gt;" &amp; tblFilterAll[[#This Row],[New Supply (Non-Social)]] ) + 1</f>
        <v>72</v>
      </c>
      <c r="M840" s="30" cm="1">
        <f t="array" ref="M840" xml:space="preserve"> INDEX( VfM_Metrics_2023_Consol_Source[], $AK840, M$832 )</f>
        <v>0.42040386018976561</v>
      </c>
      <c r="N840" s="35">
        <f xml:space="preserve"> IF( tblFilterAll[[#This Row],[Gearing]] &lt; M$825, 4, IF( tblFilterAll[[#This Row],[Gearing]] &lt; M$826, 3, IF( tblFilterAll[[#This Row],[Gearing]] &lt; M$827, 2, 1 ) ) )</f>
        <v>3</v>
      </c>
      <c r="O840" s="35">
        <f xml:space="preserve"> COUNTIFS( tblFilterAll[Include in output], 1, tblFilterAll[Gearing], "&gt;" &amp; tblFilterAll[[#This Row],[Gearing]] ) + 1</f>
        <v>120</v>
      </c>
      <c r="P840" s="30" cm="1">
        <f t="array" ref="P840" xml:space="preserve"> INDEX( VfM_Metrics_2023_Consol_Source[], $AK840, P$832 )</f>
        <v>1.8357030015797788</v>
      </c>
      <c r="Q840" s="35">
        <f xml:space="preserve"> IF( tblFilterAll[[#This Row],[EBITDA MRI Interest Cover]] &lt; P$825, 4, IF( tblFilterAll[[#This Row],[EBITDA MRI Interest Cover]] &lt; P$826, 3, IF( tblFilterAll[[#This Row],[EBITDA MRI Interest Cover]] &lt; P$827, 2, 1 ) ) )</f>
        <v>1</v>
      </c>
      <c r="R840" s="35">
        <f xml:space="preserve"> COUNTIFS( tblFilterAll[Include in output], 1, tblFilterAll[EBITDA MRI Interest Cover], "&gt;" &amp; tblFilterAll[[#This Row],[EBITDA MRI Interest Cover]] ) + 1</f>
        <v>42</v>
      </c>
      <c r="S840" s="32" cm="1">
        <f t="array" ref="S840" xml:space="preserve"> INDEX( VfM_Metrics_2023_Consol_Source[], $AK840, S$832 )</f>
        <v>4178.6355475763012</v>
      </c>
      <c r="T840" s="35">
        <f xml:space="preserve"> IF( tblFilterAll[[#This Row],[Headline Social Housing Cost per unit]] &lt; S$825, 4, IF( tblFilterAll[[#This Row],[Headline Social Housing Cost per unit]] &lt; S$826, 3, IF( tblFilterAll[[#This Row],[Headline Social Housing Cost per unit]] &lt; S$827, 2, 1 ) ) )</f>
        <v>3</v>
      </c>
      <c r="U840" s="35">
        <f xml:space="preserve"> COUNTIFS( tblFilterAll[Include in output], 1, tblFilterAll[Headline Social Housing Cost per unit], "&gt;" &amp; tblFilterAll[[#This Row],[Headline Social Housing Cost per unit]] ) + 1</f>
        <v>140</v>
      </c>
      <c r="V840" s="30" cm="1">
        <f t="array" ref="V840" xml:space="preserve"> INDEX( VfM_Metrics_2023_Consol_Source[], $AK840, V$832 )</f>
        <v>0.21210025929127052</v>
      </c>
      <c r="W840" s="35">
        <f xml:space="preserve"> IF( tblFilterAll[[#This Row],[Operating Margin (SHL)]] &lt; V$825, 4, IF( tblFilterAll[[#This Row],[Operating Margin (SHL)]] &lt; V$826, 3, IF( tblFilterAll[[#This Row],[Operating Margin (SHL)]] &lt; V$827, 2, 1 ) ) )</f>
        <v>2</v>
      </c>
      <c r="X840" s="35">
        <f xml:space="preserve"> COUNTIFS( tblFilterAll[Include in output], 1, tblFilterAll[Operating Margin (SHL)], "&gt;" &amp; tblFilterAll[[#This Row],[Operating Margin (SHL)]] ) + 1</f>
        <v>87</v>
      </c>
      <c r="Y840" s="30" cm="1">
        <f t="array" ref="Y840" xml:space="preserve"> INDEX( VfM_Metrics_2023_Consol_Source[], $AK840, Y$832 )</f>
        <v>0.2113323124042879</v>
      </c>
      <c r="Z840" s="35">
        <f xml:space="preserve"> IF( tblFilterAll[[#This Row],[Operating Margin (Overall)]] &lt; Y$825, 4, IF( tblFilterAll[[#This Row],[Operating Margin (Overall)]] &lt; Y$826, 3, IF( tblFilterAll[[#This Row],[Operating Margin (Overall)]] &lt; Y$827, 2, 1 ) ) )</f>
        <v>2</v>
      </c>
      <c r="AA840" s="35">
        <f xml:space="preserve"> COUNTIFS( tblFilterAll[Include in output], 1, tblFilterAll[Operating Margin (Overall)], "&gt;" &amp; tblFilterAll[[#This Row],[Operating Margin (Overall)]] ) + 1</f>
        <v>72</v>
      </c>
      <c r="AB840" s="30" cm="1">
        <f t="array" ref="AB840" xml:space="preserve"> INDEX( VfM_Metrics_2023_Consol_Source[], $AK840, AB$832 )</f>
        <v>3.3033672003829992E-2</v>
      </c>
      <c r="AC840" s="35">
        <f xml:space="preserve"> IF( tblFilterAll[[#This Row],[ROCE]] &lt; AB$825, 4, IF( tblFilterAll[[#This Row],[ROCE]] &lt; AB$826, 3, IF( tblFilterAll[[#This Row],[ROCE]] &lt; AB$827, 2, 1 ) ) )</f>
        <v>2</v>
      </c>
      <c r="AD840" s="35">
        <f xml:space="preserve"> COUNTIFS( tblFilterAll[Include in output], 1, tblFilterAll[ROCE], "&gt;" &amp; tblFilterAll[[#This Row],[ROCE]] ) + 1</f>
        <v>67</v>
      </c>
      <c r="AE840" s="33" cm="1" vm="8741">
        <f t="array" ref="AE840" xml:space="preserve"> INDEX( VfM_Metrics_2023_Consol_Source[], $AK840, AE$832 )</f>
        <v>1105</v>
      </c>
      <c r="AF840" s="30" cm="1">
        <f t="array" ref="AF840" xml:space="preserve"> INDEX( VfM_Metrics_2023_Consol_Source[], $AK840, AF$832 )</f>
        <v>0</v>
      </c>
      <c r="AG840" s="30" cm="1">
        <f t="array" ref="AG840" xml:space="preserve"> INDEX( VfM_Metrics_2023_Consol_Source[], $AK840, AG$832 )</f>
        <v>0.1330316742081448</v>
      </c>
      <c r="AH840" s="30" cm="1">
        <f t="array" ref="AH840" xml:space="preserve"> INDEX( VfM_Metrics_2023_Consol_Source[], $AK840, AH$832 )</f>
        <v>0.1330316742081448</v>
      </c>
      <c r="AI840" s="30" t="str" cm="1">
        <f t="array" ref="AI840" xml:space="preserve"> INDEX( VfM_Metrics_2023_Consol_Source[], $AK840, AI$832 )</f>
        <v>Traditional</v>
      </c>
      <c r="AJ840" s="34" t="str" cm="1">
        <f t="array" ref="AJ840" xml:space="preserve"> INDEX( VfM_Metrics_2023_Consol_Source[], $AK840, AJ$832 )</f>
        <v>North West</v>
      </c>
      <c r="AK840" s="81">
        <f xml:space="preserve"> MATCH( tblFilterAll[[#This Row],[Code]], VfM_Metrics_2023_Consol_Source[RP_Code], 0 )</f>
        <v>7</v>
      </c>
      <c r="AL840" s="24">
        <f xml:space="preserve"> INDEX( tblFilterRegion[Include for region],  MATCH( tblFilterAll[[#This Row],[Code]], tblFilterRegion[RP_Code], 0 ) )</f>
        <v>1</v>
      </c>
      <c r="AM840" s="24">
        <f xml:space="preserve"> INDEX( tblFilterPropType[Incl for prop type],  MATCH( tblFilterAll[[#This Row],[Code]], tblFilterPropType[RP_Code], 0 ) )</f>
        <v>1</v>
      </c>
      <c r="AN840" s="24">
        <f xml:space="preserve"> INDEX( tblFilterSize[Incl for size],  MATCH( tblFilterAll[[#This Row],[Code]], tblFilterSize[RP_Code], 0 ) )</f>
        <v>1</v>
      </c>
      <c r="AO840" s="24">
        <f xml:space="preserve"> INDEX( tblFilterRP_Type[Incl, for RP Type],  MATCH( tblFilterAll[[#This Row],[Code]], tblFilterRP_Type[RP_Code], 0 ) )</f>
        <v>1</v>
      </c>
      <c r="AP840" s="24">
        <f xml:space="preserve">  -- ( SUM( tblFilterAll[[#This Row],[Filter Region]:[Filter RP Type]] ) = 4 )</f>
        <v>1</v>
      </c>
      <c r="AQ840" s="24">
        <f xml:space="preserve"> -- ( tblFilterAll[[#This Row],[Provider name]] = SelectedProvider )</f>
        <v>0</v>
      </c>
      <c r="AR840" s="24">
        <f xml:space="preserve">  -- ( OR( SUM( tblFilterAll[[#This Row],[Filter Region]:[Filter RP Type]] ) = 4, tblFilterAll[[#This Row],[SelectedProvider]] = 1 ) )</f>
        <v>1</v>
      </c>
      <c r="AS840" s="24">
        <f xml:space="preserve"> -- ( INDEX( PeersCritera[Included in final peers], MATCH( tblFilterAll[[#This Row],[Provider name]], PeersCritera[RP_Name], 0 ) ) = 1 )</f>
        <v>1</v>
      </c>
      <c r="AT840" s="30" t="str" cm="1">
        <f t="array" ref="AT840" xml:space="preserve"> SUBSTITUTE( INDEX( VfM_Metrics_2023_Consol_Source[], $AK840, AT$832 ), 0, "" )</f>
        <v/>
      </c>
      <c r="AU840" s="34" cm="1">
        <f t="array" ref="AU840" xml:space="preserve"> INDEX( VfM_Metrics_2023_Consol_Source[], $AK840, AU$832 )</f>
        <v>0</v>
      </c>
      <c r="AV840" s="34" cm="1">
        <f t="array" ref="AV840" xml:space="preserve"> INDEX( VfM_Metrics_2023_Consol_Source[], $AK840, AV$832 )</f>
        <v>0</v>
      </c>
      <c r="AW840" s="34" cm="1">
        <f t="array" ref="AW840" xml:space="preserve"> INDEX( VfM_Metrics_2023_Consol_Source[], $AK840, AW$832 )</f>
        <v>0</v>
      </c>
      <c r="AX840" s="34" cm="1">
        <f t="array" ref="AX840" xml:space="preserve"> INDEX( VfM_Metrics_2023_Consol_Source[], $AK840, AX$832 )</f>
        <v>0</v>
      </c>
      <c r="AY840" s="34" cm="1">
        <f t="array" ref="AY840" xml:space="preserve"> INDEX( VfM_Metrics_2023_Consol_Source[], $AK840, AY$832 )</f>
        <v>0</v>
      </c>
      <c r="AZ840" s="34" cm="1">
        <f t="array" ref="AZ840" xml:space="preserve"> INDEX( VfM_Metrics_2023_Consol_Source[], $AK840, AZ$832 )</f>
        <v>0</v>
      </c>
      <c r="BA840" s="34" cm="1">
        <f t="array" ref="BA840" xml:space="preserve"> INDEX( VfM_Metrics_2023_Consol_Source[], $AK840, BA$832 )</f>
        <v>0</v>
      </c>
      <c r="BB840" s="34" cm="1">
        <f t="array" ref="BB840" xml:space="preserve"> INDEX( VfM_Metrics_2023_Consol_Source[], $AK840, BB$832 )</f>
        <v>1</v>
      </c>
      <c r="BC840" s="34" cm="1">
        <f t="array" ref="BC840" xml:space="preserve"> INDEX( VfM_Metrics_2023_Consol_Source[], $AK840, BC$832 )</f>
        <v>0</v>
      </c>
    </row>
    <row r="841" spans="2:55" x14ac:dyDescent="0.2">
      <c r="B841" s="122" t="str" vm="8">
        <f t="shared" ref="B841" si="317" xml:space="preserve"> B631</f>
        <v>Arches Housing Limited</v>
      </c>
      <c r="C841" s="122" t="str" vm="233">
        <f t="shared" ref="C841" si="318" xml:space="preserve"> C631</f>
        <v>LH0884</v>
      </c>
      <c r="D841" s="30" cm="1">
        <f t="array" ref="D841" xml:space="preserve"> INDEX( VfM_Metrics_2023_Consol_Source[], $AK841, D$832 )</f>
        <v>5.2916633866015902E-2</v>
      </c>
      <c r="E841" s="35">
        <f xml:space="preserve"> IF( tblFilterAll[[#This Row],[Reinvestment]] &lt; D$825, 4, IF( tblFilterAll[[#This Row],[Reinvestment]] &lt; D$826, 3, IF( tblFilterAll[[#This Row],[Reinvestment]] &lt; D$827, 2, 1 ) ) )</f>
        <v>3</v>
      </c>
      <c r="F841" s="35">
        <f xml:space="preserve"> COUNTIFS( tblFilterAll[Include in output], 1, tblFilterAll[Reinvestment], "&gt;" &amp; tblFilterAll[[#This Row],[Reinvestment]] ) + 1</f>
        <v>141</v>
      </c>
      <c r="G841" s="30" cm="1">
        <f t="array" ref="G841" xml:space="preserve"> INDEX( VfM_Metrics_2023_Consol_Source[], $AK841, G$832 )</f>
        <v>1.8996960486322188E-2</v>
      </c>
      <c r="H841" s="35">
        <f xml:space="preserve"> IF( tblFilterAll[[#This Row],[New Supply (Social)]] &lt; G$825, 4, IF( tblFilterAll[[#This Row],[New Supply (Social)]] &lt; G$826, 3, IF( tblFilterAll[[#This Row],[New Supply (Social)]] &lt; G$827, 2, 1 ) ) )</f>
        <v>2</v>
      </c>
      <c r="I841" s="35">
        <f xml:space="preserve"> COUNTIFS( tblFilterAll[Include in output], 1, tblFilterAll[New Supply (Social)], "&gt;" &amp; tblFilterAll[[#This Row],[New Supply (Social)]] ) + 1</f>
        <v>63</v>
      </c>
      <c r="J841" s="31" cm="1">
        <f t="array" ref="J841" xml:space="preserve"> INDEX( VfM_Metrics_2023_Consol_Source[], $AK841, J$832 )</f>
        <v>0</v>
      </c>
      <c r="K841" s="35">
        <f xml:space="preserve"> IF( tblFilterAll[[#This Row],[New Supply (Non-Social)]] &lt; J$825, 4, IF( tblFilterAll[[#This Row],[New Supply (Non-Social)]] &lt; J$826, 3, IF( tblFilterAll[[#This Row],[New Supply (Non-Social)]] &lt; J$827, 2, 1 ) ) )</f>
        <v>2</v>
      </c>
      <c r="L841" s="35">
        <f xml:space="preserve"> COUNTIFS( tblFilterAll[Include in output], 1, tblFilterAll[New Supply (Non-Social)], "&gt;" &amp; tblFilterAll[[#This Row],[New Supply (Non-Social)]] ) + 1</f>
        <v>72</v>
      </c>
      <c r="M841" s="30" cm="1">
        <f t="array" ref="M841" xml:space="preserve"> INDEX( VfM_Metrics_2023_Consol_Source[], $AK841, M$832 )</f>
        <v>0.3797685586082028</v>
      </c>
      <c r="N841" s="35">
        <f xml:space="preserve"> IF( tblFilterAll[[#This Row],[Gearing]] &lt; M$825, 4, IF( tblFilterAll[[#This Row],[Gearing]] &lt; M$826, 3, IF( tblFilterAll[[#This Row],[Gearing]] &lt; M$827, 2, 1 ) ) )</f>
        <v>3</v>
      </c>
      <c r="O841" s="35">
        <f xml:space="preserve"> COUNTIFS( tblFilterAll[Include in output], 1, tblFilterAll[Gearing], "&gt;" &amp; tblFilterAll[[#This Row],[Gearing]] ) + 1</f>
        <v>137</v>
      </c>
      <c r="P841" s="30" cm="1">
        <f t="array" ref="P841" xml:space="preserve"> INDEX( VfM_Metrics_2023_Consol_Source[], $AK841, P$832 )</f>
        <v>1.3863845446182153</v>
      </c>
      <c r="Q841" s="35">
        <f xml:space="preserve"> IF( tblFilterAll[[#This Row],[EBITDA MRI Interest Cover]] &lt; P$825, 4, IF( tblFilterAll[[#This Row],[EBITDA MRI Interest Cover]] &lt; P$826, 3, IF( tblFilterAll[[#This Row],[EBITDA MRI Interest Cover]] &lt; P$827, 2, 1 ) ) )</f>
        <v>2</v>
      </c>
      <c r="R841" s="35">
        <f xml:space="preserve"> COUNTIFS( tblFilterAll[Include in output], 1, tblFilterAll[EBITDA MRI Interest Cover], "&gt;" &amp; tblFilterAll[[#This Row],[EBITDA MRI Interest Cover]] ) + 1</f>
        <v>78</v>
      </c>
      <c r="S841" s="32" cm="1">
        <f t="array" ref="S841" xml:space="preserve"> INDEX( VfM_Metrics_2023_Consol_Source[], $AK841, S$832 )</f>
        <v>3730.2431610942249</v>
      </c>
      <c r="T841" s="35">
        <f xml:space="preserve"> IF( tblFilterAll[[#This Row],[Headline Social Housing Cost per unit]] &lt; S$825, 4, IF( tblFilterAll[[#This Row],[Headline Social Housing Cost per unit]] &lt; S$826, 3, IF( tblFilterAll[[#This Row],[Headline Social Housing Cost per unit]] &lt; S$827, 2, 1 ) ) )</f>
        <v>4</v>
      </c>
      <c r="U841" s="35">
        <f xml:space="preserve"> COUNTIFS( tblFilterAll[Include in output], 1, tblFilterAll[Headline Social Housing Cost per unit], "&gt;" &amp; tblFilterAll[[#This Row],[Headline Social Housing Cost per unit]] ) + 1</f>
        <v>185</v>
      </c>
      <c r="V841" s="30" cm="1">
        <f t="array" ref="V841" xml:space="preserve"> INDEX( VfM_Metrics_2023_Consol_Source[], $AK841, V$832 )</f>
        <v>0.18292316926770708</v>
      </c>
      <c r="W841" s="35">
        <f xml:space="preserve"> IF( tblFilterAll[[#This Row],[Operating Margin (SHL)]] &lt; V$825, 4, IF( tblFilterAll[[#This Row],[Operating Margin (SHL)]] &lt; V$826, 3, IF( tblFilterAll[[#This Row],[Operating Margin (SHL)]] &lt; V$827, 2, 1 ) ) )</f>
        <v>3</v>
      </c>
      <c r="X841" s="35">
        <f xml:space="preserve"> COUNTIFS( tblFilterAll[Include in output], 1, tblFilterAll[Operating Margin (SHL)], "&gt;" &amp; tblFilterAll[[#This Row],[Operating Margin (SHL)]] ) + 1</f>
        <v>119</v>
      </c>
      <c r="Y841" s="30" cm="1">
        <f t="array" ref="Y841" xml:space="preserve"> INDEX( VfM_Metrics_2023_Consol_Source[], $AK841, Y$832 )</f>
        <v>0.1993006993006993</v>
      </c>
      <c r="Z841" s="35">
        <f xml:space="preserve"> IF( tblFilterAll[[#This Row],[Operating Margin (Overall)]] &lt; Y$825, 4, IF( tblFilterAll[[#This Row],[Operating Margin (Overall)]] &lt; Y$826, 3, IF( tblFilterAll[[#This Row],[Operating Margin (Overall)]] &lt; Y$827, 2, 1 ) ) )</f>
        <v>2</v>
      </c>
      <c r="AA841" s="35">
        <f xml:space="preserve"> COUNTIFS( tblFilterAll[Include in output], 1, tblFilterAll[Operating Margin (Overall)], "&gt;" &amp; tblFilterAll[[#This Row],[Operating Margin (Overall)]] ) + 1</f>
        <v>84</v>
      </c>
      <c r="AB841" s="30" cm="1">
        <f t="array" ref="AB841" xml:space="preserve"> INDEX( VfM_Metrics_2023_Consol_Source[], $AK841, AB$832 )</f>
        <v>2.4291880651564322E-2</v>
      </c>
      <c r="AC841" s="35">
        <f xml:space="preserve"> IF( tblFilterAll[[#This Row],[ROCE]] &lt; AB$825, 4, IF( tblFilterAll[[#This Row],[ROCE]] &lt; AB$826, 3, IF( tblFilterAll[[#This Row],[ROCE]] &lt; AB$827, 2, 1 ) ) )</f>
        <v>3</v>
      </c>
      <c r="AD841" s="35">
        <f xml:space="preserve"> COUNTIFS( tblFilterAll[Include in output], 1, tblFilterAll[ROCE], "&gt;" &amp; tblFilterAll[[#This Row],[ROCE]] ) + 1</f>
        <v>132</v>
      </c>
      <c r="AE841" s="33" cm="1" vm="1301">
        <f t="array" ref="AE841" xml:space="preserve"> INDEX( VfM_Metrics_2023_Consol_Source[], $AK841, AE$832 )</f>
        <v>1316</v>
      </c>
      <c r="AF841" s="30" cm="1">
        <f t="array" ref="AF841" xml:space="preserve"> INDEX( VfM_Metrics_2023_Consol_Source[], $AK841, AF$832 )</f>
        <v>3.3383915022761758E-2</v>
      </c>
      <c r="AG841" s="30" cm="1">
        <f t="array" ref="AG841" xml:space="preserve"> INDEX( VfM_Metrics_2023_Consol_Source[], $AK841, AG$832 )</f>
        <v>0</v>
      </c>
      <c r="AH841" s="30" cm="1">
        <f t="array" ref="AH841" xml:space="preserve"> INDEX( VfM_Metrics_2023_Consol_Source[], $AK841, AH$832 )</f>
        <v>3.3383915022761758E-2</v>
      </c>
      <c r="AI841" s="30" t="str" cm="1">
        <f t="array" ref="AI841" xml:space="preserve"> INDEX( VfM_Metrics_2023_Consol_Source[], $AK841, AI$832 )</f>
        <v>Traditional</v>
      </c>
      <c r="AJ841" s="34" t="str" cm="1">
        <f t="array" ref="AJ841" xml:space="preserve"> INDEX( VfM_Metrics_2023_Consol_Source[], $AK841, AJ$832 )</f>
        <v>Yorkshire &amp; the Humber</v>
      </c>
      <c r="AK841" s="81">
        <f xml:space="preserve"> MATCH( tblFilterAll[[#This Row],[Code]], VfM_Metrics_2023_Consol_Source[RP_Code], 0 )</f>
        <v>8</v>
      </c>
      <c r="AL841" s="24">
        <f xml:space="preserve"> INDEX( tblFilterRegion[Include for region],  MATCH( tblFilterAll[[#This Row],[Code]], tblFilterRegion[RP_Code], 0 ) )</f>
        <v>1</v>
      </c>
      <c r="AM841" s="24">
        <f xml:space="preserve"> INDEX( tblFilterPropType[Incl for prop type],  MATCH( tblFilterAll[[#This Row],[Code]], tblFilterPropType[RP_Code], 0 ) )</f>
        <v>1</v>
      </c>
      <c r="AN841" s="24">
        <f xml:space="preserve"> INDEX( tblFilterSize[Incl for size],  MATCH( tblFilterAll[[#This Row],[Code]], tblFilterSize[RP_Code], 0 ) )</f>
        <v>1</v>
      </c>
      <c r="AO841" s="24">
        <f xml:space="preserve"> INDEX( tblFilterRP_Type[Incl, for RP Type],  MATCH( tblFilterAll[[#This Row],[Code]], tblFilterRP_Type[RP_Code], 0 ) )</f>
        <v>1</v>
      </c>
      <c r="AP841" s="24">
        <f xml:space="preserve">  -- ( SUM( tblFilterAll[[#This Row],[Filter Region]:[Filter RP Type]] ) = 4 )</f>
        <v>1</v>
      </c>
      <c r="AQ841" s="24">
        <f xml:space="preserve"> -- ( tblFilterAll[[#This Row],[Provider name]] = SelectedProvider )</f>
        <v>0</v>
      </c>
      <c r="AR841" s="24">
        <f xml:space="preserve">  -- ( OR( SUM( tblFilterAll[[#This Row],[Filter Region]:[Filter RP Type]] ) = 4, tblFilterAll[[#This Row],[SelectedProvider]] = 1 ) )</f>
        <v>1</v>
      </c>
      <c r="AS841" s="24">
        <f xml:space="preserve"> -- ( INDEX( PeersCritera[Included in final peers], MATCH( tblFilterAll[[#This Row],[Provider name]], PeersCritera[RP_Name], 0 ) ) = 1 )</f>
        <v>1</v>
      </c>
      <c r="AT841" s="30" t="str" cm="1">
        <f t="array" ref="AT841" xml:space="preserve"> SUBSTITUTE( INDEX( VfM_Metrics_2023_Consol_Source[], $AK841, AT$832 ), 0, "" )</f>
        <v/>
      </c>
      <c r="AU841" s="34" cm="1">
        <f t="array" ref="AU841" xml:space="preserve"> INDEX( VfM_Metrics_2023_Consol_Source[], $AK841, AU$832 )</f>
        <v>0</v>
      </c>
      <c r="AV841" s="34" cm="1">
        <f t="array" ref="AV841" xml:space="preserve"> INDEX( VfM_Metrics_2023_Consol_Source[], $AK841, AV$832 )</f>
        <v>0</v>
      </c>
      <c r="AW841" s="34" cm="1">
        <f t="array" ref="AW841" xml:space="preserve"> INDEX( VfM_Metrics_2023_Consol_Source[], $AK841, AW$832 )</f>
        <v>0</v>
      </c>
      <c r="AX841" s="34" cm="1">
        <f t="array" ref="AX841" xml:space="preserve"> INDEX( VfM_Metrics_2023_Consol_Source[], $AK841, AX$832 )</f>
        <v>9.8784194528875376E-3</v>
      </c>
      <c r="AY841" s="34" cm="1">
        <f t="array" ref="AY841" xml:space="preserve"> INDEX( VfM_Metrics_2023_Consol_Source[], $AK841, AY$832 )</f>
        <v>0</v>
      </c>
      <c r="AZ841" s="34" cm="1">
        <f t="array" ref="AZ841" xml:space="preserve"> INDEX( VfM_Metrics_2023_Consol_Source[], $AK841, AZ$832 )</f>
        <v>0</v>
      </c>
      <c r="BA841" s="34" cm="1">
        <f t="array" ref="BA841" xml:space="preserve"> INDEX( VfM_Metrics_2023_Consol_Source[], $AK841, BA$832 )</f>
        <v>0</v>
      </c>
      <c r="BB841" s="34" cm="1">
        <f t="array" ref="BB841" xml:space="preserve"> INDEX( VfM_Metrics_2023_Consol_Source[], $AK841, BB$832 )</f>
        <v>0</v>
      </c>
      <c r="BC841" s="34" cm="1">
        <f t="array" ref="BC841" xml:space="preserve"> INDEX( VfM_Metrics_2023_Consol_Source[], $AK841, BC$832 )</f>
        <v>0.99012158054711241</v>
      </c>
    </row>
    <row r="842" spans="2:55" x14ac:dyDescent="0.2">
      <c r="B842" s="122" t="str" vm="9">
        <f t="shared" ref="B842" si="319" xml:space="preserve"> B632</f>
        <v>Aspire Housing Limited</v>
      </c>
      <c r="C842" s="122" t="str" vm="385">
        <f t="shared" ref="C842" si="320" xml:space="preserve"> C632</f>
        <v>L4238</v>
      </c>
      <c r="D842" s="30" cm="1">
        <f t="array" ref="D842" xml:space="preserve"> INDEX( VfM_Metrics_2023_Consol_Source[], $AK842, D$832 )</f>
        <v>0.11146065257141681</v>
      </c>
      <c r="E842" s="35">
        <f xml:space="preserve"> IF( tblFilterAll[[#This Row],[Reinvestment]] &lt; D$825, 4, IF( tblFilterAll[[#This Row],[Reinvestment]] &lt; D$826, 3, IF( tblFilterAll[[#This Row],[Reinvestment]] &lt; D$827, 2, 1 ) ) )</f>
        <v>1</v>
      </c>
      <c r="F842" s="35">
        <f xml:space="preserve"> COUNTIFS( tblFilterAll[Include in output], 1, tblFilterAll[Reinvestment], "&gt;" &amp; tblFilterAll[[#This Row],[Reinvestment]] ) + 1</f>
        <v>25</v>
      </c>
      <c r="G842" s="30" cm="1">
        <f t="array" ref="G842" xml:space="preserve"> INDEX( VfM_Metrics_2023_Consol_Source[], $AK842, G$832 )</f>
        <v>1.7663043478260868E-2</v>
      </c>
      <c r="H842" s="35">
        <f xml:space="preserve"> IF( tblFilterAll[[#This Row],[New Supply (Social)]] &lt; G$825, 4, IF( tblFilterAll[[#This Row],[New Supply (Social)]] &lt; G$826, 3, IF( tblFilterAll[[#This Row],[New Supply (Social)]] &lt; G$827, 2, 1 ) ) )</f>
        <v>2</v>
      </c>
      <c r="I842" s="35">
        <f xml:space="preserve"> COUNTIFS( tblFilterAll[Include in output], 1, tblFilterAll[New Supply (Social)], "&gt;" &amp; tblFilterAll[[#This Row],[New Supply (Social)]] ) + 1</f>
        <v>70</v>
      </c>
      <c r="J842" s="31" cm="1">
        <f t="array" ref="J842" xml:space="preserve"> INDEX( VfM_Metrics_2023_Consol_Source[], $AK842, J$832 )</f>
        <v>0</v>
      </c>
      <c r="K842" s="35">
        <f xml:space="preserve"> IF( tblFilterAll[[#This Row],[New Supply (Non-Social)]] &lt; J$825, 4, IF( tblFilterAll[[#This Row],[New Supply (Non-Social)]] &lt; J$826, 3, IF( tblFilterAll[[#This Row],[New Supply (Non-Social)]] &lt; J$827, 2, 1 ) ) )</f>
        <v>2</v>
      </c>
      <c r="L842" s="35">
        <f xml:space="preserve"> COUNTIFS( tblFilterAll[Include in output], 1, tblFilterAll[New Supply (Non-Social)], "&gt;" &amp; tblFilterAll[[#This Row],[New Supply (Non-Social)]] ) + 1</f>
        <v>72</v>
      </c>
      <c r="M842" s="30" cm="1">
        <f t="array" ref="M842" xml:space="preserve"> INDEX( VfM_Metrics_2023_Consol_Source[], $AK842, M$832 )</f>
        <v>0.6937628004789137</v>
      </c>
      <c r="N842" s="35">
        <f xml:space="preserve"> IF( tblFilterAll[[#This Row],[Gearing]] &lt; M$825, 4, IF( tblFilterAll[[#This Row],[Gearing]] &lt; M$826, 3, IF( tblFilterAll[[#This Row],[Gearing]] &lt; M$827, 2, 1 ) ) )</f>
        <v>1</v>
      </c>
      <c r="O842" s="35">
        <f xml:space="preserve"> COUNTIFS( tblFilterAll[Include in output], 1, tblFilterAll[Gearing], "&gt;" &amp; tblFilterAll[[#This Row],[Gearing]] ) + 1</f>
        <v>7</v>
      </c>
      <c r="P842" s="30" cm="1">
        <f t="array" ref="P842" xml:space="preserve"> INDEX( VfM_Metrics_2023_Consol_Source[], $AK842, P$832 )</f>
        <v>0.6343742607049917</v>
      </c>
      <c r="Q842" s="35">
        <f xml:space="preserve"> IF( tblFilterAll[[#This Row],[EBITDA MRI Interest Cover]] &lt; P$825, 4, IF( tblFilterAll[[#This Row],[EBITDA MRI Interest Cover]] &lt; P$826, 3, IF( tblFilterAll[[#This Row],[EBITDA MRI Interest Cover]] &lt; P$827, 2, 1 ) ) )</f>
        <v>4</v>
      </c>
      <c r="R842" s="35">
        <f xml:space="preserve"> COUNTIFS( tblFilterAll[Include in output], 1, tblFilterAll[EBITDA MRI Interest Cover], "&gt;" &amp; tblFilterAll[[#This Row],[EBITDA MRI Interest Cover]] ) + 1</f>
        <v>164</v>
      </c>
      <c r="S842" s="32" cm="1">
        <f t="array" ref="S842" xml:space="preserve"> INDEX( VfM_Metrics_2023_Consol_Source[], $AK842, S$832 )</f>
        <v>4067.9362362255265</v>
      </c>
      <c r="T842" s="35">
        <f xml:space="preserve"> IF( tblFilterAll[[#This Row],[Headline Social Housing Cost per unit]] &lt; S$825, 4, IF( tblFilterAll[[#This Row],[Headline Social Housing Cost per unit]] &lt; S$826, 3, IF( tblFilterAll[[#This Row],[Headline Social Housing Cost per unit]] &lt; S$827, 2, 1 ) ) )</f>
        <v>4</v>
      </c>
      <c r="U842" s="35">
        <f xml:space="preserve"> COUNTIFS( tblFilterAll[Include in output], 1, tblFilterAll[Headline Social Housing Cost per unit], "&gt;" &amp; tblFilterAll[[#This Row],[Headline Social Housing Cost per unit]] ) + 1</f>
        <v>152</v>
      </c>
      <c r="V842" s="30" cm="1">
        <f t="array" ref="V842" xml:space="preserve"> INDEX( VfM_Metrics_2023_Consol_Source[], $AK842, V$832 )</f>
        <v>0.16646604009444882</v>
      </c>
      <c r="W842" s="35">
        <f xml:space="preserve"> IF( tblFilterAll[[#This Row],[Operating Margin (SHL)]] &lt; V$825, 4, IF( tblFilterAll[[#This Row],[Operating Margin (SHL)]] &lt; V$826, 3, IF( tblFilterAll[[#This Row],[Operating Margin (SHL)]] &lt; V$827, 2, 1 ) ) )</f>
        <v>3</v>
      </c>
      <c r="X842" s="35">
        <f xml:space="preserve"> COUNTIFS( tblFilterAll[Include in output], 1, tblFilterAll[Operating Margin (SHL)], "&gt;" &amp; tblFilterAll[[#This Row],[Operating Margin (SHL)]] ) + 1</f>
        <v>130</v>
      </c>
      <c r="Y842" s="30" cm="1">
        <f t="array" ref="Y842" xml:space="preserve"> INDEX( VfM_Metrics_2023_Consol_Source[], $AK842, Y$832 )</f>
        <v>0.10961878719639698</v>
      </c>
      <c r="Z842" s="35">
        <f xml:space="preserve"> IF( tblFilterAll[[#This Row],[Operating Margin (Overall)]] &lt; Y$825, 4, IF( tblFilterAll[[#This Row],[Operating Margin (Overall)]] &lt; Y$826, 3, IF( tblFilterAll[[#This Row],[Operating Margin (Overall)]] &lt; Y$827, 2, 1 ) ) )</f>
        <v>4</v>
      </c>
      <c r="AA842" s="35">
        <f xml:space="preserve"> COUNTIFS( tblFilterAll[Include in output], 1, tblFilterAll[Operating Margin (Overall)], "&gt;" &amp; tblFilterAll[[#This Row],[Operating Margin (Overall)]] ) + 1</f>
        <v>155</v>
      </c>
      <c r="AB842" s="30" cm="1">
        <f t="array" ref="AB842" xml:space="preserve"> INDEX( VfM_Metrics_2023_Consol_Source[], $AK842, AB$832 )</f>
        <v>2.837151249160556E-2</v>
      </c>
      <c r="AC842" s="35">
        <f xml:space="preserve"> IF( tblFilterAll[[#This Row],[ROCE]] &lt; AB$825, 4, IF( tblFilterAll[[#This Row],[ROCE]] &lt; AB$826, 3, IF( tblFilterAll[[#This Row],[ROCE]] &lt; AB$827, 2, 1 ) ) )</f>
        <v>3</v>
      </c>
      <c r="AD842" s="35">
        <f xml:space="preserve"> COUNTIFS( tblFilterAll[Include in output], 1, tblFilterAll[ROCE], "&gt;" &amp; tblFilterAll[[#This Row],[ROCE]] ) + 1</f>
        <v>100</v>
      </c>
      <c r="AE842" s="33" cm="1" vm="6375">
        <f t="array" ref="AE842" xml:space="preserve"> INDEX( VfM_Metrics_2023_Consol_Source[], $AK842, AE$832 )</f>
        <v>9300</v>
      </c>
      <c r="AF842" s="30" cm="1">
        <f t="array" ref="AF842" xml:space="preserve"> INDEX( VfM_Metrics_2023_Consol_Source[], $AK842, AF$832 )</f>
        <v>0</v>
      </c>
      <c r="AG842" s="30" cm="1">
        <f t="array" ref="AG842" xml:space="preserve"> INDEX( VfM_Metrics_2023_Consol_Source[], $AK842, AG$832 )</f>
        <v>6.8059444324790011E-2</v>
      </c>
      <c r="AH842" s="30" cm="1">
        <f t="array" ref="AH842" xml:space="preserve"> INDEX( VfM_Metrics_2023_Consol_Source[], $AK842, AH$832 )</f>
        <v>6.8059444324790011E-2</v>
      </c>
      <c r="AI842" s="30" t="str" cm="1">
        <f t="array" ref="AI842" xml:space="preserve"> INDEX( VfM_Metrics_2023_Consol_Source[], $AK842, AI$832 )</f>
        <v>Traditional</v>
      </c>
      <c r="AJ842" s="34" t="str" cm="1">
        <f t="array" ref="AJ842" xml:space="preserve"> INDEX( VfM_Metrics_2023_Consol_Source[], $AK842, AJ$832 )</f>
        <v>West Midlands</v>
      </c>
      <c r="AK842" s="81">
        <f xml:space="preserve"> MATCH( tblFilterAll[[#This Row],[Code]], VfM_Metrics_2023_Consol_Source[RP_Code], 0 )</f>
        <v>9</v>
      </c>
      <c r="AL842" s="24">
        <f xml:space="preserve"> INDEX( tblFilterRegion[Include for region],  MATCH( tblFilterAll[[#This Row],[Code]], tblFilterRegion[RP_Code], 0 ) )</f>
        <v>1</v>
      </c>
      <c r="AM842" s="24">
        <f xml:space="preserve"> INDEX( tblFilterPropType[Incl for prop type],  MATCH( tblFilterAll[[#This Row],[Code]], tblFilterPropType[RP_Code], 0 ) )</f>
        <v>1</v>
      </c>
      <c r="AN842" s="24">
        <f xml:space="preserve"> INDEX( tblFilterSize[Incl for size],  MATCH( tblFilterAll[[#This Row],[Code]], tblFilterSize[RP_Code], 0 ) )</f>
        <v>1</v>
      </c>
      <c r="AO842" s="24">
        <f xml:space="preserve"> INDEX( tblFilterRP_Type[Incl, for RP Type],  MATCH( tblFilterAll[[#This Row],[Code]], tblFilterRP_Type[RP_Code], 0 ) )</f>
        <v>1</v>
      </c>
      <c r="AP842" s="24">
        <f xml:space="preserve">  -- ( SUM( tblFilterAll[[#This Row],[Filter Region]:[Filter RP Type]] ) = 4 )</f>
        <v>1</v>
      </c>
      <c r="AQ842" s="24">
        <f xml:space="preserve"> -- ( tblFilterAll[[#This Row],[Provider name]] = SelectedProvider )</f>
        <v>0</v>
      </c>
      <c r="AR842" s="24">
        <f xml:space="preserve">  -- ( OR( SUM( tblFilterAll[[#This Row],[Filter Region]:[Filter RP Type]] ) = 4, tblFilterAll[[#This Row],[SelectedProvider]] = 1 ) )</f>
        <v>1</v>
      </c>
      <c r="AS842" s="24">
        <f xml:space="preserve"> -- ( INDEX( PeersCritera[Included in final peers], MATCH( tblFilterAll[[#This Row],[Provider name]], PeersCritera[RP_Name], 0 ) ) = 1 )</f>
        <v>1</v>
      </c>
      <c r="AT842" s="30" t="str" cm="1">
        <f t="array" ref="AT842" xml:space="preserve"> SUBSTITUTE( INDEX( VfM_Metrics_2023_Consol_Source[], $AK842, AT$832 ), 0, "" )</f>
        <v>&gt;= 12 years</v>
      </c>
      <c r="AU842" s="34" cm="1">
        <f t="array" ref="AU842" xml:space="preserve"> INDEX( VfM_Metrics_2023_Consol_Source[], $AK842, AU$832 )</f>
        <v>0</v>
      </c>
      <c r="AV842" s="34" cm="1">
        <f t="array" ref="AV842" xml:space="preserve"> INDEX( VfM_Metrics_2023_Consol_Source[], $AK842, AV$832 )</f>
        <v>0</v>
      </c>
      <c r="AW842" s="34" cm="1">
        <f t="array" ref="AW842" xml:space="preserve"> INDEX( VfM_Metrics_2023_Consol_Source[], $AK842, AW$832 )</f>
        <v>0</v>
      </c>
      <c r="AX842" s="34" cm="1">
        <f t="array" ref="AX842" xml:space="preserve"> INDEX( VfM_Metrics_2023_Consol_Source[], $AK842, AX$832 )</f>
        <v>0</v>
      </c>
      <c r="AY842" s="34" cm="1">
        <f t="array" ref="AY842" xml:space="preserve"> INDEX( VfM_Metrics_2023_Consol_Source[], $AK842, AY$832 )</f>
        <v>0.9043010752688172</v>
      </c>
      <c r="AZ842" s="34" cm="1">
        <f t="array" ref="AZ842" xml:space="preserve"> INDEX( VfM_Metrics_2023_Consol_Source[], $AK842, AZ$832 )</f>
        <v>0</v>
      </c>
      <c r="BA842" s="34" cm="1">
        <f t="array" ref="BA842" xml:space="preserve"> INDEX( VfM_Metrics_2023_Consol_Source[], $AK842, BA$832 )</f>
        <v>0</v>
      </c>
      <c r="BB842" s="34" cm="1">
        <f t="array" ref="BB842" xml:space="preserve"> INDEX( VfM_Metrics_2023_Consol_Source[], $AK842, BB$832 )</f>
        <v>9.56989247311828E-2</v>
      </c>
      <c r="BC842" s="34" cm="1">
        <f t="array" ref="BC842" xml:space="preserve"> INDEX( VfM_Metrics_2023_Consol_Source[], $AK842, BC$832 )</f>
        <v>0</v>
      </c>
    </row>
    <row r="843" spans="2:55" x14ac:dyDescent="0.2">
      <c r="B843" s="122" t="str" vm="10">
        <f t="shared" ref="B843" si="321" xml:space="preserve"> B633</f>
        <v>Aster Group Limited</v>
      </c>
      <c r="C843" s="122" t="str" vm="250">
        <f t="shared" ref="C843" si="322" xml:space="preserve"> C633</f>
        <v>L4393</v>
      </c>
      <c r="D843" s="30" cm="1">
        <f t="array" ref="D843" xml:space="preserve"> INDEX( VfM_Metrics_2023_Consol_Source[], $AK843, D$832 )</f>
        <v>8.9062823595090809E-2</v>
      </c>
      <c r="E843" s="35">
        <f xml:space="preserve"> IF( tblFilterAll[[#This Row],[Reinvestment]] &lt; D$825, 4, IF( tblFilterAll[[#This Row],[Reinvestment]] &lt; D$826, 3, IF( tblFilterAll[[#This Row],[Reinvestment]] &lt; D$827, 2, 1 ) ) )</f>
        <v>2</v>
      </c>
      <c r="F843" s="35">
        <f xml:space="preserve"> COUNTIFS( tblFilterAll[Include in output], 1, tblFilterAll[Reinvestment], "&gt;" &amp; tblFilterAll[[#This Row],[Reinvestment]] ) + 1</f>
        <v>55</v>
      </c>
      <c r="G843" s="30" cm="1">
        <f t="array" ref="G843" xml:space="preserve"> INDEX( VfM_Metrics_2023_Consol_Source[], $AK843, G$832 )</f>
        <v>2.7783945819917843E-2</v>
      </c>
      <c r="H843" s="35">
        <f xml:space="preserve"> IF( tblFilterAll[[#This Row],[New Supply (Social)]] &lt; G$825, 4, IF( tblFilterAll[[#This Row],[New Supply (Social)]] &lt; G$826, 3, IF( tblFilterAll[[#This Row],[New Supply (Social)]] &lt; G$827, 2, 1 ) ) )</f>
        <v>1</v>
      </c>
      <c r="I843" s="35">
        <f xml:space="preserve"> COUNTIFS( tblFilterAll[Include in output], 1, tblFilterAll[New Supply (Social)], "&gt;" &amp; tblFilterAll[[#This Row],[New Supply (Social)]] ) + 1</f>
        <v>23</v>
      </c>
      <c r="J843" s="31" cm="1">
        <f t="array" ref="J843" xml:space="preserve"> INDEX( VfM_Metrics_2023_Consol_Source[], $AK843, J$832 )</f>
        <v>0</v>
      </c>
      <c r="K843" s="35">
        <f xml:space="preserve"> IF( tblFilterAll[[#This Row],[New Supply (Non-Social)]] &lt; J$825, 4, IF( tblFilterAll[[#This Row],[New Supply (Non-Social)]] &lt; J$826, 3, IF( tblFilterAll[[#This Row],[New Supply (Non-Social)]] &lt; J$827, 2, 1 ) ) )</f>
        <v>2</v>
      </c>
      <c r="L843" s="35">
        <f xml:space="preserve"> COUNTIFS( tblFilterAll[Include in output], 1, tblFilterAll[New Supply (Non-Social)], "&gt;" &amp; tblFilterAll[[#This Row],[New Supply (Non-Social)]] ) + 1</f>
        <v>72</v>
      </c>
      <c r="M843" s="30" cm="1">
        <f t="array" ref="M843" xml:space="preserve"> INDEX( VfM_Metrics_2023_Consol_Source[], $AK843, M$832 )</f>
        <v>0.51008581179034185</v>
      </c>
      <c r="N843" s="35">
        <f xml:space="preserve"> IF( tblFilterAll[[#This Row],[Gearing]] &lt; M$825, 4, IF( tblFilterAll[[#This Row],[Gearing]] &lt; M$826, 3, IF( tblFilterAll[[#This Row],[Gearing]] &lt; M$827, 2, 1 ) ) )</f>
        <v>2</v>
      </c>
      <c r="O843" s="35">
        <f xml:space="preserve"> COUNTIFS( tblFilterAll[Include in output], 1, tblFilterAll[Gearing], "&gt;" &amp; tblFilterAll[[#This Row],[Gearing]] ) + 1</f>
        <v>67</v>
      </c>
      <c r="P843" s="30" cm="1">
        <f t="array" ref="P843" xml:space="preserve"> INDEX( VfM_Metrics_2023_Consol_Source[], $AK843, P$832 )</f>
        <v>1.7235586383313657</v>
      </c>
      <c r="Q843" s="35">
        <f xml:space="preserve"> IF( tblFilterAll[[#This Row],[EBITDA MRI Interest Cover]] &lt; P$825, 4, IF( tblFilterAll[[#This Row],[EBITDA MRI Interest Cover]] &lt; P$826, 3, IF( tblFilterAll[[#This Row],[EBITDA MRI Interest Cover]] &lt; P$827, 2, 1 ) ) )</f>
        <v>1</v>
      </c>
      <c r="R843" s="35">
        <f xml:space="preserve"> COUNTIFS( tblFilterAll[Include in output], 1, tblFilterAll[EBITDA MRI Interest Cover], "&gt;" &amp; tblFilterAll[[#This Row],[EBITDA MRI Interest Cover]] ) + 1</f>
        <v>48</v>
      </c>
      <c r="S843" s="32" cm="1">
        <f t="array" ref="S843" xml:space="preserve"> INDEX( VfM_Metrics_2023_Consol_Source[], $AK843, S$832 )</f>
        <v>5062.1827411167515</v>
      </c>
      <c r="T843" s="35">
        <f xml:space="preserve"> IF( tblFilterAll[[#This Row],[Headline Social Housing Cost per unit]] &lt; S$825, 4, IF( tblFilterAll[[#This Row],[Headline Social Housing Cost per unit]] &lt; S$826, 3, IF( tblFilterAll[[#This Row],[Headline Social Housing Cost per unit]] &lt; S$827, 2, 1 ) ) )</f>
        <v>2</v>
      </c>
      <c r="U843" s="35">
        <f xml:space="preserve"> COUNTIFS( tblFilterAll[Include in output], 1, tblFilterAll[Headline Social Housing Cost per unit], "&gt;" &amp; tblFilterAll[[#This Row],[Headline Social Housing Cost per unit]] ) + 1</f>
        <v>74</v>
      </c>
      <c r="V843" s="30" cm="1">
        <f t="array" ref="V843" xml:space="preserve"> INDEX( VfM_Metrics_2023_Consol_Source[], $AK843, V$832 )</f>
        <v>0.20415919378256042</v>
      </c>
      <c r="W843" s="35">
        <f xml:space="preserve"> IF( tblFilterAll[[#This Row],[Operating Margin (SHL)]] &lt; V$825, 4, IF( tblFilterAll[[#This Row],[Operating Margin (SHL)]] &lt; V$826, 3, IF( tblFilterAll[[#This Row],[Operating Margin (SHL)]] &lt; V$827, 2, 1 ) ) )</f>
        <v>2</v>
      </c>
      <c r="X843" s="35">
        <f xml:space="preserve"> COUNTIFS( tblFilterAll[Include in output], 1, tblFilterAll[Operating Margin (SHL)], "&gt;" &amp; tblFilterAll[[#This Row],[Operating Margin (SHL)]] ) + 1</f>
        <v>92</v>
      </c>
      <c r="Y843" s="30" cm="1">
        <f t="array" ref="Y843" xml:space="preserve"> INDEX( VfM_Metrics_2023_Consol_Source[], $AK843, Y$832 )</f>
        <v>0.16592352564251542</v>
      </c>
      <c r="Z843" s="35">
        <f xml:space="preserve"> IF( tblFilterAll[[#This Row],[Operating Margin (Overall)]] &lt; Y$825, 4, IF( tblFilterAll[[#This Row],[Operating Margin (Overall)]] &lt; Y$826, 3, IF( tblFilterAll[[#This Row],[Operating Margin (Overall)]] &lt; Y$827, 2, 1 ) ) )</f>
        <v>3</v>
      </c>
      <c r="AA843" s="35">
        <f xml:space="preserve"> COUNTIFS( tblFilterAll[Include in output], 1, tblFilterAll[Operating Margin (Overall)], "&gt;" &amp; tblFilterAll[[#This Row],[Operating Margin (Overall)]] ) + 1</f>
        <v>116</v>
      </c>
      <c r="AB843" s="30" cm="1">
        <f t="array" ref="AB843" xml:space="preserve"> INDEX( VfM_Metrics_2023_Consol_Source[], $AK843, AB$832 )</f>
        <v>2.962820124859385E-2</v>
      </c>
      <c r="AC843" s="35">
        <f xml:space="preserve"> IF( tblFilterAll[[#This Row],[ROCE]] &lt; AB$825, 4, IF( tblFilterAll[[#This Row],[ROCE]] &lt; AB$826, 3, IF( tblFilterAll[[#This Row],[ROCE]] &lt; AB$827, 2, 1 ) ) )</f>
        <v>2</v>
      </c>
      <c r="AD843" s="35">
        <f xml:space="preserve"> COUNTIFS( tblFilterAll[Include in output], 1, tblFilterAll[ROCE], "&gt;" &amp; tblFilterAll[[#This Row],[ROCE]] ) + 1</f>
        <v>92</v>
      </c>
      <c r="AE843" s="33" cm="1" vm="1464">
        <f t="array" ref="AE843" xml:space="preserve"> INDEX( VfM_Metrics_2023_Consol_Source[], $AK843, AE$832 )</f>
        <v>34384</v>
      </c>
      <c r="AF843" s="30" cm="1">
        <f t="array" ref="AF843" xml:space="preserve"> INDEX( VfM_Metrics_2023_Consol_Source[], $AK843, AF$832 )</f>
        <v>4.2089084621523366E-2</v>
      </c>
      <c r="AG843" s="30" cm="1">
        <f t="array" ref="AG843" xml:space="preserve"> INDEX( VfM_Metrics_2023_Consol_Source[], $AK843, AG$832 )</f>
        <v>0.12088789052108888</v>
      </c>
      <c r="AH843" s="30" cm="1">
        <f t="array" ref="AH843" xml:space="preserve"> INDEX( VfM_Metrics_2023_Consol_Source[], $AK843, AH$832 )</f>
        <v>0.16297697514261225</v>
      </c>
      <c r="AI843" s="30" t="str" cm="1">
        <f t="array" ref="AI843" xml:space="preserve"> INDEX( VfM_Metrics_2023_Consol_Source[], $AK843, AI$832 )</f>
        <v>Traditional</v>
      </c>
      <c r="AJ843" s="34" t="str" cm="1">
        <f t="array" ref="AJ843" xml:space="preserve"> INDEX( VfM_Metrics_2023_Consol_Source[], $AK843, AJ$832 )</f>
        <v>South West</v>
      </c>
      <c r="AK843" s="81">
        <f xml:space="preserve"> MATCH( tblFilterAll[[#This Row],[Code]], VfM_Metrics_2023_Consol_Source[RP_Code], 0 )</f>
        <v>10</v>
      </c>
      <c r="AL843" s="24">
        <f xml:space="preserve"> INDEX( tblFilterRegion[Include for region],  MATCH( tblFilterAll[[#This Row],[Code]], tblFilterRegion[RP_Code], 0 ) )</f>
        <v>1</v>
      </c>
      <c r="AM843" s="24">
        <f xml:space="preserve"> INDEX( tblFilterPropType[Incl for prop type],  MATCH( tblFilterAll[[#This Row],[Code]], tblFilterPropType[RP_Code], 0 ) )</f>
        <v>1</v>
      </c>
      <c r="AN843" s="24">
        <f xml:space="preserve"> INDEX( tblFilterSize[Incl for size],  MATCH( tblFilterAll[[#This Row],[Code]], tblFilterSize[RP_Code], 0 ) )</f>
        <v>1</v>
      </c>
      <c r="AO843" s="24">
        <f xml:space="preserve"> INDEX( tblFilterRP_Type[Incl, for RP Type],  MATCH( tblFilterAll[[#This Row],[Code]], tblFilterRP_Type[RP_Code], 0 ) )</f>
        <v>1</v>
      </c>
      <c r="AP843" s="24">
        <f xml:space="preserve">  -- ( SUM( tblFilterAll[[#This Row],[Filter Region]:[Filter RP Type]] ) = 4 )</f>
        <v>1</v>
      </c>
      <c r="AQ843" s="24">
        <f xml:space="preserve"> -- ( tblFilterAll[[#This Row],[Provider name]] = SelectedProvider )</f>
        <v>0</v>
      </c>
      <c r="AR843" s="24">
        <f xml:space="preserve">  -- ( OR( SUM( tblFilterAll[[#This Row],[Filter Region]:[Filter RP Type]] ) = 4, tblFilterAll[[#This Row],[SelectedProvider]] = 1 ) )</f>
        <v>1</v>
      </c>
      <c r="AS843" s="24">
        <f xml:space="preserve"> -- ( INDEX( PeersCritera[Included in final peers], MATCH( tblFilterAll[[#This Row],[Provider name]], PeersCritera[RP_Name], 0 ) ) = 1 )</f>
        <v>1</v>
      </c>
      <c r="AT843" s="30" t="str" cm="1">
        <f t="array" ref="AT843" xml:space="preserve"> SUBSTITUTE( INDEX( VfM_Metrics_2023_Consol_Source[], $AK843, AT$832 ), 0, "" )</f>
        <v>&gt;= 12 years</v>
      </c>
      <c r="AU843" s="34" cm="1">
        <f t="array" ref="AU843" xml:space="preserve"> INDEX( VfM_Metrics_2023_Consol_Source[], $AK843, AU$832 )</f>
        <v>4.81462940604847E-2</v>
      </c>
      <c r="AV843" s="34" cm="1">
        <f t="array" ref="AV843" xml:space="preserve"> INDEX( VfM_Metrics_2023_Consol_Source[], $AK843, AV$832 )</f>
        <v>0.25869430784180925</v>
      </c>
      <c r="AW843" s="34" cm="1">
        <f t="array" ref="AW843" xml:space="preserve"> INDEX( VfM_Metrics_2023_Consol_Source[], $AK843, AW$832 )</f>
        <v>0.6931593980977061</v>
      </c>
      <c r="AX843" s="34" cm="1">
        <f t="array" ref="AX843" xml:space="preserve"> INDEX( VfM_Metrics_2023_Consol_Source[], $AK843, AX$832 )</f>
        <v>0</v>
      </c>
      <c r="AY843" s="34" cm="1">
        <f t="array" ref="AY843" xml:space="preserve"> INDEX( VfM_Metrics_2023_Consol_Source[], $AK843, AY$832 )</f>
        <v>0</v>
      </c>
      <c r="AZ843" s="34" cm="1">
        <f t="array" ref="AZ843" xml:space="preserve"> INDEX( VfM_Metrics_2023_Consol_Source[], $AK843, AZ$832 )</f>
        <v>0</v>
      </c>
      <c r="BA843" s="34" cm="1">
        <f t="array" ref="BA843" xml:space="preserve"> INDEX( VfM_Metrics_2023_Consol_Source[], $AK843, BA$832 )</f>
        <v>0</v>
      </c>
      <c r="BB843" s="34" cm="1">
        <f t="array" ref="BB843" xml:space="preserve"> INDEX( VfM_Metrics_2023_Consol_Source[], $AK843, BB$832 )</f>
        <v>0</v>
      </c>
      <c r="BC843" s="34" cm="1">
        <f t="array" ref="BC843" xml:space="preserve"> INDEX( VfM_Metrics_2023_Consol_Source[], $AK843, BC$832 )</f>
        <v>0</v>
      </c>
    </row>
    <row r="844" spans="2:55" x14ac:dyDescent="0.2">
      <c r="B844" s="122" t="str" vm="11">
        <f t="shared" ref="B844" si="323" xml:space="preserve"> B634</f>
        <v>B3 Living Limited</v>
      </c>
      <c r="C844" s="122" t="str" vm="326">
        <f t="shared" ref="C844" si="324" xml:space="preserve"> C634</f>
        <v>L4455</v>
      </c>
      <c r="D844" s="30" cm="1">
        <f t="array" ref="D844" xml:space="preserve"> INDEX( VfM_Metrics_2023_Consol_Source[], $AK844, D$832 )</f>
        <v>8.1123874768960977E-2</v>
      </c>
      <c r="E844" s="35">
        <f xml:space="preserve"> IF( tblFilterAll[[#This Row],[Reinvestment]] &lt; D$825, 4, IF( tblFilterAll[[#This Row],[Reinvestment]] &lt; D$826, 3, IF( tblFilterAll[[#This Row],[Reinvestment]] &lt; D$827, 2, 1 ) ) )</f>
        <v>2</v>
      </c>
      <c r="F844" s="35">
        <f xml:space="preserve"> COUNTIFS( tblFilterAll[Include in output], 1, tblFilterAll[Reinvestment], "&gt;" &amp; tblFilterAll[[#This Row],[Reinvestment]] ) + 1</f>
        <v>70</v>
      </c>
      <c r="G844" s="30" cm="1">
        <f t="array" ref="G844" xml:space="preserve"> INDEX( VfM_Metrics_2023_Consol_Source[], $AK844, G$832 )</f>
        <v>4.9246039320481008E-2</v>
      </c>
      <c r="H844" s="35">
        <f xml:space="preserve"> IF( tblFilterAll[[#This Row],[New Supply (Social)]] &lt; G$825, 4, IF( tblFilterAll[[#This Row],[New Supply (Social)]] &lt; G$826, 3, IF( tblFilterAll[[#This Row],[New Supply (Social)]] &lt; G$827, 2, 1 ) ) )</f>
        <v>1</v>
      </c>
      <c r="I844" s="35">
        <f xml:space="preserve"> COUNTIFS( tblFilterAll[Include in output], 1, tblFilterAll[New Supply (Social)], "&gt;" &amp; tblFilterAll[[#This Row],[New Supply (Social)]] ) + 1</f>
        <v>5</v>
      </c>
      <c r="J844" s="31" cm="1">
        <f t="array" ref="J844" xml:space="preserve"> INDEX( VfM_Metrics_2023_Consol_Source[], $AK844, J$832 )</f>
        <v>0</v>
      </c>
      <c r="K844" s="35">
        <f xml:space="preserve"> IF( tblFilterAll[[#This Row],[New Supply (Non-Social)]] &lt; J$825, 4, IF( tblFilterAll[[#This Row],[New Supply (Non-Social)]] &lt; J$826, 3, IF( tblFilterAll[[#This Row],[New Supply (Non-Social)]] &lt; J$827, 2, 1 ) ) )</f>
        <v>2</v>
      </c>
      <c r="L844" s="35">
        <f xml:space="preserve"> COUNTIFS( tblFilterAll[Include in output], 1, tblFilterAll[New Supply (Non-Social)], "&gt;" &amp; tblFilterAll[[#This Row],[New Supply (Non-Social)]] ) + 1</f>
        <v>72</v>
      </c>
      <c r="M844" s="30" cm="1">
        <f t="array" ref="M844" xml:space="preserve"> INDEX( VfM_Metrics_2023_Consol_Source[], $AK844, M$832 )</f>
        <v>0.63280407259514393</v>
      </c>
      <c r="N844" s="35">
        <f xml:space="preserve"> IF( tblFilterAll[[#This Row],[Gearing]] &lt; M$825, 4, IF( tblFilterAll[[#This Row],[Gearing]] &lt; M$826, 3, IF( tblFilterAll[[#This Row],[Gearing]] &lt; M$827, 2, 1 ) ) )</f>
        <v>1</v>
      </c>
      <c r="O844" s="35">
        <f xml:space="preserve"> COUNTIFS( tblFilterAll[Include in output], 1, tblFilterAll[Gearing], "&gt;" &amp; tblFilterAll[[#This Row],[Gearing]] ) + 1</f>
        <v>16</v>
      </c>
      <c r="P844" s="30" cm="1">
        <f t="array" ref="P844" xml:space="preserve"> INDEX( VfM_Metrics_2023_Consol_Source[], $AK844, P$832 )</f>
        <v>1.6856588677415445</v>
      </c>
      <c r="Q844" s="35">
        <f xml:space="preserve"> IF( tblFilterAll[[#This Row],[EBITDA MRI Interest Cover]] &lt; P$825, 4, IF( tblFilterAll[[#This Row],[EBITDA MRI Interest Cover]] &lt; P$826, 3, IF( tblFilterAll[[#This Row],[EBITDA MRI Interest Cover]] &lt; P$827, 2, 1 ) ) )</f>
        <v>2</v>
      </c>
      <c r="R844" s="35">
        <f xml:space="preserve"> COUNTIFS( tblFilterAll[Include in output], 1, tblFilterAll[EBITDA MRI Interest Cover], "&gt;" &amp; tblFilterAll[[#This Row],[EBITDA MRI Interest Cover]] ) + 1</f>
        <v>51</v>
      </c>
      <c r="S844" s="32" cm="1">
        <f t="array" ref="S844" xml:space="preserve"> INDEX( VfM_Metrics_2023_Consol_Source[], $AK844, S$832 )</f>
        <v>4487.6651982378853</v>
      </c>
      <c r="T844" s="35">
        <f xml:space="preserve"> IF( tblFilterAll[[#This Row],[Headline Social Housing Cost per unit]] &lt; S$825, 4, IF( tblFilterAll[[#This Row],[Headline Social Housing Cost per unit]] &lt; S$826, 3, IF( tblFilterAll[[#This Row],[Headline Social Housing Cost per unit]] &lt; S$827, 2, 1 ) ) )</f>
        <v>3</v>
      </c>
      <c r="U844" s="35">
        <f xml:space="preserve"> COUNTIFS( tblFilterAll[Include in output], 1, tblFilterAll[Headline Social Housing Cost per unit], "&gt;" &amp; tblFilterAll[[#This Row],[Headline Social Housing Cost per unit]] ) + 1</f>
        <v>109</v>
      </c>
      <c r="V844" s="30" cm="1">
        <f t="array" ref="V844" xml:space="preserve"> INDEX( VfM_Metrics_2023_Consol_Source[], $AK844, V$832 )</f>
        <v>0.40549119187430566</v>
      </c>
      <c r="W844" s="35">
        <f xml:space="preserve"> IF( tblFilterAll[[#This Row],[Operating Margin (SHL)]] &lt; V$825, 4, IF( tblFilterAll[[#This Row],[Operating Margin (SHL)]] &lt; V$826, 3, IF( tblFilterAll[[#This Row],[Operating Margin (SHL)]] &lt; V$827, 2, 1 ) ) )</f>
        <v>1</v>
      </c>
      <c r="X844" s="35">
        <f xml:space="preserve"> COUNTIFS( tblFilterAll[Include in output], 1, tblFilterAll[Operating Margin (SHL)], "&gt;" &amp; tblFilterAll[[#This Row],[Operating Margin (SHL)]] ) + 1</f>
        <v>4</v>
      </c>
      <c r="Y844" s="30" cm="1">
        <f t="array" ref="Y844" xml:space="preserve"> INDEX( VfM_Metrics_2023_Consol_Source[], $AK844, Y$832 )</f>
        <v>0.34316795780451625</v>
      </c>
      <c r="Z844" s="35">
        <f xml:space="preserve"> IF( tblFilterAll[[#This Row],[Operating Margin (Overall)]] &lt; Y$825, 4, IF( tblFilterAll[[#This Row],[Operating Margin (Overall)]] &lt; Y$826, 3, IF( tblFilterAll[[#This Row],[Operating Margin (Overall)]] &lt; Y$827, 2, 1 ) ) )</f>
        <v>1</v>
      </c>
      <c r="AA844" s="35">
        <f xml:space="preserve"> COUNTIFS( tblFilterAll[Include in output], 1, tblFilterAll[Operating Margin (Overall)], "&gt;" &amp; tblFilterAll[[#This Row],[Operating Margin (Overall)]] ) + 1</f>
        <v>4</v>
      </c>
      <c r="AB844" s="30" cm="1">
        <f t="array" ref="AB844" xml:space="preserve"> INDEX( VfM_Metrics_2023_Consol_Source[], $AK844, AB$832 )</f>
        <v>4.5431453230143047E-2</v>
      </c>
      <c r="AC844" s="35">
        <f xml:space="preserve"> IF( tblFilterAll[[#This Row],[ROCE]] &lt; AB$825, 4, IF( tblFilterAll[[#This Row],[ROCE]] &lt; AB$826, 3, IF( tblFilterAll[[#This Row],[ROCE]] &lt; AB$827, 2, 1 ) ) )</f>
        <v>1</v>
      </c>
      <c r="AD844" s="35">
        <f xml:space="preserve"> COUNTIFS( tblFilterAll[Include in output], 1, tblFilterAll[ROCE], "&gt;" &amp; tblFilterAll[[#This Row],[ROCE]] ) + 1</f>
        <v>14</v>
      </c>
      <c r="AE844" s="33" cm="1" vm="4248">
        <f t="array" ref="AE844" xml:space="preserve"> INDEX( VfM_Metrics_2023_Consol_Source[], $AK844, AE$832 )</f>
        <v>4540</v>
      </c>
      <c r="AF844" s="30" cm="1">
        <f t="array" ref="AF844" xml:space="preserve"> INDEX( VfM_Metrics_2023_Consol_Source[], $AK844, AF$832 )</f>
        <v>0</v>
      </c>
      <c r="AG844" s="30" cm="1">
        <f t="array" ref="AG844" xml:space="preserve"> INDEX( VfM_Metrics_2023_Consol_Source[], $AK844, AG$832 )</f>
        <v>6.4061790095411172E-2</v>
      </c>
      <c r="AH844" s="30" cm="1">
        <f t="array" ref="AH844" xml:space="preserve"> INDEX( VfM_Metrics_2023_Consol_Source[], $AK844, AH$832 )</f>
        <v>6.4061790095411172E-2</v>
      </c>
      <c r="AI844" s="30" t="str" cm="1">
        <f t="array" ref="AI844" xml:space="preserve"> INDEX( VfM_Metrics_2023_Consol_Source[], $AK844, AI$832 )</f>
        <v>Traditional</v>
      </c>
      <c r="AJ844" s="34" t="str" cm="1">
        <f t="array" ref="AJ844" xml:space="preserve"> INDEX( VfM_Metrics_2023_Consol_Source[], $AK844, AJ$832 )</f>
        <v>East of England</v>
      </c>
      <c r="AK844" s="81">
        <f xml:space="preserve"> MATCH( tblFilterAll[[#This Row],[Code]], VfM_Metrics_2023_Consol_Source[RP_Code], 0 )</f>
        <v>11</v>
      </c>
      <c r="AL844" s="24">
        <f xml:space="preserve"> INDEX( tblFilterRegion[Include for region],  MATCH( tblFilterAll[[#This Row],[Code]], tblFilterRegion[RP_Code], 0 ) )</f>
        <v>1</v>
      </c>
      <c r="AM844" s="24">
        <f xml:space="preserve"> INDEX( tblFilterPropType[Incl for prop type],  MATCH( tblFilterAll[[#This Row],[Code]], tblFilterPropType[RP_Code], 0 ) )</f>
        <v>1</v>
      </c>
      <c r="AN844" s="24">
        <f xml:space="preserve"> INDEX( tblFilterSize[Incl for size],  MATCH( tblFilterAll[[#This Row],[Code]], tblFilterSize[RP_Code], 0 ) )</f>
        <v>1</v>
      </c>
      <c r="AO844" s="24">
        <f xml:space="preserve"> INDEX( tblFilterRP_Type[Incl, for RP Type],  MATCH( tblFilterAll[[#This Row],[Code]], tblFilterRP_Type[RP_Code], 0 ) )</f>
        <v>1</v>
      </c>
      <c r="AP844" s="24">
        <f xml:space="preserve">  -- ( SUM( tblFilterAll[[#This Row],[Filter Region]:[Filter RP Type]] ) = 4 )</f>
        <v>1</v>
      </c>
      <c r="AQ844" s="24">
        <f xml:space="preserve"> -- ( tblFilterAll[[#This Row],[Provider name]] = SelectedProvider )</f>
        <v>0</v>
      </c>
      <c r="AR844" s="24">
        <f xml:space="preserve">  -- ( OR( SUM( tblFilterAll[[#This Row],[Filter Region]:[Filter RP Type]] ) = 4, tblFilterAll[[#This Row],[SelectedProvider]] = 1 ) )</f>
        <v>1</v>
      </c>
      <c r="AS844" s="24">
        <f xml:space="preserve"> -- ( INDEX( PeersCritera[Included in final peers], MATCH( tblFilterAll[[#This Row],[Provider name]], PeersCritera[RP_Name], 0 ) ) = 1 )</f>
        <v>1</v>
      </c>
      <c r="AT844" s="30" t="str" cm="1">
        <f t="array" ref="AT844" xml:space="preserve"> SUBSTITUTE( INDEX( VfM_Metrics_2023_Consol_Source[], $AK844, AT$832 ), 0, "" )</f>
        <v>&gt;= 12 years</v>
      </c>
      <c r="AU844" s="34" cm="1">
        <f t="array" ref="AU844" xml:space="preserve"> INDEX( VfM_Metrics_2023_Consol_Source[], $AK844, AU$832 )</f>
        <v>0</v>
      </c>
      <c r="AV844" s="34" cm="1">
        <f t="array" ref="AV844" xml:space="preserve"> INDEX( VfM_Metrics_2023_Consol_Source[], $AK844, AV$832 )</f>
        <v>0</v>
      </c>
      <c r="AW844" s="34" cm="1">
        <f t="array" ref="AW844" xml:space="preserve"> INDEX( VfM_Metrics_2023_Consol_Source[], $AK844, AW$832 )</f>
        <v>0</v>
      </c>
      <c r="AX844" s="34" cm="1">
        <f t="array" ref="AX844" xml:space="preserve"> INDEX( VfM_Metrics_2023_Consol_Source[], $AK844, AX$832 )</f>
        <v>0</v>
      </c>
      <c r="AY844" s="34" cm="1">
        <f t="array" ref="AY844" xml:space="preserve"> INDEX( VfM_Metrics_2023_Consol_Source[], $AK844, AY$832 )</f>
        <v>0</v>
      </c>
      <c r="AZ844" s="34" cm="1">
        <f t="array" ref="AZ844" xml:space="preserve"> INDEX( VfM_Metrics_2023_Consol_Source[], $AK844, AZ$832 )</f>
        <v>1</v>
      </c>
      <c r="BA844" s="34" cm="1">
        <f t="array" ref="BA844" xml:space="preserve"> INDEX( VfM_Metrics_2023_Consol_Source[], $AK844, BA$832 )</f>
        <v>0</v>
      </c>
      <c r="BB844" s="34" cm="1">
        <f t="array" ref="BB844" xml:space="preserve"> INDEX( VfM_Metrics_2023_Consol_Source[], $AK844, BB$832 )</f>
        <v>0</v>
      </c>
      <c r="BC844" s="34" cm="1">
        <f t="array" ref="BC844" xml:space="preserve"> INDEX( VfM_Metrics_2023_Consol_Source[], $AK844, BC$832 )</f>
        <v>0</v>
      </c>
    </row>
    <row r="845" spans="2:55" x14ac:dyDescent="0.2">
      <c r="B845" s="122" t="str" vm="12">
        <f t="shared" ref="B845" si="325" xml:space="preserve"> B635</f>
        <v>Believe Housing Limited</v>
      </c>
      <c r="C845" s="122" t="str" vm="284">
        <f t="shared" ref="C845" si="326" xml:space="preserve"> C635</f>
        <v>5071</v>
      </c>
      <c r="D845" s="30" cm="1">
        <f t="array" ref="D845" xml:space="preserve"> INDEX( VfM_Metrics_2023_Consol_Source[], $AK845, D$832 )</f>
        <v>0.1613248974676641</v>
      </c>
      <c r="E845" s="35">
        <f xml:space="preserve"> IF( tblFilterAll[[#This Row],[Reinvestment]] &lt; D$825, 4, IF( tblFilterAll[[#This Row],[Reinvestment]] &lt; D$826, 3, IF( tblFilterAll[[#This Row],[Reinvestment]] &lt; D$827, 2, 1 ) ) )</f>
        <v>1</v>
      </c>
      <c r="F845" s="35">
        <f xml:space="preserve"> COUNTIFS( tblFilterAll[Include in output], 1, tblFilterAll[Reinvestment], "&gt;" &amp; tblFilterAll[[#This Row],[Reinvestment]] ) + 1</f>
        <v>8</v>
      </c>
      <c r="G845" s="30" cm="1">
        <f t="array" ref="G845" xml:space="preserve"> INDEX( VfM_Metrics_2023_Consol_Source[], $AK845, G$832 )</f>
        <v>5.4776511831726559E-3</v>
      </c>
      <c r="H845" s="35">
        <f xml:space="preserve"> IF( tblFilterAll[[#This Row],[New Supply (Social)]] &lt; G$825, 4, IF( tblFilterAll[[#This Row],[New Supply (Social)]] &lt; G$826, 3, IF( tblFilterAll[[#This Row],[New Supply (Social)]] &lt; G$827, 2, 1 ) ) )</f>
        <v>4</v>
      </c>
      <c r="I845" s="35">
        <f xml:space="preserve"> COUNTIFS( tblFilterAll[Include in output], 1, tblFilterAll[New Supply (Social)], "&gt;" &amp; tblFilterAll[[#This Row],[New Supply (Social)]] ) + 1</f>
        <v>156</v>
      </c>
      <c r="J845" s="31" cm="1">
        <f t="array" ref="J845" xml:space="preserve"> INDEX( VfM_Metrics_2023_Consol_Source[], $AK845, J$832 )</f>
        <v>0</v>
      </c>
      <c r="K845" s="35">
        <f xml:space="preserve"> IF( tblFilterAll[[#This Row],[New Supply (Non-Social)]] &lt; J$825, 4, IF( tblFilterAll[[#This Row],[New Supply (Non-Social)]] &lt; J$826, 3, IF( tblFilterAll[[#This Row],[New Supply (Non-Social)]] &lt; J$827, 2, 1 ) ) )</f>
        <v>2</v>
      </c>
      <c r="L845" s="35">
        <f xml:space="preserve"> COUNTIFS( tblFilterAll[Include in output], 1, tblFilterAll[New Supply (Non-Social)], "&gt;" &amp; tblFilterAll[[#This Row],[New Supply (Non-Social)]] ) + 1</f>
        <v>72</v>
      </c>
      <c r="M845" s="30" cm="1">
        <f t="array" ref="M845" xml:space="preserve"> INDEX( VfM_Metrics_2023_Consol_Source[], $AK845, M$832 )</f>
        <v>0.48707036508131657</v>
      </c>
      <c r="N845" s="35">
        <f xml:space="preserve"> IF( tblFilterAll[[#This Row],[Gearing]] &lt; M$825, 4, IF( tblFilterAll[[#This Row],[Gearing]] &lt; M$826, 3, IF( tblFilterAll[[#This Row],[Gearing]] &lt; M$827, 2, 1 ) ) )</f>
        <v>2</v>
      </c>
      <c r="O845" s="35">
        <f xml:space="preserve"> COUNTIFS( tblFilterAll[Include in output], 1, tblFilterAll[Gearing], "&gt;" &amp; tblFilterAll[[#This Row],[Gearing]] ) + 1</f>
        <v>77</v>
      </c>
      <c r="P845" s="30" cm="1">
        <f t="array" ref="P845" xml:space="preserve"> INDEX( VfM_Metrics_2023_Consol_Source[], $AK845, P$832 )</f>
        <v>-0.79515978071934745</v>
      </c>
      <c r="Q845" s="35">
        <f xml:space="preserve"> IF( tblFilterAll[[#This Row],[EBITDA MRI Interest Cover]] &lt; P$825, 4, IF( tblFilterAll[[#This Row],[EBITDA MRI Interest Cover]] &lt; P$826, 3, IF( tblFilterAll[[#This Row],[EBITDA MRI Interest Cover]] &lt; P$827, 2, 1 ) ) )</f>
        <v>4</v>
      </c>
      <c r="R845" s="35">
        <f xml:space="preserve"> COUNTIFS( tblFilterAll[Include in output], 1, tblFilterAll[EBITDA MRI Interest Cover], "&gt;" &amp; tblFilterAll[[#This Row],[EBITDA MRI Interest Cover]] ) + 1</f>
        <v>188</v>
      </c>
      <c r="S845" s="32" cm="1">
        <f t="array" ref="S845" xml:space="preserve"> INDEX( VfM_Metrics_2023_Consol_Source[], $AK845, S$832 )</f>
        <v>4370.9820438927072</v>
      </c>
      <c r="T845" s="35">
        <f xml:space="preserve"> IF( tblFilterAll[[#This Row],[Headline Social Housing Cost per unit]] &lt; S$825, 4, IF( tblFilterAll[[#This Row],[Headline Social Housing Cost per unit]] &lt; S$826, 3, IF( tblFilterAll[[#This Row],[Headline Social Housing Cost per unit]] &lt; S$827, 2, 1 ) ) )</f>
        <v>3</v>
      </c>
      <c r="U845" s="35">
        <f xml:space="preserve"> COUNTIFS( tblFilterAll[Include in output], 1, tblFilterAll[Headline Social Housing Cost per unit], "&gt;" &amp; tblFilterAll[[#This Row],[Headline Social Housing Cost per unit]] ) + 1</f>
        <v>119</v>
      </c>
      <c r="V845" s="30" cm="1">
        <f t="array" ref="V845" xml:space="preserve"> INDEX( VfM_Metrics_2023_Consol_Source[], $AK845, V$832 )</f>
        <v>0.14326878257553285</v>
      </c>
      <c r="W845" s="35">
        <f xml:space="preserve"> IF( tblFilterAll[[#This Row],[Operating Margin (SHL)]] &lt; V$825, 4, IF( tblFilterAll[[#This Row],[Operating Margin (SHL)]] &lt; V$826, 3, IF( tblFilterAll[[#This Row],[Operating Margin (SHL)]] &lt; V$827, 2, 1 ) ) )</f>
        <v>4</v>
      </c>
      <c r="X845" s="35">
        <f xml:space="preserve"> COUNTIFS( tblFilterAll[Include in output], 1, tblFilterAll[Operating Margin (SHL)], "&gt;" &amp; tblFilterAll[[#This Row],[Operating Margin (SHL)]] ) + 1</f>
        <v>150</v>
      </c>
      <c r="Y845" s="30" cm="1">
        <f t="array" ref="Y845" xml:space="preserve"> INDEX( VfM_Metrics_2023_Consol_Source[], $AK845, Y$832 )</f>
        <v>0.13661505172763541</v>
      </c>
      <c r="Z845" s="35">
        <f xml:space="preserve"> IF( tblFilterAll[[#This Row],[Operating Margin (Overall)]] &lt; Y$825, 4, IF( tblFilterAll[[#This Row],[Operating Margin (Overall)]] &lt; Y$826, 3, IF( tblFilterAll[[#This Row],[Operating Margin (Overall)]] &lt; Y$827, 2, 1 ) ) )</f>
        <v>3</v>
      </c>
      <c r="AA845" s="35">
        <f xml:space="preserve"> COUNTIFS( tblFilterAll[Include in output], 1, tblFilterAll[Operating Margin (Overall)], "&gt;" &amp; tblFilterAll[[#This Row],[Operating Margin (Overall)]] ) + 1</f>
        <v>143</v>
      </c>
      <c r="AB845" s="30" cm="1">
        <f t="array" ref="AB845" xml:space="preserve"> INDEX( VfM_Metrics_2023_Consol_Source[], $AK845, AB$832 )</f>
        <v>4.1729165696184845E-2</v>
      </c>
      <c r="AC845" s="35">
        <f xml:space="preserve"> IF( tblFilterAll[[#This Row],[ROCE]] &lt; AB$825, 4, IF( tblFilterAll[[#This Row],[ROCE]] &lt; AB$826, 3, IF( tblFilterAll[[#This Row],[ROCE]] &lt; AB$827, 2, 1 ) ) )</f>
        <v>1</v>
      </c>
      <c r="AD845" s="35">
        <f xml:space="preserve"> COUNTIFS( tblFilterAll[Include in output], 1, tblFilterAll[ROCE], "&gt;" &amp; tblFilterAll[[#This Row],[ROCE]] ) + 1</f>
        <v>23</v>
      </c>
      <c r="AE845" s="33" cm="1" vm="7608">
        <f t="array" ref="AE845" xml:space="preserve"> INDEX( VfM_Metrics_2023_Consol_Source[], $AK845, AE$832 )</f>
        <v>18044</v>
      </c>
      <c r="AF845" s="30" cm="1">
        <f t="array" ref="AF845" xml:space="preserve"> INDEX( VfM_Metrics_2023_Consol_Source[], $AK845, AF$832 )</f>
        <v>0</v>
      </c>
      <c r="AG845" s="30" cm="1">
        <f t="array" ref="AG845" xml:space="preserve"> INDEX( VfM_Metrics_2023_Consol_Source[], $AK845, AG$832 )</f>
        <v>0</v>
      </c>
      <c r="AH845" s="30" cm="1">
        <f t="array" ref="AH845" xml:space="preserve"> INDEX( VfM_Metrics_2023_Consol_Source[], $AK845, AH$832 )</f>
        <v>0</v>
      </c>
      <c r="AI845" s="30" t="str" cm="1">
        <f t="array" ref="AI845" xml:space="preserve"> INDEX( VfM_Metrics_2023_Consol_Source[], $AK845, AI$832 )</f>
        <v>LSVT</v>
      </c>
      <c r="AJ845" s="34" t="str" cm="1">
        <f t="array" ref="AJ845" xml:space="preserve"> INDEX( VfM_Metrics_2023_Consol_Source[], $AK845, AJ$832 )</f>
        <v>North East</v>
      </c>
      <c r="AK845" s="81">
        <f xml:space="preserve"> MATCH( tblFilterAll[[#This Row],[Code]], VfM_Metrics_2023_Consol_Source[RP_Code], 0 )</f>
        <v>12</v>
      </c>
      <c r="AL845" s="24">
        <f xml:space="preserve"> INDEX( tblFilterRegion[Include for region],  MATCH( tblFilterAll[[#This Row],[Code]], tblFilterRegion[RP_Code], 0 ) )</f>
        <v>1</v>
      </c>
      <c r="AM845" s="24">
        <f xml:space="preserve"> INDEX( tblFilterPropType[Incl for prop type],  MATCH( tblFilterAll[[#This Row],[Code]], tblFilterPropType[RP_Code], 0 ) )</f>
        <v>1</v>
      </c>
      <c r="AN845" s="24">
        <f xml:space="preserve"> INDEX( tblFilterSize[Incl for size],  MATCH( tblFilterAll[[#This Row],[Code]], tblFilterSize[RP_Code], 0 ) )</f>
        <v>1</v>
      </c>
      <c r="AO845" s="24">
        <f xml:space="preserve"> INDEX( tblFilterRP_Type[Incl, for RP Type],  MATCH( tblFilterAll[[#This Row],[Code]], tblFilterRP_Type[RP_Code], 0 ) )</f>
        <v>1</v>
      </c>
      <c r="AP845" s="24">
        <f xml:space="preserve">  -- ( SUM( tblFilterAll[[#This Row],[Filter Region]:[Filter RP Type]] ) = 4 )</f>
        <v>1</v>
      </c>
      <c r="AQ845" s="24">
        <f xml:space="preserve"> -- ( tblFilterAll[[#This Row],[Provider name]] = SelectedProvider )</f>
        <v>0</v>
      </c>
      <c r="AR845" s="24">
        <f xml:space="preserve">  -- ( OR( SUM( tblFilterAll[[#This Row],[Filter Region]:[Filter RP Type]] ) = 4, tblFilterAll[[#This Row],[SelectedProvider]] = 1 ) )</f>
        <v>1</v>
      </c>
      <c r="AS845" s="24">
        <f xml:space="preserve"> -- ( INDEX( PeersCritera[Included in final peers], MATCH( tblFilterAll[[#This Row],[Provider name]], PeersCritera[RP_Name], 0 ) ) = 1 )</f>
        <v>1</v>
      </c>
      <c r="AT845" s="30" t="str" cm="1">
        <f t="array" ref="AT845" xml:space="preserve"> SUBSTITUTE( INDEX( VfM_Metrics_2023_Consol_Source[], $AK845, AT$832 ), 0, "" )</f>
        <v>&lt; 12 years</v>
      </c>
      <c r="AU845" s="34" cm="1">
        <f t="array" ref="AU845" xml:space="preserve"> INDEX( VfM_Metrics_2023_Consol_Source[], $AK845, AU$832 )</f>
        <v>0</v>
      </c>
      <c r="AV845" s="34" cm="1">
        <f t="array" ref="AV845" xml:space="preserve"> INDEX( VfM_Metrics_2023_Consol_Source[], $AK845, AV$832 )</f>
        <v>0</v>
      </c>
      <c r="AW845" s="34" cm="1">
        <f t="array" ref="AW845" xml:space="preserve"> INDEX( VfM_Metrics_2023_Consol_Source[], $AK845, AW$832 )</f>
        <v>0</v>
      </c>
      <c r="AX845" s="34" cm="1">
        <f t="array" ref="AX845" xml:space="preserve"> INDEX( VfM_Metrics_2023_Consol_Source[], $AK845, AX$832 )</f>
        <v>0</v>
      </c>
      <c r="AY845" s="34" cm="1">
        <f t="array" ref="AY845" xml:space="preserve"> INDEX( VfM_Metrics_2023_Consol_Source[], $AK845, AY$832 )</f>
        <v>0</v>
      </c>
      <c r="AZ845" s="34" cm="1">
        <f t="array" ref="AZ845" xml:space="preserve"> INDEX( VfM_Metrics_2023_Consol_Source[], $AK845, AZ$832 )</f>
        <v>0</v>
      </c>
      <c r="BA845" s="34" cm="1">
        <f t="array" ref="BA845" xml:space="preserve"> INDEX( VfM_Metrics_2023_Consol_Source[], $AK845, BA$832 )</f>
        <v>1</v>
      </c>
      <c r="BB845" s="34" cm="1">
        <f t="array" ref="BB845" xml:space="preserve"> INDEX( VfM_Metrics_2023_Consol_Source[], $AK845, BB$832 )</f>
        <v>0</v>
      </c>
      <c r="BC845" s="34" cm="1">
        <f t="array" ref="BC845" xml:space="preserve"> INDEX( VfM_Metrics_2023_Consol_Source[], $AK845, BC$832 )</f>
        <v>0</v>
      </c>
    </row>
    <row r="846" spans="2:55" x14ac:dyDescent="0.2">
      <c r="B846" s="122" t="str" vm="13">
        <f t="shared" ref="B846" si="327" xml:space="preserve"> B636</f>
        <v>Bernicia Group</v>
      </c>
      <c r="C846" s="122" t="str" vm="291">
        <f t="shared" ref="C846" si="328" xml:space="preserve"> C636</f>
        <v>4868</v>
      </c>
      <c r="D846" s="30" cm="1">
        <f t="array" ref="D846" xml:space="preserve"> INDEX( VfM_Metrics_2023_Consol_Source[], $AK846, D$832 )</f>
        <v>5.449823199924899E-2</v>
      </c>
      <c r="E846" s="35">
        <f xml:space="preserve"> IF( tblFilterAll[[#This Row],[Reinvestment]] &lt; D$825, 4, IF( tblFilterAll[[#This Row],[Reinvestment]] &lt; D$826, 3, IF( tblFilterAll[[#This Row],[Reinvestment]] &lt; D$827, 2, 1 ) ) )</f>
        <v>3</v>
      </c>
      <c r="F846" s="35">
        <f xml:space="preserve"> COUNTIFS( tblFilterAll[Include in output], 1, tblFilterAll[Reinvestment], "&gt;" &amp; tblFilterAll[[#This Row],[Reinvestment]] ) + 1</f>
        <v>136</v>
      </c>
      <c r="G846" s="30" cm="1">
        <f t="array" ref="G846" xml:space="preserve"> INDEX( VfM_Metrics_2023_Consol_Source[], $AK846, G$832 )</f>
        <v>8.0143705955506434E-3</v>
      </c>
      <c r="H846" s="35">
        <f xml:space="preserve"> IF( tblFilterAll[[#This Row],[New Supply (Social)]] &lt; G$825, 4, IF( tblFilterAll[[#This Row],[New Supply (Social)]] &lt; G$826, 3, IF( tblFilterAll[[#This Row],[New Supply (Social)]] &lt; G$827, 2, 1 ) ) )</f>
        <v>3</v>
      </c>
      <c r="I846" s="35">
        <f xml:space="preserve"> COUNTIFS( tblFilterAll[Include in output], 1, tblFilterAll[New Supply (Social)], "&gt;" &amp; tblFilterAll[[#This Row],[New Supply (Social)]] ) + 1</f>
        <v>139</v>
      </c>
      <c r="J846" s="31" cm="1">
        <f t="array" ref="J846" xml:space="preserve"> INDEX( VfM_Metrics_2023_Consol_Source[], $AK846, J$832 )</f>
        <v>0</v>
      </c>
      <c r="K846" s="35">
        <f xml:space="preserve"> IF( tblFilterAll[[#This Row],[New Supply (Non-Social)]] &lt; J$825, 4, IF( tblFilterAll[[#This Row],[New Supply (Non-Social)]] &lt; J$826, 3, IF( tblFilterAll[[#This Row],[New Supply (Non-Social)]] &lt; J$827, 2, 1 ) ) )</f>
        <v>2</v>
      </c>
      <c r="L846" s="35">
        <f xml:space="preserve"> COUNTIFS( tblFilterAll[Include in output], 1, tblFilterAll[New Supply (Non-Social)], "&gt;" &amp; tblFilterAll[[#This Row],[New Supply (Non-Social)]] ) + 1</f>
        <v>72</v>
      </c>
      <c r="M846" s="30" cm="1">
        <f t="array" ref="M846" xml:space="preserve"> INDEX( VfM_Metrics_2023_Consol_Source[], $AK846, M$832 )</f>
        <v>0.23945092885231195</v>
      </c>
      <c r="N846" s="35">
        <f xml:space="preserve"> IF( tblFilterAll[[#This Row],[Gearing]] &lt; M$825, 4, IF( tblFilterAll[[#This Row],[Gearing]] &lt; M$826, 3, IF( tblFilterAll[[#This Row],[Gearing]] &lt; M$827, 2, 1 ) ) )</f>
        <v>4</v>
      </c>
      <c r="O846" s="35">
        <f xml:space="preserve"> COUNTIFS( tblFilterAll[Include in output], 1, tblFilterAll[Gearing], "&gt;" &amp; tblFilterAll[[#This Row],[Gearing]] ) + 1</f>
        <v>171</v>
      </c>
      <c r="P846" s="30" cm="1">
        <f t="array" ref="P846" xml:space="preserve"> INDEX( VfM_Metrics_2023_Consol_Source[], $AK846, P$832 )</f>
        <v>2.2713606381346834</v>
      </c>
      <c r="Q846" s="35">
        <f xml:space="preserve"> IF( tblFilterAll[[#This Row],[EBITDA MRI Interest Cover]] &lt; P$825, 4, IF( tblFilterAll[[#This Row],[EBITDA MRI Interest Cover]] &lt; P$826, 3, IF( tblFilterAll[[#This Row],[EBITDA MRI Interest Cover]] &lt; P$827, 2, 1 ) ) )</f>
        <v>1</v>
      </c>
      <c r="R846" s="35">
        <f xml:space="preserve"> COUNTIFS( tblFilterAll[Include in output], 1, tblFilterAll[EBITDA MRI Interest Cover], "&gt;" &amp; tblFilterAll[[#This Row],[EBITDA MRI Interest Cover]] ) + 1</f>
        <v>19</v>
      </c>
      <c r="S846" s="32" cm="1">
        <f t="array" ref="S846" xml:space="preserve"> INDEX( VfM_Metrics_2023_Consol_Source[], $AK846, S$832 )</f>
        <v>4086.3777761701508</v>
      </c>
      <c r="T846" s="35">
        <f xml:space="preserve"> IF( tblFilterAll[[#This Row],[Headline Social Housing Cost per unit]] &lt; S$825, 4, IF( tblFilterAll[[#This Row],[Headline Social Housing Cost per unit]] &lt; S$826, 3, IF( tblFilterAll[[#This Row],[Headline Social Housing Cost per unit]] &lt; S$827, 2, 1 ) ) )</f>
        <v>3</v>
      </c>
      <c r="U846" s="35">
        <f xml:space="preserve"> COUNTIFS( tblFilterAll[Include in output], 1, tblFilterAll[Headline Social Housing Cost per unit], "&gt;" &amp; tblFilterAll[[#This Row],[Headline Social Housing Cost per unit]] ) + 1</f>
        <v>148</v>
      </c>
      <c r="V846" s="30" cm="1">
        <f t="array" ref="V846" xml:space="preserve"> INDEX( VfM_Metrics_2023_Consol_Source[], $AK846, V$832 )</f>
        <v>0.28320705331312851</v>
      </c>
      <c r="W846" s="35">
        <f xml:space="preserve"> IF( tblFilterAll[[#This Row],[Operating Margin (SHL)]] &lt; V$825, 4, IF( tblFilterAll[[#This Row],[Operating Margin (SHL)]] &lt; V$826, 3, IF( tblFilterAll[[#This Row],[Operating Margin (SHL)]] &lt; V$827, 2, 1 ) ) )</f>
        <v>1</v>
      </c>
      <c r="X846" s="35">
        <f xml:space="preserve"> COUNTIFS( tblFilterAll[Include in output], 1, tblFilterAll[Operating Margin (SHL)], "&gt;" &amp; tblFilterAll[[#This Row],[Operating Margin (SHL)]] ) + 1</f>
        <v>34</v>
      </c>
      <c r="Y846" s="30" cm="1">
        <f t="array" ref="Y846" xml:space="preserve"> INDEX( VfM_Metrics_2023_Consol_Source[], $AK846, Y$832 )</f>
        <v>0.25053322589818938</v>
      </c>
      <c r="Z846" s="35">
        <f xml:space="preserve"> IF( tblFilterAll[[#This Row],[Operating Margin (Overall)]] &lt; Y$825, 4, IF( tblFilterAll[[#This Row],[Operating Margin (Overall)]] &lt; Y$826, 3, IF( tblFilterAll[[#This Row],[Operating Margin (Overall)]] &lt; Y$827, 2, 1 ) ) )</f>
        <v>1</v>
      </c>
      <c r="AA846" s="35">
        <f xml:space="preserve"> COUNTIFS( tblFilterAll[Include in output], 1, tblFilterAll[Operating Margin (Overall)], "&gt;" &amp; tblFilterAll[[#This Row],[Operating Margin (Overall)]] ) + 1</f>
        <v>36</v>
      </c>
      <c r="AB846" s="30" cm="1">
        <f t="array" ref="AB846" xml:space="preserve"> INDEX( VfM_Metrics_2023_Consol_Source[], $AK846, AB$832 )</f>
        <v>4.5174104124408386E-2</v>
      </c>
      <c r="AC846" s="35">
        <f xml:space="preserve"> IF( tblFilterAll[[#This Row],[ROCE]] &lt; AB$825, 4, IF( tblFilterAll[[#This Row],[ROCE]] &lt; AB$826, 3, IF( tblFilterAll[[#This Row],[ROCE]] &lt; AB$827, 2, 1 ) ) )</f>
        <v>1</v>
      </c>
      <c r="AD846" s="35">
        <f xml:space="preserve"> COUNTIFS( tblFilterAll[Include in output], 1, tblFilterAll[ROCE], "&gt;" &amp; tblFilterAll[[#This Row],[ROCE]] ) + 1</f>
        <v>16</v>
      </c>
      <c r="AE846" s="33" cm="1" vm="3039">
        <f t="array" ref="AE846" xml:space="preserve"> INDEX( VfM_Metrics_2023_Consol_Source[], $AK846, AE$832 )</f>
        <v>13715</v>
      </c>
      <c r="AF846" s="30" cm="1">
        <f t="array" ref="AF846" xml:space="preserve"> INDEX( VfM_Metrics_2023_Consol_Source[], $AK846, AF$832 )</f>
        <v>4.2495808732414896E-2</v>
      </c>
      <c r="AG846" s="30" cm="1">
        <f t="array" ref="AG846" xml:space="preserve"> INDEX( VfM_Metrics_2023_Consol_Source[], $AK846, AG$832 )</f>
        <v>0.18667541365988774</v>
      </c>
      <c r="AH846" s="30" cm="1">
        <f t="array" ref="AH846" xml:space="preserve"> INDEX( VfM_Metrics_2023_Consol_Source[], $AK846, AH$832 )</f>
        <v>0.22917122239230264</v>
      </c>
      <c r="AI846" s="30" t="str" cm="1">
        <f t="array" ref="AI846" xml:space="preserve"> INDEX( VfM_Metrics_2023_Consol_Source[], $AK846, AI$832 )</f>
        <v>Traditional</v>
      </c>
      <c r="AJ846" s="34" t="str" cm="1">
        <f t="array" ref="AJ846" xml:space="preserve"> INDEX( VfM_Metrics_2023_Consol_Source[], $AK846, AJ$832 )</f>
        <v>North East</v>
      </c>
      <c r="AK846" s="81">
        <f xml:space="preserve"> MATCH( tblFilterAll[[#This Row],[Code]], VfM_Metrics_2023_Consol_Source[RP_Code], 0 )</f>
        <v>13</v>
      </c>
      <c r="AL846" s="24">
        <f xml:space="preserve"> INDEX( tblFilterRegion[Include for region],  MATCH( tblFilterAll[[#This Row],[Code]], tblFilterRegion[RP_Code], 0 ) )</f>
        <v>1</v>
      </c>
      <c r="AM846" s="24">
        <f xml:space="preserve"> INDEX( tblFilterPropType[Incl for prop type],  MATCH( tblFilterAll[[#This Row],[Code]], tblFilterPropType[RP_Code], 0 ) )</f>
        <v>1</v>
      </c>
      <c r="AN846" s="24">
        <f xml:space="preserve"> INDEX( tblFilterSize[Incl for size],  MATCH( tblFilterAll[[#This Row],[Code]], tblFilterSize[RP_Code], 0 ) )</f>
        <v>1</v>
      </c>
      <c r="AO846" s="24">
        <f xml:space="preserve"> INDEX( tblFilterRP_Type[Incl, for RP Type],  MATCH( tblFilterAll[[#This Row],[Code]], tblFilterRP_Type[RP_Code], 0 ) )</f>
        <v>1</v>
      </c>
      <c r="AP846" s="24">
        <f xml:space="preserve">  -- ( SUM( tblFilterAll[[#This Row],[Filter Region]:[Filter RP Type]] ) = 4 )</f>
        <v>1</v>
      </c>
      <c r="AQ846" s="24">
        <f xml:space="preserve"> -- ( tblFilterAll[[#This Row],[Provider name]] = SelectedProvider )</f>
        <v>0</v>
      </c>
      <c r="AR846" s="24">
        <f xml:space="preserve">  -- ( OR( SUM( tblFilterAll[[#This Row],[Filter Region]:[Filter RP Type]] ) = 4, tblFilterAll[[#This Row],[SelectedProvider]] = 1 ) )</f>
        <v>1</v>
      </c>
      <c r="AS846" s="24">
        <f xml:space="preserve"> -- ( INDEX( PeersCritera[Included in final peers], MATCH( tblFilterAll[[#This Row],[Provider name]], PeersCritera[RP_Name], 0 ) ) = 1 )</f>
        <v>1</v>
      </c>
      <c r="AT846" s="30" t="str" cm="1">
        <f t="array" ref="AT846" xml:space="preserve"> SUBSTITUTE( INDEX( VfM_Metrics_2023_Consol_Source[], $AK846, AT$832 ), 0, "" )</f>
        <v>&gt;= 12 years</v>
      </c>
      <c r="AU846" s="34" cm="1">
        <f t="array" ref="AU846" xml:space="preserve"> INDEX( VfM_Metrics_2023_Consol_Source[], $AK846, AU$832 )</f>
        <v>0</v>
      </c>
      <c r="AV846" s="34" cm="1">
        <f t="array" ref="AV846" xml:space="preserve"> INDEX( VfM_Metrics_2023_Consol_Source[], $AK846, AV$832 )</f>
        <v>0</v>
      </c>
      <c r="AW846" s="34" cm="1">
        <f t="array" ref="AW846" xml:space="preserve"> INDEX( VfM_Metrics_2023_Consol_Source[], $AK846, AW$832 )</f>
        <v>0</v>
      </c>
      <c r="AX846" s="34" cm="1">
        <f t="array" ref="AX846" xml:space="preserve"> INDEX( VfM_Metrics_2023_Consol_Source[], $AK846, AX$832 )</f>
        <v>0</v>
      </c>
      <c r="AY846" s="34" cm="1">
        <f t="array" ref="AY846" xml:space="preserve"> INDEX( VfM_Metrics_2023_Consol_Source[], $AK846, AY$832 )</f>
        <v>0</v>
      </c>
      <c r="AZ846" s="34" cm="1">
        <f t="array" ref="AZ846" xml:space="preserve"> INDEX( VfM_Metrics_2023_Consol_Source[], $AK846, AZ$832 )</f>
        <v>0</v>
      </c>
      <c r="BA846" s="34" cm="1">
        <f t="array" ref="BA846" xml:space="preserve"> INDEX( VfM_Metrics_2023_Consol_Source[], $AK846, BA$832 )</f>
        <v>1</v>
      </c>
      <c r="BB846" s="34" cm="1">
        <f t="array" ref="BB846" xml:space="preserve"> INDEX( VfM_Metrics_2023_Consol_Source[], $AK846, BB$832 )</f>
        <v>0</v>
      </c>
      <c r="BC846" s="34" cm="1">
        <f t="array" ref="BC846" xml:space="preserve"> INDEX( VfM_Metrics_2023_Consol_Source[], $AK846, BC$832 )</f>
        <v>0</v>
      </c>
    </row>
    <row r="847" spans="2:55" x14ac:dyDescent="0.2">
      <c r="B847" s="122" t="str" vm="14">
        <f t="shared" ref="B847" si="329" xml:space="preserve"> B637</f>
        <v>Beyond Housing Limited</v>
      </c>
      <c r="C847" s="122" t="str" vm="285">
        <f t="shared" ref="C847" si="330" xml:space="preserve"> C637</f>
        <v>LH4401</v>
      </c>
      <c r="D847" s="30" cm="1">
        <f t="array" ref="D847" xml:space="preserve"> INDEX( VfM_Metrics_2023_Consol_Source[], $AK847, D$832 )</f>
        <v>0.1068225556323686</v>
      </c>
      <c r="E847" s="35">
        <f xml:space="preserve"> IF( tblFilterAll[[#This Row],[Reinvestment]] &lt; D$825, 4, IF( tblFilterAll[[#This Row],[Reinvestment]] &lt; D$826, 3, IF( tblFilterAll[[#This Row],[Reinvestment]] &lt; D$827, 2, 1 ) ) )</f>
        <v>1</v>
      </c>
      <c r="F847" s="35">
        <f xml:space="preserve"> COUNTIFS( tblFilterAll[Include in output], 1, tblFilterAll[Reinvestment], "&gt;" &amp; tblFilterAll[[#This Row],[Reinvestment]] ) + 1</f>
        <v>30</v>
      </c>
      <c r="G847" s="30" cm="1">
        <f t="array" ref="G847" xml:space="preserve"> INDEX( VfM_Metrics_2023_Consol_Source[], $AK847, G$832 )</f>
        <v>1.0319314641744548E-2</v>
      </c>
      <c r="H847" s="35">
        <f xml:space="preserve"> IF( tblFilterAll[[#This Row],[New Supply (Social)]] &lt; G$825, 4, IF( tblFilterAll[[#This Row],[New Supply (Social)]] &lt; G$826, 3, IF( tblFilterAll[[#This Row],[New Supply (Social)]] &lt; G$827, 2, 1 ) ) )</f>
        <v>3</v>
      </c>
      <c r="I847" s="35">
        <f xml:space="preserve"> COUNTIFS( tblFilterAll[Include in output], 1, tblFilterAll[New Supply (Social)], "&gt;" &amp; tblFilterAll[[#This Row],[New Supply (Social)]] ) + 1</f>
        <v>123</v>
      </c>
      <c r="J847" s="31" cm="1">
        <f t="array" ref="J847" xml:space="preserve"> INDEX( VfM_Metrics_2023_Consol_Source[], $AK847, J$832 )</f>
        <v>3.1849162367029748E-3</v>
      </c>
      <c r="K847" s="35">
        <f xml:space="preserve"> IF( tblFilterAll[[#This Row],[New Supply (Non-Social)]] &lt; J$825, 4, IF( tblFilterAll[[#This Row],[New Supply (Non-Social)]] &lt; J$826, 3, IF( tblFilterAll[[#This Row],[New Supply (Non-Social)]] &lt; J$827, 2, 1 ) ) )</f>
        <v>1</v>
      </c>
      <c r="L847" s="35">
        <f xml:space="preserve"> COUNTIFS( tblFilterAll[Include in output], 1, tblFilterAll[New Supply (Non-Social)], "&gt;" &amp; tblFilterAll[[#This Row],[New Supply (Non-Social)]] ) + 1</f>
        <v>29</v>
      </c>
      <c r="M847" s="30" cm="1">
        <f t="array" ref="M847" xml:space="preserve"> INDEX( VfM_Metrics_2023_Consol_Source[], $AK847, M$832 )</f>
        <v>0.47361783225276061</v>
      </c>
      <c r="N847" s="35">
        <f xml:space="preserve"> IF( tblFilterAll[[#This Row],[Gearing]] &lt; M$825, 4, IF( tblFilterAll[[#This Row],[Gearing]] &lt; M$826, 3, IF( tblFilterAll[[#This Row],[Gearing]] &lt; M$827, 2, 1 ) ) )</f>
        <v>2</v>
      </c>
      <c r="O847" s="35">
        <f xml:space="preserve"> COUNTIFS( tblFilterAll[Include in output], 1, tblFilterAll[Gearing], "&gt;" &amp; tblFilterAll[[#This Row],[Gearing]] ) + 1</f>
        <v>86</v>
      </c>
      <c r="P847" s="30" cm="1">
        <f t="array" ref="P847" xml:space="preserve"> INDEX( VfM_Metrics_2023_Consol_Source[], $AK847, P$832 )</f>
        <v>0.94291454910767047</v>
      </c>
      <c r="Q847" s="35">
        <f xml:space="preserve"> IF( tblFilterAll[[#This Row],[EBITDA MRI Interest Cover]] &lt; P$825, 4, IF( tblFilterAll[[#This Row],[EBITDA MRI Interest Cover]] &lt; P$826, 3, IF( tblFilterAll[[#This Row],[EBITDA MRI Interest Cover]] &lt; P$827, 2, 1 ) ) )</f>
        <v>3</v>
      </c>
      <c r="R847" s="35">
        <f xml:space="preserve"> COUNTIFS( tblFilterAll[Include in output], 1, tblFilterAll[EBITDA MRI Interest Cover], "&gt;" &amp; tblFilterAll[[#This Row],[EBITDA MRI Interest Cover]] ) + 1</f>
        <v>143</v>
      </c>
      <c r="S847" s="32" cm="1">
        <f t="array" ref="S847" xml:space="preserve"> INDEX( VfM_Metrics_2023_Consol_Source[], $AK847, S$832 )</f>
        <v>4363.7441538765561</v>
      </c>
      <c r="T847" s="35">
        <f xml:space="preserve"> IF( tblFilterAll[[#This Row],[Headline Social Housing Cost per unit]] &lt; S$825, 4, IF( tblFilterAll[[#This Row],[Headline Social Housing Cost per unit]] &lt; S$826, 3, IF( tblFilterAll[[#This Row],[Headline Social Housing Cost per unit]] &lt; S$827, 2, 1 ) ) )</f>
        <v>3</v>
      </c>
      <c r="U847" s="35">
        <f xml:space="preserve"> COUNTIFS( tblFilterAll[Include in output], 1, tblFilterAll[Headline Social Housing Cost per unit], "&gt;" &amp; tblFilterAll[[#This Row],[Headline Social Housing Cost per unit]] ) + 1</f>
        <v>120</v>
      </c>
      <c r="V847" s="30" cm="1">
        <f t="array" ref="V847" xml:space="preserve"> INDEX( VfM_Metrics_2023_Consol_Source[], $AK847, V$832 )</f>
        <v>0.17599883347914844</v>
      </c>
      <c r="W847" s="35">
        <f xml:space="preserve"> IF( tblFilterAll[[#This Row],[Operating Margin (SHL)]] &lt; V$825, 4, IF( tblFilterAll[[#This Row],[Operating Margin (SHL)]] &lt; V$826, 3, IF( tblFilterAll[[#This Row],[Operating Margin (SHL)]] &lt; V$827, 2, 1 ) ) )</f>
        <v>3</v>
      </c>
      <c r="X847" s="35">
        <f xml:space="preserve"> COUNTIFS( tblFilterAll[Include in output], 1, tblFilterAll[Operating Margin (SHL)], "&gt;" &amp; tblFilterAll[[#This Row],[Operating Margin (SHL)]] ) + 1</f>
        <v>126</v>
      </c>
      <c r="Y847" s="30" cm="1">
        <f t="array" ref="Y847" xml:space="preserve"> INDEX( VfM_Metrics_2023_Consol_Source[], $AK847, Y$832 )</f>
        <v>0.15403719912472646</v>
      </c>
      <c r="Z847" s="35">
        <f xml:space="preserve"> IF( tblFilterAll[[#This Row],[Operating Margin (Overall)]] &lt; Y$825, 4, IF( tblFilterAll[[#This Row],[Operating Margin (Overall)]] &lt; Y$826, 3, IF( tblFilterAll[[#This Row],[Operating Margin (Overall)]] &lt; Y$827, 2, 1 ) ) )</f>
        <v>3</v>
      </c>
      <c r="AA847" s="35">
        <f xml:space="preserve"> COUNTIFS( tblFilterAll[Include in output], 1, tblFilterAll[Operating Margin (Overall)], "&gt;" &amp; tblFilterAll[[#This Row],[Operating Margin (Overall)]] ) + 1</f>
        <v>128</v>
      </c>
      <c r="AB847" s="30" cm="1">
        <f t="array" ref="AB847" xml:space="preserve"> INDEX( VfM_Metrics_2023_Consol_Source[], $AK847, AB$832 )</f>
        <v>3.2792401294014416E-2</v>
      </c>
      <c r="AC847" s="35">
        <f xml:space="preserve"> IF( tblFilterAll[[#This Row],[ROCE]] &lt; AB$825, 4, IF( tblFilterAll[[#This Row],[ROCE]] &lt; AB$826, 3, IF( tblFilterAll[[#This Row],[ROCE]] &lt; AB$827, 2, 1 ) ) )</f>
        <v>2</v>
      </c>
      <c r="AD847" s="35">
        <f xml:space="preserve"> COUNTIFS( tblFilterAll[Include in output], 1, tblFilterAll[ROCE], "&gt;" &amp; tblFilterAll[[#This Row],[ROCE]] ) + 1</f>
        <v>68</v>
      </c>
      <c r="AE847" s="33" cm="1" vm="2827">
        <f t="array" ref="AE847" xml:space="preserve"> INDEX( VfM_Metrics_2023_Consol_Source[], $AK847, AE$832 )</f>
        <v>15130</v>
      </c>
      <c r="AF847" s="30" cm="1">
        <f t="array" ref="AF847" xml:space="preserve"> INDEX( VfM_Metrics_2023_Consol_Source[], $AK847, AF$832 )</f>
        <v>9.254974548819991E-4</v>
      </c>
      <c r="AG847" s="30" cm="1">
        <f t="array" ref="AG847" xml:space="preserve"> INDEX( VfM_Metrics_2023_Consol_Source[], $AK847, AG$832 )</f>
        <v>1.3551927017914987E-2</v>
      </c>
      <c r="AH847" s="30" cm="1">
        <f t="array" ref="AH847" xml:space="preserve"> INDEX( VfM_Metrics_2023_Consol_Source[], $AK847, AH$832 )</f>
        <v>1.4477424472796986E-2</v>
      </c>
      <c r="AI847" s="30" t="str" cm="1">
        <f t="array" ref="AI847" xml:space="preserve"> INDEX( VfM_Metrics_2023_Consol_Source[], $AK847, AI$832 )</f>
        <v>Traditional</v>
      </c>
      <c r="AJ847" s="34" t="str" cm="1">
        <f t="array" ref="AJ847" xml:space="preserve"> INDEX( VfM_Metrics_2023_Consol_Source[], $AK847, AJ$832 )</f>
        <v>North East</v>
      </c>
      <c r="AK847" s="81">
        <f xml:space="preserve"> MATCH( tblFilterAll[[#This Row],[Code]], VfM_Metrics_2023_Consol_Source[RP_Code], 0 )</f>
        <v>14</v>
      </c>
      <c r="AL847" s="24">
        <f xml:space="preserve"> INDEX( tblFilterRegion[Include for region],  MATCH( tblFilterAll[[#This Row],[Code]], tblFilterRegion[RP_Code], 0 ) )</f>
        <v>1</v>
      </c>
      <c r="AM847" s="24">
        <f xml:space="preserve"> INDEX( tblFilterPropType[Incl for prop type],  MATCH( tblFilterAll[[#This Row],[Code]], tblFilterPropType[RP_Code], 0 ) )</f>
        <v>1</v>
      </c>
      <c r="AN847" s="24">
        <f xml:space="preserve"> INDEX( tblFilterSize[Incl for size],  MATCH( tblFilterAll[[#This Row],[Code]], tblFilterSize[RP_Code], 0 ) )</f>
        <v>1</v>
      </c>
      <c r="AO847" s="24">
        <f xml:space="preserve"> INDEX( tblFilterRP_Type[Incl, for RP Type],  MATCH( tblFilterAll[[#This Row],[Code]], tblFilterRP_Type[RP_Code], 0 ) )</f>
        <v>1</v>
      </c>
      <c r="AP847" s="24">
        <f xml:space="preserve">  -- ( SUM( tblFilterAll[[#This Row],[Filter Region]:[Filter RP Type]] ) = 4 )</f>
        <v>1</v>
      </c>
      <c r="AQ847" s="24">
        <f xml:space="preserve"> -- ( tblFilterAll[[#This Row],[Provider name]] = SelectedProvider )</f>
        <v>0</v>
      </c>
      <c r="AR847" s="24">
        <f xml:space="preserve">  -- ( OR( SUM( tblFilterAll[[#This Row],[Filter Region]:[Filter RP Type]] ) = 4, tblFilterAll[[#This Row],[SelectedProvider]] = 1 ) )</f>
        <v>1</v>
      </c>
      <c r="AS847" s="24">
        <f xml:space="preserve"> -- ( INDEX( PeersCritera[Included in final peers], MATCH( tblFilterAll[[#This Row],[Provider name]], PeersCritera[RP_Name], 0 ) ) = 1 )</f>
        <v>1</v>
      </c>
      <c r="AT847" s="30" t="str" cm="1">
        <f t="array" ref="AT847" xml:space="preserve"> SUBSTITUTE( INDEX( VfM_Metrics_2023_Consol_Source[], $AK847, AT$832 ), 0, "" )</f>
        <v>&gt;= 12 years</v>
      </c>
      <c r="AU847" s="34" cm="1">
        <f t="array" ref="AU847" xml:space="preserve"> INDEX( VfM_Metrics_2023_Consol_Source[], $AK847, AU$832 )</f>
        <v>0</v>
      </c>
      <c r="AV847" s="34" cm="1">
        <f t="array" ref="AV847" xml:space="preserve"> INDEX( VfM_Metrics_2023_Consol_Source[], $AK847, AV$832 )</f>
        <v>0</v>
      </c>
      <c r="AW847" s="34" cm="1">
        <f t="array" ref="AW847" xml:space="preserve"> INDEX( VfM_Metrics_2023_Consol_Source[], $AK847, AW$832 )</f>
        <v>0</v>
      </c>
      <c r="AX847" s="34" cm="1">
        <f t="array" ref="AX847" xml:space="preserve"> INDEX( VfM_Metrics_2023_Consol_Source[], $AK847, AX$832 )</f>
        <v>0</v>
      </c>
      <c r="AY847" s="34" cm="1">
        <f t="array" ref="AY847" xml:space="preserve"> INDEX( VfM_Metrics_2023_Consol_Source[], $AK847, AY$832 )</f>
        <v>0</v>
      </c>
      <c r="AZ847" s="34" cm="1">
        <f t="array" ref="AZ847" xml:space="preserve"> INDEX( VfM_Metrics_2023_Consol_Source[], $AK847, AZ$832 )</f>
        <v>0</v>
      </c>
      <c r="BA847" s="34" cm="1">
        <f t="array" ref="BA847" xml:space="preserve"> INDEX( VfM_Metrics_2023_Consol_Source[], $AK847, BA$832 )</f>
        <v>0.69061467283542632</v>
      </c>
      <c r="BB847" s="34" cm="1">
        <f t="array" ref="BB847" xml:space="preserve"> INDEX( VfM_Metrics_2023_Consol_Source[], $AK847, BB$832 )</f>
        <v>0</v>
      </c>
      <c r="BC847" s="34" cm="1">
        <f t="array" ref="BC847" xml:space="preserve"> INDEX( VfM_Metrics_2023_Consol_Source[], $AK847, BC$832 )</f>
        <v>0.30938532716457368</v>
      </c>
    </row>
    <row r="848" spans="2:55" x14ac:dyDescent="0.2">
      <c r="B848" s="122" t="str" vm="15">
        <f t="shared" ref="B848" si="331" xml:space="preserve"> B638</f>
        <v>Black Country Housing Group Limited</v>
      </c>
      <c r="C848" s="122" t="str" vm="215">
        <f t="shared" ref="C848" si="332" xml:space="preserve"> C638</f>
        <v>L1668</v>
      </c>
      <c r="D848" s="30" cm="1">
        <f t="array" ref="D848" xml:space="preserve"> INDEX( VfM_Metrics_2023_Consol_Source[], $AK848, D$832 )</f>
        <v>6.1655982495873479E-2</v>
      </c>
      <c r="E848" s="35">
        <f xml:space="preserve"> IF( tblFilterAll[[#This Row],[Reinvestment]] &lt; D$825, 4, IF( tblFilterAll[[#This Row],[Reinvestment]] &lt; D$826, 3, IF( tblFilterAll[[#This Row],[Reinvestment]] &lt; D$827, 2, 1 ) ) )</f>
        <v>3</v>
      </c>
      <c r="F848" s="35">
        <f xml:space="preserve"> COUNTIFS( tblFilterAll[Include in output], 1, tblFilterAll[Reinvestment], "&gt;" &amp; tblFilterAll[[#This Row],[Reinvestment]] ) + 1</f>
        <v>113</v>
      </c>
      <c r="G848" s="30" cm="1">
        <f t="array" ref="G848" xml:space="preserve"> INDEX( VfM_Metrics_2023_Consol_Source[], $AK848, G$832 )</f>
        <v>1.3444598980064905E-2</v>
      </c>
      <c r="H848" s="35">
        <f xml:space="preserve"> IF( tblFilterAll[[#This Row],[New Supply (Social)]] &lt; G$825, 4, IF( tblFilterAll[[#This Row],[New Supply (Social)]] &lt; G$826, 3, IF( tblFilterAll[[#This Row],[New Supply (Social)]] &lt; G$827, 2, 1 ) ) )</f>
        <v>2</v>
      </c>
      <c r="I848" s="35">
        <f xml:space="preserve"> COUNTIFS( tblFilterAll[Include in output], 1, tblFilterAll[New Supply (Social)], "&gt;" &amp; tblFilterAll[[#This Row],[New Supply (Social)]] ) + 1</f>
        <v>96</v>
      </c>
      <c r="J848" s="31" cm="1">
        <f t="array" ref="J848" xml:space="preserve"> INDEX( VfM_Metrics_2023_Consol_Source[], $AK848, J$832 )</f>
        <v>0</v>
      </c>
      <c r="K848" s="35">
        <f xml:space="preserve"> IF( tblFilterAll[[#This Row],[New Supply (Non-Social)]] &lt; J$825, 4, IF( tblFilterAll[[#This Row],[New Supply (Non-Social)]] &lt; J$826, 3, IF( tblFilterAll[[#This Row],[New Supply (Non-Social)]] &lt; J$827, 2, 1 ) ) )</f>
        <v>2</v>
      </c>
      <c r="L848" s="35">
        <f xml:space="preserve"> COUNTIFS( tblFilterAll[Include in output], 1, tblFilterAll[New Supply (Non-Social)], "&gt;" &amp; tblFilterAll[[#This Row],[New Supply (Non-Social)]] ) + 1</f>
        <v>72</v>
      </c>
      <c r="M848" s="30" cm="1">
        <f t="array" ref="M848" xml:space="preserve"> INDEX( VfM_Metrics_2023_Consol_Source[], $AK848, M$832 )</f>
        <v>0.30837203946105718</v>
      </c>
      <c r="N848" s="35">
        <f xml:space="preserve"> IF( tblFilterAll[[#This Row],[Gearing]] &lt; M$825, 4, IF( tblFilterAll[[#This Row],[Gearing]] &lt; M$826, 3, IF( tblFilterAll[[#This Row],[Gearing]] &lt; M$827, 2, 1 ) ) )</f>
        <v>4</v>
      </c>
      <c r="O848" s="35">
        <f xml:space="preserve"> COUNTIFS( tblFilterAll[Include in output], 1, tblFilterAll[Gearing], "&gt;" &amp; tblFilterAll[[#This Row],[Gearing]] ) + 1</f>
        <v>155</v>
      </c>
      <c r="P848" s="30" cm="1">
        <f t="array" ref="P848" xml:space="preserve"> INDEX( VfM_Metrics_2023_Consol_Source[], $AK848, P$832 )</f>
        <v>1.8504672897196262</v>
      </c>
      <c r="Q848" s="35">
        <f xml:space="preserve"> IF( tblFilterAll[[#This Row],[EBITDA MRI Interest Cover]] &lt; P$825, 4, IF( tblFilterAll[[#This Row],[EBITDA MRI Interest Cover]] &lt; P$826, 3, IF( tblFilterAll[[#This Row],[EBITDA MRI Interest Cover]] &lt; P$827, 2, 1 ) ) )</f>
        <v>1</v>
      </c>
      <c r="R848" s="35">
        <f xml:space="preserve"> COUNTIFS( tblFilterAll[Include in output], 1, tblFilterAll[EBITDA MRI Interest Cover], "&gt;" &amp; tblFilterAll[[#This Row],[EBITDA MRI Interest Cover]] ) + 1</f>
        <v>39</v>
      </c>
      <c r="S848" s="32" cm="1">
        <f t="array" ref="S848" xml:space="preserve"> INDEX( VfM_Metrics_2023_Consol_Source[], $AK848, S$832 )</f>
        <v>6270.3842549203373</v>
      </c>
      <c r="T848" s="35">
        <f xml:space="preserve"> IF( tblFilterAll[[#This Row],[Headline Social Housing Cost per unit]] &lt; S$825, 4, IF( tblFilterAll[[#This Row],[Headline Social Housing Cost per unit]] &lt; S$826, 3, IF( tblFilterAll[[#This Row],[Headline Social Housing Cost per unit]] &lt; S$827, 2, 1 ) ) )</f>
        <v>1</v>
      </c>
      <c r="U848" s="35">
        <f xml:space="preserve"> COUNTIFS( tblFilterAll[Include in output], 1, tblFilterAll[Headline Social Housing Cost per unit], "&gt;" &amp; tblFilterAll[[#This Row],[Headline Social Housing Cost per unit]] ) + 1</f>
        <v>43</v>
      </c>
      <c r="V848" s="30" cm="1">
        <f t="array" ref="V848" xml:space="preserve"> INDEX( VfM_Metrics_2023_Consol_Source[], $AK848, V$832 )</f>
        <v>0.27507430997876858</v>
      </c>
      <c r="W848" s="35">
        <f xml:space="preserve"> IF( tblFilterAll[[#This Row],[Operating Margin (SHL)]] &lt; V$825, 4, IF( tblFilterAll[[#This Row],[Operating Margin (SHL)]] &lt; V$826, 3, IF( tblFilterAll[[#This Row],[Operating Margin (SHL)]] &lt; V$827, 2, 1 ) ) )</f>
        <v>1</v>
      </c>
      <c r="X848" s="35">
        <f xml:space="preserve"> COUNTIFS( tblFilterAll[Include in output], 1, tblFilterAll[Operating Margin (SHL)], "&gt;" &amp; tblFilterAll[[#This Row],[Operating Margin (SHL)]] ) + 1</f>
        <v>40</v>
      </c>
      <c r="Y848" s="30" cm="1">
        <f t="array" ref="Y848" xml:space="preserve"> INDEX( VfM_Metrics_2023_Consol_Source[], $AK848, Y$832 )</f>
        <v>0.15550484883057616</v>
      </c>
      <c r="Z848" s="35">
        <f xml:space="preserve"> IF( tblFilterAll[[#This Row],[Operating Margin (Overall)]] &lt; Y$825, 4, IF( tblFilterAll[[#This Row],[Operating Margin (Overall)]] &lt; Y$826, 3, IF( tblFilterAll[[#This Row],[Operating Margin (Overall)]] &lt; Y$827, 2, 1 ) ) )</f>
        <v>3</v>
      </c>
      <c r="AA848" s="35">
        <f xml:space="preserve"> COUNTIFS( tblFilterAll[Include in output], 1, tblFilterAll[Operating Margin (Overall)], "&gt;" &amp; tblFilterAll[[#This Row],[Operating Margin (Overall)]] ) + 1</f>
        <v>126</v>
      </c>
      <c r="AB848" s="30" cm="1">
        <f t="array" ref="AB848" xml:space="preserve"> INDEX( VfM_Metrics_2023_Consol_Source[], $AK848, AB$832 )</f>
        <v>4.0478571978148803E-2</v>
      </c>
      <c r="AC848" s="35">
        <f xml:space="preserve"> IF( tblFilterAll[[#This Row],[ROCE]] &lt; AB$825, 4, IF( tblFilterAll[[#This Row],[ROCE]] &lt; AB$826, 3, IF( tblFilterAll[[#This Row],[ROCE]] &lt; AB$827, 2, 1 ) ) )</f>
        <v>1</v>
      </c>
      <c r="AD848" s="35">
        <f xml:space="preserve"> COUNTIFS( tblFilterAll[Include in output], 1, tblFilterAll[ROCE], "&gt;" &amp; tblFilterAll[[#This Row],[ROCE]] ) + 1</f>
        <v>28</v>
      </c>
      <c r="AE848" s="33" cm="1" vm="8736">
        <f t="array" ref="AE848" xml:space="preserve"> INDEX( VfM_Metrics_2023_Consol_Source[], $AK848, AE$832 )</f>
        <v>2134</v>
      </c>
      <c r="AF848" s="30" cm="1">
        <f t="array" ref="AF848" xml:space="preserve"> INDEX( VfM_Metrics_2023_Consol_Source[], $AK848, AF$832 )</f>
        <v>2.9439252336448597E-2</v>
      </c>
      <c r="AG848" s="30" cm="1">
        <f t="array" ref="AG848" xml:space="preserve"> INDEX( VfM_Metrics_2023_Consol_Source[], $AK848, AG$832 )</f>
        <v>0.10700934579439253</v>
      </c>
      <c r="AH848" s="30" cm="1">
        <f t="array" ref="AH848" xml:space="preserve"> INDEX( VfM_Metrics_2023_Consol_Source[], $AK848, AH$832 )</f>
        <v>0.13644859813084112</v>
      </c>
      <c r="AI848" s="30" t="str" cm="1">
        <f t="array" ref="AI848" xml:space="preserve"> INDEX( VfM_Metrics_2023_Consol_Source[], $AK848, AI$832 )</f>
        <v>Traditional</v>
      </c>
      <c r="AJ848" s="34" t="str" cm="1">
        <f t="array" ref="AJ848" xml:space="preserve"> INDEX( VfM_Metrics_2023_Consol_Source[], $AK848, AJ$832 )</f>
        <v>West Midlands</v>
      </c>
      <c r="AK848" s="81">
        <f xml:space="preserve"> MATCH( tblFilterAll[[#This Row],[Code]], VfM_Metrics_2023_Consol_Source[RP_Code], 0 )</f>
        <v>15</v>
      </c>
      <c r="AL848" s="24">
        <f xml:space="preserve"> INDEX( tblFilterRegion[Include for region],  MATCH( tblFilterAll[[#This Row],[Code]], tblFilterRegion[RP_Code], 0 ) )</f>
        <v>1</v>
      </c>
      <c r="AM848" s="24">
        <f xml:space="preserve"> INDEX( tblFilterPropType[Incl for prop type],  MATCH( tblFilterAll[[#This Row],[Code]], tblFilterPropType[RP_Code], 0 ) )</f>
        <v>1</v>
      </c>
      <c r="AN848" s="24">
        <f xml:space="preserve"> INDEX( tblFilterSize[Incl for size],  MATCH( tblFilterAll[[#This Row],[Code]], tblFilterSize[RP_Code], 0 ) )</f>
        <v>1</v>
      </c>
      <c r="AO848" s="24">
        <f xml:space="preserve"> INDEX( tblFilterRP_Type[Incl, for RP Type],  MATCH( tblFilterAll[[#This Row],[Code]], tblFilterRP_Type[RP_Code], 0 ) )</f>
        <v>1</v>
      </c>
      <c r="AP848" s="24">
        <f xml:space="preserve">  -- ( SUM( tblFilterAll[[#This Row],[Filter Region]:[Filter RP Type]] ) = 4 )</f>
        <v>1</v>
      </c>
      <c r="AQ848" s="24">
        <f xml:space="preserve"> -- ( tblFilterAll[[#This Row],[Provider name]] = SelectedProvider )</f>
        <v>0</v>
      </c>
      <c r="AR848" s="24">
        <f xml:space="preserve">  -- ( OR( SUM( tblFilterAll[[#This Row],[Filter Region]:[Filter RP Type]] ) = 4, tblFilterAll[[#This Row],[SelectedProvider]] = 1 ) )</f>
        <v>1</v>
      </c>
      <c r="AS848" s="24">
        <f xml:space="preserve"> -- ( INDEX( PeersCritera[Included in final peers], MATCH( tblFilterAll[[#This Row],[Provider name]], PeersCritera[RP_Name], 0 ) ) = 1 )</f>
        <v>1</v>
      </c>
      <c r="AT848" s="30" t="str" cm="1">
        <f t="array" ref="AT848" xml:space="preserve"> SUBSTITUTE( INDEX( VfM_Metrics_2023_Consol_Source[], $AK848, AT$832 ), 0, "" )</f>
        <v/>
      </c>
      <c r="AU848" s="34" cm="1">
        <f t="array" ref="AU848" xml:space="preserve"> INDEX( VfM_Metrics_2023_Consol_Source[], $AK848, AU$832 )</f>
        <v>0</v>
      </c>
      <c r="AV848" s="34" cm="1">
        <f t="array" ref="AV848" xml:space="preserve"> INDEX( VfM_Metrics_2023_Consol_Source[], $AK848, AV$832 )</f>
        <v>0</v>
      </c>
      <c r="AW848" s="34" cm="1">
        <f t="array" ref="AW848" xml:space="preserve"> INDEX( VfM_Metrics_2023_Consol_Source[], $AK848, AW$832 )</f>
        <v>0</v>
      </c>
      <c r="AX848" s="34" cm="1">
        <f t="array" ref="AX848" xml:space="preserve"> INDEX( VfM_Metrics_2023_Consol_Source[], $AK848, AX$832 )</f>
        <v>0</v>
      </c>
      <c r="AY848" s="34" cm="1">
        <f t="array" ref="AY848" xml:space="preserve"> INDEX( VfM_Metrics_2023_Consol_Source[], $AK848, AY$832 )</f>
        <v>1</v>
      </c>
      <c r="AZ848" s="34" cm="1">
        <f t="array" ref="AZ848" xml:space="preserve"> INDEX( VfM_Metrics_2023_Consol_Source[], $AK848, AZ$832 )</f>
        <v>0</v>
      </c>
      <c r="BA848" s="34" cm="1">
        <f t="array" ref="BA848" xml:space="preserve"> INDEX( VfM_Metrics_2023_Consol_Source[], $AK848, BA$832 )</f>
        <v>0</v>
      </c>
      <c r="BB848" s="34" cm="1">
        <f t="array" ref="BB848" xml:space="preserve"> INDEX( VfM_Metrics_2023_Consol_Source[], $AK848, BB$832 )</f>
        <v>0</v>
      </c>
      <c r="BC848" s="34" cm="1">
        <f t="array" ref="BC848" xml:space="preserve"> INDEX( VfM_Metrics_2023_Consol_Source[], $AK848, BC$832 )</f>
        <v>0</v>
      </c>
    </row>
    <row r="849" spans="2:55" x14ac:dyDescent="0.2">
      <c r="B849" s="122" t="str" vm="16">
        <f t="shared" ref="B849" si="333" xml:space="preserve"> B639</f>
        <v>Bolton at Home Limited</v>
      </c>
      <c r="C849" s="122" t="str" vm="278">
        <f t="shared" ref="C849" si="334" xml:space="preserve"> C639</f>
        <v>4568</v>
      </c>
      <c r="D849" s="30" cm="1">
        <f t="array" ref="D849" xml:space="preserve"> INDEX( VfM_Metrics_2023_Consol_Source[], $AK849, D$832 )</f>
        <v>0.14710643072716487</v>
      </c>
      <c r="E849" s="35">
        <f xml:space="preserve"> IF( tblFilterAll[[#This Row],[Reinvestment]] &lt; D$825, 4, IF( tblFilterAll[[#This Row],[Reinvestment]] &lt; D$826, 3, IF( tblFilterAll[[#This Row],[Reinvestment]] &lt; D$827, 2, 1 ) ) )</f>
        <v>1</v>
      </c>
      <c r="F849" s="35">
        <f xml:space="preserve"> COUNTIFS( tblFilterAll[Include in output], 1, tblFilterAll[Reinvestment], "&gt;" &amp; tblFilterAll[[#This Row],[Reinvestment]] ) + 1</f>
        <v>10</v>
      </c>
      <c r="G849" s="30" cm="1">
        <f t="array" ref="G849" xml:space="preserve"> INDEX( VfM_Metrics_2023_Consol_Source[], $AK849, G$832 )</f>
        <v>1.4276649746192893E-2</v>
      </c>
      <c r="H849" s="35">
        <f xml:space="preserve"> IF( tblFilterAll[[#This Row],[New Supply (Social)]] &lt; G$825, 4, IF( tblFilterAll[[#This Row],[New Supply (Social)]] &lt; G$826, 3, IF( tblFilterAll[[#This Row],[New Supply (Social)]] &lt; G$827, 2, 1 ) ) )</f>
        <v>2</v>
      </c>
      <c r="I849" s="35">
        <f xml:space="preserve"> COUNTIFS( tblFilterAll[Include in output], 1, tblFilterAll[New Supply (Social)], "&gt;" &amp; tblFilterAll[[#This Row],[New Supply (Social)]] ) + 1</f>
        <v>89</v>
      </c>
      <c r="J849" s="31" cm="1">
        <f t="array" ref="J849" xml:space="preserve"> INDEX( VfM_Metrics_2023_Consol_Source[], $AK849, J$832 )</f>
        <v>6.7228629053110614E-4</v>
      </c>
      <c r="K849" s="35">
        <f xml:space="preserve"> IF( tblFilterAll[[#This Row],[New Supply (Non-Social)]] &lt; J$825, 4, IF( tblFilterAll[[#This Row],[New Supply (Non-Social)]] &lt; J$826, 3, IF( tblFilterAll[[#This Row],[New Supply (Non-Social)]] &lt; J$827, 2, 1 ) ) )</f>
        <v>2</v>
      </c>
      <c r="L849" s="35">
        <f xml:space="preserve"> COUNTIFS( tblFilterAll[Include in output], 1, tblFilterAll[New Supply (Non-Social)], "&gt;" &amp; tblFilterAll[[#This Row],[New Supply (Non-Social)]] ) + 1</f>
        <v>53</v>
      </c>
      <c r="M849" s="30" cm="1">
        <f t="array" ref="M849" xml:space="preserve"> INDEX( VfM_Metrics_2023_Consol_Source[], $AK849, M$832 )</f>
        <v>0.22740023731524234</v>
      </c>
      <c r="N849" s="35">
        <f xml:space="preserve"> IF( tblFilterAll[[#This Row],[Gearing]] &lt; M$825, 4, IF( tblFilterAll[[#This Row],[Gearing]] &lt; M$826, 3, IF( tblFilterAll[[#This Row],[Gearing]] &lt; M$827, 2, 1 ) ) )</f>
        <v>4</v>
      </c>
      <c r="O849" s="35">
        <f xml:space="preserve"> COUNTIFS( tblFilterAll[Include in output], 1, tblFilterAll[Gearing], "&gt;" &amp; tblFilterAll[[#This Row],[Gearing]] ) + 1</f>
        <v>175</v>
      </c>
      <c r="P849" s="30" cm="1">
        <f t="array" ref="P849" xml:space="preserve"> INDEX( VfM_Metrics_2023_Consol_Source[], $AK849, P$832 )</f>
        <v>-0.57804047285113203</v>
      </c>
      <c r="Q849" s="35">
        <f xml:space="preserve"> IF( tblFilterAll[[#This Row],[EBITDA MRI Interest Cover]] &lt; P$825, 4, IF( tblFilterAll[[#This Row],[EBITDA MRI Interest Cover]] &lt; P$826, 3, IF( tblFilterAll[[#This Row],[EBITDA MRI Interest Cover]] &lt; P$827, 2, 1 ) ) )</f>
        <v>4</v>
      </c>
      <c r="R849" s="35">
        <f xml:space="preserve"> COUNTIFS( tblFilterAll[Include in output], 1, tblFilterAll[EBITDA MRI Interest Cover], "&gt;" &amp; tblFilterAll[[#This Row],[EBITDA MRI Interest Cover]] ) + 1</f>
        <v>186</v>
      </c>
      <c r="S849" s="32" cm="1">
        <f t="array" ref="S849" xml:space="preserve"> INDEX( VfM_Metrics_2023_Consol_Source[], $AK849, S$832 )</f>
        <v>4818.2635363790187</v>
      </c>
      <c r="T849" s="35">
        <f xml:space="preserve"> IF( tblFilterAll[[#This Row],[Headline Social Housing Cost per unit]] &lt; S$825, 4, IF( tblFilterAll[[#This Row],[Headline Social Housing Cost per unit]] &lt; S$826, 3, IF( tblFilterAll[[#This Row],[Headline Social Housing Cost per unit]] &lt; S$827, 2, 1 ) ) )</f>
        <v>2</v>
      </c>
      <c r="U849" s="35">
        <f xml:space="preserve"> COUNTIFS( tblFilterAll[Include in output], 1, tblFilterAll[Headline Social Housing Cost per unit], "&gt;" &amp; tblFilterAll[[#This Row],[Headline Social Housing Cost per unit]] ) + 1</f>
        <v>83</v>
      </c>
      <c r="V849" s="30" cm="1">
        <f t="array" ref="V849" xml:space="preserve"> INDEX( VfM_Metrics_2023_Consol_Source[], $AK849, V$832 )</f>
        <v>9.9915315895564225E-2</v>
      </c>
      <c r="W849" s="35">
        <f xml:space="preserve"> IF( tblFilterAll[[#This Row],[Operating Margin (SHL)]] &lt; V$825, 4, IF( tblFilterAll[[#This Row],[Operating Margin (SHL)]] &lt; V$826, 3, IF( tblFilterAll[[#This Row],[Operating Margin (SHL)]] &lt; V$827, 2, 1 ) ) )</f>
        <v>4</v>
      </c>
      <c r="X849" s="35">
        <f xml:space="preserve"> COUNTIFS( tblFilterAll[Include in output], 1, tblFilterAll[Operating Margin (SHL)], "&gt;" &amp; tblFilterAll[[#This Row],[Operating Margin (SHL)]] ) + 1</f>
        <v>177</v>
      </c>
      <c r="Y849" s="30" cm="1">
        <f t="array" ref="Y849" xml:space="preserve"> INDEX( VfM_Metrics_2023_Consol_Source[], $AK849, Y$832 )</f>
        <v>3.8205558095818729E-2</v>
      </c>
      <c r="Z849" s="35">
        <f xml:space="preserve"> IF( tblFilterAll[[#This Row],[Operating Margin (Overall)]] &lt; Y$825, 4, IF( tblFilterAll[[#This Row],[Operating Margin (Overall)]] &lt; Y$826, 3, IF( tblFilterAll[[#This Row],[Operating Margin (Overall)]] &lt; Y$827, 2, 1 ) ) )</f>
        <v>4</v>
      </c>
      <c r="AA849" s="35">
        <f xml:space="preserve"> COUNTIFS( tblFilterAll[Include in output], 1, tblFilterAll[Operating Margin (Overall)], "&gt;" &amp; tblFilterAll[[#This Row],[Operating Margin (Overall)]] ) + 1</f>
        <v>187</v>
      </c>
      <c r="AB849" s="30" cm="1">
        <f t="array" ref="AB849" xml:space="preserve"> INDEX( VfM_Metrics_2023_Consol_Source[], $AK849, AB$832 )</f>
        <v>2.5132854912408863E-2</v>
      </c>
      <c r="AC849" s="35">
        <f xml:space="preserve"> IF( tblFilterAll[[#This Row],[ROCE]] &lt; AB$825, 4, IF( tblFilterAll[[#This Row],[ROCE]] &lt; AB$826, 3, IF( tblFilterAll[[#This Row],[ROCE]] &lt; AB$827, 2, 1 ) ) )</f>
        <v>3</v>
      </c>
      <c r="AD849" s="35">
        <f xml:space="preserve"> COUNTIFS( tblFilterAll[Include in output], 1, tblFilterAll[ROCE], "&gt;" &amp; tblFilterAll[[#This Row],[ROCE]] ) + 1</f>
        <v>127</v>
      </c>
      <c r="AE849" s="33" cm="1" vm="2601">
        <f t="array" ref="AE849" xml:space="preserve"> INDEX( VfM_Metrics_2023_Consol_Source[], $AK849, AE$832 )</f>
        <v>18912</v>
      </c>
      <c r="AF849" s="30" cm="1">
        <f t="array" ref="AF849" xml:space="preserve"> INDEX( VfM_Metrics_2023_Consol_Source[], $AK849, AF$832 )</f>
        <v>5.9934231462819565E-3</v>
      </c>
      <c r="AG849" s="30" cm="1">
        <f t="array" ref="AG849" xml:space="preserve"> INDEX( VfM_Metrics_2023_Consol_Source[], $AK849, AG$832 )</f>
        <v>0.11779993635302853</v>
      </c>
      <c r="AH849" s="30" cm="1">
        <f t="array" ref="AH849" xml:space="preserve"> INDEX( VfM_Metrics_2023_Consol_Source[], $AK849, AH$832 )</f>
        <v>0.12379335949931049</v>
      </c>
      <c r="AI849" s="30" t="str" cm="1">
        <f t="array" ref="AI849" xml:space="preserve"> INDEX( VfM_Metrics_2023_Consol_Source[], $AK849, AI$832 )</f>
        <v>Traditional</v>
      </c>
      <c r="AJ849" s="34" t="str" cm="1">
        <f t="array" ref="AJ849" xml:space="preserve"> INDEX( VfM_Metrics_2023_Consol_Source[], $AK849, AJ$832 )</f>
        <v>North West</v>
      </c>
      <c r="AK849" s="81">
        <f xml:space="preserve"> MATCH( tblFilterAll[[#This Row],[Code]], VfM_Metrics_2023_Consol_Source[RP_Code], 0 )</f>
        <v>16</v>
      </c>
      <c r="AL849" s="24">
        <f xml:space="preserve"> INDEX( tblFilterRegion[Include for region],  MATCH( tblFilterAll[[#This Row],[Code]], tblFilterRegion[RP_Code], 0 ) )</f>
        <v>1</v>
      </c>
      <c r="AM849" s="24">
        <f xml:space="preserve"> INDEX( tblFilterPropType[Incl for prop type],  MATCH( tblFilterAll[[#This Row],[Code]], tblFilterPropType[RP_Code], 0 ) )</f>
        <v>1</v>
      </c>
      <c r="AN849" s="24">
        <f xml:space="preserve"> INDEX( tblFilterSize[Incl for size],  MATCH( tblFilterAll[[#This Row],[Code]], tblFilterSize[RP_Code], 0 ) )</f>
        <v>1</v>
      </c>
      <c r="AO849" s="24">
        <f xml:space="preserve"> INDEX( tblFilterRP_Type[Incl, for RP Type],  MATCH( tblFilterAll[[#This Row],[Code]], tblFilterRP_Type[RP_Code], 0 ) )</f>
        <v>1</v>
      </c>
      <c r="AP849" s="24">
        <f xml:space="preserve">  -- ( SUM( tblFilterAll[[#This Row],[Filter Region]:[Filter RP Type]] ) = 4 )</f>
        <v>1</v>
      </c>
      <c r="AQ849" s="24">
        <f xml:space="preserve"> -- ( tblFilterAll[[#This Row],[Provider name]] = SelectedProvider )</f>
        <v>0</v>
      </c>
      <c r="AR849" s="24">
        <f xml:space="preserve">  -- ( OR( SUM( tblFilterAll[[#This Row],[Filter Region]:[Filter RP Type]] ) = 4, tblFilterAll[[#This Row],[SelectedProvider]] = 1 ) )</f>
        <v>1</v>
      </c>
      <c r="AS849" s="24">
        <f xml:space="preserve"> -- ( INDEX( PeersCritera[Included in final peers], MATCH( tblFilterAll[[#This Row],[Provider name]], PeersCritera[RP_Name], 0 ) ) = 1 )</f>
        <v>1</v>
      </c>
      <c r="AT849" s="30" t="str" cm="1">
        <f t="array" ref="AT849" xml:space="preserve"> SUBSTITUTE( INDEX( VfM_Metrics_2023_Consol_Source[], $AK849, AT$832 ), 0, "" )</f>
        <v>&gt;= 12 years</v>
      </c>
      <c r="AU849" s="34" cm="1">
        <f t="array" ref="AU849" xml:space="preserve"> INDEX( VfM_Metrics_2023_Consol_Source[], $AK849, AU$832 )</f>
        <v>0</v>
      </c>
      <c r="AV849" s="34" cm="1">
        <f t="array" ref="AV849" xml:space="preserve"> INDEX( VfM_Metrics_2023_Consol_Source[], $AK849, AV$832 )</f>
        <v>0</v>
      </c>
      <c r="AW849" s="34" cm="1">
        <f t="array" ref="AW849" xml:space="preserve"> INDEX( VfM_Metrics_2023_Consol_Source[], $AK849, AW$832 )</f>
        <v>0</v>
      </c>
      <c r="AX849" s="34" cm="1">
        <f t="array" ref="AX849" xml:space="preserve"> INDEX( VfM_Metrics_2023_Consol_Source[], $AK849, AX$832 )</f>
        <v>1.2713211145248438E-3</v>
      </c>
      <c r="AY849" s="34" cm="1">
        <f t="array" ref="AY849" xml:space="preserve"> INDEX( VfM_Metrics_2023_Consol_Source[], $AK849, AY$832 )</f>
        <v>0</v>
      </c>
      <c r="AZ849" s="34" cm="1">
        <f t="array" ref="AZ849" xml:space="preserve"> INDEX( VfM_Metrics_2023_Consol_Source[], $AK849, AZ$832 )</f>
        <v>0</v>
      </c>
      <c r="BA849" s="34" cm="1">
        <f t="array" ref="BA849" xml:space="preserve"> INDEX( VfM_Metrics_2023_Consol_Source[], $AK849, BA$832 )</f>
        <v>0</v>
      </c>
      <c r="BB849" s="34" cm="1">
        <f t="array" ref="BB849" xml:space="preserve"> INDEX( VfM_Metrics_2023_Consol_Source[], $AK849, BB$832 )</f>
        <v>0.99872867888547512</v>
      </c>
      <c r="BC849" s="34" cm="1">
        <f t="array" ref="BC849" xml:space="preserve"> INDEX( VfM_Metrics_2023_Consol_Source[], $AK849, BC$832 )</f>
        <v>0</v>
      </c>
    </row>
    <row r="850" spans="2:55" x14ac:dyDescent="0.2">
      <c r="B850" s="122" t="str" vm="17">
        <f t="shared" ref="B850" si="335" xml:space="preserve"> B640</f>
        <v>Bournemouth Churches Housing Association Limited</v>
      </c>
      <c r="C850" s="122" t="str" vm="206">
        <f t="shared" ref="C850" si="336" xml:space="preserve"> C640</f>
        <v>LH0155</v>
      </c>
      <c r="D850" s="30" cm="1">
        <f t="array" ref="D850" xml:space="preserve"> INDEX( VfM_Metrics_2023_Consol_Source[], $AK850, D$832 )</f>
        <v>5.89976110959246E-2</v>
      </c>
      <c r="E850" s="35">
        <f xml:space="preserve"> IF( tblFilterAll[[#This Row],[Reinvestment]] &lt; D$825, 4, IF( tblFilterAll[[#This Row],[Reinvestment]] &lt; D$826, 3, IF( tblFilterAll[[#This Row],[Reinvestment]] &lt; D$827, 2, 1 ) ) )</f>
        <v>3</v>
      </c>
      <c r="F850" s="35">
        <f xml:space="preserve"> COUNTIFS( tblFilterAll[Include in output], 1, tblFilterAll[Reinvestment], "&gt;" &amp; tblFilterAll[[#This Row],[Reinvestment]] ) + 1</f>
        <v>122</v>
      </c>
      <c r="G850" s="30" cm="1">
        <f t="array" ref="G850" xml:space="preserve"> INDEX( VfM_Metrics_2023_Consol_Source[], $AK850, G$832 )</f>
        <v>3.0557677616501145E-3</v>
      </c>
      <c r="H850" s="35">
        <f xml:space="preserve"> IF( tblFilterAll[[#This Row],[New Supply (Social)]] &lt; G$825, 4, IF( tblFilterAll[[#This Row],[New Supply (Social)]] &lt; G$826, 3, IF( tblFilterAll[[#This Row],[New Supply (Social)]] &lt; G$827, 2, 1 ) ) )</f>
        <v>4</v>
      </c>
      <c r="I850" s="35">
        <f xml:space="preserve"> COUNTIFS( tblFilterAll[Include in output], 1, tblFilterAll[New Supply (Social)], "&gt;" &amp; tblFilterAll[[#This Row],[New Supply (Social)]] ) + 1</f>
        <v>169</v>
      </c>
      <c r="J850" s="31" cm="1">
        <f t="array" ref="J850" xml:space="preserve"> INDEX( VfM_Metrics_2023_Consol_Source[], $AK850, J$832 )</f>
        <v>5.8181818181818178E-3</v>
      </c>
      <c r="K850" s="35">
        <f xml:space="preserve"> IF( tblFilterAll[[#This Row],[New Supply (Non-Social)]] &lt; J$825, 4, IF( tblFilterAll[[#This Row],[New Supply (Non-Social)]] &lt; J$826, 3, IF( tblFilterAll[[#This Row],[New Supply (Non-Social)]] &lt; J$827, 2, 1 ) ) )</f>
        <v>1</v>
      </c>
      <c r="L850" s="35">
        <f xml:space="preserve"> COUNTIFS( tblFilterAll[Include in output], 1, tblFilterAll[New Supply (Non-Social)], "&gt;" &amp; tblFilterAll[[#This Row],[New Supply (Non-Social)]] ) + 1</f>
        <v>17</v>
      </c>
      <c r="M850" s="30" cm="1">
        <f t="array" ref="M850" xml:space="preserve"> INDEX( VfM_Metrics_2023_Consol_Source[], $AK850, M$832 )</f>
        <v>0.4042001925385374</v>
      </c>
      <c r="N850" s="35">
        <f xml:space="preserve"> IF( tblFilterAll[[#This Row],[Gearing]] &lt; M$825, 4, IF( tblFilterAll[[#This Row],[Gearing]] &lt; M$826, 3, IF( tblFilterAll[[#This Row],[Gearing]] &lt; M$827, 2, 1 ) ) )</f>
        <v>3</v>
      </c>
      <c r="O850" s="35">
        <f xml:space="preserve"> COUNTIFS( tblFilterAll[Include in output], 1, tblFilterAll[Gearing], "&gt;" &amp; tblFilterAll[[#This Row],[Gearing]] ) + 1</f>
        <v>128</v>
      </c>
      <c r="P850" s="30" cm="1">
        <f t="array" ref="P850" xml:space="preserve"> INDEX( VfM_Metrics_2023_Consol_Source[], $AK850, P$832 )</f>
        <v>1.8754925137903862</v>
      </c>
      <c r="Q850" s="35">
        <f xml:space="preserve"> IF( tblFilterAll[[#This Row],[EBITDA MRI Interest Cover]] &lt; P$825, 4, IF( tblFilterAll[[#This Row],[EBITDA MRI Interest Cover]] &lt; P$826, 3, IF( tblFilterAll[[#This Row],[EBITDA MRI Interest Cover]] &lt; P$827, 2, 1 ) ) )</f>
        <v>1</v>
      </c>
      <c r="R850" s="35">
        <f xml:space="preserve"> COUNTIFS( tblFilterAll[Include in output], 1, tblFilterAll[EBITDA MRI Interest Cover], "&gt;" &amp; tblFilterAll[[#This Row],[EBITDA MRI Interest Cover]] ) + 1</f>
        <v>34</v>
      </c>
      <c r="S850" s="32" cm="1">
        <f t="array" ref="S850" xml:space="preserve"> INDEX( VfM_Metrics_2023_Consol_Source[], $AK850, S$832 )</f>
        <v>13069.518716577541</v>
      </c>
      <c r="T850" s="35">
        <f xml:space="preserve"> IF( tblFilterAll[[#This Row],[Headline Social Housing Cost per unit]] &lt; S$825, 4, IF( tblFilterAll[[#This Row],[Headline Social Housing Cost per unit]] &lt; S$826, 3, IF( tblFilterAll[[#This Row],[Headline Social Housing Cost per unit]] &lt; S$827, 2, 1 ) ) )</f>
        <v>1</v>
      </c>
      <c r="U850" s="35">
        <f xml:space="preserve"> COUNTIFS( tblFilterAll[Include in output], 1, tblFilterAll[Headline Social Housing Cost per unit], "&gt;" &amp; tblFilterAll[[#This Row],[Headline Social Housing Cost per unit]] ) + 1</f>
        <v>9</v>
      </c>
      <c r="V850" s="30" cm="1">
        <f t="array" ref="V850" xml:space="preserve"> INDEX( VfM_Metrics_2023_Consol_Source[], $AK850, V$832 )</f>
        <v>0.20325577823850111</v>
      </c>
      <c r="W850" s="35">
        <f xml:space="preserve"> IF( tblFilterAll[[#This Row],[Operating Margin (SHL)]] &lt; V$825, 4, IF( tblFilterAll[[#This Row],[Operating Margin (SHL)]] &lt; V$826, 3, IF( tblFilterAll[[#This Row],[Operating Margin (SHL)]] &lt; V$827, 2, 1 ) ) )</f>
        <v>2</v>
      </c>
      <c r="X850" s="35">
        <f xml:space="preserve"> COUNTIFS( tblFilterAll[Include in output], 1, tblFilterAll[Operating Margin (SHL)], "&gt;" &amp; tblFilterAll[[#This Row],[Operating Margin (SHL)]] ) + 1</f>
        <v>93</v>
      </c>
      <c r="Y850" s="30" cm="1">
        <f t="array" ref="Y850" xml:space="preserve"> INDEX( VfM_Metrics_2023_Consol_Source[], $AK850, Y$832 )</f>
        <v>6.7329860814618739E-2</v>
      </c>
      <c r="Z850" s="35">
        <f xml:space="preserve"> IF( tblFilterAll[[#This Row],[Operating Margin (Overall)]] &lt; Y$825, 4, IF( tblFilterAll[[#This Row],[Operating Margin (Overall)]] &lt; Y$826, 3, IF( tblFilterAll[[#This Row],[Operating Margin (Overall)]] &lt; Y$827, 2, 1 ) ) )</f>
        <v>4</v>
      </c>
      <c r="AA850" s="35">
        <f xml:space="preserve"> COUNTIFS( tblFilterAll[Include in output], 1, tblFilterAll[Operating Margin (Overall)], "&gt;" &amp; tblFilterAll[[#This Row],[Operating Margin (Overall)]] ) + 1</f>
        <v>174</v>
      </c>
      <c r="AB850" s="30" cm="1">
        <f t="array" ref="AB850" xml:space="preserve"> INDEX( VfM_Metrics_2023_Consol_Source[], $AK850, AB$832 )</f>
        <v>2.0028845259142086E-2</v>
      </c>
      <c r="AC850" s="35">
        <f xml:space="preserve"> IF( tblFilterAll[[#This Row],[ROCE]] &lt; AB$825, 4, IF( tblFilterAll[[#This Row],[ROCE]] &lt; AB$826, 3, IF( tblFilterAll[[#This Row],[ROCE]] &lt; AB$827, 2, 1 ) ) )</f>
        <v>4</v>
      </c>
      <c r="AD850" s="35">
        <f xml:space="preserve"> COUNTIFS( tblFilterAll[Include in output], 1, tblFilterAll[ROCE], "&gt;" &amp; tblFilterAll[[#This Row],[ROCE]] ) + 1</f>
        <v>161</v>
      </c>
      <c r="AE850" s="33" cm="1" vm="838">
        <f t="array" ref="AE850" xml:space="preserve"> INDEX( VfM_Metrics_2023_Consol_Source[], $AK850, AE$832 )</f>
        <v>1309</v>
      </c>
      <c r="AF850" s="30" cm="1">
        <f t="array" ref="AF850" xml:space="preserve"> INDEX( VfM_Metrics_2023_Consol_Source[], $AK850, AF$832 )</f>
        <v>0.53098039215686277</v>
      </c>
      <c r="AG850" s="30" cm="1">
        <f t="array" ref="AG850" xml:space="preserve"> INDEX( VfM_Metrics_2023_Consol_Source[], $AK850, AG$832 )</f>
        <v>0.04</v>
      </c>
      <c r="AH850" s="30" cm="1">
        <f t="array" ref="AH850" xml:space="preserve"> INDEX( VfM_Metrics_2023_Consol_Source[], $AK850, AH$832 )</f>
        <v>0.5709803921568628</v>
      </c>
      <c r="AI850" s="30" t="str" cm="1">
        <f t="array" ref="AI850" xml:space="preserve"> INDEX( VfM_Metrics_2023_Consol_Source[], $AK850, AI$832 )</f>
        <v>Traditional</v>
      </c>
      <c r="AJ850" s="34" t="str" cm="1">
        <f t="array" ref="AJ850" xml:space="preserve"> INDEX( VfM_Metrics_2023_Consol_Source[], $AK850, AJ$832 )</f>
        <v>South West</v>
      </c>
      <c r="AK850" s="81">
        <f xml:space="preserve"> MATCH( tblFilterAll[[#This Row],[Code]], VfM_Metrics_2023_Consol_Source[RP_Code], 0 )</f>
        <v>17</v>
      </c>
      <c r="AL850" s="24">
        <f xml:space="preserve"> INDEX( tblFilterRegion[Include for region],  MATCH( tblFilterAll[[#This Row],[Code]], tblFilterRegion[RP_Code], 0 ) )</f>
        <v>1</v>
      </c>
      <c r="AM850" s="24">
        <f xml:space="preserve"> INDEX( tblFilterPropType[Incl for prop type],  MATCH( tblFilterAll[[#This Row],[Code]], tblFilterPropType[RP_Code], 0 ) )</f>
        <v>1</v>
      </c>
      <c r="AN850" s="24">
        <f xml:space="preserve"> INDEX( tblFilterSize[Incl for size],  MATCH( tblFilterAll[[#This Row],[Code]], tblFilterSize[RP_Code], 0 ) )</f>
        <v>1</v>
      </c>
      <c r="AO850" s="24">
        <f xml:space="preserve"> INDEX( tblFilterRP_Type[Incl, for RP Type],  MATCH( tblFilterAll[[#This Row],[Code]], tblFilterRP_Type[RP_Code], 0 ) )</f>
        <v>1</v>
      </c>
      <c r="AP850" s="24">
        <f xml:space="preserve">  -- ( SUM( tblFilterAll[[#This Row],[Filter Region]:[Filter RP Type]] ) = 4 )</f>
        <v>1</v>
      </c>
      <c r="AQ850" s="24">
        <f xml:space="preserve"> -- ( tblFilterAll[[#This Row],[Provider name]] = SelectedProvider )</f>
        <v>0</v>
      </c>
      <c r="AR850" s="24">
        <f xml:space="preserve">  -- ( OR( SUM( tblFilterAll[[#This Row],[Filter Region]:[Filter RP Type]] ) = 4, tblFilterAll[[#This Row],[SelectedProvider]] = 1 ) )</f>
        <v>1</v>
      </c>
      <c r="AS850" s="24">
        <f xml:space="preserve"> -- ( INDEX( PeersCritera[Included in final peers], MATCH( tblFilterAll[[#This Row],[Provider name]], PeersCritera[RP_Name], 0 ) ) = 1 )</f>
        <v>1</v>
      </c>
      <c r="AT850" s="30" t="str" cm="1">
        <f t="array" ref="AT850" xml:space="preserve"> SUBSTITUTE( INDEX( VfM_Metrics_2023_Consol_Source[], $AK850, AT$832 ), 0, "" )</f>
        <v/>
      </c>
      <c r="AU850" s="34" cm="1">
        <f t="array" ref="AU850" xml:space="preserve"> INDEX( VfM_Metrics_2023_Consol_Source[], $AK850, AU$832 )</f>
        <v>0</v>
      </c>
      <c r="AV850" s="34" cm="1">
        <f t="array" ref="AV850" xml:space="preserve"> INDEX( VfM_Metrics_2023_Consol_Source[], $AK850, AV$832 )</f>
        <v>2.8688524590163935E-2</v>
      </c>
      <c r="AW850" s="34" cm="1">
        <f t="array" ref="AW850" xml:space="preserve"> INDEX( VfM_Metrics_2023_Consol_Source[], $AK850, AW$832 )</f>
        <v>0.97131147540983609</v>
      </c>
      <c r="AX850" s="34" cm="1">
        <f t="array" ref="AX850" xml:space="preserve"> INDEX( VfM_Metrics_2023_Consol_Source[], $AK850, AX$832 )</f>
        <v>0</v>
      </c>
      <c r="AY850" s="34" cm="1">
        <f t="array" ref="AY850" xml:space="preserve"> INDEX( VfM_Metrics_2023_Consol_Source[], $AK850, AY$832 )</f>
        <v>0</v>
      </c>
      <c r="AZ850" s="34" cm="1">
        <f t="array" ref="AZ850" xml:space="preserve"> INDEX( VfM_Metrics_2023_Consol_Source[], $AK850, AZ$832 )</f>
        <v>0</v>
      </c>
      <c r="BA850" s="34" cm="1">
        <f t="array" ref="BA850" xml:space="preserve"> INDEX( VfM_Metrics_2023_Consol_Source[], $AK850, BA$832 )</f>
        <v>0</v>
      </c>
      <c r="BB850" s="34" cm="1">
        <f t="array" ref="BB850" xml:space="preserve"> INDEX( VfM_Metrics_2023_Consol_Source[], $AK850, BB$832 )</f>
        <v>0</v>
      </c>
      <c r="BC850" s="34" cm="1">
        <f t="array" ref="BC850" xml:space="preserve"> INDEX( VfM_Metrics_2023_Consol_Source[], $AK850, BC$832 )</f>
        <v>0</v>
      </c>
    </row>
    <row r="851" spans="2:55" x14ac:dyDescent="0.2">
      <c r="B851" s="122" t="str" vm="18">
        <f t="shared" ref="B851" si="337" xml:space="preserve"> B641</f>
        <v>Bournville Village Trust</v>
      </c>
      <c r="C851" s="122" t="str" vm="325">
        <f t="shared" ref="C851" si="338" xml:space="preserve"> C641</f>
        <v>L0702</v>
      </c>
      <c r="D851" s="30" cm="1">
        <f t="array" ref="D851" xml:space="preserve"> INDEX( VfM_Metrics_2023_Consol_Source[], $AK851, D$832 )</f>
        <v>2.9691538280804217E-2</v>
      </c>
      <c r="E851" s="35">
        <f xml:space="preserve"> IF( tblFilterAll[[#This Row],[Reinvestment]] &lt; D$825, 4, IF( tblFilterAll[[#This Row],[Reinvestment]] &lt; D$826, 3, IF( tblFilterAll[[#This Row],[Reinvestment]] &lt; D$827, 2, 1 ) ) )</f>
        <v>4</v>
      </c>
      <c r="F851" s="35">
        <f xml:space="preserve"> COUNTIFS( tblFilterAll[Include in output], 1, tblFilterAll[Reinvestment], "&gt;" &amp; tblFilterAll[[#This Row],[Reinvestment]] ) + 1</f>
        <v>174</v>
      </c>
      <c r="G851" s="30" cm="1">
        <f t="array" ref="G851" xml:space="preserve"> INDEX( VfM_Metrics_2023_Consol_Source[], $AK851, G$832 )</f>
        <v>8.0645161290322581E-4</v>
      </c>
      <c r="H851" s="35">
        <f xml:space="preserve"> IF( tblFilterAll[[#This Row],[New Supply (Social)]] &lt; G$825, 4, IF( tblFilterAll[[#This Row],[New Supply (Social)]] &lt; G$826, 3, IF( tblFilterAll[[#This Row],[New Supply (Social)]] &lt; G$827, 2, 1 ) ) )</f>
        <v>4</v>
      </c>
      <c r="I851" s="35">
        <f xml:space="preserve"> COUNTIFS( tblFilterAll[Include in output], 1, tblFilterAll[New Supply (Social)], "&gt;" &amp; tblFilterAll[[#This Row],[New Supply (Social)]] ) + 1</f>
        <v>183</v>
      </c>
      <c r="J851" s="31" cm="1">
        <f t="array" ref="J851" xml:space="preserve"> INDEX( VfM_Metrics_2023_Consol_Source[], $AK851, J$832 )</f>
        <v>0</v>
      </c>
      <c r="K851" s="35">
        <f xml:space="preserve"> IF( tblFilterAll[[#This Row],[New Supply (Non-Social)]] &lt; J$825, 4, IF( tblFilterAll[[#This Row],[New Supply (Non-Social)]] &lt; J$826, 3, IF( tblFilterAll[[#This Row],[New Supply (Non-Social)]] &lt; J$827, 2, 1 ) ) )</f>
        <v>2</v>
      </c>
      <c r="L851" s="35">
        <f xml:space="preserve"> COUNTIFS( tblFilterAll[Include in output], 1, tblFilterAll[New Supply (Non-Social)], "&gt;" &amp; tblFilterAll[[#This Row],[New Supply (Non-Social)]] ) + 1</f>
        <v>72</v>
      </c>
      <c r="M851" s="30" cm="1">
        <f t="array" ref="M851" xml:space="preserve"> INDEX( VfM_Metrics_2023_Consol_Source[], $AK851, M$832 )</f>
        <v>0.53000369214244958</v>
      </c>
      <c r="N851" s="35">
        <f xml:space="preserve"> IF( tblFilterAll[[#This Row],[Gearing]] &lt; M$825, 4, IF( tblFilterAll[[#This Row],[Gearing]] &lt; M$826, 3, IF( tblFilterAll[[#This Row],[Gearing]] &lt; M$827, 2, 1 ) ) )</f>
        <v>2</v>
      </c>
      <c r="O851" s="35">
        <f xml:space="preserve"> COUNTIFS( tblFilterAll[Include in output], 1, tblFilterAll[Gearing], "&gt;" &amp; tblFilterAll[[#This Row],[Gearing]] ) + 1</f>
        <v>55</v>
      </c>
      <c r="P851" s="30" cm="1">
        <f t="array" ref="P851" xml:space="preserve"> INDEX( VfM_Metrics_2023_Consol_Source[], $AK851, P$832 )</f>
        <v>1.3669467787114846</v>
      </c>
      <c r="Q851" s="35">
        <f xml:space="preserve"> IF( tblFilterAll[[#This Row],[EBITDA MRI Interest Cover]] &lt; P$825, 4, IF( tblFilterAll[[#This Row],[EBITDA MRI Interest Cover]] &lt; P$826, 3, IF( tblFilterAll[[#This Row],[EBITDA MRI Interest Cover]] &lt; P$827, 2, 1 ) ) )</f>
        <v>2</v>
      </c>
      <c r="R851" s="35">
        <f xml:space="preserve"> COUNTIFS( tblFilterAll[Include in output], 1, tblFilterAll[EBITDA MRI Interest Cover], "&gt;" &amp; tblFilterAll[[#This Row],[EBITDA MRI Interest Cover]] ) + 1</f>
        <v>81</v>
      </c>
      <c r="S851" s="32" cm="1">
        <f t="array" ref="S851" xml:space="preserve"> INDEX( VfM_Metrics_2023_Consol_Source[], $AK851, S$832 )</f>
        <v>4527.4185204345576</v>
      </c>
      <c r="T851" s="35">
        <f xml:space="preserve"> IF( tblFilterAll[[#This Row],[Headline Social Housing Cost per unit]] &lt; S$825, 4, IF( tblFilterAll[[#This Row],[Headline Social Housing Cost per unit]] &lt; S$826, 3, IF( tblFilterAll[[#This Row],[Headline Social Housing Cost per unit]] &lt; S$827, 2, 1 ) ) )</f>
        <v>3</v>
      </c>
      <c r="U851" s="35">
        <f xml:space="preserve"> COUNTIFS( tblFilterAll[Include in output], 1, tblFilterAll[Headline Social Housing Cost per unit], "&gt;" &amp; tblFilterAll[[#This Row],[Headline Social Housing Cost per unit]] ) + 1</f>
        <v>105</v>
      </c>
      <c r="V851" s="30" cm="1">
        <f t="array" ref="V851" xml:space="preserve"> INDEX( VfM_Metrics_2023_Consol_Source[], $AK851, V$832 )</f>
        <v>0.27232308262319377</v>
      </c>
      <c r="W851" s="35">
        <f xml:space="preserve"> IF( tblFilterAll[[#This Row],[Operating Margin (SHL)]] &lt; V$825, 4, IF( tblFilterAll[[#This Row],[Operating Margin (SHL)]] &lt; V$826, 3, IF( tblFilterAll[[#This Row],[Operating Margin (SHL)]] &lt; V$827, 2, 1 ) ) )</f>
        <v>1</v>
      </c>
      <c r="X851" s="35">
        <f xml:space="preserve"> COUNTIFS( tblFilterAll[Include in output], 1, tblFilterAll[Operating Margin (SHL)], "&gt;" &amp; tblFilterAll[[#This Row],[Operating Margin (SHL)]] ) + 1</f>
        <v>42</v>
      </c>
      <c r="Y851" s="30" cm="1">
        <f t="array" ref="Y851" xml:space="preserve"> INDEX( VfM_Metrics_2023_Consol_Source[], $AK851, Y$832 )</f>
        <v>0.18131326049621807</v>
      </c>
      <c r="Z851" s="35">
        <f xml:space="preserve"> IF( tblFilterAll[[#This Row],[Operating Margin (Overall)]] &lt; Y$825, 4, IF( tblFilterAll[[#This Row],[Operating Margin (Overall)]] &lt; Y$826, 3, IF( tblFilterAll[[#This Row],[Operating Margin (Overall)]] &lt; Y$827, 2, 1 ) ) )</f>
        <v>3</v>
      </c>
      <c r="AA851" s="35">
        <f xml:space="preserve"> COUNTIFS( tblFilterAll[Include in output], 1, tblFilterAll[Operating Margin (Overall)], "&gt;" &amp; tblFilterAll[[#This Row],[Operating Margin (Overall)]] ) + 1</f>
        <v>102</v>
      </c>
      <c r="AB851" s="30" cm="1">
        <f t="array" ref="AB851" xml:space="preserve"> INDEX( VfM_Metrics_2023_Consol_Source[], $AK851, AB$832 )</f>
        <v>3.3125478105658454E-2</v>
      </c>
      <c r="AC851" s="35">
        <f xml:space="preserve"> IF( tblFilterAll[[#This Row],[ROCE]] &lt; AB$825, 4, IF( tblFilterAll[[#This Row],[ROCE]] &lt; AB$826, 3, IF( tblFilterAll[[#This Row],[ROCE]] &lt; AB$827, 2, 1 ) ) )</f>
        <v>2</v>
      </c>
      <c r="AD851" s="35">
        <f xml:space="preserve"> COUNTIFS( tblFilterAll[Include in output], 1, tblFilterAll[ROCE], "&gt;" &amp; tblFilterAll[[#This Row],[ROCE]] ) + 1</f>
        <v>66</v>
      </c>
      <c r="AE851" s="33" cm="1" vm="4219">
        <f t="array" ref="AE851" xml:space="preserve"> INDEX( VfM_Metrics_2023_Consol_Source[], $AK851, AE$832 )</f>
        <v>3720</v>
      </c>
      <c r="AF851" s="30" cm="1">
        <f t="array" ref="AF851" xml:space="preserve"> INDEX( VfM_Metrics_2023_Consol_Source[], $AK851, AF$832 )</f>
        <v>2.4219590958019376E-3</v>
      </c>
      <c r="AG851" s="30" cm="1">
        <f t="array" ref="AG851" xml:space="preserve"> INDEX( VfM_Metrics_2023_Consol_Source[], $AK851, AG$832 )</f>
        <v>7.0505920344456408E-2</v>
      </c>
      <c r="AH851" s="30" cm="1">
        <f t="array" ref="AH851" xml:space="preserve"> INDEX( VfM_Metrics_2023_Consol_Source[], $AK851, AH$832 )</f>
        <v>7.2927879440258345E-2</v>
      </c>
      <c r="AI851" s="30" t="str" cm="1">
        <f t="array" ref="AI851" xml:space="preserve"> INDEX( VfM_Metrics_2023_Consol_Source[], $AK851, AI$832 )</f>
        <v>Traditional</v>
      </c>
      <c r="AJ851" s="34" t="str" cm="1">
        <f t="array" ref="AJ851" xml:space="preserve"> INDEX( VfM_Metrics_2023_Consol_Source[], $AK851, AJ$832 )</f>
        <v>West Midlands</v>
      </c>
      <c r="AK851" s="81">
        <f xml:space="preserve"> MATCH( tblFilterAll[[#This Row],[Code]], VfM_Metrics_2023_Consol_Source[RP_Code], 0 )</f>
        <v>18</v>
      </c>
      <c r="AL851" s="24">
        <f xml:space="preserve"> INDEX( tblFilterRegion[Include for region],  MATCH( tblFilterAll[[#This Row],[Code]], tblFilterRegion[RP_Code], 0 ) )</f>
        <v>1</v>
      </c>
      <c r="AM851" s="24">
        <f xml:space="preserve"> INDEX( tblFilterPropType[Incl for prop type],  MATCH( tblFilterAll[[#This Row],[Code]], tblFilterPropType[RP_Code], 0 ) )</f>
        <v>1</v>
      </c>
      <c r="AN851" s="24">
        <f xml:space="preserve"> INDEX( tblFilterSize[Incl for size],  MATCH( tblFilterAll[[#This Row],[Code]], tblFilterSize[RP_Code], 0 ) )</f>
        <v>1</v>
      </c>
      <c r="AO851" s="24">
        <f xml:space="preserve"> INDEX( tblFilterRP_Type[Incl, for RP Type],  MATCH( tblFilterAll[[#This Row],[Code]], tblFilterRP_Type[RP_Code], 0 ) )</f>
        <v>1</v>
      </c>
      <c r="AP851" s="24">
        <f xml:space="preserve">  -- ( SUM( tblFilterAll[[#This Row],[Filter Region]:[Filter RP Type]] ) = 4 )</f>
        <v>1</v>
      </c>
      <c r="AQ851" s="24">
        <f xml:space="preserve"> -- ( tblFilterAll[[#This Row],[Provider name]] = SelectedProvider )</f>
        <v>0</v>
      </c>
      <c r="AR851" s="24">
        <f xml:space="preserve">  -- ( OR( SUM( tblFilterAll[[#This Row],[Filter Region]:[Filter RP Type]] ) = 4, tblFilterAll[[#This Row],[SelectedProvider]] = 1 ) )</f>
        <v>1</v>
      </c>
      <c r="AS851" s="24">
        <f xml:space="preserve"> -- ( INDEX( PeersCritera[Included in final peers], MATCH( tblFilterAll[[#This Row],[Provider name]], PeersCritera[RP_Name], 0 ) ) = 1 )</f>
        <v>1</v>
      </c>
      <c r="AT851" s="30" t="str" cm="1">
        <f t="array" ref="AT851" xml:space="preserve"> SUBSTITUTE( INDEX( VfM_Metrics_2023_Consol_Source[], $AK851, AT$832 ), 0, "" )</f>
        <v/>
      </c>
      <c r="AU851" s="34" cm="1">
        <f t="array" ref="AU851" xml:space="preserve"> INDEX( VfM_Metrics_2023_Consol_Source[], $AK851, AU$832 )</f>
        <v>0</v>
      </c>
      <c r="AV851" s="34" cm="1">
        <f t="array" ref="AV851" xml:space="preserve"> INDEX( VfM_Metrics_2023_Consol_Source[], $AK851, AV$832 )</f>
        <v>0</v>
      </c>
      <c r="AW851" s="34" cm="1">
        <f t="array" ref="AW851" xml:space="preserve"> INDEX( VfM_Metrics_2023_Consol_Source[], $AK851, AW$832 )</f>
        <v>0</v>
      </c>
      <c r="AX851" s="34" cm="1">
        <f t="array" ref="AX851" xml:space="preserve"> INDEX( VfM_Metrics_2023_Consol_Source[], $AK851, AX$832 )</f>
        <v>0</v>
      </c>
      <c r="AY851" s="34" cm="1">
        <f t="array" ref="AY851" xml:space="preserve"> INDEX( VfM_Metrics_2023_Consol_Source[], $AK851, AY$832 )</f>
        <v>1</v>
      </c>
      <c r="AZ851" s="34" cm="1">
        <f t="array" ref="AZ851" xml:space="preserve"> INDEX( VfM_Metrics_2023_Consol_Source[], $AK851, AZ$832 )</f>
        <v>0</v>
      </c>
      <c r="BA851" s="34" cm="1">
        <f t="array" ref="BA851" xml:space="preserve"> INDEX( VfM_Metrics_2023_Consol_Source[], $AK851, BA$832 )</f>
        <v>0</v>
      </c>
      <c r="BB851" s="34" cm="1">
        <f t="array" ref="BB851" xml:space="preserve"> INDEX( VfM_Metrics_2023_Consol_Source[], $AK851, BB$832 )</f>
        <v>0</v>
      </c>
      <c r="BC851" s="34" cm="1">
        <f t="array" ref="BC851" xml:space="preserve"> INDEX( VfM_Metrics_2023_Consol_Source[], $AK851, BC$832 )</f>
        <v>0</v>
      </c>
    </row>
    <row r="852" spans="2:55" x14ac:dyDescent="0.2">
      <c r="B852" s="122" t="str" vm="19">
        <f t="shared" ref="B852" si="339" xml:space="preserve"> B642</f>
        <v>bpha Limited</v>
      </c>
      <c r="C852" s="122" t="str" vm="294">
        <f t="shared" ref="C852" si="340" xml:space="preserve"> C642</f>
        <v>LH3887</v>
      </c>
      <c r="D852" s="30" cm="1">
        <f t="array" ref="D852" xml:space="preserve"> INDEX( VfM_Metrics_2023_Consol_Source[], $AK852, D$832 )</f>
        <v>5.24961697453242E-2</v>
      </c>
      <c r="E852" s="35">
        <f xml:space="preserve"> IF( tblFilterAll[[#This Row],[Reinvestment]] &lt; D$825, 4, IF( tblFilterAll[[#This Row],[Reinvestment]] &lt; D$826, 3, IF( tblFilterAll[[#This Row],[Reinvestment]] &lt; D$827, 2, 1 ) ) )</f>
        <v>3</v>
      </c>
      <c r="F852" s="35">
        <f xml:space="preserve"> COUNTIFS( tblFilterAll[Include in output], 1, tblFilterAll[Reinvestment], "&gt;" &amp; tblFilterAll[[#This Row],[Reinvestment]] ) + 1</f>
        <v>143</v>
      </c>
      <c r="G852" s="30" cm="1">
        <f t="array" ref="G852" xml:space="preserve"> INDEX( VfM_Metrics_2023_Consol_Source[], $AK852, G$832 )</f>
        <v>1.3788138878121713E-2</v>
      </c>
      <c r="H852" s="35">
        <f xml:space="preserve"> IF( tblFilterAll[[#This Row],[New Supply (Social)]] &lt; G$825, 4, IF( tblFilterAll[[#This Row],[New Supply (Social)]] &lt; G$826, 3, IF( tblFilterAll[[#This Row],[New Supply (Social)]] &lt; G$827, 2, 1 ) ) )</f>
        <v>2</v>
      </c>
      <c r="I852" s="35">
        <f xml:space="preserve"> COUNTIFS( tblFilterAll[Include in output], 1, tblFilterAll[New Supply (Social)], "&gt;" &amp; tblFilterAll[[#This Row],[New Supply (Social)]] ) + 1</f>
        <v>92</v>
      </c>
      <c r="J852" s="31" cm="1">
        <f t="array" ref="J852" xml:space="preserve"> INDEX( VfM_Metrics_2023_Consol_Source[], $AK852, J$832 )</f>
        <v>0</v>
      </c>
      <c r="K852" s="35">
        <f xml:space="preserve"> IF( tblFilterAll[[#This Row],[New Supply (Non-Social)]] &lt; J$825, 4, IF( tblFilterAll[[#This Row],[New Supply (Non-Social)]] &lt; J$826, 3, IF( tblFilterAll[[#This Row],[New Supply (Non-Social)]] &lt; J$827, 2, 1 ) ) )</f>
        <v>2</v>
      </c>
      <c r="L852" s="35">
        <f xml:space="preserve"> COUNTIFS( tblFilterAll[Include in output], 1, tblFilterAll[New Supply (Non-Social)], "&gt;" &amp; tblFilterAll[[#This Row],[New Supply (Non-Social)]] ) + 1</f>
        <v>72</v>
      </c>
      <c r="M852" s="30" cm="1">
        <f t="array" ref="M852" xml:space="preserve"> INDEX( VfM_Metrics_2023_Consol_Source[], $AK852, M$832 )</f>
        <v>0.63951712165680008</v>
      </c>
      <c r="N852" s="35">
        <f xml:space="preserve"> IF( tblFilterAll[[#This Row],[Gearing]] &lt; M$825, 4, IF( tblFilterAll[[#This Row],[Gearing]] &lt; M$826, 3, IF( tblFilterAll[[#This Row],[Gearing]] &lt; M$827, 2, 1 ) ) )</f>
        <v>1</v>
      </c>
      <c r="O852" s="35">
        <f xml:space="preserve"> COUNTIFS( tblFilterAll[Include in output], 1, tblFilterAll[Gearing], "&gt;" &amp; tblFilterAll[[#This Row],[Gearing]] ) + 1</f>
        <v>14</v>
      </c>
      <c r="P852" s="30" cm="1">
        <f t="array" ref="P852" xml:space="preserve"> INDEX( VfM_Metrics_2023_Consol_Source[], $AK852, P$832 )</f>
        <v>1.3059675565888986</v>
      </c>
      <c r="Q852" s="35">
        <f xml:space="preserve"> IF( tblFilterAll[[#This Row],[EBITDA MRI Interest Cover]] &lt; P$825, 4, IF( tblFilterAll[[#This Row],[EBITDA MRI Interest Cover]] &lt; P$826, 3, IF( tblFilterAll[[#This Row],[EBITDA MRI Interest Cover]] &lt; P$827, 2, 1 ) ) )</f>
        <v>2</v>
      </c>
      <c r="R852" s="35">
        <f xml:space="preserve"> COUNTIFS( tblFilterAll[Include in output], 1, tblFilterAll[EBITDA MRI Interest Cover], "&gt;" &amp; tblFilterAll[[#This Row],[EBITDA MRI Interest Cover]] ) + 1</f>
        <v>91</v>
      </c>
      <c r="S852" s="32" cm="1">
        <f t="array" ref="S852" xml:space="preserve"> INDEX( VfM_Metrics_2023_Consol_Source[], $AK852, S$832 )</f>
        <v>4054.3108909750617</v>
      </c>
      <c r="T852" s="35">
        <f xml:space="preserve"> IF( tblFilterAll[[#This Row],[Headline Social Housing Cost per unit]] &lt; S$825, 4, IF( tblFilterAll[[#This Row],[Headline Social Housing Cost per unit]] &lt; S$826, 3, IF( tblFilterAll[[#This Row],[Headline Social Housing Cost per unit]] &lt; S$827, 2, 1 ) ) )</f>
        <v>4</v>
      </c>
      <c r="U852" s="35">
        <f xml:space="preserve"> COUNTIFS( tblFilterAll[Include in output], 1, tblFilterAll[Headline Social Housing Cost per unit], "&gt;" &amp; tblFilterAll[[#This Row],[Headline Social Housing Cost per unit]] ) + 1</f>
        <v>155</v>
      </c>
      <c r="V852" s="30" cm="1">
        <f t="array" ref="V852" xml:space="preserve"> INDEX( VfM_Metrics_2023_Consol_Source[], $AK852, V$832 )</f>
        <v>0.38660239997813234</v>
      </c>
      <c r="W852" s="35">
        <f xml:space="preserve"> IF( tblFilterAll[[#This Row],[Operating Margin (SHL)]] &lt; V$825, 4, IF( tblFilterAll[[#This Row],[Operating Margin (SHL)]] &lt; V$826, 3, IF( tblFilterAll[[#This Row],[Operating Margin (SHL)]] &lt; V$827, 2, 1 ) ) )</f>
        <v>1</v>
      </c>
      <c r="X852" s="35">
        <f xml:space="preserve"> COUNTIFS( tblFilterAll[Include in output], 1, tblFilterAll[Operating Margin (SHL)], "&gt;" &amp; tblFilterAll[[#This Row],[Operating Margin (SHL)]] ) + 1</f>
        <v>6</v>
      </c>
      <c r="Y852" s="30" cm="1">
        <f t="array" ref="Y852" xml:space="preserve"> INDEX( VfM_Metrics_2023_Consol_Source[], $AK852, Y$832 )</f>
        <v>0.36156807314065742</v>
      </c>
      <c r="Z852" s="35">
        <f xml:space="preserve"> IF( tblFilterAll[[#This Row],[Operating Margin (Overall)]] &lt; Y$825, 4, IF( tblFilterAll[[#This Row],[Operating Margin (Overall)]] &lt; Y$826, 3, IF( tblFilterAll[[#This Row],[Operating Margin (Overall)]] &lt; Y$827, 2, 1 ) ) )</f>
        <v>1</v>
      </c>
      <c r="AA852" s="35">
        <f xml:space="preserve"> COUNTIFS( tblFilterAll[Include in output], 1, tblFilterAll[Operating Margin (Overall)], "&gt;" &amp; tblFilterAll[[#This Row],[Operating Margin (Overall)]] ) + 1</f>
        <v>3</v>
      </c>
      <c r="AB852" s="30" cm="1">
        <f t="array" ref="AB852" xml:space="preserve"> INDEX( VfM_Metrics_2023_Consol_Source[], $AK852, AB$832 )</f>
        <v>4.0759153236486621E-2</v>
      </c>
      <c r="AC852" s="35">
        <f xml:space="preserve"> IF( tblFilterAll[[#This Row],[ROCE]] &lt; AB$825, 4, IF( tblFilterAll[[#This Row],[ROCE]] &lt; AB$826, 3, IF( tblFilterAll[[#This Row],[ROCE]] &lt; AB$827, 2, 1 ) ) )</f>
        <v>1</v>
      </c>
      <c r="AD852" s="35">
        <f xml:space="preserve"> COUNTIFS( tblFilterAll[Include in output], 1, tblFilterAll[ROCE], "&gt;" &amp; tblFilterAll[[#This Row],[ROCE]] ) + 1</f>
        <v>27</v>
      </c>
      <c r="AE852" s="33" cm="1" vm="3145">
        <f t="array" ref="AE852" xml:space="preserve"> INDEX( VfM_Metrics_2023_Consol_Source[], $AK852, AE$832 )</f>
        <v>17363</v>
      </c>
      <c r="AF852" s="30" cm="1">
        <f t="array" ref="AF852" xml:space="preserve"> INDEX( VfM_Metrics_2023_Consol_Source[], $AK852, AF$832 )</f>
        <v>1.1210117849956885E-2</v>
      </c>
      <c r="AG852" s="30" cm="1">
        <f t="array" ref="AG852" xml:space="preserve"> INDEX( VfM_Metrics_2023_Consol_Source[], $AK852, AG$832 )</f>
        <v>5.8005173900546131E-2</v>
      </c>
      <c r="AH852" s="30" cm="1">
        <f t="array" ref="AH852" xml:space="preserve"> INDEX( VfM_Metrics_2023_Consol_Source[], $AK852, AH$832 )</f>
        <v>6.9215291750503019E-2</v>
      </c>
      <c r="AI852" s="30" t="str" cm="1">
        <f t="array" ref="AI852" xml:space="preserve"> INDEX( VfM_Metrics_2023_Consol_Source[], $AK852, AI$832 )</f>
        <v>Traditional</v>
      </c>
      <c r="AJ852" s="34" t="str" cm="1">
        <f t="array" ref="AJ852" xml:space="preserve"> INDEX( VfM_Metrics_2023_Consol_Source[], $AK852, AJ$832 )</f>
        <v>East of England</v>
      </c>
      <c r="AK852" s="81">
        <f xml:space="preserve"> MATCH( tblFilterAll[[#This Row],[Code]], VfM_Metrics_2023_Consol_Source[RP_Code], 0 )</f>
        <v>19</v>
      </c>
      <c r="AL852" s="24">
        <f xml:space="preserve"> INDEX( tblFilterRegion[Include for region],  MATCH( tblFilterAll[[#This Row],[Code]], tblFilterRegion[RP_Code], 0 ) )</f>
        <v>1</v>
      </c>
      <c r="AM852" s="24">
        <f xml:space="preserve"> INDEX( tblFilterPropType[Incl for prop type],  MATCH( tblFilterAll[[#This Row],[Code]], tblFilterPropType[RP_Code], 0 ) )</f>
        <v>1</v>
      </c>
      <c r="AN852" s="24">
        <f xml:space="preserve"> INDEX( tblFilterSize[Incl for size],  MATCH( tblFilterAll[[#This Row],[Code]], tblFilterSize[RP_Code], 0 ) )</f>
        <v>1</v>
      </c>
      <c r="AO852" s="24">
        <f xml:space="preserve"> INDEX( tblFilterRP_Type[Incl, for RP Type],  MATCH( tblFilterAll[[#This Row],[Code]], tblFilterRP_Type[RP_Code], 0 ) )</f>
        <v>1</v>
      </c>
      <c r="AP852" s="24">
        <f xml:space="preserve">  -- ( SUM( tblFilterAll[[#This Row],[Filter Region]:[Filter RP Type]] ) = 4 )</f>
        <v>1</v>
      </c>
      <c r="AQ852" s="24">
        <f xml:space="preserve"> -- ( tblFilterAll[[#This Row],[Provider name]] = SelectedProvider )</f>
        <v>0</v>
      </c>
      <c r="AR852" s="24">
        <f xml:space="preserve">  -- ( OR( SUM( tblFilterAll[[#This Row],[Filter Region]:[Filter RP Type]] ) = 4, tblFilterAll[[#This Row],[SelectedProvider]] = 1 ) )</f>
        <v>1</v>
      </c>
      <c r="AS852" s="24">
        <f xml:space="preserve"> -- ( INDEX( PeersCritera[Included in final peers], MATCH( tblFilterAll[[#This Row],[Provider name]], PeersCritera[RP_Name], 0 ) ) = 1 )</f>
        <v>1</v>
      </c>
      <c r="AT852" s="30" t="str" cm="1">
        <f t="array" ref="AT852" xml:space="preserve"> SUBSTITUTE( INDEX( VfM_Metrics_2023_Consol_Source[], $AK852, AT$832 ), 0, "" )</f>
        <v/>
      </c>
      <c r="AU852" s="34" cm="1">
        <f t="array" ref="AU852" xml:space="preserve"> INDEX( VfM_Metrics_2023_Consol_Source[], $AK852, AU$832 )</f>
        <v>0</v>
      </c>
      <c r="AV852" s="34" cm="1">
        <f t="array" ref="AV852" xml:space="preserve"> INDEX( VfM_Metrics_2023_Consol_Source[], $AK852, AV$832 )</f>
        <v>0.11513653625896679</v>
      </c>
      <c r="AW852" s="34" cm="1">
        <f t="array" ref="AW852" xml:space="preserve"> INDEX( VfM_Metrics_2023_Consol_Source[], $AK852, AW$832 )</f>
        <v>2.7126409066248721E-3</v>
      </c>
      <c r="AX852" s="34" cm="1">
        <f t="array" ref="AX852" xml:space="preserve"> INDEX( VfM_Metrics_2023_Consol_Source[], $AK852, AX$832 )</f>
        <v>6.8659955392127311E-2</v>
      </c>
      <c r="AY852" s="34" cm="1">
        <f t="array" ref="AY852" xml:space="preserve"> INDEX( VfM_Metrics_2023_Consol_Source[], $AK852, AY$832 )</f>
        <v>6.0280909036108268E-5</v>
      </c>
      <c r="AZ852" s="34" cm="1">
        <f t="array" ref="AZ852" xml:space="preserve"> INDEX( VfM_Metrics_2023_Consol_Source[], $AK852, AZ$832 )</f>
        <v>0.81337030562420887</v>
      </c>
      <c r="BA852" s="34" cm="1">
        <f t="array" ref="BA852" xml:space="preserve"> INDEX( VfM_Metrics_2023_Consol_Source[], $AK852, BA$832 )</f>
        <v>0</v>
      </c>
      <c r="BB852" s="34" cm="1">
        <f t="array" ref="BB852" xml:space="preserve"> INDEX( VfM_Metrics_2023_Consol_Source[], $AK852, BB$832 )</f>
        <v>0</v>
      </c>
      <c r="BC852" s="34" cm="1">
        <f t="array" ref="BC852" xml:space="preserve"> INDEX( VfM_Metrics_2023_Consol_Source[], $AK852, BC$832 )</f>
        <v>6.0280909036108268E-5</v>
      </c>
    </row>
    <row r="853" spans="2:55" x14ac:dyDescent="0.2">
      <c r="B853" s="122" t="str" vm="20">
        <f t="shared" ref="B853" si="341" xml:space="preserve"> B643</f>
        <v>Brighter Places</v>
      </c>
      <c r="C853" s="122" t="str" vm="324">
        <f t="shared" ref="C853" si="342" xml:space="preserve"> C643</f>
        <v>L3758</v>
      </c>
      <c r="D853" s="30" cm="1">
        <f t="array" ref="D853" xml:space="preserve"> INDEX( VfM_Metrics_2023_Consol_Source[], $AK853, D$832 )</f>
        <v>3.3688765260392523E-2</v>
      </c>
      <c r="E853" s="35">
        <f xml:space="preserve"> IF( tblFilterAll[[#This Row],[Reinvestment]] &lt; D$825, 4, IF( tblFilterAll[[#This Row],[Reinvestment]] &lt; D$826, 3, IF( tblFilterAll[[#This Row],[Reinvestment]] &lt; D$827, 2, 1 ) ) )</f>
        <v>4</v>
      </c>
      <c r="F853" s="35">
        <f xml:space="preserve"> COUNTIFS( tblFilterAll[Include in output], 1, tblFilterAll[Reinvestment], "&gt;" &amp; tblFilterAll[[#This Row],[Reinvestment]] ) + 1</f>
        <v>163</v>
      </c>
      <c r="G853" s="30" cm="1">
        <f t="array" ref="G853" xml:space="preserve"> INDEX( VfM_Metrics_2023_Consol_Source[], $AK853, G$832 )</f>
        <v>1.0328638497652582E-2</v>
      </c>
      <c r="H853" s="35">
        <f xml:space="preserve"> IF( tblFilterAll[[#This Row],[New Supply (Social)]] &lt; G$825, 4, IF( tblFilterAll[[#This Row],[New Supply (Social)]] &lt; G$826, 3, IF( tblFilterAll[[#This Row],[New Supply (Social)]] &lt; G$827, 2, 1 ) ) )</f>
        <v>3</v>
      </c>
      <c r="I853" s="35">
        <f xml:space="preserve"> COUNTIFS( tblFilterAll[Include in output], 1, tblFilterAll[New Supply (Social)], "&gt;" &amp; tblFilterAll[[#This Row],[New Supply (Social)]] ) + 1</f>
        <v>122</v>
      </c>
      <c r="J853" s="31" cm="1">
        <f t="array" ref="J853" xml:space="preserve"> INDEX( VfM_Metrics_2023_Consol_Source[], $AK853, J$832 )</f>
        <v>0</v>
      </c>
      <c r="K853" s="35">
        <f xml:space="preserve"> IF( tblFilterAll[[#This Row],[New Supply (Non-Social)]] &lt; J$825, 4, IF( tblFilterAll[[#This Row],[New Supply (Non-Social)]] &lt; J$826, 3, IF( tblFilterAll[[#This Row],[New Supply (Non-Social)]] &lt; J$827, 2, 1 ) ) )</f>
        <v>2</v>
      </c>
      <c r="L853" s="35">
        <f xml:space="preserve"> COUNTIFS( tblFilterAll[Include in output], 1, tblFilterAll[New Supply (Non-Social)], "&gt;" &amp; tblFilterAll[[#This Row],[New Supply (Non-Social)]] ) + 1</f>
        <v>72</v>
      </c>
      <c r="M853" s="30" cm="1">
        <f t="array" ref="M853" xml:space="preserve"> INDEX( VfM_Metrics_2023_Consol_Source[], $AK853, M$832 )</f>
        <v>0.36102026922611069</v>
      </c>
      <c r="N853" s="35">
        <f xml:space="preserve"> IF( tblFilterAll[[#This Row],[Gearing]] &lt; M$825, 4, IF( tblFilterAll[[#This Row],[Gearing]] &lt; M$826, 3, IF( tblFilterAll[[#This Row],[Gearing]] &lt; M$827, 2, 1 ) ) )</f>
        <v>3</v>
      </c>
      <c r="O853" s="35">
        <f xml:space="preserve"> COUNTIFS( tblFilterAll[Include in output], 1, tblFilterAll[Gearing], "&gt;" &amp; tblFilterAll[[#This Row],[Gearing]] ) + 1</f>
        <v>141</v>
      </c>
      <c r="P853" s="30" cm="1">
        <f t="array" ref="P853" xml:space="preserve"> INDEX( VfM_Metrics_2023_Consol_Source[], $AK853, P$832 )</f>
        <v>1.0843945607597669</v>
      </c>
      <c r="Q853" s="35">
        <f xml:space="preserve"> IF( tblFilterAll[[#This Row],[EBITDA MRI Interest Cover]] &lt; P$825, 4, IF( tblFilterAll[[#This Row],[EBITDA MRI Interest Cover]] &lt; P$826, 3, IF( tblFilterAll[[#This Row],[EBITDA MRI Interest Cover]] &lt; P$827, 2, 1 ) ) )</f>
        <v>3</v>
      </c>
      <c r="R853" s="35">
        <f xml:space="preserve"> COUNTIFS( tblFilterAll[Include in output], 1, tblFilterAll[EBITDA MRI Interest Cover], "&gt;" &amp; tblFilterAll[[#This Row],[EBITDA MRI Interest Cover]] ) + 1</f>
        <v>127</v>
      </c>
      <c r="S853" s="32" cm="1">
        <f t="array" ref="S853" xml:space="preserve"> INDEX( VfM_Metrics_2023_Consol_Source[], $AK853, S$832 )</f>
        <v>4574.0567508574995</v>
      </c>
      <c r="T853" s="35">
        <f xml:space="preserve"> IF( tblFilterAll[[#This Row],[Headline Social Housing Cost per unit]] &lt; S$825, 4, IF( tblFilterAll[[#This Row],[Headline Social Housing Cost per unit]] &lt; S$826, 3, IF( tblFilterAll[[#This Row],[Headline Social Housing Cost per unit]] &lt; S$827, 2, 1 ) ) )</f>
        <v>3</v>
      </c>
      <c r="U853" s="35">
        <f xml:space="preserve"> COUNTIFS( tblFilterAll[Include in output], 1, tblFilterAll[Headline Social Housing Cost per unit], "&gt;" &amp; tblFilterAll[[#This Row],[Headline Social Housing Cost per unit]] ) + 1</f>
        <v>101</v>
      </c>
      <c r="V853" s="30" cm="1">
        <f t="array" ref="V853" xml:space="preserve"> INDEX( VfM_Metrics_2023_Consol_Source[], $AK853, V$832 )</f>
        <v>0.17319354507143592</v>
      </c>
      <c r="W853" s="35">
        <f xml:space="preserve"> IF( tblFilterAll[[#This Row],[Operating Margin (SHL)]] &lt; V$825, 4, IF( tblFilterAll[[#This Row],[Operating Margin (SHL)]] &lt; V$826, 3, IF( tblFilterAll[[#This Row],[Operating Margin (SHL)]] &lt; V$827, 2, 1 ) ) )</f>
        <v>3</v>
      </c>
      <c r="X853" s="35">
        <f xml:space="preserve"> COUNTIFS( tblFilterAll[Include in output], 1, tblFilterAll[Operating Margin (SHL)], "&gt;" &amp; tblFilterAll[[#This Row],[Operating Margin (SHL)]] ) + 1</f>
        <v>127</v>
      </c>
      <c r="Y853" s="30" cm="1">
        <f t="array" ref="Y853" xml:space="preserve"> INDEX( VfM_Metrics_2023_Consol_Source[], $AK853, Y$832 )</f>
        <v>0.18659766915985387</v>
      </c>
      <c r="Z853" s="35">
        <f xml:space="preserve"> IF( tblFilterAll[[#This Row],[Operating Margin (Overall)]] &lt; Y$825, 4, IF( tblFilterAll[[#This Row],[Operating Margin (Overall)]] &lt; Y$826, 3, IF( tblFilterAll[[#This Row],[Operating Margin (Overall)]] &lt; Y$827, 2, 1 ) ) )</f>
        <v>2</v>
      </c>
      <c r="AA853" s="35">
        <f xml:space="preserve"> COUNTIFS( tblFilterAll[Include in output], 1, tblFilterAll[Operating Margin (Overall)], "&gt;" &amp; tblFilterAll[[#This Row],[Operating Margin (Overall)]] ) + 1</f>
        <v>95</v>
      </c>
      <c r="AB853" s="30" cm="1">
        <f t="array" ref="AB853" xml:space="preserve"> INDEX( VfM_Metrics_2023_Consol_Source[], $AK853, AB$832 )</f>
        <v>1.9354008065554436E-2</v>
      </c>
      <c r="AC853" s="35">
        <f xml:space="preserve"> IF( tblFilterAll[[#This Row],[ROCE]] &lt; AB$825, 4, IF( tblFilterAll[[#This Row],[ROCE]] &lt; AB$826, 3, IF( tblFilterAll[[#This Row],[ROCE]] &lt; AB$827, 2, 1 ) ) )</f>
        <v>4</v>
      </c>
      <c r="AD853" s="35">
        <f xml:space="preserve"> COUNTIFS( tblFilterAll[Include in output], 1, tblFilterAll[ROCE], "&gt;" &amp; tblFilterAll[[#This Row],[ROCE]] ) + 1</f>
        <v>164</v>
      </c>
      <c r="AE853" s="33" cm="1" vm="4184">
        <f t="array" ref="AE853" xml:space="preserve"> INDEX( VfM_Metrics_2023_Consol_Source[], $AK853, AE$832 )</f>
        <v>3195</v>
      </c>
      <c r="AF853" s="30" cm="1">
        <f t="array" ref="AF853" xml:space="preserve"> INDEX( VfM_Metrics_2023_Consol_Source[], $AK853, AF$832 )</f>
        <v>5.284680717206669E-2</v>
      </c>
      <c r="AG853" s="30" cm="1">
        <f t="array" ref="AG853" xml:space="preserve"> INDEX( VfM_Metrics_2023_Consol_Source[], $AK853, AG$832 )</f>
        <v>1.1953444479396037E-2</v>
      </c>
      <c r="AH853" s="30" cm="1">
        <f t="array" ref="AH853" xml:space="preserve"> INDEX( VfM_Metrics_2023_Consol_Source[], $AK853, AH$832 )</f>
        <v>6.480025165146272E-2</v>
      </c>
      <c r="AI853" s="30" t="str" cm="1">
        <f t="array" ref="AI853" xml:space="preserve"> INDEX( VfM_Metrics_2023_Consol_Source[], $AK853, AI$832 )</f>
        <v>Traditional</v>
      </c>
      <c r="AJ853" s="34" t="str" cm="1">
        <f t="array" ref="AJ853" xml:space="preserve"> INDEX( VfM_Metrics_2023_Consol_Source[], $AK853, AJ$832 )</f>
        <v>South West</v>
      </c>
      <c r="AK853" s="81">
        <f xml:space="preserve"> MATCH( tblFilterAll[[#This Row],[Code]], VfM_Metrics_2023_Consol_Source[RP_Code], 0 )</f>
        <v>20</v>
      </c>
      <c r="AL853" s="24">
        <f xml:space="preserve"> INDEX( tblFilterRegion[Include for region],  MATCH( tblFilterAll[[#This Row],[Code]], tblFilterRegion[RP_Code], 0 ) )</f>
        <v>1</v>
      </c>
      <c r="AM853" s="24">
        <f xml:space="preserve"> INDEX( tblFilterPropType[Incl for prop type],  MATCH( tblFilterAll[[#This Row],[Code]], tblFilterPropType[RP_Code], 0 ) )</f>
        <v>1</v>
      </c>
      <c r="AN853" s="24">
        <f xml:space="preserve"> INDEX( tblFilterSize[Incl for size],  MATCH( tblFilterAll[[#This Row],[Code]], tblFilterSize[RP_Code], 0 ) )</f>
        <v>1</v>
      </c>
      <c r="AO853" s="24">
        <f xml:space="preserve"> INDEX( tblFilterRP_Type[Incl, for RP Type],  MATCH( tblFilterAll[[#This Row],[Code]], tblFilterRP_Type[RP_Code], 0 ) )</f>
        <v>1</v>
      </c>
      <c r="AP853" s="24">
        <f xml:space="preserve">  -- ( SUM( tblFilterAll[[#This Row],[Filter Region]:[Filter RP Type]] ) = 4 )</f>
        <v>1</v>
      </c>
      <c r="AQ853" s="24">
        <f xml:space="preserve"> -- ( tblFilterAll[[#This Row],[Provider name]] = SelectedProvider )</f>
        <v>0</v>
      </c>
      <c r="AR853" s="24">
        <f xml:space="preserve">  -- ( OR( SUM( tblFilterAll[[#This Row],[Filter Region]:[Filter RP Type]] ) = 4, tblFilterAll[[#This Row],[SelectedProvider]] = 1 ) )</f>
        <v>1</v>
      </c>
      <c r="AS853" s="24">
        <f xml:space="preserve"> -- ( INDEX( PeersCritera[Included in final peers], MATCH( tblFilterAll[[#This Row],[Provider name]], PeersCritera[RP_Name], 0 ) ) = 1 )</f>
        <v>1</v>
      </c>
      <c r="AT853" s="30" t="str" cm="1">
        <f t="array" ref="AT853" xml:space="preserve"> SUBSTITUTE( INDEX( VfM_Metrics_2023_Consol_Source[], $AK853, AT$832 ), 0, "" )</f>
        <v/>
      </c>
      <c r="AU853" s="34" cm="1">
        <f t="array" ref="AU853" xml:space="preserve"> INDEX( VfM_Metrics_2023_Consol_Source[], $AK853, AU$832 )</f>
        <v>0</v>
      </c>
      <c r="AV853" s="34" cm="1">
        <f t="array" ref="AV853" xml:space="preserve"> INDEX( VfM_Metrics_2023_Consol_Source[], $AK853, AV$832 )</f>
        <v>0</v>
      </c>
      <c r="AW853" s="34" cm="1">
        <f t="array" ref="AW853" xml:space="preserve"> INDEX( VfM_Metrics_2023_Consol_Source[], $AK853, AW$832 )</f>
        <v>1</v>
      </c>
      <c r="AX853" s="34" cm="1">
        <f t="array" ref="AX853" xml:space="preserve"> INDEX( VfM_Metrics_2023_Consol_Source[], $AK853, AX$832 )</f>
        <v>0</v>
      </c>
      <c r="AY853" s="34" cm="1">
        <f t="array" ref="AY853" xml:space="preserve"> INDEX( VfM_Metrics_2023_Consol_Source[], $AK853, AY$832 )</f>
        <v>0</v>
      </c>
      <c r="AZ853" s="34" cm="1">
        <f t="array" ref="AZ853" xml:space="preserve"> INDEX( VfM_Metrics_2023_Consol_Source[], $AK853, AZ$832 )</f>
        <v>0</v>
      </c>
      <c r="BA853" s="34" cm="1">
        <f t="array" ref="BA853" xml:space="preserve"> INDEX( VfM_Metrics_2023_Consol_Source[], $AK853, BA$832 )</f>
        <v>0</v>
      </c>
      <c r="BB853" s="34" cm="1">
        <f t="array" ref="BB853" xml:space="preserve"> INDEX( VfM_Metrics_2023_Consol_Source[], $AK853, BB$832 )</f>
        <v>0</v>
      </c>
      <c r="BC853" s="34" cm="1">
        <f t="array" ref="BC853" xml:space="preserve"> INDEX( VfM_Metrics_2023_Consol_Source[], $AK853, BC$832 )</f>
        <v>0</v>
      </c>
    </row>
    <row r="854" spans="2:55" x14ac:dyDescent="0.2">
      <c r="B854" s="122" t="str" vm="21">
        <f t="shared" ref="B854" si="343" xml:space="preserve"> B644</f>
        <v>Broadacres Housing Association Limited</v>
      </c>
      <c r="C854" s="122" t="str" vm="366">
        <f t="shared" ref="C854" si="344" xml:space="preserve"> C644</f>
        <v>LH4014</v>
      </c>
      <c r="D854" s="30" cm="1">
        <f t="array" ref="D854" xml:space="preserve"> INDEX( VfM_Metrics_2023_Consol_Source[], $AK854, D$832 )</f>
        <v>5.450266353968302E-2</v>
      </c>
      <c r="E854" s="35">
        <f xml:space="preserve"> IF( tblFilterAll[[#This Row],[Reinvestment]] &lt; D$825, 4, IF( tblFilterAll[[#This Row],[Reinvestment]] &lt; D$826, 3, IF( tblFilterAll[[#This Row],[Reinvestment]] &lt; D$827, 2, 1 ) ) )</f>
        <v>3</v>
      </c>
      <c r="F854" s="35">
        <f xml:space="preserve"> COUNTIFS( tblFilterAll[Include in output], 1, tblFilterAll[Reinvestment], "&gt;" &amp; tblFilterAll[[#This Row],[Reinvestment]] ) + 1</f>
        <v>135</v>
      </c>
      <c r="G854" s="30" cm="1">
        <f t="array" ref="G854" xml:space="preserve"> INDEX( VfM_Metrics_2023_Consol_Source[], $AK854, G$832 )</f>
        <v>1.6526442307692308E-2</v>
      </c>
      <c r="H854" s="35">
        <f xml:space="preserve"> IF( tblFilterAll[[#This Row],[New Supply (Social)]] &lt; G$825, 4, IF( tblFilterAll[[#This Row],[New Supply (Social)]] &lt; G$826, 3, IF( tblFilterAll[[#This Row],[New Supply (Social)]] &lt; G$827, 2, 1 ) ) )</f>
        <v>2</v>
      </c>
      <c r="I854" s="35">
        <f xml:space="preserve"> COUNTIFS( tblFilterAll[Include in output], 1, tblFilterAll[New Supply (Social)], "&gt;" &amp; tblFilterAll[[#This Row],[New Supply (Social)]] ) + 1</f>
        <v>76</v>
      </c>
      <c r="J854" s="31" cm="1">
        <f t="array" ref="J854" xml:space="preserve"> INDEX( VfM_Metrics_2023_Consol_Source[], $AK854, J$832 )</f>
        <v>3.0048076923076925E-4</v>
      </c>
      <c r="K854" s="35">
        <f xml:space="preserve"> IF( tblFilterAll[[#This Row],[New Supply (Non-Social)]] &lt; J$825, 4, IF( tblFilterAll[[#This Row],[New Supply (Non-Social)]] &lt; J$826, 3, IF( tblFilterAll[[#This Row],[New Supply (Non-Social)]] &lt; J$827, 2, 1 ) ) )</f>
        <v>2</v>
      </c>
      <c r="L854" s="35">
        <f xml:space="preserve"> COUNTIFS( tblFilterAll[Include in output], 1, tblFilterAll[New Supply (Non-Social)], "&gt;" &amp; tblFilterAll[[#This Row],[New Supply (Non-Social)]] ) + 1</f>
        <v>65</v>
      </c>
      <c r="M854" s="30" cm="1">
        <f t="array" ref="M854" xml:space="preserve"> INDEX( VfM_Metrics_2023_Consol_Source[], $AK854, M$832 )</f>
        <v>0.46793417901522061</v>
      </c>
      <c r="N854" s="35">
        <f xml:space="preserve"> IF( tblFilterAll[[#This Row],[Gearing]] &lt; M$825, 4, IF( tblFilterAll[[#This Row],[Gearing]] &lt; M$826, 3, IF( tblFilterAll[[#This Row],[Gearing]] &lt; M$827, 2, 1 ) ) )</f>
        <v>2</v>
      </c>
      <c r="O854" s="35">
        <f xml:space="preserve"> COUNTIFS( tblFilterAll[Include in output], 1, tblFilterAll[Gearing], "&gt;" &amp; tblFilterAll[[#This Row],[Gearing]] ) + 1</f>
        <v>90</v>
      </c>
      <c r="P854" s="30" cm="1">
        <f t="array" ref="P854" xml:space="preserve"> INDEX( VfM_Metrics_2023_Consol_Source[], $AK854, P$832 )</f>
        <v>1.338818515449272</v>
      </c>
      <c r="Q854" s="35">
        <f xml:space="preserve"> IF( tblFilterAll[[#This Row],[EBITDA MRI Interest Cover]] &lt; P$825, 4, IF( tblFilterAll[[#This Row],[EBITDA MRI Interest Cover]] &lt; P$826, 3, IF( tblFilterAll[[#This Row],[EBITDA MRI Interest Cover]] &lt; P$827, 2, 1 ) ) )</f>
        <v>2</v>
      </c>
      <c r="R854" s="35">
        <f xml:space="preserve"> COUNTIFS( tblFilterAll[Include in output], 1, tblFilterAll[EBITDA MRI Interest Cover], "&gt;" &amp; tblFilterAll[[#This Row],[EBITDA MRI Interest Cover]] ) + 1</f>
        <v>88</v>
      </c>
      <c r="S854" s="32" cm="1">
        <f t="array" ref="S854" xml:space="preserve"> INDEX( VfM_Metrics_2023_Consol_Source[], $AK854, S$832 )</f>
        <v>4633.7139423076924</v>
      </c>
      <c r="T854" s="35">
        <f xml:space="preserve"> IF( tblFilterAll[[#This Row],[Headline Social Housing Cost per unit]] &lt; S$825, 4, IF( tblFilterAll[[#This Row],[Headline Social Housing Cost per unit]] &lt; S$826, 3, IF( tblFilterAll[[#This Row],[Headline Social Housing Cost per unit]] &lt; S$827, 2, 1 ) ) )</f>
        <v>2</v>
      </c>
      <c r="U854" s="35">
        <f xml:space="preserve"> COUNTIFS( tblFilterAll[Include in output], 1, tblFilterAll[Headline Social Housing Cost per unit], "&gt;" &amp; tblFilterAll[[#This Row],[Headline Social Housing Cost per unit]] ) + 1</f>
        <v>95</v>
      </c>
      <c r="V854" s="30" cm="1">
        <f t="array" ref="V854" xml:space="preserve"> INDEX( VfM_Metrics_2023_Consol_Source[], $AK854, V$832 )</f>
        <v>0.2107843137254902</v>
      </c>
      <c r="W854" s="35">
        <f xml:space="preserve"> IF( tblFilterAll[[#This Row],[Operating Margin (SHL)]] &lt; V$825, 4, IF( tblFilterAll[[#This Row],[Operating Margin (SHL)]] &lt; V$826, 3, IF( tblFilterAll[[#This Row],[Operating Margin (SHL)]] &lt; V$827, 2, 1 ) ) )</f>
        <v>2</v>
      </c>
      <c r="X854" s="35">
        <f xml:space="preserve"> COUNTIFS( tblFilterAll[Include in output], 1, tblFilterAll[Operating Margin (SHL)], "&gt;" &amp; tblFilterAll[[#This Row],[Operating Margin (SHL)]] ) + 1</f>
        <v>89</v>
      </c>
      <c r="Y854" s="30" cm="1">
        <f t="array" ref="Y854" xml:space="preserve"> INDEX( VfM_Metrics_2023_Consol_Source[], $AK854, Y$832 )</f>
        <v>0.169469510527755</v>
      </c>
      <c r="Z854" s="35">
        <f xml:space="preserve"> IF( tblFilterAll[[#This Row],[Operating Margin (Overall)]] &lt; Y$825, 4, IF( tblFilterAll[[#This Row],[Operating Margin (Overall)]] &lt; Y$826, 3, IF( tblFilterAll[[#This Row],[Operating Margin (Overall)]] &lt; Y$827, 2, 1 ) ) )</f>
        <v>3</v>
      </c>
      <c r="AA854" s="35">
        <f xml:space="preserve"> COUNTIFS( tblFilterAll[Include in output], 1, tblFilterAll[Operating Margin (Overall)], "&gt;" &amp; tblFilterAll[[#This Row],[Operating Margin (Overall)]] ) + 1</f>
        <v>108</v>
      </c>
      <c r="AB854" s="30" cm="1">
        <f t="array" ref="AB854" xml:space="preserve"> INDEX( VfM_Metrics_2023_Consol_Source[], $AK854, AB$832 )</f>
        <v>2.0999427505194859E-2</v>
      </c>
      <c r="AC854" s="35">
        <f xml:space="preserve"> IF( tblFilterAll[[#This Row],[ROCE]] &lt; AB$825, 4, IF( tblFilterAll[[#This Row],[ROCE]] &lt; AB$826, 3, IF( tblFilterAll[[#This Row],[ROCE]] &lt; AB$827, 2, 1 ) ) )</f>
        <v>4</v>
      </c>
      <c r="AD854" s="35">
        <f xml:space="preserve"> COUNTIFS( tblFilterAll[Include in output], 1, tblFilterAll[ROCE], "&gt;" &amp; tblFilterAll[[#This Row],[ROCE]] ) + 1</f>
        <v>157</v>
      </c>
      <c r="AE854" s="33" cm="1" vm="7248">
        <f t="array" ref="AE854" xml:space="preserve"> INDEX( VfM_Metrics_2023_Consol_Source[], $AK854, AE$832 )</f>
        <v>6656</v>
      </c>
      <c r="AF854" s="30" cm="1">
        <f t="array" ref="AF854" xml:space="preserve"> INDEX( VfM_Metrics_2023_Consol_Source[], $AK854, AF$832 )</f>
        <v>3.896103896103896E-2</v>
      </c>
      <c r="AG854" s="30" cm="1">
        <f t="array" ref="AG854" xml:space="preserve"> INDEX( VfM_Metrics_2023_Consol_Source[], $AK854, AG$832 )</f>
        <v>0</v>
      </c>
      <c r="AH854" s="30" cm="1">
        <f t="array" ref="AH854" xml:space="preserve"> INDEX( VfM_Metrics_2023_Consol_Source[], $AK854, AH$832 )</f>
        <v>3.896103896103896E-2</v>
      </c>
      <c r="AI854" s="30" t="str" cm="1">
        <f t="array" ref="AI854" xml:space="preserve"> INDEX( VfM_Metrics_2023_Consol_Source[], $AK854, AI$832 )</f>
        <v>Traditional</v>
      </c>
      <c r="AJ854" s="34" t="str" cm="1">
        <f t="array" ref="AJ854" xml:space="preserve"> INDEX( VfM_Metrics_2023_Consol_Source[], $AK854, AJ$832 )</f>
        <v>Yorkshire &amp; the Humber</v>
      </c>
      <c r="AK854" s="81">
        <f xml:space="preserve"> MATCH( tblFilterAll[[#This Row],[Code]], VfM_Metrics_2023_Consol_Source[RP_Code], 0 )</f>
        <v>21</v>
      </c>
      <c r="AL854" s="24">
        <f xml:space="preserve"> INDEX( tblFilterRegion[Include for region],  MATCH( tblFilterAll[[#This Row],[Code]], tblFilterRegion[RP_Code], 0 ) )</f>
        <v>1</v>
      </c>
      <c r="AM854" s="24">
        <f xml:space="preserve"> INDEX( tblFilterPropType[Incl for prop type],  MATCH( tblFilterAll[[#This Row],[Code]], tblFilterPropType[RP_Code], 0 ) )</f>
        <v>1</v>
      </c>
      <c r="AN854" s="24">
        <f xml:space="preserve"> INDEX( tblFilterSize[Incl for size],  MATCH( tblFilterAll[[#This Row],[Code]], tblFilterSize[RP_Code], 0 ) )</f>
        <v>1</v>
      </c>
      <c r="AO854" s="24">
        <f xml:space="preserve"> INDEX( tblFilterRP_Type[Incl, for RP Type],  MATCH( tblFilterAll[[#This Row],[Code]], tblFilterRP_Type[RP_Code], 0 ) )</f>
        <v>1</v>
      </c>
      <c r="AP854" s="24">
        <f xml:space="preserve">  -- ( SUM( tblFilterAll[[#This Row],[Filter Region]:[Filter RP Type]] ) = 4 )</f>
        <v>1</v>
      </c>
      <c r="AQ854" s="24">
        <f xml:space="preserve"> -- ( tblFilterAll[[#This Row],[Provider name]] = SelectedProvider )</f>
        <v>0</v>
      </c>
      <c r="AR854" s="24">
        <f xml:space="preserve">  -- ( OR( SUM( tblFilterAll[[#This Row],[Filter Region]:[Filter RP Type]] ) = 4, tblFilterAll[[#This Row],[SelectedProvider]] = 1 ) )</f>
        <v>1</v>
      </c>
      <c r="AS854" s="24">
        <f xml:space="preserve"> -- ( INDEX( PeersCritera[Included in final peers], MATCH( tblFilterAll[[#This Row],[Provider name]], PeersCritera[RP_Name], 0 ) ) = 1 )</f>
        <v>1</v>
      </c>
      <c r="AT854" s="30" t="str" cm="1">
        <f t="array" ref="AT854" xml:space="preserve"> SUBSTITUTE( INDEX( VfM_Metrics_2023_Consol_Source[], $AK854, AT$832 ), 0, "" )</f>
        <v>&gt;= 12 years</v>
      </c>
      <c r="AU854" s="34" cm="1">
        <f t="array" ref="AU854" xml:space="preserve"> INDEX( VfM_Metrics_2023_Consol_Source[], $AK854, AU$832 )</f>
        <v>0</v>
      </c>
      <c r="AV854" s="34" cm="1">
        <f t="array" ref="AV854" xml:space="preserve"> INDEX( VfM_Metrics_2023_Consol_Source[], $AK854, AV$832 )</f>
        <v>0</v>
      </c>
      <c r="AW854" s="34" cm="1">
        <f t="array" ref="AW854" xml:space="preserve"> INDEX( VfM_Metrics_2023_Consol_Source[], $AK854, AW$832 )</f>
        <v>0</v>
      </c>
      <c r="AX854" s="34" cm="1">
        <f t="array" ref="AX854" xml:space="preserve"> INDEX( VfM_Metrics_2023_Consol_Source[], $AK854, AX$832 )</f>
        <v>0</v>
      </c>
      <c r="AY854" s="34" cm="1">
        <f t="array" ref="AY854" xml:space="preserve"> INDEX( VfM_Metrics_2023_Consol_Source[], $AK854, AY$832 )</f>
        <v>0</v>
      </c>
      <c r="AZ854" s="34" cm="1">
        <f t="array" ref="AZ854" xml:space="preserve"> INDEX( VfM_Metrics_2023_Consol_Source[], $AK854, AZ$832 )</f>
        <v>0</v>
      </c>
      <c r="BA854" s="34" cm="1">
        <f t="array" ref="BA854" xml:space="preserve"> INDEX( VfM_Metrics_2023_Consol_Source[], $AK854, BA$832 )</f>
        <v>4.9586776859504135E-3</v>
      </c>
      <c r="BB854" s="34" cm="1">
        <f t="array" ref="BB854" xml:space="preserve"> INDEX( VfM_Metrics_2023_Consol_Source[], $AK854, BB$832 )</f>
        <v>0</v>
      </c>
      <c r="BC854" s="34" cm="1">
        <f t="array" ref="BC854" xml:space="preserve"> INDEX( VfM_Metrics_2023_Consol_Source[], $AK854, BC$832 )</f>
        <v>0.99504132231404963</v>
      </c>
    </row>
    <row r="855" spans="2:55" x14ac:dyDescent="0.2">
      <c r="B855" s="122" t="str" vm="22">
        <f t="shared" ref="B855" si="345" xml:space="preserve"> B645</f>
        <v>Broadland Housing Association Limited</v>
      </c>
      <c r="C855" s="122" t="str" vm="391">
        <f t="shared" ref="C855" si="346" xml:space="preserve"> C645</f>
        <v>L0026</v>
      </c>
      <c r="D855" s="30" cm="1">
        <f t="array" ref="D855" xml:space="preserve"> INDEX( VfM_Metrics_2023_Consol_Source[], $AK855, D$832 )</f>
        <v>6.7561674557687509E-2</v>
      </c>
      <c r="E855" s="35">
        <f xml:space="preserve"> IF( tblFilterAll[[#This Row],[Reinvestment]] &lt; D$825, 4, IF( tblFilterAll[[#This Row],[Reinvestment]] &lt; D$826, 3, IF( tblFilterAll[[#This Row],[Reinvestment]] &lt; D$827, 2, 1 ) ) )</f>
        <v>2</v>
      </c>
      <c r="F855" s="35">
        <f xml:space="preserve"> COUNTIFS( tblFilterAll[Include in output], 1, tblFilterAll[Reinvestment], "&gt;" &amp; tblFilterAll[[#This Row],[Reinvestment]] ) + 1</f>
        <v>96</v>
      </c>
      <c r="G855" s="30" cm="1">
        <f t="array" ref="G855" xml:space="preserve"> INDEX( VfM_Metrics_2023_Consol_Source[], $AK855, G$832 )</f>
        <v>2.487382840663302E-2</v>
      </c>
      <c r="H855" s="35">
        <f xml:space="preserve"> IF( tblFilterAll[[#This Row],[New Supply (Social)]] &lt; G$825, 4, IF( tblFilterAll[[#This Row],[New Supply (Social)]] &lt; G$826, 3, IF( tblFilterAll[[#This Row],[New Supply (Social)]] &lt; G$827, 2, 1 ) ) )</f>
        <v>1</v>
      </c>
      <c r="I855" s="35">
        <f xml:space="preserve"> COUNTIFS( tblFilterAll[Include in output], 1, tblFilterAll[New Supply (Social)], "&gt;" &amp; tblFilterAll[[#This Row],[New Supply (Social)]] ) + 1</f>
        <v>38</v>
      </c>
      <c r="J855" s="31" cm="1">
        <f t="array" ref="J855" xml:space="preserve"> INDEX( VfM_Metrics_2023_Consol_Source[], $AK855, J$832 )</f>
        <v>1.0741138560687433E-2</v>
      </c>
      <c r="K855" s="35">
        <f xml:space="preserve"> IF( tblFilterAll[[#This Row],[New Supply (Non-Social)]] &lt; J$825, 4, IF( tblFilterAll[[#This Row],[New Supply (Non-Social)]] &lt; J$826, 3, IF( tblFilterAll[[#This Row],[New Supply (Non-Social)]] &lt; J$827, 2, 1 ) ) )</f>
        <v>1</v>
      </c>
      <c r="L855" s="35">
        <f xml:space="preserve"> COUNTIFS( tblFilterAll[Include in output], 1, tblFilterAll[New Supply (Non-Social)], "&gt;" &amp; tblFilterAll[[#This Row],[New Supply (Non-Social)]] ) + 1</f>
        <v>6</v>
      </c>
      <c r="M855" s="30" cm="1">
        <f t="array" ref="M855" xml:space="preserve"> INDEX( VfM_Metrics_2023_Consol_Source[], $AK855, M$832 )</f>
        <v>0.57788607480234688</v>
      </c>
      <c r="N855" s="35">
        <f xml:space="preserve"> IF( tblFilterAll[[#This Row],[Gearing]] &lt; M$825, 4, IF( tblFilterAll[[#This Row],[Gearing]] &lt; M$826, 3, IF( tblFilterAll[[#This Row],[Gearing]] &lt; M$827, 2, 1 ) ) )</f>
        <v>1</v>
      </c>
      <c r="O855" s="35">
        <f xml:space="preserve"> COUNTIFS( tblFilterAll[Include in output], 1, tblFilterAll[Gearing], "&gt;" &amp; tblFilterAll[[#This Row],[Gearing]] ) + 1</f>
        <v>29</v>
      </c>
      <c r="P855" s="30" cm="1">
        <f t="array" ref="P855" xml:space="preserve"> INDEX( VfM_Metrics_2023_Consol_Source[], $AK855, P$832 )</f>
        <v>1.1123926380368099</v>
      </c>
      <c r="Q855" s="35">
        <f xml:space="preserve"> IF( tblFilterAll[[#This Row],[EBITDA MRI Interest Cover]] &lt; P$825, 4, IF( tblFilterAll[[#This Row],[EBITDA MRI Interest Cover]] &lt; P$826, 3, IF( tblFilterAll[[#This Row],[EBITDA MRI Interest Cover]] &lt; P$827, 2, 1 ) ) )</f>
        <v>3</v>
      </c>
      <c r="R855" s="35">
        <f xml:space="preserve"> COUNTIFS( tblFilterAll[Include in output], 1, tblFilterAll[EBITDA MRI Interest Cover], "&gt;" &amp; tblFilterAll[[#This Row],[EBITDA MRI Interest Cover]] ) + 1</f>
        <v>123</v>
      </c>
      <c r="S855" s="32" cm="1">
        <f t="array" ref="S855" xml:space="preserve"> INDEX( VfM_Metrics_2023_Consol_Source[], $AK855, S$832 )</f>
        <v>3805.2816901408451</v>
      </c>
      <c r="T855" s="35">
        <f xml:space="preserve"> IF( tblFilterAll[[#This Row],[Headline Social Housing Cost per unit]] &lt; S$825, 4, IF( tblFilterAll[[#This Row],[Headline Social Housing Cost per unit]] &lt; S$826, 3, IF( tblFilterAll[[#This Row],[Headline Social Housing Cost per unit]] &lt; S$827, 2, 1 ) ) )</f>
        <v>4</v>
      </c>
      <c r="U855" s="35">
        <f xml:space="preserve"> COUNTIFS( tblFilterAll[Include in output], 1, tblFilterAll[Headline Social Housing Cost per unit], "&gt;" &amp; tblFilterAll[[#This Row],[Headline Social Housing Cost per unit]] ) + 1</f>
        <v>182</v>
      </c>
      <c r="V855" s="30" cm="1">
        <f t="array" ref="V855" xml:space="preserve"> INDEX( VfM_Metrics_2023_Consol_Source[], $AK855, V$832 )</f>
        <v>0.24737756397407631</v>
      </c>
      <c r="W855" s="35">
        <f xml:space="preserve"> IF( tblFilterAll[[#This Row],[Operating Margin (SHL)]] &lt; V$825, 4, IF( tblFilterAll[[#This Row],[Operating Margin (SHL)]] &lt; V$826, 3, IF( tblFilterAll[[#This Row],[Operating Margin (SHL)]] &lt; V$827, 2, 1 ) ) )</f>
        <v>2</v>
      </c>
      <c r="X855" s="35">
        <f xml:space="preserve"> COUNTIFS( tblFilterAll[Include in output], 1, tblFilterAll[Operating Margin (SHL)], "&gt;" &amp; tblFilterAll[[#This Row],[Operating Margin (SHL)]] ) + 1</f>
        <v>58</v>
      </c>
      <c r="Y855" s="30" cm="1">
        <f t="array" ref="Y855" xml:space="preserve"> INDEX( VfM_Metrics_2023_Consol_Source[], $AK855, Y$832 )</f>
        <v>0.24493124490312421</v>
      </c>
      <c r="Z855" s="35">
        <f xml:space="preserve"> IF( tblFilterAll[[#This Row],[Operating Margin (Overall)]] &lt; Y$825, 4, IF( tblFilterAll[[#This Row],[Operating Margin (Overall)]] &lt; Y$826, 3, IF( tblFilterAll[[#This Row],[Operating Margin (Overall)]] &lt; Y$827, 2, 1 ) ) )</f>
        <v>1</v>
      </c>
      <c r="AA855" s="35">
        <f xml:space="preserve"> COUNTIFS( tblFilterAll[Include in output], 1, tblFilterAll[Operating Margin (Overall)], "&gt;" &amp; tblFilterAll[[#This Row],[Operating Margin (Overall)]] ) + 1</f>
        <v>39</v>
      </c>
      <c r="AB855" s="30" cm="1">
        <f t="array" ref="AB855" xml:space="preserve"> INDEX( VfM_Metrics_2023_Consol_Source[], $AK855, AB$832 )</f>
        <v>2.4111675126903553E-2</v>
      </c>
      <c r="AC855" s="35">
        <f xml:space="preserve"> IF( tblFilterAll[[#This Row],[ROCE]] &lt; AB$825, 4, IF( tblFilterAll[[#This Row],[ROCE]] &lt; AB$826, 3, IF( tblFilterAll[[#This Row],[ROCE]] &lt; AB$827, 2, 1 ) ) )</f>
        <v>3</v>
      </c>
      <c r="AD855" s="35">
        <f xml:space="preserve"> COUNTIFS( tblFilterAll[Include in output], 1, tblFilterAll[ROCE], "&gt;" &amp; tblFilterAll[[#This Row],[ROCE]] ) + 1</f>
        <v>134</v>
      </c>
      <c r="AE855" s="33" cm="1" vm="6624">
        <f t="array" ref="AE855" xml:space="preserve"> INDEX( VfM_Metrics_2023_Consol_Source[], $AK855, AE$832 )</f>
        <v>5548</v>
      </c>
      <c r="AF855" s="30" cm="1">
        <f t="array" ref="AF855" xml:space="preserve"> INDEX( VfM_Metrics_2023_Consol_Source[], $AK855, AF$832 )</f>
        <v>2.6918879592579121E-2</v>
      </c>
      <c r="AG855" s="30" cm="1">
        <f t="array" ref="AG855" xml:space="preserve"> INDEX( VfM_Metrics_2023_Consol_Source[], $AK855, AG$832 )</f>
        <v>0.10894870862131684</v>
      </c>
      <c r="AH855" s="30" cm="1">
        <f t="array" ref="AH855" xml:space="preserve"> INDEX( VfM_Metrics_2023_Consol_Source[], $AK855, AH$832 )</f>
        <v>0.13586758821389597</v>
      </c>
      <c r="AI855" s="30" t="str" cm="1">
        <f t="array" ref="AI855" xml:space="preserve"> INDEX( VfM_Metrics_2023_Consol_Source[], $AK855, AI$832 )</f>
        <v>Traditional</v>
      </c>
      <c r="AJ855" s="34" t="str" cm="1">
        <f t="array" ref="AJ855" xml:space="preserve"> INDEX( VfM_Metrics_2023_Consol_Source[], $AK855, AJ$832 )</f>
        <v>East of England</v>
      </c>
      <c r="AK855" s="81">
        <f xml:space="preserve"> MATCH( tblFilterAll[[#This Row],[Code]], VfM_Metrics_2023_Consol_Source[RP_Code], 0 )</f>
        <v>22</v>
      </c>
      <c r="AL855" s="24">
        <f xml:space="preserve"> INDEX( tblFilterRegion[Include for region],  MATCH( tblFilterAll[[#This Row],[Code]], tblFilterRegion[RP_Code], 0 ) )</f>
        <v>1</v>
      </c>
      <c r="AM855" s="24">
        <f xml:space="preserve"> INDEX( tblFilterPropType[Incl for prop type],  MATCH( tblFilterAll[[#This Row],[Code]], tblFilterPropType[RP_Code], 0 ) )</f>
        <v>1</v>
      </c>
      <c r="AN855" s="24">
        <f xml:space="preserve"> INDEX( tblFilterSize[Incl for size],  MATCH( tblFilterAll[[#This Row],[Code]], tblFilterSize[RP_Code], 0 ) )</f>
        <v>1</v>
      </c>
      <c r="AO855" s="24">
        <f xml:space="preserve"> INDEX( tblFilterRP_Type[Incl, for RP Type],  MATCH( tblFilterAll[[#This Row],[Code]], tblFilterRP_Type[RP_Code], 0 ) )</f>
        <v>1</v>
      </c>
      <c r="AP855" s="24">
        <f xml:space="preserve">  -- ( SUM( tblFilterAll[[#This Row],[Filter Region]:[Filter RP Type]] ) = 4 )</f>
        <v>1</v>
      </c>
      <c r="AQ855" s="24">
        <f xml:space="preserve"> -- ( tblFilterAll[[#This Row],[Provider name]] = SelectedProvider )</f>
        <v>0</v>
      </c>
      <c r="AR855" s="24">
        <f xml:space="preserve">  -- ( OR( SUM( tblFilterAll[[#This Row],[Filter Region]:[Filter RP Type]] ) = 4, tblFilterAll[[#This Row],[SelectedProvider]] = 1 ) )</f>
        <v>1</v>
      </c>
      <c r="AS855" s="24">
        <f xml:space="preserve"> -- ( INDEX( PeersCritera[Included in final peers], MATCH( tblFilterAll[[#This Row],[Provider name]], PeersCritera[RP_Name], 0 ) ) = 1 )</f>
        <v>1</v>
      </c>
      <c r="AT855" s="30" t="str" cm="1">
        <f t="array" ref="AT855" xml:space="preserve"> SUBSTITUTE( INDEX( VfM_Metrics_2023_Consol_Source[], $AK855, AT$832 ), 0, "" )</f>
        <v/>
      </c>
      <c r="AU855" s="34" cm="1">
        <f t="array" ref="AU855" xml:space="preserve"> INDEX( VfM_Metrics_2023_Consol_Source[], $AK855, AU$832 )</f>
        <v>0</v>
      </c>
      <c r="AV855" s="34" cm="1">
        <f t="array" ref="AV855" xml:space="preserve"> INDEX( VfM_Metrics_2023_Consol_Source[], $AK855, AV$832 )</f>
        <v>0</v>
      </c>
      <c r="AW855" s="34" cm="1">
        <f t="array" ref="AW855" xml:space="preserve"> INDEX( VfM_Metrics_2023_Consol_Source[], $AK855, AW$832 )</f>
        <v>0</v>
      </c>
      <c r="AX855" s="34" cm="1">
        <f t="array" ref="AX855" xml:space="preserve"> INDEX( VfM_Metrics_2023_Consol_Source[], $AK855, AX$832 )</f>
        <v>0</v>
      </c>
      <c r="AY855" s="34" cm="1">
        <f t="array" ref="AY855" xml:space="preserve"> INDEX( VfM_Metrics_2023_Consol_Source[], $AK855, AY$832 )</f>
        <v>0</v>
      </c>
      <c r="AZ855" s="34" cm="1">
        <f t="array" ref="AZ855" xml:space="preserve"> INDEX( VfM_Metrics_2023_Consol_Source[], $AK855, AZ$832 )</f>
        <v>1</v>
      </c>
      <c r="BA855" s="34" cm="1">
        <f t="array" ref="BA855" xml:space="preserve"> INDEX( VfM_Metrics_2023_Consol_Source[], $AK855, BA$832 )</f>
        <v>0</v>
      </c>
      <c r="BB855" s="34" cm="1">
        <f t="array" ref="BB855" xml:space="preserve"> INDEX( VfM_Metrics_2023_Consol_Source[], $AK855, BB$832 )</f>
        <v>0</v>
      </c>
      <c r="BC855" s="34" cm="1">
        <f t="array" ref="BC855" xml:space="preserve"> INDEX( VfM_Metrics_2023_Consol_Source[], $AK855, BC$832 )</f>
        <v>0</v>
      </c>
    </row>
    <row r="856" spans="2:55" x14ac:dyDescent="0.2">
      <c r="B856" s="122" t="str" vm="23">
        <f t="shared" ref="B856" si="347" xml:space="preserve"> B646</f>
        <v>Bromford Housing Group Limited</v>
      </c>
      <c r="C856" s="122" t="str" vm="263">
        <f t="shared" ref="C856" si="348" xml:space="preserve"> C646</f>
        <v>L4449</v>
      </c>
      <c r="D856" s="30" cm="1">
        <f t="array" ref="D856" xml:space="preserve"> INDEX( VfM_Metrics_2023_Consol_Source[], $AK856, D$832 )</f>
        <v>8.8339775669742729E-2</v>
      </c>
      <c r="E856" s="35">
        <f xml:space="preserve"> IF( tblFilterAll[[#This Row],[Reinvestment]] &lt; D$825, 4, IF( tblFilterAll[[#This Row],[Reinvestment]] &lt; D$826, 3, IF( tblFilterAll[[#This Row],[Reinvestment]] &lt; D$827, 2, 1 ) ) )</f>
        <v>2</v>
      </c>
      <c r="F856" s="35">
        <f xml:space="preserve"> COUNTIFS( tblFilterAll[Include in output], 1, tblFilterAll[Reinvestment], "&gt;" &amp; tblFilterAll[[#This Row],[Reinvestment]] ) + 1</f>
        <v>59</v>
      </c>
      <c r="G856" s="30" cm="1">
        <f t="array" ref="G856" xml:space="preserve"> INDEX( VfM_Metrics_2023_Consol_Source[], $AK856, G$832 )</f>
        <v>2.8329942087963689E-2</v>
      </c>
      <c r="H856" s="35">
        <f xml:space="preserve"> IF( tblFilterAll[[#This Row],[New Supply (Social)]] &lt; G$825, 4, IF( tblFilterAll[[#This Row],[New Supply (Social)]] &lt; G$826, 3, IF( tblFilterAll[[#This Row],[New Supply (Social)]] &lt; G$827, 2, 1 ) ) )</f>
        <v>1</v>
      </c>
      <c r="I856" s="35">
        <f xml:space="preserve"> COUNTIFS( tblFilterAll[Include in output], 1, tblFilterAll[New Supply (Social)], "&gt;" &amp; tblFilterAll[[#This Row],[New Supply (Social)]] ) + 1</f>
        <v>22</v>
      </c>
      <c r="J856" s="31" cm="1">
        <f t="array" ref="J856" xml:space="preserve"> INDEX( VfM_Metrics_2023_Consol_Source[], $AK856, J$832 )</f>
        <v>0</v>
      </c>
      <c r="K856" s="35">
        <f xml:space="preserve"> IF( tblFilterAll[[#This Row],[New Supply (Non-Social)]] &lt; J$825, 4, IF( tblFilterAll[[#This Row],[New Supply (Non-Social)]] &lt; J$826, 3, IF( tblFilterAll[[#This Row],[New Supply (Non-Social)]] &lt; J$827, 2, 1 ) ) )</f>
        <v>2</v>
      </c>
      <c r="L856" s="35">
        <f xml:space="preserve"> COUNTIFS( tblFilterAll[Include in output], 1, tblFilterAll[New Supply (Non-Social)], "&gt;" &amp; tblFilterAll[[#This Row],[New Supply (Non-Social)]] ) + 1</f>
        <v>72</v>
      </c>
      <c r="M856" s="30" cm="1">
        <f t="array" ref="M856" xml:space="preserve"> INDEX( VfM_Metrics_2023_Consol_Source[], $AK856, M$832 )</f>
        <v>0.46379894838172303</v>
      </c>
      <c r="N856" s="35">
        <f xml:space="preserve"> IF( tblFilterAll[[#This Row],[Gearing]] &lt; M$825, 4, IF( tblFilterAll[[#This Row],[Gearing]] &lt; M$826, 3, IF( tblFilterAll[[#This Row],[Gearing]] &lt; M$827, 2, 1 ) ) )</f>
        <v>2</v>
      </c>
      <c r="O856" s="35">
        <f xml:space="preserve"> COUNTIFS( tblFilterAll[Include in output], 1, tblFilterAll[Gearing], "&gt;" &amp; tblFilterAll[[#This Row],[Gearing]] ) + 1</f>
        <v>93</v>
      </c>
      <c r="P856" s="30" cm="1">
        <f t="array" ref="P856" xml:space="preserve"> INDEX( VfM_Metrics_2023_Consol_Source[], $AK856, P$832 )</f>
        <v>1.8740396530359356</v>
      </c>
      <c r="Q856" s="35">
        <f xml:space="preserve"> IF( tblFilterAll[[#This Row],[EBITDA MRI Interest Cover]] &lt; P$825, 4, IF( tblFilterAll[[#This Row],[EBITDA MRI Interest Cover]] &lt; P$826, 3, IF( tblFilterAll[[#This Row],[EBITDA MRI Interest Cover]] &lt; P$827, 2, 1 ) ) )</f>
        <v>1</v>
      </c>
      <c r="R856" s="35">
        <f xml:space="preserve"> COUNTIFS( tblFilterAll[Include in output], 1, tblFilterAll[EBITDA MRI Interest Cover], "&gt;" &amp; tblFilterAll[[#This Row],[EBITDA MRI Interest Cover]] ) + 1</f>
        <v>35</v>
      </c>
      <c r="S856" s="32" cm="1">
        <f t="array" ref="S856" xml:space="preserve"> INDEX( VfM_Metrics_2023_Consol_Source[], $AK856, S$832 )</f>
        <v>3950.0638125072514</v>
      </c>
      <c r="T856" s="35">
        <f xml:space="preserve"> IF( tblFilterAll[[#This Row],[Headline Social Housing Cost per unit]] &lt; S$825, 4, IF( tblFilterAll[[#This Row],[Headline Social Housing Cost per unit]] &lt; S$826, 3, IF( tblFilterAll[[#This Row],[Headline Social Housing Cost per unit]] &lt; S$827, 2, 1 ) ) )</f>
        <v>4</v>
      </c>
      <c r="U856" s="35">
        <f xml:space="preserve"> COUNTIFS( tblFilterAll[Include in output], 1, tblFilterAll[Headline Social Housing Cost per unit], "&gt;" &amp; tblFilterAll[[#This Row],[Headline Social Housing Cost per unit]] ) + 1</f>
        <v>170</v>
      </c>
      <c r="V856" s="30" cm="1">
        <f t="array" ref="V856" xml:space="preserve"> INDEX( VfM_Metrics_2023_Consol_Source[], $AK856, V$832 )</f>
        <v>0.3350845784462998</v>
      </c>
      <c r="W856" s="35">
        <f xml:space="preserve"> IF( tblFilterAll[[#This Row],[Operating Margin (SHL)]] &lt; V$825, 4, IF( tblFilterAll[[#This Row],[Operating Margin (SHL)]] &lt; V$826, 3, IF( tblFilterAll[[#This Row],[Operating Margin (SHL)]] &lt; V$827, 2, 1 ) ) )</f>
        <v>1</v>
      </c>
      <c r="X856" s="35">
        <f xml:space="preserve"> COUNTIFS( tblFilterAll[Include in output], 1, tblFilterAll[Operating Margin (SHL)], "&gt;" &amp; tblFilterAll[[#This Row],[Operating Margin (SHL)]] ) + 1</f>
        <v>16</v>
      </c>
      <c r="Y856" s="30" cm="1">
        <f t="array" ref="Y856" xml:space="preserve"> INDEX( VfM_Metrics_2023_Consol_Source[], $AK856, Y$832 )</f>
        <v>0.31442913080227003</v>
      </c>
      <c r="Z856" s="35">
        <f xml:space="preserve"> IF( tblFilterAll[[#This Row],[Operating Margin (Overall)]] &lt; Y$825, 4, IF( tblFilterAll[[#This Row],[Operating Margin (Overall)]] &lt; Y$826, 3, IF( tblFilterAll[[#This Row],[Operating Margin (Overall)]] &lt; Y$827, 2, 1 ) ) )</f>
        <v>1</v>
      </c>
      <c r="AA856" s="35">
        <f xml:space="preserve"> COUNTIFS( tblFilterAll[Include in output], 1, tblFilterAll[Operating Margin (Overall)], "&gt;" &amp; tblFilterAll[[#This Row],[Operating Margin (Overall)]] ) + 1</f>
        <v>9</v>
      </c>
      <c r="AB856" s="30" cm="1">
        <f t="array" ref="AB856" xml:space="preserve"> INDEX( VfM_Metrics_2023_Consol_Source[], $AK856, AB$832 )</f>
        <v>3.554139625195691E-2</v>
      </c>
      <c r="AC856" s="35">
        <f xml:space="preserve"> IF( tblFilterAll[[#This Row],[ROCE]] &lt; AB$825, 4, IF( tblFilterAll[[#This Row],[ROCE]] &lt; AB$826, 3, IF( tblFilterAll[[#This Row],[ROCE]] &lt; AB$827, 2, 1 ) ) )</f>
        <v>2</v>
      </c>
      <c r="AD856" s="35">
        <f xml:space="preserve"> COUNTIFS( tblFilterAll[Include in output], 1, tblFilterAll[ROCE], "&gt;" &amp; tblFilterAll[[#This Row],[ROCE]] ) + 1</f>
        <v>55</v>
      </c>
      <c r="AE856" s="33" cm="1" vm="2114">
        <f t="array" ref="AE856" xml:space="preserve"> INDEX( VfM_Metrics_2023_Consol_Source[], $AK856, AE$832 )</f>
        <v>42808</v>
      </c>
      <c r="AF856" s="30" cm="1">
        <f t="array" ref="AF856" xml:space="preserve"> INDEX( VfM_Metrics_2023_Consol_Source[], $AK856, AF$832 )</f>
        <v>1.9520789288231147E-2</v>
      </c>
      <c r="AG856" s="30" cm="1">
        <f t="array" ref="AG856" xml:space="preserve"> INDEX( VfM_Metrics_2023_Consol_Source[], $AK856, AG$832 )</f>
        <v>6.0018792576932115E-2</v>
      </c>
      <c r="AH856" s="30" cm="1">
        <f t="array" ref="AH856" xml:space="preserve"> INDEX( VfM_Metrics_2023_Consol_Source[], $AK856, AH$832 )</f>
        <v>7.9539581865163259E-2</v>
      </c>
      <c r="AI856" s="30" t="str" cm="1">
        <f t="array" ref="AI856" xml:space="preserve"> INDEX( VfM_Metrics_2023_Consol_Source[], $AK856, AI$832 )</f>
        <v>Traditional</v>
      </c>
      <c r="AJ856" s="34" t="str" cm="1">
        <f t="array" ref="AJ856" xml:space="preserve"> INDEX( VfM_Metrics_2023_Consol_Source[], $AK856, AJ$832 )</f>
        <v>Mixed</v>
      </c>
      <c r="AK856" s="81">
        <f xml:space="preserve"> MATCH( tblFilterAll[[#This Row],[Code]], VfM_Metrics_2023_Consol_Source[RP_Code], 0 )</f>
        <v>23</v>
      </c>
      <c r="AL856" s="24">
        <f xml:space="preserve"> INDEX( tblFilterRegion[Include for region],  MATCH( tblFilterAll[[#This Row],[Code]], tblFilterRegion[RP_Code], 0 ) )</f>
        <v>1</v>
      </c>
      <c r="AM856" s="24">
        <f xml:space="preserve"> INDEX( tblFilterPropType[Incl for prop type],  MATCH( tblFilterAll[[#This Row],[Code]], tblFilterPropType[RP_Code], 0 ) )</f>
        <v>1</v>
      </c>
      <c r="AN856" s="24">
        <f xml:space="preserve"> INDEX( tblFilterSize[Incl for size],  MATCH( tblFilterAll[[#This Row],[Code]], tblFilterSize[RP_Code], 0 ) )</f>
        <v>1</v>
      </c>
      <c r="AO856" s="24">
        <f xml:space="preserve"> INDEX( tblFilterRP_Type[Incl, for RP Type],  MATCH( tblFilterAll[[#This Row],[Code]], tblFilterRP_Type[RP_Code], 0 ) )</f>
        <v>1</v>
      </c>
      <c r="AP856" s="24">
        <f xml:space="preserve">  -- ( SUM( tblFilterAll[[#This Row],[Filter Region]:[Filter RP Type]] ) = 4 )</f>
        <v>1</v>
      </c>
      <c r="AQ856" s="24">
        <f xml:space="preserve"> -- ( tblFilterAll[[#This Row],[Provider name]] = SelectedProvider )</f>
        <v>0</v>
      </c>
      <c r="AR856" s="24">
        <f xml:space="preserve">  -- ( OR( SUM( tblFilterAll[[#This Row],[Filter Region]:[Filter RP Type]] ) = 4, tblFilterAll[[#This Row],[SelectedProvider]] = 1 ) )</f>
        <v>1</v>
      </c>
      <c r="AS856" s="24">
        <f xml:space="preserve"> -- ( INDEX( PeersCritera[Included in final peers], MATCH( tblFilterAll[[#This Row],[Provider name]], PeersCritera[RP_Name], 0 ) ) = 1 )</f>
        <v>1</v>
      </c>
      <c r="AT856" s="30" t="str" cm="1">
        <f t="array" ref="AT856" xml:space="preserve"> SUBSTITUTE( INDEX( VfM_Metrics_2023_Consol_Source[], $AK856, AT$832 ), 0, "" )</f>
        <v/>
      </c>
      <c r="AU856" s="34" cm="1">
        <f t="array" ref="AU856" xml:space="preserve"> INDEX( VfM_Metrics_2023_Consol_Source[], $AK856, AU$832 )</f>
        <v>0</v>
      </c>
      <c r="AV856" s="34" cm="1">
        <f t="array" ref="AV856" xml:space="preserve"> INDEX( VfM_Metrics_2023_Consol_Source[], $AK856, AV$832 )</f>
        <v>3.6137801734239514E-2</v>
      </c>
      <c r="AW856" s="34" cm="1">
        <f t="array" ref="AW856" xml:space="preserve"> INDEX( VfM_Metrics_2023_Consol_Source[], $AK856, AW$832 )</f>
        <v>0.47932973986407312</v>
      </c>
      <c r="AX856" s="34" cm="1">
        <f t="array" ref="AX856" xml:space="preserve"> INDEX( VfM_Metrics_2023_Consol_Source[], $AK856, AX$832 )</f>
        <v>2.3505976095617529E-2</v>
      </c>
      <c r="AY856" s="34" cm="1">
        <f t="array" ref="AY856" xml:space="preserve"> INDEX( VfM_Metrics_2023_Consol_Source[], $AK856, AY$832 )</f>
        <v>0.46102648230606985</v>
      </c>
      <c r="AZ856" s="34" cm="1">
        <f t="array" ref="AZ856" xml:space="preserve"> INDEX( VfM_Metrics_2023_Consol_Source[], $AK856, AZ$832 )</f>
        <v>0</v>
      </c>
      <c r="BA856" s="34" cm="1">
        <f t="array" ref="BA856" xml:space="preserve"> INDEX( VfM_Metrics_2023_Consol_Source[], $AK856, BA$832 )</f>
        <v>0</v>
      </c>
      <c r="BB856" s="34" cm="1">
        <f t="array" ref="BB856" xml:space="preserve"> INDEX( VfM_Metrics_2023_Consol_Source[], $AK856, BB$832 )</f>
        <v>0</v>
      </c>
      <c r="BC856" s="34" cm="1">
        <f t="array" ref="BC856" xml:space="preserve"> INDEX( VfM_Metrics_2023_Consol_Source[], $AK856, BC$832 )</f>
        <v>0</v>
      </c>
    </row>
    <row r="857" spans="2:55" x14ac:dyDescent="0.2">
      <c r="B857" s="122" t="str" vm="24">
        <f t="shared" ref="B857" si="349" xml:space="preserve"> B647</f>
        <v>Bromsgrove District Housing Trust Limited</v>
      </c>
      <c r="C857" s="122" t="str" vm="323">
        <f t="shared" ref="C857" si="350" xml:space="preserve"> C647</f>
        <v>LH4415</v>
      </c>
      <c r="D857" s="30" cm="1">
        <f t="array" ref="D857" xml:space="preserve"> INDEX( VfM_Metrics_2023_Consol_Source[], $AK857, D$832 )</f>
        <v>0.1026080678639112</v>
      </c>
      <c r="E857" s="35">
        <f xml:space="preserve"> IF( tblFilterAll[[#This Row],[Reinvestment]] &lt; D$825, 4, IF( tblFilterAll[[#This Row],[Reinvestment]] &lt; D$826, 3, IF( tblFilterAll[[#This Row],[Reinvestment]] &lt; D$827, 2, 1 ) ) )</f>
        <v>1</v>
      </c>
      <c r="F857" s="35">
        <f xml:space="preserve"> COUNTIFS( tblFilterAll[Include in output], 1, tblFilterAll[Reinvestment], "&gt;" &amp; tblFilterAll[[#This Row],[Reinvestment]] ) + 1</f>
        <v>34</v>
      </c>
      <c r="G857" s="30" cm="1">
        <f t="array" ref="G857" xml:space="preserve"> INDEX( VfM_Metrics_2023_Consol_Source[], $AK857, G$832 )</f>
        <v>4.4737461737697198E-3</v>
      </c>
      <c r="H857" s="35">
        <f xml:space="preserve"> IF( tblFilterAll[[#This Row],[New Supply (Social)]] &lt; G$825, 4, IF( tblFilterAll[[#This Row],[New Supply (Social)]] &lt; G$826, 3, IF( tblFilterAll[[#This Row],[New Supply (Social)]] &lt; G$827, 2, 1 ) ) )</f>
        <v>4</v>
      </c>
      <c r="I857" s="35">
        <f xml:space="preserve"> COUNTIFS( tblFilterAll[Include in output], 1, tblFilterAll[New Supply (Social)], "&gt;" &amp; tblFilterAll[[#This Row],[New Supply (Social)]] ) + 1</f>
        <v>161</v>
      </c>
      <c r="J857" s="31" cm="1">
        <f t="array" ref="J857" xml:space="preserve"> INDEX( VfM_Metrics_2023_Consol_Source[], $AK857, J$832 )</f>
        <v>0</v>
      </c>
      <c r="K857" s="35">
        <f xml:space="preserve"> IF( tblFilterAll[[#This Row],[New Supply (Non-Social)]] &lt; J$825, 4, IF( tblFilterAll[[#This Row],[New Supply (Non-Social)]] &lt; J$826, 3, IF( tblFilterAll[[#This Row],[New Supply (Non-Social)]] &lt; J$827, 2, 1 ) ) )</f>
        <v>2</v>
      </c>
      <c r="L857" s="35">
        <f xml:space="preserve"> COUNTIFS( tblFilterAll[Include in output], 1, tblFilterAll[New Supply (Non-Social)], "&gt;" &amp; tblFilterAll[[#This Row],[New Supply (Non-Social)]] ) + 1</f>
        <v>72</v>
      </c>
      <c r="M857" s="30" cm="1">
        <f t="array" ref="M857" xml:space="preserve"> INDEX( VfM_Metrics_2023_Consol_Source[], $AK857, M$832 )</f>
        <v>0.49074993231657793</v>
      </c>
      <c r="N857" s="35">
        <f xml:space="preserve"> IF( tblFilterAll[[#This Row],[Gearing]] &lt; M$825, 4, IF( tblFilterAll[[#This Row],[Gearing]] &lt; M$826, 3, IF( tblFilterAll[[#This Row],[Gearing]] &lt; M$827, 2, 1 ) ) )</f>
        <v>2</v>
      </c>
      <c r="O857" s="35">
        <f xml:space="preserve"> COUNTIFS( tblFilterAll[Include in output], 1, tblFilterAll[Gearing], "&gt;" &amp; tblFilterAll[[#This Row],[Gearing]] ) + 1</f>
        <v>74</v>
      </c>
      <c r="P857" s="30" cm="1">
        <f t="array" ref="P857" xml:space="preserve"> INDEX( VfM_Metrics_2023_Consol_Source[], $AK857, P$832 )</f>
        <v>1.0940241228070176</v>
      </c>
      <c r="Q857" s="35">
        <f xml:space="preserve"> IF( tblFilterAll[[#This Row],[EBITDA MRI Interest Cover]] &lt; P$825, 4, IF( tblFilterAll[[#This Row],[EBITDA MRI Interest Cover]] &lt; P$826, 3, IF( tblFilterAll[[#This Row],[EBITDA MRI Interest Cover]] &lt; P$827, 2, 1 ) ) )</f>
        <v>3</v>
      </c>
      <c r="R857" s="35">
        <f xml:space="preserve"> COUNTIFS( tblFilterAll[Include in output], 1, tblFilterAll[EBITDA MRI Interest Cover], "&gt;" &amp; tblFilterAll[[#This Row],[EBITDA MRI Interest Cover]] ) + 1</f>
        <v>125</v>
      </c>
      <c r="S857" s="32" cm="1">
        <f t="array" ref="S857" xml:space="preserve"> INDEX( VfM_Metrics_2023_Consol_Source[], $AK857, S$832 )</f>
        <v>4641.9449901768176</v>
      </c>
      <c r="T857" s="35">
        <f xml:space="preserve"> IF( tblFilterAll[[#This Row],[Headline Social Housing Cost per unit]] &lt; S$825, 4, IF( tblFilterAll[[#This Row],[Headline Social Housing Cost per unit]] &lt; S$826, 3, IF( tblFilterAll[[#This Row],[Headline Social Housing Cost per unit]] &lt; S$827, 2, 1 ) ) )</f>
        <v>2</v>
      </c>
      <c r="U857" s="35">
        <f xml:space="preserve"> COUNTIFS( tblFilterAll[Include in output], 1, tblFilterAll[Headline Social Housing Cost per unit], "&gt;" &amp; tblFilterAll[[#This Row],[Headline Social Housing Cost per unit]] ) + 1</f>
        <v>93</v>
      </c>
      <c r="V857" s="30" cm="1">
        <f t="array" ref="V857" xml:space="preserve"> INDEX( VfM_Metrics_2023_Consol_Source[], $AK857, V$832 )</f>
        <v>0.16626862820022928</v>
      </c>
      <c r="W857" s="35">
        <f xml:space="preserve"> IF( tblFilterAll[[#This Row],[Operating Margin (SHL)]] &lt; V$825, 4, IF( tblFilterAll[[#This Row],[Operating Margin (SHL)]] &lt; V$826, 3, IF( tblFilterAll[[#This Row],[Operating Margin (SHL)]] &lt; V$827, 2, 1 ) ) )</f>
        <v>3</v>
      </c>
      <c r="X857" s="35">
        <f xml:space="preserve"> COUNTIFS( tblFilterAll[Include in output], 1, tblFilterAll[Operating Margin (SHL)], "&gt;" &amp; tblFilterAll[[#This Row],[Operating Margin (SHL)]] ) + 1</f>
        <v>131</v>
      </c>
      <c r="Y857" s="30" cm="1">
        <f t="array" ref="Y857" xml:space="preserve"> INDEX( VfM_Metrics_2023_Consol_Source[], $AK857, Y$832 )</f>
        <v>0.20164106879865348</v>
      </c>
      <c r="Z857" s="35">
        <f xml:space="preserve"> IF( tblFilterAll[[#This Row],[Operating Margin (Overall)]] &lt; Y$825, 4, IF( tblFilterAll[[#This Row],[Operating Margin (Overall)]] &lt; Y$826, 3, IF( tblFilterAll[[#This Row],[Operating Margin (Overall)]] &lt; Y$827, 2, 1 ) ) )</f>
        <v>2</v>
      </c>
      <c r="AA857" s="35">
        <f xml:space="preserve"> COUNTIFS( tblFilterAll[Include in output], 1, tblFilterAll[Operating Margin (Overall)], "&gt;" &amp; tblFilterAll[[#This Row],[Operating Margin (Overall)]] ) + 1</f>
        <v>81</v>
      </c>
      <c r="AB857" s="30" cm="1">
        <f t="array" ref="AB857" xml:space="preserve"> INDEX( VfM_Metrics_2023_Consol_Source[], $AK857, AB$832 )</f>
        <v>2.961523757652567E-2</v>
      </c>
      <c r="AC857" s="35">
        <f xml:space="preserve"> IF( tblFilterAll[[#This Row],[ROCE]] &lt; AB$825, 4, IF( tblFilterAll[[#This Row],[ROCE]] &lt; AB$826, 3, IF( tblFilterAll[[#This Row],[ROCE]] &lt; AB$827, 2, 1 ) ) )</f>
        <v>2</v>
      </c>
      <c r="AD857" s="35">
        <f xml:space="preserve"> COUNTIFS( tblFilterAll[Include in output], 1, tblFilterAll[ROCE], "&gt;" &amp; tblFilterAll[[#This Row],[ROCE]] ) + 1</f>
        <v>93</v>
      </c>
      <c r="AE857" s="33" cm="1" vm="4145">
        <f t="array" ref="AE857" xml:space="preserve"> INDEX( VfM_Metrics_2023_Consol_Source[], $AK857, AE$832 )</f>
        <v>4072</v>
      </c>
      <c r="AF857" s="30" cm="1">
        <f t="array" ref="AF857" xml:space="preserve"> INDEX( VfM_Metrics_2023_Consol_Source[], $AK857, AF$832 )</f>
        <v>7.5150300601202404E-4</v>
      </c>
      <c r="AG857" s="30" cm="1">
        <f t="array" ref="AG857" xml:space="preserve"> INDEX( VfM_Metrics_2023_Consol_Source[], $AK857, AG$832 )</f>
        <v>0.22870741482965931</v>
      </c>
      <c r="AH857" s="30" cm="1">
        <f t="array" ref="AH857" xml:space="preserve"> INDEX( VfM_Metrics_2023_Consol_Source[], $AK857, AH$832 )</f>
        <v>0.22945891783567132</v>
      </c>
      <c r="AI857" s="30" t="str" cm="1">
        <f t="array" ref="AI857" xml:space="preserve"> INDEX( VfM_Metrics_2023_Consol_Source[], $AK857, AI$832 )</f>
        <v>Traditional</v>
      </c>
      <c r="AJ857" s="34" t="str" cm="1">
        <f t="array" ref="AJ857" xml:space="preserve"> INDEX( VfM_Metrics_2023_Consol_Source[], $AK857, AJ$832 )</f>
        <v>West Midlands</v>
      </c>
      <c r="AK857" s="81">
        <f xml:space="preserve"> MATCH( tblFilterAll[[#This Row],[Code]], VfM_Metrics_2023_Consol_Source[RP_Code], 0 )</f>
        <v>24</v>
      </c>
      <c r="AL857" s="24">
        <f xml:space="preserve"> INDEX( tblFilterRegion[Include for region],  MATCH( tblFilterAll[[#This Row],[Code]], tblFilterRegion[RP_Code], 0 ) )</f>
        <v>1</v>
      </c>
      <c r="AM857" s="24">
        <f xml:space="preserve"> INDEX( tblFilterPropType[Incl for prop type],  MATCH( tblFilterAll[[#This Row],[Code]], tblFilterPropType[RP_Code], 0 ) )</f>
        <v>1</v>
      </c>
      <c r="AN857" s="24">
        <f xml:space="preserve"> INDEX( tblFilterSize[Incl for size],  MATCH( tblFilterAll[[#This Row],[Code]], tblFilterSize[RP_Code], 0 ) )</f>
        <v>1</v>
      </c>
      <c r="AO857" s="24">
        <f xml:space="preserve"> INDEX( tblFilterRP_Type[Incl, for RP Type],  MATCH( tblFilterAll[[#This Row],[Code]], tblFilterRP_Type[RP_Code], 0 ) )</f>
        <v>1</v>
      </c>
      <c r="AP857" s="24">
        <f xml:space="preserve">  -- ( SUM( tblFilterAll[[#This Row],[Filter Region]:[Filter RP Type]] ) = 4 )</f>
        <v>1</v>
      </c>
      <c r="AQ857" s="24">
        <f xml:space="preserve"> -- ( tblFilterAll[[#This Row],[Provider name]] = SelectedProvider )</f>
        <v>0</v>
      </c>
      <c r="AR857" s="24">
        <f xml:space="preserve">  -- ( OR( SUM( tblFilterAll[[#This Row],[Filter Region]:[Filter RP Type]] ) = 4, tblFilterAll[[#This Row],[SelectedProvider]] = 1 ) )</f>
        <v>1</v>
      </c>
      <c r="AS857" s="24">
        <f xml:space="preserve"> -- ( INDEX( PeersCritera[Included in final peers], MATCH( tblFilterAll[[#This Row],[Provider name]], PeersCritera[RP_Name], 0 ) ) = 1 )</f>
        <v>1</v>
      </c>
      <c r="AT857" s="30" t="str" cm="1">
        <f t="array" ref="AT857" xml:space="preserve"> SUBSTITUTE( INDEX( VfM_Metrics_2023_Consol_Source[], $AK857, AT$832 ), 0, "" )</f>
        <v>&gt;= 12 years</v>
      </c>
      <c r="AU857" s="34" cm="1">
        <f t="array" ref="AU857" xml:space="preserve"> INDEX( VfM_Metrics_2023_Consol_Source[], $AK857, AU$832 )</f>
        <v>0</v>
      </c>
      <c r="AV857" s="34" cm="1">
        <f t="array" ref="AV857" xml:space="preserve"> INDEX( VfM_Metrics_2023_Consol_Source[], $AK857, AV$832 )</f>
        <v>0</v>
      </c>
      <c r="AW857" s="34" cm="1">
        <f t="array" ref="AW857" xml:space="preserve"> INDEX( VfM_Metrics_2023_Consol_Source[], $AK857, AW$832 )</f>
        <v>0</v>
      </c>
      <c r="AX857" s="34" cm="1">
        <f t="array" ref="AX857" xml:space="preserve"> INDEX( VfM_Metrics_2023_Consol_Source[], $AK857, AX$832 )</f>
        <v>0</v>
      </c>
      <c r="AY857" s="34" cm="1">
        <f t="array" ref="AY857" xml:space="preserve"> INDEX( VfM_Metrics_2023_Consol_Source[], $AK857, AY$832 )</f>
        <v>1</v>
      </c>
      <c r="AZ857" s="34" cm="1">
        <f t="array" ref="AZ857" xml:space="preserve"> INDEX( VfM_Metrics_2023_Consol_Source[], $AK857, AZ$832 )</f>
        <v>0</v>
      </c>
      <c r="BA857" s="34" cm="1">
        <f t="array" ref="BA857" xml:space="preserve"> INDEX( VfM_Metrics_2023_Consol_Source[], $AK857, BA$832 )</f>
        <v>0</v>
      </c>
      <c r="BB857" s="34" cm="1">
        <f t="array" ref="BB857" xml:space="preserve"> INDEX( VfM_Metrics_2023_Consol_Source[], $AK857, BB$832 )</f>
        <v>0</v>
      </c>
      <c r="BC857" s="34" cm="1">
        <f t="array" ref="BC857" xml:space="preserve"> INDEX( VfM_Metrics_2023_Consol_Source[], $AK857, BC$832 )</f>
        <v>0</v>
      </c>
    </row>
    <row r="858" spans="2:55" x14ac:dyDescent="0.2">
      <c r="B858" s="122" t="str" vm="25">
        <f t="shared" ref="B858" si="351" xml:space="preserve"> B648</f>
        <v>Brunelcare</v>
      </c>
      <c r="C858" s="122" t="str" vm="211">
        <f t="shared" ref="C858" si="352" xml:space="preserve"> C648</f>
        <v>LH0269</v>
      </c>
      <c r="D858" s="30" cm="1">
        <f t="array" ref="D858" xml:space="preserve"> INDEX( VfM_Metrics_2023_Consol_Source[], $AK858, D$832 )</f>
        <v>1.8979877644283924E-2</v>
      </c>
      <c r="E858" s="35">
        <f xml:space="preserve"> IF( tblFilterAll[[#This Row],[Reinvestment]] &lt; D$825, 4, IF( tblFilterAll[[#This Row],[Reinvestment]] &lt; D$826, 3, IF( tblFilterAll[[#This Row],[Reinvestment]] &lt; D$827, 2, 1 ) ) )</f>
        <v>4</v>
      </c>
      <c r="F858" s="35">
        <f xml:space="preserve"> COUNTIFS( tblFilterAll[Include in output], 1, tblFilterAll[Reinvestment], "&gt;" &amp; tblFilterAll[[#This Row],[Reinvestment]] ) + 1</f>
        <v>190</v>
      </c>
      <c r="G858" s="30" cm="1">
        <f t="array" ref="G858" xml:space="preserve"> INDEX( VfM_Metrics_2023_Consol_Source[], $AK858, G$832 )</f>
        <v>0</v>
      </c>
      <c r="H858" s="35">
        <f xml:space="preserve"> IF( tblFilterAll[[#This Row],[New Supply (Social)]] &lt; G$825, 4, IF( tblFilterAll[[#This Row],[New Supply (Social)]] &lt; G$826, 3, IF( tblFilterAll[[#This Row],[New Supply (Social)]] &lt; G$827, 2, 1 ) ) )</f>
        <v>4</v>
      </c>
      <c r="I858" s="35">
        <f xml:space="preserve"> COUNTIFS( tblFilterAll[Include in output], 1, tblFilterAll[New Supply (Social)], "&gt;" &amp; tblFilterAll[[#This Row],[New Supply (Social)]] ) + 1</f>
        <v>187</v>
      </c>
      <c r="J858" s="31" cm="1">
        <f t="array" ref="J858" xml:space="preserve"> INDEX( VfM_Metrics_2023_Consol_Source[], $AK858, J$832 )</f>
        <v>0</v>
      </c>
      <c r="K858" s="35">
        <f xml:space="preserve"> IF( tblFilterAll[[#This Row],[New Supply (Non-Social)]] &lt; J$825, 4, IF( tblFilterAll[[#This Row],[New Supply (Non-Social)]] &lt; J$826, 3, IF( tblFilterAll[[#This Row],[New Supply (Non-Social)]] &lt; J$827, 2, 1 ) ) )</f>
        <v>2</v>
      </c>
      <c r="L858" s="35">
        <f xml:space="preserve"> COUNTIFS( tblFilterAll[Include in output], 1, tblFilterAll[New Supply (Non-Social)], "&gt;" &amp; tblFilterAll[[#This Row],[New Supply (Non-Social)]] ) + 1</f>
        <v>72</v>
      </c>
      <c r="M858" s="30" cm="1">
        <f t="array" ref="M858" xml:space="preserve"> INDEX( VfM_Metrics_2023_Consol_Source[], $AK858, M$832 )</f>
        <v>5.321736566669124E-2</v>
      </c>
      <c r="N858" s="35">
        <f xml:space="preserve"> IF( tblFilterAll[[#This Row],[Gearing]] &lt; M$825, 4, IF( tblFilterAll[[#This Row],[Gearing]] &lt; M$826, 3, IF( tblFilterAll[[#This Row],[Gearing]] &lt; M$827, 2, 1 ) ) )</f>
        <v>4</v>
      </c>
      <c r="O858" s="35">
        <f xml:space="preserve"> COUNTIFS( tblFilterAll[Include in output], 1, tblFilterAll[Gearing], "&gt;" &amp; tblFilterAll[[#This Row],[Gearing]] ) + 1</f>
        <v>189</v>
      </c>
      <c r="P858" s="30" cm="1">
        <f t="array" ref="P858" xml:space="preserve"> INDEX( VfM_Metrics_2023_Consol_Source[], $AK858, P$832 )</f>
        <v>2.9902439024390244</v>
      </c>
      <c r="Q858" s="35">
        <f xml:space="preserve"> IF( tblFilterAll[[#This Row],[EBITDA MRI Interest Cover]] &lt; P$825, 4, IF( tblFilterAll[[#This Row],[EBITDA MRI Interest Cover]] &lt; P$826, 3, IF( tblFilterAll[[#This Row],[EBITDA MRI Interest Cover]] &lt; P$827, 2, 1 ) ) )</f>
        <v>1</v>
      </c>
      <c r="R858" s="35">
        <f xml:space="preserve"> COUNTIFS( tblFilterAll[Include in output], 1, tblFilterAll[EBITDA MRI Interest Cover], "&gt;" &amp; tblFilterAll[[#This Row],[EBITDA MRI Interest Cover]] ) + 1</f>
        <v>7</v>
      </c>
      <c r="S858" s="32" cm="1">
        <f t="array" ref="S858" xml:space="preserve"> INDEX( VfM_Metrics_2023_Consol_Source[], $AK858, S$832 )</f>
        <v>8060.2836879432616</v>
      </c>
      <c r="T858" s="35">
        <f xml:space="preserve"> IF( tblFilterAll[[#This Row],[Headline Social Housing Cost per unit]] &lt; S$825, 4, IF( tblFilterAll[[#This Row],[Headline Social Housing Cost per unit]] &lt; S$826, 3, IF( tblFilterAll[[#This Row],[Headline Social Housing Cost per unit]] &lt; S$827, 2, 1 ) ) )</f>
        <v>1</v>
      </c>
      <c r="U858" s="35">
        <f xml:space="preserve"> COUNTIFS( tblFilterAll[Include in output], 1, tblFilterAll[Headline Social Housing Cost per unit], "&gt;" &amp; tblFilterAll[[#This Row],[Headline Social Housing Cost per unit]] ) + 1</f>
        <v>23</v>
      </c>
      <c r="V858" s="30" cm="1">
        <f t="array" ref="V858" xml:space="preserve"> INDEX( VfM_Metrics_2023_Consol_Source[], $AK858, V$832 )</f>
        <v>8.3732789393166751E-2</v>
      </c>
      <c r="W858" s="35">
        <f xml:space="preserve"> IF( tblFilterAll[[#This Row],[Operating Margin (SHL)]] &lt; V$825, 4, IF( tblFilterAll[[#This Row],[Operating Margin (SHL)]] &lt; V$826, 3, IF( tblFilterAll[[#This Row],[Operating Margin (SHL)]] &lt; V$827, 2, 1 ) ) )</f>
        <v>4</v>
      </c>
      <c r="X858" s="35">
        <f xml:space="preserve"> COUNTIFS( tblFilterAll[Include in output], 1, tblFilterAll[Operating Margin (SHL)], "&gt;" &amp; tblFilterAll[[#This Row],[Operating Margin (SHL)]] ) + 1</f>
        <v>181</v>
      </c>
      <c r="Y858" s="30" cm="1">
        <f t="array" ref="Y858" xml:space="preserve"> INDEX( VfM_Metrics_2023_Consol_Source[], $AK858, Y$832 )</f>
        <v>2.8842153917263694E-2</v>
      </c>
      <c r="Z858" s="35">
        <f xml:space="preserve"> IF( tblFilterAll[[#This Row],[Operating Margin (Overall)]] &lt; Y$825, 4, IF( tblFilterAll[[#This Row],[Operating Margin (Overall)]] &lt; Y$826, 3, IF( tblFilterAll[[#This Row],[Operating Margin (Overall)]] &lt; Y$827, 2, 1 ) ) )</f>
        <v>4</v>
      </c>
      <c r="AA858" s="35">
        <f xml:space="preserve"> COUNTIFS( tblFilterAll[Include in output], 1, tblFilterAll[Operating Margin (Overall)], "&gt;" &amp; tblFilterAll[[#This Row],[Operating Margin (Overall)]] ) + 1</f>
        <v>188</v>
      </c>
      <c r="AB858" s="30" cm="1">
        <f t="array" ref="AB858" xml:space="preserve"> INDEX( VfM_Metrics_2023_Consol_Source[], $AK858, AB$832 )</f>
        <v>2.1958320311857495E-2</v>
      </c>
      <c r="AC858" s="35">
        <f xml:space="preserve"> IF( tblFilterAll[[#This Row],[ROCE]] &lt; AB$825, 4, IF( tblFilterAll[[#This Row],[ROCE]] &lt; AB$826, 3, IF( tblFilterAll[[#This Row],[ROCE]] &lt; AB$827, 2, 1 ) ) )</f>
        <v>3</v>
      </c>
      <c r="AD858" s="35">
        <f xml:space="preserve"> COUNTIFS( tblFilterAll[Include in output], 1, tblFilterAll[ROCE], "&gt;" &amp; tblFilterAll[[#This Row],[ROCE]] ) + 1</f>
        <v>147</v>
      </c>
      <c r="AE858" s="33" cm="1" vm="8906">
        <f t="array" ref="AE858" xml:space="preserve"> INDEX( VfM_Metrics_2023_Consol_Source[], $AK858, AE$832 )</f>
        <v>1128</v>
      </c>
      <c r="AF858" s="30" cm="1">
        <f t="array" ref="AF858" xml:space="preserve"> INDEX( VfM_Metrics_2023_Consol_Source[], $AK858, AF$832 )</f>
        <v>0.97539543057996481</v>
      </c>
      <c r="AG858" s="30" cm="1">
        <f t="array" ref="AG858" xml:space="preserve"> INDEX( VfM_Metrics_2023_Consol_Source[], $AK858, AG$832 )</f>
        <v>0</v>
      </c>
      <c r="AH858" s="30" cm="1">
        <f t="array" ref="AH858" xml:space="preserve"> INDEX( VfM_Metrics_2023_Consol_Source[], $AK858, AH$832 )</f>
        <v>0.97539543057996481</v>
      </c>
      <c r="AI858" s="30" t="str" cm="1">
        <f t="array" ref="AI858" xml:space="preserve"> INDEX( VfM_Metrics_2023_Consol_Source[], $AK858, AI$832 )</f>
        <v>Traditional</v>
      </c>
      <c r="AJ858" s="34" t="str" cm="1">
        <f t="array" ref="AJ858" xml:space="preserve"> INDEX( VfM_Metrics_2023_Consol_Source[], $AK858, AJ$832 )</f>
        <v>South West</v>
      </c>
      <c r="AK858" s="81">
        <f xml:space="preserve"> MATCH( tblFilterAll[[#This Row],[Code]], VfM_Metrics_2023_Consol_Source[RP_Code], 0 )</f>
        <v>25</v>
      </c>
      <c r="AL858" s="24">
        <f xml:space="preserve"> INDEX( tblFilterRegion[Include for region],  MATCH( tblFilterAll[[#This Row],[Code]], tblFilterRegion[RP_Code], 0 ) )</f>
        <v>1</v>
      </c>
      <c r="AM858" s="24">
        <f xml:space="preserve"> INDEX( tblFilterPropType[Incl for prop type],  MATCH( tblFilterAll[[#This Row],[Code]], tblFilterPropType[RP_Code], 0 ) )</f>
        <v>1</v>
      </c>
      <c r="AN858" s="24">
        <f xml:space="preserve"> INDEX( tblFilterSize[Incl for size],  MATCH( tblFilterAll[[#This Row],[Code]], tblFilterSize[RP_Code], 0 ) )</f>
        <v>1</v>
      </c>
      <c r="AO858" s="24">
        <f xml:space="preserve"> INDEX( tblFilterRP_Type[Incl, for RP Type],  MATCH( tblFilterAll[[#This Row],[Code]], tblFilterRP_Type[RP_Code], 0 ) )</f>
        <v>1</v>
      </c>
      <c r="AP858" s="24">
        <f xml:space="preserve">  -- ( SUM( tblFilterAll[[#This Row],[Filter Region]:[Filter RP Type]] ) = 4 )</f>
        <v>1</v>
      </c>
      <c r="AQ858" s="24">
        <f xml:space="preserve"> -- ( tblFilterAll[[#This Row],[Provider name]] = SelectedProvider )</f>
        <v>0</v>
      </c>
      <c r="AR858" s="24">
        <f xml:space="preserve">  -- ( OR( SUM( tblFilterAll[[#This Row],[Filter Region]:[Filter RP Type]] ) = 4, tblFilterAll[[#This Row],[SelectedProvider]] = 1 ) )</f>
        <v>1</v>
      </c>
      <c r="AS858" s="24">
        <f xml:space="preserve"> -- ( INDEX( PeersCritera[Included in final peers], MATCH( tblFilterAll[[#This Row],[Provider name]], PeersCritera[RP_Name], 0 ) ) = 1 )</f>
        <v>1</v>
      </c>
      <c r="AT858" s="30" t="str" cm="1">
        <f t="array" ref="AT858" xml:space="preserve"> SUBSTITUTE( INDEX( VfM_Metrics_2023_Consol_Source[], $AK858, AT$832 ), 0, "" )</f>
        <v/>
      </c>
      <c r="AU858" s="34" cm="1">
        <f t="array" ref="AU858" xml:space="preserve"> INDEX( VfM_Metrics_2023_Consol_Source[], $AK858, AU$832 )</f>
        <v>0</v>
      </c>
      <c r="AV858" s="34" cm="1">
        <f t="array" ref="AV858" xml:space="preserve"> INDEX( VfM_Metrics_2023_Consol_Source[], $AK858, AV$832 )</f>
        <v>0</v>
      </c>
      <c r="AW858" s="34" cm="1">
        <f t="array" ref="AW858" xml:space="preserve"> INDEX( VfM_Metrics_2023_Consol_Source[], $AK858, AW$832 )</f>
        <v>1</v>
      </c>
      <c r="AX858" s="34" cm="1">
        <f t="array" ref="AX858" xml:space="preserve"> INDEX( VfM_Metrics_2023_Consol_Source[], $AK858, AX$832 )</f>
        <v>0</v>
      </c>
      <c r="AY858" s="34" cm="1">
        <f t="array" ref="AY858" xml:space="preserve"> INDEX( VfM_Metrics_2023_Consol_Source[], $AK858, AY$832 )</f>
        <v>0</v>
      </c>
      <c r="AZ858" s="34" cm="1">
        <f t="array" ref="AZ858" xml:space="preserve"> INDEX( VfM_Metrics_2023_Consol_Source[], $AK858, AZ$832 )</f>
        <v>0</v>
      </c>
      <c r="BA858" s="34" cm="1">
        <f t="array" ref="BA858" xml:space="preserve"> INDEX( VfM_Metrics_2023_Consol_Source[], $AK858, BA$832 )</f>
        <v>0</v>
      </c>
      <c r="BB858" s="34" cm="1">
        <f t="array" ref="BB858" xml:space="preserve"> INDEX( VfM_Metrics_2023_Consol_Source[], $AK858, BB$832 )</f>
        <v>0</v>
      </c>
      <c r="BC858" s="34" cm="1">
        <f t="array" ref="BC858" xml:space="preserve"> INDEX( VfM_Metrics_2023_Consol_Source[], $AK858, BC$832 )</f>
        <v>0</v>
      </c>
    </row>
    <row r="859" spans="2:55" x14ac:dyDescent="0.2">
      <c r="B859" s="122" t="str" vm="26">
        <f t="shared" ref="B859" si="353" xml:space="preserve"> B649</f>
        <v>Calico Homes Limited</v>
      </c>
      <c r="C859" s="122" t="str" vm="393">
        <f t="shared" ref="C859" si="354" xml:space="preserve"> C649</f>
        <v>L4254</v>
      </c>
      <c r="D859" s="30" cm="1">
        <f t="array" ref="D859" xml:space="preserve"> INDEX( VfM_Metrics_2023_Consol_Source[], $AK859, D$832 )</f>
        <v>0.1051414192470826</v>
      </c>
      <c r="E859" s="35">
        <f xml:space="preserve"> IF( tblFilterAll[[#This Row],[Reinvestment]] &lt; D$825, 4, IF( tblFilterAll[[#This Row],[Reinvestment]] &lt; D$826, 3, IF( tblFilterAll[[#This Row],[Reinvestment]] &lt; D$827, 2, 1 ) ) )</f>
        <v>1</v>
      </c>
      <c r="F859" s="35">
        <f xml:space="preserve"> COUNTIFS( tblFilterAll[Include in output], 1, tblFilterAll[Reinvestment], "&gt;" &amp; tblFilterAll[[#This Row],[Reinvestment]] ) + 1</f>
        <v>32</v>
      </c>
      <c r="G859" s="30" cm="1">
        <f t="array" ref="G859" xml:space="preserve"> INDEX( VfM_Metrics_2023_Consol_Source[], $AK859, G$832 )</f>
        <v>2.2329735764793451E-2</v>
      </c>
      <c r="H859" s="35">
        <f xml:space="preserve"> IF( tblFilterAll[[#This Row],[New Supply (Social)]] &lt; G$825, 4, IF( tblFilterAll[[#This Row],[New Supply (Social)]] &lt; G$826, 3, IF( tblFilterAll[[#This Row],[New Supply (Social)]] &lt; G$827, 2, 1 ) ) )</f>
        <v>2</v>
      </c>
      <c r="I859" s="35">
        <f xml:space="preserve"> COUNTIFS( tblFilterAll[Include in output], 1, tblFilterAll[New Supply (Social)], "&gt;" &amp; tblFilterAll[[#This Row],[New Supply (Social)]] ) + 1</f>
        <v>50</v>
      </c>
      <c r="J859" s="31" cm="1">
        <f t="array" ref="J859" xml:space="preserve"> INDEX( VfM_Metrics_2023_Consol_Source[], $AK859, J$832 )</f>
        <v>0</v>
      </c>
      <c r="K859" s="35">
        <f xml:space="preserve"> IF( tblFilterAll[[#This Row],[New Supply (Non-Social)]] &lt; J$825, 4, IF( tblFilterAll[[#This Row],[New Supply (Non-Social)]] &lt; J$826, 3, IF( tblFilterAll[[#This Row],[New Supply (Non-Social)]] &lt; J$827, 2, 1 ) ) )</f>
        <v>2</v>
      </c>
      <c r="L859" s="35">
        <f xml:space="preserve"> COUNTIFS( tblFilterAll[Include in output], 1, tblFilterAll[New Supply (Non-Social)], "&gt;" &amp; tblFilterAll[[#This Row],[New Supply (Non-Social)]] ) + 1</f>
        <v>72</v>
      </c>
      <c r="M859" s="30" cm="1">
        <f t="array" ref="M859" xml:space="preserve"> INDEX( VfM_Metrics_2023_Consol_Source[], $AK859, M$832 )</f>
        <v>0.76466386831637478</v>
      </c>
      <c r="N859" s="35">
        <f xml:space="preserve"> IF( tblFilterAll[[#This Row],[Gearing]] &lt; M$825, 4, IF( tblFilterAll[[#This Row],[Gearing]] &lt; M$826, 3, IF( tblFilterAll[[#This Row],[Gearing]] &lt; M$827, 2, 1 ) ) )</f>
        <v>1</v>
      </c>
      <c r="O859" s="35">
        <f xml:space="preserve"> COUNTIFS( tblFilterAll[Include in output], 1, tblFilterAll[Gearing], "&gt;" &amp; tblFilterAll[[#This Row],[Gearing]] ) + 1</f>
        <v>3</v>
      </c>
      <c r="P859" s="30" cm="1">
        <f t="array" ref="P859" xml:space="preserve"> INDEX( VfM_Metrics_2023_Consol_Source[], $AK859, P$832 )</f>
        <v>0.98504514672686228</v>
      </c>
      <c r="Q859" s="35">
        <f xml:space="preserve"> IF( tblFilterAll[[#This Row],[EBITDA MRI Interest Cover]] &lt; P$825, 4, IF( tblFilterAll[[#This Row],[EBITDA MRI Interest Cover]] &lt; P$826, 3, IF( tblFilterAll[[#This Row],[EBITDA MRI Interest Cover]] &lt; P$827, 2, 1 ) ) )</f>
        <v>3</v>
      </c>
      <c r="R859" s="35">
        <f xml:space="preserve"> COUNTIFS( tblFilterAll[Include in output], 1, tblFilterAll[EBITDA MRI Interest Cover], "&gt;" &amp; tblFilterAll[[#This Row],[EBITDA MRI Interest Cover]] ) + 1</f>
        <v>139</v>
      </c>
      <c r="S859" s="32" cm="1">
        <f t="array" ref="S859" xml:space="preserve"> INDEX( VfM_Metrics_2023_Consol_Source[], $AK859, S$832 )</f>
        <v>3593.5278713056487</v>
      </c>
      <c r="T859" s="35">
        <f xml:space="preserve"> IF( tblFilterAll[[#This Row],[Headline Social Housing Cost per unit]] &lt; S$825, 4, IF( tblFilterAll[[#This Row],[Headline Social Housing Cost per unit]] &lt; S$826, 3, IF( tblFilterAll[[#This Row],[Headline Social Housing Cost per unit]] &lt; S$827, 2, 1 ) ) )</f>
        <v>4</v>
      </c>
      <c r="U859" s="35">
        <f xml:space="preserve"> COUNTIFS( tblFilterAll[Include in output], 1, tblFilterAll[Headline Social Housing Cost per unit], "&gt;" &amp; tblFilterAll[[#This Row],[Headline Social Housing Cost per unit]] ) + 1</f>
        <v>189</v>
      </c>
      <c r="V859" s="30" cm="1">
        <f t="array" ref="V859" xml:space="preserve"> INDEX( VfM_Metrics_2023_Consol_Source[], $AK859, V$832 )</f>
        <v>0.26181467181467183</v>
      </c>
      <c r="W859" s="35">
        <f xml:space="preserve"> IF( tblFilterAll[[#This Row],[Operating Margin (SHL)]] &lt; V$825, 4, IF( tblFilterAll[[#This Row],[Operating Margin (SHL)]] &lt; V$826, 3, IF( tblFilterAll[[#This Row],[Operating Margin (SHL)]] &lt; V$827, 2, 1 ) ) )</f>
        <v>1</v>
      </c>
      <c r="X859" s="35">
        <f xml:space="preserve"> COUNTIFS( tblFilterAll[Include in output], 1, tblFilterAll[Operating Margin (SHL)], "&gt;" &amp; tblFilterAll[[#This Row],[Operating Margin (SHL)]] ) + 1</f>
        <v>47</v>
      </c>
      <c r="Y859" s="30" cm="1">
        <f t="array" ref="Y859" xml:space="preserve"> INDEX( VfM_Metrics_2023_Consol_Source[], $AK859, Y$832 )</f>
        <v>0.22134102379235759</v>
      </c>
      <c r="Z859" s="35">
        <f xml:space="preserve"> IF( tblFilterAll[[#This Row],[Operating Margin (Overall)]] &lt; Y$825, 4, IF( tblFilterAll[[#This Row],[Operating Margin (Overall)]] &lt; Y$826, 3, IF( tblFilterAll[[#This Row],[Operating Margin (Overall)]] &lt; Y$827, 2, 1 ) ) )</f>
        <v>2</v>
      </c>
      <c r="AA859" s="35">
        <f xml:space="preserve"> COUNTIFS( tblFilterAll[Include in output], 1, tblFilterAll[Operating Margin (Overall)], "&gt;" &amp; tblFilterAll[[#This Row],[Operating Margin (Overall)]] ) + 1</f>
        <v>60</v>
      </c>
      <c r="AB859" s="30" cm="1">
        <f t="array" ref="AB859" xml:space="preserve"> INDEX( VfM_Metrics_2023_Consol_Source[], $AK859, AB$832 )</f>
        <v>4.3086762155769912E-2</v>
      </c>
      <c r="AC859" s="35">
        <f xml:space="preserve"> IF( tblFilterAll[[#This Row],[ROCE]] &lt; AB$825, 4, IF( tblFilterAll[[#This Row],[ROCE]] &lt; AB$826, 3, IF( tblFilterAll[[#This Row],[ROCE]] &lt; AB$827, 2, 1 ) ) )</f>
        <v>1</v>
      </c>
      <c r="AD859" s="35">
        <f xml:space="preserve"> COUNTIFS( tblFilterAll[Include in output], 1, tblFilterAll[ROCE], "&gt;" &amp; tblFilterAll[[#This Row],[ROCE]] ) + 1</f>
        <v>20</v>
      </c>
      <c r="AE859" s="33" cm="1" vm="6701">
        <f t="array" ref="AE859" xml:space="preserve"> INDEX( VfM_Metrics_2023_Consol_Source[], $AK859, AE$832 )</f>
        <v>5293</v>
      </c>
      <c r="AF859" s="30" cm="1">
        <f t="array" ref="AF859" xml:space="preserve"> INDEX( VfM_Metrics_2023_Consol_Source[], $AK859, AF$832 )</f>
        <v>2.7224934284641383E-2</v>
      </c>
      <c r="AG859" s="30" cm="1">
        <f t="array" ref="AG859" xml:space="preserve"> INDEX( VfM_Metrics_2023_Consol_Source[], $AK859, AG$832 )</f>
        <v>0.20296657904618851</v>
      </c>
      <c r="AH859" s="30" cm="1">
        <f t="array" ref="AH859" xml:space="preserve"> INDEX( VfM_Metrics_2023_Consol_Source[], $AK859, AH$832 )</f>
        <v>0.23019151333082988</v>
      </c>
      <c r="AI859" s="30" t="str" cm="1">
        <f t="array" ref="AI859" xml:space="preserve"> INDEX( VfM_Metrics_2023_Consol_Source[], $AK859, AI$832 )</f>
        <v>Traditional</v>
      </c>
      <c r="AJ859" s="34" t="str" cm="1">
        <f t="array" ref="AJ859" xml:space="preserve"> INDEX( VfM_Metrics_2023_Consol_Source[], $AK859, AJ$832 )</f>
        <v>North West</v>
      </c>
      <c r="AK859" s="81">
        <f xml:space="preserve"> MATCH( tblFilterAll[[#This Row],[Code]], VfM_Metrics_2023_Consol_Source[RP_Code], 0 )</f>
        <v>26</v>
      </c>
      <c r="AL859" s="24">
        <f xml:space="preserve"> INDEX( tblFilterRegion[Include for region],  MATCH( tblFilterAll[[#This Row],[Code]], tblFilterRegion[RP_Code], 0 ) )</f>
        <v>1</v>
      </c>
      <c r="AM859" s="24">
        <f xml:space="preserve"> INDEX( tblFilterPropType[Incl for prop type],  MATCH( tblFilterAll[[#This Row],[Code]], tblFilterPropType[RP_Code], 0 ) )</f>
        <v>1</v>
      </c>
      <c r="AN859" s="24">
        <f xml:space="preserve"> INDEX( tblFilterSize[Incl for size],  MATCH( tblFilterAll[[#This Row],[Code]], tblFilterSize[RP_Code], 0 ) )</f>
        <v>1</v>
      </c>
      <c r="AO859" s="24">
        <f xml:space="preserve"> INDEX( tblFilterRP_Type[Incl, for RP Type],  MATCH( tblFilterAll[[#This Row],[Code]], tblFilterRP_Type[RP_Code], 0 ) )</f>
        <v>1</v>
      </c>
      <c r="AP859" s="24">
        <f xml:space="preserve">  -- ( SUM( tblFilterAll[[#This Row],[Filter Region]:[Filter RP Type]] ) = 4 )</f>
        <v>1</v>
      </c>
      <c r="AQ859" s="24">
        <f xml:space="preserve"> -- ( tblFilterAll[[#This Row],[Provider name]] = SelectedProvider )</f>
        <v>0</v>
      </c>
      <c r="AR859" s="24">
        <f xml:space="preserve">  -- ( OR( SUM( tblFilterAll[[#This Row],[Filter Region]:[Filter RP Type]] ) = 4, tblFilterAll[[#This Row],[SelectedProvider]] = 1 ) )</f>
        <v>1</v>
      </c>
      <c r="AS859" s="24">
        <f xml:space="preserve"> -- ( INDEX( PeersCritera[Included in final peers], MATCH( tblFilterAll[[#This Row],[Provider name]], PeersCritera[RP_Name], 0 ) ) = 1 )</f>
        <v>1</v>
      </c>
      <c r="AT859" s="30" t="str" cm="1">
        <f t="array" ref="AT859" xml:space="preserve"> SUBSTITUTE( INDEX( VfM_Metrics_2023_Consol_Source[], $AK859, AT$832 ), 0, "" )</f>
        <v>&gt;= 12 years</v>
      </c>
      <c r="AU859" s="34" cm="1">
        <f t="array" ref="AU859" xml:space="preserve"> INDEX( VfM_Metrics_2023_Consol_Source[], $AK859, AU$832 )</f>
        <v>0</v>
      </c>
      <c r="AV859" s="34" cm="1">
        <f t="array" ref="AV859" xml:space="preserve"> INDEX( VfM_Metrics_2023_Consol_Source[], $AK859, AV$832 )</f>
        <v>0</v>
      </c>
      <c r="AW859" s="34" cm="1">
        <f t="array" ref="AW859" xml:space="preserve"> INDEX( VfM_Metrics_2023_Consol_Source[], $AK859, AW$832 )</f>
        <v>0</v>
      </c>
      <c r="AX859" s="34" cm="1">
        <f t="array" ref="AX859" xml:space="preserve"> INDEX( VfM_Metrics_2023_Consol_Source[], $AK859, AX$832 )</f>
        <v>0</v>
      </c>
      <c r="AY859" s="34" cm="1">
        <f t="array" ref="AY859" xml:space="preserve"> INDEX( VfM_Metrics_2023_Consol_Source[], $AK859, AY$832 )</f>
        <v>0</v>
      </c>
      <c r="AZ859" s="34" cm="1">
        <f t="array" ref="AZ859" xml:space="preserve"> INDEX( VfM_Metrics_2023_Consol_Source[], $AK859, AZ$832 )</f>
        <v>0</v>
      </c>
      <c r="BA859" s="34" cm="1">
        <f t="array" ref="BA859" xml:space="preserve"> INDEX( VfM_Metrics_2023_Consol_Source[], $AK859, BA$832 )</f>
        <v>0</v>
      </c>
      <c r="BB859" s="34" cm="1">
        <f t="array" ref="BB859" xml:space="preserve"> INDEX( VfM_Metrics_2023_Consol_Source[], $AK859, BB$832 )</f>
        <v>1</v>
      </c>
      <c r="BC859" s="34" cm="1">
        <f t="array" ref="BC859" xml:space="preserve"> INDEX( VfM_Metrics_2023_Consol_Source[], $AK859, BC$832 )</f>
        <v>0</v>
      </c>
    </row>
    <row r="860" spans="2:55" x14ac:dyDescent="0.2">
      <c r="B860" s="122" t="str" vm="27">
        <f t="shared" ref="B860" si="355" xml:space="preserve"> B650</f>
        <v>Castles &amp; Coasts Housing Association Limited</v>
      </c>
      <c r="C860" s="122" t="str" vm="371">
        <f t="shared" ref="C860" si="356" xml:space="preserve"> C650</f>
        <v>4858</v>
      </c>
      <c r="D860" s="30" cm="1">
        <f t="array" ref="D860" xml:space="preserve"> INDEX( VfM_Metrics_2023_Consol_Source[], $AK860, D$832 )</f>
        <v>6.2050403535669707E-2</v>
      </c>
      <c r="E860" s="35">
        <f xml:space="preserve"> IF( tblFilterAll[[#This Row],[Reinvestment]] &lt; D$825, 4, IF( tblFilterAll[[#This Row],[Reinvestment]] &lt; D$826, 3, IF( tblFilterAll[[#This Row],[Reinvestment]] &lt; D$827, 2, 1 ) ) )</f>
        <v>3</v>
      </c>
      <c r="F860" s="35">
        <f xml:space="preserve"> COUNTIFS( tblFilterAll[Include in output], 1, tblFilterAll[Reinvestment], "&gt;" &amp; tblFilterAll[[#This Row],[Reinvestment]] ) + 1</f>
        <v>112</v>
      </c>
      <c r="G860" s="30" cm="1">
        <f t="array" ref="G860" xml:space="preserve"> INDEX( VfM_Metrics_2023_Consol_Source[], $AK860, G$832 )</f>
        <v>1.1527777777777777E-2</v>
      </c>
      <c r="H860" s="35">
        <f xml:space="preserve"> IF( tblFilterAll[[#This Row],[New Supply (Social)]] &lt; G$825, 4, IF( tblFilterAll[[#This Row],[New Supply (Social)]] &lt; G$826, 3, IF( tblFilterAll[[#This Row],[New Supply (Social)]] &lt; G$827, 2, 1 ) ) )</f>
        <v>3</v>
      </c>
      <c r="I860" s="35">
        <f xml:space="preserve"> COUNTIFS( tblFilterAll[Include in output], 1, tblFilterAll[New Supply (Social)], "&gt;" &amp; tblFilterAll[[#This Row],[New Supply (Social)]] ) + 1</f>
        <v>112</v>
      </c>
      <c r="J860" s="31" cm="1">
        <f t="array" ref="J860" xml:space="preserve"> INDEX( VfM_Metrics_2023_Consol_Source[], $AK860, J$832 )</f>
        <v>0</v>
      </c>
      <c r="K860" s="35">
        <f xml:space="preserve"> IF( tblFilterAll[[#This Row],[New Supply (Non-Social)]] &lt; J$825, 4, IF( tblFilterAll[[#This Row],[New Supply (Non-Social)]] &lt; J$826, 3, IF( tblFilterAll[[#This Row],[New Supply (Non-Social)]] &lt; J$827, 2, 1 ) ) )</f>
        <v>2</v>
      </c>
      <c r="L860" s="35">
        <f xml:space="preserve"> COUNTIFS( tblFilterAll[Include in output], 1, tblFilterAll[New Supply (Non-Social)], "&gt;" &amp; tblFilterAll[[#This Row],[New Supply (Non-Social)]] ) + 1</f>
        <v>72</v>
      </c>
      <c r="M860" s="30" cm="1">
        <f t="array" ref="M860" xml:space="preserve"> INDEX( VfM_Metrics_2023_Consol_Source[], $AK860, M$832 )</f>
        <v>0.28486282036383809</v>
      </c>
      <c r="N860" s="35">
        <f xml:space="preserve"> IF( tblFilterAll[[#This Row],[Gearing]] &lt; M$825, 4, IF( tblFilterAll[[#This Row],[Gearing]] &lt; M$826, 3, IF( tblFilterAll[[#This Row],[Gearing]] &lt; M$827, 2, 1 ) ) )</f>
        <v>4</v>
      </c>
      <c r="O860" s="35">
        <f xml:space="preserve"> COUNTIFS( tblFilterAll[Include in output], 1, tblFilterAll[Gearing], "&gt;" &amp; tblFilterAll[[#This Row],[Gearing]] ) + 1</f>
        <v>163</v>
      </c>
      <c r="P860" s="30" cm="1">
        <f t="array" ref="P860" xml:space="preserve"> INDEX( VfM_Metrics_2023_Consol_Source[], $AK860, P$832 )</f>
        <v>0.77404921700223717</v>
      </c>
      <c r="Q860" s="35">
        <f xml:space="preserve"> IF( tblFilterAll[[#This Row],[EBITDA MRI Interest Cover]] &lt; P$825, 4, IF( tblFilterAll[[#This Row],[EBITDA MRI Interest Cover]] &lt; P$826, 3, IF( tblFilterAll[[#This Row],[EBITDA MRI Interest Cover]] &lt; P$827, 2, 1 ) ) )</f>
        <v>4</v>
      </c>
      <c r="R860" s="35">
        <f xml:space="preserve"> COUNTIFS( tblFilterAll[Include in output], 1, tblFilterAll[EBITDA MRI Interest Cover], "&gt;" &amp; tblFilterAll[[#This Row],[EBITDA MRI Interest Cover]] ) + 1</f>
        <v>155</v>
      </c>
      <c r="S860" s="32" cm="1">
        <f t="array" ref="S860" xml:space="preserve"> INDEX( VfM_Metrics_2023_Consol_Source[], $AK860, S$832 )</f>
        <v>4514.7902869757172</v>
      </c>
      <c r="T860" s="35">
        <f xml:space="preserve"> IF( tblFilterAll[[#This Row],[Headline Social Housing Cost per unit]] &lt; S$825, 4, IF( tblFilterAll[[#This Row],[Headline Social Housing Cost per unit]] &lt; S$826, 3, IF( tblFilterAll[[#This Row],[Headline Social Housing Cost per unit]] &lt; S$827, 2, 1 ) ) )</f>
        <v>3</v>
      </c>
      <c r="U860" s="35">
        <f xml:space="preserve"> COUNTIFS( tblFilterAll[Include in output], 1, tblFilterAll[Headline Social Housing Cost per unit], "&gt;" &amp; tblFilterAll[[#This Row],[Headline Social Housing Cost per unit]] ) + 1</f>
        <v>106</v>
      </c>
      <c r="V860" s="30" cm="1">
        <f t="array" ref="V860" xml:space="preserve"> INDEX( VfM_Metrics_2023_Consol_Source[], $AK860, V$832 )</f>
        <v>0.11361491269466729</v>
      </c>
      <c r="W860" s="35">
        <f xml:space="preserve"> IF( tblFilterAll[[#This Row],[Operating Margin (SHL)]] &lt; V$825, 4, IF( tblFilterAll[[#This Row],[Operating Margin (SHL)]] &lt; V$826, 3, IF( tblFilterAll[[#This Row],[Operating Margin (SHL)]] &lt; V$827, 2, 1 ) ) )</f>
        <v>4</v>
      </c>
      <c r="X860" s="35">
        <f xml:space="preserve"> COUNTIFS( tblFilterAll[Include in output], 1, tblFilterAll[Operating Margin (SHL)], "&gt;" &amp; tblFilterAll[[#This Row],[Operating Margin (SHL)]] ) + 1</f>
        <v>167</v>
      </c>
      <c r="Y860" s="30" cm="1">
        <f t="array" ref="Y860" xml:space="preserve"> INDEX( VfM_Metrics_2023_Consol_Source[], $AK860, Y$832 )</f>
        <v>0.13678202725009092</v>
      </c>
      <c r="Z860" s="35">
        <f xml:space="preserve"> IF( tblFilterAll[[#This Row],[Operating Margin (Overall)]] &lt; Y$825, 4, IF( tblFilterAll[[#This Row],[Operating Margin (Overall)]] &lt; Y$826, 3, IF( tblFilterAll[[#This Row],[Operating Margin (Overall)]] &lt; Y$827, 2, 1 ) ) )</f>
        <v>3</v>
      </c>
      <c r="AA860" s="35">
        <f xml:space="preserve"> COUNTIFS( tblFilterAll[Include in output], 1, tblFilterAll[Operating Margin (Overall)], "&gt;" &amp; tblFilterAll[[#This Row],[Operating Margin (Overall)]] ) + 1</f>
        <v>142</v>
      </c>
      <c r="AB860" s="30" cm="1">
        <f t="array" ref="AB860" xml:space="preserve"> INDEX( VfM_Metrics_2023_Consol_Source[], $AK860, AB$832 )</f>
        <v>2.1424270622365755E-2</v>
      </c>
      <c r="AC860" s="35">
        <f xml:space="preserve"> IF( tblFilterAll[[#This Row],[ROCE]] &lt; AB$825, 4, IF( tblFilterAll[[#This Row],[ROCE]] &lt; AB$826, 3, IF( tblFilterAll[[#This Row],[ROCE]] &lt; AB$827, 2, 1 ) ) )</f>
        <v>4</v>
      </c>
      <c r="AD860" s="35">
        <f xml:space="preserve"> COUNTIFS( tblFilterAll[Include in output], 1, tblFilterAll[ROCE], "&gt;" &amp; tblFilterAll[[#This Row],[ROCE]] ) + 1</f>
        <v>153</v>
      </c>
      <c r="AE860" s="33" cm="1" vm="5833">
        <f t="array" ref="AE860" xml:space="preserve"> INDEX( VfM_Metrics_2023_Consol_Source[], $AK860, AE$832 )</f>
        <v>6795</v>
      </c>
      <c r="AF860" s="30" cm="1">
        <f t="array" ref="AF860" xml:space="preserve"> INDEX( VfM_Metrics_2023_Consol_Source[], $AK860, AF$832 )</f>
        <v>5.3970701619121047E-3</v>
      </c>
      <c r="AG860" s="30" cm="1">
        <f t="array" ref="AG860" xml:space="preserve"> INDEX( VfM_Metrics_2023_Consol_Source[], $AK860, AG$832 )</f>
        <v>9.7455666923670012E-2</v>
      </c>
      <c r="AH860" s="30" cm="1">
        <f t="array" ref="AH860" xml:space="preserve"> INDEX( VfM_Metrics_2023_Consol_Source[], $AK860, AH$832 )</f>
        <v>0.10285273708558211</v>
      </c>
      <c r="AI860" s="30" t="str" cm="1">
        <f t="array" ref="AI860" xml:space="preserve"> INDEX( VfM_Metrics_2023_Consol_Source[], $AK860, AI$832 )</f>
        <v>Traditional</v>
      </c>
      <c r="AJ860" s="34" t="str" cm="1">
        <f t="array" ref="AJ860" xml:space="preserve"> INDEX( VfM_Metrics_2023_Consol_Source[], $AK860, AJ$832 )</f>
        <v>North West</v>
      </c>
      <c r="AK860" s="81">
        <f xml:space="preserve"> MATCH( tblFilterAll[[#This Row],[Code]], VfM_Metrics_2023_Consol_Source[RP_Code], 0 )</f>
        <v>27</v>
      </c>
      <c r="AL860" s="24">
        <f xml:space="preserve"> INDEX( tblFilterRegion[Include for region],  MATCH( tblFilterAll[[#This Row],[Code]], tblFilterRegion[RP_Code], 0 ) )</f>
        <v>1</v>
      </c>
      <c r="AM860" s="24">
        <f xml:space="preserve"> INDEX( tblFilterPropType[Incl for prop type],  MATCH( tblFilterAll[[#This Row],[Code]], tblFilterPropType[RP_Code], 0 ) )</f>
        <v>1</v>
      </c>
      <c r="AN860" s="24">
        <f xml:space="preserve"> INDEX( tblFilterSize[Incl for size],  MATCH( tblFilterAll[[#This Row],[Code]], tblFilterSize[RP_Code], 0 ) )</f>
        <v>1</v>
      </c>
      <c r="AO860" s="24">
        <f xml:space="preserve"> INDEX( tblFilterRP_Type[Incl, for RP Type],  MATCH( tblFilterAll[[#This Row],[Code]], tblFilterRP_Type[RP_Code], 0 ) )</f>
        <v>1</v>
      </c>
      <c r="AP860" s="24">
        <f xml:space="preserve">  -- ( SUM( tblFilterAll[[#This Row],[Filter Region]:[Filter RP Type]] ) = 4 )</f>
        <v>1</v>
      </c>
      <c r="AQ860" s="24">
        <f xml:space="preserve"> -- ( tblFilterAll[[#This Row],[Provider name]] = SelectedProvider )</f>
        <v>0</v>
      </c>
      <c r="AR860" s="24">
        <f xml:space="preserve">  -- ( OR( SUM( tblFilterAll[[#This Row],[Filter Region]:[Filter RP Type]] ) = 4, tblFilterAll[[#This Row],[SelectedProvider]] = 1 ) )</f>
        <v>1</v>
      </c>
      <c r="AS860" s="24">
        <f xml:space="preserve"> -- ( INDEX( PeersCritera[Included in final peers], MATCH( tblFilterAll[[#This Row],[Provider name]], PeersCritera[RP_Name], 0 ) ) = 1 )</f>
        <v>1</v>
      </c>
      <c r="AT860" s="30" t="str" cm="1">
        <f t="array" ref="AT860" xml:space="preserve"> SUBSTITUTE( INDEX( VfM_Metrics_2023_Consol_Source[], $AK860, AT$832 ), 0, "" )</f>
        <v>&gt;= 12 years</v>
      </c>
      <c r="AU860" s="34" cm="1">
        <f t="array" ref="AU860" xml:space="preserve"> INDEX( VfM_Metrics_2023_Consol_Source[], $AK860, AU$832 )</f>
        <v>0</v>
      </c>
      <c r="AV860" s="34" cm="1">
        <f t="array" ref="AV860" xml:space="preserve"> INDEX( VfM_Metrics_2023_Consol_Source[], $AK860, AV$832 )</f>
        <v>0</v>
      </c>
      <c r="AW860" s="34" cm="1">
        <f t="array" ref="AW860" xml:space="preserve"> INDEX( VfM_Metrics_2023_Consol_Source[], $AK860, AW$832 )</f>
        <v>0</v>
      </c>
      <c r="AX860" s="34" cm="1">
        <f t="array" ref="AX860" xml:space="preserve"> INDEX( VfM_Metrics_2023_Consol_Source[], $AK860, AX$832 )</f>
        <v>0</v>
      </c>
      <c r="AY860" s="34" cm="1">
        <f t="array" ref="AY860" xml:space="preserve"> INDEX( VfM_Metrics_2023_Consol_Source[], $AK860, AY$832 )</f>
        <v>0</v>
      </c>
      <c r="AZ860" s="34" cm="1">
        <f t="array" ref="AZ860" xml:space="preserve"> INDEX( VfM_Metrics_2023_Consol_Source[], $AK860, AZ$832 )</f>
        <v>0</v>
      </c>
      <c r="BA860" s="34" cm="1">
        <f t="array" ref="BA860" xml:space="preserve"> INDEX( VfM_Metrics_2023_Consol_Source[], $AK860, BA$832 )</f>
        <v>0.21428571428571427</v>
      </c>
      <c r="BB860" s="34" cm="1">
        <f t="array" ref="BB860" xml:space="preserve"> INDEX( VfM_Metrics_2023_Consol_Source[], $AK860, BB$832 )</f>
        <v>0.78509852216748766</v>
      </c>
      <c r="BC860" s="34" cm="1">
        <f t="array" ref="BC860" xml:space="preserve"> INDEX( VfM_Metrics_2023_Consol_Source[], $AK860, BC$832 )</f>
        <v>6.1576354679802956E-4</v>
      </c>
    </row>
    <row r="861" spans="2:55" x14ac:dyDescent="0.2">
      <c r="B861" s="122" t="str" vm="28">
        <f t="shared" ref="B861" si="357" xml:space="preserve"> B651</f>
        <v>Chelmer Housing Partnership Limited</v>
      </c>
      <c r="C861" s="122" t="str" vm="279">
        <f t="shared" ref="C861" si="358" xml:space="preserve"> C651</f>
        <v>L4331</v>
      </c>
      <c r="D861" s="30" cm="1">
        <f t="array" ref="D861" xml:space="preserve"> INDEX( VfM_Metrics_2023_Consol_Source[], $AK861, D$832 )</f>
        <v>6.863181557114631E-2</v>
      </c>
      <c r="E861" s="35">
        <f xml:space="preserve"> IF( tblFilterAll[[#This Row],[Reinvestment]] &lt; D$825, 4, IF( tblFilterAll[[#This Row],[Reinvestment]] &lt; D$826, 3, IF( tblFilterAll[[#This Row],[Reinvestment]] &lt; D$827, 2, 1 ) ) )</f>
        <v>2</v>
      </c>
      <c r="F861" s="35">
        <f xml:space="preserve"> COUNTIFS( tblFilterAll[Include in output], 1, tblFilterAll[Reinvestment], "&gt;" &amp; tblFilterAll[[#This Row],[Reinvestment]] ) + 1</f>
        <v>92</v>
      </c>
      <c r="G861" s="30" cm="1">
        <f t="array" ref="G861" xml:space="preserve"> INDEX( VfM_Metrics_2023_Consol_Source[], $AK861, G$832 )</f>
        <v>2.7029520295202954E-2</v>
      </c>
      <c r="H861" s="35">
        <f xml:space="preserve"> IF( tblFilterAll[[#This Row],[New Supply (Social)]] &lt; G$825, 4, IF( tblFilterAll[[#This Row],[New Supply (Social)]] &lt; G$826, 3, IF( tblFilterAll[[#This Row],[New Supply (Social)]] &lt; G$827, 2, 1 ) ) )</f>
        <v>1</v>
      </c>
      <c r="I861" s="35">
        <f xml:space="preserve"> COUNTIFS( tblFilterAll[Include in output], 1, tblFilterAll[New Supply (Social)], "&gt;" &amp; tblFilterAll[[#This Row],[New Supply (Social)]] ) + 1</f>
        <v>25</v>
      </c>
      <c r="J861" s="31" cm="1">
        <f t="array" ref="J861" xml:space="preserve"> INDEX( VfM_Metrics_2023_Consol_Source[], $AK861, J$832 )</f>
        <v>0</v>
      </c>
      <c r="K861" s="35">
        <f xml:space="preserve"> IF( tblFilterAll[[#This Row],[New Supply (Non-Social)]] &lt; J$825, 4, IF( tblFilterAll[[#This Row],[New Supply (Non-Social)]] &lt; J$826, 3, IF( tblFilterAll[[#This Row],[New Supply (Non-Social)]] &lt; J$827, 2, 1 ) ) )</f>
        <v>2</v>
      </c>
      <c r="L861" s="35">
        <f xml:space="preserve"> COUNTIFS( tblFilterAll[Include in output], 1, tblFilterAll[New Supply (Non-Social)], "&gt;" &amp; tblFilterAll[[#This Row],[New Supply (Non-Social)]] ) + 1</f>
        <v>72</v>
      </c>
      <c r="M861" s="30" cm="1">
        <f t="array" ref="M861" xml:space="preserve"> INDEX( VfM_Metrics_2023_Consol_Source[], $AK861, M$832 )</f>
        <v>0.66291691742857062</v>
      </c>
      <c r="N861" s="35">
        <f xml:space="preserve"> IF( tblFilterAll[[#This Row],[Gearing]] &lt; M$825, 4, IF( tblFilterAll[[#This Row],[Gearing]] &lt; M$826, 3, IF( tblFilterAll[[#This Row],[Gearing]] &lt; M$827, 2, 1 ) ) )</f>
        <v>1</v>
      </c>
      <c r="O861" s="35">
        <f xml:space="preserve"> COUNTIFS( tblFilterAll[Include in output], 1, tblFilterAll[Gearing], "&gt;" &amp; tblFilterAll[[#This Row],[Gearing]] ) + 1</f>
        <v>12</v>
      </c>
      <c r="P861" s="30" cm="1">
        <f t="array" ref="P861" xml:space="preserve"> INDEX( VfM_Metrics_2023_Consol_Source[], $AK861, P$832 )</f>
        <v>1.0415794481446241</v>
      </c>
      <c r="Q861" s="35">
        <f xml:space="preserve"> IF( tblFilterAll[[#This Row],[EBITDA MRI Interest Cover]] &lt; P$825, 4, IF( tblFilterAll[[#This Row],[EBITDA MRI Interest Cover]] &lt; P$826, 3, IF( tblFilterAll[[#This Row],[EBITDA MRI Interest Cover]] &lt; P$827, 2, 1 ) ) )</f>
        <v>3</v>
      </c>
      <c r="R861" s="35">
        <f xml:space="preserve"> COUNTIFS( tblFilterAll[Include in output], 1, tblFilterAll[EBITDA MRI Interest Cover], "&gt;" &amp; tblFilterAll[[#This Row],[EBITDA MRI Interest Cover]] ) + 1</f>
        <v>133</v>
      </c>
      <c r="S861" s="32" cm="1">
        <f t="array" ref="S861" xml:space="preserve"> INDEX( VfM_Metrics_2023_Consol_Source[], $AK861, S$832 )</f>
        <v>4623.0529595015578</v>
      </c>
      <c r="T861" s="35">
        <f xml:space="preserve"> IF( tblFilterAll[[#This Row],[Headline Social Housing Cost per unit]] &lt; S$825, 4, IF( tblFilterAll[[#This Row],[Headline Social Housing Cost per unit]] &lt; S$826, 3, IF( tblFilterAll[[#This Row],[Headline Social Housing Cost per unit]] &lt; S$827, 2, 1 ) ) )</f>
        <v>2</v>
      </c>
      <c r="U861" s="35">
        <f xml:space="preserve"> COUNTIFS( tblFilterAll[Include in output], 1, tblFilterAll[Headline Social Housing Cost per unit], "&gt;" &amp; tblFilterAll[[#This Row],[Headline Social Housing Cost per unit]] ) + 1</f>
        <v>97</v>
      </c>
      <c r="V861" s="30" cm="1">
        <f t="array" ref="V861" xml:space="preserve"> INDEX( VfM_Metrics_2023_Consol_Source[], $AK861, V$832 )</f>
        <v>0.19891158608723086</v>
      </c>
      <c r="W861" s="35">
        <f xml:space="preserve"> IF( tblFilterAll[[#This Row],[Operating Margin (SHL)]] &lt; V$825, 4, IF( tblFilterAll[[#This Row],[Operating Margin (SHL)]] &lt; V$826, 3, IF( tblFilterAll[[#This Row],[Operating Margin (SHL)]] &lt; V$827, 2, 1 ) ) )</f>
        <v>2</v>
      </c>
      <c r="X861" s="35">
        <f xml:space="preserve"> COUNTIFS( tblFilterAll[Include in output], 1, tblFilterAll[Operating Margin (SHL)], "&gt;" &amp; tblFilterAll[[#This Row],[Operating Margin (SHL)]] ) + 1</f>
        <v>98</v>
      </c>
      <c r="Y861" s="30" cm="1">
        <f t="array" ref="Y861" xml:space="preserve"> INDEX( VfM_Metrics_2023_Consol_Source[], $AK861, Y$832 )</f>
        <v>0.23009693719707125</v>
      </c>
      <c r="Z861" s="35">
        <f xml:space="preserve"> IF( tblFilterAll[[#This Row],[Operating Margin (Overall)]] &lt; Y$825, 4, IF( tblFilterAll[[#This Row],[Operating Margin (Overall)]] &lt; Y$826, 3, IF( tblFilterAll[[#This Row],[Operating Margin (Overall)]] &lt; Y$827, 2, 1 ) ) )</f>
        <v>2</v>
      </c>
      <c r="AA861" s="35">
        <f xml:space="preserve"> COUNTIFS( tblFilterAll[Include in output], 1, tblFilterAll[Operating Margin (Overall)], "&gt;" &amp; tblFilterAll[[#This Row],[Operating Margin (Overall)]] ) + 1</f>
        <v>50</v>
      </c>
      <c r="AB861" s="30" cm="1">
        <f t="array" ref="AB861" xml:space="preserve"> INDEX( VfM_Metrics_2023_Consol_Source[], $AK861, AB$832 )</f>
        <v>2.5971749798769247E-2</v>
      </c>
      <c r="AC861" s="35">
        <f xml:space="preserve"> IF( tblFilterAll[[#This Row],[ROCE]] &lt; AB$825, 4, IF( tblFilterAll[[#This Row],[ROCE]] &lt; AB$826, 3, IF( tblFilterAll[[#This Row],[ROCE]] &lt; AB$827, 2, 1 ) ) )</f>
        <v>3</v>
      </c>
      <c r="AD861" s="35">
        <f xml:space="preserve"> COUNTIFS( tblFilterAll[Include in output], 1, tblFilterAll[ROCE], "&gt;" &amp; tblFilterAll[[#This Row],[ROCE]] ) + 1</f>
        <v>118</v>
      </c>
      <c r="AE861" s="33" cm="1" vm="2632">
        <f t="array" ref="AE861" xml:space="preserve"> INDEX( VfM_Metrics_2023_Consol_Source[], $AK861, AE$832 )</f>
        <v>10036</v>
      </c>
      <c r="AF861" s="30" cm="1">
        <f t="array" ref="AF861" xml:space="preserve"> INDEX( VfM_Metrics_2023_Consol_Source[], $AK861, AF$832 )</f>
        <v>2.8050490883590462E-3</v>
      </c>
      <c r="AG861" s="30" cm="1">
        <f t="array" ref="AG861" xml:space="preserve"> INDEX( VfM_Metrics_2023_Consol_Source[], $AK861, AG$832 )</f>
        <v>0</v>
      </c>
      <c r="AH861" s="30" cm="1">
        <f t="array" ref="AH861" xml:space="preserve"> INDEX( VfM_Metrics_2023_Consol_Source[], $AK861, AH$832 )</f>
        <v>2.8050490883590462E-3</v>
      </c>
      <c r="AI861" s="30" t="str" cm="1">
        <f t="array" ref="AI861" xml:space="preserve"> INDEX( VfM_Metrics_2023_Consol_Source[], $AK861, AI$832 )</f>
        <v>Traditional</v>
      </c>
      <c r="AJ861" s="34" t="str" cm="1">
        <f t="array" ref="AJ861" xml:space="preserve"> INDEX( VfM_Metrics_2023_Consol_Source[], $AK861, AJ$832 )</f>
        <v>East of England</v>
      </c>
      <c r="AK861" s="81">
        <f xml:space="preserve"> MATCH( tblFilterAll[[#This Row],[Code]], VfM_Metrics_2023_Consol_Source[RP_Code], 0 )</f>
        <v>28</v>
      </c>
      <c r="AL861" s="24">
        <f xml:space="preserve"> INDEX( tblFilterRegion[Include for region],  MATCH( tblFilterAll[[#This Row],[Code]], tblFilterRegion[RP_Code], 0 ) )</f>
        <v>1</v>
      </c>
      <c r="AM861" s="24">
        <f xml:space="preserve"> INDEX( tblFilterPropType[Incl for prop type],  MATCH( tblFilterAll[[#This Row],[Code]], tblFilterPropType[RP_Code], 0 ) )</f>
        <v>1</v>
      </c>
      <c r="AN861" s="24">
        <f xml:space="preserve"> INDEX( tblFilterSize[Incl for size],  MATCH( tblFilterAll[[#This Row],[Code]], tblFilterSize[RP_Code], 0 ) )</f>
        <v>1</v>
      </c>
      <c r="AO861" s="24">
        <f xml:space="preserve"> INDEX( tblFilterRP_Type[Incl, for RP Type],  MATCH( tblFilterAll[[#This Row],[Code]], tblFilterRP_Type[RP_Code], 0 ) )</f>
        <v>1</v>
      </c>
      <c r="AP861" s="24">
        <f xml:space="preserve">  -- ( SUM( tblFilterAll[[#This Row],[Filter Region]:[Filter RP Type]] ) = 4 )</f>
        <v>1</v>
      </c>
      <c r="AQ861" s="24">
        <f xml:space="preserve"> -- ( tblFilterAll[[#This Row],[Provider name]] = SelectedProvider )</f>
        <v>0</v>
      </c>
      <c r="AR861" s="24">
        <f xml:space="preserve">  -- ( OR( SUM( tblFilterAll[[#This Row],[Filter Region]:[Filter RP Type]] ) = 4, tblFilterAll[[#This Row],[SelectedProvider]] = 1 ) )</f>
        <v>1</v>
      </c>
      <c r="AS861" s="24">
        <f xml:space="preserve"> -- ( INDEX( PeersCritera[Included in final peers], MATCH( tblFilterAll[[#This Row],[Provider name]], PeersCritera[RP_Name], 0 ) ) = 1 )</f>
        <v>1</v>
      </c>
      <c r="AT861" s="30" t="str" cm="1">
        <f t="array" ref="AT861" xml:space="preserve"> SUBSTITUTE( INDEX( VfM_Metrics_2023_Consol_Source[], $AK861, AT$832 ), 0, "" )</f>
        <v>&gt;= 12 years</v>
      </c>
      <c r="AU861" s="34" cm="1">
        <f t="array" ref="AU861" xml:space="preserve"> INDEX( VfM_Metrics_2023_Consol_Source[], $AK861, AU$832 )</f>
        <v>0</v>
      </c>
      <c r="AV861" s="34" cm="1">
        <f t="array" ref="AV861" xml:space="preserve"> INDEX( VfM_Metrics_2023_Consol_Source[], $AK861, AV$832 )</f>
        <v>0</v>
      </c>
      <c r="AW861" s="34" cm="1">
        <f t="array" ref="AW861" xml:space="preserve"> INDEX( VfM_Metrics_2023_Consol_Source[], $AK861, AW$832 )</f>
        <v>0</v>
      </c>
      <c r="AX861" s="34" cm="1">
        <f t="array" ref="AX861" xml:space="preserve"> INDEX( VfM_Metrics_2023_Consol_Source[], $AK861, AX$832 )</f>
        <v>0</v>
      </c>
      <c r="AY861" s="34" cm="1">
        <f t="array" ref="AY861" xml:space="preserve"> INDEX( VfM_Metrics_2023_Consol_Source[], $AK861, AY$832 )</f>
        <v>0</v>
      </c>
      <c r="AZ861" s="34" cm="1">
        <f t="array" ref="AZ861" xml:space="preserve"> INDEX( VfM_Metrics_2023_Consol_Source[], $AK861, AZ$832 )</f>
        <v>1</v>
      </c>
      <c r="BA861" s="34" cm="1">
        <f t="array" ref="BA861" xml:space="preserve"> INDEX( VfM_Metrics_2023_Consol_Source[], $AK861, BA$832 )</f>
        <v>0</v>
      </c>
      <c r="BB861" s="34" cm="1">
        <f t="array" ref="BB861" xml:space="preserve"> INDEX( VfM_Metrics_2023_Consol_Source[], $AK861, BB$832 )</f>
        <v>0</v>
      </c>
      <c r="BC861" s="34" cm="1">
        <f t="array" ref="BC861" xml:space="preserve"> INDEX( VfM_Metrics_2023_Consol_Source[], $AK861, BC$832 )</f>
        <v>0</v>
      </c>
    </row>
    <row r="862" spans="2:55" x14ac:dyDescent="0.2">
      <c r="B862" s="122" t="str" vm="29">
        <f t="shared" ref="B862" si="359" xml:space="preserve"> B652</f>
        <v>Cheshire Peaks &amp; Plains Housing Trust Limited</v>
      </c>
      <c r="C862" s="122" t="str" vm="370">
        <f t="shared" ref="C862" si="360" xml:space="preserve"> C652</f>
        <v>L4472</v>
      </c>
      <c r="D862" s="30" cm="1">
        <f t="array" ref="D862" xml:space="preserve"> INDEX( VfM_Metrics_2023_Consol_Source[], $AK862, D$832 )</f>
        <v>6.6186610509153906E-2</v>
      </c>
      <c r="E862" s="35">
        <f xml:space="preserve"> IF( tblFilterAll[[#This Row],[Reinvestment]] &lt; D$825, 4, IF( tblFilterAll[[#This Row],[Reinvestment]] &lt; D$826, 3, IF( tblFilterAll[[#This Row],[Reinvestment]] &lt; D$827, 2, 1 ) ) )</f>
        <v>3</v>
      </c>
      <c r="F862" s="35">
        <f xml:space="preserve"> COUNTIFS( tblFilterAll[Include in output], 1, tblFilterAll[Reinvestment], "&gt;" &amp; tblFilterAll[[#This Row],[Reinvestment]] ) + 1</f>
        <v>104</v>
      </c>
      <c r="G862" s="30" cm="1">
        <f t="array" ref="G862" xml:space="preserve"> INDEX( VfM_Metrics_2023_Consol_Source[], $AK862, G$832 )</f>
        <v>1.2788700133613285E-2</v>
      </c>
      <c r="H862" s="35">
        <f xml:space="preserve"> IF( tblFilterAll[[#This Row],[New Supply (Social)]] &lt; G$825, 4, IF( tblFilterAll[[#This Row],[New Supply (Social)]] &lt; G$826, 3, IF( tblFilterAll[[#This Row],[New Supply (Social)]] &lt; G$827, 2, 1 ) ) )</f>
        <v>2</v>
      </c>
      <c r="I862" s="35">
        <f xml:space="preserve"> COUNTIFS( tblFilterAll[Include in output], 1, tblFilterAll[New Supply (Social)], "&gt;" &amp; tblFilterAll[[#This Row],[New Supply (Social)]] ) + 1</f>
        <v>99</v>
      </c>
      <c r="J862" s="31" cm="1">
        <f t="array" ref="J862" xml:space="preserve"> INDEX( VfM_Metrics_2023_Consol_Source[], $AK862, J$832 )</f>
        <v>8.8261253309797002E-4</v>
      </c>
      <c r="K862" s="35">
        <f xml:space="preserve"> IF( tblFilterAll[[#This Row],[New Supply (Non-Social)]] &lt; J$825, 4, IF( tblFilterAll[[#This Row],[New Supply (Non-Social)]] &lt; J$826, 3, IF( tblFilterAll[[#This Row],[New Supply (Non-Social)]] &lt; J$827, 2, 1 ) ) )</f>
        <v>1</v>
      </c>
      <c r="L862" s="35">
        <f xml:space="preserve"> COUNTIFS( tblFilterAll[Include in output], 1, tblFilterAll[New Supply (Non-Social)], "&gt;" &amp; tblFilterAll[[#This Row],[New Supply (Non-Social)]] ) + 1</f>
        <v>48</v>
      </c>
      <c r="M862" s="30" cm="1">
        <f t="array" ref="M862" xml:space="preserve"> INDEX( VfM_Metrics_2023_Consol_Source[], $AK862, M$832 )</f>
        <v>0.51135491321626303</v>
      </c>
      <c r="N862" s="35">
        <f xml:space="preserve"> IF( tblFilterAll[[#This Row],[Gearing]] &lt; M$825, 4, IF( tblFilterAll[[#This Row],[Gearing]] &lt; M$826, 3, IF( tblFilterAll[[#This Row],[Gearing]] &lt; M$827, 2, 1 ) ) )</f>
        <v>2</v>
      </c>
      <c r="O862" s="35">
        <f xml:space="preserve"> COUNTIFS( tblFilterAll[Include in output], 1, tblFilterAll[Gearing], "&gt;" &amp; tblFilterAll[[#This Row],[Gearing]] ) + 1</f>
        <v>65</v>
      </c>
      <c r="P862" s="30" cm="1">
        <f t="array" ref="P862" xml:space="preserve"> INDEX( VfM_Metrics_2023_Consol_Source[], $AK862, P$832 )</f>
        <v>0.74221548635987877</v>
      </c>
      <c r="Q862" s="35">
        <f xml:space="preserve"> IF( tblFilterAll[[#This Row],[EBITDA MRI Interest Cover]] &lt; P$825, 4, IF( tblFilterAll[[#This Row],[EBITDA MRI Interest Cover]] &lt; P$826, 3, IF( tblFilterAll[[#This Row],[EBITDA MRI Interest Cover]] &lt; P$827, 2, 1 ) ) )</f>
        <v>4</v>
      </c>
      <c r="R862" s="35">
        <f xml:space="preserve"> COUNTIFS( tblFilterAll[Include in output], 1, tblFilterAll[EBITDA MRI Interest Cover], "&gt;" &amp; tblFilterAll[[#This Row],[EBITDA MRI Interest Cover]] ) + 1</f>
        <v>157</v>
      </c>
      <c r="S862" s="32" cm="1">
        <f t="array" ref="S862" xml:space="preserve"> INDEX( VfM_Metrics_2023_Consol_Source[], $AK862, S$832 )</f>
        <v>4540</v>
      </c>
      <c r="T862" s="35">
        <f xml:space="preserve"> IF( tblFilterAll[[#This Row],[Headline Social Housing Cost per unit]] &lt; S$825, 4, IF( tblFilterAll[[#This Row],[Headline Social Housing Cost per unit]] &lt; S$826, 3, IF( tblFilterAll[[#This Row],[Headline Social Housing Cost per unit]] &lt; S$827, 2, 1 ) ) )</f>
        <v>3</v>
      </c>
      <c r="U862" s="35">
        <f xml:space="preserve"> COUNTIFS( tblFilterAll[Include in output], 1, tblFilterAll[Headline Social Housing Cost per unit], "&gt;" &amp; tblFilterAll[[#This Row],[Headline Social Housing Cost per unit]] ) + 1</f>
        <v>103</v>
      </c>
      <c r="V862" s="30" cm="1">
        <f t="array" ref="V862" xml:space="preserve"> INDEX( VfM_Metrics_2023_Consol_Source[], $AK862, V$832 )</f>
        <v>0.22458183884370894</v>
      </c>
      <c r="W862" s="35">
        <f xml:space="preserve"> IF( tblFilterAll[[#This Row],[Operating Margin (SHL)]] &lt; V$825, 4, IF( tblFilterAll[[#This Row],[Operating Margin (SHL)]] &lt; V$826, 3, IF( tblFilterAll[[#This Row],[Operating Margin (SHL)]] &lt; V$827, 2, 1 ) ) )</f>
        <v>2</v>
      </c>
      <c r="X862" s="35">
        <f xml:space="preserve"> COUNTIFS( tblFilterAll[Include in output], 1, tblFilterAll[Operating Margin (SHL)], "&gt;" &amp; tblFilterAll[[#This Row],[Operating Margin (SHL)]] ) + 1</f>
        <v>77</v>
      </c>
      <c r="Y862" s="30" cm="1">
        <f t="array" ref="Y862" xml:space="preserve"> INDEX( VfM_Metrics_2023_Consol_Source[], $AK862, Y$832 )</f>
        <v>0.21104699093157461</v>
      </c>
      <c r="Z862" s="35">
        <f xml:space="preserve"> IF( tblFilterAll[[#This Row],[Operating Margin (Overall)]] &lt; Y$825, 4, IF( tblFilterAll[[#This Row],[Operating Margin (Overall)]] &lt; Y$826, 3, IF( tblFilterAll[[#This Row],[Operating Margin (Overall)]] &lt; Y$827, 2, 1 ) ) )</f>
        <v>2</v>
      </c>
      <c r="AA862" s="35">
        <f xml:space="preserve"> COUNTIFS( tblFilterAll[Include in output], 1, tblFilterAll[Operating Margin (Overall)], "&gt;" &amp; tblFilterAll[[#This Row],[Operating Margin (Overall)]] ) + 1</f>
        <v>73</v>
      </c>
      <c r="AB862" s="30" cm="1">
        <f t="array" ref="AB862" xml:space="preserve"> INDEX( VfM_Metrics_2023_Consol_Source[], $AK862, AB$832 )</f>
        <v>4.5462982366853276E-2</v>
      </c>
      <c r="AC862" s="35">
        <f xml:space="preserve"> IF( tblFilterAll[[#This Row],[ROCE]] &lt; AB$825, 4, IF( tblFilterAll[[#This Row],[ROCE]] &lt; AB$826, 3, IF( tblFilterAll[[#This Row],[ROCE]] &lt; AB$827, 2, 1 ) ) )</f>
        <v>1</v>
      </c>
      <c r="AD862" s="35">
        <f xml:space="preserve"> COUNTIFS( tblFilterAll[Include in output], 1, tblFilterAll[ROCE], "&gt;" &amp; tblFilterAll[[#This Row],[ROCE]] ) + 1</f>
        <v>13</v>
      </c>
      <c r="AE862" s="33" cm="1" vm="5803">
        <f t="array" ref="AE862" xml:space="preserve"> INDEX( VfM_Metrics_2023_Consol_Source[], $AK862, AE$832 )</f>
        <v>5239</v>
      </c>
      <c r="AF862" s="30" cm="1">
        <f t="array" ref="AF862" xml:space="preserve"> INDEX( VfM_Metrics_2023_Consol_Source[], $AK862, AF$832 )</f>
        <v>9.5822154082023765E-4</v>
      </c>
      <c r="AG862" s="30" cm="1">
        <f t="array" ref="AG862" xml:space="preserve"> INDEX( VfM_Metrics_2023_Consol_Source[], $AK862, AG$832 )</f>
        <v>0.20582598696818705</v>
      </c>
      <c r="AH862" s="30" cm="1">
        <f t="array" ref="AH862" xml:space="preserve"> INDEX( VfM_Metrics_2023_Consol_Source[], $AK862, AH$832 )</f>
        <v>0.20678420850900728</v>
      </c>
      <c r="AI862" s="30" t="str" cm="1">
        <f t="array" ref="AI862" xml:space="preserve"> INDEX( VfM_Metrics_2023_Consol_Source[], $AK862, AI$832 )</f>
        <v>Traditional</v>
      </c>
      <c r="AJ862" s="34" t="str" cm="1">
        <f t="array" ref="AJ862" xml:space="preserve"> INDEX( VfM_Metrics_2023_Consol_Source[], $AK862, AJ$832 )</f>
        <v>North West</v>
      </c>
      <c r="AK862" s="81">
        <f xml:space="preserve"> MATCH( tblFilterAll[[#This Row],[Code]], VfM_Metrics_2023_Consol_Source[RP_Code], 0 )</f>
        <v>29</v>
      </c>
      <c r="AL862" s="24">
        <f xml:space="preserve"> INDEX( tblFilterRegion[Include for region],  MATCH( tblFilterAll[[#This Row],[Code]], tblFilterRegion[RP_Code], 0 ) )</f>
        <v>1</v>
      </c>
      <c r="AM862" s="24">
        <f xml:space="preserve"> INDEX( tblFilterPropType[Incl for prop type],  MATCH( tblFilterAll[[#This Row],[Code]], tblFilterPropType[RP_Code], 0 ) )</f>
        <v>1</v>
      </c>
      <c r="AN862" s="24">
        <f xml:space="preserve"> INDEX( tblFilterSize[Incl for size],  MATCH( tblFilterAll[[#This Row],[Code]], tblFilterSize[RP_Code], 0 ) )</f>
        <v>1</v>
      </c>
      <c r="AO862" s="24">
        <f xml:space="preserve"> INDEX( tblFilterRP_Type[Incl, for RP Type],  MATCH( tblFilterAll[[#This Row],[Code]], tblFilterRP_Type[RP_Code], 0 ) )</f>
        <v>1</v>
      </c>
      <c r="AP862" s="24">
        <f xml:space="preserve">  -- ( SUM( tblFilterAll[[#This Row],[Filter Region]:[Filter RP Type]] ) = 4 )</f>
        <v>1</v>
      </c>
      <c r="AQ862" s="24">
        <f xml:space="preserve"> -- ( tblFilterAll[[#This Row],[Provider name]] = SelectedProvider )</f>
        <v>0</v>
      </c>
      <c r="AR862" s="24">
        <f xml:space="preserve">  -- ( OR( SUM( tblFilterAll[[#This Row],[Filter Region]:[Filter RP Type]] ) = 4, tblFilterAll[[#This Row],[SelectedProvider]] = 1 ) )</f>
        <v>1</v>
      </c>
      <c r="AS862" s="24">
        <f xml:space="preserve"> -- ( INDEX( PeersCritera[Included in final peers], MATCH( tblFilterAll[[#This Row],[Provider name]], PeersCritera[RP_Name], 0 ) ) = 1 )</f>
        <v>1</v>
      </c>
      <c r="AT862" s="30" t="str" cm="1">
        <f t="array" ref="AT862" xml:space="preserve"> SUBSTITUTE( INDEX( VfM_Metrics_2023_Consol_Source[], $AK862, AT$832 ), 0, "" )</f>
        <v>&gt;= 12 years</v>
      </c>
      <c r="AU862" s="34" cm="1">
        <f t="array" ref="AU862" xml:space="preserve"> INDEX( VfM_Metrics_2023_Consol_Source[], $AK862, AU$832 )</f>
        <v>0</v>
      </c>
      <c r="AV862" s="34" cm="1">
        <f t="array" ref="AV862" xml:space="preserve"> INDEX( VfM_Metrics_2023_Consol_Source[], $AK862, AV$832 )</f>
        <v>0</v>
      </c>
      <c r="AW862" s="34" cm="1">
        <f t="array" ref="AW862" xml:space="preserve"> INDEX( VfM_Metrics_2023_Consol_Source[], $AK862, AW$832 )</f>
        <v>0</v>
      </c>
      <c r="AX862" s="34" cm="1">
        <f t="array" ref="AX862" xml:space="preserve"> INDEX( VfM_Metrics_2023_Consol_Source[], $AK862, AX$832 )</f>
        <v>3.6571428571428574E-2</v>
      </c>
      <c r="AY862" s="34" cm="1">
        <f t="array" ref="AY862" xml:space="preserve"> INDEX( VfM_Metrics_2023_Consol_Source[], $AK862, AY$832 )</f>
        <v>0</v>
      </c>
      <c r="AZ862" s="34" cm="1">
        <f t="array" ref="AZ862" xml:space="preserve"> INDEX( VfM_Metrics_2023_Consol_Source[], $AK862, AZ$832 )</f>
        <v>0</v>
      </c>
      <c r="BA862" s="34" cm="1">
        <f t="array" ref="BA862" xml:space="preserve"> INDEX( VfM_Metrics_2023_Consol_Source[], $AK862, BA$832 )</f>
        <v>0</v>
      </c>
      <c r="BB862" s="34" cm="1">
        <f t="array" ref="BB862" xml:space="preserve"> INDEX( VfM_Metrics_2023_Consol_Source[], $AK862, BB$832 )</f>
        <v>0.96342857142857141</v>
      </c>
      <c r="BC862" s="34" cm="1">
        <f t="array" ref="BC862" xml:space="preserve"> INDEX( VfM_Metrics_2023_Consol_Source[], $AK862, BC$832 )</f>
        <v>0</v>
      </c>
    </row>
    <row r="863" spans="2:55" x14ac:dyDescent="0.2">
      <c r="B863" s="122" t="str" vm="30">
        <f t="shared" ref="B863" si="361" xml:space="preserve"> B653</f>
        <v>Christian Action (Enfield) Housing Association Limited</v>
      </c>
      <c r="C863" s="122" t="str" vm="214">
        <f t="shared" ref="C863" si="362" xml:space="preserve"> C653</f>
        <v>LH0676</v>
      </c>
      <c r="D863" s="30" cm="1">
        <f t="array" ref="D863" xml:space="preserve"> INDEX( VfM_Metrics_2023_Consol_Source[], $AK863, D$832 )</f>
        <v>2.0411160957457878E-2</v>
      </c>
      <c r="E863" s="35">
        <f xml:space="preserve"> IF( tblFilterAll[[#This Row],[Reinvestment]] &lt; D$825, 4, IF( tblFilterAll[[#This Row],[Reinvestment]] &lt; D$826, 3, IF( tblFilterAll[[#This Row],[Reinvestment]] &lt; D$827, 2, 1 ) ) )</f>
        <v>4</v>
      </c>
      <c r="F863" s="35">
        <f xml:space="preserve"> COUNTIFS( tblFilterAll[Include in output], 1, tblFilterAll[Reinvestment], "&gt;" &amp; tblFilterAll[[#This Row],[Reinvestment]] ) + 1</f>
        <v>189</v>
      </c>
      <c r="G863" s="30" cm="1">
        <f t="array" ref="G863" xml:space="preserve"> INDEX( VfM_Metrics_2023_Consol_Source[], $AK863, G$832 )</f>
        <v>6.4608758076094763E-3</v>
      </c>
      <c r="H863" s="35">
        <f xml:space="preserve"> IF( tblFilterAll[[#This Row],[New Supply (Social)]] &lt; G$825, 4, IF( tblFilterAll[[#This Row],[New Supply (Social)]] &lt; G$826, 3, IF( tblFilterAll[[#This Row],[New Supply (Social)]] &lt; G$827, 2, 1 ) ) )</f>
        <v>3</v>
      </c>
      <c r="I863" s="35">
        <f xml:space="preserve"> COUNTIFS( tblFilterAll[Include in output], 1, tblFilterAll[New Supply (Social)], "&gt;" &amp; tblFilterAll[[#This Row],[New Supply (Social)]] ) + 1</f>
        <v>148</v>
      </c>
      <c r="J863" s="31" cm="1">
        <f t="array" ref="J863" xml:space="preserve"> INDEX( VfM_Metrics_2023_Consol_Source[], $AK863, J$832 )</f>
        <v>2.1186440677966102E-3</v>
      </c>
      <c r="K863" s="35">
        <f xml:space="preserve"> IF( tblFilterAll[[#This Row],[New Supply (Non-Social)]] &lt; J$825, 4, IF( tblFilterAll[[#This Row],[New Supply (Non-Social)]] &lt; J$826, 3, IF( tblFilterAll[[#This Row],[New Supply (Non-Social)]] &lt; J$827, 2, 1 ) ) )</f>
        <v>1</v>
      </c>
      <c r="L863" s="35">
        <f xml:space="preserve"> COUNTIFS( tblFilterAll[Include in output], 1, tblFilterAll[New Supply (Non-Social)], "&gt;" &amp; tblFilterAll[[#This Row],[New Supply (Non-Social)]] ) + 1</f>
        <v>35</v>
      </c>
      <c r="M863" s="30" cm="1">
        <f t="array" ref="M863" xml:space="preserve"> INDEX( VfM_Metrics_2023_Consol_Source[], $AK863, M$832 )</f>
        <v>0.47646443194545601</v>
      </c>
      <c r="N863" s="35">
        <f xml:space="preserve"> IF( tblFilterAll[[#This Row],[Gearing]] &lt; M$825, 4, IF( tblFilterAll[[#This Row],[Gearing]] &lt; M$826, 3, IF( tblFilterAll[[#This Row],[Gearing]] &lt; M$827, 2, 1 ) ) )</f>
        <v>2</v>
      </c>
      <c r="O863" s="35">
        <f xml:space="preserve"> COUNTIFS( tblFilterAll[Include in output], 1, tblFilterAll[Gearing], "&gt;" &amp; tblFilterAll[[#This Row],[Gearing]] ) + 1</f>
        <v>84</v>
      </c>
      <c r="P863" s="30" cm="1">
        <f t="array" ref="P863" xml:space="preserve"> INDEX( VfM_Metrics_2023_Consol_Source[], $AK863, P$832 )</f>
        <v>1.2088627207933065</v>
      </c>
      <c r="Q863" s="35">
        <f xml:space="preserve"> IF( tblFilterAll[[#This Row],[EBITDA MRI Interest Cover]] &lt; P$825, 4, IF( tblFilterAll[[#This Row],[EBITDA MRI Interest Cover]] &lt; P$826, 3, IF( tblFilterAll[[#This Row],[EBITDA MRI Interest Cover]] &lt; P$827, 2, 1 ) ) )</f>
        <v>3</v>
      </c>
      <c r="R863" s="35">
        <f xml:space="preserve"> COUNTIFS( tblFilterAll[Include in output], 1, tblFilterAll[EBITDA MRI Interest Cover], "&gt;" &amp; tblFilterAll[[#This Row],[EBITDA MRI Interest Cover]] ) + 1</f>
        <v>107</v>
      </c>
      <c r="S863" s="32" cm="1">
        <f t="array" ref="S863" xml:space="preserve"> INDEX( VfM_Metrics_2023_Consol_Source[], $AK863, S$832 )</f>
        <v>7137.5166889185584</v>
      </c>
      <c r="T863" s="35">
        <f xml:space="preserve"> IF( tblFilterAll[[#This Row],[Headline Social Housing Cost per unit]] &lt; S$825, 4, IF( tblFilterAll[[#This Row],[Headline Social Housing Cost per unit]] &lt; S$826, 3, IF( tblFilterAll[[#This Row],[Headline Social Housing Cost per unit]] &lt; S$827, 2, 1 ) ) )</f>
        <v>1</v>
      </c>
      <c r="U863" s="35">
        <f xml:space="preserve"> COUNTIFS( tblFilterAll[Include in output], 1, tblFilterAll[Headline Social Housing Cost per unit], "&gt;" &amp; tblFilterAll[[#This Row],[Headline Social Housing Cost per unit]] ) + 1</f>
        <v>33</v>
      </c>
      <c r="V863" s="30" cm="1">
        <f t="array" ref="V863" xml:space="preserve"> INDEX( VfM_Metrics_2023_Consol_Source[], $AK863, V$832 )</f>
        <v>0.1584560690705942</v>
      </c>
      <c r="W863" s="35">
        <f xml:space="preserve"> IF( tblFilterAll[[#This Row],[Operating Margin (SHL)]] &lt; V$825, 4, IF( tblFilterAll[[#This Row],[Operating Margin (SHL)]] &lt; V$826, 3, IF( tblFilterAll[[#This Row],[Operating Margin (SHL)]] &lt; V$827, 2, 1 ) ) )</f>
        <v>3</v>
      </c>
      <c r="X863" s="35">
        <f xml:space="preserve"> COUNTIFS( tblFilterAll[Include in output], 1, tblFilterAll[Operating Margin (SHL)], "&gt;" &amp; tblFilterAll[[#This Row],[Operating Margin (SHL)]] ) + 1</f>
        <v>137</v>
      </c>
      <c r="Y863" s="30" cm="1">
        <f t="array" ref="Y863" xml:space="preserve"> INDEX( VfM_Metrics_2023_Consol_Source[], $AK863, Y$832 )</f>
        <v>0.17075557875505676</v>
      </c>
      <c r="Z863" s="35">
        <f xml:space="preserve"> IF( tblFilterAll[[#This Row],[Operating Margin (Overall)]] &lt; Y$825, 4, IF( tblFilterAll[[#This Row],[Operating Margin (Overall)]] &lt; Y$826, 3, IF( tblFilterAll[[#This Row],[Operating Margin (Overall)]] &lt; Y$827, 2, 1 ) ) )</f>
        <v>3</v>
      </c>
      <c r="AA863" s="35">
        <f xml:space="preserve"> COUNTIFS( tblFilterAll[Include in output], 1, tblFilterAll[Operating Margin (Overall)], "&gt;" &amp; tblFilterAll[[#This Row],[Operating Margin (Overall)]] ) + 1</f>
        <v>106</v>
      </c>
      <c r="AB863" s="30" cm="1">
        <f t="array" ref="AB863" xml:space="preserve"> INDEX( VfM_Metrics_2023_Consol_Source[], $AK863, AB$832 )</f>
        <v>1.6237311691857145E-2</v>
      </c>
      <c r="AC863" s="35">
        <f xml:space="preserve"> IF( tblFilterAll[[#This Row],[ROCE]] &lt; AB$825, 4, IF( tblFilterAll[[#This Row],[ROCE]] &lt; AB$826, 3, IF( tblFilterAll[[#This Row],[ROCE]] &lt; AB$827, 2, 1 ) ) )</f>
        <v>4</v>
      </c>
      <c r="AD863" s="35">
        <f xml:space="preserve"> COUNTIFS( tblFilterAll[Include in output], 1, tblFilterAll[ROCE], "&gt;" &amp; tblFilterAll[[#This Row],[ROCE]] ) + 1</f>
        <v>178</v>
      </c>
      <c r="AE863" s="33" cm="1" vm="8698">
        <f t="array" ref="AE863" xml:space="preserve"> INDEX( VfM_Metrics_2023_Consol_Source[], $AK863, AE$832 )</f>
        <v>1358</v>
      </c>
      <c r="AF863" s="30" cm="1">
        <f t="array" ref="AF863" xml:space="preserve"> INDEX( VfM_Metrics_2023_Consol_Source[], $AK863, AF$832 )</f>
        <v>0.13574982231698648</v>
      </c>
      <c r="AG863" s="30" cm="1">
        <f t="array" ref="AG863" xml:space="preserve"> INDEX( VfM_Metrics_2023_Consol_Source[], $AK863, AG$832 )</f>
        <v>0.1634683724235963</v>
      </c>
      <c r="AH863" s="30" cm="1">
        <f t="array" ref="AH863" xml:space="preserve"> INDEX( VfM_Metrics_2023_Consol_Source[], $AK863, AH$832 )</f>
        <v>0.29921819474058275</v>
      </c>
      <c r="AI863" s="30" t="str" cm="1">
        <f t="array" ref="AI863" xml:space="preserve"> INDEX( VfM_Metrics_2023_Consol_Source[], $AK863, AI$832 )</f>
        <v>Traditional</v>
      </c>
      <c r="AJ863" s="34" t="str" cm="1">
        <f t="array" ref="AJ863" xml:space="preserve"> INDEX( VfM_Metrics_2023_Consol_Source[], $AK863, AJ$832 )</f>
        <v>London</v>
      </c>
      <c r="AK863" s="81">
        <f xml:space="preserve"> MATCH( tblFilterAll[[#This Row],[Code]], VfM_Metrics_2023_Consol_Source[RP_Code], 0 )</f>
        <v>30</v>
      </c>
      <c r="AL863" s="24">
        <f xml:space="preserve"> INDEX( tblFilterRegion[Include for region],  MATCH( tblFilterAll[[#This Row],[Code]], tblFilterRegion[RP_Code], 0 ) )</f>
        <v>1</v>
      </c>
      <c r="AM863" s="24">
        <f xml:space="preserve"> INDEX( tblFilterPropType[Incl for prop type],  MATCH( tblFilterAll[[#This Row],[Code]], tblFilterPropType[RP_Code], 0 ) )</f>
        <v>1</v>
      </c>
      <c r="AN863" s="24">
        <f xml:space="preserve"> INDEX( tblFilterSize[Incl for size],  MATCH( tblFilterAll[[#This Row],[Code]], tblFilterSize[RP_Code], 0 ) )</f>
        <v>1</v>
      </c>
      <c r="AO863" s="24">
        <f xml:space="preserve"> INDEX( tblFilterRP_Type[Incl, for RP Type],  MATCH( tblFilterAll[[#This Row],[Code]], tblFilterRP_Type[RP_Code], 0 ) )</f>
        <v>1</v>
      </c>
      <c r="AP863" s="24">
        <f xml:space="preserve">  -- ( SUM( tblFilterAll[[#This Row],[Filter Region]:[Filter RP Type]] ) = 4 )</f>
        <v>1</v>
      </c>
      <c r="AQ863" s="24">
        <f xml:space="preserve"> -- ( tblFilterAll[[#This Row],[Provider name]] = SelectedProvider )</f>
        <v>0</v>
      </c>
      <c r="AR863" s="24">
        <f xml:space="preserve">  -- ( OR( SUM( tblFilterAll[[#This Row],[Filter Region]:[Filter RP Type]] ) = 4, tblFilterAll[[#This Row],[SelectedProvider]] = 1 ) )</f>
        <v>1</v>
      </c>
      <c r="AS863" s="24">
        <f xml:space="preserve"> -- ( INDEX( PeersCritera[Included in final peers], MATCH( tblFilterAll[[#This Row],[Provider name]], PeersCritera[RP_Name], 0 ) ) = 1 )</f>
        <v>1</v>
      </c>
      <c r="AT863" s="30" t="str" cm="1">
        <f t="array" ref="AT863" xml:space="preserve"> SUBSTITUTE( INDEX( VfM_Metrics_2023_Consol_Source[], $AK863, AT$832 ), 0, "" )</f>
        <v/>
      </c>
      <c r="AU863" s="34" cm="1">
        <f t="array" ref="AU863" xml:space="preserve"> INDEX( VfM_Metrics_2023_Consol_Source[], $AK863, AU$832 )</f>
        <v>1</v>
      </c>
      <c r="AV863" s="34" cm="1">
        <f t="array" ref="AV863" xml:space="preserve"> INDEX( VfM_Metrics_2023_Consol_Source[], $AK863, AV$832 )</f>
        <v>0</v>
      </c>
      <c r="AW863" s="34" cm="1">
        <f t="array" ref="AW863" xml:space="preserve"> INDEX( VfM_Metrics_2023_Consol_Source[], $AK863, AW$832 )</f>
        <v>0</v>
      </c>
      <c r="AX863" s="34" cm="1">
        <f t="array" ref="AX863" xml:space="preserve"> INDEX( VfM_Metrics_2023_Consol_Source[], $AK863, AX$832 )</f>
        <v>0</v>
      </c>
      <c r="AY863" s="34" cm="1">
        <f t="array" ref="AY863" xml:space="preserve"> INDEX( VfM_Metrics_2023_Consol_Source[], $AK863, AY$832 )</f>
        <v>0</v>
      </c>
      <c r="AZ863" s="34" cm="1">
        <f t="array" ref="AZ863" xml:space="preserve"> INDEX( VfM_Metrics_2023_Consol_Source[], $AK863, AZ$832 )</f>
        <v>0</v>
      </c>
      <c r="BA863" s="34" cm="1">
        <f t="array" ref="BA863" xml:space="preserve"> INDEX( VfM_Metrics_2023_Consol_Source[], $AK863, BA$832 )</f>
        <v>0</v>
      </c>
      <c r="BB863" s="34" cm="1">
        <f t="array" ref="BB863" xml:space="preserve"> INDEX( VfM_Metrics_2023_Consol_Source[], $AK863, BB$832 )</f>
        <v>0</v>
      </c>
      <c r="BC863" s="34" cm="1">
        <f t="array" ref="BC863" xml:space="preserve"> INDEX( VfM_Metrics_2023_Consol_Source[], $AK863, BC$832 )</f>
        <v>0</v>
      </c>
    </row>
    <row r="864" spans="2:55" x14ac:dyDescent="0.2">
      <c r="B864" s="122" t="str" vm="31">
        <f t="shared" ref="B864" si="363" xml:space="preserve"> B654</f>
        <v>Citizen Housing Group Limited</v>
      </c>
      <c r="C864" s="122" t="str" vm="342">
        <f t="shared" ref="C864" si="364" xml:space="preserve"> C654</f>
        <v>5075</v>
      </c>
      <c r="D864" s="30" cm="1">
        <f t="array" ref="D864" xml:space="preserve"> INDEX( VfM_Metrics_2023_Consol_Source[], $AK864, D$832 )</f>
        <v>8.9448107581523037E-2</v>
      </c>
      <c r="E864" s="35">
        <f xml:space="preserve"> IF( tblFilterAll[[#This Row],[Reinvestment]] &lt; D$825, 4, IF( tblFilterAll[[#This Row],[Reinvestment]] &lt; D$826, 3, IF( tblFilterAll[[#This Row],[Reinvestment]] &lt; D$827, 2, 1 ) ) )</f>
        <v>2</v>
      </c>
      <c r="F864" s="35">
        <f xml:space="preserve"> COUNTIFS( tblFilterAll[Include in output], 1, tblFilterAll[Reinvestment], "&gt;" &amp; tblFilterAll[[#This Row],[Reinvestment]] ) + 1</f>
        <v>54</v>
      </c>
      <c r="G864" s="30" cm="1">
        <f t="array" ref="G864" xml:space="preserve"> INDEX( VfM_Metrics_2023_Consol_Source[], $AK864, G$832 )</f>
        <v>1.9354397483244426E-2</v>
      </c>
      <c r="H864" s="35">
        <f xml:space="preserve"> IF( tblFilterAll[[#This Row],[New Supply (Social)]] &lt; G$825, 4, IF( tblFilterAll[[#This Row],[New Supply (Social)]] &lt; G$826, 3, IF( tblFilterAll[[#This Row],[New Supply (Social)]] &lt; G$827, 2, 1 ) ) )</f>
        <v>2</v>
      </c>
      <c r="I864" s="35">
        <f xml:space="preserve"> COUNTIFS( tblFilterAll[Include in output], 1, tblFilterAll[New Supply (Social)], "&gt;" &amp; tblFilterAll[[#This Row],[New Supply (Social)]] ) + 1</f>
        <v>62</v>
      </c>
      <c r="J864" s="31" cm="1">
        <f t="array" ref="J864" xml:space="preserve"> INDEX( VfM_Metrics_2023_Consol_Source[], $AK864, J$832 )</f>
        <v>9.4664100217727433E-4</v>
      </c>
      <c r="K864" s="35">
        <f xml:space="preserve"> IF( tblFilterAll[[#This Row],[New Supply (Non-Social)]] &lt; J$825, 4, IF( tblFilterAll[[#This Row],[New Supply (Non-Social)]] &lt; J$826, 3, IF( tblFilterAll[[#This Row],[New Supply (Non-Social)]] &lt; J$827, 2, 1 ) ) )</f>
        <v>1</v>
      </c>
      <c r="L864" s="35">
        <f xml:space="preserve"> COUNTIFS( tblFilterAll[Include in output], 1, tblFilterAll[New Supply (Non-Social)], "&gt;" &amp; tblFilterAll[[#This Row],[New Supply (Non-Social)]] ) + 1</f>
        <v>45</v>
      </c>
      <c r="M864" s="30" cm="1">
        <f t="array" ref="M864" xml:space="preserve"> INDEX( VfM_Metrics_2023_Consol_Source[], $AK864, M$832 )</f>
        <v>0.46799566052475294</v>
      </c>
      <c r="N864" s="35">
        <f xml:space="preserve"> IF( tblFilterAll[[#This Row],[Gearing]] &lt; M$825, 4, IF( tblFilterAll[[#This Row],[Gearing]] &lt; M$826, 3, IF( tblFilterAll[[#This Row],[Gearing]] &lt; M$827, 2, 1 ) ) )</f>
        <v>2</v>
      </c>
      <c r="O864" s="35">
        <f xml:space="preserve"> COUNTIFS( tblFilterAll[Include in output], 1, tblFilterAll[Gearing], "&gt;" &amp; tblFilterAll[[#This Row],[Gearing]] ) + 1</f>
        <v>89</v>
      </c>
      <c r="P864" s="30" cm="1">
        <f t="array" ref="P864" xml:space="preserve"> INDEX( VfM_Metrics_2023_Consol_Source[], $AK864, P$832 )</f>
        <v>1.2825911973984996</v>
      </c>
      <c r="Q864" s="35">
        <f xml:space="preserve"> IF( tblFilterAll[[#This Row],[EBITDA MRI Interest Cover]] &lt; P$825, 4, IF( tblFilterAll[[#This Row],[EBITDA MRI Interest Cover]] &lt; P$826, 3, IF( tblFilterAll[[#This Row],[EBITDA MRI Interest Cover]] &lt; P$827, 2, 1 ) ) )</f>
        <v>3</v>
      </c>
      <c r="R864" s="35">
        <f xml:space="preserve"> COUNTIFS( tblFilterAll[Include in output], 1, tblFilterAll[EBITDA MRI Interest Cover], "&gt;" &amp; tblFilterAll[[#This Row],[EBITDA MRI Interest Cover]] ) + 1</f>
        <v>99</v>
      </c>
      <c r="S864" s="32" cm="1">
        <f t="array" ref="S864" xml:space="preserve"> INDEX( VfM_Metrics_2023_Consol_Source[], $AK864, S$832 )</f>
        <v>4188.4602253328776</v>
      </c>
      <c r="T864" s="35">
        <f xml:space="preserve"> IF( tblFilterAll[[#This Row],[Headline Social Housing Cost per unit]] &lt; S$825, 4, IF( tblFilterAll[[#This Row],[Headline Social Housing Cost per unit]] &lt; S$826, 3, IF( tblFilterAll[[#This Row],[Headline Social Housing Cost per unit]] &lt; S$827, 2, 1 ) ) )</f>
        <v>3</v>
      </c>
      <c r="U864" s="35">
        <f xml:space="preserve"> COUNTIFS( tblFilterAll[Include in output], 1, tblFilterAll[Headline Social Housing Cost per unit], "&gt;" &amp; tblFilterAll[[#This Row],[Headline Social Housing Cost per unit]] ) + 1</f>
        <v>139</v>
      </c>
      <c r="V864" s="30" cm="1">
        <f t="array" ref="V864" xml:space="preserve"> INDEX( VfM_Metrics_2023_Consol_Source[], $AK864, V$832 )</f>
        <v>0.24258492024275596</v>
      </c>
      <c r="W864" s="35">
        <f xml:space="preserve"> IF( tblFilterAll[[#This Row],[Operating Margin (SHL)]] &lt; V$825, 4, IF( tblFilterAll[[#This Row],[Operating Margin (SHL)]] &lt; V$826, 3, IF( tblFilterAll[[#This Row],[Operating Margin (SHL)]] &lt; V$827, 2, 1 ) ) )</f>
        <v>2</v>
      </c>
      <c r="X864" s="35">
        <f xml:space="preserve"> COUNTIFS( tblFilterAll[Include in output], 1, tblFilterAll[Operating Margin (SHL)], "&gt;" &amp; tblFilterAll[[#This Row],[Operating Margin (SHL)]] ) + 1</f>
        <v>62</v>
      </c>
      <c r="Y864" s="30" cm="1">
        <f t="array" ref="Y864" xml:space="preserve"> INDEX( VfM_Metrics_2023_Consol_Source[], $AK864, Y$832 )</f>
        <v>0.24482439976006615</v>
      </c>
      <c r="Z864" s="35">
        <f xml:space="preserve"> IF( tblFilterAll[[#This Row],[Operating Margin (Overall)]] &lt; Y$825, 4, IF( tblFilterAll[[#This Row],[Operating Margin (Overall)]] &lt; Y$826, 3, IF( tblFilterAll[[#This Row],[Operating Margin (Overall)]] &lt; Y$827, 2, 1 ) ) )</f>
        <v>1</v>
      </c>
      <c r="AA864" s="35">
        <f xml:space="preserve"> COUNTIFS( tblFilterAll[Include in output], 1, tblFilterAll[Operating Margin (Overall)], "&gt;" &amp; tblFilterAll[[#This Row],[Operating Margin (Overall)]] ) + 1</f>
        <v>40</v>
      </c>
      <c r="AB864" s="30" cm="1">
        <f t="array" ref="AB864" xml:space="preserve"> INDEX( VfM_Metrics_2023_Consol_Source[], $AK864, AB$832 )</f>
        <v>3.6494824744014741E-2</v>
      </c>
      <c r="AC864" s="35">
        <f xml:space="preserve"> IF( tblFilterAll[[#This Row],[ROCE]] &lt; AB$825, 4, IF( tblFilterAll[[#This Row],[ROCE]] &lt; AB$826, 3, IF( tblFilterAll[[#This Row],[ROCE]] &lt; AB$827, 2, 1 ) ) )</f>
        <v>1</v>
      </c>
      <c r="AD864" s="35">
        <f xml:space="preserve"> COUNTIFS( tblFilterAll[Include in output], 1, tblFilterAll[ROCE], "&gt;" &amp; tblFilterAll[[#This Row],[ROCE]] ) + 1</f>
        <v>48</v>
      </c>
      <c r="AE864" s="33" cm="1" vm="7048">
        <f t="array" ref="AE864" xml:space="preserve"> INDEX( VfM_Metrics_2023_Consol_Source[], $AK864, AE$832 )</f>
        <v>29244</v>
      </c>
      <c r="AF864" s="30" cm="1">
        <f t="array" ref="AF864" xml:space="preserve"> INDEX( VfM_Metrics_2023_Consol_Source[], $AK864, AF$832 )</f>
        <v>1.5339313839621995E-2</v>
      </c>
      <c r="AG864" s="30" cm="1">
        <f t="array" ref="AG864" xml:space="preserve"> INDEX( VfM_Metrics_2023_Consol_Source[], $AK864, AG$832 )</f>
        <v>2.4378552352256385E-2</v>
      </c>
      <c r="AH864" s="30" cm="1">
        <f t="array" ref="AH864" xml:space="preserve"> INDEX( VfM_Metrics_2023_Consol_Source[], $AK864, AH$832 )</f>
        <v>3.9717866191878379E-2</v>
      </c>
      <c r="AI864" s="30" t="str" cm="1">
        <f t="array" ref="AI864" xml:space="preserve"> INDEX( VfM_Metrics_2023_Consol_Source[], $AK864, AI$832 )</f>
        <v>Traditional</v>
      </c>
      <c r="AJ864" s="34" t="str" cm="1">
        <f t="array" ref="AJ864" xml:space="preserve"> INDEX( VfM_Metrics_2023_Consol_Source[], $AK864, AJ$832 )</f>
        <v>West Midlands</v>
      </c>
      <c r="AK864" s="81">
        <f xml:space="preserve"> MATCH( tblFilterAll[[#This Row],[Code]], VfM_Metrics_2023_Consol_Source[RP_Code], 0 )</f>
        <v>31</v>
      </c>
      <c r="AL864" s="24">
        <f xml:space="preserve"> INDEX( tblFilterRegion[Include for region],  MATCH( tblFilterAll[[#This Row],[Code]], tblFilterRegion[RP_Code], 0 ) )</f>
        <v>1</v>
      </c>
      <c r="AM864" s="24">
        <f xml:space="preserve"> INDEX( tblFilterPropType[Incl for prop type],  MATCH( tblFilterAll[[#This Row],[Code]], tblFilterPropType[RP_Code], 0 ) )</f>
        <v>1</v>
      </c>
      <c r="AN864" s="24">
        <f xml:space="preserve"> INDEX( tblFilterSize[Incl for size],  MATCH( tblFilterAll[[#This Row],[Code]], tblFilterSize[RP_Code], 0 ) )</f>
        <v>1</v>
      </c>
      <c r="AO864" s="24">
        <f xml:space="preserve"> INDEX( tblFilterRP_Type[Incl, for RP Type],  MATCH( tblFilterAll[[#This Row],[Code]], tblFilterRP_Type[RP_Code], 0 ) )</f>
        <v>1</v>
      </c>
      <c r="AP864" s="24">
        <f xml:space="preserve">  -- ( SUM( tblFilterAll[[#This Row],[Filter Region]:[Filter RP Type]] ) = 4 )</f>
        <v>1</v>
      </c>
      <c r="AQ864" s="24">
        <f xml:space="preserve"> -- ( tblFilterAll[[#This Row],[Provider name]] = SelectedProvider )</f>
        <v>0</v>
      </c>
      <c r="AR864" s="24">
        <f xml:space="preserve">  -- ( OR( SUM( tblFilterAll[[#This Row],[Filter Region]:[Filter RP Type]] ) = 4, tblFilterAll[[#This Row],[SelectedProvider]] = 1 ) )</f>
        <v>1</v>
      </c>
      <c r="AS864" s="24">
        <f xml:space="preserve"> -- ( INDEX( PeersCritera[Included in final peers], MATCH( tblFilterAll[[#This Row],[Provider name]], PeersCritera[RP_Name], 0 ) ) = 1 )</f>
        <v>1</v>
      </c>
      <c r="AT864" s="30" t="str" cm="1">
        <f t="array" ref="AT864" xml:space="preserve"> SUBSTITUTE( INDEX( VfM_Metrics_2023_Consol_Source[], $AK864, AT$832 ), 0, "" )</f>
        <v>&gt;= 12 years</v>
      </c>
      <c r="AU864" s="34" cm="1">
        <f t="array" ref="AU864" xml:space="preserve"> INDEX( VfM_Metrics_2023_Consol_Source[], $AK864, AU$832 )</f>
        <v>0</v>
      </c>
      <c r="AV864" s="34" cm="1">
        <f t="array" ref="AV864" xml:space="preserve"> INDEX( VfM_Metrics_2023_Consol_Source[], $AK864, AV$832 )</f>
        <v>0</v>
      </c>
      <c r="AW864" s="34" cm="1">
        <f t="array" ref="AW864" xml:space="preserve"> INDEX( VfM_Metrics_2023_Consol_Source[], $AK864, AW$832 )</f>
        <v>8.8907126248119277E-4</v>
      </c>
      <c r="AX864" s="34" cm="1">
        <f t="array" ref="AX864" xml:space="preserve"> INDEX( VfM_Metrics_2023_Consol_Source[], $AK864, AX$832 )</f>
        <v>0</v>
      </c>
      <c r="AY864" s="34" cm="1">
        <f t="array" ref="AY864" xml:space="preserve"> INDEX( VfM_Metrics_2023_Consol_Source[], $AK864, AY$832 )</f>
        <v>0.99911092873751883</v>
      </c>
      <c r="AZ864" s="34" cm="1">
        <f t="array" ref="AZ864" xml:space="preserve"> INDEX( VfM_Metrics_2023_Consol_Source[], $AK864, AZ$832 )</f>
        <v>0</v>
      </c>
      <c r="BA864" s="34" cm="1">
        <f t="array" ref="BA864" xml:space="preserve"> INDEX( VfM_Metrics_2023_Consol_Source[], $AK864, BA$832 )</f>
        <v>0</v>
      </c>
      <c r="BB864" s="34" cm="1">
        <f t="array" ref="BB864" xml:space="preserve"> INDEX( VfM_Metrics_2023_Consol_Source[], $AK864, BB$832 )</f>
        <v>0</v>
      </c>
      <c r="BC864" s="34" cm="1">
        <f t="array" ref="BC864" xml:space="preserve"> INDEX( VfM_Metrics_2023_Consol_Source[], $AK864, BC$832 )</f>
        <v>0</v>
      </c>
    </row>
    <row r="865" spans="2:55" x14ac:dyDescent="0.2">
      <c r="B865" s="122" t="str" vm="32">
        <f t="shared" ref="B865" si="365" xml:space="preserve"> B655</f>
        <v>Clarion Housing Group Limited</v>
      </c>
      <c r="C865" s="122" t="str" vm="246">
        <f t="shared" ref="C865" si="366" xml:space="preserve"> C655</f>
        <v>LH4087</v>
      </c>
      <c r="D865" s="30" cm="1">
        <f t="array" ref="D865" xml:space="preserve"> INDEX( VfM_Metrics_2023_Consol_Source[], $AK865, D$832 )</f>
        <v>5.5830186656502009E-2</v>
      </c>
      <c r="E865" s="35">
        <f xml:space="preserve"> IF( tblFilterAll[[#This Row],[Reinvestment]] &lt; D$825, 4, IF( tblFilterAll[[#This Row],[Reinvestment]] &lt; D$826, 3, IF( tblFilterAll[[#This Row],[Reinvestment]] &lt; D$827, 2, 1 ) ) )</f>
        <v>3</v>
      </c>
      <c r="F865" s="35">
        <f xml:space="preserve"> COUNTIFS( tblFilterAll[Include in output], 1, tblFilterAll[Reinvestment], "&gt;" &amp; tblFilterAll[[#This Row],[Reinvestment]] ) + 1</f>
        <v>131</v>
      </c>
      <c r="G865" s="30" cm="1">
        <f t="array" ref="G865" xml:space="preserve"> INDEX( VfM_Metrics_2023_Consol_Source[], $AK865, G$832 )</f>
        <v>1.3360834384107288E-2</v>
      </c>
      <c r="H865" s="35">
        <f xml:space="preserve"> IF( tblFilterAll[[#This Row],[New Supply (Social)]] &lt; G$825, 4, IF( tblFilterAll[[#This Row],[New Supply (Social)]] &lt; G$826, 3, IF( tblFilterAll[[#This Row],[New Supply (Social)]] &lt; G$827, 2, 1 ) ) )</f>
        <v>2</v>
      </c>
      <c r="I865" s="35">
        <f xml:space="preserve"> COUNTIFS( tblFilterAll[Include in output], 1, tblFilterAll[New Supply (Social)], "&gt;" &amp; tblFilterAll[[#This Row],[New Supply (Social)]] ) + 1</f>
        <v>97</v>
      </c>
      <c r="J865" s="31" cm="1">
        <f t="array" ref="J865" xml:space="preserve"> INDEX( VfM_Metrics_2023_Consol_Source[], $AK865, J$832 )</f>
        <v>2.5087286178822814E-3</v>
      </c>
      <c r="K865" s="35">
        <f xml:space="preserve"> IF( tblFilterAll[[#This Row],[New Supply (Non-Social)]] &lt; J$825, 4, IF( tblFilterAll[[#This Row],[New Supply (Non-Social)]] &lt; J$826, 3, IF( tblFilterAll[[#This Row],[New Supply (Non-Social)]] &lt; J$827, 2, 1 ) ) )</f>
        <v>1</v>
      </c>
      <c r="L865" s="35">
        <f xml:space="preserve"> COUNTIFS( tblFilterAll[Include in output], 1, tblFilterAll[New Supply (Non-Social)], "&gt;" &amp; tblFilterAll[[#This Row],[New Supply (Non-Social)]] ) + 1</f>
        <v>31</v>
      </c>
      <c r="M865" s="30" cm="1">
        <f t="array" ref="M865" xml:space="preserve"> INDEX( VfM_Metrics_2023_Consol_Source[], $AK865, M$832 )</f>
        <v>0.52745053662255359</v>
      </c>
      <c r="N865" s="35">
        <f xml:space="preserve"> IF( tblFilterAll[[#This Row],[Gearing]] &lt; M$825, 4, IF( tblFilterAll[[#This Row],[Gearing]] &lt; M$826, 3, IF( tblFilterAll[[#This Row],[Gearing]] &lt; M$827, 2, 1 ) ) )</f>
        <v>2</v>
      </c>
      <c r="O865" s="35">
        <f xml:space="preserve"> COUNTIFS( tblFilterAll[Include in output], 1, tblFilterAll[Gearing], "&gt;" &amp; tblFilterAll[[#This Row],[Gearing]] ) + 1</f>
        <v>56</v>
      </c>
      <c r="P865" s="30" cm="1">
        <f t="array" ref="P865" xml:space="preserve"> INDEX( VfM_Metrics_2023_Consol_Source[], $AK865, P$832 )</f>
        <v>0.66839602248162555</v>
      </c>
      <c r="Q865" s="35">
        <f xml:space="preserve"> IF( tblFilterAll[[#This Row],[EBITDA MRI Interest Cover]] &lt; P$825, 4, IF( tblFilterAll[[#This Row],[EBITDA MRI Interest Cover]] &lt; P$826, 3, IF( tblFilterAll[[#This Row],[EBITDA MRI Interest Cover]] &lt; P$827, 2, 1 ) ) )</f>
        <v>4</v>
      </c>
      <c r="R865" s="35">
        <f xml:space="preserve"> COUNTIFS( tblFilterAll[Include in output], 1, tblFilterAll[EBITDA MRI Interest Cover], "&gt;" &amp; tblFilterAll[[#This Row],[EBITDA MRI Interest Cover]] ) + 1</f>
        <v>162</v>
      </c>
      <c r="S865" s="32" cm="1">
        <f t="array" ref="S865" xml:space="preserve"> INDEX( VfM_Metrics_2023_Consol_Source[], $AK865, S$832 )</f>
        <v>5564.7227210983583</v>
      </c>
      <c r="T865" s="35">
        <f xml:space="preserve"> IF( tblFilterAll[[#This Row],[Headline Social Housing Cost per unit]] &lt; S$825, 4, IF( tblFilterAll[[#This Row],[Headline Social Housing Cost per unit]] &lt; S$826, 3, IF( tblFilterAll[[#This Row],[Headline Social Housing Cost per unit]] &lt; S$827, 2, 1 ) ) )</f>
        <v>2</v>
      </c>
      <c r="U865" s="35">
        <f xml:space="preserve"> COUNTIFS( tblFilterAll[Include in output], 1, tblFilterAll[Headline Social Housing Cost per unit], "&gt;" &amp; tblFilterAll[[#This Row],[Headline Social Housing Cost per unit]] ) + 1</f>
        <v>56</v>
      </c>
      <c r="V865" s="30" cm="1">
        <f t="array" ref="V865" xml:space="preserve"> INDEX( VfM_Metrics_2023_Consol_Source[], $AK865, V$832 )</f>
        <v>0.19585814834867352</v>
      </c>
      <c r="W865" s="35">
        <f xml:space="preserve"> IF( tblFilterAll[[#This Row],[Operating Margin (SHL)]] &lt; V$825, 4, IF( tblFilterAll[[#This Row],[Operating Margin (SHL)]] &lt; V$826, 3, IF( tblFilterAll[[#This Row],[Operating Margin (SHL)]] &lt; V$827, 2, 1 ) ) )</f>
        <v>3</v>
      </c>
      <c r="X865" s="35">
        <f xml:space="preserve"> COUNTIFS( tblFilterAll[Include in output], 1, tblFilterAll[Operating Margin (SHL)], "&gt;" &amp; tblFilterAll[[#This Row],[Operating Margin (SHL)]] ) + 1</f>
        <v>104</v>
      </c>
      <c r="Y865" s="30" cm="1">
        <f t="array" ref="Y865" xml:space="preserve"> INDEX( VfM_Metrics_2023_Consol_Source[], $AK865, Y$832 )</f>
        <v>0.16322683072038102</v>
      </c>
      <c r="Z865" s="35">
        <f xml:space="preserve"> IF( tblFilterAll[[#This Row],[Operating Margin (Overall)]] &lt; Y$825, 4, IF( tblFilterAll[[#This Row],[Operating Margin (Overall)]] &lt; Y$826, 3, IF( tblFilterAll[[#This Row],[Operating Margin (Overall)]] &lt; Y$827, 2, 1 ) ) )</f>
        <v>3</v>
      </c>
      <c r="AA865" s="35">
        <f xml:space="preserve"> COUNTIFS( tblFilterAll[Include in output], 1, tblFilterAll[Operating Margin (Overall)], "&gt;" &amp; tblFilterAll[[#This Row],[Operating Margin (Overall)]] ) + 1</f>
        <v>117</v>
      </c>
      <c r="AB865" s="30" cm="1">
        <f t="array" ref="AB865" xml:space="preserve"> INDEX( VfM_Metrics_2023_Consol_Source[], $AK865, AB$832 )</f>
        <v>2.8760431722988301E-2</v>
      </c>
      <c r="AC865" s="35">
        <f xml:space="preserve"> IF( tblFilterAll[[#This Row],[ROCE]] &lt; AB$825, 4, IF( tblFilterAll[[#This Row],[ROCE]] &lt; AB$826, 3, IF( tblFilterAll[[#This Row],[ROCE]] &lt; AB$827, 2, 1 ) ) )</f>
        <v>2</v>
      </c>
      <c r="AD865" s="35">
        <f xml:space="preserve"> COUNTIFS( tblFilterAll[Include in output], 1, tblFilterAll[ROCE], "&gt;" &amp; tblFilterAll[[#This Row],[ROCE]] ) + 1</f>
        <v>96</v>
      </c>
      <c r="AE865" s="33" cm="1" vm="1632">
        <f t="array" ref="AE865" xml:space="preserve"> INDEX( VfM_Metrics_2023_Consol_Source[], $AK865, AE$832 )</f>
        <v>109520</v>
      </c>
      <c r="AF865" s="30" cm="1">
        <f t="array" ref="AF865" xml:space="preserve"> INDEX( VfM_Metrics_2023_Consol_Source[], $AK865, AF$832 )</f>
        <v>1.4766073821191932E-2</v>
      </c>
      <c r="AG865" s="30" cm="1">
        <f t="array" ref="AG865" xml:space="preserve"> INDEX( VfM_Metrics_2023_Consol_Source[], $AK865, AG$832 )</f>
        <v>6.0055430134170293E-2</v>
      </c>
      <c r="AH865" s="30" cm="1">
        <f t="array" ref="AH865" xml:space="preserve"> INDEX( VfM_Metrics_2023_Consol_Source[], $AK865, AH$832 )</f>
        <v>7.4821503955362217E-2</v>
      </c>
      <c r="AI865" s="30" t="str" cm="1">
        <f t="array" ref="AI865" xml:space="preserve"> INDEX( VfM_Metrics_2023_Consol_Source[], $AK865, AI$832 )</f>
        <v>Traditional</v>
      </c>
      <c r="AJ865" s="34" t="str" cm="1">
        <f t="array" ref="AJ865" xml:space="preserve"> INDEX( VfM_Metrics_2023_Consol_Source[], $AK865, AJ$832 )</f>
        <v>Mixed</v>
      </c>
      <c r="AK865" s="81">
        <f xml:space="preserve"> MATCH( tblFilterAll[[#This Row],[Code]], VfM_Metrics_2023_Consol_Source[RP_Code], 0 )</f>
        <v>32</v>
      </c>
      <c r="AL865" s="24">
        <f xml:space="preserve"> INDEX( tblFilterRegion[Include for region],  MATCH( tblFilterAll[[#This Row],[Code]], tblFilterRegion[RP_Code], 0 ) )</f>
        <v>1</v>
      </c>
      <c r="AM865" s="24">
        <f xml:space="preserve"> INDEX( tblFilterPropType[Incl for prop type],  MATCH( tblFilterAll[[#This Row],[Code]], tblFilterPropType[RP_Code], 0 ) )</f>
        <v>1</v>
      </c>
      <c r="AN865" s="24">
        <f xml:space="preserve"> INDEX( tblFilterSize[Incl for size],  MATCH( tblFilterAll[[#This Row],[Code]], tblFilterSize[RP_Code], 0 ) )</f>
        <v>1</v>
      </c>
      <c r="AO865" s="24">
        <f xml:space="preserve"> INDEX( tblFilterRP_Type[Incl, for RP Type],  MATCH( tblFilterAll[[#This Row],[Code]], tblFilterRP_Type[RP_Code], 0 ) )</f>
        <v>1</v>
      </c>
      <c r="AP865" s="24">
        <f xml:space="preserve">  -- ( SUM( tblFilterAll[[#This Row],[Filter Region]:[Filter RP Type]] ) = 4 )</f>
        <v>1</v>
      </c>
      <c r="AQ865" s="24">
        <f xml:space="preserve"> -- ( tblFilterAll[[#This Row],[Provider name]] = SelectedProvider )</f>
        <v>0</v>
      </c>
      <c r="AR865" s="24">
        <f xml:space="preserve">  -- ( OR( SUM( tblFilterAll[[#This Row],[Filter Region]:[Filter RP Type]] ) = 4, tblFilterAll[[#This Row],[SelectedProvider]] = 1 ) )</f>
        <v>1</v>
      </c>
      <c r="AS865" s="24">
        <f xml:space="preserve"> -- ( INDEX( PeersCritera[Included in final peers], MATCH( tblFilterAll[[#This Row],[Provider name]], PeersCritera[RP_Name], 0 ) ) = 1 )</f>
        <v>1</v>
      </c>
      <c r="AT865" s="30" t="str" cm="1">
        <f t="array" ref="AT865" xml:space="preserve"> SUBSTITUTE( INDEX( VfM_Metrics_2023_Consol_Source[], $AK865, AT$832 ), 0, "" )</f>
        <v/>
      </c>
      <c r="AU865" s="34" cm="1">
        <f t="array" ref="AU865" xml:space="preserve"> INDEX( VfM_Metrics_2023_Consol_Source[], $AK865, AU$832 )</f>
        <v>0.38621370223497375</v>
      </c>
      <c r="AV865" s="34" cm="1">
        <f t="array" ref="AV865" xml:space="preserve"> INDEX( VfM_Metrics_2023_Consol_Source[], $AK865, AV$832 )</f>
        <v>0.25905045594926995</v>
      </c>
      <c r="AW865" s="34" cm="1">
        <f t="array" ref="AW865" xml:space="preserve"> INDEX( VfM_Metrics_2023_Consol_Source[], $AK865, AW$832 )</f>
        <v>2.0385226878163777E-2</v>
      </c>
      <c r="AX865" s="34" cm="1">
        <f t="array" ref="AX865" xml:space="preserve"> INDEX( VfM_Metrics_2023_Consol_Source[], $AK865, AX$832 )</f>
        <v>2.5036092176678056E-3</v>
      </c>
      <c r="AY865" s="34" cm="1">
        <f t="array" ref="AY865" xml:space="preserve"> INDEX( VfM_Metrics_2023_Consol_Source[], $AK865, AY$832 )</f>
        <v>4.8381791268434421E-2</v>
      </c>
      <c r="AZ865" s="34" cm="1">
        <f t="array" ref="AZ865" xml:space="preserve"> INDEX( VfM_Metrics_2023_Consol_Source[], $AK865, AZ$832 )</f>
        <v>0.24374554558578973</v>
      </c>
      <c r="BA865" s="34" cm="1">
        <f t="array" ref="BA865" xml:space="preserve"> INDEX( VfM_Metrics_2023_Consol_Source[], $AK865, BA$832 )</f>
        <v>0</v>
      </c>
      <c r="BB865" s="34" cm="1">
        <f t="array" ref="BB865" xml:space="preserve"> INDEX( VfM_Metrics_2023_Consol_Source[], $AK865, BB$832 )</f>
        <v>2.5136602035781511E-2</v>
      </c>
      <c r="BC865" s="34" cm="1">
        <f t="array" ref="BC865" xml:space="preserve"> INDEX( VfM_Metrics_2023_Consol_Source[], $AK865, BC$832 )</f>
        <v>1.4583066829919044E-2</v>
      </c>
    </row>
    <row r="866" spans="2:55" x14ac:dyDescent="0.2">
      <c r="B866" s="122" t="str" vm="33">
        <f t="shared" ref="B866" si="367" xml:space="preserve"> B656</f>
        <v>Coastline Housing Limited</v>
      </c>
      <c r="C866" s="122" t="str" vm="363">
        <f t="shared" ref="C866:C897" si="368" xml:space="preserve"> C656</f>
        <v>LH4165</v>
      </c>
      <c r="D866" s="30" cm="1">
        <f t="array" ref="D866" xml:space="preserve"> INDEX( VfM_Metrics_2023_Consol_Source[], $AK866, D$832 )</f>
        <v>8.8568227537055108E-2</v>
      </c>
      <c r="E866" s="35">
        <f xml:space="preserve"> IF( tblFilterAll[[#This Row],[Reinvestment]] &lt; D$825, 4, IF( tblFilterAll[[#This Row],[Reinvestment]] &lt; D$826, 3, IF( tblFilterAll[[#This Row],[Reinvestment]] &lt; D$827, 2, 1 ) ) )</f>
        <v>2</v>
      </c>
      <c r="F866" s="35">
        <f xml:space="preserve"> COUNTIFS( tblFilterAll[Include in output], 1, tblFilterAll[Reinvestment], "&gt;" &amp; tblFilterAll[[#This Row],[Reinvestment]] ) + 1</f>
        <v>58</v>
      </c>
      <c r="G866" s="30" cm="1">
        <f t="array" ref="G866" xml:space="preserve"> INDEX( VfM_Metrics_2023_Consol_Source[], $AK866, G$832 )</f>
        <v>3.3403321244512313E-2</v>
      </c>
      <c r="H866" s="35">
        <f xml:space="preserve"> IF( tblFilterAll[[#This Row],[New Supply (Social)]] &lt; G$825, 4, IF( tblFilterAll[[#This Row],[New Supply (Social)]] &lt; G$826, 3, IF( tblFilterAll[[#This Row],[New Supply (Social)]] &lt; G$827, 2, 1 ) ) )</f>
        <v>1</v>
      </c>
      <c r="I866" s="35">
        <f xml:space="preserve"> COUNTIFS( tblFilterAll[Include in output], 1, tblFilterAll[New Supply (Social)], "&gt;" &amp; tblFilterAll[[#This Row],[New Supply (Social)]] ) + 1</f>
        <v>13</v>
      </c>
      <c r="J866" s="31" cm="1">
        <f t="array" ref="J866" xml:space="preserve"> INDEX( VfM_Metrics_2023_Consol_Source[], $AK866, J$832 )</f>
        <v>3.8160656363289448E-3</v>
      </c>
      <c r="K866" s="35">
        <f xml:space="preserve"> IF( tblFilterAll[[#This Row],[New Supply (Non-Social)]] &lt; J$825, 4, IF( tblFilterAll[[#This Row],[New Supply (Non-Social)]] &lt; J$826, 3, IF( tblFilterAll[[#This Row],[New Supply (Non-Social)]] &lt; J$827, 2, 1 ) ) )</f>
        <v>1</v>
      </c>
      <c r="L866" s="35">
        <f xml:space="preserve"> COUNTIFS( tblFilterAll[Include in output], 1, tblFilterAll[New Supply (Non-Social)], "&gt;" &amp; tblFilterAll[[#This Row],[New Supply (Non-Social)]] ) + 1</f>
        <v>26</v>
      </c>
      <c r="M866" s="30" cm="1">
        <f t="array" ref="M866" xml:space="preserve"> INDEX( VfM_Metrics_2023_Consol_Source[], $AK866, M$832 )</f>
        <v>0.54028752820519255</v>
      </c>
      <c r="N866" s="35">
        <f xml:space="preserve"> IF( tblFilterAll[[#This Row],[Gearing]] &lt; M$825, 4, IF( tblFilterAll[[#This Row],[Gearing]] &lt; M$826, 3, IF( tblFilterAll[[#This Row],[Gearing]] &lt; M$827, 2, 1 ) ) )</f>
        <v>1</v>
      </c>
      <c r="O866" s="35">
        <f xml:space="preserve"> COUNTIFS( tblFilterAll[Include in output], 1, tblFilterAll[Gearing], "&gt;" &amp; tblFilterAll[[#This Row],[Gearing]] ) + 1</f>
        <v>48</v>
      </c>
      <c r="P866" s="30" cm="1">
        <f t="array" ref="P866" xml:space="preserve"> INDEX( VfM_Metrics_2023_Consol_Source[], $AK866, P$832 )</f>
        <v>0.88412408759124084</v>
      </c>
      <c r="Q866" s="35">
        <f xml:space="preserve"> IF( tblFilterAll[[#This Row],[EBITDA MRI Interest Cover]] &lt; P$825, 4, IF( tblFilterAll[[#This Row],[EBITDA MRI Interest Cover]] &lt; P$826, 3, IF( tblFilterAll[[#This Row],[EBITDA MRI Interest Cover]] &lt; P$827, 2, 1 ) ) )</f>
        <v>4</v>
      </c>
      <c r="R866" s="35">
        <f xml:space="preserve"> COUNTIFS( tblFilterAll[Include in output], 1, tblFilterAll[EBITDA MRI Interest Cover], "&gt;" &amp; tblFilterAll[[#This Row],[EBITDA MRI Interest Cover]] ) + 1</f>
        <v>148</v>
      </c>
      <c r="S866" s="32" cm="1">
        <f t="array" ref="S866" xml:space="preserve"> INDEX( VfM_Metrics_2023_Consol_Source[], $AK866, S$832 )</f>
        <v>4678.6607658264384</v>
      </c>
      <c r="T866" s="35">
        <f xml:space="preserve"> IF( tblFilterAll[[#This Row],[Headline Social Housing Cost per unit]] &lt; S$825, 4, IF( tblFilterAll[[#This Row],[Headline Social Housing Cost per unit]] &lt; S$826, 3, IF( tblFilterAll[[#This Row],[Headline Social Housing Cost per unit]] &lt; S$827, 2, 1 ) ) )</f>
        <v>2</v>
      </c>
      <c r="U866" s="35">
        <f xml:space="preserve"> COUNTIFS( tblFilterAll[Include in output], 1, tblFilterAll[Headline Social Housing Cost per unit], "&gt;" &amp; tblFilterAll[[#This Row],[Headline Social Housing Cost per unit]] ) + 1</f>
        <v>89</v>
      </c>
      <c r="V866" s="30" cm="1">
        <f t="array" ref="V866" xml:space="preserve"> INDEX( VfM_Metrics_2023_Consol_Source[], $AK866, V$832 )</f>
        <v>0.17970822281167109</v>
      </c>
      <c r="W866" s="35">
        <f xml:space="preserve"> IF( tblFilterAll[[#This Row],[Operating Margin (SHL)]] &lt; V$825, 4, IF( tblFilterAll[[#This Row],[Operating Margin (SHL)]] &lt; V$826, 3, IF( tblFilterAll[[#This Row],[Operating Margin (SHL)]] &lt; V$827, 2, 1 ) ) )</f>
        <v>3</v>
      </c>
      <c r="X866" s="35">
        <f xml:space="preserve"> COUNTIFS( tblFilterAll[Include in output], 1, tblFilterAll[Operating Margin (SHL)], "&gt;" &amp; tblFilterAll[[#This Row],[Operating Margin (SHL)]] ) + 1</f>
        <v>124</v>
      </c>
      <c r="Y866" s="30" cm="1">
        <f t="array" ref="Y866" xml:space="preserve"> INDEX( VfM_Metrics_2023_Consol_Source[], $AK866, Y$832 )</f>
        <v>0.18184791496320524</v>
      </c>
      <c r="Z866" s="35">
        <f xml:space="preserve"> IF( tblFilterAll[[#This Row],[Operating Margin (Overall)]] &lt; Y$825, 4, IF( tblFilterAll[[#This Row],[Operating Margin (Overall)]] &lt; Y$826, 3, IF( tblFilterAll[[#This Row],[Operating Margin (Overall)]] &lt; Y$827, 2, 1 ) ) )</f>
        <v>3</v>
      </c>
      <c r="AA866" s="35">
        <f xml:space="preserve"> COUNTIFS( tblFilterAll[Include in output], 1, tblFilterAll[Operating Margin (Overall)], "&gt;" &amp; tblFilterAll[[#This Row],[Operating Margin (Overall)]] ) + 1</f>
        <v>101</v>
      </c>
      <c r="AB866" s="30" cm="1">
        <f t="array" ref="AB866" xml:space="preserve"> INDEX( VfM_Metrics_2023_Consol_Source[], $AK866, AB$832 )</f>
        <v>2.9798770476154111E-2</v>
      </c>
      <c r="AC866" s="35">
        <f xml:space="preserve"> IF( tblFilterAll[[#This Row],[ROCE]] &lt; AB$825, 4, IF( tblFilterAll[[#This Row],[ROCE]] &lt; AB$826, 3, IF( tblFilterAll[[#This Row],[ROCE]] &lt; AB$827, 2, 1 ) ) )</f>
        <v>2</v>
      </c>
      <c r="AD866" s="35">
        <f xml:space="preserve"> COUNTIFS( tblFilterAll[Include in output], 1, tblFilterAll[ROCE], "&gt;" &amp; tblFilterAll[[#This Row],[ROCE]] ) + 1</f>
        <v>88</v>
      </c>
      <c r="AE866" s="33" cm="1" vm="5538">
        <f t="array" ref="AE866" xml:space="preserve"> INDEX( VfM_Metrics_2023_Consol_Source[], $AK866, AE$832 )</f>
        <v>5111</v>
      </c>
      <c r="AF866" s="30" cm="1">
        <f t="array" ref="AF866" xml:space="preserve"> INDEX( VfM_Metrics_2023_Consol_Source[], $AK866, AF$832 )</f>
        <v>2.0270270270270271E-2</v>
      </c>
      <c r="AG866" s="30" cm="1">
        <f t="array" ref="AG866" xml:space="preserve"> INDEX( VfM_Metrics_2023_Consol_Source[], $AK866, AG$832 )</f>
        <v>0.14169316375198729</v>
      </c>
      <c r="AH866" s="30" cm="1">
        <f t="array" ref="AH866" xml:space="preserve"> INDEX( VfM_Metrics_2023_Consol_Source[], $AK866, AH$832 )</f>
        <v>0.16196343402225755</v>
      </c>
      <c r="AI866" s="30" t="str" cm="1">
        <f t="array" ref="AI866" xml:space="preserve"> INDEX( VfM_Metrics_2023_Consol_Source[], $AK866, AI$832 )</f>
        <v>Traditional</v>
      </c>
      <c r="AJ866" s="34" t="str" cm="1">
        <f t="array" ref="AJ866" xml:space="preserve"> INDEX( VfM_Metrics_2023_Consol_Source[], $AK866, AJ$832 )</f>
        <v>South West</v>
      </c>
      <c r="AK866" s="81">
        <f xml:space="preserve"> MATCH( tblFilterAll[[#This Row],[Code]], VfM_Metrics_2023_Consol_Source[RP_Code], 0 )</f>
        <v>33</v>
      </c>
      <c r="AL866" s="24">
        <f xml:space="preserve"> INDEX( tblFilterRegion[Include for region],  MATCH( tblFilterAll[[#This Row],[Code]], tblFilterRegion[RP_Code], 0 ) )</f>
        <v>1</v>
      </c>
      <c r="AM866" s="24">
        <f xml:space="preserve"> INDEX( tblFilterPropType[Incl for prop type],  MATCH( tblFilterAll[[#This Row],[Code]], tblFilterPropType[RP_Code], 0 ) )</f>
        <v>1</v>
      </c>
      <c r="AN866" s="24">
        <f xml:space="preserve"> INDEX( tblFilterSize[Incl for size],  MATCH( tblFilterAll[[#This Row],[Code]], tblFilterSize[RP_Code], 0 ) )</f>
        <v>1</v>
      </c>
      <c r="AO866" s="24">
        <f xml:space="preserve"> INDEX( tblFilterRP_Type[Incl, for RP Type],  MATCH( tblFilterAll[[#This Row],[Code]], tblFilterRP_Type[RP_Code], 0 ) )</f>
        <v>1</v>
      </c>
      <c r="AP866" s="24">
        <f xml:space="preserve">  -- ( SUM( tblFilterAll[[#This Row],[Filter Region]:[Filter RP Type]] ) = 4 )</f>
        <v>1</v>
      </c>
      <c r="AQ866" s="24">
        <f xml:space="preserve"> -- ( tblFilterAll[[#This Row],[Provider name]] = SelectedProvider )</f>
        <v>0</v>
      </c>
      <c r="AR866" s="24">
        <f xml:space="preserve">  -- ( OR( SUM( tblFilterAll[[#This Row],[Filter Region]:[Filter RP Type]] ) = 4, tblFilterAll[[#This Row],[SelectedProvider]] = 1 ) )</f>
        <v>1</v>
      </c>
      <c r="AS866" s="24">
        <f xml:space="preserve"> -- ( INDEX( PeersCritera[Included in final peers], MATCH( tblFilterAll[[#This Row],[Provider name]], PeersCritera[RP_Name], 0 ) ) = 1 )</f>
        <v>1</v>
      </c>
      <c r="AT866" s="30" t="str" cm="1">
        <f t="array" ref="AT866" xml:space="preserve"> SUBSTITUTE( INDEX( VfM_Metrics_2023_Consol_Source[], $AK866, AT$832 ), 0, "" )</f>
        <v>&gt;= 12 years</v>
      </c>
      <c r="AU866" s="34" cm="1">
        <f t="array" ref="AU866" xml:space="preserve"> INDEX( VfM_Metrics_2023_Consol_Source[], $AK866, AU$832 )</f>
        <v>0</v>
      </c>
      <c r="AV866" s="34" cm="1">
        <f t="array" ref="AV866" xml:space="preserve"> INDEX( VfM_Metrics_2023_Consol_Source[], $AK866, AV$832 )</f>
        <v>0</v>
      </c>
      <c r="AW866" s="34" cm="1">
        <f t="array" ref="AW866" xml:space="preserve"> INDEX( VfM_Metrics_2023_Consol_Source[], $AK866, AW$832 )</f>
        <v>1</v>
      </c>
      <c r="AX866" s="34" cm="1">
        <f t="array" ref="AX866" xml:space="preserve"> INDEX( VfM_Metrics_2023_Consol_Source[], $AK866, AX$832 )</f>
        <v>0</v>
      </c>
      <c r="AY866" s="34" cm="1">
        <f t="array" ref="AY866" xml:space="preserve"> INDEX( VfM_Metrics_2023_Consol_Source[], $AK866, AY$832 )</f>
        <v>0</v>
      </c>
      <c r="AZ866" s="34" cm="1">
        <f t="array" ref="AZ866" xml:space="preserve"> INDEX( VfM_Metrics_2023_Consol_Source[], $AK866, AZ$832 )</f>
        <v>0</v>
      </c>
      <c r="BA866" s="34" cm="1">
        <f t="array" ref="BA866" xml:space="preserve"> INDEX( VfM_Metrics_2023_Consol_Source[], $AK866, BA$832 )</f>
        <v>0</v>
      </c>
      <c r="BB866" s="34" cm="1">
        <f t="array" ref="BB866" xml:space="preserve"> INDEX( VfM_Metrics_2023_Consol_Source[], $AK866, BB$832 )</f>
        <v>0</v>
      </c>
      <c r="BC866" s="34" cm="1">
        <f t="array" ref="BC866" xml:space="preserve"> INDEX( VfM_Metrics_2023_Consol_Source[], $AK866, BC$832 )</f>
        <v>0</v>
      </c>
    </row>
    <row r="867" spans="2:55" x14ac:dyDescent="0.2">
      <c r="B867" s="122" t="str" vm="34">
        <f t="shared" ref="B867" si="369" xml:space="preserve"> B657</f>
        <v>Cobalt Housing Limited</v>
      </c>
      <c r="C867" s="122" t="str" vm="394">
        <f t="shared" si="368"/>
        <v>L4361</v>
      </c>
      <c r="D867" s="30" cm="1">
        <f t="array" ref="D867" xml:space="preserve"> INDEX( VfM_Metrics_2023_Consol_Source[], $AK867, D$832 )</f>
        <v>2.8088798236101036E-2</v>
      </c>
      <c r="E867" s="35">
        <f xml:space="preserve"> IF( tblFilterAll[[#This Row],[Reinvestment]] &lt; D$825, 4, IF( tblFilterAll[[#This Row],[Reinvestment]] &lt; D$826, 3, IF( tblFilterAll[[#This Row],[Reinvestment]] &lt; D$827, 2, 1 ) ) )</f>
        <v>4</v>
      </c>
      <c r="F867" s="35">
        <f xml:space="preserve"> COUNTIFS( tblFilterAll[Include in output], 1, tblFilterAll[Reinvestment], "&gt;" &amp; tblFilterAll[[#This Row],[Reinvestment]] ) + 1</f>
        <v>176</v>
      </c>
      <c r="G867" s="30" cm="1">
        <f t="array" ref="G867" xml:space="preserve"> INDEX( VfM_Metrics_2023_Consol_Source[], $AK867, G$832 )</f>
        <v>8.6251509401414524E-3</v>
      </c>
      <c r="H867" s="35">
        <f xml:space="preserve"> IF( tblFilterAll[[#This Row],[New Supply (Social)]] &lt; G$825, 4, IF( tblFilterAll[[#This Row],[New Supply (Social)]] &lt; G$826, 3, IF( tblFilterAll[[#This Row],[New Supply (Social)]] &lt; G$827, 2, 1 ) ) )</f>
        <v>3</v>
      </c>
      <c r="I867" s="35">
        <f xml:space="preserve"> COUNTIFS( tblFilterAll[Include in output], 1, tblFilterAll[New Supply (Social)], "&gt;" &amp; tblFilterAll[[#This Row],[New Supply (Social)]] ) + 1</f>
        <v>134</v>
      </c>
      <c r="J867" s="31" cm="1">
        <f t="array" ref="J867" xml:space="preserve"> INDEX( VfM_Metrics_2023_Consol_Source[], $AK867, J$832 )</f>
        <v>0</v>
      </c>
      <c r="K867" s="35">
        <f xml:space="preserve"> IF( tblFilterAll[[#This Row],[New Supply (Non-Social)]] &lt; J$825, 4, IF( tblFilterAll[[#This Row],[New Supply (Non-Social)]] &lt; J$826, 3, IF( tblFilterAll[[#This Row],[New Supply (Non-Social)]] &lt; J$827, 2, 1 ) ) )</f>
        <v>2</v>
      </c>
      <c r="L867" s="35">
        <f xml:space="preserve"> COUNTIFS( tblFilterAll[Include in output], 1, tblFilterAll[New Supply (Non-Social)], "&gt;" &amp; tblFilterAll[[#This Row],[New Supply (Non-Social)]] ) + 1</f>
        <v>72</v>
      </c>
      <c r="M867" s="30" cm="1">
        <f t="array" ref="M867" xml:space="preserve"> INDEX( VfM_Metrics_2023_Consol_Source[], $AK867, M$832 )</f>
        <v>-0.11793560619662877</v>
      </c>
      <c r="N867" s="35">
        <f xml:space="preserve"> IF( tblFilterAll[[#This Row],[Gearing]] &lt; M$825, 4, IF( tblFilterAll[[#This Row],[Gearing]] &lt; M$826, 3, IF( tblFilterAll[[#This Row],[Gearing]] &lt; M$827, 2, 1 ) ) )</f>
        <v>4</v>
      </c>
      <c r="O867" s="35">
        <f xml:space="preserve"> COUNTIFS( tblFilterAll[Include in output], 1, tblFilterAll[Gearing], "&gt;" &amp; tblFilterAll[[#This Row],[Gearing]] ) + 1</f>
        <v>194</v>
      </c>
      <c r="P867" s="30" cm="1">
        <f t="array" ref="P867" xml:space="preserve"> INDEX( VfM_Metrics_2023_Consol_Source[], $AK867, P$832 )</f>
        <v>13.108949416342412</v>
      </c>
      <c r="Q867" s="35">
        <f xml:space="preserve"> IF( tblFilterAll[[#This Row],[EBITDA MRI Interest Cover]] &lt; P$825, 4, IF( tblFilterAll[[#This Row],[EBITDA MRI Interest Cover]] &lt; P$826, 3, IF( tblFilterAll[[#This Row],[EBITDA MRI Interest Cover]] &lt; P$827, 2, 1 ) ) )</f>
        <v>1</v>
      </c>
      <c r="R867" s="35">
        <f xml:space="preserve"> COUNTIFS( tblFilterAll[Include in output], 1, tblFilterAll[EBITDA MRI Interest Cover], "&gt;" &amp; tblFilterAll[[#This Row],[EBITDA MRI Interest Cover]] ) + 1</f>
        <v>1</v>
      </c>
      <c r="S867" s="32" cm="1">
        <f t="array" ref="S867" xml:space="preserve"> INDEX( VfM_Metrics_2023_Consol_Source[], $AK867, S$832 )</f>
        <v>3357.4262549594619</v>
      </c>
      <c r="T867" s="35">
        <f xml:space="preserve"> IF( tblFilterAll[[#This Row],[Headline Social Housing Cost per unit]] &lt; S$825, 4, IF( tblFilterAll[[#This Row],[Headline Social Housing Cost per unit]] &lt; S$826, 3, IF( tblFilterAll[[#This Row],[Headline Social Housing Cost per unit]] &lt; S$827, 2, 1 ) ) )</f>
        <v>4</v>
      </c>
      <c r="U867" s="35">
        <f xml:space="preserve"> COUNTIFS( tblFilterAll[Include in output], 1, tblFilterAll[Headline Social Housing Cost per unit], "&gt;" &amp; tblFilterAll[[#This Row],[Headline Social Housing Cost per unit]] ) + 1</f>
        <v>193</v>
      </c>
      <c r="V867" s="30" cm="1">
        <f t="array" ref="V867" xml:space="preserve"> INDEX( VfM_Metrics_2023_Consol_Source[], $AK867, V$832 )</f>
        <v>0.27976417548118604</v>
      </c>
      <c r="W867" s="35">
        <f xml:space="preserve"> IF( tblFilterAll[[#This Row],[Operating Margin (SHL)]] &lt; V$825, 4, IF( tblFilterAll[[#This Row],[Operating Margin (SHL)]] &lt; V$826, 3, IF( tblFilterAll[[#This Row],[Operating Margin (SHL)]] &lt; V$827, 2, 1 ) ) )</f>
        <v>1</v>
      </c>
      <c r="X867" s="35">
        <f xml:space="preserve"> COUNTIFS( tblFilterAll[Include in output], 1, tblFilterAll[Operating Margin (SHL)], "&gt;" &amp; tblFilterAll[[#This Row],[Operating Margin (SHL)]] ) + 1</f>
        <v>37</v>
      </c>
      <c r="Y867" s="30" cm="1">
        <f t="array" ref="Y867" xml:space="preserve"> INDEX( VfM_Metrics_2023_Consol_Source[], $AK867, Y$832 )</f>
        <v>0.23054170249355116</v>
      </c>
      <c r="Z867" s="35">
        <f xml:space="preserve"> IF( tblFilterAll[[#This Row],[Operating Margin (Overall)]] &lt; Y$825, 4, IF( tblFilterAll[[#This Row],[Operating Margin (Overall)]] &lt; Y$826, 3, IF( tblFilterAll[[#This Row],[Operating Margin (Overall)]] &lt; Y$827, 2, 1 ) ) )</f>
        <v>1</v>
      </c>
      <c r="AA867" s="35">
        <f xml:space="preserve"> COUNTIFS( tblFilterAll[Include in output], 1, tblFilterAll[Operating Margin (Overall)], "&gt;" &amp; tblFilterAll[[#This Row],[Operating Margin (Overall)]] ) + 1</f>
        <v>49</v>
      </c>
      <c r="AB867" s="30" cm="1">
        <f t="array" ref="AB867" xml:space="preserve"> INDEX( VfM_Metrics_2023_Consol_Source[], $AK867, AB$832 )</f>
        <v>4.8038973852984709E-2</v>
      </c>
      <c r="AC867" s="35">
        <f xml:space="preserve"> IF( tblFilterAll[[#This Row],[ROCE]] &lt; AB$825, 4, IF( tblFilterAll[[#This Row],[ROCE]] &lt; AB$826, 3, IF( tblFilterAll[[#This Row],[ROCE]] &lt; AB$827, 2, 1 ) ) )</f>
        <v>1</v>
      </c>
      <c r="AD867" s="35">
        <f xml:space="preserve"> COUNTIFS( tblFilterAll[Include in output], 1, tblFilterAll[ROCE], "&gt;" &amp; tblFilterAll[[#This Row],[ROCE]] ) + 1</f>
        <v>8</v>
      </c>
      <c r="AE867" s="33" cm="1" vm="6781">
        <f t="array" ref="AE867" xml:space="preserve"> INDEX( VfM_Metrics_2023_Consol_Source[], $AK867, AE$832 )</f>
        <v>5797</v>
      </c>
      <c r="AF867" s="30" cm="1">
        <f t="array" ref="AF867" xml:space="preserve"> INDEX( VfM_Metrics_2023_Consol_Source[], $AK867, AF$832 )</f>
        <v>0</v>
      </c>
      <c r="AG867" s="30" cm="1">
        <f t="array" ref="AG867" xml:space="preserve"> INDEX( VfM_Metrics_2023_Consol_Source[], $AK867, AG$832 )</f>
        <v>0</v>
      </c>
      <c r="AH867" s="30" cm="1">
        <f t="array" ref="AH867" xml:space="preserve"> INDEX( VfM_Metrics_2023_Consol_Source[], $AK867, AH$832 )</f>
        <v>0</v>
      </c>
      <c r="AI867" s="30" t="str" cm="1">
        <f t="array" ref="AI867" xml:space="preserve"> INDEX( VfM_Metrics_2023_Consol_Source[], $AK867, AI$832 )</f>
        <v>Traditional</v>
      </c>
      <c r="AJ867" s="34" t="str" cm="1">
        <f t="array" ref="AJ867" xml:space="preserve"> INDEX( VfM_Metrics_2023_Consol_Source[], $AK867, AJ$832 )</f>
        <v>North West</v>
      </c>
      <c r="AK867" s="81">
        <f xml:space="preserve"> MATCH( tblFilterAll[[#This Row],[Code]], VfM_Metrics_2023_Consol_Source[RP_Code], 0 )</f>
        <v>34</v>
      </c>
      <c r="AL867" s="24">
        <f xml:space="preserve"> INDEX( tblFilterRegion[Include for region],  MATCH( tblFilterAll[[#This Row],[Code]], tblFilterRegion[RP_Code], 0 ) )</f>
        <v>1</v>
      </c>
      <c r="AM867" s="24">
        <f xml:space="preserve"> INDEX( tblFilterPropType[Incl for prop type],  MATCH( tblFilterAll[[#This Row],[Code]], tblFilterPropType[RP_Code], 0 ) )</f>
        <v>1</v>
      </c>
      <c r="AN867" s="24">
        <f xml:space="preserve"> INDEX( tblFilterSize[Incl for size],  MATCH( tblFilterAll[[#This Row],[Code]], tblFilterSize[RP_Code], 0 ) )</f>
        <v>1</v>
      </c>
      <c r="AO867" s="24">
        <f xml:space="preserve"> INDEX( tblFilterRP_Type[Incl, for RP Type],  MATCH( tblFilterAll[[#This Row],[Code]], tblFilterRP_Type[RP_Code], 0 ) )</f>
        <v>1</v>
      </c>
      <c r="AP867" s="24">
        <f xml:space="preserve">  -- ( SUM( tblFilterAll[[#This Row],[Filter Region]:[Filter RP Type]] ) = 4 )</f>
        <v>1</v>
      </c>
      <c r="AQ867" s="24">
        <f xml:space="preserve"> -- ( tblFilterAll[[#This Row],[Provider name]] = SelectedProvider )</f>
        <v>0</v>
      </c>
      <c r="AR867" s="24">
        <f xml:space="preserve">  -- ( OR( SUM( tblFilterAll[[#This Row],[Filter Region]:[Filter RP Type]] ) = 4, tblFilterAll[[#This Row],[SelectedProvider]] = 1 ) )</f>
        <v>1</v>
      </c>
      <c r="AS867" s="24">
        <f xml:space="preserve"> -- ( INDEX( PeersCritera[Included in final peers], MATCH( tblFilterAll[[#This Row],[Provider name]], PeersCritera[RP_Name], 0 ) ) = 1 )</f>
        <v>1</v>
      </c>
      <c r="AT867" s="30" t="str" cm="1">
        <f t="array" ref="AT867" xml:space="preserve"> SUBSTITUTE( INDEX( VfM_Metrics_2023_Consol_Source[], $AK867, AT$832 ), 0, "" )</f>
        <v>&gt;= 12 years</v>
      </c>
      <c r="AU867" s="34" cm="1">
        <f t="array" ref="AU867" xml:space="preserve"> INDEX( VfM_Metrics_2023_Consol_Source[], $AK867, AU$832 )</f>
        <v>0</v>
      </c>
      <c r="AV867" s="34" cm="1">
        <f t="array" ref="AV867" xml:space="preserve"> INDEX( VfM_Metrics_2023_Consol_Source[], $AK867, AV$832 )</f>
        <v>0</v>
      </c>
      <c r="AW867" s="34" cm="1">
        <f t="array" ref="AW867" xml:space="preserve"> INDEX( VfM_Metrics_2023_Consol_Source[], $AK867, AW$832 )</f>
        <v>0</v>
      </c>
      <c r="AX867" s="34" cm="1">
        <f t="array" ref="AX867" xml:space="preserve"> INDEX( VfM_Metrics_2023_Consol_Source[], $AK867, AX$832 )</f>
        <v>0</v>
      </c>
      <c r="AY867" s="34" cm="1">
        <f t="array" ref="AY867" xml:space="preserve"> INDEX( VfM_Metrics_2023_Consol_Source[], $AK867, AY$832 )</f>
        <v>0</v>
      </c>
      <c r="AZ867" s="34" cm="1">
        <f t="array" ref="AZ867" xml:space="preserve"> INDEX( VfM_Metrics_2023_Consol_Source[], $AK867, AZ$832 )</f>
        <v>0</v>
      </c>
      <c r="BA867" s="34" cm="1">
        <f t="array" ref="BA867" xml:space="preserve"> INDEX( VfM_Metrics_2023_Consol_Source[], $AK867, BA$832 )</f>
        <v>0</v>
      </c>
      <c r="BB867" s="34" cm="1">
        <f t="array" ref="BB867" xml:space="preserve"> INDEX( VfM_Metrics_2023_Consol_Source[], $AK867, BB$832 )</f>
        <v>1</v>
      </c>
      <c r="BC867" s="34" cm="1">
        <f t="array" ref="BC867" xml:space="preserve"> INDEX( VfM_Metrics_2023_Consol_Source[], $AK867, BC$832 )</f>
        <v>0</v>
      </c>
    </row>
    <row r="868" spans="2:55" x14ac:dyDescent="0.2">
      <c r="B868" s="122" t="str" vm="35">
        <f t="shared" ref="B868" si="370" xml:space="preserve"> B658</f>
        <v>Community Gateway Association Limited</v>
      </c>
      <c r="C868" s="122" t="str" vm="396">
        <f t="shared" si="368"/>
        <v>L4457</v>
      </c>
      <c r="D868" s="30" cm="1">
        <f t="array" ref="D868" xml:space="preserve"> INDEX( VfM_Metrics_2023_Consol_Source[], $AK868, D$832 )</f>
        <v>0.12777179627899574</v>
      </c>
      <c r="E868" s="35">
        <f xml:space="preserve"> IF( tblFilterAll[[#This Row],[Reinvestment]] &lt; D$825, 4, IF( tblFilterAll[[#This Row],[Reinvestment]] &lt; D$826, 3, IF( tblFilterAll[[#This Row],[Reinvestment]] &lt; D$827, 2, 1 ) ) )</f>
        <v>1</v>
      </c>
      <c r="F868" s="35">
        <f xml:space="preserve"> COUNTIFS( tblFilterAll[Include in output], 1, tblFilterAll[Reinvestment], "&gt;" &amp; tblFilterAll[[#This Row],[Reinvestment]] ) + 1</f>
        <v>14</v>
      </c>
      <c r="G868" s="30" cm="1">
        <f t="array" ref="G868" xml:space="preserve"> INDEX( VfM_Metrics_2023_Consol_Source[], $AK868, G$832 )</f>
        <v>1.5870661524770097E-2</v>
      </c>
      <c r="H868" s="35">
        <f xml:space="preserve"> IF( tblFilterAll[[#This Row],[New Supply (Social)]] &lt; G$825, 4, IF( tblFilterAll[[#This Row],[New Supply (Social)]] &lt; G$826, 3, IF( tblFilterAll[[#This Row],[New Supply (Social)]] &lt; G$827, 2, 1 ) ) )</f>
        <v>2</v>
      </c>
      <c r="I868" s="35">
        <f xml:space="preserve"> COUNTIFS( tblFilterAll[Include in output], 1, tblFilterAll[New Supply (Social)], "&gt;" &amp; tblFilterAll[[#This Row],[New Supply (Social)]] ) + 1</f>
        <v>78</v>
      </c>
      <c r="J868" s="31" cm="1">
        <f t="array" ref="J868" xml:space="preserve"> INDEX( VfM_Metrics_2023_Consol_Source[], $AK868, J$832 )</f>
        <v>0</v>
      </c>
      <c r="K868" s="35">
        <f xml:space="preserve"> IF( tblFilterAll[[#This Row],[New Supply (Non-Social)]] &lt; J$825, 4, IF( tblFilterAll[[#This Row],[New Supply (Non-Social)]] &lt; J$826, 3, IF( tblFilterAll[[#This Row],[New Supply (Non-Social)]] &lt; J$827, 2, 1 ) ) )</f>
        <v>2</v>
      </c>
      <c r="L868" s="35">
        <f xml:space="preserve"> COUNTIFS( tblFilterAll[Include in output], 1, tblFilterAll[New Supply (Non-Social)], "&gt;" &amp; tblFilterAll[[#This Row],[New Supply (Non-Social)]] ) + 1</f>
        <v>72</v>
      </c>
      <c r="M868" s="30" cm="1">
        <f t="array" ref="M868" xml:space="preserve"> INDEX( VfM_Metrics_2023_Consol_Source[], $AK868, M$832 )</f>
        <v>0.42542281283122257</v>
      </c>
      <c r="N868" s="35">
        <f xml:space="preserve"> IF( tblFilterAll[[#This Row],[Gearing]] &lt; M$825, 4, IF( tblFilterAll[[#This Row],[Gearing]] &lt; M$826, 3, IF( tblFilterAll[[#This Row],[Gearing]] &lt; M$827, 2, 1 ) ) )</f>
        <v>3</v>
      </c>
      <c r="O868" s="35">
        <f xml:space="preserve"> COUNTIFS( tblFilterAll[Include in output], 1, tblFilterAll[Gearing], "&gt;" &amp; tblFilterAll[[#This Row],[Gearing]] ) + 1</f>
        <v>117</v>
      </c>
      <c r="P868" s="30" cm="1">
        <f t="array" ref="P868" xml:space="preserve"> INDEX( VfM_Metrics_2023_Consol_Source[], $AK868, P$832 )</f>
        <v>2.4050925925925926</v>
      </c>
      <c r="Q868" s="35">
        <f xml:space="preserve"> IF( tblFilterAll[[#This Row],[EBITDA MRI Interest Cover]] &lt; P$825, 4, IF( tblFilterAll[[#This Row],[EBITDA MRI Interest Cover]] &lt; P$826, 3, IF( tblFilterAll[[#This Row],[EBITDA MRI Interest Cover]] &lt; P$827, 2, 1 ) ) )</f>
        <v>1</v>
      </c>
      <c r="R868" s="35">
        <f xml:space="preserve"> COUNTIFS( tblFilterAll[Include in output], 1, tblFilterAll[EBITDA MRI Interest Cover], "&gt;" &amp; tblFilterAll[[#This Row],[EBITDA MRI Interest Cover]] ) + 1</f>
        <v>16</v>
      </c>
      <c r="S868" s="32" cm="1">
        <f t="array" ref="S868" xml:space="preserve"> INDEX( VfM_Metrics_2023_Consol_Source[], $AK868, S$832 )</f>
        <v>3056.3630970038562</v>
      </c>
      <c r="T868" s="35">
        <f xml:space="preserve"> IF( tblFilterAll[[#This Row],[Headline Social Housing Cost per unit]] &lt; S$825, 4, IF( tblFilterAll[[#This Row],[Headline Social Housing Cost per unit]] &lt; S$826, 3, IF( tblFilterAll[[#This Row],[Headline Social Housing Cost per unit]] &lt; S$827, 2, 1 ) ) )</f>
        <v>4</v>
      </c>
      <c r="U868" s="35">
        <f xml:space="preserve"> COUNTIFS( tblFilterAll[Include in output], 1, tblFilterAll[Headline Social Housing Cost per unit], "&gt;" &amp; tblFilterAll[[#This Row],[Headline Social Housing Cost per unit]] ) + 1</f>
        <v>197</v>
      </c>
      <c r="V868" s="30" cm="1">
        <f t="array" ref="V868" xml:space="preserve"> INDEX( VfM_Metrics_2023_Consol_Source[], $AK868, V$832 )</f>
        <v>0.31388578486149504</v>
      </c>
      <c r="W868" s="35">
        <f xml:space="preserve"> IF( tblFilterAll[[#This Row],[Operating Margin (SHL)]] &lt; V$825, 4, IF( tblFilterAll[[#This Row],[Operating Margin (SHL)]] &lt; V$826, 3, IF( tblFilterAll[[#This Row],[Operating Margin (SHL)]] &lt; V$827, 2, 1 ) ) )</f>
        <v>1</v>
      </c>
      <c r="X868" s="35">
        <f xml:space="preserve"> COUNTIFS( tblFilterAll[Include in output], 1, tblFilterAll[Operating Margin (SHL)], "&gt;" &amp; tblFilterAll[[#This Row],[Operating Margin (SHL)]] ) + 1</f>
        <v>22</v>
      </c>
      <c r="Y868" s="30" cm="1">
        <f t="array" ref="Y868" xml:space="preserve"> INDEX( VfM_Metrics_2023_Consol_Source[], $AK868, Y$832 )</f>
        <v>0.26856046474444384</v>
      </c>
      <c r="Z868" s="35">
        <f xml:space="preserve"> IF( tblFilterAll[[#This Row],[Operating Margin (Overall)]] &lt; Y$825, 4, IF( tblFilterAll[[#This Row],[Operating Margin (Overall)]] &lt; Y$826, 3, IF( tblFilterAll[[#This Row],[Operating Margin (Overall)]] &lt; Y$827, 2, 1 ) ) )</f>
        <v>1</v>
      </c>
      <c r="AA868" s="35">
        <f xml:space="preserve"> COUNTIFS( tblFilterAll[Include in output], 1, tblFilterAll[Operating Margin (Overall)], "&gt;" &amp; tblFilterAll[[#This Row],[Operating Margin (Overall)]] ) + 1</f>
        <v>24</v>
      </c>
      <c r="AB868" s="30" cm="1">
        <f t="array" ref="AB868" xml:space="preserve"> INDEX( VfM_Metrics_2023_Consol_Source[], $AK868, AB$832 )</f>
        <v>4.0985526254157106E-2</v>
      </c>
      <c r="AC868" s="35">
        <f xml:space="preserve"> IF( tblFilterAll[[#This Row],[ROCE]] &lt; AB$825, 4, IF( tblFilterAll[[#This Row],[ROCE]] &lt; AB$826, 3, IF( tblFilterAll[[#This Row],[ROCE]] &lt; AB$827, 2, 1 ) ) )</f>
        <v>1</v>
      </c>
      <c r="AD868" s="35">
        <f xml:space="preserve"> COUNTIFS( tblFilterAll[Include in output], 1, tblFilterAll[ROCE], "&gt;" &amp; tblFilterAll[[#This Row],[ROCE]] ) + 1</f>
        <v>24</v>
      </c>
      <c r="AE868" s="33" cm="1" vm="6820">
        <f t="array" ref="AE868" xml:space="preserve"> INDEX( VfM_Metrics_2023_Consol_Source[], $AK868, AE$832 )</f>
        <v>6742</v>
      </c>
      <c r="AF868" s="30" cm="1">
        <f t="array" ref="AF868" xml:space="preserve"> INDEX( VfM_Metrics_2023_Consol_Source[], $AK868, AF$832 )</f>
        <v>1.4151646059883808E-2</v>
      </c>
      <c r="AG868" s="30" cm="1">
        <f t="array" ref="AG868" xml:space="preserve"> INDEX( VfM_Metrics_2023_Consol_Source[], $AK868, AG$832 )</f>
        <v>6.3905854312527932E-2</v>
      </c>
      <c r="AH868" s="30" cm="1">
        <f t="array" ref="AH868" xml:space="preserve"> INDEX( VfM_Metrics_2023_Consol_Source[], $AK868, AH$832 )</f>
        <v>7.8057500372411742E-2</v>
      </c>
      <c r="AI868" s="30" t="str" cm="1">
        <f t="array" ref="AI868" xml:space="preserve"> INDEX( VfM_Metrics_2023_Consol_Source[], $AK868, AI$832 )</f>
        <v>Traditional</v>
      </c>
      <c r="AJ868" s="34" t="str" cm="1">
        <f t="array" ref="AJ868" xml:space="preserve"> INDEX( VfM_Metrics_2023_Consol_Source[], $AK868, AJ$832 )</f>
        <v>North West</v>
      </c>
      <c r="AK868" s="81">
        <f xml:space="preserve"> MATCH( tblFilterAll[[#This Row],[Code]], VfM_Metrics_2023_Consol_Source[RP_Code], 0 )</f>
        <v>35</v>
      </c>
      <c r="AL868" s="24">
        <f xml:space="preserve"> INDEX( tblFilterRegion[Include for region],  MATCH( tblFilterAll[[#This Row],[Code]], tblFilterRegion[RP_Code], 0 ) )</f>
        <v>1</v>
      </c>
      <c r="AM868" s="24">
        <f xml:space="preserve"> INDEX( tblFilterPropType[Incl for prop type],  MATCH( tblFilterAll[[#This Row],[Code]], tblFilterPropType[RP_Code], 0 ) )</f>
        <v>1</v>
      </c>
      <c r="AN868" s="24">
        <f xml:space="preserve"> INDEX( tblFilterSize[Incl for size],  MATCH( tblFilterAll[[#This Row],[Code]], tblFilterSize[RP_Code], 0 ) )</f>
        <v>1</v>
      </c>
      <c r="AO868" s="24">
        <f xml:space="preserve"> INDEX( tblFilterRP_Type[Incl, for RP Type],  MATCH( tblFilterAll[[#This Row],[Code]], tblFilterRP_Type[RP_Code], 0 ) )</f>
        <v>1</v>
      </c>
      <c r="AP868" s="24">
        <f xml:space="preserve">  -- ( SUM( tblFilterAll[[#This Row],[Filter Region]:[Filter RP Type]] ) = 4 )</f>
        <v>1</v>
      </c>
      <c r="AQ868" s="24">
        <f xml:space="preserve"> -- ( tblFilterAll[[#This Row],[Provider name]] = SelectedProvider )</f>
        <v>0</v>
      </c>
      <c r="AR868" s="24">
        <f xml:space="preserve">  -- ( OR( SUM( tblFilterAll[[#This Row],[Filter Region]:[Filter RP Type]] ) = 4, tblFilterAll[[#This Row],[SelectedProvider]] = 1 ) )</f>
        <v>1</v>
      </c>
      <c r="AS868" s="24">
        <f xml:space="preserve"> -- ( INDEX( PeersCritera[Included in final peers], MATCH( tblFilterAll[[#This Row],[Provider name]], PeersCritera[RP_Name], 0 ) ) = 1 )</f>
        <v>1</v>
      </c>
      <c r="AT868" s="30" t="str" cm="1">
        <f t="array" ref="AT868" xml:space="preserve"> SUBSTITUTE( INDEX( VfM_Metrics_2023_Consol_Source[], $AK868, AT$832 ), 0, "" )</f>
        <v>&gt;= 12 years</v>
      </c>
      <c r="AU868" s="34" cm="1">
        <f t="array" ref="AU868" xml:space="preserve"> INDEX( VfM_Metrics_2023_Consol_Source[], $AK868, AU$832 )</f>
        <v>0</v>
      </c>
      <c r="AV868" s="34" cm="1">
        <f t="array" ref="AV868" xml:space="preserve"> INDEX( VfM_Metrics_2023_Consol_Source[], $AK868, AV$832 )</f>
        <v>0</v>
      </c>
      <c r="AW868" s="34" cm="1">
        <f t="array" ref="AW868" xml:space="preserve"> INDEX( VfM_Metrics_2023_Consol_Source[], $AK868, AW$832 )</f>
        <v>0</v>
      </c>
      <c r="AX868" s="34" cm="1">
        <f t="array" ref="AX868" xml:space="preserve"> INDEX( VfM_Metrics_2023_Consol_Source[], $AK868, AX$832 )</f>
        <v>0</v>
      </c>
      <c r="AY868" s="34" cm="1">
        <f t="array" ref="AY868" xml:space="preserve"> INDEX( VfM_Metrics_2023_Consol_Source[], $AK868, AY$832 )</f>
        <v>0</v>
      </c>
      <c r="AZ868" s="34" cm="1">
        <f t="array" ref="AZ868" xml:space="preserve"> INDEX( VfM_Metrics_2023_Consol_Source[], $AK868, AZ$832 )</f>
        <v>0</v>
      </c>
      <c r="BA868" s="34" cm="1">
        <f t="array" ref="BA868" xml:space="preserve"> INDEX( VfM_Metrics_2023_Consol_Source[], $AK868, BA$832 )</f>
        <v>0</v>
      </c>
      <c r="BB868" s="34" cm="1">
        <f t="array" ref="BB868" xml:space="preserve"> INDEX( VfM_Metrics_2023_Consol_Source[], $AK868, BB$832 )</f>
        <v>1</v>
      </c>
      <c r="BC868" s="34" cm="1">
        <f t="array" ref="BC868" xml:space="preserve"> INDEX( VfM_Metrics_2023_Consol_Source[], $AK868, BC$832 )</f>
        <v>0</v>
      </c>
    </row>
    <row r="869" spans="2:55" x14ac:dyDescent="0.2">
      <c r="B869" s="122" t="str" vm="36">
        <f t="shared" ref="B869" si="371" xml:space="preserve"> B659</f>
        <v>Connect Housing Association Limited</v>
      </c>
      <c r="C869" s="122" t="str" vm="321">
        <f t="shared" si="368"/>
        <v>L2285</v>
      </c>
      <c r="D869" s="30" cm="1">
        <f t="array" ref="D869" xml:space="preserve"> INDEX( VfM_Metrics_2023_Consol_Source[], $AK869, D$832 )</f>
        <v>4.3062759430693251E-2</v>
      </c>
      <c r="E869" s="35">
        <f xml:space="preserve"> IF( tblFilterAll[[#This Row],[Reinvestment]] &lt; D$825, 4, IF( tblFilterAll[[#This Row],[Reinvestment]] &lt; D$826, 3, IF( tblFilterAll[[#This Row],[Reinvestment]] &lt; D$827, 2, 1 ) ) )</f>
        <v>4</v>
      </c>
      <c r="F869" s="35">
        <f xml:space="preserve"> COUNTIFS( tblFilterAll[Include in output], 1, tblFilterAll[Reinvestment], "&gt;" &amp; tblFilterAll[[#This Row],[Reinvestment]] ) + 1</f>
        <v>149</v>
      </c>
      <c r="G869" s="30" cm="1">
        <f t="array" ref="G869" xml:space="preserve"> INDEX( VfM_Metrics_2023_Consol_Source[], $AK869, G$832 )</f>
        <v>7.0339976553341153E-3</v>
      </c>
      <c r="H869" s="35">
        <f xml:space="preserve"> IF( tblFilterAll[[#This Row],[New Supply (Social)]] &lt; G$825, 4, IF( tblFilterAll[[#This Row],[New Supply (Social)]] &lt; G$826, 3, IF( tblFilterAll[[#This Row],[New Supply (Social)]] &lt; G$827, 2, 1 ) ) )</f>
        <v>3</v>
      </c>
      <c r="I869" s="35">
        <f xml:space="preserve"> COUNTIFS( tblFilterAll[Include in output], 1, tblFilterAll[New Supply (Social)], "&gt;" &amp; tblFilterAll[[#This Row],[New Supply (Social)]] ) + 1</f>
        <v>144</v>
      </c>
      <c r="J869" s="31" cm="1">
        <f t="array" ref="J869" xml:space="preserve"> INDEX( VfM_Metrics_2023_Consol_Source[], $AK869, J$832 )</f>
        <v>0</v>
      </c>
      <c r="K869" s="35">
        <f xml:space="preserve"> IF( tblFilterAll[[#This Row],[New Supply (Non-Social)]] &lt; J$825, 4, IF( tblFilterAll[[#This Row],[New Supply (Non-Social)]] &lt; J$826, 3, IF( tblFilterAll[[#This Row],[New Supply (Non-Social)]] &lt; J$827, 2, 1 ) ) )</f>
        <v>2</v>
      </c>
      <c r="L869" s="35">
        <f xml:space="preserve"> COUNTIFS( tblFilterAll[Include in output], 1, tblFilterAll[New Supply (Non-Social)], "&gt;" &amp; tblFilterAll[[#This Row],[New Supply (Non-Social)]] ) + 1</f>
        <v>72</v>
      </c>
      <c r="M869" s="30" cm="1">
        <f t="array" ref="M869" xml:space="preserve"> INDEX( VfM_Metrics_2023_Consol_Source[], $AK869, M$832 )</f>
        <v>0.33800946899233286</v>
      </c>
      <c r="N869" s="35">
        <f xml:space="preserve"> IF( tblFilterAll[[#This Row],[Gearing]] &lt; M$825, 4, IF( tblFilterAll[[#This Row],[Gearing]] &lt; M$826, 3, IF( tblFilterAll[[#This Row],[Gearing]] &lt; M$827, 2, 1 ) ) )</f>
        <v>3</v>
      </c>
      <c r="O869" s="35">
        <f xml:space="preserve"> COUNTIFS( tblFilterAll[Include in output], 1, tblFilterAll[Gearing], "&gt;" &amp; tblFilterAll[[#This Row],[Gearing]] ) + 1</f>
        <v>146</v>
      </c>
      <c r="P869" s="30" cm="1">
        <f t="array" ref="P869" xml:space="preserve"> INDEX( VfM_Metrics_2023_Consol_Source[], $AK869, P$832 )</f>
        <v>1.2887788778877889</v>
      </c>
      <c r="Q869" s="35">
        <f xml:space="preserve"> IF( tblFilterAll[[#This Row],[EBITDA MRI Interest Cover]] &lt; P$825, 4, IF( tblFilterAll[[#This Row],[EBITDA MRI Interest Cover]] &lt; P$826, 3, IF( tblFilterAll[[#This Row],[EBITDA MRI Interest Cover]] &lt; P$827, 2, 1 ) ) )</f>
        <v>2</v>
      </c>
      <c r="R869" s="35">
        <f xml:space="preserve"> COUNTIFS( tblFilterAll[Include in output], 1, tblFilterAll[EBITDA MRI Interest Cover], "&gt;" &amp; tblFilterAll[[#This Row],[EBITDA MRI Interest Cover]] ) + 1</f>
        <v>96</v>
      </c>
      <c r="S869" s="32" cm="1">
        <f t="array" ref="S869" xml:space="preserve"> INDEX( VfM_Metrics_2023_Consol_Source[], $AK869, S$832 )</f>
        <v>4788.1355932203387</v>
      </c>
      <c r="T869" s="35">
        <f xml:space="preserve"> IF( tblFilterAll[[#This Row],[Headline Social Housing Cost per unit]] &lt; S$825, 4, IF( tblFilterAll[[#This Row],[Headline Social Housing Cost per unit]] &lt; S$826, 3, IF( tblFilterAll[[#This Row],[Headline Social Housing Cost per unit]] &lt; S$827, 2, 1 ) ) )</f>
        <v>2</v>
      </c>
      <c r="U869" s="35">
        <f xml:space="preserve"> COUNTIFS( tblFilterAll[Include in output], 1, tblFilterAll[Headline Social Housing Cost per unit], "&gt;" &amp; tblFilterAll[[#This Row],[Headline Social Housing Cost per unit]] ) + 1</f>
        <v>85</v>
      </c>
      <c r="V869" s="30" cm="1">
        <f t="array" ref="V869" xml:space="preserve"> INDEX( VfM_Metrics_2023_Consol_Source[], $AK869, V$832 )</f>
        <v>0.18121212121212121</v>
      </c>
      <c r="W869" s="35">
        <f xml:space="preserve"> IF( tblFilterAll[[#This Row],[Operating Margin (SHL)]] &lt; V$825, 4, IF( tblFilterAll[[#This Row],[Operating Margin (SHL)]] &lt; V$826, 3, IF( tblFilterAll[[#This Row],[Operating Margin (SHL)]] &lt; V$827, 2, 1 ) ) )</f>
        <v>3</v>
      </c>
      <c r="X869" s="35">
        <f xml:space="preserve"> COUNTIFS( tblFilterAll[Include in output], 1, tblFilterAll[Operating Margin (SHL)], "&gt;" &amp; tblFilterAll[[#This Row],[Operating Margin (SHL)]] ) + 1</f>
        <v>122</v>
      </c>
      <c r="Y869" s="30" cm="1">
        <f t="array" ref="Y869" xml:space="preserve"> INDEX( VfM_Metrics_2023_Consol_Source[], $AK869, Y$832 )</f>
        <v>0.17309514783927218</v>
      </c>
      <c r="Z869" s="35">
        <f xml:space="preserve"> IF( tblFilterAll[[#This Row],[Operating Margin (Overall)]] &lt; Y$825, 4, IF( tblFilterAll[[#This Row],[Operating Margin (Overall)]] &lt; Y$826, 3, IF( tblFilterAll[[#This Row],[Operating Margin (Overall)]] &lt; Y$827, 2, 1 ) ) )</f>
        <v>3</v>
      </c>
      <c r="AA869" s="35">
        <f xml:space="preserve"> COUNTIFS( tblFilterAll[Include in output], 1, tblFilterAll[Operating Margin (Overall)], "&gt;" &amp; tblFilterAll[[#This Row],[Operating Margin (Overall)]] ) + 1</f>
        <v>105</v>
      </c>
      <c r="AB869" s="30" cm="1">
        <f t="array" ref="AB869" xml:space="preserve"> INDEX( VfM_Metrics_2023_Consol_Source[], $AK869, AB$832 )</f>
        <v>2.9641943734015345E-2</v>
      </c>
      <c r="AC869" s="35">
        <f xml:space="preserve"> IF( tblFilterAll[[#This Row],[ROCE]] &lt; AB$825, 4, IF( tblFilterAll[[#This Row],[ROCE]] &lt; AB$826, 3, IF( tblFilterAll[[#This Row],[ROCE]] &lt; AB$827, 2, 1 ) ) )</f>
        <v>2</v>
      </c>
      <c r="AD869" s="35">
        <f xml:space="preserve"> COUNTIFS( tblFilterAll[Include in output], 1, tblFilterAll[ROCE], "&gt;" &amp; tblFilterAll[[#This Row],[ROCE]] ) + 1</f>
        <v>91</v>
      </c>
      <c r="AE869" s="33" cm="1" vm="4069">
        <f t="array" ref="AE869" xml:space="preserve"> INDEX( VfM_Metrics_2023_Consol_Source[], $AK869, AE$832 )</f>
        <v>3412</v>
      </c>
      <c r="AF869" s="30" cm="1">
        <f t="array" ref="AF869" xml:space="preserve"> INDEX( VfM_Metrics_2023_Consol_Source[], $AK869, AF$832 )</f>
        <v>5.2366863905325446E-2</v>
      </c>
      <c r="AG869" s="30" cm="1">
        <f t="array" ref="AG869" xml:space="preserve"> INDEX( VfM_Metrics_2023_Consol_Source[], $AK869, AG$832 )</f>
        <v>0.23431952662721894</v>
      </c>
      <c r="AH869" s="30" cm="1">
        <f t="array" ref="AH869" xml:space="preserve"> INDEX( VfM_Metrics_2023_Consol_Source[], $AK869, AH$832 )</f>
        <v>0.28668639053254441</v>
      </c>
      <c r="AI869" s="30" t="str" cm="1">
        <f t="array" ref="AI869" xml:space="preserve"> INDEX( VfM_Metrics_2023_Consol_Source[], $AK869, AI$832 )</f>
        <v>Traditional</v>
      </c>
      <c r="AJ869" s="34" t="str" cm="1">
        <f t="array" ref="AJ869" xml:space="preserve"> INDEX( VfM_Metrics_2023_Consol_Source[], $AK869, AJ$832 )</f>
        <v>Yorkshire &amp; the Humber</v>
      </c>
      <c r="AK869" s="81">
        <f xml:space="preserve"> MATCH( tblFilterAll[[#This Row],[Code]], VfM_Metrics_2023_Consol_Source[RP_Code], 0 )</f>
        <v>36</v>
      </c>
      <c r="AL869" s="24">
        <f xml:space="preserve"> INDEX( tblFilterRegion[Include for region],  MATCH( tblFilterAll[[#This Row],[Code]], tblFilterRegion[RP_Code], 0 ) )</f>
        <v>1</v>
      </c>
      <c r="AM869" s="24">
        <f xml:space="preserve"> INDEX( tblFilterPropType[Incl for prop type],  MATCH( tblFilterAll[[#This Row],[Code]], tblFilterPropType[RP_Code], 0 ) )</f>
        <v>1</v>
      </c>
      <c r="AN869" s="24">
        <f xml:space="preserve"> INDEX( tblFilterSize[Incl for size],  MATCH( tblFilterAll[[#This Row],[Code]], tblFilterSize[RP_Code], 0 ) )</f>
        <v>1</v>
      </c>
      <c r="AO869" s="24">
        <f xml:space="preserve"> INDEX( tblFilterRP_Type[Incl, for RP Type],  MATCH( tblFilterAll[[#This Row],[Code]], tblFilterRP_Type[RP_Code], 0 ) )</f>
        <v>1</v>
      </c>
      <c r="AP869" s="24">
        <f xml:space="preserve">  -- ( SUM( tblFilterAll[[#This Row],[Filter Region]:[Filter RP Type]] ) = 4 )</f>
        <v>1</v>
      </c>
      <c r="AQ869" s="24">
        <f xml:space="preserve"> -- ( tblFilterAll[[#This Row],[Provider name]] = SelectedProvider )</f>
        <v>0</v>
      </c>
      <c r="AR869" s="24">
        <f xml:space="preserve">  -- ( OR( SUM( tblFilterAll[[#This Row],[Filter Region]:[Filter RP Type]] ) = 4, tblFilterAll[[#This Row],[SelectedProvider]] = 1 ) )</f>
        <v>1</v>
      </c>
      <c r="AS869" s="24">
        <f xml:space="preserve"> -- ( INDEX( PeersCritera[Included in final peers], MATCH( tblFilterAll[[#This Row],[Provider name]], PeersCritera[RP_Name], 0 ) ) = 1 )</f>
        <v>1</v>
      </c>
      <c r="AT869" s="30" t="str" cm="1">
        <f t="array" ref="AT869" xml:space="preserve"> SUBSTITUTE( INDEX( VfM_Metrics_2023_Consol_Source[], $AK869, AT$832 ), 0, "" )</f>
        <v/>
      </c>
      <c r="AU869" s="34" cm="1">
        <f t="array" ref="AU869" xml:space="preserve"> INDEX( VfM_Metrics_2023_Consol_Source[], $AK869, AU$832 )</f>
        <v>0</v>
      </c>
      <c r="AV869" s="34" cm="1">
        <f t="array" ref="AV869" xml:space="preserve"> INDEX( VfM_Metrics_2023_Consol_Source[], $AK869, AV$832 )</f>
        <v>0</v>
      </c>
      <c r="AW869" s="34" cm="1">
        <f t="array" ref="AW869" xml:space="preserve"> INDEX( VfM_Metrics_2023_Consol_Source[], $AK869, AW$832 )</f>
        <v>0</v>
      </c>
      <c r="AX869" s="34" cm="1">
        <f t="array" ref="AX869" xml:space="preserve"> INDEX( VfM_Metrics_2023_Consol_Source[], $AK869, AX$832 )</f>
        <v>0</v>
      </c>
      <c r="AY869" s="34" cm="1">
        <f t="array" ref="AY869" xml:space="preserve"> INDEX( VfM_Metrics_2023_Consol_Source[], $AK869, AY$832 )</f>
        <v>0</v>
      </c>
      <c r="AZ869" s="34" cm="1">
        <f t="array" ref="AZ869" xml:space="preserve"> INDEX( VfM_Metrics_2023_Consol_Source[], $AK869, AZ$832 )</f>
        <v>0</v>
      </c>
      <c r="BA869" s="34" cm="1">
        <f t="array" ref="BA869" xml:space="preserve"> INDEX( VfM_Metrics_2023_Consol_Source[], $AK869, BA$832 )</f>
        <v>0</v>
      </c>
      <c r="BB869" s="34" cm="1">
        <f t="array" ref="BB869" xml:space="preserve"> INDEX( VfM_Metrics_2023_Consol_Source[], $AK869, BB$832 )</f>
        <v>0</v>
      </c>
      <c r="BC869" s="34" cm="1">
        <f t="array" ref="BC869" xml:space="preserve"> INDEX( VfM_Metrics_2023_Consol_Source[], $AK869, BC$832 )</f>
        <v>1</v>
      </c>
    </row>
    <row r="870" spans="2:55" x14ac:dyDescent="0.2">
      <c r="B870" s="122" t="str" vm="37">
        <f t="shared" ref="B870" si="372" xml:space="preserve"> B660</f>
        <v>Connexus Homes Limited</v>
      </c>
      <c r="C870" s="122" t="str" vm="277">
        <f t="shared" si="368"/>
        <v>LH4353</v>
      </c>
      <c r="D870" s="30" cm="1">
        <f t="array" ref="D870" xml:space="preserve"> INDEX( VfM_Metrics_2023_Consol_Source[], $AK870, D$832 )</f>
        <v>0.10132529363733433</v>
      </c>
      <c r="E870" s="35">
        <f xml:space="preserve"> IF( tblFilterAll[[#This Row],[Reinvestment]] &lt; D$825, 4, IF( tblFilterAll[[#This Row],[Reinvestment]] &lt; D$826, 3, IF( tblFilterAll[[#This Row],[Reinvestment]] &lt; D$827, 2, 1 ) ) )</f>
        <v>1</v>
      </c>
      <c r="F870" s="35">
        <f xml:space="preserve"> COUNTIFS( tblFilterAll[Include in output], 1, tblFilterAll[Reinvestment], "&gt;" &amp; tblFilterAll[[#This Row],[Reinvestment]] ) + 1</f>
        <v>37</v>
      </c>
      <c r="G870" s="30" cm="1">
        <f t="array" ref="G870" xml:space="preserve"> INDEX( VfM_Metrics_2023_Consol_Source[], $AK870, G$832 )</f>
        <v>1.9767659733932921E-2</v>
      </c>
      <c r="H870" s="35">
        <f xml:space="preserve"> IF( tblFilterAll[[#This Row],[New Supply (Social)]] &lt; G$825, 4, IF( tblFilterAll[[#This Row],[New Supply (Social)]] &lt; G$826, 3, IF( tblFilterAll[[#This Row],[New Supply (Social)]] &lt; G$827, 2, 1 ) ) )</f>
        <v>2</v>
      </c>
      <c r="I870" s="35">
        <f xml:space="preserve"> COUNTIFS( tblFilterAll[Include in output], 1, tblFilterAll[New Supply (Social)], "&gt;" &amp; tblFilterAll[[#This Row],[New Supply (Social)]] ) + 1</f>
        <v>60</v>
      </c>
      <c r="J870" s="31" cm="1">
        <f t="array" ref="J870" xml:space="preserve"> INDEX( VfM_Metrics_2023_Consol_Source[], $AK870, J$832 )</f>
        <v>0</v>
      </c>
      <c r="K870" s="35">
        <f xml:space="preserve"> IF( tblFilterAll[[#This Row],[New Supply (Non-Social)]] &lt; J$825, 4, IF( tblFilterAll[[#This Row],[New Supply (Non-Social)]] &lt; J$826, 3, IF( tblFilterAll[[#This Row],[New Supply (Non-Social)]] &lt; J$827, 2, 1 ) ) )</f>
        <v>2</v>
      </c>
      <c r="L870" s="35">
        <f xml:space="preserve"> COUNTIFS( tblFilterAll[Include in output], 1, tblFilterAll[New Supply (Non-Social)], "&gt;" &amp; tblFilterAll[[#This Row],[New Supply (Non-Social)]] ) + 1</f>
        <v>72</v>
      </c>
      <c r="M870" s="30" cm="1">
        <f t="array" ref="M870" xml:space="preserve"> INDEX( VfM_Metrics_2023_Consol_Source[], $AK870, M$832 )</f>
        <v>0.60846429244394196</v>
      </c>
      <c r="N870" s="35">
        <f xml:space="preserve"> IF( tblFilterAll[[#This Row],[Gearing]] &lt; M$825, 4, IF( tblFilterAll[[#This Row],[Gearing]] &lt; M$826, 3, IF( tblFilterAll[[#This Row],[Gearing]] &lt; M$827, 2, 1 ) ) )</f>
        <v>1</v>
      </c>
      <c r="O870" s="35">
        <f xml:space="preserve"> COUNTIFS( tblFilterAll[Include in output], 1, tblFilterAll[Gearing], "&gt;" &amp; tblFilterAll[[#This Row],[Gearing]] ) + 1</f>
        <v>23</v>
      </c>
      <c r="P870" s="30" cm="1">
        <f t="array" ref="P870" xml:space="preserve"> INDEX( VfM_Metrics_2023_Consol_Source[], $AK870, P$832 )</f>
        <v>0.51223676721684686</v>
      </c>
      <c r="Q870" s="35">
        <f xml:space="preserve"> IF( tblFilterAll[[#This Row],[EBITDA MRI Interest Cover]] &lt; P$825, 4, IF( tblFilterAll[[#This Row],[EBITDA MRI Interest Cover]] &lt; P$826, 3, IF( tblFilterAll[[#This Row],[EBITDA MRI Interest Cover]] &lt; P$827, 2, 1 ) ) )</f>
        <v>4</v>
      </c>
      <c r="R870" s="35">
        <f xml:space="preserve"> COUNTIFS( tblFilterAll[Include in output], 1, tblFilterAll[EBITDA MRI Interest Cover], "&gt;" &amp; tblFilterAll[[#This Row],[EBITDA MRI Interest Cover]] ) + 1</f>
        <v>170</v>
      </c>
      <c r="S870" s="32" cm="1">
        <f t="array" ref="S870" xml:space="preserve"> INDEX( VfM_Metrics_2023_Consol_Source[], $AK870, S$832 )</f>
        <v>4861.5197226646678</v>
      </c>
      <c r="T870" s="35">
        <f xml:space="preserve"> IF( tblFilterAll[[#This Row],[Headline Social Housing Cost per unit]] &lt; S$825, 4, IF( tblFilterAll[[#This Row],[Headline Social Housing Cost per unit]] &lt; S$826, 3, IF( tblFilterAll[[#This Row],[Headline Social Housing Cost per unit]] &lt; S$827, 2, 1 ) ) )</f>
        <v>2</v>
      </c>
      <c r="U870" s="35">
        <f xml:space="preserve"> COUNTIFS( tblFilterAll[Include in output], 1, tblFilterAll[Headline Social Housing Cost per unit], "&gt;" &amp; tblFilterAll[[#This Row],[Headline Social Housing Cost per unit]] ) + 1</f>
        <v>82</v>
      </c>
      <c r="V870" s="30" cm="1">
        <f t="array" ref="V870" xml:space="preserve"> INDEX( VfM_Metrics_2023_Consol_Source[], $AK870, V$832 )</f>
        <v>0.15357189281536091</v>
      </c>
      <c r="W870" s="35">
        <f xml:space="preserve"> IF( tblFilterAll[[#This Row],[Operating Margin (SHL)]] &lt; V$825, 4, IF( tblFilterAll[[#This Row],[Operating Margin (SHL)]] &lt; V$826, 3, IF( tblFilterAll[[#This Row],[Operating Margin (SHL)]] &lt; V$827, 2, 1 ) ) )</f>
        <v>3</v>
      </c>
      <c r="X870" s="35">
        <f xml:space="preserve"> COUNTIFS( tblFilterAll[Include in output], 1, tblFilterAll[Operating Margin (SHL)], "&gt;" &amp; tblFilterAll[[#This Row],[Operating Margin (SHL)]] ) + 1</f>
        <v>141</v>
      </c>
      <c r="Y870" s="30" cm="1">
        <f t="array" ref="Y870" xml:space="preserve"> INDEX( VfM_Metrics_2023_Consol_Source[], $AK870, Y$832 )</f>
        <v>0.15206923873956238</v>
      </c>
      <c r="Z870" s="35">
        <f xml:space="preserve"> IF( tblFilterAll[[#This Row],[Operating Margin (Overall)]] &lt; Y$825, 4, IF( tblFilterAll[[#This Row],[Operating Margin (Overall)]] &lt; Y$826, 3, IF( tblFilterAll[[#This Row],[Operating Margin (Overall)]] &lt; Y$827, 2, 1 ) ) )</f>
        <v>3</v>
      </c>
      <c r="AA870" s="35">
        <f xml:space="preserve"> COUNTIFS( tblFilterAll[Include in output], 1, tblFilterAll[Operating Margin (Overall)], "&gt;" &amp; tblFilterAll[[#This Row],[Operating Margin (Overall)]] ) + 1</f>
        <v>132</v>
      </c>
      <c r="AB870" s="30" cm="1">
        <f t="array" ref="AB870" xml:space="preserve"> INDEX( VfM_Metrics_2023_Consol_Source[], $AK870, AB$832 )</f>
        <v>2.7476818751723673E-2</v>
      </c>
      <c r="AC870" s="35">
        <f xml:space="preserve"> IF( tblFilterAll[[#This Row],[ROCE]] &lt; AB$825, 4, IF( tblFilterAll[[#This Row],[ROCE]] &lt; AB$826, 3, IF( tblFilterAll[[#This Row],[ROCE]] &lt; AB$827, 2, 1 ) ) )</f>
        <v>3</v>
      </c>
      <c r="AD870" s="35">
        <f xml:space="preserve"> COUNTIFS( tblFilterAll[Include in output], 1, tblFilterAll[ROCE], "&gt;" &amp; tblFilterAll[[#This Row],[ROCE]] ) + 1</f>
        <v>110</v>
      </c>
      <c r="AE870" s="33" cm="1" vm="7737">
        <f t="array" ref="AE870" xml:space="preserve"> INDEX( VfM_Metrics_2023_Consol_Source[], $AK870, AE$832 )</f>
        <v>10673</v>
      </c>
      <c r="AF870" s="30" cm="1">
        <f t="array" ref="AF870" xml:space="preserve"> INDEX( VfM_Metrics_2023_Consol_Source[], $AK870, AF$832 )</f>
        <v>9.8094699113374841E-3</v>
      </c>
      <c r="AG870" s="30" cm="1">
        <f t="array" ref="AG870" xml:space="preserve"> INDEX( VfM_Metrics_2023_Consol_Source[], $AK870, AG$832 )</f>
        <v>0.13223920015091492</v>
      </c>
      <c r="AH870" s="30" cm="1">
        <f t="array" ref="AH870" xml:space="preserve"> INDEX( VfM_Metrics_2023_Consol_Source[], $AK870, AH$832 )</f>
        <v>0.14204867006225241</v>
      </c>
      <c r="AI870" s="30" t="str" cm="1">
        <f t="array" ref="AI870" xml:space="preserve"> INDEX( VfM_Metrics_2023_Consol_Source[], $AK870, AI$832 )</f>
        <v>Traditional</v>
      </c>
      <c r="AJ870" s="34" t="str" cm="1">
        <f t="array" ref="AJ870" xml:space="preserve"> INDEX( VfM_Metrics_2023_Consol_Source[], $AK870, AJ$832 )</f>
        <v>West Midlands</v>
      </c>
      <c r="AK870" s="81">
        <f xml:space="preserve"> MATCH( tblFilterAll[[#This Row],[Code]], VfM_Metrics_2023_Consol_Source[RP_Code], 0 )</f>
        <v>37</v>
      </c>
      <c r="AL870" s="24">
        <f xml:space="preserve"> INDEX( tblFilterRegion[Include for region],  MATCH( tblFilterAll[[#This Row],[Code]], tblFilterRegion[RP_Code], 0 ) )</f>
        <v>1</v>
      </c>
      <c r="AM870" s="24">
        <f xml:space="preserve"> INDEX( tblFilterPropType[Incl for prop type],  MATCH( tblFilterAll[[#This Row],[Code]], tblFilterPropType[RP_Code], 0 ) )</f>
        <v>1</v>
      </c>
      <c r="AN870" s="24">
        <f xml:space="preserve"> INDEX( tblFilterSize[Incl for size],  MATCH( tblFilterAll[[#This Row],[Code]], tblFilterSize[RP_Code], 0 ) )</f>
        <v>1</v>
      </c>
      <c r="AO870" s="24">
        <f xml:space="preserve"> INDEX( tblFilterRP_Type[Incl, for RP Type],  MATCH( tblFilterAll[[#This Row],[Code]], tblFilterRP_Type[RP_Code], 0 ) )</f>
        <v>1</v>
      </c>
      <c r="AP870" s="24">
        <f xml:space="preserve">  -- ( SUM( tblFilterAll[[#This Row],[Filter Region]:[Filter RP Type]] ) = 4 )</f>
        <v>1</v>
      </c>
      <c r="AQ870" s="24">
        <f xml:space="preserve"> -- ( tblFilterAll[[#This Row],[Provider name]] = SelectedProvider )</f>
        <v>0</v>
      </c>
      <c r="AR870" s="24">
        <f xml:space="preserve">  -- ( OR( SUM( tblFilterAll[[#This Row],[Filter Region]:[Filter RP Type]] ) = 4, tblFilterAll[[#This Row],[SelectedProvider]] = 1 ) )</f>
        <v>1</v>
      </c>
      <c r="AS870" s="24">
        <f xml:space="preserve"> -- ( INDEX( PeersCritera[Included in final peers], MATCH( tblFilterAll[[#This Row],[Provider name]], PeersCritera[RP_Name], 0 ) ) = 1 )</f>
        <v>1</v>
      </c>
      <c r="AT870" s="30" t="str" cm="1">
        <f t="array" ref="AT870" xml:space="preserve"> SUBSTITUTE( INDEX( VfM_Metrics_2023_Consol_Source[], $AK870, AT$832 ), 0, "" )</f>
        <v>&gt;= 12 years</v>
      </c>
      <c r="AU870" s="34" cm="1">
        <f t="array" ref="AU870" xml:space="preserve"> INDEX( VfM_Metrics_2023_Consol_Source[], $AK870, AU$832 )</f>
        <v>0</v>
      </c>
      <c r="AV870" s="34" cm="1">
        <f t="array" ref="AV870" xml:space="preserve"> INDEX( VfM_Metrics_2023_Consol_Source[], $AK870, AV$832 )</f>
        <v>0</v>
      </c>
      <c r="AW870" s="34" cm="1">
        <f t="array" ref="AW870" xml:space="preserve"> INDEX( VfM_Metrics_2023_Consol_Source[], $AK870, AW$832 )</f>
        <v>0</v>
      </c>
      <c r="AX870" s="34" cm="1">
        <f t="array" ref="AX870" xml:space="preserve"> INDEX( VfM_Metrics_2023_Consol_Source[], $AK870, AX$832 )</f>
        <v>0</v>
      </c>
      <c r="AY870" s="34" cm="1">
        <f t="array" ref="AY870" xml:space="preserve"> INDEX( VfM_Metrics_2023_Consol_Source[], $AK870, AY$832 )</f>
        <v>1</v>
      </c>
      <c r="AZ870" s="34" cm="1">
        <f t="array" ref="AZ870" xml:space="preserve"> INDEX( VfM_Metrics_2023_Consol_Source[], $AK870, AZ$832 )</f>
        <v>0</v>
      </c>
      <c r="BA870" s="34" cm="1">
        <f t="array" ref="BA870" xml:space="preserve"> INDEX( VfM_Metrics_2023_Consol_Source[], $AK870, BA$832 )</f>
        <v>0</v>
      </c>
      <c r="BB870" s="34" cm="1">
        <f t="array" ref="BB870" xml:space="preserve"> INDEX( VfM_Metrics_2023_Consol_Source[], $AK870, BB$832 )</f>
        <v>0</v>
      </c>
      <c r="BC870" s="34" cm="1">
        <f t="array" ref="BC870" xml:space="preserve"> INDEX( VfM_Metrics_2023_Consol_Source[], $AK870, BC$832 )</f>
        <v>0</v>
      </c>
    </row>
    <row r="871" spans="2:55" x14ac:dyDescent="0.2">
      <c r="B871" s="122" t="str" vm="38">
        <f t="shared" ref="B871" si="373" xml:space="preserve"> B661</f>
        <v>Cornerstone Housing Limited</v>
      </c>
      <c r="C871" s="122" t="str" vm="228">
        <f t="shared" si="368"/>
        <v>L0147</v>
      </c>
      <c r="D871" s="30" cm="1">
        <f t="array" ref="D871" xml:space="preserve"> INDEX( VfM_Metrics_2023_Consol_Source[], $AK871, D$832 )</f>
        <v>3.4832701549115004E-2</v>
      </c>
      <c r="E871" s="35">
        <f xml:space="preserve"> IF( tblFilterAll[[#This Row],[Reinvestment]] &lt; D$825, 4, IF( tblFilterAll[[#This Row],[Reinvestment]] &lt; D$826, 3, IF( tblFilterAll[[#This Row],[Reinvestment]] &lt; D$827, 2, 1 ) ) )</f>
        <v>4</v>
      </c>
      <c r="F871" s="35">
        <f xml:space="preserve"> COUNTIFS( tblFilterAll[Include in output], 1, tblFilterAll[Reinvestment], "&gt;" &amp; tblFilterAll[[#This Row],[Reinvestment]] ) + 1</f>
        <v>161</v>
      </c>
      <c r="G871" s="30" cm="1">
        <f t="array" ref="G871" xml:space="preserve"> INDEX( VfM_Metrics_2023_Consol_Source[], $AK871, G$832 )</f>
        <v>7.2411296162201303E-3</v>
      </c>
      <c r="H871" s="35">
        <f xml:space="preserve"> IF( tblFilterAll[[#This Row],[New Supply (Social)]] &lt; G$825, 4, IF( tblFilterAll[[#This Row],[New Supply (Social)]] &lt; G$826, 3, IF( tblFilterAll[[#This Row],[New Supply (Social)]] &lt; G$827, 2, 1 ) ) )</f>
        <v>3</v>
      </c>
      <c r="I871" s="35">
        <f xml:space="preserve"> COUNTIFS( tblFilterAll[Include in output], 1, tblFilterAll[New Supply (Social)], "&gt;" &amp; tblFilterAll[[#This Row],[New Supply (Social)]] ) + 1</f>
        <v>142</v>
      </c>
      <c r="J871" s="31" cm="1">
        <f t="array" ref="J871" xml:space="preserve"> INDEX( VfM_Metrics_2023_Consol_Source[], $AK871, J$832 )</f>
        <v>0</v>
      </c>
      <c r="K871" s="35">
        <f xml:space="preserve"> IF( tblFilterAll[[#This Row],[New Supply (Non-Social)]] &lt; J$825, 4, IF( tblFilterAll[[#This Row],[New Supply (Non-Social)]] &lt; J$826, 3, IF( tblFilterAll[[#This Row],[New Supply (Non-Social)]] &lt; J$827, 2, 1 ) ) )</f>
        <v>2</v>
      </c>
      <c r="L871" s="35">
        <f xml:space="preserve"> COUNTIFS( tblFilterAll[Include in output], 1, tblFilterAll[New Supply (Non-Social)], "&gt;" &amp; tblFilterAll[[#This Row],[New Supply (Non-Social)]] ) + 1</f>
        <v>72</v>
      </c>
      <c r="M871" s="30" cm="1">
        <f t="array" ref="M871" xml:space="preserve"> INDEX( VfM_Metrics_2023_Consol_Source[], $AK871, M$832 )</f>
        <v>0.3290899322448736</v>
      </c>
      <c r="N871" s="35">
        <f xml:space="preserve"> IF( tblFilterAll[[#This Row],[Gearing]] &lt; M$825, 4, IF( tblFilterAll[[#This Row],[Gearing]] &lt; M$826, 3, IF( tblFilterAll[[#This Row],[Gearing]] &lt; M$827, 2, 1 ) ) )</f>
        <v>4</v>
      </c>
      <c r="O871" s="35">
        <f xml:space="preserve"> COUNTIFS( tblFilterAll[Include in output], 1, tblFilterAll[Gearing], "&gt;" &amp; tblFilterAll[[#This Row],[Gearing]] ) + 1</f>
        <v>151</v>
      </c>
      <c r="P871" s="30" cm="1">
        <f t="array" ref="P871" xml:space="preserve"> INDEX( VfM_Metrics_2023_Consol_Source[], $AK871, P$832 )</f>
        <v>1.8472949389179756</v>
      </c>
      <c r="Q871" s="35">
        <f xml:space="preserve"> IF( tblFilterAll[[#This Row],[EBITDA MRI Interest Cover]] &lt; P$825, 4, IF( tblFilterAll[[#This Row],[EBITDA MRI Interest Cover]] &lt; P$826, 3, IF( tblFilterAll[[#This Row],[EBITDA MRI Interest Cover]] &lt; P$827, 2, 1 ) ) )</f>
        <v>1</v>
      </c>
      <c r="R871" s="35">
        <f xml:space="preserve"> COUNTIFS( tblFilterAll[Include in output], 1, tblFilterAll[EBITDA MRI Interest Cover], "&gt;" &amp; tblFilterAll[[#This Row],[EBITDA MRI Interest Cover]] ) + 1</f>
        <v>40</v>
      </c>
      <c r="S871" s="32" cm="1">
        <f t="array" ref="S871" xml:space="preserve"> INDEX( VfM_Metrics_2023_Consol_Source[], $AK871, S$832 )</f>
        <v>4014.2247510668562</v>
      </c>
      <c r="T871" s="35">
        <f xml:space="preserve"> IF( tblFilterAll[[#This Row],[Headline Social Housing Cost per unit]] &lt; S$825, 4, IF( tblFilterAll[[#This Row],[Headline Social Housing Cost per unit]] &lt; S$826, 3, IF( tblFilterAll[[#This Row],[Headline Social Housing Cost per unit]] &lt; S$827, 2, 1 ) ) )</f>
        <v>4</v>
      </c>
      <c r="U871" s="35">
        <f xml:space="preserve"> COUNTIFS( tblFilterAll[Include in output], 1, tblFilterAll[Headline Social Housing Cost per unit], "&gt;" &amp; tblFilterAll[[#This Row],[Headline Social Housing Cost per unit]] ) + 1</f>
        <v>161</v>
      </c>
      <c r="V871" s="30" cm="1">
        <f t="array" ref="V871" xml:space="preserve"> INDEX( VfM_Metrics_2023_Consol_Source[], $AK871, V$832 )</f>
        <v>0.24533437013996889</v>
      </c>
      <c r="W871" s="35">
        <f xml:space="preserve"> IF( tblFilterAll[[#This Row],[Operating Margin (SHL)]] &lt; V$825, 4, IF( tblFilterAll[[#This Row],[Operating Margin (SHL)]] &lt; V$826, 3, IF( tblFilterAll[[#This Row],[Operating Margin (SHL)]] &lt; V$827, 2, 1 ) ) )</f>
        <v>2</v>
      </c>
      <c r="X871" s="35">
        <f xml:space="preserve"> COUNTIFS( tblFilterAll[Include in output], 1, tblFilterAll[Operating Margin (SHL)], "&gt;" &amp; tblFilterAll[[#This Row],[Operating Margin (SHL)]] ) + 1</f>
        <v>61</v>
      </c>
      <c r="Y871" s="30" cm="1">
        <f t="array" ref="Y871" xml:space="preserve"> INDEX( VfM_Metrics_2023_Consol_Source[], $AK871, Y$832 )</f>
        <v>0.22317431896661977</v>
      </c>
      <c r="Z871" s="35">
        <f xml:space="preserve"> IF( tblFilterAll[[#This Row],[Operating Margin (Overall)]] &lt; Y$825, 4, IF( tblFilterAll[[#This Row],[Operating Margin (Overall)]] &lt; Y$826, 3, IF( tblFilterAll[[#This Row],[Operating Margin (Overall)]] &lt; Y$827, 2, 1 ) ) )</f>
        <v>2</v>
      </c>
      <c r="AA871" s="35">
        <f xml:space="preserve"> COUNTIFS( tblFilterAll[Include in output], 1, tblFilterAll[Operating Margin (Overall)], "&gt;" &amp; tblFilterAll[[#This Row],[Operating Margin (Overall)]] ) + 1</f>
        <v>59</v>
      </c>
      <c r="AB871" s="30" cm="1">
        <f t="array" ref="AB871" xml:space="preserve"> INDEX( VfM_Metrics_2023_Consol_Source[], $AK871, AB$832 )</f>
        <v>2.3612920031258141E-2</v>
      </c>
      <c r="AC871" s="35">
        <f xml:space="preserve"> IF( tblFilterAll[[#This Row],[ROCE]] &lt; AB$825, 4, IF( tblFilterAll[[#This Row],[ROCE]] &lt; AB$826, 3, IF( tblFilterAll[[#This Row],[ROCE]] &lt; AB$827, 2, 1 ) ) )</f>
        <v>3</v>
      </c>
      <c r="AD871" s="35">
        <f xml:space="preserve"> COUNTIFS( tblFilterAll[Include in output], 1, tblFilterAll[ROCE], "&gt;" &amp; tblFilterAll[[#This Row],[ROCE]] ) + 1</f>
        <v>136</v>
      </c>
      <c r="AE871" s="33" cm="1" vm="8485">
        <f t="array" ref="AE871" xml:space="preserve"> INDEX( VfM_Metrics_2023_Consol_Source[], $AK871, AE$832 )</f>
        <v>1381</v>
      </c>
      <c r="AF871" s="30" cm="1">
        <f t="array" ref="AF871" xml:space="preserve"> INDEX( VfM_Metrics_2023_Consol_Source[], $AK871, AF$832 )</f>
        <v>0</v>
      </c>
      <c r="AG871" s="30" cm="1">
        <f t="array" ref="AG871" xml:space="preserve"> INDEX( VfM_Metrics_2023_Consol_Source[], $AK871, AG$832 )</f>
        <v>0</v>
      </c>
      <c r="AH871" s="30" cm="1">
        <f t="array" ref="AH871" xml:space="preserve"> INDEX( VfM_Metrics_2023_Consol_Source[], $AK871, AH$832 )</f>
        <v>0</v>
      </c>
      <c r="AI871" s="30" t="str" cm="1">
        <f t="array" ref="AI871" xml:space="preserve"> INDEX( VfM_Metrics_2023_Consol_Source[], $AK871, AI$832 )</f>
        <v>Traditional</v>
      </c>
      <c r="AJ871" s="34" t="str" cm="1">
        <f t="array" ref="AJ871" xml:space="preserve"> INDEX( VfM_Metrics_2023_Consol_Source[], $AK871, AJ$832 )</f>
        <v>South West</v>
      </c>
      <c r="AK871" s="81">
        <f xml:space="preserve"> MATCH( tblFilterAll[[#This Row],[Code]], VfM_Metrics_2023_Consol_Source[RP_Code], 0 )</f>
        <v>38</v>
      </c>
      <c r="AL871" s="24">
        <f xml:space="preserve"> INDEX( tblFilterRegion[Include for region],  MATCH( tblFilterAll[[#This Row],[Code]], tblFilterRegion[RP_Code], 0 ) )</f>
        <v>1</v>
      </c>
      <c r="AM871" s="24">
        <f xml:space="preserve"> INDEX( tblFilterPropType[Incl for prop type],  MATCH( tblFilterAll[[#This Row],[Code]], tblFilterPropType[RP_Code], 0 ) )</f>
        <v>1</v>
      </c>
      <c r="AN871" s="24">
        <f xml:space="preserve"> INDEX( tblFilterSize[Incl for size],  MATCH( tblFilterAll[[#This Row],[Code]], tblFilterSize[RP_Code], 0 ) )</f>
        <v>1</v>
      </c>
      <c r="AO871" s="24">
        <f xml:space="preserve"> INDEX( tblFilterRP_Type[Incl, for RP Type],  MATCH( tblFilterAll[[#This Row],[Code]], tblFilterRP_Type[RP_Code], 0 ) )</f>
        <v>1</v>
      </c>
      <c r="AP871" s="24">
        <f xml:space="preserve">  -- ( SUM( tblFilterAll[[#This Row],[Filter Region]:[Filter RP Type]] ) = 4 )</f>
        <v>1</v>
      </c>
      <c r="AQ871" s="24">
        <f xml:space="preserve"> -- ( tblFilterAll[[#This Row],[Provider name]] = SelectedProvider )</f>
        <v>0</v>
      </c>
      <c r="AR871" s="24">
        <f xml:space="preserve">  -- ( OR( SUM( tblFilterAll[[#This Row],[Filter Region]:[Filter RP Type]] ) = 4, tblFilterAll[[#This Row],[SelectedProvider]] = 1 ) )</f>
        <v>1</v>
      </c>
      <c r="AS871" s="24">
        <f xml:space="preserve"> -- ( INDEX( PeersCritera[Included in final peers], MATCH( tblFilterAll[[#This Row],[Provider name]], PeersCritera[RP_Name], 0 ) ) = 1 )</f>
        <v>1</v>
      </c>
      <c r="AT871" s="30" t="str" cm="1">
        <f t="array" ref="AT871" xml:space="preserve"> SUBSTITUTE( INDEX( VfM_Metrics_2023_Consol_Source[], $AK871, AT$832 ), 0, "" )</f>
        <v/>
      </c>
      <c r="AU871" s="34" cm="1">
        <f t="array" ref="AU871" xml:space="preserve"> INDEX( VfM_Metrics_2023_Consol_Source[], $AK871, AU$832 )</f>
        <v>0</v>
      </c>
      <c r="AV871" s="34" cm="1">
        <f t="array" ref="AV871" xml:space="preserve"> INDEX( VfM_Metrics_2023_Consol_Source[], $AK871, AV$832 )</f>
        <v>0</v>
      </c>
      <c r="AW871" s="34" cm="1">
        <f t="array" ref="AW871" xml:space="preserve"> INDEX( VfM_Metrics_2023_Consol_Source[], $AK871, AW$832 )</f>
        <v>1</v>
      </c>
      <c r="AX871" s="34" cm="1">
        <f t="array" ref="AX871" xml:space="preserve"> INDEX( VfM_Metrics_2023_Consol_Source[], $AK871, AX$832 )</f>
        <v>0</v>
      </c>
      <c r="AY871" s="34" cm="1">
        <f t="array" ref="AY871" xml:space="preserve"> INDEX( VfM_Metrics_2023_Consol_Source[], $AK871, AY$832 )</f>
        <v>0</v>
      </c>
      <c r="AZ871" s="34" cm="1">
        <f t="array" ref="AZ871" xml:space="preserve"> INDEX( VfM_Metrics_2023_Consol_Source[], $AK871, AZ$832 )</f>
        <v>0</v>
      </c>
      <c r="BA871" s="34" cm="1">
        <f t="array" ref="BA871" xml:space="preserve"> INDEX( VfM_Metrics_2023_Consol_Source[], $AK871, BA$832 )</f>
        <v>0</v>
      </c>
      <c r="BB871" s="34" cm="1">
        <f t="array" ref="BB871" xml:space="preserve"> INDEX( VfM_Metrics_2023_Consol_Source[], $AK871, BB$832 )</f>
        <v>0</v>
      </c>
      <c r="BC871" s="34" cm="1">
        <f t="array" ref="BC871" xml:space="preserve"> INDEX( VfM_Metrics_2023_Consol_Source[], $AK871, BC$832 )</f>
        <v>0</v>
      </c>
    </row>
    <row r="872" spans="2:55" x14ac:dyDescent="0.2">
      <c r="B872" s="122" t="str" vm="39">
        <f t="shared" ref="B872" si="374" xml:space="preserve"> B662</f>
        <v>Cottsway Housing Association Limited</v>
      </c>
      <c r="C872" s="122" t="str" vm="390">
        <f t="shared" si="368"/>
        <v>L4312</v>
      </c>
      <c r="D872" s="30" cm="1">
        <f t="array" ref="D872" xml:space="preserve"> INDEX( VfM_Metrics_2023_Consol_Source[], $AK872, D$832 )</f>
        <v>8.5099312850639E-2</v>
      </c>
      <c r="E872" s="35">
        <f xml:space="preserve"> IF( tblFilterAll[[#This Row],[Reinvestment]] &lt; D$825, 4, IF( tblFilterAll[[#This Row],[Reinvestment]] &lt; D$826, 3, IF( tblFilterAll[[#This Row],[Reinvestment]] &lt; D$827, 2, 1 ) ) )</f>
        <v>2</v>
      </c>
      <c r="F872" s="35">
        <f xml:space="preserve"> COUNTIFS( tblFilterAll[Include in output], 1, tblFilterAll[Reinvestment], "&gt;" &amp; tblFilterAll[[#This Row],[Reinvestment]] ) + 1</f>
        <v>62</v>
      </c>
      <c r="G872" s="30" cm="1">
        <f t="array" ref="G872" xml:space="preserve"> INDEX( VfM_Metrics_2023_Consol_Source[], $AK872, G$832 )</f>
        <v>3.8176225800615159E-2</v>
      </c>
      <c r="H872" s="35">
        <f xml:space="preserve"> IF( tblFilterAll[[#This Row],[New Supply (Social)]] &lt; G$825, 4, IF( tblFilterAll[[#This Row],[New Supply (Social)]] &lt; G$826, 3, IF( tblFilterAll[[#This Row],[New Supply (Social)]] &lt; G$827, 2, 1 ) ) )</f>
        <v>1</v>
      </c>
      <c r="I872" s="35">
        <f xml:space="preserve"> COUNTIFS( tblFilterAll[Include in output], 1, tblFilterAll[New Supply (Social)], "&gt;" &amp; tblFilterAll[[#This Row],[New Supply (Social)]] ) + 1</f>
        <v>9</v>
      </c>
      <c r="J872" s="31" cm="1">
        <f t="array" ref="J872" xml:space="preserve"> INDEX( VfM_Metrics_2023_Consol_Source[], $AK872, J$832 )</f>
        <v>0</v>
      </c>
      <c r="K872" s="35">
        <f xml:space="preserve"> IF( tblFilterAll[[#This Row],[New Supply (Non-Social)]] &lt; J$825, 4, IF( tblFilterAll[[#This Row],[New Supply (Non-Social)]] &lt; J$826, 3, IF( tblFilterAll[[#This Row],[New Supply (Non-Social)]] &lt; J$827, 2, 1 ) ) )</f>
        <v>2</v>
      </c>
      <c r="L872" s="35">
        <f xml:space="preserve"> COUNTIFS( tblFilterAll[Include in output], 1, tblFilterAll[New Supply (Non-Social)], "&gt;" &amp; tblFilterAll[[#This Row],[New Supply (Non-Social)]] ) + 1</f>
        <v>72</v>
      </c>
      <c r="M872" s="30" cm="1">
        <f t="array" ref="M872" xml:space="preserve"> INDEX( VfM_Metrics_2023_Consol_Source[], $AK872, M$832 )</f>
        <v>0.59561757336586763</v>
      </c>
      <c r="N872" s="35">
        <f xml:space="preserve"> IF( tblFilterAll[[#This Row],[Gearing]] &lt; M$825, 4, IF( tblFilterAll[[#This Row],[Gearing]] &lt; M$826, 3, IF( tblFilterAll[[#This Row],[Gearing]] &lt; M$827, 2, 1 ) ) )</f>
        <v>1</v>
      </c>
      <c r="O872" s="35">
        <f xml:space="preserve"> COUNTIFS( tblFilterAll[Include in output], 1, tblFilterAll[Gearing], "&gt;" &amp; tblFilterAll[[#This Row],[Gearing]] ) + 1</f>
        <v>26</v>
      </c>
      <c r="P872" s="30" cm="1">
        <f t="array" ref="P872" xml:space="preserve"> INDEX( VfM_Metrics_2023_Consol_Source[], $AK872, P$832 )</f>
        <v>1.3828945104112889</v>
      </c>
      <c r="Q872" s="35">
        <f xml:space="preserve"> IF( tblFilterAll[[#This Row],[EBITDA MRI Interest Cover]] &lt; P$825, 4, IF( tblFilterAll[[#This Row],[EBITDA MRI Interest Cover]] &lt; P$826, 3, IF( tblFilterAll[[#This Row],[EBITDA MRI Interest Cover]] &lt; P$827, 2, 1 ) ) )</f>
        <v>2</v>
      </c>
      <c r="R872" s="35">
        <f xml:space="preserve"> COUNTIFS( tblFilterAll[Include in output], 1, tblFilterAll[EBITDA MRI Interest Cover], "&gt;" &amp; tblFilterAll[[#This Row],[EBITDA MRI Interest Cover]] ) + 1</f>
        <v>80</v>
      </c>
      <c r="S872" s="32" cm="1">
        <f t="array" ref="S872" xml:space="preserve"> INDEX( VfM_Metrics_2023_Consol_Source[], $AK872, S$832 )</f>
        <v>3825.102116598589</v>
      </c>
      <c r="T872" s="35">
        <f xml:space="preserve"> IF( tblFilterAll[[#This Row],[Headline Social Housing Cost per unit]] &lt; S$825, 4, IF( tblFilterAll[[#This Row],[Headline Social Housing Cost per unit]] &lt; S$826, 3, IF( tblFilterAll[[#This Row],[Headline Social Housing Cost per unit]] &lt; S$827, 2, 1 ) ) )</f>
        <v>4</v>
      </c>
      <c r="U872" s="35">
        <f xml:space="preserve"> COUNTIFS( tblFilterAll[Include in output], 1, tblFilterAll[Headline Social Housing Cost per unit], "&gt;" &amp; tblFilterAll[[#This Row],[Headline Social Housing Cost per unit]] ) + 1</f>
        <v>178</v>
      </c>
      <c r="V872" s="30" cm="1">
        <f t="array" ref="V872" xml:space="preserve"> INDEX( VfM_Metrics_2023_Consol_Source[], $AK872, V$832 )</f>
        <v>0.34390347420117623</v>
      </c>
      <c r="W872" s="35">
        <f xml:space="preserve"> IF( tblFilterAll[[#This Row],[Operating Margin (SHL)]] &lt; V$825, 4, IF( tblFilterAll[[#This Row],[Operating Margin (SHL)]] &lt; V$826, 3, IF( tblFilterAll[[#This Row],[Operating Margin (SHL)]] &lt; V$827, 2, 1 ) ) )</f>
        <v>1</v>
      </c>
      <c r="X872" s="35">
        <f xml:space="preserve"> COUNTIFS( tblFilterAll[Include in output], 1, tblFilterAll[Operating Margin (SHL)], "&gt;" &amp; tblFilterAll[[#This Row],[Operating Margin (SHL)]] ) + 1</f>
        <v>14</v>
      </c>
      <c r="Y872" s="30" cm="1">
        <f t="array" ref="Y872" xml:space="preserve"> INDEX( VfM_Metrics_2023_Consol_Source[], $AK872, Y$832 )</f>
        <v>0.34130765331981755</v>
      </c>
      <c r="Z872" s="35">
        <f xml:space="preserve"> IF( tblFilterAll[[#This Row],[Operating Margin (Overall)]] &lt; Y$825, 4, IF( tblFilterAll[[#This Row],[Operating Margin (Overall)]] &lt; Y$826, 3, IF( tblFilterAll[[#This Row],[Operating Margin (Overall)]] &lt; Y$827, 2, 1 ) ) )</f>
        <v>1</v>
      </c>
      <c r="AA872" s="35">
        <f xml:space="preserve"> COUNTIFS( tblFilterAll[Include in output], 1, tblFilterAll[Operating Margin (Overall)], "&gt;" &amp; tblFilterAll[[#This Row],[Operating Margin (Overall)]] ) + 1</f>
        <v>5</v>
      </c>
      <c r="AB872" s="30" cm="1">
        <f t="array" ref="AB872" xml:space="preserve"> INDEX( VfM_Metrics_2023_Consol_Source[], $AK872, AB$832 )</f>
        <v>3.5221776946312185E-2</v>
      </c>
      <c r="AC872" s="35">
        <f xml:space="preserve"> IF( tblFilterAll[[#This Row],[ROCE]] &lt; AB$825, 4, IF( tblFilterAll[[#This Row],[ROCE]] &lt; AB$826, 3, IF( tblFilterAll[[#This Row],[ROCE]] &lt; AB$827, 2, 1 ) ) )</f>
        <v>2</v>
      </c>
      <c r="AD872" s="35">
        <f xml:space="preserve"> COUNTIFS( tblFilterAll[Include in output], 1, tblFilterAll[ROCE], "&gt;" &amp; tblFilterAll[[#This Row],[ROCE]] ) + 1</f>
        <v>57</v>
      </c>
      <c r="AE872" s="33" cm="1" vm="6590">
        <f t="array" ref="AE872" xml:space="preserve"> INDEX( VfM_Metrics_2023_Consol_Source[], $AK872, AE$832 )</f>
        <v>5386</v>
      </c>
      <c r="AF872" s="30" cm="1">
        <f t="array" ref="AF872" xml:space="preserve"> INDEX( VfM_Metrics_2023_Consol_Source[], $AK872, AF$832 )</f>
        <v>0</v>
      </c>
      <c r="AG872" s="30" cm="1">
        <f t="array" ref="AG872" xml:space="preserve"> INDEX( VfM_Metrics_2023_Consol_Source[], $AK872, AG$832 )</f>
        <v>0</v>
      </c>
      <c r="AH872" s="30" cm="1">
        <f t="array" ref="AH872" xml:space="preserve"> INDEX( VfM_Metrics_2023_Consol_Source[], $AK872, AH$832 )</f>
        <v>0</v>
      </c>
      <c r="AI872" s="30" t="str" cm="1">
        <f t="array" ref="AI872" xml:space="preserve"> INDEX( VfM_Metrics_2023_Consol_Source[], $AK872, AI$832 )</f>
        <v>Traditional</v>
      </c>
      <c r="AJ872" s="34" t="str" cm="1">
        <f t="array" ref="AJ872" xml:space="preserve"> INDEX( VfM_Metrics_2023_Consol_Source[], $AK872, AJ$832 )</f>
        <v>South East</v>
      </c>
      <c r="AK872" s="81">
        <f xml:space="preserve"> MATCH( tblFilterAll[[#This Row],[Code]], VfM_Metrics_2023_Consol_Source[RP_Code], 0 )</f>
        <v>39</v>
      </c>
      <c r="AL872" s="24">
        <f xml:space="preserve"> INDEX( tblFilterRegion[Include for region],  MATCH( tblFilterAll[[#This Row],[Code]], tblFilterRegion[RP_Code], 0 ) )</f>
        <v>1</v>
      </c>
      <c r="AM872" s="24">
        <f xml:space="preserve"> INDEX( tblFilterPropType[Incl for prop type],  MATCH( tblFilterAll[[#This Row],[Code]], tblFilterPropType[RP_Code], 0 ) )</f>
        <v>1</v>
      </c>
      <c r="AN872" s="24">
        <f xml:space="preserve"> INDEX( tblFilterSize[Incl for size],  MATCH( tblFilterAll[[#This Row],[Code]], tblFilterSize[RP_Code], 0 ) )</f>
        <v>1</v>
      </c>
      <c r="AO872" s="24">
        <f xml:space="preserve"> INDEX( tblFilterRP_Type[Incl, for RP Type],  MATCH( tblFilterAll[[#This Row],[Code]], tblFilterRP_Type[RP_Code], 0 ) )</f>
        <v>1</v>
      </c>
      <c r="AP872" s="24">
        <f xml:space="preserve">  -- ( SUM( tblFilterAll[[#This Row],[Filter Region]:[Filter RP Type]] ) = 4 )</f>
        <v>1</v>
      </c>
      <c r="AQ872" s="24">
        <f xml:space="preserve"> -- ( tblFilterAll[[#This Row],[Provider name]] = SelectedProvider )</f>
        <v>0</v>
      </c>
      <c r="AR872" s="24">
        <f xml:space="preserve">  -- ( OR( SUM( tblFilterAll[[#This Row],[Filter Region]:[Filter RP Type]] ) = 4, tblFilterAll[[#This Row],[SelectedProvider]] = 1 ) )</f>
        <v>1</v>
      </c>
      <c r="AS872" s="24">
        <f xml:space="preserve"> -- ( INDEX( PeersCritera[Included in final peers], MATCH( tblFilterAll[[#This Row],[Provider name]], PeersCritera[RP_Name], 0 ) ) = 1 )</f>
        <v>1</v>
      </c>
      <c r="AT872" s="30" t="str" cm="1">
        <f t="array" ref="AT872" xml:space="preserve"> SUBSTITUTE( INDEX( VfM_Metrics_2023_Consol_Source[], $AK872, AT$832 ), 0, "" )</f>
        <v>&gt;= 12 years</v>
      </c>
      <c r="AU872" s="34" cm="1">
        <f t="array" ref="AU872" xml:space="preserve"> INDEX( VfM_Metrics_2023_Consol_Source[], $AK872, AU$832 )</f>
        <v>0</v>
      </c>
      <c r="AV872" s="34" cm="1">
        <f t="array" ref="AV872" xml:space="preserve"> INDEX( VfM_Metrics_2023_Consol_Source[], $AK872, AV$832 )</f>
        <v>0.80614525139664805</v>
      </c>
      <c r="AW872" s="34" cm="1">
        <f t="array" ref="AW872" xml:space="preserve"> INDEX( VfM_Metrics_2023_Consol_Source[], $AK872, AW$832 )</f>
        <v>0.17746741154562384</v>
      </c>
      <c r="AX872" s="34" cm="1">
        <f t="array" ref="AX872" xml:space="preserve"> INDEX( VfM_Metrics_2023_Consol_Source[], $AK872, AX$832 )</f>
        <v>0</v>
      </c>
      <c r="AY872" s="34" cm="1">
        <f t="array" ref="AY872" xml:space="preserve"> INDEX( VfM_Metrics_2023_Consol_Source[], $AK872, AY$832 )</f>
        <v>1.6387337057728119E-2</v>
      </c>
      <c r="AZ872" s="34" cm="1">
        <f t="array" ref="AZ872" xml:space="preserve"> INDEX( VfM_Metrics_2023_Consol_Source[], $AK872, AZ$832 )</f>
        <v>0</v>
      </c>
      <c r="BA872" s="34" cm="1">
        <f t="array" ref="BA872" xml:space="preserve"> INDEX( VfM_Metrics_2023_Consol_Source[], $AK872, BA$832 )</f>
        <v>0</v>
      </c>
      <c r="BB872" s="34" cm="1">
        <f t="array" ref="BB872" xml:space="preserve"> INDEX( VfM_Metrics_2023_Consol_Source[], $AK872, BB$832 )</f>
        <v>0</v>
      </c>
      <c r="BC872" s="34" cm="1">
        <f t="array" ref="BC872" xml:space="preserve"> INDEX( VfM_Metrics_2023_Consol_Source[], $AK872, BC$832 )</f>
        <v>0</v>
      </c>
    </row>
    <row r="873" spans="2:55" x14ac:dyDescent="0.2">
      <c r="B873" s="122" t="str" vm="40">
        <f t="shared" ref="B873" si="375" xml:space="preserve"> B663</f>
        <v>Cross Keys Homes Limited</v>
      </c>
      <c r="C873" s="122" t="str" vm="302">
        <f t="shared" si="368"/>
        <v>LH4428</v>
      </c>
      <c r="D873" s="30" cm="1">
        <f t="array" ref="D873" xml:space="preserve"> INDEX( VfM_Metrics_2023_Consol_Source[], $AK873, D$832 )</f>
        <v>0.12489563462442288</v>
      </c>
      <c r="E873" s="35">
        <f xml:space="preserve"> IF( tblFilterAll[[#This Row],[Reinvestment]] &lt; D$825, 4, IF( tblFilterAll[[#This Row],[Reinvestment]] &lt; D$826, 3, IF( tblFilterAll[[#This Row],[Reinvestment]] &lt; D$827, 2, 1 ) ) )</f>
        <v>1</v>
      </c>
      <c r="F873" s="35">
        <f xml:space="preserve"> COUNTIFS( tblFilterAll[Include in output], 1, tblFilterAll[Reinvestment], "&gt;" &amp; tblFilterAll[[#This Row],[Reinvestment]] ) + 1</f>
        <v>16</v>
      </c>
      <c r="G873" s="30" cm="1">
        <f t="array" ref="G873" xml:space="preserve"> INDEX( VfM_Metrics_2023_Consol_Source[], $AK873, G$832 )</f>
        <v>1.8152085036794767E-2</v>
      </c>
      <c r="H873" s="35">
        <f xml:space="preserve"> IF( tblFilterAll[[#This Row],[New Supply (Social)]] &lt; G$825, 4, IF( tblFilterAll[[#This Row],[New Supply (Social)]] &lt; G$826, 3, IF( tblFilterAll[[#This Row],[New Supply (Social)]] &lt; G$827, 2, 1 ) ) )</f>
        <v>2</v>
      </c>
      <c r="I873" s="35">
        <f xml:space="preserve"> COUNTIFS( tblFilterAll[Include in output], 1, tblFilterAll[New Supply (Social)], "&gt;" &amp; tblFilterAll[[#This Row],[New Supply (Social)]] ) + 1</f>
        <v>65</v>
      </c>
      <c r="J873" s="31" cm="1">
        <f t="array" ref="J873" xml:space="preserve"> INDEX( VfM_Metrics_2023_Consol_Source[], $AK873, J$832 )</f>
        <v>0</v>
      </c>
      <c r="K873" s="35">
        <f xml:space="preserve"> IF( tblFilterAll[[#This Row],[New Supply (Non-Social)]] &lt; J$825, 4, IF( tblFilterAll[[#This Row],[New Supply (Non-Social)]] &lt; J$826, 3, IF( tblFilterAll[[#This Row],[New Supply (Non-Social)]] &lt; J$827, 2, 1 ) ) )</f>
        <v>2</v>
      </c>
      <c r="L873" s="35">
        <f xml:space="preserve"> COUNTIFS( tblFilterAll[Include in output], 1, tblFilterAll[New Supply (Non-Social)], "&gt;" &amp; tblFilterAll[[#This Row],[New Supply (Non-Social)]] ) + 1</f>
        <v>72</v>
      </c>
      <c r="M873" s="30" cm="1">
        <f t="array" ref="M873" xml:space="preserve"> INDEX( VfM_Metrics_2023_Consol_Source[], $AK873, M$832 )</f>
        <v>0.56164607005612233</v>
      </c>
      <c r="N873" s="35">
        <f xml:space="preserve"> IF( tblFilterAll[[#This Row],[Gearing]] &lt; M$825, 4, IF( tblFilterAll[[#This Row],[Gearing]] &lt; M$826, 3, IF( tblFilterAll[[#This Row],[Gearing]] &lt; M$827, 2, 1 ) ) )</f>
        <v>1</v>
      </c>
      <c r="O873" s="35">
        <f xml:space="preserve"> COUNTIFS( tblFilterAll[Include in output], 1, tblFilterAll[Gearing], "&gt;" &amp; tblFilterAll[[#This Row],[Gearing]] ) + 1</f>
        <v>40</v>
      </c>
      <c r="P873" s="30" cm="1">
        <f t="array" ref="P873" xml:space="preserve"> INDEX( VfM_Metrics_2023_Consol_Source[], $AK873, P$832 )</f>
        <v>1.2588597842835132</v>
      </c>
      <c r="Q873" s="35">
        <f xml:space="preserve"> IF( tblFilterAll[[#This Row],[EBITDA MRI Interest Cover]] &lt; P$825, 4, IF( tblFilterAll[[#This Row],[EBITDA MRI Interest Cover]] &lt; P$826, 3, IF( tblFilterAll[[#This Row],[EBITDA MRI Interest Cover]] &lt; P$827, 2, 1 ) ) )</f>
        <v>3</v>
      </c>
      <c r="R873" s="35">
        <f xml:space="preserve"> COUNTIFS( tblFilterAll[Include in output], 1, tblFilterAll[EBITDA MRI Interest Cover], "&gt;" &amp; tblFilterAll[[#This Row],[EBITDA MRI Interest Cover]] ) + 1</f>
        <v>100</v>
      </c>
      <c r="S873" s="32" cm="1">
        <f t="array" ref="S873" xml:space="preserve"> INDEX( VfM_Metrics_2023_Consol_Source[], $AK873, S$832 )</f>
        <v>3749.8585172608941</v>
      </c>
      <c r="T873" s="35">
        <f xml:space="preserve"> IF( tblFilterAll[[#This Row],[Headline Social Housing Cost per unit]] &lt; S$825, 4, IF( tblFilterAll[[#This Row],[Headline Social Housing Cost per unit]] &lt; S$826, 3, IF( tblFilterAll[[#This Row],[Headline Social Housing Cost per unit]] &lt; S$827, 2, 1 ) ) )</f>
        <v>4</v>
      </c>
      <c r="U873" s="35">
        <f xml:space="preserve"> COUNTIFS( tblFilterAll[Include in output], 1, tblFilterAll[Headline Social Housing Cost per unit], "&gt;" &amp; tblFilterAll[[#This Row],[Headline Social Housing Cost per unit]] ) + 1</f>
        <v>184</v>
      </c>
      <c r="V873" s="30" cm="1">
        <f t="array" ref="V873" xml:space="preserve"> INDEX( VfM_Metrics_2023_Consol_Source[], $AK873, V$832 )</f>
        <v>0.27766874175841028</v>
      </c>
      <c r="W873" s="35">
        <f xml:space="preserve"> IF( tblFilterAll[[#This Row],[Operating Margin (SHL)]] &lt; V$825, 4, IF( tblFilterAll[[#This Row],[Operating Margin (SHL)]] &lt; V$826, 3, IF( tblFilterAll[[#This Row],[Operating Margin (SHL)]] &lt; V$827, 2, 1 ) ) )</f>
        <v>1</v>
      </c>
      <c r="X873" s="35">
        <f xml:space="preserve"> COUNTIFS( tblFilterAll[Include in output], 1, tblFilterAll[Operating Margin (SHL)], "&gt;" &amp; tblFilterAll[[#This Row],[Operating Margin (SHL)]] ) + 1</f>
        <v>39</v>
      </c>
      <c r="Y873" s="30" cm="1">
        <f t="array" ref="Y873" xml:space="preserve"> INDEX( VfM_Metrics_2023_Consol_Source[], $AK873, Y$832 )</f>
        <v>0.26000222340254703</v>
      </c>
      <c r="Z873" s="35">
        <f xml:space="preserve"> IF( tblFilterAll[[#This Row],[Operating Margin (Overall)]] &lt; Y$825, 4, IF( tblFilterAll[[#This Row],[Operating Margin (Overall)]] &lt; Y$826, 3, IF( tblFilterAll[[#This Row],[Operating Margin (Overall)]] &lt; Y$827, 2, 1 ) ) )</f>
        <v>1</v>
      </c>
      <c r="AA873" s="35">
        <f xml:space="preserve"> COUNTIFS( tblFilterAll[Include in output], 1, tblFilterAll[Operating Margin (Overall)], "&gt;" &amp; tblFilterAll[[#This Row],[Operating Margin (Overall)]] ) + 1</f>
        <v>31</v>
      </c>
      <c r="AB873" s="30" cm="1">
        <f t="array" ref="AB873" xml:space="preserve"> INDEX( VfM_Metrics_2023_Consol_Source[], $AK873, AB$832 )</f>
        <v>3.3926778075584009E-2</v>
      </c>
      <c r="AC873" s="35">
        <f xml:space="preserve"> IF( tblFilterAll[[#This Row],[ROCE]] &lt; AB$825, 4, IF( tblFilterAll[[#This Row],[ROCE]] &lt; AB$826, 3, IF( tblFilterAll[[#This Row],[ROCE]] &lt; AB$827, 2, 1 ) ) )</f>
        <v>2</v>
      </c>
      <c r="AD873" s="35">
        <f xml:space="preserve"> COUNTIFS( tblFilterAll[Include in output], 1, tblFilterAll[ROCE], "&gt;" &amp; tblFilterAll[[#This Row],[ROCE]] ) + 1</f>
        <v>62</v>
      </c>
      <c r="AE873" s="33" cm="1" vm="3419">
        <f t="array" ref="AE873" xml:space="preserve"> INDEX( VfM_Metrics_2023_Consol_Source[], $AK873, AE$832 )</f>
        <v>12230</v>
      </c>
      <c r="AF873" s="30" cm="1">
        <f t="array" ref="AF873" xml:space="preserve"> INDEX( VfM_Metrics_2023_Consol_Source[], $AK873, AF$832 )</f>
        <v>9.4448094612352169E-3</v>
      </c>
      <c r="AG873" s="30" cm="1">
        <f t="array" ref="AG873" xml:space="preserve"> INDEX( VfM_Metrics_2023_Consol_Source[], $AK873, AG$832 )</f>
        <v>9.2723390275952694E-2</v>
      </c>
      <c r="AH873" s="30" cm="1">
        <f t="array" ref="AH873" xml:space="preserve"> INDEX( VfM_Metrics_2023_Consol_Source[], $AK873, AH$832 )</f>
        <v>0.10216819973718791</v>
      </c>
      <c r="AI873" s="30" t="str" cm="1">
        <f t="array" ref="AI873" xml:space="preserve"> INDEX( VfM_Metrics_2023_Consol_Source[], $AK873, AI$832 )</f>
        <v>Traditional</v>
      </c>
      <c r="AJ873" s="34" t="str" cm="1">
        <f t="array" ref="AJ873" xml:space="preserve"> INDEX( VfM_Metrics_2023_Consol_Source[], $AK873, AJ$832 )</f>
        <v>East of England</v>
      </c>
      <c r="AK873" s="81">
        <f xml:space="preserve"> MATCH( tblFilterAll[[#This Row],[Code]], VfM_Metrics_2023_Consol_Source[RP_Code], 0 )</f>
        <v>40</v>
      </c>
      <c r="AL873" s="24">
        <f xml:space="preserve"> INDEX( tblFilterRegion[Include for region],  MATCH( tblFilterAll[[#This Row],[Code]], tblFilterRegion[RP_Code], 0 ) )</f>
        <v>1</v>
      </c>
      <c r="AM873" s="24">
        <f xml:space="preserve"> INDEX( tblFilterPropType[Incl for prop type],  MATCH( tblFilterAll[[#This Row],[Code]], tblFilterPropType[RP_Code], 0 ) )</f>
        <v>1</v>
      </c>
      <c r="AN873" s="24">
        <f xml:space="preserve"> INDEX( tblFilterSize[Incl for size],  MATCH( tblFilterAll[[#This Row],[Code]], tblFilterSize[RP_Code], 0 ) )</f>
        <v>1</v>
      </c>
      <c r="AO873" s="24">
        <f xml:space="preserve"> INDEX( tblFilterRP_Type[Incl, for RP Type],  MATCH( tblFilterAll[[#This Row],[Code]], tblFilterRP_Type[RP_Code], 0 ) )</f>
        <v>1</v>
      </c>
      <c r="AP873" s="24">
        <f xml:space="preserve">  -- ( SUM( tblFilterAll[[#This Row],[Filter Region]:[Filter RP Type]] ) = 4 )</f>
        <v>1</v>
      </c>
      <c r="AQ873" s="24">
        <f xml:space="preserve"> -- ( tblFilterAll[[#This Row],[Provider name]] = SelectedProvider )</f>
        <v>0</v>
      </c>
      <c r="AR873" s="24">
        <f xml:space="preserve">  -- ( OR( SUM( tblFilterAll[[#This Row],[Filter Region]:[Filter RP Type]] ) = 4, tblFilterAll[[#This Row],[SelectedProvider]] = 1 ) )</f>
        <v>1</v>
      </c>
      <c r="AS873" s="24">
        <f xml:space="preserve"> -- ( INDEX( PeersCritera[Included in final peers], MATCH( tblFilterAll[[#This Row],[Provider name]], PeersCritera[RP_Name], 0 ) ) = 1 )</f>
        <v>1</v>
      </c>
      <c r="AT873" s="30" t="str" cm="1">
        <f t="array" ref="AT873" xml:space="preserve"> SUBSTITUTE( INDEX( VfM_Metrics_2023_Consol_Source[], $AK873, AT$832 ), 0, "" )</f>
        <v>&gt;= 12 years</v>
      </c>
      <c r="AU873" s="34" cm="1">
        <f t="array" ref="AU873" xml:space="preserve"> INDEX( VfM_Metrics_2023_Consol_Source[], $AK873, AU$832 )</f>
        <v>0</v>
      </c>
      <c r="AV873" s="34" cm="1">
        <f t="array" ref="AV873" xml:space="preserve"> INDEX( VfM_Metrics_2023_Consol_Source[], $AK873, AV$832 )</f>
        <v>2.4693376941946035E-2</v>
      </c>
      <c r="AW873" s="34" cm="1">
        <f t="array" ref="AW873" xml:space="preserve"> INDEX( VfM_Metrics_2023_Consol_Source[], $AK873, AW$832 )</f>
        <v>0</v>
      </c>
      <c r="AX873" s="34" cm="1">
        <f t="array" ref="AX873" xml:space="preserve"> INDEX( VfM_Metrics_2023_Consol_Source[], $AK873, AX$832 )</f>
        <v>2.5919869174161898E-2</v>
      </c>
      <c r="AY873" s="34" cm="1">
        <f t="array" ref="AY873" xml:space="preserve"> INDEX( VfM_Metrics_2023_Consol_Source[], $AK873, AY$832 )</f>
        <v>0</v>
      </c>
      <c r="AZ873" s="34" cm="1">
        <f t="array" ref="AZ873" xml:space="preserve"> INDEX( VfM_Metrics_2023_Consol_Source[], $AK873, AZ$832 )</f>
        <v>0.94938675388389204</v>
      </c>
      <c r="BA873" s="34" cm="1">
        <f t="array" ref="BA873" xml:space="preserve"> INDEX( VfM_Metrics_2023_Consol_Source[], $AK873, BA$832 )</f>
        <v>0</v>
      </c>
      <c r="BB873" s="34" cm="1">
        <f t="array" ref="BB873" xml:space="preserve"> INDEX( VfM_Metrics_2023_Consol_Source[], $AK873, BB$832 )</f>
        <v>0</v>
      </c>
      <c r="BC873" s="34" cm="1">
        <f t="array" ref="BC873" xml:space="preserve"> INDEX( VfM_Metrics_2023_Consol_Source[], $AK873, BC$832 )</f>
        <v>0</v>
      </c>
    </row>
    <row r="874" spans="2:55" x14ac:dyDescent="0.2">
      <c r="B874" s="122" t="str" vm="41">
        <f t="shared" ref="B874" si="376" xml:space="preserve"> B664</f>
        <v>Croydon Churches Housing Association Limited</v>
      </c>
      <c r="C874" s="122" t="str" vm="213">
        <f t="shared" si="368"/>
        <v>LH0495</v>
      </c>
      <c r="D874" s="30" cm="1">
        <f t="array" ref="D874" xml:space="preserve"> INDEX( VfM_Metrics_2023_Consol_Source[], $AK874, D$832 )</f>
        <v>2.8887815498633829E-2</v>
      </c>
      <c r="E874" s="35">
        <f xml:space="preserve"> IF( tblFilterAll[[#This Row],[Reinvestment]] &lt; D$825, 4, IF( tblFilterAll[[#This Row],[Reinvestment]] &lt; D$826, 3, IF( tblFilterAll[[#This Row],[Reinvestment]] &lt; D$827, 2, 1 ) ) )</f>
        <v>4</v>
      </c>
      <c r="F874" s="35">
        <f xml:space="preserve"> COUNTIFS( tblFilterAll[Include in output], 1, tblFilterAll[Reinvestment], "&gt;" &amp; tblFilterAll[[#This Row],[Reinvestment]] ) + 1</f>
        <v>175</v>
      </c>
      <c r="G874" s="30" cm="1">
        <f t="array" ref="G874" xml:space="preserve"> INDEX( VfM_Metrics_2023_Consol_Source[], $AK874, G$832 )</f>
        <v>2.7333333333333334E-2</v>
      </c>
      <c r="H874" s="35">
        <f xml:space="preserve"> IF( tblFilterAll[[#This Row],[New Supply (Social)]] &lt; G$825, 4, IF( tblFilterAll[[#This Row],[New Supply (Social)]] &lt; G$826, 3, IF( tblFilterAll[[#This Row],[New Supply (Social)]] &lt; G$827, 2, 1 ) ) )</f>
        <v>1</v>
      </c>
      <c r="I874" s="35">
        <f xml:space="preserve"> COUNTIFS( tblFilterAll[Include in output], 1, tblFilterAll[New Supply (Social)], "&gt;" &amp; tblFilterAll[[#This Row],[New Supply (Social)]] ) + 1</f>
        <v>24</v>
      </c>
      <c r="J874" s="31" cm="1">
        <f t="array" ref="J874" xml:space="preserve"> INDEX( VfM_Metrics_2023_Consol_Source[], $AK874, J$832 )</f>
        <v>0</v>
      </c>
      <c r="K874" s="35">
        <f xml:space="preserve"> IF( tblFilterAll[[#This Row],[New Supply (Non-Social)]] &lt; J$825, 4, IF( tblFilterAll[[#This Row],[New Supply (Non-Social)]] &lt; J$826, 3, IF( tblFilterAll[[#This Row],[New Supply (Non-Social)]] &lt; J$827, 2, 1 ) ) )</f>
        <v>2</v>
      </c>
      <c r="L874" s="35">
        <f xml:space="preserve"> COUNTIFS( tblFilterAll[Include in output], 1, tblFilterAll[New Supply (Non-Social)], "&gt;" &amp; tblFilterAll[[#This Row],[New Supply (Non-Social)]] ) + 1</f>
        <v>72</v>
      </c>
      <c r="M874" s="30" cm="1">
        <f t="array" ref="M874" xml:space="preserve"> INDEX( VfM_Metrics_2023_Consol_Source[], $AK874, M$832 )</f>
        <v>0.40283615338586537</v>
      </c>
      <c r="N874" s="35">
        <f xml:space="preserve"> IF( tblFilterAll[[#This Row],[Gearing]] &lt; M$825, 4, IF( tblFilterAll[[#This Row],[Gearing]] &lt; M$826, 3, IF( tblFilterAll[[#This Row],[Gearing]] &lt; M$827, 2, 1 ) ) )</f>
        <v>3</v>
      </c>
      <c r="O874" s="35">
        <f xml:space="preserve"> COUNTIFS( tblFilterAll[Include in output], 1, tblFilterAll[Gearing], "&gt;" &amp; tblFilterAll[[#This Row],[Gearing]] ) + 1</f>
        <v>129</v>
      </c>
      <c r="P874" s="30" cm="1">
        <f t="array" ref="P874" xml:space="preserve"> INDEX( VfM_Metrics_2023_Consol_Source[], $AK874, P$832 )</f>
        <v>1.3420639078051335</v>
      </c>
      <c r="Q874" s="35">
        <f xml:space="preserve"> IF( tblFilterAll[[#This Row],[EBITDA MRI Interest Cover]] &lt; P$825, 4, IF( tblFilterAll[[#This Row],[EBITDA MRI Interest Cover]] &lt; P$826, 3, IF( tblFilterAll[[#This Row],[EBITDA MRI Interest Cover]] &lt; P$827, 2, 1 ) ) )</f>
        <v>2</v>
      </c>
      <c r="R874" s="35">
        <f xml:space="preserve"> COUNTIFS( tblFilterAll[Include in output], 1, tblFilterAll[EBITDA MRI Interest Cover], "&gt;" &amp; tblFilterAll[[#This Row],[EBITDA MRI Interest Cover]] ) + 1</f>
        <v>87</v>
      </c>
      <c r="S874" s="32" cm="1">
        <f t="array" ref="S874" xml:space="preserve"> INDEX( VfM_Metrics_2023_Consol_Source[], $AK874, S$832 )</f>
        <v>7254.9420586230408</v>
      </c>
      <c r="T874" s="35">
        <f xml:space="preserve"> IF( tblFilterAll[[#This Row],[Headline Social Housing Cost per unit]] &lt; S$825, 4, IF( tblFilterAll[[#This Row],[Headline Social Housing Cost per unit]] &lt; S$826, 3, IF( tblFilterAll[[#This Row],[Headline Social Housing Cost per unit]] &lt; S$827, 2, 1 ) ) )</f>
        <v>1</v>
      </c>
      <c r="U874" s="35">
        <f xml:space="preserve"> COUNTIFS( tblFilterAll[Include in output], 1, tblFilterAll[Headline Social Housing Cost per unit], "&gt;" &amp; tblFilterAll[[#This Row],[Headline Social Housing Cost per unit]] ) + 1</f>
        <v>30</v>
      </c>
      <c r="V874" s="30" cm="1">
        <f t="array" ref="V874" xml:space="preserve"> INDEX( VfM_Metrics_2023_Consol_Source[], $AK874, V$832 )</f>
        <v>0.1475917258040163</v>
      </c>
      <c r="W874" s="35">
        <f xml:space="preserve"> IF( tblFilterAll[[#This Row],[Operating Margin (SHL)]] &lt; V$825, 4, IF( tblFilterAll[[#This Row],[Operating Margin (SHL)]] &lt; V$826, 3, IF( tblFilterAll[[#This Row],[Operating Margin (SHL)]] &lt; V$827, 2, 1 ) ) )</f>
        <v>3</v>
      </c>
      <c r="X874" s="35">
        <f xml:space="preserve"> COUNTIFS( tblFilterAll[Include in output], 1, tblFilterAll[Operating Margin (SHL)], "&gt;" &amp; tblFilterAll[[#This Row],[Operating Margin (SHL)]] ) + 1</f>
        <v>146</v>
      </c>
      <c r="Y874" s="30" cm="1">
        <f t="array" ref="Y874" xml:space="preserve"> INDEX( VfM_Metrics_2023_Consol_Source[], $AK874, Y$832 )</f>
        <v>0.14667592431869467</v>
      </c>
      <c r="Z874" s="35">
        <f xml:space="preserve"> IF( tblFilterAll[[#This Row],[Operating Margin (Overall)]] &lt; Y$825, 4, IF( tblFilterAll[[#This Row],[Operating Margin (Overall)]] &lt; Y$826, 3, IF( tblFilterAll[[#This Row],[Operating Margin (Overall)]] &lt; Y$827, 2, 1 ) ) )</f>
        <v>3</v>
      </c>
      <c r="AA874" s="35">
        <f xml:space="preserve"> COUNTIFS( tblFilterAll[Include in output], 1, tblFilterAll[Operating Margin (Overall)], "&gt;" &amp; tblFilterAll[[#This Row],[Operating Margin (Overall)]] ) + 1</f>
        <v>135</v>
      </c>
      <c r="AB874" s="30" cm="1">
        <f t="array" ref="AB874" xml:space="preserve"> INDEX( VfM_Metrics_2023_Consol_Source[], $AK874, AB$832 )</f>
        <v>1.8388230405724227E-2</v>
      </c>
      <c r="AC874" s="35">
        <f xml:space="preserve"> IF( tblFilterAll[[#This Row],[ROCE]] &lt; AB$825, 4, IF( tblFilterAll[[#This Row],[ROCE]] &lt; AB$826, 3, IF( tblFilterAll[[#This Row],[ROCE]] &lt; AB$827, 2, 1 ) ) )</f>
        <v>4</v>
      </c>
      <c r="AD874" s="35">
        <f xml:space="preserve"> COUNTIFS( tblFilterAll[Include in output], 1, tblFilterAll[ROCE], "&gt;" &amp; tblFilterAll[[#This Row],[ROCE]] ) + 1</f>
        <v>169</v>
      </c>
      <c r="AE874" s="33" cm="1" vm="876">
        <f t="array" ref="AE874" xml:space="preserve"> INDEX( VfM_Metrics_2023_Consol_Source[], $AK874, AE$832 )</f>
        <v>1444</v>
      </c>
      <c r="AF874" s="30" cm="1">
        <f t="array" ref="AF874" xml:space="preserve"> INDEX( VfM_Metrics_2023_Consol_Source[], $AK874, AF$832 )</f>
        <v>9.0845070422535215E-2</v>
      </c>
      <c r="AG874" s="30" cm="1">
        <f t="array" ref="AG874" xml:space="preserve"> INDEX( VfM_Metrics_2023_Consol_Source[], $AK874, AG$832 )</f>
        <v>0.22323943661971832</v>
      </c>
      <c r="AH874" s="30" cm="1">
        <f t="array" ref="AH874" xml:space="preserve"> INDEX( VfM_Metrics_2023_Consol_Source[], $AK874, AH$832 )</f>
        <v>0.31408450704225355</v>
      </c>
      <c r="AI874" s="30" t="str" cm="1">
        <f t="array" ref="AI874" xml:space="preserve"> INDEX( VfM_Metrics_2023_Consol_Source[], $AK874, AI$832 )</f>
        <v>Traditional</v>
      </c>
      <c r="AJ874" s="34" t="str" cm="1">
        <f t="array" ref="AJ874" xml:space="preserve"> INDEX( VfM_Metrics_2023_Consol_Source[], $AK874, AJ$832 )</f>
        <v>London</v>
      </c>
      <c r="AK874" s="81">
        <f xml:space="preserve"> MATCH( tblFilterAll[[#This Row],[Code]], VfM_Metrics_2023_Consol_Source[RP_Code], 0 )</f>
        <v>41</v>
      </c>
      <c r="AL874" s="24">
        <f xml:space="preserve"> INDEX( tblFilterRegion[Include for region],  MATCH( tblFilterAll[[#This Row],[Code]], tblFilterRegion[RP_Code], 0 ) )</f>
        <v>1</v>
      </c>
      <c r="AM874" s="24">
        <f xml:space="preserve"> INDEX( tblFilterPropType[Incl for prop type],  MATCH( tblFilterAll[[#This Row],[Code]], tblFilterPropType[RP_Code], 0 ) )</f>
        <v>1</v>
      </c>
      <c r="AN874" s="24">
        <f xml:space="preserve"> INDEX( tblFilterSize[Incl for size],  MATCH( tblFilterAll[[#This Row],[Code]], tblFilterSize[RP_Code], 0 ) )</f>
        <v>1</v>
      </c>
      <c r="AO874" s="24">
        <f xml:space="preserve"> INDEX( tblFilterRP_Type[Incl, for RP Type],  MATCH( tblFilterAll[[#This Row],[Code]], tblFilterRP_Type[RP_Code], 0 ) )</f>
        <v>1</v>
      </c>
      <c r="AP874" s="24">
        <f xml:space="preserve">  -- ( SUM( tblFilterAll[[#This Row],[Filter Region]:[Filter RP Type]] ) = 4 )</f>
        <v>1</v>
      </c>
      <c r="AQ874" s="24">
        <f xml:space="preserve"> -- ( tblFilterAll[[#This Row],[Provider name]] = SelectedProvider )</f>
        <v>0</v>
      </c>
      <c r="AR874" s="24">
        <f xml:space="preserve">  -- ( OR( SUM( tblFilterAll[[#This Row],[Filter Region]:[Filter RP Type]] ) = 4, tblFilterAll[[#This Row],[SelectedProvider]] = 1 ) )</f>
        <v>1</v>
      </c>
      <c r="AS874" s="24">
        <f xml:space="preserve"> -- ( INDEX( PeersCritera[Included in final peers], MATCH( tblFilterAll[[#This Row],[Provider name]], PeersCritera[RP_Name], 0 ) ) = 1 )</f>
        <v>1</v>
      </c>
      <c r="AT874" s="30" t="str" cm="1">
        <f t="array" ref="AT874" xml:space="preserve"> SUBSTITUTE( INDEX( VfM_Metrics_2023_Consol_Source[], $AK874, AT$832 ), 0, "" )</f>
        <v/>
      </c>
      <c r="AU874" s="34" cm="1">
        <f t="array" ref="AU874" xml:space="preserve"> INDEX( VfM_Metrics_2023_Consol_Source[], $AK874, AU$832 )</f>
        <v>1</v>
      </c>
      <c r="AV874" s="34" cm="1">
        <f t="array" ref="AV874" xml:space="preserve"> INDEX( VfM_Metrics_2023_Consol_Source[], $AK874, AV$832 )</f>
        <v>0</v>
      </c>
      <c r="AW874" s="34" cm="1">
        <f t="array" ref="AW874" xml:space="preserve"> INDEX( VfM_Metrics_2023_Consol_Source[], $AK874, AW$832 )</f>
        <v>0</v>
      </c>
      <c r="AX874" s="34" cm="1">
        <f t="array" ref="AX874" xml:space="preserve"> INDEX( VfM_Metrics_2023_Consol_Source[], $AK874, AX$832 )</f>
        <v>0</v>
      </c>
      <c r="AY874" s="34" cm="1">
        <f t="array" ref="AY874" xml:space="preserve"> INDEX( VfM_Metrics_2023_Consol_Source[], $AK874, AY$832 )</f>
        <v>0</v>
      </c>
      <c r="AZ874" s="34" cm="1">
        <f t="array" ref="AZ874" xml:space="preserve"> INDEX( VfM_Metrics_2023_Consol_Source[], $AK874, AZ$832 )</f>
        <v>0</v>
      </c>
      <c r="BA874" s="34" cm="1">
        <f t="array" ref="BA874" xml:space="preserve"> INDEX( VfM_Metrics_2023_Consol_Source[], $AK874, BA$832 )</f>
        <v>0</v>
      </c>
      <c r="BB874" s="34" cm="1">
        <f t="array" ref="BB874" xml:space="preserve"> INDEX( VfM_Metrics_2023_Consol_Source[], $AK874, BB$832 )</f>
        <v>0</v>
      </c>
      <c r="BC874" s="34" cm="1">
        <f t="array" ref="BC874" xml:space="preserve"> INDEX( VfM_Metrics_2023_Consol_Source[], $AK874, BC$832 )</f>
        <v>0</v>
      </c>
    </row>
    <row r="875" spans="2:55" x14ac:dyDescent="0.2">
      <c r="B875" s="122" t="str" vm="42">
        <f t="shared" ref="B875" si="377" xml:space="preserve"> B665</f>
        <v>Curo Group (Albion) Limited</v>
      </c>
      <c r="C875" s="122" t="str" vm="272">
        <f t="shared" si="368"/>
        <v>LH4336</v>
      </c>
      <c r="D875" s="30" cm="1">
        <f t="array" ref="D875" xml:space="preserve"> INDEX( VfM_Metrics_2023_Consol_Source[], $AK875, D$832 )</f>
        <v>7.8895638906309962E-2</v>
      </c>
      <c r="E875" s="35">
        <f xml:space="preserve"> IF( tblFilterAll[[#This Row],[Reinvestment]] &lt; D$825, 4, IF( tblFilterAll[[#This Row],[Reinvestment]] &lt; D$826, 3, IF( tblFilterAll[[#This Row],[Reinvestment]] &lt; D$827, 2, 1 ) ) )</f>
        <v>2</v>
      </c>
      <c r="F875" s="35">
        <f xml:space="preserve"> COUNTIFS( tblFilterAll[Include in output], 1, tblFilterAll[Reinvestment], "&gt;" &amp; tblFilterAll[[#This Row],[Reinvestment]] ) + 1</f>
        <v>77</v>
      </c>
      <c r="G875" s="30" cm="1">
        <f t="array" ref="G875" xml:space="preserve"> INDEX( VfM_Metrics_2023_Consol_Source[], $AK875, G$832 )</f>
        <v>1.3857355358960308E-2</v>
      </c>
      <c r="H875" s="35">
        <f xml:space="preserve"> IF( tblFilterAll[[#This Row],[New Supply (Social)]] &lt; G$825, 4, IF( tblFilterAll[[#This Row],[New Supply (Social)]] &lt; G$826, 3, IF( tblFilterAll[[#This Row],[New Supply (Social)]] &lt; G$827, 2, 1 ) ) )</f>
        <v>2</v>
      </c>
      <c r="I875" s="35">
        <f xml:space="preserve"> COUNTIFS( tblFilterAll[Include in output], 1, tblFilterAll[New Supply (Social)], "&gt;" &amp; tblFilterAll[[#This Row],[New Supply (Social)]] ) + 1</f>
        <v>91</v>
      </c>
      <c r="J875" s="31" cm="1">
        <f t="array" ref="J875" xml:space="preserve"> INDEX( VfM_Metrics_2023_Consol_Source[], $AK875, J$832 )</f>
        <v>9.3062605752961079E-3</v>
      </c>
      <c r="K875" s="35">
        <f xml:space="preserve"> IF( tblFilterAll[[#This Row],[New Supply (Non-Social)]] &lt; J$825, 4, IF( tblFilterAll[[#This Row],[New Supply (Non-Social)]] &lt; J$826, 3, IF( tblFilterAll[[#This Row],[New Supply (Non-Social)]] &lt; J$827, 2, 1 ) ) )</f>
        <v>1</v>
      </c>
      <c r="L875" s="35">
        <f xml:space="preserve"> COUNTIFS( tblFilterAll[Include in output], 1, tblFilterAll[New Supply (Non-Social)], "&gt;" &amp; tblFilterAll[[#This Row],[New Supply (Non-Social)]] ) + 1</f>
        <v>8</v>
      </c>
      <c r="M875" s="30" cm="1">
        <f t="array" ref="M875" xml:space="preserve"> INDEX( VfM_Metrics_2023_Consol_Source[], $AK875, M$832 )</f>
        <v>0.47674676201976329</v>
      </c>
      <c r="N875" s="35">
        <f xml:space="preserve"> IF( tblFilterAll[[#This Row],[Gearing]] &lt; M$825, 4, IF( tblFilterAll[[#This Row],[Gearing]] &lt; M$826, 3, IF( tblFilterAll[[#This Row],[Gearing]] &lt; M$827, 2, 1 ) ) )</f>
        <v>2</v>
      </c>
      <c r="O875" s="35">
        <f xml:space="preserve"> COUNTIFS( tblFilterAll[Include in output], 1, tblFilterAll[Gearing], "&gt;" &amp; tblFilterAll[[#This Row],[Gearing]] ) + 1</f>
        <v>83</v>
      </c>
      <c r="P875" s="30" cm="1">
        <f t="array" ref="P875" xml:space="preserve"> INDEX( VfM_Metrics_2023_Consol_Source[], $AK875, P$832 )</f>
        <v>1.8099374021909234</v>
      </c>
      <c r="Q875" s="35">
        <f xml:space="preserve"> IF( tblFilterAll[[#This Row],[EBITDA MRI Interest Cover]] &lt; P$825, 4, IF( tblFilterAll[[#This Row],[EBITDA MRI Interest Cover]] &lt; P$826, 3, IF( tblFilterAll[[#This Row],[EBITDA MRI Interest Cover]] &lt; P$827, 2, 1 ) ) )</f>
        <v>1</v>
      </c>
      <c r="R875" s="35">
        <f xml:space="preserve"> COUNTIFS( tblFilterAll[Include in output], 1, tblFilterAll[EBITDA MRI Interest Cover], "&gt;" &amp; tblFilterAll[[#This Row],[EBITDA MRI Interest Cover]] ) + 1</f>
        <v>45</v>
      </c>
      <c r="S875" s="32" cm="1">
        <f t="array" ref="S875" xml:space="preserve"> INDEX( VfM_Metrics_2023_Consol_Source[], $AK875, S$832 )</f>
        <v>5132.936663274093</v>
      </c>
      <c r="T875" s="35">
        <f xml:space="preserve"> IF( tblFilterAll[[#This Row],[Headline Social Housing Cost per unit]] &lt; S$825, 4, IF( tblFilterAll[[#This Row],[Headline Social Housing Cost per unit]] &lt; S$826, 3, IF( tblFilterAll[[#This Row],[Headline Social Housing Cost per unit]] &lt; S$827, 2, 1 ) ) )</f>
        <v>2</v>
      </c>
      <c r="U875" s="35">
        <f xml:space="preserve"> COUNTIFS( tblFilterAll[Include in output], 1, tblFilterAll[Headline Social Housing Cost per unit], "&gt;" &amp; tblFilterAll[[#This Row],[Headline Social Housing Cost per unit]] ) + 1</f>
        <v>70</v>
      </c>
      <c r="V875" s="30" cm="1">
        <f t="array" ref="V875" xml:space="preserve"> INDEX( VfM_Metrics_2023_Consol_Source[], $AK875, V$832 )</f>
        <v>0.25342575313249799</v>
      </c>
      <c r="W875" s="35">
        <f xml:space="preserve"> IF( tblFilterAll[[#This Row],[Operating Margin (SHL)]] &lt; V$825, 4, IF( tblFilterAll[[#This Row],[Operating Margin (SHL)]] &lt; V$826, 3, IF( tblFilterAll[[#This Row],[Operating Margin (SHL)]] &lt; V$827, 2, 1 ) ) )</f>
        <v>2</v>
      </c>
      <c r="X875" s="35">
        <f xml:space="preserve"> COUNTIFS( tblFilterAll[Include in output], 1, tblFilterAll[Operating Margin (SHL)], "&gt;" &amp; tblFilterAll[[#This Row],[Operating Margin (SHL)]] ) + 1</f>
        <v>50</v>
      </c>
      <c r="Y875" s="30" cm="1">
        <f t="array" ref="Y875" xml:space="preserve"> INDEX( VfM_Metrics_2023_Consol_Source[], $AK875, Y$832 )</f>
        <v>0.20732309689802139</v>
      </c>
      <c r="Z875" s="35">
        <f xml:space="preserve"> IF( tblFilterAll[[#This Row],[Operating Margin (Overall)]] &lt; Y$825, 4, IF( tblFilterAll[[#This Row],[Operating Margin (Overall)]] &lt; Y$826, 3, IF( tblFilterAll[[#This Row],[Operating Margin (Overall)]] &lt; Y$827, 2, 1 ) ) )</f>
        <v>2</v>
      </c>
      <c r="AA875" s="35">
        <f xml:space="preserve"> COUNTIFS( tblFilterAll[Include in output], 1, tblFilterAll[Operating Margin (Overall)], "&gt;" &amp; tblFilterAll[[#This Row],[Operating Margin (Overall)]] ) + 1</f>
        <v>75</v>
      </c>
      <c r="AB875" s="30" cm="1">
        <f t="array" ref="AB875" xml:space="preserve"> INDEX( VfM_Metrics_2023_Consol_Source[], $AK875, AB$832 )</f>
        <v>4.406864867892412E-2</v>
      </c>
      <c r="AC875" s="35">
        <f xml:space="preserve"> IF( tblFilterAll[[#This Row],[ROCE]] &lt; AB$825, 4, IF( tblFilterAll[[#This Row],[ROCE]] &lt; AB$826, 3, IF( tblFilterAll[[#This Row],[ROCE]] &lt; AB$827, 2, 1 ) ) )</f>
        <v>1</v>
      </c>
      <c r="AD875" s="35">
        <f xml:space="preserve"> COUNTIFS( tblFilterAll[Include in output], 1, tblFilterAll[ROCE], "&gt;" &amp; tblFilterAll[[#This Row],[ROCE]] ) + 1</f>
        <v>18</v>
      </c>
      <c r="AE875" s="33" cm="1" vm="8041">
        <f t="array" ref="AE875" xml:space="preserve"> INDEX( VfM_Metrics_2023_Consol_Source[], $AK875, AE$832 )</f>
        <v>12773</v>
      </c>
      <c r="AF875" s="30" cm="1">
        <f t="array" ref="AF875" xml:space="preserve"> INDEX( VfM_Metrics_2023_Consol_Source[], $AK875, AF$832 )</f>
        <v>1.7672007540056552E-2</v>
      </c>
      <c r="AG875" s="30" cm="1">
        <f t="array" ref="AG875" xml:space="preserve"> INDEX( VfM_Metrics_2023_Consol_Source[], $AK875, AG$832 )</f>
        <v>0.14051209550738297</v>
      </c>
      <c r="AH875" s="30" cm="1">
        <f t="array" ref="AH875" xml:space="preserve"> INDEX( VfM_Metrics_2023_Consol_Source[], $AK875, AH$832 )</f>
        <v>0.15818410304743952</v>
      </c>
      <c r="AI875" s="30" t="str" cm="1">
        <f t="array" ref="AI875" xml:space="preserve"> INDEX( VfM_Metrics_2023_Consol_Source[], $AK875, AI$832 )</f>
        <v>Traditional</v>
      </c>
      <c r="AJ875" s="34" t="str" cm="1">
        <f t="array" ref="AJ875" xml:space="preserve"> INDEX( VfM_Metrics_2023_Consol_Source[], $AK875, AJ$832 )</f>
        <v>South West</v>
      </c>
      <c r="AK875" s="81">
        <f xml:space="preserve"> MATCH( tblFilterAll[[#This Row],[Code]], VfM_Metrics_2023_Consol_Source[RP_Code], 0 )</f>
        <v>42</v>
      </c>
      <c r="AL875" s="24">
        <f xml:space="preserve"> INDEX( tblFilterRegion[Include for region],  MATCH( tblFilterAll[[#This Row],[Code]], tblFilterRegion[RP_Code], 0 ) )</f>
        <v>1</v>
      </c>
      <c r="AM875" s="24">
        <f xml:space="preserve"> INDEX( tblFilterPropType[Incl for prop type],  MATCH( tblFilterAll[[#This Row],[Code]], tblFilterPropType[RP_Code], 0 ) )</f>
        <v>1</v>
      </c>
      <c r="AN875" s="24">
        <f xml:space="preserve"> INDEX( tblFilterSize[Incl for size],  MATCH( tblFilterAll[[#This Row],[Code]], tblFilterSize[RP_Code], 0 ) )</f>
        <v>1</v>
      </c>
      <c r="AO875" s="24">
        <f xml:space="preserve"> INDEX( tblFilterRP_Type[Incl, for RP Type],  MATCH( tblFilterAll[[#This Row],[Code]], tblFilterRP_Type[RP_Code], 0 ) )</f>
        <v>1</v>
      </c>
      <c r="AP875" s="24">
        <f xml:space="preserve">  -- ( SUM( tblFilterAll[[#This Row],[Filter Region]:[Filter RP Type]] ) = 4 )</f>
        <v>1</v>
      </c>
      <c r="AQ875" s="24">
        <f xml:space="preserve"> -- ( tblFilterAll[[#This Row],[Provider name]] = SelectedProvider )</f>
        <v>0</v>
      </c>
      <c r="AR875" s="24">
        <f xml:space="preserve">  -- ( OR( SUM( tblFilterAll[[#This Row],[Filter Region]:[Filter RP Type]] ) = 4, tblFilterAll[[#This Row],[SelectedProvider]] = 1 ) )</f>
        <v>1</v>
      </c>
      <c r="AS875" s="24">
        <f xml:space="preserve"> -- ( INDEX( PeersCritera[Included in final peers], MATCH( tblFilterAll[[#This Row],[Provider name]], PeersCritera[RP_Name], 0 ) ) = 1 )</f>
        <v>1</v>
      </c>
      <c r="AT875" s="30" t="str" cm="1">
        <f t="array" ref="AT875" xml:space="preserve"> SUBSTITUTE( INDEX( VfM_Metrics_2023_Consol_Source[], $AK875, AT$832 ), 0, "" )</f>
        <v>&gt;= 12 years</v>
      </c>
      <c r="AU875" s="34" cm="1">
        <f t="array" ref="AU875" xml:space="preserve"> INDEX( VfM_Metrics_2023_Consol_Source[], $AK875, AU$832 )</f>
        <v>0</v>
      </c>
      <c r="AV875" s="34" cm="1">
        <f t="array" ref="AV875" xml:space="preserve"> INDEX( VfM_Metrics_2023_Consol_Source[], $AK875, AV$832 )</f>
        <v>0</v>
      </c>
      <c r="AW875" s="34" cm="1">
        <f t="array" ref="AW875" xml:space="preserve"> INDEX( VfM_Metrics_2023_Consol_Source[], $AK875, AW$832 )</f>
        <v>1</v>
      </c>
      <c r="AX875" s="34" cm="1">
        <f t="array" ref="AX875" xml:space="preserve"> INDEX( VfM_Metrics_2023_Consol_Source[], $AK875, AX$832 )</f>
        <v>0</v>
      </c>
      <c r="AY875" s="34" cm="1">
        <f t="array" ref="AY875" xml:space="preserve"> INDEX( VfM_Metrics_2023_Consol_Source[], $AK875, AY$832 )</f>
        <v>0</v>
      </c>
      <c r="AZ875" s="34" cm="1">
        <f t="array" ref="AZ875" xml:space="preserve"> INDEX( VfM_Metrics_2023_Consol_Source[], $AK875, AZ$832 )</f>
        <v>0</v>
      </c>
      <c r="BA875" s="34" cm="1">
        <f t="array" ref="BA875" xml:space="preserve"> INDEX( VfM_Metrics_2023_Consol_Source[], $AK875, BA$832 )</f>
        <v>0</v>
      </c>
      <c r="BB875" s="34" cm="1">
        <f t="array" ref="BB875" xml:space="preserve"> INDEX( VfM_Metrics_2023_Consol_Source[], $AK875, BB$832 )</f>
        <v>0</v>
      </c>
      <c r="BC875" s="34" cm="1">
        <f t="array" ref="BC875" xml:space="preserve"> INDEX( VfM_Metrics_2023_Consol_Source[], $AK875, BC$832 )</f>
        <v>0</v>
      </c>
    </row>
    <row r="876" spans="2:55" x14ac:dyDescent="0.2">
      <c r="B876" s="122" t="str" vm="43">
        <f t="shared" ref="B876" si="378" xml:space="preserve"> B666</f>
        <v>Durham Aged Mineworkers' Homes Association</v>
      </c>
      <c r="C876" s="122" t="str" vm="236">
        <f t="shared" si="368"/>
        <v>5125</v>
      </c>
      <c r="D876" s="30" cm="1">
        <f t="array" ref="D876" xml:space="preserve"> INDEX( VfM_Metrics_2023_Consol_Source[], $AK876, D$832 )</f>
        <v>1.6219253658910374E-2</v>
      </c>
      <c r="E876" s="35">
        <f xml:space="preserve"> IF( tblFilterAll[[#This Row],[Reinvestment]] &lt; D$825, 4, IF( tblFilterAll[[#This Row],[Reinvestment]] &lt; D$826, 3, IF( tblFilterAll[[#This Row],[Reinvestment]] &lt; D$827, 2, 1 ) ) )</f>
        <v>4</v>
      </c>
      <c r="F876" s="35">
        <f xml:space="preserve"> COUNTIFS( tblFilterAll[Include in output], 1, tblFilterAll[Reinvestment], "&gt;" &amp; tblFilterAll[[#This Row],[Reinvestment]] ) + 1</f>
        <v>193</v>
      </c>
      <c r="G876" s="30" cm="1">
        <f t="array" ref="G876" xml:space="preserve"> INDEX( VfM_Metrics_2023_Consol_Source[], $AK876, G$832 )</f>
        <v>0</v>
      </c>
      <c r="H876" s="35">
        <f xml:space="preserve"> IF( tblFilterAll[[#This Row],[New Supply (Social)]] &lt; G$825, 4, IF( tblFilterAll[[#This Row],[New Supply (Social)]] &lt; G$826, 3, IF( tblFilterAll[[#This Row],[New Supply (Social)]] &lt; G$827, 2, 1 ) ) )</f>
        <v>4</v>
      </c>
      <c r="I876" s="35">
        <f xml:space="preserve"> COUNTIFS( tblFilterAll[Include in output], 1, tblFilterAll[New Supply (Social)], "&gt;" &amp; tblFilterAll[[#This Row],[New Supply (Social)]] ) + 1</f>
        <v>187</v>
      </c>
      <c r="J876" s="31" cm="1">
        <f t="array" ref="J876" xml:space="preserve"> INDEX( VfM_Metrics_2023_Consol_Source[], $AK876, J$832 )</f>
        <v>0</v>
      </c>
      <c r="K876" s="35">
        <f xml:space="preserve"> IF( tblFilterAll[[#This Row],[New Supply (Non-Social)]] &lt; J$825, 4, IF( tblFilterAll[[#This Row],[New Supply (Non-Social)]] &lt; J$826, 3, IF( tblFilterAll[[#This Row],[New Supply (Non-Social)]] &lt; J$827, 2, 1 ) ) )</f>
        <v>2</v>
      </c>
      <c r="L876" s="35">
        <f xml:space="preserve"> COUNTIFS( tblFilterAll[Include in output], 1, tblFilterAll[New Supply (Non-Social)], "&gt;" &amp; tblFilterAll[[#This Row],[New Supply (Non-Social)]] ) + 1</f>
        <v>72</v>
      </c>
      <c r="M876" s="30" cm="1">
        <f t="array" ref="M876" xml:space="preserve"> INDEX( VfM_Metrics_2023_Consol_Source[], $AK876, M$832 )</f>
        <v>0.12159331817833516</v>
      </c>
      <c r="N876" s="35">
        <f xml:space="preserve"> IF( tblFilterAll[[#This Row],[Gearing]] &lt; M$825, 4, IF( tblFilterAll[[#This Row],[Gearing]] &lt; M$826, 3, IF( tblFilterAll[[#This Row],[Gearing]] &lt; M$827, 2, 1 ) ) )</f>
        <v>4</v>
      </c>
      <c r="O876" s="35">
        <f xml:space="preserve"> COUNTIFS( tblFilterAll[Include in output], 1, tblFilterAll[Gearing], "&gt;" &amp; tblFilterAll[[#This Row],[Gearing]] ) + 1</f>
        <v>185</v>
      </c>
      <c r="P876" s="30" cm="1">
        <f t="array" ref="P876" xml:space="preserve"> INDEX( VfM_Metrics_2023_Consol_Source[], $AK876, P$832 )</f>
        <v>2.5971615720524017</v>
      </c>
      <c r="Q876" s="35">
        <f xml:space="preserve"> IF( tblFilterAll[[#This Row],[EBITDA MRI Interest Cover]] &lt; P$825, 4, IF( tblFilterAll[[#This Row],[EBITDA MRI Interest Cover]] &lt; P$826, 3, IF( tblFilterAll[[#This Row],[EBITDA MRI Interest Cover]] &lt; P$827, 2, 1 ) ) )</f>
        <v>1</v>
      </c>
      <c r="R876" s="35">
        <f xml:space="preserve"> COUNTIFS( tblFilterAll[Include in output], 1, tblFilterAll[EBITDA MRI Interest Cover], "&gt;" &amp; tblFilterAll[[#This Row],[EBITDA MRI Interest Cover]] ) + 1</f>
        <v>13</v>
      </c>
      <c r="S876" s="32" cm="1">
        <f t="array" ref="S876" xml:space="preserve"> INDEX( VfM_Metrics_2023_Consol_Source[], $AK876, S$832 )</f>
        <v>3316.192560175055</v>
      </c>
      <c r="T876" s="35">
        <f xml:space="preserve"> IF( tblFilterAll[[#This Row],[Headline Social Housing Cost per unit]] &lt; S$825, 4, IF( tblFilterAll[[#This Row],[Headline Social Housing Cost per unit]] &lt; S$826, 3, IF( tblFilterAll[[#This Row],[Headline Social Housing Cost per unit]] &lt; S$827, 2, 1 ) ) )</f>
        <v>4</v>
      </c>
      <c r="U876" s="35">
        <f xml:space="preserve"> COUNTIFS( tblFilterAll[Include in output], 1, tblFilterAll[Headline Social Housing Cost per unit], "&gt;" &amp; tblFilterAll[[#This Row],[Headline Social Housing Cost per unit]] ) + 1</f>
        <v>194</v>
      </c>
      <c r="V876" s="30" cm="1">
        <f t="array" ref="V876" xml:space="preserve"> INDEX( VfM_Metrics_2023_Consol_Source[], $AK876, V$832 )</f>
        <v>0.2287087912087912</v>
      </c>
      <c r="W876" s="35">
        <f xml:space="preserve"> IF( tblFilterAll[[#This Row],[Operating Margin (SHL)]] &lt; V$825, 4, IF( tblFilterAll[[#This Row],[Operating Margin (SHL)]] &lt; V$826, 3, IF( tblFilterAll[[#This Row],[Operating Margin (SHL)]] &lt; V$827, 2, 1 ) ) )</f>
        <v>2</v>
      </c>
      <c r="X876" s="35">
        <f xml:space="preserve"> COUNTIFS( tblFilterAll[Include in output], 1, tblFilterAll[Operating Margin (SHL)], "&gt;" &amp; tblFilterAll[[#This Row],[Operating Margin (SHL)]] ) + 1</f>
        <v>75</v>
      </c>
      <c r="Y876" s="30" cm="1">
        <f t="array" ref="Y876" xml:space="preserve"> INDEX( VfM_Metrics_2023_Consol_Source[], $AK876, Y$832 )</f>
        <v>0.2289841883744739</v>
      </c>
      <c r="Z876" s="35">
        <f xml:space="preserve"> IF( tblFilterAll[[#This Row],[Operating Margin (Overall)]] &lt; Y$825, 4, IF( tblFilterAll[[#This Row],[Operating Margin (Overall)]] &lt; Y$826, 3, IF( tblFilterAll[[#This Row],[Operating Margin (Overall)]] &lt; Y$827, 2, 1 ) ) )</f>
        <v>2</v>
      </c>
      <c r="AA876" s="35">
        <f xml:space="preserve"> COUNTIFS( tblFilterAll[Include in output], 1, tblFilterAll[Operating Margin (Overall)], "&gt;" &amp; tblFilterAll[[#This Row],[Operating Margin (Overall)]] ) + 1</f>
        <v>53</v>
      </c>
      <c r="AB876" s="30" cm="1">
        <f t="array" ref="AB876" xml:space="preserve"> INDEX( VfM_Metrics_2023_Consol_Source[], $AK876, AB$832 )</f>
        <v>2.4561853865720754E-2</v>
      </c>
      <c r="AC876" s="35">
        <f xml:space="preserve"> IF( tblFilterAll[[#This Row],[ROCE]] &lt; AB$825, 4, IF( tblFilterAll[[#This Row],[ROCE]] &lt; AB$826, 3, IF( tblFilterAll[[#This Row],[ROCE]] &lt; AB$827, 2, 1 ) ) )</f>
        <v>3</v>
      </c>
      <c r="AD876" s="35">
        <f xml:space="preserve"> COUNTIFS( tblFilterAll[Include in output], 1, tblFilterAll[ROCE], "&gt;" &amp; tblFilterAll[[#This Row],[ROCE]] ) + 1</f>
        <v>130</v>
      </c>
      <c r="AE876" s="33" cm="1" vm="1367">
        <f t="array" ref="AE876" xml:space="preserve"> INDEX( VfM_Metrics_2023_Consol_Source[], $AK876, AE$832 )</f>
        <v>1784</v>
      </c>
      <c r="AF876" s="30" cm="1">
        <f t="array" ref="AF876" xml:space="preserve"> INDEX( VfM_Metrics_2023_Consol_Source[], $AK876, AF$832 )</f>
        <v>0</v>
      </c>
      <c r="AG876" s="30" cm="1">
        <f t="array" ref="AG876" xml:space="preserve"> INDEX( VfM_Metrics_2023_Consol_Source[], $AK876, AG$832 )</f>
        <v>3.5127478753541073E-2</v>
      </c>
      <c r="AH876" s="30" cm="1">
        <f t="array" ref="AH876" xml:space="preserve"> INDEX( VfM_Metrics_2023_Consol_Source[], $AK876, AH$832 )</f>
        <v>3.5127478753541073E-2</v>
      </c>
      <c r="AI876" s="30" t="str" cm="1">
        <f t="array" ref="AI876" xml:space="preserve"> INDEX( VfM_Metrics_2023_Consol_Source[], $AK876, AI$832 )</f>
        <v>Traditional</v>
      </c>
      <c r="AJ876" s="34" t="str" cm="1">
        <f t="array" ref="AJ876" xml:space="preserve"> INDEX( VfM_Metrics_2023_Consol_Source[], $AK876, AJ$832 )</f>
        <v>North East</v>
      </c>
      <c r="AK876" s="81">
        <f xml:space="preserve"> MATCH( tblFilterAll[[#This Row],[Code]], VfM_Metrics_2023_Consol_Source[RP_Code], 0 )</f>
        <v>43</v>
      </c>
      <c r="AL876" s="24">
        <f xml:space="preserve"> INDEX( tblFilterRegion[Include for region],  MATCH( tblFilterAll[[#This Row],[Code]], tblFilterRegion[RP_Code], 0 ) )</f>
        <v>1</v>
      </c>
      <c r="AM876" s="24">
        <f xml:space="preserve"> INDEX( tblFilterPropType[Incl for prop type],  MATCH( tblFilterAll[[#This Row],[Code]], tblFilterPropType[RP_Code], 0 ) )</f>
        <v>1</v>
      </c>
      <c r="AN876" s="24">
        <f xml:space="preserve"> INDEX( tblFilterSize[Incl for size],  MATCH( tblFilterAll[[#This Row],[Code]], tblFilterSize[RP_Code], 0 ) )</f>
        <v>1</v>
      </c>
      <c r="AO876" s="24">
        <f xml:space="preserve"> INDEX( tblFilterRP_Type[Incl, for RP Type],  MATCH( tblFilterAll[[#This Row],[Code]], tblFilterRP_Type[RP_Code], 0 ) )</f>
        <v>1</v>
      </c>
      <c r="AP876" s="24">
        <f xml:space="preserve">  -- ( SUM( tblFilterAll[[#This Row],[Filter Region]:[Filter RP Type]] ) = 4 )</f>
        <v>1</v>
      </c>
      <c r="AQ876" s="24">
        <f xml:space="preserve"> -- ( tblFilterAll[[#This Row],[Provider name]] = SelectedProvider )</f>
        <v>0</v>
      </c>
      <c r="AR876" s="24">
        <f xml:space="preserve">  -- ( OR( SUM( tblFilterAll[[#This Row],[Filter Region]:[Filter RP Type]] ) = 4, tblFilterAll[[#This Row],[SelectedProvider]] = 1 ) )</f>
        <v>1</v>
      </c>
      <c r="AS876" s="24">
        <f xml:space="preserve"> -- ( INDEX( PeersCritera[Included in final peers], MATCH( tblFilterAll[[#This Row],[Provider name]], PeersCritera[RP_Name], 0 ) ) = 1 )</f>
        <v>1</v>
      </c>
      <c r="AT876" s="30" t="str" cm="1">
        <f t="array" ref="AT876" xml:space="preserve"> SUBSTITUTE( INDEX( VfM_Metrics_2023_Consol_Source[], $AK876, AT$832 ), 0, "" )</f>
        <v/>
      </c>
      <c r="AU876" s="34" cm="1">
        <f t="array" ref="AU876" xml:space="preserve"> INDEX( VfM_Metrics_2023_Consol_Source[], $AK876, AU$832 )</f>
        <v>0</v>
      </c>
      <c r="AV876" s="34" cm="1">
        <f t="array" ref="AV876" xml:space="preserve"> INDEX( VfM_Metrics_2023_Consol_Source[], $AK876, AV$832 )</f>
        <v>0</v>
      </c>
      <c r="AW876" s="34" cm="1">
        <f t="array" ref="AW876" xml:space="preserve"> INDEX( VfM_Metrics_2023_Consol_Source[], $AK876, AW$832 )</f>
        <v>0</v>
      </c>
      <c r="AX876" s="34" cm="1">
        <f t="array" ref="AX876" xml:space="preserve"> INDEX( VfM_Metrics_2023_Consol_Source[], $AK876, AX$832 )</f>
        <v>0</v>
      </c>
      <c r="AY876" s="34" cm="1">
        <f t="array" ref="AY876" xml:space="preserve"> INDEX( VfM_Metrics_2023_Consol_Source[], $AK876, AY$832 )</f>
        <v>0</v>
      </c>
      <c r="AZ876" s="34" cm="1">
        <f t="array" ref="AZ876" xml:space="preserve"> INDEX( VfM_Metrics_2023_Consol_Source[], $AK876, AZ$832 )</f>
        <v>0</v>
      </c>
      <c r="BA876" s="34" cm="1">
        <f t="array" ref="BA876" xml:space="preserve"> INDEX( VfM_Metrics_2023_Consol_Source[], $AK876, BA$832 )</f>
        <v>1</v>
      </c>
      <c r="BB876" s="34" cm="1">
        <f t="array" ref="BB876" xml:space="preserve"> INDEX( VfM_Metrics_2023_Consol_Source[], $AK876, BB$832 )</f>
        <v>0</v>
      </c>
      <c r="BC876" s="34" cm="1">
        <f t="array" ref="BC876" xml:space="preserve"> INDEX( VfM_Metrics_2023_Consol_Source[], $AK876, BC$832 )</f>
        <v>0</v>
      </c>
    </row>
    <row r="877" spans="2:55" x14ac:dyDescent="0.2">
      <c r="B877" s="122" t="str" vm="44">
        <f t="shared" ref="B877" si="379" xml:space="preserve"> B667</f>
        <v>East End Homes Limited</v>
      </c>
      <c r="C877" s="122" t="str" vm="217">
        <f t="shared" si="368"/>
        <v>L4434</v>
      </c>
      <c r="D877" s="30" cm="1">
        <f t="array" ref="D877" xml:space="preserve"> INDEX( VfM_Metrics_2023_Consol_Source[], $AK877, D$832 )</f>
        <v>9.9308085033894308E-2</v>
      </c>
      <c r="E877" s="35">
        <f xml:space="preserve"> IF( tblFilterAll[[#This Row],[Reinvestment]] &lt; D$825, 4, IF( tblFilterAll[[#This Row],[Reinvestment]] &lt; D$826, 3, IF( tblFilterAll[[#This Row],[Reinvestment]] &lt; D$827, 2, 1 ) ) )</f>
        <v>1</v>
      </c>
      <c r="F877" s="35">
        <f xml:space="preserve"> COUNTIFS( tblFilterAll[Include in output], 1, tblFilterAll[Reinvestment], "&gt;" &amp; tblFilterAll[[#This Row],[Reinvestment]] ) + 1</f>
        <v>43</v>
      </c>
      <c r="G877" s="30" cm="1">
        <f t="array" ref="G877" xml:space="preserve"> INDEX( VfM_Metrics_2023_Consol_Source[], $AK877, G$832 )</f>
        <v>4.9325463743676225E-2</v>
      </c>
      <c r="H877" s="35">
        <f xml:space="preserve"> IF( tblFilterAll[[#This Row],[New Supply (Social)]] &lt; G$825, 4, IF( tblFilterAll[[#This Row],[New Supply (Social)]] &lt; G$826, 3, IF( tblFilterAll[[#This Row],[New Supply (Social)]] &lt; G$827, 2, 1 ) ) )</f>
        <v>1</v>
      </c>
      <c r="I877" s="35">
        <f xml:space="preserve"> COUNTIFS( tblFilterAll[Include in output], 1, tblFilterAll[New Supply (Social)], "&gt;" &amp; tblFilterAll[[#This Row],[New Supply (Social)]] ) + 1</f>
        <v>4</v>
      </c>
      <c r="J877" s="31" cm="1">
        <f t="array" ref="J877" xml:space="preserve"> INDEX( VfM_Metrics_2023_Consol_Source[], $AK877, J$832 )</f>
        <v>0</v>
      </c>
      <c r="K877" s="35">
        <f xml:space="preserve"> IF( tblFilterAll[[#This Row],[New Supply (Non-Social)]] &lt; J$825, 4, IF( tblFilterAll[[#This Row],[New Supply (Non-Social)]] &lt; J$826, 3, IF( tblFilterAll[[#This Row],[New Supply (Non-Social)]] &lt; J$827, 2, 1 ) ) )</f>
        <v>2</v>
      </c>
      <c r="L877" s="35">
        <f xml:space="preserve"> COUNTIFS( tblFilterAll[Include in output], 1, tblFilterAll[New Supply (Non-Social)], "&gt;" &amp; tblFilterAll[[#This Row],[New Supply (Non-Social)]] ) + 1</f>
        <v>72</v>
      </c>
      <c r="M877" s="30" cm="1">
        <f t="array" ref="M877" xml:space="preserve"> INDEX( VfM_Metrics_2023_Consol_Source[], $AK877, M$832 )</f>
        <v>0.42171240186180742</v>
      </c>
      <c r="N877" s="35">
        <f xml:space="preserve"> IF( tblFilterAll[[#This Row],[Gearing]] &lt; M$825, 4, IF( tblFilterAll[[#This Row],[Gearing]] &lt; M$826, 3, IF( tblFilterAll[[#This Row],[Gearing]] &lt; M$827, 2, 1 ) ) )</f>
        <v>3</v>
      </c>
      <c r="O877" s="35">
        <f xml:space="preserve"> COUNTIFS( tblFilterAll[Include in output], 1, tblFilterAll[Gearing], "&gt;" &amp; tblFilterAll[[#This Row],[Gearing]] ) + 1</f>
        <v>118</v>
      </c>
      <c r="P877" s="30" cm="1">
        <f t="array" ref="P877" xml:space="preserve"> INDEX( VfM_Metrics_2023_Consol_Source[], $AK877, P$832 )</f>
        <v>1.0014371945961482</v>
      </c>
      <c r="Q877" s="35">
        <f xml:space="preserve"> IF( tblFilterAll[[#This Row],[EBITDA MRI Interest Cover]] &lt; P$825, 4, IF( tblFilterAll[[#This Row],[EBITDA MRI Interest Cover]] &lt; P$826, 3, IF( tblFilterAll[[#This Row],[EBITDA MRI Interest Cover]] &lt; P$827, 2, 1 ) ) )</f>
        <v>3</v>
      </c>
      <c r="R877" s="35">
        <f xml:space="preserve"> COUNTIFS( tblFilterAll[Include in output], 1, tblFilterAll[EBITDA MRI Interest Cover], "&gt;" &amp; tblFilterAll[[#This Row],[EBITDA MRI Interest Cover]] ) + 1</f>
        <v>138</v>
      </c>
      <c r="S877" s="32" cm="1">
        <f t="array" ref="S877" xml:space="preserve"> INDEX( VfM_Metrics_2023_Consol_Source[], $AK877, S$832 )</f>
        <v>5840.6408094435074</v>
      </c>
      <c r="T877" s="35">
        <f xml:space="preserve"> IF( tblFilterAll[[#This Row],[Headline Social Housing Cost per unit]] &lt; S$825, 4, IF( tblFilterAll[[#This Row],[Headline Social Housing Cost per unit]] &lt; S$826, 3, IF( tblFilterAll[[#This Row],[Headline Social Housing Cost per unit]] &lt; S$827, 2, 1 ) ) )</f>
        <v>2</v>
      </c>
      <c r="U877" s="35">
        <f xml:space="preserve"> COUNTIFS( tblFilterAll[Include in output], 1, tblFilterAll[Headline Social Housing Cost per unit], "&gt;" &amp; tblFilterAll[[#This Row],[Headline Social Housing Cost per unit]] ) + 1</f>
        <v>50</v>
      </c>
      <c r="V877" s="30" cm="1">
        <f t="array" ref="V877" xml:space="preserve"> INDEX( VfM_Metrics_2023_Consol_Source[], $AK877, V$832 )</f>
        <v>0.1869249119618312</v>
      </c>
      <c r="W877" s="35">
        <f xml:space="preserve"> IF( tblFilterAll[[#This Row],[Operating Margin (SHL)]] &lt; V$825, 4, IF( tblFilterAll[[#This Row],[Operating Margin (SHL)]] &lt; V$826, 3, IF( tblFilterAll[[#This Row],[Operating Margin (SHL)]] &lt; V$827, 2, 1 ) ) )</f>
        <v>3</v>
      </c>
      <c r="X877" s="35">
        <f xml:space="preserve"> COUNTIFS( tblFilterAll[Include in output], 1, tblFilterAll[Operating Margin (SHL)], "&gt;" &amp; tblFilterAll[[#This Row],[Operating Margin (SHL)]] ) + 1</f>
        <v>112</v>
      </c>
      <c r="Y877" s="30" cm="1">
        <f t="array" ref="Y877" xml:space="preserve"> INDEX( VfM_Metrics_2023_Consol_Source[], $AK877, Y$832 )</f>
        <v>0.14281577096520623</v>
      </c>
      <c r="Z877" s="35">
        <f xml:space="preserve"> IF( tblFilterAll[[#This Row],[Operating Margin (Overall)]] &lt; Y$825, 4, IF( tblFilterAll[[#This Row],[Operating Margin (Overall)]] &lt; Y$826, 3, IF( tblFilterAll[[#This Row],[Operating Margin (Overall)]] &lt; Y$827, 2, 1 ) ) )</f>
        <v>3</v>
      </c>
      <c r="AA877" s="35">
        <f xml:space="preserve"> COUNTIFS( tblFilterAll[Include in output], 1, tblFilterAll[Operating Margin (Overall)], "&gt;" &amp; tblFilterAll[[#This Row],[Operating Margin (Overall)]] ) + 1</f>
        <v>137</v>
      </c>
      <c r="AB877" s="30" cm="1">
        <f t="array" ref="AB877" xml:space="preserve"> INDEX( VfM_Metrics_2023_Consol_Source[], $AK877, AB$832 )</f>
        <v>1.8690418701150041E-2</v>
      </c>
      <c r="AC877" s="35">
        <f xml:space="preserve"> IF( tblFilterAll[[#This Row],[ROCE]] &lt; AB$825, 4, IF( tblFilterAll[[#This Row],[ROCE]] &lt; AB$826, 3, IF( tblFilterAll[[#This Row],[ROCE]] &lt; AB$827, 2, 1 ) ) )</f>
        <v>4</v>
      </c>
      <c r="AD877" s="35">
        <f xml:space="preserve"> COUNTIFS( tblFilterAll[Include in output], 1, tblFilterAll[ROCE], "&gt;" &amp; tblFilterAll[[#This Row],[ROCE]] ) + 1</f>
        <v>166</v>
      </c>
      <c r="AE877" s="33" cm="1" vm="947">
        <f t="array" ref="AE877" xml:space="preserve"> INDEX( VfM_Metrics_2023_Consol_Source[], $AK877, AE$832 )</f>
        <v>2372</v>
      </c>
      <c r="AF877" s="30" cm="1">
        <f t="array" ref="AF877" xml:space="preserve"> INDEX( VfM_Metrics_2023_Consol_Source[], $AK877, AF$832 )</f>
        <v>0</v>
      </c>
      <c r="AG877" s="30" cm="1">
        <f t="array" ref="AG877" xml:space="preserve"> INDEX( VfM_Metrics_2023_Consol_Source[], $AK877, AG$832 )</f>
        <v>0</v>
      </c>
      <c r="AH877" s="30" cm="1">
        <f t="array" ref="AH877" xml:space="preserve"> INDEX( VfM_Metrics_2023_Consol_Source[], $AK877, AH$832 )</f>
        <v>0</v>
      </c>
      <c r="AI877" s="30" t="str" cm="1">
        <f t="array" ref="AI877" xml:space="preserve"> INDEX( VfM_Metrics_2023_Consol_Source[], $AK877, AI$832 )</f>
        <v>Traditional</v>
      </c>
      <c r="AJ877" s="34" t="str" cm="1">
        <f t="array" ref="AJ877" xml:space="preserve"> INDEX( VfM_Metrics_2023_Consol_Source[], $AK877, AJ$832 )</f>
        <v>London</v>
      </c>
      <c r="AK877" s="81">
        <f xml:space="preserve"> MATCH( tblFilterAll[[#This Row],[Code]], VfM_Metrics_2023_Consol_Source[RP_Code], 0 )</f>
        <v>44</v>
      </c>
      <c r="AL877" s="24">
        <f xml:space="preserve"> INDEX( tblFilterRegion[Include for region],  MATCH( tblFilterAll[[#This Row],[Code]], tblFilterRegion[RP_Code], 0 ) )</f>
        <v>1</v>
      </c>
      <c r="AM877" s="24">
        <f xml:space="preserve"> INDEX( tblFilterPropType[Incl for prop type],  MATCH( tblFilterAll[[#This Row],[Code]], tblFilterPropType[RP_Code], 0 ) )</f>
        <v>1</v>
      </c>
      <c r="AN877" s="24">
        <f xml:space="preserve"> INDEX( tblFilterSize[Incl for size],  MATCH( tblFilterAll[[#This Row],[Code]], tblFilterSize[RP_Code], 0 ) )</f>
        <v>1</v>
      </c>
      <c r="AO877" s="24">
        <f xml:space="preserve"> INDEX( tblFilterRP_Type[Incl, for RP Type],  MATCH( tblFilterAll[[#This Row],[Code]], tblFilterRP_Type[RP_Code], 0 ) )</f>
        <v>1</v>
      </c>
      <c r="AP877" s="24">
        <f xml:space="preserve">  -- ( SUM( tblFilterAll[[#This Row],[Filter Region]:[Filter RP Type]] ) = 4 )</f>
        <v>1</v>
      </c>
      <c r="AQ877" s="24">
        <f xml:space="preserve"> -- ( tblFilterAll[[#This Row],[Provider name]] = SelectedProvider )</f>
        <v>0</v>
      </c>
      <c r="AR877" s="24">
        <f xml:space="preserve">  -- ( OR( SUM( tblFilterAll[[#This Row],[Filter Region]:[Filter RP Type]] ) = 4, tblFilterAll[[#This Row],[SelectedProvider]] = 1 ) )</f>
        <v>1</v>
      </c>
      <c r="AS877" s="24">
        <f xml:space="preserve"> -- ( INDEX( PeersCritera[Included in final peers], MATCH( tblFilterAll[[#This Row],[Provider name]], PeersCritera[RP_Name], 0 ) ) = 1 )</f>
        <v>1</v>
      </c>
      <c r="AT877" s="30" t="str" cm="1">
        <f t="array" ref="AT877" xml:space="preserve"> SUBSTITUTE( INDEX( VfM_Metrics_2023_Consol_Source[], $AK877, AT$832 ), 0, "" )</f>
        <v>&gt;= 12 years</v>
      </c>
      <c r="AU877" s="34" cm="1">
        <f t="array" ref="AU877" xml:space="preserve"> INDEX( VfM_Metrics_2023_Consol_Source[], $AK877, AU$832 )</f>
        <v>1</v>
      </c>
      <c r="AV877" s="34" cm="1">
        <f t="array" ref="AV877" xml:space="preserve"> INDEX( VfM_Metrics_2023_Consol_Source[], $AK877, AV$832 )</f>
        <v>0</v>
      </c>
      <c r="AW877" s="34" cm="1">
        <f t="array" ref="AW877" xml:space="preserve"> INDEX( VfM_Metrics_2023_Consol_Source[], $AK877, AW$832 )</f>
        <v>0</v>
      </c>
      <c r="AX877" s="34" cm="1">
        <f t="array" ref="AX877" xml:space="preserve"> INDEX( VfM_Metrics_2023_Consol_Source[], $AK877, AX$832 )</f>
        <v>0</v>
      </c>
      <c r="AY877" s="34" cm="1">
        <f t="array" ref="AY877" xml:space="preserve"> INDEX( VfM_Metrics_2023_Consol_Source[], $AK877, AY$832 )</f>
        <v>0</v>
      </c>
      <c r="AZ877" s="34" cm="1">
        <f t="array" ref="AZ877" xml:space="preserve"> INDEX( VfM_Metrics_2023_Consol_Source[], $AK877, AZ$832 )</f>
        <v>0</v>
      </c>
      <c r="BA877" s="34" cm="1">
        <f t="array" ref="BA877" xml:space="preserve"> INDEX( VfM_Metrics_2023_Consol_Source[], $AK877, BA$832 )</f>
        <v>0</v>
      </c>
      <c r="BB877" s="34" cm="1">
        <f t="array" ref="BB877" xml:space="preserve"> INDEX( VfM_Metrics_2023_Consol_Source[], $AK877, BB$832 )</f>
        <v>0</v>
      </c>
      <c r="BC877" s="34" cm="1">
        <f t="array" ref="BC877" xml:space="preserve"> INDEX( VfM_Metrics_2023_Consol_Source[], $AK877, BC$832 )</f>
        <v>0</v>
      </c>
    </row>
    <row r="878" spans="2:55" x14ac:dyDescent="0.2">
      <c r="B878" s="122" t="str" vm="45">
        <f t="shared" ref="B878" si="380" xml:space="preserve"> B668</f>
        <v>East Midlands Housing Group Limited</v>
      </c>
      <c r="C878" s="122" t="str" vm="303">
        <f t="shared" si="368"/>
        <v>L4530</v>
      </c>
      <c r="D878" s="30" cm="1">
        <f t="array" ref="D878" xml:space="preserve"> INDEX( VfM_Metrics_2023_Consol_Source[], $AK878, D$832 )</f>
        <v>0.1045004005813462</v>
      </c>
      <c r="E878" s="35">
        <f xml:space="preserve"> IF( tblFilterAll[[#This Row],[Reinvestment]] &lt; D$825, 4, IF( tblFilterAll[[#This Row],[Reinvestment]] &lt; D$826, 3, IF( tblFilterAll[[#This Row],[Reinvestment]] &lt; D$827, 2, 1 ) ) )</f>
        <v>1</v>
      </c>
      <c r="F878" s="35">
        <f xml:space="preserve"> COUNTIFS( tblFilterAll[Include in output], 1, tblFilterAll[Reinvestment], "&gt;" &amp; tblFilterAll[[#This Row],[Reinvestment]] ) + 1</f>
        <v>33</v>
      </c>
      <c r="G878" s="30" cm="1">
        <f t="array" ref="G878" xml:space="preserve"> INDEX( VfM_Metrics_2023_Consol_Source[], $AK878, G$832 )</f>
        <v>2.4969057740946026E-2</v>
      </c>
      <c r="H878" s="35">
        <f xml:space="preserve"> IF( tblFilterAll[[#This Row],[New Supply (Social)]] &lt; G$825, 4, IF( tblFilterAll[[#This Row],[New Supply (Social)]] &lt; G$826, 3, IF( tblFilterAll[[#This Row],[New Supply (Social)]] &lt; G$827, 2, 1 ) ) )</f>
        <v>1</v>
      </c>
      <c r="I878" s="35">
        <f xml:space="preserve"> COUNTIFS( tblFilterAll[Include in output], 1, tblFilterAll[New Supply (Social)], "&gt;" &amp; tblFilterAll[[#This Row],[New Supply (Social)]] ) + 1</f>
        <v>36</v>
      </c>
      <c r="J878" s="31" cm="1">
        <f t="array" ref="J878" xml:space="preserve"> INDEX( VfM_Metrics_2023_Consol_Source[], $AK878, J$832 )</f>
        <v>0</v>
      </c>
      <c r="K878" s="35">
        <f xml:space="preserve"> IF( tblFilterAll[[#This Row],[New Supply (Non-Social)]] &lt; J$825, 4, IF( tblFilterAll[[#This Row],[New Supply (Non-Social)]] &lt; J$826, 3, IF( tblFilterAll[[#This Row],[New Supply (Non-Social)]] &lt; J$827, 2, 1 ) ) )</f>
        <v>2</v>
      </c>
      <c r="L878" s="35">
        <f xml:space="preserve"> COUNTIFS( tblFilterAll[Include in output], 1, tblFilterAll[New Supply (Non-Social)], "&gt;" &amp; tblFilterAll[[#This Row],[New Supply (Non-Social)]] ) + 1</f>
        <v>72</v>
      </c>
      <c r="M878" s="30" cm="1">
        <f t="array" ref="M878" xml:space="preserve"> INDEX( VfM_Metrics_2023_Consol_Source[], $AK878, M$832 )</f>
        <v>0.48962715740230045</v>
      </c>
      <c r="N878" s="35">
        <f xml:space="preserve"> IF( tblFilterAll[[#This Row],[Gearing]] &lt; M$825, 4, IF( tblFilterAll[[#This Row],[Gearing]] &lt; M$826, 3, IF( tblFilterAll[[#This Row],[Gearing]] &lt; M$827, 2, 1 ) ) )</f>
        <v>2</v>
      </c>
      <c r="O878" s="35">
        <f xml:space="preserve"> COUNTIFS( tblFilterAll[Include in output], 1, tblFilterAll[Gearing], "&gt;" &amp; tblFilterAll[[#This Row],[Gearing]] ) + 1</f>
        <v>75</v>
      </c>
      <c r="P878" s="30" cm="1">
        <f t="array" ref="P878" xml:space="preserve"> INDEX( VfM_Metrics_2023_Consol_Source[], $AK878, P$832 )</f>
        <v>1.0132630623712959</v>
      </c>
      <c r="Q878" s="35">
        <f xml:space="preserve"> IF( tblFilterAll[[#This Row],[EBITDA MRI Interest Cover]] &lt; P$825, 4, IF( tblFilterAll[[#This Row],[EBITDA MRI Interest Cover]] &lt; P$826, 3, IF( tblFilterAll[[#This Row],[EBITDA MRI Interest Cover]] &lt; P$827, 2, 1 ) ) )</f>
        <v>3</v>
      </c>
      <c r="R878" s="35">
        <f xml:space="preserve"> COUNTIFS( tblFilterAll[Include in output], 1, tblFilterAll[EBITDA MRI Interest Cover], "&gt;" &amp; tblFilterAll[[#This Row],[EBITDA MRI Interest Cover]] ) + 1</f>
        <v>137</v>
      </c>
      <c r="S878" s="32" cm="1">
        <f t="array" ref="S878" xml:space="preserve"> INDEX( VfM_Metrics_2023_Consol_Source[], $AK878, S$832 )</f>
        <v>3595.7895794603828</v>
      </c>
      <c r="T878" s="35">
        <f xml:space="preserve"> IF( tblFilterAll[[#This Row],[Headline Social Housing Cost per unit]] &lt; S$825, 4, IF( tblFilterAll[[#This Row],[Headline Social Housing Cost per unit]] &lt; S$826, 3, IF( tblFilterAll[[#This Row],[Headline Social Housing Cost per unit]] &lt; S$827, 2, 1 ) ) )</f>
        <v>4</v>
      </c>
      <c r="U878" s="35">
        <f xml:space="preserve"> COUNTIFS( tblFilterAll[Include in output], 1, tblFilterAll[Headline Social Housing Cost per unit], "&gt;" &amp; tblFilterAll[[#This Row],[Headline Social Housing Cost per unit]] ) + 1</f>
        <v>188</v>
      </c>
      <c r="V878" s="30" cm="1">
        <f t="array" ref="V878" xml:space="preserve"> INDEX( VfM_Metrics_2023_Consol_Source[], $AK878, V$832 )</f>
        <v>0.23014180726632855</v>
      </c>
      <c r="W878" s="35">
        <f xml:space="preserve"> IF( tblFilterAll[[#This Row],[Operating Margin (SHL)]] &lt; V$825, 4, IF( tblFilterAll[[#This Row],[Operating Margin (SHL)]] &lt; V$826, 3, IF( tblFilterAll[[#This Row],[Operating Margin (SHL)]] &lt; V$827, 2, 1 ) ) )</f>
        <v>2</v>
      </c>
      <c r="X878" s="35">
        <f xml:space="preserve"> COUNTIFS( tblFilterAll[Include in output], 1, tblFilterAll[Operating Margin (SHL)], "&gt;" &amp; tblFilterAll[[#This Row],[Operating Margin (SHL)]] ) + 1</f>
        <v>74</v>
      </c>
      <c r="Y878" s="30" cm="1">
        <f t="array" ref="Y878" xml:space="preserve"> INDEX( VfM_Metrics_2023_Consol_Source[], $AK878, Y$832 )</f>
        <v>0.20169211244856364</v>
      </c>
      <c r="Z878" s="35">
        <f xml:space="preserve"> IF( tblFilterAll[[#This Row],[Operating Margin (Overall)]] &lt; Y$825, 4, IF( tblFilterAll[[#This Row],[Operating Margin (Overall)]] &lt; Y$826, 3, IF( tblFilterAll[[#This Row],[Operating Margin (Overall)]] &lt; Y$827, 2, 1 ) ) )</f>
        <v>2</v>
      </c>
      <c r="AA878" s="35">
        <f xml:space="preserve"> COUNTIFS( tblFilterAll[Include in output], 1, tblFilterAll[Operating Margin (Overall)], "&gt;" &amp; tblFilterAll[[#This Row],[Operating Margin (Overall)]] ) + 1</f>
        <v>80</v>
      </c>
      <c r="AB878" s="30" cm="1">
        <f t="array" ref="AB878" xml:space="preserve"> INDEX( VfM_Metrics_2023_Consol_Source[], $AK878, AB$832 )</f>
        <v>3.0239027455297218E-2</v>
      </c>
      <c r="AC878" s="35">
        <f xml:space="preserve"> IF( tblFilterAll[[#This Row],[ROCE]] &lt; AB$825, 4, IF( tblFilterAll[[#This Row],[ROCE]] &lt; AB$826, 3, IF( tblFilterAll[[#This Row],[ROCE]] &lt; AB$827, 2, 1 ) ) )</f>
        <v>2</v>
      </c>
      <c r="AD878" s="35">
        <f xml:space="preserve"> COUNTIFS( tblFilterAll[Include in output], 1, tblFilterAll[ROCE], "&gt;" &amp; tblFilterAll[[#This Row],[ROCE]] ) + 1</f>
        <v>83</v>
      </c>
      <c r="AE878" s="33" cm="1" vm="3455">
        <f t="array" ref="AE878" xml:space="preserve"> INDEX( VfM_Metrics_2023_Consol_Source[], $AK878, AE$832 )</f>
        <v>18583</v>
      </c>
      <c r="AF878" s="30" cm="1">
        <f t="array" ref="AF878" xml:space="preserve"> INDEX( VfM_Metrics_2023_Consol_Source[], $AK878, AF$832 )</f>
        <v>3.0181979582778518E-2</v>
      </c>
      <c r="AG878" s="30" cm="1">
        <f t="array" ref="AG878" xml:space="preserve"> INDEX( VfM_Metrics_2023_Consol_Source[], $AK878, AG$832 )</f>
        <v>0.19346426986240567</v>
      </c>
      <c r="AH878" s="30" cm="1">
        <f t="array" ref="AH878" xml:space="preserve"> INDEX( VfM_Metrics_2023_Consol_Source[], $AK878, AH$832 )</f>
        <v>0.22364624944518419</v>
      </c>
      <c r="AI878" s="30" t="str" cm="1">
        <f t="array" ref="AI878" xml:space="preserve"> INDEX( VfM_Metrics_2023_Consol_Source[], $AK878, AI$832 )</f>
        <v>Traditional</v>
      </c>
      <c r="AJ878" s="34" t="str" cm="1">
        <f t="array" ref="AJ878" xml:space="preserve"> INDEX( VfM_Metrics_2023_Consol_Source[], $AK878, AJ$832 )</f>
        <v>East Midlands</v>
      </c>
      <c r="AK878" s="81">
        <f xml:space="preserve"> MATCH( tblFilterAll[[#This Row],[Code]], VfM_Metrics_2023_Consol_Source[RP_Code], 0 )</f>
        <v>45</v>
      </c>
      <c r="AL878" s="24">
        <f xml:space="preserve"> INDEX( tblFilterRegion[Include for region],  MATCH( tblFilterAll[[#This Row],[Code]], tblFilterRegion[RP_Code], 0 ) )</f>
        <v>1</v>
      </c>
      <c r="AM878" s="24">
        <f xml:space="preserve"> INDEX( tblFilterPropType[Incl for prop type],  MATCH( tblFilterAll[[#This Row],[Code]], tblFilterPropType[RP_Code], 0 ) )</f>
        <v>1</v>
      </c>
      <c r="AN878" s="24">
        <f xml:space="preserve"> INDEX( tblFilterSize[Incl for size],  MATCH( tblFilterAll[[#This Row],[Code]], tblFilterSize[RP_Code], 0 ) )</f>
        <v>1</v>
      </c>
      <c r="AO878" s="24">
        <f xml:space="preserve"> INDEX( tblFilterRP_Type[Incl, for RP Type],  MATCH( tblFilterAll[[#This Row],[Code]], tblFilterRP_Type[RP_Code], 0 ) )</f>
        <v>1</v>
      </c>
      <c r="AP878" s="24">
        <f xml:space="preserve">  -- ( SUM( tblFilterAll[[#This Row],[Filter Region]:[Filter RP Type]] ) = 4 )</f>
        <v>1</v>
      </c>
      <c r="AQ878" s="24">
        <f xml:space="preserve"> -- ( tblFilterAll[[#This Row],[Provider name]] = SelectedProvider )</f>
        <v>0</v>
      </c>
      <c r="AR878" s="24">
        <f xml:space="preserve">  -- ( OR( SUM( tblFilterAll[[#This Row],[Filter Region]:[Filter RP Type]] ) = 4, tblFilterAll[[#This Row],[SelectedProvider]] = 1 ) )</f>
        <v>1</v>
      </c>
      <c r="AS878" s="24">
        <f xml:space="preserve"> -- ( INDEX( PeersCritera[Included in final peers], MATCH( tblFilterAll[[#This Row],[Provider name]], PeersCritera[RP_Name], 0 ) ) = 1 )</f>
        <v>1</v>
      </c>
      <c r="AT878" s="30" t="str" cm="1">
        <f t="array" ref="AT878" xml:space="preserve"> SUBSTITUTE( INDEX( VfM_Metrics_2023_Consol_Source[], $AK878, AT$832 ), 0, "" )</f>
        <v/>
      </c>
      <c r="AU878" s="34" cm="1">
        <f t="array" ref="AU878" xml:space="preserve"> INDEX( VfM_Metrics_2023_Consol_Source[], $AK878, AU$832 )</f>
        <v>0</v>
      </c>
      <c r="AV878" s="34" cm="1">
        <f t="array" ref="AV878" xml:space="preserve"> INDEX( VfM_Metrics_2023_Consol_Source[], $AK878, AV$832 )</f>
        <v>0</v>
      </c>
      <c r="AW878" s="34" cm="1">
        <f t="array" ref="AW878" xml:space="preserve"> INDEX( VfM_Metrics_2023_Consol_Source[], $AK878, AW$832 )</f>
        <v>0</v>
      </c>
      <c r="AX878" s="34" cm="1">
        <f t="array" ref="AX878" xml:space="preserve"> INDEX( VfM_Metrics_2023_Consol_Source[], $AK878, AX$832 )</f>
        <v>0.99757615821076406</v>
      </c>
      <c r="AY878" s="34" cm="1">
        <f t="array" ref="AY878" xml:space="preserve"> INDEX( VfM_Metrics_2023_Consol_Source[], $AK878, AY$832 )</f>
        <v>2.2585798490607615E-3</v>
      </c>
      <c r="AZ878" s="34" cm="1">
        <f t="array" ref="AZ878" xml:space="preserve"> INDEX( VfM_Metrics_2023_Consol_Source[], $AK878, AZ$832 )</f>
        <v>5.5087313391725883E-5</v>
      </c>
      <c r="BA878" s="34" cm="1">
        <f t="array" ref="BA878" xml:space="preserve"> INDEX( VfM_Metrics_2023_Consol_Source[], $AK878, BA$832 )</f>
        <v>0</v>
      </c>
      <c r="BB878" s="34" cm="1">
        <f t="array" ref="BB878" xml:space="preserve"> INDEX( VfM_Metrics_2023_Consol_Source[], $AK878, BB$832 )</f>
        <v>0</v>
      </c>
      <c r="BC878" s="34" cm="1">
        <f t="array" ref="BC878" xml:space="preserve"> INDEX( VfM_Metrics_2023_Consol_Source[], $AK878, BC$832 )</f>
        <v>1.1017462678345177E-4</v>
      </c>
    </row>
    <row r="879" spans="2:55" x14ac:dyDescent="0.2">
      <c r="B879" s="122" t="str" vm="46">
        <f t="shared" ref="B879" si="381" xml:space="preserve"> B669</f>
        <v>Eastlight Community Homes Limited</v>
      </c>
      <c r="C879" s="122" t="str" vm="290">
        <f t="shared" si="368"/>
        <v>L4499</v>
      </c>
      <c r="D879" s="30" cm="1">
        <f t="array" ref="D879" xml:space="preserve"> INDEX( VfM_Metrics_2023_Consol_Source[], $AK879, D$832 )</f>
        <v>9.1831239534511916E-2</v>
      </c>
      <c r="E879" s="35">
        <f xml:space="preserve"> IF( tblFilterAll[[#This Row],[Reinvestment]] &lt; D$825, 4, IF( tblFilterAll[[#This Row],[Reinvestment]] &lt; D$826, 3, IF( tblFilterAll[[#This Row],[Reinvestment]] &lt; D$827, 2, 1 ) ) )</f>
        <v>2</v>
      </c>
      <c r="F879" s="35">
        <f xml:space="preserve"> COUNTIFS( tblFilterAll[Include in output], 1, tblFilterAll[Reinvestment], "&gt;" &amp; tblFilterAll[[#This Row],[Reinvestment]] ) + 1</f>
        <v>52</v>
      </c>
      <c r="G879" s="30" cm="1">
        <f t="array" ref="G879" xml:space="preserve"> INDEX( VfM_Metrics_2023_Consol_Source[], $AK879, G$832 )</f>
        <v>2.4871420895064097E-2</v>
      </c>
      <c r="H879" s="35">
        <f xml:space="preserve"> IF( tblFilterAll[[#This Row],[New Supply (Social)]] &lt; G$825, 4, IF( tblFilterAll[[#This Row],[New Supply (Social)]] &lt; G$826, 3, IF( tblFilterAll[[#This Row],[New Supply (Social)]] &lt; G$827, 2, 1 ) ) )</f>
        <v>1</v>
      </c>
      <c r="I879" s="35">
        <f xml:space="preserve"> COUNTIFS( tblFilterAll[Include in output], 1, tblFilterAll[New Supply (Social)], "&gt;" &amp; tblFilterAll[[#This Row],[New Supply (Social)]] ) + 1</f>
        <v>39</v>
      </c>
      <c r="J879" s="31" cm="1">
        <f t="array" ref="J879" xml:space="preserve"> INDEX( VfM_Metrics_2023_Consol_Source[], $AK879, J$832 )</f>
        <v>0</v>
      </c>
      <c r="K879" s="35">
        <f xml:space="preserve"> IF( tblFilterAll[[#This Row],[New Supply (Non-Social)]] &lt; J$825, 4, IF( tblFilterAll[[#This Row],[New Supply (Non-Social)]] &lt; J$826, 3, IF( tblFilterAll[[#This Row],[New Supply (Non-Social)]] &lt; J$827, 2, 1 ) ) )</f>
        <v>2</v>
      </c>
      <c r="L879" s="35">
        <f xml:space="preserve"> COUNTIFS( tblFilterAll[Include in output], 1, tblFilterAll[New Supply (Non-Social)], "&gt;" &amp; tblFilterAll[[#This Row],[New Supply (Non-Social)]] ) + 1</f>
        <v>72</v>
      </c>
      <c r="M879" s="30" cm="1">
        <f t="array" ref="M879" xml:space="preserve"> INDEX( VfM_Metrics_2023_Consol_Source[], $AK879, M$832 )</f>
        <v>0.51110148122593113</v>
      </c>
      <c r="N879" s="35">
        <f xml:space="preserve"> IF( tblFilterAll[[#This Row],[Gearing]] &lt; M$825, 4, IF( tblFilterAll[[#This Row],[Gearing]] &lt; M$826, 3, IF( tblFilterAll[[#This Row],[Gearing]] &lt; M$827, 2, 1 ) ) )</f>
        <v>2</v>
      </c>
      <c r="O879" s="35">
        <f xml:space="preserve"> COUNTIFS( tblFilterAll[Include in output], 1, tblFilterAll[Gearing], "&gt;" &amp; tblFilterAll[[#This Row],[Gearing]] ) + 1</f>
        <v>66</v>
      </c>
      <c r="P879" s="30" cm="1">
        <f t="array" ref="P879" xml:space="preserve"> INDEX( VfM_Metrics_2023_Consol_Source[], $AK879, P$832 )</f>
        <v>1.6382811382811382</v>
      </c>
      <c r="Q879" s="35">
        <f xml:space="preserve"> IF( tblFilterAll[[#This Row],[EBITDA MRI Interest Cover]] &lt; P$825, 4, IF( tblFilterAll[[#This Row],[EBITDA MRI Interest Cover]] &lt; P$826, 3, IF( tblFilterAll[[#This Row],[EBITDA MRI Interest Cover]] &lt; P$827, 2, 1 ) ) )</f>
        <v>2</v>
      </c>
      <c r="R879" s="35">
        <f xml:space="preserve"> COUNTIFS( tblFilterAll[Include in output], 1, tblFilterAll[EBITDA MRI Interest Cover], "&gt;" &amp; tblFilterAll[[#This Row],[EBITDA MRI Interest Cover]] ) + 1</f>
        <v>56</v>
      </c>
      <c r="S879" s="32" cm="1">
        <f t="array" ref="S879" xml:space="preserve"> INDEX( VfM_Metrics_2023_Consol_Source[], $AK879, S$832 )</f>
        <v>4190.1204819277109</v>
      </c>
      <c r="T879" s="35">
        <f xml:space="preserve"> IF( tblFilterAll[[#This Row],[Headline Social Housing Cost per unit]] &lt; S$825, 4, IF( tblFilterAll[[#This Row],[Headline Social Housing Cost per unit]] &lt; S$826, 3, IF( tblFilterAll[[#This Row],[Headline Social Housing Cost per unit]] &lt; S$827, 2, 1 ) ) )</f>
        <v>3</v>
      </c>
      <c r="U879" s="35">
        <f xml:space="preserve"> COUNTIFS( tblFilterAll[Include in output], 1, tblFilterAll[Headline Social Housing Cost per unit], "&gt;" &amp; tblFilterAll[[#This Row],[Headline Social Housing Cost per unit]] ) + 1</f>
        <v>137</v>
      </c>
      <c r="V879" s="30" cm="1">
        <f t="array" ref="V879" xml:space="preserve"> INDEX( VfM_Metrics_2023_Consol_Source[], $AK879, V$832 )</f>
        <v>0.24982547395797686</v>
      </c>
      <c r="W879" s="35">
        <f xml:space="preserve"> IF( tblFilterAll[[#This Row],[Operating Margin (SHL)]] &lt; V$825, 4, IF( tblFilterAll[[#This Row],[Operating Margin (SHL)]] &lt; V$826, 3, IF( tblFilterAll[[#This Row],[Operating Margin (SHL)]] &lt; V$827, 2, 1 ) ) )</f>
        <v>2</v>
      </c>
      <c r="X879" s="35">
        <f xml:space="preserve"> COUNTIFS( tblFilterAll[Include in output], 1, tblFilterAll[Operating Margin (SHL)], "&gt;" &amp; tblFilterAll[[#This Row],[Operating Margin (SHL)]] ) + 1</f>
        <v>56</v>
      </c>
      <c r="Y879" s="30" cm="1">
        <f t="array" ref="Y879" xml:space="preserve"> INDEX( VfM_Metrics_2023_Consol_Source[], $AK879, Y$832 )</f>
        <v>0.21538142620232173</v>
      </c>
      <c r="Z879" s="35">
        <f xml:space="preserve"> IF( tblFilterAll[[#This Row],[Operating Margin (Overall)]] &lt; Y$825, 4, IF( tblFilterAll[[#This Row],[Operating Margin (Overall)]] &lt; Y$826, 3, IF( tblFilterAll[[#This Row],[Operating Margin (Overall)]] &lt; Y$827, 2, 1 ) ) )</f>
        <v>2</v>
      </c>
      <c r="AA879" s="35">
        <f xml:space="preserve"> COUNTIFS( tblFilterAll[Include in output], 1, tblFilterAll[Operating Margin (Overall)], "&gt;" &amp; tblFilterAll[[#This Row],[Operating Margin (Overall)]] ) + 1</f>
        <v>67</v>
      </c>
      <c r="AB879" s="30" cm="1">
        <f t="array" ref="AB879" xml:space="preserve"> INDEX( VfM_Metrics_2023_Consol_Source[], $AK879, AB$832 )</f>
        <v>2.8494956747304668E-2</v>
      </c>
      <c r="AC879" s="35">
        <f xml:space="preserve"> IF( tblFilterAll[[#This Row],[ROCE]] &lt; AB$825, 4, IF( tblFilterAll[[#This Row],[ROCE]] &lt; AB$826, 3, IF( tblFilterAll[[#This Row],[ROCE]] &lt; AB$827, 2, 1 ) ) )</f>
        <v>2</v>
      </c>
      <c r="AD879" s="35">
        <f xml:space="preserve"> COUNTIFS( tblFilterAll[Include in output], 1, tblFilterAll[ROCE], "&gt;" &amp; tblFilterAll[[#This Row],[ROCE]] ) + 1</f>
        <v>98</v>
      </c>
      <c r="AE879" s="33" cm="1" vm="7753">
        <f t="array" ref="AE879" xml:space="preserve"> INDEX( VfM_Metrics_2023_Consol_Source[], $AK879, AE$832 )</f>
        <v>12450</v>
      </c>
      <c r="AF879" s="30" cm="1">
        <f t="array" ref="AF879" xml:space="preserve"> INDEX( VfM_Metrics_2023_Consol_Source[], $AK879, AF$832 )</f>
        <v>1.2070641607258587E-2</v>
      </c>
      <c r="AG879" s="30" cm="1">
        <f t="array" ref="AG879" xml:space="preserve"> INDEX( VfM_Metrics_2023_Consol_Source[], $AK879, AG$832 )</f>
        <v>5.1604018146467923E-2</v>
      </c>
      <c r="AH879" s="30" cm="1">
        <f t="array" ref="AH879" xml:space="preserve"> INDEX( VfM_Metrics_2023_Consol_Source[], $AK879, AH$832 )</f>
        <v>6.3674659753726506E-2</v>
      </c>
      <c r="AI879" s="30" t="str" cm="1">
        <f t="array" ref="AI879" xml:space="preserve"> INDEX( VfM_Metrics_2023_Consol_Source[], $AK879, AI$832 )</f>
        <v>Traditional</v>
      </c>
      <c r="AJ879" s="34" t="str" cm="1">
        <f t="array" ref="AJ879" xml:space="preserve"> INDEX( VfM_Metrics_2023_Consol_Source[], $AK879, AJ$832 )</f>
        <v>East of England</v>
      </c>
      <c r="AK879" s="81">
        <f xml:space="preserve"> MATCH( tblFilterAll[[#This Row],[Code]], VfM_Metrics_2023_Consol_Source[RP_Code], 0 )</f>
        <v>46</v>
      </c>
      <c r="AL879" s="24">
        <f xml:space="preserve"> INDEX( tblFilterRegion[Include for region],  MATCH( tblFilterAll[[#This Row],[Code]], tblFilterRegion[RP_Code], 0 ) )</f>
        <v>1</v>
      </c>
      <c r="AM879" s="24">
        <f xml:space="preserve"> INDEX( tblFilterPropType[Incl for prop type],  MATCH( tblFilterAll[[#This Row],[Code]], tblFilterPropType[RP_Code], 0 ) )</f>
        <v>1</v>
      </c>
      <c r="AN879" s="24">
        <f xml:space="preserve"> INDEX( tblFilterSize[Incl for size],  MATCH( tblFilterAll[[#This Row],[Code]], tblFilterSize[RP_Code], 0 ) )</f>
        <v>1</v>
      </c>
      <c r="AO879" s="24">
        <f xml:space="preserve"> INDEX( tblFilterRP_Type[Incl, for RP Type],  MATCH( tblFilterAll[[#This Row],[Code]], tblFilterRP_Type[RP_Code], 0 ) )</f>
        <v>1</v>
      </c>
      <c r="AP879" s="24">
        <f xml:space="preserve">  -- ( SUM( tblFilterAll[[#This Row],[Filter Region]:[Filter RP Type]] ) = 4 )</f>
        <v>1</v>
      </c>
      <c r="AQ879" s="24">
        <f xml:space="preserve"> -- ( tblFilterAll[[#This Row],[Provider name]] = SelectedProvider )</f>
        <v>0</v>
      </c>
      <c r="AR879" s="24">
        <f xml:space="preserve">  -- ( OR( SUM( tblFilterAll[[#This Row],[Filter Region]:[Filter RP Type]] ) = 4, tblFilterAll[[#This Row],[SelectedProvider]] = 1 ) )</f>
        <v>1</v>
      </c>
      <c r="AS879" s="24">
        <f xml:space="preserve"> -- ( INDEX( PeersCritera[Included in final peers], MATCH( tblFilterAll[[#This Row],[Provider name]], PeersCritera[RP_Name], 0 ) ) = 1 )</f>
        <v>1</v>
      </c>
      <c r="AT879" s="30" t="str" cm="1">
        <f t="array" ref="AT879" xml:space="preserve"> SUBSTITUTE( INDEX( VfM_Metrics_2023_Consol_Source[], $AK879, AT$832 ), 0, "" )</f>
        <v>&gt;= 12 years</v>
      </c>
      <c r="AU879" s="34" cm="1">
        <f t="array" ref="AU879" xml:space="preserve"> INDEX( VfM_Metrics_2023_Consol_Source[], $AK879, AU$832 )</f>
        <v>0</v>
      </c>
      <c r="AV879" s="34" cm="1">
        <f t="array" ref="AV879" xml:space="preserve"> INDEX( VfM_Metrics_2023_Consol_Source[], $AK879, AV$832 )</f>
        <v>0</v>
      </c>
      <c r="AW879" s="34" cm="1">
        <f t="array" ref="AW879" xml:space="preserve"> INDEX( VfM_Metrics_2023_Consol_Source[], $AK879, AW$832 )</f>
        <v>0</v>
      </c>
      <c r="AX879" s="34" cm="1">
        <f t="array" ref="AX879" xml:space="preserve"> INDEX( VfM_Metrics_2023_Consol_Source[], $AK879, AX$832 )</f>
        <v>0</v>
      </c>
      <c r="AY879" s="34" cm="1">
        <f t="array" ref="AY879" xml:space="preserve"> INDEX( VfM_Metrics_2023_Consol_Source[], $AK879, AY$832 )</f>
        <v>0</v>
      </c>
      <c r="AZ879" s="34" cm="1">
        <f t="array" ref="AZ879" xml:space="preserve"> INDEX( VfM_Metrics_2023_Consol_Source[], $AK879, AZ$832 )</f>
        <v>1</v>
      </c>
      <c r="BA879" s="34" cm="1">
        <f t="array" ref="BA879" xml:space="preserve"> INDEX( VfM_Metrics_2023_Consol_Source[], $AK879, BA$832 )</f>
        <v>0</v>
      </c>
      <c r="BB879" s="34" cm="1">
        <f t="array" ref="BB879" xml:space="preserve"> INDEX( VfM_Metrics_2023_Consol_Source[], $AK879, BB$832 )</f>
        <v>0</v>
      </c>
      <c r="BC879" s="34" cm="1">
        <f t="array" ref="BC879" xml:space="preserve"> INDEX( VfM_Metrics_2023_Consol_Source[], $AK879, BC$832 )</f>
        <v>0</v>
      </c>
    </row>
    <row r="880" spans="2:55" x14ac:dyDescent="0.2">
      <c r="B880" s="122" t="str" vm="47">
        <f t="shared" ref="B880" si="382" xml:space="preserve"> B670</f>
        <v>Eden Housing Association Limited</v>
      </c>
      <c r="C880" s="122" t="str" vm="231">
        <f t="shared" si="368"/>
        <v>L4140</v>
      </c>
      <c r="D880" s="30" cm="1">
        <f t="array" ref="D880" xml:space="preserve"> INDEX( VfM_Metrics_2023_Consol_Source[], $AK880, D$832 )</f>
        <v>2.5498366399924238E-2</v>
      </c>
      <c r="E880" s="35">
        <f xml:space="preserve"> IF( tblFilterAll[[#This Row],[Reinvestment]] &lt; D$825, 4, IF( tblFilterAll[[#This Row],[Reinvestment]] &lt; D$826, 3, IF( tblFilterAll[[#This Row],[Reinvestment]] &lt; D$827, 2, 1 ) ) )</f>
        <v>4</v>
      </c>
      <c r="F880" s="35">
        <f xml:space="preserve"> COUNTIFS( tblFilterAll[Include in output], 1, tblFilterAll[Reinvestment], "&gt;" &amp; tblFilterAll[[#This Row],[Reinvestment]] ) + 1</f>
        <v>182</v>
      </c>
      <c r="G880" s="30" cm="1">
        <f t="array" ref="G880" xml:space="preserve"> INDEX( VfM_Metrics_2023_Consol_Source[], $AK880, G$832 )</f>
        <v>0</v>
      </c>
      <c r="H880" s="35">
        <f xml:space="preserve"> IF( tblFilterAll[[#This Row],[New Supply (Social)]] &lt; G$825, 4, IF( tblFilterAll[[#This Row],[New Supply (Social)]] &lt; G$826, 3, IF( tblFilterAll[[#This Row],[New Supply (Social)]] &lt; G$827, 2, 1 ) ) )</f>
        <v>4</v>
      </c>
      <c r="I880" s="35">
        <f xml:space="preserve"> COUNTIFS( tblFilterAll[Include in output], 1, tblFilterAll[New Supply (Social)], "&gt;" &amp; tblFilterAll[[#This Row],[New Supply (Social)]] ) + 1</f>
        <v>187</v>
      </c>
      <c r="J880" s="31" cm="1">
        <f t="array" ref="J880" xml:space="preserve"> INDEX( VfM_Metrics_2023_Consol_Source[], $AK880, J$832 )</f>
        <v>0</v>
      </c>
      <c r="K880" s="35">
        <f xml:space="preserve"> IF( tblFilterAll[[#This Row],[New Supply (Non-Social)]] &lt; J$825, 4, IF( tblFilterAll[[#This Row],[New Supply (Non-Social)]] &lt; J$826, 3, IF( tblFilterAll[[#This Row],[New Supply (Non-Social)]] &lt; J$827, 2, 1 ) ) )</f>
        <v>2</v>
      </c>
      <c r="L880" s="35">
        <f xml:space="preserve"> COUNTIFS( tblFilterAll[Include in output], 1, tblFilterAll[New Supply (Non-Social)], "&gt;" &amp; tblFilterAll[[#This Row],[New Supply (Non-Social)]] ) + 1</f>
        <v>72</v>
      </c>
      <c r="M880" s="30" cm="1">
        <f t="array" ref="M880" xml:space="preserve"> INDEX( VfM_Metrics_2023_Consol_Source[], $AK880, M$832 )</f>
        <v>0.4495004498319049</v>
      </c>
      <c r="N880" s="35">
        <f xml:space="preserve"> IF( tblFilterAll[[#This Row],[Gearing]] &lt; M$825, 4, IF( tblFilterAll[[#This Row],[Gearing]] &lt; M$826, 3, IF( tblFilterAll[[#This Row],[Gearing]] &lt; M$827, 2, 1 ) ) )</f>
        <v>3</v>
      </c>
      <c r="O880" s="35">
        <f xml:space="preserve"> COUNTIFS( tblFilterAll[Include in output], 1, tblFilterAll[Gearing], "&gt;" &amp; tblFilterAll[[#This Row],[Gearing]] ) + 1</f>
        <v>103</v>
      </c>
      <c r="P880" s="30" cm="1">
        <f t="array" ref="P880" xml:space="preserve"> INDEX( VfM_Metrics_2023_Consol_Source[], $AK880, P$832 )</f>
        <v>1.2853817504655494</v>
      </c>
      <c r="Q880" s="35">
        <f xml:space="preserve"> IF( tblFilterAll[[#This Row],[EBITDA MRI Interest Cover]] &lt; P$825, 4, IF( tblFilterAll[[#This Row],[EBITDA MRI Interest Cover]] &lt; P$826, 3, IF( tblFilterAll[[#This Row],[EBITDA MRI Interest Cover]] &lt; P$827, 2, 1 ) ) )</f>
        <v>2</v>
      </c>
      <c r="R880" s="35">
        <f xml:space="preserve"> COUNTIFS( tblFilterAll[Include in output], 1, tblFilterAll[EBITDA MRI Interest Cover], "&gt;" &amp; tblFilterAll[[#This Row],[EBITDA MRI Interest Cover]] ) + 1</f>
        <v>98</v>
      </c>
      <c r="S880" s="32" cm="1">
        <f t="array" ref="S880" xml:space="preserve"> INDEX( VfM_Metrics_2023_Consol_Source[], $AK880, S$832 )</f>
        <v>3822.3452440865631</v>
      </c>
      <c r="T880" s="35">
        <f xml:space="preserve"> IF( tblFilterAll[[#This Row],[Headline Social Housing Cost per unit]] &lt; S$825, 4, IF( tblFilterAll[[#This Row],[Headline Social Housing Cost per unit]] &lt; S$826, 3, IF( tblFilterAll[[#This Row],[Headline Social Housing Cost per unit]] &lt; S$827, 2, 1 ) ) )</f>
        <v>4</v>
      </c>
      <c r="U880" s="35">
        <f xml:space="preserve"> COUNTIFS( tblFilterAll[Include in output], 1, tblFilterAll[Headline Social Housing Cost per unit], "&gt;" &amp; tblFilterAll[[#This Row],[Headline Social Housing Cost per unit]] ) + 1</f>
        <v>179</v>
      </c>
      <c r="V880" s="30" cm="1">
        <f t="array" ref="V880" xml:space="preserve"> INDEX( VfM_Metrics_2023_Consol_Source[], $AK880, V$832 )</f>
        <v>0.32979356887653832</v>
      </c>
      <c r="W880" s="35">
        <f xml:space="preserve"> IF( tblFilterAll[[#This Row],[Operating Margin (SHL)]] &lt; V$825, 4, IF( tblFilterAll[[#This Row],[Operating Margin (SHL)]] &lt; V$826, 3, IF( tblFilterAll[[#This Row],[Operating Margin (SHL)]] &lt; V$827, 2, 1 ) ) )</f>
        <v>1</v>
      </c>
      <c r="X880" s="35">
        <f xml:space="preserve"> COUNTIFS( tblFilterAll[Include in output], 1, tblFilterAll[Operating Margin (SHL)], "&gt;" &amp; tblFilterAll[[#This Row],[Operating Margin (SHL)]] ) + 1</f>
        <v>18</v>
      </c>
      <c r="Y880" s="30" cm="1">
        <f t="array" ref="Y880" xml:space="preserve"> INDEX( VfM_Metrics_2023_Consol_Source[], $AK880, Y$832 )</f>
        <v>0.30226519831676962</v>
      </c>
      <c r="Z880" s="35">
        <f xml:space="preserve"> IF( tblFilterAll[[#This Row],[Operating Margin (Overall)]] &lt; Y$825, 4, IF( tblFilterAll[[#This Row],[Operating Margin (Overall)]] &lt; Y$826, 3, IF( tblFilterAll[[#This Row],[Operating Margin (Overall)]] &lt; Y$827, 2, 1 ) ) )</f>
        <v>1</v>
      </c>
      <c r="AA880" s="35">
        <f xml:space="preserve"> COUNTIFS( tblFilterAll[Include in output], 1, tblFilterAll[Operating Margin (Overall)], "&gt;" &amp; tblFilterAll[[#This Row],[Operating Margin (Overall)]] ) + 1</f>
        <v>16</v>
      </c>
      <c r="AB880" s="30" cm="1">
        <f t="array" ref="AB880" xml:space="preserve"> INDEX( VfM_Metrics_2023_Consol_Source[], $AK880, AB$832 )</f>
        <v>4.0944166038405248E-2</v>
      </c>
      <c r="AC880" s="35">
        <f xml:space="preserve"> IF( tblFilterAll[[#This Row],[ROCE]] &lt; AB$825, 4, IF( tblFilterAll[[#This Row],[ROCE]] &lt; AB$826, 3, IF( tblFilterAll[[#This Row],[ROCE]] &lt; AB$827, 2, 1 ) ) )</f>
        <v>1</v>
      </c>
      <c r="AD880" s="35">
        <f xml:space="preserve"> COUNTIFS( tblFilterAll[Include in output], 1, tblFilterAll[ROCE], "&gt;" &amp; tblFilterAll[[#This Row],[ROCE]] ) + 1</f>
        <v>26</v>
      </c>
      <c r="AE880" s="33" cm="1" vm="1266">
        <f t="array" ref="AE880" xml:space="preserve"> INDEX( VfM_Metrics_2023_Consol_Source[], $AK880, AE$832 )</f>
        <v>1823</v>
      </c>
      <c r="AF880" s="30" cm="1">
        <f t="array" ref="AF880" xml:space="preserve"> INDEX( VfM_Metrics_2023_Consol_Source[], $AK880, AF$832 )</f>
        <v>4.4628099173553717E-2</v>
      </c>
      <c r="AG880" s="30" cm="1">
        <f t="array" ref="AG880" xml:space="preserve"> INDEX( VfM_Metrics_2023_Consol_Source[], $AK880, AG$832 )</f>
        <v>3.7465564738292011E-2</v>
      </c>
      <c r="AH880" s="30" cm="1">
        <f t="array" ref="AH880" xml:space="preserve"> INDEX( VfM_Metrics_2023_Consol_Source[], $AK880, AH$832 )</f>
        <v>8.2093663911845721E-2</v>
      </c>
      <c r="AI880" s="30" t="str" cm="1">
        <f t="array" ref="AI880" xml:space="preserve"> INDEX( VfM_Metrics_2023_Consol_Source[], $AK880, AI$832 )</f>
        <v>Traditional</v>
      </c>
      <c r="AJ880" s="34" t="str" cm="1">
        <f t="array" ref="AJ880" xml:space="preserve"> INDEX( VfM_Metrics_2023_Consol_Source[], $AK880, AJ$832 )</f>
        <v>North West</v>
      </c>
      <c r="AK880" s="81">
        <f xml:space="preserve"> MATCH( tblFilterAll[[#This Row],[Code]], VfM_Metrics_2023_Consol_Source[RP_Code], 0 )</f>
        <v>47</v>
      </c>
      <c r="AL880" s="24">
        <f xml:space="preserve"> INDEX( tblFilterRegion[Include for region],  MATCH( tblFilterAll[[#This Row],[Code]], tblFilterRegion[RP_Code], 0 ) )</f>
        <v>1</v>
      </c>
      <c r="AM880" s="24">
        <f xml:space="preserve"> INDEX( tblFilterPropType[Incl for prop type],  MATCH( tblFilterAll[[#This Row],[Code]], tblFilterPropType[RP_Code], 0 ) )</f>
        <v>1</v>
      </c>
      <c r="AN880" s="24">
        <f xml:space="preserve"> INDEX( tblFilterSize[Incl for size],  MATCH( tblFilterAll[[#This Row],[Code]], tblFilterSize[RP_Code], 0 ) )</f>
        <v>1</v>
      </c>
      <c r="AO880" s="24">
        <f xml:space="preserve"> INDEX( tblFilterRP_Type[Incl, for RP Type],  MATCH( tblFilterAll[[#This Row],[Code]], tblFilterRP_Type[RP_Code], 0 ) )</f>
        <v>1</v>
      </c>
      <c r="AP880" s="24">
        <f xml:space="preserve">  -- ( SUM( tblFilterAll[[#This Row],[Filter Region]:[Filter RP Type]] ) = 4 )</f>
        <v>1</v>
      </c>
      <c r="AQ880" s="24">
        <f xml:space="preserve"> -- ( tblFilterAll[[#This Row],[Provider name]] = SelectedProvider )</f>
        <v>0</v>
      </c>
      <c r="AR880" s="24">
        <f xml:space="preserve">  -- ( OR( SUM( tblFilterAll[[#This Row],[Filter Region]:[Filter RP Type]] ) = 4, tblFilterAll[[#This Row],[SelectedProvider]] = 1 ) )</f>
        <v>1</v>
      </c>
      <c r="AS880" s="24">
        <f xml:space="preserve"> -- ( INDEX( PeersCritera[Included in final peers], MATCH( tblFilterAll[[#This Row],[Provider name]], PeersCritera[RP_Name], 0 ) ) = 1 )</f>
        <v>1</v>
      </c>
      <c r="AT880" s="30" t="str" cm="1">
        <f t="array" ref="AT880" xml:space="preserve"> SUBSTITUTE( INDEX( VfM_Metrics_2023_Consol_Source[], $AK880, AT$832 ), 0, "" )</f>
        <v>&gt;= 12 years</v>
      </c>
      <c r="AU880" s="34" cm="1">
        <f t="array" ref="AU880" xml:space="preserve"> INDEX( VfM_Metrics_2023_Consol_Source[], $AK880, AU$832 )</f>
        <v>0</v>
      </c>
      <c r="AV880" s="34" cm="1">
        <f t="array" ref="AV880" xml:space="preserve"> INDEX( VfM_Metrics_2023_Consol_Source[], $AK880, AV$832 )</f>
        <v>0</v>
      </c>
      <c r="AW880" s="34" cm="1">
        <f t="array" ref="AW880" xml:space="preserve"> INDEX( VfM_Metrics_2023_Consol_Source[], $AK880, AW$832 )</f>
        <v>0</v>
      </c>
      <c r="AX880" s="34" cm="1">
        <f t="array" ref="AX880" xml:space="preserve"> INDEX( VfM_Metrics_2023_Consol_Source[], $AK880, AX$832 )</f>
        <v>0</v>
      </c>
      <c r="AY880" s="34" cm="1">
        <f t="array" ref="AY880" xml:space="preserve"> INDEX( VfM_Metrics_2023_Consol_Source[], $AK880, AY$832 )</f>
        <v>0</v>
      </c>
      <c r="AZ880" s="34" cm="1">
        <f t="array" ref="AZ880" xml:space="preserve"> INDEX( VfM_Metrics_2023_Consol_Source[], $AK880, AZ$832 )</f>
        <v>0</v>
      </c>
      <c r="BA880" s="34" cm="1">
        <f t="array" ref="BA880" xml:space="preserve"> INDEX( VfM_Metrics_2023_Consol_Source[], $AK880, BA$832 )</f>
        <v>0</v>
      </c>
      <c r="BB880" s="34" cm="1">
        <f t="array" ref="BB880" xml:space="preserve"> INDEX( VfM_Metrics_2023_Consol_Source[], $AK880, BB$832 )</f>
        <v>1</v>
      </c>
      <c r="BC880" s="34" cm="1">
        <f t="array" ref="BC880" xml:space="preserve"> INDEX( VfM_Metrics_2023_Consol_Source[], $AK880, BC$832 )</f>
        <v>0</v>
      </c>
    </row>
    <row r="881" spans="2:55" x14ac:dyDescent="0.2">
      <c r="B881" s="122" t="str" vm="48">
        <f t="shared" ref="B881" si="383" xml:space="preserve"> B671</f>
        <v>Empowering People Inspiring Communities Limited</v>
      </c>
      <c r="C881" s="122" t="str" vm="237">
        <f t="shared" si="368"/>
        <v>L4167</v>
      </c>
      <c r="D881" s="30" cm="1">
        <f t="array" ref="D881" xml:space="preserve"> INDEX( VfM_Metrics_2023_Consol_Source[], $AK881, D$832 )</f>
        <v>1.2840644815043035E-2</v>
      </c>
      <c r="E881" s="35">
        <f xml:space="preserve"> IF( tblFilterAll[[#This Row],[Reinvestment]] &lt; D$825, 4, IF( tblFilterAll[[#This Row],[Reinvestment]] &lt; D$826, 3, IF( tblFilterAll[[#This Row],[Reinvestment]] &lt; D$827, 2, 1 ) ) )</f>
        <v>4</v>
      </c>
      <c r="F881" s="35">
        <f xml:space="preserve"> COUNTIFS( tblFilterAll[Include in output], 1, tblFilterAll[Reinvestment], "&gt;" &amp; tblFilterAll[[#This Row],[Reinvestment]] ) + 1</f>
        <v>195</v>
      </c>
      <c r="G881" s="30" cm="1">
        <f t="array" ref="G881" xml:space="preserve"> INDEX( VfM_Metrics_2023_Consol_Source[], $AK881, G$832 )</f>
        <v>0</v>
      </c>
      <c r="H881" s="35">
        <f xml:space="preserve"> IF( tblFilterAll[[#This Row],[New Supply (Social)]] &lt; G$825, 4, IF( tblFilterAll[[#This Row],[New Supply (Social)]] &lt; G$826, 3, IF( tblFilterAll[[#This Row],[New Supply (Social)]] &lt; G$827, 2, 1 ) ) )</f>
        <v>4</v>
      </c>
      <c r="I881" s="35">
        <f xml:space="preserve"> COUNTIFS( tblFilterAll[Include in output], 1, tblFilterAll[New Supply (Social)], "&gt;" &amp; tblFilterAll[[#This Row],[New Supply (Social)]] ) + 1</f>
        <v>187</v>
      </c>
      <c r="J881" s="31" cm="1">
        <f t="array" ref="J881" xml:space="preserve"> INDEX( VfM_Metrics_2023_Consol_Source[], $AK881, J$832 )</f>
        <v>0</v>
      </c>
      <c r="K881" s="35">
        <f xml:space="preserve"> IF( tblFilterAll[[#This Row],[New Supply (Non-Social)]] &lt; J$825, 4, IF( tblFilterAll[[#This Row],[New Supply (Non-Social)]] &lt; J$826, 3, IF( tblFilterAll[[#This Row],[New Supply (Non-Social)]] &lt; J$827, 2, 1 ) ) )</f>
        <v>2</v>
      </c>
      <c r="L881" s="35">
        <f xml:space="preserve"> COUNTIFS( tblFilterAll[Include in output], 1, tblFilterAll[New Supply (Non-Social)], "&gt;" &amp; tblFilterAll[[#This Row],[New Supply (Non-Social)]] ) + 1</f>
        <v>72</v>
      </c>
      <c r="M881" s="30" cm="1">
        <f t="array" ref="M881" xml:space="preserve"> INDEX( VfM_Metrics_2023_Consol_Source[], $AK881, M$832 )</f>
        <v>0.2792939633067642</v>
      </c>
      <c r="N881" s="35">
        <f xml:space="preserve"> IF( tblFilterAll[[#This Row],[Gearing]] &lt; M$825, 4, IF( tblFilterAll[[#This Row],[Gearing]] &lt; M$826, 3, IF( tblFilterAll[[#This Row],[Gearing]] &lt; M$827, 2, 1 ) ) )</f>
        <v>4</v>
      </c>
      <c r="O881" s="35">
        <f xml:space="preserve"> COUNTIFS( tblFilterAll[Include in output], 1, tblFilterAll[Gearing], "&gt;" &amp; tblFilterAll[[#This Row],[Gearing]] ) + 1</f>
        <v>164</v>
      </c>
      <c r="P881" s="30" cm="1">
        <f t="array" ref="P881" xml:space="preserve"> INDEX( VfM_Metrics_2023_Consol_Source[], $AK881, P$832 )</f>
        <v>1.927063339731286</v>
      </c>
      <c r="Q881" s="35">
        <f xml:space="preserve"> IF( tblFilterAll[[#This Row],[EBITDA MRI Interest Cover]] &lt; P$825, 4, IF( tblFilterAll[[#This Row],[EBITDA MRI Interest Cover]] &lt; P$826, 3, IF( tblFilterAll[[#This Row],[EBITDA MRI Interest Cover]] &lt; P$827, 2, 1 ) ) )</f>
        <v>1</v>
      </c>
      <c r="R881" s="35">
        <f xml:space="preserve"> COUNTIFS( tblFilterAll[Include in output], 1, tblFilterAll[EBITDA MRI Interest Cover], "&gt;" &amp; tblFilterAll[[#This Row],[EBITDA MRI Interest Cover]] ) + 1</f>
        <v>32</v>
      </c>
      <c r="S881" s="32" cm="1">
        <f t="array" ref="S881" xml:space="preserve"> INDEX( VfM_Metrics_2023_Consol_Source[], $AK881, S$832 )</f>
        <v>3271.8096611391493</v>
      </c>
      <c r="T881" s="35">
        <f xml:space="preserve"> IF( tblFilterAll[[#This Row],[Headline Social Housing Cost per unit]] &lt; S$825, 4, IF( tblFilterAll[[#This Row],[Headline Social Housing Cost per unit]] &lt; S$826, 3, IF( tblFilterAll[[#This Row],[Headline Social Housing Cost per unit]] &lt; S$827, 2, 1 ) ) )</f>
        <v>4</v>
      </c>
      <c r="U881" s="35">
        <f xml:space="preserve"> COUNTIFS( tblFilterAll[Include in output], 1, tblFilterAll[Headline Social Housing Cost per unit], "&gt;" &amp; tblFilterAll[[#This Row],[Headline Social Housing Cost per unit]] ) + 1</f>
        <v>195</v>
      </c>
      <c r="V881" s="30" cm="1">
        <f t="array" ref="V881" xml:space="preserve"> INDEX( VfM_Metrics_2023_Consol_Source[], $AK881, V$832 )</f>
        <v>0.11497466363795213</v>
      </c>
      <c r="W881" s="35">
        <f xml:space="preserve"> IF( tblFilterAll[[#This Row],[Operating Margin (SHL)]] &lt; V$825, 4, IF( tblFilterAll[[#This Row],[Operating Margin (SHL)]] &lt; V$826, 3, IF( tblFilterAll[[#This Row],[Operating Margin (SHL)]] &lt; V$827, 2, 1 ) ) )</f>
        <v>4</v>
      </c>
      <c r="X881" s="35">
        <f xml:space="preserve"> COUNTIFS( tblFilterAll[Include in output], 1, tblFilterAll[Operating Margin (SHL)], "&gt;" &amp; tblFilterAll[[#This Row],[Operating Margin (SHL)]] ) + 1</f>
        <v>165</v>
      </c>
      <c r="Y881" s="30" cm="1">
        <f t="array" ref="Y881" xml:space="preserve"> INDEX( VfM_Metrics_2023_Consol_Source[], $AK881, Y$832 )</f>
        <v>0.11481999300943727</v>
      </c>
      <c r="Z881" s="35">
        <f xml:space="preserve"> IF( tblFilterAll[[#This Row],[Operating Margin (Overall)]] &lt; Y$825, 4, IF( tblFilterAll[[#This Row],[Operating Margin (Overall)]] &lt; Y$826, 3, IF( tblFilterAll[[#This Row],[Operating Margin (Overall)]] &lt; Y$827, 2, 1 ) ) )</f>
        <v>4</v>
      </c>
      <c r="AA881" s="35">
        <f xml:space="preserve"> COUNTIFS( tblFilterAll[Include in output], 1, tblFilterAll[Operating Margin (Overall)], "&gt;" &amp; tblFilterAll[[#This Row],[Operating Margin (Overall)]] ) + 1</f>
        <v>152</v>
      </c>
      <c r="AB881" s="30" cm="1">
        <f t="array" ref="AB881" xml:space="preserve"> INDEX( VfM_Metrics_2023_Consol_Source[], $AK881, AB$832 )</f>
        <v>1.5216734632230781E-2</v>
      </c>
      <c r="AC881" s="35">
        <f xml:space="preserve"> IF( tblFilterAll[[#This Row],[ROCE]] &lt; AB$825, 4, IF( tblFilterAll[[#This Row],[ROCE]] &lt; AB$826, 3, IF( tblFilterAll[[#This Row],[ROCE]] &lt; AB$827, 2, 1 ) ) )</f>
        <v>4</v>
      </c>
      <c r="AD881" s="35">
        <f xml:space="preserve"> COUNTIFS( tblFilterAll[Include in output], 1, tblFilterAll[ROCE], "&gt;" &amp; tblFilterAll[[#This Row],[ROCE]] ) + 1</f>
        <v>181</v>
      </c>
      <c r="AE881" s="33" cm="1" vm="8435">
        <f t="array" ref="AE881" xml:space="preserve"> INDEX( VfM_Metrics_2023_Consol_Source[], $AK881, AE$832 )</f>
        <v>1387</v>
      </c>
      <c r="AF881" s="30" cm="1">
        <f t="array" ref="AF881" xml:space="preserve"> INDEX( VfM_Metrics_2023_Consol_Source[], $AK881, AF$832 )</f>
        <v>1.4450867052023121E-2</v>
      </c>
      <c r="AG881" s="30" cm="1">
        <f t="array" ref="AG881" xml:space="preserve"> INDEX( VfM_Metrics_2023_Consol_Source[], $AK881, AG$832 )</f>
        <v>0</v>
      </c>
      <c r="AH881" s="30" cm="1">
        <f t="array" ref="AH881" xml:space="preserve"> INDEX( VfM_Metrics_2023_Consol_Source[], $AK881, AH$832 )</f>
        <v>1.4450867052023121E-2</v>
      </c>
      <c r="AI881" s="30" t="str" cm="1">
        <f t="array" ref="AI881" xml:space="preserve"> INDEX( VfM_Metrics_2023_Consol_Source[], $AK881, AI$832 )</f>
        <v>Traditional</v>
      </c>
      <c r="AJ881" s="34" t="str" cm="1">
        <f t="array" ref="AJ881" xml:space="preserve"> INDEX( VfM_Metrics_2023_Consol_Source[], $AK881, AJ$832 )</f>
        <v>West Midlands</v>
      </c>
      <c r="AK881" s="81">
        <f xml:space="preserve"> MATCH( tblFilterAll[[#This Row],[Code]], VfM_Metrics_2023_Consol_Source[RP_Code], 0 )</f>
        <v>48</v>
      </c>
      <c r="AL881" s="24">
        <f xml:space="preserve"> INDEX( tblFilterRegion[Include for region],  MATCH( tblFilterAll[[#This Row],[Code]], tblFilterRegion[RP_Code], 0 ) )</f>
        <v>1</v>
      </c>
      <c r="AM881" s="24">
        <f xml:space="preserve"> INDEX( tblFilterPropType[Incl for prop type],  MATCH( tblFilterAll[[#This Row],[Code]], tblFilterPropType[RP_Code], 0 ) )</f>
        <v>1</v>
      </c>
      <c r="AN881" s="24">
        <f xml:space="preserve"> INDEX( tblFilterSize[Incl for size],  MATCH( tblFilterAll[[#This Row],[Code]], tblFilterSize[RP_Code], 0 ) )</f>
        <v>1</v>
      </c>
      <c r="AO881" s="24">
        <f xml:space="preserve"> INDEX( tblFilterRP_Type[Incl, for RP Type],  MATCH( tblFilterAll[[#This Row],[Code]], tblFilterRP_Type[RP_Code], 0 ) )</f>
        <v>1</v>
      </c>
      <c r="AP881" s="24">
        <f xml:space="preserve">  -- ( SUM( tblFilterAll[[#This Row],[Filter Region]:[Filter RP Type]] ) = 4 )</f>
        <v>1</v>
      </c>
      <c r="AQ881" s="24">
        <f xml:space="preserve"> -- ( tblFilterAll[[#This Row],[Provider name]] = SelectedProvider )</f>
        <v>0</v>
      </c>
      <c r="AR881" s="24">
        <f xml:space="preserve">  -- ( OR( SUM( tblFilterAll[[#This Row],[Filter Region]:[Filter RP Type]] ) = 4, tblFilterAll[[#This Row],[SelectedProvider]] = 1 ) )</f>
        <v>1</v>
      </c>
      <c r="AS881" s="24">
        <f xml:space="preserve"> -- ( INDEX( PeersCritera[Included in final peers], MATCH( tblFilterAll[[#This Row],[Provider name]], PeersCritera[RP_Name], 0 ) ) = 1 )</f>
        <v>1</v>
      </c>
      <c r="AT881" s="30" t="str" cm="1">
        <f t="array" ref="AT881" xml:space="preserve"> SUBSTITUTE( INDEX( VfM_Metrics_2023_Consol_Source[], $AK881, AT$832 ), 0, "" )</f>
        <v>&gt;= 12 years</v>
      </c>
      <c r="AU881" s="34" cm="1">
        <f t="array" ref="AU881" xml:space="preserve"> INDEX( VfM_Metrics_2023_Consol_Source[], $AK881, AU$832 )</f>
        <v>0</v>
      </c>
      <c r="AV881" s="34" cm="1">
        <f t="array" ref="AV881" xml:space="preserve"> INDEX( VfM_Metrics_2023_Consol_Source[], $AK881, AV$832 )</f>
        <v>0</v>
      </c>
      <c r="AW881" s="34" cm="1">
        <f t="array" ref="AW881" xml:space="preserve"> INDEX( VfM_Metrics_2023_Consol_Source[], $AK881, AW$832 )</f>
        <v>0</v>
      </c>
      <c r="AX881" s="34" cm="1">
        <f t="array" ref="AX881" xml:space="preserve"> INDEX( VfM_Metrics_2023_Consol_Source[], $AK881, AX$832 )</f>
        <v>0</v>
      </c>
      <c r="AY881" s="34" cm="1">
        <f t="array" ref="AY881" xml:space="preserve"> INDEX( VfM_Metrics_2023_Consol_Source[], $AK881, AY$832 )</f>
        <v>1</v>
      </c>
      <c r="AZ881" s="34" cm="1">
        <f t="array" ref="AZ881" xml:space="preserve"> INDEX( VfM_Metrics_2023_Consol_Source[], $AK881, AZ$832 )</f>
        <v>0</v>
      </c>
      <c r="BA881" s="34" cm="1">
        <f t="array" ref="BA881" xml:space="preserve"> INDEX( VfM_Metrics_2023_Consol_Source[], $AK881, BA$832 )</f>
        <v>0</v>
      </c>
      <c r="BB881" s="34" cm="1">
        <f t="array" ref="BB881" xml:space="preserve"> INDEX( VfM_Metrics_2023_Consol_Source[], $AK881, BB$832 )</f>
        <v>0</v>
      </c>
      <c r="BC881" s="34" cm="1">
        <f t="array" ref="BC881" xml:space="preserve"> INDEX( VfM_Metrics_2023_Consol_Source[], $AK881, BC$832 )</f>
        <v>0</v>
      </c>
    </row>
    <row r="882" spans="2:55" x14ac:dyDescent="0.2">
      <c r="B882" s="122" t="str" vm="49">
        <f t="shared" ref="B882" si="384" xml:space="preserve"> B672</f>
        <v>English Rural Housing Association Limited</v>
      </c>
      <c r="C882" s="122" t="str" vm="234">
        <f t="shared" si="368"/>
        <v>L4004</v>
      </c>
      <c r="D882" s="30" cm="1">
        <f t="array" ref="D882" xml:space="preserve"> INDEX( VfM_Metrics_2023_Consol_Source[], $AK882, D$832 )</f>
        <v>7.2708878351863959E-2</v>
      </c>
      <c r="E882" s="35">
        <f xml:space="preserve"> IF( tblFilterAll[[#This Row],[Reinvestment]] &lt; D$825, 4, IF( tblFilterAll[[#This Row],[Reinvestment]] &lt; D$826, 3, IF( tblFilterAll[[#This Row],[Reinvestment]] &lt; D$827, 2, 1 ) ) )</f>
        <v>2</v>
      </c>
      <c r="F882" s="35">
        <f xml:space="preserve"> COUNTIFS( tblFilterAll[Include in output], 1, tblFilterAll[Reinvestment], "&gt;" &amp; tblFilterAll[[#This Row],[Reinvestment]] ) + 1</f>
        <v>88</v>
      </c>
      <c r="G882" s="30" cm="1">
        <f t="array" ref="G882" xml:space="preserve"> INDEX( VfM_Metrics_2023_Consol_Source[], $AK882, G$832 )</f>
        <v>1.2658227848101266E-2</v>
      </c>
      <c r="H882" s="35">
        <f xml:space="preserve"> IF( tblFilterAll[[#This Row],[New Supply (Social)]] &lt; G$825, 4, IF( tblFilterAll[[#This Row],[New Supply (Social)]] &lt; G$826, 3, IF( tblFilterAll[[#This Row],[New Supply (Social)]] &lt; G$827, 2, 1 ) ) )</f>
        <v>3</v>
      </c>
      <c r="I882" s="35">
        <f xml:space="preserve"> COUNTIFS( tblFilterAll[Include in output], 1, tblFilterAll[New Supply (Social)], "&gt;" &amp; tblFilterAll[[#This Row],[New Supply (Social)]] ) + 1</f>
        <v>102</v>
      </c>
      <c r="J882" s="31" cm="1">
        <f t="array" ref="J882" xml:space="preserve"> INDEX( VfM_Metrics_2023_Consol_Source[], $AK882, J$832 )</f>
        <v>1.4892032762472078E-3</v>
      </c>
      <c r="K882" s="35">
        <f xml:space="preserve"> IF( tblFilterAll[[#This Row],[New Supply (Non-Social)]] &lt; J$825, 4, IF( tblFilterAll[[#This Row],[New Supply (Non-Social)]] &lt; J$826, 3, IF( tblFilterAll[[#This Row],[New Supply (Non-Social)]] &lt; J$827, 2, 1 ) ) )</f>
        <v>1</v>
      </c>
      <c r="L882" s="35">
        <f xml:space="preserve"> COUNTIFS( tblFilterAll[Include in output], 1, tblFilterAll[New Supply (Non-Social)], "&gt;" &amp; tblFilterAll[[#This Row],[New Supply (Non-Social)]] ) + 1</f>
        <v>38</v>
      </c>
      <c r="M882" s="30" cm="1">
        <f t="array" ref="M882" xml:space="preserve"> INDEX( VfM_Metrics_2023_Consol_Source[], $AK882, M$832 )</f>
        <v>0.34692813930673644</v>
      </c>
      <c r="N882" s="35">
        <f xml:space="preserve"> IF( tblFilterAll[[#This Row],[Gearing]] &lt; M$825, 4, IF( tblFilterAll[[#This Row],[Gearing]] &lt; M$826, 3, IF( tblFilterAll[[#This Row],[Gearing]] &lt; M$827, 2, 1 ) ) )</f>
        <v>3</v>
      </c>
      <c r="O882" s="35">
        <f xml:space="preserve"> COUNTIFS( tblFilterAll[Include in output], 1, tblFilterAll[Gearing], "&gt;" &amp; tblFilterAll[[#This Row],[Gearing]] ) + 1</f>
        <v>144</v>
      </c>
      <c r="P882" s="30" cm="1">
        <f t="array" ref="P882" xml:space="preserve"> INDEX( VfM_Metrics_2023_Consol_Source[], $AK882, P$832 )</f>
        <v>1.8363903154805576</v>
      </c>
      <c r="Q882" s="35">
        <f xml:space="preserve"> IF( tblFilterAll[[#This Row],[EBITDA MRI Interest Cover]] &lt; P$825, 4, IF( tblFilterAll[[#This Row],[EBITDA MRI Interest Cover]] &lt; P$826, 3, IF( tblFilterAll[[#This Row],[EBITDA MRI Interest Cover]] &lt; P$827, 2, 1 ) ) )</f>
        <v>1</v>
      </c>
      <c r="R882" s="35">
        <f xml:space="preserve"> COUNTIFS( tblFilterAll[Include in output], 1, tblFilterAll[EBITDA MRI Interest Cover], "&gt;" &amp; tblFilterAll[[#This Row],[EBITDA MRI Interest Cover]] ) + 1</f>
        <v>41</v>
      </c>
      <c r="S882" s="32" cm="1">
        <f t="array" ref="S882" xml:space="preserve"> INDEX( VfM_Metrics_2023_Consol_Source[], $AK882, S$832 )</f>
        <v>3644.3949517446176</v>
      </c>
      <c r="T882" s="35">
        <f xml:space="preserve"> IF( tblFilterAll[[#This Row],[Headline Social Housing Cost per unit]] &lt; S$825, 4, IF( tblFilterAll[[#This Row],[Headline Social Housing Cost per unit]] &lt; S$826, 3, IF( tblFilterAll[[#This Row],[Headline Social Housing Cost per unit]] &lt; S$827, 2, 1 ) ) )</f>
        <v>4</v>
      </c>
      <c r="U882" s="35">
        <f xml:space="preserve"> COUNTIFS( tblFilterAll[Include in output], 1, tblFilterAll[Headline Social Housing Cost per unit], "&gt;" &amp; tblFilterAll[[#This Row],[Headline Social Housing Cost per unit]] ) + 1</f>
        <v>187</v>
      </c>
      <c r="V882" s="30" cm="1">
        <f t="array" ref="V882" xml:space="preserve"> INDEX( VfM_Metrics_2023_Consol_Source[], $AK882, V$832 )</f>
        <v>0.21443298969072164</v>
      </c>
      <c r="W882" s="35">
        <f xml:space="preserve"> IF( tblFilterAll[[#This Row],[Operating Margin (SHL)]] &lt; V$825, 4, IF( tblFilterAll[[#This Row],[Operating Margin (SHL)]] &lt; V$826, 3, IF( tblFilterAll[[#This Row],[Operating Margin (SHL)]] &lt; V$827, 2, 1 ) ) )</f>
        <v>2</v>
      </c>
      <c r="X882" s="35">
        <f xml:space="preserve"> COUNTIFS( tblFilterAll[Include in output], 1, tblFilterAll[Operating Margin (SHL)], "&gt;" &amp; tblFilterAll[[#This Row],[Operating Margin (SHL)]] ) + 1</f>
        <v>85</v>
      </c>
      <c r="Y882" s="30" cm="1">
        <f t="array" ref="Y882" xml:space="preserve"> INDEX( VfM_Metrics_2023_Consol_Source[], $AK882, Y$832 )</f>
        <v>0.2211699164345404</v>
      </c>
      <c r="Z882" s="35">
        <f xml:space="preserve"> IF( tblFilterAll[[#This Row],[Operating Margin (Overall)]] &lt; Y$825, 4, IF( tblFilterAll[[#This Row],[Operating Margin (Overall)]] &lt; Y$826, 3, IF( tblFilterAll[[#This Row],[Operating Margin (Overall)]] &lt; Y$827, 2, 1 ) ) )</f>
        <v>2</v>
      </c>
      <c r="AA882" s="35">
        <f xml:space="preserve"> COUNTIFS( tblFilterAll[Include in output], 1, tblFilterAll[Operating Margin (Overall)], "&gt;" &amp; tblFilterAll[[#This Row],[Operating Margin (Overall)]] ) + 1</f>
        <v>63</v>
      </c>
      <c r="AB882" s="30" cm="1">
        <f t="array" ref="AB882" xml:space="preserve"> INDEX( VfM_Metrics_2023_Consol_Source[], $AK882, AB$832 )</f>
        <v>2.4493184113934811E-2</v>
      </c>
      <c r="AC882" s="35">
        <f xml:space="preserve"> IF( tblFilterAll[[#This Row],[ROCE]] &lt; AB$825, 4, IF( tblFilterAll[[#This Row],[ROCE]] &lt; AB$826, 3, IF( tblFilterAll[[#This Row],[ROCE]] &lt; AB$827, 2, 1 ) ) )</f>
        <v>3</v>
      </c>
      <c r="AD882" s="35">
        <f xml:space="preserve"> COUNTIFS( tblFilterAll[Include in output], 1, tblFilterAll[ROCE], "&gt;" &amp; tblFilterAll[[#This Row],[ROCE]] ) + 1</f>
        <v>131</v>
      </c>
      <c r="AE882" s="33" cm="1" vm="8419">
        <f t="array" ref="AE882" xml:space="preserve"> INDEX( VfM_Metrics_2023_Consol_Source[], $AK882, AE$832 )</f>
        <v>1343</v>
      </c>
      <c r="AF882" s="30" cm="1">
        <f t="array" ref="AF882" xml:space="preserve"> INDEX( VfM_Metrics_2023_Consol_Source[], $AK882, AF$832 )</f>
        <v>0</v>
      </c>
      <c r="AG882" s="30" cm="1">
        <f t="array" ref="AG882" xml:space="preserve"> INDEX( VfM_Metrics_2023_Consol_Source[], $AK882, AG$832 )</f>
        <v>0</v>
      </c>
      <c r="AH882" s="30" cm="1">
        <f t="array" ref="AH882" xml:space="preserve"> INDEX( VfM_Metrics_2023_Consol_Source[], $AK882, AH$832 )</f>
        <v>0</v>
      </c>
      <c r="AI882" s="30" t="str" cm="1">
        <f t="array" ref="AI882" xml:space="preserve"> INDEX( VfM_Metrics_2023_Consol_Source[], $AK882, AI$832 )</f>
        <v>Traditional</v>
      </c>
      <c r="AJ882" s="34" t="str" cm="1">
        <f t="array" ref="AJ882" xml:space="preserve"> INDEX( VfM_Metrics_2023_Consol_Source[], $AK882, AJ$832 )</f>
        <v>South East</v>
      </c>
      <c r="AK882" s="81">
        <f xml:space="preserve"> MATCH( tblFilterAll[[#This Row],[Code]], VfM_Metrics_2023_Consol_Source[RP_Code], 0 )</f>
        <v>49</v>
      </c>
      <c r="AL882" s="24">
        <f xml:space="preserve"> INDEX( tblFilterRegion[Include for region],  MATCH( tblFilterAll[[#This Row],[Code]], tblFilterRegion[RP_Code], 0 ) )</f>
        <v>1</v>
      </c>
      <c r="AM882" s="24">
        <f xml:space="preserve"> INDEX( tblFilterPropType[Incl for prop type],  MATCH( tblFilterAll[[#This Row],[Code]], tblFilterPropType[RP_Code], 0 ) )</f>
        <v>1</v>
      </c>
      <c r="AN882" s="24">
        <f xml:space="preserve"> INDEX( tblFilterSize[Incl for size],  MATCH( tblFilterAll[[#This Row],[Code]], tblFilterSize[RP_Code], 0 ) )</f>
        <v>1</v>
      </c>
      <c r="AO882" s="24">
        <f xml:space="preserve"> INDEX( tblFilterRP_Type[Incl, for RP Type],  MATCH( tblFilterAll[[#This Row],[Code]], tblFilterRP_Type[RP_Code], 0 ) )</f>
        <v>1</v>
      </c>
      <c r="AP882" s="24">
        <f xml:space="preserve">  -- ( SUM( tblFilterAll[[#This Row],[Filter Region]:[Filter RP Type]] ) = 4 )</f>
        <v>1</v>
      </c>
      <c r="AQ882" s="24">
        <f xml:space="preserve"> -- ( tblFilterAll[[#This Row],[Provider name]] = SelectedProvider )</f>
        <v>0</v>
      </c>
      <c r="AR882" s="24">
        <f xml:space="preserve">  -- ( OR( SUM( tblFilterAll[[#This Row],[Filter Region]:[Filter RP Type]] ) = 4, tblFilterAll[[#This Row],[SelectedProvider]] = 1 ) )</f>
        <v>1</v>
      </c>
      <c r="AS882" s="24">
        <f xml:space="preserve"> -- ( INDEX( PeersCritera[Included in final peers], MATCH( tblFilterAll[[#This Row],[Provider name]], PeersCritera[RP_Name], 0 ) ) = 1 )</f>
        <v>1</v>
      </c>
      <c r="AT882" s="30" t="str" cm="1">
        <f t="array" ref="AT882" xml:space="preserve"> SUBSTITUTE( INDEX( VfM_Metrics_2023_Consol_Source[], $AK882, AT$832 ), 0, "" )</f>
        <v/>
      </c>
      <c r="AU882" s="34" cm="1">
        <f t="array" ref="AU882" xml:space="preserve"> INDEX( VfM_Metrics_2023_Consol_Source[], $AK882, AU$832 )</f>
        <v>0</v>
      </c>
      <c r="AV882" s="34" cm="1">
        <f t="array" ref="AV882" xml:space="preserve"> INDEX( VfM_Metrics_2023_Consol_Source[], $AK882, AV$832 )</f>
        <v>0.68950111690245719</v>
      </c>
      <c r="AW882" s="34" cm="1">
        <f t="array" ref="AW882" xml:space="preserve"> INDEX( VfM_Metrics_2023_Consol_Source[], $AK882, AW$832 )</f>
        <v>7.520476545048399E-2</v>
      </c>
      <c r="AX882" s="34" cm="1">
        <f t="array" ref="AX882" xml:space="preserve"> INDEX( VfM_Metrics_2023_Consol_Source[], $AK882, AX$832 )</f>
        <v>2.3082650781831721E-2</v>
      </c>
      <c r="AY882" s="34" cm="1">
        <f t="array" ref="AY882" xml:space="preserve"> INDEX( VfM_Metrics_2023_Consol_Source[], $AK882, AY$832 )</f>
        <v>0</v>
      </c>
      <c r="AZ882" s="34" cm="1">
        <f t="array" ref="AZ882" xml:space="preserve"> INDEX( VfM_Metrics_2023_Consol_Source[], $AK882, AZ$832 )</f>
        <v>0.2092330603127327</v>
      </c>
      <c r="BA882" s="34" cm="1">
        <f t="array" ref="BA882" xml:space="preserve"> INDEX( VfM_Metrics_2023_Consol_Source[], $AK882, BA$832 )</f>
        <v>0</v>
      </c>
      <c r="BB882" s="34" cm="1">
        <f t="array" ref="BB882" xml:space="preserve"> INDEX( VfM_Metrics_2023_Consol_Source[], $AK882, BB$832 )</f>
        <v>2.9784065524944155E-3</v>
      </c>
      <c r="BC882" s="34" cm="1">
        <f t="array" ref="BC882" xml:space="preserve"> INDEX( VfM_Metrics_2023_Consol_Source[], $AK882, BC$832 )</f>
        <v>0</v>
      </c>
    </row>
    <row r="883" spans="2:55" x14ac:dyDescent="0.2">
      <c r="B883" s="122" t="str" vm="50">
        <f t="shared" ref="B883" si="385" xml:space="preserve"> B673</f>
        <v>Estuary Housing Association Limited</v>
      </c>
      <c r="C883" s="122" t="str" vm="316">
        <f t="shared" si="368"/>
        <v>L3535</v>
      </c>
      <c r="D883" s="30" cm="1">
        <f t="array" ref="D883" xml:space="preserve"> INDEX( VfM_Metrics_2023_Consol_Source[], $AK883, D$832 )</f>
        <v>2.1829675975909568E-2</v>
      </c>
      <c r="E883" s="35">
        <f xml:space="preserve"> IF( tblFilterAll[[#This Row],[Reinvestment]] &lt; D$825, 4, IF( tblFilterAll[[#This Row],[Reinvestment]] &lt; D$826, 3, IF( tblFilterAll[[#This Row],[Reinvestment]] &lt; D$827, 2, 1 ) ) )</f>
        <v>4</v>
      </c>
      <c r="F883" s="35">
        <f xml:space="preserve"> COUNTIFS( tblFilterAll[Include in output], 1, tblFilterAll[Reinvestment], "&gt;" &amp; tblFilterAll[[#This Row],[Reinvestment]] ) + 1</f>
        <v>187</v>
      </c>
      <c r="G883" s="30" cm="1">
        <f t="array" ref="G883" xml:space="preserve"> INDEX( VfM_Metrics_2023_Consol_Source[], $AK883, G$832 )</f>
        <v>1.500808127453244E-2</v>
      </c>
      <c r="H883" s="35">
        <f xml:space="preserve"> IF( tblFilterAll[[#This Row],[New Supply (Social)]] &lt; G$825, 4, IF( tblFilterAll[[#This Row],[New Supply (Social)]] &lt; G$826, 3, IF( tblFilterAll[[#This Row],[New Supply (Social)]] &lt; G$827, 2, 1 ) ) )</f>
        <v>2</v>
      </c>
      <c r="I883" s="35">
        <f xml:space="preserve"> COUNTIFS( tblFilterAll[Include in output], 1, tblFilterAll[New Supply (Social)], "&gt;" &amp; tblFilterAll[[#This Row],[New Supply (Social)]] ) + 1</f>
        <v>82</v>
      </c>
      <c r="J883" s="31" cm="1">
        <f t="array" ref="J883" xml:space="preserve"> INDEX( VfM_Metrics_2023_Consol_Source[], $AK883, J$832 )</f>
        <v>0</v>
      </c>
      <c r="K883" s="35">
        <f xml:space="preserve"> IF( tblFilterAll[[#This Row],[New Supply (Non-Social)]] &lt; J$825, 4, IF( tblFilterAll[[#This Row],[New Supply (Non-Social)]] &lt; J$826, 3, IF( tblFilterAll[[#This Row],[New Supply (Non-Social)]] &lt; J$827, 2, 1 ) ) )</f>
        <v>2</v>
      </c>
      <c r="L883" s="35">
        <f xml:space="preserve"> COUNTIFS( tblFilterAll[Include in output], 1, tblFilterAll[New Supply (Non-Social)], "&gt;" &amp; tblFilterAll[[#This Row],[New Supply (Non-Social)]] ) + 1</f>
        <v>72</v>
      </c>
      <c r="M883" s="30" cm="1">
        <f t="array" ref="M883" xml:space="preserve"> INDEX( VfM_Metrics_2023_Consol_Source[], $AK883, M$832 )</f>
        <v>0.56296421556512355</v>
      </c>
      <c r="N883" s="35">
        <f xml:space="preserve"> IF( tblFilterAll[[#This Row],[Gearing]] &lt; M$825, 4, IF( tblFilterAll[[#This Row],[Gearing]] &lt; M$826, 3, IF( tblFilterAll[[#This Row],[Gearing]] &lt; M$827, 2, 1 ) ) )</f>
        <v>1</v>
      </c>
      <c r="O883" s="35">
        <f xml:space="preserve"> COUNTIFS( tblFilterAll[Include in output], 1, tblFilterAll[Gearing], "&gt;" &amp; tblFilterAll[[#This Row],[Gearing]] ) + 1</f>
        <v>39</v>
      </c>
      <c r="P883" s="30" cm="1">
        <f t="array" ref="P883" xml:space="preserve"> INDEX( VfM_Metrics_2023_Consol_Source[], $AK883, P$832 )</f>
        <v>1.1283107710417892</v>
      </c>
      <c r="Q883" s="35">
        <f xml:space="preserve"> IF( tblFilterAll[[#This Row],[EBITDA MRI Interest Cover]] &lt; P$825, 4, IF( tblFilterAll[[#This Row],[EBITDA MRI Interest Cover]] &lt; P$826, 3, IF( tblFilterAll[[#This Row],[EBITDA MRI Interest Cover]] &lt; P$827, 2, 1 ) ) )</f>
        <v>3</v>
      </c>
      <c r="R883" s="35">
        <f xml:space="preserve"> COUNTIFS( tblFilterAll[Include in output], 1, tblFilterAll[EBITDA MRI Interest Cover], "&gt;" &amp; tblFilterAll[[#This Row],[EBITDA MRI Interest Cover]] ) + 1</f>
        <v>121</v>
      </c>
      <c r="S883" s="32" cm="1">
        <f t="array" ref="S883" xml:space="preserve"> INDEX( VfM_Metrics_2023_Consol_Source[], $AK883, S$832 )</f>
        <v>5793.7788018433175</v>
      </c>
      <c r="T883" s="35">
        <f xml:space="preserve"> IF( tblFilterAll[[#This Row],[Headline Social Housing Cost per unit]] &lt; S$825, 4, IF( tblFilterAll[[#This Row],[Headline Social Housing Cost per unit]] &lt; S$826, 3, IF( tblFilterAll[[#This Row],[Headline Social Housing Cost per unit]] &lt; S$827, 2, 1 ) ) )</f>
        <v>2</v>
      </c>
      <c r="U883" s="35">
        <f xml:space="preserve"> COUNTIFS( tblFilterAll[Include in output], 1, tblFilterAll[Headline Social Housing Cost per unit], "&gt;" &amp; tblFilterAll[[#This Row],[Headline Social Housing Cost per unit]] ) + 1</f>
        <v>51</v>
      </c>
      <c r="V883" s="30" cm="1">
        <f t="array" ref="V883" xml:space="preserve"> INDEX( VfM_Metrics_2023_Consol_Source[], $AK883, V$832 )</f>
        <v>0.22539702992623137</v>
      </c>
      <c r="W883" s="35">
        <f xml:space="preserve"> IF( tblFilterAll[[#This Row],[Operating Margin (SHL)]] &lt; V$825, 4, IF( tblFilterAll[[#This Row],[Operating Margin (SHL)]] &lt; V$826, 3, IF( tblFilterAll[[#This Row],[Operating Margin (SHL)]] &lt; V$827, 2, 1 ) ) )</f>
        <v>2</v>
      </c>
      <c r="X883" s="35">
        <f xml:space="preserve"> COUNTIFS( tblFilterAll[Include in output], 1, tblFilterAll[Operating Margin (SHL)], "&gt;" &amp; tblFilterAll[[#This Row],[Operating Margin (SHL)]] ) + 1</f>
        <v>76</v>
      </c>
      <c r="Y883" s="30" cm="1">
        <f t="array" ref="Y883" xml:space="preserve"> INDEX( VfM_Metrics_2023_Consol_Source[], $AK883, Y$832 )</f>
        <v>0.1940772210421092</v>
      </c>
      <c r="Z883" s="35">
        <f xml:space="preserve"> IF( tblFilterAll[[#This Row],[Operating Margin (Overall)]] &lt; Y$825, 4, IF( tblFilterAll[[#This Row],[Operating Margin (Overall)]] &lt; Y$826, 3, IF( tblFilterAll[[#This Row],[Operating Margin (Overall)]] &lt; Y$827, 2, 1 ) ) )</f>
        <v>2</v>
      </c>
      <c r="AA883" s="35">
        <f xml:space="preserve"> COUNTIFS( tblFilterAll[Include in output], 1, tblFilterAll[Operating Margin (Overall)], "&gt;" &amp; tblFilterAll[[#This Row],[Operating Margin (Overall)]] ) + 1</f>
        <v>88</v>
      </c>
      <c r="AB883" s="30" cm="1">
        <f t="array" ref="AB883" xml:space="preserve"> INDEX( VfM_Metrics_2023_Consol_Source[], $AK883, AB$832 )</f>
        <v>2.0149464441853688E-2</v>
      </c>
      <c r="AC883" s="35">
        <f xml:space="preserve"> IF( tblFilterAll[[#This Row],[ROCE]] &lt; AB$825, 4, IF( tblFilterAll[[#This Row],[ROCE]] &lt; AB$826, 3, IF( tblFilterAll[[#This Row],[ROCE]] &lt; AB$827, 2, 1 ) ) )</f>
        <v>4</v>
      </c>
      <c r="AD883" s="35">
        <f xml:space="preserve"> COUNTIFS( tblFilterAll[Include in output], 1, tblFilterAll[ROCE], "&gt;" &amp; tblFilterAll[[#This Row],[ROCE]] ) + 1</f>
        <v>160</v>
      </c>
      <c r="AE883" s="33" cm="1" vm="3899">
        <f t="array" ref="AE883" xml:space="preserve"> INDEX( VfM_Metrics_2023_Consol_Source[], $AK883, AE$832 )</f>
        <v>4331</v>
      </c>
      <c r="AF883" s="30" cm="1">
        <f t="array" ref="AF883" xml:space="preserve"> INDEX( VfM_Metrics_2023_Consol_Source[], $AK883, AF$832 )</f>
        <v>2.333641404805915E-2</v>
      </c>
      <c r="AG883" s="30" cm="1">
        <f t="array" ref="AG883" xml:space="preserve"> INDEX( VfM_Metrics_2023_Consol_Source[], $AK883, AG$832 )</f>
        <v>1.8022181146025877E-2</v>
      </c>
      <c r="AH883" s="30" cm="1">
        <f t="array" ref="AH883" xml:space="preserve"> INDEX( VfM_Metrics_2023_Consol_Source[], $AK883, AH$832 )</f>
        <v>4.1358595194085024E-2</v>
      </c>
      <c r="AI883" s="30" t="str" cm="1">
        <f t="array" ref="AI883" xml:space="preserve"> INDEX( VfM_Metrics_2023_Consol_Source[], $AK883, AI$832 )</f>
        <v>Traditional</v>
      </c>
      <c r="AJ883" s="34" t="str" cm="1">
        <f t="array" ref="AJ883" xml:space="preserve"> INDEX( VfM_Metrics_2023_Consol_Source[], $AK883, AJ$832 )</f>
        <v>East of England</v>
      </c>
      <c r="AK883" s="81">
        <f xml:space="preserve"> MATCH( tblFilterAll[[#This Row],[Code]], VfM_Metrics_2023_Consol_Source[RP_Code], 0 )</f>
        <v>50</v>
      </c>
      <c r="AL883" s="24">
        <f xml:space="preserve"> INDEX( tblFilterRegion[Include for region],  MATCH( tblFilterAll[[#This Row],[Code]], tblFilterRegion[RP_Code], 0 ) )</f>
        <v>1</v>
      </c>
      <c r="AM883" s="24">
        <f xml:space="preserve"> INDEX( tblFilterPropType[Incl for prop type],  MATCH( tblFilterAll[[#This Row],[Code]], tblFilterPropType[RP_Code], 0 ) )</f>
        <v>1</v>
      </c>
      <c r="AN883" s="24">
        <f xml:space="preserve"> INDEX( tblFilterSize[Incl for size],  MATCH( tblFilterAll[[#This Row],[Code]], tblFilterSize[RP_Code], 0 ) )</f>
        <v>1</v>
      </c>
      <c r="AO883" s="24">
        <f xml:space="preserve"> INDEX( tblFilterRP_Type[Incl, for RP Type],  MATCH( tblFilterAll[[#This Row],[Code]], tblFilterRP_Type[RP_Code], 0 ) )</f>
        <v>1</v>
      </c>
      <c r="AP883" s="24">
        <f xml:space="preserve">  -- ( SUM( tblFilterAll[[#This Row],[Filter Region]:[Filter RP Type]] ) = 4 )</f>
        <v>1</v>
      </c>
      <c r="AQ883" s="24">
        <f xml:space="preserve"> -- ( tblFilterAll[[#This Row],[Provider name]] = SelectedProvider )</f>
        <v>0</v>
      </c>
      <c r="AR883" s="24">
        <f xml:space="preserve">  -- ( OR( SUM( tblFilterAll[[#This Row],[Filter Region]:[Filter RP Type]] ) = 4, tblFilterAll[[#This Row],[SelectedProvider]] = 1 ) )</f>
        <v>1</v>
      </c>
      <c r="AS883" s="24">
        <f xml:space="preserve"> -- ( INDEX( PeersCritera[Included in final peers], MATCH( tblFilterAll[[#This Row],[Provider name]], PeersCritera[RP_Name], 0 ) ) = 1 )</f>
        <v>1</v>
      </c>
      <c r="AT883" s="30" t="str" cm="1">
        <f t="array" ref="AT883" xml:space="preserve"> SUBSTITUTE( INDEX( VfM_Metrics_2023_Consol_Source[], $AK883, AT$832 ), 0, "" )</f>
        <v/>
      </c>
      <c r="AU883" s="34" cm="1">
        <f t="array" ref="AU883" xml:space="preserve"> INDEX( VfM_Metrics_2023_Consol_Source[], $AK883, AU$832 )</f>
        <v>0.18227964928472543</v>
      </c>
      <c r="AV883" s="34" cm="1">
        <f t="array" ref="AV883" xml:space="preserve"> INDEX( VfM_Metrics_2023_Consol_Source[], $AK883, AV$832 )</f>
        <v>0</v>
      </c>
      <c r="AW883" s="34" cm="1">
        <f t="array" ref="AW883" xml:space="preserve"> INDEX( VfM_Metrics_2023_Consol_Source[], $AK883, AW$832 )</f>
        <v>0</v>
      </c>
      <c r="AX883" s="34" cm="1">
        <f t="array" ref="AX883" xml:space="preserve"> INDEX( VfM_Metrics_2023_Consol_Source[], $AK883, AX$832 )</f>
        <v>0</v>
      </c>
      <c r="AY883" s="34" cm="1">
        <f t="array" ref="AY883" xml:space="preserve"> INDEX( VfM_Metrics_2023_Consol_Source[], $AK883, AY$832 )</f>
        <v>0</v>
      </c>
      <c r="AZ883" s="34" cm="1">
        <f t="array" ref="AZ883" xml:space="preserve"> INDEX( VfM_Metrics_2023_Consol_Source[], $AK883, AZ$832 )</f>
        <v>0.8177203507152746</v>
      </c>
      <c r="BA883" s="34" cm="1">
        <f t="array" ref="BA883" xml:space="preserve"> INDEX( VfM_Metrics_2023_Consol_Source[], $AK883, BA$832 )</f>
        <v>0</v>
      </c>
      <c r="BB883" s="34" cm="1">
        <f t="array" ref="BB883" xml:space="preserve"> INDEX( VfM_Metrics_2023_Consol_Source[], $AK883, BB$832 )</f>
        <v>0</v>
      </c>
      <c r="BC883" s="34" cm="1">
        <f t="array" ref="BC883" xml:space="preserve"> INDEX( VfM_Metrics_2023_Consol_Source[], $AK883, BC$832 )</f>
        <v>0</v>
      </c>
    </row>
    <row r="884" spans="2:55" x14ac:dyDescent="0.2">
      <c r="B884" s="122" t="str" vm="51">
        <f t="shared" ref="B884" si="386" xml:space="preserve"> B674</f>
        <v>Fairhive Homes Limited</v>
      </c>
      <c r="C884" s="122" t="str" vm="355">
        <f t="shared" si="368"/>
        <v>L4473</v>
      </c>
      <c r="D884" s="30" cm="1">
        <f t="array" ref="D884" xml:space="preserve"> INDEX( VfM_Metrics_2023_Consol_Source[], $AK884, D$832 )</f>
        <v>0.11554648982554903</v>
      </c>
      <c r="E884" s="35">
        <f xml:space="preserve"> IF( tblFilterAll[[#This Row],[Reinvestment]] &lt; D$825, 4, IF( tblFilterAll[[#This Row],[Reinvestment]] &lt; D$826, 3, IF( tblFilterAll[[#This Row],[Reinvestment]] &lt; D$827, 2, 1 ) ) )</f>
        <v>1</v>
      </c>
      <c r="F884" s="35">
        <f xml:space="preserve"> COUNTIFS( tblFilterAll[Include in output], 1, tblFilterAll[Reinvestment], "&gt;" &amp; tblFilterAll[[#This Row],[Reinvestment]] ) + 1</f>
        <v>23</v>
      </c>
      <c r="G884" s="30" cm="1">
        <f t="array" ref="G884" xml:space="preserve"> INDEX( VfM_Metrics_2023_Consol_Source[], $AK884, G$832 )</f>
        <v>2.3003269500233535E-2</v>
      </c>
      <c r="H884" s="35">
        <f xml:space="preserve"> IF( tblFilterAll[[#This Row],[New Supply (Social)]] &lt; G$825, 4, IF( tblFilterAll[[#This Row],[New Supply (Social)]] &lt; G$826, 3, IF( tblFilterAll[[#This Row],[New Supply (Social)]] &lt; G$827, 2, 1 ) ) )</f>
        <v>1</v>
      </c>
      <c r="I884" s="35">
        <f xml:space="preserve"> COUNTIFS( tblFilterAll[Include in output], 1, tblFilterAll[New Supply (Social)], "&gt;" &amp; tblFilterAll[[#This Row],[New Supply (Social)]] ) + 1</f>
        <v>43</v>
      </c>
      <c r="J884" s="31" cm="1">
        <f t="array" ref="J884" xml:space="preserve"> INDEX( VfM_Metrics_2023_Consol_Source[], $AK884, J$832 )</f>
        <v>0</v>
      </c>
      <c r="K884" s="35">
        <f xml:space="preserve"> IF( tblFilterAll[[#This Row],[New Supply (Non-Social)]] &lt; J$825, 4, IF( tblFilterAll[[#This Row],[New Supply (Non-Social)]] &lt; J$826, 3, IF( tblFilterAll[[#This Row],[New Supply (Non-Social)]] &lt; J$827, 2, 1 ) ) )</f>
        <v>2</v>
      </c>
      <c r="L884" s="35">
        <f xml:space="preserve"> COUNTIFS( tblFilterAll[Include in output], 1, tblFilterAll[New Supply (Non-Social)], "&gt;" &amp; tblFilterAll[[#This Row],[New Supply (Non-Social)]] ) + 1</f>
        <v>72</v>
      </c>
      <c r="M884" s="30" cm="1">
        <f t="array" ref="M884" xml:space="preserve"> INDEX( VfM_Metrics_2023_Consol_Source[], $AK884, M$832 )</f>
        <v>0.43744349382941483</v>
      </c>
      <c r="N884" s="35">
        <f xml:space="preserve"> IF( tblFilterAll[[#This Row],[Gearing]] &lt; M$825, 4, IF( tblFilterAll[[#This Row],[Gearing]] &lt; M$826, 3, IF( tblFilterAll[[#This Row],[Gearing]] &lt; M$827, 2, 1 ) ) )</f>
        <v>3</v>
      </c>
      <c r="O884" s="35">
        <f xml:space="preserve"> COUNTIFS( tblFilterAll[Include in output], 1, tblFilterAll[Gearing], "&gt;" &amp; tblFilterAll[[#This Row],[Gearing]] ) + 1</f>
        <v>111</v>
      </c>
      <c r="P884" s="30" cm="1">
        <f t="array" ref="P884" xml:space="preserve"> INDEX( VfM_Metrics_2023_Consol_Source[], $AK884, P$832 )</f>
        <v>1.1288957291265871</v>
      </c>
      <c r="Q884" s="35">
        <f xml:space="preserve"> IF( tblFilterAll[[#This Row],[EBITDA MRI Interest Cover]] &lt; P$825, 4, IF( tblFilterAll[[#This Row],[EBITDA MRI Interest Cover]] &lt; P$826, 3, IF( tblFilterAll[[#This Row],[EBITDA MRI Interest Cover]] &lt; P$827, 2, 1 ) ) )</f>
        <v>3</v>
      </c>
      <c r="R884" s="35">
        <f xml:space="preserve"> COUNTIFS( tblFilterAll[Include in output], 1, tblFilterAll[EBITDA MRI Interest Cover], "&gt;" &amp; tblFilterAll[[#This Row],[EBITDA MRI Interest Cover]] ) + 1</f>
        <v>120</v>
      </c>
      <c r="S884" s="32" cm="1">
        <f t="array" ref="S884" xml:space="preserve"> INDEX( VfM_Metrics_2023_Consol_Source[], $AK884, S$832 )</f>
        <v>5461.0631848915828</v>
      </c>
      <c r="T884" s="35">
        <f xml:space="preserve"> IF( tblFilterAll[[#This Row],[Headline Social Housing Cost per unit]] &lt; S$825, 4, IF( tblFilterAll[[#This Row],[Headline Social Housing Cost per unit]] &lt; S$826, 3, IF( tblFilterAll[[#This Row],[Headline Social Housing Cost per unit]] &lt; S$827, 2, 1 ) ) )</f>
        <v>2</v>
      </c>
      <c r="U884" s="35">
        <f xml:space="preserve"> COUNTIFS( tblFilterAll[Include in output], 1, tblFilterAll[Headline Social Housing Cost per unit], "&gt;" &amp; tblFilterAll[[#This Row],[Headline Social Housing Cost per unit]] ) + 1</f>
        <v>59</v>
      </c>
      <c r="V884" s="30" cm="1">
        <f t="array" ref="V884" xml:space="preserve"> INDEX( VfM_Metrics_2023_Consol_Source[], $AK884, V$832 )</f>
        <v>0.12608900400282552</v>
      </c>
      <c r="W884" s="35">
        <f xml:space="preserve"> IF( tblFilterAll[[#This Row],[Operating Margin (SHL)]] &lt; V$825, 4, IF( tblFilterAll[[#This Row],[Operating Margin (SHL)]] &lt; V$826, 3, IF( tblFilterAll[[#This Row],[Operating Margin (SHL)]] &lt; V$827, 2, 1 ) ) )</f>
        <v>4</v>
      </c>
      <c r="X884" s="35">
        <f xml:space="preserve"> COUNTIFS( tblFilterAll[Include in output], 1, tblFilterAll[Operating Margin (SHL)], "&gt;" &amp; tblFilterAll[[#This Row],[Operating Margin (SHL)]] ) + 1</f>
        <v>160</v>
      </c>
      <c r="Y884" s="30" cm="1">
        <f t="array" ref="Y884" xml:space="preserve"> INDEX( VfM_Metrics_2023_Consol_Source[], $AK884, Y$832 )</f>
        <v>0.1752249179901913</v>
      </c>
      <c r="Z884" s="35">
        <f xml:space="preserve"> IF( tblFilterAll[[#This Row],[Operating Margin (Overall)]] &lt; Y$825, 4, IF( tblFilterAll[[#This Row],[Operating Margin (Overall)]] &lt; Y$826, 3, IF( tblFilterAll[[#This Row],[Operating Margin (Overall)]] &lt; Y$827, 2, 1 ) ) )</f>
        <v>3</v>
      </c>
      <c r="AA884" s="35">
        <f xml:space="preserve"> COUNTIFS( tblFilterAll[Include in output], 1, tblFilterAll[Operating Margin (Overall)], "&gt;" &amp; tblFilterAll[[#This Row],[Operating Margin (Overall)]] ) + 1</f>
        <v>104</v>
      </c>
      <c r="AB884" s="30" cm="1">
        <f t="array" ref="AB884" xml:space="preserve"> INDEX( VfM_Metrics_2023_Consol_Source[], $AK884, AB$832 )</f>
        <v>2.782310527438003E-2</v>
      </c>
      <c r="AC884" s="35">
        <f xml:space="preserve"> IF( tblFilterAll[[#This Row],[ROCE]] &lt; AB$825, 4, IF( tblFilterAll[[#This Row],[ROCE]] &lt; AB$826, 3, IF( tblFilterAll[[#This Row],[ROCE]] &lt; AB$827, 2, 1 ) ) )</f>
        <v>3</v>
      </c>
      <c r="AD884" s="35">
        <f xml:space="preserve"> COUNTIFS( tblFilterAll[Include in output], 1, tblFilterAll[ROCE], "&gt;" &amp; tblFilterAll[[#This Row],[ROCE]] ) + 1</f>
        <v>105</v>
      </c>
      <c r="AE884" s="33" cm="1" vm="5270">
        <f t="array" ref="AE884" xml:space="preserve"> INDEX( VfM_Metrics_2023_Consol_Source[], $AK884, AE$832 )</f>
        <v>8564</v>
      </c>
      <c r="AF884" s="30" cm="1">
        <f t="array" ref="AF884" xml:space="preserve"> INDEX( VfM_Metrics_2023_Consol_Source[], $AK884, AF$832 )</f>
        <v>1.2945745557255502E-3</v>
      </c>
      <c r="AG884" s="30" cm="1">
        <f t="array" ref="AG884" xml:space="preserve"> INDEX( VfM_Metrics_2023_Consol_Source[], $AK884, AG$832 )</f>
        <v>7.4379192656231607E-2</v>
      </c>
      <c r="AH884" s="30" cm="1">
        <f t="array" ref="AH884" xml:space="preserve"> INDEX( VfM_Metrics_2023_Consol_Source[], $AK884, AH$832 )</f>
        <v>7.5673767211957163E-2</v>
      </c>
      <c r="AI884" s="30" t="str" cm="1">
        <f t="array" ref="AI884" xml:space="preserve"> INDEX( VfM_Metrics_2023_Consol_Source[], $AK884, AI$832 )</f>
        <v>Traditional</v>
      </c>
      <c r="AJ884" s="34" t="str" cm="1">
        <f t="array" ref="AJ884" xml:space="preserve"> INDEX( VfM_Metrics_2023_Consol_Source[], $AK884, AJ$832 )</f>
        <v>South East</v>
      </c>
      <c r="AK884" s="81">
        <f xml:space="preserve"> MATCH( tblFilterAll[[#This Row],[Code]], VfM_Metrics_2023_Consol_Source[RP_Code], 0 )</f>
        <v>51</v>
      </c>
      <c r="AL884" s="24">
        <f xml:space="preserve"> INDEX( tblFilterRegion[Include for region],  MATCH( tblFilterAll[[#This Row],[Code]], tblFilterRegion[RP_Code], 0 ) )</f>
        <v>1</v>
      </c>
      <c r="AM884" s="24">
        <f xml:space="preserve"> INDEX( tblFilterPropType[Incl for prop type],  MATCH( tblFilterAll[[#This Row],[Code]], tblFilterPropType[RP_Code], 0 ) )</f>
        <v>1</v>
      </c>
      <c r="AN884" s="24">
        <f xml:space="preserve"> INDEX( tblFilterSize[Incl for size],  MATCH( tblFilterAll[[#This Row],[Code]], tblFilterSize[RP_Code], 0 ) )</f>
        <v>1</v>
      </c>
      <c r="AO884" s="24">
        <f xml:space="preserve"> INDEX( tblFilterRP_Type[Incl, for RP Type],  MATCH( tblFilterAll[[#This Row],[Code]], tblFilterRP_Type[RP_Code], 0 ) )</f>
        <v>1</v>
      </c>
      <c r="AP884" s="24">
        <f xml:space="preserve">  -- ( SUM( tblFilterAll[[#This Row],[Filter Region]:[Filter RP Type]] ) = 4 )</f>
        <v>1</v>
      </c>
      <c r="AQ884" s="24">
        <f xml:space="preserve"> -- ( tblFilterAll[[#This Row],[Provider name]] = SelectedProvider )</f>
        <v>0</v>
      </c>
      <c r="AR884" s="24">
        <f xml:space="preserve">  -- ( OR( SUM( tblFilterAll[[#This Row],[Filter Region]:[Filter RP Type]] ) = 4, tblFilterAll[[#This Row],[SelectedProvider]] = 1 ) )</f>
        <v>1</v>
      </c>
      <c r="AS884" s="24">
        <f xml:space="preserve"> -- ( INDEX( PeersCritera[Included in final peers], MATCH( tblFilterAll[[#This Row],[Provider name]], PeersCritera[RP_Name], 0 ) ) = 1 )</f>
        <v>1</v>
      </c>
      <c r="AT884" s="30" t="str" cm="1">
        <f t="array" ref="AT884" xml:space="preserve"> SUBSTITUTE( INDEX( VfM_Metrics_2023_Consol_Source[], $AK884, AT$832 ), 0, "" )</f>
        <v>&gt;= 12 years</v>
      </c>
      <c r="AU884" s="34" cm="1">
        <f t="array" ref="AU884" xml:space="preserve"> INDEX( VfM_Metrics_2023_Consol_Source[], $AK884, AU$832 )</f>
        <v>0</v>
      </c>
      <c r="AV884" s="34" cm="1">
        <f t="array" ref="AV884" xml:space="preserve"> INDEX( VfM_Metrics_2023_Consol_Source[], $AK884, AV$832 )</f>
        <v>0.99311069593647827</v>
      </c>
      <c r="AW884" s="34" cm="1">
        <f t="array" ref="AW884" xml:space="preserve"> INDEX( VfM_Metrics_2023_Consol_Source[], $AK884, AW$832 )</f>
        <v>0</v>
      </c>
      <c r="AX884" s="34" cm="1">
        <f t="array" ref="AX884" xml:space="preserve"> INDEX( VfM_Metrics_2023_Consol_Source[], $AK884, AX$832 )</f>
        <v>6.3054647361046236E-3</v>
      </c>
      <c r="AY884" s="34" cm="1">
        <f t="array" ref="AY884" xml:space="preserve"> INDEX( VfM_Metrics_2023_Consol_Source[], $AK884, AY$832 )</f>
        <v>0</v>
      </c>
      <c r="AZ884" s="34" cm="1">
        <f t="array" ref="AZ884" xml:space="preserve"> INDEX( VfM_Metrics_2023_Consol_Source[], $AK884, AZ$832 )</f>
        <v>5.838393274170948E-4</v>
      </c>
      <c r="BA884" s="34" cm="1">
        <f t="array" ref="BA884" xml:space="preserve"> INDEX( VfM_Metrics_2023_Consol_Source[], $AK884, BA$832 )</f>
        <v>0</v>
      </c>
      <c r="BB884" s="34" cm="1">
        <f t="array" ref="BB884" xml:space="preserve"> INDEX( VfM_Metrics_2023_Consol_Source[], $AK884, BB$832 )</f>
        <v>0</v>
      </c>
      <c r="BC884" s="34" cm="1">
        <f t="array" ref="BC884" xml:space="preserve"> INDEX( VfM_Metrics_2023_Consol_Source[], $AK884, BC$832 )</f>
        <v>0</v>
      </c>
    </row>
    <row r="885" spans="2:55" x14ac:dyDescent="0.2">
      <c r="B885" s="122" t="str" vm="52">
        <f t="shared" ref="B885" si="387" xml:space="preserve"> B675</f>
        <v>First Choice Homes Oldham Limited</v>
      </c>
      <c r="C885" s="122" t="str" vm="289">
        <f t="shared" si="368"/>
        <v>4582</v>
      </c>
      <c r="D885" s="30" cm="1">
        <f t="array" ref="D885" xml:space="preserve"> INDEX( VfM_Metrics_2023_Consol_Source[], $AK885, D$832 )</f>
        <v>0.16910459863315186</v>
      </c>
      <c r="E885" s="35">
        <f xml:space="preserve"> IF( tblFilterAll[[#This Row],[Reinvestment]] &lt; D$825, 4, IF( tblFilterAll[[#This Row],[Reinvestment]] &lt; D$826, 3, IF( tblFilterAll[[#This Row],[Reinvestment]] &lt; D$827, 2, 1 ) ) )</f>
        <v>1</v>
      </c>
      <c r="F885" s="35">
        <f xml:space="preserve"> COUNTIFS( tblFilterAll[Include in output], 1, tblFilterAll[Reinvestment], "&gt;" &amp; tblFilterAll[[#This Row],[Reinvestment]] ) + 1</f>
        <v>7</v>
      </c>
      <c r="G885" s="30" cm="1">
        <f t="array" ref="G885" xml:space="preserve"> INDEX( VfM_Metrics_2023_Consol_Source[], $AK885, G$832 )</f>
        <v>1.14780004990435E-2</v>
      </c>
      <c r="H885" s="35">
        <f xml:space="preserve"> IF( tblFilterAll[[#This Row],[New Supply (Social)]] &lt; G$825, 4, IF( tblFilterAll[[#This Row],[New Supply (Social)]] &lt; G$826, 3, IF( tblFilterAll[[#This Row],[New Supply (Social)]] &lt; G$827, 2, 1 ) ) )</f>
        <v>3</v>
      </c>
      <c r="I885" s="35">
        <f xml:space="preserve"> COUNTIFS( tblFilterAll[Include in output], 1, tblFilterAll[New Supply (Social)], "&gt;" &amp; tblFilterAll[[#This Row],[New Supply (Social)]] ) + 1</f>
        <v>113</v>
      </c>
      <c r="J885" s="31" cm="1">
        <f t="array" ref="J885" xml:space="preserve"> INDEX( VfM_Metrics_2023_Consol_Source[], $AK885, J$832 )</f>
        <v>0</v>
      </c>
      <c r="K885" s="35">
        <f xml:space="preserve"> IF( tblFilterAll[[#This Row],[New Supply (Non-Social)]] &lt; J$825, 4, IF( tblFilterAll[[#This Row],[New Supply (Non-Social)]] &lt; J$826, 3, IF( tblFilterAll[[#This Row],[New Supply (Non-Social)]] &lt; J$827, 2, 1 ) ) )</f>
        <v>2</v>
      </c>
      <c r="L885" s="35">
        <f xml:space="preserve"> COUNTIFS( tblFilterAll[Include in output], 1, tblFilterAll[New Supply (Non-Social)], "&gt;" &amp; tblFilterAll[[#This Row],[New Supply (Non-Social)]] ) + 1</f>
        <v>72</v>
      </c>
      <c r="M885" s="30" cm="1">
        <f t="array" ref="M885" xml:space="preserve"> INDEX( VfM_Metrics_2023_Consol_Source[], $AK885, M$832 )</f>
        <v>0.13625390941735202</v>
      </c>
      <c r="N885" s="35">
        <f xml:space="preserve"> IF( tblFilterAll[[#This Row],[Gearing]] &lt; M$825, 4, IF( tblFilterAll[[#This Row],[Gearing]] &lt; M$826, 3, IF( tblFilterAll[[#This Row],[Gearing]] &lt; M$827, 2, 1 ) ) )</f>
        <v>4</v>
      </c>
      <c r="O885" s="35">
        <f xml:space="preserve"> COUNTIFS( tblFilterAll[Include in output], 1, tblFilterAll[Gearing], "&gt;" &amp; tblFilterAll[[#This Row],[Gearing]] ) + 1</f>
        <v>183</v>
      </c>
      <c r="P885" s="30" cm="1">
        <f t="array" ref="P885" xml:space="preserve"> INDEX( VfM_Metrics_2023_Consol_Source[], $AK885, P$832 )</f>
        <v>1.0392087601554221</v>
      </c>
      <c r="Q885" s="35">
        <f xml:space="preserve"> IF( tblFilterAll[[#This Row],[EBITDA MRI Interest Cover]] &lt; P$825, 4, IF( tblFilterAll[[#This Row],[EBITDA MRI Interest Cover]] &lt; P$826, 3, IF( tblFilterAll[[#This Row],[EBITDA MRI Interest Cover]] &lt; P$827, 2, 1 ) ) )</f>
        <v>3</v>
      </c>
      <c r="R885" s="35">
        <f xml:space="preserve"> COUNTIFS( tblFilterAll[Include in output], 1, tblFilterAll[EBITDA MRI Interest Cover], "&gt;" &amp; tblFilterAll[[#This Row],[EBITDA MRI Interest Cover]] ) + 1</f>
        <v>134</v>
      </c>
      <c r="S885" s="32" cm="1">
        <f t="array" ref="S885" xml:space="preserve"> INDEX( VfM_Metrics_2023_Consol_Source[], $AK885, S$832 )</f>
        <v>4241.8169088044806</v>
      </c>
      <c r="T885" s="35">
        <f xml:space="preserve"> IF( tblFilterAll[[#This Row],[Headline Social Housing Cost per unit]] &lt; S$825, 4, IF( tblFilterAll[[#This Row],[Headline Social Housing Cost per unit]] &lt; S$826, 3, IF( tblFilterAll[[#This Row],[Headline Social Housing Cost per unit]] &lt; S$827, 2, 1 ) ) )</f>
        <v>3</v>
      </c>
      <c r="U885" s="35">
        <f xml:space="preserve"> COUNTIFS( tblFilterAll[Include in output], 1, tblFilterAll[Headline Social Housing Cost per unit], "&gt;" &amp; tblFilterAll[[#This Row],[Headline Social Housing Cost per unit]] ) + 1</f>
        <v>133</v>
      </c>
      <c r="V885" s="30" cm="1">
        <f t="array" ref="V885" xml:space="preserve"> INDEX( VfM_Metrics_2023_Consol_Source[], $AK885, V$832 )</f>
        <v>0.13733262340018537</v>
      </c>
      <c r="W885" s="35">
        <f xml:space="preserve"> IF( tblFilterAll[[#This Row],[Operating Margin (SHL)]] &lt; V$825, 4, IF( tblFilterAll[[#This Row],[Operating Margin (SHL)]] &lt; V$826, 3, IF( tblFilterAll[[#This Row],[Operating Margin (SHL)]] &lt; V$827, 2, 1 ) ) )</f>
        <v>4</v>
      </c>
      <c r="X885" s="35">
        <f xml:space="preserve"> COUNTIFS( tblFilterAll[Include in output], 1, tblFilterAll[Operating Margin (SHL)], "&gt;" &amp; tblFilterAll[[#This Row],[Operating Margin (SHL)]] ) + 1</f>
        <v>153</v>
      </c>
      <c r="Y885" s="30" cm="1">
        <f t="array" ref="Y885" xml:space="preserve"> INDEX( VfM_Metrics_2023_Consol_Source[], $AK885, Y$832 )</f>
        <v>0.14005009023608705</v>
      </c>
      <c r="Z885" s="35">
        <f xml:space="preserve"> IF( tblFilterAll[[#This Row],[Operating Margin (Overall)]] &lt; Y$825, 4, IF( tblFilterAll[[#This Row],[Operating Margin (Overall)]] &lt; Y$826, 3, IF( tblFilterAll[[#This Row],[Operating Margin (Overall)]] &lt; Y$827, 2, 1 ) ) )</f>
        <v>3</v>
      </c>
      <c r="AA885" s="35">
        <f xml:space="preserve"> COUNTIFS( tblFilterAll[Include in output], 1, tblFilterAll[Operating Margin (Overall)], "&gt;" &amp; tblFilterAll[[#This Row],[Operating Margin (Overall)]] ) + 1</f>
        <v>138</v>
      </c>
      <c r="AB885" s="30" cm="1">
        <f t="array" ref="AB885" xml:space="preserve"> INDEX( VfM_Metrics_2023_Consol_Source[], $AK885, AB$832 )</f>
        <v>4.0441191104530129E-2</v>
      </c>
      <c r="AC885" s="35">
        <f xml:space="preserve"> IF( tblFilterAll[[#This Row],[ROCE]] &lt; AB$825, 4, IF( tblFilterAll[[#This Row],[ROCE]] &lt; AB$826, 3, IF( tblFilterAll[[#This Row],[ROCE]] &lt; AB$827, 2, 1 ) ) )</f>
        <v>1</v>
      </c>
      <c r="AD885" s="35">
        <f xml:space="preserve"> COUNTIFS( tblFilterAll[Include in output], 1, tblFilterAll[ROCE], "&gt;" &amp; tblFilterAll[[#This Row],[ROCE]] ) + 1</f>
        <v>29</v>
      </c>
      <c r="AE885" s="33" cm="1" vm="7851">
        <f t="array" ref="AE885" xml:space="preserve"> INDEX( VfM_Metrics_2023_Consol_Source[], $AK885, AE$832 )</f>
        <v>11426</v>
      </c>
      <c r="AF885" s="30" cm="1">
        <f t="array" ref="AF885" xml:space="preserve"> INDEX( VfM_Metrics_2023_Consol_Source[], $AK885, AF$832 )</f>
        <v>0</v>
      </c>
      <c r="AG885" s="30" cm="1">
        <f t="array" ref="AG885" xml:space="preserve"> INDEX( VfM_Metrics_2023_Consol_Source[], $AK885, AG$832 )</f>
        <v>0</v>
      </c>
      <c r="AH885" s="30" cm="1">
        <f t="array" ref="AH885" xml:space="preserve"> INDEX( VfM_Metrics_2023_Consol_Source[], $AK885, AH$832 )</f>
        <v>0</v>
      </c>
      <c r="AI885" s="30" t="str" cm="1">
        <f t="array" ref="AI885" xml:space="preserve"> INDEX( VfM_Metrics_2023_Consol_Source[], $AK885, AI$832 )</f>
        <v>Traditional</v>
      </c>
      <c r="AJ885" s="34" t="str" cm="1">
        <f t="array" ref="AJ885" xml:space="preserve"> INDEX( VfM_Metrics_2023_Consol_Source[], $AK885, AJ$832 )</f>
        <v>North West</v>
      </c>
      <c r="AK885" s="81">
        <f xml:space="preserve"> MATCH( tblFilterAll[[#This Row],[Code]], VfM_Metrics_2023_Consol_Source[RP_Code], 0 )</f>
        <v>52</v>
      </c>
      <c r="AL885" s="24">
        <f xml:space="preserve"> INDEX( tblFilterRegion[Include for region],  MATCH( tblFilterAll[[#This Row],[Code]], tblFilterRegion[RP_Code], 0 ) )</f>
        <v>1</v>
      </c>
      <c r="AM885" s="24">
        <f xml:space="preserve"> INDEX( tblFilterPropType[Incl for prop type],  MATCH( tblFilterAll[[#This Row],[Code]], tblFilterPropType[RP_Code], 0 ) )</f>
        <v>1</v>
      </c>
      <c r="AN885" s="24">
        <f xml:space="preserve"> INDEX( tblFilterSize[Incl for size],  MATCH( tblFilterAll[[#This Row],[Code]], tblFilterSize[RP_Code], 0 ) )</f>
        <v>1</v>
      </c>
      <c r="AO885" s="24">
        <f xml:space="preserve"> INDEX( tblFilterRP_Type[Incl, for RP Type],  MATCH( tblFilterAll[[#This Row],[Code]], tblFilterRP_Type[RP_Code], 0 ) )</f>
        <v>1</v>
      </c>
      <c r="AP885" s="24">
        <f xml:space="preserve">  -- ( SUM( tblFilterAll[[#This Row],[Filter Region]:[Filter RP Type]] ) = 4 )</f>
        <v>1</v>
      </c>
      <c r="AQ885" s="24">
        <f xml:space="preserve"> -- ( tblFilterAll[[#This Row],[Provider name]] = SelectedProvider )</f>
        <v>0</v>
      </c>
      <c r="AR885" s="24">
        <f xml:space="preserve">  -- ( OR( SUM( tblFilterAll[[#This Row],[Filter Region]:[Filter RP Type]] ) = 4, tblFilterAll[[#This Row],[SelectedProvider]] = 1 ) )</f>
        <v>1</v>
      </c>
      <c r="AS885" s="24">
        <f xml:space="preserve"> -- ( INDEX( PeersCritera[Included in final peers], MATCH( tblFilterAll[[#This Row],[Provider name]], PeersCritera[RP_Name], 0 ) ) = 1 )</f>
        <v>1</v>
      </c>
      <c r="AT885" s="30" t="str" cm="1">
        <f t="array" ref="AT885" xml:space="preserve"> SUBSTITUTE( INDEX( VfM_Metrics_2023_Consol_Source[], $AK885, AT$832 ), 0, "" )</f>
        <v>&gt;= 12 years</v>
      </c>
      <c r="AU885" s="34" cm="1">
        <f t="array" ref="AU885" xml:space="preserve"> INDEX( VfM_Metrics_2023_Consol_Source[], $AK885, AU$832 )</f>
        <v>0</v>
      </c>
      <c r="AV885" s="34" cm="1">
        <f t="array" ref="AV885" xml:space="preserve"> INDEX( VfM_Metrics_2023_Consol_Source[], $AK885, AV$832 )</f>
        <v>0</v>
      </c>
      <c r="AW885" s="34" cm="1">
        <f t="array" ref="AW885" xml:space="preserve"> INDEX( VfM_Metrics_2023_Consol_Source[], $AK885, AW$832 )</f>
        <v>0</v>
      </c>
      <c r="AX885" s="34" cm="1">
        <f t="array" ref="AX885" xml:space="preserve"> INDEX( VfM_Metrics_2023_Consol_Source[], $AK885, AX$832 )</f>
        <v>0</v>
      </c>
      <c r="AY885" s="34" cm="1">
        <f t="array" ref="AY885" xml:space="preserve"> INDEX( VfM_Metrics_2023_Consol_Source[], $AK885, AY$832 )</f>
        <v>0</v>
      </c>
      <c r="AZ885" s="34" cm="1">
        <f t="array" ref="AZ885" xml:space="preserve"> INDEX( VfM_Metrics_2023_Consol_Source[], $AK885, AZ$832 )</f>
        <v>0</v>
      </c>
      <c r="BA885" s="34" cm="1">
        <f t="array" ref="BA885" xml:space="preserve"> INDEX( VfM_Metrics_2023_Consol_Source[], $AK885, BA$832 )</f>
        <v>0</v>
      </c>
      <c r="BB885" s="34" cm="1">
        <f t="array" ref="BB885" xml:space="preserve"> INDEX( VfM_Metrics_2023_Consol_Source[], $AK885, BB$832 )</f>
        <v>1</v>
      </c>
      <c r="BC885" s="34" cm="1">
        <f t="array" ref="BC885" xml:space="preserve"> INDEX( VfM_Metrics_2023_Consol_Source[], $AK885, BC$832 )</f>
        <v>0</v>
      </c>
    </row>
    <row r="886" spans="2:55" x14ac:dyDescent="0.2">
      <c r="B886" s="122" t="str" vm="53">
        <f t="shared" ref="B886" si="388" xml:space="preserve"> B676</f>
        <v>First Garden Cities Homes Limited</v>
      </c>
      <c r="C886" s="122" t="str" vm="224">
        <f t="shared" si="368"/>
        <v>5090</v>
      </c>
      <c r="D886" s="30" cm="1">
        <f t="array" ref="D886" xml:space="preserve"> INDEX( VfM_Metrics_2023_Consol_Source[], $AK886, D$832 )</f>
        <v>3.6396893874029335E-2</v>
      </c>
      <c r="E886" s="35">
        <f xml:space="preserve"> IF( tblFilterAll[[#This Row],[Reinvestment]] &lt; D$825, 4, IF( tblFilterAll[[#This Row],[Reinvestment]] &lt; D$826, 3, IF( tblFilterAll[[#This Row],[Reinvestment]] &lt; D$827, 2, 1 ) ) )</f>
        <v>4</v>
      </c>
      <c r="F886" s="35">
        <f xml:space="preserve"> COUNTIFS( tblFilterAll[Include in output], 1, tblFilterAll[Reinvestment], "&gt;" &amp; tblFilterAll[[#This Row],[Reinvestment]] ) + 1</f>
        <v>158</v>
      </c>
      <c r="G886" s="30" cm="1">
        <f t="array" ref="G886" xml:space="preserve"> INDEX( VfM_Metrics_2023_Consol_Source[], $AK886, G$832 )</f>
        <v>5.7042562527424307E-3</v>
      </c>
      <c r="H886" s="35">
        <f xml:space="preserve"> IF( tblFilterAll[[#This Row],[New Supply (Social)]] &lt; G$825, 4, IF( tblFilterAll[[#This Row],[New Supply (Social)]] &lt; G$826, 3, IF( tblFilterAll[[#This Row],[New Supply (Social)]] &lt; G$827, 2, 1 ) ) )</f>
        <v>4</v>
      </c>
      <c r="I886" s="35">
        <f xml:space="preserve"> COUNTIFS( tblFilterAll[Include in output], 1, tblFilterAll[New Supply (Social)], "&gt;" &amp; tblFilterAll[[#This Row],[New Supply (Social)]] ) + 1</f>
        <v>152</v>
      </c>
      <c r="J886" s="31" cm="1">
        <f t="array" ref="J886" xml:space="preserve"> INDEX( VfM_Metrics_2023_Consol_Source[], $AK886, J$832 )</f>
        <v>0</v>
      </c>
      <c r="K886" s="35">
        <f xml:space="preserve"> IF( tblFilterAll[[#This Row],[New Supply (Non-Social)]] &lt; J$825, 4, IF( tblFilterAll[[#This Row],[New Supply (Non-Social)]] &lt; J$826, 3, IF( tblFilterAll[[#This Row],[New Supply (Non-Social)]] &lt; J$827, 2, 1 ) ) )</f>
        <v>2</v>
      </c>
      <c r="L886" s="35">
        <f xml:space="preserve"> COUNTIFS( tblFilterAll[Include in output], 1, tblFilterAll[New Supply (Non-Social)], "&gt;" &amp; tblFilterAll[[#This Row],[New Supply (Non-Social)]] ) + 1</f>
        <v>72</v>
      </c>
      <c r="M886" s="30" cm="1">
        <f t="array" ref="M886" xml:space="preserve"> INDEX( VfM_Metrics_2023_Consol_Source[], $AK886, M$832 )</f>
        <v>0.38511820534943919</v>
      </c>
      <c r="N886" s="35">
        <f xml:space="preserve"> IF( tblFilterAll[[#This Row],[Gearing]] &lt; M$825, 4, IF( tblFilterAll[[#This Row],[Gearing]] &lt; M$826, 3, IF( tblFilterAll[[#This Row],[Gearing]] &lt; M$827, 2, 1 ) ) )</f>
        <v>3</v>
      </c>
      <c r="O886" s="35">
        <f xml:space="preserve"> COUNTIFS( tblFilterAll[Include in output], 1, tblFilterAll[Gearing], "&gt;" &amp; tblFilterAll[[#This Row],[Gearing]] ) + 1</f>
        <v>133</v>
      </c>
      <c r="P886" s="30" cm="1">
        <f t="array" ref="P886" xml:space="preserve"> INDEX( VfM_Metrics_2023_Consol_Source[], $AK886, P$832 )</f>
        <v>1.7692967409948541</v>
      </c>
      <c r="Q886" s="35">
        <f xml:space="preserve"> IF( tblFilterAll[[#This Row],[EBITDA MRI Interest Cover]] &lt; P$825, 4, IF( tblFilterAll[[#This Row],[EBITDA MRI Interest Cover]] &lt; P$826, 3, IF( tblFilterAll[[#This Row],[EBITDA MRI Interest Cover]] &lt; P$827, 2, 1 ) ) )</f>
        <v>1</v>
      </c>
      <c r="R886" s="35">
        <f xml:space="preserve"> COUNTIFS( tblFilterAll[Include in output], 1, tblFilterAll[EBITDA MRI Interest Cover], "&gt;" &amp; tblFilterAll[[#This Row],[EBITDA MRI Interest Cover]] ) + 1</f>
        <v>47</v>
      </c>
      <c r="S886" s="32" cm="1">
        <f t="array" ref="S886" xml:space="preserve"> INDEX( VfM_Metrics_2023_Consol_Source[], $AK886, S$832 )</f>
        <v>4317.3496076721885</v>
      </c>
      <c r="T886" s="35">
        <f xml:space="preserve"> IF( tblFilterAll[[#This Row],[Headline Social Housing Cost per unit]] &lt; S$825, 4, IF( tblFilterAll[[#This Row],[Headline Social Housing Cost per unit]] &lt; S$826, 3, IF( tblFilterAll[[#This Row],[Headline Social Housing Cost per unit]] &lt; S$827, 2, 1 ) ) )</f>
        <v>3</v>
      </c>
      <c r="U886" s="35">
        <f xml:space="preserve"> COUNTIFS( tblFilterAll[Include in output], 1, tblFilterAll[Headline Social Housing Cost per unit], "&gt;" &amp; tblFilterAll[[#This Row],[Headline Social Housing Cost per unit]] ) + 1</f>
        <v>124</v>
      </c>
      <c r="V886" s="30" cm="1">
        <f t="array" ref="V886" xml:space="preserve"> INDEX( VfM_Metrics_2023_Consol_Source[], $AK886, V$832 )</f>
        <v>0.21776486196222125</v>
      </c>
      <c r="W886" s="35">
        <f xml:space="preserve"> IF( tblFilterAll[[#This Row],[Operating Margin (SHL)]] &lt; V$825, 4, IF( tblFilterAll[[#This Row],[Operating Margin (SHL)]] &lt; V$826, 3, IF( tblFilterAll[[#This Row],[Operating Margin (SHL)]] &lt; V$827, 2, 1 ) ) )</f>
        <v>2</v>
      </c>
      <c r="X886" s="35">
        <f xml:space="preserve"> COUNTIFS( tblFilterAll[Include in output], 1, tblFilterAll[Operating Margin (SHL)], "&gt;" &amp; tblFilterAll[[#This Row],[Operating Margin (SHL)]] ) + 1</f>
        <v>82</v>
      </c>
      <c r="Y886" s="30" cm="1">
        <f t="array" ref="Y886" xml:space="preserve"> INDEX( VfM_Metrics_2023_Consol_Source[], $AK886, Y$832 )</f>
        <v>0.23342922210236125</v>
      </c>
      <c r="Z886" s="35">
        <f xml:space="preserve"> IF( tblFilterAll[[#This Row],[Operating Margin (Overall)]] &lt; Y$825, 4, IF( tblFilterAll[[#This Row],[Operating Margin (Overall)]] &lt; Y$826, 3, IF( tblFilterAll[[#This Row],[Operating Margin (Overall)]] &lt; Y$827, 2, 1 ) ) )</f>
        <v>1</v>
      </c>
      <c r="AA886" s="35">
        <f xml:space="preserve"> COUNTIFS( tblFilterAll[Include in output], 1, tblFilterAll[Operating Margin (Overall)], "&gt;" &amp; tblFilterAll[[#This Row],[Operating Margin (Overall)]] ) + 1</f>
        <v>45</v>
      </c>
      <c r="AB886" s="30" cm="1">
        <f t="array" ref="AB886" xml:space="preserve"> INDEX( VfM_Metrics_2023_Consol_Source[], $AK886, AB$832 )</f>
        <v>2.5673124556494262E-2</v>
      </c>
      <c r="AC886" s="35">
        <f xml:space="preserve"> IF( tblFilterAll[[#This Row],[ROCE]] &lt; AB$825, 4, IF( tblFilterAll[[#This Row],[ROCE]] &lt; AB$826, 3, IF( tblFilterAll[[#This Row],[ROCE]] &lt; AB$827, 2, 1 ) ) )</f>
        <v>3</v>
      </c>
      <c r="AD886" s="35">
        <f xml:space="preserve"> COUNTIFS( tblFilterAll[Include in output], 1, tblFilterAll[ROCE], "&gt;" &amp; tblFilterAll[[#This Row],[ROCE]] ) + 1</f>
        <v>122</v>
      </c>
      <c r="AE886" s="33" cm="1" vm="1301">
        <f t="array" ref="AE886" xml:space="preserve"> INDEX( VfM_Metrics_2023_Consol_Source[], $AK886, AE$832 )</f>
        <v>2276</v>
      </c>
      <c r="AF886" s="30" cm="1">
        <f t="array" ref="AF886" xml:space="preserve"> INDEX( VfM_Metrics_2023_Consol_Source[], $AK886, AF$832 )</f>
        <v>2.0255394099515631E-2</v>
      </c>
      <c r="AG886" s="30" cm="1">
        <f t="array" ref="AG886" xml:space="preserve"> INDEX( VfM_Metrics_2023_Consol_Source[], $AK886, AG$832 )</f>
        <v>0.20387494495816821</v>
      </c>
      <c r="AH886" s="30" cm="1">
        <f t="array" ref="AH886" xml:space="preserve"> INDEX( VfM_Metrics_2023_Consol_Source[], $AK886, AH$832 )</f>
        <v>0.22413033905768384</v>
      </c>
      <c r="AI886" s="30" t="str" cm="1">
        <f t="array" ref="AI886" xml:space="preserve"> INDEX( VfM_Metrics_2023_Consol_Source[], $AK886, AI$832 )</f>
        <v>Traditional</v>
      </c>
      <c r="AJ886" s="34" t="str" cm="1">
        <f t="array" ref="AJ886" xml:space="preserve"> INDEX( VfM_Metrics_2023_Consol_Source[], $AK886, AJ$832 )</f>
        <v>East of England</v>
      </c>
      <c r="AK886" s="81">
        <f xml:space="preserve"> MATCH( tblFilterAll[[#This Row],[Code]], VfM_Metrics_2023_Consol_Source[RP_Code], 0 )</f>
        <v>53</v>
      </c>
      <c r="AL886" s="24">
        <f xml:space="preserve"> INDEX( tblFilterRegion[Include for region],  MATCH( tblFilterAll[[#This Row],[Code]], tblFilterRegion[RP_Code], 0 ) )</f>
        <v>1</v>
      </c>
      <c r="AM886" s="24">
        <f xml:space="preserve"> INDEX( tblFilterPropType[Incl for prop type],  MATCH( tblFilterAll[[#This Row],[Code]], tblFilterPropType[RP_Code], 0 ) )</f>
        <v>1</v>
      </c>
      <c r="AN886" s="24">
        <f xml:space="preserve"> INDEX( tblFilterSize[Incl for size],  MATCH( tblFilterAll[[#This Row],[Code]], tblFilterSize[RP_Code], 0 ) )</f>
        <v>1</v>
      </c>
      <c r="AO886" s="24">
        <f xml:space="preserve"> INDEX( tblFilterRP_Type[Incl, for RP Type],  MATCH( tblFilterAll[[#This Row],[Code]], tblFilterRP_Type[RP_Code], 0 ) )</f>
        <v>1</v>
      </c>
      <c r="AP886" s="24">
        <f xml:space="preserve">  -- ( SUM( tblFilterAll[[#This Row],[Filter Region]:[Filter RP Type]] ) = 4 )</f>
        <v>1</v>
      </c>
      <c r="AQ886" s="24">
        <f xml:space="preserve"> -- ( tblFilterAll[[#This Row],[Provider name]] = SelectedProvider )</f>
        <v>0</v>
      </c>
      <c r="AR886" s="24">
        <f xml:space="preserve">  -- ( OR( SUM( tblFilterAll[[#This Row],[Filter Region]:[Filter RP Type]] ) = 4, tblFilterAll[[#This Row],[SelectedProvider]] = 1 ) )</f>
        <v>1</v>
      </c>
      <c r="AS886" s="24">
        <f xml:space="preserve"> -- ( INDEX( PeersCritera[Included in final peers], MATCH( tblFilterAll[[#This Row],[Provider name]], PeersCritera[RP_Name], 0 ) ) = 1 )</f>
        <v>1</v>
      </c>
      <c r="AT886" s="30" t="str" cm="1">
        <f t="array" ref="AT886" xml:space="preserve"> SUBSTITUTE( INDEX( VfM_Metrics_2023_Consol_Source[], $AK886, AT$832 ), 0, "" )</f>
        <v/>
      </c>
      <c r="AU886" s="34" cm="1">
        <f t="array" ref="AU886" xml:space="preserve"> INDEX( VfM_Metrics_2023_Consol_Source[], $AK886, AU$832 )</f>
        <v>0</v>
      </c>
      <c r="AV886" s="34" cm="1">
        <f t="array" ref="AV886" xml:space="preserve"> INDEX( VfM_Metrics_2023_Consol_Source[], $AK886, AV$832 )</f>
        <v>0</v>
      </c>
      <c r="AW886" s="34" cm="1">
        <f t="array" ref="AW886" xml:space="preserve"> INDEX( VfM_Metrics_2023_Consol_Source[], $AK886, AW$832 )</f>
        <v>0</v>
      </c>
      <c r="AX886" s="34" cm="1">
        <f t="array" ref="AX886" xml:space="preserve"> INDEX( VfM_Metrics_2023_Consol_Source[], $AK886, AX$832 )</f>
        <v>0</v>
      </c>
      <c r="AY886" s="34" cm="1">
        <f t="array" ref="AY886" xml:space="preserve"> INDEX( VfM_Metrics_2023_Consol_Source[], $AK886, AY$832 )</f>
        <v>0</v>
      </c>
      <c r="AZ886" s="34" cm="1">
        <f t="array" ref="AZ886" xml:space="preserve"> INDEX( VfM_Metrics_2023_Consol_Source[], $AK886, AZ$832 )</f>
        <v>1</v>
      </c>
      <c r="BA886" s="34" cm="1">
        <f t="array" ref="BA886" xml:space="preserve"> INDEX( VfM_Metrics_2023_Consol_Source[], $AK886, BA$832 )</f>
        <v>0</v>
      </c>
      <c r="BB886" s="34" cm="1">
        <f t="array" ref="BB886" xml:space="preserve"> INDEX( VfM_Metrics_2023_Consol_Source[], $AK886, BB$832 )</f>
        <v>0</v>
      </c>
      <c r="BC886" s="34" cm="1">
        <f t="array" ref="BC886" xml:space="preserve"> INDEX( VfM_Metrics_2023_Consol_Source[], $AK886, BC$832 )</f>
        <v>0</v>
      </c>
    </row>
    <row r="887" spans="2:55" x14ac:dyDescent="0.2">
      <c r="B887" s="122" t="str" vm="54">
        <f t="shared" ref="B887" si="389" xml:space="preserve"> B677</f>
        <v>Flagship Housing Group Limited</v>
      </c>
      <c r="C887" s="122" t="str" vm="255">
        <f t="shared" si="368"/>
        <v>4651</v>
      </c>
      <c r="D887" s="30" cm="1">
        <f t="array" ref="D887" xml:space="preserve"> INDEX( VfM_Metrics_2023_Consol_Source[], $AK887, D$832 )</f>
        <v>8.6372255379854865E-2</v>
      </c>
      <c r="E887" s="35">
        <f xml:space="preserve"> IF( tblFilterAll[[#This Row],[Reinvestment]] &lt; D$825, 4, IF( tblFilterAll[[#This Row],[Reinvestment]] &lt; D$826, 3, IF( tblFilterAll[[#This Row],[Reinvestment]] &lt; D$827, 2, 1 ) ) )</f>
        <v>2</v>
      </c>
      <c r="F887" s="35">
        <f xml:space="preserve"> COUNTIFS( tblFilterAll[Include in output], 1, tblFilterAll[Reinvestment], "&gt;" &amp; tblFilterAll[[#This Row],[Reinvestment]] ) + 1</f>
        <v>61</v>
      </c>
      <c r="G887" s="30" cm="1">
        <f t="array" ref="G887" xml:space="preserve"> INDEX( VfM_Metrics_2023_Consol_Source[], $AK887, G$832 )</f>
        <v>1.9581155071611966E-2</v>
      </c>
      <c r="H887" s="35">
        <f xml:space="preserve"> IF( tblFilterAll[[#This Row],[New Supply (Social)]] &lt; G$825, 4, IF( tblFilterAll[[#This Row],[New Supply (Social)]] &lt; G$826, 3, IF( tblFilterAll[[#This Row],[New Supply (Social)]] &lt; G$827, 2, 1 ) ) )</f>
        <v>2</v>
      </c>
      <c r="I887" s="35">
        <f xml:space="preserve"> COUNTIFS( tblFilterAll[Include in output], 1, tblFilterAll[New Supply (Social)], "&gt;" &amp; tblFilterAll[[#This Row],[New Supply (Social)]] ) + 1</f>
        <v>61</v>
      </c>
      <c r="J887" s="31" cm="1">
        <f t="array" ref="J887" xml:space="preserve"> INDEX( VfM_Metrics_2023_Consol_Source[], $AK887, J$832 )</f>
        <v>3.4260984552503455E-3</v>
      </c>
      <c r="K887" s="35">
        <f xml:space="preserve"> IF( tblFilterAll[[#This Row],[New Supply (Non-Social)]] &lt; J$825, 4, IF( tblFilterAll[[#This Row],[New Supply (Non-Social)]] &lt; J$826, 3, IF( tblFilterAll[[#This Row],[New Supply (Non-Social)]] &lt; J$827, 2, 1 ) ) )</f>
        <v>1</v>
      </c>
      <c r="L887" s="35">
        <f xml:space="preserve"> COUNTIFS( tblFilterAll[Include in output], 1, tblFilterAll[New Supply (Non-Social)], "&gt;" &amp; tblFilterAll[[#This Row],[New Supply (Non-Social)]] ) + 1</f>
        <v>27</v>
      </c>
      <c r="M887" s="30" cm="1">
        <f t="array" ref="M887" xml:space="preserve"> INDEX( VfM_Metrics_2023_Consol_Source[], $AK887, M$832 )</f>
        <v>0.44532535040220766</v>
      </c>
      <c r="N887" s="35">
        <f xml:space="preserve"> IF( tblFilterAll[[#This Row],[Gearing]] &lt; M$825, 4, IF( tblFilterAll[[#This Row],[Gearing]] &lt; M$826, 3, IF( tblFilterAll[[#This Row],[Gearing]] &lt; M$827, 2, 1 ) ) )</f>
        <v>3</v>
      </c>
      <c r="O887" s="35">
        <f xml:space="preserve"> COUNTIFS( tblFilterAll[Include in output], 1, tblFilterAll[Gearing], "&gt;" &amp; tblFilterAll[[#This Row],[Gearing]] ) + 1</f>
        <v>106</v>
      </c>
      <c r="P887" s="30" cm="1">
        <f t="array" ref="P887" xml:space="preserve"> INDEX( VfM_Metrics_2023_Consol_Source[], $AK887, P$832 )</f>
        <v>1.305652559928973</v>
      </c>
      <c r="Q887" s="35">
        <f xml:space="preserve"> IF( tblFilterAll[[#This Row],[EBITDA MRI Interest Cover]] &lt; P$825, 4, IF( tblFilterAll[[#This Row],[EBITDA MRI Interest Cover]] &lt; P$826, 3, IF( tblFilterAll[[#This Row],[EBITDA MRI Interest Cover]] &lt; P$827, 2, 1 ) ) )</f>
        <v>2</v>
      </c>
      <c r="R887" s="35">
        <f xml:space="preserve"> COUNTIFS( tblFilterAll[Include in output], 1, tblFilterAll[EBITDA MRI Interest Cover], "&gt;" &amp; tblFilterAll[[#This Row],[EBITDA MRI Interest Cover]] ) + 1</f>
        <v>92</v>
      </c>
      <c r="S887" s="32" cm="1">
        <f t="array" ref="S887" xml:space="preserve"> INDEX( VfM_Metrics_2023_Consol_Source[], $AK887, S$832 )</f>
        <v>4380.3738906023791</v>
      </c>
      <c r="T887" s="35">
        <f xml:space="preserve"> IF( tblFilterAll[[#This Row],[Headline Social Housing Cost per unit]] &lt; S$825, 4, IF( tblFilterAll[[#This Row],[Headline Social Housing Cost per unit]] &lt; S$826, 3, IF( tblFilterAll[[#This Row],[Headline Social Housing Cost per unit]] &lt; S$827, 2, 1 ) ) )</f>
        <v>3</v>
      </c>
      <c r="U887" s="35">
        <f xml:space="preserve"> COUNTIFS( tblFilterAll[Include in output], 1, tblFilterAll[Headline Social Housing Cost per unit], "&gt;" &amp; tblFilterAll[[#This Row],[Headline Social Housing Cost per unit]] ) + 1</f>
        <v>118</v>
      </c>
      <c r="V887" s="30" cm="1">
        <f t="array" ref="V887" xml:space="preserve"> INDEX( VfM_Metrics_2023_Consol_Source[], $AK887, V$832 )</f>
        <v>0.28380265231643226</v>
      </c>
      <c r="W887" s="35">
        <f xml:space="preserve"> IF( tblFilterAll[[#This Row],[Operating Margin (SHL)]] &lt; V$825, 4, IF( tblFilterAll[[#This Row],[Operating Margin (SHL)]] &lt; V$826, 3, IF( tblFilterAll[[#This Row],[Operating Margin (SHL)]] &lt; V$827, 2, 1 ) ) )</f>
        <v>1</v>
      </c>
      <c r="X887" s="35">
        <f xml:space="preserve"> COUNTIFS( tblFilterAll[Include in output], 1, tblFilterAll[Operating Margin (SHL)], "&gt;" &amp; tblFilterAll[[#This Row],[Operating Margin (SHL)]] ) + 1</f>
        <v>32</v>
      </c>
      <c r="Y887" s="30" cm="1">
        <f t="array" ref="Y887" xml:space="preserve"> INDEX( VfM_Metrics_2023_Consol_Source[], $AK887, Y$832 )</f>
        <v>0.24284338370173805</v>
      </c>
      <c r="Z887" s="35">
        <f xml:space="preserve"> IF( tblFilterAll[[#This Row],[Operating Margin (Overall)]] &lt; Y$825, 4, IF( tblFilterAll[[#This Row],[Operating Margin (Overall)]] &lt; Y$826, 3, IF( tblFilterAll[[#This Row],[Operating Margin (Overall)]] &lt; Y$827, 2, 1 ) ) )</f>
        <v>1</v>
      </c>
      <c r="AA887" s="35">
        <f xml:space="preserve"> COUNTIFS( tblFilterAll[Include in output], 1, tblFilterAll[Operating Margin (Overall)], "&gt;" &amp; tblFilterAll[[#This Row],[Operating Margin (Overall)]] ) + 1</f>
        <v>41</v>
      </c>
      <c r="AB887" s="30" cm="1">
        <f t="array" ref="AB887" xml:space="preserve"> INDEX( VfM_Metrics_2023_Consol_Source[], $AK887, AB$832 )</f>
        <v>3.7180599218135081E-2</v>
      </c>
      <c r="AC887" s="35">
        <f xml:space="preserve"> IF( tblFilterAll[[#This Row],[ROCE]] &lt; AB$825, 4, IF( tblFilterAll[[#This Row],[ROCE]] &lt; AB$826, 3, IF( tblFilterAll[[#This Row],[ROCE]] &lt; AB$827, 2, 1 ) ) )</f>
        <v>1</v>
      </c>
      <c r="AD887" s="35">
        <f xml:space="preserve"> COUNTIFS( tblFilterAll[Include in output], 1, tblFilterAll[ROCE], "&gt;" &amp; tblFilterAll[[#This Row],[ROCE]] ) + 1</f>
        <v>43</v>
      </c>
      <c r="AE887" s="33" cm="1" vm="1889">
        <f t="array" ref="AE887" xml:space="preserve"> INDEX( VfM_Metrics_2023_Consol_Source[], $AK887, AE$832 )</f>
        <v>31550</v>
      </c>
      <c r="AF887" s="30" cm="1">
        <f t="array" ref="AF887" xml:space="preserve"> INDEX( VfM_Metrics_2023_Consol_Source[], $AK887, AF$832 )</f>
        <v>7.7697108648579795E-3</v>
      </c>
      <c r="AG887" s="30" cm="1">
        <f t="array" ref="AG887" xml:space="preserve"> INDEX( VfM_Metrics_2023_Consol_Source[], $AK887, AG$832 )</f>
        <v>1.3437778626926506E-2</v>
      </c>
      <c r="AH887" s="30" cm="1">
        <f t="array" ref="AH887" xml:space="preserve"> INDEX( VfM_Metrics_2023_Consol_Source[], $AK887, AH$832 )</f>
        <v>2.1207489491784484E-2</v>
      </c>
      <c r="AI887" s="30" t="str" cm="1">
        <f t="array" ref="AI887" xml:space="preserve"> INDEX( VfM_Metrics_2023_Consol_Source[], $AK887, AI$832 )</f>
        <v>Traditional</v>
      </c>
      <c r="AJ887" s="34" t="str" cm="1">
        <f t="array" ref="AJ887" xml:space="preserve"> INDEX( VfM_Metrics_2023_Consol_Source[], $AK887, AJ$832 )</f>
        <v>East of England</v>
      </c>
      <c r="AK887" s="81">
        <f xml:space="preserve"> MATCH( tblFilterAll[[#This Row],[Code]], VfM_Metrics_2023_Consol_Source[RP_Code], 0 )</f>
        <v>54</v>
      </c>
      <c r="AL887" s="24">
        <f xml:space="preserve"> INDEX( tblFilterRegion[Include for region],  MATCH( tblFilterAll[[#This Row],[Code]], tblFilterRegion[RP_Code], 0 ) )</f>
        <v>1</v>
      </c>
      <c r="AM887" s="24">
        <f xml:space="preserve"> INDEX( tblFilterPropType[Incl for prop type],  MATCH( tblFilterAll[[#This Row],[Code]], tblFilterPropType[RP_Code], 0 ) )</f>
        <v>1</v>
      </c>
      <c r="AN887" s="24">
        <f xml:space="preserve"> INDEX( tblFilterSize[Incl for size],  MATCH( tblFilterAll[[#This Row],[Code]], tblFilterSize[RP_Code], 0 ) )</f>
        <v>1</v>
      </c>
      <c r="AO887" s="24">
        <f xml:space="preserve"> INDEX( tblFilterRP_Type[Incl, for RP Type],  MATCH( tblFilterAll[[#This Row],[Code]], tblFilterRP_Type[RP_Code], 0 ) )</f>
        <v>1</v>
      </c>
      <c r="AP887" s="24">
        <f xml:space="preserve">  -- ( SUM( tblFilterAll[[#This Row],[Filter Region]:[Filter RP Type]] ) = 4 )</f>
        <v>1</v>
      </c>
      <c r="AQ887" s="24">
        <f xml:space="preserve"> -- ( tblFilterAll[[#This Row],[Provider name]] = SelectedProvider )</f>
        <v>0</v>
      </c>
      <c r="AR887" s="24">
        <f xml:space="preserve">  -- ( OR( SUM( tblFilterAll[[#This Row],[Filter Region]:[Filter RP Type]] ) = 4, tblFilterAll[[#This Row],[SelectedProvider]] = 1 ) )</f>
        <v>1</v>
      </c>
      <c r="AS887" s="24">
        <f xml:space="preserve"> -- ( INDEX( PeersCritera[Included in final peers], MATCH( tblFilterAll[[#This Row],[Provider name]], PeersCritera[RP_Name], 0 ) ) = 1 )</f>
        <v>1</v>
      </c>
      <c r="AT887" s="30" t="str" cm="1">
        <f t="array" ref="AT887" xml:space="preserve"> SUBSTITUTE( INDEX( VfM_Metrics_2023_Consol_Source[], $AK887, AT$832 ), 0, "" )</f>
        <v>&gt;= 12 years</v>
      </c>
      <c r="AU887" s="34" cm="1">
        <f t="array" ref="AU887" xml:space="preserve"> INDEX( VfM_Metrics_2023_Consol_Source[], $AK887, AU$832 )</f>
        <v>0</v>
      </c>
      <c r="AV887" s="34" cm="1">
        <f t="array" ref="AV887" xml:space="preserve"> INDEX( VfM_Metrics_2023_Consol_Source[], $AK887, AV$832 )</f>
        <v>0</v>
      </c>
      <c r="AW887" s="34" cm="1">
        <f t="array" ref="AW887" xml:space="preserve"> INDEX( VfM_Metrics_2023_Consol_Source[], $AK887, AW$832 )</f>
        <v>0</v>
      </c>
      <c r="AX887" s="34" cm="1">
        <f t="array" ref="AX887" xml:space="preserve"> INDEX( VfM_Metrics_2023_Consol_Source[], $AK887, AX$832 )</f>
        <v>0</v>
      </c>
      <c r="AY887" s="34" cm="1">
        <f t="array" ref="AY887" xml:space="preserve"> INDEX( VfM_Metrics_2023_Consol_Source[], $AK887, AY$832 )</f>
        <v>0</v>
      </c>
      <c r="AZ887" s="34" cm="1">
        <f t="array" ref="AZ887" xml:space="preserve"> INDEX( VfM_Metrics_2023_Consol_Source[], $AK887, AZ$832 )</f>
        <v>1</v>
      </c>
      <c r="BA887" s="34" cm="1">
        <f t="array" ref="BA887" xml:space="preserve"> INDEX( VfM_Metrics_2023_Consol_Source[], $AK887, BA$832 )</f>
        <v>0</v>
      </c>
      <c r="BB887" s="34" cm="1">
        <f t="array" ref="BB887" xml:space="preserve"> INDEX( VfM_Metrics_2023_Consol_Source[], $AK887, BB$832 )</f>
        <v>0</v>
      </c>
      <c r="BC887" s="34" cm="1">
        <f t="array" ref="BC887" xml:space="preserve"> INDEX( VfM_Metrics_2023_Consol_Source[], $AK887, BC$832 )</f>
        <v>0</v>
      </c>
    </row>
    <row r="888" spans="2:55" x14ac:dyDescent="0.2">
      <c r="B888" s="122" t="str" vm="55">
        <f t="shared" ref="B888" si="390" xml:space="preserve"> B678</f>
        <v>ForHousing Limited</v>
      </c>
      <c r="C888" s="122" t="str" vm="296">
        <f t="shared" si="368"/>
        <v>L4528</v>
      </c>
      <c r="D888" s="30" cm="1">
        <f t="array" ref="D888" xml:space="preserve"> INDEX( VfM_Metrics_2023_Consol_Source[], $AK888, D$832 )</f>
        <v>6.7141445545031694E-2</v>
      </c>
      <c r="E888" s="35">
        <f xml:space="preserve"> IF( tblFilterAll[[#This Row],[Reinvestment]] &lt; D$825, 4, IF( tblFilterAll[[#This Row],[Reinvestment]] &lt; D$826, 3, IF( tblFilterAll[[#This Row],[Reinvestment]] &lt; D$827, 2, 1 ) ) )</f>
        <v>3</v>
      </c>
      <c r="F888" s="35">
        <f xml:space="preserve"> COUNTIFS( tblFilterAll[Include in output], 1, tblFilterAll[Reinvestment], "&gt;" &amp; tblFilterAll[[#This Row],[Reinvestment]] ) + 1</f>
        <v>100</v>
      </c>
      <c r="G888" s="30" cm="1">
        <f t="array" ref="G888" xml:space="preserve"> INDEX( VfM_Metrics_2023_Consol_Source[], $AK888, G$832 )</f>
        <v>8.9376053962900506E-3</v>
      </c>
      <c r="H888" s="35">
        <f xml:space="preserve"> IF( tblFilterAll[[#This Row],[New Supply (Social)]] &lt; G$825, 4, IF( tblFilterAll[[#This Row],[New Supply (Social)]] &lt; G$826, 3, IF( tblFilterAll[[#This Row],[New Supply (Social)]] &lt; G$827, 2, 1 ) ) )</f>
        <v>3</v>
      </c>
      <c r="I888" s="35">
        <f xml:space="preserve"> COUNTIFS( tblFilterAll[Include in output], 1, tblFilterAll[New Supply (Social)], "&gt;" &amp; tblFilterAll[[#This Row],[New Supply (Social)]] ) + 1</f>
        <v>132</v>
      </c>
      <c r="J888" s="31" cm="1">
        <f t="array" ref="J888" xml:space="preserve"> INDEX( VfM_Metrics_2023_Consol_Source[], $AK888, J$832 )</f>
        <v>1.4838569409718448E-2</v>
      </c>
      <c r="K888" s="35">
        <f xml:space="preserve"> IF( tblFilterAll[[#This Row],[New Supply (Non-Social)]] &lt; J$825, 4, IF( tblFilterAll[[#This Row],[New Supply (Non-Social)]] &lt; J$826, 3, IF( tblFilterAll[[#This Row],[New Supply (Non-Social)]] &lt; J$827, 2, 1 ) ) )</f>
        <v>1</v>
      </c>
      <c r="L888" s="35">
        <f xml:space="preserve"> COUNTIFS( tblFilterAll[Include in output], 1, tblFilterAll[New Supply (Non-Social)], "&gt;" &amp; tblFilterAll[[#This Row],[New Supply (Non-Social)]] ) + 1</f>
        <v>3</v>
      </c>
      <c r="M888" s="30" cm="1">
        <f t="array" ref="M888" xml:space="preserve"> INDEX( VfM_Metrics_2023_Consol_Source[], $AK888, M$832 )</f>
        <v>0.48408888246210202</v>
      </c>
      <c r="N888" s="35">
        <f xml:space="preserve"> IF( tblFilterAll[[#This Row],[Gearing]] &lt; M$825, 4, IF( tblFilterAll[[#This Row],[Gearing]] &lt; M$826, 3, IF( tblFilterAll[[#This Row],[Gearing]] &lt; M$827, 2, 1 ) ) )</f>
        <v>2</v>
      </c>
      <c r="O888" s="35">
        <f xml:space="preserve"> COUNTIFS( tblFilterAll[Include in output], 1, tblFilterAll[Gearing], "&gt;" &amp; tblFilterAll[[#This Row],[Gearing]] ) + 1</f>
        <v>79</v>
      </c>
      <c r="P888" s="30" cm="1">
        <f t="array" ref="P888" xml:space="preserve"> INDEX( VfM_Metrics_2023_Consol_Source[], $AK888, P$832 )</f>
        <v>1.4383534533940234</v>
      </c>
      <c r="Q888" s="35">
        <f xml:space="preserve"> IF( tblFilterAll[[#This Row],[EBITDA MRI Interest Cover]] &lt; P$825, 4, IF( tblFilterAll[[#This Row],[EBITDA MRI Interest Cover]] &lt; P$826, 3, IF( tblFilterAll[[#This Row],[EBITDA MRI Interest Cover]] &lt; P$827, 2, 1 ) ) )</f>
        <v>2</v>
      </c>
      <c r="R888" s="35">
        <f xml:space="preserve"> COUNTIFS( tblFilterAll[Include in output], 1, tblFilterAll[EBITDA MRI Interest Cover], "&gt;" &amp; tblFilterAll[[#This Row],[EBITDA MRI Interest Cover]] ) + 1</f>
        <v>74</v>
      </c>
      <c r="S888" s="32" cm="1">
        <f t="array" ref="S888" xml:space="preserve"> INDEX( VfM_Metrics_2023_Consol_Source[], $AK888, S$832 )</f>
        <v>4025.4138894861321</v>
      </c>
      <c r="T888" s="35">
        <f xml:space="preserve"> IF( tblFilterAll[[#This Row],[Headline Social Housing Cost per unit]] &lt; S$825, 4, IF( tblFilterAll[[#This Row],[Headline Social Housing Cost per unit]] &lt; S$826, 3, IF( tblFilterAll[[#This Row],[Headline Social Housing Cost per unit]] &lt; S$827, 2, 1 ) ) )</f>
        <v>4</v>
      </c>
      <c r="U888" s="35">
        <f xml:space="preserve"> COUNTIFS( tblFilterAll[Include in output], 1, tblFilterAll[Headline Social Housing Cost per unit], "&gt;" &amp; tblFilterAll[[#This Row],[Headline Social Housing Cost per unit]] ) + 1</f>
        <v>159</v>
      </c>
      <c r="V888" s="30" cm="1">
        <f t="array" ref="V888" xml:space="preserve"> INDEX( VfM_Metrics_2023_Consol_Source[], $AK888, V$832 )</f>
        <v>0.15348069276905452</v>
      </c>
      <c r="W888" s="35">
        <f xml:space="preserve"> IF( tblFilterAll[[#This Row],[Operating Margin (SHL)]] &lt; V$825, 4, IF( tblFilterAll[[#This Row],[Operating Margin (SHL)]] &lt; V$826, 3, IF( tblFilterAll[[#This Row],[Operating Margin (SHL)]] &lt; V$827, 2, 1 ) ) )</f>
        <v>3</v>
      </c>
      <c r="X888" s="35">
        <f xml:space="preserve"> COUNTIFS( tblFilterAll[Include in output], 1, tblFilterAll[Operating Margin (SHL)], "&gt;" &amp; tblFilterAll[[#This Row],[Operating Margin (SHL)]] ) + 1</f>
        <v>142</v>
      </c>
      <c r="Y888" s="30" cm="1">
        <f t="array" ref="Y888" xml:space="preserve"> INDEX( VfM_Metrics_2023_Consol_Source[], $AK888, Y$832 )</f>
        <v>0.12834592712742809</v>
      </c>
      <c r="Z888" s="35">
        <f xml:space="preserve"> IF( tblFilterAll[[#This Row],[Operating Margin (Overall)]] &lt; Y$825, 4, IF( tblFilterAll[[#This Row],[Operating Margin (Overall)]] &lt; Y$826, 3, IF( tblFilterAll[[#This Row],[Operating Margin (Overall)]] &lt; Y$827, 2, 1 ) ) )</f>
        <v>3</v>
      </c>
      <c r="AA888" s="35">
        <f xml:space="preserve"> COUNTIFS( tblFilterAll[Include in output], 1, tblFilterAll[Operating Margin (Overall)], "&gt;" &amp; tblFilterAll[[#This Row],[Operating Margin (Overall)]] ) + 1</f>
        <v>146</v>
      </c>
      <c r="AB888" s="30" cm="1">
        <f t="array" ref="AB888" xml:space="preserve"> INDEX( VfM_Metrics_2023_Consol_Source[], $AK888, AB$832 )</f>
        <v>4.0153920119912048E-2</v>
      </c>
      <c r="AC888" s="35">
        <f xml:space="preserve"> IF( tblFilterAll[[#This Row],[ROCE]] &lt; AB$825, 4, IF( tblFilterAll[[#This Row],[ROCE]] &lt; AB$826, 3, IF( tblFilterAll[[#This Row],[ROCE]] &lt; AB$827, 2, 1 ) ) )</f>
        <v>1</v>
      </c>
      <c r="AD888" s="35">
        <f xml:space="preserve"> COUNTIFS( tblFilterAll[Include in output], 1, tblFilterAll[ROCE], "&gt;" &amp; tblFilterAll[[#This Row],[ROCE]] ) + 1</f>
        <v>30</v>
      </c>
      <c r="AE888" s="33" cm="1" vm="3209">
        <f t="array" ref="AE888" xml:space="preserve"> INDEX( VfM_Metrics_2023_Consol_Source[], $AK888, AE$832 )</f>
        <v>17790</v>
      </c>
      <c r="AF888" s="30" cm="1">
        <f t="array" ref="AF888" xml:space="preserve"> INDEX( VfM_Metrics_2023_Consol_Source[], $AK888, AF$832 )</f>
        <v>7.8816058063052849E-2</v>
      </c>
      <c r="AG888" s="30" cm="1">
        <f t="array" ref="AG888" xml:space="preserve"> INDEX( VfM_Metrics_2023_Consol_Source[], $AK888, AG$832 )</f>
        <v>0</v>
      </c>
      <c r="AH888" s="30" cm="1">
        <f t="array" ref="AH888" xml:space="preserve"> INDEX( VfM_Metrics_2023_Consol_Source[], $AK888, AH$832 )</f>
        <v>7.8816058063052849E-2</v>
      </c>
      <c r="AI888" s="30" t="str" cm="1">
        <f t="array" ref="AI888" xml:space="preserve"> INDEX( VfM_Metrics_2023_Consol_Source[], $AK888, AI$832 )</f>
        <v>Traditional</v>
      </c>
      <c r="AJ888" s="34" t="str" cm="1">
        <f t="array" ref="AJ888" xml:space="preserve"> INDEX( VfM_Metrics_2023_Consol_Source[], $AK888, AJ$832 )</f>
        <v>North West</v>
      </c>
      <c r="AK888" s="81">
        <f xml:space="preserve"> MATCH( tblFilterAll[[#This Row],[Code]], VfM_Metrics_2023_Consol_Source[RP_Code], 0 )</f>
        <v>55</v>
      </c>
      <c r="AL888" s="24">
        <f xml:space="preserve"> INDEX( tblFilterRegion[Include for region],  MATCH( tblFilterAll[[#This Row],[Code]], tblFilterRegion[RP_Code], 0 ) )</f>
        <v>1</v>
      </c>
      <c r="AM888" s="24">
        <f xml:space="preserve"> INDEX( tblFilterPropType[Incl for prop type],  MATCH( tblFilterAll[[#This Row],[Code]], tblFilterPropType[RP_Code], 0 ) )</f>
        <v>1</v>
      </c>
      <c r="AN888" s="24">
        <f xml:space="preserve"> INDEX( tblFilterSize[Incl for size],  MATCH( tblFilterAll[[#This Row],[Code]], tblFilterSize[RP_Code], 0 ) )</f>
        <v>1</v>
      </c>
      <c r="AO888" s="24">
        <f xml:space="preserve"> INDEX( tblFilterRP_Type[Incl, for RP Type],  MATCH( tblFilterAll[[#This Row],[Code]], tblFilterRP_Type[RP_Code], 0 ) )</f>
        <v>1</v>
      </c>
      <c r="AP888" s="24">
        <f xml:space="preserve">  -- ( SUM( tblFilterAll[[#This Row],[Filter Region]:[Filter RP Type]] ) = 4 )</f>
        <v>1</v>
      </c>
      <c r="AQ888" s="24">
        <f xml:space="preserve"> -- ( tblFilterAll[[#This Row],[Provider name]] = SelectedProvider )</f>
        <v>0</v>
      </c>
      <c r="AR888" s="24">
        <f xml:space="preserve">  -- ( OR( SUM( tblFilterAll[[#This Row],[Filter Region]:[Filter RP Type]] ) = 4, tblFilterAll[[#This Row],[SelectedProvider]] = 1 ) )</f>
        <v>1</v>
      </c>
      <c r="AS888" s="24">
        <f xml:space="preserve"> -- ( INDEX( PeersCritera[Included in final peers], MATCH( tblFilterAll[[#This Row],[Provider name]], PeersCritera[RP_Name], 0 ) ) = 1 )</f>
        <v>1</v>
      </c>
      <c r="AT888" s="30" t="str" cm="1">
        <f t="array" ref="AT888" xml:space="preserve"> SUBSTITUTE( INDEX( VfM_Metrics_2023_Consol_Source[], $AK888, AT$832 ), 0, "" )</f>
        <v>&gt;= 12 years</v>
      </c>
      <c r="AU888" s="34" cm="1">
        <f t="array" ref="AU888" xml:space="preserve"> INDEX( VfM_Metrics_2023_Consol_Source[], $AK888, AU$832 )</f>
        <v>0</v>
      </c>
      <c r="AV888" s="34" cm="1">
        <f t="array" ref="AV888" xml:space="preserve"> INDEX( VfM_Metrics_2023_Consol_Source[], $AK888, AV$832 )</f>
        <v>0</v>
      </c>
      <c r="AW888" s="34" cm="1">
        <f t="array" ref="AW888" xml:space="preserve"> INDEX( VfM_Metrics_2023_Consol_Source[], $AK888, AW$832 )</f>
        <v>0</v>
      </c>
      <c r="AX888" s="34" cm="1">
        <f t="array" ref="AX888" xml:space="preserve"> INDEX( VfM_Metrics_2023_Consol_Source[], $AK888, AX$832 )</f>
        <v>0</v>
      </c>
      <c r="AY888" s="34" cm="1">
        <f t="array" ref="AY888" xml:space="preserve"> INDEX( VfM_Metrics_2023_Consol_Source[], $AK888, AY$832 )</f>
        <v>0</v>
      </c>
      <c r="AZ888" s="34" cm="1">
        <f t="array" ref="AZ888" xml:space="preserve"> INDEX( VfM_Metrics_2023_Consol_Source[], $AK888, AZ$832 )</f>
        <v>0</v>
      </c>
      <c r="BA888" s="34" cm="1">
        <f t="array" ref="BA888" xml:space="preserve"> INDEX( VfM_Metrics_2023_Consol_Source[], $AK888, BA$832 )</f>
        <v>0</v>
      </c>
      <c r="BB888" s="34" cm="1">
        <f t="array" ref="BB888" xml:space="preserve"> INDEX( VfM_Metrics_2023_Consol_Source[], $AK888, BB$832 )</f>
        <v>1</v>
      </c>
      <c r="BC888" s="34" cm="1">
        <f t="array" ref="BC888" xml:space="preserve"> INDEX( VfM_Metrics_2023_Consol_Source[], $AK888, BC$832 )</f>
        <v>0</v>
      </c>
    </row>
    <row r="889" spans="2:55" x14ac:dyDescent="0.2">
      <c r="B889" s="122" t="str" vm="56">
        <f t="shared" ref="B889" si="391" xml:space="preserve"> B679</f>
        <v>Framework Housing Association</v>
      </c>
      <c r="C889" s="122" t="str" vm="200">
        <f t="shared" si="368"/>
        <v>LH4184</v>
      </c>
      <c r="D889" s="30" cm="1">
        <f t="array" ref="D889" xml:space="preserve"> INDEX( VfM_Metrics_2023_Consol_Source[], $AK889, D$832 )</f>
        <v>6.4498138853222309E-2</v>
      </c>
      <c r="E889" s="35">
        <f xml:space="preserve"> IF( tblFilterAll[[#This Row],[Reinvestment]] &lt; D$825, 4, IF( tblFilterAll[[#This Row],[Reinvestment]] &lt; D$826, 3, IF( tblFilterAll[[#This Row],[Reinvestment]] &lt; D$827, 2, 1 ) ) )</f>
        <v>3</v>
      </c>
      <c r="F889" s="35">
        <f xml:space="preserve"> COUNTIFS( tblFilterAll[Include in output], 1, tblFilterAll[Reinvestment], "&gt;" &amp; tblFilterAll[[#This Row],[Reinvestment]] ) + 1</f>
        <v>109</v>
      </c>
      <c r="G889" s="30" cm="1">
        <f t="array" ref="G889" xml:space="preserve"> INDEX( VfM_Metrics_2023_Consol_Source[], $AK889, G$832 )</f>
        <v>4.4153720359771054E-2</v>
      </c>
      <c r="H889" s="35">
        <f xml:space="preserve"> IF( tblFilterAll[[#This Row],[New Supply (Social)]] &lt; G$825, 4, IF( tblFilterAll[[#This Row],[New Supply (Social)]] &lt; G$826, 3, IF( tblFilterAll[[#This Row],[New Supply (Social)]] &lt; G$827, 2, 1 ) ) )</f>
        <v>1</v>
      </c>
      <c r="I889" s="35">
        <f xml:space="preserve"> COUNTIFS( tblFilterAll[Include in output], 1, tblFilterAll[New Supply (Social)], "&gt;" &amp; tblFilterAll[[#This Row],[New Supply (Social)]] ) + 1</f>
        <v>6</v>
      </c>
      <c r="J889" s="31" cm="1">
        <f t="array" ref="J889" xml:space="preserve"> INDEX( VfM_Metrics_2023_Consol_Source[], $AK889, J$832 )</f>
        <v>0</v>
      </c>
      <c r="K889" s="35">
        <f xml:space="preserve"> IF( tblFilterAll[[#This Row],[New Supply (Non-Social)]] &lt; J$825, 4, IF( tblFilterAll[[#This Row],[New Supply (Non-Social)]] &lt; J$826, 3, IF( tblFilterAll[[#This Row],[New Supply (Non-Social)]] &lt; J$827, 2, 1 ) ) )</f>
        <v>2</v>
      </c>
      <c r="L889" s="35">
        <f xml:space="preserve"> COUNTIFS( tblFilterAll[Include in output], 1, tblFilterAll[New Supply (Non-Social)], "&gt;" &amp; tblFilterAll[[#This Row],[New Supply (Non-Social)]] ) + 1</f>
        <v>72</v>
      </c>
      <c r="M889" s="30" cm="1">
        <f t="array" ref="M889" xml:space="preserve"> INDEX( VfM_Metrics_2023_Consol_Source[], $AK889, M$832 )</f>
        <v>6.1320571184000625E-2</v>
      </c>
      <c r="N889" s="35">
        <f xml:space="preserve"> IF( tblFilterAll[[#This Row],[Gearing]] &lt; M$825, 4, IF( tblFilterAll[[#This Row],[Gearing]] &lt; M$826, 3, IF( tblFilterAll[[#This Row],[Gearing]] &lt; M$827, 2, 1 ) ) )</f>
        <v>4</v>
      </c>
      <c r="O889" s="35">
        <f xml:space="preserve"> COUNTIFS( tblFilterAll[Include in output], 1, tblFilterAll[Gearing], "&gt;" &amp; tblFilterAll[[#This Row],[Gearing]] ) + 1</f>
        <v>188</v>
      </c>
      <c r="P889" s="30" cm="1">
        <f t="array" ref="P889" xml:space="preserve"> INDEX( VfM_Metrics_2023_Consol_Source[], $AK889, P$832 )</f>
        <v>2.7260273972602738</v>
      </c>
      <c r="Q889" s="35">
        <f xml:space="preserve"> IF( tblFilterAll[[#This Row],[EBITDA MRI Interest Cover]] &lt; P$825, 4, IF( tblFilterAll[[#This Row],[EBITDA MRI Interest Cover]] &lt; P$826, 3, IF( tblFilterAll[[#This Row],[EBITDA MRI Interest Cover]] &lt; P$827, 2, 1 ) ) )</f>
        <v>1</v>
      </c>
      <c r="R889" s="35">
        <f xml:space="preserve"> COUNTIFS( tblFilterAll[Include in output], 1, tblFilterAll[EBITDA MRI Interest Cover], "&gt;" &amp; tblFilterAll[[#This Row],[EBITDA MRI Interest Cover]] ) + 1</f>
        <v>9</v>
      </c>
      <c r="S889" s="32" cm="1">
        <f t="array" ref="S889" xml:space="preserve"> INDEX( VfM_Metrics_2023_Consol_Source[], $AK889, S$832 )</f>
        <v>28646.294881589001</v>
      </c>
      <c r="T889" s="35">
        <f xml:space="preserve"> IF( tblFilterAll[[#This Row],[Headline Social Housing Cost per unit]] &lt; S$825, 4, IF( tblFilterAll[[#This Row],[Headline Social Housing Cost per unit]] &lt; S$826, 3, IF( tblFilterAll[[#This Row],[Headline Social Housing Cost per unit]] &lt; S$827, 2, 1 ) ) )</f>
        <v>1</v>
      </c>
      <c r="U889" s="35">
        <f xml:space="preserve"> COUNTIFS( tblFilterAll[Include in output], 1, tblFilterAll[Headline Social Housing Cost per unit], "&gt;" &amp; tblFilterAll[[#This Row],[Headline Social Housing Cost per unit]] ) + 1</f>
        <v>2</v>
      </c>
      <c r="V889" s="30" cm="1">
        <f t="array" ref="V889" xml:space="preserve"> INDEX( VfM_Metrics_2023_Consol_Source[], $AK889, V$832 )</f>
        <v>2.5755109423042141E-2</v>
      </c>
      <c r="W889" s="35">
        <f xml:space="preserve"> IF( tblFilterAll[[#This Row],[Operating Margin (SHL)]] &lt; V$825, 4, IF( tblFilterAll[[#This Row],[Operating Margin (SHL)]] &lt; V$826, 3, IF( tblFilterAll[[#This Row],[Operating Margin (SHL)]] &lt; V$827, 2, 1 ) ) )</f>
        <v>4</v>
      </c>
      <c r="X889" s="35">
        <f xml:space="preserve"> COUNTIFS( tblFilterAll[Include in output], 1, tblFilterAll[Operating Margin (SHL)], "&gt;" &amp; tblFilterAll[[#This Row],[Operating Margin (SHL)]] ) + 1</f>
        <v>190</v>
      </c>
      <c r="Y889" s="30" cm="1">
        <f t="array" ref="Y889" xml:space="preserve"> INDEX( VfM_Metrics_2023_Consol_Source[], $AK889, Y$832 )</f>
        <v>1.7418106228944161E-2</v>
      </c>
      <c r="Z889" s="35">
        <f xml:space="preserve"> IF( tblFilterAll[[#This Row],[Operating Margin (Overall)]] &lt; Y$825, 4, IF( tblFilterAll[[#This Row],[Operating Margin (Overall)]] &lt; Y$826, 3, IF( tblFilterAll[[#This Row],[Operating Margin (Overall)]] &lt; Y$827, 2, 1 ) ) )</f>
        <v>4</v>
      </c>
      <c r="AA889" s="35">
        <f xml:space="preserve"> COUNTIFS( tblFilterAll[Include in output], 1, tblFilterAll[Operating Margin (Overall)], "&gt;" &amp; tblFilterAll[[#This Row],[Operating Margin (Overall)]] ) + 1</f>
        <v>190</v>
      </c>
      <c r="AB889" s="30" cm="1">
        <f t="array" ref="AB889" xml:space="preserve"> INDEX( VfM_Metrics_2023_Consol_Source[], $AK889, AB$832 )</f>
        <v>1.1749205236374186E-2</v>
      </c>
      <c r="AC889" s="35">
        <f xml:space="preserve"> IF( tblFilterAll[[#This Row],[ROCE]] &lt; AB$825, 4, IF( tblFilterAll[[#This Row],[ROCE]] &lt; AB$826, 3, IF( tblFilterAll[[#This Row],[ROCE]] &lt; AB$827, 2, 1 ) ) )</f>
        <v>4</v>
      </c>
      <c r="AD889" s="35">
        <f xml:space="preserve"> COUNTIFS( tblFilterAll[Include in output], 1, tblFilterAll[ROCE], "&gt;" &amp; tblFilterAll[[#This Row],[ROCE]] ) + 1</f>
        <v>186</v>
      </c>
      <c r="AE889" s="33" cm="1" vm="624">
        <f t="array" ref="AE889" xml:space="preserve"> INDEX( VfM_Metrics_2023_Consol_Source[], $AK889, AE$832 )</f>
        <v>1223</v>
      </c>
      <c r="AF889" s="30" cm="1">
        <f t="array" ref="AF889" xml:space="preserve"> INDEX( VfM_Metrics_2023_Consol_Source[], $AK889, AF$832 )</f>
        <v>0.84791496320523307</v>
      </c>
      <c r="AG889" s="30" cm="1">
        <f t="array" ref="AG889" xml:space="preserve"> INDEX( VfM_Metrics_2023_Consol_Source[], $AK889, AG$832 )</f>
        <v>0</v>
      </c>
      <c r="AH889" s="30" cm="1">
        <f t="array" ref="AH889" xml:space="preserve"> INDEX( VfM_Metrics_2023_Consol_Source[], $AK889, AH$832 )</f>
        <v>0.84791496320523307</v>
      </c>
      <c r="AI889" s="30" t="str" cm="1">
        <f t="array" ref="AI889" xml:space="preserve"> INDEX( VfM_Metrics_2023_Consol_Source[], $AK889, AI$832 )</f>
        <v>Traditional</v>
      </c>
      <c r="AJ889" s="34" t="str" cm="1">
        <f t="array" ref="AJ889" xml:space="preserve"> INDEX( VfM_Metrics_2023_Consol_Source[], $AK889, AJ$832 )</f>
        <v>East Midlands</v>
      </c>
      <c r="AK889" s="81">
        <f xml:space="preserve"> MATCH( tblFilterAll[[#This Row],[Code]], VfM_Metrics_2023_Consol_Source[RP_Code], 0 )</f>
        <v>56</v>
      </c>
      <c r="AL889" s="24">
        <f xml:space="preserve"> INDEX( tblFilterRegion[Include for region],  MATCH( tblFilterAll[[#This Row],[Code]], tblFilterRegion[RP_Code], 0 ) )</f>
        <v>1</v>
      </c>
      <c r="AM889" s="24">
        <f xml:space="preserve"> INDEX( tblFilterPropType[Incl for prop type],  MATCH( tblFilterAll[[#This Row],[Code]], tblFilterPropType[RP_Code], 0 ) )</f>
        <v>1</v>
      </c>
      <c r="AN889" s="24">
        <f xml:space="preserve"> INDEX( tblFilterSize[Incl for size],  MATCH( tblFilterAll[[#This Row],[Code]], tblFilterSize[RP_Code], 0 ) )</f>
        <v>1</v>
      </c>
      <c r="AO889" s="24">
        <f xml:space="preserve"> INDEX( tblFilterRP_Type[Incl, for RP Type],  MATCH( tblFilterAll[[#This Row],[Code]], tblFilterRP_Type[RP_Code], 0 ) )</f>
        <v>1</v>
      </c>
      <c r="AP889" s="24">
        <f xml:space="preserve">  -- ( SUM( tblFilterAll[[#This Row],[Filter Region]:[Filter RP Type]] ) = 4 )</f>
        <v>1</v>
      </c>
      <c r="AQ889" s="24">
        <f xml:space="preserve"> -- ( tblFilterAll[[#This Row],[Provider name]] = SelectedProvider )</f>
        <v>0</v>
      </c>
      <c r="AR889" s="24">
        <f xml:space="preserve">  -- ( OR( SUM( tblFilterAll[[#This Row],[Filter Region]:[Filter RP Type]] ) = 4, tblFilterAll[[#This Row],[SelectedProvider]] = 1 ) )</f>
        <v>1</v>
      </c>
      <c r="AS889" s="24">
        <f xml:space="preserve"> -- ( INDEX( PeersCritera[Included in final peers], MATCH( tblFilterAll[[#This Row],[Provider name]], PeersCritera[RP_Name], 0 ) ) = 1 )</f>
        <v>1</v>
      </c>
      <c r="AT889" s="30" t="str" cm="1">
        <f t="array" ref="AT889" xml:space="preserve"> SUBSTITUTE( INDEX( VfM_Metrics_2023_Consol_Source[], $AK889, AT$832 ), 0, "" )</f>
        <v/>
      </c>
      <c r="AU889" s="34" cm="1">
        <f t="array" ref="AU889" xml:space="preserve"> INDEX( VfM_Metrics_2023_Consol_Source[], $AK889, AU$832 )</f>
        <v>0</v>
      </c>
      <c r="AV889" s="34" cm="1">
        <f t="array" ref="AV889" xml:space="preserve"> INDEX( VfM_Metrics_2023_Consol_Source[], $AK889, AV$832 )</f>
        <v>0</v>
      </c>
      <c r="AW889" s="34" cm="1">
        <f t="array" ref="AW889" xml:space="preserve"> INDEX( VfM_Metrics_2023_Consol_Source[], $AK889, AW$832 )</f>
        <v>0</v>
      </c>
      <c r="AX889" s="34" cm="1">
        <f t="array" ref="AX889" xml:space="preserve"> INDEX( VfM_Metrics_2023_Consol_Source[], $AK889, AX$832 )</f>
        <v>0.97327586206896555</v>
      </c>
      <c r="AY889" s="34" cm="1">
        <f t="array" ref="AY889" xml:space="preserve"> INDEX( VfM_Metrics_2023_Consol_Source[], $AK889, AY$832 )</f>
        <v>2.5862068965517241E-3</v>
      </c>
      <c r="AZ889" s="34" cm="1">
        <f t="array" ref="AZ889" xml:space="preserve"> INDEX( VfM_Metrics_2023_Consol_Source[], $AK889, AZ$832 )</f>
        <v>0</v>
      </c>
      <c r="BA889" s="34" cm="1">
        <f t="array" ref="BA889" xml:space="preserve"> INDEX( VfM_Metrics_2023_Consol_Source[], $AK889, BA$832 )</f>
        <v>0</v>
      </c>
      <c r="BB889" s="34" cm="1">
        <f t="array" ref="BB889" xml:space="preserve"> INDEX( VfM_Metrics_2023_Consol_Source[], $AK889, BB$832 )</f>
        <v>0</v>
      </c>
      <c r="BC889" s="34" cm="1">
        <f t="array" ref="BC889" xml:space="preserve"> INDEX( VfM_Metrics_2023_Consol_Source[], $AK889, BC$832 )</f>
        <v>2.4137931034482758E-2</v>
      </c>
    </row>
    <row r="890" spans="2:55" x14ac:dyDescent="0.2">
      <c r="B890" s="122" t="str" vm="57">
        <f t="shared" ref="B890" si="392" xml:space="preserve"> B680</f>
        <v>Freebridge Community Housing Limited</v>
      </c>
      <c r="C890" s="122" t="str" vm="388">
        <f t="shared" si="368"/>
        <v>L4463</v>
      </c>
      <c r="D890" s="30" cm="1">
        <f t="array" ref="D890" xml:space="preserve"> INDEX( VfM_Metrics_2023_Consol_Source[], $AK890, D$832 )</f>
        <v>0.10017830291775881</v>
      </c>
      <c r="E890" s="35">
        <f xml:space="preserve"> IF( tblFilterAll[[#This Row],[Reinvestment]] &lt; D$825, 4, IF( tblFilterAll[[#This Row],[Reinvestment]] &lt; D$826, 3, IF( tblFilterAll[[#This Row],[Reinvestment]] &lt; D$827, 2, 1 ) ) )</f>
        <v>1</v>
      </c>
      <c r="F890" s="35">
        <f xml:space="preserve"> COUNTIFS( tblFilterAll[Include in output], 1, tblFilterAll[Reinvestment], "&gt;" &amp; tblFilterAll[[#This Row],[Reinvestment]] ) + 1</f>
        <v>40</v>
      </c>
      <c r="G890" s="30" cm="1">
        <f t="array" ref="G890" xml:space="preserve"> INDEX( VfM_Metrics_2023_Consol_Source[], $AK890, G$832 )</f>
        <v>5.2804338518624237E-3</v>
      </c>
      <c r="H890" s="35">
        <f xml:space="preserve"> IF( tblFilterAll[[#This Row],[New Supply (Social)]] &lt; G$825, 4, IF( tblFilterAll[[#This Row],[New Supply (Social)]] &lt; G$826, 3, IF( tblFilterAll[[#This Row],[New Supply (Social)]] &lt; G$827, 2, 1 ) ) )</f>
        <v>4</v>
      </c>
      <c r="I890" s="35">
        <f xml:space="preserve"> COUNTIFS( tblFilterAll[Include in output], 1, tblFilterAll[New Supply (Social)], "&gt;" &amp; tblFilterAll[[#This Row],[New Supply (Social)]] ) + 1</f>
        <v>157</v>
      </c>
      <c r="J890" s="31" cm="1">
        <f t="array" ref="J890" xml:space="preserve"> INDEX( VfM_Metrics_2023_Consol_Source[], $AK890, J$832 )</f>
        <v>0</v>
      </c>
      <c r="K890" s="35">
        <f xml:space="preserve"> IF( tblFilterAll[[#This Row],[New Supply (Non-Social)]] &lt; J$825, 4, IF( tblFilterAll[[#This Row],[New Supply (Non-Social)]] &lt; J$826, 3, IF( tblFilterAll[[#This Row],[New Supply (Non-Social)]] &lt; J$827, 2, 1 ) ) )</f>
        <v>2</v>
      </c>
      <c r="L890" s="35">
        <f xml:space="preserve"> COUNTIFS( tblFilterAll[Include in output], 1, tblFilterAll[New Supply (Non-Social)], "&gt;" &amp; tblFilterAll[[#This Row],[New Supply (Non-Social)]] ) + 1</f>
        <v>72</v>
      </c>
      <c r="M890" s="30" cm="1">
        <f t="array" ref="M890" xml:space="preserve"> INDEX( VfM_Metrics_2023_Consol_Source[], $AK890, M$832 )</f>
        <v>0.23442314486906649</v>
      </c>
      <c r="N890" s="35">
        <f xml:space="preserve"> IF( tblFilterAll[[#This Row],[Gearing]] &lt; M$825, 4, IF( tblFilterAll[[#This Row],[Gearing]] &lt; M$826, 3, IF( tblFilterAll[[#This Row],[Gearing]] &lt; M$827, 2, 1 ) ) )</f>
        <v>4</v>
      </c>
      <c r="O890" s="35">
        <f xml:space="preserve"> COUNTIFS( tblFilterAll[Include in output], 1, tblFilterAll[Gearing], "&gt;" &amp; tblFilterAll[[#This Row],[Gearing]] ) + 1</f>
        <v>172</v>
      </c>
      <c r="P890" s="30" cm="1">
        <f t="array" ref="P890" xml:space="preserve"> INDEX( VfM_Metrics_2023_Consol_Source[], $AK890, P$832 )</f>
        <v>2.8025672371638142</v>
      </c>
      <c r="Q890" s="35">
        <f xml:space="preserve"> IF( tblFilterAll[[#This Row],[EBITDA MRI Interest Cover]] &lt; P$825, 4, IF( tblFilterAll[[#This Row],[EBITDA MRI Interest Cover]] &lt; P$826, 3, IF( tblFilterAll[[#This Row],[EBITDA MRI Interest Cover]] &lt; P$827, 2, 1 ) ) )</f>
        <v>1</v>
      </c>
      <c r="R890" s="35">
        <f xml:space="preserve"> COUNTIFS( tblFilterAll[Include in output], 1, tblFilterAll[EBITDA MRI Interest Cover], "&gt;" &amp; tblFilterAll[[#This Row],[EBITDA MRI Interest Cover]] ) + 1</f>
        <v>8</v>
      </c>
      <c r="S890" s="32" cm="1">
        <f t="array" ref="S890" xml:space="preserve"> INDEX( VfM_Metrics_2023_Consol_Source[], $AK890, S$832 )</f>
        <v>3968.2377049180327</v>
      </c>
      <c r="T890" s="35">
        <f xml:space="preserve"> IF( tblFilterAll[[#This Row],[Headline Social Housing Cost per unit]] &lt; S$825, 4, IF( tblFilterAll[[#This Row],[Headline Social Housing Cost per unit]] &lt; S$826, 3, IF( tblFilterAll[[#This Row],[Headline Social Housing Cost per unit]] &lt; S$827, 2, 1 ) ) )</f>
        <v>4</v>
      </c>
      <c r="U890" s="35">
        <f xml:space="preserve"> COUNTIFS( tblFilterAll[Include in output], 1, tblFilterAll[Headline Social Housing Cost per unit], "&gt;" &amp; tblFilterAll[[#This Row],[Headline Social Housing Cost per unit]] ) + 1</f>
        <v>167</v>
      </c>
      <c r="V890" s="30" cm="1">
        <f t="array" ref="V890" xml:space="preserve"> INDEX( VfM_Metrics_2023_Consol_Source[], $AK890, V$832 )</f>
        <v>7.7553232181563181E-2</v>
      </c>
      <c r="W890" s="35">
        <f xml:space="preserve"> IF( tblFilterAll[[#This Row],[Operating Margin (SHL)]] &lt; V$825, 4, IF( tblFilterAll[[#This Row],[Operating Margin (SHL)]] &lt; V$826, 3, IF( tblFilterAll[[#This Row],[Operating Margin (SHL)]] &lt; V$827, 2, 1 ) ) )</f>
        <v>4</v>
      </c>
      <c r="X890" s="35">
        <f xml:space="preserve"> COUNTIFS( tblFilterAll[Include in output], 1, tblFilterAll[Operating Margin (SHL)], "&gt;" &amp; tblFilterAll[[#This Row],[Operating Margin (SHL)]] ) + 1</f>
        <v>183</v>
      </c>
      <c r="Y890" s="30" cm="1">
        <f t="array" ref="Y890" xml:space="preserve"> INDEX( VfM_Metrics_2023_Consol_Source[], $AK890, Y$832 )</f>
        <v>9.0528567063855786E-2</v>
      </c>
      <c r="Z890" s="35">
        <f xml:space="preserve"> IF( tblFilterAll[[#This Row],[Operating Margin (Overall)]] &lt; Y$825, 4, IF( tblFilterAll[[#This Row],[Operating Margin (Overall)]] &lt; Y$826, 3, IF( tblFilterAll[[#This Row],[Operating Margin (Overall)]] &lt; Y$827, 2, 1 ) ) )</f>
        <v>4</v>
      </c>
      <c r="AA890" s="35">
        <f xml:space="preserve"> COUNTIFS( tblFilterAll[Include in output], 1, tblFilterAll[Operating Margin (Overall)], "&gt;" &amp; tblFilterAll[[#This Row],[Operating Margin (Overall)]] ) + 1</f>
        <v>166</v>
      </c>
      <c r="AB890" s="30" cm="1">
        <f t="array" ref="AB890" xml:space="preserve"> INDEX( VfM_Metrics_2023_Consol_Source[], $AK890, AB$832 )</f>
        <v>3.6472573258496607E-2</v>
      </c>
      <c r="AC890" s="35">
        <f xml:space="preserve"> IF( tblFilterAll[[#This Row],[ROCE]] &lt; AB$825, 4, IF( tblFilterAll[[#This Row],[ROCE]] &lt; AB$826, 3, IF( tblFilterAll[[#This Row],[ROCE]] &lt; AB$827, 2, 1 ) ) )</f>
        <v>1</v>
      </c>
      <c r="AD890" s="35">
        <f xml:space="preserve"> COUNTIFS( tblFilterAll[Include in output], 1, tblFilterAll[ROCE], "&gt;" &amp; tblFilterAll[[#This Row],[ROCE]] ) + 1</f>
        <v>49</v>
      </c>
      <c r="AE890" s="33" cm="1" vm="6504">
        <f t="array" ref="AE890" xml:space="preserve"> INDEX( VfM_Metrics_2023_Consol_Source[], $AK890, AE$832 )</f>
        <v>6832</v>
      </c>
      <c r="AF890" s="30" cm="1">
        <f t="array" ref="AF890" xml:space="preserve"> INDEX( VfM_Metrics_2023_Consol_Source[], $AK890, AF$832 )</f>
        <v>4.1049699457557541E-3</v>
      </c>
      <c r="AG890" s="30" cm="1">
        <f t="array" ref="AG890" xml:space="preserve"> INDEX( VfM_Metrics_2023_Consol_Source[], $AK890, AG$832 )</f>
        <v>8.5471338513414458E-2</v>
      </c>
      <c r="AH890" s="30" cm="1">
        <f t="array" ref="AH890" xml:space="preserve"> INDEX( VfM_Metrics_2023_Consol_Source[], $AK890, AH$832 )</f>
        <v>8.9576308459170209E-2</v>
      </c>
      <c r="AI890" s="30" t="str" cm="1">
        <f t="array" ref="AI890" xml:space="preserve"> INDEX( VfM_Metrics_2023_Consol_Source[], $AK890, AI$832 )</f>
        <v>Traditional</v>
      </c>
      <c r="AJ890" s="34" t="str" cm="1">
        <f t="array" ref="AJ890" xml:space="preserve"> INDEX( VfM_Metrics_2023_Consol_Source[], $AK890, AJ$832 )</f>
        <v>East of England</v>
      </c>
      <c r="AK890" s="81">
        <f xml:space="preserve"> MATCH( tblFilterAll[[#This Row],[Code]], VfM_Metrics_2023_Consol_Source[RP_Code], 0 )</f>
        <v>57</v>
      </c>
      <c r="AL890" s="24">
        <f xml:space="preserve"> INDEX( tblFilterRegion[Include for region],  MATCH( tblFilterAll[[#This Row],[Code]], tblFilterRegion[RP_Code], 0 ) )</f>
        <v>1</v>
      </c>
      <c r="AM890" s="24">
        <f xml:space="preserve"> INDEX( tblFilterPropType[Incl for prop type],  MATCH( tblFilterAll[[#This Row],[Code]], tblFilterPropType[RP_Code], 0 ) )</f>
        <v>1</v>
      </c>
      <c r="AN890" s="24">
        <f xml:space="preserve"> INDEX( tblFilterSize[Incl for size],  MATCH( tblFilterAll[[#This Row],[Code]], tblFilterSize[RP_Code], 0 ) )</f>
        <v>1</v>
      </c>
      <c r="AO890" s="24">
        <f xml:space="preserve"> INDEX( tblFilterRP_Type[Incl, for RP Type],  MATCH( tblFilterAll[[#This Row],[Code]], tblFilterRP_Type[RP_Code], 0 ) )</f>
        <v>1</v>
      </c>
      <c r="AP890" s="24">
        <f xml:space="preserve">  -- ( SUM( tblFilterAll[[#This Row],[Filter Region]:[Filter RP Type]] ) = 4 )</f>
        <v>1</v>
      </c>
      <c r="AQ890" s="24">
        <f xml:space="preserve"> -- ( tblFilterAll[[#This Row],[Provider name]] = SelectedProvider )</f>
        <v>0</v>
      </c>
      <c r="AR890" s="24">
        <f xml:space="preserve">  -- ( OR( SUM( tblFilterAll[[#This Row],[Filter Region]:[Filter RP Type]] ) = 4, tblFilterAll[[#This Row],[SelectedProvider]] = 1 ) )</f>
        <v>1</v>
      </c>
      <c r="AS890" s="24">
        <f xml:space="preserve"> -- ( INDEX( PeersCritera[Included in final peers], MATCH( tblFilterAll[[#This Row],[Provider name]], PeersCritera[RP_Name], 0 ) ) = 1 )</f>
        <v>1</v>
      </c>
      <c r="AT890" s="30" t="str" cm="1">
        <f t="array" ref="AT890" xml:space="preserve"> SUBSTITUTE( INDEX( VfM_Metrics_2023_Consol_Source[], $AK890, AT$832 ), 0, "" )</f>
        <v>&gt;= 12 years</v>
      </c>
      <c r="AU890" s="34" cm="1">
        <f t="array" ref="AU890" xml:space="preserve"> INDEX( VfM_Metrics_2023_Consol_Source[], $AK890, AU$832 )</f>
        <v>0</v>
      </c>
      <c r="AV890" s="34" cm="1">
        <f t="array" ref="AV890" xml:space="preserve"> INDEX( VfM_Metrics_2023_Consol_Source[], $AK890, AV$832 )</f>
        <v>0</v>
      </c>
      <c r="AW890" s="34" cm="1">
        <f t="array" ref="AW890" xml:space="preserve"> INDEX( VfM_Metrics_2023_Consol_Source[], $AK890, AW$832 )</f>
        <v>0</v>
      </c>
      <c r="AX890" s="34" cm="1">
        <f t="array" ref="AX890" xml:space="preserve"> INDEX( VfM_Metrics_2023_Consol_Source[], $AK890, AX$832 )</f>
        <v>0</v>
      </c>
      <c r="AY890" s="34" cm="1">
        <f t="array" ref="AY890" xml:space="preserve"> INDEX( VfM_Metrics_2023_Consol_Source[], $AK890, AY$832 )</f>
        <v>0</v>
      </c>
      <c r="AZ890" s="34" cm="1">
        <f t="array" ref="AZ890" xml:space="preserve"> INDEX( VfM_Metrics_2023_Consol_Source[], $AK890, AZ$832 )</f>
        <v>1</v>
      </c>
      <c r="BA890" s="34" cm="1">
        <f t="array" ref="BA890" xml:space="preserve"> INDEX( VfM_Metrics_2023_Consol_Source[], $AK890, BA$832 )</f>
        <v>0</v>
      </c>
      <c r="BB890" s="34" cm="1">
        <f t="array" ref="BB890" xml:space="preserve"> INDEX( VfM_Metrics_2023_Consol_Source[], $AK890, BB$832 )</f>
        <v>0</v>
      </c>
      <c r="BC890" s="34" cm="1">
        <f t="array" ref="BC890" xml:space="preserve"> INDEX( VfM_Metrics_2023_Consol_Source[], $AK890, BC$832 )</f>
        <v>0</v>
      </c>
    </row>
    <row r="891" spans="2:55" x14ac:dyDescent="0.2">
      <c r="B891" s="122" t="str" vm="58">
        <f t="shared" ref="B891" si="393" xml:space="preserve"> B681</f>
        <v>Futures Housing Group Limited</v>
      </c>
      <c r="C891" s="122" t="str" vm="288">
        <f t="shared" si="368"/>
        <v>L4502</v>
      </c>
      <c r="D891" s="30" cm="1">
        <f t="array" ref="D891" xml:space="preserve"> INDEX( VfM_Metrics_2023_Consol_Source[], $AK891, D$832 )</f>
        <v>0.11452563706057113</v>
      </c>
      <c r="E891" s="35">
        <f xml:space="preserve"> IF( tblFilterAll[[#This Row],[Reinvestment]] &lt; D$825, 4, IF( tblFilterAll[[#This Row],[Reinvestment]] &lt; D$826, 3, IF( tblFilterAll[[#This Row],[Reinvestment]] &lt; D$827, 2, 1 ) ) )</f>
        <v>1</v>
      </c>
      <c r="F891" s="35">
        <f xml:space="preserve"> COUNTIFS( tblFilterAll[Include in output], 1, tblFilterAll[Reinvestment], "&gt;" &amp; tblFilterAll[[#This Row],[Reinvestment]] ) + 1</f>
        <v>24</v>
      </c>
      <c r="G891" s="30" cm="1">
        <f t="array" ref="G891" xml:space="preserve"> INDEX( VfM_Metrics_2023_Consol_Source[], $AK891, G$832 )</f>
        <v>1.4309847957865447E-2</v>
      </c>
      <c r="H891" s="35">
        <f xml:space="preserve"> IF( tblFilterAll[[#This Row],[New Supply (Social)]] &lt; G$825, 4, IF( tblFilterAll[[#This Row],[New Supply (Social)]] &lt; G$826, 3, IF( tblFilterAll[[#This Row],[New Supply (Social)]] &lt; G$827, 2, 1 ) ) )</f>
        <v>2</v>
      </c>
      <c r="I891" s="35">
        <f xml:space="preserve"> COUNTIFS( tblFilterAll[Include in output], 1, tblFilterAll[New Supply (Social)], "&gt;" &amp; tblFilterAll[[#This Row],[New Supply (Social)]] ) + 1</f>
        <v>88</v>
      </c>
      <c r="J891" s="31" cm="1">
        <f t="array" ref="J891" xml:space="preserve"> INDEX( VfM_Metrics_2023_Consol_Source[], $AK891, J$832 )</f>
        <v>3.8109756097560977E-4</v>
      </c>
      <c r="K891" s="35">
        <f xml:space="preserve"> IF( tblFilterAll[[#This Row],[New Supply (Non-Social)]] &lt; J$825, 4, IF( tblFilterAll[[#This Row],[New Supply (Non-Social)]] &lt; J$826, 3, IF( tblFilterAll[[#This Row],[New Supply (Non-Social)]] &lt; J$827, 2, 1 ) ) )</f>
        <v>2</v>
      </c>
      <c r="L891" s="35">
        <f xml:space="preserve"> COUNTIFS( tblFilterAll[Include in output], 1, tblFilterAll[New Supply (Non-Social)], "&gt;" &amp; tblFilterAll[[#This Row],[New Supply (Non-Social)]] ) + 1</f>
        <v>63</v>
      </c>
      <c r="M891" s="30" cm="1">
        <f t="array" ref="M891" xml:space="preserve"> INDEX( VfM_Metrics_2023_Consol_Source[], $AK891, M$832 )</f>
        <v>0.81152004198648564</v>
      </c>
      <c r="N891" s="35">
        <f xml:space="preserve"> IF( tblFilterAll[[#This Row],[Gearing]] &lt; M$825, 4, IF( tblFilterAll[[#This Row],[Gearing]] &lt; M$826, 3, IF( tblFilterAll[[#This Row],[Gearing]] &lt; M$827, 2, 1 ) ) )</f>
        <v>1</v>
      </c>
      <c r="O891" s="35">
        <f xml:space="preserve"> COUNTIFS( tblFilterAll[Include in output], 1, tblFilterAll[Gearing], "&gt;" &amp; tblFilterAll[[#This Row],[Gearing]] ) + 1</f>
        <v>1</v>
      </c>
      <c r="P891" s="30" cm="1">
        <f t="array" ref="P891" xml:space="preserve"> INDEX( VfM_Metrics_2023_Consol_Source[], $AK891, P$832 )</f>
        <v>1.1035451615568961</v>
      </c>
      <c r="Q891" s="35">
        <f xml:space="preserve"> IF( tblFilterAll[[#This Row],[EBITDA MRI Interest Cover]] &lt; P$825, 4, IF( tblFilterAll[[#This Row],[EBITDA MRI Interest Cover]] &lt; P$826, 3, IF( tblFilterAll[[#This Row],[EBITDA MRI Interest Cover]] &lt; P$827, 2, 1 ) ) )</f>
        <v>3</v>
      </c>
      <c r="R891" s="35">
        <f xml:space="preserve"> COUNTIFS( tblFilterAll[Include in output], 1, tblFilterAll[EBITDA MRI Interest Cover], "&gt;" &amp; tblFilterAll[[#This Row],[EBITDA MRI Interest Cover]] ) + 1</f>
        <v>124</v>
      </c>
      <c r="S891" s="32" cm="1">
        <f t="array" ref="S891" xml:space="preserve"> INDEX( VfM_Metrics_2023_Consol_Source[], $AK891, S$832 )</f>
        <v>4288.3392928088997</v>
      </c>
      <c r="T891" s="35">
        <f xml:space="preserve"> IF( tblFilterAll[[#This Row],[Headline Social Housing Cost per unit]] &lt; S$825, 4, IF( tblFilterAll[[#This Row],[Headline Social Housing Cost per unit]] &lt; S$826, 3, IF( tblFilterAll[[#This Row],[Headline Social Housing Cost per unit]] &lt; S$827, 2, 1 ) ) )</f>
        <v>3</v>
      </c>
      <c r="U891" s="35">
        <f xml:space="preserve"> COUNTIFS( tblFilterAll[Include in output], 1, tblFilterAll[Headline Social Housing Cost per unit], "&gt;" &amp; tblFilterAll[[#This Row],[Headline Social Housing Cost per unit]] ) + 1</f>
        <v>130</v>
      </c>
      <c r="V891" s="30" cm="1">
        <f t="array" ref="V891" xml:space="preserve"> INDEX( VfM_Metrics_2023_Consol_Source[], $AK891, V$832 )</f>
        <v>0.27308425246867241</v>
      </c>
      <c r="W891" s="35">
        <f xml:space="preserve"> IF( tblFilterAll[[#This Row],[Operating Margin (SHL)]] &lt; V$825, 4, IF( tblFilterAll[[#This Row],[Operating Margin (SHL)]] &lt; V$826, 3, IF( tblFilterAll[[#This Row],[Operating Margin (SHL)]] &lt; V$827, 2, 1 ) ) )</f>
        <v>1</v>
      </c>
      <c r="X891" s="35">
        <f xml:space="preserve"> COUNTIFS( tblFilterAll[Include in output], 1, tblFilterAll[Operating Margin (SHL)], "&gt;" &amp; tblFilterAll[[#This Row],[Operating Margin (SHL)]] ) + 1</f>
        <v>41</v>
      </c>
      <c r="Y891" s="30" cm="1">
        <f t="array" ref="Y891" xml:space="preserve"> INDEX( VfM_Metrics_2023_Consol_Source[], $AK891, Y$832 )</f>
        <v>0.26033440536126218</v>
      </c>
      <c r="Z891" s="35">
        <f xml:space="preserve"> IF( tblFilterAll[[#This Row],[Operating Margin (Overall)]] &lt; Y$825, 4, IF( tblFilterAll[[#This Row],[Operating Margin (Overall)]] &lt; Y$826, 3, IF( tblFilterAll[[#This Row],[Operating Margin (Overall)]] &lt; Y$827, 2, 1 ) ) )</f>
        <v>1</v>
      </c>
      <c r="AA891" s="35">
        <f xml:space="preserve"> COUNTIFS( tblFilterAll[Include in output], 1, tblFilterAll[Operating Margin (Overall)], "&gt;" &amp; tblFilterAll[[#This Row],[Operating Margin (Overall)]] ) + 1</f>
        <v>29</v>
      </c>
      <c r="AB891" s="30" cm="1">
        <f t="array" ref="AB891" xml:space="preserve"> INDEX( VfM_Metrics_2023_Consol_Source[], $AK891, AB$832 )</f>
        <v>3.6604410979785756E-2</v>
      </c>
      <c r="AC891" s="35">
        <f xml:space="preserve"> IF( tblFilterAll[[#This Row],[ROCE]] &lt; AB$825, 4, IF( tblFilterAll[[#This Row],[ROCE]] &lt; AB$826, 3, IF( tblFilterAll[[#This Row],[ROCE]] &lt; AB$827, 2, 1 ) ) )</f>
        <v>1</v>
      </c>
      <c r="AD891" s="35">
        <f xml:space="preserve"> COUNTIFS( tblFilterAll[Include in output], 1, tblFilterAll[ROCE], "&gt;" &amp; tblFilterAll[[#This Row],[ROCE]] ) + 1</f>
        <v>47</v>
      </c>
      <c r="AE891" s="33" cm="1" vm="2933">
        <f t="array" ref="AE891" xml:space="preserve"> INDEX( VfM_Metrics_2023_Consol_Source[], $AK891, AE$832 )</f>
        <v>10063</v>
      </c>
      <c r="AF891" s="30" cm="1">
        <f t="array" ref="AF891" xml:space="preserve"> INDEX( VfM_Metrics_2023_Consol_Source[], $AK891, AF$832 )</f>
        <v>2.008838891120932E-3</v>
      </c>
      <c r="AG891" s="30" cm="1">
        <f t="array" ref="AG891" xml:space="preserve"> INDEX( VfM_Metrics_2023_Consol_Source[], $AK891, AG$832 )</f>
        <v>0.31106870229007633</v>
      </c>
      <c r="AH891" s="30" cm="1">
        <f t="array" ref="AH891" xml:space="preserve"> INDEX( VfM_Metrics_2023_Consol_Source[], $AK891, AH$832 )</f>
        <v>0.31307754118119724</v>
      </c>
      <c r="AI891" s="30" t="str" cm="1">
        <f t="array" ref="AI891" xml:space="preserve"> INDEX( VfM_Metrics_2023_Consol_Source[], $AK891, AI$832 )</f>
        <v>Traditional</v>
      </c>
      <c r="AJ891" s="34" t="str" cm="1">
        <f t="array" ref="AJ891" xml:space="preserve"> INDEX( VfM_Metrics_2023_Consol_Source[], $AK891, AJ$832 )</f>
        <v>East Midlands</v>
      </c>
      <c r="AK891" s="81">
        <f xml:space="preserve"> MATCH( tblFilterAll[[#This Row],[Code]], VfM_Metrics_2023_Consol_Source[RP_Code], 0 )</f>
        <v>58</v>
      </c>
      <c r="AL891" s="24">
        <f xml:space="preserve"> INDEX( tblFilterRegion[Include for region],  MATCH( tblFilterAll[[#This Row],[Code]], tblFilterRegion[RP_Code], 0 ) )</f>
        <v>1</v>
      </c>
      <c r="AM891" s="24">
        <f xml:space="preserve"> INDEX( tblFilterPropType[Incl for prop type],  MATCH( tblFilterAll[[#This Row],[Code]], tblFilterPropType[RP_Code], 0 ) )</f>
        <v>1</v>
      </c>
      <c r="AN891" s="24">
        <f xml:space="preserve"> INDEX( tblFilterSize[Incl for size],  MATCH( tblFilterAll[[#This Row],[Code]], tblFilterSize[RP_Code], 0 ) )</f>
        <v>1</v>
      </c>
      <c r="AO891" s="24">
        <f xml:space="preserve"> INDEX( tblFilterRP_Type[Incl, for RP Type],  MATCH( tblFilterAll[[#This Row],[Code]], tblFilterRP_Type[RP_Code], 0 ) )</f>
        <v>1</v>
      </c>
      <c r="AP891" s="24">
        <f xml:space="preserve">  -- ( SUM( tblFilterAll[[#This Row],[Filter Region]:[Filter RP Type]] ) = 4 )</f>
        <v>1</v>
      </c>
      <c r="AQ891" s="24">
        <f xml:space="preserve"> -- ( tblFilterAll[[#This Row],[Provider name]] = SelectedProvider )</f>
        <v>0</v>
      </c>
      <c r="AR891" s="24">
        <f xml:space="preserve">  -- ( OR( SUM( tblFilterAll[[#This Row],[Filter Region]:[Filter RP Type]] ) = 4, tblFilterAll[[#This Row],[SelectedProvider]] = 1 ) )</f>
        <v>1</v>
      </c>
      <c r="AS891" s="24">
        <f xml:space="preserve"> -- ( INDEX( PeersCritera[Included in final peers], MATCH( tblFilterAll[[#This Row],[Provider name]], PeersCritera[RP_Name], 0 ) ) = 1 )</f>
        <v>1</v>
      </c>
      <c r="AT891" s="30" t="str" cm="1">
        <f t="array" ref="AT891" xml:space="preserve"> SUBSTITUTE( INDEX( VfM_Metrics_2023_Consol_Source[], $AK891, AT$832 ), 0, "" )</f>
        <v>&gt;= 12 years</v>
      </c>
      <c r="AU891" s="34" cm="1">
        <f t="array" ref="AU891" xml:space="preserve"> INDEX( VfM_Metrics_2023_Consol_Source[], $AK891, AU$832 )</f>
        <v>0</v>
      </c>
      <c r="AV891" s="34" cm="1">
        <f t="array" ref="AV891" xml:space="preserve"> INDEX( VfM_Metrics_2023_Consol_Source[], $AK891, AV$832 )</f>
        <v>0</v>
      </c>
      <c r="AW891" s="34" cm="1">
        <f t="array" ref="AW891" xml:space="preserve"> INDEX( VfM_Metrics_2023_Consol_Source[], $AK891, AW$832 )</f>
        <v>0</v>
      </c>
      <c r="AX891" s="34" cm="1">
        <f t="array" ref="AX891" xml:space="preserve"> INDEX( VfM_Metrics_2023_Consol_Source[], $AK891, AX$832 )</f>
        <v>0.99479166666666663</v>
      </c>
      <c r="AY891" s="34" cm="1">
        <f t="array" ref="AY891" xml:space="preserve"> INDEX( VfM_Metrics_2023_Consol_Source[], $AK891, AY$832 )</f>
        <v>0</v>
      </c>
      <c r="AZ891" s="34" cm="1">
        <f t="array" ref="AZ891" xml:space="preserve"> INDEX( VfM_Metrics_2023_Consol_Source[], $AK891, AZ$832 )</f>
        <v>5.208333333333333E-3</v>
      </c>
      <c r="BA891" s="34" cm="1">
        <f t="array" ref="BA891" xml:space="preserve"> INDEX( VfM_Metrics_2023_Consol_Source[], $AK891, BA$832 )</f>
        <v>0</v>
      </c>
      <c r="BB891" s="34" cm="1">
        <f t="array" ref="BB891" xml:space="preserve"> INDEX( VfM_Metrics_2023_Consol_Source[], $AK891, BB$832 )</f>
        <v>0</v>
      </c>
      <c r="BC891" s="34" cm="1">
        <f t="array" ref="BC891" xml:space="preserve"> INDEX( VfM_Metrics_2023_Consol_Source[], $AK891, BC$832 )</f>
        <v>0</v>
      </c>
    </row>
    <row r="892" spans="2:55" x14ac:dyDescent="0.2">
      <c r="B892" s="122" t="str" vm="59">
        <f t="shared" ref="B892" si="394" xml:space="preserve"> B682</f>
        <v>Gateway Housing Association Limited</v>
      </c>
      <c r="C892" s="122" t="str" vm="312">
        <f t="shared" si="368"/>
        <v>L0517</v>
      </c>
      <c r="D892" s="30" cm="1">
        <f t="array" ref="D892" xml:space="preserve"> INDEX( VfM_Metrics_2023_Consol_Source[], $AK892, D$832 )</f>
        <v>3.2281803463670704E-2</v>
      </c>
      <c r="E892" s="35">
        <f xml:space="preserve"> IF( tblFilterAll[[#This Row],[Reinvestment]] &lt; D$825, 4, IF( tblFilterAll[[#This Row],[Reinvestment]] &lt; D$826, 3, IF( tblFilterAll[[#This Row],[Reinvestment]] &lt; D$827, 2, 1 ) ) )</f>
        <v>4</v>
      </c>
      <c r="F892" s="35">
        <f xml:space="preserve"> COUNTIFS( tblFilterAll[Include in output], 1, tblFilterAll[Reinvestment], "&gt;" &amp; tblFilterAll[[#This Row],[Reinvestment]] ) + 1</f>
        <v>168</v>
      </c>
      <c r="G892" s="30" cm="1">
        <f t="array" ref="G892" xml:space="preserve"> INDEX( VfM_Metrics_2023_Consol_Source[], $AK892, G$832 )</f>
        <v>3.2797638570022957E-4</v>
      </c>
      <c r="H892" s="35">
        <f xml:space="preserve"> IF( tblFilterAll[[#This Row],[New Supply (Social)]] &lt; G$825, 4, IF( tblFilterAll[[#This Row],[New Supply (Social)]] &lt; G$826, 3, IF( tblFilterAll[[#This Row],[New Supply (Social)]] &lt; G$827, 2, 1 ) ) )</f>
        <v>4</v>
      </c>
      <c r="I892" s="35">
        <f xml:space="preserve"> COUNTIFS( tblFilterAll[Include in output], 1, tblFilterAll[New Supply (Social)], "&gt;" &amp; tblFilterAll[[#This Row],[New Supply (Social)]] ) + 1</f>
        <v>184</v>
      </c>
      <c r="J892" s="31" cm="1">
        <f t="array" ref="J892" xml:space="preserve"> INDEX( VfM_Metrics_2023_Consol_Source[], $AK892, J$832 )</f>
        <v>0</v>
      </c>
      <c r="K892" s="35">
        <f xml:space="preserve"> IF( tblFilterAll[[#This Row],[New Supply (Non-Social)]] &lt; J$825, 4, IF( tblFilterAll[[#This Row],[New Supply (Non-Social)]] &lt; J$826, 3, IF( tblFilterAll[[#This Row],[New Supply (Non-Social)]] &lt; J$827, 2, 1 ) ) )</f>
        <v>2</v>
      </c>
      <c r="L892" s="35">
        <f xml:space="preserve"> COUNTIFS( tblFilterAll[Include in output], 1, tblFilterAll[New Supply (Non-Social)], "&gt;" &amp; tblFilterAll[[#This Row],[New Supply (Non-Social)]] ) + 1</f>
        <v>72</v>
      </c>
      <c r="M892" s="30" cm="1">
        <f t="array" ref="M892" xml:space="preserve"> INDEX( VfM_Metrics_2023_Consol_Source[], $AK892, M$832 )</f>
        <v>0.27238735360699745</v>
      </c>
      <c r="N892" s="35">
        <f xml:space="preserve"> IF( tblFilterAll[[#This Row],[Gearing]] &lt; M$825, 4, IF( tblFilterAll[[#This Row],[Gearing]] &lt; M$826, 3, IF( tblFilterAll[[#This Row],[Gearing]] &lt; M$827, 2, 1 ) ) )</f>
        <v>4</v>
      </c>
      <c r="O892" s="35">
        <f xml:space="preserve"> COUNTIFS( tblFilterAll[Include in output], 1, tblFilterAll[Gearing], "&gt;" &amp; tblFilterAll[[#This Row],[Gearing]] ) + 1</f>
        <v>165</v>
      </c>
      <c r="P892" s="30" cm="1">
        <f t="array" ref="P892" xml:space="preserve"> INDEX( VfM_Metrics_2023_Consol_Source[], $AK892, P$832 )</f>
        <v>1.1914093959731544</v>
      </c>
      <c r="Q892" s="35">
        <f xml:space="preserve"> IF( tblFilterAll[[#This Row],[EBITDA MRI Interest Cover]] &lt; P$825, 4, IF( tblFilterAll[[#This Row],[EBITDA MRI Interest Cover]] &lt; P$826, 3, IF( tblFilterAll[[#This Row],[EBITDA MRI Interest Cover]] &lt; P$827, 2, 1 ) ) )</f>
        <v>3</v>
      </c>
      <c r="R892" s="35">
        <f xml:space="preserve"> COUNTIFS( tblFilterAll[Include in output], 1, tblFilterAll[EBITDA MRI Interest Cover], "&gt;" &amp; tblFilterAll[[#This Row],[EBITDA MRI Interest Cover]] ) + 1</f>
        <v>110</v>
      </c>
      <c r="S892" s="32" cm="1">
        <f t="array" ref="S892" xml:space="preserve"> INDEX( VfM_Metrics_2023_Consol_Source[], $AK892, S$832 )</f>
        <v>6936.8533713877987</v>
      </c>
      <c r="T892" s="35">
        <f xml:space="preserve"> IF( tblFilterAll[[#This Row],[Headline Social Housing Cost per unit]] &lt; S$825, 4, IF( tblFilterAll[[#This Row],[Headline Social Housing Cost per unit]] &lt; S$826, 3, IF( tblFilterAll[[#This Row],[Headline Social Housing Cost per unit]] &lt; S$827, 2, 1 ) ) )</f>
        <v>1</v>
      </c>
      <c r="U892" s="35">
        <f xml:space="preserve"> COUNTIFS( tblFilterAll[Include in output], 1, tblFilterAll[Headline Social Housing Cost per unit], "&gt;" &amp; tblFilterAll[[#This Row],[Headline Social Housing Cost per unit]] ) + 1</f>
        <v>34</v>
      </c>
      <c r="V892" s="30" cm="1">
        <f t="array" ref="V892" xml:space="preserve"> INDEX( VfM_Metrics_2023_Consol_Source[], $AK892, V$832 )</f>
        <v>0.15805342052741092</v>
      </c>
      <c r="W892" s="35">
        <f xml:space="preserve"> IF( tblFilterAll[[#This Row],[Operating Margin (SHL)]] &lt; V$825, 4, IF( tblFilterAll[[#This Row],[Operating Margin (SHL)]] &lt; V$826, 3, IF( tblFilterAll[[#This Row],[Operating Margin (SHL)]] &lt; V$827, 2, 1 ) ) )</f>
        <v>3</v>
      </c>
      <c r="X892" s="35">
        <f xml:space="preserve"> COUNTIFS( tblFilterAll[Include in output], 1, tblFilterAll[Operating Margin (SHL)], "&gt;" &amp; tblFilterAll[[#This Row],[Operating Margin (SHL)]] ) + 1</f>
        <v>138</v>
      </c>
      <c r="Y892" s="30" cm="1">
        <f t="array" ref="Y892" xml:space="preserve"> INDEX( VfM_Metrics_2023_Consol_Source[], $AK892, Y$832 )</f>
        <v>0.1384542136168862</v>
      </c>
      <c r="Z892" s="35">
        <f xml:space="preserve"> IF( tblFilterAll[[#This Row],[Operating Margin (Overall)]] &lt; Y$825, 4, IF( tblFilterAll[[#This Row],[Operating Margin (Overall)]] &lt; Y$826, 3, IF( tblFilterAll[[#This Row],[Operating Margin (Overall)]] &lt; Y$827, 2, 1 ) ) )</f>
        <v>3</v>
      </c>
      <c r="AA892" s="35">
        <f xml:space="preserve"> COUNTIFS( tblFilterAll[Include in output], 1, tblFilterAll[Operating Margin (Overall)], "&gt;" &amp; tblFilterAll[[#This Row],[Operating Margin (Overall)]] ) + 1</f>
        <v>141</v>
      </c>
      <c r="AB892" s="30" cm="1">
        <f t="array" ref="AB892" xml:space="preserve"> INDEX( VfM_Metrics_2023_Consol_Source[], $AK892, AB$832 )</f>
        <v>1.7313523913896275E-2</v>
      </c>
      <c r="AC892" s="35">
        <f xml:space="preserve"> IF( tblFilterAll[[#This Row],[ROCE]] &lt; AB$825, 4, IF( tblFilterAll[[#This Row],[ROCE]] &lt; AB$826, 3, IF( tblFilterAll[[#This Row],[ROCE]] &lt; AB$827, 2, 1 ) ) )</f>
        <v>4</v>
      </c>
      <c r="AD892" s="35">
        <f xml:space="preserve"> COUNTIFS( tblFilterAll[Include in output], 1, tblFilterAll[ROCE], "&gt;" &amp; tblFilterAll[[#This Row],[ROCE]] ) + 1</f>
        <v>173</v>
      </c>
      <c r="AE892" s="33" cm="1" vm="3747">
        <f t="array" ref="AE892" xml:space="preserve"> INDEX( VfM_Metrics_2023_Consol_Source[], $AK892, AE$832 )</f>
        <v>2803</v>
      </c>
      <c r="AF892" s="30" cm="1">
        <f t="array" ref="AF892" xml:space="preserve"> INDEX( VfM_Metrics_2023_Consol_Source[], $AK892, AF$832 )</f>
        <v>3.6402569593147749E-2</v>
      </c>
      <c r="AG892" s="30" cm="1">
        <f t="array" ref="AG892" xml:space="preserve"> INDEX( VfM_Metrics_2023_Consol_Source[], $AK892, AG$832 )</f>
        <v>0.12955032119914348</v>
      </c>
      <c r="AH892" s="30" cm="1">
        <f t="array" ref="AH892" xml:space="preserve"> INDEX( VfM_Metrics_2023_Consol_Source[], $AK892, AH$832 )</f>
        <v>0.16595289079229122</v>
      </c>
      <c r="AI892" s="30" t="str" cm="1">
        <f t="array" ref="AI892" xml:space="preserve"> INDEX( VfM_Metrics_2023_Consol_Source[], $AK892, AI$832 )</f>
        <v>Traditional</v>
      </c>
      <c r="AJ892" s="34" t="str" cm="1">
        <f t="array" ref="AJ892" xml:space="preserve"> INDEX( VfM_Metrics_2023_Consol_Source[], $AK892, AJ$832 )</f>
        <v>London</v>
      </c>
      <c r="AK892" s="81">
        <f xml:space="preserve"> MATCH( tblFilterAll[[#This Row],[Code]], VfM_Metrics_2023_Consol_Source[RP_Code], 0 )</f>
        <v>59</v>
      </c>
      <c r="AL892" s="24">
        <f xml:space="preserve"> INDEX( tblFilterRegion[Include for region],  MATCH( tblFilterAll[[#This Row],[Code]], tblFilterRegion[RP_Code], 0 ) )</f>
        <v>1</v>
      </c>
      <c r="AM892" s="24">
        <f xml:space="preserve"> INDEX( tblFilterPropType[Incl for prop type],  MATCH( tblFilterAll[[#This Row],[Code]], tblFilterPropType[RP_Code], 0 ) )</f>
        <v>1</v>
      </c>
      <c r="AN892" s="24">
        <f xml:space="preserve"> INDEX( tblFilterSize[Incl for size],  MATCH( tblFilterAll[[#This Row],[Code]], tblFilterSize[RP_Code], 0 ) )</f>
        <v>1</v>
      </c>
      <c r="AO892" s="24">
        <f xml:space="preserve"> INDEX( tblFilterRP_Type[Incl, for RP Type],  MATCH( tblFilterAll[[#This Row],[Code]], tblFilterRP_Type[RP_Code], 0 ) )</f>
        <v>1</v>
      </c>
      <c r="AP892" s="24">
        <f xml:space="preserve">  -- ( SUM( tblFilterAll[[#This Row],[Filter Region]:[Filter RP Type]] ) = 4 )</f>
        <v>1</v>
      </c>
      <c r="AQ892" s="24">
        <f xml:space="preserve"> -- ( tblFilterAll[[#This Row],[Provider name]] = SelectedProvider )</f>
        <v>0</v>
      </c>
      <c r="AR892" s="24">
        <f xml:space="preserve">  -- ( OR( SUM( tblFilterAll[[#This Row],[Filter Region]:[Filter RP Type]] ) = 4, tblFilterAll[[#This Row],[SelectedProvider]] = 1 ) )</f>
        <v>1</v>
      </c>
      <c r="AS892" s="24">
        <f xml:space="preserve"> -- ( INDEX( PeersCritera[Included in final peers], MATCH( tblFilterAll[[#This Row],[Provider name]], PeersCritera[RP_Name], 0 ) ) = 1 )</f>
        <v>1</v>
      </c>
      <c r="AT892" s="30" t="str" cm="1">
        <f t="array" ref="AT892" xml:space="preserve"> SUBSTITUTE( INDEX( VfM_Metrics_2023_Consol_Source[], $AK892, AT$832 ), 0, "" )</f>
        <v/>
      </c>
      <c r="AU892" s="34" cm="1">
        <f t="array" ref="AU892" xml:space="preserve"> INDEX( VfM_Metrics_2023_Consol_Source[], $AK892, AU$832 )</f>
        <v>0.99964323938637178</v>
      </c>
      <c r="AV892" s="34" cm="1">
        <f t="array" ref="AV892" xml:space="preserve"> INDEX( VfM_Metrics_2023_Consol_Source[], $AK892, AV$832 )</f>
        <v>0</v>
      </c>
      <c r="AW892" s="34" cm="1">
        <f t="array" ref="AW892" xml:space="preserve"> INDEX( VfM_Metrics_2023_Consol_Source[], $AK892, AW$832 )</f>
        <v>0</v>
      </c>
      <c r="AX892" s="34" cm="1">
        <f t="array" ref="AX892" xml:space="preserve"> INDEX( VfM_Metrics_2023_Consol_Source[], $AK892, AX$832 )</f>
        <v>0</v>
      </c>
      <c r="AY892" s="34" cm="1">
        <f t="array" ref="AY892" xml:space="preserve"> INDEX( VfM_Metrics_2023_Consol_Source[], $AK892, AY$832 )</f>
        <v>0</v>
      </c>
      <c r="AZ892" s="34" cm="1">
        <f t="array" ref="AZ892" xml:space="preserve"> INDEX( VfM_Metrics_2023_Consol_Source[], $AK892, AZ$832 )</f>
        <v>3.5676061362825543E-4</v>
      </c>
      <c r="BA892" s="34" cm="1">
        <f t="array" ref="BA892" xml:space="preserve"> INDEX( VfM_Metrics_2023_Consol_Source[], $AK892, BA$832 )</f>
        <v>0</v>
      </c>
      <c r="BB892" s="34" cm="1">
        <f t="array" ref="BB892" xml:space="preserve"> INDEX( VfM_Metrics_2023_Consol_Source[], $AK892, BB$832 )</f>
        <v>0</v>
      </c>
      <c r="BC892" s="34" cm="1">
        <f t="array" ref="BC892" xml:space="preserve"> INDEX( VfM_Metrics_2023_Consol_Source[], $AK892, BC$832 )</f>
        <v>0</v>
      </c>
    </row>
    <row r="893" spans="2:55" x14ac:dyDescent="0.2">
      <c r="B893" s="122" t="str" vm="60">
        <f t="shared" ref="B893" si="395" xml:space="preserve"> B683</f>
        <v>Gentoo Group Limited</v>
      </c>
      <c r="C893" s="122" t="str" vm="344">
        <f t="shared" si="368"/>
        <v>L4313</v>
      </c>
      <c r="D893" s="30" cm="1">
        <f t="array" ref="D893" xml:space="preserve"> INDEX( VfM_Metrics_2023_Consol_Source[], $AK893, D$832 )</f>
        <v>5.2965665949476097E-2</v>
      </c>
      <c r="E893" s="35">
        <f xml:space="preserve"> IF( tblFilterAll[[#This Row],[Reinvestment]] &lt; D$825, 4, IF( tblFilterAll[[#This Row],[Reinvestment]] &lt; D$826, 3, IF( tblFilterAll[[#This Row],[Reinvestment]] &lt; D$827, 2, 1 ) ) )</f>
        <v>3</v>
      </c>
      <c r="F893" s="35">
        <f xml:space="preserve"> COUNTIFS( tblFilterAll[Include in output], 1, tblFilterAll[Reinvestment], "&gt;" &amp; tblFilterAll[[#This Row],[Reinvestment]] ) + 1</f>
        <v>140</v>
      </c>
      <c r="G893" s="30" cm="1">
        <f t="array" ref="G893" xml:space="preserve"> INDEX( VfM_Metrics_2023_Consol_Source[], $AK893, G$832 )</f>
        <v>2.0736308937009213E-3</v>
      </c>
      <c r="H893" s="35">
        <f xml:space="preserve"> IF( tblFilterAll[[#This Row],[New Supply (Social)]] &lt; G$825, 4, IF( tblFilterAll[[#This Row],[New Supply (Social)]] &lt; G$826, 3, IF( tblFilterAll[[#This Row],[New Supply (Social)]] &lt; G$827, 2, 1 ) ) )</f>
        <v>4</v>
      </c>
      <c r="I893" s="35">
        <f xml:space="preserve"> COUNTIFS( tblFilterAll[Include in output], 1, tblFilterAll[New Supply (Social)], "&gt;" &amp; tblFilterAll[[#This Row],[New Supply (Social)]] ) + 1</f>
        <v>176</v>
      </c>
      <c r="J893" s="31" cm="1">
        <f t="array" ref="J893" xml:space="preserve"> INDEX( VfM_Metrics_2023_Consol_Source[], $AK893, J$832 )</f>
        <v>6.3672809352154427E-3</v>
      </c>
      <c r="K893" s="35">
        <f xml:space="preserve"> IF( tblFilterAll[[#This Row],[New Supply (Non-Social)]] &lt; J$825, 4, IF( tblFilterAll[[#This Row],[New Supply (Non-Social)]] &lt; J$826, 3, IF( tblFilterAll[[#This Row],[New Supply (Non-Social)]] &lt; J$827, 2, 1 ) ) )</f>
        <v>1</v>
      </c>
      <c r="L893" s="35">
        <f xml:space="preserve"> COUNTIFS( tblFilterAll[Include in output], 1, tblFilterAll[New Supply (Non-Social)], "&gt;" &amp; tblFilterAll[[#This Row],[New Supply (Non-Social)]] ) + 1</f>
        <v>16</v>
      </c>
      <c r="M893" s="30" cm="1">
        <f t="array" ref="M893" xml:space="preserve"> INDEX( VfM_Metrics_2023_Consol_Source[], $AK893, M$832 )</f>
        <v>0.46135857994389573</v>
      </c>
      <c r="N893" s="35">
        <f xml:space="preserve"> IF( tblFilterAll[[#This Row],[Gearing]] &lt; M$825, 4, IF( tblFilterAll[[#This Row],[Gearing]] &lt; M$826, 3, IF( tblFilterAll[[#This Row],[Gearing]] &lt; M$827, 2, 1 ) ) )</f>
        <v>2</v>
      </c>
      <c r="O893" s="35">
        <f xml:space="preserve"> COUNTIFS( tblFilterAll[Include in output], 1, tblFilterAll[Gearing], "&gt;" &amp; tblFilterAll[[#This Row],[Gearing]] ) + 1</f>
        <v>94</v>
      </c>
      <c r="P893" s="30" cm="1">
        <f t="array" ref="P893" xml:space="preserve"> INDEX( VfM_Metrics_2023_Consol_Source[], $AK893, P$832 )</f>
        <v>0.90063275478101024</v>
      </c>
      <c r="Q893" s="35">
        <f xml:space="preserve"> IF( tblFilterAll[[#This Row],[EBITDA MRI Interest Cover]] &lt; P$825, 4, IF( tblFilterAll[[#This Row],[EBITDA MRI Interest Cover]] &lt; P$826, 3, IF( tblFilterAll[[#This Row],[EBITDA MRI Interest Cover]] &lt; P$827, 2, 1 ) ) )</f>
        <v>3</v>
      </c>
      <c r="R893" s="35">
        <f xml:space="preserve"> COUNTIFS( tblFilterAll[Include in output], 1, tblFilterAll[EBITDA MRI Interest Cover], "&gt;" &amp; tblFilterAll[[#This Row],[EBITDA MRI Interest Cover]] ) + 1</f>
        <v>145</v>
      </c>
      <c r="S893" s="32" cm="1">
        <f t="array" ref="S893" xml:space="preserve"> INDEX( VfM_Metrics_2023_Consol_Source[], $AK893, S$832 )</f>
        <v>4037.9901107319452</v>
      </c>
      <c r="T893" s="35">
        <f xml:space="preserve"> IF( tblFilterAll[[#This Row],[Headline Social Housing Cost per unit]] &lt; S$825, 4, IF( tblFilterAll[[#This Row],[Headline Social Housing Cost per unit]] &lt; S$826, 3, IF( tblFilterAll[[#This Row],[Headline Social Housing Cost per unit]] &lt; S$827, 2, 1 ) ) )</f>
        <v>4</v>
      </c>
      <c r="U893" s="35">
        <f xml:space="preserve"> COUNTIFS( tblFilterAll[Include in output], 1, tblFilterAll[Headline Social Housing Cost per unit], "&gt;" &amp; tblFilterAll[[#This Row],[Headline Social Housing Cost per unit]] ) + 1</f>
        <v>157</v>
      </c>
      <c r="V893" s="30" cm="1">
        <f t="array" ref="V893" xml:space="preserve"> INDEX( VfM_Metrics_2023_Consol_Source[], $AK893, V$832 )</f>
        <v>0.18378436376734952</v>
      </c>
      <c r="W893" s="35">
        <f xml:space="preserve"> IF( tblFilterAll[[#This Row],[Operating Margin (SHL)]] &lt; V$825, 4, IF( tblFilterAll[[#This Row],[Operating Margin (SHL)]] &lt; V$826, 3, IF( tblFilterAll[[#This Row],[Operating Margin (SHL)]] &lt; V$827, 2, 1 ) ) )</f>
        <v>3</v>
      </c>
      <c r="X893" s="35">
        <f xml:space="preserve"> COUNTIFS( tblFilterAll[Include in output], 1, tblFilterAll[Operating Margin (SHL)], "&gt;" &amp; tblFilterAll[[#This Row],[Operating Margin (SHL)]] ) + 1</f>
        <v>116</v>
      </c>
      <c r="Y893" s="30" cm="1">
        <f t="array" ref="Y893" xml:space="preserve"> INDEX( VfM_Metrics_2023_Consol_Source[], $AK893, Y$832 )</f>
        <v>0.14288138097870406</v>
      </c>
      <c r="Z893" s="35">
        <f xml:space="preserve"> IF( tblFilterAll[[#This Row],[Operating Margin (Overall)]] &lt; Y$825, 4, IF( tblFilterAll[[#This Row],[Operating Margin (Overall)]] &lt; Y$826, 3, IF( tblFilterAll[[#This Row],[Operating Margin (Overall)]] &lt; Y$827, 2, 1 ) ) )</f>
        <v>3</v>
      </c>
      <c r="AA893" s="35">
        <f xml:space="preserve"> COUNTIFS( tblFilterAll[Include in output], 1, tblFilterAll[Operating Margin (Overall)], "&gt;" &amp; tblFilterAll[[#This Row],[Operating Margin (Overall)]] ) + 1</f>
        <v>136</v>
      </c>
      <c r="AB893" s="30" cm="1">
        <f t="array" ref="AB893" xml:space="preserve"> INDEX( VfM_Metrics_2023_Consol_Source[], $AK893, AB$832 )</f>
        <v>2.5615909942945762E-2</v>
      </c>
      <c r="AC893" s="35">
        <f xml:space="preserve"> IF( tblFilterAll[[#This Row],[ROCE]] &lt; AB$825, 4, IF( tblFilterAll[[#This Row],[ROCE]] &lt; AB$826, 3, IF( tblFilterAll[[#This Row],[ROCE]] &lt; AB$827, 2, 1 ) ) )</f>
        <v>3</v>
      </c>
      <c r="AD893" s="35">
        <f xml:space="preserve"> COUNTIFS( tblFilterAll[Include in output], 1, tblFilterAll[ROCE], "&gt;" &amp; tblFilterAll[[#This Row],[ROCE]] ) + 1</f>
        <v>123</v>
      </c>
      <c r="AE893" s="33" cm="1" vm="5642">
        <f t="array" ref="AE893" xml:space="preserve"> INDEX( VfM_Metrics_2023_Consol_Source[], $AK893, AE$832 )</f>
        <v>28701</v>
      </c>
      <c r="AF893" s="30" cm="1">
        <f t="array" ref="AF893" xml:space="preserve"> INDEX( VfM_Metrics_2023_Consol_Source[], $AK893, AF$832 )</f>
        <v>4.6672007244610084E-3</v>
      </c>
      <c r="AG893" s="30" cm="1">
        <f t="array" ref="AG893" xml:space="preserve"> INDEX( VfM_Metrics_2023_Consol_Source[], $AK893, AG$832 )</f>
        <v>6.6525025251645709E-3</v>
      </c>
      <c r="AH893" s="30" cm="1">
        <f t="array" ref="AH893" xml:space="preserve"> INDEX( VfM_Metrics_2023_Consol_Source[], $AK893, AH$832 )</f>
        <v>1.1319703249625579E-2</v>
      </c>
      <c r="AI893" s="30" t="str" cm="1">
        <f t="array" ref="AI893" xml:space="preserve"> INDEX( VfM_Metrics_2023_Consol_Source[], $AK893, AI$832 )</f>
        <v>Traditional</v>
      </c>
      <c r="AJ893" s="34" t="str" cm="1">
        <f t="array" ref="AJ893" xml:space="preserve"> INDEX( VfM_Metrics_2023_Consol_Source[], $AK893, AJ$832 )</f>
        <v>North East</v>
      </c>
      <c r="AK893" s="81">
        <f xml:space="preserve"> MATCH( tblFilterAll[[#This Row],[Code]], VfM_Metrics_2023_Consol_Source[RP_Code], 0 )</f>
        <v>60</v>
      </c>
      <c r="AL893" s="24">
        <f xml:space="preserve"> INDEX( tblFilterRegion[Include for region],  MATCH( tblFilterAll[[#This Row],[Code]], tblFilterRegion[RP_Code], 0 ) )</f>
        <v>1</v>
      </c>
      <c r="AM893" s="24">
        <f xml:space="preserve"> INDEX( tblFilterPropType[Incl for prop type],  MATCH( tblFilterAll[[#This Row],[Code]], tblFilterPropType[RP_Code], 0 ) )</f>
        <v>1</v>
      </c>
      <c r="AN893" s="24">
        <f xml:space="preserve"> INDEX( tblFilterSize[Incl for size],  MATCH( tblFilterAll[[#This Row],[Code]], tblFilterSize[RP_Code], 0 ) )</f>
        <v>1</v>
      </c>
      <c r="AO893" s="24">
        <f xml:space="preserve"> INDEX( tblFilterRP_Type[Incl, for RP Type],  MATCH( tblFilterAll[[#This Row],[Code]], tblFilterRP_Type[RP_Code], 0 ) )</f>
        <v>1</v>
      </c>
      <c r="AP893" s="24">
        <f xml:space="preserve">  -- ( SUM( tblFilterAll[[#This Row],[Filter Region]:[Filter RP Type]] ) = 4 )</f>
        <v>1</v>
      </c>
      <c r="AQ893" s="24">
        <f xml:space="preserve"> -- ( tblFilterAll[[#This Row],[Provider name]] = SelectedProvider )</f>
        <v>0</v>
      </c>
      <c r="AR893" s="24">
        <f xml:space="preserve">  -- ( OR( SUM( tblFilterAll[[#This Row],[Filter Region]:[Filter RP Type]] ) = 4, tblFilterAll[[#This Row],[SelectedProvider]] = 1 ) )</f>
        <v>1</v>
      </c>
      <c r="AS893" s="24">
        <f xml:space="preserve"> -- ( INDEX( PeersCritera[Included in final peers], MATCH( tblFilterAll[[#This Row],[Provider name]], PeersCritera[RP_Name], 0 ) ) = 1 )</f>
        <v>1</v>
      </c>
      <c r="AT893" s="30" t="str" cm="1">
        <f t="array" ref="AT893" xml:space="preserve"> SUBSTITUTE( INDEX( VfM_Metrics_2023_Consol_Source[], $AK893, AT$832 ), 0, "" )</f>
        <v>&gt;= 12 years</v>
      </c>
      <c r="AU893" s="34" cm="1">
        <f t="array" ref="AU893" xml:space="preserve"> INDEX( VfM_Metrics_2023_Consol_Source[], $AK893, AU$832 )</f>
        <v>0</v>
      </c>
      <c r="AV893" s="34" cm="1">
        <f t="array" ref="AV893" xml:space="preserve"> INDEX( VfM_Metrics_2023_Consol_Source[], $AK893, AV$832 )</f>
        <v>0</v>
      </c>
      <c r="AW893" s="34" cm="1">
        <f t="array" ref="AW893" xml:space="preserve"> INDEX( VfM_Metrics_2023_Consol_Source[], $AK893, AW$832 )</f>
        <v>0</v>
      </c>
      <c r="AX893" s="34" cm="1">
        <f t="array" ref="AX893" xml:space="preserve"> INDEX( VfM_Metrics_2023_Consol_Source[], $AK893, AX$832 )</f>
        <v>0</v>
      </c>
      <c r="AY893" s="34" cm="1">
        <f t="array" ref="AY893" xml:space="preserve"> INDEX( VfM_Metrics_2023_Consol_Source[], $AK893, AY$832 )</f>
        <v>0</v>
      </c>
      <c r="AZ893" s="34" cm="1">
        <f t="array" ref="AZ893" xml:space="preserve"> INDEX( VfM_Metrics_2023_Consol_Source[], $AK893, AZ$832 )</f>
        <v>0</v>
      </c>
      <c r="BA893" s="34" cm="1">
        <f t="array" ref="BA893" xml:space="preserve"> INDEX( VfM_Metrics_2023_Consol_Source[], $AK893, BA$832 )</f>
        <v>1</v>
      </c>
      <c r="BB893" s="34" cm="1">
        <f t="array" ref="BB893" xml:space="preserve"> INDEX( VfM_Metrics_2023_Consol_Source[], $AK893, BB$832 )</f>
        <v>0</v>
      </c>
      <c r="BC893" s="34" cm="1">
        <f t="array" ref="BC893" xml:space="preserve"> INDEX( VfM_Metrics_2023_Consol_Source[], $AK893, BC$832 )</f>
        <v>0</v>
      </c>
    </row>
    <row r="894" spans="2:55" x14ac:dyDescent="0.2">
      <c r="B894" s="122" t="str" vm="61">
        <f t="shared" ref="B894" si="396" xml:space="preserve"> B684</f>
        <v>Gloucester City Homes Limited</v>
      </c>
      <c r="C894" s="122" t="str" vm="322">
        <f t="shared" si="368"/>
        <v>4584</v>
      </c>
      <c r="D894" s="30" cm="1">
        <f t="array" ref="D894" xml:space="preserve"> INDEX( VfM_Metrics_2023_Consol_Source[], $AK894, D$832 )</f>
        <v>0.15812378736462931</v>
      </c>
      <c r="E894" s="35">
        <f xml:space="preserve"> IF( tblFilterAll[[#This Row],[Reinvestment]] &lt; D$825, 4, IF( tblFilterAll[[#This Row],[Reinvestment]] &lt; D$826, 3, IF( tblFilterAll[[#This Row],[Reinvestment]] &lt; D$827, 2, 1 ) ) )</f>
        <v>1</v>
      </c>
      <c r="F894" s="35">
        <f xml:space="preserve"> COUNTIFS( tblFilterAll[Include in output], 1, tblFilterAll[Reinvestment], "&gt;" &amp; tblFilterAll[[#This Row],[Reinvestment]] ) + 1</f>
        <v>9</v>
      </c>
      <c r="G894" s="30" cm="1">
        <f t="array" ref="G894" xml:space="preserve"> INDEX( VfM_Metrics_2023_Consol_Source[], $AK894, G$832 )</f>
        <v>2.129757444291067E-2</v>
      </c>
      <c r="H894" s="35">
        <f xml:space="preserve"> IF( tblFilterAll[[#This Row],[New Supply (Social)]] &lt; G$825, 4, IF( tblFilterAll[[#This Row],[New Supply (Social)]] &lt; G$826, 3, IF( tblFilterAll[[#This Row],[New Supply (Social)]] &lt; G$827, 2, 1 ) ) )</f>
        <v>2</v>
      </c>
      <c r="I894" s="35">
        <f xml:space="preserve"> COUNTIFS( tblFilterAll[Include in output], 1, tblFilterAll[New Supply (Social)], "&gt;" &amp; tblFilterAll[[#This Row],[New Supply (Social)]] ) + 1</f>
        <v>55</v>
      </c>
      <c r="J894" s="31" cm="1">
        <f t="array" ref="J894" xml:space="preserve"> INDEX( VfM_Metrics_2023_Consol_Source[], $AK894, J$832 )</f>
        <v>0</v>
      </c>
      <c r="K894" s="35">
        <f xml:space="preserve"> IF( tblFilterAll[[#This Row],[New Supply (Non-Social)]] &lt; J$825, 4, IF( tblFilterAll[[#This Row],[New Supply (Non-Social)]] &lt; J$826, 3, IF( tblFilterAll[[#This Row],[New Supply (Non-Social)]] &lt; J$827, 2, 1 ) ) )</f>
        <v>2</v>
      </c>
      <c r="L894" s="35">
        <f xml:space="preserve"> COUNTIFS( tblFilterAll[Include in output], 1, tblFilterAll[New Supply (Non-Social)], "&gt;" &amp; tblFilterAll[[#This Row],[New Supply (Non-Social)]] ) + 1</f>
        <v>72</v>
      </c>
      <c r="M894" s="30" cm="1">
        <f t="array" ref="M894" xml:space="preserve"> INDEX( VfM_Metrics_2023_Consol_Source[], $AK894, M$832 )</f>
        <v>0.53168891602959023</v>
      </c>
      <c r="N894" s="35">
        <f xml:space="preserve"> IF( tblFilterAll[[#This Row],[Gearing]] &lt; M$825, 4, IF( tblFilterAll[[#This Row],[Gearing]] &lt; M$826, 3, IF( tblFilterAll[[#This Row],[Gearing]] &lt; M$827, 2, 1 ) ) )</f>
        <v>2</v>
      </c>
      <c r="O894" s="35">
        <f xml:space="preserve"> COUNTIFS( tblFilterAll[Include in output], 1, tblFilterAll[Gearing], "&gt;" &amp; tblFilterAll[[#This Row],[Gearing]] ) + 1</f>
        <v>54</v>
      </c>
      <c r="P894" s="30" cm="1">
        <f t="array" ref="P894" xml:space="preserve"> INDEX( VfM_Metrics_2023_Consol_Source[], $AK894, P$832 )</f>
        <v>0.80233990147783252</v>
      </c>
      <c r="Q894" s="35">
        <f xml:space="preserve"> IF( tblFilterAll[[#This Row],[EBITDA MRI Interest Cover]] &lt; P$825, 4, IF( tblFilterAll[[#This Row],[EBITDA MRI Interest Cover]] &lt; P$826, 3, IF( tblFilterAll[[#This Row],[EBITDA MRI Interest Cover]] &lt; P$827, 2, 1 ) ) )</f>
        <v>4</v>
      </c>
      <c r="R894" s="35">
        <f xml:space="preserve"> COUNTIFS( tblFilterAll[Include in output], 1, tblFilterAll[EBITDA MRI Interest Cover], "&gt;" &amp; tblFilterAll[[#This Row],[EBITDA MRI Interest Cover]] ) + 1</f>
        <v>153</v>
      </c>
      <c r="S894" s="32" cm="1">
        <f t="array" ref="S894" xml:space="preserve"> INDEX( VfM_Metrics_2023_Consol_Source[], $AK894, S$832 )</f>
        <v>4645.4526360008404</v>
      </c>
      <c r="T894" s="35">
        <f xml:space="preserve"> IF( tblFilterAll[[#This Row],[Headline Social Housing Cost per unit]] &lt; S$825, 4, IF( tblFilterAll[[#This Row],[Headline Social Housing Cost per unit]] &lt; S$826, 3, IF( tblFilterAll[[#This Row],[Headline Social Housing Cost per unit]] &lt; S$827, 2, 1 ) ) )</f>
        <v>2</v>
      </c>
      <c r="U894" s="35">
        <f xml:space="preserve"> COUNTIFS( tblFilterAll[Include in output], 1, tblFilterAll[Headline Social Housing Cost per unit], "&gt;" &amp; tblFilterAll[[#This Row],[Headline Social Housing Cost per unit]] ) + 1</f>
        <v>92</v>
      </c>
      <c r="V894" s="30" cm="1">
        <f t="array" ref="V894" xml:space="preserve"> INDEX( VfM_Metrics_2023_Consol_Source[], $AK894, V$832 )</f>
        <v>0.16199430690934186</v>
      </c>
      <c r="W894" s="35">
        <f xml:space="preserve"> IF( tblFilterAll[[#This Row],[Operating Margin (SHL)]] &lt; V$825, 4, IF( tblFilterAll[[#This Row],[Operating Margin (SHL)]] &lt; V$826, 3, IF( tblFilterAll[[#This Row],[Operating Margin (SHL)]] &lt; V$827, 2, 1 ) ) )</f>
        <v>3</v>
      </c>
      <c r="X894" s="35">
        <f xml:space="preserve"> COUNTIFS( tblFilterAll[Include in output], 1, tblFilterAll[Operating Margin (SHL)], "&gt;" &amp; tblFilterAll[[#This Row],[Operating Margin (SHL)]] ) + 1</f>
        <v>135</v>
      </c>
      <c r="Y894" s="30" cm="1">
        <f t="array" ref="Y894" xml:space="preserve"> INDEX( VfM_Metrics_2023_Consol_Source[], $AK894, Y$832 )</f>
        <v>0.16767479430439192</v>
      </c>
      <c r="Z894" s="35">
        <f xml:space="preserve"> IF( tblFilterAll[[#This Row],[Operating Margin (Overall)]] &lt; Y$825, 4, IF( tblFilterAll[[#This Row],[Operating Margin (Overall)]] &lt; Y$826, 3, IF( tblFilterAll[[#This Row],[Operating Margin (Overall)]] &lt; Y$827, 2, 1 ) ) )</f>
        <v>3</v>
      </c>
      <c r="AA894" s="35">
        <f xml:space="preserve"> COUNTIFS( tblFilterAll[Include in output], 1, tblFilterAll[Operating Margin (Overall)], "&gt;" &amp; tblFilterAll[[#This Row],[Operating Margin (Overall)]] ) + 1</f>
        <v>113</v>
      </c>
      <c r="AB894" s="30" cm="1">
        <f t="array" ref="AB894" xml:space="preserve"> INDEX( VfM_Metrics_2023_Consol_Source[], $AK894, AB$832 )</f>
        <v>3.1752259446285645E-2</v>
      </c>
      <c r="AC894" s="35">
        <f xml:space="preserve"> IF( tblFilterAll[[#This Row],[ROCE]] &lt; AB$825, 4, IF( tblFilterAll[[#This Row],[ROCE]] &lt; AB$826, 3, IF( tblFilterAll[[#This Row],[ROCE]] &lt; AB$827, 2, 1 ) ) )</f>
        <v>2</v>
      </c>
      <c r="AD894" s="35">
        <f xml:space="preserve"> COUNTIFS( tblFilterAll[Include in output], 1, tblFilterAll[ROCE], "&gt;" &amp; tblFilterAll[[#This Row],[ROCE]] ) + 1</f>
        <v>73</v>
      </c>
      <c r="AE894" s="33" cm="1" vm="4110">
        <f t="array" ref="AE894" xml:space="preserve"> INDEX( VfM_Metrics_2023_Consol_Source[], $AK894, AE$832 )</f>
        <v>4756</v>
      </c>
      <c r="AF894" s="30" cm="1">
        <f t="array" ref="AF894" xml:space="preserve"> INDEX( VfM_Metrics_2023_Consol_Source[], $AK894, AF$832 )</f>
        <v>1.5443198646075735E-2</v>
      </c>
      <c r="AG894" s="30" cm="1">
        <f t="array" ref="AG894" xml:space="preserve"> INDEX( VfM_Metrics_2023_Consol_Source[], $AK894, AG$832 )</f>
        <v>6.1349693251533742E-2</v>
      </c>
      <c r="AH894" s="30" cm="1">
        <f t="array" ref="AH894" xml:space="preserve"> INDEX( VfM_Metrics_2023_Consol_Source[], $AK894, AH$832 )</f>
        <v>7.6792891897609475E-2</v>
      </c>
      <c r="AI894" s="30" t="str" cm="1">
        <f t="array" ref="AI894" xml:space="preserve"> INDEX( VfM_Metrics_2023_Consol_Source[], $AK894, AI$832 )</f>
        <v>LSVT</v>
      </c>
      <c r="AJ894" s="34" t="str" cm="1">
        <f t="array" ref="AJ894" xml:space="preserve"> INDEX( VfM_Metrics_2023_Consol_Source[], $AK894, AJ$832 )</f>
        <v>South West</v>
      </c>
      <c r="AK894" s="81">
        <f xml:space="preserve"> MATCH( tblFilterAll[[#This Row],[Code]], VfM_Metrics_2023_Consol_Source[RP_Code], 0 )</f>
        <v>61</v>
      </c>
      <c r="AL894" s="24">
        <f xml:space="preserve"> INDEX( tblFilterRegion[Include for region],  MATCH( tblFilterAll[[#This Row],[Code]], tblFilterRegion[RP_Code], 0 ) )</f>
        <v>1</v>
      </c>
      <c r="AM894" s="24">
        <f xml:space="preserve"> INDEX( tblFilterPropType[Incl for prop type],  MATCH( tblFilterAll[[#This Row],[Code]], tblFilterPropType[RP_Code], 0 ) )</f>
        <v>1</v>
      </c>
      <c r="AN894" s="24">
        <f xml:space="preserve"> INDEX( tblFilterSize[Incl for size],  MATCH( tblFilterAll[[#This Row],[Code]], tblFilterSize[RP_Code], 0 ) )</f>
        <v>1</v>
      </c>
      <c r="AO894" s="24">
        <f xml:space="preserve"> INDEX( tblFilterRP_Type[Incl, for RP Type],  MATCH( tblFilterAll[[#This Row],[Code]], tblFilterRP_Type[RP_Code], 0 ) )</f>
        <v>1</v>
      </c>
      <c r="AP894" s="24">
        <f xml:space="preserve">  -- ( SUM( tblFilterAll[[#This Row],[Filter Region]:[Filter RP Type]] ) = 4 )</f>
        <v>1</v>
      </c>
      <c r="AQ894" s="24">
        <f xml:space="preserve"> -- ( tblFilterAll[[#This Row],[Provider name]] = SelectedProvider )</f>
        <v>0</v>
      </c>
      <c r="AR894" s="24">
        <f xml:space="preserve">  -- ( OR( SUM( tblFilterAll[[#This Row],[Filter Region]:[Filter RP Type]] ) = 4, tblFilterAll[[#This Row],[SelectedProvider]] = 1 ) )</f>
        <v>1</v>
      </c>
      <c r="AS894" s="24">
        <f xml:space="preserve"> -- ( INDEX( PeersCritera[Included in final peers], MATCH( tblFilterAll[[#This Row],[Provider name]], PeersCritera[RP_Name], 0 ) ) = 1 )</f>
        <v>1</v>
      </c>
      <c r="AT894" s="30" t="str" cm="1">
        <f t="array" ref="AT894" xml:space="preserve"> SUBSTITUTE( INDEX( VfM_Metrics_2023_Consol_Source[], $AK894, AT$832 ), 0, "" )</f>
        <v>&lt; 12 years</v>
      </c>
      <c r="AU894" s="34" cm="1">
        <f t="array" ref="AU894" xml:space="preserve"> INDEX( VfM_Metrics_2023_Consol_Source[], $AK894, AU$832 )</f>
        <v>0</v>
      </c>
      <c r="AV894" s="34" cm="1">
        <f t="array" ref="AV894" xml:space="preserve"> INDEX( VfM_Metrics_2023_Consol_Source[], $AK894, AV$832 )</f>
        <v>0</v>
      </c>
      <c r="AW894" s="34" cm="1">
        <f t="array" ref="AW894" xml:space="preserve"> INDEX( VfM_Metrics_2023_Consol_Source[], $AK894, AW$832 )</f>
        <v>1</v>
      </c>
      <c r="AX894" s="34" cm="1">
        <f t="array" ref="AX894" xml:space="preserve"> INDEX( VfM_Metrics_2023_Consol_Source[], $AK894, AX$832 )</f>
        <v>0</v>
      </c>
      <c r="AY894" s="34" cm="1">
        <f t="array" ref="AY894" xml:space="preserve"> INDEX( VfM_Metrics_2023_Consol_Source[], $AK894, AY$832 )</f>
        <v>0</v>
      </c>
      <c r="AZ894" s="34" cm="1">
        <f t="array" ref="AZ894" xml:space="preserve"> INDEX( VfM_Metrics_2023_Consol_Source[], $AK894, AZ$832 )</f>
        <v>0</v>
      </c>
      <c r="BA894" s="34" cm="1">
        <f t="array" ref="BA894" xml:space="preserve"> INDEX( VfM_Metrics_2023_Consol_Source[], $AK894, BA$832 )</f>
        <v>0</v>
      </c>
      <c r="BB894" s="34" cm="1">
        <f t="array" ref="BB894" xml:space="preserve"> INDEX( VfM_Metrics_2023_Consol_Source[], $AK894, BB$832 )</f>
        <v>0</v>
      </c>
      <c r="BC894" s="34" cm="1">
        <f t="array" ref="BC894" xml:space="preserve"> INDEX( VfM_Metrics_2023_Consol_Source[], $AK894, BC$832 )</f>
        <v>0</v>
      </c>
    </row>
    <row r="895" spans="2:55" x14ac:dyDescent="0.2">
      <c r="B895" s="122" t="str" vm="62">
        <f t="shared" ref="B895" si="397" xml:space="preserve"> B685</f>
        <v>Golden Lane Housing Limited</v>
      </c>
      <c r="C895" s="122" t="str" vm="309">
        <f t="shared" si="368"/>
        <v>4803</v>
      </c>
      <c r="D895" s="30" cm="1">
        <f t="array" ref="D895" xml:space="preserve"> INDEX( VfM_Metrics_2023_Consol_Source[], $AK895, D$832 )</f>
        <v>8.244655354232576E-2</v>
      </c>
      <c r="E895" s="35">
        <f xml:space="preserve"> IF( tblFilterAll[[#This Row],[Reinvestment]] &lt; D$825, 4, IF( tblFilterAll[[#This Row],[Reinvestment]] &lt; D$826, 3, IF( tblFilterAll[[#This Row],[Reinvestment]] &lt; D$827, 2, 1 ) ) )</f>
        <v>2</v>
      </c>
      <c r="F895" s="35">
        <f xml:space="preserve"> COUNTIFS( tblFilterAll[Include in output], 1, tblFilterAll[Reinvestment], "&gt;" &amp; tblFilterAll[[#This Row],[Reinvestment]] ) + 1</f>
        <v>68</v>
      </c>
      <c r="G895" s="30" cm="1">
        <f t="array" ref="G895" xml:space="preserve"> INDEX( VfM_Metrics_2023_Consol_Source[], $AK895, G$832 )</f>
        <v>0.10295769374766005</v>
      </c>
      <c r="H895" s="35">
        <f xml:space="preserve"> IF( tblFilterAll[[#This Row],[New Supply (Social)]] &lt; G$825, 4, IF( tblFilterAll[[#This Row],[New Supply (Social)]] &lt; G$826, 3, IF( tblFilterAll[[#This Row],[New Supply (Social)]] &lt; G$827, 2, 1 ) ) )</f>
        <v>1</v>
      </c>
      <c r="I895" s="35">
        <f xml:space="preserve"> COUNTIFS( tblFilterAll[Include in output], 1, tblFilterAll[New Supply (Social)], "&gt;" &amp; tblFilterAll[[#This Row],[New Supply (Social)]] ) + 1</f>
        <v>2</v>
      </c>
      <c r="J895" s="31" cm="1">
        <f t="array" ref="J895" xml:space="preserve"> INDEX( VfM_Metrics_2023_Consol_Source[], $AK895, J$832 )</f>
        <v>0</v>
      </c>
      <c r="K895" s="35">
        <f xml:space="preserve"> IF( tblFilterAll[[#This Row],[New Supply (Non-Social)]] &lt; J$825, 4, IF( tblFilterAll[[#This Row],[New Supply (Non-Social)]] &lt; J$826, 3, IF( tblFilterAll[[#This Row],[New Supply (Non-Social)]] &lt; J$827, 2, 1 ) ) )</f>
        <v>2</v>
      </c>
      <c r="L895" s="35">
        <f xml:space="preserve"> COUNTIFS( tblFilterAll[Include in output], 1, tblFilterAll[New Supply (Non-Social)], "&gt;" &amp; tblFilterAll[[#This Row],[New Supply (Non-Social)]] ) + 1</f>
        <v>72</v>
      </c>
      <c r="M895" s="30" cm="1">
        <f t="array" ref="M895" xml:space="preserve"> INDEX( VfM_Metrics_2023_Consol_Source[], $AK895, M$832 )</f>
        <v>0.43765378838717922</v>
      </c>
      <c r="N895" s="35">
        <f xml:space="preserve"> IF( tblFilterAll[[#This Row],[Gearing]] &lt; M$825, 4, IF( tblFilterAll[[#This Row],[Gearing]] &lt; M$826, 3, IF( tblFilterAll[[#This Row],[Gearing]] &lt; M$827, 2, 1 ) ) )</f>
        <v>3</v>
      </c>
      <c r="O895" s="35">
        <f xml:space="preserve"> COUNTIFS( tblFilterAll[Include in output], 1, tblFilterAll[Gearing], "&gt;" &amp; tblFilterAll[[#This Row],[Gearing]] ) + 1</f>
        <v>110</v>
      </c>
      <c r="P895" s="30" cm="1">
        <f t="array" ref="P895" xml:space="preserve"> INDEX( VfM_Metrics_2023_Consol_Source[], $AK895, P$832 )</f>
        <v>1.5244444444444445</v>
      </c>
      <c r="Q895" s="35">
        <f xml:space="preserve"> IF( tblFilterAll[[#This Row],[EBITDA MRI Interest Cover]] &lt; P$825, 4, IF( tblFilterAll[[#This Row],[EBITDA MRI Interest Cover]] &lt; P$826, 3, IF( tblFilterAll[[#This Row],[EBITDA MRI Interest Cover]] &lt; P$827, 2, 1 ) ) )</f>
        <v>2</v>
      </c>
      <c r="R895" s="35">
        <f xml:space="preserve"> COUNTIFS( tblFilterAll[Include in output], 1, tblFilterAll[EBITDA MRI Interest Cover], "&gt;" &amp; tblFilterAll[[#This Row],[EBITDA MRI Interest Cover]] ) + 1</f>
        <v>59</v>
      </c>
      <c r="S895" s="32" cm="1">
        <f t="array" ref="S895" xml:space="preserve"> INDEX( VfM_Metrics_2023_Consol_Source[], $AK895, S$832 )</f>
        <v>9220.516660426807</v>
      </c>
      <c r="T895" s="35">
        <f xml:space="preserve"> IF( tblFilterAll[[#This Row],[Headline Social Housing Cost per unit]] &lt; S$825, 4, IF( tblFilterAll[[#This Row],[Headline Social Housing Cost per unit]] &lt; S$826, 3, IF( tblFilterAll[[#This Row],[Headline Social Housing Cost per unit]] &lt; S$827, 2, 1 ) ) )</f>
        <v>1</v>
      </c>
      <c r="U895" s="35">
        <f xml:space="preserve"> COUNTIFS( tblFilterAll[Include in output], 1, tblFilterAll[Headline Social Housing Cost per unit], "&gt;" &amp; tblFilterAll[[#This Row],[Headline Social Housing Cost per unit]] ) + 1</f>
        <v>17</v>
      </c>
      <c r="V895" s="30" cm="1">
        <f t="array" ref="V895" xml:space="preserve"> INDEX( VfM_Metrics_2023_Consol_Source[], $AK895, V$832 )</f>
        <v>0.11368827973994025</v>
      </c>
      <c r="W895" s="35">
        <f xml:space="preserve"> IF( tblFilterAll[[#This Row],[Operating Margin (SHL)]] &lt; V$825, 4, IF( tblFilterAll[[#This Row],[Operating Margin (SHL)]] &lt; V$826, 3, IF( tblFilterAll[[#This Row],[Operating Margin (SHL)]] &lt; V$827, 2, 1 ) ) )</f>
        <v>4</v>
      </c>
      <c r="X895" s="35">
        <f xml:space="preserve"> COUNTIFS( tblFilterAll[Include in output], 1, tblFilterAll[Operating Margin (SHL)], "&gt;" &amp; tblFilterAll[[#This Row],[Operating Margin (SHL)]] ) + 1</f>
        <v>166</v>
      </c>
      <c r="Y895" s="30" cm="1">
        <f t="array" ref="Y895" xml:space="preserve"> INDEX( VfM_Metrics_2023_Consol_Source[], $AK895, Y$832 )</f>
        <v>0.11507866979710552</v>
      </c>
      <c r="Z895" s="35">
        <f xml:space="preserve"> IF( tblFilterAll[[#This Row],[Operating Margin (Overall)]] &lt; Y$825, 4, IF( tblFilterAll[[#This Row],[Operating Margin (Overall)]] &lt; Y$826, 3, IF( tblFilterAll[[#This Row],[Operating Margin (Overall)]] &lt; Y$827, 2, 1 ) ) )</f>
        <v>4</v>
      </c>
      <c r="AA895" s="35">
        <f xml:space="preserve"> COUNTIFS( tblFilterAll[Include in output], 1, tblFilterAll[Operating Margin (Overall)], "&gt;" &amp; tblFilterAll[[#This Row],[Operating Margin (Overall)]] ) + 1</f>
        <v>151</v>
      </c>
      <c r="AB895" s="30" cm="1">
        <f t="array" ref="AB895" xml:space="preserve"> INDEX( VfM_Metrics_2023_Consol_Source[], $AK895, AB$832 )</f>
        <v>2.5196959438665598E-2</v>
      </c>
      <c r="AC895" s="35">
        <f xml:space="preserve"> IF( tblFilterAll[[#This Row],[ROCE]] &lt; AB$825, 4, IF( tblFilterAll[[#This Row],[ROCE]] &lt; AB$826, 3, IF( tblFilterAll[[#This Row],[ROCE]] &lt; AB$827, 2, 1 ) ) )</f>
        <v>3</v>
      </c>
      <c r="AD895" s="35">
        <f xml:space="preserve"> COUNTIFS( tblFilterAll[Include in output], 1, tblFilterAll[ROCE], "&gt;" &amp; tblFilterAll[[#This Row],[ROCE]] ) + 1</f>
        <v>126</v>
      </c>
      <c r="AE895" s="33" cm="1" vm="3636">
        <f t="array" ref="AE895" xml:space="preserve"> INDEX( VfM_Metrics_2023_Consol_Source[], $AK895, AE$832 )</f>
        <v>2671</v>
      </c>
      <c r="AF895" s="30" cm="1">
        <f t="array" ref="AF895" xml:space="preserve"> INDEX( VfM_Metrics_2023_Consol_Source[], $AK895, AF$832 )</f>
        <v>0.97603893672781727</v>
      </c>
      <c r="AG895" s="30" cm="1">
        <f t="array" ref="AG895" xml:space="preserve"> INDEX( VfM_Metrics_2023_Consol_Source[], $AK895, AG$832 )</f>
        <v>0</v>
      </c>
      <c r="AH895" s="30" cm="1">
        <f t="array" ref="AH895" xml:space="preserve"> INDEX( VfM_Metrics_2023_Consol_Source[], $AK895, AH$832 )</f>
        <v>0.97603893672781727</v>
      </c>
      <c r="AI895" s="30" t="str" cm="1">
        <f t="array" ref="AI895" xml:space="preserve"> INDEX( VfM_Metrics_2023_Consol_Source[], $AK895, AI$832 )</f>
        <v>Traditional</v>
      </c>
      <c r="AJ895" s="34" t="str" cm="1">
        <f t="array" ref="AJ895" xml:space="preserve"> INDEX( VfM_Metrics_2023_Consol_Source[], $AK895, AJ$832 )</f>
        <v>Mixed</v>
      </c>
      <c r="AK895" s="81">
        <f xml:space="preserve"> MATCH( tblFilterAll[[#This Row],[Code]], VfM_Metrics_2023_Consol_Source[RP_Code], 0 )</f>
        <v>62</v>
      </c>
      <c r="AL895" s="24">
        <f xml:space="preserve"> INDEX( tblFilterRegion[Include for region],  MATCH( tblFilterAll[[#This Row],[Code]], tblFilterRegion[RP_Code], 0 ) )</f>
        <v>1</v>
      </c>
      <c r="AM895" s="24">
        <f xml:space="preserve"> INDEX( tblFilterPropType[Incl for prop type],  MATCH( tblFilterAll[[#This Row],[Code]], tblFilterPropType[RP_Code], 0 ) )</f>
        <v>1</v>
      </c>
      <c r="AN895" s="24">
        <f xml:space="preserve"> INDEX( tblFilterSize[Incl for size],  MATCH( tblFilterAll[[#This Row],[Code]], tblFilterSize[RP_Code], 0 ) )</f>
        <v>1</v>
      </c>
      <c r="AO895" s="24">
        <f xml:space="preserve"> INDEX( tblFilterRP_Type[Incl, for RP Type],  MATCH( tblFilterAll[[#This Row],[Code]], tblFilterRP_Type[RP_Code], 0 ) )</f>
        <v>1</v>
      </c>
      <c r="AP895" s="24">
        <f xml:space="preserve">  -- ( SUM( tblFilterAll[[#This Row],[Filter Region]:[Filter RP Type]] ) = 4 )</f>
        <v>1</v>
      </c>
      <c r="AQ895" s="24">
        <f xml:space="preserve"> -- ( tblFilterAll[[#This Row],[Provider name]] = SelectedProvider )</f>
        <v>0</v>
      </c>
      <c r="AR895" s="24">
        <f xml:space="preserve">  -- ( OR( SUM( tblFilterAll[[#This Row],[Filter Region]:[Filter RP Type]] ) = 4, tblFilterAll[[#This Row],[SelectedProvider]] = 1 ) )</f>
        <v>1</v>
      </c>
      <c r="AS895" s="24">
        <f xml:space="preserve"> -- ( INDEX( PeersCritera[Included in final peers], MATCH( tblFilterAll[[#This Row],[Provider name]], PeersCritera[RP_Name], 0 ) ) = 1 )</f>
        <v>1</v>
      </c>
      <c r="AT895" s="30" t="str" cm="1">
        <f t="array" ref="AT895" xml:space="preserve"> SUBSTITUTE( INDEX( VfM_Metrics_2023_Consol_Source[], $AK895, AT$832 ), 0, "" )</f>
        <v/>
      </c>
      <c r="AU895" s="34" cm="1">
        <f t="array" ref="AU895" xml:space="preserve"> INDEX( VfM_Metrics_2023_Consol_Source[], $AK895, AU$832 )</f>
        <v>7.9698651863600312E-2</v>
      </c>
      <c r="AV895" s="34" cm="1">
        <f t="array" ref="AV895" xml:space="preserve"> INDEX( VfM_Metrics_2023_Consol_Source[], $AK895, AV$832 )</f>
        <v>0.16613798572561458</v>
      </c>
      <c r="AW895" s="34" cm="1">
        <f t="array" ref="AW895" xml:space="preserve"> INDEX( VfM_Metrics_2023_Consol_Source[], $AK895, AW$832 )</f>
        <v>0.15067406819984139</v>
      </c>
      <c r="AX895" s="34" cm="1">
        <f t="array" ref="AX895" xml:space="preserve"> INDEX( VfM_Metrics_2023_Consol_Source[], $AK895, AX$832 )</f>
        <v>0.15741475019825535</v>
      </c>
      <c r="AY895" s="34" cm="1">
        <f t="array" ref="AY895" xml:space="preserve"> INDEX( VfM_Metrics_2023_Consol_Source[], $AK895, AY$832 )</f>
        <v>7.1371927042030131E-2</v>
      </c>
      <c r="AZ895" s="34" cm="1">
        <f t="array" ref="AZ895" xml:space="preserve"> INDEX( VfM_Metrics_2023_Consol_Source[], $AK895, AZ$832 )</f>
        <v>7.5337034099920694E-2</v>
      </c>
      <c r="BA895" s="34" cm="1">
        <f t="array" ref="BA895" xml:space="preserve"> INDEX( VfM_Metrics_2023_Consol_Source[], $AK895, BA$832 )</f>
        <v>4.4012688342585253E-2</v>
      </c>
      <c r="BB895" s="34" cm="1">
        <f t="array" ref="BB895" xml:space="preserve"> INDEX( VfM_Metrics_2023_Consol_Source[], $AK895, BB$832 )</f>
        <v>7.6526566217287872E-2</v>
      </c>
      <c r="BC895" s="34" cm="1">
        <f t="array" ref="BC895" xml:space="preserve"> INDEX( VfM_Metrics_2023_Consol_Source[], $AK895, BC$832 )</f>
        <v>0.1788263283108644</v>
      </c>
    </row>
    <row r="896" spans="2:55" x14ac:dyDescent="0.2">
      <c r="B896" s="122" t="str" vm="63">
        <f t="shared" ref="B896" si="398" xml:space="preserve"> B686</f>
        <v>Golding Homes Limited</v>
      </c>
      <c r="C896" s="122" t="str" vm="361">
        <f t="shared" si="368"/>
        <v>LH4402</v>
      </c>
      <c r="D896" s="30" cm="1">
        <f t="array" ref="D896" xml:space="preserve"> INDEX( VfM_Metrics_2023_Consol_Source[], $AK896, D$832 )</f>
        <v>6.4768570792070726E-2</v>
      </c>
      <c r="E896" s="35">
        <f xml:space="preserve"> IF( tblFilterAll[[#This Row],[Reinvestment]] &lt; D$825, 4, IF( tblFilterAll[[#This Row],[Reinvestment]] &lt; D$826, 3, IF( tblFilterAll[[#This Row],[Reinvestment]] &lt; D$827, 2, 1 ) ) )</f>
        <v>3</v>
      </c>
      <c r="F896" s="35">
        <f xml:space="preserve"> COUNTIFS( tblFilterAll[Include in output], 1, tblFilterAll[Reinvestment], "&gt;" &amp; tblFilterAll[[#This Row],[Reinvestment]] ) + 1</f>
        <v>106</v>
      </c>
      <c r="G896" s="30" cm="1">
        <f t="array" ref="G896" xml:space="preserve"> INDEX( VfM_Metrics_2023_Consol_Source[], $AK896, G$832 )</f>
        <v>3.0497398039452984E-2</v>
      </c>
      <c r="H896" s="35">
        <f xml:space="preserve"> IF( tblFilterAll[[#This Row],[New Supply (Social)]] &lt; G$825, 4, IF( tblFilterAll[[#This Row],[New Supply (Social)]] &lt; G$826, 3, IF( tblFilterAll[[#This Row],[New Supply (Social)]] &lt; G$827, 2, 1 ) ) )</f>
        <v>1</v>
      </c>
      <c r="I896" s="35">
        <f xml:space="preserve"> COUNTIFS( tblFilterAll[Include in output], 1, tblFilterAll[New Supply (Social)], "&gt;" &amp; tblFilterAll[[#This Row],[New Supply (Social)]] ) + 1</f>
        <v>18</v>
      </c>
      <c r="J896" s="31" cm="1">
        <f t="array" ref="J896" xml:space="preserve"> INDEX( VfM_Metrics_2023_Consol_Source[], $AK896, J$832 )</f>
        <v>0</v>
      </c>
      <c r="K896" s="35">
        <f xml:space="preserve"> IF( tblFilterAll[[#This Row],[New Supply (Non-Social)]] &lt; J$825, 4, IF( tblFilterAll[[#This Row],[New Supply (Non-Social)]] &lt; J$826, 3, IF( tblFilterAll[[#This Row],[New Supply (Non-Social)]] &lt; J$827, 2, 1 ) ) )</f>
        <v>2</v>
      </c>
      <c r="L896" s="35">
        <f xml:space="preserve"> COUNTIFS( tblFilterAll[Include in output], 1, tblFilterAll[New Supply (Non-Social)], "&gt;" &amp; tblFilterAll[[#This Row],[New Supply (Non-Social)]] ) + 1</f>
        <v>72</v>
      </c>
      <c r="M896" s="30" cm="1">
        <f t="array" ref="M896" xml:space="preserve"> INDEX( VfM_Metrics_2023_Consol_Source[], $AK896, M$832 )</f>
        <v>0.56455626788628177</v>
      </c>
      <c r="N896" s="35">
        <f xml:space="preserve"> IF( tblFilterAll[[#This Row],[Gearing]] &lt; M$825, 4, IF( tblFilterAll[[#This Row],[Gearing]] &lt; M$826, 3, IF( tblFilterAll[[#This Row],[Gearing]] &lt; M$827, 2, 1 ) ) )</f>
        <v>1</v>
      </c>
      <c r="O896" s="35">
        <f xml:space="preserve"> COUNTIFS( tblFilterAll[Include in output], 1, tblFilterAll[Gearing], "&gt;" &amp; tblFilterAll[[#This Row],[Gearing]] ) + 1</f>
        <v>37</v>
      </c>
      <c r="P896" s="30" cm="1">
        <f t="array" ref="P896" xml:space="preserve"> INDEX( VfM_Metrics_2023_Consol_Source[], $AK896, P$832 )</f>
        <v>1.0909863945578231</v>
      </c>
      <c r="Q896" s="35">
        <f xml:space="preserve"> IF( tblFilterAll[[#This Row],[EBITDA MRI Interest Cover]] &lt; P$825, 4, IF( tblFilterAll[[#This Row],[EBITDA MRI Interest Cover]] &lt; P$826, 3, IF( tblFilterAll[[#This Row],[EBITDA MRI Interest Cover]] &lt; P$827, 2, 1 ) ) )</f>
        <v>3</v>
      </c>
      <c r="R896" s="35">
        <f xml:space="preserve"> COUNTIFS( tblFilterAll[Include in output], 1, tblFilterAll[EBITDA MRI Interest Cover], "&gt;" &amp; tblFilterAll[[#This Row],[EBITDA MRI Interest Cover]] ) + 1</f>
        <v>126</v>
      </c>
      <c r="S896" s="32" cm="1">
        <f t="array" ref="S896" xml:space="preserve"> INDEX( VfM_Metrics_2023_Consol_Source[], $AK896, S$832 )</f>
        <v>5144.2888346395985</v>
      </c>
      <c r="T896" s="35">
        <f xml:space="preserve"> IF( tblFilterAll[[#This Row],[Headline Social Housing Cost per unit]] &lt; S$825, 4, IF( tblFilterAll[[#This Row],[Headline Social Housing Cost per unit]] &lt; S$826, 3, IF( tblFilterAll[[#This Row],[Headline Social Housing Cost per unit]] &lt; S$827, 2, 1 ) ) )</f>
        <v>2</v>
      </c>
      <c r="U896" s="35">
        <f xml:space="preserve"> COUNTIFS( tblFilterAll[Include in output], 1, tblFilterAll[Headline Social Housing Cost per unit], "&gt;" &amp; tblFilterAll[[#This Row],[Headline Social Housing Cost per unit]] ) + 1</f>
        <v>68</v>
      </c>
      <c r="V896" s="30" cm="1">
        <f t="array" ref="V896" xml:space="preserve"> INDEX( VfM_Metrics_2023_Consol_Source[], $AK896, V$832 )</f>
        <v>0.11260974678712304</v>
      </c>
      <c r="W896" s="35">
        <f xml:space="preserve"> IF( tblFilterAll[[#This Row],[Operating Margin (SHL)]] &lt; V$825, 4, IF( tblFilterAll[[#This Row],[Operating Margin (SHL)]] &lt; V$826, 3, IF( tblFilterAll[[#This Row],[Operating Margin (SHL)]] &lt; V$827, 2, 1 ) ) )</f>
        <v>4</v>
      </c>
      <c r="X896" s="35">
        <f xml:space="preserve"> COUNTIFS( tblFilterAll[Include in output], 1, tblFilterAll[Operating Margin (SHL)], "&gt;" &amp; tblFilterAll[[#This Row],[Operating Margin (SHL)]] ) + 1</f>
        <v>169</v>
      </c>
      <c r="Y896" s="30" cm="1">
        <f t="array" ref="Y896" xml:space="preserve"> INDEX( VfM_Metrics_2023_Consol_Source[], $AK896, Y$832 )</f>
        <v>0.14873710955014199</v>
      </c>
      <c r="Z896" s="35">
        <f xml:space="preserve"> IF( tblFilterAll[[#This Row],[Operating Margin (Overall)]] &lt; Y$825, 4, IF( tblFilterAll[[#This Row],[Operating Margin (Overall)]] &lt; Y$826, 3, IF( tblFilterAll[[#This Row],[Operating Margin (Overall)]] &lt; Y$827, 2, 1 ) ) )</f>
        <v>3</v>
      </c>
      <c r="AA896" s="35">
        <f xml:space="preserve"> COUNTIFS( tblFilterAll[Include in output], 1, tblFilterAll[Operating Margin (Overall)], "&gt;" &amp; tblFilterAll[[#This Row],[Operating Margin (Overall)]] ) + 1</f>
        <v>134</v>
      </c>
      <c r="AB896" s="30" cm="1">
        <f t="array" ref="AB896" xml:space="preserve"> INDEX( VfM_Metrics_2023_Consol_Source[], $AK896, AB$832 )</f>
        <v>2.1952132422902559E-2</v>
      </c>
      <c r="AC896" s="35">
        <f xml:space="preserve"> IF( tblFilterAll[[#This Row],[ROCE]] &lt; AB$825, 4, IF( tblFilterAll[[#This Row],[ROCE]] &lt; AB$826, 3, IF( tblFilterAll[[#This Row],[ROCE]] &lt; AB$827, 2, 1 ) ) )</f>
        <v>3</v>
      </c>
      <c r="AD896" s="35">
        <f xml:space="preserve"> COUNTIFS( tblFilterAll[Include in output], 1, tblFilterAll[ROCE], "&gt;" &amp; tblFilterAll[[#This Row],[ROCE]] ) + 1</f>
        <v>148</v>
      </c>
      <c r="AE896" s="33" cm="1" vm="5471">
        <f t="array" ref="AE896" xml:space="preserve"> INDEX( VfM_Metrics_2023_Consol_Source[], $AK896, AE$832 )</f>
        <v>7783</v>
      </c>
      <c r="AF896" s="30" cm="1">
        <f t="array" ref="AF896" xml:space="preserve"> INDEX( VfM_Metrics_2023_Consol_Source[], $AK896, AF$832 )</f>
        <v>0</v>
      </c>
      <c r="AG896" s="30" cm="1">
        <f t="array" ref="AG896" xml:space="preserve"> INDEX( VfM_Metrics_2023_Consol_Source[], $AK896, AG$832 )</f>
        <v>0.12736773350751143</v>
      </c>
      <c r="AH896" s="30" cm="1">
        <f t="array" ref="AH896" xml:space="preserve"> INDEX( VfM_Metrics_2023_Consol_Source[], $AK896, AH$832 )</f>
        <v>0.12736773350751143</v>
      </c>
      <c r="AI896" s="30" t="str" cm="1">
        <f t="array" ref="AI896" xml:space="preserve"> INDEX( VfM_Metrics_2023_Consol_Source[], $AK896, AI$832 )</f>
        <v>Traditional</v>
      </c>
      <c r="AJ896" s="34" t="str" cm="1">
        <f t="array" ref="AJ896" xml:space="preserve"> INDEX( VfM_Metrics_2023_Consol_Source[], $AK896, AJ$832 )</f>
        <v>South East</v>
      </c>
      <c r="AK896" s="81">
        <f xml:space="preserve"> MATCH( tblFilterAll[[#This Row],[Code]], VfM_Metrics_2023_Consol_Source[RP_Code], 0 )</f>
        <v>63</v>
      </c>
      <c r="AL896" s="24">
        <f xml:space="preserve"> INDEX( tblFilterRegion[Include for region],  MATCH( tblFilterAll[[#This Row],[Code]], tblFilterRegion[RP_Code], 0 ) )</f>
        <v>1</v>
      </c>
      <c r="AM896" s="24">
        <f xml:space="preserve"> INDEX( tblFilterPropType[Incl for prop type],  MATCH( tblFilterAll[[#This Row],[Code]], tblFilterPropType[RP_Code], 0 ) )</f>
        <v>1</v>
      </c>
      <c r="AN896" s="24">
        <f xml:space="preserve"> INDEX( tblFilterSize[Incl for size],  MATCH( tblFilterAll[[#This Row],[Code]], tblFilterSize[RP_Code], 0 ) )</f>
        <v>1</v>
      </c>
      <c r="AO896" s="24">
        <f xml:space="preserve"> INDEX( tblFilterRP_Type[Incl, for RP Type],  MATCH( tblFilterAll[[#This Row],[Code]], tblFilterRP_Type[RP_Code], 0 ) )</f>
        <v>1</v>
      </c>
      <c r="AP896" s="24">
        <f xml:space="preserve">  -- ( SUM( tblFilterAll[[#This Row],[Filter Region]:[Filter RP Type]] ) = 4 )</f>
        <v>1</v>
      </c>
      <c r="AQ896" s="24">
        <f xml:space="preserve"> -- ( tblFilterAll[[#This Row],[Provider name]] = SelectedProvider )</f>
        <v>0</v>
      </c>
      <c r="AR896" s="24">
        <f xml:space="preserve">  -- ( OR( SUM( tblFilterAll[[#This Row],[Filter Region]:[Filter RP Type]] ) = 4, tblFilterAll[[#This Row],[SelectedProvider]] = 1 ) )</f>
        <v>1</v>
      </c>
      <c r="AS896" s="24">
        <f xml:space="preserve"> -- ( INDEX( PeersCritera[Included in final peers], MATCH( tblFilterAll[[#This Row],[Provider name]], PeersCritera[RP_Name], 0 ) ) = 1 )</f>
        <v>1</v>
      </c>
      <c r="AT896" s="30" t="str" cm="1">
        <f t="array" ref="AT896" xml:space="preserve"> SUBSTITUTE( INDEX( VfM_Metrics_2023_Consol_Source[], $AK896, AT$832 ), 0, "" )</f>
        <v>&gt;= 12 years</v>
      </c>
      <c r="AU896" s="34" cm="1">
        <f t="array" ref="AU896" xml:space="preserve"> INDEX( VfM_Metrics_2023_Consol_Source[], $AK896, AU$832 )</f>
        <v>3.5971223021582736E-3</v>
      </c>
      <c r="AV896" s="34" cm="1">
        <f t="array" ref="AV896" xml:space="preserve"> INDEX( VfM_Metrics_2023_Consol_Source[], $AK896, AV$832 )</f>
        <v>0.99640287769784175</v>
      </c>
      <c r="AW896" s="34" cm="1">
        <f t="array" ref="AW896" xml:space="preserve"> INDEX( VfM_Metrics_2023_Consol_Source[], $AK896, AW$832 )</f>
        <v>0</v>
      </c>
      <c r="AX896" s="34" cm="1">
        <f t="array" ref="AX896" xml:space="preserve"> INDEX( VfM_Metrics_2023_Consol_Source[], $AK896, AX$832 )</f>
        <v>0</v>
      </c>
      <c r="AY896" s="34" cm="1">
        <f t="array" ref="AY896" xml:space="preserve"> INDEX( VfM_Metrics_2023_Consol_Source[], $AK896, AY$832 )</f>
        <v>0</v>
      </c>
      <c r="AZ896" s="34" cm="1">
        <f t="array" ref="AZ896" xml:space="preserve"> INDEX( VfM_Metrics_2023_Consol_Source[], $AK896, AZ$832 )</f>
        <v>0</v>
      </c>
      <c r="BA896" s="34" cm="1">
        <f t="array" ref="BA896" xml:space="preserve"> INDEX( VfM_Metrics_2023_Consol_Source[], $AK896, BA$832 )</f>
        <v>0</v>
      </c>
      <c r="BB896" s="34" cm="1">
        <f t="array" ref="BB896" xml:space="preserve"> INDEX( VfM_Metrics_2023_Consol_Source[], $AK896, BB$832 )</f>
        <v>0</v>
      </c>
      <c r="BC896" s="34" cm="1">
        <f t="array" ref="BC896" xml:space="preserve"> INDEX( VfM_Metrics_2023_Consol_Source[], $AK896, BC$832 )</f>
        <v>0</v>
      </c>
    </row>
    <row r="897" spans="2:55" x14ac:dyDescent="0.2">
      <c r="B897" s="122" t="str" vm="64">
        <f t="shared" ref="B897" si="399" xml:space="preserve"> B687</f>
        <v>Grand Union Housing Group Limited</v>
      </c>
      <c r="C897" s="122" t="str" vm="292">
        <f t="shared" si="368"/>
        <v>5060</v>
      </c>
      <c r="D897" s="30" cm="1">
        <f t="array" ref="D897" xml:space="preserve"> INDEX( VfM_Metrics_2023_Consol_Source[], $AK897, D$832 )</f>
        <v>6.2850516339934617E-2</v>
      </c>
      <c r="E897" s="35">
        <f xml:space="preserve"> IF( tblFilterAll[[#This Row],[Reinvestment]] &lt; D$825, 4, IF( tblFilterAll[[#This Row],[Reinvestment]] &lt; D$826, 3, IF( tblFilterAll[[#This Row],[Reinvestment]] &lt; D$827, 2, 1 ) ) )</f>
        <v>3</v>
      </c>
      <c r="F897" s="35">
        <f xml:space="preserve"> COUNTIFS( tblFilterAll[Include in output], 1, tblFilterAll[Reinvestment], "&gt;" &amp; tblFilterAll[[#This Row],[Reinvestment]] ) + 1</f>
        <v>111</v>
      </c>
      <c r="G897" s="30" cm="1">
        <f t="array" ref="G897" xml:space="preserve"> INDEX( VfM_Metrics_2023_Consol_Source[], $AK897, G$832 )</f>
        <v>2.1916290845794762E-2</v>
      </c>
      <c r="H897" s="35">
        <f xml:space="preserve"> IF( tblFilterAll[[#This Row],[New Supply (Social)]] &lt; G$825, 4, IF( tblFilterAll[[#This Row],[New Supply (Social)]] &lt; G$826, 3, IF( tblFilterAll[[#This Row],[New Supply (Social)]] &lt; G$827, 2, 1 ) ) )</f>
        <v>2</v>
      </c>
      <c r="I897" s="35">
        <f xml:space="preserve"> COUNTIFS( tblFilterAll[Include in output], 1, tblFilterAll[New Supply (Social)], "&gt;" &amp; tblFilterAll[[#This Row],[New Supply (Social)]] ) + 1</f>
        <v>53</v>
      </c>
      <c r="J897" s="31" cm="1">
        <f t="array" ref="J897" xml:space="preserve"> INDEX( VfM_Metrics_2023_Consol_Source[], $AK897, J$832 )</f>
        <v>3.9108330074305825E-4</v>
      </c>
      <c r="K897" s="35">
        <f xml:space="preserve"> IF( tblFilterAll[[#This Row],[New Supply (Non-Social)]] &lt; J$825, 4, IF( tblFilterAll[[#This Row],[New Supply (Non-Social)]] &lt; J$826, 3, IF( tblFilterAll[[#This Row],[New Supply (Non-Social)]] &lt; J$827, 2, 1 ) ) )</f>
        <v>2</v>
      </c>
      <c r="L897" s="35">
        <f xml:space="preserve"> COUNTIFS( tblFilterAll[Include in output], 1, tblFilterAll[New Supply (Non-Social)], "&gt;" &amp; tblFilterAll[[#This Row],[New Supply (Non-Social)]] ) + 1</f>
        <v>62</v>
      </c>
      <c r="M897" s="30" cm="1">
        <f t="array" ref="M897" xml:space="preserve"> INDEX( VfM_Metrics_2023_Consol_Source[], $AK897, M$832 )</f>
        <v>0.48194202654320017</v>
      </c>
      <c r="N897" s="35">
        <f xml:space="preserve"> IF( tblFilterAll[[#This Row],[Gearing]] &lt; M$825, 4, IF( tblFilterAll[[#This Row],[Gearing]] &lt; M$826, 3, IF( tblFilterAll[[#This Row],[Gearing]] &lt; M$827, 2, 1 ) ) )</f>
        <v>2</v>
      </c>
      <c r="O897" s="35">
        <f xml:space="preserve"> COUNTIFS( tblFilterAll[Include in output], 1, tblFilterAll[Gearing], "&gt;" &amp; tblFilterAll[[#This Row],[Gearing]] ) + 1</f>
        <v>80</v>
      </c>
      <c r="P897" s="30" cm="1">
        <f t="array" ref="P897" xml:space="preserve"> INDEX( VfM_Metrics_2023_Consol_Source[], $AK897, P$832 )</f>
        <v>1.4620513712529715</v>
      </c>
      <c r="Q897" s="35">
        <f xml:space="preserve"> IF( tblFilterAll[[#This Row],[EBITDA MRI Interest Cover]] &lt; P$825, 4, IF( tblFilterAll[[#This Row],[EBITDA MRI Interest Cover]] &lt; P$826, 3, IF( tblFilterAll[[#This Row],[EBITDA MRI Interest Cover]] &lt; P$827, 2, 1 ) ) )</f>
        <v>2</v>
      </c>
      <c r="R897" s="35">
        <f xml:space="preserve"> COUNTIFS( tblFilterAll[Include in output], 1, tblFilterAll[EBITDA MRI Interest Cover], "&gt;" &amp; tblFilterAll[[#This Row],[EBITDA MRI Interest Cover]] ) + 1</f>
        <v>70</v>
      </c>
      <c r="S897" s="32" cm="1">
        <f t="array" ref="S897" xml:space="preserve"> INDEX( VfM_Metrics_2023_Consol_Source[], $AK897, S$832 )</f>
        <v>4086.048920404749</v>
      </c>
      <c r="T897" s="35">
        <f xml:space="preserve"> IF( tblFilterAll[[#This Row],[Headline Social Housing Cost per unit]] &lt; S$825, 4, IF( tblFilterAll[[#This Row],[Headline Social Housing Cost per unit]] &lt; S$826, 3, IF( tblFilterAll[[#This Row],[Headline Social Housing Cost per unit]] &lt; S$827, 2, 1 ) ) )</f>
        <v>3</v>
      </c>
      <c r="U897" s="35">
        <f xml:space="preserve"> COUNTIFS( tblFilterAll[Include in output], 1, tblFilterAll[Headline Social Housing Cost per unit], "&gt;" &amp; tblFilterAll[[#This Row],[Headline Social Housing Cost per unit]] ) + 1</f>
        <v>149</v>
      </c>
      <c r="V897" s="30" cm="1">
        <f t="array" ref="V897" xml:space="preserve"> INDEX( VfM_Metrics_2023_Consol_Source[], $AK897, V$832 )</f>
        <v>0.26809944974215666</v>
      </c>
      <c r="W897" s="35">
        <f xml:space="preserve"> IF( tblFilterAll[[#This Row],[Operating Margin (SHL)]] &lt; V$825, 4, IF( tblFilterAll[[#This Row],[Operating Margin (SHL)]] &lt; V$826, 3, IF( tblFilterAll[[#This Row],[Operating Margin (SHL)]] &lt; V$827, 2, 1 ) ) )</f>
        <v>1</v>
      </c>
      <c r="X897" s="35">
        <f xml:space="preserve"> COUNTIFS( tblFilterAll[Include in output], 1, tblFilterAll[Operating Margin (SHL)], "&gt;" &amp; tblFilterAll[[#This Row],[Operating Margin (SHL)]] ) + 1</f>
        <v>44</v>
      </c>
      <c r="Y897" s="30" cm="1">
        <f t="array" ref="Y897" xml:space="preserve"> INDEX( VfM_Metrics_2023_Consol_Source[], $AK897, Y$832 )</f>
        <v>0.25701644179821925</v>
      </c>
      <c r="Z897" s="35">
        <f xml:space="preserve"> IF( tblFilterAll[[#This Row],[Operating Margin (Overall)]] &lt; Y$825, 4, IF( tblFilterAll[[#This Row],[Operating Margin (Overall)]] &lt; Y$826, 3, IF( tblFilterAll[[#This Row],[Operating Margin (Overall)]] &lt; Y$827, 2, 1 ) ) )</f>
        <v>1</v>
      </c>
      <c r="AA897" s="35">
        <f xml:space="preserve"> COUNTIFS( tblFilterAll[Include in output], 1, tblFilterAll[Operating Margin (Overall)], "&gt;" &amp; tblFilterAll[[#This Row],[Operating Margin (Overall)]] ) + 1</f>
        <v>33</v>
      </c>
      <c r="AB897" s="30" cm="1">
        <f t="array" ref="AB897" xml:space="preserve"> INDEX( VfM_Metrics_2023_Consol_Source[], $AK897, AB$832 )</f>
        <v>3.5884271385420483E-2</v>
      </c>
      <c r="AC897" s="35">
        <f xml:space="preserve"> IF( tblFilterAll[[#This Row],[ROCE]] &lt; AB$825, 4, IF( tblFilterAll[[#This Row],[ROCE]] &lt; AB$826, 3, IF( tblFilterAll[[#This Row],[ROCE]] &lt; AB$827, 2, 1 ) ) )</f>
        <v>2</v>
      </c>
      <c r="AD897" s="35">
        <f xml:space="preserve"> COUNTIFS( tblFilterAll[Include in output], 1, tblFilterAll[ROCE], "&gt;" &amp; tblFilterAll[[#This Row],[ROCE]] ) + 1</f>
        <v>53</v>
      </c>
      <c r="AE897" s="33" cm="1" vm="1916">
        <f t="array" ref="AE897" xml:space="preserve"> INDEX( VfM_Metrics_2023_Consol_Source[], $AK897, AE$832 )</f>
        <v>12266</v>
      </c>
      <c r="AF897" s="30" cm="1">
        <f t="array" ref="AF897" xml:space="preserve"> INDEX( VfM_Metrics_2023_Consol_Source[], $AK897, AF$832 )</f>
        <v>2.9102268990463663E-2</v>
      </c>
      <c r="AG897" s="30" cm="1">
        <f t="array" ref="AG897" xml:space="preserve"> INDEX( VfM_Metrics_2023_Consol_Source[], $AK897, AG$832 )</f>
        <v>8.3196317000986522E-2</v>
      </c>
      <c r="AH897" s="30" cm="1">
        <f t="array" ref="AH897" xml:space="preserve"> INDEX( VfM_Metrics_2023_Consol_Source[], $AK897, AH$832 )</f>
        <v>0.11229858599145018</v>
      </c>
      <c r="AI897" s="30" t="str" cm="1">
        <f t="array" ref="AI897" xml:space="preserve"> INDEX( VfM_Metrics_2023_Consol_Source[], $AK897, AI$832 )</f>
        <v>Traditional</v>
      </c>
      <c r="AJ897" s="34" t="str" cm="1">
        <f t="array" ref="AJ897" xml:space="preserve"> INDEX( VfM_Metrics_2023_Consol_Source[], $AK897, AJ$832 )</f>
        <v>East of England</v>
      </c>
      <c r="AK897" s="81">
        <f xml:space="preserve"> MATCH( tblFilterAll[[#This Row],[Code]], VfM_Metrics_2023_Consol_Source[RP_Code], 0 )</f>
        <v>64</v>
      </c>
      <c r="AL897" s="24">
        <f xml:space="preserve"> INDEX( tblFilterRegion[Include for region],  MATCH( tblFilterAll[[#This Row],[Code]], tblFilterRegion[RP_Code], 0 ) )</f>
        <v>1</v>
      </c>
      <c r="AM897" s="24">
        <f xml:space="preserve"> INDEX( tblFilterPropType[Incl for prop type],  MATCH( tblFilterAll[[#This Row],[Code]], tblFilterPropType[RP_Code], 0 ) )</f>
        <v>1</v>
      </c>
      <c r="AN897" s="24">
        <f xml:space="preserve"> INDEX( tblFilterSize[Incl for size],  MATCH( tblFilterAll[[#This Row],[Code]], tblFilterSize[RP_Code], 0 ) )</f>
        <v>1</v>
      </c>
      <c r="AO897" s="24">
        <f xml:space="preserve"> INDEX( tblFilterRP_Type[Incl, for RP Type],  MATCH( tblFilterAll[[#This Row],[Code]], tblFilterRP_Type[RP_Code], 0 ) )</f>
        <v>1</v>
      </c>
      <c r="AP897" s="24">
        <f xml:space="preserve">  -- ( SUM( tblFilterAll[[#This Row],[Filter Region]:[Filter RP Type]] ) = 4 )</f>
        <v>1</v>
      </c>
      <c r="AQ897" s="24">
        <f xml:space="preserve"> -- ( tblFilterAll[[#This Row],[Provider name]] = SelectedProvider )</f>
        <v>0</v>
      </c>
      <c r="AR897" s="24">
        <f xml:space="preserve">  -- ( OR( SUM( tblFilterAll[[#This Row],[Filter Region]:[Filter RP Type]] ) = 4, tblFilterAll[[#This Row],[SelectedProvider]] = 1 ) )</f>
        <v>1</v>
      </c>
      <c r="AS897" s="24">
        <f xml:space="preserve"> -- ( INDEX( PeersCritera[Included in final peers], MATCH( tblFilterAll[[#This Row],[Provider name]], PeersCritera[RP_Name], 0 ) ) = 1 )</f>
        <v>1</v>
      </c>
      <c r="AT897" s="30" t="str" cm="1">
        <f t="array" ref="AT897" xml:space="preserve"> SUBSTITUTE( INDEX( VfM_Metrics_2023_Consol_Source[], $AK897, AT$832 ), 0, "" )</f>
        <v>&gt;= 12 years</v>
      </c>
      <c r="AU897" s="34" cm="1">
        <f t="array" ref="AU897" xml:space="preserve"> INDEX( VfM_Metrics_2023_Consol_Source[], $AK897, AU$832 )</f>
        <v>0</v>
      </c>
      <c r="AV897" s="34" cm="1">
        <f t="array" ref="AV897" xml:space="preserve"> INDEX( VfM_Metrics_2023_Consol_Source[], $AK897, AV$832 )</f>
        <v>4.984782429875792E-2</v>
      </c>
      <c r="AW897" s="34" cm="1">
        <f t="array" ref="AW897" xml:space="preserve"> INDEX( VfM_Metrics_2023_Consol_Source[], $AK897, AW$832 )</f>
        <v>0</v>
      </c>
      <c r="AX897" s="34" cm="1">
        <f t="array" ref="AX897" xml:space="preserve"> INDEX( VfM_Metrics_2023_Consol_Source[], $AK897, AX$832 )</f>
        <v>0.35954594061034795</v>
      </c>
      <c r="AY897" s="34" cm="1">
        <f t="array" ref="AY897" xml:space="preserve"> INDEX( VfM_Metrics_2023_Consol_Source[], $AK897, AY$832 )</f>
        <v>0</v>
      </c>
      <c r="AZ897" s="34" cm="1">
        <f t="array" ref="AZ897" xml:space="preserve"> INDEX( VfM_Metrics_2023_Consol_Source[], $AK897, AZ$832 )</f>
        <v>0.59060623509089416</v>
      </c>
      <c r="BA897" s="34" cm="1">
        <f t="array" ref="BA897" xml:space="preserve"> INDEX( VfM_Metrics_2023_Consol_Source[], $AK897, BA$832 )</f>
        <v>0</v>
      </c>
      <c r="BB897" s="34" cm="1">
        <f t="array" ref="BB897" xml:space="preserve"> INDEX( VfM_Metrics_2023_Consol_Source[], $AK897, BB$832 )</f>
        <v>0</v>
      </c>
      <c r="BC897" s="34" cm="1">
        <f t="array" ref="BC897" xml:space="preserve"> INDEX( VfM_Metrics_2023_Consol_Source[], $AK897, BC$832 )</f>
        <v>0</v>
      </c>
    </row>
    <row r="898" spans="2:55" x14ac:dyDescent="0.2">
      <c r="B898" s="122" t="str" vm="65">
        <f t="shared" ref="B898" si="400" xml:space="preserve"> B688</f>
        <v>Great Places Housing Group Limited</v>
      </c>
      <c r="C898" s="122" t="str" vm="345">
        <f t="shared" ref="C898:C929" si="401" xml:space="preserve"> C688</f>
        <v>L4465</v>
      </c>
      <c r="D898" s="30" cm="1">
        <f t="array" ref="D898" xml:space="preserve"> INDEX( VfM_Metrics_2023_Consol_Source[], $AK898, D$832 )</f>
        <v>8.0753039605739013E-2</v>
      </c>
      <c r="E898" s="35">
        <f xml:space="preserve"> IF( tblFilterAll[[#This Row],[Reinvestment]] &lt; D$825, 4, IF( tblFilterAll[[#This Row],[Reinvestment]] &lt; D$826, 3, IF( tblFilterAll[[#This Row],[Reinvestment]] &lt; D$827, 2, 1 ) ) )</f>
        <v>2</v>
      </c>
      <c r="F898" s="35">
        <f xml:space="preserve"> COUNTIFS( tblFilterAll[Include in output], 1, tblFilterAll[Reinvestment], "&gt;" &amp; tblFilterAll[[#This Row],[Reinvestment]] ) + 1</f>
        <v>72</v>
      </c>
      <c r="G898" s="30" cm="1">
        <f t="array" ref="G898" xml:space="preserve"> INDEX( VfM_Metrics_2023_Consol_Source[], $AK898, G$832 )</f>
        <v>2.8868822561273964E-2</v>
      </c>
      <c r="H898" s="35">
        <f xml:space="preserve"> IF( tblFilterAll[[#This Row],[New Supply (Social)]] &lt; G$825, 4, IF( tblFilterAll[[#This Row],[New Supply (Social)]] &lt; G$826, 3, IF( tblFilterAll[[#This Row],[New Supply (Social)]] &lt; G$827, 2, 1 ) ) )</f>
        <v>1</v>
      </c>
      <c r="I898" s="35">
        <f xml:space="preserve"> COUNTIFS( tblFilterAll[Include in output], 1, tblFilterAll[New Supply (Social)], "&gt;" &amp; tblFilterAll[[#This Row],[New Supply (Social)]] ) + 1</f>
        <v>21</v>
      </c>
      <c r="J898" s="31" cm="1">
        <f t="array" ref="J898" xml:space="preserve"> INDEX( VfM_Metrics_2023_Consol_Source[], $AK898, J$832 )</f>
        <v>1.6179814588070667E-3</v>
      </c>
      <c r="K898" s="35">
        <f xml:space="preserve"> IF( tblFilterAll[[#This Row],[New Supply (Non-Social)]] &lt; J$825, 4, IF( tblFilterAll[[#This Row],[New Supply (Non-Social)]] &lt; J$826, 3, IF( tblFilterAll[[#This Row],[New Supply (Non-Social)]] &lt; J$827, 2, 1 ) ) )</f>
        <v>1</v>
      </c>
      <c r="L898" s="35">
        <f xml:space="preserve"> COUNTIFS( tblFilterAll[Include in output], 1, tblFilterAll[New Supply (Non-Social)], "&gt;" &amp; tblFilterAll[[#This Row],[New Supply (Non-Social)]] ) + 1</f>
        <v>37</v>
      </c>
      <c r="M898" s="30" cm="1">
        <f t="array" ref="M898" xml:space="preserve"> INDEX( VfM_Metrics_2023_Consol_Source[], $AK898, M$832 )</f>
        <v>0.41681207291990147</v>
      </c>
      <c r="N898" s="35">
        <f xml:space="preserve"> IF( tblFilterAll[[#This Row],[Gearing]] &lt; M$825, 4, IF( tblFilterAll[[#This Row],[Gearing]] &lt; M$826, 3, IF( tblFilterAll[[#This Row],[Gearing]] &lt; M$827, 2, 1 ) ) )</f>
        <v>3</v>
      </c>
      <c r="O898" s="35">
        <f xml:space="preserve"> COUNTIFS( tblFilterAll[Include in output], 1, tblFilterAll[Gearing], "&gt;" &amp; tblFilterAll[[#This Row],[Gearing]] ) + 1</f>
        <v>123</v>
      </c>
      <c r="P898" s="30" cm="1">
        <f t="array" ref="P898" xml:space="preserve"> INDEX( VfM_Metrics_2023_Consol_Source[], $AK898, P$832 )</f>
        <v>1.4689018783659529</v>
      </c>
      <c r="Q898" s="35">
        <f xml:space="preserve"> IF( tblFilterAll[[#This Row],[EBITDA MRI Interest Cover]] &lt; P$825, 4, IF( tblFilterAll[[#This Row],[EBITDA MRI Interest Cover]] &lt; P$826, 3, IF( tblFilterAll[[#This Row],[EBITDA MRI Interest Cover]] &lt; P$827, 2, 1 ) ) )</f>
        <v>2</v>
      </c>
      <c r="R898" s="35">
        <f xml:space="preserve"> COUNTIFS( tblFilterAll[Include in output], 1, tblFilterAll[EBITDA MRI Interest Cover], "&gt;" &amp; tblFilterAll[[#This Row],[EBITDA MRI Interest Cover]] ) + 1</f>
        <v>69</v>
      </c>
      <c r="S898" s="32" cm="1">
        <f t="array" ref="S898" xml:space="preserve"> INDEX( VfM_Metrics_2023_Consol_Source[], $AK898, S$832 )</f>
        <v>3941.7922570165147</v>
      </c>
      <c r="T898" s="35">
        <f xml:space="preserve"> IF( tblFilterAll[[#This Row],[Headline Social Housing Cost per unit]] &lt; S$825, 4, IF( tblFilterAll[[#This Row],[Headline Social Housing Cost per unit]] &lt; S$826, 3, IF( tblFilterAll[[#This Row],[Headline Social Housing Cost per unit]] &lt; S$827, 2, 1 ) ) )</f>
        <v>4</v>
      </c>
      <c r="U898" s="35">
        <f xml:space="preserve"> COUNTIFS( tblFilterAll[Include in output], 1, tblFilterAll[Headline Social Housing Cost per unit], "&gt;" &amp; tblFilterAll[[#This Row],[Headline Social Housing Cost per unit]] ) + 1</f>
        <v>171</v>
      </c>
      <c r="V898" s="30" cm="1">
        <f t="array" ref="V898" xml:space="preserve"> INDEX( VfM_Metrics_2023_Consol_Source[], $AK898, V$832 )</f>
        <v>0.26382021360759494</v>
      </c>
      <c r="W898" s="35">
        <f xml:space="preserve"> IF( tblFilterAll[[#This Row],[Operating Margin (SHL)]] &lt; V$825, 4, IF( tblFilterAll[[#This Row],[Operating Margin (SHL)]] &lt; V$826, 3, IF( tblFilterAll[[#This Row],[Operating Margin (SHL)]] &lt; V$827, 2, 1 ) ) )</f>
        <v>1</v>
      </c>
      <c r="X898" s="35">
        <f xml:space="preserve"> COUNTIFS( tblFilterAll[Include in output], 1, tblFilterAll[Operating Margin (SHL)], "&gt;" &amp; tblFilterAll[[#This Row],[Operating Margin (SHL)]] ) + 1</f>
        <v>46</v>
      </c>
      <c r="Y898" s="30" cm="1">
        <f t="array" ref="Y898" xml:space="preserve"> INDEX( VfM_Metrics_2023_Consol_Source[], $AK898, Y$832 )</f>
        <v>0.23556376859110012</v>
      </c>
      <c r="Z898" s="35">
        <f xml:space="preserve"> IF( tblFilterAll[[#This Row],[Operating Margin (Overall)]] &lt; Y$825, 4, IF( tblFilterAll[[#This Row],[Operating Margin (Overall)]] &lt; Y$826, 3, IF( tblFilterAll[[#This Row],[Operating Margin (Overall)]] &lt; Y$827, 2, 1 ) ) )</f>
        <v>1</v>
      </c>
      <c r="AA898" s="35">
        <f xml:space="preserve"> COUNTIFS( tblFilterAll[Include in output], 1, tblFilterAll[Operating Margin (Overall)], "&gt;" &amp; tblFilterAll[[#This Row],[Operating Margin (Overall)]] ) + 1</f>
        <v>44</v>
      </c>
      <c r="AB898" s="30" cm="1">
        <f t="array" ref="AB898" xml:space="preserve"> INDEX( VfM_Metrics_2023_Consol_Source[], $AK898, AB$832 )</f>
        <v>2.9776985332195218E-2</v>
      </c>
      <c r="AC898" s="35">
        <f xml:space="preserve"> IF( tblFilterAll[[#This Row],[ROCE]] &lt; AB$825, 4, IF( tblFilterAll[[#This Row],[ROCE]] &lt; AB$826, 3, IF( tblFilterAll[[#This Row],[ROCE]] &lt; AB$827, 2, 1 ) ) )</f>
        <v>2</v>
      </c>
      <c r="AD898" s="35">
        <f xml:space="preserve"> COUNTIFS( tblFilterAll[Include in output], 1, tblFilterAll[ROCE], "&gt;" &amp; tblFilterAll[[#This Row],[ROCE]] ) + 1</f>
        <v>90</v>
      </c>
      <c r="AE898" s="33" cm="1" vm="4907">
        <f t="array" ref="AE898" xml:space="preserve"> INDEX( VfM_Metrics_2023_Consol_Source[], $AK898, AE$832 )</f>
        <v>21331</v>
      </c>
      <c r="AF898" s="30" cm="1">
        <f t="array" ref="AF898" xml:space="preserve"> INDEX( VfM_Metrics_2023_Consol_Source[], $AK898, AF$832 )</f>
        <v>6.2836453718260202E-2</v>
      </c>
      <c r="AG898" s="30" cm="1">
        <f t="array" ref="AG898" xml:space="preserve"> INDEX( VfM_Metrics_2023_Consol_Source[], $AK898, AG$832 )</f>
        <v>2.2771664046496116E-2</v>
      </c>
      <c r="AH898" s="30" cm="1">
        <f t="array" ref="AH898" xml:space="preserve"> INDEX( VfM_Metrics_2023_Consol_Source[], $AK898, AH$832 )</f>
        <v>8.5608117764756325E-2</v>
      </c>
      <c r="AI898" s="30" t="str" cm="1">
        <f t="array" ref="AI898" xml:space="preserve"> INDEX( VfM_Metrics_2023_Consol_Source[], $AK898, AI$832 )</f>
        <v>Traditional</v>
      </c>
      <c r="AJ898" s="34" t="str" cm="1">
        <f t="array" ref="AJ898" xml:space="preserve"> INDEX( VfM_Metrics_2023_Consol_Source[], $AK898, AJ$832 )</f>
        <v>North West</v>
      </c>
      <c r="AK898" s="81">
        <f xml:space="preserve"> MATCH( tblFilterAll[[#This Row],[Code]], VfM_Metrics_2023_Consol_Source[RP_Code], 0 )</f>
        <v>65</v>
      </c>
      <c r="AL898" s="24">
        <f xml:space="preserve"> INDEX( tblFilterRegion[Include for region],  MATCH( tblFilterAll[[#This Row],[Code]], tblFilterRegion[RP_Code], 0 ) )</f>
        <v>1</v>
      </c>
      <c r="AM898" s="24">
        <f xml:space="preserve"> INDEX( tblFilterPropType[Incl for prop type],  MATCH( tblFilterAll[[#This Row],[Code]], tblFilterPropType[RP_Code], 0 ) )</f>
        <v>1</v>
      </c>
      <c r="AN898" s="24">
        <f xml:space="preserve"> INDEX( tblFilterSize[Incl for size],  MATCH( tblFilterAll[[#This Row],[Code]], tblFilterSize[RP_Code], 0 ) )</f>
        <v>1</v>
      </c>
      <c r="AO898" s="24">
        <f xml:space="preserve"> INDEX( tblFilterRP_Type[Incl, for RP Type],  MATCH( tblFilterAll[[#This Row],[Code]], tblFilterRP_Type[RP_Code], 0 ) )</f>
        <v>1</v>
      </c>
      <c r="AP898" s="24">
        <f xml:space="preserve">  -- ( SUM( tblFilterAll[[#This Row],[Filter Region]:[Filter RP Type]] ) = 4 )</f>
        <v>1</v>
      </c>
      <c r="AQ898" s="24">
        <f xml:space="preserve"> -- ( tblFilterAll[[#This Row],[Provider name]] = SelectedProvider )</f>
        <v>0</v>
      </c>
      <c r="AR898" s="24">
        <f xml:space="preserve">  -- ( OR( SUM( tblFilterAll[[#This Row],[Filter Region]:[Filter RP Type]] ) = 4, tblFilterAll[[#This Row],[SelectedProvider]] = 1 ) )</f>
        <v>1</v>
      </c>
      <c r="AS898" s="24">
        <f xml:space="preserve"> -- ( INDEX( PeersCritera[Included in final peers], MATCH( tblFilterAll[[#This Row],[Provider name]], PeersCritera[RP_Name], 0 ) ) = 1 )</f>
        <v>1</v>
      </c>
      <c r="AT898" s="30" t="str" cm="1">
        <f t="array" ref="AT898" xml:space="preserve"> SUBSTITUTE( INDEX( VfM_Metrics_2023_Consol_Source[], $AK898, AT$832 ), 0, "" )</f>
        <v/>
      </c>
      <c r="AU898" s="34" cm="1">
        <f t="array" ref="AU898" xml:space="preserve"> INDEX( VfM_Metrics_2023_Consol_Source[], $AK898, AU$832 )</f>
        <v>0</v>
      </c>
      <c r="AV898" s="34" cm="1">
        <f t="array" ref="AV898" xml:space="preserve"> INDEX( VfM_Metrics_2023_Consol_Source[], $AK898, AV$832 )</f>
        <v>4.725451280597297E-5</v>
      </c>
      <c r="AW898" s="34" cm="1">
        <f t="array" ref="AW898" xml:space="preserve"> INDEX( VfM_Metrics_2023_Consol_Source[], $AK898, AW$832 )</f>
        <v>0</v>
      </c>
      <c r="AX898" s="34" cm="1">
        <f t="array" ref="AX898" xml:space="preserve"> INDEX( VfM_Metrics_2023_Consol_Source[], $AK898, AX$832 )</f>
        <v>1.8807296096777244E-2</v>
      </c>
      <c r="AY898" s="34" cm="1">
        <f t="array" ref="AY898" xml:space="preserve"> INDEX( VfM_Metrics_2023_Consol_Source[], $AK898, AY$832 )</f>
        <v>4.1583971269256214E-3</v>
      </c>
      <c r="AZ898" s="34" cm="1">
        <f t="array" ref="AZ898" xml:space="preserve"> INDEX( VfM_Metrics_2023_Consol_Source[], $AK898, AZ$832 )</f>
        <v>0</v>
      </c>
      <c r="BA898" s="34" cm="1">
        <f t="array" ref="BA898" xml:space="preserve"> INDEX( VfM_Metrics_2023_Consol_Source[], $AK898, BA$832 )</f>
        <v>0</v>
      </c>
      <c r="BB898" s="34" cm="1">
        <f t="array" ref="BB898" xml:space="preserve"> INDEX( VfM_Metrics_2023_Consol_Source[], $AK898, BB$832 )</f>
        <v>0.83772800302428885</v>
      </c>
      <c r="BC898" s="34" cm="1">
        <f t="array" ref="BC898" xml:space="preserve"> INDEX( VfM_Metrics_2023_Consol_Source[], $AK898, BC$832 )</f>
        <v>0.13925904923920235</v>
      </c>
    </row>
    <row r="899" spans="2:55" x14ac:dyDescent="0.2">
      <c r="B899" s="122" t="str" vm="66">
        <f t="shared" ref="B899" si="402" xml:space="preserve"> B689</f>
        <v>Greatwell Homes Limited</v>
      </c>
      <c r="C899" s="122" t="str" vm="373">
        <f t="shared" si="401"/>
        <v>L4509</v>
      </c>
      <c r="D899" s="30" cm="1">
        <f t="array" ref="D899" xml:space="preserve"> INDEX( VfM_Metrics_2023_Consol_Source[], $AK899, D$832 )</f>
        <v>5.3993397527847743E-2</v>
      </c>
      <c r="E899" s="35">
        <f xml:space="preserve"> IF( tblFilterAll[[#This Row],[Reinvestment]] &lt; D$825, 4, IF( tblFilterAll[[#This Row],[Reinvestment]] &lt; D$826, 3, IF( tblFilterAll[[#This Row],[Reinvestment]] &lt; D$827, 2, 1 ) ) )</f>
        <v>3</v>
      </c>
      <c r="F899" s="35">
        <f xml:space="preserve"> COUNTIFS( tblFilterAll[Include in output], 1, tblFilterAll[Reinvestment], "&gt;" &amp; tblFilterAll[[#This Row],[Reinvestment]] ) + 1</f>
        <v>138</v>
      </c>
      <c r="G899" s="30" cm="1">
        <f t="array" ref="G899" xml:space="preserve"> INDEX( VfM_Metrics_2023_Consol_Source[], $AK899, G$832 )</f>
        <v>2.5033699210475638E-3</v>
      </c>
      <c r="H899" s="35">
        <f xml:space="preserve"> IF( tblFilterAll[[#This Row],[New Supply (Social)]] &lt; G$825, 4, IF( tblFilterAll[[#This Row],[New Supply (Social)]] &lt; G$826, 3, IF( tblFilterAll[[#This Row],[New Supply (Social)]] &lt; G$827, 2, 1 ) ) )</f>
        <v>4</v>
      </c>
      <c r="I899" s="35">
        <f xml:space="preserve"> COUNTIFS( tblFilterAll[Include in output], 1, tblFilterAll[New Supply (Social)], "&gt;" &amp; tblFilterAll[[#This Row],[New Supply (Social)]] ) + 1</f>
        <v>175</v>
      </c>
      <c r="J899" s="31" cm="1">
        <f t="array" ref="J899" xml:space="preserve"> INDEX( VfM_Metrics_2023_Consol_Source[], $AK899, J$832 )</f>
        <v>0</v>
      </c>
      <c r="K899" s="35">
        <f xml:space="preserve"> IF( tblFilterAll[[#This Row],[New Supply (Non-Social)]] &lt; J$825, 4, IF( tblFilterAll[[#This Row],[New Supply (Non-Social)]] &lt; J$826, 3, IF( tblFilterAll[[#This Row],[New Supply (Non-Social)]] &lt; J$827, 2, 1 ) ) )</f>
        <v>2</v>
      </c>
      <c r="L899" s="35">
        <f xml:space="preserve"> COUNTIFS( tblFilterAll[Include in output], 1, tblFilterAll[New Supply (Non-Social)], "&gt;" &amp; tblFilterAll[[#This Row],[New Supply (Non-Social)]] ) + 1</f>
        <v>72</v>
      </c>
      <c r="M899" s="30" cm="1">
        <f t="array" ref="M899" xml:space="preserve"> INDEX( VfM_Metrics_2023_Consol_Source[], $AK899, M$832 )</f>
        <v>0.34797499021983075</v>
      </c>
      <c r="N899" s="35">
        <f xml:space="preserve"> IF( tblFilterAll[[#This Row],[Gearing]] &lt; M$825, 4, IF( tblFilterAll[[#This Row],[Gearing]] &lt; M$826, 3, IF( tblFilterAll[[#This Row],[Gearing]] &lt; M$827, 2, 1 ) ) )</f>
        <v>3</v>
      </c>
      <c r="O899" s="35">
        <f xml:space="preserve"> COUNTIFS( tblFilterAll[Include in output], 1, tblFilterAll[Gearing], "&gt;" &amp; tblFilterAll[[#This Row],[Gearing]] ) + 1</f>
        <v>142</v>
      </c>
      <c r="P899" s="30" cm="1">
        <f t="array" ref="P899" xml:space="preserve"> INDEX( VfM_Metrics_2023_Consol_Source[], $AK899, P$832 )</f>
        <v>1.0775967413441956</v>
      </c>
      <c r="Q899" s="35">
        <f xml:space="preserve"> IF( tblFilterAll[[#This Row],[EBITDA MRI Interest Cover]] &lt; P$825, 4, IF( tblFilterAll[[#This Row],[EBITDA MRI Interest Cover]] &lt; P$826, 3, IF( tblFilterAll[[#This Row],[EBITDA MRI Interest Cover]] &lt; P$827, 2, 1 ) ) )</f>
        <v>3</v>
      </c>
      <c r="R899" s="35">
        <f xml:space="preserve"> COUNTIFS( tblFilterAll[Include in output], 1, tblFilterAll[EBITDA MRI Interest Cover], "&gt;" &amp; tblFilterAll[[#This Row],[EBITDA MRI Interest Cover]] ) + 1</f>
        <v>128</v>
      </c>
      <c r="S899" s="32" cm="1">
        <f t="array" ref="S899" xml:space="preserve"> INDEX( VfM_Metrics_2023_Consol_Source[], $AK899, S$832 )</f>
        <v>4454.7748447204967</v>
      </c>
      <c r="T899" s="35">
        <f xml:space="preserve"> IF( tblFilterAll[[#This Row],[Headline Social Housing Cost per unit]] &lt; S$825, 4, IF( tblFilterAll[[#This Row],[Headline Social Housing Cost per unit]] &lt; S$826, 3, IF( tblFilterAll[[#This Row],[Headline Social Housing Cost per unit]] &lt; S$827, 2, 1 ) ) )</f>
        <v>3</v>
      </c>
      <c r="U899" s="35">
        <f xml:space="preserve"> COUNTIFS( tblFilterAll[Include in output], 1, tblFilterAll[Headline Social Housing Cost per unit], "&gt;" &amp; tblFilterAll[[#This Row],[Headline Social Housing Cost per unit]] ) + 1</f>
        <v>111</v>
      </c>
      <c r="V899" s="30" cm="1">
        <f t="array" ref="V899" xml:space="preserve"> INDEX( VfM_Metrics_2023_Consol_Source[], $AK899, V$832 )</f>
        <v>0.16449272489394601</v>
      </c>
      <c r="W899" s="35">
        <f xml:space="preserve"> IF( tblFilterAll[[#This Row],[Operating Margin (SHL)]] &lt; V$825, 4, IF( tblFilterAll[[#This Row],[Operating Margin (SHL)]] &lt; V$826, 3, IF( tblFilterAll[[#This Row],[Operating Margin (SHL)]] &lt; V$827, 2, 1 ) ) )</f>
        <v>3</v>
      </c>
      <c r="X899" s="35">
        <f xml:space="preserve"> COUNTIFS( tblFilterAll[Include in output], 1, tblFilterAll[Operating Margin (SHL)], "&gt;" &amp; tblFilterAll[[#This Row],[Operating Margin (SHL)]] ) + 1</f>
        <v>134</v>
      </c>
      <c r="Y899" s="30" cm="1">
        <f t="array" ref="Y899" xml:space="preserve"> INDEX( VfM_Metrics_2023_Consol_Source[], $AK899, Y$832 )</f>
        <v>0.19349736379613358</v>
      </c>
      <c r="Z899" s="35">
        <f xml:space="preserve"> IF( tblFilterAll[[#This Row],[Operating Margin (Overall)]] &lt; Y$825, 4, IF( tblFilterAll[[#This Row],[Operating Margin (Overall)]] &lt; Y$826, 3, IF( tblFilterAll[[#This Row],[Operating Margin (Overall)]] &lt; Y$827, 2, 1 ) ) )</f>
        <v>2</v>
      </c>
      <c r="AA899" s="35">
        <f xml:space="preserve"> COUNTIFS( tblFilterAll[Include in output], 1, tblFilterAll[Operating Margin (Overall)], "&gt;" &amp; tblFilterAll[[#This Row],[Operating Margin (Overall)]] ) + 1</f>
        <v>90</v>
      </c>
      <c r="AB899" s="30" cm="1">
        <f t="array" ref="AB899" xml:space="preserve"> INDEX( VfM_Metrics_2023_Consol_Source[], $AK899, AB$832 )</f>
        <v>3.7777087860912759E-2</v>
      </c>
      <c r="AC899" s="35">
        <f xml:space="preserve"> IF( tblFilterAll[[#This Row],[ROCE]] &lt; AB$825, 4, IF( tblFilterAll[[#This Row],[ROCE]] &lt; AB$826, 3, IF( tblFilterAll[[#This Row],[ROCE]] &lt; AB$827, 2, 1 ) ) )</f>
        <v>1</v>
      </c>
      <c r="AD899" s="35">
        <f xml:space="preserve"> COUNTIFS( tblFilterAll[Include in output], 1, tblFilterAll[ROCE], "&gt;" &amp; tblFilterAll[[#This Row],[ROCE]] ) + 1</f>
        <v>41</v>
      </c>
      <c r="AE899" s="33" cm="1" vm="5916">
        <f t="array" ref="AE899" xml:space="preserve"> INDEX( VfM_Metrics_2023_Consol_Source[], $AK899, AE$832 )</f>
        <v>5078</v>
      </c>
      <c r="AF899" s="30" cm="1">
        <f t="array" ref="AF899" xml:space="preserve"> INDEX( VfM_Metrics_2023_Consol_Source[], $AK899, AF$832 )</f>
        <v>4.8143053645116916E-2</v>
      </c>
      <c r="AG899" s="30" cm="1">
        <f t="array" ref="AG899" xml:space="preserve"> INDEX( VfM_Metrics_2023_Consol_Source[], $AK899, AG$832 )</f>
        <v>0</v>
      </c>
      <c r="AH899" s="30" cm="1">
        <f t="array" ref="AH899" xml:space="preserve"> INDEX( VfM_Metrics_2023_Consol_Source[], $AK899, AH$832 )</f>
        <v>4.8143053645116916E-2</v>
      </c>
      <c r="AI899" s="30" t="str" cm="1">
        <f t="array" ref="AI899" xml:space="preserve"> INDEX( VfM_Metrics_2023_Consol_Source[], $AK899, AI$832 )</f>
        <v>Traditional</v>
      </c>
      <c r="AJ899" s="34" t="str" cm="1">
        <f t="array" ref="AJ899" xml:space="preserve"> INDEX( VfM_Metrics_2023_Consol_Source[], $AK899, AJ$832 )</f>
        <v>East Midlands</v>
      </c>
      <c r="AK899" s="81">
        <f xml:space="preserve"> MATCH( tblFilterAll[[#This Row],[Code]], VfM_Metrics_2023_Consol_Source[RP_Code], 0 )</f>
        <v>66</v>
      </c>
      <c r="AL899" s="24">
        <f xml:space="preserve"> INDEX( tblFilterRegion[Include for region],  MATCH( tblFilterAll[[#This Row],[Code]], tblFilterRegion[RP_Code], 0 ) )</f>
        <v>1</v>
      </c>
      <c r="AM899" s="24">
        <f xml:space="preserve"> INDEX( tblFilterPropType[Incl for prop type],  MATCH( tblFilterAll[[#This Row],[Code]], tblFilterPropType[RP_Code], 0 ) )</f>
        <v>1</v>
      </c>
      <c r="AN899" s="24">
        <f xml:space="preserve"> INDEX( tblFilterSize[Incl for size],  MATCH( tblFilterAll[[#This Row],[Code]], tblFilterSize[RP_Code], 0 ) )</f>
        <v>1</v>
      </c>
      <c r="AO899" s="24">
        <f xml:space="preserve"> INDEX( tblFilterRP_Type[Incl, for RP Type],  MATCH( tblFilterAll[[#This Row],[Code]], tblFilterRP_Type[RP_Code], 0 ) )</f>
        <v>1</v>
      </c>
      <c r="AP899" s="24">
        <f xml:space="preserve">  -- ( SUM( tblFilterAll[[#This Row],[Filter Region]:[Filter RP Type]] ) = 4 )</f>
        <v>1</v>
      </c>
      <c r="AQ899" s="24">
        <f xml:space="preserve"> -- ( tblFilterAll[[#This Row],[Provider name]] = SelectedProvider )</f>
        <v>0</v>
      </c>
      <c r="AR899" s="24">
        <f xml:space="preserve">  -- ( OR( SUM( tblFilterAll[[#This Row],[Filter Region]:[Filter RP Type]] ) = 4, tblFilterAll[[#This Row],[SelectedProvider]] = 1 ) )</f>
        <v>1</v>
      </c>
      <c r="AS899" s="24">
        <f xml:space="preserve"> -- ( INDEX( PeersCritera[Included in final peers], MATCH( tblFilterAll[[#This Row],[Provider name]], PeersCritera[RP_Name], 0 ) ) = 1 )</f>
        <v>1</v>
      </c>
      <c r="AT899" s="30" t="str" cm="1">
        <f t="array" ref="AT899" xml:space="preserve"> SUBSTITUTE( INDEX( VfM_Metrics_2023_Consol_Source[], $AK899, AT$832 ), 0, "" )</f>
        <v>&gt;= 12 years</v>
      </c>
      <c r="AU899" s="34" cm="1">
        <f t="array" ref="AU899" xml:space="preserve"> INDEX( VfM_Metrics_2023_Consol_Source[], $AK899, AU$832 )</f>
        <v>0</v>
      </c>
      <c r="AV899" s="34" cm="1">
        <f t="array" ref="AV899" xml:space="preserve"> INDEX( VfM_Metrics_2023_Consol_Source[], $AK899, AV$832 )</f>
        <v>0</v>
      </c>
      <c r="AW899" s="34" cm="1">
        <f t="array" ref="AW899" xml:space="preserve"> INDEX( VfM_Metrics_2023_Consol_Source[], $AK899, AW$832 )</f>
        <v>0</v>
      </c>
      <c r="AX899" s="34" cm="1">
        <f t="array" ref="AX899" xml:space="preserve"> INDEX( VfM_Metrics_2023_Consol_Source[], $AK899, AX$832 )</f>
        <v>1</v>
      </c>
      <c r="AY899" s="34" cm="1">
        <f t="array" ref="AY899" xml:space="preserve"> INDEX( VfM_Metrics_2023_Consol_Source[], $AK899, AY$832 )</f>
        <v>0</v>
      </c>
      <c r="AZ899" s="34" cm="1">
        <f t="array" ref="AZ899" xml:space="preserve"> INDEX( VfM_Metrics_2023_Consol_Source[], $AK899, AZ$832 )</f>
        <v>0</v>
      </c>
      <c r="BA899" s="34" cm="1">
        <f t="array" ref="BA899" xml:space="preserve"> INDEX( VfM_Metrics_2023_Consol_Source[], $AK899, BA$832 )</f>
        <v>0</v>
      </c>
      <c r="BB899" s="34" cm="1">
        <f t="array" ref="BB899" xml:space="preserve"> INDEX( VfM_Metrics_2023_Consol_Source[], $AK899, BB$832 )</f>
        <v>0</v>
      </c>
      <c r="BC899" s="34" cm="1">
        <f t="array" ref="BC899" xml:space="preserve"> INDEX( VfM_Metrics_2023_Consol_Source[], $AK899, BC$832 )</f>
        <v>0</v>
      </c>
    </row>
    <row r="900" spans="2:55" x14ac:dyDescent="0.2">
      <c r="B900" s="122" t="str" vm="67">
        <f t="shared" ref="B900" si="403" xml:space="preserve"> B690</f>
        <v>GreenSquareAccord Limited</v>
      </c>
      <c r="C900" s="122" t="str" vm="340">
        <f t="shared" si="401"/>
        <v>LH3902</v>
      </c>
      <c r="D900" s="30" cm="1">
        <f t="array" ref="D900" xml:space="preserve"> INDEX( VfM_Metrics_2023_Consol_Source[], $AK900, D$832 )</f>
        <v>6.9603909884597207E-2</v>
      </c>
      <c r="E900" s="35">
        <f xml:space="preserve"> IF( tblFilterAll[[#This Row],[Reinvestment]] &lt; D$825, 4, IF( tblFilterAll[[#This Row],[Reinvestment]] &lt; D$826, 3, IF( tblFilterAll[[#This Row],[Reinvestment]] &lt; D$827, 2, 1 ) ) )</f>
        <v>2</v>
      </c>
      <c r="F900" s="35">
        <f xml:space="preserve"> COUNTIFS( tblFilterAll[Include in output], 1, tblFilterAll[Reinvestment], "&gt;" &amp; tblFilterAll[[#This Row],[Reinvestment]] ) + 1</f>
        <v>91</v>
      </c>
      <c r="G900" s="30" cm="1">
        <f t="array" ref="G900" xml:space="preserve"> INDEX( VfM_Metrics_2023_Consol_Source[], $AK900, G$832 )</f>
        <v>1.6555530006898137E-2</v>
      </c>
      <c r="H900" s="35">
        <f xml:space="preserve"> IF( tblFilterAll[[#This Row],[New Supply (Social)]] &lt; G$825, 4, IF( tblFilterAll[[#This Row],[New Supply (Social)]] &lt; G$826, 3, IF( tblFilterAll[[#This Row],[New Supply (Social)]] &lt; G$827, 2, 1 ) ) )</f>
        <v>2</v>
      </c>
      <c r="I900" s="35">
        <f xml:space="preserve"> COUNTIFS( tblFilterAll[Include in output], 1, tblFilterAll[New Supply (Social)], "&gt;" &amp; tblFilterAll[[#This Row],[New Supply (Social)]] ) + 1</f>
        <v>75</v>
      </c>
      <c r="J900" s="31" cm="1">
        <f t="array" ref="J900" xml:space="preserve"> INDEX( VfM_Metrics_2023_Consol_Source[], $AK900, J$832 )</f>
        <v>1.9507343941248471E-3</v>
      </c>
      <c r="K900" s="35">
        <f xml:space="preserve"> IF( tblFilterAll[[#This Row],[New Supply (Non-Social)]] &lt; J$825, 4, IF( tblFilterAll[[#This Row],[New Supply (Non-Social)]] &lt; J$826, 3, IF( tblFilterAll[[#This Row],[New Supply (Non-Social)]] &lt; J$827, 2, 1 ) ) )</f>
        <v>1</v>
      </c>
      <c r="L900" s="35">
        <f xml:space="preserve"> COUNTIFS( tblFilterAll[Include in output], 1, tblFilterAll[New Supply (Non-Social)], "&gt;" &amp; tblFilterAll[[#This Row],[New Supply (Non-Social)]] ) + 1</f>
        <v>36</v>
      </c>
      <c r="M900" s="30" cm="1">
        <f t="array" ref="M900" xml:space="preserve"> INDEX( VfM_Metrics_2023_Consol_Source[], $AK900, M$832 )</f>
        <v>0.53547018571141247</v>
      </c>
      <c r="N900" s="35">
        <f xml:space="preserve"> IF( tblFilterAll[[#This Row],[Gearing]] &lt; M$825, 4, IF( tblFilterAll[[#This Row],[Gearing]] &lt; M$826, 3, IF( tblFilterAll[[#This Row],[Gearing]] &lt; M$827, 2, 1 ) ) )</f>
        <v>2</v>
      </c>
      <c r="O900" s="35">
        <f xml:space="preserve"> COUNTIFS( tblFilterAll[Include in output], 1, tblFilterAll[Gearing], "&gt;" &amp; tblFilterAll[[#This Row],[Gearing]] ) + 1</f>
        <v>52</v>
      </c>
      <c r="P900" s="30" cm="1">
        <f t="array" ref="P900" xml:space="preserve"> INDEX( VfM_Metrics_2023_Consol_Source[], $AK900, P$832 )</f>
        <v>0.55868144359192951</v>
      </c>
      <c r="Q900" s="35">
        <f xml:space="preserve"> IF( tblFilterAll[[#This Row],[EBITDA MRI Interest Cover]] &lt; P$825, 4, IF( tblFilterAll[[#This Row],[EBITDA MRI Interest Cover]] &lt; P$826, 3, IF( tblFilterAll[[#This Row],[EBITDA MRI Interest Cover]] &lt; P$827, 2, 1 ) ) )</f>
        <v>4</v>
      </c>
      <c r="R900" s="35">
        <f xml:space="preserve"> COUNTIFS( tblFilterAll[Include in output], 1, tblFilterAll[EBITDA MRI Interest Cover], "&gt;" &amp; tblFilterAll[[#This Row],[EBITDA MRI Interest Cover]] ) + 1</f>
        <v>167</v>
      </c>
      <c r="S900" s="32" cm="1">
        <f t="array" ref="S900" xml:space="preserve"> INDEX( VfM_Metrics_2023_Consol_Source[], $AK900, S$832 )</f>
        <v>4452.3431140741895</v>
      </c>
      <c r="T900" s="35">
        <f xml:space="preserve"> IF( tblFilterAll[[#This Row],[Headline Social Housing Cost per unit]] &lt; S$825, 4, IF( tblFilterAll[[#This Row],[Headline Social Housing Cost per unit]] &lt; S$826, 3, IF( tblFilterAll[[#This Row],[Headline Social Housing Cost per unit]] &lt; S$827, 2, 1 ) ) )</f>
        <v>3</v>
      </c>
      <c r="U900" s="35">
        <f xml:space="preserve"> COUNTIFS( tblFilterAll[Include in output], 1, tblFilterAll[Headline Social Housing Cost per unit], "&gt;" &amp; tblFilterAll[[#This Row],[Headline Social Housing Cost per unit]] ) + 1</f>
        <v>112</v>
      </c>
      <c r="V900" s="30" cm="1">
        <f t="array" ref="V900" xml:space="preserve"> INDEX( VfM_Metrics_2023_Consol_Source[], $AK900, V$832 )</f>
        <v>0.15190419341329717</v>
      </c>
      <c r="W900" s="35">
        <f xml:space="preserve"> IF( tblFilterAll[[#This Row],[Operating Margin (SHL)]] &lt; V$825, 4, IF( tblFilterAll[[#This Row],[Operating Margin (SHL)]] &lt; V$826, 3, IF( tblFilterAll[[#This Row],[Operating Margin (SHL)]] &lt; V$827, 2, 1 ) ) )</f>
        <v>3</v>
      </c>
      <c r="X900" s="35">
        <f xml:space="preserve"> COUNTIFS( tblFilterAll[Include in output], 1, tblFilterAll[Operating Margin (SHL)], "&gt;" &amp; tblFilterAll[[#This Row],[Operating Margin (SHL)]] ) + 1</f>
        <v>143</v>
      </c>
      <c r="Y900" s="30" cm="1">
        <f t="array" ref="Y900" xml:space="preserve"> INDEX( VfM_Metrics_2023_Consol_Source[], $AK900, Y$832 )</f>
        <v>8.1938613676648939E-2</v>
      </c>
      <c r="Z900" s="35">
        <f xml:space="preserve"> IF( tblFilterAll[[#This Row],[Operating Margin (Overall)]] &lt; Y$825, 4, IF( tblFilterAll[[#This Row],[Operating Margin (Overall)]] &lt; Y$826, 3, IF( tblFilterAll[[#This Row],[Operating Margin (Overall)]] &lt; Y$827, 2, 1 ) ) )</f>
        <v>4</v>
      </c>
      <c r="AA900" s="35">
        <f xml:space="preserve"> COUNTIFS( tblFilterAll[Include in output], 1, tblFilterAll[Operating Margin (Overall)], "&gt;" &amp; tblFilterAll[[#This Row],[Operating Margin (Overall)]] ) + 1</f>
        <v>169</v>
      </c>
      <c r="AB900" s="30" cm="1">
        <f t="array" ref="AB900" xml:space="preserve"> INDEX( VfM_Metrics_2023_Consol_Source[], $AK900, AB$832 )</f>
        <v>1.1530664148537189E-2</v>
      </c>
      <c r="AC900" s="35">
        <f xml:space="preserve"> IF( tblFilterAll[[#This Row],[ROCE]] &lt; AB$825, 4, IF( tblFilterAll[[#This Row],[ROCE]] &lt; AB$826, 3, IF( tblFilterAll[[#This Row],[ROCE]] &lt; AB$827, 2, 1 ) ) )</f>
        <v>4</v>
      </c>
      <c r="AD900" s="35">
        <f xml:space="preserve"> COUNTIFS( tblFilterAll[Include in output], 1, tblFilterAll[ROCE], "&gt;" &amp; tblFilterAll[[#This Row],[ROCE]] ) + 1</f>
        <v>188</v>
      </c>
      <c r="AE900" s="33" cm="1" vm="4741">
        <f t="array" ref="AE900" xml:space="preserve"> INDEX( VfM_Metrics_2023_Consol_Source[], $AK900, AE$832 )</f>
        <v>25313</v>
      </c>
      <c r="AF900" s="30" cm="1">
        <f t="array" ref="AF900" xml:space="preserve"> INDEX( VfM_Metrics_2023_Consol_Source[], $AK900, AF$832 )</f>
        <v>4.0750501514376744E-2</v>
      </c>
      <c r="AG900" s="30" cm="1">
        <f t="array" ref="AG900" xml:space="preserve"> INDEX( VfM_Metrics_2023_Consol_Source[], $AK900, AG$832 )</f>
        <v>7.5246823742280616E-2</v>
      </c>
      <c r="AH900" s="30" cm="1">
        <f t="array" ref="AH900" xml:space="preserve"> INDEX( VfM_Metrics_2023_Consol_Source[], $AK900, AH$832 )</f>
        <v>0.11599732525665736</v>
      </c>
      <c r="AI900" s="30" t="str" cm="1">
        <f t="array" ref="AI900" xml:space="preserve"> INDEX( VfM_Metrics_2023_Consol_Source[], $AK900, AI$832 )</f>
        <v>Traditional</v>
      </c>
      <c r="AJ900" s="34" t="str" cm="1">
        <f t="array" ref="AJ900" xml:space="preserve"> INDEX( VfM_Metrics_2023_Consol_Source[], $AK900, AJ$832 )</f>
        <v>Mixed</v>
      </c>
      <c r="AK900" s="81">
        <f xml:space="preserve"> MATCH( tblFilterAll[[#This Row],[Code]], VfM_Metrics_2023_Consol_Source[RP_Code], 0 )</f>
        <v>67</v>
      </c>
      <c r="AL900" s="24">
        <f xml:space="preserve"> INDEX( tblFilterRegion[Include for region],  MATCH( tblFilterAll[[#This Row],[Code]], tblFilterRegion[RP_Code], 0 ) )</f>
        <v>1</v>
      </c>
      <c r="AM900" s="24">
        <f xml:space="preserve"> INDEX( tblFilterPropType[Incl for prop type],  MATCH( tblFilterAll[[#This Row],[Code]], tblFilterPropType[RP_Code], 0 ) )</f>
        <v>1</v>
      </c>
      <c r="AN900" s="24">
        <f xml:space="preserve"> INDEX( tblFilterSize[Incl for size],  MATCH( tblFilterAll[[#This Row],[Code]], tblFilterSize[RP_Code], 0 ) )</f>
        <v>1</v>
      </c>
      <c r="AO900" s="24">
        <f xml:space="preserve"> INDEX( tblFilterRP_Type[Incl, for RP Type],  MATCH( tblFilterAll[[#This Row],[Code]], tblFilterRP_Type[RP_Code], 0 ) )</f>
        <v>1</v>
      </c>
      <c r="AP900" s="24">
        <f xml:space="preserve">  -- ( SUM( tblFilterAll[[#This Row],[Filter Region]:[Filter RP Type]] ) = 4 )</f>
        <v>1</v>
      </c>
      <c r="AQ900" s="24">
        <f xml:space="preserve"> -- ( tblFilterAll[[#This Row],[Provider name]] = SelectedProvider )</f>
        <v>0</v>
      </c>
      <c r="AR900" s="24">
        <f xml:space="preserve">  -- ( OR( SUM( tblFilterAll[[#This Row],[Filter Region]:[Filter RP Type]] ) = 4, tblFilterAll[[#This Row],[SelectedProvider]] = 1 ) )</f>
        <v>1</v>
      </c>
      <c r="AS900" s="24">
        <f xml:space="preserve"> -- ( INDEX( PeersCritera[Included in final peers], MATCH( tblFilterAll[[#This Row],[Provider name]], PeersCritera[RP_Name], 0 ) ) = 1 )</f>
        <v>1</v>
      </c>
      <c r="AT900" s="30" t="str" cm="1">
        <f t="array" ref="AT900" xml:space="preserve"> SUBSTITUTE( INDEX( VfM_Metrics_2023_Consol_Source[], $AK900, AT$832 ), 0, "" )</f>
        <v/>
      </c>
      <c r="AU900" s="34" cm="1">
        <f t="array" ref="AU900" xml:space="preserve"> INDEX( VfM_Metrics_2023_Consol_Source[], $AK900, AU$832 )</f>
        <v>0</v>
      </c>
      <c r="AV900" s="34" cm="1">
        <f t="array" ref="AV900" xml:space="preserve"> INDEX( VfM_Metrics_2023_Consol_Source[], $AK900, AV$832 )</f>
        <v>0.14541110889906431</v>
      </c>
      <c r="AW900" s="34" cm="1">
        <f t="array" ref="AW900" xml:space="preserve"> INDEX( VfM_Metrics_2023_Consol_Source[], $AK900, AW$832 )</f>
        <v>0.35253832371092975</v>
      </c>
      <c r="AX900" s="34" cm="1">
        <f t="array" ref="AX900" xml:space="preserve"> INDEX( VfM_Metrics_2023_Consol_Source[], $AK900, AX$832 )</f>
        <v>2.0704758112681664E-3</v>
      </c>
      <c r="AY900" s="34" cm="1">
        <f t="array" ref="AY900" xml:space="preserve"> INDEX( VfM_Metrics_2023_Consol_Source[], $AK900, AY$832 )</f>
        <v>0.4999800915787378</v>
      </c>
      <c r="AZ900" s="34" cm="1">
        <f t="array" ref="AZ900" xml:space="preserve"> INDEX( VfM_Metrics_2023_Consol_Source[], $AK900, AZ$832 )</f>
        <v>0</v>
      </c>
      <c r="BA900" s="34" cm="1">
        <f t="array" ref="BA900" xml:space="preserve"> INDEX( VfM_Metrics_2023_Consol_Source[], $AK900, BA$832 )</f>
        <v>0</v>
      </c>
      <c r="BB900" s="34" cm="1">
        <f t="array" ref="BB900" xml:space="preserve"> INDEX( VfM_Metrics_2023_Consol_Source[], $AK900, BB$832 )</f>
        <v>0</v>
      </c>
      <c r="BC900" s="34" cm="1">
        <f t="array" ref="BC900" xml:space="preserve"> INDEX( VfM_Metrics_2023_Consol_Source[], $AK900, BC$832 )</f>
        <v>0</v>
      </c>
    </row>
    <row r="901" spans="2:55" x14ac:dyDescent="0.2">
      <c r="B901" s="122" t="str" vm="68">
        <f t="shared" ref="B901" si="404" xml:space="preserve"> B691</f>
        <v>Habinteg Housing Association Limited</v>
      </c>
      <c r="C901" s="122" t="str" vm="311">
        <f t="shared" si="401"/>
        <v>LH0459</v>
      </c>
      <c r="D901" s="30" cm="1">
        <f t="array" ref="D901" xml:space="preserve"> INDEX( VfM_Metrics_2023_Consol_Source[], $AK901, D$832 )</f>
        <v>3.8147572178803706E-2</v>
      </c>
      <c r="E901" s="35">
        <f xml:space="preserve"> IF( tblFilterAll[[#This Row],[Reinvestment]] &lt; D$825, 4, IF( tblFilterAll[[#This Row],[Reinvestment]] &lt; D$826, 3, IF( tblFilterAll[[#This Row],[Reinvestment]] &lt; D$827, 2, 1 ) ) )</f>
        <v>4</v>
      </c>
      <c r="F901" s="35">
        <f xml:space="preserve"> COUNTIFS( tblFilterAll[Include in output], 1, tblFilterAll[Reinvestment], "&gt;" &amp; tblFilterAll[[#This Row],[Reinvestment]] ) + 1</f>
        <v>153</v>
      </c>
      <c r="G901" s="30" cm="1">
        <f t="array" ref="G901" xml:space="preserve"> INDEX( VfM_Metrics_2023_Consol_Source[], $AK901, G$832 )</f>
        <v>0</v>
      </c>
      <c r="H901" s="35">
        <f xml:space="preserve"> IF( tblFilterAll[[#This Row],[New Supply (Social)]] &lt; G$825, 4, IF( tblFilterAll[[#This Row],[New Supply (Social)]] &lt; G$826, 3, IF( tblFilterAll[[#This Row],[New Supply (Social)]] &lt; G$827, 2, 1 ) ) )</f>
        <v>4</v>
      </c>
      <c r="I901" s="35">
        <f xml:space="preserve"> COUNTIFS( tblFilterAll[Include in output], 1, tblFilterAll[New Supply (Social)], "&gt;" &amp; tblFilterAll[[#This Row],[New Supply (Social)]] ) + 1</f>
        <v>187</v>
      </c>
      <c r="J901" s="31" cm="1">
        <f t="array" ref="J901" xml:space="preserve"> INDEX( VfM_Metrics_2023_Consol_Source[], $AK901, J$832 )</f>
        <v>0</v>
      </c>
      <c r="K901" s="35">
        <f xml:space="preserve"> IF( tblFilterAll[[#This Row],[New Supply (Non-Social)]] &lt; J$825, 4, IF( tblFilterAll[[#This Row],[New Supply (Non-Social)]] &lt; J$826, 3, IF( tblFilterAll[[#This Row],[New Supply (Non-Social)]] &lt; J$827, 2, 1 ) ) )</f>
        <v>2</v>
      </c>
      <c r="L901" s="35">
        <f xml:space="preserve"> COUNTIFS( tblFilterAll[Include in output], 1, tblFilterAll[New Supply (Non-Social)], "&gt;" &amp; tblFilterAll[[#This Row],[New Supply (Non-Social)]] ) + 1</f>
        <v>72</v>
      </c>
      <c r="M901" s="30" cm="1">
        <f t="array" ref="M901" xml:space="preserve"> INDEX( VfM_Metrics_2023_Consol_Source[], $AK901, M$832 )</f>
        <v>0.1008938197753278</v>
      </c>
      <c r="N901" s="35">
        <f xml:space="preserve"> IF( tblFilterAll[[#This Row],[Gearing]] &lt; M$825, 4, IF( tblFilterAll[[#This Row],[Gearing]] &lt; M$826, 3, IF( tblFilterAll[[#This Row],[Gearing]] &lt; M$827, 2, 1 ) ) )</f>
        <v>4</v>
      </c>
      <c r="O901" s="35">
        <f xml:space="preserve"> COUNTIFS( tblFilterAll[Include in output], 1, tblFilterAll[Gearing], "&gt;" &amp; tblFilterAll[[#This Row],[Gearing]] ) + 1</f>
        <v>186</v>
      </c>
      <c r="P901" s="30" cm="1">
        <f t="array" ref="P901" xml:space="preserve"> INDEX( VfM_Metrics_2023_Consol_Source[], $AK901, P$832 )</f>
        <v>-0.39828897338403041</v>
      </c>
      <c r="Q901" s="35">
        <f xml:space="preserve"> IF( tblFilterAll[[#This Row],[EBITDA MRI Interest Cover]] &lt; P$825, 4, IF( tblFilterAll[[#This Row],[EBITDA MRI Interest Cover]] &lt; P$826, 3, IF( tblFilterAll[[#This Row],[EBITDA MRI Interest Cover]] &lt; P$827, 2, 1 ) ) )</f>
        <v>4</v>
      </c>
      <c r="R901" s="35">
        <f xml:space="preserve"> COUNTIFS( tblFilterAll[Include in output], 1, tblFilterAll[EBITDA MRI Interest Cover], "&gt;" &amp; tblFilterAll[[#This Row],[EBITDA MRI Interest Cover]] ) + 1</f>
        <v>185</v>
      </c>
      <c r="S901" s="32" cm="1">
        <f t="array" ref="S901" xml:space="preserve"> INDEX( VfM_Metrics_2023_Consol_Source[], $AK901, S$832 )</f>
        <v>7226.7546490701861</v>
      </c>
      <c r="T901" s="35">
        <f xml:space="preserve"> IF( tblFilterAll[[#This Row],[Headline Social Housing Cost per unit]] &lt; S$825, 4, IF( tblFilterAll[[#This Row],[Headline Social Housing Cost per unit]] &lt; S$826, 3, IF( tblFilterAll[[#This Row],[Headline Social Housing Cost per unit]] &lt; S$827, 2, 1 ) ) )</f>
        <v>1</v>
      </c>
      <c r="U901" s="35">
        <f xml:space="preserve"> COUNTIFS( tblFilterAll[Include in output], 1, tblFilterAll[Headline Social Housing Cost per unit], "&gt;" &amp; tblFilterAll[[#This Row],[Headline Social Housing Cost per unit]] ) + 1</f>
        <v>31</v>
      </c>
      <c r="V901" s="30" cm="1">
        <f t="array" ref="V901" xml:space="preserve"> INDEX( VfM_Metrics_2023_Consol_Source[], $AK901, V$832 )</f>
        <v>-8.8964014056314221E-4</v>
      </c>
      <c r="W901" s="35">
        <f xml:space="preserve"> IF( tblFilterAll[[#This Row],[Operating Margin (SHL)]] &lt; V$825, 4, IF( tblFilterAll[[#This Row],[Operating Margin (SHL)]] &lt; V$826, 3, IF( tblFilterAll[[#This Row],[Operating Margin (SHL)]] &lt; V$827, 2, 1 ) ) )</f>
        <v>4</v>
      </c>
      <c r="X901" s="35">
        <f xml:space="preserve"> COUNTIFS( tblFilterAll[Include in output], 1, tblFilterAll[Operating Margin (SHL)], "&gt;" &amp; tblFilterAll[[#This Row],[Operating Margin (SHL)]] ) + 1</f>
        <v>194</v>
      </c>
      <c r="Y901" s="30" cm="1">
        <f t="array" ref="Y901" xml:space="preserve"> INDEX( VfM_Metrics_2023_Consol_Source[], $AK901, Y$832 )</f>
        <v>6.6985836824256934E-2</v>
      </c>
      <c r="Z901" s="35">
        <f xml:space="preserve"> IF( tblFilterAll[[#This Row],[Operating Margin (Overall)]] &lt; Y$825, 4, IF( tblFilterAll[[#This Row],[Operating Margin (Overall)]] &lt; Y$826, 3, IF( tblFilterAll[[#This Row],[Operating Margin (Overall)]] &lt; Y$827, 2, 1 ) ) )</f>
        <v>4</v>
      </c>
      <c r="AA901" s="35">
        <f xml:space="preserve"> COUNTIFS( tblFilterAll[Include in output], 1, tblFilterAll[Operating Margin (Overall)], "&gt;" &amp; tblFilterAll[[#This Row],[Operating Margin (Overall)]] ) + 1</f>
        <v>175</v>
      </c>
      <c r="AB901" s="30" cm="1">
        <f t="array" ref="AB901" xml:space="preserve"> INDEX( VfM_Metrics_2023_Consol_Source[], $AK901, AB$832 )</f>
        <v>2.2351998629453647E-2</v>
      </c>
      <c r="AC901" s="35">
        <f xml:space="preserve"> IF( tblFilterAll[[#This Row],[ROCE]] &lt; AB$825, 4, IF( tblFilterAll[[#This Row],[ROCE]] &lt; AB$826, 3, IF( tblFilterAll[[#This Row],[ROCE]] &lt; AB$827, 2, 1 ) ) )</f>
        <v>3</v>
      </c>
      <c r="AD901" s="35">
        <f xml:space="preserve"> COUNTIFS( tblFilterAll[Include in output], 1, tblFilterAll[ROCE], "&gt;" &amp; tblFilterAll[[#This Row],[ROCE]] ) + 1</f>
        <v>145</v>
      </c>
      <c r="AE901" s="33" cm="1" vm="3705">
        <f t="array" ref="AE901" xml:space="preserve"> INDEX( VfM_Metrics_2023_Consol_Source[], $AK901, AE$832 )</f>
        <v>3320</v>
      </c>
      <c r="AF901" s="30" cm="1">
        <f t="array" ref="AF901" xml:space="preserve"> INDEX( VfM_Metrics_2023_Consol_Source[], $AK901, AF$832 )</f>
        <v>0.39323789217179411</v>
      </c>
      <c r="AG901" s="30" cm="1">
        <f t="array" ref="AG901" xml:space="preserve"> INDEX( VfM_Metrics_2023_Consol_Source[], $AK901, AG$832 )</f>
        <v>7.4322266219920802E-2</v>
      </c>
      <c r="AH901" s="30" cm="1">
        <f t="array" ref="AH901" xml:space="preserve"> INDEX( VfM_Metrics_2023_Consol_Source[], $AK901, AH$832 )</f>
        <v>0.46756015839171494</v>
      </c>
      <c r="AI901" s="30" t="str" cm="1">
        <f t="array" ref="AI901" xml:space="preserve"> INDEX( VfM_Metrics_2023_Consol_Source[], $AK901, AI$832 )</f>
        <v>Traditional</v>
      </c>
      <c r="AJ901" s="34" t="str" cm="1">
        <f t="array" ref="AJ901" xml:space="preserve"> INDEX( VfM_Metrics_2023_Consol_Source[], $AK901, AJ$832 )</f>
        <v>Mixed</v>
      </c>
      <c r="AK901" s="81">
        <f xml:space="preserve"> MATCH( tblFilterAll[[#This Row],[Code]], VfM_Metrics_2023_Consol_Source[RP_Code], 0 )</f>
        <v>68</v>
      </c>
      <c r="AL901" s="24">
        <f xml:space="preserve"> INDEX( tblFilterRegion[Include for region],  MATCH( tblFilterAll[[#This Row],[Code]], tblFilterRegion[RP_Code], 0 ) )</f>
        <v>1</v>
      </c>
      <c r="AM901" s="24">
        <f xml:space="preserve"> INDEX( tblFilterPropType[Incl for prop type],  MATCH( tblFilterAll[[#This Row],[Code]], tblFilterPropType[RP_Code], 0 ) )</f>
        <v>1</v>
      </c>
      <c r="AN901" s="24">
        <f xml:space="preserve"> INDEX( tblFilterSize[Incl for size],  MATCH( tblFilterAll[[#This Row],[Code]], tblFilterSize[RP_Code], 0 ) )</f>
        <v>1</v>
      </c>
      <c r="AO901" s="24">
        <f xml:space="preserve"> INDEX( tblFilterRP_Type[Incl, for RP Type],  MATCH( tblFilterAll[[#This Row],[Code]], tblFilterRP_Type[RP_Code], 0 ) )</f>
        <v>1</v>
      </c>
      <c r="AP901" s="24">
        <f xml:space="preserve">  -- ( SUM( tblFilterAll[[#This Row],[Filter Region]:[Filter RP Type]] ) = 4 )</f>
        <v>1</v>
      </c>
      <c r="AQ901" s="24">
        <f xml:space="preserve"> -- ( tblFilterAll[[#This Row],[Provider name]] = SelectedProvider )</f>
        <v>0</v>
      </c>
      <c r="AR901" s="24">
        <f xml:space="preserve">  -- ( OR( SUM( tblFilterAll[[#This Row],[Filter Region]:[Filter RP Type]] ) = 4, tblFilterAll[[#This Row],[SelectedProvider]] = 1 ) )</f>
        <v>1</v>
      </c>
      <c r="AS901" s="24">
        <f xml:space="preserve"> -- ( INDEX( PeersCritera[Included in final peers], MATCH( tblFilterAll[[#This Row],[Provider name]], PeersCritera[RP_Name], 0 ) ) = 1 )</f>
        <v>1</v>
      </c>
      <c r="AT901" s="30" t="str" cm="1">
        <f t="array" ref="AT901" xml:space="preserve"> SUBSTITUTE( INDEX( VfM_Metrics_2023_Consol_Source[], $AK901, AT$832 ), 0, "" )</f>
        <v/>
      </c>
      <c r="AU901" s="34" cm="1">
        <f t="array" ref="AU901" xml:space="preserve"> INDEX( VfM_Metrics_2023_Consol_Source[], $AK901, AU$832 )</f>
        <v>0.2916923076923077</v>
      </c>
      <c r="AV901" s="34" cm="1">
        <f t="array" ref="AV901" xml:space="preserve"> INDEX( VfM_Metrics_2023_Consol_Source[], $AK901, AV$832 )</f>
        <v>0.12553846153846154</v>
      </c>
      <c r="AW901" s="34" cm="1">
        <f t="array" ref="AW901" xml:space="preserve"> INDEX( VfM_Metrics_2023_Consol_Source[], $AK901, AW$832 )</f>
        <v>0.11138461538461539</v>
      </c>
      <c r="AX901" s="34" cm="1">
        <f t="array" ref="AX901" xml:space="preserve"> INDEX( VfM_Metrics_2023_Consol_Source[], $AK901, AX$832 )</f>
        <v>1.0153846153846154E-2</v>
      </c>
      <c r="AY901" s="34" cm="1">
        <f t="array" ref="AY901" xml:space="preserve"> INDEX( VfM_Metrics_2023_Consol_Source[], $AK901, AY$832 )</f>
        <v>4.2769230769230768E-2</v>
      </c>
      <c r="AZ901" s="34" cm="1">
        <f t="array" ref="AZ901" xml:space="preserve"> INDEX( VfM_Metrics_2023_Consol_Source[], $AK901, AZ$832 )</f>
        <v>9.1692307692307698E-2</v>
      </c>
      <c r="BA901" s="34" cm="1">
        <f t="array" ref="BA901" xml:space="preserve"> INDEX( VfM_Metrics_2023_Consol_Source[], $AK901, BA$832 )</f>
        <v>0.13292307692307692</v>
      </c>
      <c r="BB901" s="34" cm="1">
        <f t="array" ref="BB901" xml:space="preserve"> INDEX( VfM_Metrics_2023_Consol_Source[], $AK901, BB$832 )</f>
        <v>1.3846153846153847E-2</v>
      </c>
      <c r="BC901" s="34" cm="1">
        <f t="array" ref="BC901" xml:space="preserve"> INDEX( VfM_Metrics_2023_Consol_Source[], $AK901, BC$832 )</f>
        <v>0.18</v>
      </c>
    </row>
    <row r="902" spans="2:55" x14ac:dyDescent="0.2">
      <c r="B902" s="122" t="str" vm="69">
        <f t="shared" ref="B902" si="405" xml:space="preserve"> B692</f>
        <v>Halton Housing</v>
      </c>
      <c r="C902" s="122" t="str" vm="387">
        <f t="shared" si="401"/>
        <v>L4456</v>
      </c>
      <c r="D902" s="30" cm="1">
        <f t="array" ref="D902" xml:space="preserve"> INDEX( VfM_Metrics_2023_Consol_Source[], $AK902, D$832 )</f>
        <v>7.4760794249464968E-2</v>
      </c>
      <c r="E902" s="35">
        <f xml:space="preserve"> IF( tblFilterAll[[#This Row],[Reinvestment]] &lt; D$825, 4, IF( tblFilterAll[[#This Row],[Reinvestment]] &lt; D$826, 3, IF( tblFilterAll[[#This Row],[Reinvestment]] &lt; D$827, 2, 1 ) ) )</f>
        <v>2</v>
      </c>
      <c r="F902" s="35">
        <f xml:space="preserve"> COUNTIFS( tblFilterAll[Include in output], 1, tblFilterAll[Reinvestment], "&gt;" &amp; tblFilterAll[[#This Row],[Reinvestment]] ) + 1</f>
        <v>83</v>
      </c>
      <c r="G902" s="30" cm="1">
        <f t="array" ref="G902" xml:space="preserve"> INDEX( VfM_Metrics_2023_Consol_Source[], $AK902, G$832 )</f>
        <v>2.5977504017139795E-2</v>
      </c>
      <c r="H902" s="35">
        <f xml:space="preserve"> IF( tblFilterAll[[#This Row],[New Supply (Social)]] &lt; G$825, 4, IF( tblFilterAll[[#This Row],[New Supply (Social)]] &lt; G$826, 3, IF( tblFilterAll[[#This Row],[New Supply (Social)]] &lt; G$827, 2, 1 ) ) )</f>
        <v>1</v>
      </c>
      <c r="I902" s="35">
        <f xml:space="preserve"> COUNTIFS( tblFilterAll[Include in output], 1, tblFilterAll[New Supply (Social)], "&gt;" &amp; tblFilterAll[[#This Row],[New Supply (Social)]] ) + 1</f>
        <v>30</v>
      </c>
      <c r="J902" s="31" cm="1">
        <f t="array" ref="J902" xml:space="preserve"> INDEX( VfM_Metrics_2023_Consol_Source[], $AK902, J$832 )</f>
        <v>0</v>
      </c>
      <c r="K902" s="35">
        <f xml:space="preserve"> IF( tblFilterAll[[#This Row],[New Supply (Non-Social)]] &lt; J$825, 4, IF( tblFilterAll[[#This Row],[New Supply (Non-Social)]] &lt; J$826, 3, IF( tblFilterAll[[#This Row],[New Supply (Non-Social)]] &lt; J$827, 2, 1 ) ) )</f>
        <v>2</v>
      </c>
      <c r="L902" s="35">
        <f xml:space="preserve"> COUNTIFS( tblFilterAll[Include in output], 1, tblFilterAll[New Supply (Non-Social)], "&gt;" &amp; tblFilterAll[[#This Row],[New Supply (Non-Social)]] ) + 1</f>
        <v>72</v>
      </c>
      <c r="M902" s="30" cm="1">
        <f t="array" ref="M902" xml:space="preserve"> INDEX( VfM_Metrics_2023_Consol_Source[], $AK902, M$832 )</f>
        <v>0.77659574468085102</v>
      </c>
      <c r="N902" s="35">
        <f xml:space="preserve"> IF( tblFilterAll[[#This Row],[Gearing]] &lt; M$825, 4, IF( tblFilterAll[[#This Row],[Gearing]] &lt; M$826, 3, IF( tblFilterAll[[#This Row],[Gearing]] &lt; M$827, 2, 1 ) ) )</f>
        <v>1</v>
      </c>
      <c r="O902" s="35">
        <f xml:space="preserve"> COUNTIFS( tblFilterAll[Include in output], 1, tblFilterAll[Gearing], "&gt;" &amp; tblFilterAll[[#This Row],[Gearing]] ) + 1</f>
        <v>2</v>
      </c>
      <c r="P902" s="30" cm="1">
        <f t="array" ref="P902" xml:space="preserve"> INDEX( VfM_Metrics_2023_Consol_Source[], $AK902, P$832 )</f>
        <v>1.0704208221843834</v>
      </c>
      <c r="Q902" s="35">
        <f xml:space="preserve"> IF( tblFilterAll[[#This Row],[EBITDA MRI Interest Cover]] &lt; P$825, 4, IF( tblFilterAll[[#This Row],[EBITDA MRI Interest Cover]] &lt; P$826, 3, IF( tblFilterAll[[#This Row],[EBITDA MRI Interest Cover]] &lt; P$827, 2, 1 ) ) )</f>
        <v>3</v>
      </c>
      <c r="R902" s="35">
        <f xml:space="preserve"> COUNTIFS( tblFilterAll[Include in output], 1, tblFilterAll[EBITDA MRI Interest Cover], "&gt;" &amp; tblFilterAll[[#This Row],[EBITDA MRI Interest Cover]] ) + 1</f>
        <v>129</v>
      </c>
      <c r="S902" s="32" cm="1">
        <f t="array" ref="S902" xml:space="preserve"> INDEX( VfM_Metrics_2023_Consol_Source[], $AK902, S$832 )</f>
        <v>4008.8640392745124</v>
      </c>
      <c r="T902" s="35">
        <f xml:space="preserve"> IF( tblFilterAll[[#This Row],[Headline Social Housing Cost per unit]] &lt; S$825, 4, IF( tblFilterAll[[#This Row],[Headline Social Housing Cost per unit]] &lt; S$826, 3, IF( tblFilterAll[[#This Row],[Headline Social Housing Cost per unit]] &lt; S$827, 2, 1 ) ) )</f>
        <v>4</v>
      </c>
      <c r="U902" s="35">
        <f xml:space="preserve"> COUNTIFS( tblFilterAll[Include in output], 1, tblFilterAll[Headline Social Housing Cost per unit], "&gt;" &amp; tblFilterAll[[#This Row],[Headline Social Housing Cost per unit]] ) + 1</f>
        <v>163</v>
      </c>
      <c r="V902" s="30" cm="1">
        <f t="array" ref="V902" xml:space="preserve"> INDEX( VfM_Metrics_2023_Consol_Source[], $AK902, V$832 )</f>
        <v>0.11051941668032116</v>
      </c>
      <c r="W902" s="35">
        <f xml:space="preserve"> IF( tblFilterAll[[#This Row],[Operating Margin (SHL)]] &lt; V$825, 4, IF( tblFilterAll[[#This Row],[Operating Margin (SHL)]] &lt; V$826, 3, IF( tblFilterAll[[#This Row],[Operating Margin (SHL)]] &lt; V$827, 2, 1 ) ) )</f>
        <v>4</v>
      </c>
      <c r="X902" s="35">
        <f xml:space="preserve"> COUNTIFS( tblFilterAll[Include in output], 1, tblFilterAll[Operating Margin (SHL)], "&gt;" &amp; tblFilterAll[[#This Row],[Operating Margin (SHL)]] ) + 1</f>
        <v>170</v>
      </c>
      <c r="Y902" s="30" cm="1">
        <f t="array" ref="Y902" xml:space="preserve"> INDEX( VfM_Metrics_2023_Consol_Source[], $AK902, Y$832 )</f>
        <v>0.12703722431833211</v>
      </c>
      <c r="Z902" s="35">
        <f xml:space="preserve"> IF( tblFilterAll[[#This Row],[Operating Margin (Overall)]] &lt; Y$825, 4, IF( tblFilterAll[[#This Row],[Operating Margin (Overall)]] &lt; Y$826, 3, IF( tblFilterAll[[#This Row],[Operating Margin (Overall)]] &lt; Y$827, 2, 1 ) ) )</f>
        <v>3</v>
      </c>
      <c r="AA902" s="35">
        <f xml:space="preserve"> COUNTIFS( tblFilterAll[Include in output], 1, tblFilterAll[Operating Margin (Overall)], "&gt;" &amp; tblFilterAll[[#This Row],[Operating Margin (Overall)]] ) + 1</f>
        <v>147</v>
      </c>
      <c r="AB902" s="30" cm="1">
        <f t="array" ref="AB902" xml:space="preserve"> INDEX( VfM_Metrics_2023_Consol_Source[], $AK902, AB$832 )</f>
        <v>2.8917855559783313E-2</v>
      </c>
      <c r="AC902" s="35">
        <f xml:space="preserve"> IF( tblFilterAll[[#This Row],[ROCE]] &lt; AB$825, 4, IF( tblFilterAll[[#This Row],[ROCE]] &lt; AB$826, 3, IF( tblFilterAll[[#This Row],[ROCE]] &lt; AB$827, 2, 1 ) ) )</f>
        <v>2</v>
      </c>
      <c r="AD902" s="35">
        <f xml:space="preserve"> COUNTIFS( tblFilterAll[Include in output], 1, tblFilterAll[ROCE], "&gt;" &amp; tblFilterAll[[#This Row],[ROCE]] ) + 1</f>
        <v>95</v>
      </c>
      <c r="AE902" s="33" cm="1" vm="6464">
        <f t="array" ref="AE902" xml:space="preserve"> INDEX( VfM_Metrics_2023_Consol_Source[], $AK902, AE$832 )</f>
        <v>7330</v>
      </c>
      <c r="AF902" s="30" cm="1">
        <f t="array" ref="AF902" xml:space="preserve"> INDEX( VfM_Metrics_2023_Consol_Source[], $AK902, AF$832 )</f>
        <v>1.7662481026631708E-2</v>
      </c>
      <c r="AG902" s="30" cm="1">
        <f t="array" ref="AG902" xml:space="preserve"> INDEX( VfM_Metrics_2023_Consol_Source[], $AK902, AG$832 )</f>
        <v>0</v>
      </c>
      <c r="AH902" s="30" cm="1">
        <f t="array" ref="AH902" xml:space="preserve"> INDEX( VfM_Metrics_2023_Consol_Source[], $AK902, AH$832 )</f>
        <v>1.7662481026631708E-2</v>
      </c>
      <c r="AI902" s="30" t="str" cm="1">
        <f t="array" ref="AI902" xml:space="preserve"> INDEX( VfM_Metrics_2023_Consol_Source[], $AK902, AI$832 )</f>
        <v>Traditional</v>
      </c>
      <c r="AJ902" s="34" t="str" cm="1">
        <f t="array" ref="AJ902" xml:space="preserve"> INDEX( VfM_Metrics_2023_Consol_Source[], $AK902, AJ$832 )</f>
        <v>North West</v>
      </c>
      <c r="AK902" s="81">
        <f xml:space="preserve"> MATCH( tblFilterAll[[#This Row],[Code]], VfM_Metrics_2023_Consol_Source[RP_Code], 0 )</f>
        <v>69</v>
      </c>
      <c r="AL902" s="24">
        <f xml:space="preserve"> INDEX( tblFilterRegion[Include for region],  MATCH( tblFilterAll[[#This Row],[Code]], tblFilterRegion[RP_Code], 0 ) )</f>
        <v>1</v>
      </c>
      <c r="AM902" s="24">
        <f xml:space="preserve"> INDEX( tblFilterPropType[Incl for prop type],  MATCH( tblFilterAll[[#This Row],[Code]], tblFilterPropType[RP_Code], 0 ) )</f>
        <v>1</v>
      </c>
      <c r="AN902" s="24">
        <f xml:space="preserve"> INDEX( tblFilterSize[Incl for size],  MATCH( tblFilterAll[[#This Row],[Code]], tblFilterSize[RP_Code], 0 ) )</f>
        <v>1</v>
      </c>
      <c r="AO902" s="24">
        <f xml:space="preserve"> INDEX( tblFilterRP_Type[Incl, for RP Type],  MATCH( tblFilterAll[[#This Row],[Code]], tblFilterRP_Type[RP_Code], 0 ) )</f>
        <v>1</v>
      </c>
      <c r="AP902" s="24">
        <f xml:space="preserve">  -- ( SUM( tblFilterAll[[#This Row],[Filter Region]:[Filter RP Type]] ) = 4 )</f>
        <v>1</v>
      </c>
      <c r="AQ902" s="24">
        <f xml:space="preserve"> -- ( tblFilterAll[[#This Row],[Provider name]] = SelectedProvider )</f>
        <v>0</v>
      </c>
      <c r="AR902" s="24">
        <f xml:space="preserve">  -- ( OR( SUM( tblFilterAll[[#This Row],[Filter Region]:[Filter RP Type]] ) = 4, tblFilterAll[[#This Row],[SelectedProvider]] = 1 ) )</f>
        <v>1</v>
      </c>
      <c r="AS902" s="24">
        <f xml:space="preserve"> -- ( INDEX( PeersCritera[Included in final peers], MATCH( tblFilterAll[[#This Row],[Provider name]], PeersCritera[RP_Name], 0 ) ) = 1 )</f>
        <v>1</v>
      </c>
      <c r="AT902" s="30" t="str" cm="1">
        <f t="array" ref="AT902" xml:space="preserve"> SUBSTITUTE( INDEX( VfM_Metrics_2023_Consol_Source[], $AK902, AT$832 ), 0, "" )</f>
        <v>&gt;= 12 years</v>
      </c>
      <c r="AU902" s="34" cm="1">
        <f t="array" ref="AU902" xml:space="preserve"> INDEX( VfM_Metrics_2023_Consol_Source[], $AK902, AU$832 )</f>
        <v>0</v>
      </c>
      <c r="AV902" s="34" cm="1">
        <f t="array" ref="AV902" xml:space="preserve"> INDEX( VfM_Metrics_2023_Consol_Source[], $AK902, AV$832 )</f>
        <v>0</v>
      </c>
      <c r="AW902" s="34" cm="1">
        <f t="array" ref="AW902" xml:space="preserve"> INDEX( VfM_Metrics_2023_Consol_Source[], $AK902, AW$832 )</f>
        <v>0</v>
      </c>
      <c r="AX902" s="34" cm="1">
        <f t="array" ref="AX902" xml:space="preserve"> INDEX( VfM_Metrics_2023_Consol_Source[], $AK902, AX$832 )</f>
        <v>0</v>
      </c>
      <c r="AY902" s="34" cm="1">
        <f t="array" ref="AY902" xml:space="preserve"> INDEX( VfM_Metrics_2023_Consol_Source[], $AK902, AY$832 )</f>
        <v>0</v>
      </c>
      <c r="AZ902" s="34" cm="1">
        <f t="array" ref="AZ902" xml:space="preserve"> INDEX( VfM_Metrics_2023_Consol_Source[], $AK902, AZ$832 )</f>
        <v>0</v>
      </c>
      <c r="BA902" s="34" cm="1">
        <f t="array" ref="BA902" xml:space="preserve"> INDEX( VfM_Metrics_2023_Consol_Source[], $AK902, BA$832 )</f>
        <v>0</v>
      </c>
      <c r="BB902" s="34" cm="1">
        <f t="array" ref="BB902" xml:space="preserve"> INDEX( VfM_Metrics_2023_Consol_Source[], $AK902, BB$832 )</f>
        <v>1</v>
      </c>
      <c r="BC902" s="34" cm="1">
        <f t="array" ref="BC902" xml:space="preserve"> INDEX( VfM_Metrics_2023_Consol_Source[], $AK902, BC$832 )</f>
        <v>0</v>
      </c>
    </row>
    <row r="903" spans="2:55" x14ac:dyDescent="0.2">
      <c r="B903" s="122" t="str" vm="70">
        <f t="shared" ref="B903" si="406" xml:space="preserve"> B693</f>
        <v>Hastoe Housing Association Limited</v>
      </c>
      <c r="C903" s="122" t="str" vm="395">
        <f t="shared" si="401"/>
        <v>L0018</v>
      </c>
      <c r="D903" s="30" cm="1">
        <f t="array" ref="D903" xml:space="preserve"> INDEX( VfM_Metrics_2023_Consol_Source[], $AK903, D$832 )</f>
        <v>2.6817271163696157E-2</v>
      </c>
      <c r="E903" s="35">
        <f xml:space="preserve"> IF( tblFilterAll[[#This Row],[Reinvestment]] &lt; D$825, 4, IF( tblFilterAll[[#This Row],[Reinvestment]] &lt; D$826, 3, IF( tblFilterAll[[#This Row],[Reinvestment]] &lt; D$827, 2, 1 ) ) )</f>
        <v>4</v>
      </c>
      <c r="F903" s="35">
        <f xml:space="preserve"> COUNTIFS( tblFilterAll[Include in output], 1, tblFilterAll[Reinvestment], "&gt;" &amp; tblFilterAll[[#This Row],[Reinvestment]] ) + 1</f>
        <v>180</v>
      </c>
      <c r="G903" s="30" cm="1">
        <f t="array" ref="G903" xml:space="preserve"> INDEX( VfM_Metrics_2023_Consol_Source[], $AK903, G$832 )</f>
        <v>6.3598952487841373E-3</v>
      </c>
      <c r="H903" s="35">
        <f xml:space="preserve"> IF( tblFilterAll[[#This Row],[New Supply (Social)]] &lt; G$825, 4, IF( tblFilterAll[[#This Row],[New Supply (Social)]] &lt; G$826, 3, IF( tblFilterAll[[#This Row],[New Supply (Social)]] &lt; G$827, 2, 1 ) ) )</f>
        <v>3</v>
      </c>
      <c r="I903" s="35">
        <f xml:space="preserve"> COUNTIFS( tblFilterAll[Include in output], 1, tblFilterAll[New Supply (Social)], "&gt;" &amp; tblFilterAll[[#This Row],[New Supply (Social)]] ) + 1</f>
        <v>149</v>
      </c>
      <c r="J903" s="31" cm="1">
        <f t="array" ref="J903" xml:space="preserve"> INDEX( VfM_Metrics_2023_Consol_Source[], $AK903, J$832 )</f>
        <v>1.4771048744460858E-3</v>
      </c>
      <c r="K903" s="35">
        <f xml:space="preserve"> IF( tblFilterAll[[#This Row],[New Supply (Non-Social)]] &lt; J$825, 4, IF( tblFilterAll[[#This Row],[New Supply (Non-Social)]] &lt; J$826, 3, IF( tblFilterAll[[#This Row],[New Supply (Non-Social)]] &lt; J$827, 2, 1 ) ) )</f>
        <v>1</v>
      </c>
      <c r="L903" s="35">
        <f xml:space="preserve"> COUNTIFS( tblFilterAll[Include in output], 1, tblFilterAll[New Supply (Non-Social)], "&gt;" &amp; tblFilterAll[[#This Row],[New Supply (Non-Social)]] ) + 1</f>
        <v>39</v>
      </c>
      <c r="M903" s="30" cm="1">
        <f t="array" ref="M903" xml:space="preserve"> INDEX( VfM_Metrics_2023_Consol_Source[], $AK903, M$832 )</f>
        <v>0.53606900527320489</v>
      </c>
      <c r="N903" s="35">
        <f xml:space="preserve"> IF( tblFilterAll[[#This Row],[Gearing]] &lt; M$825, 4, IF( tblFilterAll[[#This Row],[Gearing]] &lt; M$826, 3, IF( tblFilterAll[[#This Row],[Gearing]] &lt; M$827, 2, 1 ) ) )</f>
        <v>2</v>
      </c>
      <c r="O903" s="35">
        <f xml:space="preserve"> COUNTIFS( tblFilterAll[Include in output], 1, tblFilterAll[Gearing], "&gt;" &amp; tblFilterAll[[#This Row],[Gearing]] ) + 1</f>
        <v>51</v>
      </c>
      <c r="P903" s="30" cm="1">
        <f t="array" ref="P903" xml:space="preserve"> INDEX( VfM_Metrics_2023_Consol_Source[], $AK903, P$832 )</f>
        <v>1.329421768707483</v>
      </c>
      <c r="Q903" s="35">
        <f xml:space="preserve"> IF( tblFilterAll[[#This Row],[EBITDA MRI Interest Cover]] &lt; P$825, 4, IF( tblFilterAll[[#This Row],[EBITDA MRI Interest Cover]] &lt; P$826, 3, IF( tblFilterAll[[#This Row],[EBITDA MRI Interest Cover]] &lt; P$827, 2, 1 ) ) )</f>
        <v>2</v>
      </c>
      <c r="R903" s="35">
        <f xml:space="preserve"> COUNTIFS( tblFilterAll[Include in output], 1, tblFilterAll[EBITDA MRI Interest Cover], "&gt;" &amp; tblFilterAll[[#This Row],[EBITDA MRI Interest Cover]] ) + 1</f>
        <v>89</v>
      </c>
      <c r="S903" s="32" cm="1">
        <f t="array" ref="S903" xml:space="preserve"> INDEX( VfM_Metrics_2023_Consol_Source[], $AK903, S$832 )</f>
        <v>3142.5762045231072</v>
      </c>
      <c r="T903" s="35">
        <f xml:space="preserve"> IF( tblFilterAll[[#This Row],[Headline Social Housing Cost per unit]] &lt; S$825, 4, IF( tblFilterAll[[#This Row],[Headline Social Housing Cost per unit]] &lt; S$826, 3, IF( tblFilterAll[[#This Row],[Headline Social Housing Cost per unit]] &lt; S$827, 2, 1 ) ) )</f>
        <v>4</v>
      </c>
      <c r="U903" s="35">
        <f xml:space="preserve"> COUNTIFS( tblFilterAll[Include in output], 1, tblFilterAll[Headline Social Housing Cost per unit], "&gt;" &amp; tblFilterAll[[#This Row],[Headline Social Housing Cost per unit]] ) + 1</f>
        <v>196</v>
      </c>
      <c r="V903" s="30" cm="1">
        <f t="array" ref="V903" xml:space="preserve"> INDEX( VfM_Metrics_2023_Consol_Source[], $AK903, V$832 )</f>
        <v>0.42503883587483754</v>
      </c>
      <c r="W903" s="35">
        <f xml:space="preserve"> IF( tblFilterAll[[#This Row],[Operating Margin (SHL)]] &lt; V$825, 4, IF( tblFilterAll[[#This Row],[Operating Margin (SHL)]] &lt; V$826, 3, IF( tblFilterAll[[#This Row],[Operating Margin (SHL)]] &lt; V$827, 2, 1 ) ) )</f>
        <v>1</v>
      </c>
      <c r="X903" s="35">
        <f xml:space="preserve"> COUNTIFS( tblFilterAll[Include in output], 1, tblFilterAll[Operating Margin (SHL)], "&gt;" &amp; tblFilterAll[[#This Row],[Operating Margin (SHL)]] ) + 1</f>
        <v>2</v>
      </c>
      <c r="Y903" s="30" cm="1">
        <f t="array" ref="Y903" xml:space="preserve"> INDEX( VfM_Metrics_2023_Consol_Source[], $AK903, Y$832 )</f>
        <v>0.40549818348256428</v>
      </c>
      <c r="Z903" s="35">
        <f xml:space="preserve"> IF( tblFilterAll[[#This Row],[Operating Margin (Overall)]] &lt; Y$825, 4, IF( tblFilterAll[[#This Row],[Operating Margin (Overall)]] &lt; Y$826, 3, IF( tblFilterAll[[#This Row],[Operating Margin (Overall)]] &lt; Y$827, 2, 1 ) ) )</f>
        <v>1</v>
      </c>
      <c r="AA903" s="35">
        <f xml:space="preserve"> COUNTIFS( tblFilterAll[Include in output], 1, tblFilterAll[Operating Margin (Overall)], "&gt;" &amp; tblFilterAll[[#This Row],[Operating Margin (Overall)]] ) + 1</f>
        <v>2</v>
      </c>
      <c r="AB903" s="30" cm="1">
        <f t="array" ref="AB903" xml:space="preserve"> INDEX( VfM_Metrics_2023_Consol_Source[], $AK903, AB$832 )</f>
        <v>3.9329626182648104E-2</v>
      </c>
      <c r="AC903" s="35">
        <f xml:space="preserve"> IF( tblFilterAll[[#This Row],[ROCE]] &lt; AB$825, 4, IF( tblFilterAll[[#This Row],[ROCE]] &lt; AB$826, 3, IF( tblFilterAll[[#This Row],[ROCE]] &lt; AB$827, 2, 1 ) ) )</f>
        <v>1</v>
      </c>
      <c r="AD903" s="35">
        <f xml:space="preserve"> COUNTIFS( tblFilterAll[Include in output], 1, tblFilterAll[ROCE], "&gt;" &amp; tblFilterAll[[#This Row],[ROCE]] ) + 1</f>
        <v>31</v>
      </c>
      <c r="AE903" s="33" cm="1" vm="6781">
        <f t="array" ref="AE903" xml:space="preserve"> INDEX( VfM_Metrics_2023_Consol_Source[], $AK903, AE$832 )</f>
        <v>5075</v>
      </c>
      <c r="AF903" s="30" cm="1">
        <f t="array" ref="AF903" xml:space="preserve"> INDEX( VfM_Metrics_2023_Consol_Source[], $AK903, AF$832 )</f>
        <v>0</v>
      </c>
      <c r="AG903" s="30" cm="1">
        <f t="array" ref="AG903" xml:space="preserve"> INDEX( VfM_Metrics_2023_Consol_Source[], $AK903, AG$832 )</f>
        <v>0</v>
      </c>
      <c r="AH903" s="30" cm="1">
        <f t="array" ref="AH903" xml:space="preserve"> INDEX( VfM_Metrics_2023_Consol_Source[], $AK903, AH$832 )</f>
        <v>0</v>
      </c>
      <c r="AI903" s="30" t="str" cm="1">
        <f t="array" ref="AI903" xml:space="preserve"> INDEX( VfM_Metrics_2023_Consol_Source[], $AK903, AI$832 )</f>
        <v>Traditional</v>
      </c>
      <c r="AJ903" s="34" t="str" cm="1">
        <f t="array" ref="AJ903" xml:space="preserve"> INDEX( VfM_Metrics_2023_Consol_Source[], $AK903, AJ$832 )</f>
        <v>Mixed</v>
      </c>
      <c r="AK903" s="81">
        <f xml:space="preserve"> MATCH( tblFilterAll[[#This Row],[Code]], VfM_Metrics_2023_Consol_Source[RP_Code], 0 )</f>
        <v>70</v>
      </c>
      <c r="AL903" s="24">
        <f xml:space="preserve"> INDEX( tblFilterRegion[Include for region],  MATCH( tblFilterAll[[#This Row],[Code]], tblFilterRegion[RP_Code], 0 ) )</f>
        <v>1</v>
      </c>
      <c r="AM903" s="24">
        <f xml:space="preserve"> INDEX( tblFilterPropType[Incl for prop type],  MATCH( tblFilterAll[[#This Row],[Code]], tblFilterPropType[RP_Code], 0 ) )</f>
        <v>1</v>
      </c>
      <c r="AN903" s="24">
        <f xml:space="preserve"> INDEX( tblFilterSize[Incl for size],  MATCH( tblFilterAll[[#This Row],[Code]], tblFilterSize[RP_Code], 0 ) )</f>
        <v>1</v>
      </c>
      <c r="AO903" s="24">
        <f xml:space="preserve"> INDEX( tblFilterRP_Type[Incl, for RP Type],  MATCH( tblFilterAll[[#This Row],[Code]], tblFilterRP_Type[RP_Code], 0 ) )</f>
        <v>1</v>
      </c>
      <c r="AP903" s="24">
        <f xml:space="preserve">  -- ( SUM( tblFilterAll[[#This Row],[Filter Region]:[Filter RP Type]] ) = 4 )</f>
        <v>1</v>
      </c>
      <c r="AQ903" s="24">
        <f xml:space="preserve"> -- ( tblFilterAll[[#This Row],[Provider name]] = SelectedProvider )</f>
        <v>0</v>
      </c>
      <c r="AR903" s="24">
        <f xml:space="preserve">  -- ( OR( SUM( tblFilterAll[[#This Row],[Filter Region]:[Filter RP Type]] ) = 4, tblFilterAll[[#This Row],[SelectedProvider]] = 1 ) )</f>
        <v>1</v>
      </c>
      <c r="AS903" s="24">
        <f xml:space="preserve"> -- ( INDEX( PeersCritera[Included in final peers], MATCH( tblFilterAll[[#This Row],[Provider name]], PeersCritera[RP_Name], 0 ) ) = 1 )</f>
        <v>1</v>
      </c>
      <c r="AT903" s="30" t="str" cm="1">
        <f t="array" ref="AT903" xml:space="preserve"> SUBSTITUTE( INDEX( VfM_Metrics_2023_Consol_Source[], $AK903, AT$832 ), 0, "" )</f>
        <v/>
      </c>
      <c r="AU903" s="34" cm="1">
        <f t="array" ref="AU903" xml:space="preserve"> INDEX( VfM_Metrics_2023_Consol_Source[], $AK903, AU$832 )</f>
        <v>5.1737756714060029E-2</v>
      </c>
      <c r="AV903" s="34" cm="1">
        <f t="array" ref="AV903" xml:space="preserve"> INDEX( VfM_Metrics_2023_Consol_Source[], $AK903, AV$832 )</f>
        <v>0.26599526066350709</v>
      </c>
      <c r="AW903" s="34" cm="1">
        <f t="array" ref="AW903" xml:space="preserve"> INDEX( VfM_Metrics_2023_Consol_Source[], $AK903, AW$832 )</f>
        <v>0.29601105845181674</v>
      </c>
      <c r="AX903" s="34" cm="1">
        <f t="array" ref="AX903" xml:space="preserve"> INDEX( VfM_Metrics_2023_Consol_Source[], $AK903, AX$832 )</f>
        <v>8.0963665086887827E-3</v>
      </c>
      <c r="AY903" s="34" cm="1">
        <f t="array" ref="AY903" xml:space="preserve"> INDEX( VfM_Metrics_2023_Consol_Source[], $AK903, AY$832 )</f>
        <v>0</v>
      </c>
      <c r="AZ903" s="34" cm="1">
        <f t="array" ref="AZ903" xml:space="preserve"> INDEX( VfM_Metrics_2023_Consol_Source[], $AK903, AZ$832 )</f>
        <v>0.37815955766192733</v>
      </c>
      <c r="BA903" s="34" cm="1">
        <f t="array" ref="BA903" xml:space="preserve"> INDEX( VfM_Metrics_2023_Consol_Source[], $AK903, BA$832 )</f>
        <v>0</v>
      </c>
      <c r="BB903" s="34" cm="1">
        <f t="array" ref="BB903" xml:space="preserve"> INDEX( VfM_Metrics_2023_Consol_Source[], $AK903, BB$832 )</f>
        <v>0</v>
      </c>
      <c r="BC903" s="34" cm="1">
        <f t="array" ref="BC903" xml:space="preserve"> INDEX( VfM_Metrics_2023_Consol_Source[], $AK903, BC$832 )</f>
        <v>0</v>
      </c>
    </row>
    <row r="904" spans="2:55" x14ac:dyDescent="0.2">
      <c r="B904" s="122" t="str" vm="71">
        <f t="shared" ref="B904" si="407" xml:space="preserve"> B694</f>
        <v>Hexagon Housing Association Limited</v>
      </c>
      <c r="C904" s="122" t="str" vm="313">
        <f t="shared" si="401"/>
        <v>L1538</v>
      </c>
      <c r="D904" s="30" cm="1">
        <f t="array" ref="D904" xml:space="preserve"> INDEX( VfM_Metrics_2023_Consol_Source[], $AK904, D$832 )</f>
        <v>3.6425466693808146E-2</v>
      </c>
      <c r="E904" s="35">
        <f xml:space="preserve"> IF( tblFilterAll[[#This Row],[Reinvestment]] &lt; D$825, 4, IF( tblFilterAll[[#This Row],[Reinvestment]] &lt; D$826, 3, IF( tblFilterAll[[#This Row],[Reinvestment]] &lt; D$827, 2, 1 ) ) )</f>
        <v>4</v>
      </c>
      <c r="F904" s="35">
        <f xml:space="preserve"> COUNTIFS( tblFilterAll[Include in output], 1, tblFilterAll[Reinvestment], "&gt;" &amp; tblFilterAll[[#This Row],[Reinvestment]] ) + 1</f>
        <v>157</v>
      </c>
      <c r="G904" s="30" cm="1">
        <f t="array" ref="G904" xml:space="preserve"> INDEX( VfM_Metrics_2023_Consol_Source[], $AK904, G$832 )</f>
        <v>5.6293627561360051E-3</v>
      </c>
      <c r="H904" s="35">
        <f xml:space="preserve"> IF( tblFilterAll[[#This Row],[New Supply (Social)]] &lt; G$825, 4, IF( tblFilterAll[[#This Row],[New Supply (Social)]] &lt; G$826, 3, IF( tblFilterAll[[#This Row],[New Supply (Social)]] &lt; G$827, 2, 1 ) ) )</f>
        <v>4</v>
      </c>
      <c r="I904" s="35">
        <f xml:space="preserve"> COUNTIFS( tblFilterAll[Include in output], 1, tblFilterAll[New Supply (Social)], "&gt;" &amp; tblFilterAll[[#This Row],[New Supply (Social)]] ) + 1</f>
        <v>155</v>
      </c>
      <c r="J904" s="31" cm="1">
        <f t="array" ref="J904" xml:space="preserve"> INDEX( VfM_Metrics_2023_Consol_Source[], $AK904, J$832 )</f>
        <v>8.94254415381176E-4</v>
      </c>
      <c r="K904" s="35">
        <f xml:space="preserve"> IF( tblFilterAll[[#This Row],[New Supply (Non-Social)]] &lt; J$825, 4, IF( tblFilterAll[[#This Row],[New Supply (Non-Social)]] &lt; J$826, 3, IF( tblFilterAll[[#This Row],[New Supply (Non-Social)]] &lt; J$827, 2, 1 ) ) )</f>
        <v>1</v>
      </c>
      <c r="L904" s="35">
        <f xml:space="preserve"> COUNTIFS( tblFilterAll[Include in output], 1, tblFilterAll[New Supply (Non-Social)], "&gt;" &amp; tblFilterAll[[#This Row],[New Supply (Non-Social)]] ) + 1</f>
        <v>47</v>
      </c>
      <c r="M904" s="30" cm="1">
        <f t="array" ref="M904" xml:space="preserve"> INDEX( VfM_Metrics_2023_Consol_Source[], $AK904, M$832 )</f>
        <v>0.47036389544142826</v>
      </c>
      <c r="N904" s="35">
        <f xml:space="preserve"> IF( tblFilterAll[[#This Row],[Gearing]] &lt; M$825, 4, IF( tblFilterAll[[#This Row],[Gearing]] &lt; M$826, 3, IF( tblFilterAll[[#This Row],[Gearing]] &lt; M$827, 2, 1 ) ) )</f>
        <v>2</v>
      </c>
      <c r="O904" s="35">
        <f xml:space="preserve"> COUNTIFS( tblFilterAll[Include in output], 1, tblFilterAll[Gearing], "&gt;" &amp; tblFilterAll[[#This Row],[Gearing]] ) + 1</f>
        <v>88</v>
      </c>
      <c r="P904" s="30" cm="1">
        <f t="array" ref="P904" xml:space="preserve"> INDEX( VfM_Metrics_2023_Consol_Source[], $AK904, P$832 )</f>
        <v>0.12657474456899118</v>
      </c>
      <c r="Q904" s="35">
        <f xml:space="preserve"> IF( tblFilterAll[[#This Row],[EBITDA MRI Interest Cover]] &lt; P$825, 4, IF( tblFilterAll[[#This Row],[EBITDA MRI Interest Cover]] &lt; P$826, 3, IF( tblFilterAll[[#This Row],[EBITDA MRI Interest Cover]] &lt; P$827, 2, 1 ) ) )</f>
        <v>4</v>
      </c>
      <c r="R904" s="35">
        <f xml:space="preserve"> COUNTIFS( tblFilterAll[Include in output], 1, tblFilterAll[EBITDA MRI Interest Cover], "&gt;" &amp; tblFilterAll[[#This Row],[EBITDA MRI Interest Cover]] ) + 1</f>
        <v>181</v>
      </c>
      <c r="S904" s="32" cm="1">
        <f t="array" ref="S904" xml:space="preserve"> INDEX( VfM_Metrics_2023_Consol_Source[], $AK904, S$832 )</f>
        <v>6893.5580697298547</v>
      </c>
      <c r="T904" s="35">
        <f xml:space="preserve"> IF( tblFilterAll[[#This Row],[Headline Social Housing Cost per unit]] &lt; S$825, 4, IF( tblFilterAll[[#This Row],[Headline Social Housing Cost per unit]] &lt; S$826, 3, IF( tblFilterAll[[#This Row],[Headline Social Housing Cost per unit]] &lt; S$827, 2, 1 ) ) )</f>
        <v>1</v>
      </c>
      <c r="U904" s="35">
        <f xml:space="preserve"> COUNTIFS( tblFilterAll[Include in output], 1, tblFilterAll[Headline Social Housing Cost per unit], "&gt;" &amp; tblFilterAll[[#This Row],[Headline Social Housing Cost per unit]] ) + 1</f>
        <v>35</v>
      </c>
      <c r="V904" s="30" cm="1">
        <f t="array" ref="V904" xml:space="preserve"> INDEX( VfM_Metrics_2023_Consol_Source[], $AK904, V$832 )</f>
        <v>0.10398630313994056</v>
      </c>
      <c r="W904" s="35">
        <f xml:space="preserve"> IF( tblFilterAll[[#This Row],[Operating Margin (SHL)]] &lt; V$825, 4, IF( tblFilterAll[[#This Row],[Operating Margin (SHL)]] &lt; V$826, 3, IF( tblFilterAll[[#This Row],[Operating Margin (SHL)]] &lt; V$827, 2, 1 ) ) )</f>
        <v>4</v>
      </c>
      <c r="X904" s="35">
        <f xml:space="preserve"> COUNTIFS( tblFilterAll[Include in output], 1, tblFilterAll[Operating Margin (SHL)], "&gt;" &amp; tblFilterAll[[#This Row],[Operating Margin (SHL)]] ) + 1</f>
        <v>174</v>
      </c>
      <c r="Y904" s="30" cm="1">
        <f t="array" ref="Y904" xml:space="preserve"> INDEX( VfM_Metrics_2023_Consol_Source[], $AK904, Y$832 )</f>
        <v>6.0856613065021124E-2</v>
      </c>
      <c r="Z904" s="35">
        <f xml:space="preserve"> IF( tblFilterAll[[#This Row],[Operating Margin (Overall)]] &lt; Y$825, 4, IF( tblFilterAll[[#This Row],[Operating Margin (Overall)]] &lt; Y$826, 3, IF( tblFilterAll[[#This Row],[Operating Margin (Overall)]] &lt; Y$827, 2, 1 ) ) )</f>
        <v>4</v>
      </c>
      <c r="AA904" s="35">
        <f xml:space="preserve"> COUNTIFS( tblFilterAll[Include in output], 1, tblFilterAll[Operating Margin (Overall)], "&gt;" &amp; tblFilterAll[[#This Row],[Operating Margin (Overall)]] ) + 1</f>
        <v>179</v>
      </c>
      <c r="AB904" s="30" cm="1">
        <f t="array" ref="AB904" xml:space="preserve"> INDEX( VfM_Metrics_2023_Consol_Source[], $AK904, AB$832 )</f>
        <v>6.2416026630838029E-3</v>
      </c>
      <c r="AC904" s="35">
        <f xml:space="preserve"> IF( tblFilterAll[[#This Row],[ROCE]] &lt; AB$825, 4, IF( tblFilterAll[[#This Row],[ROCE]] &lt; AB$826, 3, IF( tblFilterAll[[#This Row],[ROCE]] &lt; AB$827, 2, 1 ) ) )</f>
        <v>4</v>
      </c>
      <c r="AD904" s="35">
        <f xml:space="preserve"> COUNTIFS( tblFilterAll[Include in output], 1, tblFilterAll[ROCE], "&gt;" &amp; tblFilterAll[[#This Row],[ROCE]] ) + 1</f>
        <v>192</v>
      </c>
      <c r="AE904" s="33" cm="1" vm="3786">
        <f t="array" ref="AE904" xml:space="preserve"> INDEX( VfM_Metrics_2023_Consol_Source[], $AK904, AE$832 )</f>
        <v>4313</v>
      </c>
      <c r="AF904" s="30" cm="1">
        <f t="array" ref="AF904" xml:space="preserve"> INDEX( VfM_Metrics_2023_Consol_Source[], $AK904, AF$832 )</f>
        <v>5.5594324261456156E-2</v>
      </c>
      <c r="AG904" s="30" cm="1">
        <f t="array" ref="AG904" xml:space="preserve"> INDEX( VfM_Metrics_2023_Consol_Source[], $AK904, AG$832 )</f>
        <v>0</v>
      </c>
      <c r="AH904" s="30" cm="1">
        <f t="array" ref="AH904" xml:space="preserve"> INDEX( VfM_Metrics_2023_Consol_Source[], $AK904, AH$832 )</f>
        <v>5.5594324261456156E-2</v>
      </c>
      <c r="AI904" s="30" t="str" cm="1">
        <f t="array" ref="AI904" xml:space="preserve"> INDEX( VfM_Metrics_2023_Consol_Source[], $AK904, AI$832 )</f>
        <v>Traditional</v>
      </c>
      <c r="AJ904" s="34" t="str" cm="1">
        <f t="array" ref="AJ904" xml:space="preserve"> INDEX( VfM_Metrics_2023_Consol_Source[], $AK904, AJ$832 )</f>
        <v>London</v>
      </c>
      <c r="AK904" s="81">
        <f xml:space="preserve"> MATCH( tblFilterAll[[#This Row],[Code]], VfM_Metrics_2023_Consol_Source[RP_Code], 0 )</f>
        <v>71</v>
      </c>
      <c r="AL904" s="24">
        <f xml:space="preserve"> INDEX( tblFilterRegion[Include for region],  MATCH( tblFilterAll[[#This Row],[Code]], tblFilterRegion[RP_Code], 0 ) )</f>
        <v>1</v>
      </c>
      <c r="AM904" s="24">
        <f xml:space="preserve"> INDEX( tblFilterPropType[Incl for prop type],  MATCH( tblFilterAll[[#This Row],[Code]], tblFilterPropType[RP_Code], 0 ) )</f>
        <v>1</v>
      </c>
      <c r="AN904" s="24">
        <f xml:space="preserve"> INDEX( tblFilterSize[Incl for size],  MATCH( tblFilterAll[[#This Row],[Code]], tblFilterSize[RP_Code], 0 ) )</f>
        <v>1</v>
      </c>
      <c r="AO904" s="24">
        <f xml:space="preserve"> INDEX( tblFilterRP_Type[Incl, for RP Type],  MATCH( tblFilterAll[[#This Row],[Code]], tblFilterRP_Type[RP_Code], 0 ) )</f>
        <v>1</v>
      </c>
      <c r="AP904" s="24">
        <f xml:space="preserve">  -- ( SUM( tblFilterAll[[#This Row],[Filter Region]:[Filter RP Type]] ) = 4 )</f>
        <v>1</v>
      </c>
      <c r="AQ904" s="24">
        <f xml:space="preserve"> -- ( tblFilterAll[[#This Row],[Provider name]] = SelectedProvider )</f>
        <v>0</v>
      </c>
      <c r="AR904" s="24">
        <f xml:space="preserve">  -- ( OR( SUM( tblFilterAll[[#This Row],[Filter Region]:[Filter RP Type]] ) = 4, tblFilterAll[[#This Row],[SelectedProvider]] = 1 ) )</f>
        <v>1</v>
      </c>
      <c r="AS904" s="24">
        <f xml:space="preserve"> -- ( INDEX( PeersCritera[Included in final peers], MATCH( tblFilterAll[[#This Row],[Provider name]], PeersCritera[RP_Name], 0 ) ) = 1 )</f>
        <v>1</v>
      </c>
      <c r="AT904" s="30" t="str" cm="1">
        <f t="array" ref="AT904" xml:space="preserve"> SUBSTITUTE( INDEX( VfM_Metrics_2023_Consol_Source[], $AK904, AT$832 ), 0, "" )</f>
        <v/>
      </c>
      <c r="AU904" s="34" cm="1">
        <f t="array" ref="AU904" xml:space="preserve"> INDEX( VfM_Metrics_2023_Consol_Source[], $AK904, AU$832 )</f>
        <v>0.99765203099319089</v>
      </c>
      <c r="AV904" s="34" cm="1">
        <f t="array" ref="AV904" xml:space="preserve"> INDEX( VfM_Metrics_2023_Consol_Source[], $AK904, AV$832 )</f>
        <v>2.3479690068091102E-3</v>
      </c>
      <c r="AW904" s="34" cm="1">
        <f t="array" ref="AW904" xml:space="preserve"> INDEX( VfM_Metrics_2023_Consol_Source[], $AK904, AW$832 )</f>
        <v>0</v>
      </c>
      <c r="AX904" s="34" cm="1">
        <f t="array" ref="AX904" xml:space="preserve"> INDEX( VfM_Metrics_2023_Consol_Source[], $AK904, AX$832 )</f>
        <v>0</v>
      </c>
      <c r="AY904" s="34" cm="1">
        <f t="array" ref="AY904" xml:space="preserve"> INDEX( VfM_Metrics_2023_Consol_Source[], $AK904, AY$832 )</f>
        <v>0</v>
      </c>
      <c r="AZ904" s="34" cm="1">
        <f t="array" ref="AZ904" xml:space="preserve"> INDEX( VfM_Metrics_2023_Consol_Source[], $AK904, AZ$832 )</f>
        <v>0</v>
      </c>
      <c r="BA904" s="34" cm="1">
        <f t="array" ref="BA904" xml:space="preserve"> INDEX( VfM_Metrics_2023_Consol_Source[], $AK904, BA$832 )</f>
        <v>0</v>
      </c>
      <c r="BB904" s="34" cm="1">
        <f t="array" ref="BB904" xml:space="preserve"> INDEX( VfM_Metrics_2023_Consol_Source[], $AK904, BB$832 )</f>
        <v>0</v>
      </c>
      <c r="BC904" s="34" cm="1">
        <f t="array" ref="BC904" xml:space="preserve"> INDEX( VfM_Metrics_2023_Consol_Source[], $AK904, BC$832 )</f>
        <v>0</v>
      </c>
    </row>
    <row r="905" spans="2:55" x14ac:dyDescent="0.2">
      <c r="B905" s="122" t="str" vm="72">
        <f t="shared" ref="B905" si="408" xml:space="preserve"> B695</f>
        <v>Hightown Housing Association Limited</v>
      </c>
      <c r="C905" s="122" t="str" vm="349">
        <f t="shared" si="401"/>
        <v>L2179</v>
      </c>
      <c r="D905" s="30" cm="1">
        <f t="array" ref="D905" xml:space="preserve"> INDEX( VfM_Metrics_2023_Consol_Source[], $AK905, D$832 )</f>
        <v>0.11007676260539605</v>
      </c>
      <c r="E905" s="35">
        <f xml:space="preserve"> IF( tblFilterAll[[#This Row],[Reinvestment]] &lt; D$825, 4, IF( tblFilterAll[[#This Row],[Reinvestment]] &lt; D$826, 3, IF( tblFilterAll[[#This Row],[Reinvestment]] &lt; D$827, 2, 1 ) ) )</f>
        <v>1</v>
      </c>
      <c r="F905" s="35">
        <f xml:space="preserve"> COUNTIFS( tblFilterAll[Include in output], 1, tblFilterAll[Reinvestment], "&gt;" &amp; tblFilterAll[[#This Row],[Reinvestment]] ) + 1</f>
        <v>28</v>
      </c>
      <c r="G905" s="30" cm="1">
        <f t="array" ref="G905" xml:space="preserve"> INDEX( VfM_Metrics_2023_Consol_Source[], $AK905, G$832 )</f>
        <v>7.3795600111389581E-2</v>
      </c>
      <c r="H905" s="35">
        <f xml:space="preserve"> IF( tblFilterAll[[#This Row],[New Supply (Social)]] &lt; G$825, 4, IF( tblFilterAll[[#This Row],[New Supply (Social)]] &lt; G$826, 3, IF( tblFilterAll[[#This Row],[New Supply (Social)]] &lt; G$827, 2, 1 ) ) )</f>
        <v>1</v>
      </c>
      <c r="I905" s="35">
        <f xml:space="preserve"> COUNTIFS( tblFilterAll[Include in output], 1, tblFilterAll[New Supply (Social)], "&gt;" &amp; tblFilterAll[[#This Row],[New Supply (Social)]] ) + 1</f>
        <v>3</v>
      </c>
      <c r="J905" s="31" cm="1">
        <f t="array" ref="J905" xml:space="preserve"> INDEX( VfM_Metrics_2023_Consol_Source[], $AK905, J$832 )</f>
        <v>0</v>
      </c>
      <c r="K905" s="35">
        <f xml:space="preserve"> IF( tblFilterAll[[#This Row],[New Supply (Non-Social)]] &lt; J$825, 4, IF( tblFilterAll[[#This Row],[New Supply (Non-Social)]] &lt; J$826, 3, IF( tblFilterAll[[#This Row],[New Supply (Non-Social)]] &lt; J$827, 2, 1 ) ) )</f>
        <v>2</v>
      </c>
      <c r="L905" s="35">
        <f xml:space="preserve"> COUNTIFS( tblFilterAll[Include in output], 1, tblFilterAll[New Supply (Non-Social)], "&gt;" &amp; tblFilterAll[[#This Row],[New Supply (Non-Social)]] ) + 1</f>
        <v>72</v>
      </c>
      <c r="M905" s="30" cm="1">
        <f t="array" ref="M905" xml:space="preserve"> INDEX( VfM_Metrics_2023_Consol_Source[], $AK905, M$832 )</f>
        <v>0.63196853566081113</v>
      </c>
      <c r="N905" s="35">
        <f xml:space="preserve"> IF( tblFilterAll[[#This Row],[Gearing]] &lt; M$825, 4, IF( tblFilterAll[[#This Row],[Gearing]] &lt; M$826, 3, IF( tblFilterAll[[#This Row],[Gearing]] &lt; M$827, 2, 1 ) ) )</f>
        <v>1</v>
      </c>
      <c r="O905" s="35">
        <f xml:space="preserve"> COUNTIFS( tblFilterAll[Include in output], 1, tblFilterAll[Gearing], "&gt;" &amp; tblFilterAll[[#This Row],[Gearing]] ) + 1</f>
        <v>17</v>
      </c>
      <c r="P905" s="30" cm="1">
        <f t="array" ref="P905" xml:space="preserve"> INDEX( VfM_Metrics_2023_Consol_Source[], $AK905, P$832 )</f>
        <v>1.6787606682036971</v>
      </c>
      <c r="Q905" s="35">
        <f xml:space="preserve"> IF( tblFilterAll[[#This Row],[EBITDA MRI Interest Cover]] &lt; P$825, 4, IF( tblFilterAll[[#This Row],[EBITDA MRI Interest Cover]] &lt; P$826, 3, IF( tblFilterAll[[#This Row],[EBITDA MRI Interest Cover]] &lt; P$827, 2, 1 ) ) )</f>
        <v>2</v>
      </c>
      <c r="R905" s="35">
        <f xml:space="preserve"> COUNTIFS( tblFilterAll[Include in output], 1, tblFilterAll[EBITDA MRI Interest Cover], "&gt;" &amp; tblFilterAll[[#This Row],[EBITDA MRI Interest Cover]] ) + 1</f>
        <v>52</v>
      </c>
      <c r="S905" s="32" cm="1">
        <f t="array" ref="S905" xml:space="preserve"> INDEX( VfM_Metrics_2023_Consol_Source[], $AK905, S$832 )</f>
        <v>6765.6821378340364</v>
      </c>
      <c r="T905" s="35">
        <f xml:space="preserve"> IF( tblFilterAll[[#This Row],[Headline Social Housing Cost per unit]] &lt; S$825, 4, IF( tblFilterAll[[#This Row],[Headline Social Housing Cost per unit]] &lt; S$826, 3, IF( tblFilterAll[[#This Row],[Headline Social Housing Cost per unit]] &lt; S$827, 2, 1 ) ) )</f>
        <v>1</v>
      </c>
      <c r="U905" s="35">
        <f xml:space="preserve"> COUNTIFS( tblFilterAll[Include in output], 1, tblFilterAll[Headline Social Housing Cost per unit], "&gt;" &amp; tblFilterAll[[#This Row],[Headline Social Housing Cost per unit]] ) + 1</f>
        <v>37</v>
      </c>
      <c r="V905" s="30" cm="1">
        <f t="array" ref="V905" xml:space="preserve"> INDEX( VfM_Metrics_2023_Consol_Source[], $AK905, V$832 )</f>
        <v>0.34278662035446644</v>
      </c>
      <c r="W905" s="35">
        <f xml:space="preserve"> IF( tblFilterAll[[#This Row],[Operating Margin (SHL)]] &lt; V$825, 4, IF( tblFilterAll[[#This Row],[Operating Margin (SHL)]] &lt; V$826, 3, IF( tblFilterAll[[#This Row],[Operating Margin (SHL)]] &lt; V$827, 2, 1 ) ) )</f>
        <v>1</v>
      </c>
      <c r="X905" s="35">
        <f xml:space="preserve"> COUNTIFS( tblFilterAll[Include in output], 1, tblFilterAll[Operating Margin (SHL)], "&gt;" &amp; tblFilterAll[[#This Row],[Operating Margin (SHL)]] ) + 1</f>
        <v>15</v>
      </c>
      <c r="Y905" s="30" cm="1">
        <f t="array" ref="Y905" xml:space="preserve"> INDEX( VfM_Metrics_2023_Consol_Source[], $AK905, Y$832 )</f>
        <v>0.31144450202834317</v>
      </c>
      <c r="Z905" s="35">
        <f xml:space="preserve"> IF( tblFilterAll[[#This Row],[Operating Margin (Overall)]] &lt; Y$825, 4, IF( tblFilterAll[[#This Row],[Operating Margin (Overall)]] &lt; Y$826, 3, IF( tblFilterAll[[#This Row],[Operating Margin (Overall)]] &lt; Y$827, 2, 1 ) ) )</f>
        <v>1</v>
      </c>
      <c r="AA905" s="35">
        <f xml:space="preserve"> COUNTIFS( tblFilterAll[Include in output], 1, tblFilterAll[Operating Margin (Overall)], "&gt;" &amp; tblFilterAll[[#This Row],[Operating Margin (Overall)]] ) + 1</f>
        <v>10</v>
      </c>
      <c r="AB905" s="30" cm="1">
        <f t="array" ref="AB905" xml:space="preserve"> INDEX( VfM_Metrics_2023_Consol_Source[], $AK905, AB$832 )</f>
        <v>3.599528521449271E-2</v>
      </c>
      <c r="AC905" s="35">
        <f xml:space="preserve"> IF( tblFilterAll[[#This Row],[ROCE]] &lt; AB$825, 4, IF( tblFilterAll[[#This Row],[ROCE]] &lt; AB$826, 3, IF( tblFilterAll[[#This Row],[ROCE]] &lt; AB$827, 2, 1 ) ) )</f>
        <v>2</v>
      </c>
      <c r="AD905" s="35">
        <f xml:space="preserve"> COUNTIFS( tblFilterAll[Include in output], 1, tblFilterAll[ROCE], "&gt;" &amp; tblFilterAll[[#This Row],[ROCE]] ) + 1</f>
        <v>52</v>
      </c>
      <c r="AE905" s="33" cm="1" vm="5050">
        <f t="array" ref="AE905" xml:space="preserve"> INDEX( VfM_Metrics_2023_Consol_Source[], $AK905, AE$832 )</f>
        <v>6980</v>
      </c>
      <c r="AF905" s="30" cm="1">
        <f t="array" ref="AF905" xml:space="preserve"> INDEX( VfM_Metrics_2023_Consol_Source[], $AK905, AF$832 )</f>
        <v>5.5989946942194918E-2</v>
      </c>
      <c r="AG905" s="30" cm="1">
        <f t="array" ref="AG905" xml:space="preserve"> INDEX( VfM_Metrics_2023_Consol_Source[], $AK905, AG$832 )</f>
        <v>1.1309690030717677E-2</v>
      </c>
      <c r="AH905" s="30" cm="1">
        <f t="array" ref="AH905" xml:space="preserve"> INDEX( VfM_Metrics_2023_Consol_Source[], $AK905, AH$832 )</f>
        <v>6.7299636972912594E-2</v>
      </c>
      <c r="AI905" s="30" t="str" cm="1">
        <f t="array" ref="AI905" xml:space="preserve"> INDEX( VfM_Metrics_2023_Consol_Source[], $AK905, AI$832 )</f>
        <v>Traditional</v>
      </c>
      <c r="AJ905" s="34" t="str" cm="1">
        <f t="array" ref="AJ905" xml:space="preserve"> INDEX( VfM_Metrics_2023_Consol_Source[], $AK905, AJ$832 )</f>
        <v>East of England</v>
      </c>
      <c r="AK905" s="81">
        <f xml:space="preserve"> MATCH( tblFilterAll[[#This Row],[Code]], VfM_Metrics_2023_Consol_Source[RP_Code], 0 )</f>
        <v>72</v>
      </c>
      <c r="AL905" s="24">
        <f xml:space="preserve"> INDEX( tblFilterRegion[Include for region],  MATCH( tblFilterAll[[#This Row],[Code]], tblFilterRegion[RP_Code], 0 ) )</f>
        <v>1</v>
      </c>
      <c r="AM905" s="24">
        <f xml:space="preserve"> INDEX( tblFilterPropType[Incl for prop type],  MATCH( tblFilterAll[[#This Row],[Code]], tblFilterPropType[RP_Code], 0 ) )</f>
        <v>1</v>
      </c>
      <c r="AN905" s="24">
        <f xml:space="preserve"> INDEX( tblFilterSize[Incl for size],  MATCH( tblFilterAll[[#This Row],[Code]], tblFilterSize[RP_Code], 0 ) )</f>
        <v>1</v>
      </c>
      <c r="AO905" s="24">
        <f xml:space="preserve"> INDEX( tblFilterRP_Type[Incl, for RP Type],  MATCH( tblFilterAll[[#This Row],[Code]], tblFilterRP_Type[RP_Code], 0 ) )</f>
        <v>1</v>
      </c>
      <c r="AP905" s="24">
        <f xml:space="preserve">  -- ( SUM( tblFilterAll[[#This Row],[Filter Region]:[Filter RP Type]] ) = 4 )</f>
        <v>1</v>
      </c>
      <c r="AQ905" s="24">
        <f xml:space="preserve"> -- ( tblFilterAll[[#This Row],[Provider name]] = SelectedProvider )</f>
        <v>0</v>
      </c>
      <c r="AR905" s="24">
        <f xml:space="preserve">  -- ( OR( SUM( tblFilterAll[[#This Row],[Filter Region]:[Filter RP Type]] ) = 4, tblFilterAll[[#This Row],[SelectedProvider]] = 1 ) )</f>
        <v>1</v>
      </c>
      <c r="AS905" s="24">
        <f xml:space="preserve"> -- ( INDEX( PeersCritera[Included in final peers], MATCH( tblFilterAll[[#This Row],[Provider name]], PeersCritera[RP_Name], 0 ) ) = 1 )</f>
        <v>1</v>
      </c>
      <c r="AT905" s="30" t="str" cm="1">
        <f t="array" ref="AT905" xml:space="preserve"> SUBSTITUTE( INDEX( VfM_Metrics_2023_Consol_Source[], $AK905, AT$832 ), 0, "" )</f>
        <v/>
      </c>
      <c r="AU905" s="34" cm="1">
        <f t="array" ref="AU905" xml:space="preserve"> INDEX( VfM_Metrics_2023_Consol_Source[], $AK905, AU$832 )</f>
        <v>0</v>
      </c>
      <c r="AV905" s="34" cm="1">
        <f t="array" ref="AV905" xml:space="preserve"> INDEX( VfM_Metrics_2023_Consol_Source[], $AK905, AV$832 )</f>
        <v>0.22642551428965899</v>
      </c>
      <c r="AW905" s="34" cm="1">
        <f t="array" ref="AW905" xml:space="preserve"> INDEX( VfM_Metrics_2023_Consol_Source[], $AK905, AW$832 )</f>
        <v>0</v>
      </c>
      <c r="AX905" s="34" cm="1">
        <f t="array" ref="AX905" xml:space="preserve"> INDEX( VfM_Metrics_2023_Consol_Source[], $AK905, AX$832 )</f>
        <v>0</v>
      </c>
      <c r="AY905" s="34" cm="1">
        <f t="array" ref="AY905" xml:space="preserve"> INDEX( VfM_Metrics_2023_Consol_Source[], $AK905, AY$832 )</f>
        <v>0</v>
      </c>
      <c r="AZ905" s="34" cm="1">
        <f t="array" ref="AZ905" xml:space="preserve"> INDEX( VfM_Metrics_2023_Consol_Source[], $AK905, AZ$832 )</f>
        <v>0.77357448571034104</v>
      </c>
      <c r="BA905" s="34" cm="1">
        <f t="array" ref="BA905" xml:space="preserve"> INDEX( VfM_Metrics_2023_Consol_Source[], $AK905, BA$832 )</f>
        <v>0</v>
      </c>
      <c r="BB905" s="34" cm="1">
        <f t="array" ref="BB905" xml:space="preserve"> INDEX( VfM_Metrics_2023_Consol_Source[], $AK905, BB$832 )</f>
        <v>0</v>
      </c>
      <c r="BC905" s="34" cm="1">
        <f t="array" ref="BC905" xml:space="preserve"> INDEX( VfM_Metrics_2023_Consol_Source[], $AK905, BC$832 )</f>
        <v>0</v>
      </c>
    </row>
    <row r="906" spans="2:55" x14ac:dyDescent="0.2">
      <c r="B906" s="122" t="str" vm="73">
        <f t="shared" ref="B906" si="409" xml:space="preserve"> B696</f>
        <v>Home Group Limited</v>
      </c>
      <c r="C906" s="122" t="str" vm="243">
        <f t="shared" si="401"/>
        <v>L3076</v>
      </c>
      <c r="D906" s="30" cm="1">
        <f t="array" ref="D906" xml:space="preserve"> INDEX( VfM_Metrics_2023_Consol_Source[], $AK906, D$832 )</f>
        <v>5.9697279518802812E-2</v>
      </c>
      <c r="E906" s="35">
        <f xml:space="preserve"> IF( tblFilterAll[[#This Row],[Reinvestment]] &lt; D$825, 4, IF( tblFilterAll[[#This Row],[Reinvestment]] &lt; D$826, 3, IF( tblFilterAll[[#This Row],[Reinvestment]] &lt; D$827, 2, 1 ) ) )</f>
        <v>3</v>
      </c>
      <c r="F906" s="35">
        <f xml:space="preserve"> COUNTIFS( tblFilterAll[Include in output], 1, tblFilterAll[Reinvestment], "&gt;" &amp; tblFilterAll[[#This Row],[Reinvestment]] ) + 1</f>
        <v>120</v>
      </c>
      <c r="G906" s="30" cm="1">
        <f t="array" ref="G906" xml:space="preserve"> INDEX( VfM_Metrics_2023_Consol_Source[], $AK906, G$832 )</f>
        <v>1.3626398548533415E-2</v>
      </c>
      <c r="H906" s="35">
        <f xml:space="preserve"> IF( tblFilterAll[[#This Row],[New Supply (Social)]] &lt; G$825, 4, IF( tblFilterAll[[#This Row],[New Supply (Social)]] &lt; G$826, 3, IF( tblFilterAll[[#This Row],[New Supply (Social)]] &lt; G$827, 2, 1 ) ) )</f>
        <v>2</v>
      </c>
      <c r="I906" s="35">
        <f xml:space="preserve"> COUNTIFS( tblFilterAll[Include in output], 1, tblFilterAll[New Supply (Social)], "&gt;" &amp; tblFilterAll[[#This Row],[New Supply (Social)]] ) + 1</f>
        <v>93</v>
      </c>
      <c r="J906" s="31" cm="1">
        <f t="array" ref="J906" xml:space="preserve"> INDEX( VfM_Metrics_2023_Consol_Source[], $AK906, J$832 )</f>
        <v>4.4371287483002935E-3</v>
      </c>
      <c r="K906" s="35">
        <f xml:space="preserve"> IF( tblFilterAll[[#This Row],[New Supply (Non-Social)]] &lt; J$825, 4, IF( tblFilterAll[[#This Row],[New Supply (Non-Social)]] &lt; J$826, 3, IF( tblFilterAll[[#This Row],[New Supply (Non-Social)]] &lt; J$827, 2, 1 ) ) )</f>
        <v>1</v>
      </c>
      <c r="L906" s="35">
        <f xml:space="preserve"> COUNTIFS( tblFilterAll[Include in output], 1, tblFilterAll[New Supply (Non-Social)], "&gt;" &amp; tblFilterAll[[#This Row],[New Supply (Non-Social)]] ) + 1</f>
        <v>23</v>
      </c>
      <c r="M906" s="30" cm="1">
        <f t="array" ref="M906" xml:space="preserve"> INDEX( VfM_Metrics_2023_Consol_Source[], $AK906, M$832 )</f>
        <v>0.42162014734610936</v>
      </c>
      <c r="N906" s="35">
        <f xml:space="preserve"> IF( tblFilterAll[[#This Row],[Gearing]] &lt; M$825, 4, IF( tblFilterAll[[#This Row],[Gearing]] &lt; M$826, 3, IF( tblFilterAll[[#This Row],[Gearing]] &lt; M$827, 2, 1 ) ) )</f>
        <v>3</v>
      </c>
      <c r="O906" s="35">
        <f xml:space="preserve"> COUNTIFS( tblFilterAll[Include in output], 1, tblFilterAll[Gearing], "&gt;" &amp; tblFilterAll[[#This Row],[Gearing]] ) + 1</f>
        <v>119</v>
      </c>
      <c r="P906" s="30" cm="1">
        <f t="array" ref="P906" xml:space="preserve"> INDEX( VfM_Metrics_2023_Consol_Source[], $AK906, P$832 )</f>
        <v>0.974587500680692</v>
      </c>
      <c r="Q906" s="35">
        <f xml:space="preserve"> IF( tblFilterAll[[#This Row],[EBITDA MRI Interest Cover]] &lt; P$825, 4, IF( tblFilterAll[[#This Row],[EBITDA MRI Interest Cover]] &lt; P$826, 3, IF( tblFilterAll[[#This Row],[EBITDA MRI Interest Cover]] &lt; P$827, 2, 1 ) ) )</f>
        <v>3</v>
      </c>
      <c r="R906" s="35">
        <f xml:space="preserve"> COUNTIFS( tblFilterAll[Include in output], 1, tblFilterAll[EBITDA MRI Interest Cover], "&gt;" &amp; tblFilterAll[[#This Row],[EBITDA MRI Interest Cover]] ) + 1</f>
        <v>140</v>
      </c>
      <c r="S906" s="32" cm="1">
        <f t="array" ref="S906" xml:space="preserve"> INDEX( VfM_Metrics_2023_Consol_Source[], $AK906, S$832 )</f>
        <v>6153.0456852791876</v>
      </c>
      <c r="T906" s="35">
        <f xml:space="preserve"> IF( tblFilterAll[[#This Row],[Headline Social Housing Cost per unit]] &lt; S$825, 4, IF( tblFilterAll[[#This Row],[Headline Social Housing Cost per unit]] &lt; S$826, 3, IF( tblFilterAll[[#This Row],[Headline Social Housing Cost per unit]] &lt; S$827, 2, 1 ) ) )</f>
        <v>1</v>
      </c>
      <c r="U906" s="35">
        <f xml:space="preserve"> COUNTIFS( tblFilterAll[Include in output], 1, tblFilterAll[Headline Social Housing Cost per unit], "&gt;" &amp; tblFilterAll[[#This Row],[Headline Social Housing Cost per unit]] ) + 1</f>
        <v>46</v>
      </c>
      <c r="V906" s="30" cm="1">
        <f t="array" ref="V906" xml:space="preserve"> INDEX( VfM_Metrics_2023_Consol_Source[], $AK906, V$832 )</f>
        <v>0.17749846523763238</v>
      </c>
      <c r="W906" s="35">
        <f xml:space="preserve"> IF( tblFilterAll[[#This Row],[Operating Margin (SHL)]] &lt; V$825, 4, IF( tblFilterAll[[#This Row],[Operating Margin (SHL)]] &lt; V$826, 3, IF( tblFilterAll[[#This Row],[Operating Margin (SHL)]] &lt; V$827, 2, 1 ) ) )</f>
        <v>3</v>
      </c>
      <c r="X906" s="35">
        <f xml:space="preserve"> COUNTIFS( tblFilterAll[Include in output], 1, tblFilterAll[Operating Margin (SHL)], "&gt;" &amp; tblFilterAll[[#This Row],[Operating Margin (SHL)]] ) + 1</f>
        <v>125</v>
      </c>
      <c r="Y906" s="30" cm="1">
        <f t="array" ref="Y906" xml:space="preserve"> INDEX( VfM_Metrics_2023_Consol_Source[], $AK906, Y$832 )</f>
        <v>0.10686053353191878</v>
      </c>
      <c r="Z906" s="35">
        <f xml:space="preserve"> IF( tblFilterAll[[#This Row],[Operating Margin (Overall)]] &lt; Y$825, 4, IF( tblFilterAll[[#This Row],[Operating Margin (Overall)]] &lt; Y$826, 3, IF( tblFilterAll[[#This Row],[Operating Margin (Overall)]] &lt; Y$827, 2, 1 ) ) )</f>
        <v>4</v>
      </c>
      <c r="AA906" s="35">
        <f xml:space="preserve"> COUNTIFS( tblFilterAll[Include in output], 1, tblFilterAll[Operating Margin (Overall)], "&gt;" &amp; tblFilterAll[[#This Row],[Operating Margin (Overall)]] ) + 1</f>
        <v>156</v>
      </c>
      <c r="AB906" s="30" cm="1">
        <f t="array" ref="AB906" xml:space="preserve"> INDEX( VfM_Metrics_2023_Consol_Source[], $AK906, AB$832 )</f>
        <v>2.459705238925658E-2</v>
      </c>
      <c r="AC906" s="35">
        <f xml:space="preserve"> IF( tblFilterAll[[#This Row],[ROCE]] &lt; AB$825, 4, IF( tblFilterAll[[#This Row],[ROCE]] &lt; AB$826, 3, IF( tblFilterAll[[#This Row],[ROCE]] &lt; AB$827, 2, 1 ) ) )</f>
        <v>3</v>
      </c>
      <c r="AD906" s="35">
        <f xml:space="preserve"> COUNTIFS( tblFilterAll[Include in output], 1, tblFilterAll[ROCE], "&gt;" &amp; tblFilterAll[[#This Row],[ROCE]] ) + 1</f>
        <v>129</v>
      </c>
      <c r="AE906" s="33" cm="1" vm="1549">
        <f t="array" ref="AE906" xml:space="preserve"> INDEX( VfM_Metrics_2023_Consol_Source[], $AK906, AE$832 )</f>
        <v>50973</v>
      </c>
      <c r="AF906" s="30" cm="1">
        <f t="array" ref="AF906" xml:space="preserve"> INDEX( VfM_Metrics_2023_Consol_Source[], $AK906, AF$832 )</f>
        <v>8.3588584465240076E-2</v>
      </c>
      <c r="AG906" s="30" cm="1">
        <f t="array" ref="AG906" xml:space="preserve"> INDEX( VfM_Metrics_2023_Consol_Source[], $AK906, AG$832 )</f>
        <v>3.2615813599780309E-2</v>
      </c>
      <c r="AH906" s="30" cm="1">
        <f t="array" ref="AH906" xml:space="preserve"> INDEX( VfM_Metrics_2023_Consol_Source[], $AK906, AH$832 )</f>
        <v>0.11620439806502039</v>
      </c>
      <c r="AI906" s="30" t="str" cm="1">
        <f t="array" ref="AI906" xml:space="preserve"> INDEX( VfM_Metrics_2023_Consol_Source[], $AK906, AI$832 )</f>
        <v>Traditional</v>
      </c>
      <c r="AJ906" s="34" t="str" cm="1">
        <f t="array" ref="AJ906" xml:space="preserve"> INDEX( VfM_Metrics_2023_Consol_Source[], $AK906, AJ$832 )</f>
        <v>Mixed</v>
      </c>
      <c r="AK906" s="81">
        <f xml:space="preserve"> MATCH( tblFilterAll[[#This Row],[Code]], VfM_Metrics_2023_Consol_Source[RP_Code], 0 )</f>
        <v>73</v>
      </c>
      <c r="AL906" s="24">
        <f xml:space="preserve"> INDEX( tblFilterRegion[Include for region],  MATCH( tblFilterAll[[#This Row],[Code]], tblFilterRegion[RP_Code], 0 ) )</f>
        <v>1</v>
      </c>
      <c r="AM906" s="24">
        <f xml:space="preserve"> INDEX( tblFilterPropType[Incl for prop type],  MATCH( tblFilterAll[[#This Row],[Code]], tblFilterPropType[RP_Code], 0 ) )</f>
        <v>1</v>
      </c>
      <c r="AN906" s="24">
        <f xml:space="preserve"> INDEX( tblFilterSize[Incl for size],  MATCH( tblFilterAll[[#This Row],[Code]], tblFilterSize[RP_Code], 0 ) )</f>
        <v>1</v>
      </c>
      <c r="AO906" s="24">
        <f xml:space="preserve"> INDEX( tblFilterRP_Type[Incl, for RP Type],  MATCH( tblFilterAll[[#This Row],[Code]], tblFilterRP_Type[RP_Code], 0 ) )</f>
        <v>1</v>
      </c>
      <c r="AP906" s="24">
        <f xml:space="preserve">  -- ( SUM( tblFilterAll[[#This Row],[Filter Region]:[Filter RP Type]] ) = 4 )</f>
        <v>1</v>
      </c>
      <c r="AQ906" s="24">
        <f xml:space="preserve"> -- ( tblFilterAll[[#This Row],[Provider name]] = SelectedProvider )</f>
        <v>0</v>
      </c>
      <c r="AR906" s="24">
        <f xml:space="preserve">  -- ( OR( SUM( tblFilterAll[[#This Row],[Filter Region]:[Filter RP Type]] ) = 4, tblFilterAll[[#This Row],[SelectedProvider]] = 1 ) )</f>
        <v>1</v>
      </c>
      <c r="AS906" s="24">
        <f xml:space="preserve"> -- ( INDEX( PeersCritera[Included in final peers], MATCH( tblFilterAll[[#This Row],[Provider name]], PeersCritera[RP_Name], 0 ) ) = 1 )</f>
        <v>1</v>
      </c>
      <c r="AT906" s="30" t="str" cm="1">
        <f t="array" ref="AT906" xml:space="preserve"> SUBSTITUTE( INDEX( VfM_Metrics_2023_Consol_Source[], $AK906, AT$832 ), 0, "" )</f>
        <v/>
      </c>
      <c r="AU906" s="34" cm="1">
        <f t="array" ref="AU906" xml:space="preserve"> INDEX( VfM_Metrics_2023_Consol_Source[], $AK906, AU$832 )</f>
        <v>8.0234791889007465E-2</v>
      </c>
      <c r="AV906" s="34" cm="1">
        <f t="array" ref="AV906" xml:space="preserve"> INDEX( VfM_Metrics_2023_Consol_Source[], $AK906, AV$832 )</f>
        <v>0.14029882604055496</v>
      </c>
      <c r="AW906" s="34" cm="1">
        <f t="array" ref="AW906" xml:space="preserve"> INDEX( VfM_Metrics_2023_Consol_Source[], $AK906, AW$832 )</f>
        <v>1.1718249733191036E-2</v>
      </c>
      <c r="AX906" s="34" cm="1">
        <f t="array" ref="AX906" xml:space="preserve"> INDEX( VfM_Metrics_2023_Consol_Source[], $AK906, AX$832 )</f>
        <v>2.3991462113127002E-2</v>
      </c>
      <c r="AY906" s="34" cm="1">
        <f t="array" ref="AY906" xml:space="preserve"> INDEX( VfM_Metrics_2023_Consol_Source[], $AK906, AY$832 )</f>
        <v>4.6744930629669156E-3</v>
      </c>
      <c r="AZ906" s="34" cm="1">
        <f t="array" ref="AZ906" xml:space="preserve"> INDEX( VfM_Metrics_2023_Consol_Source[], $AK906, AZ$832 )</f>
        <v>0.10542155816435432</v>
      </c>
      <c r="BA906" s="34" cm="1">
        <f t="array" ref="BA906" xml:space="preserve"> INDEX( VfM_Metrics_2023_Consol_Source[], $AK906, BA$832 )</f>
        <v>0.31054429028815367</v>
      </c>
      <c r="BB906" s="34" cm="1">
        <f t="array" ref="BB906" xml:space="preserve"> INDEX( VfM_Metrics_2023_Consol_Source[], $AK906, BB$832 )</f>
        <v>0.2087086446104589</v>
      </c>
      <c r="BC906" s="34" cm="1">
        <f t="array" ref="BC906" xml:space="preserve"> INDEX( VfM_Metrics_2023_Consol_Source[], $AK906, BC$832 )</f>
        <v>0.11440768409818571</v>
      </c>
    </row>
    <row r="907" spans="2:55" x14ac:dyDescent="0.2">
      <c r="B907" s="122" t="str" vm="74">
        <f t="shared" ref="B907" si="410" xml:space="preserve"> B697</f>
        <v>Honeycomb Group Limited</v>
      </c>
      <c r="C907" s="122" t="str" vm="315">
        <f t="shared" si="401"/>
        <v>LH2162</v>
      </c>
      <c r="D907" s="30" cm="1">
        <f t="array" ref="D907" xml:space="preserve"> INDEX( VfM_Metrics_2023_Consol_Source[], $AK907, D$832 )</f>
        <v>2.727839845743776E-2</v>
      </c>
      <c r="E907" s="35">
        <f xml:space="preserve"> IF( tblFilterAll[[#This Row],[Reinvestment]] &lt; D$825, 4, IF( tblFilterAll[[#This Row],[Reinvestment]] &lt; D$826, 3, IF( tblFilterAll[[#This Row],[Reinvestment]] &lt; D$827, 2, 1 ) ) )</f>
        <v>4</v>
      </c>
      <c r="F907" s="35">
        <f xml:space="preserve"> COUNTIFS( tblFilterAll[Include in output], 1, tblFilterAll[Reinvestment], "&gt;" &amp; tblFilterAll[[#This Row],[Reinvestment]] ) + 1</f>
        <v>179</v>
      </c>
      <c r="G907" s="30" cm="1">
        <f t="array" ref="G907" xml:space="preserve"> INDEX( VfM_Metrics_2023_Consol_Source[], $AK907, G$832 )</f>
        <v>6.9532237673830596E-3</v>
      </c>
      <c r="H907" s="35">
        <f xml:space="preserve"> IF( tblFilterAll[[#This Row],[New Supply (Social)]] &lt; G$825, 4, IF( tblFilterAll[[#This Row],[New Supply (Social)]] &lt; G$826, 3, IF( tblFilterAll[[#This Row],[New Supply (Social)]] &lt; G$827, 2, 1 ) ) )</f>
        <v>3</v>
      </c>
      <c r="I907" s="35">
        <f xml:space="preserve"> COUNTIFS( tblFilterAll[Include in output], 1, tblFilterAll[New Supply (Social)], "&gt;" &amp; tblFilterAll[[#This Row],[New Supply (Social)]] ) + 1</f>
        <v>145</v>
      </c>
      <c r="J907" s="31" cm="1">
        <f t="array" ref="J907" xml:space="preserve"> INDEX( VfM_Metrics_2023_Consol_Source[], $AK907, J$832 )</f>
        <v>0</v>
      </c>
      <c r="K907" s="35">
        <f xml:space="preserve"> IF( tblFilterAll[[#This Row],[New Supply (Non-Social)]] &lt; J$825, 4, IF( tblFilterAll[[#This Row],[New Supply (Non-Social)]] &lt; J$826, 3, IF( tblFilterAll[[#This Row],[New Supply (Non-Social)]] &lt; J$827, 2, 1 ) ) )</f>
        <v>2</v>
      </c>
      <c r="L907" s="35">
        <f xml:space="preserve"> COUNTIFS( tblFilterAll[Include in output], 1, tblFilterAll[New Supply (Non-Social)], "&gt;" &amp; tblFilterAll[[#This Row],[New Supply (Non-Social)]] ) + 1</f>
        <v>72</v>
      </c>
      <c r="M907" s="30" cm="1">
        <f t="array" ref="M907" xml:space="preserve"> INDEX( VfM_Metrics_2023_Consol_Source[], $AK907, M$832 )</f>
        <v>0.45286930439768869</v>
      </c>
      <c r="N907" s="35">
        <f xml:space="preserve"> IF( tblFilterAll[[#This Row],[Gearing]] &lt; M$825, 4, IF( tblFilterAll[[#This Row],[Gearing]] &lt; M$826, 3, IF( tblFilterAll[[#This Row],[Gearing]] &lt; M$827, 2, 1 ) ) )</f>
        <v>2</v>
      </c>
      <c r="O907" s="35">
        <f xml:space="preserve"> COUNTIFS( tblFilterAll[Include in output], 1, tblFilterAll[Gearing], "&gt;" &amp; tblFilterAll[[#This Row],[Gearing]] ) + 1</f>
        <v>98</v>
      </c>
      <c r="P907" s="30" cm="1">
        <f t="array" ref="P907" xml:space="preserve"> INDEX( VfM_Metrics_2023_Consol_Source[], $AK907, P$832 )</f>
        <v>1.1376916401504193</v>
      </c>
      <c r="Q907" s="35">
        <f xml:space="preserve"> IF( tblFilterAll[[#This Row],[EBITDA MRI Interest Cover]] &lt; P$825, 4, IF( tblFilterAll[[#This Row],[EBITDA MRI Interest Cover]] &lt; P$826, 3, IF( tblFilterAll[[#This Row],[EBITDA MRI Interest Cover]] &lt; P$827, 2, 1 ) ) )</f>
        <v>3</v>
      </c>
      <c r="R907" s="35">
        <f xml:space="preserve"> COUNTIFS( tblFilterAll[Include in output], 1, tblFilterAll[EBITDA MRI Interest Cover], "&gt;" &amp; tblFilterAll[[#This Row],[EBITDA MRI Interest Cover]] ) + 1</f>
        <v>118</v>
      </c>
      <c r="S907" s="32" cm="1">
        <f t="array" ref="S907" xml:space="preserve"> INDEX( VfM_Metrics_2023_Consol_Source[], $AK907, S$832 )</f>
        <v>6214.090494989372</v>
      </c>
      <c r="T907" s="35">
        <f xml:space="preserve"> IF( tblFilterAll[[#This Row],[Headline Social Housing Cost per unit]] &lt; S$825, 4, IF( tblFilterAll[[#This Row],[Headline Social Housing Cost per unit]] &lt; S$826, 3, IF( tblFilterAll[[#This Row],[Headline Social Housing Cost per unit]] &lt; S$827, 2, 1 ) ) )</f>
        <v>1</v>
      </c>
      <c r="U907" s="35">
        <f xml:space="preserve"> COUNTIFS( tblFilterAll[Include in output], 1, tblFilterAll[Headline Social Housing Cost per unit], "&gt;" &amp; tblFilterAll[[#This Row],[Headline Social Housing Cost per unit]] ) + 1</f>
        <v>45</v>
      </c>
      <c r="V907" s="30" cm="1">
        <f t="array" ref="V907" xml:space="preserve"> INDEX( VfM_Metrics_2023_Consol_Source[], $AK907, V$832 )</f>
        <v>0.12231131475117729</v>
      </c>
      <c r="W907" s="35">
        <f xml:space="preserve"> IF( tblFilterAll[[#This Row],[Operating Margin (SHL)]] &lt; V$825, 4, IF( tblFilterAll[[#This Row],[Operating Margin (SHL)]] &lt; V$826, 3, IF( tblFilterAll[[#This Row],[Operating Margin (SHL)]] &lt; V$827, 2, 1 ) ) )</f>
        <v>4</v>
      </c>
      <c r="X907" s="35">
        <f xml:space="preserve"> COUNTIFS( tblFilterAll[Include in output], 1, tblFilterAll[Operating Margin (SHL)], "&gt;" &amp; tblFilterAll[[#This Row],[Operating Margin (SHL)]] ) + 1</f>
        <v>162</v>
      </c>
      <c r="Y907" s="30" cm="1">
        <f t="array" ref="Y907" xml:space="preserve"> INDEX( VfM_Metrics_2023_Consol_Source[], $AK907, Y$832 )</f>
        <v>9.7394610309739463E-2</v>
      </c>
      <c r="Z907" s="35">
        <f xml:space="preserve"> IF( tblFilterAll[[#This Row],[Operating Margin (Overall)]] &lt; Y$825, 4, IF( tblFilterAll[[#This Row],[Operating Margin (Overall)]] &lt; Y$826, 3, IF( tblFilterAll[[#This Row],[Operating Margin (Overall)]] &lt; Y$827, 2, 1 ) ) )</f>
        <v>4</v>
      </c>
      <c r="AA907" s="35">
        <f xml:space="preserve"> COUNTIFS( tblFilterAll[Include in output], 1, tblFilterAll[Operating Margin (Overall)], "&gt;" &amp; tblFilterAll[[#This Row],[Operating Margin (Overall)]] ) + 1</f>
        <v>163</v>
      </c>
      <c r="AB907" s="30" cm="1">
        <f t="array" ref="AB907" xml:space="preserve"> INDEX( VfM_Metrics_2023_Consol_Source[], $AK907, AB$832 )</f>
        <v>1.8531133389196E-2</v>
      </c>
      <c r="AC907" s="35">
        <f xml:space="preserve"> IF( tblFilterAll[[#This Row],[ROCE]] &lt; AB$825, 4, IF( tblFilterAll[[#This Row],[ROCE]] &lt; AB$826, 3, IF( tblFilterAll[[#This Row],[ROCE]] &lt; AB$827, 2, 1 ) ) )</f>
        <v>4</v>
      </c>
      <c r="AD907" s="35">
        <f xml:space="preserve"> COUNTIFS( tblFilterAll[Include in output], 1, tblFilterAll[ROCE], "&gt;" &amp; tblFilterAll[[#This Row],[ROCE]] ) + 1</f>
        <v>168</v>
      </c>
      <c r="AE907" s="33" cm="1" vm="3857">
        <f t="array" ref="AE907" xml:space="preserve"> INDEX( VfM_Metrics_2023_Consol_Source[], $AK907, AE$832 )</f>
        <v>3121</v>
      </c>
      <c r="AF907" s="30" cm="1">
        <f t="array" ref="AF907" xml:space="preserve"> INDEX( VfM_Metrics_2023_Consol_Source[], $AK907, AF$832 )</f>
        <v>4.6804389928986445E-2</v>
      </c>
      <c r="AG907" s="30" cm="1">
        <f t="array" ref="AG907" xml:space="preserve"> INDEX( VfM_Metrics_2023_Consol_Source[], $AK907, AG$832 )</f>
        <v>0.14138153647514526</v>
      </c>
      <c r="AH907" s="30" cm="1">
        <f t="array" ref="AH907" xml:space="preserve"> INDEX( VfM_Metrics_2023_Consol_Source[], $AK907, AH$832 )</f>
        <v>0.1881859264041317</v>
      </c>
      <c r="AI907" s="30" t="str" cm="1">
        <f t="array" ref="AI907" xml:space="preserve"> INDEX( VfM_Metrics_2023_Consol_Source[], $AK907, AI$832 )</f>
        <v>Traditional</v>
      </c>
      <c r="AJ907" s="34" t="str" cm="1">
        <f t="array" ref="AJ907" xml:space="preserve"> INDEX( VfM_Metrics_2023_Consol_Source[], $AK907, AJ$832 )</f>
        <v>West Midlands</v>
      </c>
      <c r="AK907" s="81">
        <f xml:space="preserve"> MATCH( tblFilterAll[[#This Row],[Code]], VfM_Metrics_2023_Consol_Source[RP_Code], 0 )</f>
        <v>74</v>
      </c>
      <c r="AL907" s="24">
        <f xml:space="preserve"> INDEX( tblFilterRegion[Include for region],  MATCH( tblFilterAll[[#This Row],[Code]], tblFilterRegion[RP_Code], 0 ) )</f>
        <v>1</v>
      </c>
      <c r="AM907" s="24">
        <f xml:space="preserve"> INDEX( tblFilterPropType[Incl for prop type],  MATCH( tblFilterAll[[#This Row],[Code]], tblFilterPropType[RP_Code], 0 ) )</f>
        <v>1</v>
      </c>
      <c r="AN907" s="24">
        <f xml:space="preserve"> INDEX( tblFilterSize[Incl for size],  MATCH( tblFilterAll[[#This Row],[Code]], tblFilterSize[RP_Code], 0 ) )</f>
        <v>1</v>
      </c>
      <c r="AO907" s="24">
        <f xml:space="preserve"> INDEX( tblFilterRP_Type[Incl, for RP Type],  MATCH( tblFilterAll[[#This Row],[Code]], tblFilterRP_Type[RP_Code], 0 ) )</f>
        <v>1</v>
      </c>
      <c r="AP907" s="24">
        <f xml:space="preserve">  -- ( SUM( tblFilterAll[[#This Row],[Filter Region]:[Filter RP Type]] ) = 4 )</f>
        <v>1</v>
      </c>
      <c r="AQ907" s="24">
        <f xml:space="preserve"> -- ( tblFilterAll[[#This Row],[Provider name]] = SelectedProvider )</f>
        <v>0</v>
      </c>
      <c r="AR907" s="24">
        <f xml:space="preserve">  -- ( OR( SUM( tblFilterAll[[#This Row],[Filter Region]:[Filter RP Type]] ) = 4, tblFilterAll[[#This Row],[SelectedProvider]] = 1 ) )</f>
        <v>1</v>
      </c>
      <c r="AS907" s="24">
        <f xml:space="preserve"> -- ( INDEX( PeersCritera[Included in final peers], MATCH( tblFilterAll[[#This Row],[Provider name]], PeersCritera[RP_Name], 0 ) ) = 1 )</f>
        <v>1</v>
      </c>
      <c r="AT907" s="30" t="str" cm="1">
        <f t="array" ref="AT907" xml:space="preserve"> SUBSTITUTE( INDEX( VfM_Metrics_2023_Consol_Source[], $AK907, AT$832 ), 0, "" )</f>
        <v/>
      </c>
      <c r="AU907" s="34" cm="1">
        <f t="array" ref="AU907" xml:space="preserve"> INDEX( VfM_Metrics_2023_Consol_Source[], $AK907, AU$832 )</f>
        <v>0</v>
      </c>
      <c r="AV907" s="34" cm="1">
        <f t="array" ref="AV907" xml:space="preserve"> INDEX( VfM_Metrics_2023_Consol_Source[], $AK907, AV$832 )</f>
        <v>0</v>
      </c>
      <c r="AW907" s="34" cm="1">
        <f t="array" ref="AW907" xml:space="preserve"> INDEX( VfM_Metrics_2023_Consol_Source[], $AK907, AW$832 )</f>
        <v>0</v>
      </c>
      <c r="AX907" s="34" cm="1">
        <f t="array" ref="AX907" xml:space="preserve"> INDEX( VfM_Metrics_2023_Consol_Source[], $AK907, AX$832 )</f>
        <v>0</v>
      </c>
      <c r="AY907" s="34" cm="1">
        <f t="array" ref="AY907" xml:space="preserve"> INDEX( VfM_Metrics_2023_Consol_Source[], $AK907, AY$832 )</f>
        <v>0.96701502286087526</v>
      </c>
      <c r="AZ907" s="34" cm="1">
        <f t="array" ref="AZ907" xml:space="preserve"> INDEX( VfM_Metrics_2023_Consol_Source[], $AK907, AZ$832 )</f>
        <v>0</v>
      </c>
      <c r="BA907" s="34" cm="1">
        <f t="array" ref="BA907" xml:space="preserve"> INDEX( VfM_Metrics_2023_Consol_Source[], $AK907, BA$832 )</f>
        <v>0</v>
      </c>
      <c r="BB907" s="34" cm="1">
        <f t="array" ref="BB907" xml:space="preserve"> INDEX( VfM_Metrics_2023_Consol_Source[], $AK907, BB$832 )</f>
        <v>3.2984977139124752E-2</v>
      </c>
      <c r="BC907" s="34" cm="1">
        <f t="array" ref="BC907" xml:space="preserve"> INDEX( VfM_Metrics_2023_Consol_Source[], $AK907, BC$832 )</f>
        <v>0</v>
      </c>
    </row>
    <row r="908" spans="2:55" x14ac:dyDescent="0.2">
      <c r="B908" s="122" t="str" vm="75">
        <f t="shared" ref="B908" si="411" xml:space="preserve"> B698</f>
        <v>Housing 21</v>
      </c>
      <c r="C908" s="122" t="str" vm="268">
        <f t="shared" si="401"/>
        <v>L0055</v>
      </c>
      <c r="D908" s="30" cm="1">
        <f t="array" ref="D908" xml:space="preserve"> INDEX( VfM_Metrics_2023_Consol_Source[], $AK908, D$832 )</f>
        <v>5.3293284972170944E-2</v>
      </c>
      <c r="E908" s="35">
        <f xml:space="preserve"> IF( tblFilterAll[[#This Row],[Reinvestment]] &lt; D$825, 4, IF( tblFilterAll[[#This Row],[Reinvestment]] &lt; D$826, 3, IF( tblFilterAll[[#This Row],[Reinvestment]] &lt; D$827, 2, 1 ) ) )</f>
        <v>3</v>
      </c>
      <c r="F908" s="35">
        <f xml:space="preserve"> COUNTIFS( tblFilterAll[Include in output], 1, tblFilterAll[Reinvestment], "&gt;" &amp; tblFilterAll[[#This Row],[Reinvestment]] ) + 1</f>
        <v>139</v>
      </c>
      <c r="G908" s="30" cm="1">
        <f t="array" ref="G908" xml:space="preserve"> INDEX( VfM_Metrics_2023_Consol_Source[], $AK908, G$832 )</f>
        <v>1.4027764294728667E-2</v>
      </c>
      <c r="H908" s="35">
        <f xml:space="preserve"> IF( tblFilterAll[[#This Row],[New Supply (Social)]] &lt; G$825, 4, IF( tblFilterAll[[#This Row],[New Supply (Social)]] &lt; G$826, 3, IF( tblFilterAll[[#This Row],[New Supply (Social)]] &lt; G$827, 2, 1 ) ) )</f>
        <v>2</v>
      </c>
      <c r="I908" s="35">
        <f xml:space="preserve"> COUNTIFS( tblFilterAll[Include in output], 1, tblFilterAll[New Supply (Social)], "&gt;" &amp; tblFilterAll[[#This Row],[New Supply (Social)]] ) + 1</f>
        <v>90</v>
      </c>
      <c r="J908" s="31" cm="1">
        <f t="array" ref="J908" xml:space="preserve"> INDEX( VfM_Metrics_2023_Consol_Source[], $AK908, J$832 )</f>
        <v>1.1257563675594539E-3</v>
      </c>
      <c r="K908" s="35">
        <f xml:space="preserve"> IF( tblFilterAll[[#This Row],[New Supply (Non-Social)]] &lt; J$825, 4, IF( tblFilterAll[[#This Row],[New Supply (Non-Social)]] &lt; J$826, 3, IF( tblFilterAll[[#This Row],[New Supply (Non-Social)]] &lt; J$827, 2, 1 ) ) )</f>
        <v>1</v>
      </c>
      <c r="L908" s="35">
        <f xml:space="preserve"> COUNTIFS( tblFilterAll[Include in output], 1, tblFilterAll[New Supply (Non-Social)], "&gt;" &amp; tblFilterAll[[#This Row],[New Supply (Non-Social)]] ) + 1</f>
        <v>43</v>
      </c>
      <c r="M908" s="30" cm="1">
        <f t="array" ref="M908" xml:space="preserve"> INDEX( VfM_Metrics_2023_Consol_Source[], $AK908, M$832 )</f>
        <v>0.4329232955793611</v>
      </c>
      <c r="N908" s="35">
        <f xml:space="preserve"> IF( tblFilterAll[[#This Row],[Gearing]] &lt; M$825, 4, IF( tblFilterAll[[#This Row],[Gearing]] &lt; M$826, 3, IF( tblFilterAll[[#This Row],[Gearing]] &lt; M$827, 2, 1 ) ) )</f>
        <v>3</v>
      </c>
      <c r="O908" s="35">
        <f xml:space="preserve"> COUNTIFS( tblFilterAll[Include in output], 1, tblFilterAll[Gearing], "&gt;" &amp; tblFilterAll[[#This Row],[Gearing]] ) + 1</f>
        <v>114</v>
      </c>
      <c r="P908" s="30" cm="1">
        <f t="array" ref="P908" xml:space="preserve"> INDEX( VfM_Metrics_2023_Consol_Source[], $AK908, P$832 )</f>
        <v>1.3086024341535099</v>
      </c>
      <c r="Q908" s="35">
        <f xml:space="preserve"> IF( tblFilterAll[[#This Row],[EBITDA MRI Interest Cover]] &lt; P$825, 4, IF( tblFilterAll[[#This Row],[EBITDA MRI Interest Cover]] &lt; P$826, 3, IF( tblFilterAll[[#This Row],[EBITDA MRI Interest Cover]] &lt; P$827, 2, 1 ) ) )</f>
        <v>2</v>
      </c>
      <c r="R908" s="35">
        <f xml:space="preserve"> COUNTIFS( tblFilterAll[Include in output], 1, tblFilterAll[EBITDA MRI Interest Cover], "&gt;" &amp; tblFilterAll[[#This Row],[EBITDA MRI Interest Cover]] ) + 1</f>
        <v>90</v>
      </c>
      <c r="S908" s="32" cm="1">
        <f t="array" ref="S908" xml:space="preserve"> INDEX( VfM_Metrics_2023_Consol_Source[], $AK908, S$832 )</f>
        <v>7635.6219937753467</v>
      </c>
      <c r="T908" s="35">
        <f xml:space="preserve"> IF( tblFilterAll[[#This Row],[Headline Social Housing Cost per unit]] &lt; S$825, 4, IF( tblFilterAll[[#This Row],[Headline Social Housing Cost per unit]] &lt; S$826, 3, IF( tblFilterAll[[#This Row],[Headline Social Housing Cost per unit]] &lt; S$827, 2, 1 ) ) )</f>
        <v>1</v>
      </c>
      <c r="U908" s="35">
        <f xml:space="preserve"> COUNTIFS( tblFilterAll[Include in output], 1, tblFilterAll[Headline Social Housing Cost per unit], "&gt;" &amp; tblFilterAll[[#This Row],[Headline Social Housing Cost per unit]] ) + 1</f>
        <v>25</v>
      </c>
      <c r="V908" s="30" cm="1">
        <f t="array" ref="V908" xml:space="preserve"> INDEX( VfM_Metrics_2023_Consol_Source[], $AK908, V$832 )</f>
        <v>0.14801834133013833</v>
      </c>
      <c r="W908" s="35">
        <f xml:space="preserve"> IF( tblFilterAll[[#This Row],[Operating Margin (SHL)]] &lt; V$825, 4, IF( tblFilterAll[[#This Row],[Operating Margin (SHL)]] &lt; V$826, 3, IF( tblFilterAll[[#This Row],[Operating Margin (SHL)]] &lt; V$827, 2, 1 ) ) )</f>
        <v>3</v>
      </c>
      <c r="X908" s="35">
        <f xml:space="preserve"> COUNTIFS( tblFilterAll[Include in output], 1, tblFilterAll[Operating Margin (SHL)], "&gt;" &amp; tblFilterAll[[#This Row],[Operating Margin (SHL)]] ) + 1</f>
        <v>145</v>
      </c>
      <c r="Y908" s="30" cm="1">
        <f t="array" ref="Y908" xml:space="preserve"> INDEX( VfM_Metrics_2023_Consol_Source[], $AK908, Y$832 )</f>
        <v>0.10400731493996979</v>
      </c>
      <c r="Z908" s="35">
        <f xml:space="preserve"> IF( tblFilterAll[[#This Row],[Operating Margin (Overall)]] &lt; Y$825, 4, IF( tblFilterAll[[#This Row],[Operating Margin (Overall)]] &lt; Y$826, 3, IF( tblFilterAll[[#This Row],[Operating Margin (Overall)]] &lt; Y$827, 2, 1 ) ) )</f>
        <v>4</v>
      </c>
      <c r="AA908" s="35">
        <f xml:space="preserve"> COUNTIFS( tblFilterAll[Include in output], 1, tblFilterAll[Operating Margin (Overall)], "&gt;" &amp; tblFilterAll[[#This Row],[Operating Margin (Overall)]] ) + 1</f>
        <v>160</v>
      </c>
      <c r="AB908" s="30" cm="1">
        <f t="array" ref="AB908" xml:space="preserve"> INDEX( VfM_Metrics_2023_Consol_Source[], $AK908, AB$832 )</f>
        <v>1.6473489457652105E-2</v>
      </c>
      <c r="AC908" s="35">
        <f xml:space="preserve"> IF( tblFilterAll[[#This Row],[ROCE]] &lt; AB$825, 4, IF( tblFilterAll[[#This Row],[ROCE]] &lt; AB$826, 3, IF( tblFilterAll[[#This Row],[ROCE]] &lt; AB$827, 2, 1 ) ) )</f>
        <v>4</v>
      </c>
      <c r="AD908" s="35">
        <f xml:space="preserve"> COUNTIFS( tblFilterAll[Include in output], 1, tblFilterAll[ROCE], "&gt;" &amp; tblFilterAll[[#This Row],[ROCE]] ) + 1</f>
        <v>175</v>
      </c>
      <c r="AE908" s="33" cm="1" vm="2279">
        <f t="array" ref="AE908" xml:space="preserve"> INDEX( VfM_Metrics_2023_Consol_Source[], $AK908, AE$832 )</f>
        <v>19733</v>
      </c>
      <c r="AF908" s="30" cm="1">
        <f t="array" ref="AF908" xml:space="preserve"> INDEX( VfM_Metrics_2023_Consol_Source[], $AK908, AF$832 )</f>
        <v>8.5643101837433819E-3</v>
      </c>
      <c r="AG908" s="30" cm="1">
        <f t="array" ref="AG908" xml:space="preserve"> INDEX( VfM_Metrics_2023_Consol_Source[], $AK908, AG$832 )</f>
        <v>0.91363022941970307</v>
      </c>
      <c r="AH908" s="30" cm="1">
        <f t="array" ref="AH908" xml:space="preserve"> INDEX( VfM_Metrics_2023_Consol_Source[], $AK908, AH$832 )</f>
        <v>0.92219453960344644</v>
      </c>
      <c r="AI908" s="30" t="str" cm="1">
        <f t="array" ref="AI908" xml:space="preserve"> INDEX( VfM_Metrics_2023_Consol_Source[], $AK908, AI$832 )</f>
        <v>Traditional</v>
      </c>
      <c r="AJ908" s="34" t="str" cm="1">
        <f t="array" ref="AJ908" xml:space="preserve"> INDEX( VfM_Metrics_2023_Consol_Source[], $AK908, AJ$832 )</f>
        <v>Mixed</v>
      </c>
      <c r="AK908" s="81">
        <f xml:space="preserve"> MATCH( tblFilterAll[[#This Row],[Code]], VfM_Metrics_2023_Consol_Source[RP_Code], 0 )</f>
        <v>75</v>
      </c>
      <c r="AL908" s="24">
        <f xml:space="preserve"> INDEX( tblFilterRegion[Include for region],  MATCH( tblFilterAll[[#This Row],[Code]], tblFilterRegion[RP_Code], 0 ) )</f>
        <v>1</v>
      </c>
      <c r="AM908" s="24">
        <f xml:space="preserve"> INDEX( tblFilterPropType[Incl for prop type],  MATCH( tblFilterAll[[#This Row],[Code]], tblFilterPropType[RP_Code], 0 ) )</f>
        <v>1</v>
      </c>
      <c r="AN908" s="24">
        <f xml:space="preserve"> INDEX( tblFilterSize[Incl for size],  MATCH( tblFilterAll[[#This Row],[Code]], tblFilterSize[RP_Code], 0 ) )</f>
        <v>1</v>
      </c>
      <c r="AO908" s="24">
        <f xml:space="preserve"> INDEX( tblFilterRP_Type[Incl, for RP Type],  MATCH( tblFilterAll[[#This Row],[Code]], tblFilterRP_Type[RP_Code], 0 ) )</f>
        <v>1</v>
      </c>
      <c r="AP908" s="24">
        <f xml:space="preserve">  -- ( SUM( tblFilterAll[[#This Row],[Filter Region]:[Filter RP Type]] ) = 4 )</f>
        <v>1</v>
      </c>
      <c r="AQ908" s="24">
        <f xml:space="preserve"> -- ( tblFilterAll[[#This Row],[Provider name]] = SelectedProvider )</f>
        <v>0</v>
      </c>
      <c r="AR908" s="24">
        <f xml:space="preserve">  -- ( OR( SUM( tblFilterAll[[#This Row],[Filter Region]:[Filter RP Type]] ) = 4, tblFilterAll[[#This Row],[SelectedProvider]] = 1 ) )</f>
        <v>1</v>
      </c>
      <c r="AS908" s="24">
        <f xml:space="preserve"> -- ( INDEX( PeersCritera[Included in final peers], MATCH( tblFilterAll[[#This Row],[Provider name]], PeersCritera[RP_Name], 0 ) ) = 1 )</f>
        <v>1</v>
      </c>
      <c r="AT908" s="30" t="str" cm="1">
        <f t="array" ref="AT908" xml:space="preserve"> SUBSTITUTE( INDEX( VfM_Metrics_2023_Consol_Source[], $AK908, AT$832 ), 0, "" )</f>
        <v/>
      </c>
      <c r="AU908" s="34" cm="1">
        <f t="array" ref="AU908" xml:space="preserve"> INDEX( VfM_Metrics_2023_Consol_Source[], $AK908, AU$832 )</f>
        <v>7.3153078633097238E-2</v>
      </c>
      <c r="AV908" s="34" cm="1">
        <f t="array" ref="AV908" xml:space="preserve"> INDEX( VfM_Metrics_2023_Consol_Source[], $AK908, AV$832 )</f>
        <v>0.17453342294370056</v>
      </c>
      <c r="AW908" s="34" cm="1">
        <f t="array" ref="AW908" xml:space="preserve"> INDEX( VfM_Metrics_2023_Consol_Source[], $AK908, AW$832 )</f>
        <v>8.9334643023315924E-2</v>
      </c>
      <c r="AX908" s="34" cm="1">
        <f t="array" ref="AX908" xml:space="preserve"> INDEX( VfM_Metrics_2023_Consol_Source[], $AK908, AX$832 )</f>
        <v>7.3256475210670524E-2</v>
      </c>
      <c r="AY908" s="34" cm="1">
        <f t="array" ref="AY908" xml:space="preserve"> INDEX( VfM_Metrics_2023_Consol_Source[], $AK908, AY$832 )</f>
        <v>0.1304864808974823</v>
      </c>
      <c r="AZ908" s="34" cm="1">
        <f t="array" ref="AZ908" xml:space="preserve"> INDEX( VfM_Metrics_2023_Consol_Source[], $AK908, AZ$832 )</f>
        <v>0.10592979372382774</v>
      </c>
      <c r="BA908" s="34" cm="1">
        <f t="array" ref="BA908" xml:space="preserve"> INDEX( VfM_Metrics_2023_Consol_Source[], $AK908, BA$832 )</f>
        <v>8.4681797032518227E-2</v>
      </c>
      <c r="BB908" s="34" cm="1">
        <f t="array" ref="BB908" xml:space="preserve"> INDEX( VfM_Metrics_2023_Consol_Source[], $AK908, BB$832 )</f>
        <v>0.13922349170242465</v>
      </c>
      <c r="BC908" s="34" cm="1">
        <f t="array" ref="BC908" xml:space="preserve"> INDEX( VfM_Metrics_2023_Consol_Source[], $AK908, BC$832 )</f>
        <v>0.12940081683296284</v>
      </c>
    </row>
    <row r="909" spans="2:55" x14ac:dyDescent="0.2">
      <c r="B909" s="122" t="str" vm="76">
        <f t="shared" ref="B909" si="412" xml:space="preserve"> B699</f>
        <v>Housing Solutions</v>
      </c>
      <c r="C909" s="122" t="str" vm="377">
        <f t="shared" si="401"/>
        <v>L4073</v>
      </c>
      <c r="D909" s="30" cm="1">
        <f t="array" ref="D909" xml:space="preserve"> INDEX( VfM_Metrics_2023_Consol_Source[], $AK909, D$832 )</f>
        <v>2.2673479546124073E-2</v>
      </c>
      <c r="E909" s="35">
        <f xml:space="preserve"> IF( tblFilterAll[[#This Row],[Reinvestment]] &lt; D$825, 4, IF( tblFilterAll[[#This Row],[Reinvestment]] &lt; D$826, 3, IF( tblFilterAll[[#This Row],[Reinvestment]] &lt; D$827, 2, 1 ) ) )</f>
        <v>4</v>
      </c>
      <c r="F909" s="35">
        <f xml:space="preserve"> COUNTIFS( tblFilterAll[Include in output], 1, tblFilterAll[Reinvestment], "&gt;" &amp; tblFilterAll[[#This Row],[Reinvestment]] ) + 1</f>
        <v>185</v>
      </c>
      <c r="G909" s="30" cm="1">
        <f t="array" ref="G909" xml:space="preserve"> INDEX( VfM_Metrics_2023_Consol_Source[], $AK909, G$832 )</f>
        <v>5.6346846141806231E-3</v>
      </c>
      <c r="H909" s="35">
        <f xml:space="preserve"> IF( tblFilterAll[[#This Row],[New Supply (Social)]] &lt; G$825, 4, IF( tblFilterAll[[#This Row],[New Supply (Social)]] &lt; G$826, 3, IF( tblFilterAll[[#This Row],[New Supply (Social)]] &lt; G$827, 2, 1 ) ) )</f>
        <v>4</v>
      </c>
      <c r="I909" s="35">
        <f xml:space="preserve"> COUNTIFS( tblFilterAll[Include in output], 1, tblFilterAll[New Supply (Social)], "&gt;" &amp; tblFilterAll[[#This Row],[New Supply (Social)]] ) + 1</f>
        <v>154</v>
      </c>
      <c r="J909" s="31" cm="1">
        <f t="array" ref="J909" xml:space="preserve"> INDEX( VfM_Metrics_2023_Consol_Source[], $AK909, J$832 )</f>
        <v>0</v>
      </c>
      <c r="K909" s="35">
        <f xml:space="preserve"> IF( tblFilterAll[[#This Row],[New Supply (Non-Social)]] &lt; J$825, 4, IF( tblFilterAll[[#This Row],[New Supply (Non-Social)]] &lt; J$826, 3, IF( tblFilterAll[[#This Row],[New Supply (Non-Social)]] &lt; J$827, 2, 1 ) ) )</f>
        <v>2</v>
      </c>
      <c r="L909" s="35">
        <f xml:space="preserve"> COUNTIFS( tblFilterAll[Include in output], 1, tblFilterAll[New Supply (Non-Social)], "&gt;" &amp; tblFilterAll[[#This Row],[New Supply (Non-Social)]] ) + 1</f>
        <v>72</v>
      </c>
      <c r="M909" s="30" cm="1">
        <f t="array" ref="M909" xml:space="preserve"> INDEX( VfM_Metrics_2023_Consol_Source[], $AK909, M$832 )</f>
        <v>0.64691947460915677</v>
      </c>
      <c r="N909" s="35">
        <f xml:space="preserve"> IF( tblFilterAll[[#This Row],[Gearing]] &lt; M$825, 4, IF( tblFilterAll[[#This Row],[Gearing]] &lt; M$826, 3, IF( tblFilterAll[[#This Row],[Gearing]] &lt; M$827, 2, 1 ) ) )</f>
        <v>1</v>
      </c>
      <c r="O909" s="35">
        <f xml:space="preserve"> COUNTIFS( tblFilterAll[Include in output], 1, tblFilterAll[Gearing], "&gt;" &amp; tblFilterAll[[#This Row],[Gearing]] ) + 1</f>
        <v>13</v>
      </c>
      <c r="P909" s="30" cm="1">
        <f t="array" ref="P909" xml:space="preserve"> INDEX( VfM_Metrics_2023_Consol_Source[], $AK909, P$832 )</f>
        <v>1.5211705661977803</v>
      </c>
      <c r="Q909" s="35">
        <f xml:space="preserve"> IF( tblFilterAll[[#This Row],[EBITDA MRI Interest Cover]] &lt; P$825, 4, IF( tblFilterAll[[#This Row],[EBITDA MRI Interest Cover]] &lt; P$826, 3, IF( tblFilterAll[[#This Row],[EBITDA MRI Interest Cover]] &lt; P$827, 2, 1 ) ) )</f>
        <v>2</v>
      </c>
      <c r="R909" s="35">
        <f xml:space="preserve"> COUNTIFS( tblFilterAll[Include in output], 1, tblFilterAll[EBITDA MRI Interest Cover], "&gt;" &amp; tblFilterAll[[#This Row],[EBITDA MRI Interest Cover]] ) + 1</f>
        <v>62</v>
      </c>
      <c r="S909" s="32" cm="1">
        <f t="array" ref="S909" xml:space="preserve"> INDEX( VfM_Metrics_2023_Consol_Source[], $AK909, S$832 )</f>
        <v>4277.0386601972141</v>
      </c>
      <c r="T909" s="35">
        <f xml:space="preserve"> IF( tblFilterAll[[#This Row],[Headline Social Housing Cost per unit]] &lt; S$825, 4, IF( tblFilterAll[[#This Row],[Headline Social Housing Cost per unit]] &lt; S$826, 3, IF( tblFilterAll[[#This Row],[Headline Social Housing Cost per unit]] &lt; S$827, 2, 1 ) ) )</f>
        <v>3</v>
      </c>
      <c r="U909" s="35">
        <f xml:space="preserve"> COUNTIFS( tblFilterAll[Include in output], 1, tblFilterAll[Headline Social Housing Cost per unit], "&gt;" &amp; tblFilterAll[[#This Row],[Headline Social Housing Cost per unit]] ) + 1</f>
        <v>131</v>
      </c>
      <c r="V909" s="30" cm="1">
        <f t="array" ref="V909" xml:space="preserve"> INDEX( VfM_Metrics_2023_Consol_Source[], $AK909, V$832 )</f>
        <v>0.35506343200534163</v>
      </c>
      <c r="W909" s="35">
        <f xml:space="preserve"> IF( tblFilterAll[[#This Row],[Operating Margin (SHL)]] &lt; V$825, 4, IF( tblFilterAll[[#This Row],[Operating Margin (SHL)]] &lt; V$826, 3, IF( tblFilterAll[[#This Row],[Operating Margin (SHL)]] &lt; V$827, 2, 1 ) ) )</f>
        <v>1</v>
      </c>
      <c r="X909" s="35">
        <f xml:space="preserve"> COUNTIFS( tblFilterAll[Include in output], 1, tblFilterAll[Operating Margin (SHL)], "&gt;" &amp; tblFilterAll[[#This Row],[Operating Margin (SHL)]] ) + 1</f>
        <v>8</v>
      </c>
      <c r="Y909" s="30" cm="1">
        <f t="array" ref="Y909" xml:space="preserve"> INDEX( VfM_Metrics_2023_Consol_Source[], $AK909, Y$832 )</f>
        <v>0.34072156307623536</v>
      </c>
      <c r="Z909" s="35">
        <f xml:space="preserve"> IF( tblFilterAll[[#This Row],[Operating Margin (Overall)]] &lt; Y$825, 4, IF( tblFilterAll[[#This Row],[Operating Margin (Overall)]] &lt; Y$826, 3, IF( tblFilterAll[[#This Row],[Operating Margin (Overall)]] &lt; Y$827, 2, 1 ) ) )</f>
        <v>1</v>
      </c>
      <c r="AA909" s="35">
        <f xml:space="preserve"> COUNTIFS( tblFilterAll[Include in output], 1, tblFilterAll[Operating Margin (Overall)], "&gt;" &amp; tblFilterAll[[#This Row],[Operating Margin (Overall)]] ) + 1</f>
        <v>6</v>
      </c>
      <c r="AB909" s="30" cm="1">
        <f t="array" ref="AB909" xml:space="preserve"> INDEX( VfM_Metrics_2023_Consol_Source[], $AK909, AB$832 )</f>
        <v>3.7126097218579825E-2</v>
      </c>
      <c r="AC909" s="35">
        <f xml:space="preserve"> IF( tblFilterAll[[#This Row],[ROCE]] &lt; AB$825, 4, IF( tblFilterAll[[#This Row],[ROCE]] &lt; AB$826, 3, IF( tblFilterAll[[#This Row],[ROCE]] &lt; AB$827, 2, 1 ) ) )</f>
        <v>1</v>
      </c>
      <c r="AD909" s="35">
        <f xml:space="preserve"> COUNTIFS( tblFilterAll[Include in output], 1, tblFilterAll[ROCE], "&gt;" &amp; tblFilterAll[[#This Row],[ROCE]] ) + 1</f>
        <v>44</v>
      </c>
      <c r="AE909" s="33" cm="1" vm="6076">
        <f t="array" ref="AE909" xml:space="preserve"> INDEX( VfM_Metrics_2023_Consol_Source[], $AK909, AE$832 )</f>
        <v>6389</v>
      </c>
      <c r="AF909" s="30" cm="1">
        <f t="array" ref="AF909" xml:space="preserve"> INDEX( VfM_Metrics_2023_Consol_Source[], $AK909, AF$832 )</f>
        <v>4.2976773581924477E-2</v>
      </c>
      <c r="AG909" s="30" cm="1">
        <f t="array" ref="AG909" xml:space="preserve"> INDEX( VfM_Metrics_2023_Consol_Source[], $AK909, AG$832 )</f>
        <v>4.7242850371306683E-2</v>
      </c>
      <c r="AH909" s="30" cm="1">
        <f t="array" ref="AH909" xml:space="preserve"> INDEX( VfM_Metrics_2023_Consol_Source[], $AK909, AH$832 )</f>
        <v>9.0219623953231159E-2</v>
      </c>
      <c r="AI909" s="30" t="str" cm="1">
        <f t="array" ref="AI909" xml:space="preserve"> INDEX( VfM_Metrics_2023_Consol_Source[], $AK909, AI$832 )</f>
        <v>Traditional</v>
      </c>
      <c r="AJ909" s="34" t="str" cm="1">
        <f t="array" ref="AJ909" xml:space="preserve"> INDEX( VfM_Metrics_2023_Consol_Source[], $AK909, AJ$832 )</f>
        <v>South East</v>
      </c>
      <c r="AK909" s="81">
        <f xml:space="preserve"> MATCH( tblFilterAll[[#This Row],[Code]], VfM_Metrics_2023_Consol_Source[RP_Code], 0 )</f>
        <v>76</v>
      </c>
      <c r="AL909" s="24">
        <f xml:space="preserve"> INDEX( tblFilterRegion[Include for region],  MATCH( tblFilterAll[[#This Row],[Code]], tblFilterRegion[RP_Code], 0 ) )</f>
        <v>1</v>
      </c>
      <c r="AM909" s="24">
        <f xml:space="preserve"> INDEX( tblFilterPropType[Incl for prop type],  MATCH( tblFilterAll[[#This Row],[Code]], tblFilterPropType[RP_Code], 0 ) )</f>
        <v>1</v>
      </c>
      <c r="AN909" s="24">
        <f xml:space="preserve"> INDEX( tblFilterSize[Incl for size],  MATCH( tblFilterAll[[#This Row],[Code]], tblFilterSize[RP_Code], 0 ) )</f>
        <v>1</v>
      </c>
      <c r="AO909" s="24">
        <f xml:space="preserve"> INDEX( tblFilterRP_Type[Incl, for RP Type],  MATCH( tblFilterAll[[#This Row],[Code]], tblFilterRP_Type[RP_Code], 0 ) )</f>
        <v>1</v>
      </c>
      <c r="AP909" s="24">
        <f xml:space="preserve">  -- ( SUM( tblFilterAll[[#This Row],[Filter Region]:[Filter RP Type]] ) = 4 )</f>
        <v>1</v>
      </c>
      <c r="AQ909" s="24">
        <f xml:space="preserve"> -- ( tblFilterAll[[#This Row],[Provider name]] = SelectedProvider )</f>
        <v>0</v>
      </c>
      <c r="AR909" s="24">
        <f xml:space="preserve">  -- ( OR( SUM( tblFilterAll[[#This Row],[Filter Region]:[Filter RP Type]] ) = 4, tblFilterAll[[#This Row],[SelectedProvider]] = 1 ) )</f>
        <v>1</v>
      </c>
      <c r="AS909" s="24">
        <f xml:space="preserve"> -- ( INDEX( PeersCritera[Included in final peers], MATCH( tblFilterAll[[#This Row],[Provider name]], PeersCritera[RP_Name], 0 ) ) = 1 )</f>
        <v>1</v>
      </c>
      <c r="AT909" s="30" t="str" cm="1">
        <f t="array" ref="AT909" xml:space="preserve"> SUBSTITUTE( INDEX( VfM_Metrics_2023_Consol_Source[], $AK909, AT$832 ), 0, "" )</f>
        <v/>
      </c>
      <c r="AU909" s="34" cm="1">
        <f t="array" ref="AU909" xml:space="preserve"> INDEX( VfM_Metrics_2023_Consol_Source[], $AK909, AU$832 )</f>
        <v>0</v>
      </c>
      <c r="AV909" s="34" cm="1">
        <f t="array" ref="AV909" xml:space="preserve"> INDEX( VfM_Metrics_2023_Consol_Source[], $AK909, AV$832 )</f>
        <v>0.99824314827828531</v>
      </c>
      <c r="AW909" s="34" cm="1">
        <f t="array" ref="AW909" xml:space="preserve"> INDEX( VfM_Metrics_2023_Consol_Source[], $AK909, AW$832 )</f>
        <v>0</v>
      </c>
      <c r="AX909" s="34" cm="1">
        <f t="array" ref="AX909" xml:space="preserve"> INDEX( VfM_Metrics_2023_Consol_Source[], $AK909, AX$832 )</f>
        <v>0</v>
      </c>
      <c r="AY909" s="34" cm="1">
        <f t="array" ref="AY909" xml:space="preserve"> INDEX( VfM_Metrics_2023_Consol_Source[], $AK909, AY$832 )</f>
        <v>0</v>
      </c>
      <c r="AZ909" s="34" cm="1">
        <f t="array" ref="AZ909" xml:space="preserve"> INDEX( VfM_Metrics_2023_Consol_Source[], $AK909, AZ$832 )</f>
        <v>1.7568517217146872E-3</v>
      </c>
      <c r="BA909" s="34" cm="1">
        <f t="array" ref="BA909" xml:space="preserve"> INDEX( VfM_Metrics_2023_Consol_Source[], $AK909, BA$832 )</f>
        <v>0</v>
      </c>
      <c r="BB909" s="34" cm="1">
        <f t="array" ref="BB909" xml:space="preserve"> INDEX( VfM_Metrics_2023_Consol_Source[], $AK909, BB$832 )</f>
        <v>0</v>
      </c>
      <c r="BC909" s="34" cm="1">
        <f t="array" ref="BC909" xml:space="preserve"> INDEX( VfM_Metrics_2023_Consol_Source[], $AK909, BC$832 )</f>
        <v>0</v>
      </c>
    </row>
    <row r="910" spans="2:55" x14ac:dyDescent="0.2">
      <c r="B910" s="122" t="str" vm="77">
        <f t="shared" ref="B910" si="413" xml:space="preserve"> B700</f>
        <v>Hundred Houses Society Limited</v>
      </c>
      <c r="C910" s="122" t="str" vm="225">
        <f t="shared" si="401"/>
        <v>L0718</v>
      </c>
      <c r="D910" s="30" cm="1">
        <f t="array" ref="D910" xml:space="preserve"> INDEX( VfM_Metrics_2023_Consol_Source[], $AK910, D$832 )</f>
        <v>8.9974017049968859E-3</v>
      </c>
      <c r="E910" s="35">
        <f xml:space="preserve"> IF( tblFilterAll[[#This Row],[Reinvestment]] &lt; D$825, 4, IF( tblFilterAll[[#This Row],[Reinvestment]] &lt; D$826, 3, IF( tblFilterAll[[#This Row],[Reinvestment]] &lt; D$827, 2, 1 ) ) )</f>
        <v>4</v>
      </c>
      <c r="F910" s="35">
        <f xml:space="preserve"> COUNTIFS( tblFilterAll[Include in output], 1, tblFilterAll[Reinvestment], "&gt;" &amp; tblFilterAll[[#This Row],[Reinvestment]] ) + 1</f>
        <v>196</v>
      </c>
      <c r="G910" s="30" cm="1">
        <f t="array" ref="G910" xml:space="preserve"> INDEX( VfM_Metrics_2023_Consol_Source[], $AK910, G$832 )</f>
        <v>0</v>
      </c>
      <c r="H910" s="35">
        <f xml:space="preserve"> IF( tblFilterAll[[#This Row],[New Supply (Social)]] &lt; G$825, 4, IF( tblFilterAll[[#This Row],[New Supply (Social)]] &lt; G$826, 3, IF( tblFilterAll[[#This Row],[New Supply (Social)]] &lt; G$827, 2, 1 ) ) )</f>
        <v>4</v>
      </c>
      <c r="I910" s="35">
        <f xml:space="preserve"> COUNTIFS( tblFilterAll[Include in output], 1, tblFilterAll[New Supply (Social)], "&gt;" &amp; tblFilterAll[[#This Row],[New Supply (Social)]] ) + 1</f>
        <v>187</v>
      </c>
      <c r="J910" s="31" cm="1">
        <f t="array" ref="J910" xml:space="preserve"> INDEX( VfM_Metrics_2023_Consol_Source[], $AK910, J$832 )</f>
        <v>0</v>
      </c>
      <c r="K910" s="35">
        <f xml:space="preserve"> IF( tblFilterAll[[#This Row],[New Supply (Non-Social)]] &lt; J$825, 4, IF( tblFilterAll[[#This Row],[New Supply (Non-Social)]] &lt; J$826, 3, IF( tblFilterAll[[#This Row],[New Supply (Non-Social)]] &lt; J$827, 2, 1 ) ) )</f>
        <v>2</v>
      </c>
      <c r="L910" s="35">
        <f xml:space="preserve"> COUNTIFS( tblFilterAll[Include in output], 1, tblFilterAll[New Supply (Non-Social)], "&gt;" &amp; tblFilterAll[[#This Row],[New Supply (Non-Social)]] ) + 1</f>
        <v>72</v>
      </c>
      <c r="M910" s="30" cm="1">
        <f t="array" ref="M910" xml:space="preserve"> INDEX( VfM_Metrics_2023_Consol_Source[], $AK910, M$832 )</f>
        <v>0.24114754450385451</v>
      </c>
      <c r="N910" s="35">
        <f xml:space="preserve"> IF( tblFilterAll[[#This Row],[Gearing]] &lt; M$825, 4, IF( tblFilterAll[[#This Row],[Gearing]] &lt; M$826, 3, IF( tblFilterAll[[#This Row],[Gearing]] &lt; M$827, 2, 1 ) ) )</f>
        <v>4</v>
      </c>
      <c r="O910" s="35">
        <f xml:space="preserve"> COUNTIFS( tblFilterAll[Include in output], 1, tblFilterAll[Gearing], "&gt;" &amp; tblFilterAll[[#This Row],[Gearing]] ) + 1</f>
        <v>170</v>
      </c>
      <c r="P910" s="30" cm="1">
        <f t="array" ref="P910" xml:space="preserve"> INDEX( VfM_Metrics_2023_Consol_Source[], $AK910, P$832 )</f>
        <v>2.1857485988791034</v>
      </c>
      <c r="Q910" s="35">
        <f xml:space="preserve"> IF( tblFilterAll[[#This Row],[EBITDA MRI Interest Cover]] &lt; P$825, 4, IF( tblFilterAll[[#This Row],[EBITDA MRI Interest Cover]] &lt; P$826, 3, IF( tblFilterAll[[#This Row],[EBITDA MRI Interest Cover]] &lt; P$827, 2, 1 ) ) )</f>
        <v>1</v>
      </c>
      <c r="R910" s="35">
        <f xml:space="preserve"> COUNTIFS( tblFilterAll[Include in output], 1, tblFilterAll[EBITDA MRI Interest Cover], "&gt;" &amp; tblFilterAll[[#This Row],[EBITDA MRI Interest Cover]] ) + 1</f>
        <v>23</v>
      </c>
      <c r="S910" s="32" cm="1">
        <f t="array" ref="S910" xml:space="preserve"> INDEX( VfM_Metrics_2023_Consol_Source[], $AK910, S$832 )</f>
        <v>4313.3640552995394</v>
      </c>
      <c r="T910" s="35">
        <f xml:space="preserve"> IF( tblFilterAll[[#This Row],[Headline Social Housing Cost per unit]] &lt; S$825, 4, IF( tblFilterAll[[#This Row],[Headline Social Housing Cost per unit]] &lt; S$826, 3, IF( tblFilterAll[[#This Row],[Headline Social Housing Cost per unit]] &lt; S$827, 2, 1 ) ) )</f>
        <v>3</v>
      </c>
      <c r="U910" s="35">
        <f xml:space="preserve"> COUNTIFS( tblFilterAll[Include in output], 1, tblFilterAll[Headline Social Housing Cost per unit], "&gt;" &amp; tblFilterAll[[#This Row],[Headline Social Housing Cost per unit]] ) + 1</f>
        <v>125</v>
      </c>
      <c r="V910" s="30" cm="1">
        <f t="array" ref="V910" xml:space="preserve"> INDEX( VfM_Metrics_2023_Consol_Source[], $AK910, V$832 )</f>
        <v>0.21018134149005899</v>
      </c>
      <c r="W910" s="35">
        <f xml:space="preserve"> IF( tblFilterAll[[#This Row],[Operating Margin (SHL)]] &lt; V$825, 4, IF( tblFilterAll[[#This Row],[Operating Margin (SHL)]] &lt; V$826, 3, IF( tblFilterAll[[#This Row],[Operating Margin (SHL)]] &lt; V$827, 2, 1 ) ) )</f>
        <v>2</v>
      </c>
      <c r="X910" s="35">
        <f xml:space="preserve"> COUNTIFS( tblFilterAll[Include in output], 1, tblFilterAll[Operating Margin (SHL)], "&gt;" &amp; tblFilterAll[[#This Row],[Operating Margin (SHL)]] ) + 1</f>
        <v>90</v>
      </c>
      <c r="Y910" s="30" cm="1">
        <f t="array" ref="Y910" xml:space="preserve"> INDEX( VfM_Metrics_2023_Consol_Source[], $AK910, Y$832 )</f>
        <v>0.21944653817163778</v>
      </c>
      <c r="Z910" s="35">
        <f xml:space="preserve"> IF( tblFilterAll[[#This Row],[Operating Margin (Overall)]] &lt; Y$825, 4, IF( tblFilterAll[[#This Row],[Operating Margin (Overall)]] &lt; Y$826, 3, IF( tblFilterAll[[#This Row],[Operating Margin (Overall)]] &lt; Y$827, 2, 1 ) ) )</f>
        <v>2</v>
      </c>
      <c r="AA910" s="35">
        <f xml:space="preserve"> COUNTIFS( tblFilterAll[Include in output], 1, tblFilterAll[Operating Margin (Overall)], "&gt;" &amp; tblFilterAll[[#This Row],[Operating Margin (Overall)]] ) + 1</f>
        <v>64</v>
      </c>
      <c r="AB910" s="30" cm="1">
        <f t="array" ref="AB910" xml:space="preserve"> INDEX( VfM_Metrics_2023_Consol_Source[], $AK910, AB$832 )</f>
        <v>2.805700664401278E-2</v>
      </c>
      <c r="AC910" s="35">
        <f xml:space="preserve"> IF( tblFilterAll[[#This Row],[ROCE]] &lt; AB$825, 4, IF( tblFilterAll[[#This Row],[ROCE]] &lt; AB$826, 3, IF( tblFilterAll[[#This Row],[ROCE]] &lt; AB$827, 2, 1 ) ) )</f>
        <v>3</v>
      </c>
      <c r="AD910" s="35">
        <f xml:space="preserve"> COUNTIFS( tblFilterAll[Include in output], 1, tblFilterAll[ROCE], "&gt;" &amp; tblFilterAll[[#This Row],[ROCE]] ) + 1</f>
        <v>103</v>
      </c>
      <c r="AE910" s="33" cm="1" vm="1133">
        <f t="array" ref="AE910" xml:space="preserve"> INDEX( VfM_Metrics_2023_Consol_Source[], $AK910, AE$832 )</f>
        <v>1368</v>
      </c>
      <c r="AF910" s="30" cm="1">
        <f t="array" ref="AF910" xml:space="preserve"> INDEX( VfM_Metrics_2023_Consol_Source[], $AK910, AF$832 )</f>
        <v>0</v>
      </c>
      <c r="AG910" s="30" cm="1">
        <f t="array" ref="AG910" xml:space="preserve"> INDEX( VfM_Metrics_2023_Consol_Source[], $AK910, AG$832 )</f>
        <v>0</v>
      </c>
      <c r="AH910" s="30" cm="1">
        <f t="array" ref="AH910" xml:space="preserve"> INDEX( VfM_Metrics_2023_Consol_Source[], $AK910, AH$832 )</f>
        <v>0</v>
      </c>
      <c r="AI910" s="30" t="str" cm="1">
        <f t="array" ref="AI910" xml:space="preserve"> INDEX( VfM_Metrics_2023_Consol_Source[], $AK910, AI$832 )</f>
        <v>Traditional</v>
      </c>
      <c r="AJ910" s="34" t="str" cm="1">
        <f t="array" ref="AJ910" xml:space="preserve"> INDEX( VfM_Metrics_2023_Consol_Source[], $AK910, AJ$832 )</f>
        <v>East of England</v>
      </c>
      <c r="AK910" s="81">
        <f xml:space="preserve"> MATCH( tblFilterAll[[#This Row],[Code]], VfM_Metrics_2023_Consol_Source[RP_Code], 0 )</f>
        <v>77</v>
      </c>
      <c r="AL910" s="24">
        <f xml:space="preserve"> INDEX( tblFilterRegion[Include for region],  MATCH( tblFilterAll[[#This Row],[Code]], tblFilterRegion[RP_Code], 0 ) )</f>
        <v>1</v>
      </c>
      <c r="AM910" s="24">
        <f xml:space="preserve"> INDEX( tblFilterPropType[Incl for prop type],  MATCH( tblFilterAll[[#This Row],[Code]], tblFilterPropType[RP_Code], 0 ) )</f>
        <v>1</v>
      </c>
      <c r="AN910" s="24">
        <f xml:space="preserve"> INDEX( tblFilterSize[Incl for size],  MATCH( tblFilterAll[[#This Row],[Code]], tblFilterSize[RP_Code], 0 ) )</f>
        <v>1</v>
      </c>
      <c r="AO910" s="24">
        <f xml:space="preserve"> INDEX( tblFilterRP_Type[Incl, for RP Type],  MATCH( tblFilterAll[[#This Row],[Code]], tblFilterRP_Type[RP_Code], 0 ) )</f>
        <v>1</v>
      </c>
      <c r="AP910" s="24">
        <f xml:space="preserve">  -- ( SUM( tblFilterAll[[#This Row],[Filter Region]:[Filter RP Type]] ) = 4 )</f>
        <v>1</v>
      </c>
      <c r="AQ910" s="24">
        <f xml:space="preserve"> -- ( tblFilterAll[[#This Row],[Provider name]] = SelectedProvider )</f>
        <v>0</v>
      </c>
      <c r="AR910" s="24">
        <f xml:space="preserve">  -- ( OR( SUM( tblFilterAll[[#This Row],[Filter Region]:[Filter RP Type]] ) = 4, tblFilterAll[[#This Row],[SelectedProvider]] = 1 ) )</f>
        <v>1</v>
      </c>
      <c r="AS910" s="24">
        <f xml:space="preserve"> -- ( INDEX( PeersCritera[Included in final peers], MATCH( tblFilterAll[[#This Row],[Provider name]], PeersCritera[RP_Name], 0 ) ) = 1 )</f>
        <v>1</v>
      </c>
      <c r="AT910" s="30" t="str" cm="1">
        <f t="array" ref="AT910" xml:space="preserve"> SUBSTITUTE( INDEX( VfM_Metrics_2023_Consol_Source[], $AK910, AT$832 ), 0, "" )</f>
        <v/>
      </c>
      <c r="AU910" s="34" cm="1">
        <f t="array" ref="AU910" xml:space="preserve"> INDEX( VfM_Metrics_2023_Consol_Source[], $AK910, AU$832 )</f>
        <v>0</v>
      </c>
      <c r="AV910" s="34" cm="1">
        <f t="array" ref="AV910" xml:space="preserve"> INDEX( VfM_Metrics_2023_Consol_Source[], $AK910, AV$832 )</f>
        <v>1.827485380116959E-2</v>
      </c>
      <c r="AW910" s="34" cm="1">
        <f t="array" ref="AW910" xml:space="preserve"> INDEX( VfM_Metrics_2023_Consol_Source[], $AK910, AW$832 )</f>
        <v>0</v>
      </c>
      <c r="AX910" s="34" cm="1">
        <f t="array" ref="AX910" xml:space="preserve"> INDEX( VfM_Metrics_2023_Consol_Source[], $AK910, AX$832 )</f>
        <v>0</v>
      </c>
      <c r="AY910" s="34" cm="1">
        <f t="array" ref="AY910" xml:space="preserve"> INDEX( VfM_Metrics_2023_Consol_Source[], $AK910, AY$832 )</f>
        <v>0</v>
      </c>
      <c r="AZ910" s="34" cm="1">
        <f t="array" ref="AZ910" xml:space="preserve"> INDEX( VfM_Metrics_2023_Consol_Source[], $AK910, AZ$832 )</f>
        <v>0.98172514619883045</v>
      </c>
      <c r="BA910" s="34" cm="1">
        <f t="array" ref="BA910" xml:space="preserve"> INDEX( VfM_Metrics_2023_Consol_Source[], $AK910, BA$832 )</f>
        <v>0</v>
      </c>
      <c r="BB910" s="34" cm="1">
        <f t="array" ref="BB910" xml:space="preserve"> INDEX( VfM_Metrics_2023_Consol_Source[], $AK910, BB$832 )</f>
        <v>0</v>
      </c>
      <c r="BC910" s="34" cm="1">
        <f t="array" ref="BC910" xml:space="preserve"> INDEX( VfM_Metrics_2023_Consol_Source[], $AK910, BC$832 )</f>
        <v>0</v>
      </c>
    </row>
    <row r="911" spans="2:55" x14ac:dyDescent="0.2">
      <c r="B911" s="122" t="str" vm="78">
        <f t="shared" ref="B911" si="414" xml:space="preserve"> B701</f>
        <v>Hyde Housing Association Limited</v>
      </c>
      <c r="C911" s="122" t="str" vm="245">
        <f t="shared" si="401"/>
        <v>LH0032</v>
      </c>
      <c r="D911" s="30" cm="1">
        <f t="array" ref="D911" xml:space="preserve"> INDEX( VfM_Metrics_2023_Consol_Source[], $AK911, D$832 )</f>
        <v>4.5009685531306312E-2</v>
      </c>
      <c r="E911" s="35">
        <f xml:space="preserve"> IF( tblFilterAll[[#This Row],[Reinvestment]] &lt; D$825, 4, IF( tblFilterAll[[#This Row],[Reinvestment]] &lt; D$826, 3, IF( tblFilterAll[[#This Row],[Reinvestment]] &lt; D$827, 2, 1 ) ) )</f>
        <v>3</v>
      </c>
      <c r="F911" s="35">
        <f xml:space="preserve"> COUNTIFS( tblFilterAll[Include in output], 1, tblFilterAll[Reinvestment], "&gt;" &amp; tblFilterAll[[#This Row],[Reinvestment]] ) + 1</f>
        <v>147</v>
      </c>
      <c r="G911" s="30" cm="1">
        <f t="array" ref="G911" xml:space="preserve"> INDEX( VfM_Metrics_2023_Consol_Source[], $AK911, G$832 )</f>
        <v>1.2509069801189958E-2</v>
      </c>
      <c r="H911" s="35">
        <f xml:space="preserve"> IF( tblFilterAll[[#This Row],[New Supply (Social)]] &lt; G$825, 4, IF( tblFilterAll[[#This Row],[New Supply (Social)]] &lt; G$826, 3, IF( tblFilterAll[[#This Row],[New Supply (Social)]] &lt; G$827, 2, 1 ) ) )</f>
        <v>3</v>
      </c>
      <c r="I911" s="35">
        <f xml:space="preserve"> COUNTIFS( tblFilterAll[Include in output], 1, tblFilterAll[New Supply (Social)], "&gt;" &amp; tblFilterAll[[#This Row],[New Supply (Social)]] ) + 1</f>
        <v>103</v>
      </c>
      <c r="J911" s="31" cm="1">
        <f t="array" ref="J911" xml:space="preserve"> INDEX( VfM_Metrics_2023_Consol_Source[], $AK911, J$832 )</f>
        <v>4.7535038714103693E-3</v>
      </c>
      <c r="K911" s="35">
        <f xml:space="preserve"> IF( tblFilterAll[[#This Row],[New Supply (Non-Social)]] &lt; J$825, 4, IF( tblFilterAll[[#This Row],[New Supply (Non-Social)]] &lt; J$826, 3, IF( tblFilterAll[[#This Row],[New Supply (Non-Social)]] &lt; J$827, 2, 1 ) ) )</f>
        <v>1</v>
      </c>
      <c r="L911" s="35">
        <f xml:space="preserve"> COUNTIFS( tblFilterAll[Include in output], 1, tblFilterAll[New Supply (Non-Social)], "&gt;" &amp; tblFilterAll[[#This Row],[New Supply (Non-Social)]] ) + 1</f>
        <v>22</v>
      </c>
      <c r="M911" s="30" cm="1">
        <f t="array" ref="M911" xml:space="preserve"> INDEX( VfM_Metrics_2023_Consol_Source[], $AK911, M$832 )</f>
        <v>0.45455757629756166</v>
      </c>
      <c r="N911" s="35">
        <f xml:space="preserve"> IF( tblFilterAll[[#This Row],[Gearing]] &lt; M$825, 4, IF( tblFilterAll[[#This Row],[Gearing]] &lt; M$826, 3, IF( tblFilterAll[[#This Row],[Gearing]] &lt; M$827, 2, 1 ) ) )</f>
        <v>2</v>
      </c>
      <c r="O911" s="35">
        <f xml:space="preserve"> COUNTIFS( tblFilterAll[Include in output], 1, tblFilterAll[Gearing], "&gt;" &amp; tblFilterAll[[#This Row],[Gearing]] ) + 1</f>
        <v>97</v>
      </c>
      <c r="P911" s="30" cm="1">
        <f t="array" ref="P911" xml:space="preserve"> INDEX( VfM_Metrics_2023_Consol_Source[], $AK911, P$832 )</f>
        <v>0.73830924025665989</v>
      </c>
      <c r="Q911" s="35">
        <f xml:space="preserve"> IF( tblFilterAll[[#This Row],[EBITDA MRI Interest Cover]] &lt; P$825, 4, IF( tblFilterAll[[#This Row],[EBITDA MRI Interest Cover]] &lt; P$826, 3, IF( tblFilterAll[[#This Row],[EBITDA MRI Interest Cover]] &lt; P$827, 2, 1 ) ) )</f>
        <v>4</v>
      </c>
      <c r="R911" s="35">
        <f xml:space="preserve"> COUNTIFS( tblFilterAll[Include in output], 1, tblFilterAll[EBITDA MRI Interest Cover], "&gt;" &amp; tblFilterAll[[#This Row],[EBITDA MRI Interest Cover]] ) + 1</f>
        <v>158</v>
      </c>
      <c r="S911" s="32" cm="1">
        <f t="array" ref="S911" xml:space="preserve"> INDEX( VfM_Metrics_2023_Consol_Source[], $AK911, S$832 )</f>
        <v>5782.1143960616855</v>
      </c>
      <c r="T911" s="35">
        <f xml:space="preserve"> IF( tblFilterAll[[#This Row],[Headline Social Housing Cost per unit]] &lt; S$825, 4, IF( tblFilterAll[[#This Row],[Headline Social Housing Cost per unit]] &lt; S$826, 3, IF( tblFilterAll[[#This Row],[Headline Social Housing Cost per unit]] &lt; S$827, 2, 1 ) ) )</f>
        <v>2</v>
      </c>
      <c r="U911" s="35">
        <f xml:space="preserve"> COUNTIFS( tblFilterAll[Include in output], 1, tblFilterAll[Headline Social Housing Cost per unit], "&gt;" &amp; tblFilterAll[[#This Row],[Headline Social Housing Cost per unit]] ) + 1</f>
        <v>52</v>
      </c>
      <c r="V911" s="30" cm="1">
        <f t="array" ref="V911" xml:space="preserve"> INDEX( VfM_Metrics_2023_Consol_Source[], $AK911, V$832 )</f>
        <v>0.24583590258175955</v>
      </c>
      <c r="W911" s="35">
        <f xml:space="preserve"> IF( tblFilterAll[[#This Row],[Operating Margin (SHL)]] &lt; V$825, 4, IF( tblFilterAll[[#This Row],[Operating Margin (SHL)]] &lt; V$826, 3, IF( tblFilterAll[[#This Row],[Operating Margin (SHL)]] &lt; V$827, 2, 1 ) ) )</f>
        <v>2</v>
      </c>
      <c r="X911" s="35">
        <f xml:space="preserve"> COUNTIFS( tblFilterAll[Include in output], 1, tblFilterAll[Operating Margin (SHL)], "&gt;" &amp; tblFilterAll[[#This Row],[Operating Margin (SHL)]] ) + 1</f>
        <v>60</v>
      </c>
      <c r="Y911" s="30" cm="1">
        <f t="array" ref="Y911" xml:space="preserve"> INDEX( VfM_Metrics_2023_Consol_Source[], $AK911, Y$832 )</f>
        <v>0.15239353285173718</v>
      </c>
      <c r="Z911" s="35">
        <f xml:space="preserve"> IF( tblFilterAll[[#This Row],[Operating Margin (Overall)]] &lt; Y$825, 4, IF( tblFilterAll[[#This Row],[Operating Margin (Overall)]] &lt; Y$826, 3, IF( tblFilterAll[[#This Row],[Operating Margin (Overall)]] &lt; Y$827, 2, 1 ) ) )</f>
        <v>3</v>
      </c>
      <c r="AA911" s="35">
        <f xml:space="preserve"> COUNTIFS( tblFilterAll[Include in output], 1, tblFilterAll[Operating Margin (Overall)], "&gt;" &amp; tblFilterAll[[#This Row],[Operating Margin (Overall)]] ) + 1</f>
        <v>130</v>
      </c>
      <c r="AB911" s="30" cm="1">
        <f t="array" ref="AB911" xml:space="preserve"> INDEX( VfM_Metrics_2023_Consol_Source[], $AK911, AB$832 )</f>
        <v>2.7692030856635418E-2</v>
      </c>
      <c r="AC911" s="35">
        <f xml:space="preserve"> IF( tblFilterAll[[#This Row],[ROCE]] &lt; AB$825, 4, IF( tblFilterAll[[#This Row],[ROCE]] &lt; AB$826, 3, IF( tblFilterAll[[#This Row],[ROCE]] &lt; AB$827, 2, 1 ) ) )</f>
        <v>3</v>
      </c>
      <c r="AD911" s="35">
        <f xml:space="preserve"> COUNTIFS( tblFilterAll[Include in output], 1, tblFilterAll[ROCE], "&gt;" &amp; tblFilterAll[[#This Row],[ROCE]] ) + 1</f>
        <v>107</v>
      </c>
      <c r="AE911" s="33" cm="1" vm="1601">
        <f t="array" ref="AE911" xml:space="preserve"> INDEX( VfM_Metrics_2023_Consol_Source[], $AK911, AE$832 )</f>
        <v>34455</v>
      </c>
      <c r="AF911" s="30" cm="1">
        <f t="array" ref="AF911" xml:space="preserve"> INDEX( VfM_Metrics_2023_Consol_Source[], $AK911, AF$832 )</f>
        <v>3.4118744896768922E-2</v>
      </c>
      <c r="AG911" s="30" cm="1">
        <f t="array" ref="AG911" xml:space="preserve"> INDEX( VfM_Metrics_2023_Consol_Source[], $AK911, AG$832 )</f>
        <v>4.2254753295229208E-2</v>
      </c>
      <c r="AH911" s="30" cm="1">
        <f t="array" ref="AH911" xml:space="preserve"> INDEX( VfM_Metrics_2023_Consol_Source[], $AK911, AH$832 )</f>
        <v>7.6373498191998124E-2</v>
      </c>
      <c r="AI911" s="30" t="str" cm="1">
        <f t="array" ref="AI911" xml:space="preserve"> INDEX( VfM_Metrics_2023_Consol_Source[], $AK911, AI$832 )</f>
        <v>Traditional</v>
      </c>
      <c r="AJ911" s="34" t="str" cm="1">
        <f t="array" ref="AJ911" xml:space="preserve"> INDEX( VfM_Metrics_2023_Consol_Source[], $AK911, AJ$832 )</f>
        <v>Mixed</v>
      </c>
      <c r="AK911" s="81">
        <f xml:space="preserve"> MATCH( tblFilterAll[[#This Row],[Code]], VfM_Metrics_2023_Consol_Source[RP_Code], 0 )</f>
        <v>78</v>
      </c>
      <c r="AL911" s="24">
        <f xml:space="preserve"> INDEX( tblFilterRegion[Include for region],  MATCH( tblFilterAll[[#This Row],[Code]], tblFilterRegion[RP_Code], 0 ) )</f>
        <v>1</v>
      </c>
      <c r="AM911" s="24">
        <f xml:space="preserve"> INDEX( tblFilterPropType[Incl for prop type],  MATCH( tblFilterAll[[#This Row],[Code]], tblFilterPropType[RP_Code], 0 ) )</f>
        <v>1</v>
      </c>
      <c r="AN911" s="24">
        <f xml:space="preserve"> INDEX( tblFilterSize[Incl for size],  MATCH( tblFilterAll[[#This Row],[Code]], tblFilterSize[RP_Code], 0 ) )</f>
        <v>1</v>
      </c>
      <c r="AO911" s="24">
        <f xml:space="preserve"> INDEX( tblFilterRP_Type[Incl, for RP Type],  MATCH( tblFilterAll[[#This Row],[Code]], tblFilterRP_Type[RP_Code], 0 ) )</f>
        <v>1</v>
      </c>
      <c r="AP911" s="24">
        <f xml:space="preserve">  -- ( SUM( tblFilterAll[[#This Row],[Filter Region]:[Filter RP Type]] ) = 4 )</f>
        <v>1</v>
      </c>
      <c r="AQ911" s="24">
        <f xml:space="preserve"> -- ( tblFilterAll[[#This Row],[Provider name]] = SelectedProvider )</f>
        <v>0</v>
      </c>
      <c r="AR911" s="24">
        <f xml:space="preserve">  -- ( OR( SUM( tblFilterAll[[#This Row],[Filter Region]:[Filter RP Type]] ) = 4, tblFilterAll[[#This Row],[SelectedProvider]] = 1 ) )</f>
        <v>1</v>
      </c>
      <c r="AS911" s="24">
        <f xml:space="preserve"> -- ( INDEX( PeersCritera[Included in final peers], MATCH( tblFilterAll[[#This Row],[Provider name]], PeersCritera[RP_Name], 0 ) ) = 1 )</f>
        <v>1</v>
      </c>
      <c r="AT911" s="30" t="str" cm="1">
        <f t="array" ref="AT911" xml:space="preserve"> SUBSTITUTE( INDEX( VfM_Metrics_2023_Consol_Source[], $AK911, AT$832 ), 0, "" )</f>
        <v/>
      </c>
      <c r="AU911" s="34" cm="1">
        <f t="array" ref="AU911" xml:space="preserve"> INDEX( VfM_Metrics_2023_Consol_Source[], $AK911, AU$832 )</f>
        <v>0.4638433064210557</v>
      </c>
      <c r="AV911" s="34" cm="1">
        <f t="array" ref="AV911" xml:space="preserve"> INDEX( VfM_Metrics_2023_Consol_Source[], $AK911, AV$832 )</f>
        <v>0.49672097700311874</v>
      </c>
      <c r="AW911" s="34" cm="1">
        <f t="array" ref="AW911" xml:space="preserve"> INDEX( VfM_Metrics_2023_Consol_Source[], $AK911, AW$832 )</f>
        <v>0</v>
      </c>
      <c r="AX911" s="34" cm="1">
        <f t="array" ref="AX911" xml:space="preserve"> INDEX( VfM_Metrics_2023_Consol_Source[], $AK911, AX$832 )</f>
        <v>5.7710804745110611E-3</v>
      </c>
      <c r="AY911" s="34" cm="1">
        <f t="array" ref="AY911" xml:space="preserve"> INDEX( VfM_Metrics_2023_Consol_Source[], $AK911, AY$832 )</f>
        <v>0</v>
      </c>
      <c r="AZ911" s="34" cm="1">
        <f t="array" ref="AZ911" xml:space="preserve"> INDEX( VfM_Metrics_2023_Consol_Source[], $AK911, AZ$832 )</f>
        <v>3.3664636101314524E-2</v>
      </c>
      <c r="BA911" s="34" cm="1">
        <f t="array" ref="BA911" xml:space="preserve"> INDEX( VfM_Metrics_2023_Consol_Source[], $AK911, BA$832 )</f>
        <v>0</v>
      </c>
      <c r="BB911" s="34" cm="1">
        <f t="array" ref="BB911" xml:space="preserve"> INDEX( VfM_Metrics_2023_Consol_Source[], $AK911, BB$832 )</f>
        <v>0</v>
      </c>
      <c r="BC911" s="34" cm="1">
        <f t="array" ref="BC911" xml:space="preserve"> INDEX( VfM_Metrics_2023_Consol_Source[], $AK911, BC$832 )</f>
        <v>0</v>
      </c>
    </row>
    <row r="912" spans="2:55" x14ac:dyDescent="0.2">
      <c r="B912" s="122" t="str" vm="79">
        <f t="shared" ref="B912" si="415" xml:space="preserve"> B702</f>
        <v>Inclusion Housing Community Interest Company</v>
      </c>
      <c r="C912" s="122" t="str" vm="304">
        <f t="shared" si="401"/>
        <v>4662</v>
      </c>
      <c r="D912" s="30" cm="1">
        <f t="array" ref="D912" xml:space="preserve"> INDEX( VfM_Metrics_2023_Consol_Source[], $AK912, D$832 )</f>
        <v>5.8761061946902657E-2</v>
      </c>
      <c r="E912" s="35">
        <f xml:space="preserve"> IF( tblFilterAll[[#This Row],[Reinvestment]] &lt; D$825, 4, IF( tblFilterAll[[#This Row],[Reinvestment]] &lt; D$826, 3, IF( tblFilterAll[[#This Row],[Reinvestment]] &lt; D$827, 2, 1 ) ) )</f>
        <v>3</v>
      </c>
      <c r="F912" s="35">
        <f xml:space="preserve"> COUNTIFS( tblFilterAll[Include in output], 1, tblFilterAll[Reinvestment], "&gt;" &amp; tblFilterAll[[#This Row],[Reinvestment]] ) + 1</f>
        <v>123</v>
      </c>
      <c r="G912" s="30" cm="1">
        <f t="array" ref="G912" xml:space="preserve"> INDEX( VfM_Metrics_2023_Consol_Source[], $AK912, G$832 )</f>
        <v>0.11229377328366152</v>
      </c>
      <c r="H912" s="35">
        <f xml:space="preserve"> IF( tblFilterAll[[#This Row],[New Supply (Social)]] &lt; G$825, 4, IF( tblFilterAll[[#This Row],[New Supply (Social)]] &lt; G$826, 3, IF( tblFilterAll[[#This Row],[New Supply (Social)]] &lt; G$827, 2, 1 ) ) )</f>
        <v>1</v>
      </c>
      <c r="I912" s="35">
        <f xml:space="preserve"> COUNTIFS( tblFilterAll[Include in output], 1, tblFilterAll[New Supply (Social)], "&gt;" &amp; tblFilterAll[[#This Row],[New Supply (Social)]] ) + 1</f>
        <v>1</v>
      </c>
      <c r="J912" s="31" cm="1">
        <f t="array" ref="J912" xml:space="preserve"> INDEX( VfM_Metrics_2023_Consol_Source[], $AK912, J$832 )</f>
        <v>0</v>
      </c>
      <c r="K912" s="35">
        <f xml:space="preserve"> IF( tblFilterAll[[#This Row],[New Supply (Non-Social)]] &lt; J$825, 4, IF( tblFilterAll[[#This Row],[New Supply (Non-Social)]] &lt; J$826, 3, IF( tblFilterAll[[#This Row],[New Supply (Non-Social)]] &lt; J$827, 2, 1 ) ) )</f>
        <v>2</v>
      </c>
      <c r="L912" s="35">
        <f xml:space="preserve"> COUNTIFS( tblFilterAll[Include in output], 1, tblFilterAll[New Supply (Non-Social)], "&gt;" &amp; tblFilterAll[[#This Row],[New Supply (Non-Social)]] ) + 1</f>
        <v>72</v>
      </c>
      <c r="M912" s="30" cm="1">
        <f t="array" ref="M912" xml:space="preserve"> INDEX( VfM_Metrics_2023_Consol_Source[], $AK912, M$832 )</f>
        <v>-7.2028318584070794</v>
      </c>
      <c r="N912" s="35">
        <f xml:space="preserve"> IF( tblFilterAll[[#This Row],[Gearing]] &lt; M$825, 4, IF( tblFilterAll[[#This Row],[Gearing]] &lt; M$826, 3, IF( tblFilterAll[[#This Row],[Gearing]] &lt; M$827, 2, 1 ) ) )</f>
        <v>4</v>
      </c>
      <c r="O912" s="35">
        <f xml:space="preserve"> COUNTIFS( tblFilterAll[Include in output], 1, tblFilterAll[Gearing], "&gt;" &amp; tblFilterAll[[#This Row],[Gearing]] ) + 1</f>
        <v>197</v>
      </c>
      <c r="P912" s="30" t="str" cm="1">
        <f t="array" ref="P912" xml:space="preserve"> INDEX( VfM_Metrics_2023_Consol_Source[], $AK912, P$832 )</f>
        <v>n/a</v>
      </c>
      <c r="Q912" s="35">
        <f xml:space="preserve"> IF( tblFilterAll[[#This Row],[EBITDA MRI Interest Cover]] &lt; P$825, 4, IF( tblFilterAll[[#This Row],[EBITDA MRI Interest Cover]] &lt; P$826, 3, IF( tblFilterAll[[#This Row],[EBITDA MRI Interest Cover]] &lt; P$827, 2, 1 ) ) )</f>
        <v>1</v>
      </c>
      <c r="R912" s="35">
        <f xml:space="preserve"> COUNTIFS( tblFilterAll[Include in output], 1, tblFilterAll[EBITDA MRI Interest Cover], "&gt;" &amp; tblFilterAll[[#This Row],[EBITDA MRI Interest Cover]] ) + 1</f>
        <v>1</v>
      </c>
      <c r="S912" s="32" cm="1">
        <f t="array" ref="S912" xml:space="preserve"> INDEX( VfM_Metrics_2023_Consol_Source[], $AK912, S$832 )</f>
        <v>16439.595529536986</v>
      </c>
      <c r="T912" s="35">
        <f xml:space="preserve"> IF( tblFilterAll[[#This Row],[Headline Social Housing Cost per unit]] &lt; S$825, 4, IF( tblFilterAll[[#This Row],[Headline Social Housing Cost per unit]] &lt; S$826, 3, IF( tblFilterAll[[#This Row],[Headline Social Housing Cost per unit]] &lt; S$827, 2, 1 ) ) )</f>
        <v>1</v>
      </c>
      <c r="U912" s="35">
        <f xml:space="preserve"> COUNTIFS( tblFilterAll[Include in output], 1, tblFilterAll[Headline Social Housing Cost per unit], "&gt;" &amp; tblFilterAll[[#This Row],[Headline Social Housing Cost per unit]] ) + 1</f>
        <v>6</v>
      </c>
      <c r="V912" s="30" cm="1">
        <f t="array" ref="V912" xml:space="preserve"> INDEX( VfM_Metrics_2023_Consol_Source[], $AK912, V$832 )</f>
        <v>5.5904173352185171E-2</v>
      </c>
      <c r="W912" s="35">
        <f xml:space="preserve"> IF( tblFilterAll[[#This Row],[Operating Margin (SHL)]] &lt; V$825, 4, IF( tblFilterAll[[#This Row],[Operating Margin (SHL)]] &lt; V$826, 3, IF( tblFilterAll[[#This Row],[Operating Margin (SHL)]] &lt; V$827, 2, 1 ) ) )</f>
        <v>4</v>
      </c>
      <c r="X912" s="35">
        <f xml:space="preserve"> COUNTIFS( tblFilterAll[Include in output], 1, tblFilterAll[Operating Margin (SHL)], "&gt;" &amp; tblFilterAll[[#This Row],[Operating Margin (SHL)]] ) + 1</f>
        <v>184</v>
      </c>
      <c r="Y912" s="30" cm="1">
        <f t="array" ref="Y912" xml:space="preserve"> INDEX( VfM_Metrics_2023_Consol_Source[], $AK912, Y$832 )</f>
        <v>4.9980196813210247E-2</v>
      </c>
      <c r="Z912" s="35">
        <f xml:space="preserve"> IF( tblFilterAll[[#This Row],[Operating Margin (Overall)]] &lt; Y$825, 4, IF( tblFilterAll[[#This Row],[Operating Margin (Overall)]] &lt; Y$826, 3, IF( tblFilterAll[[#This Row],[Operating Margin (Overall)]] &lt; Y$827, 2, 1 ) ) )</f>
        <v>4</v>
      </c>
      <c r="AA912" s="35">
        <f xml:space="preserve"> COUNTIFS( tblFilterAll[Include in output], 1, tblFilterAll[Operating Margin (Overall)], "&gt;" &amp; tblFilterAll[[#This Row],[Operating Margin (Overall)]] ) + 1</f>
        <v>183</v>
      </c>
      <c r="AB912" s="30" cm="1">
        <f t="array" ref="AB912" xml:space="preserve"> INDEX( VfM_Metrics_2023_Consol_Source[], $AK912, AB$832 )</f>
        <v>0.14566037735849058</v>
      </c>
      <c r="AC912" s="35">
        <f xml:space="preserve"> IF( tblFilterAll[[#This Row],[ROCE]] &lt; AB$825, 4, IF( tblFilterAll[[#This Row],[ROCE]] &lt; AB$826, 3, IF( tblFilterAll[[#This Row],[ROCE]] &lt; AB$827, 2, 1 ) ) )</f>
        <v>1</v>
      </c>
      <c r="AD912" s="35">
        <f xml:space="preserve"> COUNTIFS( tblFilterAll[Include in output], 1, tblFilterAll[ROCE], "&gt;" &amp; tblFilterAll[[#This Row],[ROCE]] ) + 1</f>
        <v>2</v>
      </c>
      <c r="AE912" s="33" cm="1" vm="3482">
        <f t="array" ref="AE912" xml:space="preserve"> INDEX( VfM_Metrics_2023_Consol_Source[], $AK912, AE$832 )</f>
        <v>3758</v>
      </c>
      <c r="AF912" s="30" cm="1">
        <f t="array" ref="AF912" xml:space="preserve"> INDEX( VfM_Metrics_2023_Consol_Source[], $AK912, AF$832 )</f>
        <v>0.96487493347525277</v>
      </c>
      <c r="AG912" s="30" cm="1">
        <f t="array" ref="AG912" xml:space="preserve"> INDEX( VfM_Metrics_2023_Consol_Source[], $AK912, AG$832 )</f>
        <v>3.3262373602980309E-2</v>
      </c>
      <c r="AH912" s="30" cm="1">
        <f t="array" ref="AH912" xml:space="preserve"> INDEX( VfM_Metrics_2023_Consol_Source[], $AK912, AH$832 )</f>
        <v>0.99813730707823312</v>
      </c>
      <c r="AI912" s="30" t="str" cm="1">
        <f t="array" ref="AI912" xml:space="preserve"> INDEX( VfM_Metrics_2023_Consol_Source[], $AK912, AI$832 )</f>
        <v>Traditional</v>
      </c>
      <c r="AJ912" s="34" t="str" cm="1">
        <f t="array" ref="AJ912" xml:space="preserve"> INDEX( VfM_Metrics_2023_Consol_Source[], $AK912, AJ$832 )</f>
        <v>Mixed</v>
      </c>
      <c r="AK912" s="81">
        <f xml:space="preserve"> MATCH( tblFilterAll[[#This Row],[Code]], VfM_Metrics_2023_Consol_Source[RP_Code], 0 )</f>
        <v>79</v>
      </c>
      <c r="AL912" s="24">
        <f xml:space="preserve"> INDEX( tblFilterRegion[Include for region],  MATCH( tblFilterAll[[#This Row],[Code]], tblFilterRegion[RP_Code], 0 ) )</f>
        <v>1</v>
      </c>
      <c r="AM912" s="24">
        <f xml:space="preserve"> INDEX( tblFilterPropType[Incl for prop type],  MATCH( tblFilterAll[[#This Row],[Code]], tblFilterPropType[RP_Code], 0 ) )</f>
        <v>1</v>
      </c>
      <c r="AN912" s="24">
        <f xml:space="preserve"> INDEX( tblFilterSize[Incl for size],  MATCH( tblFilterAll[[#This Row],[Code]], tblFilterSize[RP_Code], 0 ) )</f>
        <v>1</v>
      </c>
      <c r="AO912" s="24">
        <f xml:space="preserve"> INDEX( tblFilterRP_Type[Incl, for RP Type],  MATCH( tblFilterAll[[#This Row],[Code]], tblFilterRP_Type[RP_Code], 0 ) )</f>
        <v>1</v>
      </c>
      <c r="AP912" s="24">
        <f xml:space="preserve">  -- ( SUM( tblFilterAll[[#This Row],[Filter Region]:[Filter RP Type]] ) = 4 )</f>
        <v>1</v>
      </c>
      <c r="AQ912" s="24">
        <f xml:space="preserve"> -- ( tblFilterAll[[#This Row],[Provider name]] = SelectedProvider )</f>
        <v>0</v>
      </c>
      <c r="AR912" s="24">
        <f xml:space="preserve">  -- ( OR( SUM( tblFilterAll[[#This Row],[Filter Region]:[Filter RP Type]] ) = 4, tblFilterAll[[#This Row],[SelectedProvider]] = 1 ) )</f>
        <v>1</v>
      </c>
      <c r="AS912" s="24">
        <f xml:space="preserve"> -- ( INDEX( PeersCritera[Included in final peers], MATCH( tblFilterAll[[#This Row],[Provider name]], PeersCritera[RP_Name], 0 ) ) = 1 )</f>
        <v>1</v>
      </c>
      <c r="AT912" s="30" t="str" cm="1">
        <f t="array" ref="AT912" xml:space="preserve"> SUBSTITUTE( INDEX( VfM_Metrics_2023_Consol_Source[], $AK912, AT$832 ), 0, "" )</f>
        <v/>
      </c>
      <c r="AU912" s="34" cm="1">
        <f t="array" ref="AU912" xml:space="preserve"> INDEX( VfM_Metrics_2023_Consol_Source[], $AK912, AU$832 )</f>
        <v>2.415591545429591E-2</v>
      </c>
      <c r="AV912" s="34" cm="1">
        <f t="array" ref="AV912" xml:space="preserve"> INDEX( VfM_Metrics_2023_Consol_Source[], $AK912, AV$832 )</f>
        <v>5.9566291517979687E-2</v>
      </c>
      <c r="AW912" s="34" cm="1">
        <f t="array" ref="AW912" xml:space="preserve"> INDEX( VfM_Metrics_2023_Consol_Source[], $AK912, AW$832 )</f>
        <v>5.3252813615152349E-2</v>
      </c>
      <c r="AX912" s="34" cm="1">
        <f t="array" ref="AX912" xml:space="preserve"> INDEX( VfM_Metrics_2023_Consol_Source[], $AK912, AX$832 )</f>
        <v>0.14054350809772165</v>
      </c>
      <c r="AY912" s="34" cm="1">
        <f t="array" ref="AY912" xml:space="preserve"> INDEX( VfM_Metrics_2023_Consol_Source[], $AK912, AY$832 )</f>
        <v>0.2034037880867417</v>
      </c>
      <c r="AZ912" s="34" cm="1">
        <f t="array" ref="AZ912" xml:space="preserve"> INDEX( VfM_Metrics_2023_Consol_Source[], $AK912, AZ$832 )</f>
        <v>6.0664287674993135E-2</v>
      </c>
      <c r="BA912" s="34" cm="1">
        <f t="array" ref="BA912" xml:space="preserve"> INDEX( VfM_Metrics_2023_Consol_Source[], $AK912, BA$832 )</f>
        <v>7.987922042272852E-2</v>
      </c>
      <c r="BB912" s="34" cm="1">
        <f t="array" ref="BB912" xml:space="preserve"> INDEX( VfM_Metrics_2023_Consol_Source[], $AK912, BB$832 )</f>
        <v>0.24348064781773263</v>
      </c>
      <c r="BC912" s="34" cm="1">
        <f t="array" ref="BC912" xml:space="preserve"> INDEX( VfM_Metrics_2023_Consol_Source[], $AK912, BC$832 )</f>
        <v>0.13505352731265441</v>
      </c>
    </row>
    <row r="913" spans="2:55" x14ac:dyDescent="0.2">
      <c r="B913" s="122" t="str" vm="80">
        <f t="shared" ref="B913" si="416" xml:space="preserve"> B703</f>
        <v>Incommunities Limited</v>
      </c>
      <c r="C913" s="122" t="str" vm="339">
        <f t="shared" si="401"/>
        <v>L4476</v>
      </c>
      <c r="D913" s="30" cm="1">
        <f t="array" ref="D913" xml:space="preserve"> INDEX( VfM_Metrics_2023_Consol_Source[], $AK913, D$832 )</f>
        <v>0.11045786123070164</v>
      </c>
      <c r="E913" s="35">
        <f xml:space="preserve"> IF( tblFilterAll[[#This Row],[Reinvestment]] &lt; D$825, 4, IF( tblFilterAll[[#This Row],[Reinvestment]] &lt; D$826, 3, IF( tblFilterAll[[#This Row],[Reinvestment]] &lt; D$827, 2, 1 ) ) )</f>
        <v>1</v>
      </c>
      <c r="F913" s="35">
        <f xml:space="preserve"> COUNTIFS( tblFilterAll[Include in output], 1, tblFilterAll[Reinvestment], "&gt;" &amp; tblFilterAll[[#This Row],[Reinvestment]] ) + 1</f>
        <v>26</v>
      </c>
      <c r="G913" s="30" cm="1">
        <f t="array" ref="G913" xml:space="preserve"> INDEX( VfM_Metrics_2023_Consol_Source[], $AK913, G$832 )</f>
        <v>4.3010752688172043E-3</v>
      </c>
      <c r="H913" s="35">
        <f xml:space="preserve"> IF( tblFilterAll[[#This Row],[New Supply (Social)]] &lt; G$825, 4, IF( tblFilterAll[[#This Row],[New Supply (Social)]] &lt; G$826, 3, IF( tblFilterAll[[#This Row],[New Supply (Social)]] &lt; G$827, 2, 1 ) ) )</f>
        <v>4</v>
      </c>
      <c r="I913" s="35">
        <f xml:space="preserve"> COUNTIFS( tblFilterAll[Include in output], 1, tblFilterAll[New Supply (Social)], "&gt;" &amp; tblFilterAll[[#This Row],[New Supply (Social)]] ) + 1</f>
        <v>163</v>
      </c>
      <c r="J913" s="31" cm="1">
        <f t="array" ref="J913" xml:space="preserve"> INDEX( VfM_Metrics_2023_Consol_Source[], $AK913, J$832 )</f>
        <v>0</v>
      </c>
      <c r="K913" s="35">
        <f xml:space="preserve"> IF( tblFilterAll[[#This Row],[New Supply (Non-Social)]] &lt; J$825, 4, IF( tblFilterAll[[#This Row],[New Supply (Non-Social)]] &lt; J$826, 3, IF( tblFilterAll[[#This Row],[New Supply (Non-Social)]] &lt; J$827, 2, 1 ) ) )</f>
        <v>2</v>
      </c>
      <c r="L913" s="35">
        <f xml:space="preserve"> COUNTIFS( tblFilterAll[Include in output], 1, tblFilterAll[New Supply (Non-Social)], "&gt;" &amp; tblFilterAll[[#This Row],[New Supply (Non-Social)]] ) + 1</f>
        <v>72</v>
      </c>
      <c r="M913" s="30" cm="1">
        <f t="array" ref="M913" xml:space="preserve"> INDEX( VfM_Metrics_2023_Consol_Source[], $AK913, M$832 )</f>
        <v>0.61820211843198891</v>
      </c>
      <c r="N913" s="35">
        <f xml:space="preserve"> IF( tblFilterAll[[#This Row],[Gearing]] &lt; M$825, 4, IF( tblFilterAll[[#This Row],[Gearing]] &lt; M$826, 3, IF( tblFilterAll[[#This Row],[Gearing]] &lt; M$827, 2, 1 ) ) )</f>
        <v>1</v>
      </c>
      <c r="O913" s="35">
        <f xml:space="preserve"> COUNTIFS( tblFilterAll[Include in output], 1, tblFilterAll[Gearing], "&gt;" &amp; tblFilterAll[[#This Row],[Gearing]] ) + 1</f>
        <v>19</v>
      </c>
      <c r="P913" s="30" cm="1">
        <f t="array" ref="P913" xml:space="preserve"> INDEX( VfM_Metrics_2023_Consol_Source[], $AK913, P$832 )</f>
        <v>0.12554112554112554</v>
      </c>
      <c r="Q913" s="35">
        <f xml:space="preserve"> IF( tblFilterAll[[#This Row],[EBITDA MRI Interest Cover]] &lt; P$825, 4, IF( tblFilterAll[[#This Row],[EBITDA MRI Interest Cover]] &lt; P$826, 3, IF( tblFilterAll[[#This Row],[EBITDA MRI Interest Cover]] &lt; P$827, 2, 1 ) ) )</f>
        <v>4</v>
      </c>
      <c r="R913" s="35">
        <f xml:space="preserve"> COUNTIFS( tblFilterAll[Include in output], 1, tblFilterAll[EBITDA MRI Interest Cover], "&gt;" &amp; tblFilterAll[[#This Row],[EBITDA MRI Interest Cover]] ) + 1</f>
        <v>182</v>
      </c>
      <c r="S913" s="32" cm="1">
        <f t="array" ref="S913" xml:space="preserve"> INDEX( VfM_Metrics_2023_Consol_Source[], $AK913, S$832 )</f>
        <v>4534.7519048504</v>
      </c>
      <c r="T913" s="35">
        <f xml:space="preserve"> IF( tblFilterAll[[#This Row],[Headline Social Housing Cost per unit]] &lt; S$825, 4, IF( tblFilterAll[[#This Row],[Headline Social Housing Cost per unit]] &lt; S$826, 3, IF( tblFilterAll[[#This Row],[Headline Social Housing Cost per unit]] &lt; S$827, 2, 1 ) ) )</f>
        <v>3</v>
      </c>
      <c r="U913" s="35">
        <f xml:space="preserve"> COUNTIFS( tblFilterAll[Include in output], 1, tblFilterAll[Headline Social Housing Cost per unit], "&gt;" &amp; tblFilterAll[[#This Row],[Headline Social Housing Cost per unit]] ) + 1</f>
        <v>104</v>
      </c>
      <c r="V913" s="30" cm="1">
        <f t="array" ref="V913" xml:space="preserve"> INDEX( VfM_Metrics_2023_Consol_Source[], $AK913, V$832 )</f>
        <v>3.9072294191391556E-2</v>
      </c>
      <c r="W913" s="35">
        <f xml:space="preserve"> IF( tblFilterAll[[#This Row],[Operating Margin (SHL)]] &lt; V$825, 4, IF( tblFilterAll[[#This Row],[Operating Margin (SHL)]] &lt; V$826, 3, IF( tblFilterAll[[#This Row],[Operating Margin (SHL)]] &lt; V$827, 2, 1 ) ) )</f>
        <v>4</v>
      </c>
      <c r="X913" s="35">
        <f xml:space="preserve"> COUNTIFS( tblFilterAll[Include in output], 1, tblFilterAll[Operating Margin (SHL)], "&gt;" &amp; tblFilterAll[[#This Row],[Operating Margin (SHL)]] ) + 1</f>
        <v>189</v>
      </c>
      <c r="Y913" s="30" cm="1">
        <f t="array" ref="Y913" xml:space="preserve"> INDEX( VfM_Metrics_2023_Consol_Source[], $AK913, Y$832 )</f>
        <v>5.3204526741091093E-2</v>
      </c>
      <c r="Z913" s="35">
        <f xml:space="preserve"> IF( tblFilterAll[[#This Row],[Operating Margin (Overall)]] &lt; Y$825, 4, IF( tblFilterAll[[#This Row],[Operating Margin (Overall)]] &lt; Y$826, 3, IF( tblFilterAll[[#This Row],[Operating Margin (Overall)]] &lt; Y$827, 2, 1 ) ) )</f>
        <v>4</v>
      </c>
      <c r="AA913" s="35">
        <f xml:space="preserve"> COUNTIFS( tblFilterAll[Include in output], 1, tblFilterAll[Operating Margin (Overall)], "&gt;" &amp; tblFilterAll[[#This Row],[Operating Margin (Overall)]] ) + 1</f>
        <v>181</v>
      </c>
      <c r="AB913" s="30" cm="1">
        <f t="array" ref="AB913" xml:space="preserve"> INDEX( VfM_Metrics_2023_Consol_Source[], $AK913, AB$832 )</f>
        <v>2.6568390279878888E-2</v>
      </c>
      <c r="AC913" s="35">
        <f xml:space="preserve"> IF( tblFilterAll[[#This Row],[ROCE]] &lt; AB$825, 4, IF( tblFilterAll[[#This Row],[ROCE]] &lt; AB$826, 3, IF( tblFilterAll[[#This Row],[ROCE]] &lt; AB$827, 2, 1 ) ) )</f>
        <v>3</v>
      </c>
      <c r="AD913" s="35">
        <f xml:space="preserve"> COUNTIFS( tblFilterAll[Include in output], 1, tblFilterAll[ROCE], "&gt;" &amp; tblFilterAll[[#This Row],[ROCE]] ) + 1</f>
        <v>114</v>
      </c>
      <c r="AE913" s="33" cm="1" vm="4697">
        <f t="array" ref="AE913" xml:space="preserve"> INDEX( VfM_Metrics_2023_Consol_Source[], $AK913, AE$832 )</f>
        <v>21192</v>
      </c>
      <c r="AF913" s="30" cm="1">
        <f t="array" ref="AF913" xml:space="preserve"> INDEX( VfM_Metrics_2023_Consol_Source[], $AK913, AF$832 )</f>
        <v>3.0689329556185078E-3</v>
      </c>
      <c r="AG913" s="30" cm="1">
        <f t="array" ref="AG913" xml:space="preserve"> INDEX( VfM_Metrics_2023_Consol_Source[], $AK913, AG$832 )</f>
        <v>3.375826251180359E-2</v>
      </c>
      <c r="AH913" s="30" cm="1">
        <f t="array" ref="AH913" xml:space="preserve"> INDEX( VfM_Metrics_2023_Consol_Source[], $AK913, AH$832 )</f>
        <v>3.6827195467422094E-2</v>
      </c>
      <c r="AI913" s="30" t="str" cm="1">
        <f t="array" ref="AI913" xml:space="preserve"> INDEX( VfM_Metrics_2023_Consol_Source[], $AK913, AI$832 )</f>
        <v>Traditional</v>
      </c>
      <c r="AJ913" s="34" t="str" cm="1">
        <f t="array" ref="AJ913" xml:space="preserve"> INDEX( VfM_Metrics_2023_Consol_Source[], $AK913, AJ$832 )</f>
        <v>Yorkshire &amp; the Humber</v>
      </c>
      <c r="AK913" s="81">
        <f xml:space="preserve"> MATCH( tblFilterAll[[#This Row],[Code]], VfM_Metrics_2023_Consol_Source[RP_Code], 0 )</f>
        <v>80</v>
      </c>
      <c r="AL913" s="24">
        <f xml:space="preserve"> INDEX( tblFilterRegion[Include for region],  MATCH( tblFilterAll[[#This Row],[Code]], tblFilterRegion[RP_Code], 0 ) )</f>
        <v>1</v>
      </c>
      <c r="AM913" s="24">
        <f xml:space="preserve"> INDEX( tblFilterPropType[Incl for prop type],  MATCH( tblFilterAll[[#This Row],[Code]], tblFilterPropType[RP_Code], 0 ) )</f>
        <v>1</v>
      </c>
      <c r="AN913" s="24">
        <f xml:space="preserve"> INDEX( tblFilterSize[Incl for size],  MATCH( tblFilterAll[[#This Row],[Code]], tblFilterSize[RP_Code], 0 ) )</f>
        <v>1</v>
      </c>
      <c r="AO913" s="24">
        <f xml:space="preserve"> INDEX( tblFilterRP_Type[Incl, for RP Type],  MATCH( tblFilterAll[[#This Row],[Code]], tblFilterRP_Type[RP_Code], 0 ) )</f>
        <v>1</v>
      </c>
      <c r="AP913" s="24">
        <f xml:space="preserve">  -- ( SUM( tblFilterAll[[#This Row],[Filter Region]:[Filter RP Type]] ) = 4 )</f>
        <v>1</v>
      </c>
      <c r="AQ913" s="24">
        <f xml:space="preserve"> -- ( tblFilterAll[[#This Row],[Provider name]] = SelectedProvider )</f>
        <v>0</v>
      </c>
      <c r="AR913" s="24">
        <f xml:space="preserve">  -- ( OR( SUM( tblFilterAll[[#This Row],[Filter Region]:[Filter RP Type]] ) = 4, tblFilterAll[[#This Row],[SelectedProvider]] = 1 ) )</f>
        <v>1</v>
      </c>
      <c r="AS913" s="24">
        <f xml:space="preserve"> -- ( INDEX( PeersCritera[Included in final peers], MATCH( tblFilterAll[[#This Row],[Provider name]], PeersCritera[RP_Name], 0 ) ) = 1 )</f>
        <v>1</v>
      </c>
      <c r="AT913" s="30" t="str" cm="1">
        <f t="array" ref="AT913" xml:space="preserve"> SUBSTITUTE( INDEX( VfM_Metrics_2023_Consol_Source[], $AK913, AT$832 ), 0, "" )</f>
        <v>&gt;= 12 years</v>
      </c>
      <c r="AU913" s="34" cm="1">
        <f t="array" ref="AU913" xml:space="preserve"> INDEX( VfM_Metrics_2023_Consol_Source[], $AK913, AU$832 )</f>
        <v>0</v>
      </c>
      <c r="AV913" s="34" cm="1">
        <f t="array" ref="AV913" xml:space="preserve"> INDEX( VfM_Metrics_2023_Consol_Source[], $AK913, AV$832 )</f>
        <v>0</v>
      </c>
      <c r="AW913" s="34" cm="1">
        <f t="array" ref="AW913" xml:space="preserve"> INDEX( VfM_Metrics_2023_Consol_Source[], $AK913, AW$832 )</f>
        <v>0</v>
      </c>
      <c r="AX913" s="34" cm="1">
        <f t="array" ref="AX913" xml:space="preserve"> INDEX( VfM_Metrics_2023_Consol_Source[], $AK913, AX$832 )</f>
        <v>0</v>
      </c>
      <c r="AY913" s="34" cm="1">
        <f t="array" ref="AY913" xml:space="preserve"> INDEX( VfM_Metrics_2023_Consol_Source[], $AK913, AY$832 )</f>
        <v>0</v>
      </c>
      <c r="AZ913" s="34" cm="1">
        <f t="array" ref="AZ913" xml:space="preserve"> INDEX( VfM_Metrics_2023_Consol_Source[], $AK913, AZ$832 )</f>
        <v>0</v>
      </c>
      <c r="BA913" s="34" cm="1">
        <f t="array" ref="BA913" xml:space="preserve"> INDEX( VfM_Metrics_2023_Consol_Source[], $AK913, BA$832 )</f>
        <v>0</v>
      </c>
      <c r="BB913" s="34" cm="1">
        <f t="array" ref="BB913" xml:space="preserve"> INDEX( VfM_Metrics_2023_Consol_Source[], $AK913, BB$832 )</f>
        <v>1.8875047187617969E-4</v>
      </c>
      <c r="BC913" s="34" cm="1">
        <f t="array" ref="BC913" xml:space="preserve"> INDEX( VfM_Metrics_2023_Consol_Source[], $AK913, BC$832 )</f>
        <v>0.99981124952812384</v>
      </c>
    </row>
    <row r="914" spans="2:55" x14ac:dyDescent="0.2">
      <c r="B914" s="122" t="str" vm="81">
        <f t="shared" ref="B914" si="417" xml:space="preserve"> B704</f>
        <v>Inquilab Housing Association Limited</v>
      </c>
      <c r="C914" s="122" t="str" vm="216">
        <f t="shared" si="401"/>
        <v>LH3728</v>
      </c>
      <c r="D914" s="30" cm="1">
        <f t="array" ref="D914" xml:space="preserve"> INDEX( VfM_Metrics_2023_Consol_Source[], $AK914, D$832 )</f>
        <v>7.7051904551709814E-3</v>
      </c>
      <c r="E914" s="35">
        <f xml:space="preserve"> IF( tblFilterAll[[#This Row],[Reinvestment]] &lt; D$825, 4, IF( tblFilterAll[[#This Row],[Reinvestment]] &lt; D$826, 3, IF( tblFilterAll[[#This Row],[Reinvestment]] &lt; D$827, 2, 1 ) ) )</f>
        <v>4</v>
      </c>
      <c r="F914" s="35">
        <f xml:space="preserve"> COUNTIFS( tblFilterAll[Include in output], 1, tblFilterAll[Reinvestment], "&gt;" &amp; tblFilterAll[[#This Row],[Reinvestment]] ) + 1</f>
        <v>197</v>
      </c>
      <c r="G914" s="30" cm="1">
        <f t="array" ref="G914" xml:space="preserve"> INDEX( VfM_Metrics_2023_Consol_Source[], $AK914, G$832 )</f>
        <v>0</v>
      </c>
      <c r="H914" s="35">
        <f xml:space="preserve"> IF( tblFilterAll[[#This Row],[New Supply (Social)]] &lt; G$825, 4, IF( tblFilterAll[[#This Row],[New Supply (Social)]] &lt; G$826, 3, IF( tblFilterAll[[#This Row],[New Supply (Social)]] &lt; G$827, 2, 1 ) ) )</f>
        <v>4</v>
      </c>
      <c r="I914" s="35">
        <f xml:space="preserve"> COUNTIFS( tblFilterAll[Include in output], 1, tblFilterAll[New Supply (Social)], "&gt;" &amp; tblFilterAll[[#This Row],[New Supply (Social)]] ) + 1</f>
        <v>187</v>
      </c>
      <c r="J914" s="31" cm="1">
        <f t="array" ref="J914" xml:space="preserve"> INDEX( VfM_Metrics_2023_Consol_Source[], $AK914, J$832 )</f>
        <v>0</v>
      </c>
      <c r="K914" s="35">
        <f xml:space="preserve"> IF( tblFilterAll[[#This Row],[New Supply (Non-Social)]] &lt; J$825, 4, IF( tblFilterAll[[#This Row],[New Supply (Non-Social)]] &lt; J$826, 3, IF( tblFilterAll[[#This Row],[New Supply (Non-Social)]] &lt; J$827, 2, 1 ) ) )</f>
        <v>2</v>
      </c>
      <c r="L914" s="35">
        <f xml:space="preserve"> COUNTIFS( tblFilterAll[Include in output], 1, tblFilterAll[New Supply (Non-Social)], "&gt;" &amp; tblFilterAll[[#This Row],[New Supply (Non-Social)]] ) + 1</f>
        <v>72</v>
      </c>
      <c r="M914" s="30" cm="1">
        <f t="array" ref="M914" xml:space="preserve"> INDEX( VfM_Metrics_2023_Consol_Source[], $AK914, M$832 )</f>
        <v>0.30246280476722148</v>
      </c>
      <c r="N914" s="35">
        <f xml:space="preserve"> IF( tblFilterAll[[#This Row],[Gearing]] &lt; M$825, 4, IF( tblFilterAll[[#This Row],[Gearing]] &lt; M$826, 3, IF( tblFilterAll[[#This Row],[Gearing]] &lt; M$827, 2, 1 ) ) )</f>
        <v>4</v>
      </c>
      <c r="O914" s="35">
        <f xml:space="preserve"> COUNTIFS( tblFilterAll[Include in output], 1, tblFilterAll[Gearing], "&gt;" &amp; tblFilterAll[[#This Row],[Gearing]] ) + 1</f>
        <v>157</v>
      </c>
      <c r="P914" s="30" cm="1">
        <f t="array" ref="P914" xml:space="preserve"> INDEX( VfM_Metrics_2023_Consol_Source[], $AK914, P$832 )</f>
        <v>0.8956086286594761</v>
      </c>
      <c r="Q914" s="35">
        <f xml:space="preserve"> IF( tblFilterAll[[#This Row],[EBITDA MRI Interest Cover]] &lt; P$825, 4, IF( tblFilterAll[[#This Row],[EBITDA MRI Interest Cover]] &lt; P$826, 3, IF( tblFilterAll[[#This Row],[EBITDA MRI Interest Cover]] &lt; P$827, 2, 1 ) ) )</f>
        <v>3</v>
      </c>
      <c r="R914" s="35">
        <f xml:space="preserve"> COUNTIFS( tblFilterAll[Include in output], 1, tblFilterAll[EBITDA MRI Interest Cover], "&gt;" &amp; tblFilterAll[[#This Row],[EBITDA MRI Interest Cover]] ) + 1</f>
        <v>147</v>
      </c>
      <c r="S914" s="32" cm="1">
        <f t="array" ref="S914" xml:space="preserve"> INDEX( VfM_Metrics_2023_Consol_Source[], $AK914, S$832 )</f>
        <v>6002.2522522522522</v>
      </c>
      <c r="T914" s="35">
        <f xml:space="preserve"> IF( tblFilterAll[[#This Row],[Headline Social Housing Cost per unit]] &lt; S$825, 4, IF( tblFilterAll[[#This Row],[Headline Social Housing Cost per unit]] &lt; S$826, 3, IF( tblFilterAll[[#This Row],[Headline Social Housing Cost per unit]] &lt; S$827, 2, 1 ) ) )</f>
        <v>1</v>
      </c>
      <c r="U914" s="35">
        <f xml:space="preserve"> COUNTIFS( tblFilterAll[Include in output], 1, tblFilterAll[Headline Social Housing Cost per unit], "&gt;" &amp; tblFilterAll[[#This Row],[Headline Social Housing Cost per unit]] ) + 1</f>
        <v>48</v>
      </c>
      <c r="V914" s="30" cm="1">
        <f t="array" ref="V914" xml:space="preserve"> INDEX( VfM_Metrics_2023_Consol_Source[], $AK914, V$832 )</f>
        <v>0.19708503527664314</v>
      </c>
      <c r="W914" s="35">
        <f xml:space="preserve"> IF( tblFilterAll[[#This Row],[Operating Margin (SHL)]] &lt; V$825, 4, IF( tblFilterAll[[#This Row],[Operating Margin (SHL)]] &lt; V$826, 3, IF( tblFilterAll[[#This Row],[Operating Margin (SHL)]] &lt; V$827, 2, 1 ) ) )</f>
        <v>3</v>
      </c>
      <c r="X914" s="35">
        <f xml:space="preserve"> COUNTIFS( tblFilterAll[Include in output], 1, tblFilterAll[Operating Margin (SHL)], "&gt;" &amp; tblFilterAll[[#This Row],[Operating Margin (SHL)]] ) + 1</f>
        <v>100</v>
      </c>
      <c r="Y914" s="30" cm="1">
        <f t="array" ref="Y914" xml:space="preserve"> INDEX( VfM_Metrics_2023_Consol_Source[], $AK914, Y$832 )</f>
        <v>0.19397031539888682</v>
      </c>
      <c r="Z914" s="35">
        <f xml:space="preserve"> IF( tblFilterAll[[#This Row],[Operating Margin (Overall)]] &lt; Y$825, 4, IF( tblFilterAll[[#This Row],[Operating Margin (Overall)]] &lt; Y$826, 3, IF( tblFilterAll[[#This Row],[Operating Margin (Overall)]] &lt; Y$827, 2, 1 ) ) )</f>
        <v>2</v>
      </c>
      <c r="AA914" s="35">
        <f xml:space="preserve"> COUNTIFS( tblFilterAll[Include in output], 1, tblFilterAll[Operating Margin (Overall)], "&gt;" &amp; tblFilterAll[[#This Row],[Operating Margin (Overall)]] ) + 1</f>
        <v>89</v>
      </c>
      <c r="AB914" s="30" cm="1">
        <f t="array" ref="AB914" xml:space="preserve"> INDEX( VfM_Metrics_2023_Consol_Source[], $AK914, AB$832 )</f>
        <v>1.621362681635611E-2</v>
      </c>
      <c r="AC914" s="35">
        <f xml:space="preserve"> IF( tblFilterAll[[#This Row],[ROCE]] &lt; AB$825, 4, IF( tblFilterAll[[#This Row],[ROCE]] &lt; AB$826, 3, IF( tblFilterAll[[#This Row],[ROCE]] &lt; AB$827, 2, 1 ) ) )</f>
        <v>4</v>
      </c>
      <c r="AD914" s="35">
        <f xml:space="preserve"> COUNTIFS( tblFilterAll[Include in output], 1, tblFilterAll[ROCE], "&gt;" &amp; tblFilterAll[[#This Row],[ROCE]] ) + 1</f>
        <v>179</v>
      </c>
      <c r="AE914" s="33" cm="1" vm="933">
        <f t="array" ref="AE914" xml:space="preserve"> INDEX( VfM_Metrics_2023_Consol_Source[], $AK914, AE$832 )</f>
        <v>1332</v>
      </c>
      <c r="AF914" s="30" cm="1">
        <f t="array" ref="AF914" xml:space="preserve"> INDEX( VfM_Metrics_2023_Consol_Source[], $AK914, AF$832 )</f>
        <v>0</v>
      </c>
      <c r="AG914" s="30" cm="1">
        <f t="array" ref="AG914" xml:space="preserve"> INDEX( VfM_Metrics_2023_Consol_Source[], $AK914, AG$832 )</f>
        <v>0</v>
      </c>
      <c r="AH914" s="30" cm="1">
        <f t="array" ref="AH914" xml:space="preserve"> INDEX( VfM_Metrics_2023_Consol_Source[], $AK914, AH$832 )</f>
        <v>0</v>
      </c>
      <c r="AI914" s="30" t="str" cm="1">
        <f t="array" ref="AI914" xml:space="preserve"> INDEX( VfM_Metrics_2023_Consol_Source[], $AK914, AI$832 )</f>
        <v>Traditional</v>
      </c>
      <c r="AJ914" s="34" t="str" cm="1">
        <f t="array" ref="AJ914" xml:space="preserve"> INDEX( VfM_Metrics_2023_Consol_Source[], $AK914, AJ$832 )</f>
        <v>London</v>
      </c>
      <c r="AK914" s="81">
        <f xml:space="preserve"> MATCH( tblFilterAll[[#This Row],[Code]], VfM_Metrics_2023_Consol_Source[RP_Code], 0 )</f>
        <v>81</v>
      </c>
      <c r="AL914" s="24">
        <f xml:space="preserve"> INDEX( tblFilterRegion[Include for region],  MATCH( tblFilterAll[[#This Row],[Code]], tblFilterRegion[RP_Code], 0 ) )</f>
        <v>1</v>
      </c>
      <c r="AM914" s="24">
        <f xml:space="preserve"> INDEX( tblFilterPropType[Incl for prop type],  MATCH( tblFilterAll[[#This Row],[Code]], tblFilterPropType[RP_Code], 0 ) )</f>
        <v>1</v>
      </c>
      <c r="AN914" s="24">
        <f xml:space="preserve"> INDEX( tblFilterSize[Incl for size],  MATCH( tblFilterAll[[#This Row],[Code]], tblFilterSize[RP_Code], 0 ) )</f>
        <v>1</v>
      </c>
      <c r="AO914" s="24">
        <f xml:space="preserve"> INDEX( tblFilterRP_Type[Incl, for RP Type],  MATCH( tblFilterAll[[#This Row],[Code]], tblFilterRP_Type[RP_Code], 0 ) )</f>
        <v>1</v>
      </c>
      <c r="AP914" s="24">
        <f xml:space="preserve">  -- ( SUM( tblFilterAll[[#This Row],[Filter Region]:[Filter RP Type]] ) = 4 )</f>
        <v>1</v>
      </c>
      <c r="AQ914" s="24">
        <f xml:space="preserve"> -- ( tblFilterAll[[#This Row],[Provider name]] = SelectedProvider )</f>
        <v>0</v>
      </c>
      <c r="AR914" s="24">
        <f xml:space="preserve">  -- ( OR( SUM( tblFilterAll[[#This Row],[Filter Region]:[Filter RP Type]] ) = 4, tblFilterAll[[#This Row],[SelectedProvider]] = 1 ) )</f>
        <v>1</v>
      </c>
      <c r="AS914" s="24">
        <f xml:space="preserve"> -- ( INDEX( PeersCritera[Included in final peers], MATCH( tblFilterAll[[#This Row],[Provider name]], PeersCritera[RP_Name], 0 ) ) = 1 )</f>
        <v>1</v>
      </c>
      <c r="AT914" s="30" t="str" cm="1">
        <f t="array" ref="AT914" xml:space="preserve"> SUBSTITUTE( INDEX( VfM_Metrics_2023_Consol_Source[], $AK914, AT$832 ), 0, "" )</f>
        <v/>
      </c>
      <c r="AU914" s="34" cm="1">
        <f t="array" ref="AU914" xml:space="preserve"> INDEX( VfM_Metrics_2023_Consol_Source[], $AK914, AU$832 )</f>
        <v>0.93348450491307633</v>
      </c>
      <c r="AV914" s="34" cm="1">
        <f t="array" ref="AV914" xml:space="preserve"> INDEX( VfM_Metrics_2023_Consol_Source[], $AK914, AV$832 )</f>
        <v>6.6515495086923657E-2</v>
      </c>
      <c r="AW914" s="34" cm="1">
        <f t="array" ref="AW914" xml:space="preserve"> INDEX( VfM_Metrics_2023_Consol_Source[], $AK914, AW$832 )</f>
        <v>0</v>
      </c>
      <c r="AX914" s="34" cm="1">
        <f t="array" ref="AX914" xml:space="preserve"> INDEX( VfM_Metrics_2023_Consol_Source[], $AK914, AX$832 )</f>
        <v>0</v>
      </c>
      <c r="AY914" s="34" cm="1">
        <f t="array" ref="AY914" xml:space="preserve"> INDEX( VfM_Metrics_2023_Consol_Source[], $AK914, AY$832 )</f>
        <v>0</v>
      </c>
      <c r="AZ914" s="34" cm="1">
        <f t="array" ref="AZ914" xml:space="preserve"> INDEX( VfM_Metrics_2023_Consol_Source[], $AK914, AZ$832 )</f>
        <v>0</v>
      </c>
      <c r="BA914" s="34" cm="1">
        <f t="array" ref="BA914" xml:space="preserve"> INDEX( VfM_Metrics_2023_Consol_Source[], $AK914, BA$832 )</f>
        <v>0</v>
      </c>
      <c r="BB914" s="34" cm="1">
        <f t="array" ref="BB914" xml:space="preserve"> INDEX( VfM_Metrics_2023_Consol_Source[], $AK914, BB$832 )</f>
        <v>0</v>
      </c>
      <c r="BC914" s="34" cm="1">
        <f t="array" ref="BC914" xml:space="preserve"> INDEX( VfM_Metrics_2023_Consol_Source[], $AK914, BC$832 )</f>
        <v>0</v>
      </c>
    </row>
    <row r="915" spans="2:55" x14ac:dyDescent="0.2">
      <c r="B915" s="122" t="str" vm="82">
        <f t="shared" ref="B915" si="418" xml:space="preserve"> B705</f>
        <v>Irwell Valley Housing Association Limited</v>
      </c>
      <c r="C915" s="122" t="str" vm="389">
        <f t="shared" si="401"/>
        <v>L0061</v>
      </c>
      <c r="D915" s="30" cm="1">
        <f t="array" ref="D915" xml:space="preserve"> INDEX( VfM_Metrics_2023_Consol_Source[], $AK915, D$832 )</f>
        <v>5.7461176890581306E-2</v>
      </c>
      <c r="E915" s="35">
        <f xml:space="preserve"> IF( tblFilterAll[[#This Row],[Reinvestment]] &lt; D$825, 4, IF( tblFilterAll[[#This Row],[Reinvestment]] &lt; D$826, 3, IF( tblFilterAll[[#This Row],[Reinvestment]] &lt; D$827, 2, 1 ) ) )</f>
        <v>3</v>
      </c>
      <c r="F915" s="35">
        <f xml:space="preserve"> COUNTIFS( tblFilterAll[Include in output], 1, tblFilterAll[Reinvestment], "&gt;" &amp; tblFilterAll[[#This Row],[Reinvestment]] ) + 1</f>
        <v>128</v>
      </c>
      <c r="G915" s="30" cm="1">
        <f t="array" ref="G915" xml:space="preserve"> INDEX( VfM_Metrics_2023_Consol_Source[], $AK915, G$832 )</f>
        <v>9.3811074918566783E-3</v>
      </c>
      <c r="H915" s="35">
        <f xml:space="preserve"> IF( tblFilterAll[[#This Row],[New Supply (Social)]] &lt; G$825, 4, IF( tblFilterAll[[#This Row],[New Supply (Social)]] &lt; G$826, 3, IF( tblFilterAll[[#This Row],[New Supply (Social)]] &lt; G$827, 2, 1 ) ) )</f>
        <v>3</v>
      </c>
      <c r="I915" s="35">
        <f xml:space="preserve"> COUNTIFS( tblFilterAll[Include in output], 1, tblFilterAll[New Supply (Social)], "&gt;" &amp; tblFilterAll[[#This Row],[New Supply (Social)]] ) + 1</f>
        <v>127</v>
      </c>
      <c r="J915" s="31" cm="1">
        <f t="array" ref="J915" xml:space="preserve"> INDEX( VfM_Metrics_2023_Consol_Source[], $AK915, J$832 )</f>
        <v>0</v>
      </c>
      <c r="K915" s="35">
        <f xml:space="preserve"> IF( tblFilterAll[[#This Row],[New Supply (Non-Social)]] &lt; J$825, 4, IF( tblFilterAll[[#This Row],[New Supply (Non-Social)]] &lt; J$826, 3, IF( tblFilterAll[[#This Row],[New Supply (Non-Social)]] &lt; J$827, 2, 1 ) ) )</f>
        <v>2</v>
      </c>
      <c r="L915" s="35">
        <f xml:space="preserve"> COUNTIFS( tblFilterAll[Include in output], 1, tblFilterAll[New Supply (Non-Social)], "&gt;" &amp; tblFilterAll[[#This Row],[New Supply (Non-Social)]] ) + 1</f>
        <v>72</v>
      </c>
      <c r="M915" s="30" cm="1">
        <f t="array" ref="M915" xml:space="preserve"> INDEX( VfM_Metrics_2023_Consol_Source[], $AK915, M$832 )</f>
        <v>0.42561730231451184</v>
      </c>
      <c r="N915" s="35">
        <f xml:space="preserve"> IF( tblFilterAll[[#This Row],[Gearing]] &lt; M$825, 4, IF( tblFilterAll[[#This Row],[Gearing]] &lt; M$826, 3, IF( tblFilterAll[[#This Row],[Gearing]] &lt; M$827, 2, 1 ) ) )</f>
        <v>3</v>
      </c>
      <c r="O915" s="35">
        <f xml:space="preserve"> COUNTIFS( tblFilterAll[Include in output], 1, tblFilterAll[Gearing], "&gt;" &amp; tblFilterAll[[#This Row],[Gearing]] ) + 1</f>
        <v>116</v>
      </c>
      <c r="P915" s="30" cm="1">
        <f t="array" ref="P915" xml:space="preserve"> INDEX( VfM_Metrics_2023_Consol_Source[], $AK915, P$832 )</f>
        <v>1.0591226031377106</v>
      </c>
      <c r="Q915" s="35">
        <f xml:space="preserve"> IF( tblFilterAll[[#This Row],[EBITDA MRI Interest Cover]] &lt; P$825, 4, IF( tblFilterAll[[#This Row],[EBITDA MRI Interest Cover]] &lt; P$826, 3, IF( tblFilterAll[[#This Row],[EBITDA MRI Interest Cover]] &lt; P$827, 2, 1 ) ) )</f>
        <v>3</v>
      </c>
      <c r="R915" s="35">
        <f xml:space="preserve"> COUNTIFS( tblFilterAll[Include in output], 1, tblFilterAll[EBITDA MRI Interest Cover], "&gt;" &amp; tblFilterAll[[#This Row],[EBITDA MRI Interest Cover]] ) + 1</f>
        <v>132</v>
      </c>
      <c r="S915" s="32" cm="1">
        <f t="array" ref="S915" xml:space="preserve"> INDEX( VfM_Metrics_2023_Consol_Source[], $AK915, S$832 )</f>
        <v>3868.1126229287347</v>
      </c>
      <c r="T915" s="35">
        <f xml:space="preserve"> IF( tblFilterAll[[#This Row],[Headline Social Housing Cost per unit]] &lt; S$825, 4, IF( tblFilterAll[[#This Row],[Headline Social Housing Cost per unit]] &lt; S$826, 3, IF( tblFilterAll[[#This Row],[Headline Social Housing Cost per unit]] &lt; S$827, 2, 1 ) ) )</f>
        <v>4</v>
      </c>
      <c r="U915" s="35">
        <f xml:space="preserve"> COUNTIFS( tblFilterAll[Include in output], 1, tblFilterAll[Headline Social Housing Cost per unit], "&gt;" &amp; tblFilterAll[[#This Row],[Headline Social Housing Cost per unit]] ) + 1</f>
        <v>174</v>
      </c>
      <c r="V915" s="30" cm="1">
        <f t="array" ref="V915" xml:space="preserve"> INDEX( VfM_Metrics_2023_Consol_Source[], $AK915, V$832 )</f>
        <v>0.2958954137666393</v>
      </c>
      <c r="W915" s="35">
        <f xml:space="preserve"> IF( tblFilterAll[[#This Row],[Operating Margin (SHL)]] &lt; V$825, 4, IF( tblFilterAll[[#This Row],[Operating Margin (SHL)]] &lt; V$826, 3, IF( tblFilterAll[[#This Row],[Operating Margin (SHL)]] &lt; V$827, 2, 1 ) ) )</f>
        <v>1</v>
      </c>
      <c r="X915" s="35">
        <f xml:space="preserve"> COUNTIFS( tblFilterAll[Include in output], 1, tblFilterAll[Operating Margin (SHL)], "&gt;" &amp; tblFilterAll[[#This Row],[Operating Margin (SHL)]] ) + 1</f>
        <v>29</v>
      </c>
      <c r="Y915" s="30" cm="1">
        <f t="array" ref="Y915" xml:space="preserve"> INDEX( VfM_Metrics_2023_Consol_Source[], $AK915, Y$832 )</f>
        <v>0.22816725087631448</v>
      </c>
      <c r="Z915" s="35">
        <f xml:space="preserve"> IF( tblFilterAll[[#This Row],[Operating Margin (Overall)]] &lt; Y$825, 4, IF( tblFilterAll[[#This Row],[Operating Margin (Overall)]] &lt; Y$826, 3, IF( tblFilterAll[[#This Row],[Operating Margin (Overall)]] &lt; Y$827, 2, 1 ) ) )</f>
        <v>2</v>
      </c>
      <c r="AA915" s="35">
        <f xml:space="preserve"> COUNTIFS( tblFilterAll[Include in output], 1, tblFilterAll[Operating Margin (Overall)], "&gt;" &amp; tblFilterAll[[#This Row],[Operating Margin (Overall)]] ) + 1</f>
        <v>54</v>
      </c>
      <c r="AB915" s="30" cm="1">
        <f t="array" ref="AB915" xml:space="preserve"> INDEX( VfM_Metrics_2023_Consol_Source[], $AK915, AB$832 )</f>
        <v>2.9796767302642503E-2</v>
      </c>
      <c r="AC915" s="35">
        <f xml:space="preserve"> IF( tblFilterAll[[#This Row],[ROCE]] &lt; AB$825, 4, IF( tblFilterAll[[#This Row],[ROCE]] &lt; AB$826, 3, IF( tblFilterAll[[#This Row],[ROCE]] &lt; AB$827, 2, 1 ) ) )</f>
        <v>2</v>
      </c>
      <c r="AD915" s="35">
        <f xml:space="preserve"> COUNTIFS( tblFilterAll[Include in output], 1, tblFilterAll[ROCE], "&gt;" &amp; tblFilterAll[[#This Row],[ROCE]] ) + 1</f>
        <v>89</v>
      </c>
      <c r="AE915" s="33" cm="1" vm="6548">
        <f t="array" ref="AE915" xml:space="preserve"> INDEX( VfM_Metrics_2023_Consol_Source[], $AK915, AE$832 )</f>
        <v>7423</v>
      </c>
      <c r="AF915" s="30" cm="1">
        <f t="array" ref="AF915" xml:space="preserve"> INDEX( VfM_Metrics_2023_Consol_Source[], $AK915, AF$832 )</f>
        <v>3.5524703960800326E-2</v>
      </c>
      <c r="AG915" s="30" cm="1">
        <f t="array" ref="AG915" xml:space="preserve"> INDEX( VfM_Metrics_2023_Consol_Source[], $AK915, AG$832 )</f>
        <v>6.2202259425615899E-2</v>
      </c>
      <c r="AH915" s="30" cm="1">
        <f t="array" ref="AH915" xml:space="preserve"> INDEX( VfM_Metrics_2023_Consol_Source[], $AK915, AH$832 )</f>
        <v>9.7726963386416232E-2</v>
      </c>
      <c r="AI915" s="30" t="str" cm="1">
        <f t="array" ref="AI915" xml:space="preserve"> INDEX( VfM_Metrics_2023_Consol_Source[], $AK915, AI$832 )</f>
        <v>Traditional</v>
      </c>
      <c r="AJ915" s="34" t="str" cm="1">
        <f t="array" ref="AJ915" xml:space="preserve"> INDEX( VfM_Metrics_2023_Consol_Source[], $AK915, AJ$832 )</f>
        <v>North West</v>
      </c>
      <c r="AK915" s="81">
        <f xml:space="preserve"> MATCH( tblFilterAll[[#This Row],[Code]], VfM_Metrics_2023_Consol_Source[RP_Code], 0 )</f>
        <v>82</v>
      </c>
      <c r="AL915" s="24">
        <f xml:space="preserve"> INDEX( tblFilterRegion[Include for region],  MATCH( tblFilterAll[[#This Row],[Code]], tblFilterRegion[RP_Code], 0 ) )</f>
        <v>1</v>
      </c>
      <c r="AM915" s="24">
        <f xml:space="preserve"> INDEX( tblFilterPropType[Incl for prop type],  MATCH( tblFilterAll[[#This Row],[Code]], tblFilterPropType[RP_Code], 0 ) )</f>
        <v>1</v>
      </c>
      <c r="AN915" s="24">
        <f xml:space="preserve"> INDEX( tblFilterSize[Incl for size],  MATCH( tblFilterAll[[#This Row],[Code]], tblFilterSize[RP_Code], 0 ) )</f>
        <v>1</v>
      </c>
      <c r="AO915" s="24">
        <f xml:space="preserve"> INDEX( tblFilterRP_Type[Incl, for RP Type],  MATCH( tblFilterAll[[#This Row],[Code]], tblFilterRP_Type[RP_Code], 0 ) )</f>
        <v>1</v>
      </c>
      <c r="AP915" s="24">
        <f xml:space="preserve">  -- ( SUM( tblFilterAll[[#This Row],[Filter Region]:[Filter RP Type]] ) = 4 )</f>
        <v>1</v>
      </c>
      <c r="AQ915" s="24">
        <f xml:space="preserve"> -- ( tblFilterAll[[#This Row],[Provider name]] = SelectedProvider )</f>
        <v>0</v>
      </c>
      <c r="AR915" s="24">
        <f xml:space="preserve">  -- ( OR( SUM( tblFilterAll[[#This Row],[Filter Region]:[Filter RP Type]] ) = 4, tblFilterAll[[#This Row],[SelectedProvider]] = 1 ) )</f>
        <v>1</v>
      </c>
      <c r="AS915" s="24">
        <f xml:space="preserve"> -- ( INDEX( PeersCritera[Included in final peers], MATCH( tblFilterAll[[#This Row],[Provider name]], PeersCritera[RP_Name], 0 ) ) = 1 )</f>
        <v>1</v>
      </c>
      <c r="AT915" s="30" t="str" cm="1">
        <f t="array" ref="AT915" xml:space="preserve"> SUBSTITUTE( INDEX( VfM_Metrics_2023_Consol_Source[], $AK915, AT$832 ), 0, "" )</f>
        <v/>
      </c>
      <c r="AU915" s="34" cm="1">
        <f t="array" ref="AU915" xml:space="preserve"> INDEX( VfM_Metrics_2023_Consol_Source[], $AK915, AU$832 )</f>
        <v>0</v>
      </c>
      <c r="AV915" s="34" cm="1">
        <f t="array" ref="AV915" xml:space="preserve"> INDEX( VfM_Metrics_2023_Consol_Source[], $AK915, AV$832 )</f>
        <v>0</v>
      </c>
      <c r="AW915" s="34" cm="1">
        <f t="array" ref="AW915" xml:space="preserve"> INDEX( VfM_Metrics_2023_Consol_Source[], $AK915, AW$832 )</f>
        <v>0</v>
      </c>
      <c r="AX915" s="34" cm="1">
        <f t="array" ref="AX915" xml:space="preserve"> INDEX( VfM_Metrics_2023_Consol_Source[], $AK915, AX$832 )</f>
        <v>0</v>
      </c>
      <c r="AY915" s="34" cm="1">
        <f t="array" ref="AY915" xml:space="preserve"> INDEX( VfM_Metrics_2023_Consol_Source[], $AK915, AY$832 )</f>
        <v>0</v>
      </c>
      <c r="AZ915" s="34" cm="1">
        <f t="array" ref="AZ915" xml:space="preserve"> INDEX( VfM_Metrics_2023_Consol_Source[], $AK915, AZ$832 )</f>
        <v>0</v>
      </c>
      <c r="BA915" s="34" cm="1">
        <f t="array" ref="BA915" xml:space="preserve"> INDEX( VfM_Metrics_2023_Consol_Source[], $AK915, BA$832 )</f>
        <v>0</v>
      </c>
      <c r="BB915" s="34" cm="1">
        <f t="array" ref="BB915" xml:space="preserve"> INDEX( VfM_Metrics_2023_Consol_Source[], $AK915, BB$832 )</f>
        <v>1</v>
      </c>
      <c r="BC915" s="34" cm="1">
        <f t="array" ref="BC915" xml:space="preserve"> INDEX( VfM_Metrics_2023_Consol_Source[], $AK915, BC$832 )</f>
        <v>0</v>
      </c>
    </row>
    <row r="916" spans="2:55" x14ac:dyDescent="0.2">
      <c r="B916" s="122" t="str" vm="83">
        <f t="shared" ref="B916" si="419" xml:space="preserve"> B706</f>
        <v>Islington and Shoreditch Housing Association Limited</v>
      </c>
      <c r="C916" s="122" t="str" vm="210">
        <f t="shared" si="401"/>
        <v>L0457</v>
      </c>
      <c r="D916" s="30" cm="1">
        <f t="array" ref="D916" xml:space="preserve"> INDEX( VfM_Metrics_2023_Consol_Source[], $AK916, D$832 )</f>
        <v>2.4900793981890938E-2</v>
      </c>
      <c r="E916" s="35">
        <f xml:space="preserve"> IF( tblFilterAll[[#This Row],[Reinvestment]] &lt; D$825, 4, IF( tblFilterAll[[#This Row],[Reinvestment]] &lt; D$826, 3, IF( tblFilterAll[[#This Row],[Reinvestment]] &lt; D$827, 2, 1 ) ) )</f>
        <v>4</v>
      </c>
      <c r="F916" s="35">
        <f xml:space="preserve"> COUNTIFS( tblFilterAll[Include in output], 1, tblFilterAll[Reinvestment], "&gt;" &amp; tblFilterAll[[#This Row],[Reinvestment]] ) + 1</f>
        <v>183</v>
      </c>
      <c r="G916" s="30" cm="1">
        <f t="array" ref="G916" xml:space="preserve"> INDEX( VfM_Metrics_2023_Consol_Source[], $AK916, G$832 )</f>
        <v>3.7037037037037035E-2</v>
      </c>
      <c r="H916" s="35">
        <f xml:space="preserve"> IF( tblFilterAll[[#This Row],[New Supply (Social)]] &lt; G$825, 4, IF( tblFilterAll[[#This Row],[New Supply (Social)]] &lt; G$826, 3, IF( tblFilterAll[[#This Row],[New Supply (Social)]] &lt; G$827, 2, 1 ) ) )</f>
        <v>1</v>
      </c>
      <c r="I916" s="35">
        <f xml:space="preserve"> COUNTIFS( tblFilterAll[Include in output], 1, tblFilterAll[New Supply (Social)], "&gt;" &amp; tblFilterAll[[#This Row],[New Supply (Social)]] ) + 1</f>
        <v>11</v>
      </c>
      <c r="J916" s="31" cm="1">
        <f t="array" ref="J916" xml:space="preserve"> INDEX( VfM_Metrics_2023_Consol_Source[], $AK916, J$832 )</f>
        <v>3.7921880925293893E-4</v>
      </c>
      <c r="K916" s="35">
        <f xml:space="preserve"> IF( tblFilterAll[[#This Row],[New Supply (Non-Social)]] &lt; J$825, 4, IF( tblFilterAll[[#This Row],[New Supply (Non-Social)]] &lt; J$826, 3, IF( tblFilterAll[[#This Row],[New Supply (Non-Social)]] &lt; J$827, 2, 1 ) ) )</f>
        <v>2</v>
      </c>
      <c r="L916" s="35">
        <f xml:space="preserve"> COUNTIFS( tblFilterAll[Include in output], 1, tblFilterAll[New Supply (Non-Social)], "&gt;" &amp; tblFilterAll[[#This Row],[New Supply (Non-Social)]] ) + 1</f>
        <v>64</v>
      </c>
      <c r="M916" s="30" cm="1">
        <f t="array" ref="M916" xml:space="preserve"> INDEX( VfM_Metrics_2023_Consol_Source[], $AK916, M$832 )</f>
        <v>0.28555980896375183</v>
      </c>
      <c r="N916" s="35">
        <f xml:space="preserve"> IF( tblFilterAll[[#This Row],[Gearing]] &lt; M$825, 4, IF( tblFilterAll[[#This Row],[Gearing]] &lt; M$826, 3, IF( tblFilterAll[[#This Row],[Gearing]] &lt; M$827, 2, 1 ) ) )</f>
        <v>4</v>
      </c>
      <c r="O916" s="35">
        <f xml:space="preserve"> COUNTIFS( tblFilterAll[Include in output], 1, tblFilterAll[Gearing], "&gt;" &amp; tblFilterAll[[#This Row],[Gearing]] ) + 1</f>
        <v>162</v>
      </c>
      <c r="P916" s="30" cm="1">
        <f t="array" ref="P916" xml:space="preserve"> INDEX( VfM_Metrics_2023_Consol_Source[], $AK916, P$832 )</f>
        <v>0.30557753164556961</v>
      </c>
      <c r="Q916" s="35">
        <f xml:space="preserve"> IF( tblFilterAll[[#This Row],[EBITDA MRI Interest Cover]] &lt; P$825, 4, IF( tblFilterAll[[#This Row],[EBITDA MRI Interest Cover]] &lt; P$826, 3, IF( tblFilterAll[[#This Row],[EBITDA MRI Interest Cover]] &lt; P$827, 2, 1 ) ) )</f>
        <v>4</v>
      </c>
      <c r="R916" s="35">
        <f xml:space="preserve"> COUNTIFS( tblFilterAll[Include in output], 1, tblFilterAll[EBITDA MRI Interest Cover], "&gt;" &amp; tblFilterAll[[#This Row],[EBITDA MRI Interest Cover]] ) + 1</f>
        <v>175</v>
      </c>
      <c r="S916" s="32" cm="1">
        <f t="array" ref="S916" xml:space="preserve"> INDEX( VfM_Metrics_2023_Consol_Source[], $AK916, S$832 )</f>
        <v>8261.3399916770704</v>
      </c>
      <c r="T916" s="35">
        <f xml:space="preserve"> IF( tblFilterAll[[#This Row],[Headline Social Housing Cost per unit]] &lt; S$825, 4, IF( tblFilterAll[[#This Row],[Headline Social Housing Cost per unit]] &lt; S$826, 3, IF( tblFilterAll[[#This Row],[Headline Social Housing Cost per unit]] &lt; S$827, 2, 1 ) ) )</f>
        <v>1</v>
      </c>
      <c r="U916" s="35">
        <f xml:space="preserve"> COUNTIFS( tblFilterAll[Include in output], 1, tblFilterAll[Headline Social Housing Cost per unit], "&gt;" &amp; tblFilterAll[[#This Row],[Headline Social Housing Cost per unit]] ) + 1</f>
        <v>21</v>
      </c>
      <c r="V916" s="30" cm="1">
        <f t="array" ref="V916" xml:space="preserve"> INDEX( VfM_Metrics_2023_Consol_Source[], $AK916, V$832 )</f>
        <v>2.3157595026811559E-2</v>
      </c>
      <c r="W916" s="35">
        <f xml:space="preserve"> IF( tblFilterAll[[#This Row],[Operating Margin (SHL)]] &lt; V$825, 4, IF( tblFilterAll[[#This Row],[Operating Margin (SHL)]] &lt; V$826, 3, IF( tblFilterAll[[#This Row],[Operating Margin (SHL)]] &lt; V$827, 2, 1 ) ) )</f>
        <v>4</v>
      </c>
      <c r="X916" s="35">
        <f xml:space="preserve"> COUNTIFS( tblFilterAll[Include in output], 1, tblFilterAll[Operating Margin (SHL)], "&gt;" &amp; tblFilterAll[[#This Row],[Operating Margin (SHL)]] ) + 1</f>
        <v>191</v>
      </c>
      <c r="Y916" s="30" cm="1">
        <f t="array" ref="Y916" xml:space="preserve"> INDEX( VfM_Metrics_2023_Consol_Source[], $AK916, Y$832 )</f>
        <v>7.1263214754224868E-2</v>
      </c>
      <c r="Z916" s="35">
        <f xml:space="preserve"> IF( tblFilterAll[[#This Row],[Operating Margin (Overall)]] &lt; Y$825, 4, IF( tblFilterAll[[#This Row],[Operating Margin (Overall)]] &lt; Y$826, 3, IF( tblFilterAll[[#This Row],[Operating Margin (Overall)]] &lt; Y$827, 2, 1 ) ) )</f>
        <v>4</v>
      </c>
      <c r="AA916" s="35">
        <f xml:space="preserve"> COUNTIFS( tblFilterAll[Include in output], 1, tblFilterAll[Operating Margin (Overall)], "&gt;" &amp; tblFilterAll[[#This Row],[Operating Margin (Overall)]] ) + 1</f>
        <v>173</v>
      </c>
      <c r="AB916" s="30" cm="1">
        <f t="array" ref="AB916" xml:space="preserve"> INDEX( VfM_Metrics_2023_Consol_Source[], $AK916, AB$832 )</f>
        <v>2.235520966135774E-2</v>
      </c>
      <c r="AC916" s="35">
        <f xml:space="preserve"> IF( tblFilterAll[[#This Row],[ROCE]] &lt; AB$825, 4, IF( tblFilterAll[[#This Row],[ROCE]] &lt; AB$826, 3, IF( tblFilterAll[[#This Row],[ROCE]] &lt; AB$827, 2, 1 ) ) )</f>
        <v>3</v>
      </c>
      <c r="AD916" s="35">
        <f xml:space="preserve"> COUNTIFS( tblFilterAll[Include in output], 1, tblFilterAll[ROCE], "&gt;" &amp; tblFilterAll[[#This Row],[ROCE]] ) + 1</f>
        <v>144</v>
      </c>
      <c r="AE916" s="33" cm="1" vm="8995">
        <f t="array" ref="AE916" xml:space="preserve"> INDEX( VfM_Metrics_2023_Consol_Source[], $AK916, AE$832 )</f>
        <v>2403</v>
      </c>
      <c r="AF916" s="30" cm="1">
        <f t="array" ref="AF916" xml:space="preserve"> INDEX( VfM_Metrics_2023_Consol_Source[], $AK916, AF$832 )</f>
        <v>2.9635901778154106E-2</v>
      </c>
      <c r="AG916" s="30" cm="1">
        <f t="array" ref="AG916" xml:space="preserve"> INDEX( VfM_Metrics_2023_Consol_Source[], $AK916, AG$832 )</f>
        <v>1.7781541066892465E-2</v>
      </c>
      <c r="AH916" s="30" cm="1">
        <f t="array" ref="AH916" xml:space="preserve"> INDEX( VfM_Metrics_2023_Consol_Source[], $AK916, AH$832 )</f>
        <v>4.7417442845046572E-2</v>
      </c>
      <c r="AI916" s="30" t="str" cm="1">
        <f t="array" ref="AI916" xml:space="preserve"> INDEX( VfM_Metrics_2023_Consol_Source[], $AK916, AI$832 )</f>
        <v>Traditional</v>
      </c>
      <c r="AJ916" s="34" t="str" cm="1">
        <f t="array" ref="AJ916" xml:space="preserve"> INDEX( VfM_Metrics_2023_Consol_Source[], $AK916, AJ$832 )</f>
        <v>London</v>
      </c>
      <c r="AK916" s="81">
        <f xml:space="preserve"> MATCH( tblFilterAll[[#This Row],[Code]], VfM_Metrics_2023_Consol_Source[RP_Code], 0 )</f>
        <v>83</v>
      </c>
      <c r="AL916" s="24">
        <f xml:space="preserve"> INDEX( tblFilterRegion[Include for region],  MATCH( tblFilterAll[[#This Row],[Code]], tblFilterRegion[RP_Code], 0 ) )</f>
        <v>1</v>
      </c>
      <c r="AM916" s="24">
        <f xml:space="preserve"> INDEX( tblFilterPropType[Incl for prop type],  MATCH( tblFilterAll[[#This Row],[Code]], tblFilterPropType[RP_Code], 0 ) )</f>
        <v>1</v>
      </c>
      <c r="AN916" s="24">
        <f xml:space="preserve"> INDEX( tblFilterSize[Incl for size],  MATCH( tblFilterAll[[#This Row],[Code]], tblFilterSize[RP_Code], 0 ) )</f>
        <v>1</v>
      </c>
      <c r="AO916" s="24">
        <f xml:space="preserve"> INDEX( tblFilterRP_Type[Incl, for RP Type],  MATCH( tblFilterAll[[#This Row],[Code]], tblFilterRP_Type[RP_Code], 0 ) )</f>
        <v>1</v>
      </c>
      <c r="AP916" s="24">
        <f xml:space="preserve">  -- ( SUM( tblFilterAll[[#This Row],[Filter Region]:[Filter RP Type]] ) = 4 )</f>
        <v>1</v>
      </c>
      <c r="AQ916" s="24">
        <f xml:space="preserve"> -- ( tblFilterAll[[#This Row],[Provider name]] = SelectedProvider )</f>
        <v>0</v>
      </c>
      <c r="AR916" s="24">
        <f xml:space="preserve">  -- ( OR( SUM( tblFilterAll[[#This Row],[Filter Region]:[Filter RP Type]] ) = 4, tblFilterAll[[#This Row],[SelectedProvider]] = 1 ) )</f>
        <v>1</v>
      </c>
      <c r="AS916" s="24">
        <f xml:space="preserve"> -- ( INDEX( PeersCritera[Included in final peers], MATCH( tblFilterAll[[#This Row],[Provider name]], PeersCritera[RP_Name], 0 ) ) = 1 )</f>
        <v>1</v>
      </c>
      <c r="AT916" s="30" t="str" cm="1">
        <f t="array" ref="AT916" xml:space="preserve"> SUBSTITUTE( INDEX( VfM_Metrics_2023_Consol_Source[], $AK916, AT$832 ), 0, "" )</f>
        <v/>
      </c>
      <c r="AU916" s="34" cm="1">
        <f t="array" ref="AU916" xml:space="preserve"> INDEX( VfM_Metrics_2023_Consol_Source[], $AK916, AU$832 )</f>
        <v>1</v>
      </c>
      <c r="AV916" s="34" cm="1">
        <f t="array" ref="AV916" xml:space="preserve"> INDEX( VfM_Metrics_2023_Consol_Source[], $AK916, AV$832 )</f>
        <v>0</v>
      </c>
      <c r="AW916" s="34" cm="1">
        <f t="array" ref="AW916" xml:space="preserve"> INDEX( VfM_Metrics_2023_Consol_Source[], $AK916, AW$832 )</f>
        <v>0</v>
      </c>
      <c r="AX916" s="34" cm="1">
        <f t="array" ref="AX916" xml:space="preserve"> INDEX( VfM_Metrics_2023_Consol_Source[], $AK916, AX$832 )</f>
        <v>0</v>
      </c>
      <c r="AY916" s="34" cm="1">
        <f t="array" ref="AY916" xml:space="preserve"> INDEX( VfM_Metrics_2023_Consol_Source[], $AK916, AY$832 )</f>
        <v>0</v>
      </c>
      <c r="AZ916" s="34" cm="1">
        <f t="array" ref="AZ916" xml:space="preserve"> INDEX( VfM_Metrics_2023_Consol_Source[], $AK916, AZ$832 )</f>
        <v>0</v>
      </c>
      <c r="BA916" s="34" cm="1">
        <f t="array" ref="BA916" xml:space="preserve"> INDEX( VfM_Metrics_2023_Consol_Source[], $AK916, BA$832 )</f>
        <v>0</v>
      </c>
      <c r="BB916" s="34" cm="1">
        <f t="array" ref="BB916" xml:space="preserve"> INDEX( VfM_Metrics_2023_Consol_Source[], $AK916, BB$832 )</f>
        <v>0</v>
      </c>
      <c r="BC916" s="34" cm="1">
        <f t="array" ref="BC916" xml:space="preserve"> INDEX( VfM_Metrics_2023_Consol_Source[], $AK916, BC$832 )</f>
        <v>0</v>
      </c>
    </row>
    <row r="917" spans="2:55" x14ac:dyDescent="0.2">
      <c r="B917" s="122" t="str" vm="84">
        <f t="shared" ref="B917" si="420" xml:space="preserve"> B707</f>
        <v>Jigsaw Homes Group Limited</v>
      </c>
      <c r="C917" s="122" t="str" vm="262">
        <f t="shared" si="401"/>
        <v>LH4345</v>
      </c>
      <c r="D917" s="30" cm="1">
        <f t="array" ref="D917" xml:space="preserve"> INDEX( VfM_Metrics_2023_Consol_Source[], $AK917, D$832 )</f>
        <v>9.5002748971257905E-2</v>
      </c>
      <c r="E917" s="35">
        <f xml:space="preserve"> IF( tblFilterAll[[#This Row],[Reinvestment]] &lt; D$825, 4, IF( tblFilterAll[[#This Row],[Reinvestment]] &lt; D$826, 3, IF( tblFilterAll[[#This Row],[Reinvestment]] &lt; D$827, 2, 1 ) ) )</f>
        <v>1</v>
      </c>
      <c r="F917" s="35">
        <f xml:space="preserve"> COUNTIFS( tblFilterAll[Include in output], 1, tblFilterAll[Reinvestment], "&gt;" &amp; tblFilterAll[[#This Row],[Reinvestment]] ) + 1</f>
        <v>47</v>
      </c>
      <c r="G917" s="30" cm="1">
        <f t="array" ref="G917" xml:space="preserve"> INDEX( VfM_Metrics_2023_Consol_Source[], $AK917, G$832 )</f>
        <v>2.0110579539920358E-2</v>
      </c>
      <c r="H917" s="35">
        <f xml:space="preserve"> IF( tblFilterAll[[#This Row],[New Supply (Social)]] &lt; G$825, 4, IF( tblFilterAll[[#This Row],[New Supply (Social)]] &lt; G$826, 3, IF( tblFilterAll[[#This Row],[New Supply (Social)]] &lt; G$827, 2, 1 ) ) )</f>
        <v>2</v>
      </c>
      <c r="I917" s="35">
        <f xml:space="preserve"> COUNTIFS( tblFilterAll[Include in output], 1, tblFilterAll[New Supply (Social)], "&gt;" &amp; tblFilterAll[[#This Row],[New Supply (Social)]] ) + 1</f>
        <v>58</v>
      </c>
      <c r="J917" s="31" cm="1">
        <f t="array" ref="J917" xml:space="preserve"> INDEX( VfM_Metrics_2023_Consol_Source[], $AK917, J$832 )</f>
        <v>0</v>
      </c>
      <c r="K917" s="35">
        <f xml:space="preserve"> IF( tblFilterAll[[#This Row],[New Supply (Non-Social)]] &lt; J$825, 4, IF( tblFilterAll[[#This Row],[New Supply (Non-Social)]] &lt; J$826, 3, IF( tblFilterAll[[#This Row],[New Supply (Non-Social)]] &lt; J$827, 2, 1 ) ) )</f>
        <v>2</v>
      </c>
      <c r="L917" s="35">
        <f xml:space="preserve"> COUNTIFS( tblFilterAll[Include in output], 1, tblFilterAll[New Supply (Non-Social)], "&gt;" &amp; tblFilterAll[[#This Row],[New Supply (Non-Social)]] ) + 1</f>
        <v>72</v>
      </c>
      <c r="M917" s="30" cm="1">
        <f t="array" ref="M917" xml:space="preserve"> INDEX( VfM_Metrics_2023_Consol_Source[], $AK917, M$832 )</f>
        <v>0.45695999038839502</v>
      </c>
      <c r="N917" s="35">
        <f xml:space="preserve"> IF( tblFilterAll[[#This Row],[Gearing]] &lt; M$825, 4, IF( tblFilterAll[[#This Row],[Gearing]] &lt; M$826, 3, IF( tblFilterAll[[#This Row],[Gearing]] &lt; M$827, 2, 1 ) ) )</f>
        <v>2</v>
      </c>
      <c r="O917" s="35">
        <f xml:space="preserve"> COUNTIFS( tblFilterAll[Include in output], 1, tblFilterAll[Gearing], "&gt;" &amp; tblFilterAll[[#This Row],[Gearing]] ) + 1</f>
        <v>96</v>
      </c>
      <c r="P917" s="30" cm="1">
        <f t="array" ref="P917" xml:space="preserve"> INDEX( VfM_Metrics_2023_Consol_Source[], $AK917, P$832 )</f>
        <v>1.2426570998727</v>
      </c>
      <c r="Q917" s="35">
        <f xml:space="preserve"> IF( tblFilterAll[[#This Row],[EBITDA MRI Interest Cover]] &lt; P$825, 4, IF( tblFilterAll[[#This Row],[EBITDA MRI Interest Cover]] &lt; P$826, 3, IF( tblFilterAll[[#This Row],[EBITDA MRI Interest Cover]] &lt; P$827, 2, 1 ) ) )</f>
        <v>3</v>
      </c>
      <c r="R917" s="35">
        <f xml:space="preserve"> COUNTIFS( tblFilterAll[Include in output], 1, tblFilterAll[EBITDA MRI Interest Cover], "&gt;" &amp; tblFilterAll[[#This Row],[EBITDA MRI Interest Cover]] ) + 1</f>
        <v>102</v>
      </c>
      <c r="S917" s="32" cm="1">
        <f t="array" ref="S917" xml:space="preserve"> INDEX( VfM_Metrics_2023_Consol_Source[], $AK917, S$832 )</f>
        <v>3982.2180225066577</v>
      </c>
      <c r="T917" s="35">
        <f xml:space="preserve"> IF( tblFilterAll[[#This Row],[Headline Social Housing Cost per unit]] &lt; S$825, 4, IF( tblFilterAll[[#This Row],[Headline Social Housing Cost per unit]] &lt; S$826, 3, IF( tblFilterAll[[#This Row],[Headline Social Housing Cost per unit]] &lt; S$827, 2, 1 ) ) )</f>
        <v>4</v>
      </c>
      <c r="U917" s="35">
        <f xml:space="preserve"> COUNTIFS( tblFilterAll[Include in output], 1, tblFilterAll[Headline Social Housing Cost per unit], "&gt;" &amp; tblFilterAll[[#This Row],[Headline Social Housing Cost per unit]] ) + 1</f>
        <v>166</v>
      </c>
      <c r="V917" s="30" cm="1">
        <f t="array" ref="V917" xml:space="preserve"> INDEX( VfM_Metrics_2023_Consol_Source[], $AK917, V$832 )</f>
        <v>0.2132540504271675</v>
      </c>
      <c r="W917" s="35">
        <f xml:space="preserve"> IF( tblFilterAll[[#This Row],[Operating Margin (SHL)]] &lt; V$825, 4, IF( tblFilterAll[[#This Row],[Operating Margin (SHL)]] &lt; V$826, 3, IF( tblFilterAll[[#This Row],[Operating Margin (SHL)]] &lt; V$827, 2, 1 ) ) )</f>
        <v>2</v>
      </c>
      <c r="X917" s="35">
        <f xml:space="preserve"> COUNTIFS( tblFilterAll[Include in output], 1, tblFilterAll[Operating Margin (SHL)], "&gt;" &amp; tblFilterAll[[#This Row],[Operating Margin (SHL)]] ) + 1</f>
        <v>86</v>
      </c>
      <c r="Y917" s="30" cm="1">
        <f t="array" ref="Y917" xml:space="preserve"> INDEX( VfM_Metrics_2023_Consol_Source[], $AK917, Y$832 )</f>
        <v>0.21462353386303443</v>
      </c>
      <c r="Z917" s="35">
        <f xml:space="preserve"> IF( tblFilterAll[[#This Row],[Operating Margin (Overall)]] &lt; Y$825, 4, IF( tblFilterAll[[#This Row],[Operating Margin (Overall)]] &lt; Y$826, 3, IF( tblFilterAll[[#This Row],[Operating Margin (Overall)]] &lt; Y$827, 2, 1 ) ) )</f>
        <v>2</v>
      </c>
      <c r="AA917" s="35">
        <f xml:space="preserve"> COUNTIFS( tblFilterAll[Include in output], 1, tblFilterAll[Operating Margin (Overall)], "&gt;" &amp; tblFilterAll[[#This Row],[Operating Margin (Overall)]] ) + 1</f>
        <v>69</v>
      </c>
      <c r="AB917" s="30" cm="1">
        <f t="array" ref="AB917" xml:space="preserve"> INDEX( VfM_Metrics_2023_Consol_Source[], $AK917, AB$832 )</f>
        <v>2.9938312686044879E-2</v>
      </c>
      <c r="AC917" s="35">
        <f xml:space="preserve"> IF( tblFilterAll[[#This Row],[ROCE]] &lt; AB$825, 4, IF( tblFilterAll[[#This Row],[ROCE]] &lt; AB$826, 3, IF( tblFilterAll[[#This Row],[ROCE]] &lt; AB$827, 2, 1 ) ) )</f>
        <v>2</v>
      </c>
      <c r="AD917" s="35">
        <f xml:space="preserve"> COUNTIFS( tblFilterAll[Include in output], 1, tblFilterAll[ROCE], "&gt;" &amp; tblFilterAll[[#This Row],[ROCE]] ) + 1</f>
        <v>86</v>
      </c>
      <c r="AE917" s="33" cm="1" vm="7978">
        <f t="array" ref="AE917" xml:space="preserve"> INDEX( VfM_Metrics_2023_Consol_Source[], $AK917, AE$832 )</f>
        <v>33428</v>
      </c>
      <c r="AF917" s="30" cm="1">
        <f t="array" ref="AF917" xml:space="preserve"> INDEX( VfM_Metrics_2023_Consol_Source[], $AK917, AF$832 )</f>
        <v>2.0427724195770682E-2</v>
      </c>
      <c r="AG917" s="30" cm="1">
        <f t="array" ref="AG917" xml:space="preserve"> INDEX( VfM_Metrics_2023_Consol_Source[], $AK917, AG$832 )</f>
        <v>9.3092913197148505E-2</v>
      </c>
      <c r="AH917" s="30" cm="1">
        <f t="array" ref="AH917" xml:space="preserve"> INDEX( VfM_Metrics_2023_Consol_Source[], $AK917, AH$832 )</f>
        <v>0.11352063739291919</v>
      </c>
      <c r="AI917" s="30" t="str" cm="1">
        <f t="array" ref="AI917" xml:space="preserve"> INDEX( VfM_Metrics_2023_Consol_Source[], $AK917, AI$832 )</f>
        <v>Traditional</v>
      </c>
      <c r="AJ917" s="34" t="str" cm="1">
        <f t="array" ref="AJ917" xml:space="preserve"> INDEX( VfM_Metrics_2023_Consol_Source[], $AK917, AJ$832 )</f>
        <v>North West</v>
      </c>
      <c r="AK917" s="81">
        <f xml:space="preserve"> MATCH( tblFilterAll[[#This Row],[Code]], VfM_Metrics_2023_Consol_Source[RP_Code], 0 )</f>
        <v>84</v>
      </c>
      <c r="AL917" s="24">
        <f xml:space="preserve"> INDEX( tblFilterRegion[Include for region],  MATCH( tblFilterAll[[#This Row],[Code]], tblFilterRegion[RP_Code], 0 ) )</f>
        <v>1</v>
      </c>
      <c r="AM917" s="24">
        <f xml:space="preserve"> INDEX( tblFilterPropType[Incl for prop type],  MATCH( tblFilterAll[[#This Row],[Code]], tblFilterPropType[RP_Code], 0 ) )</f>
        <v>1</v>
      </c>
      <c r="AN917" s="24">
        <f xml:space="preserve"> INDEX( tblFilterSize[Incl for size],  MATCH( tblFilterAll[[#This Row],[Code]], tblFilterSize[RP_Code], 0 ) )</f>
        <v>1</v>
      </c>
      <c r="AO917" s="24">
        <f xml:space="preserve"> INDEX( tblFilterRP_Type[Incl, for RP Type],  MATCH( tblFilterAll[[#This Row],[Code]], tblFilterRP_Type[RP_Code], 0 ) )</f>
        <v>1</v>
      </c>
      <c r="AP917" s="24">
        <f xml:space="preserve">  -- ( SUM( tblFilterAll[[#This Row],[Filter Region]:[Filter RP Type]] ) = 4 )</f>
        <v>1</v>
      </c>
      <c r="AQ917" s="24">
        <f xml:space="preserve"> -- ( tblFilterAll[[#This Row],[Provider name]] = SelectedProvider )</f>
        <v>0</v>
      </c>
      <c r="AR917" s="24">
        <f xml:space="preserve">  -- ( OR( SUM( tblFilterAll[[#This Row],[Filter Region]:[Filter RP Type]] ) = 4, tblFilterAll[[#This Row],[SelectedProvider]] = 1 ) )</f>
        <v>1</v>
      </c>
      <c r="AS917" s="24">
        <f xml:space="preserve"> -- ( INDEX( PeersCritera[Included in final peers], MATCH( tblFilterAll[[#This Row],[Provider name]], PeersCritera[RP_Name], 0 ) ) = 1 )</f>
        <v>1</v>
      </c>
      <c r="AT917" s="30" t="str" cm="1">
        <f t="array" ref="AT917" xml:space="preserve"> SUBSTITUTE( INDEX( VfM_Metrics_2023_Consol_Source[], $AK917, AT$832 ), 0, "" )</f>
        <v>&gt;= 12 years</v>
      </c>
      <c r="AU917" s="34" cm="1">
        <f t="array" ref="AU917" xml:space="preserve"> INDEX( VfM_Metrics_2023_Consol_Source[], $AK917, AU$832 )</f>
        <v>0</v>
      </c>
      <c r="AV917" s="34" cm="1">
        <f t="array" ref="AV917" xml:space="preserve"> INDEX( VfM_Metrics_2023_Consol_Source[], $AK917, AV$832 )</f>
        <v>0</v>
      </c>
      <c r="AW917" s="34" cm="1">
        <f t="array" ref="AW917" xml:space="preserve"> INDEX( VfM_Metrics_2023_Consol_Source[], $AK917, AW$832 )</f>
        <v>0</v>
      </c>
      <c r="AX917" s="34" cm="1">
        <f t="array" ref="AX917" xml:space="preserve"> INDEX( VfM_Metrics_2023_Consol_Source[], $AK917, AX$832 )</f>
        <v>9.7732907195555427E-2</v>
      </c>
      <c r="AY917" s="34" cm="1">
        <f t="array" ref="AY917" xml:space="preserve"> INDEX( VfM_Metrics_2023_Consol_Source[], $AK917, AY$832 )</f>
        <v>8.960841124286867E-5</v>
      </c>
      <c r="AZ917" s="34" cm="1">
        <f t="array" ref="AZ917" xml:space="preserve"> INDEX( VfM_Metrics_2023_Consol_Source[], $AK917, AZ$832 )</f>
        <v>0</v>
      </c>
      <c r="BA917" s="34" cm="1">
        <f t="array" ref="BA917" xml:space="preserve"> INDEX( VfM_Metrics_2023_Consol_Source[], $AK917, BA$832 )</f>
        <v>0</v>
      </c>
      <c r="BB917" s="34" cm="1">
        <f t="array" ref="BB917" xml:space="preserve"> INDEX( VfM_Metrics_2023_Consol_Source[], $AK917, BB$832 )</f>
        <v>0.90158009498491587</v>
      </c>
      <c r="BC917" s="34" cm="1">
        <f t="array" ref="BC917" xml:space="preserve"> INDEX( VfM_Metrics_2023_Consol_Source[], $AK917, BC$832 )</f>
        <v>5.9738940828579106E-4</v>
      </c>
    </row>
    <row r="918" spans="2:55" x14ac:dyDescent="0.2">
      <c r="B918" s="122" t="str" vm="85">
        <f t="shared" ref="B918" si="421" xml:space="preserve"> B708</f>
        <v>'Johnnie' Johnson Housing Trust Limited</v>
      </c>
      <c r="C918" s="122" t="str" vm="318">
        <f t="shared" si="401"/>
        <v>L1231</v>
      </c>
      <c r="D918" s="30" cm="1">
        <f t="array" ref="D918" xml:space="preserve"> INDEX( VfM_Metrics_2023_Consol_Source[], $AK918, D$832 )</f>
        <v>5.6831905431709365E-2</v>
      </c>
      <c r="E918" s="35">
        <f xml:space="preserve"> IF( tblFilterAll[[#This Row],[Reinvestment]] &lt; D$825, 4, IF( tblFilterAll[[#This Row],[Reinvestment]] &lt; D$826, 3, IF( tblFilterAll[[#This Row],[Reinvestment]] &lt; D$827, 2, 1 ) ) )</f>
        <v>3</v>
      </c>
      <c r="F918" s="35">
        <f xml:space="preserve"> COUNTIFS( tblFilterAll[Include in output], 1, tblFilterAll[Reinvestment], "&gt;" &amp; tblFilterAll[[#This Row],[Reinvestment]] ) + 1</f>
        <v>129</v>
      </c>
      <c r="G918" s="30" cm="1">
        <f t="array" ref="G918" xml:space="preserve"> INDEX( VfM_Metrics_2023_Consol_Source[], $AK918, G$832 )</f>
        <v>2.6067776218167233E-3</v>
      </c>
      <c r="H918" s="35">
        <f xml:space="preserve"> IF( tblFilterAll[[#This Row],[New Supply (Social)]] &lt; G$825, 4, IF( tblFilterAll[[#This Row],[New Supply (Social)]] &lt; G$826, 3, IF( tblFilterAll[[#This Row],[New Supply (Social)]] &lt; G$827, 2, 1 ) ) )</f>
        <v>4</v>
      </c>
      <c r="I918" s="35">
        <f xml:space="preserve"> COUNTIFS( tblFilterAll[Include in output], 1, tblFilterAll[New Supply (Social)], "&gt;" &amp; tblFilterAll[[#This Row],[New Supply (Social)]] ) + 1</f>
        <v>174</v>
      </c>
      <c r="J918" s="31" cm="1">
        <f t="array" ref="J918" xml:space="preserve"> INDEX( VfM_Metrics_2023_Consol_Source[], $AK918, J$832 )</f>
        <v>0</v>
      </c>
      <c r="K918" s="35">
        <f xml:space="preserve"> IF( tblFilterAll[[#This Row],[New Supply (Non-Social)]] &lt; J$825, 4, IF( tblFilterAll[[#This Row],[New Supply (Non-Social)]] &lt; J$826, 3, IF( tblFilterAll[[#This Row],[New Supply (Non-Social)]] &lt; J$827, 2, 1 ) ) )</f>
        <v>2</v>
      </c>
      <c r="L918" s="35">
        <f xml:space="preserve"> COUNTIFS( tblFilterAll[Include in output], 1, tblFilterAll[New Supply (Non-Social)], "&gt;" &amp; tblFilterAll[[#This Row],[New Supply (Non-Social)]] ) + 1</f>
        <v>72</v>
      </c>
      <c r="M918" s="30" cm="1">
        <f t="array" ref="M918" xml:space="preserve"> INDEX( VfM_Metrics_2023_Consol_Source[], $AK918, M$832 )</f>
        <v>0.50855320176747221</v>
      </c>
      <c r="N918" s="35">
        <f xml:space="preserve"> IF( tblFilterAll[[#This Row],[Gearing]] &lt; M$825, 4, IF( tblFilterAll[[#This Row],[Gearing]] &lt; M$826, 3, IF( tblFilterAll[[#This Row],[Gearing]] &lt; M$827, 2, 1 ) ) )</f>
        <v>2</v>
      </c>
      <c r="O918" s="35">
        <f xml:space="preserve"> COUNTIFS( tblFilterAll[Include in output], 1, tblFilterAll[Gearing], "&gt;" &amp; tblFilterAll[[#This Row],[Gearing]] ) + 1</f>
        <v>68</v>
      </c>
      <c r="P918" s="30" cm="1">
        <f t="array" ref="P918" xml:space="preserve"> INDEX( VfM_Metrics_2023_Consol_Source[], $AK918, P$832 )</f>
        <v>1.0232362821948489</v>
      </c>
      <c r="Q918" s="35">
        <f xml:space="preserve"> IF( tblFilterAll[[#This Row],[EBITDA MRI Interest Cover]] &lt; P$825, 4, IF( tblFilterAll[[#This Row],[EBITDA MRI Interest Cover]] &lt; P$826, 3, IF( tblFilterAll[[#This Row],[EBITDA MRI Interest Cover]] &lt; P$827, 2, 1 ) ) )</f>
        <v>3</v>
      </c>
      <c r="R918" s="35">
        <f xml:space="preserve"> COUNTIFS( tblFilterAll[Include in output], 1, tblFilterAll[EBITDA MRI Interest Cover], "&gt;" &amp; tblFilterAll[[#This Row],[EBITDA MRI Interest Cover]] ) + 1</f>
        <v>135</v>
      </c>
      <c r="S918" s="32" cm="1">
        <f t="array" ref="S918" xml:space="preserve"> INDEX( VfM_Metrics_2023_Consol_Source[], $AK918, S$832 )</f>
        <v>5033.0695881517549</v>
      </c>
      <c r="T918" s="35">
        <f xml:space="preserve"> IF( tblFilterAll[[#This Row],[Headline Social Housing Cost per unit]] &lt; S$825, 4, IF( tblFilterAll[[#This Row],[Headline Social Housing Cost per unit]] &lt; S$826, 3, IF( tblFilterAll[[#This Row],[Headline Social Housing Cost per unit]] &lt; S$827, 2, 1 ) ) )</f>
        <v>2</v>
      </c>
      <c r="U918" s="35">
        <f xml:space="preserve"> COUNTIFS( tblFilterAll[Include in output], 1, tblFilterAll[Headline Social Housing Cost per unit], "&gt;" &amp; tblFilterAll[[#This Row],[Headline Social Housing Cost per unit]] ) + 1</f>
        <v>76</v>
      </c>
      <c r="V918" s="30" cm="1">
        <f t="array" ref="V918" xml:space="preserve"> INDEX( VfM_Metrics_2023_Consol_Source[], $AK918, V$832 )</f>
        <v>0.14701873271799665</v>
      </c>
      <c r="W918" s="35">
        <f xml:space="preserve"> IF( tblFilterAll[[#This Row],[Operating Margin (SHL)]] &lt; V$825, 4, IF( tblFilterAll[[#This Row],[Operating Margin (SHL)]] &lt; V$826, 3, IF( tblFilterAll[[#This Row],[Operating Margin (SHL)]] &lt; V$827, 2, 1 ) ) )</f>
        <v>3</v>
      </c>
      <c r="X918" s="35">
        <f xml:space="preserve"> COUNTIFS( tblFilterAll[Include in output], 1, tblFilterAll[Operating Margin (SHL)], "&gt;" &amp; tblFilterAll[[#This Row],[Operating Margin (SHL)]] ) + 1</f>
        <v>147</v>
      </c>
      <c r="Y918" s="30" cm="1">
        <f t="array" ref="Y918" xml:space="preserve"> INDEX( VfM_Metrics_2023_Consol_Source[], $AK918, Y$832 )</f>
        <v>0.12973972304792286</v>
      </c>
      <c r="Z918" s="35">
        <f xml:space="preserve"> IF( tblFilterAll[[#This Row],[Operating Margin (Overall)]] &lt; Y$825, 4, IF( tblFilterAll[[#This Row],[Operating Margin (Overall)]] &lt; Y$826, 3, IF( tblFilterAll[[#This Row],[Operating Margin (Overall)]] &lt; Y$827, 2, 1 ) ) )</f>
        <v>3</v>
      </c>
      <c r="AA918" s="35">
        <f xml:space="preserve"> COUNTIFS( tblFilterAll[Include in output], 1, tblFilterAll[Operating Margin (Overall)], "&gt;" &amp; tblFilterAll[[#This Row],[Operating Margin (Overall)]] ) + 1</f>
        <v>145</v>
      </c>
      <c r="AB918" s="30" cm="1">
        <f t="array" ref="AB918" xml:space="preserve"> INDEX( VfM_Metrics_2023_Consol_Source[], $AK918, AB$832 )</f>
        <v>2.5282781882201854E-2</v>
      </c>
      <c r="AC918" s="35">
        <f xml:space="preserve"> IF( tblFilterAll[[#This Row],[ROCE]] &lt; AB$825, 4, IF( tblFilterAll[[#This Row],[ROCE]] &lt; AB$826, 3, IF( tblFilterAll[[#This Row],[ROCE]] &lt; AB$827, 2, 1 ) ) )</f>
        <v>3</v>
      </c>
      <c r="AD918" s="35">
        <f xml:space="preserve"> COUNTIFS( tblFilterAll[Include in output], 1, tblFilterAll[ROCE], "&gt;" &amp; tblFilterAll[[#This Row],[ROCE]] ) + 1</f>
        <v>125</v>
      </c>
      <c r="AE918" s="33" cm="1" vm="7439">
        <f t="array" ref="AE918" xml:space="preserve"> INDEX( VfM_Metrics_2023_Consol_Source[], $AK918, AE$832 )</f>
        <v>4908</v>
      </c>
      <c r="AF918" s="30" cm="1">
        <f t="array" ref="AF918" xml:space="preserve"> INDEX( VfM_Metrics_2023_Consol_Source[], $AK918, AF$832 )</f>
        <v>1.8207855973813421E-2</v>
      </c>
      <c r="AG918" s="30" cm="1">
        <f t="array" ref="AG918" xml:space="preserve"> INDEX( VfM_Metrics_2023_Consol_Source[], $AK918, AG$832 )</f>
        <v>0.49549918166939444</v>
      </c>
      <c r="AH918" s="30" cm="1">
        <f t="array" ref="AH918" xml:space="preserve"> INDEX( VfM_Metrics_2023_Consol_Source[], $AK918, AH$832 )</f>
        <v>0.51370703764320791</v>
      </c>
      <c r="AI918" s="30" t="str" cm="1">
        <f t="array" ref="AI918" xml:space="preserve"> INDEX( VfM_Metrics_2023_Consol_Source[], $AK918, AI$832 )</f>
        <v>Traditional</v>
      </c>
      <c r="AJ918" s="34" t="str" cm="1">
        <f t="array" ref="AJ918" xml:space="preserve"> INDEX( VfM_Metrics_2023_Consol_Source[], $AK918, AJ$832 )</f>
        <v>Mixed</v>
      </c>
      <c r="AK918" s="81">
        <f xml:space="preserve"> MATCH( tblFilterAll[[#This Row],[Code]], VfM_Metrics_2023_Consol_Source[RP_Code], 0 )</f>
        <v>85</v>
      </c>
      <c r="AL918" s="24">
        <f xml:space="preserve"> INDEX( tblFilterRegion[Include for region],  MATCH( tblFilterAll[[#This Row],[Code]], tblFilterRegion[RP_Code], 0 ) )</f>
        <v>1</v>
      </c>
      <c r="AM918" s="24">
        <f xml:space="preserve"> INDEX( tblFilterPropType[Incl for prop type],  MATCH( tblFilterAll[[#This Row],[Code]], tblFilterPropType[RP_Code], 0 ) )</f>
        <v>1</v>
      </c>
      <c r="AN918" s="24">
        <f xml:space="preserve"> INDEX( tblFilterSize[Incl for size],  MATCH( tblFilterAll[[#This Row],[Code]], tblFilterSize[RP_Code], 0 ) )</f>
        <v>1</v>
      </c>
      <c r="AO918" s="24">
        <f xml:space="preserve"> INDEX( tblFilterRP_Type[Incl, for RP Type],  MATCH( tblFilterAll[[#This Row],[Code]], tblFilterRP_Type[RP_Code], 0 ) )</f>
        <v>1</v>
      </c>
      <c r="AP918" s="24">
        <f xml:space="preserve">  -- ( SUM( tblFilterAll[[#This Row],[Filter Region]:[Filter RP Type]] ) = 4 )</f>
        <v>1</v>
      </c>
      <c r="AQ918" s="24">
        <f xml:space="preserve"> -- ( tblFilterAll[[#This Row],[Provider name]] = SelectedProvider )</f>
        <v>0</v>
      </c>
      <c r="AR918" s="24">
        <f xml:space="preserve">  -- ( OR( SUM( tblFilterAll[[#This Row],[Filter Region]:[Filter RP Type]] ) = 4, tblFilterAll[[#This Row],[SelectedProvider]] = 1 ) )</f>
        <v>1</v>
      </c>
      <c r="AS918" s="24">
        <f xml:space="preserve"> -- ( INDEX( PeersCritera[Included in final peers], MATCH( tblFilterAll[[#This Row],[Provider name]], PeersCritera[RP_Name], 0 ) ) = 1 )</f>
        <v>1</v>
      </c>
      <c r="AT918" s="30" t="str" cm="1">
        <f t="array" ref="AT918" xml:space="preserve"> SUBSTITUTE( INDEX( VfM_Metrics_2023_Consol_Source[], $AK918, AT$832 ), 0, "" )</f>
        <v/>
      </c>
      <c r="AU918" s="34" cm="1">
        <f t="array" ref="AU918" xml:space="preserve"> INDEX( VfM_Metrics_2023_Consol_Source[], $AK918, AU$832 )</f>
        <v>0</v>
      </c>
      <c r="AV918" s="34" cm="1">
        <f t="array" ref="AV918" xml:space="preserve"> INDEX( VfM_Metrics_2023_Consol_Source[], $AK918, AV$832 )</f>
        <v>0</v>
      </c>
      <c r="AW918" s="34" cm="1">
        <f t="array" ref="AW918" xml:space="preserve"> INDEX( VfM_Metrics_2023_Consol_Source[], $AK918, AW$832 )</f>
        <v>0</v>
      </c>
      <c r="AX918" s="34" cm="1">
        <f t="array" ref="AX918" xml:space="preserve"> INDEX( VfM_Metrics_2023_Consol_Source[], $AK918, AX$832 )</f>
        <v>6.9981583793738492E-2</v>
      </c>
      <c r="AY918" s="34" cm="1">
        <f t="array" ref="AY918" xml:space="preserve"> INDEX( VfM_Metrics_2023_Consol_Source[], $AK918, AY$832 )</f>
        <v>0</v>
      </c>
      <c r="AZ918" s="34" cm="1">
        <f t="array" ref="AZ918" xml:space="preserve"> INDEX( VfM_Metrics_2023_Consol_Source[], $AK918, AZ$832 )</f>
        <v>1.0026601186822181E-2</v>
      </c>
      <c r="BA918" s="34" cm="1">
        <f t="array" ref="BA918" xml:space="preserve"> INDEX( VfM_Metrics_2023_Consol_Source[], $AK918, BA$832 )</f>
        <v>0.21424186617556784</v>
      </c>
      <c r="BB918" s="34" cm="1">
        <f t="array" ref="BB918" xml:space="preserve"> INDEX( VfM_Metrics_2023_Consol_Source[], $AK918, BB$832 )</f>
        <v>0.45979128299570288</v>
      </c>
      <c r="BC918" s="34" cm="1">
        <f t="array" ref="BC918" xml:space="preserve"> INDEX( VfM_Metrics_2023_Consol_Source[], $AK918, BC$832 )</f>
        <v>0.24595866584816861</v>
      </c>
    </row>
    <row r="919" spans="2:55" x14ac:dyDescent="0.2">
      <c r="B919" s="122" t="str" vm="86">
        <f t="shared" ref="B919" si="422" xml:space="preserve"> B709</f>
        <v>Joseph Rowntree Housing Trust</v>
      </c>
      <c r="C919" s="122" t="str" vm="207">
        <f t="shared" si="401"/>
        <v>5079</v>
      </c>
      <c r="D919" s="30" cm="1">
        <f t="array" ref="D919" xml:space="preserve"> INDEX( VfM_Metrics_2023_Consol_Source[], $AK919, D$832 )</f>
        <v>2.0537136398000602E-2</v>
      </c>
      <c r="E919" s="35">
        <f xml:space="preserve"> IF( tblFilterAll[[#This Row],[Reinvestment]] &lt; D$825, 4, IF( tblFilterAll[[#This Row],[Reinvestment]] &lt; D$826, 3, IF( tblFilterAll[[#This Row],[Reinvestment]] &lt; D$827, 2, 1 ) ) )</f>
        <v>4</v>
      </c>
      <c r="F919" s="35">
        <f xml:space="preserve"> COUNTIFS( tblFilterAll[Include in output], 1, tblFilterAll[Reinvestment], "&gt;" &amp; tblFilterAll[[#This Row],[Reinvestment]] ) + 1</f>
        <v>188</v>
      </c>
      <c r="G919" s="30" cm="1">
        <f t="array" ref="G919" xml:space="preserve"> INDEX( VfM_Metrics_2023_Consol_Source[], $AK919, G$832 )</f>
        <v>8.2610491532424622E-4</v>
      </c>
      <c r="H919" s="35">
        <f xml:space="preserve"> IF( tblFilterAll[[#This Row],[New Supply (Social)]] &lt; G$825, 4, IF( tblFilterAll[[#This Row],[New Supply (Social)]] &lt; G$826, 3, IF( tblFilterAll[[#This Row],[New Supply (Social)]] &lt; G$827, 2, 1 ) ) )</f>
        <v>4</v>
      </c>
      <c r="I919" s="35">
        <f xml:space="preserve"> COUNTIFS( tblFilterAll[Include in output], 1, tblFilterAll[New Supply (Social)], "&gt;" &amp; tblFilterAll[[#This Row],[New Supply (Social)]] ) + 1</f>
        <v>182</v>
      </c>
      <c r="J919" s="31" cm="1">
        <f t="array" ref="J919" xml:space="preserve"> INDEX( VfM_Metrics_2023_Consol_Source[], $AK919, J$832 )</f>
        <v>0</v>
      </c>
      <c r="K919" s="35">
        <f xml:space="preserve"> IF( tblFilterAll[[#This Row],[New Supply (Non-Social)]] &lt; J$825, 4, IF( tblFilterAll[[#This Row],[New Supply (Non-Social)]] &lt; J$826, 3, IF( tblFilterAll[[#This Row],[New Supply (Non-Social)]] &lt; J$827, 2, 1 ) ) )</f>
        <v>2</v>
      </c>
      <c r="L919" s="35">
        <f xml:space="preserve"> COUNTIFS( tblFilterAll[Include in output], 1, tblFilterAll[New Supply (Non-Social)], "&gt;" &amp; tblFilterAll[[#This Row],[New Supply (Non-Social)]] ) + 1</f>
        <v>72</v>
      </c>
      <c r="M919" s="30" cm="1">
        <f t="array" ref="M919" xml:space="preserve"> INDEX( VfM_Metrics_2023_Consol_Source[], $AK919, M$832 )</f>
        <v>0.29780315763977072</v>
      </c>
      <c r="N919" s="35">
        <f xml:space="preserve"> IF( tblFilterAll[[#This Row],[Gearing]] &lt; M$825, 4, IF( tblFilterAll[[#This Row],[Gearing]] &lt; M$826, 3, IF( tblFilterAll[[#This Row],[Gearing]] &lt; M$827, 2, 1 ) ) )</f>
        <v>4</v>
      </c>
      <c r="O919" s="35">
        <f xml:space="preserve"> COUNTIFS( tblFilterAll[Include in output], 1, tblFilterAll[Gearing], "&gt;" &amp; tblFilterAll[[#This Row],[Gearing]] ) + 1</f>
        <v>159</v>
      </c>
      <c r="P919" s="30" cm="1">
        <f t="array" ref="P919" xml:space="preserve"> INDEX( VfM_Metrics_2023_Consol_Source[], $AK919, P$832 )</f>
        <v>0.24505622334238078</v>
      </c>
      <c r="Q919" s="35">
        <f xml:space="preserve"> IF( tblFilterAll[[#This Row],[EBITDA MRI Interest Cover]] &lt; P$825, 4, IF( tblFilterAll[[#This Row],[EBITDA MRI Interest Cover]] &lt; P$826, 3, IF( tblFilterAll[[#This Row],[EBITDA MRI Interest Cover]] &lt; P$827, 2, 1 ) ) )</f>
        <v>4</v>
      </c>
      <c r="R919" s="35">
        <f xml:space="preserve"> COUNTIFS( tblFilterAll[Include in output], 1, tblFilterAll[EBITDA MRI Interest Cover], "&gt;" &amp; tblFilterAll[[#This Row],[EBITDA MRI Interest Cover]] ) + 1</f>
        <v>178</v>
      </c>
      <c r="S919" s="32" cm="1">
        <f t="array" ref="S919" xml:space="preserve"> INDEX( VfM_Metrics_2023_Consol_Source[], $AK919, S$832 )</f>
        <v>8779.0157845868143</v>
      </c>
      <c r="T919" s="35">
        <f xml:space="preserve"> IF( tblFilterAll[[#This Row],[Headline Social Housing Cost per unit]] &lt; S$825, 4, IF( tblFilterAll[[#This Row],[Headline Social Housing Cost per unit]] &lt; S$826, 3, IF( tblFilterAll[[#This Row],[Headline Social Housing Cost per unit]] &lt; S$827, 2, 1 ) ) )</f>
        <v>1</v>
      </c>
      <c r="U919" s="35">
        <f xml:space="preserve"> COUNTIFS( tblFilterAll[Include in output], 1, tblFilterAll[Headline Social Housing Cost per unit], "&gt;" &amp; tblFilterAll[[#This Row],[Headline Social Housing Cost per unit]] ) + 1</f>
        <v>18</v>
      </c>
      <c r="V919" s="30" cm="1">
        <f t="array" ref="V919" xml:space="preserve"> INDEX( VfM_Metrics_2023_Consol_Source[], $AK919, V$832 )</f>
        <v>1.0959257349149047E-2</v>
      </c>
      <c r="W919" s="35">
        <f xml:space="preserve"> IF( tblFilterAll[[#This Row],[Operating Margin (SHL)]] &lt; V$825, 4, IF( tblFilterAll[[#This Row],[Operating Margin (SHL)]] &lt; V$826, 3, IF( tblFilterAll[[#This Row],[Operating Margin (SHL)]] &lt; V$827, 2, 1 ) ) )</f>
        <v>4</v>
      </c>
      <c r="X919" s="35">
        <f xml:space="preserve"> COUNTIFS( tblFilterAll[Include in output], 1, tblFilterAll[Operating Margin (SHL)], "&gt;" &amp; tblFilterAll[[#This Row],[Operating Margin (SHL)]] ) + 1</f>
        <v>192</v>
      </c>
      <c r="Y919" s="30" cm="1">
        <f t="array" ref="Y919" xml:space="preserve"> INDEX( VfM_Metrics_2023_Consol_Source[], $AK919, Y$832 )</f>
        <v>-2.6142242230383445E-2</v>
      </c>
      <c r="Z919" s="35">
        <f xml:space="preserve"> IF( tblFilterAll[[#This Row],[Operating Margin (Overall)]] &lt; Y$825, 4, IF( tblFilterAll[[#This Row],[Operating Margin (Overall)]] &lt; Y$826, 3, IF( tblFilterAll[[#This Row],[Operating Margin (Overall)]] &lt; Y$827, 2, 1 ) ) )</f>
        <v>4</v>
      </c>
      <c r="AA919" s="35">
        <f xml:space="preserve"> COUNTIFS( tblFilterAll[Include in output], 1, tblFilterAll[Operating Margin (Overall)], "&gt;" &amp; tblFilterAll[[#This Row],[Operating Margin (Overall)]] ) + 1</f>
        <v>194</v>
      </c>
      <c r="AB919" s="30" cm="1">
        <f t="array" ref="AB919" xml:space="preserve"> INDEX( VfM_Metrics_2023_Consol_Source[], $AK919, AB$832 )</f>
        <v>7.6261008807045633E-3</v>
      </c>
      <c r="AC919" s="35">
        <f xml:space="preserve"> IF( tblFilterAll[[#This Row],[ROCE]] &lt; AB$825, 4, IF( tblFilterAll[[#This Row],[ROCE]] &lt; AB$826, 3, IF( tblFilterAll[[#This Row],[ROCE]] &lt; AB$827, 2, 1 ) ) )</f>
        <v>4</v>
      </c>
      <c r="AD919" s="35">
        <f xml:space="preserve"> COUNTIFS( tblFilterAll[Include in output], 1, tblFilterAll[ROCE], "&gt;" &amp; tblFilterAll[[#This Row],[ROCE]] ) + 1</f>
        <v>191</v>
      </c>
      <c r="AE919" s="33" cm="1" vm="9045">
        <f t="array" ref="AE919" xml:space="preserve"> INDEX( VfM_Metrics_2023_Consol_Source[], $AK919, AE$832 )</f>
        <v>2154</v>
      </c>
      <c r="AF919" s="30" cm="1">
        <f t="array" ref="AF919" xml:space="preserve"> INDEX( VfM_Metrics_2023_Consol_Source[], $AK919, AF$832 )</f>
        <v>2.1561017680034499E-2</v>
      </c>
      <c r="AG919" s="30" cm="1">
        <f t="array" ref="AG919" xml:space="preserve"> INDEX( VfM_Metrics_2023_Consol_Source[], $AK919, AG$832 )</f>
        <v>0.13885295385942217</v>
      </c>
      <c r="AH919" s="30" cm="1">
        <f t="array" ref="AH919" xml:space="preserve"> INDEX( VfM_Metrics_2023_Consol_Source[], $AK919, AH$832 )</f>
        <v>0.16041397153945666</v>
      </c>
      <c r="AI919" s="30" t="str" cm="1">
        <f t="array" ref="AI919" xml:space="preserve"> INDEX( VfM_Metrics_2023_Consol_Source[], $AK919, AI$832 )</f>
        <v>Traditional</v>
      </c>
      <c r="AJ919" s="34" t="str" cm="1">
        <f t="array" ref="AJ919" xml:space="preserve"> INDEX( VfM_Metrics_2023_Consol_Source[], $AK919, AJ$832 )</f>
        <v>Yorkshire &amp; the Humber</v>
      </c>
      <c r="AK919" s="81">
        <f xml:space="preserve"> MATCH( tblFilterAll[[#This Row],[Code]], VfM_Metrics_2023_Consol_Source[RP_Code], 0 )</f>
        <v>86</v>
      </c>
      <c r="AL919" s="24">
        <f xml:space="preserve"> INDEX( tblFilterRegion[Include for region],  MATCH( tblFilterAll[[#This Row],[Code]], tblFilterRegion[RP_Code], 0 ) )</f>
        <v>1</v>
      </c>
      <c r="AM919" s="24">
        <f xml:space="preserve"> INDEX( tblFilterPropType[Incl for prop type],  MATCH( tblFilterAll[[#This Row],[Code]], tblFilterPropType[RP_Code], 0 ) )</f>
        <v>1</v>
      </c>
      <c r="AN919" s="24">
        <f xml:space="preserve"> INDEX( tblFilterSize[Incl for size],  MATCH( tblFilterAll[[#This Row],[Code]], tblFilterSize[RP_Code], 0 ) )</f>
        <v>1</v>
      </c>
      <c r="AO919" s="24">
        <f xml:space="preserve"> INDEX( tblFilterRP_Type[Incl, for RP Type],  MATCH( tblFilterAll[[#This Row],[Code]], tblFilterRP_Type[RP_Code], 0 ) )</f>
        <v>1</v>
      </c>
      <c r="AP919" s="24">
        <f xml:space="preserve">  -- ( SUM( tblFilterAll[[#This Row],[Filter Region]:[Filter RP Type]] ) = 4 )</f>
        <v>1</v>
      </c>
      <c r="AQ919" s="24">
        <f xml:space="preserve"> -- ( tblFilterAll[[#This Row],[Provider name]] = SelectedProvider )</f>
        <v>0</v>
      </c>
      <c r="AR919" s="24">
        <f xml:space="preserve">  -- ( OR( SUM( tblFilterAll[[#This Row],[Filter Region]:[Filter RP Type]] ) = 4, tblFilterAll[[#This Row],[SelectedProvider]] = 1 ) )</f>
        <v>1</v>
      </c>
      <c r="AS919" s="24">
        <f xml:space="preserve"> -- ( INDEX( PeersCritera[Included in final peers], MATCH( tblFilterAll[[#This Row],[Provider name]], PeersCritera[RP_Name], 0 ) ) = 1 )</f>
        <v>1</v>
      </c>
      <c r="AT919" s="30" t="str" cm="1">
        <f t="array" ref="AT919" xml:space="preserve"> SUBSTITUTE( INDEX( VfM_Metrics_2023_Consol_Source[], $AK919, AT$832 ), 0, "" )</f>
        <v/>
      </c>
      <c r="AU919" s="34" cm="1">
        <f t="array" ref="AU919" xml:space="preserve"> INDEX( VfM_Metrics_2023_Consol_Source[], $AK919, AU$832 )</f>
        <v>0</v>
      </c>
      <c r="AV919" s="34" cm="1">
        <f t="array" ref="AV919" xml:space="preserve"> INDEX( VfM_Metrics_2023_Consol_Source[], $AK919, AV$832 )</f>
        <v>0</v>
      </c>
      <c r="AW919" s="34" cm="1">
        <f t="array" ref="AW919" xml:space="preserve"> INDEX( VfM_Metrics_2023_Consol_Source[], $AK919, AW$832 )</f>
        <v>0</v>
      </c>
      <c r="AX919" s="34" cm="1">
        <f t="array" ref="AX919" xml:space="preserve"> INDEX( VfM_Metrics_2023_Consol_Source[], $AK919, AX$832 )</f>
        <v>0</v>
      </c>
      <c r="AY919" s="34" cm="1">
        <f t="array" ref="AY919" xml:space="preserve"> INDEX( VfM_Metrics_2023_Consol_Source[], $AK919, AY$832 )</f>
        <v>0</v>
      </c>
      <c r="AZ919" s="34" cm="1">
        <f t="array" ref="AZ919" xml:space="preserve"> INDEX( VfM_Metrics_2023_Consol_Source[], $AK919, AZ$832 )</f>
        <v>0</v>
      </c>
      <c r="BA919" s="34" cm="1">
        <f t="array" ref="BA919" xml:space="preserve"> INDEX( VfM_Metrics_2023_Consol_Source[], $AK919, BA$832 )</f>
        <v>9.3453724604966135E-2</v>
      </c>
      <c r="BB919" s="34" cm="1">
        <f t="array" ref="BB919" xml:space="preserve"> INDEX( VfM_Metrics_2023_Consol_Source[], $AK919, BB$832 )</f>
        <v>0</v>
      </c>
      <c r="BC919" s="34" cm="1">
        <f t="array" ref="BC919" xml:space="preserve"> INDEX( VfM_Metrics_2023_Consol_Source[], $AK919, BC$832 )</f>
        <v>0.90654627539503385</v>
      </c>
    </row>
    <row r="920" spans="2:55" x14ac:dyDescent="0.2">
      <c r="B920" s="122" t="str" vm="87">
        <f t="shared" ref="B920" si="423" xml:space="preserve"> B710</f>
        <v>Karbon Homes Limited</v>
      </c>
      <c r="C920" s="122" t="str" vm="265">
        <f t="shared" si="401"/>
        <v>4846</v>
      </c>
      <c r="D920" s="30" cm="1">
        <f t="array" ref="D920" xml:space="preserve"> INDEX( VfM_Metrics_2023_Consol_Source[], $AK920, D$832 )</f>
        <v>0.10721303184491367</v>
      </c>
      <c r="E920" s="35">
        <f xml:space="preserve"> IF( tblFilterAll[[#This Row],[Reinvestment]] &lt; D$825, 4, IF( tblFilterAll[[#This Row],[Reinvestment]] &lt; D$826, 3, IF( tblFilterAll[[#This Row],[Reinvestment]] &lt; D$827, 2, 1 ) ) )</f>
        <v>1</v>
      </c>
      <c r="F920" s="35">
        <f xml:space="preserve"> COUNTIFS( tblFilterAll[Include in output], 1, tblFilterAll[Reinvestment], "&gt;" &amp; tblFilterAll[[#This Row],[Reinvestment]] ) + 1</f>
        <v>29</v>
      </c>
      <c r="G920" s="30" cm="1">
        <f t="array" ref="G920" xml:space="preserve"> INDEX( VfM_Metrics_2023_Consol_Source[], $AK920, G$832 )</f>
        <v>1.7051864745511396E-2</v>
      </c>
      <c r="H920" s="35">
        <f xml:space="preserve"> IF( tblFilterAll[[#This Row],[New Supply (Social)]] &lt; G$825, 4, IF( tblFilterAll[[#This Row],[New Supply (Social)]] &lt; G$826, 3, IF( tblFilterAll[[#This Row],[New Supply (Social)]] &lt; G$827, 2, 1 ) ) )</f>
        <v>2</v>
      </c>
      <c r="I920" s="35">
        <f xml:space="preserve"> COUNTIFS( tblFilterAll[Include in output], 1, tblFilterAll[New Supply (Social)], "&gt;" &amp; tblFilterAll[[#This Row],[New Supply (Social)]] ) + 1</f>
        <v>74</v>
      </c>
      <c r="J920" s="31" cm="1">
        <f t="array" ref="J920" xml:space="preserve"> INDEX( VfM_Metrics_2023_Consol_Source[], $AK920, J$832 )</f>
        <v>0</v>
      </c>
      <c r="K920" s="35">
        <f xml:space="preserve"> IF( tblFilterAll[[#This Row],[New Supply (Non-Social)]] &lt; J$825, 4, IF( tblFilterAll[[#This Row],[New Supply (Non-Social)]] &lt; J$826, 3, IF( tblFilterAll[[#This Row],[New Supply (Non-Social)]] &lt; J$827, 2, 1 ) ) )</f>
        <v>2</v>
      </c>
      <c r="L920" s="35">
        <f xml:space="preserve"> COUNTIFS( tblFilterAll[Include in output], 1, tblFilterAll[New Supply (Non-Social)], "&gt;" &amp; tblFilterAll[[#This Row],[New Supply (Non-Social)]] ) + 1</f>
        <v>72</v>
      </c>
      <c r="M920" s="30" cm="1">
        <f t="array" ref="M920" xml:space="preserve"> INDEX( VfM_Metrics_2023_Consol_Source[], $AK920, M$832 )</f>
        <v>0.38177503186541689</v>
      </c>
      <c r="N920" s="35">
        <f xml:space="preserve"> IF( tblFilterAll[[#This Row],[Gearing]] &lt; M$825, 4, IF( tblFilterAll[[#This Row],[Gearing]] &lt; M$826, 3, IF( tblFilterAll[[#This Row],[Gearing]] &lt; M$827, 2, 1 ) ) )</f>
        <v>3</v>
      </c>
      <c r="O920" s="35">
        <f xml:space="preserve"> COUNTIFS( tblFilterAll[Include in output], 1, tblFilterAll[Gearing], "&gt;" &amp; tblFilterAll[[#This Row],[Gearing]] ) + 1</f>
        <v>136</v>
      </c>
      <c r="P920" s="30" cm="1">
        <f t="array" ref="P920" xml:space="preserve"> INDEX( VfM_Metrics_2023_Consol_Source[], $AK920, P$832 )</f>
        <v>1.8196147997972631</v>
      </c>
      <c r="Q920" s="35">
        <f xml:space="preserve"> IF( tblFilterAll[[#This Row],[EBITDA MRI Interest Cover]] &lt; P$825, 4, IF( tblFilterAll[[#This Row],[EBITDA MRI Interest Cover]] &lt; P$826, 3, IF( tblFilterAll[[#This Row],[EBITDA MRI Interest Cover]] &lt; P$827, 2, 1 ) ) )</f>
        <v>1</v>
      </c>
      <c r="R920" s="35">
        <f xml:space="preserve"> COUNTIFS( tblFilterAll[Include in output], 1, tblFilterAll[EBITDA MRI Interest Cover], "&gt;" &amp; tblFilterAll[[#This Row],[EBITDA MRI Interest Cover]] ) + 1</f>
        <v>44</v>
      </c>
      <c r="S920" s="32" cm="1">
        <f t="array" ref="S920" xml:space="preserve"> INDEX( VfM_Metrics_2023_Consol_Source[], $AK920, S$832 )</f>
        <v>3809.2062246632668</v>
      </c>
      <c r="T920" s="35">
        <f xml:space="preserve"> IF( tblFilterAll[[#This Row],[Headline Social Housing Cost per unit]] &lt; S$825, 4, IF( tblFilterAll[[#This Row],[Headline Social Housing Cost per unit]] &lt; S$826, 3, IF( tblFilterAll[[#This Row],[Headline Social Housing Cost per unit]] &lt; S$827, 2, 1 ) ) )</f>
        <v>4</v>
      </c>
      <c r="U920" s="35">
        <f xml:space="preserve"> COUNTIFS( tblFilterAll[Include in output], 1, tblFilterAll[Headline Social Housing Cost per unit], "&gt;" &amp; tblFilterAll[[#This Row],[Headline Social Housing Cost per unit]] ) + 1</f>
        <v>181</v>
      </c>
      <c r="V920" s="30" cm="1">
        <f t="array" ref="V920" xml:space="preserve"> INDEX( VfM_Metrics_2023_Consol_Source[], $AK920, V$832 )</f>
        <v>0.28950909956727883</v>
      </c>
      <c r="W920" s="35">
        <f xml:space="preserve"> IF( tblFilterAll[[#This Row],[Operating Margin (SHL)]] &lt; V$825, 4, IF( tblFilterAll[[#This Row],[Operating Margin (SHL)]] &lt; V$826, 3, IF( tblFilterAll[[#This Row],[Operating Margin (SHL)]] &lt; V$827, 2, 1 ) ) )</f>
        <v>1</v>
      </c>
      <c r="X920" s="35">
        <f xml:space="preserve"> COUNTIFS( tblFilterAll[Include in output], 1, tblFilterAll[Operating Margin (SHL)], "&gt;" &amp; tblFilterAll[[#This Row],[Operating Margin (SHL)]] ) + 1</f>
        <v>31</v>
      </c>
      <c r="Y920" s="30" cm="1">
        <f t="array" ref="Y920" xml:space="preserve"> INDEX( VfM_Metrics_2023_Consol_Source[], $AK920, Y$832 )</f>
        <v>0.26351416632448493</v>
      </c>
      <c r="Z920" s="35">
        <f xml:space="preserve"> IF( tblFilterAll[[#This Row],[Operating Margin (Overall)]] &lt; Y$825, 4, IF( tblFilterAll[[#This Row],[Operating Margin (Overall)]] &lt; Y$826, 3, IF( tblFilterAll[[#This Row],[Operating Margin (Overall)]] &lt; Y$827, 2, 1 ) ) )</f>
        <v>1</v>
      </c>
      <c r="AA920" s="35">
        <f xml:space="preserve"> COUNTIFS( tblFilterAll[Include in output], 1, tblFilterAll[Operating Margin (Overall)], "&gt;" &amp; tblFilterAll[[#This Row],[Operating Margin (Overall)]] ) + 1</f>
        <v>27</v>
      </c>
      <c r="AB920" s="30" cm="1">
        <f t="array" ref="AB920" xml:space="preserve"> INDEX( VfM_Metrics_2023_Consol_Source[], $AK920, AB$832 )</f>
        <v>3.6914486117629153E-2</v>
      </c>
      <c r="AC920" s="35">
        <f xml:space="preserve"> IF( tblFilterAll[[#This Row],[ROCE]] &lt; AB$825, 4, IF( tblFilterAll[[#This Row],[ROCE]] &lt; AB$826, 3, IF( tblFilterAll[[#This Row],[ROCE]] &lt; AB$827, 2, 1 ) ) )</f>
        <v>1</v>
      </c>
      <c r="AD920" s="35">
        <f xml:space="preserve"> COUNTIFS( tblFilterAll[Include in output], 1, tblFilterAll[ROCE], "&gt;" &amp; tblFilterAll[[#This Row],[ROCE]] ) + 1</f>
        <v>45</v>
      </c>
      <c r="AE920" s="33" cm="1" vm="2172">
        <f t="array" ref="AE920" xml:space="preserve"> INDEX( VfM_Metrics_2023_Consol_Source[], $AK920, AE$832 )</f>
        <v>30403</v>
      </c>
      <c r="AF920" s="30" cm="1">
        <f t="array" ref="AF920" xml:space="preserve"> INDEX( VfM_Metrics_2023_Consol_Source[], $AK920, AF$832 )</f>
        <v>2.133914709477092E-2</v>
      </c>
      <c r="AG920" s="30" cm="1">
        <f t="array" ref="AG920" xml:space="preserve"> INDEX( VfM_Metrics_2023_Consol_Source[], $AK920, AG$832 )</f>
        <v>3.2239949790242133E-2</v>
      </c>
      <c r="AH920" s="30" cm="1">
        <f t="array" ref="AH920" xml:space="preserve"> INDEX( VfM_Metrics_2023_Consol_Source[], $AK920, AH$832 )</f>
        <v>5.3579096885013056E-2</v>
      </c>
      <c r="AI920" s="30" t="str" cm="1">
        <f t="array" ref="AI920" xml:space="preserve"> INDEX( VfM_Metrics_2023_Consol_Source[], $AK920, AI$832 )</f>
        <v>Traditional</v>
      </c>
      <c r="AJ920" s="34" t="str" cm="1">
        <f t="array" ref="AJ920" xml:space="preserve"> INDEX( VfM_Metrics_2023_Consol_Source[], $AK920, AJ$832 )</f>
        <v>North East</v>
      </c>
      <c r="AK920" s="81">
        <f xml:space="preserve"> MATCH( tblFilterAll[[#This Row],[Code]], VfM_Metrics_2023_Consol_Source[RP_Code], 0 )</f>
        <v>87</v>
      </c>
      <c r="AL920" s="24">
        <f xml:space="preserve"> INDEX( tblFilterRegion[Include for region],  MATCH( tblFilterAll[[#This Row],[Code]], tblFilterRegion[RP_Code], 0 ) )</f>
        <v>1</v>
      </c>
      <c r="AM920" s="24">
        <f xml:space="preserve"> INDEX( tblFilterPropType[Incl for prop type],  MATCH( tblFilterAll[[#This Row],[Code]], tblFilterPropType[RP_Code], 0 ) )</f>
        <v>1</v>
      </c>
      <c r="AN920" s="24">
        <f xml:space="preserve"> INDEX( tblFilterSize[Incl for size],  MATCH( tblFilterAll[[#This Row],[Code]], tblFilterSize[RP_Code], 0 ) )</f>
        <v>1</v>
      </c>
      <c r="AO920" s="24">
        <f xml:space="preserve"> INDEX( tblFilterRP_Type[Incl, for RP Type],  MATCH( tblFilterAll[[#This Row],[Code]], tblFilterRP_Type[RP_Code], 0 ) )</f>
        <v>1</v>
      </c>
      <c r="AP920" s="24">
        <f xml:space="preserve">  -- ( SUM( tblFilterAll[[#This Row],[Filter Region]:[Filter RP Type]] ) = 4 )</f>
        <v>1</v>
      </c>
      <c r="AQ920" s="24">
        <f xml:space="preserve"> -- ( tblFilterAll[[#This Row],[Provider name]] = SelectedProvider )</f>
        <v>0</v>
      </c>
      <c r="AR920" s="24">
        <f xml:space="preserve">  -- ( OR( SUM( tblFilterAll[[#This Row],[Filter Region]:[Filter RP Type]] ) = 4, tblFilterAll[[#This Row],[SelectedProvider]] = 1 ) )</f>
        <v>1</v>
      </c>
      <c r="AS920" s="24">
        <f xml:space="preserve"> -- ( INDEX( PeersCritera[Included in final peers], MATCH( tblFilterAll[[#This Row],[Provider name]], PeersCritera[RP_Name], 0 ) ) = 1 )</f>
        <v>1</v>
      </c>
      <c r="AT920" s="30" t="str" cm="1">
        <f t="array" ref="AT920" xml:space="preserve"> SUBSTITUTE( INDEX( VfM_Metrics_2023_Consol_Source[], $AK920, AT$832 ), 0, "" )</f>
        <v>&gt;= 12 years</v>
      </c>
      <c r="AU920" s="34" cm="1">
        <f t="array" ref="AU920" xml:space="preserve"> INDEX( VfM_Metrics_2023_Consol_Source[], $AK920, AU$832 )</f>
        <v>0</v>
      </c>
      <c r="AV920" s="34" cm="1">
        <f t="array" ref="AV920" xml:space="preserve"> INDEX( VfM_Metrics_2023_Consol_Source[], $AK920, AV$832 )</f>
        <v>0</v>
      </c>
      <c r="AW920" s="34" cm="1">
        <f t="array" ref="AW920" xml:space="preserve"> INDEX( VfM_Metrics_2023_Consol_Source[], $AK920, AW$832 )</f>
        <v>0</v>
      </c>
      <c r="AX920" s="34" cm="1">
        <f t="array" ref="AX920" xml:space="preserve"> INDEX( VfM_Metrics_2023_Consol_Source[], $AK920, AX$832 )</f>
        <v>0</v>
      </c>
      <c r="AY920" s="34" cm="1">
        <f t="array" ref="AY920" xml:space="preserve"> INDEX( VfM_Metrics_2023_Consol_Source[], $AK920, AY$832 )</f>
        <v>0</v>
      </c>
      <c r="AZ920" s="34" cm="1">
        <f t="array" ref="AZ920" xml:space="preserve"> INDEX( VfM_Metrics_2023_Consol_Source[], $AK920, AZ$832 )</f>
        <v>0</v>
      </c>
      <c r="BA920" s="34" cm="1">
        <f t="array" ref="BA920" xml:space="preserve"> INDEX( VfM_Metrics_2023_Consol_Source[], $AK920, BA$832 )</f>
        <v>0.89318503405837635</v>
      </c>
      <c r="BB920" s="34" cm="1">
        <f t="array" ref="BB920" xml:space="preserve"> INDEX( VfM_Metrics_2023_Consol_Source[], $AK920, BB$832 )</f>
        <v>0</v>
      </c>
      <c r="BC920" s="34" cm="1">
        <f t="array" ref="BC920" xml:space="preserve"> INDEX( VfM_Metrics_2023_Consol_Source[], $AK920, BC$832 )</f>
        <v>0.10681496594162361</v>
      </c>
    </row>
    <row r="921" spans="2:55" x14ac:dyDescent="0.2">
      <c r="B921" s="122" t="str" vm="88">
        <f t="shared" ref="B921" si="424" xml:space="preserve"> B711</f>
        <v>Leeds Federated Housing Association Limited</v>
      </c>
      <c r="C921" s="122" t="str" vm="330">
        <f t="shared" si="401"/>
        <v>LH0989</v>
      </c>
      <c r="D921" s="30" cm="1">
        <f t="array" ref="D921" xml:space="preserve"> INDEX( VfM_Metrics_2023_Consol_Source[], $AK921, D$832 )</f>
        <v>0.10201933915739045</v>
      </c>
      <c r="E921" s="35">
        <f xml:space="preserve"> IF( tblFilterAll[[#This Row],[Reinvestment]] &lt; D$825, 4, IF( tblFilterAll[[#This Row],[Reinvestment]] &lt; D$826, 3, IF( tblFilterAll[[#This Row],[Reinvestment]] &lt; D$827, 2, 1 ) ) )</f>
        <v>1</v>
      </c>
      <c r="F921" s="35">
        <f xml:space="preserve"> COUNTIFS( tblFilterAll[Include in output], 1, tblFilterAll[Reinvestment], "&gt;" &amp; tblFilterAll[[#This Row],[Reinvestment]] ) + 1</f>
        <v>35</v>
      </c>
      <c r="G921" s="30" cm="1">
        <f t="array" ref="G921" xml:space="preserve"> INDEX( VfM_Metrics_2023_Consol_Source[], $AK921, G$832 )</f>
        <v>1.8918317382595147E-2</v>
      </c>
      <c r="H921" s="35">
        <f xml:space="preserve"> IF( tblFilterAll[[#This Row],[New Supply (Social)]] &lt; G$825, 4, IF( tblFilterAll[[#This Row],[New Supply (Social)]] &lt; G$826, 3, IF( tblFilterAll[[#This Row],[New Supply (Social)]] &lt; G$827, 2, 1 ) ) )</f>
        <v>2</v>
      </c>
      <c r="I921" s="35">
        <f xml:space="preserve"> COUNTIFS( tblFilterAll[Include in output], 1, tblFilterAll[New Supply (Social)], "&gt;" &amp; tblFilterAll[[#This Row],[New Supply (Social)]] ) + 1</f>
        <v>64</v>
      </c>
      <c r="J921" s="31" cm="1">
        <f t="array" ref="J921" xml:space="preserve"> INDEX( VfM_Metrics_2023_Consol_Source[], $AK921, J$832 )</f>
        <v>0</v>
      </c>
      <c r="K921" s="35">
        <f xml:space="preserve"> IF( tblFilterAll[[#This Row],[New Supply (Non-Social)]] &lt; J$825, 4, IF( tblFilterAll[[#This Row],[New Supply (Non-Social)]] &lt; J$826, 3, IF( tblFilterAll[[#This Row],[New Supply (Non-Social)]] &lt; J$827, 2, 1 ) ) )</f>
        <v>2</v>
      </c>
      <c r="L921" s="35">
        <f xml:space="preserve"> COUNTIFS( tblFilterAll[Include in output], 1, tblFilterAll[New Supply (Non-Social)], "&gt;" &amp; tblFilterAll[[#This Row],[New Supply (Non-Social)]] ) + 1</f>
        <v>72</v>
      </c>
      <c r="M921" s="30" cm="1">
        <f t="array" ref="M921" xml:space="preserve"> INDEX( VfM_Metrics_2023_Consol_Source[], $AK921, M$832 )</f>
        <v>0.26667077638438774</v>
      </c>
      <c r="N921" s="35">
        <f xml:space="preserve"> IF( tblFilterAll[[#This Row],[Gearing]] &lt; M$825, 4, IF( tblFilterAll[[#This Row],[Gearing]] &lt; M$826, 3, IF( tblFilterAll[[#This Row],[Gearing]] &lt; M$827, 2, 1 ) ) )</f>
        <v>4</v>
      </c>
      <c r="O921" s="35">
        <f xml:space="preserve"> COUNTIFS( tblFilterAll[Include in output], 1, tblFilterAll[Gearing], "&gt;" &amp; tblFilterAll[[#This Row],[Gearing]] ) + 1</f>
        <v>167</v>
      </c>
      <c r="P921" s="30" cm="1">
        <f t="array" ref="P921" xml:space="preserve"> INDEX( VfM_Metrics_2023_Consol_Source[], $AK921, P$832 )</f>
        <v>2.1486191860465116</v>
      </c>
      <c r="Q921" s="35">
        <f xml:space="preserve"> IF( tblFilterAll[[#This Row],[EBITDA MRI Interest Cover]] &lt; P$825, 4, IF( tblFilterAll[[#This Row],[EBITDA MRI Interest Cover]] &lt; P$826, 3, IF( tblFilterAll[[#This Row],[EBITDA MRI Interest Cover]] &lt; P$827, 2, 1 ) ) )</f>
        <v>1</v>
      </c>
      <c r="R921" s="35">
        <f xml:space="preserve"> COUNTIFS( tblFilterAll[Include in output], 1, tblFilterAll[EBITDA MRI Interest Cover], "&gt;" &amp; tblFilterAll[[#This Row],[EBITDA MRI Interest Cover]] ) + 1</f>
        <v>25</v>
      </c>
      <c r="S921" s="32" cm="1">
        <f t="array" ref="S921" xml:space="preserve"> INDEX( VfM_Metrics_2023_Consol_Source[], $AK921, S$832 )</f>
        <v>4232.9290206648693</v>
      </c>
      <c r="T921" s="35">
        <f xml:space="preserve"> IF( tblFilterAll[[#This Row],[Headline Social Housing Cost per unit]] &lt; S$825, 4, IF( tblFilterAll[[#This Row],[Headline Social Housing Cost per unit]] &lt; S$826, 3, IF( tblFilterAll[[#This Row],[Headline Social Housing Cost per unit]] &lt; S$827, 2, 1 ) ) )</f>
        <v>3</v>
      </c>
      <c r="U921" s="35">
        <f xml:space="preserve"> COUNTIFS( tblFilterAll[Include in output], 1, tblFilterAll[Headline Social Housing Cost per unit], "&gt;" &amp; tblFilterAll[[#This Row],[Headline Social Housing Cost per unit]] ) + 1</f>
        <v>134</v>
      </c>
      <c r="V921" s="30" cm="1">
        <f t="array" ref="V921" xml:space="preserve"> INDEX( VfM_Metrics_2023_Consol_Source[], $AK921, V$832 )</f>
        <v>0.17258471521268925</v>
      </c>
      <c r="W921" s="35">
        <f xml:space="preserve"> IF( tblFilterAll[[#This Row],[Operating Margin (SHL)]] &lt; V$825, 4, IF( tblFilterAll[[#This Row],[Operating Margin (SHL)]] &lt; V$826, 3, IF( tblFilterAll[[#This Row],[Operating Margin (SHL)]] &lt; V$827, 2, 1 ) ) )</f>
        <v>3</v>
      </c>
      <c r="X921" s="35">
        <f xml:space="preserve"> COUNTIFS( tblFilterAll[Include in output], 1, tblFilterAll[Operating Margin (SHL)], "&gt;" &amp; tblFilterAll[[#This Row],[Operating Margin (SHL)]] ) + 1</f>
        <v>128</v>
      </c>
      <c r="Y921" s="30" cm="1">
        <f t="array" ref="Y921" xml:space="preserve"> INDEX( VfM_Metrics_2023_Consol_Source[], $AK921, Y$832 )</f>
        <v>0.21270081406238744</v>
      </c>
      <c r="Z921" s="35">
        <f xml:space="preserve"> IF( tblFilterAll[[#This Row],[Operating Margin (Overall)]] &lt; Y$825, 4, IF( tblFilterAll[[#This Row],[Operating Margin (Overall)]] &lt; Y$826, 3, IF( tblFilterAll[[#This Row],[Operating Margin (Overall)]] &lt; Y$827, 2, 1 ) ) )</f>
        <v>2</v>
      </c>
      <c r="AA921" s="35">
        <f xml:space="preserve"> COUNTIFS( tblFilterAll[Include in output], 1, tblFilterAll[Operating Margin (Overall)], "&gt;" &amp; tblFilterAll[[#This Row],[Operating Margin (Overall)]] ) + 1</f>
        <v>71</v>
      </c>
      <c r="AB921" s="30" cm="1">
        <f t="array" ref="AB921" xml:space="preserve"> INDEX( VfM_Metrics_2023_Consol_Source[], $AK921, AB$832 )</f>
        <v>2.8749158660544716E-2</v>
      </c>
      <c r="AC921" s="35">
        <f xml:space="preserve"> IF( tblFilterAll[[#This Row],[ROCE]] &lt; AB$825, 4, IF( tblFilterAll[[#This Row],[ROCE]] &lt; AB$826, 3, IF( tblFilterAll[[#This Row],[ROCE]] &lt; AB$827, 2, 1 ) ) )</f>
        <v>2</v>
      </c>
      <c r="AD921" s="35">
        <f xml:space="preserve"> COUNTIFS( tblFilterAll[Include in output], 1, tblFilterAll[ROCE], "&gt;" &amp; tblFilterAll[[#This Row],[ROCE]] ) + 1</f>
        <v>97</v>
      </c>
      <c r="AE921" s="33" cm="1" vm="4387">
        <f t="array" ref="AE921" xml:space="preserve"> INDEX( VfM_Metrics_2023_Consol_Source[], $AK921, AE$832 )</f>
        <v>4452</v>
      </c>
      <c r="AF921" s="30" cm="1">
        <f t="array" ref="AF921" xml:space="preserve"> INDEX( VfM_Metrics_2023_Consol_Source[], $AK921, AF$832 )</f>
        <v>4.6741573033707864E-2</v>
      </c>
      <c r="AG921" s="30" cm="1">
        <f t="array" ref="AG921" xml:space="preserve"> INDEX( VfM_Metrics_2023_Consol_Source[], $AK921, AG$832 )</f>
        <v>5.7078651685393257E-2</v>
      </c>
      <c r="AH921" s="30" cm="1">
        <f t="array" ref="AH921" xml:space="preserve"> INDEX( VfM_Metrics_2023_Consol_Source[], $AK921, AH$832 )</f>
        <v>0.10382022471910113</v>
      </c>
      <c r="AI921" s="30" t="str" cm="1">
        <f t="array" ref="AI921" xml:space="preserve"> INDEX( VfM_Metrics_2023_Consol_Source[], $AK921, AI$832 )</f>
        <v>Traditional</v>
      </c>
      <c r="AJ921" s="34" t="str" cm="1">
        <f t="array" ref="AJ921" xml:space="preserve"> INDEX( VfM_Metrics_2023_Consol_Source[], $AK921, AJ$832 )</f>
        <v>Yorkshire &amp; the Humber</v>
      </c>
      <c r="AK921" s="81">
        <f xml:space="preserve"> MATCH( tblFilterAll[[#This Row],[Code]], VfM_Metrics_2023_Consol_Source[RP_Code], 0 )</f>
        <v>88</v>
      </c>
      <c r="AL921" s="24">
        <f xml:space="preserve"> INDEX( tblFilterRegion[Include for region],  MATCH( tblFilterAll[[#This Row],[Code]], tblFilterRegion[RP_Code], 0 ) )</f>
        <v>1</v>
      </c>
      <c r="AM921" s="24">
        <f xml:space="preserve"> INDEX( tblFilterPropType[Incl for prop type],  MATCH( tblFilterAll[[#This Row],[Code]], tblFilterPropType[RP_Code], 0 ) )</f>
        <v>1</v>
      </c>
      <c r="AN921" s="24">
        <f xml:space="preserve"> INDEX( tblFilterSize[Incl for size],  MATCH( tblFilterAll[[#This Row],[Code]], tblFilterSize[RP_Code], 0 ) )</f>
        <v>1</v>
      </c>
      <c r="AO921" s="24">
        <f xml:space="preserve"> INDEX( tblFilterRP_Type[Incl, for RP Type],  MATCH( tblFilterAll[[#This Row],[Code]], tblFilterRP_Type[RP_Code], 0 ) )</f>
        <v>1</v>
      </c>
      <c r="AP921" s="24">
        <f xml:space="preserve">  -- ( SUM( tblFilterAll[[#This Row],[Filter Region]:[Filter RP Type]] ) = 4 )</f>
        <v>1</v>
      </c>
      <c r="AQ921" s="24">
        <f xml:space="preserve"> -- ( tblFilterAll[[#This Row],[Provider name]] = SelectedProvider )</f>
        <v>0</v>
      </c>
      <c r="AR921" s="24">
        <f xml:space="preserve">  -- ( OR( SUM( tblFilterAll[[#This Row],[Filter Region]:[Filter RP Type]] ) = 4, tblFilterAll[[#This Row],[SelectedProvider]] = 1 ) )</f>
        <v>1</v>
      </c>
      <c r="AS921" s="24">
        <f xml:space="preserve"> -- ( INDEX( PeersCritera[Included in final peers], MATCH( tblFilterAll[[#This Row],[Provider name]], PeersCritera[RP_Name], 0 ) ) = 1 )</f>
        <v>1</v>
      </c>
      <c r="AT921" s="30" t="str" cm="1">
        <f t="array" ref="AT921" xml:space="preserve"> SUBSTITUTE( INDEX( VfM_Metrics_2023_Consol_Source[], $AK921, AT$832 ), 0, "" )</f>
        <v/>
      </c>
      <c r="AU921" s="34" cm="1">
        <f t="array" ref="AU921" xml:space="preserve"> INDEX( VfM_Metrics_2023_Consol_Source[], $AK921, AU$832 )</f>
        <v>0</v>
      </c>
      <c r="AV921" s="34" cm="1">
        <f t="array" ref="AV921" xml:space="preserve"> INDEX( VfM_Metrics_2023_Consol_Source[], $AK921, AV$832 )</f>
        <v>0</v>
      </c>
      <c r="AW921" s="34" cm="1">
        <f t="array" ref="AW921" xml:space="preserve"> INDEX( VfM_Metrics_2023_Consol_Source[], $AK921, AW$832 )</f>
        <v>0</v>
      </c>
      <c r="AX921" s="34" cm="1">
        <f t="array" ref="AX921" xml:space="preserve"> INDEX( VfM_Metrics_2023_Consol_Source[], $AK921, AX$832 )</f>
        <v>2.2386389075442132E-4</v>
      </c>
      <c r="AY921" s="34" cm="1">
        <f t="array" ref="AY921" xml:space="preserve"> INDEX( VfM_Metrics_2023_Consol_Source[], $AK921, AY$832 )</f>
        <v>0</v>
      </c>
      <c r="AZ921" s="34" cm="1">
        <f t="array" ref="AZ921" xml:space="preserve"> INDEX( VfM_Metrics_2023_Consol_Source[], $AK921, AZ$832 )</f>
        <v>0</v>
      </c>
      <c r="BA921" s="34" cm="1">
        <f t="array" ref="BA921" xml:space="preserve"> INDEX( VfM_Metrics_2023_Consol_Source[], $AK921, BA$832 )</f>
        <v>0</v>
      </c>
      <c r="BB921" s="34" cm="1">
        <f t="array" ref="BB921" xml:space="preserve"> INDEX( VfM_Metrics_2023_Consol_Source[], $AK921, BB$832 )</f>
        <v>0</v>
      </c>
      <c r="BC921" s="34" cm="1">
        <f t="array" ref="BC921" xml:space="preserve"> INDEX( VfM_Metrics_2023_Consol_Source[], $AK921, BC$832 )</f>
        <v>0.99977613610924554</v>
      </c>
    </row>
    <row r="922" spans="2:55" x14ac:dyDescent="0.2">
      <c r="B922" s="122" t="str" vm="89">
        <f t="shared" ref="B922" si="425" xml:space="preserve"> B712</f>
        <v>Lincolnshire Housing Partnership Limited</v>
      </c>
      <c r="C922" s="122" t="str" vm="299">
        <f t="shared" si="401"/>
        <v>4877</v>
      </c>
      <c r="D922" s="30" cm="1">
        <f t="array" ref="D922" xml:space="preserve"> INDEX( VfM_Metrics_2023_Consol_Source[], $AK922, D$832 )</f>
        <v>5.8194103194103196E-2</v>
      </c>
      <c r="E922" s="35">
        <f xml:space="preserve"> IF( tblFilterAll[[#This Row],[Reinvestment]] &lt; D$825, 4, IF( tblFilterAll[[#This Row],[Reinvestment]] &lt; D$826, 3, IF( tblFilterAll[[#This Row],[Reinvestment]] &lt; D$827, 2, 1 ) ) )</f>
        <v>3</v>
      </c>
      <c r="F922" s="35">
        <f xml:space="preserve"> COUNTIFS( tblFilterAll[Include in output], 1, tblFilterAll[Reinvestment], "&gt;" &amp; tblFilterAll[[#This Row],[Reinvestment]] ) + 1</f>
        <v>126</v>
      </c>
      <c r="G922" s="30" cm="1">
        <f t="array" ref="G922" xml:space="preserve"> INDEX( VfM_Metrics_2023_Consol_Source[], $AK922, G$832 )</f>
        <v>6.2882809309922419E-3</v>
      </c>
      <c r="H922" s="35">
        <f xml:space="preserve"> IF( tblFilterAll[[#This Row],[New Supply (Social)]] &lt; G$825, 4, IF( tblFilterAll[[#This Row],[New Supply (Social)]] &lt; G$826, 3, IF( tblFilterAll[[#This Row],[New Supply (Social)]] &lt; G$827, 2, 1 ) ) )</f>
        <v>4</v>
      </c>
      <c r="I922" s="35">
        <f xml:space="preserve"> COUNTIFS( tblFilterAll[Include in output], 1, tblFilterAll[New Supply (Social)], "&gt;" &amp; tblFilterAll[[#This Row],[New Supply (Social)]] ) + 1</f>
        <v>150</v>
      </c>
      <c r="J922" s="31" cm="1">
        <f t="array" ref="J922" xml:space="preserve"> INDEX( VfM_Metrics_2023_Consol_Source[], $AK922, J$832 )</f>
        <v>0</v>
      </c>
      <c r="K922" s="35">
        <f xml:space="preserve"> IF( tblFilterAll[[#This Row],[New Supply (Non-Social)]] &lt; J$825, 4, IF( tblFilterAll[[#This Row],[New Supply (Non-Social)]] &lt; J$826, 3, IF( tblFilterAll[[#This Row],[New Supply (Non-Social)]] &lt; J$827, 2, 1 ) ) )</f>
        <v>2</v>
      </c>
      <c r="L922" s="35">
        <f xml:space="preserve"> COUNTIFS( tblFilterAll[Include in output], 1, tblFilterAll[New Supply (Non-Social)], "&gt;" &amp; tblFilterAll[[#This Row],[New Supply (Non-Social)]] ) + 1</f>
        <v>72</v>
      </c>
      <c r="M922" s="30" cm="1">
        <f t="array" ref="M922" xml:space="preserve"> INDEX( VfM_Metrics_2023_Consol_Source[], $AK922, M$832 )</f>
        <v>0.55354729729729735</v>
      </c>
      <c r="N922" s="35">
        <f xml:space="preserve"> IF( tblFilterAll[[#This Row],[Gearing]] &lt; M$825, 4, IF( tblFilterAll[[#This Row],[Gearing]] &lt; M$826, 3, IF( tblFilterAll[[#This Row],[Gearing]] &lt; M$827, 2, 1 ) ) )</f>
        <v>1</v>
      </c>
      <c r="O922" s="35">
        <f xml:space="preserve"> COUNTIFS( tblFilterAll[Include in output], 1, tblFilterAll[Gearing], "&gt;" &amp; tblFilterAll[[#This Row],[Gearing]] ) + 1</f>
        <v>42</v>
      </c>
      <c r="P922" s="30" cm="1">
        <f t="array" ref="P922" xml:space="preserve"> INDEX( VfM_Metrics_2023_Consol_Source[], $AK922, P$832 )</f>
        <v>1.1572831650297413</v>
      </c>
      <c r="Q922" s="35">
        <f xml:space="preserve"> IF( tblFilterAll[[#This Row],[EBITDA MRI Interest Cover]] &lt; P$825, 4, IF( tblFilterAll[[#This Row],[EBITDA MRI Interest Cover]] &lt; P$826, 3, IF( tblFilterAll[[#This Row],[EBITDA MRI Interest Cover]] &lt; P$827, 2, 1 ) ) )</f>
        <v>3</v>
      </c>
      <c r="R922" s="35">
        <f xml:space="preserve"> COUNTIFS( tblFilterAll[Include in output], 1, tblFilterAll[EBITDA MRI Interest Cover], "&gt;" &amp; tblFilterAll[[#This Row],[EBITDA MRI Interest Cover]] ) + 1</f>
        <v>116</v>
      </c>
      <c r="S922" s="32" cm="1">
        <f t="array" ref="S922" xml:space="preserve"> INDEX( VfM_Metrics_2023_Consol_Source[], $AK922, S$832 )</f>
        <v>3861.269789456504</v>
      </c>
      <c r="T922" s="35">
        <f xml:space="preserve"> IF( tblFilterAll[[#This Row],[Headline Social Housing Cost per unit]] &lt; S$825, 4, IF( tblFilterAll[[#This Row],[Headline Social Housing Cost per unit]] &lt; S$826, 3, IF( tblFilterAll[[#This Row],[Headline Social Housing Cost per unit]] &lt; S$827, 2, 1 ) ) )</f>
        <v>4</v>
      </c>
      <c r="U922" s="35">
        <f xml:space="preserve"> COUNTIFS( tblFilterAll[Include in output], 1, tblFilterAll[Headline Social Housing Cost per unit], "&gt;" &amp; tblFilterAll[[#This Row],[Headline Social Housing Cost per unit]] ) + 1</f>
        <v>175</v>
      </c>
      <c r="V922" s="30" cm="1">
        <f t="array" ref="V922" xml:space="preserve"> INDEX( VfM_Metrics_2023_Consol_Source[], $AK922, V$832 )</f>
        <v>0.19850986491129718</v>
      </c>
      <c r="W922" s="35">
        <f xml:space="preserve"> IF( tblFilterAll[[#This Row],[Operating Margin (SHL)]] &lt; V$825, 4, IF( tblFilterAll[[#This Row],[Operating Margin (SHL)]] &lt; V$826, 3, IF( tblFilterAll[[#This Row],[Operating Margin (SHL)]] &lt; V$827, 2, 1 ) ) )</f>
        <v>2</v>
      </c>
      <c r="X922" s="35">
        <f xml:space="preserve"> COUNTIFS( tblFilterAll[Include in output], 1, tblFilterAll[Operating Margin (SHL)], "&gt;" &amp; tblFilterAll[[#This Row],[Operating Margin (SHL)]] ) + 1</f>
        <v>99</v>
      </c>
      <c r="Y922" s="30" cm="1">
        <f t="array" ref="Y922" xml:space="preserve"> INDEX( VfM_Metrics_2023_Consol_Source[], $AK922, Y$832 )</f>
        <v>0.21271690328843587</v>
      </c>
      <c r="Z922" s="35">
        <f xml:space="preserve"> IF( tblFilterAll[[#This Row],[Operating Margin (Overall)]] &lt; Y$825, 4, IF( tblFilterAll[[#This Row],[Operating Margin (Overall)]] &lt; Y$826, 3, IF( tblFilterAll[[#This Row],[Operating Margin (Overall)]] &lt; Y$827, 2, 1 ) ) )</f>
        <v>2</v>
      </c>
      <c r="AA922" s="35">
        <f xml:space="preserve"> COUNTIFS( tblFilterAll[Include in output], 1, tblFilterAll[Operating Margin (Overall)], "&gt;" &amp; tblFilterAll[[#This Row],[Operating Margin (Overall)]] ) + 1</f>
        <v>70</v>
      </c>
      <c r="AB922" s="30" cm="1">
        <f t="array" ref="AB922" xml:space="preserve"> INDEX( VfM_Metrics_2023_Consol_Source[], $AK922, AB$832 )</f>
        <v>4.0947803905089397E-2</v>
      </c>
      <c r="AC922" s="35">
        <f xml:space="preserve"> IF( tblFilterAll[[#This Row],[ROCE]] &lt; AB$825, 4, IF( tblFilterAll[[#This Row],[ROCE]] &lt; AB$826, 3, IF( tblFilterAll[[#This Row],[ROCE]] &lt; AB$827, 2, 1 ) ) )</f>
        <v>1</v>
      </c>
      <c r="AD922" s="35">
        <f xml:space="preserve"> COUNTIFS( tblFilterAll[Include in output], 1, tblFilterAll[ROCE], "&gt;" &amp; tblFilterAll[[#This Row],[ROCE]] ) + 1</f>
        <v>25</v>
      </c>
      <c r="AE922" s="33" cm="1" vm="3311">
        <f t="array" ref="AE922" xml:space="preserve"> INDEX( VfM_Metrics_2023_Consol_Source[], $AK922, AE$832 )</f>
        <v>12245</v>
      </c>
      <c r="AF922" s="30" cm="1">
        <f t="array" ref="AF922" xml:space="preserve"> INDEX( VfM_Metrics_2023_Consol_Source[], $AK922, AF$832 )</f>
        <v>1.6425755584756898E-3</v>
      </c>
      <c r="AG922" s="30" cm="1">
        <f t="array" ref="AG922" xml:space="preserve"> INDEX( VfM_Metrics_2023_Consol_Source[], $AK922, AG$832 )</f>
        <v>0.139865308804205</v>
      </c>
      <c r="AH922" s="30" cm="1">
        <f t="array" ref="AH922" xml:space="preserve"> INDEX( VfM_Metrics_2023_Consol_Source[], $AK922, AH$832 )</f>
        <v>0.14150788436268069</v>
      </c>
      <c r="AI922" s="30" t="str" cm="1">
        <f t="array" ref="AI922" xml:space="preserve"> INDEX( VfM_Metrics_2023_Consol_Source[], $AK922, AI$832 )</f>
        <v>Traditional</v>
      </c>
      <c r="AJ922" s="34" t="str" cm="1">
        <f t="array" ref="AJ922" xml:space="preserve"> INDEX( VfM_Metrics_2023_Consol_Source[], $AK922, AJ$832 )</f>
        <v>Yorkshire &amp; the Humber</v>
      </c>
      <c r="AK922" s="81">
        <f xml:space="preserve"> MATCH( tblFilterAll[[#This Row],[Code]], VfM_Metrics_2023_Consol_Source[RP_Code], 0 )</f>
        <v>89</v>
      </c>
      <c r="AL922" s="24">
        <f xml:space="preserve"> INDEX( tblFilterRegion[Include for region],  MATCH( tblFilterAll[[#This Row],[Code]], tblFilterRegion[RP_Code], 0 ) )</f>
        <v>1</v>
      </c>
      <c r="AM922" s="24">
        <f xml:space="preserve"> INDEX( tblFilterPropType[Incl for prop type],  MATCH( tblFilterAll[[#This Row],[Code]], tblFilterPropType[RP_Code], 0 ) )</f>
        <v>1</v>
      </c>
      <c r="AN922" s="24">
        <f xml:space="preserve"> INDEX( tblFilterSize[Incl for size],  MATCH( tblFilterAll[[#This Row],[Code]], tblFilterSize[RP_Code], 0 ) )</f>
        <v>1</v>
      </c>
      <c r="AO922" s="24">
        <f xml:space="preserve"> INDEX( tblFilterRP_Type[Incl, for RP Type],  MATCH( tblFilterAll[[#This Row],[Code]], tblFilterRP_Type[RP_Code], 0 ) )</f>
        <v>1</v>
      </c>
      <c r="AP922" s="24">
        <f xml:space="preserve">  -- ( SUM( tblFilterAll[[#This Row],[Filter Region]:[Filter RP Type]] ) = 4 )</f>
        <v>1</v>
      </c>
      <c r="AQ922" s="24">
        <f xml:space="preserve"> -- ( tblFilterAll[[#This Row],[Provider name]] = SelectedProvider )</f>
        <v>0</v>
      </c>
      <c r="AR922" s="24">
        <f xml:space="preserve">  -- ( OR( SUM( tblFilterAll[[#This Row],[Filter Region]:[Filter RP Type]] ) = 4, tblFilterAll[[#This Row],[SelectedProvider]] = 1 ) )</f>
        <v>1</v>
      </c>
      <c r="AS922" s="24">
        <f xml:space="preserve"> -- ( INDEX( PeersCritera[Included in final peers], MATCH( tblFilterAll[[#This Row],[Provider name]], PeersCritera[RP_Name], 0 ) ) = 1 )</f>
        <v>1</v>
      </c>
      <c r="AT922" s="30" t="str" cm="1">
        <f t="array" ref="AT922" xml:space="preserve"> SUBSTITUTE( INDEX( VfM_Metrics_2023_Consol_Source[], $AK922, AT$832 ), 0, "" )</f>
        <v>&gt;= 12 years</v>
      </c>
      <c r="AU922" s="34" cm="1">
        <f t="array" ref="AU922" xml:space="preserve"> INDEX( VfM_Metrics_2023_Consol_Source[], $AK922, AU$832 )</f>
        <v>0</v>
      </c>
      <c r="AV922" s="34" cm="1">
        <f t="array" ref="AV922" xml:space="preserve"> INDEX( VfM_Metrics_2023_Consol_Source[], $AK922, AV$832 )</f>
        <v>0</v>
      </c>
      <c r="AW922" s="34" cm="1">
        <f t="array" ref="AW922" xml:space="preserve"> INDEX( VfM_Metrics_2023_Consol_Source[], $AK922, AW$832 )</f>
        <v>0</v>
      </c>
      <c r="AX922" s="34" cm="1">
        <f t="array" ref="AX922" xml:space="preserve"> INDEX( VfM_Metrics_2023_Consol_Source[], $AK922, AX$832 )</f>
        <v>0.41254315304948214</v>
      </c>
      <c r="AY922" s="34" cm="1">
        <f t="array" ref="AY922" xml:space="preserve"> INDEX( VfM_Metrics_2023_Consol_Source[], $AK922, AY$832 )</f>
        <v>0</v>
      </c>
      <c r="AZ922" s="34" cm="1">
        <f t="array" ref="AZ922" xml:space="preserve"> INDEX( VfM_Metrics_2023_Consol_Source[], $AK922, AZ$832 )</f>
        <v>0</v>
      </c>
      <c r="BA922" s="34" cm="1">
        <f t="array" ref="BA922" xml:space="preserve"> INDEX( VfM_Metrics_2023_Consol_Source[], $AK922, BA$832 )</f>
        <v>0</v>
      </c>
      <c r="BB922" s="34" cm="1">
        <f t="array" ref="BB922" xml:space="preserve"> INDEX( VfM_Metrics_2023_Consol_Source[], $AK922, BB$832 )</f>
        <v>0</v>
      </c>
      <c r="BC922" s="34" cm="1">
        <f t="array" ref="BC922" xml:space="preserve"> INDEX( VfM_Metrics_2023_Consol_Source[], $AK922, BC$832 )</f>
        <v>0.58745684695051781</v>
      </c>
    </row>
    <row r="923" spans="2:55" x14ac:dyDescent="0.2">
      <c r="B923" s="122" t="str" vm="90">
        <f t="shared" ref="B923" si="426" xml:space="preserve"> B713</f>
        <v>LiveWest Homes Limited</v>
      </c>
      <c r="C923" s="122" t="str" vm="256">
        <f t="shared" si="401"/>
        <v>4873</v>
      </c>
      <c r="D923" s="30" cm="1">
        <f t="array" ref="D923" xml:space="preserve"> INDEX( VfM_Metrics_2023_Consol_Source[], $AK923, D$832 )</f>
        <v>5.7551110741053436E-2</v>
      </c>
      <c r="E923" s="35">
        <f xml:space="preserve"> IF( tblFilterAll[[#This Row],[Reinvestment]] &lt; D$825, 4, IF( tblFilterAll[[#This Row],[Reinvestment]] &lt; D$826, 3, IF( tblFilterAll[[#This Row],[Reinvestment]] &lt; D$827, 2, 1 ) ) )</f>
        <v>3</v>
      </c>
      <c r="F923" s="35">
        <f xml:space="preserve"> COUNTIFS( tblFilterAll[Include in output], 1, tblFilterAll[Reinvestment], "&gt;" &amp; tblFilterAll[[#This Row],[Reinvestment]] ) + 1</f>
        <v>127</v>
      </c>
      <c r="G923" s="30" cm="1">
        <f t="array" ref="G923" xml:space="preserve"> INDEX( VfM_Metrics_2023_Consol_Source[], $AK923, G$832 )</f>
        <v>2.5049387593836427E-2</v>
      </c>
      <c r="H923" s="35">
        <f xml:space="preserve"> IF( tblFilterAll[[#This Row],[New Supply (Social)]] &lt; G$825, 4, IF( tblFilterAll[[#This Row],[New Supply (Social)]] &lt; G$826, 3, IF( tblFilterAll[[#This Row],[New Supply (Social)]] &lt; G$827, 2, 1 ) ) )</f>
        <v>1</v>
      </c>
      <c r="I923" s="35">
        <f xml:space="preserve"> COUNTIFS( tblFilterAll[Include in output], 1, tblFilterAll[New Supply (Social)], "&gt;" &amp; tblFilterAll[[#This Row],[New Supply (Social)]] ) + 1</f>
        <v>35</v>
      </c>
      <c r="J923" s="31" cm="1">
        <f t="array" ref="J923" xml:space="preserve"> INDEX( VfM_Metrics_2023_Consol_Source[], $AK923, J$832 )</f>
        <v>5.1582649472450177E-3</v>
      </c>
      <c r="K923" s="35">
        <f xml:space="preserve"> IF( tblFilterAll[[#This Row],[New Supply (Non-Social)]] &lt; J$825, 4, IF( tblFilterAll[[#This Row],[New Supply (Non-Social)]] &lt; J$826, 3, IF( tblFilterAll[[#This Row],[New Supply (Non-Social)]] &lt; J$827, 2, 1 ) ) )</f>
        <v>1</v>
      </c>
      <c r="L923" s="35">
        <f xml:space="preserve"> COUNTIFS( tblFilterAll[Include in output], 1, tblFilterAll[New Supply (Non-Social)], "&gt;" &amp; tblFilterAll[[#This Row],[New Supply (Non-Social)]] ) + 1</f>
        <v>19</v>
      </c>
      <c r="M923" s="30" cm="1">
        <f t="array" ref="M923" xml:space="preserve"> INDEX( VfM_Metrics_2023_Consol_Source[], $AK923, M$832 )</f>
        <v>0.40529008950554302</v>
      </c>
      <c r="N923" s="35">
        <f xml:space="preserve"> IF( tblFilterAll[[#This Row],[Gearing]] &lt; M$825, 4, IF( tblFilterAll[[#This Row],[Gearing]] &lt; M$826, 3, IF( tblFilterAll[[#This Row],[Gearing]] &lt; M$827, 2, 1 ) ) )</f>
        <v>3</v>
      </c>
      <c r="O923" s="35">
        <f xml:space="preserve"> COUNTIFS( tblFilterAll[Include in output], 1, tblFilterAll[Gearing], "&gt;" &amp; tblFilterAll[[#This Row],[Gearing]] ) + 1</f>
        <v>127</v>
      </c>
      <c r="P923" s="30" cm="1">
        <f t="array" ref="P923" xml:space="preserve"> INDEX( VfM_Metrics_2023_Consol_Source[], $AK923, P$832 )</f>
        <v>2.0279397844208984</v>
      </c>
      <c r="Q923" s="35">
        <f xml:space="preserve"> IF( tblFilterAll[[#This Row],[EBITDA MRI Interest Cover]] &lt; P$825, 4, IF( tblFilterAll[[#This Row],[EBITDA MRI Interest Cover]] &lt; P$826, 3, IF( tblFilterAll[[#This Row],[EBITDA MRI Interest Cover]] &lt; P$827, 2, 1 ) ) )</f>
        <v>1</v>
      </c>
      <c r="R923" s="35">
        <f xml:space="preserve"> COUNTIFS( tblFilterAll[Include in output], 1, tblFilterAll[EBITDA MRI Interest Cover], "&gt;" &amp; tblFilterAll[[#This Row],[EBITDA MRI Interest Cover]] ) + 1</f>
        <v>31</v>
      </c>
      <c r="S923" s="32" cm="1">
        <f t="array" ref="S923" xml:space="preserve"> INDEX( VfM_Metrics_2023_Consol_Source[], $AK923, S$832 )</f>
        <v>4189.9251007219527</v>
      </c>
      <c r="T923" s="35">
        <f xml:space="preserve"> IF( tblFilterAll[[#This Row],[Headline Social Housing Cost per unit]] &lt; S$825, 4, IF( tblFilterAll[[#This Row],[Headline Social Housing Cost per unit]] &lt; S$826, 3, IF( tblFilterAll[[#This Row],[Headline Social Housing Cost per unit]] &lt; S$827, 2, 1 ) ) )</f>
        <v>3</v>
      </c>
      <c r="U923" s="35">
        <f xml:space="preserve"> COUNTIFS( tblFilterAll[Include in output], 1, tblFilterAll[Headline Social Housing Cost per unit], "&gt;" &amp; tblFilterAll[[#This Row],[Headline Social Housing Cost per unit]] ) + 1</f>
        <v>138</v>
      </c>
      <c r="V923" s="30" cm="1">
        <f t="array" ref="V923" xml:space="preserve"> INDEX( VfM_Metrics_2023_Consol_Source[], $AK923, V$832 )</f>
        <v>0.23070853327152305</v>
      </c>
      <c r="W923" s="35">
        <f xml:space="preserve"> IF( tblFilterAll[[#This Row],[Operating Margin (SHL)]] &lt; V$825, 4, IF( tblFilterAll[[#This Row],[Operating Margin (SHL)]] &lt; V$826, 3, IF( tblFilterAll[[#This Row],[Operating Margin (SHL)]] &lt; V$827, 2, 1 ) ) )</f>
        <v>2</v>
      </c>
      <c r="X923" s="35">
        <f xml:space="preserve"> COUNTIFS( tblFilterAll[Include in output], 1, tblFilterAll[Operating Margin (SHL)], "&gt;" &amp; tblFilterAll[[#This Row],[Operating Margin (SHL)]] ) + 1</f>
        <v>73</v>
      </c>
      <c r="Y923" s="30" cm="1">
        <f t="array" ref="Y923" xml:space="preserve"> INDEX( VfM_Metrics_2023_Consol_Source[], $AK923, Y$832 )</f>
        <v>0.20408408288226995</v>
      </c>
      <c r="Z923" s="35">
        <f xml:space="preserve"> IF( tblFilterAll[[#This Row],[Operating Margin (Overall)]] &lt; Y$825, 4, IF( tblFilterAll[[#This Row],[Operating Margin (Overall)]] &lt; Y$826, 3, IF( tblFilterAll[[#This Row],[Operating Margin (Overall)]] &lt; Y$827, 2, 1 ) ) )</f>
        <v>2</v>
      </c>
      <c r="AA923" s="35">
        <f xml:space="preserve"> COUNTIFS( tblFilterAll[Include in output], 1, tblFilterAll[Operating Margin (Overall)], "&gt;" &amp; tblFilterAll[[#This Row],[Operating Margin (Overall)]] ) + 1</f>
        <v>78</v>
      </c>
      <c r="AB923" s="30" cm="1">
        <f t="array" ref="AB923" xml:space="preserve"> INDEX( VfM_Metrics_2023_Consol_Source[], $AK923, AB$832 )</f>
        <v>3.142180447256563E-2</v>
      </c>
      <c r="AC923" s="35">
        <f xml:space="preserve"> IF( tblFilterAll[[#This Row],[ROCE]] &lt; AB$825, 4, IF( tblFilterAll[[#This Row],[ROCE]] &lt; AB$826, 3, IF( tblFilterAll[[#This Row],[ROCE]] &lt; AB$827, 2, 1 ) ) )</f>
        <v>2</v>
      </c>
      <c r="AD923" s="35">
        <f xml:space="preserve"> COUNTIFS( tblFilterAll[Include in output], 1, tblFilterAll[ROCE], "&gt;" &amp; tblFilterAll[[#This Row],[ROCE]] ) + 1</f>
        <v>76</v>
      </c>
      <c r="AE923" s="33" cm="1" vm="1916">
        <f t="array" ref="AE923" xml:space="preserve"> INDEX( VfM_Metrics_2023_Consol_Source[], $AK923, AE$832 )</f>
        <v>36983</v>
      </c>
      <c r="AF923" s="30" cm="1">
        <f t="array" ref="AF923" xml:space="preserve"> INDEX( VfM_Metrics_2023_Consol_Source[], $AK923, AF$832 )</f>
        <v>3.6951438359889066E-2</v>
      </c>
      <c r="AG923" s="30" cm="1">
        <f t="array" ref="AG923" xml:space="preserve"> INDEX( VfM_Metrics_2023_Consol_Source[], $AK923, AG$832 )</f>
        <v>4.9921148512697806E-2</v>
      </c>
      <c r="AH923" s="30" cm="1">
        <f t="array" ref="AH923" xml:space="preserve"> INDEX( VfM_Metrics_2023_Consol_Source[], $AK923, AH$832 )</f>
        <v>8.6872586872586866E-2</v>
      </c>
      <c r="AI923" s="30" t="str" cm="1">
        <f t="array" ref="AI923" xml:space="preserve"> INDEX( VfM_Metrics_2023_Consol_Source[], $AK923, AI$832 )</f>
        <v>Traditional</v>
      </c>
      <c r="AJ923" s="34" t="str" cm="1">
        <f t="array" ref="AJ923" xml:space="preserve"> INDEX( VfM_Metrics_2023_Consol_Source[], $AK923, AJ$832 )</f>
        <v>South West</v>
      </c>
      <c r="AK923" s="81">
        <f xml:space="preserve"> MATCH( tblFilterAll[[#This Row],[Code]], VfM_Metrics_2023_Consol_Source[RP_Code], 0 )</f>
        <v>90</v>
      </c>
      <c r="AL923" s="24">
        <f xml:space="preserve"> INDEX( tblFilterRegion[Include for region],  MATCH( tblFilterAll[[#This Row],[Code]], tblFilterRegion[RP_Code], 0 ) )</f>
        <v>1</v>
      </c>
      <c r="AM923" s="24">
        <f xml:space="preserve"> INDEX( tblFilterPropType[Incl for prop type],  MATCH( tblFilterAll[[#This Row],[Code]], tblFilterPropType[RP_Code], 0 ) )</f>
        <v>1</v>
      </c>
      <c r="AN923" s="24">
        <f xml:space="preserve"> INDEX( tblFilterSize[Incl for size],  MATCH( tblFilterAll[[#This Row],[Code]], tblFilterSize[RP_Code], 0 ) )</f>
        <v>1</v>
      </c>
      <c r="AO923" s="24">
        <f xml:space="preserve"> INDEX( tblFilterRP_Type[Incl, for RP Type],  MATCH( tblFilterAll[[#This Row],[Code]], tblFilterRP_Type[RP_Code], 0 ) )</f>
        <v>1</v>
      </c>
      <c r="AP923" s="24">
        <f xml:space="preserve">  -- ( SUM( tblFilterAll[[#This Row],[Filter Region]:[Filter RP Type]] ) = 4 )</f>
        <v>1</v>
      </c>
      <c r="AQ923" s="24">
        <f xml:space="preserve"> -- ( tblFilterAll[[#This Row],[Provider name]] = SelectedProvider )</f>
        <v>0</v>
      </c>
      <c r="AR923" s="24">
        <f xml:space="preserve">  -- ( OR( SUM( tblFilterAll[[#This Row],[Filter Region]:[Filter RP Type]] ) = 4, tblFilterAll[[#This Row],[SelectedProvider]] = 1 ) )</f>
        <v>1</v>
      </c>
      <c r="AS923" s="24">
        <f xml:space="preserve"> -- ( INDEX( PeersCritera[Included in final peers], MATCH( tblFilterAll[[#This Row],[Provider name]], PeersCritera[RP_Name], 0 ) ) = 1 )</f>
        <v>1</v>
      </c>
      <c r="AT923" s="30" t="str" cm="1">
        <f t="array" ref="AT923" xml:space="preserve"> SUBSTITUTE( INDEX( VfM_Metrics_2023_Consol_Source[], $AK923, AT$832 ), 0, "" )</f>
        <v/>
      </c>
      <c r="AU923" s="34" cm="1">
        <f t="array" ref="AU923" xml:space="preserve"> INDEX( VfM_Metrics_2023_Consol_Source[], $AK923, AU$832 )</f>
        <v>0</v>
      </c>
      <c r="AV923" s="34" cm="1">
        <f t="array" ref="AV923" xml:space="preserve"> INDEX( VfM_Metrics_2023_Consol_Source[], $AK923, AV$832 )</f>
        <v>5.4177050601365261E-5</v>
      </c>
      <c r="AW923" s="34" cm="1">
        <f t="array" ref="AW923" xml:space="preserve"> INDEX( VfM_Metrics_2023_Consol_Source[], $AK923, AW$832 )</f>
        <v>0.99986455737349655</v>
      </c>
      <c r="AX923" s="34" cm="1">
        <f t="array" ref="AX923" xml:space="preserve"> INDEX( VfM_Metrics_2023_Consol_Source[], $AK923, AX$832 )</f>
        <v>8.1265575902047895E-5</v>
      </c>
      <c r="AY923" s="34" cm="1">
        <f t="array" ref="AY923" xml:space="preserve"> INDEX( VfM_Metrics_2023_Consol_Source[], $AK923, AY$832 )</f>
        <v>0</v>
      </c>
      <c r="AZ923" s="34" cm="1">
        <f t="array" ref="AZ923" xml:space="preserve"> INDEX( VfM_Metrics_2023_Consol_Source[], $AK923, AZ$832 )</f>
        <v>0</v>
      </c>
      <c r="BA923" s="34" cm="1">
        <f t="array" ref="BA923" xml:space="preserve"> INDEX( VfM_Metrics_2023_Consol_Source[], $AK923, BA$832 )</f>
        <v>0</v>
      </c>
      <c r="BB923" s="34" cm="1">
        <f t="array" ref="BB923" xml:space="preserve"> INDEX( VfM_Metrics_2023_Consol_Source[], $AK923, BB$832 )</f>
        <v>0</v>
      </c>
      <c r="BC923" s="34" cm="1">
        <f t="array" ref="BC923" xml:space="preserve"> INDEX( VfM_Metrics_2023_Consol_Source[], $AK923, BC$832 )</f>
        <v>0</v>
      </c>
    </row>
    <row r="924" spans="2:55" x14ac:dyDescent="0.2">
      <c r="B924" s="122" t="str" vm="91">
        <f t="shared" ref="B924" si="427" xml:space="preserve"> B714</f>
        <v>Livin Housing Limited</v>
      </c>
      <c r="C924" s="122" t="str" vm="381">
        <f t="shared" si="401"/>
        <v>L4538</v>
      </c>
      <c r="D924" s="30" cm="1">
        <f t="array" ref="D924" xml:space="preserve"> INDEX( VfM_Metrics_2023_Consol_Source[], $AK924, D$832 )</f>
        <v>0.1452192385632752</v>
      </c>
      <c r="E924" s="35">
        <f xml:space="preserve"> IF( tblFilterAll[[#This Row],[Reinvestment]] &lt; D$825, 4, IF( tblFilterAll[[#This Row],[Reinvestment]] &lt; D$826, 3, IF( tblFilterAll[[#This Row],[Reinvestment]] &lt; D$827, 2, 1 ) ) )</f>
        <v>1</v>
      </c>
      <c r="F924" s="35">
        <f xml:space="preserve"> COUNTIFS( tblFilterAll[Include in output], 1, tblFilterAll[Reinvestment], "&gt;" &amp; tblFilterAll[[#This Row],[Reinvestment]] ) + 1</f>
        <v>11</v>
      </c>
      <c r="G924" s="30" cm="1">
        <f t="array" ref="G924" xml:space="preserve"> INDEX( VfM_Metrics_2023_Consol_Source[], $AK924, G$832 )</f>
        <v>1.2706043956043956E-2</v>
      </c>
      <c r="H924" s="35">
        <f xml:space="preserve"> IF( tblFilterAll[[#This Row],[New Supply (Social)]] &lt; G$825, 4, IF( tblFilterAll[[#This Row],[New Supply (Social)]] &lt; G$826, 3, IF( tblFilterAll[[#This Row],[New Supply (Social)]] &lt; G$827, 2, 1 ) ) )</f>
        <v>3</v>
      </c>
      <c r="I924" s="35">
        <f xml:space="preserve"> COUNTIFS( tblFilterAll[Include in output], 1, tblFilterAll[New Supply (Social)], "&gt;" &amp; tblFilterAll[[#This Row],[New Supply (Social)]] ) + 1</f>
        <v>101</v>
      </c>
      <c r="J924" s="31" cm="1">
        <f t="array" ref="J924" xml:space="preserve"> INDEX( VfM_Metrics_2023_Consol_Source[], $AK924, J$832 )</f>
        <v>0</v>
      </c>
      <c r="K924" s="35">
        <f xml:space="preserve"> IF( tblFilterAll[[#This Row],[New Supply (Non-Social)]] &lt; J$825, 4, IF( tblFilterAll[[#This Row],[New Supply (Non-Social)]] &lt; J$826, 3, IF( tblFilterAll[[#This Row],[New Supply (Non-Social)]] &lt; J$827, 2, 1 ) ) )</f>
        <v>2</v>
      </c>
      <c r="L924" s="35">
        <f xml:space="preserve"> COUNTIFS( tblFilterAll[Include in output], 1, tblFilterAll[New Supply (Non-Social)], "&gt;" &amp; tblFilterAll[[#This Row],[New Supply (Non-Social)]] ) + 1</f>
        <v>72</v>
      </c>
      <c r="M924" s="30" cm="1">
        <f t="array" ref="M924" xml:space="preserve"> INDEX( VfM_Metrics_2023_Consol_Source[], $AK924, M$832 )</f>
        <v>0.53748445897659303</v>
      </c>
      <c r="N924" s="35">
        <f xml:space="preserve"> IF( tblFilterAll[[#This Row],[Gearing]] &lt; M$825, 4, IF( tblFilterAll[[#This Row],[Gearing]] &lt; M$826, 3, IF( tblFilterAll[[#This Row],[Gearing]] &lt; M$827, 2, 1 ) ) )</f>
        <v>1</v>
      </c>
      <c r="O924" s="35">
        <f xml:space="preserve"> COUNTIFS( tblFilterAll[Include in output], 1, tblFilterAll[Gearing], "&gt;" &amp; tblFilterAll[[#This Row],[Gearing]] ) + 1</f>
        <v>49</v>
      </c>
      <c r="P924" s="30" cm="1">
        <f t="array" ref="P924" xml:space="preserve"> INDEX( VfM_Metrics_2023_Consol_Source[], $AK924, P$832 )</f>
        <v>0.6942040388145817</v>
      </c>
      <c r="Q924" s="35">
        <f xml:space="preserve"> IF( tblFilterAll[[#This Row],[EBITDA MRI Interest Cover]] &lt; P$825, 4, IF( tblFilterAll[[#This Row],[EBITDA MRI Interest Cover]] &lt; P$826, 3, IF( tblFilterAll[[#This Row],[EBITDA MRI Interest Cover]] &lt; P$827, 2, 1 ) ) )</f>
        <v>4</v>
      </c>
      <c r="R924" s="35">
        <f xml:space="preserve"> COUNTIFS( tblFilterAll[Include in output], 1, tblFilterAll[EBITDA MRI Interest Cover], "&gt;" &amp; tblFilterAll[[#This Row],[EBITDA MRI Interest Cover]] ) + 1</f>
        <v>159</v>
      </c>
      <c r="S924" s="32" cm="1">
        <f t="array" ref="S924" xml:space="preserve"> INDEX( VfM_Metrics_2023_Consol_Source[], $AK924, S$832 )</f>
        <v>4158.246828143022</v>
      </c>
      <c r="T924" s="35">
        <f xml:space="preserve"> IF( tblFilterAll[[#This Row],[Headline Social Housing Cost per unit]] &lt; S$825, 4, IF( tblFilterAll[[#This Row],[Headline Social Housing Cost per unit]] &lt; S$826, 3, IF( tblFilterAll[[#This Row],[Headline Social Housing Cost per unit]] &lt; S$827, 2, 1 ) ) )</f>
        <v>3</v>
      </c>
      <c r="U924" s="35">
        <f xml:space="preserve"> COUNTIFS( tblFilterAll[Include in output], 1, tblFilterAll[Headline Social Housing Cost per unit], "&gt;" &amp; tblFilterAll[[#This Row],[Headline Social Housing Cost per unit]] ) + 1</f>
        <v>143</v>
      </c>
      <c r="V924" s="30" cm="1">
        <f t="array" ref="V924" xml:space="preserve"> INDEX( VfM_Metrics_2023_Consol_Source[], $AK924, V$832 )</f>
        <v>0.18346103038309114</v>
      </c>
      <c r="W924" s="35">
        <f xml:space="preserve"> IF( tblFilterAll[[#This Row],[Operating Margin (SHL)]] &lt; V$825, 4, IF( tblFilterAll[[#This Row],[Operating Margin (SHL)]] &lt; V$826, 3, IF( tblFilterAll[[#This Row],[Operating Margin (SHL)]] &lt; V$827, 2, 1 ) ) )</f>
        <v>3</v>
      </c>
      <c r="X924" s="35">
        <f xml:space="preserve"> COUNTIFS( tblFilterAll[Include in output], 1, tblFilterAll[Operating Margin (SHL)], "&gt;" &amp; tblFilterAll[[#This Row],[Operating Margin (SHL)]] ) + 1</f>
        <v>117</v>
      </c>
      <c r="Y924" s="30" cm="1">
        <f t="array" ref="Y924" xml:space="preserve"> INDEX( VfM_Metrics_2023_Consol_Source[], $AK924, Y$832 )</f>
        <v>0.20290997888739093</v>
      </c>
      <c r="Z924" s="35">
        <f xml:space="preserve"> IF( tblFilterAll[[#This Row],[Operating Margin (Overall)]] &lt; Y$825, 4, IF( tblFilterAll[[#This Row],[Operating Margin (Overall)]] &lt; Y$826, 3, IF( tblFilterAll[[#This Row],[Operating Margin (Overall)]] &lt; Y$827, 2, 1 ) ) )</f>
        <v>2</v>
      </c>
      <c r="AA924" s="35">
        <f xml:space="preserve"> COUNTIFS( tblFilterAll[Include in output], 1, tblFilterAll[Operating Margin (Overall)], "&gt;" &amp; tblFilterAll[[#This Row],[Operating Margin (Overall)]] ) + 1</f>
        <v>79</v>
      </c>
      <c r="AB924" s="30" cm="1">
        <f t="array" ref="AB924" xml:space="preserve"> INDEX( VfM_Metrics_2023_Consol_Source[], $AK924, AB$832 )</f>
        <v>4.2480123978688868E-2</v>
      </c>
      <c r="AC924" s="35">
        <f xml:space="preserve"> IF( tblFilterAll[[#This Row],[ROCE]] &lt; AB$825, 4, IF( tblFilterAll[[#This Row],[ROCE]] &lt; AB$826, 3, IF( tblFilterAll[[#This Row],[ROCE]] &lt; AB$827, 2, 1 ) ) )</f>
        <v>1</v>
      </c>
      <c r="AD924" s="35">
        <f xml:space="preserve"> COUNTIFS( tblFilterAll[Include in output], 1, tblFilterAll[ROCE], "&gt;" &amp; tblFilterAll[[#This Row],[ROCE]] ) + 1</f>
        <v>21</v>
      </c>
      <c r="AE924" s="33" cm="1" vm="6225">
        <f t="array" ref="AE924" xml:space="preserve"> INDEX( VfM_Metrics_2023_Consol_Source[], $AK924, AE$832 )</f>
        <v>8670</v>
      </c>
      <c r="AF924" s="30" cm="1">
        <f t="array" ref="AF924" xml:space="preserve"> INDEX( VfM_Metrics_2023_Consol_Source[], $AK924, AF$832 )</f>
        <v>0</v>
      </c>
      <c r="AG924" s="30" cm="1">
        <f t="array" ref="AG924" xml:space="preserve"> INDEX( VfM_Metrics_2023_Consol_Source[], $AK924, AG$832 )</f>
        <v>0</v>
      </c>
      <c r="AH924" s="30" cm="1">
        <f t="array" ref="AH924" xml:space="preserve"> INDEX( VfM_Metrics_2023_Consol_Source[], $AK924, AH$832 )</f>
        <v>0</v>
      </c>
      <c r="AI924" s="30" t="str" cm="1">
        <f t="array" ref="AI924" xml:space="preserve"> INDEX( VfM_Metrics_2023_Consol_Source[], $AK924, AI$832 )</f>
        <v>Traditional</v>
      </c>
      <c r="AJ924" s="34" t="str" cm="1">
        <f t="array" ref="AJ924" xml:space="preserve"> INDEX( VfM_Metrics_2023_Consol_Source[], $AK924, AJ$832 )</f>
        <v>North East</v>
      </c>
      <c r="AK924" s="81">
        <f xml:space="preserve"> MATCH( tblFilterAll[[#This Row],[Code]], VfM_Metrics_2023_Consol_Source[RP_Code], 0 )</f>
        <v>91</v>
      </c>
      <c r="AL924" s="24">
        <f xml:space="preserve"> INDEX( tblFilterRegion[Include for region],  MATCH( tblFilterAll[[#This Row],[Code]], tblFilterRegion[RP_Code], 0 ) )</f>
        <v>1</v>
      </c>
      <c r="AM924" s="24">
        <f xml:space="preserve"> INDEX( tblFilterPropType[Incl for prop type],  MATCH( tblFilterAll[[#This Row],[Code]], tblFilterPropType[RP_Code], 0 ) )</f>
        <v>1</v>
      </c>
      <c r="AN924" s="24">
        <f xml:space="preserve"> INDEX( tblFilterSize[Incl for size],  MATCH( tblFilterAll[[#This Row],[Code]], tblFilterSize[RP_Code], 0 ) )</f>
        <v>1</v>
      </c>
      <c r="AO924" s="24">
        <f xml:space="preserve"> INDEX( tblFilterRP_Type[Incl, for RP Type],  MATCH( tblFilterAll[[#This Row],[Code]], tblFilterRP_Type[RP_Code], 0 ) )</f>
        <v>1</v>
      </c>
      <c r="AP924" s="24">
        <f xml:space="preserve">  -- ( SUM( tblFilterAll[[#This Row],[Filter Region]:[Filter RP Type]] ) = 4 )</f>
        <v>1</v>
      </c>
      <c r="AQ924" s="24">
        <f xml:space="preserve"> -- ( tblFilterAll[[#This Row],[Provider name]] = SelectedProvider )</f>
        <v>0</v>
      </c>
      <c r="AR924" s="24">
        <f xml:space="preserve">  -- ( OR( SUM( tblFilterAll[[#This Row],[Filter Region]:[Filter RP Type]] ) = 4, tblFilterAll[[#This Row],[SelectedProvider]] = 1 ) )</f>
        <v>1</v>
      </c>
      <c r="AS924" s="24">
        <f xml:space="preserve"> -- ( INDEX( PeersCritera[Included in final peers], MATCH( tblFilterAll[[#This Row],[Provider name]], PeersCritera[RP_Name], 0 ) ) = 1 )</f>
        <v>1</v>
      </c>
      <c r="AT924" s="30" t="str" cm="1">
        <f t="array" ref="AT924" xml:space="preserve"> SUBSTITUTE( INDEX( VfM_Metrics_2023_Consol_Source[], $AK924, AT$832 ), 0, "" )</f>
        <v>&gt;= 12 years</v>
      </c>
      <c r="AU924" s="34" cm="1">
        <f t="array" ref="AU924" xml:space="preserve"> INDEX( VfM_Metrics_2023_Consol_Source[], $AK924, AU$832 )</f>
        <v>0</v>
      </c>
      <c r="AV924" s="34" cm="1">
        <f t="array" ref="AV924" xml:space="preserve"> INDEX( VfM_Metrics_2023_Consol_Source[], $AK924, AV$832 )</f>
        <v>0</v>
      </c>
      <c r="AW924" s="34" cm="1">
        <f t="array" ref="AW924" xml:space="preserve"> INDEX( VfM_Metrics_2023_Consol_Source[], $AK924, AW$832 )</f>
        <v>0</v>
      </c>
      <c r="AX924" s="34" cm="1">
        <f t="array" ref="AX924" xml:space="preserve"> INDEX( VfM_Metrics_2023_Consol_Source[], $AK924, AX$832 )</f>
        <v>0</v>
      </c>
      <c r="AY924" s="34" cm="1">
        <f t="array" ref="AY924" xml:space="preserve"> INDEX( VfM_Metrics_2023_Consol_Source[], $AK924, AY$832 )</f>
        <v>0</v>
      </c>
      <c r="AZ924" s="34" cm="1">
        <f t="array" ref="AZ924" xml:space="preserve"> INDEX( VfM_Metrics_2023_Consol_Source[], $AK924, AZ$832 )</f>
        <v>0</v>
      </c>
      <c r="BA924" s="34" cm="1">
        <f t="array" ref="BA924" xml:space="preserve"> INDEX( VfM_Metrics_2023_Consol_Source[], $AK924, BA$832 )</f>
        <v>1</v>
      </c>
      <c r="BB924" s="34" cm="1">
        <f t="array" ref="BB924" xml:space="preserve"> INDEX( VfM_Metrics_2023_Consol_Source[], $AK924, BB$832 )</f>
        <v>0</v>
      </c>
      <c r="BC924" s="34" cm="1">
        <f t="array" ref="BC924" xml:space="preserve"> INDEX( VfM_Metrics_2023_Consol_Source[], $AK924, BC$832 )</f>
        <v>0</v>
      </c>
    </row>
    <row r="925" spans="2:55" x14ac:dyDescent="0.2">
      <c r="B925" s="122" t="str" vm="92">
        <f t="shared" ref="B925" si="428" xml:space="preserve"> B715</f>
        <v>Livv Housing Group</v>
      </c>
      <c r="C925" s="122" t="str" vm="295">
        <f t="shared" si="401"/>
        <v>LH4343</v>
      </c>
      <c r="D925" s="30" cm="1">
        <f t="array" ref="D925" xml:space="preserve"> INDEX( VfM_Metrics_2023_Consol_Source[], $AK925, D$832 )</f>
        <v>0.12214971341758166</v>
      </c>
      <c r="E925" s="35">
        <f xml:space="preserve"> IF( tblFilterAll[[#This Row],[Reinvestment]] &lt; D$825, 4, IF( tblFilterAll[[#This Row],[Reinvestment]] &lt; D$826, 3, IF( tblFilterAll[[#This Row],[Reinvestment]] &lt; D$827, 2, 1 ) ) )</f>
        <v>1</v>
      </c>
      <c r="F925" s="35">
        <f xml:space="preserve"> COUNTIFS( tblFilterAll[Include in output], 1, tblFilterAll[Reinvestment], "&gt;" &amp; tblFilterAll[[#This Row],[Reinvestment]] ) + 1</f>
        <v>18</v>
      </c>
      <c r="G925" s="30" cm="1">
        <f t="array" ref="G925" xml:space="preserve"> INDEX( VfM_Metrics_2023_Consol_Source[], $AK925, G$832 )</f>
        <v>9.7971148653860987E-3</v>
      </c>
      <c r="H925" s="35">
        <f xml:space="preserve"> IF( tblFilterAll[[#This Row],[New Supply (Social)]] &lt; G$825, 4, IF( tblFilterAll[[#This Row],[New Supply (Social)]] &lt; G$826, 3, IF( tblFilterAll[[#This Row],[New Supply (Social)]] &lt; G$827, 2, 1 ) ) )</f>
        <v>3</v>
      </c>
      <c r="I925" s="35">
        <f xml:space="preserve"> COUNTIFS( tblFilterAll[Include in output], 1, tblFilterAll[New Supply (Social)], "&gt;" &amp; tblFilterAll[[#This Row],[New Supply (Social)]] ) + 1</f>
        <v>124</v>
      </c>
      <c r="J925" s="31" cm="1">
        <f t="array" ref="J925" xml:space="preserve"> INDEX( VfM_Metrics_2023_Consol_Source[], $AK925, J$832 )</f>
        <v>0</v>
      </c>
      <c r="K925" s="35">
        <f xml:space="preserve"> IF( tblFilterAll[[#This Row],[New Supply (Non-Social)]] &lt; J$825, 4, IF( tblFilterAll[[#This Row],[New Supply (Non-Social)]] &lt; J$826, 3, IF( tblFilterAll[[#This Row],[New Supply (Non-Social)]] &lt; J$827, 2, 1 ) ) )</f>
        <v>2</v>
      </c>
      <c r="L925" s="35">
        <f xml:space="preserve"> COUNTIFS( tblFilterAll[Include in output], 1, tblFilterAll[New Supply (Non-Social)], "&gt;" &amp; tblFilterAll[[#This Row],[New Supply (Non-Social)]] ) + 1</f>
        <v>72</v>
      </c>
      <c r="M925" s="30" cm="1">
        <f t="array" ref="M925" xml:space="preserve"> INDEX( VfM_Metrics_2023_Consol_Source[], $AK925, M$832 )</f>
        <v>0.45280022097921413</v>
      </c>
      <c r="N925" s="35">
        <f xml:space="preserve"> IF( tblFilterAll[[#This Row],[Gearing]] &lt; M$825, 4, IF( tblFilterAll[[#This Row],[Gearing]] &lt; M$826, 3, IF( tblFilterAll[[#This Row],[Gearing]] &lt; M$827, 2, 1 ) ) )</f>
        <v>2</v>
      </c>
      <c r="O925" s="35">
        <f xml:space="preserve"> COUNTIFS( tblFilterAll[Include in output], 1, tblFilterAll[Gearing], "&gt;" &amp; tblFilterAll[[#This Row],[Gearing]] ) + 1</f>
        <v>99</v>
      </c>
      <c r="P925" s="30" cm="1">
        <f t="array" ref="P925" xml:space="preserve"> INDEX( VfM_Metrics_2023_Consol_Source[], $AK925, P$832 )</f>
        <v>1.3607209446861404</v>
      </c>
      <c r="Q925" s="35">
        <f xml:space="preserve"> IF( tblFilterAll[[#This Row],[EBITDA MRI Interest Cover]] &lt; P$825, 4, IF( tblFilterAll[[#This Row],[EBITDA MRI Interest Cover]] &lt; P$826, 3, IF( tblFilterAll[[#This Row],[EBITDA MRI Interest Cover]] &lt; P$827, 2, 1 ) ) )</f>
        <v>2</v>
      </c>
      <c r="R925" s="35">
        <f xml:space="preserve"> COUNTIFS( tblFilterAll[Include in output], 1, tblFilterAll[EBITDA MRI Interest Cover], "&gt;" &amp; tblFilterAll[[#This Row],[EBITDA MRI Interest Cover]] ) + 1</f>
        <v>83</v>
      </c>
      <c r="S925" s="32" cm="1">
        <f t="array" ref="S925" xml:space="preserve"> INDEX( VfM_Metrics_2023_Consol_Source[], $AK925, S$832 )</f>
        <v>4033.1713337961892</v>
      </c>
      <c r="T925" s="35">
        <f xml:space="preserve"> IF( tblFilterAll[[#This Row],[Headline Social Housing Cost per unit]] &lt; S$825, 4, IF( tblFilterAll[[#This Row],[Headline Social Housing Cost per unit]] &lt; S$826, 3, IF( tblFilterAll[[#This Row],[Headline Social Housing Cost per unit]] &lt; S$827, 2, 1 ) ) )</f>
        <v>4</v>
      </c>
      <c r="U925" s="35">
        <f xml:space="preserve"> COUNTIFS( tblFilterAll[Include in output], 1, tblFilterAll[Headline Social Housing Cost per unit], "&gt;" &amp; tblFilterAll[[#This Row],[Headline Social Housing Cost per unit]] ) + 1</f>
        <v>158</v>
      </c>
      <c r="V925" s="30" cm="1">
        <f t="array" ref="V925" xml:space="preserve"> INDEX( VfM_Metrics_2023_Consol_Source[], $AK925, V$832 )</f>
        <v>0.25290988487495036</v>
      </c>
      <c r="W925" s="35">
        <f xml:space="preserve"> IF( tblFilterAll[[#This Row],[Operating Margin (SHL)]] &lt; V$825, 4, IF( tblFilterAll[[#This Row],[Operating Margin (SHL)]] &lt; V$826, 3, IF( tblFilterAll[[#This Row],[Operating Margin (SHL)]] &lt; V$827, 2, 1 ) ) )</f>
        <v>2</v>
      </c>
      <c r="X925" s="35">
        <f xml:space="preserve"> COUNTIFS( tblFilterAll[Include in output], 1, tblFilterAll[Operating Margin (SHL)], "&gt;" &amp; tblFilterAll[[#This Row],[Operating Margin (SHL)]] ) + 1</f>
        <v>51</v>
      </c>
      <c r="Y925" s="30" cm="1">
        <f t="array" ref="Y925" xml:space="preserve"> INDEX( VfM_Metrics_2023_Consol_Source[], $AK925, Y$832 )</f>
        <v>0.23125285948315302</v>
      </c>
      <c r="Z925" s="35">
        <f xml:space="preserve"> IF( tblFilterAll[[#This Row],[Operating Margin (Overall)]] &lt; Y$825, 4, IF( tblFilterAll[[#This Row],[Operating Margin (Overall)]] &lt; Y$826, 3, IF( tblFilterAll[[#This Row],[Operating Margin (Overall)]] &lt; Y$827, 2, 1 ) ) )</f>
        <v>1</v>
      </c>
      <c r="AA925" s="35">
        <f xml:space="preserve"> COUNTIFS( tblFilterAll[Include in output], 1, tblFilterAll[Operating Margin (Overall)], "&gt;" &amp; tblFilterAll[[#This Row],[Operating Margin (Overall)]] ) + 1</f>
        <v>48</v>
      </c>
      <c r="AB925" s="30" cm="1">
        <f t="array" ref="AB925" xml:space="preserve"> INDEX( VfM_Metrics_2023_Consol_Source[], $AK925, AB$832 )</f>
        <v>6.3773226306188494E-2</v>
      </c>
      <c r="AC925" s="35">
        <f xml:space="preserve"> IF( tblFilterAll[[#This Row],[ROCE]] &lt; AB$825, 4, IF( tblFilterAll[[#This Row],[ROCE]] &lt; AB$826, 3, IF( tblFilterAll[[#This Row],[ROCE]] &lt; AB$827, 2, 1 ) ) )</f>
        <v>1</v>
      </c>
      <c r="AD925" s="35">
        <f xml:space="preserve"> COUNTIFS( tblFilterAll[Include in output], 1, tblFilterAll[ROCE], "&gt;" &amp; tblFilterAll[[#This Row],[ROCE]] ) + 1</f>
        <v>4</v>
      </c>
      <c r="AE925" s="33" cm="1" vm="3182">
        <f t="array" ref="AE925" xml:space="preserve"> INDEX( VfM_Metrics_2023_Consol_Source[], $AK925, AE$832 )</f>
        <v>12963</v>
      </c>
      <c r="AF925" s="30" cm="1">
        <f t="array" ref="AF925" xml:space="preserve"> INDEX( VfM_Metrics_2023_Consol_Source[], $AK925, AF$832 )</f>
        <v>1.0066594393681276E-3</v>
      </c>
      <c r="AG925" s="30" cm="1">
        <f t="array" ref="AG925" xml:space="preserve"> INDEX( VfM_Metrics_2023_Consol_Source[], $AK925, AG$832 )</f>
        <v>4.4447886015177324E-2</v>
      </c>
      <c r="AH925" s="30" cm="1">
        <f t="array" ref="AH925" xml:space="preserve"> INDEX( VfM_Metrics_2023_Consol_Source[], $AK925, AH$832 )</f>
        <v>4.5454545454545449E-2</v>
      </c>
      <c r="AI925" s="30" t="str" cm="1">
        <f t="array" ref="AI925" xml:space="preserve"> INDEX( VfM_Metrics_2023_Consol_Source[], $AK925, AI$832 )</f>
        <v>Traditional</v>
      </c>
      <c r="AJ925" s="34" t="str" cm="1">
        <f t="array" ref="AJ925" xml:space="preserve"> INDEX( VfM_Metrics_2023_Consol_Source[], $AK925, AJ$832 )</f>
        <v>North West</v>
      </c>
      <c r="AK925" s="81">
        <f xml:space="preserve"> MATCH( tblFilterAll[[#This Row],[Code]], VfM_Metrics_2023_Consol_Source[RP_Code], 0 )</f>
        <v>92</v>
      </c>
      <c r="AL925" s="24">
        <f xml:space="preserve"> INDEX( tblFilterRegion[Include for region],  MATCH( tblFilterAll[[#This Row],[Code]], tblFilterRegion[RP_Code], 0 ) )</f>
        <v>1</v>
      </c>
      <c r="AM925" s="24">
        <f xml:space="preserve"> INDEX( tblFilterPropType[Incl for prop type],  MATCH( tblFilterAll[[#This Row],[Code]], tblFilterPropType[RP_Code], 0 ) )</f>
        <v>1</v>
      </c>
      <c r="AN925" s="24">
        <f xml:space="preserve"> INDEX( tblFilterSize[Incl for size],  MATCH( tblFilterAll[[#This Row],[Code]], tblFilterSize[RP_Code], 0 ) )</f>
        <v>1</v>
      </c>
      <c r="AO925" s="24">
        <f xml:space="preserve"> INDEX( tblFilterRP_Type[Incl, for RP Type],  MATCH( tblFilterAll[[#This Row],[Code]], tblFilterRP_Type[RP_Code], 0 ) )</f>
        <v>1</v>
      </c>
      <c r="AP925" s="24">
        <f xml:space="preserve">  -- ( SUM( tblFilterAll[[#This Row],[Filter Region]:[Filter RP Type]] ) = 4 )</f>
        <v>1</v>
      </c>
      <c r="AQ925" s="24">
        <f xml:space="preserve"> -- ( tblFilterAll[[#This Row],[Provider name]] = SelectedProvider )</f>
        <v>0</v>
      </c>
      <c r="AR925" s="24">
        <f xml:space="preserve">  -- ( OR( SUM( tblFilterAll[[#This Row],[Filter Region]:[Filter RP Type]] ) = 4, tblFilterAll[[#This Row],[SelectedProvider]] = 1 ) )</f>
        <v>1</v>
      </c>
      <c r="AS925" s="24">
        <f xml:space="preserve"> -- ( INDEX( PeersCritera[Included in final peers], MATCH( tblFilterAll[[#This Row],[Provider name]], PeersCritera[RP_Name], 0 ) ) = 1 )</f>
        <v>1</v>
      </c>
      <c r="AT925" s="30" t="str" cm="1">
        <f t="array" ref="AT925" xml:space="preserve"> SUBSTITUTE( INDEX( VfM_Metrics_2023_Consol_Source[], $AK925, AT$832 ), 0, "" )</f>
        <v>&gt;= 12 years</v>
      </c>
      <c r="AU925" s="34" cm="1">
        <f t="array" ref="AU925" xml:space="preserve"> INDEX( VfM_Metrics_2023_Consol_Source[], $AK925, AU$832 )</f>
        <v>0</v>
      </c>
      <c r="AV925" s="34" cm="1">
        <f t="array" ref="AV925" xml:space="preserve"> INDEX( VfM_Metrics_2023_Consol_Source[], $AK925, AV$832 )</f>
        <v>0</v>
      </c>
      <c r="AW925" s="34" cm="1">
        <f t="array" ref="AW925" xml:space="preserve"> INDEX( VfM_Metrics_2023_Consol_Source[], $AK925, AW$832 )</f>
        <v>0</v>
      </c>
      <c r="AX925" s="34" cm="1">
        <f t="array" ref="AX925" xml:space="preserve"> INDEX( VfM_Metrics_2023_Consol_Source[], $AK925, AX$832 )</f>
        <v>0</v>
      </c>
      <c r="AY925" s="34" cm="1">
        <f t="array" ref="AY925" xml:space="preserve"> INDEX( VfM_Metrics_2023_Consol_Source[], $AK925, AY$832 )</f>
        <v>0</v>
      </c>
      <c r="AZ925" s="34" cm="1">
        <f t="array" ref="AZ925" xml:space="preserve"> INDEX( VfM_Metrics_2023_Consol_Source[], $AK925, AZ$832 )</f>
        <v>0</v>
      </c>
      <c r="BA925" s="34" cm="1">
        <f t="array" ref="BA925" xml:space="preserve"> INDEX( VfM_Metrics_2023_Consol_Source[], $AK925, BA$832 )</f>
        <v>0</v>
      </c>
      <c r="BB925" s="34" cm="1">
        <f t="array" ref="BB925" xml:space="preserve"> INDEX( VfM_Metrics_2023_Consol_Source[], $AK925, BB$832 )</f>
        <v>1</v>
      </c>
      <c r="BC925" s="34" cm="1">
        <f t="array" ref="BC925" xml:space="preserve"> INDEX( VfM_Metrics_2023_Consol_Source[], $AK925, BC$832 )</f>
        <v>0</v>
      </c>
    </row>
    <row r="926" spans="2:55" x14ac:dyDescent="0.2">
      <c r="B926" s="122" t="str" vm="93">
        <f t="shared" ref="B926" si="429" xml:space="preserve"> B716</f>
        <v>Local Space</v>
      </c>
      <c r="C926" s="122" t="str" vm="212">
        <f t="shared" si="401"/>
        <v>LH4454</v>
      </c>
      <c r="D926" s="30" cm="1">
        <f t="array" ref="D926" xml:space="preserve"> INDEX( VfM_Metrics_2023_Consol_Source[], $AK926, D$832 )</f>
        <v>3.15702969097615E-2</v>
      </c>
      <c r="E926" s="35">
        <f xml:space="preserve"> IF( tblFilterAll[[#This Row],[Reinvestment]] &lt; D$825, 4, IF( tblFilterAll[[#This Row],[Reinvestment]] &lt; D$826, 3, IF( tblFilterAll[[#This Row],[Reinvestment]] &lt; D$827, 2, 1 ) ) )</f>
        <v>4</v>
      </c>
      <c r="F926" s="35">
        <f xml:space="preserve"> COUNTIFS( tblFilterAll[Include in output], 1, tblFilterAll[Reinvestment], "&gt;" &amp; tblFilterAll[[#This Row],[Reinvestment]] ) + 1</f>
        <v>169</v>
      </c>
      <c r="G926" s="30" cm="1">
        <f t="array" ref="G926" xml:space="preserve"> INDEX( VfM_Metrics_2023_Consol_Source[], $AK926, G$832 )</f>
        <v>3.3333333333333333E-2</v>
      </c>
      <c r="H926" s="35">
        <f xml:space="preserve"> IF( tblFilterAll[[#This Row],[New Supply (Social)]] &lt; G$825, 4, IF( tblFilterAll[[#This Row],[New Supply (Social)]] &lt; G$826, 3, IF( tblFilterAll[[#This Row],[New Supply (Social)]] &lt; G$827, 2, 1 ) ) )</f>
        <v>1</v>
      </c>
      <c r="I926" s="35">
        <f xml:space="preserve"> COUNTIFS( tblFilterAll[Include in output], 1, tblFilterAll[New Supply (Social)], "&gt;" &amp; tblFilterAll[[#This Row],[New Supply (Social)]] ) + 1</f>
        <v>14</v>
      </c>
      <c r="J926" s="31" cm="1">
        <f t="array" ref="J926" xml:space="preserve"> INDEX( VfM_Metrics_2023_Consol_Source[], $AK926, J$832 )</f>
        <v>0</v>
      </c>
      <c r="K926" s="35">
        <f xml:space="preserve"> IF( tblFilterAll[[#This Row],[New Supply (Non-Social)]] &lt; J$825, 4, IF( tblFilterAll[[#This Row],[New Supply (Non-Social)]] &lt; J$826, 3, IF( tblFilterAll[[#This Row],[New Supply (Non-Social)]] &lt; J$827, 2, 1 ) ) )</f>
        <v>2</v>
      </c>
      <c r="L926" s="35">
        <f xml:space="preserve"> COUNTIFS( tblFilterAll[Include in output], 1, tblFilterAll[New Supply (Non-Social)], "&gt;" &amp; tblFilterAll[[#This Row],[New Supply (Non-Social)]] ) + 1</f>
        <v>72</v>
      </c>
      <c r="M926" s="30" cm="1">
        <f t="array" ref="M926" xml:space="preserve"> INDEX( VfM_Metrics_2023_Consol_Source[], $AK926, M$832 )</f>
        <v>0.604859713943807</v>
      </c>
      <c r="N926" s="35">
        <f xml:space="preserve"> IF( tblFilterAll[[#This Row],[Gearing]] &lt; M$825, 4, IF( tblFilterAll[[#This Row],[Gearing]] &lt; M$826, 3, IF( tblFilterAll[[#This Row],[Gearing]] &lt; M$827, 2, 1 ) ) )</f>
        <v>1</v>
      </c>
      <c r="O926" s="35">
        <f xml:space="preserve"> COUNTIFS( tblFilterAll[Include in output], 1, tblFilterAll[Gearing], "&gt;" &amp; tblFilterAll[[#This Row],[Gearing]] ) + 1</f>
        <v>25</v>
      </c>
      <c r="P926" s="30" cm="1">
        <f t="array" ref="P926" xml:space="preserve"> INDEX( VfM_Metrics_2023_Consol_Source[], $AK926, P$832 )</f>
        <v>1.9005235602094241</v>
      </c>
      <c r="Q926" s="35">
        <f xml:space="preserve"> IF( tblFilterAll[[#This Row],[EBITDA MRI Interest Cover]] &lt; P$825, 4, IF( tblFilterAll[[#This Row],[EBITDA MRI Interest Cover]] &lt; P$826, 3, IF( tblFilterAll[[#This Row],[EBITDA MRI Interest Cover]] &lt; P$827, 2, 1 ) ) )</f>
        <v>1</v>
      </c>
      <c r="R926" s="35">
        <f xml:space="preserve"> COUNTIFS( tblFilterAll[Include in output], 1, tblFilterAll[EBITDA MRI Interest Cover], "&gt;" &amp; tblFilterAll[[#This Row],[EBITDA MRI Interest Cover]] ) + 1</f>
        <v>33</v>
      </c>
      <c r="S926" s="32" cm="1">
        <f t="array" ref="S926" xml:space="preserve"> INDEX( VfM_Metrics_2023_Consol_Source[], $AK926, S$832 )</f>
        <v>7632.5925925925922</v>
      </c>
      <c r="T926" s="35">
        <f xml:space="preserve"> IF( tblFilterAll[[#This Row],[Headline Social Housing Cost per unit]] &lt; S$825, 4, IF( tblFilterAll[[#This Row],[Headline Social Housing Cost per unit]] &lt; S$826, 3, IF( tblFilterAll[[#This Row],[Headline Social Housing Cost per unit]] &lt; S$827, 2, 1 ) ) )</f>
        <v>1</v>
      </c>
      <c r="U926" s="35">
        <f xml:space="preserve"> COUNTIFS( tblFilterAll[Include in output], 1, tblFilterAll[Headline Social Housing Cost per unit], "&gt;" &amp; tblFilterAll[[#This Row],[Headline Social Housing Cost per unit]] ) + 1</f>
        <v>26</v>
      </c>
      <c r="V926" s="30" cm="1">
        <f t="array" ref="V926" xml:space="preserve"> INDEX( VfM_Metrics_2023_Consol_Source[], $AK926, V$832 )</f>
        <v>0.35274407856730211</v>
      </c>
      <c r="W926" s="35">
        <f xml:space="preserve"> IF( tblFilterAll[[#This Row],[Operating Margin (SHL)]] &lt; V$825, 4, IF( tblFilterAll[[#This Row],[Operating Margin (SHL)]] &lt; V$826, 3, IF( tblFilterAll[[#This Row],[Operating Margin (SHL)]] &lt; V$827, 2, 1 ) ) )</f>
        <v>1</v>
      </c>
      <c r="X926" s="35">
        <f xml:space="preserve"> COUNTIFS( tblFilterAll[Include in output], 1, tblFilterAll[Operating Margin (SHL)], "&gt;" &amp; tblFilterAll[[#This Row],[Operating Margin (SHL)]] ) + 1</f>
        <v>10</v>
      </c>
      <c r="Y926" s="30" cm="1">
        <f t="array" ref="Y926" xml:space="preserve"> INDEX( VfM_Metrics_2023_Consol_Source[], $AK926, Y$832 )</f>
        <v>0.54421270578729419</v>
      </c>
      <c r="Z926" s="35">
        <f xml:space="preserve"> IF( tblFilterAll[[#This Row],[Operating Margin (Overall)]] &lt; Y$825, 4, IF( tblFilterAll[[#This Row],[Operating Margin (Overall)]] &lt; Y$826, 3, IF( tblFilterAll[[#This Row],[Operating Margin (Overall)]] &lt; Y$827, 2, 1 ) ) )</f>
        <v>1</v>
      </c>
      <c r="AA926" s="35">
        <f xml:space="preserve"> COUNTIFS( tblFilterAll[Include in output], 1, tblFilterAll[Operating Margin (Overall)], "&gt;" &amp; tblFilterAll[[#This Row],[Operating Margin (Overall)]] ) + 1</f>
        <v>1</v>
      </c>
      <c r="AB926" s="30" cm="1">
        <f t="array" ref="AB926" xml:space="preserve"> INDEX( VfM_Metrics_2023_Consol_Source[], $AK926, AB$832 )</f>
        <v>3.6257593268297444E-2</v>
      </c>
      <c r="AC926" s="35">
        <f xml:space="preserve"> IF( tblFilterAll[[#This Row],[ROCE]] &lt; AB$825, 4, IF( tblFilterAll[[#This Row],[ROCE]] &lt; AB$826, 3, IF( tblFilterAll[[#This Row],[ROCE]] &lt; AB$827, 2, 1 ) ) )</f>
        <v>2</v>
      </c>
      <c r="AD926" s="35">
        <f xml:space="preserve"> COUNTIFS( tblFilterAll[Include in output], 1, tblFilterAll[ROCE], "&gt;" &amp; tblFilterAll[[#This Row],[ROCE]] ) + 1</f>
        <v>50</v>
      </c>
      <c r="AE926" s="33" cm="1" vm="848">
        <f t="array" ref="AE926" xml:space="preserve"> INDEX( VfM_Metrics_2023_Consol_Source[], $AK926, AE$832 )</f>
        <v>1350</v>
      </c>
      <c r="AF926" s="30" cm="1">
        <f t="array" ref="AF926" xml:space="preserve"> INDEX( VfM_Metrics_2023_Consol_Source[], $AK926, AF$832 )</f>
        <v>0</v>
      </c>
      <c r="AG926" s="30" cm="1">
        <f t="array" ref="AG926" xml:space="preserve"> INDEX( VfM_Metrics_2023_Consol_Source[], $AK926, AG$832 )</f>
        <v>0</v>
      </c>
      <c r="AH926" s="30" cm="1">
        <f t="array" ref="AH926" xml:space="preserve"> INDEX( VfM_Metrics_2023_Consol_Source[], $AK926, AH$832 )</f>
        <v>0</v>
      </c>
      <c r="AI926" s="30" t="str" cm="1">
        <f t="array" ref="AI926" xml:space="preserve"> INDEX( VfM_Metrics_2023_Consol_Source[], $AK926, AI$832 )</f>
        <v>Traditional</v>
      </c>
      <c r="AJ926" s="34" t="str" cm="1">
        <f t="array" ref="AJ926" xml:space="preserve"> INDEX( VfM_Metrics_2023_Consol_Source[], $AK926, AJ$832 )</f>
        <v>London</v>
      </c>
      <c r="AK926" s="81">
        <f xml:space="preserve"> MATCH( tblFilterAll[[#This Row],[Code]], VfM_Metrics_2023_Consol_Source[RP_Code], 0 )</f>
        <v>93</v>
      </c>
      <c r="AL926" s="24">
        <f xml:space="preserve"> INDEX( tblFilterRegion[Include for region],  MATCH( tblFilterAll[[#This Row],[Code]], tblFilterRegion[RP_Code], 0 ) )</f>
        <v>1</v>
      </c>
      <c r="AM926" s="24">
        <f xml:space="preserve"> INDEX( tblFilterPropType[Incl for prop type],  MATCH( tblFilterAll[[#This Row],[Code]], tblFilterPropType[RP_Code], 0 ) )</f>
        <v>1</v>
      </c>
      <c r="AN926" s="24">
        <f xml:space="preserve"> INDEX( tblFilterSize[Incl for size],  MATCH( tblFilterAll[[#This Row],[Code]], tblFilterSize[RP_Code], 0 ) )</f>
        <v>1</v>
      </c>
      <c r="AO926" s="24">
        <f xml:space="preserve"> INDEX( tblFilterRP_Type[Incl, for RP Type],  MATCH( tblFilterAll[[#This Row],[Code]], tblFilterRP_Type[RP_Code], 0 ) )</f>
        <v>1</v>
      </c>
      <c r="AP926" s="24">
        <f xml:space="preserve">  -- ( SUM( tblFilterAll[[#This Row],[Filter Region]:[Filter RP Type]] ) = 4 )</f>
        <v>1</v>
      </c>
      <c r="AQ926" s="24">
        <f xml:space="preserve"> -- ( tblFilterAll[[#This Row],[Provider name]] = SelectedProvider )</f>
        <v>0</v>
      </c>
      <c r="AR926" s="24">
        <f xml:space="preserve">  -- ( OR( SUM( tblFilterAll[[#This Row],[Filter Region]:[Filter RP Type]] ) = 4, tblFilterAll[[#This Row],[SelectedProvider]] = 1 ) )</f>
        <v>1</v>
      </c>
      <c r="AS926" s="24">
        <f xml:space="preserve"> -- ( INDEX( PeersCritera[Included in final peers], MATCH( tblFilterAll[[#This Row],[Provider name]], PeersCritera[RP_Name], 0 ) ) = 1 )</f>
        <v>1</v>
      </c>
      <c r="AT926" s="30" t="str" cm="1">
        <f t="array" ref="AT926" xml:space="preserve"> SUBSTITUTE( INDEX( VfM_Metrics_2023_Consol_Source[], $AK926, AT$832 ), 0, "" )</f>
        <v/>
      </c>
      <c r="AU926" s="34" cm="1">
        <f t="array" ref="AU926" xml:space="preserve"> INDEX( VfM_Metrics_2023_Consol_Source[], $AK926, AU$832 )</f>
        <v>0.83851851851851855</v>
      </c>
      <c r="AV926" s="34" cm="1">
        <f t="array" ref="AV926" xml:space="preserve"> INDEX( VfM_Metrics_2023_Consol_Source[], $AK926, AV$832 )</f>
        <v>3.7037037037037038E-3</v>
      </c>
      <c r="AW926" s="34" cm="1">
        <f t="array" ref="AW926" xml:space="preserve"> INDEX( VfM_Metrics_2023_Consol_Source[], $AK926, AW$832 )</f>
        <v>0</v>
      </c>
      <c r="AX926" s="34" cm="1">
        <f t="array" ref="AX926" xml:space="preserve"> INDEX( VfM_Metrics_2023_Consol_Source[], $AK926, AX$832 )</f>
        <v>0</v>
      </c>
      <c r="AY926" s="34" cm="1">
        <f t="array" ref="AY926" xml:space="preserve"> INDEX( VfM_Metrics_2023_Consol_Source[], $AK926, AY$832 )</f>
        <v>0</v>
      </c>
      <c r="AZ926" s="34" cm="1">
        <f t="array" ref="AZ926" xml:space="preserve"> INDEX( VfM_Metrics_2023_Consol_Source[], $AK926, AZ$832 )</f>
        <v>0.15777777777777777</v>
      </c>
      <c r="BA926" s="34" cm="1">
        <f t="array" ref="BA926" xml:space="preserve"> INDEX( VfM_Metrics_2023_Consol_Source[], $AK926, BA$832 )</f>
        <v>0</v>
      </c>
      <c r="BB926" s="34" cm="1">
        <f t="array" ref="BB926" xml:space="preserve"> INDEX( VfM_Metrics_2023_Consol_Source[], $AK926, BB$832 )</f>
        <v>0</v>
      </c>
      <c r="BC926" s="34" cm="1">
        <f t="array" ref="BC926" xml:space="preserve"> INDEX( VfM_Metrics_2023_Consol_Source[], $AK926, BC$832 )</f>
        <v>0</v>
      </c>
    </row>
    <row r="927" spans="2:55" x14ac:dyDescent="0.2">
      <c r="B927" s="122" t="str" vm="94">
        <f t="shared" ref="B927" si="430" xml:space="preserve"> B717</f>
        <v>London &amp; Quadrant Housing Trust</v>
      </c>
      <c r="C927" s="122" t="str" vm="240">
        <f t="shared" si="401"/>
        <v>L4517</v>
      </c>
      <c r="D927" s="30" cm="1">
        <f t="array" ref="D927" xml:space="preserve"> INDEX( VfM_Metrics_2023_Consol_Source[], $AK927, D$832 )</f>
        <v>6.1298335004089259E-2</v>
      </c>
      <c r="E927" s="35">
        <f xml:space="preserve"> IF( tblFilterAll[[#This Row],[Reinvestment]] &lt; D$825, 4, IF( tblFilterAll[[#This Row],[Reinvestment]] &lt; D$826, 3, IF( tblFilterAll[[#This Row],[Reinvestment]] &lt; D$827, 2, 1 ) ) )</f>
        <v>3</v>
      </c>
      <c r="F927" s="35">
        <f xml:space="preserve"> COUNTIFS( tblFilterAll[Include in output], 1, tblFilterAll[Reinvestment], "&gt;" &amp; tblFilterAll[[#This Row],[Reinvestment]] ) + 1</f>
        <v>115</v>
      </c>
      <c r="G927" s="30" cm="1">
        <f t="array" ref="G927" xml:space="preserve"> INDEX( VfM_Metrics_2023_Consol_Source[], $AK927, G$832 )</f>
        <v>3.1225867105395697E-2</v>
      </c>
      <c r="H927" s="35">
        <f xml:space="preserve"> IF( tblFilterAll[[#This Row],[New Supply (Social)]] &lt; G$825, 4, IF( tblFilterAll[[#This Row],[New Supply (Social)]] &lt; G$826, 3, IF( tblFilterAll[[#This Row],[New Supply (Social)]] &lt; G$827, 2, 1 ) ) )</f>
        <v>1</v>
      </c>
      <c r="I927" s="35">
        <f xml:space="preserve"> COUNTIFS( tblFilterAll[Include in output], 1, tblFilterAll[New Supply (Social)], "&gt;" &amp; tblFilterAll[[#This Row],[New Supply (Social)]] ) + 1</f>
        <v>17</v>
      </c>
      <c r="J927" s="31" cm="1">
        <f t="array" ref="J927" xml:space="preserve"> INDEX( VfM_Metrics_2023_Consol_Source[], $AK927, J$832 )</f>
        <v>6.5167525649515801E-3</v>
      </c>
      <c r="K927" s="35">
        <f xml:space="preserve"> IF( tblFilterAll[[#This Row],[New Supply (Non-Social)]] &lt; J$825, 4, IF( tblFilterAll[[#This Row],[New Supply (Non-Social)]] &lt; J$826, 3, IF( tblFilterAll[[#This Row],[New Supply (Non-Social)]] &lt; J$827, 2, 1 ) ) )</f>
        <v>1</v>
      </c>
      <c r="L927" s="35">
        <f xml:space="preserve"> COUNTIFS( tblFilterAll[Include in output], 1, tblFilterAll[New Supply (Non-Social)], "&gt;" &amp; tblFilterAll[[#This Row],[New Supply (Non-Social)]] ) + 1</f>
        <v>15</v>
      </c>
      <c r="M927" s="30" cm="1">
        <f t="array" ref="M927" xml:space="preserve"> INDEX( VfM_Metrics_2023_Consol_Source[], $AK927, M$832 )</f>
        <v>0.46627398177687052</v>
      </c>
      <c r="N927" s="35">
        <f xml:space="preserve"> IF( tblFilterAll[[#This Row],[Gearing]] &lt; M$825, 4, IF( tblFilterAll[[#This Row],[Gearing]] &lt; M$826, 3, IF( tblFilterAll[[#This Row],[Gearing]] &lt; M$827, 2, 1 ) ) )</f>
        <v>2</v>
      </c>
      <c r="O927" s="35">
        <f xml:space="preserve"> COUNTIFS( tblFilterAll[Include in output], 1, tblFilterAll[Gearing], "&gt;" &amp; tblFilterAll[[#This Row],[Gearing]] ) + 1</f>
        <v>91</v>
      </c>
      <c r="P927" s="30" cm="1">
        <f t="array" ref="P927" xml:space="preserve"> INDEX( VfM_Metrics_2023_Consol_Source[], $AK927, P$832 )</f>
        <v>0.17519683008120854</v>
      </c>
      <c r="Q927" s="35">
        <f xml:space="preserve"> IF( tblFilterAll[[#This Row],[EBITDA MRI Interest Cover]] &lt; P$825, 4, IF( tblFilterAll[[#This Row],[EBITDA MRI Interest Cover]] &lt; P$826, 3, IF( tblFilterAll[[#This Row],[EBITDA MRI Interest Cover]] &lt; P$827, 2, 1 ) ) )</f>
        <v>4</v>
      </c>
      <c r="R927" s="35">
        <f xml:space="preserve"> COUNTIFS( tblFilterAll[Include in output], 1, tblFilterAll[EBITDA MRI Interest Cover], "&gt;" &amp; tblFilterAll[[#This Row],[EBITDA MRI Interest Cover]] ) + 1</f>
        <v>180</v>
      </c>
      <c r="S927" s="32" cm="1">
        <f t="array" ref="S927" xml:space="preserve"> INDEX( VfM_Metrics_2023_Consol_Source[], $AK927, S$832 )</f>
        <v>7625.6759035467376</v>
      </c>
      <c r="T927" s="35">
        <f xml:space="preserve"> IF( tblFilterAll[[#This Row],[Headline Social Housing Cost per unit]] &lt; S$825, 4, IF( tblFilterAll[[#This Row],[Headline Social Housing Cost per unit]] &lt; S$826, 3, IF( tblFilterAll[[#This Row],[Headline Social Housing Cost per unit]] &lt; S$827, 2, 1 ) ) )</f>
        <v>1</v>
      </c>
      <c r="U927" s="35">
        <f xml:space="preserve"> COUNTIFS( tblFilterAll[Include in output], 1, tblFilterAll[Headline Social Housing Cost per unit], "&gt;" &amp; tblFilterAll[[#This Row],[Headline Social Housing Cost per unit]] ) + 1</f>
        <v>27</v>
      </c>
      <c r="V927" s="30" cm="1">
        <f t="array" ref="V927" xml:space="preserve"> INDEX( VfM_Metrics_2023_Consol_Source[], $AK927, V$832 )</f>
        <v>0.25105201953639816</v>
      </c>
      <c r="W927" s="35">
        <f xml:space="preserve"> IF( tblFilterAll[[#This Row],[Operating Margin (SHL)]] &lt; V$825, 4, IF( tblFilterAll[[#This Row],[Operating Margin (SHL)]] &lt; V$826, 3, IF( tblFilterAll[[#This Row],[Operating Margin (SHL)]] &lt; V$827, 2, 1 ) ) )</f>
        <v>2</v>
      </c>
      <c r="X927" s="35">
        <f xml:space="preserve"> COUNTIFS( tblFilterAll[Include in output], 1, tblFilterAll[Operating Margin (SHL)], "&gt;" &amp; tblFilterAll[[#This Row],[Operating Margin (SHL)]] ) + 1</f>
        <v>55</v>
      </c>
      <c r="Y927" s="30" cm="1">
        <f t="array" ref="Y927" xml:space="preserve"> INDEX( VfM_Metrics_2023_Consol_Source[], $AK927, Y$832 )</f>
        <v>6.4984905124606043E-2</v>
      </c>
      <c r="Z927" s="35">
        <f xml:space="preserve"> IF( tblFilterAll[[#This Row],[Operating Margin (Overall)]] &lt; Y$825, 4, IF( tblFilterAll[[#This Row],[Operating Margin (Overall)]] &lt; Y$826, 3, IF( tblFilterAll[[#This Row],[Operating Margin (Overall)]] &lt; Y$827, 2, 1 ) ) )</f>
        <v>4</v>
      </c>
      <c r="AA927" s="35">
        <f xml:space="preserve"> COUNTIFS( tblFilterAll[Include in output], 1, tblFilterAll[Operating Margin (Overall)], "&gt;" &amp; tblFilterAll[[#This Row],[Operating Margin (Overall)]] ) + 1</f>
        <v>177</v>
      </c>
      <c r="AB927" s="30" cm="1">
        <f t="array" ref="AB927" xml:space="preserve"> INDEX( VfM_Metrics_2023_Consol_Source[], $AK927, AB$832 )</f>
        <v>1.8778592503139624E-2</v>
      </c>
      <c r="AC927" s="35">
        <f xml:space="preserve"> IF( tblFilterAll[[#This Row],[ROCE]] &lt; AB$825, 4, IF( tblFilterAll[[#This Row],[ROCE]] &lt; AB$826, 3, IF( tblFilterAll[[#This Row],[ROCE]] &lt; AB$827, 2, 1 ) ) )</f>
        <v>4</v>
      </c>
      <c r="AD927" s="35">
        <f xml:space="preserve"> COUNTIFS( tblFilterAll[Include in output], 1, tblFilterAll[ROCE], "&gt;" &amp; tblFilterAll[[#This Row],[ROCE]] ) + 1</f>
        <v>165</v>
      </c>
      <c r="AE927" s="33" cm="1" vm="1464">
        <f t="array" ref="AE927" xml:space="preserve"> INDEX( VfM_Metrics_2023_Consol_Source[], $AK927, AE$832 )</f>
        <v>88736</v>
      </c>
      <c r="AF927" s="30" cm="1">
        <f t="array" ref="AF927" xml:space="preserve"> INDEX( VfM_Metrics_2023_Consol_Source[], $AK927, AF$832 )</f>
        <v>2.7788560337938122E-2</v>
      </c>
      <c r="AG927" s="30" cm="1">
        <f t="array" ref="AG927" xml:space="preserve"> INDEX( VfM_Metrics_2023_Consol_Source[], $AK927, AG$832 )</f>
        <v>5.6935723256079464E-2</v>
      </c>
      <c r="AH927" s="30" cm="1">
        <f t="array" ref="AH927" xml:space="preserve"> INDEX( VfM_Metrics_2023_Consol_Source[], $AK927, AH$832 )</f>
        <v>8.4724283594017583E-2</v>
      </c>
      <c r="AI927" s="30" t="str" cm="1">
        <f t="array" ref="AI927" xml:space="preserve"> INDEX( VfM_Metrics_2023_Consol_Source[], $AK927, AI$832 )</f>
        <v>Traditional</v>
      </c>
      <c r="AJ927" s="34" t="str" cm="1">
        <f t="array" ref="AJ927" xml:space="preserve"> INDEX( VfM_Metrics_2023_Consol_Source[], $AK927, AJ$832 )</f>
        <v>London</v>
      </c>
      <c r="AK927" s="81">
        <f xml:space="preserve"> MATCH( tblFilterAll[[#This Row],[Code]], VfM_Metrics_2023_Consol_Source[RP_Code], 0 )</f>
        <v>94</v>
      </c>
      <c r="AL927" s="24">
        <f xml:space="preserve"> INDEX( tblFilterRegion[Include for region],  MATCH( tblFilterAll[[#This Row],[Code]], tblFilterRegion[RP_Code], 0 ) )</f>
        <v>1</v>
      </c>
      <c r="AM927" s="24">
        <f xml:space="preserve"> INDEX( tblFilterPropType[Incl for prop type],  MATCH( tblFilterAll[[#This Row],[Code]], tblFilterPropType[RP_Code], 0 ) )</f>
        <v>1</v>
      </c>
      <c r="AN927" s="24">
        <f xml:space="preserve"> INDEX( tblFilterSize[Incl for size],  MATCH( tblFilterAll[[#This Row],[Code]], tblFilterSize[RP_Code], 0 ) )</f>
        <v>1</v>
      </c>
      <c r="AO927" s="24">
        <f xml:space="preserve"> INDEX( tblFilterRP_Type[Incl, for RP Type],  MATCH( tblFilterAll[[#This Row],[Code]], tblFilterRP_Type[RP_Code], 0 ) )</f>
        <v>1</v>
      </c>
      <c r="AP927" s="24">
        <f xml:space="preserve">  -- ( SUM( tblFilterAll[[#This Row],[Filter Region]:[Filter RP Type]] ) = 4 )</f>
        <v>1</v>
      </c>
      <c r="AQ927" s="24">
        <f xml:space="preserve"> -- ( tblFilterAll[[#This Row],[Provider name]] = SelectedProvider )</f>
        <v>0</v>
      </c>
      <c r="AR927" s="24">
        <f xml:space="preserve">  -- ( OR( SUM( tblFilterAll[[#This Row],[Filter Region]:[Filter RP Type]] ) = 4, tblFilterAll[[#This Row],[SelectedProvider]] = 1 ) )</f>
        <v>1</v>
      </c>
      <c r="AS927" s="24">
        <f xml:space="preserve"> -- ( INDEX( PeersCritera[Included in final peers], MATCH( tblFilterAll[[#This Row],[Provider name]], PeersCritera[RP_Name], 0 ) ) = 1 )</f>
        <v>1</v>
      </c>
      <c r="AT927" s="30" t="str" cm="1">
        <f t="array" ref="AT927" xml:space="preserve"> SUBSTITUTE( INDEX( VfM_Metrics_2023_Consol_Source[], $AK927, AT$832 ), 0, "" )</f>
        <v/>
      </c>
      <c r="AU927" s="34" cm="1">
        <f t="array" ref="AU927" xml:space="preserve"> INDEX( VfM_Metrics_2023_Consol_Source[], $AK927, AU$832 )</f>
        <v>0.76900419807700993</v>
      </c>
      <c r="AV927" s="34" cm="1">
        <f t="array" ref="AV927" xml:space="preserve"> INDEX( VfM_Metrics_2023_Consol_Source[], $AK927, AV$832 )</f>
        <v>8.4221098722520649E-2</v>
      </c>
      <c r="AW927" s="34" cm="1">
        <f t="array" ref="AW927" xml:space="preserve"> INDEX( VfM_Metrics_2023_Consol_Source[], $AK927, AW$832 )</f>
        <v>7.8996072766668166E-5</v>
      </c>
      <c r="AX927" s="34" cm="1">
        <f t="array" ref="AX927" xml:space="preserve"> INDEX( VfM_Metrics_2023_Consol_Source[], $AK927, AX$832 )</f>
        <v>3.3855459757143503E-5</v>
      </c>
      <c r="AY927" s="34" cm="1">
        <f t="array" ref="AY927" xml:space="preserve"> INDEX( VfM_Metrics_2023_Consol_Source[], $AK927, AY$832 )</f>
        <v>2.7648625468333862E-3</v>
      </c>
      <c r="AZ927" s="34" cm="1">
        <f t="array" ref="AZ927" xml:space="preserve"> INDEX( VfM_Metrics_2023_Consol_Source[], $AK927, AZ$832 )</f>
        <v>3.7534419717419762E-2</v>
      </c>
      <c r="BA927" s="34" cm="1">
        <f t="array" ref="BA927" xml:space="preserve"> INDEX( VfM_Metrics_2023_Consol_Source[], $AK927, BA$832 )</f>
        <v>1.1285153252381168E-5</v>
      </c>
      <c r="BB927" s="34" cm="1">
        <f t="array" ref="BB927" xml:space="preserve"> INDEX( VfM_Metrics_2023_Consol_Source[], $AK927, BB$832 )</f>
        <v>0.10635128425044012</v>
      </c>
      <c r="BC927" s="34" cm="1">
        <f t="array" ref="BC927" xml:space="preserve"> INDEX( VfM_Metrics_2023_Consol_Source[], $AK927, BC$832 )</f>
        <v>0</v>
      </c>
    </row>
    <row r="928" spans="2:55" x14ac:dyDescent="0.2">
      <c r="B928" s="122" t="str" vm="95">
        <f t="shared" ref="B928" si="431" xml:space="preserve"> B718</f>
        <v>Longhurst Group Limited</v>
      </c>
      <c r="C928" s="122" t="str" vm="341">
        <f t="shared" si="401"/>
        <v>L4277</v>
      </c>
      <c r="D928" s="30" cm="1">
        <f t="array" ref="D928" xml:space="preserve"> INDEX( VfM_Metrics_2023_Consol_Source[], $AK928, D$832 )</f>
        <v>6.8565815472386799E-2</v>
      </c>
      <c r="E928" s="35">
        <f xml:space="preserve"> IF( tblFilterAll[[#This Row],[Reinvestment]] &lt; D$825, 4, IF( tblFilterAll[[#This Row],[Reinvestment]] &lt; D$826, 3, IF( tblFilterAll[[#This Row],[Reinvestment]] &lt; D$827, 2, 1 ) ) )</f>
        <v>2</v>
      </c>
      <c r="F928" s="35">
        <f xml:space="preserve"> COUNTIFS( tblFilterAll[Include in output], 1, tblFilterAll[Reinvestment], "&gt;" &amp; tblFilterAll[[#This Row],[Reinvestment]] ) + 1</f>
        <v>93</v>
      </c>
      <c r="G928" s="30" cm="1">
        <f t="array" ref="G928" xml:space="preserve"> INDEX( VfM_Metrics_2023_Consol_Source[], $AK928, G$832 )</f>
        <v>2.5313867419130578E-2</v>
      </c>
      <c r="H928" s="35">
        <f xml:space="preserve"> IF( tblFilterAll[[#This Row],[New Supply (Social)]] &lt; G$825, 4, IF( tblFilterAll[[#This Row],[New Supply (Social)]] &lt; G$826, 3, IF( tblFilterAll[[#This Row],[New Supply (Social)]] &lt; G$827, 2, 1 ) ) )</f>
        <v>1</v>
      </c>
      <c r="I928" s="35">
        <f xml:space="preserve"> COUNTIFS( tblFilterAll[Include in output], 1, tblFilterAll[New Supply (Social)], "&gt;" &amp; tblFilterAll[[#This Row],[New Supply (Social)]] ) + 1</f>
        <v>34</v>
      </c>
      <c r="J928" s="31" cm="1">
        <f t="array" ref="J928" xml:space="preserve"> INDEX( VfM_Metrics_2023_Consol_Source[], $AK928, J$832 )</f>
        <v>0</v>
      </c>
      <c r="K928" s="35">
        <f xml:space="preserve"> IF( tblFilterAll[[#This Row],[New Supply (Non-Social)]] &lt; J$825, 4, IF( tblFilterAll[[#This Row],[New Supply (Non-Social)]] &lt; J$826, 3, IF( tblFilterAll[[#This Row],[New Supply (Non-Social)]] &lt; J$827, 2, 1 ) ) )</f>
        <v>2</v>
      </c>
      <c r="L928" s="35">
        <f xml:space="preserve"> COUNTIFS( tblFilterAll[Include in output], 1, tblFilterAll[New Supply (Non-Social)], "&gt;" &amp; tblFilterAll[[#This Row],[New Supply (Non-Social)]] ) + 1</f>
        <v>72</v>
      </c>
      <c r="M928" s="30" cm="1">
        <f t="array" ref="M928" xml:space="preserve"> INDEX( VfM_Metrics_2023_Consol_Source[], $AK928, M$832 )</f>
        <v>0.51150723026003586</v>
      </c>
      <c r="N928" s="35">
        <f xml:space="preserve"> IF( tblFilterAll[[#This Row],[Gearing]] &lt; M$825, 4, IF( tblFilterAll[[#This Row],[Gearing]] &lt; M$826, 3, IF( tblFilterAll[[#This Row],[Gearing]] &lt; M$827, 2, 1 ) ) )</f>
        <v>2</v>
      </c>
      <c r="O928" s="35">
        <f xml:space="preserve"> COUNTIFS( tblFilterAll[Include in output], 1, tblFilterAll[Gearing], "&gt;" &amp; tblFilterAll[[#This Row],[Gearing]] ) + 1</f>
        <v>64</v>
      </c>
      <c r="P928" s="30" cm="1">
        <f t="array" ref="P928" xml:space="preserve"> INDEX( VfM_Metrics_2023_Consol_Source[], $AK928, P$832 )</f>
        <v>1.1790504131241768</v>
      </c>
      <c r="Q928" s="35">
        <f xml:space="preserve"> IF( tblFilterAll[[#This Row],[EBITDA MRI Interest Cover]] &lt; P$825, 4, IF( tblFilterAll[[#This Row],[EBITDA MRI Interest Cover]] &lt; P$826, 3, IF( tblFilterAll[[#This Row],[EBITDA MRI Interest Cover]] &lt; P$827, 2, 1 ) ) )</f>
        <v>3</v>
      </c>
      <c r="R928" s="35">
        <f xml:space="preserve"> COUNTIFS( tblFilterAll[Include in output], 1, tblFilterAll[EBITDA MRI Interest Cover], "&gt;" &amp; tblFilterAll[[#This Row],[EBITDA MRI Interest Cover]] ) + 1</f>
        <v>111</v>
      </c>
      <c r="S928" s="32" cm="1">
        <f t="array" ref="S928" xml:space="preserve"> INDEX( VfM_Metrics_2023_Consol_Source[], $AK928, S$832 )</f>
        <v>4418.4751381215474</v>
      </c>
      <c r="T928" s="35">
        <f xml:space="preserve"> IF( tblFilterAll[[#This Row],[Headline Social Housing Cost per unit]] &lt; S$825, 4, IF( tblFilterAll[[#This Row],[Headline Social Housing Cost per unit]] &lt; S$826, 3, IF( tblFilterAll[[#This Row],[Headline Social Housing Cost per unit]] &lt; S$827, 2, 1 ) ) )</f>
        <v>3</v>
      </c>
      <c r="U928" s="35">
        <f xml:space="preserve"> COUNTIFS( tblFilterAll[Include in output], 1, tblFilterAll[Headline Social Housing Cost per unit], "&gt;" &amp; tblFilterAll[[#This Row],[Headline Social Housing Cost per unit]] ) + 1</f>
        <v>115</v>
      </c>
      <c r="V928" s="30" cm="1">
        <f t="array" ref="V928" xml:space="preserve"> INDEX( VfM_Metrics_2023_Consol_Source[], $AK928, V$832 )</f>
        <v>0.2311346276257161</v>
      </c>
      <c r="W928" s="35">
        <f xml:space="preserve"> IF( tblFilterAll[[#This Row],[Operating Margin (SHL)]] &lt; V$825, 4, IF( tblFilterAll[[#This Row],[Operating Margin (SHL)]] &lt; V$826, 3, IF( tblFilterAll[[#This Row],[Operating Margin (SHL)]] &lt; V$827, 2, 1 ) ) )</f>
        <v>2</v>
      </c>
      <c r="X928" s="35">
        <f xml:space="preserve"> COUNTIFS( tblFilterAll[Include in output], 1, tblFilterAll[Operating Margin (SHL)], "&gt;" &amp; tblFilterAll[[#This Row],[Operating Margin (SHL)]] ) + 1</f>
        <v>71</v>
      </c>
      <c r="Y928" s="30" cm="1">
        <f t="array" ref="Y928" xml:space="preserve"> INDEX( VfM_Metrics_2023_Consol_Source[], $AK928, Y$832 )</f>
        <v>0.20680959186914405</v>
      </c>
      <c r="Z928" s="35">
        <f xml:space="preserve"> IF( tblFilterAll[[#This Row],[Operating Margin (Overall)]] &lt; Y$825, 4, IF( tblFilterAll[[#This Row],[Operating Margin (Overall)]] &lt; Y$826, 3, IF( tblFilterAll[[#This Row],[Operating Margin (Overall)]] &lt; Y$827, 2, 1 ) ) )</f>
        <v>2</v>
      </c>
      <c r="AA928" s="35">
        <f xml:space="preserve"> COUNTIFS( tblFilterAll[Include in output], 1, tblFilterAll[Operating Margin (Overall)], "&gt;" &amp; tblFilterAll[[#This Row],[Operating Margin (Overall)]] ) + 1</f>
        <v>76</v>
      </c>
      <c r="AB928" s="30" cm="1">
        <f t="array" ref="AB928" xml:space="preserve"> INDEX( VfM_Metrics_2023_Consol_Source[], $AK928, AB$832 )</f>
        <v>2.655058876543237E-2</v>
      </c>
      <c r="AC928" s="35">
        <f xml:space="preserve"> IF( tblFilterAll[[#This Row],[ROCE]] &lt; AB$825, 4, IF( tblFilterAll[[#This Row],[ROCE]] &lt; AB$826, 3, IF( tblFilterAll[[#This Row],[ROCE]] &lt; AB$827, 2, 1 ) ) )</f>
        <v>3</v>
      </c>
      <c r="AD928" s="35">
        <f xml:space="preserve"> COUNTIFS( tblFilterAll[Include in output], 1, tblFilterAll[ROCE], "&gt;" &amp; tblFilterAll[[#This Row],[ROCE]] ) + 1</f>
        <v>116</v>
      </c>
      <c r="AE928" s="33" cm="1" vm="4776">
        <f t="array" ref="AE928" xml:space="preserve"> INDEX( VfM_Metrics_2023_Consol_Source[], $AK928, AE$832 )</f>
        <v>22549</v>
      </c>
      <c r="AF928" s="30" cm="1">
        <f t="array" ref="AF928" xml:space="preserve"> INDEX( VfM_Metrics_2023_Consol_Source[], $AK928, AF$832 )</f>
        <v>2.2470404288586106E-2</v>
      </c>
      <c r="AG928" s="30" cm="1">
        <f t="array" ref="AG928" xml:space="preserve"> INDEX( VfM_Metrics_2023_Consol_Source[], $AK928, AG$832 )</f>
        <v>5.2669198123743578E-2</v>
      </c>
      <c r="AH928" s="30" cm="1">
        <f t="array" ref="AH928" xml:space="preserve"> INDEX( VfM_Metrics_2023_Consol_Source[], $AK928, AH$832 )</f>
        <v>7.5139602412329684E-2</v>
      </c>
      <c r="AI928" s="30" t="str" cm="1">
        <f t="array" ref="AI928" xml:space="preserve"> INDEX( VfM_Metrics_2023_Consol_Source[], $AK928, AI$832 )</f>
        <v>Traditional</v>
      </c>
      <c r="AJ928" s="34" t="str" cm="1">
        <f t="array" ref="AJ928" xml:space="preserve"> INDEX( VfM_Metrics_2023_Consol_Source[], $AK928, AJ$832 )</f>
        <v>East Midlands</v>
      </c>
      <c r="AK928" s="81">
        <f xml:space="preserve"> MATCH( tblFilterAll[[#This Row],[Code]], VfM_Metrics_2023_Consol_Source[RP_Code], 0 )</f>
        <v>95</v>
      </c>
      <c r="AL928" s="24">
        <f xml:space="preserve"> INDEX( tblFilterRegion[Include for region],  MATCH( tblFilterAll[[#This Row],[Code]], tblFilterRegion[RP_Code], 0 ) )</f>
        <v>1</v>
      </c>
      <c r="AM928" s="24">
        <f xml:space="preserve"> INDEX( tblFilterPropType[Incl for prop type],  MATCH( tblFilterAll[[#This Row],[Code]], tblFilterPropType[RP_Code], 0 ) )</f>
        <v>1</v>
      </c>
      <c r="AN928" s="24">
        <f xml:space="preserve"> INDEX( tblFilterSize[Incl for size],  MATCH( tblFilterAll[[#This Row],[Code]], tblFilterSize[RP_Code], 0 ) )</f>
        <v>1</v>
      </c>
      <c r="AO928" s="24">
        <f xml:space="preserve"> INDEX( tblFilterRP_Type[Incl, for RP Type],  MATCH( tblFilterAll[[#This Row],[Code]], tblFilterRP_Type[RP_Code], 0 ) )</f>
        <v>1</v>
      </c>
      <c r="AP928" s="24">
        <f xml:space="preserve">  -- ( SUM( tblFilterAll[[#This Row],[Filter Region]:[Filter RP Type]] ) = 4 )</f>
        <v>1</v>
      </c>
      <c r="AQ928" s="24">
        <f xml:space="preserve"> -- ( tblFilterAll[[#This Row],[Provider name]] = SelectedProvider )</f>
        <v>0</v>
      </c>
      <c r="AR928" s="24">
        <f xml:space="preserve">  -- ( OR( SUM( tblFilterAll[[#This Row],[Filter Region]:[Filter RP Type]] ) = 4, tblFilterAll[[#This Row],[SelectedProvider]] = 1 ) )</f>
        <v>1</v>
      </c>
      <c r="AS928" s="24">
        <f xml:space="preserve"> -- ( INDEX( PeersCritera[Included in final peers], MATCH( tblFilterAll[[#This Row],[Provider name]], PeersCritera[RP_Name], 0 ) ) = 1 )</f>
        <v>1</v>
      </c>
      <c r="AT928" s="30" t="str" cm="1">
        <f t="array" ref="AT928" xml:space="preserve"> SUBSTITUTE( INDEX( VfM_Metrics_2023_Consol_Source[], $AK928, AT$832 ), 0, "" )</f>
        <v/>
      </c>
      <c r="AU928" s="34" cm="1">
        <f t="array" ref="AU928" xml:space="preserve"> INDEX( VfM_Metrics_2023_Consol_Source[], $AK928, AU$832 )</f>
        <v>4.4499822000712E-5</v>
      </c>
      <c r="AV928" s="34" cm="1">
        <f t="array" ref="AV928" xml:space="preserve"> INDEX( VfM_Metrics_2023_Consol_Source[], $AK928, AV$832 )</f>
        <v>0</v>
      </c>
      <c r="AW928" s="34" cm="1">
        <f t="array" ref="AW928" xml:space="preserve"> INDEX( VfM_Metrics_2023_Consol_Source[], $AK928, AW$832 )</f>
        <v>0</v>
      </c>
      <c r="AX928" s="34" cm="1">
        <f t="array" ref="AX928" xml:space="preserve"> INDEX( VfM_Metrics_2023_Consol_Source[], $AK928, AX$832 )</f>
        <v>0.625</v>
      </c>
      <c r="AY928" s="34" cm="1">
        <f t="array" ref="AY928" xml:space="preserve"> INDEX( VfM_Metrics_2023_Consol_Source[], $AK928, AY$832 )</f>
        <v>0.1242435030259879</v>
      </c>
      <c r="AZ928" s="34" cm="1">
        <f t="array" ref="AZ928" xml:space="preserve"> INDEX( VfM_Metrics_2023_Consol_Source[], $AK928, AZ$832 )</f>
        <v>0.16300284798860804</v>
      </c>
      <c r="BA928" s="34" cm="1">
        <f t="array" ref="BA928" xml:space="preserve"> INDEX( VfM_Metrics_2023_Consol_Source[], $AK928, BA$832 )</f>
        <v>0</v>
      </c>
      <c r="BB928" s="34" cm="1">
        <f t="array" ref="BB928" xml:space="preserve"> INDEX( VfM_Metrics_2023_Consol_Source[], $AK928, BB$832 )</f>
        <v>0</v>
      </c>
      <c r="BC928" s="34" cm="1">
        <f t="array" ref="BC928" xml:space="preserve"> INDEX( VfM_Metrics_2023_Consol_Source[], $AK928, BC$832 )</f>
        <v>8.7709149163403347E-2</v>
      </c>
    </row>
    <row r="929" spans="2:55" x14ac:dyDescent="0.2">
      <c r="B929" s="122" t="str" vm="96">
        <f t="shared" ref="B929" si="432" xml:space="preserve"> B719</f>
        <v>Look Ahead Care and Support Limited</v>
      </c>
      <c r="C929" s="122" t="str" vm="199">
        <f t="shared" si="401"/>
        <v>LH0013</v>
      </c>
      <c r="D929" s="30" cm="1">
        <f t="array" ref="D929" xml:space="preserve"> INDEX( VfM_Metrics_2023_Consol_Source[], $AK929, D$832 )</f>
        <v>3.7959952577334581E-2</v>
      </c>
      <c r="E929" s="35">
        <f xml:space="preserve"> IF( tblFilterAll[[#This Row],[Reinvestment]] &lt; D$825, 4, IF( tblFilterAll[[#This Row],[Reinvestment]] &lt; D$826, 3, IF( tblFilterAll[[#This Row],[Reinvestment]] &lt; D$827, 2, 1 ) ) )</f>
        <v>4</v>
      </c>
      <c r="F929" s="35">
        <f xml:space="preserve"> COUNTIFS( tblFilterAll[Include in output], 1, tblFilterAll[Reinvestment], "&gt;" &amp; tblFilterAll[[#This Row],[Reinvestment]] ) + 1</f>
        <v>154</v>
      </c>
      <c r="G929" s="30" cm="1">
        <f t="array" ref="G929" xml:space="preserve"> INDEX( VfM_Metrics_2023_Consol_Source[], $AK929, G$832 )</f>
        <v>4.7808764940239041E-3</v>
      </c>
      <c r="H929" s="35">
        <f xml:space="preserve"> IF( tblFilterAll[[#This Row],[New Supply (Social)]] &lt; G$825, 4, IF( tblFilterAll[[#This Row],[New Supply (Social)]] &lt; G$826, 3, IF( tblFilterAll[[#This Row],[New Supply (Social)]] &lt; G$827, 2, 1 ) ) )</f>
        <v>4</v>
      </c>
      <c r="I929" s="35">
        <f xml:space="preserve"> COUNTIFS( tblFilterAll[Include in output], 1, tblFilterAll[New Supply (Social)], "&gt;" &amp; tblFilterAll[[#This Row],[New Supply (Social)]] ) + 1</f>
        <v>160</v>
      </c>
      <c r="J929" s="31" cm="1">
        <f t="array" ref="J929" xml:space="preserve"> INDEX( VfM_Metrics_2023_Consol_Source[], $AK929, J$832 )</f>
        <v>0</v>
      </c>
      <c r="K929" s="35">
        <f xml:space="preserve"> IF( tblFilterAll[[#This Row],[New Supply (Non-Social)]] &lt; J$825, 4, IF( tblFilterAll[[#This Row],[New Supply (Non-Social)]] &lt; J$826, 3, IF( tblFilterAll[[#This Row],[New Supply (Non-Social)]] &lt; J$827, 2, 1 ) ) )</f>
        <v>2</v>
      </c>
      <c r="L929" s="35">
        <f xml:space="preserve"> COUNTIFS( tblFilterAll[Include in output], 1, tblFilterAll[New Supply (Non-Social)], "&gt;" &amp; tblFilterAll[[#This Row],[New Supply (Non-Social)]] ) + 1</f>
        <v>72</v>
      </c>
      <c r="M929" s="30" cm="1">
        <f t="array" ref="M929" xml:space="preserve"> INDEX( VfM_Metrics_2023_Consol_Source[], $AK929, M$832 )</f>
        <v>0.15199982543804141</v>
      </c>
      <c r="N929" s="35">
        <f xml:space="preserve"> IF( tblFilterAll[[#This Row],[Gearing]] &lt; M$825, 4, IF( tblFilterAll[[#This Row],[Gearing]] &lt; M$826, 3, IF( tblFilterAll[[#This Row],[Gearing]] &lt; M$827, 2, 1 ) ) )</f>
        <v>4</v>
      </c>
      <c r="O929" s="35">
        <f xml:space="preserve"> COUNTIFS( tblFilterAll[Include in output], 1, tblFilterAll[Gearing], "&gt;" &amp; tblFilterAll[[#This Row],[Gearing]] ) + 1</f>
        <v>181</v>
      </c>
      <c r="P929" s="30" cm="1">
        <f t="array" ref="P929" xml:space="preserve"> INDEX( VfM_Metrics_2023_Consol_Source[], $AK929, P$832 )</f>
        <v>-2.3613101330603889</v>
      </c>
      <c r="Q929" s="35">
        <f xml:space="preserve"> IF( tblFilterAll[[#This Row],[EBITDA MRI Interest Cover]] &lt; P$825, 4, IF( tblFilterAll[[#This Row],[EBITDA MRI Interest Cover]] &lt; P$826, 3, IF( tblFilterAll[[#This Row],[EBITDA MRI Interest Cover]] &lt; P$827, 2, 1 ) ) )</f>
        <v>4</v>
      </c>
      <c r="R929" s="35">
        <f xml:space="preserve"> COUNTIFS( tblFilterAll[Include in output], 1, tblFilterAll[EBITDA MRI Interest Cover], "&gt;" &amp; tblFilterAll[[#This Row],[EBITDA MRI Interest Cover]] ) + 1</f>
        <v>191</v>
      </c>
      <c r="S929" s="32" cm="1">
        <f t="array" ref="S929" xml:space="preserve"> INDEX( VfM_Metrics_2023_Consol_Source[], $AK929, S$832 )</f>
        <v>30446.12244897959</v>
      </c>
      <c r="T929" s="35">
        <f xml:space="preserve"> IF( tblFilterAll[[#This Row],[Headline Social Housing Cost per unit]] &lt; S$825, 4, IF( tblFilterAll[[#This Row],[Headline Social Housing Cost per unit]] &lt; S$826, 3, IF( tblFilterAll[[#This Row],[Headline Social Housing Cost per unit]] &lt; S$827, 2, 1 ) ) )</f>
        <v>1</v>
      </c>
      <c r="U929" s="35">
        <f xml:space="preserve"> COUNTIFS( tblFilterAll[Include in output], 1, tblFilterAll[Headline Social Housing Cost per unit], "&gt;" &amp; tblFilterAll[[#This Row],[Headline Social Housing Cost per unit]] ) + 1</f>
        <v>1</v>
      </c>
      <c r="V929" s="30" cm="1">
        <f t="array" ref="V929" xml:space="preserve"> INDEX( VfM_Metrics_2023_Consol_Source[], $AK929, V$832 )</f>
        <v>-5.9482583010796494E-2</v>
      </c>
      <c r="W929" s="35">
        <f xml:space="preserve"> IF( tblFilterAll[[#This Row],[Operating Margin (SHL)]] &lt; V$825, 4, IF( tblFilterAll[[#This Row],[Operating Margin (SHL)]] &lt; V$826, 3, IF( tblFilterAll[[#This Row],[Operating Margin (SHL)]] &lt; V$827, 2, 1 ) ) )</f>
        <v>4</v>
      </c>
      <c r="X929" s="35">
        <f xml:space="preserve"> COUNTIFS( tblFilterAll[Include in output], 1, tblFilterAll[Operating Margin (SHL)], "&gt;" &amp; tblFilterAll[[#This Row],[Operating Margin (SHL)]] ) + 1</f>
        <v>197</v>
      </c>
      <c r="Y929" s="30" cm="1">
        <f t="array" ref="Y929" xml:space="preserve"> INDEX( VfM_Metrics_2023_Consol_Source[], $AK929, Y$832 )</f>
        <v>-2.0374435445209799E-2</v>
      </c>
      <c r="Z929" s="35">
        <f xml:space="preserve"> IF( tblFilterAll[[#This Row],[Operating Margin (Overall)]] &lt; Y$825, 4, IF( tblFilterAll[[#This Row],[Operating Margin (Overall)]] &lt; Y$826, 3, IF( tblFilterAll[[#This Row],[Operating Margin (Overall)]] &lt; Y$827, 2, 1 ) ) )</f>
        <v>4</v>
      </c>
      <c r="AA929" s="35">
        <f xml:space="preserve"> COUNTIFS( tblFilterAll[Include in output], 1, tblFilterAll[Operating Margin (Overall)], "&gt;" &amp; tblFilterAll[[#This Row],[Operating Margin (Overall)]] ) + 1</f>
        <v>192</v>
      </c>
      <c r="AB929" s="30" cm="1">
        <f t="array" ref="AB929" xml:space="preserve"> INDEX( VfM_Metrics_2023_Consol_Source[], $AK929, AB$832 )</f>
        <v>-9.3357802510063929E-3</v>
      </c>
      <c r="AC929" s="35">
        <f xml:space="preserve"> IF( tblFilterAll[[#This Row],[ROCE]] &lt; AB$825, 4, IF( tblFilterAll[[#This Row],[ROCE]] &lt; AB$826, 3, IF( tblFilterAll[[#This Row],[ROCE]] &lt; AB$827, 2, 1 ) ) )</f>
        <v>4</v>
      </c>
      <c r="AD929" s="35">
        <f xml:space="preserve"> COUNTIFS( tblFilterAll[Include in output], 1, tblFilterAll[ROCE], "&gt;" &amp; tblFilterAll[[#This Row],[ROCE]] ) + 1</f>
        <v>195</v>
      </c>
      <c r="AE929" s="33" cm="1" vm="9175">
        <f t="array" ref="AE929" xml:space="preserve"> INDEX( VfM_Metrics_2023_Consol_Source[], $AK929, AE$832 )</f>
        <v>1255</v>
      </c>
      <c r="AF929" s="30" cm="1">
        <f t="array" ref="AF929" xml:space="preserve"> INDEX( VfM_Metrics_2023_Consol_Source[], $AK929, AF$832 )</f>
        <v>0.94895397489539746</v>
      </c>
      <c r="AG929" s="30" cm="1">
        <f t="array" ref="AG929" xml:space="preserve"> INDEX( VfM_Metrics_2023_Consol_Source[], $AK929, AG$832 )</f>
        <v>0</v>
      </c>
      <c r="AH929" s="30" cm="1">
        <f t="array" ref="AH929" xml:space="preserve"> INDEX( VfM_Metrics_2023_Consol_Source[], $AK929, AH$832 )</f>
        <v>0.94895397489539746</v>
      </c>
      <c r="AI929" s="30" t="str" cm="1">
        <f t="array" ref="AI929" xml:space="preserve"> INDEX( VfM_Metrics_2023_Consol_Source[], $AK929, AI$832 )</f>
        <v>Traditional</v>
      </c>
      <c r="AJ929" s="34" t="str" cm="1">
        <f t="array" ref="AJ929" xml:space="preserve"> INDEX( VfM_Metrics_2023_Consol_Source[], $AK929, AJ$832 )</f>
        <v>London</v>
      </c>
      <c r="AK929" s="81">
        <f xml:space="preserve"> MATCH( tblFilterAll[[#This Row],[Code]], VfM_Metrics_2023_Consol_Source[RP_Code], 0 )</f>
        <v>96</v>
      </c>
      <c r="AL929" s="24">
        <f xml:space="preserve"> INDEX( tblFilterRegion[Include for region],  MATCH( tblFilterAll[[#This Row],[Code]], tblFilterRegion[RP_Code], 0 ) )</f>
        <v>1</v>
      </c>
      <c r="AM929" s="24">
        <f xml:space="preserve"> INDEX( tblFilterPropType[Incl for prop type],  MATCH( tblFilterAll[[#This Row],[Code]], tblFilterPropType[RP_Code], 0 ) )</f>
        <v>1</v>
      </c>
      <c r="AN929" s="24">
        <f xml:space="preserve"> INDEX( tblFilterSize[Incl for size],  MATCH( tblFilterAll[[#This Row],[Code]], tblFilterSize[RP_Code], 0 ) )</f>
        <v>1</v>
      </c>
      <c r="AO929" s="24">
        <f xml:space="preserve"> INDEX( tblFilterRP_Type[Incl, for RP Type],  MATCH( tblFilterAll[[#This Row],[Code]], tblFilterRP_Type[RP_Code], 0 ) )</f>
        <v>1</v>
      </c>
      <c r="AP929" s="24">
        <f xml:space="preserve">  -- ( SUM( tblFilterAll[[#This Row],[Filter Region]:[Filter RP Type]] ) = 4 )</f>
        <v>1</v>
      </c>
      <c r="AQ929" s="24">
        <f xml:space="preserve"> -- ( tblFilterAll[[#This Row],[Provider name]] = SelectedProvider )</f>
        <v>0</v>
      </c>
      <c r="AR929" s="24">
        <f xml:space="preserve">  -- ( OR( SUM( tblFilterAll[[#This Row],[Filter Region]:[Filter RP Type]] ) = 4, tblFilterAll[[#This Row],[SelectedProvider]] = 1 ) )</f>
        <v>1</v>
      </c>
      <c r="AS929" s="24">
        <f xml:space="preserve"> -- ( INDEX( PeersCritera[Included in final peers], MATCH( tblFilterAll[[#This Row],[Provider name]], PeersCritera[RP_Name], 0 ) ) = 1 )</f>
        <v>1</v>
      </c>
      <c r="AT929" s="30" t="str" cm="1">
        <f t="array" ref="AT929" xml:space="preserve"> SUBSTITUTE( INDEX( VfM_Metrics_2023_Consol_Source[], $AK929, AT$832 ), 0, "" )</f>
        <v/>
      </c>
      <c r="AU929" s="34" cm="1">
        <f t="array" ref="AU929" xml:space="preserve"> INDEX( VfM_Metrics_2023_Consol_Source[], $AK929, AU$832 )</f>
        <v>0.82931034482758625</v>
      </c>
      <c r="AV929" s="34" cm="1">
        <f t="array" ref="AV929" xml:space="preserve"> INDEX( VfM_Metrics_2023_Consol_Source[], $AK929, AV$832 )</f>
        <v>0.16982758620689656</v>
      </c>
      <c r="AW929" s="34" cm="1">
        <f t="array" ref="AW929" xml:space="preserve"> INDEX( VfM_Metrics_2023_Consol_Source[], $AK929, AW$832 )</f>
        <v>0</v>
      </c>
      <c r="AX929" s="34" cm="1">
        <f t="array" ref="AX929" xml:space="preserve"> INDEX( VfM_Metrics_2023_Consol_Source[], $AK929, AX$832 )</f>
        <v>0</v>
      </c>
      <c r="AY929" s="34" cm="1">
        <f t="array" ref="AY929" xml:space="preserve"> INDEX( VfM_Metrics_2023_Consol_Source[], $AK929, AY$832 )</f>
        <v>0</v>
      </c>
      <c r="AZ929" s="34" cm="1">
        <f t="array" ref="AZ929" xml:space="preserve"> INDEX( VfM_Metrics_2023_Consol_Source[], $AK929, AZ$832 )</f>
        <v>8.6206896551724137E-4</v>
      </c>
      <c r="BA929" s="34" cm="1">
        <f t="array" ref="BA929" xml:space="preserve"> INDEX( VfM_Metrics_2023_Consol_Source[], $AK929, BA$832 )</f>
        <v>0</v>
      </c>
      <c r="BB929" s="34" cm="1">
        <f t="array" ref="BB929" xml:space="preserve"> INDEX( VfM_Metrics_2023_Consol_Source[], $AK929, BB$832 )</f>
        <v>0</v>
      </c>
      <c r="BC929" s="34" cm="1">
        <f t="array" ref="BC929" xml:space="preserve"> INDEX( VfM_Metrics_2023_Consol_Source[], $AK929, BC$832 )</f>
        <v>0</v>
      </c>
    </row>
    <row r="930" spans="2:55" x14ac:dyDescent="0.2">
      <c r="B930" s="122" t="str" vm="97">
        <f t="shared" ref="B930" si="433" xml:space="preserve"> B720</f>
        <v>Magenta Living</v>
      </c>
      <c r="C930" s="122" t="str" vm="276">
        <f t="shared" ref="C930:C961" si="434" xml:space="preserve"> C720</f>
        <v>L4435</v>
      </c>
      <c r="D930" s="30" cm="1">
        <f t="array" ref="D930" xml:space="preserve"> INDEX( VfM_Metrics_2023_Consol_Source[], $AK930, D$832 )</f>
        <v>6.4939281771543608E-2</v>
      </c>
      <c r="E930" s="35">
        <f xml:space="preserve"> IF( tblFilterAll[[#This Row],[Reinvestment]] &lt; D$825, 4, IF( tblFilterAll[[#This Row],[Reinvestment]] &lt; D$826, 3, IF( tblFilterAll[[#This Row],[Reinvestment]] &lt; D$827, 2, 1 ) ) )</f>
        <v>3</v>
      </c>
      <c r="F930" s="35">
        <f xml:space="preserve"> COUNTIFS( tblFilterAll[Include in output], 1, tblFilterAll[Reinvestment], "&gt;" &amp; tblFilterAll[[#This Row],[Reinvestment]] ) + 1</f>
        <v>105</v>
      </c>
      <c r="G930" s="30" cm="1">
        <f t="array" ref="G930" xml:space="preserve"> INDEX( VfM_Metrics_2023_Consol_Source[], $AK930, G$832 )</f>
        <v>2.7420214791682536E-3</v>
      </c>
      <c r="H930" s="35">
        <f xml:space="preserve"> IF( tblFilterAll[[#This Row],[New Supply (Social)]] &lt; G$825, 4, IF( tblFilterAll[[#This Row],[New Supply (Social)]] &lt; G$826, 3, IF( tblFilterAll[[#This Row],[New Supply (Social)]] &lt; G$827, 2, 1 ) ) )</f>
        <v>4</v>
      </c>
      <c r="I930" s="35">
        <f xml:space="preserve"> COUNTIFS( tblFilterAll[Include in output], 1, tblFilterAll[New Supply (Social)], "&gt;" &amp; tblFilterAll[[#This Row],[New Supply (Social)]] ) + 1</f>
        <v>172</v>
      </c>
      <c r="J930" s="31" cm="1">
        <f t="array" ref="J930" xml:space="preserve"> INDEX( VfM_Metrics_2023_Consol_Source[], $AK930, J$832 )</f>
        <v>0</v>
      </c>
      <c r="K930" s="35">
        <f xml:space="preserve"> IF( tblFilterAll[[#This Row],[New Supply (Non-Social)]] &lt; J$825, 4, IF( tblFilterAll[[#This Row],[New Supply (Non-Social)]] &lt; J$826, 3, IF( tblFilterAll[[#This Row],[New Supply (Non-Social)]] &lt; J$827, 2, 1 ) ) )</f>
        <v>2</v>
      </c>
      <c r="L930" s="35">
        <f xml:space="preserve"> COUNTIFS( tblFilterAll[Include in output], 1, tblFilterAll[New Supply (Non-Social)], "&gt;" &amp; tblFilterAll[[#This Row],[New Supply (Non-Social)]] ) + 1</f>
        <v>72</v>
      </c>
      <c r="M930" s="30" cm="1">
        <f t="array" ref="M930" xml:space="preserve"> INDEX( VfM_Metrics_2023_Consol_Source[], $AK930, M$832 )</f>
        <v>0.31718076931402472</v>
      </c>
      <c r="N930" s="35">
        <f xml:space="preserve"> IF( tblFilterAll[[#This Row],[Gearing]] &lt; M$825, 4, IF( tblFilterAll[[#This Row],[Gearing]] &lt; M$826, 3, IF( tblFilterAll[[#This Row],[Gearing]] &lt; M$827, 2, 1 ) ) )</f>
        <v>4</v>
      </c>
      <c r="O930" s="35">
        <f xml:space="preserve"> COUNTIFS( tblFilterAll[Include in output], 1, tblFilterAll[Gearing], "&gt;" &amp; tblFilterAll[[#This Row],[Gearing]] ) + 1</f>
        <v>153</v>
      </c>
      <c r="P930" s="30" cm="1">
        <f t="array" ref="P930" xml:space="preserve"> INDEX( VfM_Metrics_2023_Consol_Source[], $AK930, P$832 )</f>
        <v>1.2447280799112097</v>
      </c>
      <c r="Q930" s="35">
        <f xml:space="preserve"> IF( tblFilterAll[[#This Row],[EBITDA MRI Interest Cover]] &lt; P$825, 4, IF( tblFilterAll[[#This Row],[EBITDA MRI Interest Cover]] &lt; P$826, 3, IF( tblFilterAll[[#This Row],[EBITDA MRI Interest Cover]] &lt; P$827, 2, 1 ) ) )</f>
        <v>3</v>
      </c>
      <c r="R930" s="35">
        <f xml:space="preserve"> COUNTIFS( tblFilterAll[Include in output], 1, tblFilterAll[EBITDA MRI Interest Cover], "&gt;" &amp; tblFilterAll[[#This Row],[EBITDA MRI Interest Cover]] ) + 1</f>
        <v>101</v>
      </c>
      <c r="S930" s="32" cm="1">
        <f t="array" ref="S930" xml:space="preserve"> INDEX( VfM_Metrics_2023_Consol_Source[], $AK930, S$832 )</f>
        <v>4956.1749842072022</v>
      </c>
      <c r="T930" s="35">
        <f xml:space="preserve"> IF( tblFilterAll[[#This Row],[Headline Social Housing Cost per unit]] &lt; S$825, 4, IF( tblFilterAll[[#This Row],[Headline Social Housing Cost per unit]] &lt; S$826, 3, IF( tblFilterAll[[#This Row],[Headline Social Housing Cost per unit]] &lt; S$827, 2, 1 ) ) )</f>
        <v>2</v>
      </c>
      <c r="U930" s="35">
        <f xml:space="preserve"> COUNTIFS( tblFilterAll[Include in output], 1, tblFilterAll[Headline Social Housing Cost per unit], "&gt;" &amp; tblFilterAll[[#This Row],[Headline Social Housing Cost per unit]] ) + 1</f>
        <v>78</v>
      </c>
      <c r="V930" s="30" cm="1">
        <f t="array" ref="V930" xml:space="preserve"> INDEX( VfM_Metrics_2023_Consol_Source[], $AK930, V$832 )</f>
        <v>-5.945618420056048E-2</v>
      </c>
      <c r="W930" s="35">
        <f xml:space="preserve"> IF( tblFilterAll[[#This Row],[Operating Margin (SHL)]] &lt; V$825, 4, IF( tblFilterAll[[#This Row],[Operating Margin (SHL)]] &lt; V$826, 3, IF( tblFilterAll[[#This Row],[Operating Margin (SHL)]] &lt; V$827, 2, 1 ) ) )</f>
        <v>4</v>
      </c>
      <c r="X930" s="35">
        <f xml:space="preserve"> COUNTIFS( tblFilterAll[Include in output], 1, tblFilterAll[Operating Margin (SHL)], "&gt;" &amp; tblFilterAll[[#This Row],[Operating Margin (SHL)]] ) + 1</f>
        <v>196</v>
      </c>
      <c r="Y930" s="30" cm="1">
        <f t="array" ref="Y930" xml:space="preserve"> INDEX( VfM_Metrics_2023_Consol_Source[], $AK930, Y$832 )</f>
        <v>-3.540026435262341E-2</v>
      </c>
      <c r="Z930" s="35">
        <f xml:space="preserve"> IF( tblFilterAll[[#This Row],[Operating Margin (Overall)]] &lt; Y$825, 4, IF( tblFilterAll[[#This Row],[Operating Margin (Overall)]] &lt; Y$826, 3, IF( tblFilterAll[[#This Row],[Operating Margin (Overall)]] &lt; Y$827, 2, 1 ) ) )</f>
        <v>4</v>
      </c>
      <c r="AA930" s="35">
        <f xml:space="preserve"> COUNTIFS( tblFilterAll[Include in output], 1, tblFilterAll[Operating Margin (Overall)], "&gt;" &amp; tblFilterAll[[#This Row],[Operating Margin (Overall)]] ) + 1</f>
        <v>195</v>
      </c>
      <c r="AB930" s="30" cm="1">
        <f t="array" ref="AB930" xml:space="preserve"> INDEX( VfM_Metrics_2023_Consol_Source[], $AK930, AB$832 )</f>
        <v>5.3010513879778905E-3</v>
      </c>
      <c r="AC930" s="35">
        <f xml:space="preserve"> IF( tblFilterAll[[#This Row],[ROCE]] &lt; AB$825, 4, IF( tblFilterAll[[#This Row],[ROCE]] &lt; AB$826, 3, IF( tblFilterAll[[#This Row],[ROCE]] &lt; AB$827, 2, 1 ) ) )</f>
        <v>4</v>
      </c>
      <c r="AD930" s="35">
        <f xml:space="preserve"> COUNTIFS( tblFilterAll[Include in output], 1, tblFilterAll[ROCE], "&gt;" &amp; tblFilterAll[[#This Row],[ROCE]] ) + 1</f>
        <v>193</v>
      </c>
      <c r="AE930" s="33" cm="1" vm="2535">
        <f t="array" ref="AE930" xml:space="preserve"> INDEX( VfM_Metrics_2023_Consol_Source[], $AK930, AE$832 )</f>
        <v>12634</v>
      </c>
      <c r="AF930" s="30" cm="1">
        <f t="array" ref="AF930" xml:space="preserve"> INDEX( VfM_Metrics_2023_Consol_Source[], $AK930, AF$832 )</f>
        <v>1.9891788669637173E-3</v>
      </c>
      <c r="AG930" s="30" cm="1">
        <f t="array" ref="AG930" xml:space="preserve"> INDEX( VfM_Metrics_2023_Consol_Source[], $AK930, AG$832 )</f>
        <v>0.12866008911521323</v>
      </c>
      <c r="AH930" s="30" cm="1">
        <f t="array" ref="AH930" xml:space="preserve"> INDEX( VfM_Metrics_2023_Consol_Source[], $AK930, AH$832 )</f>
        <v>0.13064926798217696</v>
      </c>
      <c r="AI930" s="30" t="str" cm="1">
        <f t="array" ref="AI930" xml:space="preserve"> INDEX( VfM_Metrics_2023_Consol_Source[], $AK930, AI$832 )</f>
        <v>Traditional</v>
      </c>
      <c r="AJ930" s="34" t="str" cm="1">
        <f t="array" ref="AJ930" xml:space="preserve"> INDEX( VfM_Metrics_2023_Consol_Source[], $AK930, AJ$832 )</f>
        <v>North West</v>
      </c>
      <c r="AK930" s="81">
        <f xml:space="preserve"> MATCH( tblFilterAll[[#This Row],[Code]], VfM_Metrics_2023_Consol_Source[RP_Code], 0 )</f>
        <v>97</v>
      </c>
      <c r="AL930" s="24">
        <f xml:space="preserve"> INDEX( tblFilterRegion[Include for region],  MATCH( tblFilterAll[[#This Row],[Code]], tblFilterRegion[RP_Code], 0 ) )</f>
        <v>1</v>
      </c>
      <c r="AM930" s="24">
        <f xml:space="preserve"> INDEX( tblFilterPropType[Incl for prop type],  MATCH( tblFilterAll[[#This Row],[Code]], tblFilterPropType[RP_Code], 0 ) )</f>
        <v>1</v>
      </c>
      <c r="AN930" s="24">
        <f xml:space="preserve"> INDEX( tblFilterSize[Incl for size],  MATCH( tblFilterAll[[#This Row],[Code]], tblFilterSize[RP_Code], 0 ) )</f>
        <v>1</v>
      </c>
      <c r="AO930" s="24">
        <f xml:space="preserve"> INDEX( tblFilterRP_Type[Incl, for RP Type],  MATCH( tblFilterAll[[#This Row],[Code]], tblFilterRP_Type[RP_Code], 0 ) )</f>
        <v>1</v>
      </c>
      <c r="AP930" s="24">
        <f xml:space="preserve">  -- ( SUM( tblFilterAll[[#This Row],[Filter Region]:[Filter RP Type]] ) = 4 )</f>
        <v>1</v>
      </c>
      <c r="AQ930" s="24">
        <f xml:space="preserve"> -- ( tblFilterAll[[#This Row],[Provider name]] = SelectedProvider )</f>
        <v>0</v>
      </c>
      <c r="AR930" s="24">
        <f xml:space="preserve">  -- ( OR( SUM( tblFilterAll[[#This Row],[Filter Region]:[Filter RP Type]] ) = 4, tblFilterAll[[#This Row],[SelectedProvider]] = 1 ) )</f>
        <v>1</v>
      </c>
      <c r="AS930" s="24">
        <f xml:space="preserve"> -- ( INDEX( PeersCritera[Included in final peers], MATCH( tblFilterAll[[#This Row],[Provider name]], PeersCritera[RP_Name], 0 ) ) = 1 )</f>
        <v>1</v>
      </c>
      <c r="AT930" s="30" t="str" cm="1">
        <f t="array" ref="AT930" xml:space="preserve"> SUBSTITUTE( INDEX( VfM_Metrics_2023_Consol_Source[], $AK930, AT$832 ), 0, "" )</f>
        <v>&gt;= 12 years</v>
      </c>
      <c r="AU930" s="34" cm="1">
        <f t="array" ref="AU930" xml:space="preserve"> INDEX( VfM_Metrics_2023_Consol_Source[], $AK930, AU$832 )</f>
        <v>0</v>
      </c>
      <c r="AV930" s="34" cm="1">
        <f t="array" ref="AV930" xml:space="preserve"> INDEX( VfM_Metrics_2023_Consol_Source[], $AK930, AV$832 )</f>
        <v>0</v>
      </c>
      <c r="AW930" s="34" cm="1">
        <f t="array" ref="AW930" xml:space="preserve"> INDEX( VfM_Metrics_2023_Consol_Source[], $AK930, AW$832 )</f>
        <v>0</v>
      </c>
      <c r="AX930" s="34" cm="1">
        <f t="array" ref="AX930" xml:space="preserve"> INDEX( VfM_Metrics_2023_Consol_Source[], $AK930, AX$832 )</f>
        <v>0</v>
      </c>
      <c r="AY930" s="34" cm="1">
        <f t="array" ref="AY930" xml:space="preserve"> INDEX( VfM_Metrics_2023_Consol_Source[], $AK930, AY$832 )</f>
        <v>0</v>
      </c>
      <c r="AZ930" s="34" cm="1">
        <f t="array" ref="AZ930" xml:space="preserve"> INDEX( VfM_Metrics_2023_Consol_Source[], $AK930, AZ$832 )</f>
        <v>0</v>
      </c>
      <c r="BA930" s="34" cm="1">
        <f t="array" ref="BA930" xml:space="preserve"> INDEX( VfM_Metrics_2023_Consol_Source[], $AK930, BA$832 )</f>
        <v>0</v>
      </c>
      <c r="BB930" s="34" cm="1">
        <f t="array" ref="BB930" xml:space="preserve"> INDEX( VfM_Metrics_2023_Consol_Source[], $AK930, BB$832 )</f>
        <v>1</v>
      </c>
      <c r="BC930" s="34" cm="1">
        <f t="array" ref="BC930" xml:space="preserve"> INDEX( VfM_Metrics_2023_Consol_Source[], $AK930, BC$832 )</f>
        <v>0</v>
      </c>
    </row>
    <row r="931" spans="2:55" x14ac:dyDescent="0.2">
      <c r="B931" s="122" t="str" vm="98">
        <f t="shared" ref="B931" si="435" xml:space="preserve"> B721</f>
        <v>Magna Housing Limited</v>
      </c>
      <c r="C931" s="122" t="str" vm="368">
        <f t="shared" si="434"/>
        <v>4844</v>
      </c>
      <c r="D931" s="30" cm="1">
        <f t="array" ref="D931" xml:space="preserve"> INDEX( VfM_Metrics_2023_Consol_Source[], $AK931, D$832 )</f>
        <v>5.4986608255128314E-2</v>
      </c>
      <c r="E931" s="35">
        <f xml:space="preserve"> IF( tblFilterAll[[#This Row],[Reinvestment]] &lt; D$825, 4, IF( tblFilterAll[[#This Row],[Reinvestment]] &lt; D$826, 3, IF( tblFilterAll[[#This Row],[Reinvestment]] &lt; D$827, 2, 1 ) ) )</f>
        <v>3</v>
      </c>
      <c r="F931" s="35">
        <f xml:space="preserve"> COUNTIFS( tblFilterAll[Include in output], 1, tblFilterAll[Reinvestment], "&gt;" &amp; tblFilterAll[[#This Row],[Reinvestment]] ) + 1</f>
        <v>133</v>
      </c>
      <c r="G931" s="30" cm="1">
        <f t="array" ref="G931" xml:space="preserve"> INDEX( VfM_Metrics_2023_Consol_Source[], $AK931, G$832 )</f>
        <v>9.6339113680154135E-3</v>
      </c>
      <c r="H931" s="35">
        <f xml:space="preserve"> IF( tblFilterAll[[#This Row],[New Supply (Social)]] &lt; G$825, 4, IF( tblFilterAll[[#This Row],[New Supply (Social)]] &lt; G$826, 3, IF( tblFilterAll[[#This Row],[New Supply (Social)]] &lt; G$827, 2, 1 ) ) )</f>
        <v>3</v>
      </c>
      <c r="I931" s="35">
        <f xml:space="preserve"> COUNTIFS( tblFilterAll[Include in output], 1, tblFilterAll[New Supply (Social)], "&gt;" &amp; tblFilterAll[[#This Row],[New Supply (Social)]] ) + 1</f>
        <v>126</v>
      </c>
      <c r="J931" s="31" cm="1">
        <f t="array" ref="J931" xml:space="preserve"> INDEX( VfM_Metrics_2023_Consol_Source[], $AK931, J$832 )</f>
        <v>0</v>
      </c>
      <c r="K931" s="35">
        <f xml:space="preserve"> IF( tblFilterAll[[#This Row],[New Supply (Non-Social)]] &lt; J$825, 4, IF( tblFilterAll[[#This Row],[New Supply (Non-Social)]] &lt; J$826, 3, IF( tblFilterAll[[#This Row],[New Supply (Non-Social)]] &lt; J$827, 2, 1 ) ) )</f>
        <v>2</v>
      </c>
      <c r="L931" s="35">
        <f xml:space="preserve"> COUNTIFS( tblFilterAll[Include in output], 1, tblFilterAll[New Supply (Non-Social)], "&gt;" &amp; tblFilterAll[[#This Row],[New Supply (Non-Social)]] ) + 1</f>
        <v>72</v>
      </c>
      <c r="M931" s="30" cm="1">
        <f t="array" ref="M931" xml:space="preserve"> INDEX( VfM_Metrics_2023_Consol_Source[], $AK931, M$832 )</f>
        <v>0.262335458018437</v>
      </c>
      <c r="N931" s="35">
        <f xml:space="preserve"> IF( tblFilterAll[[#This Row],[Gearing]] &lt; M$825, 4, IF( tblFilterAll[[#This Row],[Gearing]] &lt; M$826, 3, IF( tblFilterAll[[#This Row],[Gearing]] &lt; M$827, 2, 1 ) ) )</f>
        <v>4</v>
      </c>
      <c r="O931" s="35">
        <f xml:space="preserve"> COUNTIFS( tblFilterAll[Include in output], 1, tblFilterAll[Gearing], "&gt;" &amp; tblFilterAll[[#This Row],[Gearing]] ) + 1</f>
        <v>168</v>
      </c>
      <c r="P931" s="30" cm="1">
        <f t="array" ref="P931" xml:space="preserve"> INDEX( VfM_Metrics_2023_Consol_Source[], $AK931, P$832 )</f>
        <v>2.5849735957753239</v>
      </c>
      <c r="Q931" s="35">
        <f xml:space="preserve"> IF( tblFilterAll[[#This Row],[EBITDA MRI Interest Cover]] &lt; P$825, 4, IF( tblFilterAll[[#This Row],[EBITDA MRI Interest Cover]] &lt; P$826, 3, IF( tblFilterAll[[#This Row],[EBITDA MRI Interest Cover]] &lt; P$827, 2, 1 ) ) )</f>
        <v>1</v>
      </c>
      <c r="R931" s="35">
        <f xml:space="preserve"> COUNTIFS( tblFilterAll[Include in output], 1, tblFilterAll[EBITDA MRI Interest Cover], "&gt;" &amp; tblFilterAll[[#This Row],[EBITDA MRI Interest Cover]] ) + 1</f>
        <v>14</v>
      </c>
      <c r="S931" s="32" cm="1">
        <f t="array" ref="S931" xml:space="preserve"> INDEX( VfM_Metrics_2023_Consol_Source[], $AK931, S$832 )</f>
        <v>4582.1513002364072</v>
      </c>
      <c r="T931" s="35">
        <f xml:space="preserve"> IF( tblFilterAll[[#This Row],[Headline Social Housing Cost per unit]] &lt; S$825, 4, IF( tblFilterAll[[#This Row],[Headline Social Housing Cost per unit]] &lt; S$826, 3, IF( tblFilterAll[[#This Row],[Headline Social Housing Cost per unit]] &lt; S$827, 2, 1 ) ) )</f>
        <v>3</v>
      </c>
      <c r="U931" s="35">
        <f xml:space="preserve"> COUNTIFS( tblFilterAll[Include in output], 1, tblFilterAll[Headline Social Housing Cost per unit], "&gt;" &amp; tblFilterAll[[#This Row],[Headline Social Housing Cost per unit]] ) + 1</f>
        <v>100</v>
      </c>
      <c r="V931" s="30" cm="1">
        <f t="array" ref="V931" xml:space="preserve"> INDEX( VfM_Metrics_2023_Consol_Source[], $AK931, V$832 )</f>
        <v>0.16492482388812954</v>
      </c>
      <c r="W931" s="35">
        <f xml:space="preserve"> IF( tblFilterAll[[#This Row],[Operating Margin (SHL)]] &lt; V$825, 4, IF( tblFilterAll[[#This Row],[Operating Margin (SHL)]] &lt; V$826, 3, IF( tblFilterAll[[#This Row],[Operating Margin (SHL)]] &lt; V$827, 2, 1 ) ) )</f>
        <v>3</v>
      </c>
      <c r="X931" s="35">
        <f xml:space="preserve"> COUNTIFS( tblFilterAll[Include in output], 1, tblFilterAll[Operating Margin (SHL)], "&gt;" &amp; tblFilterAll[[#This Row],[Operating Margin (SHL)]] ) + 1</f>
        <v>133</v>
      </c>
      <c r="Y931" s="30" cm="1">
        <f t="array" ref="Y931" xml:space="preserve"> INDEX( VfM_Metrics_2023_Consol_Source[], $AK931, Y$832 )</f>
        <v>0.16125331477685204</v>
      </c>
      <c r="Z931" s="35">
        <f xml:space="preserve"> IF( tblFilterAll[[#This Row],[Operating Margin (Overall)]] &lt; Y$825, 4, IF( tblFilterAll[[#This Row],[Operating Margin (Overall)]] &lt; Y$826, 3, IF( tblFilterAll[[#This Row],[Operating Margin (Overall)]] &lt; Y$827, 2, 1 ) ) )</f>
        <v>3</v>
      </c>
      <c r="AA931" s="35">
        <f xml:space="preserve"> COUNTIFS( tblFilterAll[Include in output], 1, tblFilterAll[Operating Margin (Overall)], "&gt;" &amp; tblFilterAll[[#This Row],[Operating Margin (Overall)]] ) + 1</f>
        <v>123</v>
      </c>
      <c r="AB931" s="30" cm="1">
        <f t="array" ref="AB931" xml:space="preserve"> INDEX( VfM_Metrics_2023_Consol_Source[], $AK931, AB$832 )</f>
        <v>2.3557188490334963E-2</v>
      </c>
      <c r="AC931" s="35">
        <f xml:space="preserve"> IF( tblFilterAll[[#This Row],[ROCE]] &lt; AB$825, 4, IF( tblFilterAll[[#This Row],[ROCE]] &lt; AB$826, 3, IF( tblFilterAll[[#This Row],[ROCE]] &lt; AB$827, 2, 1 ) ) )</f>
        <v>3</v>
      </c>
      <c r="AD931" s="35">
        <f xml:space="preserve"> COUNTIFS( tblFilterAll[Include in output], 1, tblFilterAll[ROCE], "&gt;" &amp; tblFilterAll[[#This Row],[ROCE]] ) + 1</f>
        <v>137</v>
      </c>
      <c r="AE931" s="33" cm="1" vm="6908">
        <f t="array" ref="AE931" xml:space="preserve"> INDEX( VfM_Metrics_2023_Consol_Source[], $AK931, AE$832 )</f>
        <v>8450</v>
      </c>
      <c r="AF931" s="30" cm="1">
        <f t="array" ref="AF931" xml:space="preserve"> INDEX( VfM_Metrics_2023_Consol_Source[], $AK931, AF$832 )</f>
        <v>2.5439847836424157E-2</v>
      </c>
      <c r="AG931" s="30" cm="1">
        <f t="array" ref="AG931" xml:space="preserve"> INDEX( VfM_Metrics_2023_Consol_Source[], $AK931, AG$832 )</f>
        <v>0.21944840703756538</v>
      </c>
      <c r="AH931" s="30" cm="1">
        <f t="array" ref="AH931" xml:space="preserve"> INDEX( VfM_Metrics_2023_Consol_Source[], $AK931, AH$832 )</f>
        <v>0.24488825487398955</v>
      </c>
      <c r="AI931" s="30" t="str" cm="1">
        <f t="array" ref="AI931" xml:space="preserve"> INDEX( VfM_Metrics_2023_Consol_Source[], $AK931, AI$832 )</f>
        <v>Traditional</v>
      </c>
      <c r="AJ931" s="34" t="str" cm="1">
        <f t="array" ref="AJ931" xml:space="preserve"> INDEX( VfM_Metrics_2023_Consol_Source[], $AK931, AJ$832 )</f>
        <v>South West</v>
      </c>
      <c r="AK931" s="81">
        <f xml:space="preserve"> MATCH( tblFilterAll[[#This Row],[Code]], VfM_Metrics_2023_Consol_Source[RP_Code], 0 )</f>
        <v>98</v>
      </c>
      <c r="AL931" s="24">
        <f xml:space="preserve"> INDEX( tblFilterRegion[Include for region],  MATCH( tblFilterAll[[#This Row],[Code]], tblFilterRegion[RP_Code], 0 ) )</f>
        <v>1</v>
      </c>
      <c r="AM931" s="24">
        <f xml:space="preserve"> INDEX( tblFilterPropType[Incl for prop type],  MATCH( tblFilterAll[[#This Row],[Code]], tblFilterPropType[RP_Code], 0 ) )</f>
        <v>1</v>
      </c>
      <c r="AN931" s="24">
        <f xml:space="preserve"> INDEX( tblFilterSize[Incl for size],  MATCH( tblFilterAll[[#This Row],[Code]], tblFilterSize[RP_Code], 0 ) )</f>
        <v>1</v>
      </c>
      <c r="AO931" s="24">
        <f xml:space="preserve"> INDEX( tblFilterRP_Type[Incl, for RP Type],  MATCH( tblFilterAll[[#This Row],[Code]], tblFilterRP_Type[RP_Code], 0 ) )</f>
        <v>1</v>
      </c>
      <c r="AP931" s="24">
        <f xml:space="preserve">  -- ( SUM( tblFilterAll[[#This Row],[Filter Region]:[Filter RP Type]] ) = 4 )</f>
        <v>1</v>
      </c>
      <c r="AQ931" s="24">
        <f xml:space="preserve"> -- ( tblFilterAll[[#This Row],[Provider name]] = SelectedProvider )</f>
        <v>0</v>
      </c>
      <c r="AR931" s="24">
        <f xml:space="preserve">  -- ( OR( SUM( tblFilterAll[[#This Row],[Filter Region]:[Filter RP Type]] ) = 4, tblFilterAll[[#This Row],[SelectedProvider]] = 1 ) )</f>
        <v>1</v>
      </c>
      <c r="AS931" s="24">
        <f xml:space="preserve"> -- ( INDEX( PeersCritera[Included in final peers], MATCH( tblFilterAll[[#This Row],[Provider name]], PeersCritera[RP_Name], 0 ) ) = 1 )</f>
        <v>1</v>
      </c>
      <c r="AT931" s="30" t="str" cm="1">
        <f t="array" ref="AT931" xml:space="preserve"> SUBSTITUTE( INDEX( VfM_Metrics_2023_Consol_Source[], $AK931, AT$832 ), 0, "" )</f>
        <v>&gt;= 12 years</v>
      </c>
      <c r="AU931" s="34" cm="1">
        <f t="array" ref="AU931" xml:space="preserve"> INDEX( VfM_Metrics_2023_Consol_Source[], $AK931, AU$832 )</f>
        <v>0</v>
      </c>
      <c r="AV931" s="34" cm="1">
        <f t="array" ref="AV931" xml:space="preserve"> INDEX( VfM_Metrics_2023_Consol_Source[], $AK931, AV$832 )</f>
        <v>0</v>
      </c>
      <c r="AW931" s="34" cm="1">
        <f t="array" ref="AW931" xml:space="preserve"> INDEX( VfM_Metrics_2023_Consol_Source[], $AK931, AW$832 )</f>
        <v>1</v>
      </c>
      <c r="AX931" s="34" cm="1">
        <f t="array" ref="AX931" xml:space="preserve"> INDEX( VfM_Metrics_2023_Consol_Source[], $AK931, AX$832 )</f>
        <v>0</v>
      </c>
      <c r="AY931" s="34" cm="1">
        <f t="array" ref="AY931" xml:space="preserve"> INDEX( VfM_Metrics_2023_Consol_Source[], $AK931, AY$832 )</f>
        <v>0</v>
      </c>
      <c r="AZ931" s="34" cm="1">
        <f t="array" ref="AZ931" xml:space="preserve"> INDEX( VfM_Metrics_2023_Consol_Source[], $AK931, AZ$832 )</f>
        <v>0</v>
      </c>
      <c r="BA931" s="34" cm="1">
        <f t="array" ref="BA931" xml:space="preserve"> INDEX( VfM_Metrics_2023_Consol_Source[], $AK931, BA$832 )</f>
        <v>0</v>
      </c>
      <c r="BB931" s="34" cm="1">
        <f t="array" ref="BB931" xml:space="preserve"> INDEX( VfM_Metrics_2023_Consol_Source[], $AK931, BB$832 )</f>
        <v>0</v>
      </c>
      <c r="BC931" s="34" cm="1">
        <f t="array" ref="BC931" xml:space="preserve"> INDEX( VfM_Metrics_2023_Consol_Source[], $AK931, BC$832 )</f>
        <v>0</v>
      </c>
    </row>
    <row r="932" spans="2:55" x14ac:dyDescent="0.2">
      <c r="B932" s="122" t="str" vm="99">
        <f t="shared" ref="B932" si="436" xml:space="preserve"> B722</f>
        <v>Manningham Housing Association Limited</v>
      </c>
      <c r="C932" s="122" t="str" vm="232">
        <f t="shared" si="434"/>
        <v>L3736</v>
      </c>
      <c r="D932" s="30" cm="1">
        <f t="array" ref="D932" xml:space="preserve"> INDEX( VfM_Metrics_2023_Consol_Source[], $AK932, D$832 )</f>
        <v>1.4867966290809801E-2</v>
      </c>
      <c r="E932" s="35">
        <f xml:space="preserve"> IF( tblFilterAll[[#This Row],[Reinvestment]] &lt; D$825, 4, IF( tblFilterAll[[#This Row],[Reinvestment]] &lt; D$826, 3, IF( tblFilterAll[[#This Row],[Reinvestment]] &lt; D$827, 2, 1 ) ) )</f>
        <v>4</v>
      </c>
      <c r="F932" s="35">
        <f xml:space="preserve"> COUNTIFS( tblFilterAll[Include in output], 1, tblFilterAll[Reinvestment], "&gt;" &amp; tblFilterAll[[#This Row],[Reinvestment]] ) + 1</f>
        <v>194</v>
      </c>
      <c r="G932" s="30" cm="1">
        <f t="array" ref="G932" xml:space="preserve"> INDEX( VfM_Metrics_2023_Consol_Source[], $AK932, G$832 )</f>
        <v>3.5893754486719309E-3</v>
      </c>
      <c r="H932" s="35">
        <f xml:space="preserve"> IF( tblFilterAll[[#This Row],[New Supply (Social)]] &lt; G$825, 4, IF( tblFilterAll[[#This Row],[New Supply (Social)]] &lt; G$826, 3, IF( tblFilterAll[[#This Row],[New Supply (Social)]] &lt; G$827, 2, 1 ) ) )</f>
        <v>4</v>
      </c>
      <c r="I932" s="35">
        <f xml:space="preserve"> COUNTIFS( tblFilterAll[Include in output], 1, tblFilterAll[New Supply (Social)], "&gt;" &amp; tblFilterAll[[#This Row],[New Supply (Social)]] ) + 1</f>
        <v>166</v>
      </c>
      <c r="J932" s="31" cm="1">
        <f t="array" ref="J932" xml:space="preserve"> INDEX( VfM_Metrics_2023_Consol_Source[], $AK932, J$832 )</f>
        <v>0</v>
      </c>
      <c r="K932" s="35">
        <f xml:space="preserve"> IF( tblFilterAll[[#This Row],[New Supply (Non-Social)]] &lt; J$825, 4, IF( tblFilterAll[[#This Row],[New Supply (Non-Social)]] &lt; J$826, 3, IF( tblFilterAll[[#This Row],[New Supply (Non-Social)]] &lt; J$827, 2, 1 ) ) )</f>
        <v>2</v>
      </c>
      <c r="L932" s="35">
        <f xml:space="preserve"> COUNTIFS( tblFilterAll[Include in output], 1, tblFilterAll[New Supply (Non-Social)], "&gt;" &amp; tblFilterAll[[#This Row],[New Supply (Non-Social)]] ) + 1</f>
        <v>72</v>
      </c>
      <c r="M932" s="30" cm="1">
        <f t="array" ref="M932" xml:space="preserve"> INDEX( VfM_Metrics_2023_Consol_Source[], $AK932, M$832 )</f>
        <v>0.44095902464689712</v>
      </c>
      <c r="N932" s="35">
        <f xml:space="preserve"> IF( tblFilterAll[[#This Row],[Gearing]] &lt; M$825, 4, IF( tblFilterAll[[#This Row],[Gearing]] &lt; M$826, 3, IF( tblFilterAll[[#This Row],[Gearing]] &lt; M$827, 2, 1 ) ) )</f>
        <v>3</v>
      </c>
      <c r="O932" s="35">
        <f xml:space="preserve"> COUNTIFS( tblFilterAll[Include in output], 1, tblFilterAll[Gearing], "&gt;" &amp; tblFilterAll[[#This Row],[Gearing]] ) + 1</f>
        <v>108</v>
      </c>
      <c r="P932" s="30" cm="1">
        <f t="array" ref="P932" xml:space="preserve"> INDEX( VfM_Metrics_2023_Consol_Source[], $AK932, P$832 )</f>
        <v>1.7828134196586227</v>
      </c>
      <c r="Q932" s="35">
        <f xml:space="preserve"> IF( tblFilterAll[[#This Row],[EBITDA MRI Interest Cover]] &lt; P$825, 4, IF( tblFilterAll[[#This Row],[EBITDA MRI Interest Cover]] &lt; P$826, 3, IF( tblFilterAll[[#This Row],[EBITDA MRI Interest Cover]] &lt; P$827, 2, 1 ) ) )</f>
        <v>1</v>
      </c>
      <c r="R932" s="35">
        <f xml:space="preserve"> COUNTIFS( tblFilterAll[Include in output], 1, tblFilterAll[EBITDA MRI Interest Cover], "&gt;" &amp; tblFilterAll[[#This Row],[EBITDA MRI Interest Cover]] ) + 1</f>
        <v>46</v>
      </c>
      <c r="S932" s="32" cm="1">
        <f t="array" ref="S932" xml:space="preserve"> INDEX( VfM_Metrics_2023_Consol_Source[], $AK932, S$832 )</f>
        <v>3779.6123474515434</v>
      </c>
      <c r="T932" s="35">
        <f xml:space="preserve"> IF( tblFilterAll[[#This Row],[Headline Social Housing Cost per unit]] &lt; S$825, 4, IF( tblFilterAll[[#This Row],[Headline Social Housing Cost per unit]] &lt; S$826, 3, IF( tblFilterAll[[#This Row],[Headline Social Housing Cost per unit]] &lt; S$827, 2, 1 ) ) )</f>
        <v>4</v>
      </c>
      <c r="U932" s="35">
        <f xml:space="preserve"> COUNTIFS( tblFilterAll[Include in output], 1, tblFilterAll[Headline Social Housing Cost per unit], "&gt;" &amp; tblFilterAll[[#This Row],[Headline Social Housing Cost per unit]] ) + 1</f>
        <v>183</v>
      </c>
      <c r="V932" s="30" cm="1">
        <f t="array" ref="V932" xml:space="preserve"> INDEX( VfM_Metrics_2023_Consol_Source[], $AK932, V$832 )</f>
        <v>0.27885847408270237</v>
      </c>
      <c r="W932" s="35">
        <f xml:space="preserve"> IF( tblFilterAll[[#This Row],[Operating Margin (SHL)]] &lt; V$825, 4, IF( tblFilterAll[[#This Row],[Operating Margin (SHL)]] &lt; V$826, 3, IF( tblFilterAll[[#This Row],[Operating Margin (SHL)]] &lt; V$827, 2, 1 ) ) )</f>
        <v>1</v>
      </c>
      <c r="X932" s="35">
        <f xml:space="preserve"> COUNTIFS( tblFilterAll[Include in output], 1, tblFilterAll[Operating Margin (SHL)], "&gt;" &amp; tblFilterAll[[#This Row],[Operating Margin (SHL)]] ) + 1</f>
        <v>38</v>
      </c>
      <c r="Y932" s="30" cm="1">
        <f t="array" ref="Y932" xml:space="preserve"> INDEX( VfM_Metrics_2023_Consol_Source[], $AK932, Y$832 )</f>
        <v>0.27096700274977087</v>
      </c>
      <c r="Z932" s="35">
        <f xml:space="preserve"> IF( tblFilterAll[[#This Row],[Operating Margin (Overall)]] &lt; Y$825, 4, IF( tblFilterAll[[#This Row],[Operating Margin (Overall)]] &lt; Y$826, 3, IF( tblFilterAll[[#This Row],[Operating Margin (Overall)]] &lt; Y$827, 2, 1 ) ) )</f>
        <v>1</v>
      </c>
      <c r="AA932" s="35">
        <f xml:space="preserve"> COUNTIFS( tblFilterAll[Include in output], 1, tblFilterAll[Operating Margin (Overall)], "&gt;" &amp; tblFilterAll[[#This Row],[Operating Margin (Overall)]] ) + 1</f>
        <v>22</v>
      </c>
      <c r="AB932" s="30" cm="1">
        <f t="array" ref="AB932" xml:space="preserve"> INDEX( VfM_Metrics_2023_Consol_Source[], $AK932, AB$832 )</f>
        <v>2.2511636233440744E-2</v>
      </c>
      <c r="AC932" s="35">
        <f xml:space="preserve"> IF( tblFilterAll[[#This Row],[ROCE]] &lt; AB$825, 4, IF( tblFilterAll[[#This Row],[ROCE]] &lt; AB$826, 3, IF( tblFilterAll[[#This Row],[ROCE]] &lt; AB$827, 2, 1 ) ) )</f>
        <v>3</v>
      </c>
      <c r="AD932" s="35">
        <f xml:space="preserve"> COUNTIFS( tblFilterAll[Include in output], 1, tblFilterAll[ROCE], "&gt;" &amp; tblFilterAll[[#This Row],[ROCE]] ) + 1</f>
        <v>142</v>
      </c>
      <c r="AE932" s="33" cm="1" vm="8394">
        <f t="array" ref="AE932" xml:space="preserve"> INDEX( VfM_Metrics_2023_Consol_Source[], $AK932, AE$832 )</f>
        <v>1393</v>
      </c>
      <c r="AF932" s="30" cm="1">
        <f t="array" ref="AF932" xml:space="preserve"> INDEX( VfM_Metrics_2023_Consol_Source[], $AK932, AF$832 )</f>
        <v>0</v>
      </c>
      <c r="AG932" s="30" cm="1">
        <f t="array" ref="AG932" xml:space="preserve"> INDEX( VfM_Metrics_2023_Consol_Source[], $AK932, AG$832 )</f>
        <v>0</v>
      </c>
      <c r="AH932" s="30" cm="1">
        <f t="array" ref="AH932" xml:space="preserve"> INDEX( VfM_Metrics_2023_Consol_Source[], $AK932, AH$832 )</f>
        <v>0</v>
      </c>
      <c r="AI932" s="30" t="str" cm="1">
        <f t="array" ref="AI932" xml:space="preserve"> INDEX( VfM_Metrics_2023_Consol_Source[], $AK932, AI$832 )</f>
        <v>Traditional</v>
      </c>
      <c r="AJ932" s="34" t="str" cm="1">
        <f t="array" ref="AJ932" xml:space="preserve"> INDEX( VfM_Metrics_2023_Consol_Source[], $AK932, AJ$832 )</f>
        <v>Yorkshire &amp; the Humber</v>
      </c>
      <c r="AK932" s="81">
        <f xml:space="preserve"> MATCH( tblFilterAll[[#This Row],[Code]], VfM_Metrics_2023_Consol_Source[RP_Code], 0 )</f>
        <v>99</v>
      </c>
      <c r="AL932" s="24">
        <f xml:space="preserve"> INDEX( tblFilterRegion[Include for region],  MATCH( tblFilterAll[[#This Row],[Code]], tblFilterRegion[RP_Code], 0 ) )</f>
        <v>1</v>
      </c>
      <c r="AM932" s="24">
        <f xml:space="preserve"> INDEX( tblFilterPropType[Incl for prop type],  MATCH( tblFilterAll[[#This Row],[Code]], tblFilterPropType[RP_Code], 0 ) )</f>
        <v>1</v>
      </c>
      <c r="AN932" s="24">
        <f xml:space="preserve"> INDEX( tblFilterSize[Incl for size],  MATCH( tblFilterAll[[#This Row],[Code]], tblFilterSize[RP_Code], 0 ) )</f>
        <v>1</v>
      </c>
      <c r="AO932" s="24">
        <f xml:space="preserve"> INDEX( tblFilterRP_Type[Incl, for RP Type],  MATCH( tblFilterAll[[#This Row],[Code]], tblFilterRP_Type[RP_Code], 0 ) )</f>
        <v>1</v>
      </c>
      <c r="AP932" s="24">
        <f xml:space="preserve">  -- ( SUM( tblFilterAll[[#This Row],[Filter Region]:[Filter RP Type]] ) = 4 )</f>
        <v>1</v>
      </c>
      <c r="AQ932" s="24">
        <f xml:space="preserve"> -- ( tblFilterAll[[#This Row],[Provider name]] = SelectedProvider )</f>
        <v>0</v>
      </c>
      <c r="AR932" s="24">
        <f xml:space="preserve">  -- ( OR( SUM( tblFilterAll[[#This Row],[Filter Region]:[Filter RP Type]] ) = 4, tblFilterAll[[#This Row],[SelectedProvider]] = 1 ) )</f>
        <v>1</v>
      </c>
      <c r="AS932" s="24">
        <f xml:space="preserve"> -- ( INDEX( PeersCritera[Included in final peers], MATCH( tblFilterAll[[#This Row],[Provider name]], PeersCritera[RP_Name], 0 ) ) = 1 )</f>
        <v>1</v>
      </c>
      <c r="AT932" s="30" t="str" cm="1">
        <f t="array" ref="AT932" xml:space="preserve"> SUBSTITUTE( INDEX( VfM_Metrics_2023_Consol_Source[], $AK932, AT$832 ), 0, "" )</f>
        <v/>
      </c>
      <c r="AU932" s="34" cm="1">
        <f t="array" ref="AU932" xml:space="preserve"> INDEX( VfM_Metrics_2023_Consol_Source[], $AK932, AU$832 )</f>
        <v>0</v>
      </c>
      <c r="AV932" s="34" cm="1">
        <f t="array" ref="AV932" xml:space="preserve"> INDEX( VfM_Metrics_2023_Consol_Source[], $AK932, AV$832 )</f>
        <v>0</v>
      </c>
      <c r="AW932" s="34" cm="1">
        <f t="array" ref="AW932" xml:space="preserve"> INDEX( VfM_Metrics_2023_Consol_Source[], $AK932, AW$832 )</f>
        <v>0</v>
      </c>
      <c r="AX932" s="34" cm="1">
        <f t="array" ref="AX932" xml:space="preserve"> INDEX( VfM_Metrics_2023_Consol_Source[], $AK932, AX$832 )</f>
        <v>0</v>
      </c>
      <c r="AY932" s="34" cm="1">
        <f t="array" ref="AY932" xml:space="preserve"> INDEX( VfM_Metrics_2023_Consol_Source[], $AK932, AY$832 )</f>
        <v>0</v>
      </c>
      <c r="AZ932" s="34" cm="1">
        <f t="array" ref="AZ932" xml:space="preserve"> INDEX( VfM_Metrics_2023_Consol_Source[], $AK932, AZ$832 )</f>
        <v>0</v>
      </c>
      <c r="BA932" s="34" cm="1">
        <f t="array" ref="BA932" xml:space="preserve"> INDEX( VfM_Metrics_2023_Consol_Source[], $AK932, BA$832 )</f>
        <v>0</v>
      </c>
      <c r="BB932" s="34" cm="1">
        <f t="array" ref="BB932" xml:space="preserve"> INDEX( VfM_Metrics_2023_Consol_Source[], $AK932, BB$832 )</f>
        <v>0</v>
      </c>
      <c r="BC932" s="34" cm="1">
        <f t="array" ref="BC932" xml:space="preserve"> INDEX( VfM_Metrics_2023_Consol_Source[], $AK932, BC$832 )</f>
        <v>1</v>
      </c>
    </row>
    <row r="933" spans="2:55" x14ac:dyDescent="0.2">
      <c r="B933" s="122" t="str" vm="100">
        <f t="shared" ref="B933" si="437" xml:space="preserve"> B723</f>
        <v>Midland Heart Limited</v>
      </c>
      <c r="C933" s="122" t="str" vm="258">
        <f t="shared" si="434"/>
        <v>L4466</v>
      </c>
      <c r="D933" s="30" cm="1">
        <f t="array" ref="D933" xml:space="preserve"> INDEX( VfM_Metrics_2023_Consol_Source[], $AK933, D$832 )</f>
        <v>6.8243380423946315E-2</v>
      </c>
      <c r="E933" s="35">
        <f xml:space="preserve"> IF( tblFilterAll[[#This Row],[Reinvestment]] &lt; D$825, 4, IF( tblFilterAll[[#This Row],[Reinvestment]] &lt; D$826, 3, IF( tblFilterAll[[#This Row],[Reinvestment]] &lt; D$827, 2, 1 ) ) )</f>
        <v>2</v>
      </c>
      <c r="F933" s="35">
        <f xml:space="preserve"> COUNTIFS( tblFilterAll[Include in output], 1, tblFilterAll[Reinvestment], "&gt;" &amp; tblFilterAll[[#This Row],[Reinvestment]] ) + 1</f>
        <v>94</v>
      </c>
      <c r="G933" s="30" cm="1">
        <f t="array" ref="G933" xml:space="preserve"> INDEX( VfM_Metrics_2023_Consol_Source[], $AK933, G$832 )</f>
        <v>2.0884126780443987E-2</v>
      </c>
      <c r="H933" s="35">
        <f xml:space="preserve"> IF( tblFilterAll[[#This Row],[New Supply (Social)]] &lt; G$825, 4, IF( tblFilterAll[[#This Row],[New Supply (Social)]] &lt; G$826, 3, IF( tblFilterAll[[#This Row],[New Supply (Social)]] &lt; G$827, 2, 1 ) ) )</f>
        <v>2</v>
      </c>
      <c r="I933" s="35">
        <f xml:space="preserve"> COUNTIFS( tblFilterAll[Include in output], 1, tblFilterAll[New Supply (Social)], "&gt;" &amp; tblFilterAll[[#This Row],[New Supply (Social)]] ) + 1</f>
        <v>57</v>
      </c>
      <c r="J933" s="31" cm="1">
        <f t="array" ref="J933" xml:space="preserve"> INDEX( VfM_Metrics_2023_Consol_Source[], $AK933, J$832 )</f>
        <v>6.6615911686334218E-4</v>
      </c>
      <c r="K933" s="35">
        <f xml:space="preserve"> IF( tblFilterAll[[#This Row],[New Supply (Non-Social)]] &lt; J$825, 4, IF( tblFilterAll[[#This Row],[New Supply (Non-Social)]] &lt; J$826, 3, IF( tblFilterAll[[#This Row],[New Supply (Non-Social)]] &lt; J$827, 2, 1 ) ) )</f>
        <v>2</v>
      </c>
      <c r="L933" s="35">
        <f xml:space="preserve"> COUNTIFS( tblFilterAll[Include in output], 1, tblFilterAll[New Supply (Non-Social)], "&gt;" &amp; tblFilterAll[[#This Row],[New Supply (Non-Social)]] ) + 1</f>
        <v>54</v>
      </c>
      <c r="M933" s="30" cm="1">
        <f t="array" ref="M933" xml:space="preserve"> INDEX( VfM_Metrics_2023_Consol_Source[], $AK933, M$832 )</f>
        <v>0.30165726124513259</v>
      </c>
      <c r="N933" s="35">
        <f xml:space="preserve"> IF( tblFilterAll[[#This Row],[Gearing]] &lt; M$825, 4, IF( tblFilterAll[[#This Row],[Gearing]] &lt; M$826, 3, IF( tblFilterAll[[#This Row],[Gearing]] &lt; M$827, 2, 1 ) ) )</f>
        <v>4</v>
      </c>
      <c r="O933" s="35">
        <f xml:space="preserve"> COUNTIFS( tblFilterAll[Include in output], 1, tblFilterAll[Gearing], "&gt;" &amp; tblFilterAll[[#This Row],[Gearing]] ) + 1</f>
        <v>158</v>
      </c>
      <c r="P933" s="30" cm="1">
        <f t="array" ref="P933" xml:space="preserve"> INDEX( VfM_Metrics_2023_Consol_Source[], $AK933, P$832 )</f>
        <v>2.375151004868763</v>
      </c>
      <c r="Q933" s="35">
        <f xml:space="preserve"> IF( tblFilterAll[[#This Row],[EBITDA MRI Interest Cover]] &lt; P$825, 4, IF( tblFilterAll[[#This Row],[EBITDA MRI Interest Cover]] &lt; P$826, 3, IF( tblFilterAll[[#This Row],[EBITDA MRI Interest Cover]] &lt; P$827, 2, 1 ) ) )</f>
        <v>1</v>
      </c>
      <c r="R933" s="35">
        <f xml:space="preserve"> COUNTIFS( tblFilterAll[Include in output], 1, tblFilterAll[EBITDA MRI Interest Cover], "&gt;" &amp; tblFilterAll[[#This Row],[EBITDA MRI Interest Cover]] ) + 1</f>
        <v>18</v>
      </c>
      <c r="S933" s="32" cm="1">
        <f t="array" ref="S933" xml:space="preserve"> INDEX( VfM_Metrics_2023_Consol_Source[], $AK933, S$832 )</f>
        <v>4069.6675098284222</v>
      </c>
      <c r="T933" s="35">
        <f xml:space="preserve"> IF( tblFilterAll[[#This Row],[Headline Social Housing Cost per unit]] &lt; S$825, 4, IF( tblFilterAll[[#This Row],[Headline Social Housing Cost per unit]] &lt; S$826, 3, IF( tblFilterAll[[#This Row],[Headline Social Housing Cost per unit]] &lt; S$827, 2, 1 ) ) )</f>
        <v>4</v>
      </c>
      <c r="U933" s="35">
        <f xml:space="preserve"> COUNTIFS( tblFilterAll[Include in output], 1, tblFilterAll[Headline Social Housing Cost per unit], "&gt;" &amp; tblFilterAll[[#This Row],[Headline Social Housing Cost per unit]] ) + 1</f>
        <v>150</v>
      </c>
      <c r="V933" s="30" cm="1">
        <f t="array" ref="V933" xml:space="preserve"> INDEX( VfM_Metrics_2023_Consol_Source[], $AK933, V$832 )</f>
        <v>0.28180155083882502</v>
      </c>
      <c r="W933" s="35">
        <f xml:space="preserve"> IF( tblFilterAll[[#This Row],[Operating Margin (SHL)]] &lt; V$825, 4, IF( tblFilterAll[[#This Row],[Operating Margin (SHL)]] &lt; V$826, 3, IF( tblFilterAll[[#This Row],[Operating Margin (SHL)]] &lt; V$827, 2, 1 ) ) )</f>
        <v>1</v>
      </c>
      <c r="X933" s="35">
        <f xml:space="preserve"> COUNTIFS( tblFilterAll[Include in output], 1, tblFilterAll[Operating Margin (SHL)], "&gt;" &amp; tblFilterAll[[#This Row],[Operating Margin (SHL)]] ) + 1</f>
        <v>36</v>
      </c>
      <c r="Y933" s="30" cm="1">
        <f t="array" ref="Y933" xml:space="preserve"> INDEX( VfM_Metrics_2023_Consol_Source[], $AK933, Y$832 )</f>
        <v>0.26814002812863197</v>
      </c>
      <c r="Z933" s="35">
        <f xml:space="preserve"> IF( tblFilterAll[[#This Row],[Operating Margin (Overall)]] &lt; Y$825, 4, IF( tblFilterAll[[#This Row],[Operating Margin (Overall)]] &lt; Y$826, 3, IF( tblFilterAll[[#This Row],[Operating Margin (Overall)]] &lt; Y$827, 2, 1 ) ) )</f>
        <v>1</v>
      </c>
      <c r="AA933" s="35">
        <f xml:space="preserve"> COUNTIFS( tblFilterAll[Include in output], 1, tblFilterAll[Operating Margin (Overall)], "&gt;" &amp; tblFilterAll[[#This Row],[Operating Margin (Overall)]] ) + 1</f>
        <v>25</v>
      </c>
      <c r="AB933" s="30" cm="1">
        <f t="array" ref="AB933" xml:space="preserve"> INDEX( VfM_Metrics_2023_Consol_Source[], $AK933, AB$832 )</f>
        <v>3.3220947348259242E-2</v>
      </c>
      <c r="AC933" s="35">
        <f xml:space="preserve"> IF( tblFilterAll[[#This Row],[ROCE]] &lt; AB$825, 4, IF( tblFilterAll[[#This Row],[ROCE]] &lt; AB$826, 3, IF( tblFilterAll[[#This Row],[ROCE]] &lt; AB$827, 2, 1 ) ) )</f>
        <v>2</v>
      </c>
      <c r="AD933" s="35">
        <f xml:space="preserve"> COUNTIFS( tblFilterAll[Include in output], 1, tblFilterAll[ROCE], "&gt;" &amp; tblFilterAll[[#This Row],[ROCE]] ) + 1</f>
        <v>65</v>
      </c>
      <c r="AE933" s="33" cm="1" vm="1982">
        <f t="array" ref="AE933" xml:space="preserve"> INDEX( VfM_Metrics_2023_Consol_Source[], $AK933, AE$832 )</f>
        <v>31172</v>
      </c>
      <c r="AF933" s="30" cm="1">
        <f t="array" ref="AF933" xml:space="preserve"> INDEX( VfM_Metrics_2023_Consol_Source[], $AK933, AF$832 )</f>
        <v>3.2362564384981696E-2</v>
      </c>
      <c r="AG933" s="30" cm="1">
        <f t="array" ref="AG933" xml:space="preserve"> INDEX( VfM_Metrics_2023_Consol_Source[], $AK933, AG$832 )</f>
        <v>8.8924163400174935E-2</v>
      </c>
      <c r="AH933" s="30" cm="1">
        <f t="array" ref="AH933" xml:space="preserve"> INDEX( VfM_Metrics_2023_Consol_Source[], $AK933, AH$832 )</f>
        <v>0.12128672778515663</v>
      </c>
      <c r="AI933" s="30" t="str" cm="1">
        <f t="array" ref="AI933" xml:space="preserve"> INDEX( VfM_Metrics_2023_Consol_Source[], $AK933, AI$832 )</f>
        <v>Traditional</v>
      </c>
      <c r="AJ933" s="34" t="str" cm="1">
        <f t="array" ref="AJ933" xml:space="preserve"> INDEX( VfM_Metrics_2023_Consol_Source[], $AK933, AJ$832 )</f>
        <v>West Midlands</v>
      </c>
      <c r="AK933" s="81">
        <f xml:space="preserve"> MATCH( tblFilterAll[[#This Row],[Code]], VfM_Metrics_2023_Consol_Source[RP_Code], 0 )</f>
        <v>100</v>
      </c>
      <c r="AL933" s="24">
        <f xml:space="preserve"> INDEX( tblFilterRegion[Include for region],  MATCH( tblFilterAll[[#This Row],[Code]], tblFilterRegion[RP_Code], 0 ) )</f>
        <v>1</v>
      </c>
      <c r="AM933" s="24">
        <f xml:space="preserve"> INDEX( tblFilterPropType[Incl for prop type],  MATCH( tblFilterAll[[#This Row],[Code]], tblFilterPropType[RP_Code], 0 ) )</f>
        <v>1</v>
      </c>
      <c r="AN933" s="24">
        <f xml:space="preserve"> INDEX( tblFilterSize[Incl for size],  MATCH( tblFilterAll[[#This Row],[Code]], tblFilterSize[RP_Code], 0 ) )</f>
        <v>1</v>
      </c>
      <c r="AO933" s="24">
        <f xml:space="preserve"> INDEX( tblFilterRP_Type[Incl, for RP Type],  MATCH( tblFilterAll[[#This Row],[Code]], tblFilterRP_Type[RP_Code], 0 ) )</f>
        <v>1</v>
      </c>
      <c r="AP933" s="24">
        <f xml:space="preserve">  -- ( SUM( tblFilterAll[[#This Row],[Filter Region]:[Filter RP Type]] ) = 4 )</f>
        <v>1</v>
      </c>
      <c r="AQ933" s="24">
        <f xml:space="preserve"> -- ( tblFilterAll[[#This Row],[Provider name]] = SelectedProvider )</f>
        <v>0</v>
      </c>
      <c r="AR933" s="24">
        <f xml:space="preserve">  -- ( OR( SUM( tblFilterAll[[#This Row],[Filter Region]:[Filter RP Type]] ) = 4, tblFilterAll[[#This Row],[SelectedProvider]] = 1 ) )</f>
        <v>1</v>
      </c>
      <c r="AS933" s="24">
        <f xml:space="preserve"> -- ( INDEX( PeersCritera[Included in final peers], MATCH( tblFilterAll[[#This Row],[Provider name]], PeersCritera[RP_Name], 0 ) ) = 1 )</f>
        <v>1</v>
      </c>
      <c r="AT933" s="30" t="str" cm="1">
        <f t="array" ref="AT933" xml:space="preserve"> SUBSTITUTE( INDEX( VfM_Metrics_2023_Consol_Source[], $AK933, AT$832 ), 0, "" )</f>
        <v/>
      </c>
      <c r="AU933" s="34" cm="1">
        <f t="array" ref="AU933" xml:space="preserve"> INDEX( VfM_Metrics_2023_Consol_Source[], $AK933, AU$832 )</f>
        <v>0</v>
      </c>
      <c r="AV933" s="34" cm="1">
        <f t="array" ref="AV933" xml:space="preserve"> INDEX( VfM_Metrics_2023_Consol_Source[], $AK933, AV$832 )</f>
        <v>3.2345710958726873E-3</v>
      </c>
      <c r="AW933" s="34" cm="1">
        <f t="array" ref="AW933" xml:space="preserve"> INDEX( VfM_Metrics_2023_Consol_Source[], $AK933, AW$832 )</f>
        <v>6.4691421917453741E-4</v>
      </c>
      <c r="AX933" s="34" cm="1">
        <f t="array" ref="AX933" xml:space="preserve"> INDEX( VfM_Metrics_2023_Consol_Source[], $AK933, AX$832 )</f>
        <v>0.10007762970630095</v>
      </c>
      <c r="AY933" s="34" cm="1">
        <f t="array" ref="AY933" xml:space="preserve"> INDEX( VfM_Metrics_2023_Consol_Source[], $AK933, AY$832 )</f>
        <v>0.89604088497865186</v>
      </c>
      <c r="AZ933" s="34" cm="1">
        <f t="array" ref="AZ933" xml:space="preserve"> INDEX( VfM_Metrics_2023_Consol_Source[], $AK933, AZ$832 )</f>
        <v>0</v>
      </c>
      <c r="BA933" s="34" cm="1">
        <f t="array" ref="BA933" xml:space="preserve"> INDEX( VfM_Metrics_2023_Consol_Source[], $AK933, BA$832 )</f>
        <v>0</v>
      </c>
      <c r="BB933" s="34" cm="1">
        <f t="array" ref="BB933" xml:space="preserve"> INDEX( VfM_Metrics_2023_Consol_Source[], $AK933, BB$832 )</f>
        <v>0</v>
      </c>
      <c r="BC933" s="34" cm="1">
        <f t="array" ref="BC933" xml:space="preserve"> INDEX( VfM_Metrics_2023_Consol_Source[], $AK933, BC$832 )</f>
        <v>0</v>
      </c>
    </row>
    <row r="934" spans="2:55" x14ac:dyDescent="0.2">
      <c r="B934" s="122" t="str" vm="101">
        <f t="shared" ref="B934" si="438" xml:space="preserve"> B724</f>
        <v>Moat Homes Limited</v>
      </c>
      <c r="C934" s="122" t="str" vm="300">
        <f t="shared" si="434"/>
        <v>L0386</v>
      </c>
      <c r="D934" s="30" cm="1">
        <f t="array" ref="D934" xml:space="preserve"> INDEX( VfM_Metrics_2023_Consol_Source[], $AK934, D$832 )</f>
        <v>5.4514056998885972E-2</v>
      </c>
      <c r="E934" s="35">
        <f xml:space="preserve"> IF( tblFilterAll[[#This Row],[Reinvestment]] &lt; D$825, 4, IF( tblFilterAll[[#This Row],[Reinvestment]] &lt; D$826, 3, IF( tblFilterAll[[#This Row],[Reinvestment]] &lt; D$827, 2, 1 ) ) )</f>
        <v>3</v>
      </c>
      <c r="F934" s="35">
        <f xml:space="preserve"> COUNTIFS( tblFilterAll[Include in output], 1, tblFilterAll[Reinvestment], "&gt;" &amp; tblFilterAll[[#This Row],[Reinvestment]] ) + 1</f>
        <v>134</v>
      </c>
      <c r="G934" s="30" cm="1">
        <f t="array" ref="G934" xml:space="preserve"> INDEX( VfM_Metrics_2023_Consol_Source[], $AK934, G$832 )</f>
        <v>2.2297749626654307E-2</v>
      </c>
      <c r="H934" s="35">
        <f xml:space="preserve"> IF( tblFilterAll[[#This Row],[New Supply (Social)]] &lt; G$825, 4, IF( tblFilterAll[[#This Row],[New Supply (Social)]] &lt; G$826, 3, IF( tblFilterAll[[#This Row],[New Supply (Social)]] &lt; G$827, 2, 1 ) ) )</f>
        <v>2</v>
      </c>
      <c r="I934" s="35">
        <f xml:space="preserve"> COUNTIFS( tblFilterAll[Include in output], 1, tblFilterAll[New Supply (Social)], "&gt;" &amp; tblFilterAll[[#This Row],[New Supply (Social)]] ) + 1</f>
        <v>51</v>
      </c>
      <c r="J934" s="31" cm="1">
        <f t="array" ref="J934" xml:space="preserve"> INDEX( VfM_Metrics_2023_Consol_Source[], $AK934, J$832 )</f>
        <v>1.3355249640435586E-3</v>
      </c>
      <c r="K934" s="35">
        <f xml:space="preserve"> IF( tblFilterAll[[#This Row],[New Supply (Non-Social)]] &lt; J$825, 4, IF( tblFilterAll[[#This Row],[New Supply (Non-Social)]] &lt; J$826, 3, IF( tblFilterAll[[#This Row],[New Supply (Non-Social)]] &lt; J$827, 2, 1 ) ) )</f>
        <v>1</v>
      </c>
      <c r="L934" s="35">
        <f xml:space="preserve"> COUNTIFS( tblFilterAll[Include in output], 1, tblFilterAll[New Supply (Non-Social)], "&gt;" &amp; tblFilterAll[[#This Row],[New Supply (Non-Social)]] ) + 1</f>
        <v>42</v>
      </c>
      <c r="M934" s="30" cm="1">
        <f t="array" ref="M934" xml:space="preserve"> INDEX( VfM_Metrics_2023_Consol_Source[], $AK934, M$832 )</f>
        <v>0.30766283885099721</v>
      </c>
      <c r="N934" s="35">
        <f xml:space="preserve"> IF( tblFilterAll[[#This Row],[Gearing]] &lt; M$825, 4, IF( tblFilterAll[[#This Row],[Gearing]] &lt; M$826, 3, IF( tblFilterAll[[#This Row],[Gearing]] &lt; M$827, 2, 1 ) ) )</f>
        <v>4</v>
      </c>
      <c r="O934" s="35">
        <f xml:space="preserve"> COUNTIFS( tblFilterAll[Include in output], 1, tblFilterAll[Gearing], "&gt;" &amp; tblFilterAll[[#This Row],[Gearing]] ) + 1</f>
        <v>156</v>
      </c>
      <c r="P934" s="30" cm="1">
        <f t="array" ref="P934" xml:space="preserve"> INDEX( VfM_Metrics_2023_Consol_Source[], $AK934, P$832 )</f>
        <v>2.0294516931895314</v>
      </c>
      <c r="Q934" s="35">
        <f xml:space="preserve"> IF( tblFilterAll[[#This Row],[EBITDA MRI Interest Cover]] &lt; P$825, 4, IF( tblFilterAll[[#This Row],[EBITDA MRI Interest Cover]] &lt; P$826, 3, IF( tblFilterAll[[#This Row],[EBITDA MRI Interest Cover]] &lt; P$827, 2, 1 ) ) )</f>
        <v>1</v>
      </c>
      <c r="R934" s="35">
        <f xml:space="preserve"> COUNTIFS( tblFilterAll[Include in output], 1, tblFilterAll[EBITDA MRI Interest Cover], "&gt;" &amp; tblFilterAll[[#This Row],[EBITDA MRI Interest Cover]] ) + 1</f>
        <v>30</v>
      </c>
      <c r="S934" s="32" cm="1">
        <f t="array" ref="S934" xml:space="preserve"> INDEX( VfM_Metrics_2023_Consol_Source[], $AK934, S$832 )</f>
        <v>3835.0327358591821</v>
      </c>
      <c r="T934" s="35">
        <f xml:space="preserve"> IF( tblFilterAll[[#This Row],[Headline Social Housing Cost per unit]] &lt; S$825, 4, IF( tblFilterAll[[#This Row],[Headline Social Housing Cost per unit]] &lt; S$826, 3, IF( tblFilterAll[[#This Row],[Headline Social Housing Cost per unit]] &lt; S$827, 2, 1 ) ) )</f>
        <v>4</v>
      </c>
      <c r="U934" s="35">
        <f xml:space="preserve"> COUNTIFS( tblFilterAll[Include in output], 1, tblFilterAll[Headline Social Housing Cost per unit], "&gt;" &amp; tblFilterAll[[#This Row],[Headline Social Housing Cost per unit]] ) + 1</f>
        <v>177</v>
      </c>
      <c r="V934" s="30" cm="1">
        <f t="array" ref="V934" xml:space="preserve"> INDEX( VfM_Metrics_2023_Consol_Source[], $AK934, V$832 )</f>
        <v>0.34568782938481996</v>
      </c>
      <c r="W934" s="35">
        <f xml:space="preserve"> IF( tblFilterAll[[#This Row],[Operating Margin (SHL)]] &lt; V$825, 4, IF( tblFilterAll[[#This Row],[Operating Margin (SHL)]] &lt; V$826, 3, IF( tblFilterAll[[#This Row],[Operating Margin (SHL)]] &lt; V$827, 2, 1 ) ) )</f>
        <v>1</v>
      </c>
      <c r="X934" s="35">
        <f xml:space="preserve"> COUNTIFS( tblFilterAll[Include in output], 1, tblFilterAll[Operating Margin (SHL)], "&gt;" &amp; tblFilterAll[[#This Row],[Operating Margin (SHL)]] ) + 1</f>
        <v>13</v>
      </c>
      <c r="Y934" s="30" cm="1">
        <f t="array" ref="Y934" xml:space="preserve"> INDEX( VfM_Metrics_2023_Consol_Source[], $AK934, Y$832 )</f>
        <v>0.28692772818888568</v>
      </c>
      <c r="Z934" s="35">
        <f xml:space="preserve"> IF( tblFilterAll[[#This Row],[Operating Margin (Overall)]] &lt; Y$825, 4, IF( tblFilterAll[[#This Row],[Operating Margin (Overall)]] &lt; Y$826, 3, IF( tblFilterAll[[#This Row],[Operating Margin (Overall)]] &lt; Y$827, 2, 1 ) ) )</f>
        <v>1</v>
      </c>
      <c r="AA934" s="35">
        <f xml:space="preserve"> COUNTIFS( tblFilterAll[Include in output], 1, tblFilterAll[Operating Margin (Overall)], "&gt;" &amp; tblFilterAll[[#This Row],[Operating Margin (Overall)]] ) + 1</f>
        <v>19</v>
      </c>
      <c r="AB934" s="30" cm="1">
        <f t="array" ref="AB934" xml:space="preserve"> INDEX( VfM_Metrics_2023_Consol_Source[], $AK934, AB$832 )</f>
        <v>3.509895508665864E-2</v>
      </c>
      <c r="AC934" s="35">
        <f xml:space="preserve"> IF( tblFilterAll[[#This Row],[ROCE]] &lt; AB$825, 4, IF( tblFilterAll[[#This Row],[ROCE]] &lt; AB$826, 3, IF( tblFilterAll[[#This Row],[ROCE]] &lt; AB$827, 2, 1 ) ) )</f>
        <v>2</v>
      </c>
      <c r="AD934" s="35">
        <f xml:space="preserve"> COUNTIFS( tblFilterAll[Include in output], 1, tblFilterAll[ROCE], "&gt;" &amp; tblFilterAll[[#This Row],[ROCE]] ) + 1</f>
        <v>58</v>
      </c>
      <c r="AE934" s="33" cm="1" vm="3351">
        <f t="array" ref="AE934" xml:space="preserve"> INDEX( VfM_Metrics_2023_Consol_Source[], $AK934, AE$832 )</f>
        <v>18326</v>
      </c>
      <c r="AF934" s="30" cm="1">
        <f t="array" ref="AF934" xml:space="preserve"> INDEX( VfM_Metrics_2023_Consol_Source[], $AK934, AF$832 )</f>
        <v>1.1748633879781421E-2</v>
      </c>
      <c r="AG934" s="30" cm="1">
        <f t="array" ref="AG934" xml:space="preserve"> INDEX( VfM_Metrics_2023_Consol_Source[], $AK934, AG$832 )</f>
        <v>8.0327868852459017E-2</v>
      </c>
      <c r="AH934" s="30" cm="1">
        <f t="array" ref="AH934" xml:space="preserve"> INDEX( VfM_Metrics_2023_Consol_Source[], $AK934, AH$832 )</f>
        <v>9.2076502732240439E-2</v>
      </c>
      <c r="AI934" s="30" t="str" cm="1">
        <f t="array" ref="AI934" xml:space="preserve"> INDEX( VfM_Metrics_2023_Consol_Source[], $AK934, AI$832 )</f>
        <v>Traditional</v>
      </c>
      <c r="AJ934" s="34" t="str" cm="1">
        <f t="array" ref="AJ934" xml:space="preserve"> INDEX( VfM_Metrics_2023_Consol_Source[], $AK934, AJ$832 )</f>
        <v>South East</v>
      </c>
      <c r="AK934" s="81">
        <f xml:space="preserve"> MATCH( tblFilterAll[[#This Row],[Code]], VfM_Metrics_2023_Consol_Source[RP_Code], 0 )</f>
        <v>101</v>
      </c>
      <c r="AL934" s="24">
        <f xml:space="preserve"> INDEX( tblFilterRegion[Include for region],  MATCH( tblFilterAll[[#This Row],[Code]], tblFilterRegion[RP_Code], 0 ) )</f>
        <v>1</v>
      </c>
      <c r="AM934" s="24">
        <f xml:space="preserve"> INDEX( tblFilterPropType[Incl for prop type],  MATCH( tblFilterAll[[#This Row],[Code]], tblFilterPropType[RP_Code], 0 ) )</f>
        <v>1</v>
      </c>
      <c r="AN934" s="24">
        <f xml:space="preserve"> INDEX( tblFilterSize[Incl for size],  MATCH( tblFilterAll[[#This Row],[Code]], tblFilterSize[RP_Code], 0 ) )</f>
        <v>1</v>
      </c>
      <c r="AO934" s="24">
        <f xml:space="preserve"> INDEX( tblFilterRP_Type[Incl, for RP Type],  MATCH( tblFilterAll[[#This Row],[Code]], tblFilterRP_Type[RP_Code], 0 ) )</f>
        <v>1</v>
      </c>
      <c r="AP934" s="24">
        <f xml:space="preserve">  -- ( SUM( tblFilterAll[[#This Row],[Filter Region]:[Filter RP Type]] ) = 4 )</f>
        <v>1</v>
      </c>
      <c r="AQ934" s="24">
        <f xml:space="preserve"> -- ( tblFilterAll[[#This Row],[Provider name]] = SelectedProvider )</f>
        <v>0</v>
      </c>
      <c r="AR934" s="24">
        <f xml:space="preserve">  -- ( OR( SUM( tblFilterAll[[#This Row],[Filter Region]:[Filter RP Type]] ) = 4, tblFilterAll[[#This Row],[SelectedProvider]] = 1 ) )</f>
        <v>1</v>
      </c>
      <c r="AS934" s="24">
        <f xml:space="preserve"> -- ( INDEX( PeersCritera[Included in final peers], MATCH( tblFilterAll[[#This Row],[Provider name]], PeersCritera[RP_Name], 0 ) ) = 1 )</f>
        <v>1</v>
      </c>
      <c r="AT934" s="30" t="str" cm="1">
        <f t="array" ref="AT934" xml:space="preserve"> SUBSTITUTE( INDEX( VfM_Metrics_2023_Consol_Source[], $AK934, AT$832 ), 0, "" )</f>
        <v/>
      </c>
      <c r="AU934" s="34" cm="1">
        <f t="array" ref="AU934" xml:space="preserve"> INDEX( VfM_Metrics_2023_Consol_Source[], $AK934, AU$832 )</f>
        <v>0.20618444055944055</v>
      </c>
      <c r="AV934" s="34" cm="1">
        <f t="array" ref="AV934" xml:space="preserve"> INDEX( VfM_Metrics_2023_Consol_Source[], $AK934, AV$832 )</f>
        <v>0.56293706293706292</v>
      </c>
      <c r="AW934" s="34" cm="1">
        <f t="array" ref="AW934" xml:space="preserve"> INDEX( VfM_Metrics_2023_Consol_Source[], $AK934, AW$832 )</f>
        <v>3.8243006993006995E-3</v>
      </c>
      <c r="AX934" s="34" cm="1">
        <f t="array" ref="AX934" xml:space="preserve"> INDEX( VfM_Metrics_2023_Consol_Source[], $AK934, AX$832 )</f>
        <v>0</v>
      </c>
      <c r="AY934" s="34" cm="1">
        <f t="array" ref="AY934" xml:space="preserve"> INDEX( VfM_Metrics_2023_Consol_Source[], $AK934, AY$832 )</f>
        <v>0</v>
      </c>
      <c r="AZ934" s="34" cm="1">
        <f t="array" ref="AZ934" xml:space="preserve"> INDEX( VfM_Metrics_2023_Consol_Source[], $AK934, AZ$832 )</f>
        <v>0.22705419580419581</v>
      </c>
      <c r="BA934" s="34" cm="1">
        <f t="array" ref="BA934" xml:space="preserve"> INDEX( VfM_Metrics_2023_Consol_Source[], $AK934, BA$832 )</f>
        <v>0</v>
      </c>
      <c r="BB934" s="34" cm="1">
        <f t="array" ref="BB934" xml:space="preserve"> INDEX( VfM_Metrics_2023_Consol_Source[], $AK934, BB$832 )</f>
        <v>0</v>
      </c>
      <c r="BC934" s="34" cm="1">
        <f t="array" ref="BC934" xml:space="preserve"> INDEX( VfM_Metrics_2023_Consol_Source[], $AK934, BC$832 )</f>
        <v>0</v>
      </c>
    </row>
    <row r="935" spans="2:55" x14ac:dyDescent="0.2">
      <c r="B935" s="122" t="str" vm="102">
        <f t="shared" ref="B935" si="439" xml:space="preserve"> B725</f>
        <v>Mosscare St. Vincent's Housing Group Limited</v>
      </c>
      <c r="C935" s="122" t="str" vm="369">
        <f t="shared" si="434"/>
        <v>4857</v>
      </c>
      <c r="D935" s="30" cm="1">
        <f t="array" ref="D935" xml:space="preserve"> INDEX( VfM_Metrics_2023_Consol_Source[], $AK935, D$832 )</f>
        <v>5.2812356428712071E-2</v>
      </c>
      <c r="E935" s="35">
        <f xml:space="preserve"> IF( tblFilterAll[[#This Row],[Reinvestment]] &lt; D$825, 4, IF( tblFilterAll[[#This Row],[Reinvestment]] &lt; D$826, 3, IF( tblFilterAll[[#This Row],[Reinvestment]] &lt; D$827, 2, 1 ) ) )</f>
        <v>3</v>
      </c>
      <c r="F935" s="35">
        <f xml:space="preserve"> COUNTIFS( tblFilterAll[Include in output], 1, tblFilterAll[Reinvestment], "&gt;" &amp; tblFilterAll[[#This Row],[Reinvestment]] ) + 1</f>
        <v>142</v>
      </c>
      <c r="G935" s="30" cm="1">
        <f t="array" ref="G935" xml:space="preserve"> INDEX( VfM_Metrics_2023_Consol_Source[], $AK935, G$832 )</f>
        <v>2.000919963201472E-2</v>
      </c>
      <c r="H935" s="35">
        <f xml:space="preserve"> IF( tblFilterAll[[#This Row],[New Supply (Social)]] &lt; G$825, 4, IF( tblFilterAll[[#This Row],[New Supply (Social)]] &lt; G$826, 3, IF( tblFilterAll[[#This Row],[New Supply (Social)]] &lt; G$827, 2, 1 ) ) )</f>
        <v>2</v>
      </c>
      <c r="I935" s="35">
        <f xml:space="preserve"> COUNTIFS( tblFilterAll[Include in output], 1, tblFilterAll[New Supply (Social)], "&gt;" &amp; tblFilterAll[[#This Row],[New Supply (Social)]] ) + 1</f>
        <v>59</v>
      </c>
      <c r="J935" s="31" cm="1">
        <f t="array" ref="J935" xml:space="preserve"> INDEX( VfM_Metrics_2023_Consol_Source[], $AK935, J$832 )</f>
        <v>7.9051383399209485E-4</v>
      </c>
      <c r="K935" s="35">
        <f xml:space="preserve"> IF( tblFilterAll[[#This Row],[New Supply (Non-Social)]] &lt; J$825, 4, IF( tblFilterAll[[#This Row],[New Supply (Non-Social)]] &lt; J$826, 3, IF( tblFilterAll[[#This Row],[New Supply (Non-Social)]] &lt; J$827, 2, 1 ) ) )</f>
        <v>1</v>
      </c>
      <c r="L935" s="35">
        <f xml:space="preserve"> COUNTIFS( tblFilterAll[Include in output], 1, tblFilterAll[New Supply (Non-Social)], "&gt;" &amp; tblFilterAll[[#This Row],[New Supply (Non-Social)]] ) + 1</f>
        <v>49</v>
      </c>
      <c r="M935" s="30" cm="1">
        <f t="array" ref="M935" xml:space="preserve"> INDEX( VfM_Metrics_2023_Consol_Source[], $AK935, M$832 )</f>
        <v>0.44179240169088996</v>
      </c>
      <c r="N935" s="35">
        <f xml:space="preserve"> IF( tblFilterAll[[#This Row],[Gearing]] &lt; M$825, 4, IF( tblFilterAll[[#This Row],[Gearing]] &lt; M$826, 3, IF( tblFilterAll[[#This Row],[Gearing]] &lt; M$827, 2, 1 ) ) )</f>
        <v>3</v>
      </c>
      <c r="O935" s="35">
        <f xml:space="preserve"> COUNTIFS( tblFilterAll[Include in output], 1, tblFilterAll[Gearing], "&gt;" &amp; tblFilterAll[[#This Row],[Gearing]] ) + 1</f>
        <v>107</v>
      </c>
      <c r="P935" s="30" cm="1">
        <f t="array" ref="P935" xml:space="preserve"> INDEX( VfM_Metrics_2023_Consol_Source[], $AK935, P$832 )</f>
        <v>1.1724803707040803</v>
      </c>
      <c r="Q935" s="35">
        <f xml:space="preserve"> IF( tblFilterAll[[#This Row],[EBITDA MRI Interest Cover]] &lt; P$825, 4, IF( tblFilterAll[[#This Row],[EBITDA MRI Interest Cover]] &lt; P$826, 3, IF( tblFilterAll[[#This Row],[EBITDA MRI Interest Cover]] &lt; P$827, 2, 1 ) ) )</f>
        <v>3</v>
      </c>
      <c r="R935" s="35">
        <f xml:space="preserve"> COUNTIFS( tblFilterAll[Include in output], 1, tblFilterAll[EBITDA MRI Interest Cover], "&gt;" &amp; tblFilterAll[[#This Row],[EBITDA MRI Interest Cover]] ) + 1</f>
        <v>113</v>
      </c>
      <c r="S935" s="32" cm="1">
        <f t="array" ref="S935" xml:space="preserve"> INDEX( VfM_Metrics_2023_Consol_Source[], $AK935, S$832 )</f>
        <v>4570.7117852975498</v>
      </c>
      <c r="T935" s="35">
        <f xml:space="preserve"> IF( tblFilterAll[[#This Row],[Headline Social Housing Cost per unit]] &lt; S$825, 4, IF( tblFilterAll[[#This Row],[Headline Social Housing Cost per unit]] &lt; S$826, 3, IF( tblFilterAll[[#This Row],[Headline Social Housing Cost per unit]] &lt; S$827, 2, 1 ) ) )</f>
        <v>3</v>
      </c>
      <c r="U935" s="35">
        <f xml:space="preserve"> COUNTIFS( tblFilterAll[Include in output], 1, tblFilterAll[Headline Social Housing Cost per unit], "&gt;" &amp; tblFilterAll[[#This Row],[Headline Social Housing Cost per unit]] ) + 1</f>
        <v>102</v>
      </c>
      <c r="V935" s="30" cm="1">
        <f t="array" ref="V935" xml:space="preserve"> INDEX( VfM_Metrics_2023_Consol_Source[], $AK935, V$832 )</f>
        <v>0.1338320153879034</v>
      </c>
      <c r="W935" s="35">
        <f xml:space="preserve"> IF( tblFilterAll[[#This Row],[Operating Margin (SHL)]] &lt; V$825, 4, IF( tblFilterAll[[#This Row],[Operating Margin (SHL)]] &lt; V$826, 3, IF( tblFilterAll[[#This Row],[Operating Margin (SHL)]] &lt; V$827, 2, 1 ) ) )</f>
        <v>4</v>
      </c>
      <c r="X935" s="35">
        <f xml:space="preserve"> COUNTIFS( tblFilterAll[Include in output], 1, tblFilterAll[Operating Margin (SHL)], "&gt;" &amp; tblFilterAll[[#This Row],[Operating Margin (SHL)]] ) + 1</f>
        <v>157</v>
      </c>
      <c r="Y935" s="30" cm="1">
        <f t="array" ref="Y935" xml:space="preserve"> INDEX( VfM_Metrics_2023_Consol_Source[], $AK935, Y$832 )</f>
        <v>0.15377423757970121</v>
      </c>
      <c r="Z935" s="35">
        <f xml:space="preserve"> IF( tblFilterAll[[#This Row],[Operating Margin (Overall)]] &lt; Y$825, 4, IF( tblFilterAll[[#This Row],[Operating Margin (Overall)]] &lt; Y$826, 3, IF( tblFilterAll[[#This Row],[Operating Margin (Overall)]] &lt; Y$827, 2, 1 ) ) )</f>
        <v>3</v>
      </c>
      <c r="AA935" s="35">
        <f xml:space="preserve"> COUNTIFS( tblFilterAll[Include in output], 1, tblFilterAll[Operating Margin (Overall)], "&gt;" &amp; tblFilterAll[[#This Row],[Operating Margin (Overall)]] ) + 1</f>
        <v>129</v>
      </c>
      <c r="AB935" s="30" cm="1">
        <f t="array" ref="AB935" xml:space="preserve"> INDEX( VfM_Metrics_2023_Consol_Source[], $AK935, AB$832 )</f>
        <v>2.2357307158622101E-2</v>
      </c>
      <c r="AC935" s="35">
        <f xml:space="preserve"> IF( tblFilterAll[[#This Row],[ROCE]] &lt; AB$825, 4, IF( tblFilterAll[[#This Row],[ROCE]] &lt; AB$826, 3, IF( tblFilterAll[[#This Row],[ROCE]] &lt; AB$827, 2, 1 ) ) )</f>
        <v>3</v>
      </c>
      <c r="AD935" s="35">
        <f xml:space="preserve"> COUNTIFS( tblFilterAll[Include in output], 1, tblFilterAll[ROCE], "&gt;" &amp; tblFilterAll[[#This Row],[ROCE]] ) + 1</f>
        <v>143</v>
      </c>
      <c r="AE935" s="33" cm="1" vm="5761">
        <f t="array" ref="AE935" xml:space="preserve"> INDEX( VfM_Metrics_2023_Consol_Source[], $AK935, AE$832 )</f>
        <v>8558</v>
      </c>
      <c r="AF935" s="30" cm="1">
        <f t="array" ref="AF935" xml:space="preserve"> INDEX( VfM_Metrics_2023_Consol_Source[], $AK935, AF$832 )</f>
        <v>7.6070291307937257E-2</v>
      </c>
      <c r="AG935" s="30" cm="1">
        <f t="array" ref="AG935" xml:space="preserve"> INDEX( VfM_Metrics_2023_Consol_Source[], $AK935, AG$832 )</f>
        <v>7.2060384479301798E-2</v>
      </c>
      <c r="AH935" s="30" cm="1">
        <f t="array" ref="AH935" xml:space="preserve"> INDEX( VfM_Metrics_2023_Consol_Source[], $AK935, AH$832 )</f>
        <v>0.14813067578723904</v>
      </c>
      <c r="AI935" s="30" t="str" cm="1">
        <f t="array" ref="AI935" xml:space="preserve"> INDEX( VfM_Metrics_2023_Consol_Source[], $AK935, AI$832 )</f>
        <v>Traditional</v>
      </c>
      <c r="AJ935" s="34" t="str" cm="1">
        <f t="array" ref="AJ935" xml:space="preserve"> INDEX( VfM_Metrics_2023_Consol_Source[], $AK935, AJ$832 )</f>
        <v>North West</v>
      </c>
      <c r="AK935" s="81">
        <f xml:space="preserve"> MATCH( tblFilterAll[[#This Row],[Code]], VfM_Metrics_2023_Consol_Source[RP_Code], 0 )</f>
        <v>102</v>
      </c>
      <c r="AL935" s="24">
        <f xml:space="preserve"> INDEX( tblFilterRegion[Include for region],  MATCH( tblFilterAll[[#This Row],[Code]], tblFilterRegion[RP_Code], 0 ) )</f>
        <v>1</v>
      </c>
      <c r="AM935" s="24">
        <f xml:space="preserve"> INDEX( tblFilterPropType[Incl for prop type],  MATCH( tblFilterAll[[#This Row],[Code]], tblFilterPropType[RP_Code], 0 ) )</f>
        <v>1</v>
      </c>
      <c r="AN935" s="24">
        <f xml:space="preserve"> INDEX( tblFilterSize[Incl for size],  MATCH( tblFilterAll[[#This Row],[Code]], tblFilterSize[RP_Code], 0 ) )</f>
        <v>1</v>
      </c>
      <c r="AO935" s="24">
        <f xml:space="preserve"> INDEX( tblFilterRP_Type[Incl, for RP Type],  MATCH( tblFilterAll[[#This Row],[Code]], tblFilterRP_Type[RP_Code], 0 ) )</f>
        <v>1</v>
      </c>
      <c r="AP935" s="24">
        <f xml:space="preserve">  -- ( SUM( tblFilterAll[[#This Row],[Filter Region]:[Filter RP Type]] ) = 4 )</f>
        <v>1</v>
      </c>
      <c r="AQ935" s="24">
        <f xml:space="preserve"> -- ( tblFilterAll[[#This Row],[Provider name]] = SelectedProvider )</f>
        <v>0</v>
      </c>
      <c r="AR935" s="24">
        <f xml:space="preserve">  -- ( OR( SUM( tblFilterAll[[#This Row],[Filter Region]:[Filter RP Type]] ) = 4, tblFilterAll[[#This Row],[SelectedProvider]] = 1 ) )</f>
        <v>1</v>
      </c>
      <c r="AS935" s="24">
        <f xml:space="preserve"> -- ( INDEX( PeersCritera[Included in final peers], MATCH( tblFilterAll[[#This Row],[Provider name]], PeersCritera[RP_Name], 0 ) ) = 1 )</f>
        <v>1</v>
      </c>
      <c r="AT935" s="30" t="str" cm="1">
        <f t="array" ref="AT935" xml:space="preserve"> SUBSTITUTE( INDEX( VfM_Metrics_2023_Consol_Source[], $AK935, AT$832 ), 0, "" )</f>
        <v/>
      </c>
      <c r="AU935" s="34" cm="1">
        <f t="array" ref="AU935" xml:space="preserve"> INDEX( VfM_Metrics_2023_Consol_Source[], $AK935, AU$832 )</f>
        <v>0</v>
      </c>
      <c r="AV935" s="34" cm="1">
        <f t="array" ref="AV935" xml:space="preserve"> INDEX( VfM_Metrics_2023_Consol_Source[], $AK935, AV$832 )</f>
        <v>0</v>
      </c>
      <c r="AW935" s="34" cm="1">
        <f t="array" ref="AW935" xml:space="preserve"> INDEX( VfM_Metrics_2023_Consol_Source[], $AK935, AW$832 )</f>
        <v>0</v>
      </c>
      <c r="AX935" s="34" cm="1">
        <f t="array" ref="AX935" xml:space="preserve"> INDEX( VfM_Metrics_2023_Consol_Source[], $AK935, AX$832 )</f>
        <v>0</v>
      </c>
      <c r="AY935" s="34" cm="1">
        <f t="array" ref="AY935" xml:space="preserve"> INDEX( VfM_Metrics_2023_Consol_Source[], $AK935, AY$832 )</f>
        <v>2.3369946249123628E-4</v>
      </c>
      <c r="AZ935" s="34" cm="1">
        <f t="array" ref="AZ935" xml:space="preserve"> INDEX( VfM_Metrics_2023_Consol_Source[], $AK935, AZ$832 )</f>
        <v>0</v>
      </c>
      <c r="BA935" s="34" cm="1">
        <f t="array" ref="BA935" xml:space="preserve"> INDEX( VfM_Metrics_2023_Consol_Source[], $AK935, BA$832 )</f>
        <v>0</v>
      </c>
      <c r="BB935" s="34" cm="1">
        <f t="array" ref="BB935" xml:space="preserve"> INDEX( VfM_Metrics_2023_Consol_Source[], $AK935, BB$832 )</f>
        <v>0.98130404300070107</v>
      </c>
      <c r="BC935" s="34" cm="1">
        <f t="array" ref="BC935" xml:space="preserve"> INDEX( VfM_Metrics_2023_Consol_Source[], $AK935, BC$832 )</f>
        <v>1.8462257536807667E-2</v>
      </c>
    </row>
    <row r="936" spans="2:55" x14ac:dyDescent="0.2">
      <c r="B936" s="122" t="str" vm="103">
        <f t="shared" ref="B936" si="440" xml:space="preserve"> B726</f>
        <v>Mount Green Housing Association Limited</v>
      </c>
      <c r="C936" s="122" t="str" vm="218">
        <f t="shared" si="434"/>
        <v>L0042</v>
      </c>
      <c r="D936" s="30" cm="1">
        <f t="array" ref="D936" xml:space="preserve"> INDEX( VfM_Metrics_2023_Consol_Source[], $AK936, D$832 )</f>
        <v>6.7473304902641404E-2</v>
      </c>
      <c r="E936" s="35">
        <f xml:space="preserve"> IF( tblFilterAll[[#This Row],[Reinvestment]] &lt; D$825, 4, IF( tblFilterAll[[#This Row],[Reinvestment]] &lt; D$826, 3, IF( tblFilterAll[[#This Row],[Reinvestment]] &lt; D$827, 2, 1 ) ) )</f>
        <v>2</v>
      </c>
      <c r="F936" s="35">
        <f xml:space="preserve"> COUNTIFS( tblFilterAll[Include in output], 1, tblFilterAll[Reinvestment], "&gt;" &amp; tblFilterAll[[#This Row],[Reinvestment]] ) + 1</f>
        <v>98</v>
      </c>
      <c r="G936" s="30" cm="1">
        <f t="array" ref="G936" xml:space="preserve"> INDEX( VfM_Metrics_2023_Consol_Source[], $AK936, G$832 )</f>
        <v>2.6378896882494004E-2</v>
      </c>
      <c r="H936" s="35">
        <f xml:space="preserve"> IF( tblFilterAll[[#This Row],[New Supply (Social)]] &lt; G$825, 4, IF( tblFilterAll[[#This Row],[New Supply (Social)]] &lt; G$826, 3, IF( tblFilterAll[[#This Row],[New Supply (Social)]] &lt; G$827, 2, 1 ) ) )</f>
        <v>1</v>
      </c>
      <c r="I936" s="35">
        <f xml:space="preserve"> COUNTIFS( tblFilterAll[Include in output], 1, tblFilterAll[New Supply (Social)], "&gt;" &amp; tblFilterAll[[#This Row],[New Supply (Social)]] ) + 1</f>
        <v>27</v>
      </c>
      <c r="J936" s="31" cm="1">
        <f t="array" ref="J936" xml:space="preserve"> INDEX( VfM_Metrics_2023_Consol_Source[], $AK936, J$832 )</f>
        <v>0</v>
      </c>
      <c r="K936" s="35">
        <f xml:space="preserve"> IF( tblFilterAll[[#This Row],[New Supply (Non-Social)]] &lt; J$825, 4, IF( tblFilterAll[[#This Row],[New Supply (Non-Social)]] &lt; J$826, 3, IF( tblFilterAll[[#This Row],[New Supply (Non-Social)]] &lt; J$827, 2, 1 ) ) )</f>
        <v>2</v>
      </c>
      <c r="L936" s="35">
        <f xml:space="preserve"> COUNTIFS( tblFilterAll[Include in output], 1, tblFilterAll[New Supply (Non-Social)], "&gt;" &amp; tblFilterAll[[#This Row],[New Supply (Non-Social)]] ) + 1</f>
        <v>72</v>
      </c>
      <c r="M936" s="30" cm="1">
        <f t="array" ref="M936" xml:space="preserve"> INDEX( VfM_Metrics_2023_Consol_Source[], $AK936, M$832 )</f>
        <v>0.61582201064497999</v>
      </c>
      <c r="N936" s="35">
        <f xml:space="preserve"> IF( tblFilterAll[[#This Row],[Gearing]] &lt; M$825, 4, IF( tblFilterAll[[#This Row],[Gearing]] &lt; M$826, 3, IF( tblFilterAll[[#This Row],[Gearing]] &lt; M$827, 2, 1 ) ) )</f>
        <v>1</v>
      </c>
      <c r="O936" s="35">
        <f xml:space="preserve"> COUNTIFS( tblFilterAll[Include in output], 1, tblFilterAll[Gearing], "&gt;" &amp; tblFilterAll[[#This Row],[Gearing]] ) + 1</f>
        <v>21</v>
      </c>
      <c r="P936" s="30" cm="1">
        <f t="array" ref="P936" xml:space="preserve"> INDEX( VfM_Metrics_2023_Consol_Source[], $AK936, P$832 )</f>
        <v>0.89723926380368102</v>
      </c>
      <c r="Q936" s="35">
        <f xml:space="preserve"> IF( tblFilterAll[[#This Row],[EBITDA MRI Interest Cover]] &lt; P$825, 4, IF( tblFilterAll[[#This Row],[EBITDA MRI Interest Cover]] &lt; P$826, 3, IF( tblFilterAll[[#This Row],[EBITDA MRI Interest Cover]] &lt; P$827, 2, 1 ) ) )</f>
        <v>3</v>
      </c>
      <c r="R936" s="35">
        <f xml:space="preserve"> COUNTIFS( tblFilterAll[Include in output], 1, tblFilterAll[EBITDA MRI Interest Cover], "&gt;" &amp; tblFilterAll[[#This Row],[EBITDA MRI Interest Cover]] ) + 1</f>
        <v>146</v>
      </c>
      <c r="S936" s="32" cm="1">
        <f t="array" ref="S936" xml:space="preserve"> INDEX( VfM_Metrics_2023_Consol_Source[], $AK936, S$832 )</f>
        <v>5720.709309689677</v>
      </c>
      <c r="T936" s="35">
        <f xml:space="preserve"> IF( tblFilterAll[[#This Row],[Headline Social Housing Cost per unit]] &lt; S$825, 4, IF( tblFilterAll[[#This Row],[Headline Social Housing Cost per unit]] &lt; S$826, 3, IF( tblFilterAll[[#This Row],[Headline Social Housing Cost per unit]] &lt; S$827, 2, 1 ) ) )</f>
        <v>2</v>
      </c>
      <c r="U936" s="35">
        <f xml:space="preserve"> COUNTIFS( tblFilterAll[Include in output], 1, tblFilterAll[Headline Social Housing Cost per unit], "&gt;" &amp; tblFilterAll[[#This Row],[Headline Social Housing Cost per unit]] ) + 1</f>
        <v>53</v>
      </c>
      <c r="V936" s="30" cm="1">
        <f t="array" ref="V936" xml:space="preserve"> INDEX( VfM_Metrics_2023_Consol_Source[], $AK936, V$832 )</f>
        <v>0.30221959659042957</v>
      </c>
      <c r="W936" s="35">
        <f xml:space="preserve"> IF( tblFilterAll[[#This Row],[Operating Margin (SHL)]] &lt; V$825, 4, IF( tblFilterAll[[#This Row],[Operating Margin (SHL)]] &lt; V$826, 3, IF( tblFilterAll[[#This Row],[Operating Margin (SHL)]] &lt; V$827, 2, 1 ) ) )</f>
        <v>1</v>
      </c>
      <c r="X936" s="35">
        <f xml:space="preserve"> COUNTIFS( tblFilterAll[Include in output], 1, tblFilterAll[Operating Margin (SHL)], "&gt;" &amp; tblFilterAll[[#This Row],[Operating Margin (SHL)]] ) + 1</f>
        <v>27</v>
      </c>
      <c r="Y936" s="30" cm="1">
        <f t="array" ref="Y936" xml:space="preserve"> INDEX( VfM_Metrics_2023_Consol_Source[], $AK936, Y$832 )</f>
        <v>0.29601628380343126</v>
      </c>
      <c r="Z936" s="35">
        <f xml:space="preserve"> IF( tblFilterAll[[#This Row],[Operating Margin (Overall)]] &lt; Y$825, 4, IF( tblFilterAll[[#This Row],[Operating Margin (Overall)]] &lt; Y$826, 3, IF( tblFilterAll[[#This Row],[Operating Margin (Overall)]] &lt; Y$827, 2, 1 ) ) )</f>
        <v>1</v>
      </c>
      <c r="AA936" s="35">
        <f xml:space="preserve"> COUNTIFS( tblFilterAll[Include in output], 1, tblFilterAll[Operating Margin (Overall)], "&gt;" &amp; tblFilterAll[[#This Row],[Operating Margin (Overall)]] ) + 1</f>
        <v>17</v>
      </c>
      <c r="AB936" s="30" cm="1">
        <f t="array" ref="AB936" xml:space="preserve"> INDEX( VfM_Metrics_2023_Consol_Source[], $AK936, AB$832 )</f>
        <v>3.7905047112449436E-2</v>
      </c>
      <c r="AC936" s="35">
        <f xml:space="preserve"> IF( tblFilterAll[[#This Row],[ROCE]] &lt; AB$825, 4, IF( tblFilterAll[[#This Row],[ROCE]] &lt; AB$826, 3, IF( tblFilterAll[[#This Row],[ROCE]] &lt; AB$827, 2, 1 ) ) )</f>
        <v>1</v>
      </c>
      <c r="AD936" s="35">
        <f xml:space="preserve"> COUNTIFS( tblFilterAll[Include in output], 1, tblFilterAll[ROCE], "&gt;" &amp; tblFilterAll[[#This Row],[ROCE]] ) + 1</f>
        <v>40</v>
      </c>
      <c r="AE936" s="33" cm="1" vm="1035">
        <f t="array" ref="AE936" xml:space="preserve"> INDEX( VfM_Metrics_2023_Consol_Source[], $AK936, AE$832 )</f>
        <v>1579</v>
      </c>
      <c r="AF936" s="30" cm="1">
        <f t="array" ref="AF936" xml:space="preserve"> INDEX( VfM_Metrics_2023_Consol_Source[], $AK936, AF$832 )</f>
        <v>3.2092426187419767E-2</v>
      </c>
      <c r="AG936" s="30" cm="1">
        <f t="array" ref="AG936" xml:space="preserve"> INDEX( VfM_Metrics_2023_Consol_Source[], $AK936, AG$832 )</f>
        <v>0.18421052631578946</v>
      </c>
      <c r="AH936" s="30" cm="1">
        <f t="array" ref="AH936" xml:space="preserve"> INDEX( VfM_Metrics_2023_Consol_Source[], $AK936, AH$832 )</f>
        <v>0.21630295250320924</v>
      </c>
      <c r="AI936" s="30" t="str" cm="1">
        <f t="array" ref="AI936" xml:space="preserve"> INDEX( VfM_Metrics_2023_Consol_Source[], $AK936, AI$832 )</f>
        <v>Traditional</v>
      </c>
      <c r="AJ936" s="34" t="str" cm="1">
        <f t="array" ref="AJ936" xml:space="preserve"> INDEX( VfM_Metrics_2023_Consol_Source[], $AK936, AJ$832 )</f>
        <v>South East</v>
      </c>
      <c r="AK936" s="81">
        <f xml:space="preserve"> MATCH( tblFilterAll[[#This Row],[Code]], VfM_Metrics_2023_Consol_Source[RP_Code], 0 )</f>
        <v>103</v>
      </c>
      <c r="AL936" s="24">
        <f xml:space="preserve"> INDEX( tblFilterRegion[Include for region],  MATCH( tblFilterAll[[#This Row],[Code]], tblFilterRegion[RP_Code], 0 ) )</f>
        <v>1</v>
      </c>
      <c r="AM936" s="24">
        <f xml:space="preserve"> INDEX( tblFilterPropType[Incl for prop type],  MATCH( tblFilterAll[[#This Row],[Code]], tblFilterPropType[RP_Code], 0 ) )</f>
        <v>1</v>
      </c>
      <c r="AN936" s="24">
        <f xml:space="preserve"> INDEX( tblFilterSize[Incl for size],  MATCH( tblFilterAll[[#This Row],[Code]], tblFilterSize[RP_Code], 0 ) )</f>
        <v>1</v>
      </c>
      <c r="AO936" s="24">
        <f xml:space="preserve"> INDEX( tblFilterRP_Type[Incl, for RP Type],  MATCH( tblFilterAll[[#This Row],[Code]], tblFilterRP_Type[RP_Code], 0 ) )</f>
        <v>1</v>
      </c>
      <c r="AP936" s="24">
        <f xml:space="preserve">  -- ( SUM( tblFilterAll[[#This Row],[Filter Region]:[Filter RP Type]] ) = 4 )</f>
        <v>1</v>
      </c>
      <c r="AQ936" s="24">
        <f xml:space="preserve"> -- ( tblFilterAll[[#This Row],[Provider name]] = SelectedProvider )</f>
        <v>0</v>
      </c>
      <c r="AR936" s="24">
        <f xml:space="preserve">  -- ( OR( SUM( tblFilterAll[[#This Row],[Filter Region]:[Filter RP Type]] ) = 4, tblFilterAll[[#This Row],[SelectedProvider]] = 1 ) )</f>
        <v>1</v>
      </c>
      <c r="AS936" s="24">
        <f xml:space="preserve"> -- ( INDEX( PeersCritera[Included in final peers], MATCH( tblFilterAll[[#This Row],[Provider name]], PeersCritera[RP_Name], 0 ) ) = 1 )</f>
        <v>1</v>
      </c>
      <c r="AT936" s="30" t="str" cm="1">
        <f t="array" ref="AT936" xml:space="preserve"> SUBSTITUTE( INDEX( VfM_Metrics_2023_Consol_Source[], $AK936, AT$832 ), 0, "" )</f>
        <v/>
      </c>
      <c r="AU936" s="34" cm="1">
        <f t="array" ref="AU936" xml:space="preserve"> INDEX( VfM_Metrics_2023_Consol_Source[], $AK936, AU$832 )</f>
        <v>1.8577834721332478E-2</v>
      </c>
      <c r="AV936" s="34" cm="1">
        <f t="array" ref="AV936" xml:space="preserve"> INDEX( VfM_Metrics_2023_Consol_Source[], $AK936, AV$832 )</f>
        <v>0.98142216527866755</v>
      </c>
      <c r="AW936" s="34" cm="1">
        <f t="array" ref="AW936" xml:space="preserve"> INDEX( VfM_Metrics_2023_Consol_Source[], $AK936, AW$832 )</f>
        <v>0</v>
      </c>
      <c r="AX936" s="34" cm="1">
        <f t="array" ref="AX936" xml:space="preserve"> INDEX( VfM_Metrics_2023_Consol_Source[], $AK936, AX$832 )</f>
        <v>0</v>
      </c>
      <c r="AY936" s="34" cm="1">
        <f t="array" ref="AY936" xml:space="preserve"> INDEX( VfM_Metrics_2023_Consol_Source[], $AK936, AY$832 )</f>
        <v>0</v>
      </c>
      <c r="AZ936" s="34" cm="1">
        <f t="array" ref="AZ936" xml:space="preserve"> INDEX( VfM_Metrics_2023_Consol_Source[], $AK936, AZ$832 )</f>
        <v>0</v>
      </c>
      <c r="BA936" s="34" cm="1">
        <f t="array" ref="BA936" xml:space="preserve"> INDEX( VfM_Metrics_2023_Consol_Source[], $AK936, BA$832 )</f>
        <v>0</v>
      </c>
      <c r="BB936" s="34" cm="1">
        <f t="array" ref="BB936" xml:space="preserve"> INDEX( VfM_Metrics_2023_Consol_Source[], $AK936, BB$832 )</f>
        <v>0</v>
      </c>
      <c r="BC936" s="34" cm="1">
        <f t="array" ref="BC936" xml:space="preserve"> INDEX( VfM_Metrics_2023_Consol_Source[], $AK936, BC$832 )</f>
        <v>0</v>
      </c>
    </row>
    <row r="937" spans="2:55" x14ac:dyDescent="0.2">
      <c r="B937" s="122" t="str" vm="104">
        <f t="shared" ref="B937" si="441" xml:space="preserve"> B727</f>
        <v>Muir Group Housing Association Limited</v>
      </c>
      <c r="C937" s="122" t="str" vm="367">
        <f t="shared" si="434"/>
        <v>L2194</v>
      </c>
      <c r="D937" s="30" cm="1">
        <f t="array" ref="D937" xml:space="preserve"> INDEX( VfM_Metrics_2023_Consol_Source[], $AK937, D$832 )</f>
        <v>4.9794520249451982E-2</v>
      </c>
      <c r="E937" s="35">
        <f xml:space="preserve"> IF( tblFilterAll[[#This Row],[Reinvestment]] &lt; D$825, 4, IF( tblFilterAll[[#This Row],[Reinvestment]] &lt; D$826, 3, IF( tblFilterAll[[#This Row],[Reinvestment]] &lt; D$827, 2, 1 ) ) )</f>
        <v>3</v>
      </c>
      <c r="F937" s="35">
        <f xml:space="preserve"> COUNTIFS( tblFilterAll[Include in output], 1, tblFilterAll[Reinvestment], "&gt;" &amp; tblFilterAll[[#This Row],[Reinvestment]] ) + 1</f>
        <v>145</v>
      </c>
      <c r="G937" s="30" cm="1">
        <f t="array" ref="G937" xml:space="preserve"> INDEX( VfM_Metrics_2023_Consol_Source[], $AK937, G$832 )</f>
        <v>6.7579583852036282E-3</v>
      </c>
      <c r="H937" s="35">
        <f xml:space="preserve"> IF( tblFilterAll[[#This Row],[New Supply (Social)]] &lt; G$825, 4, IF( tblFilterAll[[#This Row],[New Supply (Social)]] &lt; G$826, 3, IF( tblFilterAll[[#This Row],[New Supply (Social)]] &lt; G$827, 2, 1 ) ) )</f>
        <v>3</v>
      </c>
      <c r="I937" s="35">
        <f xml:space="preserve"> COUNTIFS( tblFilterAll[Include in output], 1, tblFilterAll[New Supply (Social)], "&gt;" &amp; tblFilterAll[[#This Row],[New Supply (Social)]] ) + 1</f>
        <v>146</v>
      </c>
      <c r="J937" s="31" cm="1">
        <f t="array" ref="J937" xml:space="preserve"> INDEX( VfM_Metrics_2023_Consol_Source[], $AK937, J$832 )</f>
        <v>0</v>
      </c>
      <c r="K937" s="35">
        <f xml:space="preserve"> IF( tblFilterAll[[#This Row],[New Supply (Non-Social)]] &lt; J$825, 4, IF( tblFilterAll[[#This Row],[New Supply (Non-Social)]] &lt; J$826, 3, IF( tblFilterAll[[#This Row],[New Supply (Non-Social)]] &lt; J$827, 2, 1 ) ) )</f>
        <v>2</v>
      </c>
      <c r="L937" s="35">
        <f xml:space="preserve"> COUNTIFS( tblFilterAll[Include in output], 1, tblFilterAll[New Supply (Non-Social)], "&gt;" &amp; tblFilterAll[[#This Row],[New Supply (Non-Social)]] ) + 1</f>
        <v>72</v>
      </c>
      <c r="M937" s="30" cm="1">
        <f t="array" ref="M937" xml:space="preserve"> INDEX( VfM_Metrics_2023_Consol_Source[], $AK937, M$832 )</f>
        <v>0.2507724556900241</v>
      </c>
      <c r="N937" s="35">
        <f xml:space="preserve"> IF( tblFilterAll[[#This Row],[Gearing]] &lt; M$825, 4, IF( tblFilterAll[[#This Row],[Gearing]] &lt; M$826, 3, IF( tblFilterAll[[#This Row],[Gearing]] &lt; M$827, 2, 1 ) ) )</f>
        <v>4</v>
      </c>
      <c r="O937" s="35">
        <f xml:space="preserve"> COUNTIFS( tblFilterAll[Include in output], 1, tblFilterAll[Gearing], "&gt;" &amp; tblFilterAll[[#This Row],[Gearing]] ) + 1</f>
        <v>169</v>
      </c>
      <c r="P937" s="30" cm="1">
        <f t="array" ref="P937" xml:space="preserve"> INDEX( VfM_Metrics_2023_Consol_Source[], $AK937, P$832 )</f>
        <v>1.6569051580698835</v>
      </c>
      <c r="Q937" s="35">
        <f xml:space="preserve"> IF( tblFilterAll[[#This Row],[EBITDA MRI Interest Cover]] &lt; P$825, 4, IF( tblFilterAll[[#This Row],[EBITDA MRI Interest Cover]] &lt; P$826, 3, IF( tblFilterAll[[#This Row],[EBITDA MRI Interest Cover]] &lt; P$827, 2, 1 ) ) )</f>
        <v>2</v>
      </c>
      <c r="R937" s="35">
        <f xml:space="preserve"> COUNTIFS( tblFilterAll[Include in output], 1, tblFilterAll[EBITDA MRI Interest Cover], "&gt;" &amp; tblFilterAll[[#This Row],[EBITDA MRI Interest Cover]] ) + 1</f>
        <v>54</v>
      </c>
      <c r="S937" s="32" cm="1">
        <f t="array" ref="S937" xml:space="preserve"> INDEX( VfM_Metrics_2023_Consol_Source[], $AK937, S$832 )</f>
        <v>4621.7857142857138</v>
      </c>
      <c r="T937" s="35">
        <f xml:space="preserve"> IF( tblFilterAll[[#This Row],[Headline Social Housing Cost per unit]] &lt; S$825, 4, IF( tblFilterAll[[#This Row],[Headline Social Housing Cost per unit]] &lt; S$826, 3, IF( tblFilterAll[[#This Row],[Headline Social Housing Cost per unit]] &lt; S$827, 2, 1 ) ) )</f>
        <v>2</v>
      </c>
      <c r="U937" s="35">
        <f xml:space="preserve"> COUNTIFS( tblFilterAll[Include in output], 1, tblFilterAll[Headline Social Housing Cost per unit], "&gt;" &amp; tblFilterAll[[#This Row],[Headline Social Housing Cost per unit]] ) + 1</f>
        <v>98</v>
      </c>
      <c r="V937" s="30" cm="1">
        <f t="array" ref="V937" xml:space="preserve"> INDEX( VfM_Metrics_2023_Consol_Source[], $AK937, V$832 )</f>
        <v>0.2026167248523606</v>
      </c>
      <c r="W937" s="35">
        <f xml:space="preserve"> IF( tblFilterAll[[#This Row],[Operating Margin (SHL)]] &lt; V$825, 4, IF( tblFilterAll[[#This Row],[Operating Margin (SHL)]] &lt; V$826, 3, IF( tblFilterAll[[#This Row],[Operating Margin (SHL)]] &lt; V$827, 2, 1 ) ) )</f>
        <v>2</v>
      </c>
      <c r="X937" s="35">
        <f xml:space="preserve"> COUNTIFS( tblFilterAll[Include in output], 1, tblFilterAll[Operating Margin (SHL)], "&gt;" &amp; tblFilterAll[[#This Row],[Operating Margin (SHL)]] ) + 1</f>
        <v>94</v>
      </c>
      <c r="Y937" s="30" cm="1">
        <f t="array" ref="Y937" xml:space="preserve"> INDEX( VfM_Metrics_2023_Consol_Source[], $AK937, Y$832 )</f>
        <v>0.16142557651991615</v>
      </c>
      <c r="Z937" s="35">
        <f xml:space="preserve"> IF( tblFilterAll[[#This Row],[Operating Margin (Overall)]] &lt; Y$825, 4, IF( tblFilterAll[[#This Row],[Operating Margin (Overall)]] &lt; Y$826, 3, IF( tblFilterAll[[#This Row],[Operating Margin (Overall)]] &lt; Y$827, 2, 1 ) ) )</f>
        <v>3</v>
      </c>
      <c r="AA937" s="35">
        <f xml:space="preserve"> COUNTIFS( tblFilterAll[Include in output], 1, tblFilterAll[Operating Margin (Overall)], "&gt;" &amp; tblFilterAll[[#This Row],[Operating Margin (Overall)]] ) + 1</f>
        <v>122</v>
      </c>
      <c r="AB937" s="30" cm="1">
        <f t="array" ref="AB937" xml:space="preserve"> INDEX( VfM_Metrics_2023_Consol_Source[], $AK937, AB$832 )</f>
        <v>2.5964833389543283E-2</v>
      </c>
      <c r="AC937" s="35">
        <f xml:space="preserve"> IF( tblFilterAll[[#This Row],[ROCE]] &lt; AB$825, 4, IF( tblFilterAll[[#This Row],[ROCE]] &lt; AB$826, 3, IF( tblFilterAll[[#This Row],[ROCE]] &lt; AB$827, 2, 1 ) ) )</f>
        <v>3</v>
      </c>
      <c r="AD937" s="35">
        <f xml:space="preserve"> COUNTIFS( tblFilterAll[Include in output], 1, tblFilterAll[ROCE], "&gt;" &amp; tblFilterAll[[#This Row],[ROCE]] ) + 1</f>
        <v>119</v>
      </c>
      <c r="AE937" s="33" cm="1" vm="5677">
        <f t="array" ref="AE937" xml:space="preserve"> INDEX( VfM_Metrics_2023_Consol_Source[], $AK937, AE$832 )</f>
        <v>5600</v>
      </c>
      <c r="AF937" s="30" cm="1">
        <f t="array" ref="AF937" xml:space="preserve"> INDEX( VfM_Metrics_2023_Consol_Source[], $AK937, AF$832 )</f>
        <v>6.5667380442541043E-2</v>
      </c>
      <c r="AG937" s="30" cm="1">
        <f t="array" ref="AG937" xml:space="preserve"> INDEX( VfM_Metrics_2023_Consol_Source[], $AK937, AG$832 )</f>
        <v>3.6045681655960025E-2</v>
      </c>
      <c r="AH937" s="30" cm="1">
        <f t="array" ref="AH937" xml:space="preserve"> INDEX( VfM_Metrics_2023_Consol_Source[], $AK937, AH$832 )</f>
        <v>0.10171306209850106</v>
      </c>
      <c r="AI937" s="30" t="str" cm="1">
        <f t="array" ref="AI937" xml:space="preserve"> INDEX( VfM_Metrics_2023_Consol_Source[], $AK937, AI$832 )</f>
        <v>Traditional</v>
      </c>
      <c r="AJ937" s="34" t="str" cm="1">
        <f t="array" ref="AJ937" xml:space="preserve"> INDEX( VfM_Metrics_2023_Consol_Source[], $AK937, AJ$832 )</f>
        <v>North West</v>
      </c>
      <c r="AK937" s="81">
        <f xml:space="preserve"> MATCH( tblFilterAll[[#This Row],[Code]], VfM_Metrics_2023_Consol_Source[RP_Code], 0 )</f>
        <v>104</v>
      </c>
      <c r="AL937" s="24">
        <f xml:space="preserve"> INDEX( tblFilterRegion[Include for region],  MATCH( tblFilterAll[[#This Row],[Code]], tblFilterRegion[RP_Code], 0 ) )</f>
        <v>1</v>
      </c>
      <c r="AM937" s="24">
        <f xml:space="preserve"> INDEX( tblFilterPropType[Incl for prop type],  MATCH( tblFilterAll[[#This Row],[Code]], tblFilterPropType[RP_Code], 0 ) )</f>
        <v>1</v>
      </c>
      <c r="AN937" s="24">
        <f xml:space="preserve"> INDEX( tblFilterSize[Incl for size],  MATCH( tblFilterAll[[#This Row],[Code]], tblFilterSize[RP_Code], 0 ) )</f>
        <v>1</v>
      </c>
      <c r="AO937" s="24">
        <f xml:space="preserve"> INDEX( tblFilterRP_Type[Incl, for RP Type],  MATCH( tblFilterAll[[#This Row],[Code]], tblFilterRP_Type[RP_Code], 0 ) )</f>
        <v>1</v>
      </c>
      <c r="AP937" s="24">
        <f xml:space="preserve">  -- ( SUM( tblFilterAll[[#This Row],[Filter Region]:[Filter RP Type]] ) = 4 )</f>
        <v>1</v>
      </c>
      <c r="AQ937" s="24">
        <f xml:space="preserve"> -- ( tblFilterAll[[#This Row],[Provider name]] = SelectedProvider )</f>
        <v>0</v>
      </c>
      <c r="AR937" s="24">
        <f xml:space="preserve">  -- ( OR( SUM( tblFilterAll[[#This Row],[Filter Region]:[Filter RP Type]] ) = 4, tblFilterAll[[#This Row],[SelectedProvider]] = 1 ) )</f>
        <v>1</v>
      </c>
      <c r="AS937" s="24">
        <f xml:space="preserve"> -- ( INDEX( PeersCritera[Included in final peers], MATCH( tblFilterAll[[#This Row],[Provider name]], PeersCritera[RP_Name], 0 ) ) = 1 )</f>
        <v>1</v>
      </c>
      <c r="AT937" s="30" t="str" cm="1">
        <f t="array" ref="AT937" xml:space="preserve"> SUBSTITUTE( INDEX( VfM_Metrics_2023_Consol_Source[], $AK937, AT$832 ), 0, "" )</f>
        <v/>
      </c>
      <c r="AU937" s="34" cm="1">
        <f t="array" ref="AU937" xml:space="preserve"> INDEX( VfM_Metrics_2023_Consol_Source[], $AK937, AU$832 )</f>
        <v>0</v>
      </c>
      <c r="AV937" s="34" cm="1">
        <f t="array" ref="AV937" xml:space="preserve"> INDEX( VfM_Metrics_2023_Consol_Source[], $AK937, AV$832 )</f>
        <v>1.1380057803468208E-2</v>
      </c>
      <c r="AW937" s="34" cm="1">
        <f t="array" ref="AW937" xml:space="preserve"> INDEX( VfM_Metrics_2023_Consol_Source[], $AK937, AW$832 )</f>
        <v>0</v>
      </c>
      <c r="AX937" s="34" cm="1">
        <f t="array" ref="AX937" xml:space="preserve"> INDEX( VfM_Metrics_2023_Consol_Source[], $AK937, AX$832 )</f>
        <v>6.7015895953757232E-2</v>
      </c>
      <c r="AY937" s="34" cm="1">
        <f t="array" ref="AY937" xml:space="preserve"> INDEX( VfM_Metrics_2023_Consol_Source[], $AK937, AY$832 )</f>
        <v>1.1199421965317919E-2</v>
      </c>
      <c r="AZ937" s="34" cm="1">
        <f t="array" ref="AZ937" xml:space="preserve"> INDEX( VfM_Metrics_2023_Consol_Source[], $AK937, AZ$832 )</f>
        <v>0.13890895953757226</v>
      </c>
      <c r="BA937" s="34" cm="1">
        <f t="array" ref="BA937" xml:space="preserve"> INDEX( VfM_Metrics_2023_Consol_Source[], $AK937, BA$832 )</f>
        <v>0</v>
      </c>
      <c r="BB937" s="34" cm="1">
        <f t="array" ref="BB937" xml:space="preserve"> INDEX( VfM_Metrics_2023_Consol_Source[], $AK937, BB$832 )</f>
        <v>0.7322976878612717</v>
      </c>
      <c r="BC937" s="34" cm="1">
        <f t="array" ref="BC937" xml:space="preserve"> INDEX( VfM_Metrics_2023_Consol_Source[], $AK937, BC$832 )</f>
        <v>3.919797687861272E-2</v>
      </c>
    </row>
    <row r="938" spans="2:55" x14ac:dyDescent="0.2">
      <c r="B938" s="122" t="str" vm="105">
        <f t="shared" ref="B938" si="442" xml:space="preserve"> B728</f>
        <v>Nehemiah United Churches Housing Association Limited</v>
      </c>
      <c r="C938" s="122" t="str" vm="223">
        <f t="shared" si="434"/>
        <v>L3833</v>
      </c>
      <c r="D938" s="30" cm="1">
        <f t="array" ref="D938" xml:space="preserve"> INDEX( VfM_Metrics_2023_Consol_Source[], $AK938, D$832 )</f>
        <v>5.9375823333572851E-2</v>
      </c>
      <c r="E938" s="35">
        <f xml:space="preserve"> IF( tblFilterAll[[#This Row],[Reinvestment]] &lt; D$825, 4, IF( tblFilterAll[[#This Row],[Reinvestment]] &lt; D$826, 3, IF( tblFilterAll[[#This Row],[Reinvestment]] &lt; D$827, 2, 1 ) ) )</f>
        <v>3</v>
      </c>
      <c r="F938" s="35">
        <f xml:space="preserve"> COUNTIFS( tblFilterAll[Include in output], 1, tblFilterAll[Reinvestment], "&gt;" &amp; tblFilterAll[[#This Row],[Reinvestment]] ) + 1</f>
        <v>121</v>
      </c>
      <c r="G938" s="30" cm="1">
        <f t="array" ref="G938" xml:space="preserve"> INDEX( VfM_Metrics_2023_Consol_Source[], $AK938, G$832 )</f>
        <v>1.7170891251022075E-2</v>
      </c>
      <c r="H938" s="35">
        <f xml:space="preserve"> IF( tblFilterAll[[#This Row],[New Supply (Social)]] &lt; G$825, 4, IF( tblFilterAll[[#This Row],[New Supply (Social)]] &lt; G$826, 3, IF( tblFilterAll[[#This Row],[New Supply (Social)]] &lt; G$827, 2, 1 ) ) )</f>
        <v>2</v>
      </c>
      <c r="I938" s="35">
        <f xml:space="preserve"> COUNTIFS( tblFilterAll[Include in output], 1, tblFilterAll[New Supply (Social)], "&gt;" &amp; tblFilterAll[[#This Row],[New Supply (Social)]] ) + 1</f>
        <v>72</v>
      </c>
      <c r="J938" s="31" cm="1">
        <f t="array" ref="J938" xml:space="preserve"> INDEX( VfM_Metrics_2023_Consol_Source[], $AK938, J$832 )</f>
        <v>0</v>
      </c>
      <c r="K938" s="35">
        <f xml:space="preserve"> IF( tblFilterAll[[#This Row],[New Supply (Non-Social)]] &lt; J$825, 4, IF( tblFilterAll[[#This Row],[New Supply (Non-Social)]] &lt; J$826, 3, IF( tblFilterAll[[#This Row],[New Supply (Non-Social)]] &lt; J$827, 2, 1 ) ) )</f>
        <v>2</v>
      </c>
      <c r="L938" s="35">
        <f xml:space="preserve"> COUNTIFS( tblFilterAll[Include in output], 1, tblFilterAll[New Supply (Non-Social)], "&gt;" &amp; tblFilterAll[[#This Row],[New Supply (Non-Social)]] ) + 1</f>
        <v>72</v>
      </c>
      <c r="M938" s="30" cm="1">
        <f t="array" ref="M938" xml:space="preserve"> INDEX( VfM_Metrics_2023_Consol_Source[], $AK938, M$832 )</f>
        <v>0.37894900720940816</v>
      </c>
      <c r="N938" s="35">
        <f xml:space="preserve"> IF( tblFilterAll[[#This Row],[Gearing]] &lt; M$825, 4, IF( tblFilterAll[[#This Row],[Gearing]] &lt; M$826, 3, IF( tblFilterAll[[#This Row],[Gearing]] &lt; M$827, 2, 1 ) ) )</f>
        <v>3</v>
      </c>
      <c r="O938" s="35">
        <f xml:space="preserve"> COUNTIFS( tblFilterAll[Include in output], 1, tblFilterAll[Gearing], "&gt;" &amp; tblFilterAll[[#This Row],[Gearing]] ) + 1</f>
        <v>138</v>
      </c>
      <c r="P938" s="30" cm="1">
        <f t="array" ref="P938" xml:space="preserve"> INDEX( VfM_Metrics_2023_Consol_Source[], $AK938, P$832 )</f>
        <v>1.2010008340283569</v>
      </c>
      <c r="Q938" s="35">
        <f xml:space="preserve"> IF( tblFilterAll[[#This Row],[EBITDA MRI Interest Cover]] &lt; P$825, 4, IF( tblFilterAll[[#This Row],[EBITDA MRI Interest Cover]] &lt; P$826, 3, IF( tblFilterAll[[#This Row],[EBITDA MRI Interest Cover]] &lt; P$827, 2, 1 ) ) )</f>
        <v>3</v>
      </c>
      <c r="R938" s="35">
        <f xml:space="preserve"> COUNTIFS( tblFilterAll[Include in output], 1, tblFilterAll[EBITDA MRI Interest Cover], "&gt;" &amp; tblFilterAll[[#This Row],[EBITDA MRI Interest Cover]] ) + 1</f>
        <v>108</v>
      </c>
      <c r="S938" s="32" cm="1">
        <f t="array" ref="S938" xml:space="preserve"> INDEX( VfM_Metrics_2023_Consol_Source[], $AK938, S$832 )</f>
        <v>4655.4487179487178</v>
      </c>
      <c r="T938" s="35">
        <f xml:space="preserve"> IF( tblFilterAll[[#This Row],[Headline Social Housing Cost per unit]] &lt; S$825, 4, IF( tblFilterAll[[#This Row],[Headline Social Housing Cost per unit]] &lt; S$826, 3, IF( tblFilterAll[[#This Row],[Headline Social Housing Cost per unit]] &lt; S$827, 2, 1 ) ) )</f>
        <v>2</v>
      </c>
      <c r="U938" s="35">
        <f xml:space="preserve"> COUNTIFS( tblFilterAll[Include in output], 1, tblFilterAll[Headline Social Housing Cost per unit], "&gt;" &amp; tblFilterAll[[#This Row],[Headline Social Housing Cost per unit]] ) + 1</f>
        <v>91</v>
      </c>
      <c r="V938" s="30" cm="1">
        <f t="array" ref="V938" xml:space="preserve"> INDEX( VfM_Metrics_2023_Consol_Source[], $AK938, V$832 )</f>
        <v>0.21699134199134198</v>
      </c>
      <c r="W938" s="35">
        <f xml:space="preserve"> IF( tblFilterAll[[#This Row],[Operating Margin (SHL)]] &lt; V$825, 4, IF( tblFilterAll[[#This Row],[Operating Margin (SHL)]] &lt; V$826, 3, IF( tblFilterAll[[#This Row],[Operating Margin (SHL)]] &lt; V$827, 2, 1 ) ) )</f>
        <v>2</v>
      </c>
      <c r="X938" s="35">
        <f xml:space="preserve"> COUNTIFS( tblFilterAll[Include in output], 1, tblFilterAll[Operating Margin (SHL)], "&gt;" &amp; tblFilterAll[[#This Row],[Operating Margin (SHL)]] ) + 1</f>
        <v>84</v>
      </c>
      <c r="Y938" s="30" cm="1">
        <f t="array" ref="Y938" xml:space="preserve"> INDEX( VfM_Metrics_2023_Consol_Source[], $AK938, Y$832 )</f>
        <v>0.22130394857667585</v>
      </c>
      <c r="Z938" s="35">
        <f xml:space="preserve"> IF( tblFilterAll[[#This Row],[Operating Margin (Overall)]] &lt; Y$825, 4, IF( tblFilterAll[[#This Row],[Operating Margin (Overall)]] &lt; Y$826, 3, IF( tblFilterAll[[#This Row],[Operating Margin (Overall)]] &lt; Y$827, 2, 1 ) ) )</f>
        <v>2</v>
      </c>
      <c r="AA938" s="35">
        <f xml:space="preserve"> COUNTIFS( tblFilterAll[Include in output], 1, tblFilterAll[Operating Margin (Overall)], "&gt;" &amp; tblFilterAll[[#This Row],[Operating Margin (Overall)]] ) + 1</f>
        <v>61</v>
      </c>
      <c r="AB938" s="30" cm="1">
        <f t="array" ref="AB938" xml:space="preserve"> INDEX( VfM_Metrics_2023_Consol_Source[], $AK938, AB$832 )</f>
        <v>2.0817261473824133E-2</v>
      </c>
      <c r="AC938" s="35">
        <f xml:space="preserve"> IF( tblFilterAll[[#This Row],[ROCE]] &lt; AB$825, 4, IF( tblFilterAll[[#This Row],[ROCE]] &lt; AB$826, 3, IF( tblFilterAll[[#This Row],[ROCE]] &lt; AB$827, 2, 1 ) ) )</f>
        <v>4</v>
      </c>
      <c r="AD938" s="35">
        <f xml:space="preserve"> COUNTIFS( tblFilterAll[Include in output], 1, tblFilterAll[ROCE], "&gt;" &amp; tblFilterAll[[#This Row],[ROCE]] ) + 1</f>
        <v>159</v>
      </c>
      <c r="AE938" s="33" cm="1" vm="8666">
        <f t="array" ref="AE938" xml:space="preserve"> INDEX( VfM_Metrics_2023_Consol_Source[], $AK938, AE$832 )</f>
        <v>1223</v>
      </c>
      <c r="AF938" s="30" cm="1">
        <f t="array" ref="AF938" xml:space="preserve"> INDEX( VfM_Metrics_2023_Consol_Source[], $AK938, AF$832 )</f>
        <v>2.8594771241830064E-2</v>
      </c>
      <c r="AG938" s="30" cm="1">
        <f t="array" ref="AG938" xml:space="preserve"> INDEX( VfM_Metrics_2023_Consol_Source[], $AK938, AG$832 )</f>
        <v>0.22058823529411764</v>
      </c>
      <c r="AH938" s="30" cm="1">
        <f t="array" ref="AH938" xml:space="preserve"> INDEX( VfM_Metrics_2023_Consol_Source[], $AK938, AH$832 )</f>
        <v>0.24918300653594772</v>
      </c>
      <c r="AI938" s="30" t="str" cm="1">
        <f t="array" ref="AI938" xml:space="preserve"> INDEX( VfM_Metrics_2023_Consol_Source[], $AK938, AI$832 )</f>
        <v>Traditional</v>
      </c>
      <c r="AJ938" s="34" t="str" cm="1">
        <f t="array" ref="AJ938" xml:space="preserve"> INDEX( VfM_Metrics_2023_Consol_Source[], $AK938, AJ$832 )</f>
        <v>West Midlands</v>
      </c>
      <c r="AK938" s="81">
        <f xml:space="preserve"> MATCH( tblFilterAll[[#This Row],[Code]], VfM_Metrics_2023_Consol_Source[RP_Code], 0 )</f>
        <v>105</v>
      </c>
      <c r="AL938" s="24">
        <f xml:space="preserve"> INDEX( tblFilterRegion[Include for region],  MATCH( tblFilterAll[[#This Row],[Code]], tblFilterRegion[RP_Code], 0 ) )</f>
        <v>1</v>
      </c>
      <c r="AM938" s="24">
        <f xml:space="preserve"> INDEX( tblFilterPropType[Incl for prop type],  MATCH( tblFilterAll[[#This Row],[Code]], tblFilterPropType[RP_Code], 0 ) )</f>
        <v>1</v>
      </c>
      <c r="AN938" s="24">
        <f xml:space="preserve"> INDEX( tblFilterSize[Incl for size],  MATCH( tblFilterAll[[#This Row],[Code]], tblFilterSize[RP_Code], 0 ) )</f>
        <v>1</v>
      </c>
      <c r="AO938" s="24">
        <f xml:space="preserve"> INDEX( tblFilterRP_Type[Incl, for RP Type],  MATCH( tblFilterAll[[#This Row],[Code]], tblFilterRP_Type[RP_Code], 0 ) )</f>
        <v>1</v>
      </c>
      <c r="AP938" s="24">
        <f xml:space="preserve">  -- ( SUM( tblFilterAll[[#This Row],[Filter Region]:[Filter RP Type]] ) = 4 )</f>
        <v>1</v>
      </c>
      <c r="AQ938" s="24">
        <f xml:space="preserve"> -- ( tblFilterAll[[#This Row],[Provider name]] = SelectedProvider )</f>
        <v>0</v>
      </c>
      <c r="AR938" s="24">
        <f xml:space="preserve">  -- ( OR( SUM( tblFilterAll[[#This Row],[Filter Region]:[Filter RP Type]] ) = 4, tblFilterAll[[#This Row],[SelectedProvider]] = 1 ) )</f>
        <v>1</v>
      </c>
      <c r="AS938" s="24">
        <f xml:space="preserve"> -- ( INDEX( PeersCritera[Included in final peers], MATCH( tblFilterAll[[#This Row],[Provider name]], PeersCritera[RP_Name], 0 ) ) = 1 )</f>
        <v>1</v>
      </c>
      <c r="AT938" s="30" t="str" cm="1">
        <f t="array" ref="AT938" xml:space="preserve"> SUBSTITUTE( INDEX( VfM_Metrics_2023_Consol_Source[], $AK938, AT$832 ), 0, "" )</f>
        <v/>
      </c>
      <c r="AU938" s="34" cm="1">
        <f t="array" ref="AU938" xml:space="preserve"> INDEX( VfM_Metrics_2023_Consol_Source[], $AK938, AU$832 )</f>
        <v>0</v>
      </c>
      <c r="AV938" s="34" cm="1">
        <f t="array" ref="AV938" xml:space="preserve"> INDEX( VfM_Metrics_2023_Consol_Source[], $AK938, AV$832 )</f>
        <v>0</v>
      </c>
      <c r="AW938" s="34" cm="1">
        <f t="array" ref="AW938" xml:space="preserve"> INDEX( VfM_Metrics_2023_Consol_Source[], $AK938, AW$832 )</f>
        <v>0</v>
      </c>
      <c r="AX938" s="34" cm="1">
        <f t="array" ref="AX938" xml:space="preserve"> INDEX( VfM_Metrics_2023_Consol_Source[], $AK938, AX$832 )</f>
        <v>0</v>
      </c>
      <c r="AY938" s="34" cm="1">
        <f t="array" ref="AY938" xml:space="preserve"> INDEX( VfM_Metrics_2023_Consol_Source[], $AK938, AY$832 )</f>
        <v>1</v>
      </c>
      <c r="AZ938" s="34" cm="1">
        <f t="array" ref="AZ938" xml:space="preserve"> INDEX( VfM_Metrics_2023_Consol_Source[], $AK938, AZ$832 )</f>
        <v>0</v>
      </c>
      <c r="BA938" s="34" cm="1">
        <f t="array" ref="BA938" xml:space="preserve"> INDEX( VfM_Metrics_2023_Consol_Source[], $AK938, BA$832 )</f>
        <v>0</v>
      </c>
      <c r="BB938" s="34" cm="1">
        <f t="array" ref="BB938" xml:space="preserve"> INDEX( VfM_Metrics_2023_Consol_Source[], $AK938, BB$832 )</f>
        <v>0</v>
      </c>
      <c r="BC938" s="34" cm="1">
        <f t="array" ref="BC938" xml:space="preserve"> INDEX( VfM_Metrics_2023_Consol_Source[], $AK938, BC$832 )</f>
        <v>0</v>
      </c>
    </row>
    <row r="939" spans="2:55" x14ac:dyDescent="0.2">
      <c r="B939" s="122" t="str" vm="106">
        <f t="shared" ref="B939" si="443" xml:space="preserve"> B729</f>
        <v>Newlon Housing Trust</v>
      </c>
      <c r="C939" s="122" t="str" vm="346">
        <f t="shared" si="434"/>
        <v>L0006</v>
      </c>
      <c r="D939" s="30" cm="1">
        <f t="array" ref="D939" xml:space="preserve"> INDEX( VfM_Metrics_2023_Consol_Source[], $AK939, D$832 )</f>
        <v>5.8292519753063168E-2</v>
      </c>
      <c r="E939" s="35">
        <f xml:space="preserve"> IF( tblFilterAll[[#This Row],[Reinvestment]] &lt; D$825, 4, IF( tblFilterAll[[#This Row],[Reinvestment]] &lt; D$826, 3, IF( tblFilterAll[[#This Row],[Reinvestment]] &lt; D$827, 2, 1 ) ) )</f>
        <v>3</v>
      </c>
      <c r="F939" s="35">
        <f xml:space="preserve"> COUNTIFS( tblFilterAll[Include in output], 1, tblFilterAll[Reinvestment], "&gt;" &amp; tblFilterAll[[#This Row],[Reinvestment]] ) + 1</f>
        <v>124</v>
      </c>
      <c r="G939" s="30" cm="1">
        <f t="array" ref="G939" xml:space="preserve"> INDEX( VfM_Metrics_2023_Consol_Source[], $AK939, G$832 )</f>
        <v>5.7838293770333775E-3</v>
      </c>
      <c r="H939" s="35">
        <f xml:space="preserve"> IF( tblFilterAll[[#This Row],[New Supply (Social)]] &lt; G$825, 4, IF( tblFilterAll[[#This Row],[New Supply (Social)]] &lt; G$826, 3, IF( tblFilterAll[[#This Row],[New Supply (Social)]] &lt; G$827, 2, 1 ) ) )</f>
        <v>4</v>
      </c>
      <c r="I939" s="35">
        <f xml:space="preserve"> COUNTIFS( tblFilterAll[Include in output], 1, tblFilterAll[New Supply (Social)], "&gt;" &amp; tblFilterAll[[#This Row],[New Supply (Social)]] ) + 1</f>
        <v>151</v>
      </c>
      <c r="J939" s="31" cm="1">
        <f t="array" ref="J939" xml:space="preserve"> INDEX( VfM_Metrics_2023_Consol_Source[], $AK939, J$832 )</f>
        <v>0</v>
      </c>
      <c r="K939" s="35">
        <f xml:space="preserve"> IF( tblFilterAll[[#This Row],[New Supply (Non-Social)]] &lt; J$825, 4, IF( tblFilterAll[[#This Row],[New Supply (Non-Social)]] &lt; J$826, 3, IF( tblFilterAll[[#This Row],[New Supply (Non-Social)]] &lt; J$827, 2, 1 ) ) )</f>
        <v>2</v>
      </c>
      <c r="L939" s="35">
        <f xml:space="preserve"> COUNTIFS( tblFilterAll[Include in output], 1, tblFilterAll[New Supply (Non-Social)], "&gt;" &amp; tblFilterAll[[#This Row],[New Supply (Non-Social)]] ) + 1</f>
        <v>72</v>
      </c>
      <c r="M939" s="30" cm="1">
        <f t="array" ref="M939" xml:space="preserve"> INDEX( VfM_Metrics_2023_Consol_Source[], $AK939, M$832 )</f>
        <v>0.48134912868704055</v>
      </c>
      <c r="N939" s="35">
        <f xml:space="preserve"> IF( tblFilterAll[[#This Row],[Gearing]] &lt; M$825, 4, IF( tblFilterAll[[#This Row],[Gearing]] &lt; M$826, 3, IF( tblFilterAll[[#This Row],[Gearing]] &lt; M$827, 2, 1 ) ) )</f>
        <v>2</v>
      </c>
      <c r="O939" s="35">
        <f xml:space="preserve"> COUNTIFS( tblFilterAll[Include in output], 1, tblFilterAll[Gearing], "&gt;" &amp; tblFilterAll[[#This Row],[Gearing]] ) + 1</f>
        <v>81</v>
      </c>
      <c r="P939" s="30" cm="1">
        <f t="array" ref="P939" xml:space="preserve"> INDEX( VfM_Metrics_2023_Consol_Source[], $AK939, P$832 )</f>
        <v>0.30577098993755719</v>
      </c>
      <c r="Q939" s="35">
        <f xml:space="preserve"> IF( tblFilterAll[[#This Row],[EBITDA MRI Interest Cover]] &lt; P$825, 4, IF( tblFilterAll[[#This Row],[EBITDA MRI Interest Cover]] &lt; P$826, 3, IF( tblFilterAll[[#This Row],[EBITDA MRI Interest Cover]] &lt; P$827, 2, 1 ) ) )</f>
        <v>4</v>
      </c>
      <c r="R939" s="35">
        <f xml:space="preserve"> COUNTIFS( tblFilterAll[Include in output], 1, tblFilterAll[EBITDA MRI Interest Cover], "&gt;" &amp; tblFilterAll[[#This Row],[EBITDA MRI Interest Cover]] ) + 1</f>
        <v>174</v>
      </c>
      <c r="S939" s="32" cm="1">
        <f t="array" ref="S939" xml:space="preserve"> INDEX( VfM_Metrics_2023_Consol_Source[], $AK939, S$832 )</f>
        <v>11816.971490048412</v>
      </c>
      <c r="T939" s="35">
        <f xml:space="preserve"> IF( tblFilterAll[[#This Row],[Headline Social Housing Cost per unit]] &lt; S$825, 4, IF( tblFilterAll[[#This Row],[Headline Social Housing Cost per unit]] &lt; S$826, 3, IF( tblFilterAll[[#This Row],[Headline Social Housing Cost per unit]] &lt; S$827, 2, 1 ) ) )</f>
        <v>1</v>
      </c>
      <c r="U939" s="35">
        <f xml:space="preserve"> COUNTIFS( tblFilterAll[Include in output], 1, tblFilterAll[Headline Social Housing Cost per unit], "&gt;" &amp; tblFilterAll[[#This Row],[Headline Social Housing Cost per unit]] ) + 1</f>
        <v>10</v>
      </c>
      <c r="V939" s="30" cm="1">
        <f t="array" ref="V939" xml:space="preserve"> INDEX( VfM_Metrics_2023_Consol_Source[], $AK939, V$832 )</f>
        <v>0.19053726462960874</v>
      </c>
      <c r="W939" s="35">
        <f xml:space="preserve"> IF( tblFilterAll[[#This Row],[Operating Margin (SHL)]] &lt; V$825, 4, IF( tblFilterAll[[#This Row],[Operating Margin (SHL)]] &lt; V$826, 3, IF( tblFilterAll[[#This Row],[Operating Margin (SHL)]] &lt; V$827, 2, 1 ) ) )</f>
        <v>3</v>
      </c>
      <c r="X939" s="35">
        <f xml:space="preserve"> COUNTIFS( tblFilterAll[Include in output], 1, tblFilterAll[Operating Margin (SHL)], "&gt;" &amp; tblFilterAll[[#This Row],[Operating Margin (SHL)]] ) + 1</f>
        <v>106</v>
      </c>
      <c r="Y939" s="30" cm="1">
        <f t="array" ref="Y939" xml:space="preserve"> INDEX( VfM_Metrics_2023_Consol_Source[], $AK939, Y$832 )</f>
        <v>0.22125686813186812</v>
      </c>
      <c r="Z939" s="35">
        <f xml:space="preserve"> IF( tblFilterAll[[#This Row],[Operating Margin (Overall)]] &lt; Y$825, 4, IF( tblFilterAll[[#This Row],[Operating Margin (Overall)]] &lt; Y$826, 3, IF( tblFilterAll[[#This Row],[Operating Margin (Overall)]] &lt; Y$827, 2, 1 ) ) )</f>
        <v>2</v>
      </c>
      <c r="AA939" s="35">
        <f xml:space="preserve"> COUNTIFS( tblFilterAll[Include in output], 1, tblFilterAll[Operating Margin (Overall)], "&gt;" &amp; tblFilterAll[[#This Row],[Operating Margin (Overall)]] ) + 1</f>
        <v>62</v>
      </c>
      <c r="AB939" s="30" cm="1">
        <f t="array" ref="AB939" xml:space="preserve"> INDEX( VfM_Metrics_2023_Consol_Source[], $AK939, AB$832 )</f>
        <v>2.3409249657207174E-2</v>
      </c>
      <c r="AC939" s="35">
        <f xml:space="preserve"> IF( tblFilterAll[[#This Row],[ROCE]] &lt; AB$825, 4, IF( tblFilterAll[[#This Row],[ROCE]] &lt; AB$826, 3, IF( tblFilterAll[[#This Row],[ROCE]] &lt; AB$827, 2, 1 ) ) )</f>
        <v>3</v>
      </c>
      <c r="AD939" s="35">
        <f xml:space="preserve"> COUNTIFS( tblFilterAll[Include in output], 1, tblFilterAll[ROCE], "&gt;" &amp; tblFilterAll[[#This Row],[ROCE]] ) + 1</f>
        <v>138</v>
      </c>
      <c r="AE939" s="33" cm="1" vm="4950">
        <f t="array" ref="AE939" xml:space="preserve"> INDEX( VfM_Metrics_2023_Consol_Source[], $AK939, AE$832 )</f>
        <v>7436</v>
      </c>
      <c r="AF939" s="30" cm="1">
        <f t="array" ref="AF939" xml:space="preserve"> INDEX( VfM_Metrics_2023_Consol_Source[], $AK939, AF$832 )</f>
        <v>5.2747252747252747E-2</v>
      </c>
      <c r="AG939" s="30" cm="1">
        <f t="array" ref="AG939" xml:space="preserve"> INDEX( VfM_Metrics_2023_Consol_Source[], $AK939, AG$832 )</f>
        <v>2.651098901098901E-2</v>
      </c>
      <c r="AH939" s="30" cm="1">
        <f t="array" ref="AH939" xml:space="preserve"> INDEX( VfM_Metrics_2023_Consol_Source[], $AK939, AH$832 )</f>
        <v>7.9258241758241754E-2</v>
      </c>
      <c r="AI939" s="30" t="str" cm="1">
        <f t="array" ref="AI939" xml:space="preserve"> INDEX( VfM_Metrics_2023_Consol_Source[], $AK939, AI$832 )</f>
        <v>Traditional</v>
      </c>
      <c r="AJ939" s="34" t="str" cm="1">
        <f t="array" ref="AJ939" xml:space="preserve"> INDEX( VfM_Metrics_2023_Consol_Source[], $AK939, AJ$832 )</f>
        <v>London</v>
      </c>
      <c r="AK939" s="81">
        <f xml:space="preserve"> MATCH( tblFilterAll[[#This Row],[Code]], VfM_Metrics_2023_Consol_Source[RP_Code], 0 )</f>
        <v>106</v>
      </c>
      <c r="AL939" s="24">
        <f xml:space="preserve"> INDEX( tblFilterRegion[Include for region],  MATCH( tblFilterAll[[#This Row],[Code]], tblFilterRegion[RP_Code], 0 ) )</f>
        <v>1</v>
      </c>
      <c r="AM939" s="24">
        <f xml:space="preserve"> INDEX( tblFilterPropType[Incl for prop type],  MATCH( tblFilterAll[[#This Row],[Code]], tblFilterPropType[RP_Code], 0 ) )</f>
        <v>1</v>
      </c>
      <c r="AN939" s="24">
        <f xml:space="preserve"> INDEX( tblFilterSize[Incl for size],  MATCH( tblFilterAll[[#This Row],[Code]], tblFilterSize[RP_Code], 0 ) )</f>
        <v>1</v>
      </c>
      <c r="AO939" s="24">
        <f xml:space="preserve"> INDEX( tblFilterRP_Type[Incl, for RP Type],  MATCH( tblFilterAll[[#This Row],[Code]], tblFilterRP_Type[RP_Code], 0 ) )</f>
        <v>1</v>
      </c>
      <c r="AP939" s="24">
        <f xml:space="preserve">  -- ( SUM( tblFilterAll[[#This Row],[Filter Region]:[Filter RP Type]] ) = 4 )</f>
        <v>1</v>
      </c>
      <c r="AQ939" s="24">
        <f xml:space="preserve"> -- ( tblFilterAll[[#This Row],[Provider name]] = SelectedProvider )</f>
        <v>0</v>
      </c>
      <c r="AR939" s="24">
        <f xml:space="preserve">  -- ( OR( SUM( tblFilterAll[[#This Row],[Filter Region]:[Filter RP Type]] ) = 4, tblFilterAll[[#This Row],[SelectedProvider]] = 1 ) )</f>
        <v>1</v>
      </c>
      <c r="AS939" s="24">
        <f xml:space="preserve"> -- ( INDEX( PeersCritera[Included in final peers], MATCH( tblFilterAll[[#This Row],[Provider name]], PeersCritera[RP_Name], 0 ) ) = 1 )</f>
        <v>1</v>
      </c>
      <c r="AT939" s="30" t="str" cm="1">
        <f t="array" ref="AT939" xml:space="preserve"> SUBSTITUTE( INDEX( VfM_Metrics_2023_Consol_Source[], $AK939, AT$832 ), 0, "" )</f>
        <v/>
      </c>
      <c r="AU939" s="34" cm="1">
        <f t="array" ref="AU939" xml:space="preserve"> INDEX( VfM_Metrics_2023_Consol_Source[], $AK939, AU$832 )</f>
        <v>1</v>
      </c>
      <c r="AV939" s="34" cm="1">
        <f t="array" ref="AV939" xml:space="preserve"> INDEX( VfM_Metrics_2023_Consol_Source[], $AK939, AV$832 )</f>
        <v>0</v>
      </c>
      <c r="AW939" s="34" cm="1">
        <f t="array" ref="AW939" xml:space="preserve"> INDEX( VfM_Metrics_2023_Consol_Source[], $AK939, AW$832 )</f>
        <v>0</v>
      </c>
      <c r="AX939" s="34" cm="1">
        <f t="array" ref="AX939" xml:space="preserve"> INDEX( VfM_Metrics_2023_Consol_Source[], $AK939, AX$832 )</f>
        <v>0</v>
      </c>
      <c r="AY939" s="34" cm="1">
        <f t="array" ref="AY939" xml:space="preserve"> INDEX( VfM_Metrics_2023_Consol_Source[], $AK939, AY$832 )</f>
        <v>0</v>
      </c>
      <c r="AZ939" s="34" cm="1">
        <f t="array" ref="AZ939" xml:space="preserve"> INDEX( VfM_Metrics_2023_Consol_Source[], $AK939, AZ$832 )</f>
        <v>0</v>
      </c>
      <c r="BA939" s="34" cm="1">
        <f t="array" ref="BA939" xml:space="preserve"> INDEX( VfM_Metrics_2023_Consol_Source[], $AK939, BA$832 )</f>
        <v>0</v>
      </c>
      <c r="BB939" s="34" cm="1">
        <f t="array" ref="BB939" xml:space="preserve"> INDEX( VfM_Metrics_2023_Consol_Source[], $AK939, BB$832 )</f>
        <v>0</v>
      </c>
      <c r="BC939" s="34" cm="1">
        <f t="array" ref="BC939" xml:space="preserve"> INDEX( VfM_Metrics_2023_Consol_Source[], $AK939, BC$832 )</f>
        <v>0</v>
      </c>
    </row>
    <row r="940" spans="2:55" x14ac:dyDescent="0.2">
      <c r="B940" s="122" t="str" vm="107">
        <f t="shared" ref="B940" si="444" xml:space="preserve"> B730</f>
        <v>North Devon Homes</v>
      </c>
      <c r="C940" s="122" t="str" vm="329">
        <f t="shared" si="434"/>
        <v>LH4249</v>
      </c>
      <c r="D940" s="30" cm="1">
        <f t="array" ref="D940" xml:space="preserve"> INDEX( VfM_Metrics_2023_Consol_Source[], $AK940, D$832 )</f>
        <v>3.2480917460991666E-2</v>
      </c>
      <c r="E940" s="35">
        <f xml:space="preserve"> IF( tblFilterAll[[#This Row],[Reinvestment]] &lt; D$825, 4, IF( tblFilterAll[[#This Row],[Reinvestment]] &lt; D$826, 3, IF( tblFilterAll[[#This Row],[Reinvestment]] &lt; D$827, 2, 1 ) ) )</f>
        <v>4</v>
      </c>
      <c r="F940" s="35">
        <f xml:space="preserve"> COUNTIFS( tblFilterAll[Include in output], 1, tblFilterAll[Reinvestment], "&gt;" &amp; tblFilterAll[[#This Row],[Reinvestment]] ) + 1</f>
        <v>167</v>
      </c>
      <c r="G940" s="30" cm="1">
        <f t="array" ref="G940" xml:space="preserve"> INDEX( VfM_Metrics_2023_Consol_Source[], $AK940, G$832 )</f>
        <v>3.3013205282112846E-3</v>
      </c>
      <c r="H940" s="35">
        <f xml:space="preserve"> IF( tblFilterAll[[#This Row],[New Supply (Social)]] &lt; G$825, 4, IF( tblFilterAll[[#This Row],[New Supply (Social)]] &lt; G$826, 3, IF( tblFilterAll[[#This Row],[New Supply (Social)]] &lt; G$827, 2, 1 ) ) )</f>
        <v>4</v>
      </c>
      <c r="I940" s="35">
        <f xml:space="preserve"> COUNTIFS( tblFilterAll[Include in output], 1, tblFilterAll[New Supply (Social)], "&gt;" &amp; tblFilterAll[[#This Row],[New Supply (Social)]] ) + 1</f>
        <v>168</v>
      </c>
      <c r="J940" s="31" cm="1">
        <f t="array" ref="J940" xml:space="preserve"> INDEX( VfM_Metrics_2023_Consol_Source[], $AK940, J$832 )</f>
        <v>7.5823855351414404E-3</v>
      </c>
      <c r="K940" s="35">
        <f xml:space="preserve"> IF( tblFilterAll[[#This Row],[New Supply (Non-Social)]] &lt; J$825, 4, IF( tblFilterAll[[#This Row],[New Supply (Non-Social)]] &lt; J$826, 3, IF( tblFilterAll[[#This Row],[New Supply (Non-Social)]] &lt; J$827, 2, 1 ) ) )</f>
        <v>1</v>
      </c>
      <c r="L940" s="35">
        <f xml:space="preserve"> COUNTIFS( tblFilterAll[Include in output], 1, tblFilterAll[New Supply (Non-Social)], "&gt;" &amp; tblFilterAll[[#This Row],[New Supply (Non-Social)]] ) + 1</f>
        <v>10</v>
      </c>
      <c r="M940" s="30" cm="1">
        <f t="array" ref="M940" xml:space="preserve"> INDEX( VfM_Metrics_2023_Consol_Source[], $AK940, M$832 )</f>
        <v>0.56763526428223421</v>
      </c>
      <c r="N940" s="35">
        <f xml:space="preserve"> IF( tblFilterAll[[#This Row],[Gearing]] &lt; M$825, 4, IF( tblFilterAll[[#This Row],[Gearing]] &lt; M$826, 3, IF( tblFilterAll[[#This Row],[Gearing]] &lt; M$827, 2, 1 ) ) )</f>
        <v>1</v>
      </c>
      <c r="O940" s="35">
        <f xml:space="preserve"> COUNTIFS( tblFilterAll[Include in output], 1, tblFilterAll[Gearing], "&gt;" &amp; tblFilterAll[[#This Row],[Gearing]] ) + 1</f>
        <v>34</v>
      </c>
      <c r="P940" s="30" cm="1">
        <f t="array" ref="P940" xml:space="preserve"> INDEX( VfM_Metrics_2023_Consol_Source[], $AK940, P$832 )</f>
        <v>0.87774167343623066</v>
      </c>
      <c r="Q940" s="35">
        <f xml:space="preserve"> IF( tblFilterAll[[#This Row],[EBITDA MRI Interest Cover]] &lt; P$825, 4, IF( tblFilterAll[[#This Row],[EBITDA MRI Interest Cover]] &lt; P$826, 3, IF( tblFilterAll[[#This Row],[EBITDA MRI Interest Cover]] &lt; P$827, 2, 1 ) ) )</f>
        <v>4</v>
      </c>
      <c r="R940" s="35">
        <f xml:space="preserve"> COUNTIFS( tblFilterAll[Include in output], 1, tblFilterAll[EBITDA MRI Interest Cover], "&gt;" &amp; tblFilterAll[[#This Row],[EBITDA MRI Interest Cover]] ) + 1</f>
        <v>149</v>
      </c>
      <c r="S940" s="32" cm="1">
        <f t="array" ref="S940" xml:space="preserve"> INDEX( VfM_Metrics_2023_Consol_Source[], $AK940, S$832 )</f>
        <v>4299.5818399044201</v>
      </c>
      <c r="T940" s="35">
        <f xml:space="preserve"> IF( tblFilterAll[[#This Row],[Headline Social Housing Cost per unit]] &lt; S$825, 4, IF( tblFilterAll[[#This Row],[Headline Social Housing Cost per unit]] &lt; S$826, 3, IF( tblFilterAll[[#This Row],[Headline Social Housing Cost per unit]] &lt; S$827, 2, 1 ) ) )</f>
        <v>3</v>
      </c>
      <c r="U940" s="35">
        <f xml:space="preserve"> COUNTIFS( tblFilterAll[Include in output], 1, tblFilterAll[Headline Social Housing Cost per unit], "&gt;" &amp; tblFilterAll[[#This Row],[Headline Social Housing Cost per unit]] ) + 1</f>
        <v>128</v>
      </c>
      <c r="V940" s="30" cm="1">
        <f t="array" ref="V940" xml:space="preserve"> INDEX( VfM_Metrics_2023_Consol_Source[], $AK940, V$832 )</f>
        <v>0.18834433876537227</v>
      </c>
      <c r="W940" s="35">
        <f xml:space="preserve"> IF( tblFilterAll[[#This Row],[Operating Margin (SHL)]] &lt; V$825, 4, IF( tblFilterAll[[#This Row],[Operating Margin (SHL)]] &lt; V$826, 3, IF( tblFilterAll[[#This Row],[Operating Margin (SHL)]] &lt; V$827, 2, 1 ) ) )</f>
        <v>3</v>
      </c>
      <c r="X940" s="35">
        <f xml:space="preserve"> COUNTIFS( tblFilterAll[Include in output], 1, tblFilterAll[Operating Margin (SHL)], "&gt;" &amp; tblFilterAll[[#This Row],[Operating Margin (SHL)]] ) + 1</f>
        <v>110</v>
      </c>
      <c r="Y940" s="30" cm="1">
        <f t="array" ref="Y940" xml:space="preserve"> INDEX( VfM_Metrics_2023_Consol_Source[], $AK940, Y$832 )</f>
        <v>0.19436828132480308</v>
      </c>
      <c r="Z940" s="35">
        <f xml:space="preserve"> IF( tblFilterAll[[#This Row],[Operating Margin (Overall)]] &lt; Y$825, 4, IF( tblFilterAll[[#This Row],[Operating Margin (Overall)]] &lt; Y$826, 3, IF( tblFilterAll[[#This Row],[Operating Margin (Overall)]] &lt; Y$827, 2, 1 ) ) )</f>
        <v>2</v>
      </c>
      <c r="AA940" s="35">
        <f xml:space="preserve"> COUNTIFS( tblFilterAll[Include in output], 1, tblFilterAll[Operating Margin (Overall)], "&gt;" &amp; tblFilterAll[[#This Row],[Operating Margin (Overall)]] ) + 1</f>
        <v>87</v>
      </c>
      <c r="AB940" s="30" cm="1">
        <f t="array" ref="AB940" xml:space="preserve"> INDEX( VfM_Metrics_2023_Consol_Source[], $AK940, AB$832 )</f>
        <v>2.9823403103680042E-2</v>
      </c>
      <c r="AC940" s="35">
        <f xml:space="preserve"> IF( tblFilterAll[[#This Row],[ROCE]] &lt; AB$825, 4, IF( tblFilterAll[[#This Row],[ROCE]] &lt; AB$826, 3, IF( tblFilterAll[[#This Row],[ROCE]] &lt; AB$827, 2, 1 ) ) )</f>
        <v>2</v>
      </c>
      <c r="AD940" s="35">
        <f xml:space="preserve"> COUNTIFS( tblFilterAll[Include in output], 1, tblFilterAll[ROCE], "&gt;" &amp; tblFilterAll[[#This Row],[ROCE]] ) + 1</f>
        <v>87</v>
      </c>
      <c r="AE940" s="33" cm="1" vm="4349">
        <f t="array" ref="AE940" xml:space="preserve"> INDEX( VfM_Metrics_2023_Consol_Source[], $AK940, AE$832 )</f>
        <v>3332</v>
      </c>
      <c r="AF940" s="30" cm="1">
        <f t="array" ref="AF940" xml:space="preserve"> INDEX( VfM_Metrics_2023_Consol_Source[], $AK940, AF$832 )</f>
        <v>0</v>
      </c>
      <c r="AG940" s="30" cm="1">
        <f t="array" ref="AG940" xml:space="preserve"> INDEX( VfM_Metrics_2023_Consol_Source[], $AK940, AG$832 )</f>
        <v>0.15324519230769232</v>
      </c>
      <c r="AH940" s="30" cm="1">
        <f t="array" ref="AH940" xml:space="preserve"> INDEX( VfM_Metrics_2023_Consol_Source[], $AK940, AH$832 )</f>
        <v>0.15324519230769232</v>
      </c>
      <c r="AI940" s="30" t="str" cm="1">
        <f t="array" ref="AI940" xml:space="preserve"> INDEX( VfM_Metrics_2023_Consol_Source[], $AK940, AI$832 )</f>
        <v>Traditional</v>
      </c>
      <c r="AJ940" s="34" t="str" cm="1">
        <f t="array" ref="AJ940" xml:space="preserve"> INDEX( VfM_Metrics_2023_Consol_Source[], $AK940, AJ$832 )</f>
        <v>South West</v>
      </c>
      <c r="AK940" s="81">
        <f xml:space="preserve"> MATCH( tblFilterAll[[#This Row],[Code]], VfM_Metrics_2023_Consol_Source[RP_Code], 0 )</f>
        <v>107</v>
      </c>
      <c r="AL940" s="24">
        <f xml:space="preserve"> INDEX( tblFilterRegion[Include for region],  MATCH( tblFilterAll[[#This Row],[Code]], tblFilterRegion[RP_Code], 0 ) )</f>
        <v>1</v>
      </c>
      <c r="AM940" s="24">
        <f xml:space="preserve"> INDEX( tblFilterPropType[Incl for prop type],  MATCH( tblFilterAll[[#This Row],[Code]], tblFilterPropType[RP_Code], 0 ) )</f>
        <v>1</v>
      </c>
      <c r="AN940" s="24">
        <f xml:space="preserve"> INDEX( tblFilterSize[Incl for size],  MATCH( tblFilterAll[[#This Row],[Code]], tblFilterSize[RP_Code], 0 ) )</f>
        <v>1</v>
      </c>
      <c r="AO940" s="24">
        <f xml:space="preserve"> INDEX( tblFilterRP_Type[Incl, for RP Type],  MATCH( tblFilterAll[[#This Row],[Code]], tblFilterRP_Type[RP_Code], 0 ) )</f>
        <v>1</v>
      </c>
      <c r="AP940" s="24">
        <f xml:space="preserve">  -- ( SUM( tblFilterAll[[#This Row],[Filter Region]:[Filter RP Type]] ) = 4 )</f>
        <v>1</v>
      </c>
      <c r="AQ940" s="24">
        <f xml:space="preserve"> -- ( tblFilterAll[[#This Row],[Provider name]] = SelectedProvider )</f>
        <v>0</v>
      </c>
      <c r="AR940" s="24">
        <f xml:space="preserve">  -- ( OR( SUM( tblFilterAll[[#This Row],[Filter Region]:[Filter RP Type]] ) = 4, tblFilterAll[[#This Row],[SelectedProvider]] = 1 ) )</f>
        <v>1</v>
      </c>
      <c r="AS940" s="24">
        <f xml:space="preserve"> -- ( INDEX( PeersCritera[Included in final peers], MATCH( tblFilterAll[[#This Row],[Provider name]], PeersCritera[RP_Name], 0 ) ) = 1 )</f>
        <v>1</v>
      </c>
      <c r="AT940" s="30" t="str" cm="1">
        <f t="array" ref="AT940" xml:space="preserve"> SUBSTITUTE( INDEX( VfM_Metrics_2023_Consol_Source[], $AK940, AT$832 ), 0, "" )</f>
        <v>&gt;= 12 years</v>
      </c>
      <c r="AU940" s="34" cm="1">
        <f t="array" ref="AU940" xml:space="preserve"> INDEX( VfM_Metrics_2023_Consol_Source[], $AK940, AU$832 )</f>
        <v>0</v>
      </c>
      <c r="AV940" s="34" cm="1">
        <f t="array" ref="AV940" xml:space="preserve"> INDEX( VfM_Metrics_2023_Consol_Source[], $AK940, AV$832 )</f>
        <v>0</v>
      </c>
      <c r="AW940" s="34" cm="1">
        <f t="array" ref="AW940" xml:space="preserve"> INDEX( VfM_Metrics_2023_Consol_Source[], $AK940, AW$832 )</f>
        <v>1</v>
      </c>
      <c r="AX940" s="34" cm="1">
        <f t="array" ref="AX940" xml:space="preserve"> INDEX( VfM_Metrics_2023_Consol_Source[], $AK940, AX$832 )</f>
        <v>0</v>
      </c>
      <c r="AY940" s="34" cm="1">
        <f t="array" ref="AY940" xml:space="preserve"> INDEX( VfM_Metrics_2023_Consol_Source[], $AK940, AY$832 )</f>
        <v>0</v>
      </c>
      <c r="AZ940" s="34" cm="1">
        <f t="array" ref="AZ940" xml:space="preserve"> INDEX( VfM_Metrics_2023_Consol_Source[], $AK940, AZ$832 )</f>
        <v>0</v>
      </c>
      <c r="BA940" s="34" cm="1">
        <f t="array" ref="BA940" xml:space="preserve"> INDEX( VfM_Metrics_2023_Consol_Source[], $AK940, BA$832 )</f>
        <v>0</v>
      </c>
      <c r="BB940" s="34" cm="1">
        <f t="array" ref="BB940" xml:space="preserve"> INDEX( VfM_Metrics_2023_Consol_Source[], $AK940, BB$832 )</f>
        <v>0</v>
      </c>
      <c r="BC940" s="34" cm="1">
        <f t="array" ref="BC940" xml:space="preserve"> INDEX( VfM_Metrics_2023_Consol_Source[], $AK940, BC$832 )</f>
        <v>0</v>
      </c>
    </row>
    <row r="941" spans="2:55" x14ac:dyDescent="0.2">
      <c r="B941" s="122" t="str" vm="108">
        <f t="shared" ref="B941" si="445" xml:space="preserve"> B731</f>
        <v>North London Muslim Housing Association Limited</v>
      </c>
      <c r="C941" s="122" t="str" vm="219">
        <f t="shared" si="434"/>
        <v>LH3859</v>
      </c>
      <c r="D941" s="30" cm="1">
        <f t="array" ref="D941" xml:space="preserve"> INDEX( VfM_Metrics_2023_Consol_Source[], $AK941, D$832 )</f>
        <v>4.1580930493573129E-2</v>
      </c>
      <c r="E941" s="35">
        <f xml:space="preserve"> IF( tblFilterAll[[#This Row],[Reinvestment]] &lt; D$825, 4, IF( tblFilterAll[[#This Row],[Reinvestment]] &lt; D$826, 3, IF( tblFilterAll[[#This Row],[Reinvestment]] &lt; D$827, 2, 1 ) ) )</f>
        <v>4</v>
      </c>
      <c r="F941" s="35">
        <f xml:space="preserve"> COUNTIFS( tblFilterAll[Include in output], 1, tblFilterAll[Reinvestment], "&gt;" &amp; tblFilterAll[[#This Row],[Reinvestment]] ) + 1</f>
        <v>150</v>
      </c>
      <c r="G941" s="30" cm="1">
        <f t="array" ref="G941" xml:space="preserve"> INDEX( VfM_Metrics_2023_Consol_Source[], $AK941, G$832 )</f>
        <v>3.7488284910965321E-2</v>
      </c>
      <c r="H941" s="35">
        <f xml:space="preserve"> IF( tblFilterAll[[#This Row],[New Supply (Social)]] &lt; G$825, 4, IF( tblFilterAll[[#This Row],[New Supply (Social)]] &lt; G$826, 3, IF( tblFilterAll[[#This Row],[New Supply (Social)]] &lt; G$827, 2, 1 ) ) )</f>
        <v>1</v>
      </c>
      <c r="I941" s="35">
        <f xml:space="preserve"> COUNTIFS( tblFilterAll[Include in output], 1, tblFilterAll[New Supply (Social)], "&gt;" &amp; tblFilterAll[[#This Row],[New Supply (Social)]] ) + 1</f>
        <v>10</v>
      </c>
      <c r="J941" s="31" cm="1">
        <f t="array" ref="J941" xml:space="preserve"> INDEX( VfM_Metrics_2023_Consol_Source[], $AK941, J$832 )</f>
        <v>0</v>
      </c>
      <c r="K941" s="35">
        <f xml:space="preserve"> IF( tblFilterAll[[#This Row],[New Supply (Non-Social)]] &lt; J$825, 4, IF( tblFilterAll[[#This Row],[New Supply (Non-Social)]] &lt; J$826, 3, IF( tblFilterAll[[#This Row],[New Supply (Non-Social)]] &lt; J$827, 2, 1 ) ) )</f>
        <v>2</v>
      </c>
      <c r="L941" s="35">
        <f xml:space="preserve"> COUNTIFS( tblFilterAll[Include in output], 1, tblFilterAll[New Supply (Non-Social)], "&gt;" &amp; tblFilterAll[[#This Row],[New Supply (Non-Social)]] ) + 1</f>
        <v>72</v>
      </c>
      <c r="M941" s="30" cm="1">
        <f t="array" ref="M941" xml:space="preserve"> INDEX( VfM_Metrics_2023_Consol_Source[], $AK941, M$832 )</f>
        <v>0.4398599716736592</v>
      </c>
      <c r="N941" s="35">
        <f xml:space="preserve"> IF( tblFilterAll[[#This Row],[Gearing]] &lt; M$825, 4, IF( tblFilterAll[[#This Row],[Gearing]] &lt; M$826, 3, IF( tblFilterAll[[#This Row],[Gearing]] &lt; M$827, 2, 1 ) ) )</f>
        <v>3</v>
      </c>
      <c r="O941" s="35">
        <f xml:space="preserve"> COUNTIFS( tblFilterAll[Include in output], 1, tblFilterAll[Gearing], "&gt;" &amp; tblFilterAll[[#This Row],[Gearing]] ) + 1</f>
        <v>109</v>
      </c>
      <c r="P941" s="30" cm="1">
        <f t="array" ref="P941" xml:space="preserve"> INDEX( VfM_Metrics_2023_Consol_Source[], $AK941, P$832 )</f>
        <v>1.6456665506439263</v>
      </c>
      <c r="Q941" s="35">
        <f xml:space="preserve"> IF( tblFilterAll[[#This Row],[EBITDA MRI Interest Cover]] &lt; P$825, 4, IF( tblFilterAll[[#This Row],[EBITDA MRI Interest Cover]] &lt; P$826, 3, IF( tblFilterAll[[#This Row],[EBITDA MRI Interest Cover]] &lt; P$827, 2, 1 ) ) )</f>
        <v>2</v>
      </c>
      <c r="R941" s="35">
        <f xml:space="preserve"> COUNTIFS( tblFilterAll[Include in output], 1, tblFilterAll[EBITDA MRI Interest Cover], "&gt;" &amp; tblFilterAll[[#This Row],[EBITDA MRI Interest Cover]] ) + 1</f>
        <v>55</v>
      </c>
      <c r="S941" s="32" cm="1">
        <f t="array" ref="S941" xml:space="preserve"> INDEX( VfM_Metrics_2023_Consol_Source[], $AK941, S$832 )</f>
        <v>5455.4826616682285</v>
      </c>
      <c r="T941" s="35">
        <f xml:space="preserve"> IF( tblFilterAll[[#This Row],[Headline Social Housing Cost per unit]] &lt; S$825, 4, IF( tblFilterAll[[#This Row],[Headline Social Housing Cost per unit]] &lt; S$826, 3, IF( tblFilterAll[[#This Row],[Headline Social Housing Cost per unit]] &lt; S$827, 2, 1 ) ) )</f>
        <v>2</v>
      </c>
      <c r="U941" s="35">
        <f xml:space="preserve"> COUNTIFS( tblFilterAll[Include in output], 1, tblFilterAll[Headline Social Housing Cost per unit], "&gt;" &amp; tblFilterAll[[#This Row],[Headline Social Housing Cost per unit]] ) + 1</f>
        <v>60</v>
      </c>
      <c r="V941" s="30" cm="1">
        <f t="array" ref="V941" xml:space="preserve"> INDEX( VfM_Metrics_2023_Consol_Source[], $AK941, V$832 )</f>
        <v>0.28240208877284595</v>
      </c>
      <c r="W941" s="35">
        <f xml:space="preserve"> IF( tblFilterAll[[#This Row],[Operating Margin (SHL)]] &lt; V$825, 4, IF( tblFilterAll[[#This Row],[Operating Margin (SHL)]] &lt; V$826, 3, IF( tblFilterAll[[#This Row],[Operating Margin (SHL)]] &lt; V$827, 2, 1 ) ) )</f>
        <v>1</v>
      </c>
      <c r="X941" s="35">
        <f xml:space="preserve"> COUNTIFS( tblFilterAll[Include in output], 1, tblFilterAll[Operating Margin (SHL)], "&gt;" &amp; tblFilterAll[[#This Row],[Operating Margin (SHL)]] ) + 1</f>
        <v>35</v>
      </c>
      <c r="Y941" s="30" cm="1">
        <f t="array" ref="Y941" xml:space="preserve"> INDEX( VfM_Metrics_2023_Consol_Source[], $AK941, Y$832 )</f>
        <v>0.30506074383245135</v>
      </c>
      <c r="Z941" s="35">
        <f xml:space="preserve"> IF( tblFilterAll[[#This Row],[Operating Margin (Overall)]] &lt; Y$825, 4, IF( tblFilterAll[[#This Row],[Operating Margin (Overall)]] &lt; Y$826, 3, IF( tblFilterAll[[#This Row],[Operating Margin (Overall)]] &lt; Y$827, 2, 1 ) ) )</f>
        <v>1</v>
      </c>
      <c r="AA941" s="35">
        <f xml:space="preserve"> COUNTIFS( tblFilterAll[Include in output], 1, tblFilterAll[Operating Margin (Overall)], "&gt;" &amp; tblFilterAll[[#This Row],[Operating Margin (Overall)]] ) + 1</f>
        <v>13</v>
      </c>
      <c r="AB941" s="30" cm="1">
        <f t="array" ref="AB941" xml:space="preserve"> INDEX( VfM_Metrics_2023_Consol_Source[], $AK941, AB$832 )</f>
        <v>2.7763331599791975E-2</v>
      </c>
      <c r="AC941" s="35">
        <f xml:space="preserve"> IF( tblFilterAll[[#This Row],[ROCE]] &lt; AB$825, 4, IF( tblFilterAll[[#This Row],[ROCE]] &lt; AB$826, 3, IF( tblFilterAll[[#This Row],[ROCE]] &lt; AB$827, 2, 1 ) ) )</f>
        <v>3</v>
      </c>
      <c r="AD941" s="35">
        <f xml:space="preserve"> COUNTIFS( tblFilterAll[Include in output], 1, tblFilterAll[ROCE], "&gt;" &amp; tblFilterAll[[#This Row],[ROCE]] ) + 1</f>
        <v>106</v>
      </c>
      <c r="AE941" s="33" cm="1" vm="989">
        <f t="array" ref="AE941" xml:space="preserve"> INDEX( VfM_Metrics_2023_Consol_Source[], $AK941, AE$832 )</f>
        <v>1067</v>
      </c>
      <c r="AF941" s="30" cm="1">
        <f t="array" ref="AF941" xml:space="preserve"> INDEX( VfM_Metrics_2023_Consol_Source[], $AK941, AF$832 )</f>
        <v>0</v>
      </c>
      <c r="AG941" s="30" cm="1">
        <f t="array" ref="AG941" xml:space="preserve"> INDEX( VfM_Metrics_2023_Consol_Source[], $AK941, AG$832 )</f>
        <v>0</v>
      </c>
      <c r="AH941" s="30" cm="1">
        <f t="array" ref="AH941" xml:space="preserve"> INDEX( VfM_Metrics_2023_Consol_Source[], $AK941, AH$832 )</f>
        <v>0</v>
      </c>
      <c r="AI941" s="30" t="str" cm="1">
        <f t="array" ref="AI941" xml:space="preserve"> INDEX( VfM_Metrics_2023_Consol_Source[], $AK941, AI$832 )</f>
        <v>Traditional</v>
      </c>
      <c r="AJ941" s="34" t="str" cm="1">
        <f t="array" ref="AJ941" xml:space="preserve"> INDEX( VfM_Metrics_2023_Consol_Source[], $AK941, AJ$832 )</f>
        <v>London</v>
      </c>
      <c r="AK941" s="81">
        <f xml:space="preserve"> MATCH( tblFilterAll[[#This Row],[Code]], VfM_Metrics_2023_Consol_Source[RP_Code], 0 )</f>
        <v>108</v>
      </c>
      <c r="AL941" s="24">
        <f xml:space="preserve"> INDEX( tblFilterRegion[Include for region],  MATCH( tblFilterAll[[#This Row],[Code]], tblFilterRegion[RP_Code], 0 ) )</f>
        <v>1</v>
      </c>
      <c r="AM941" s="24">
        <f xml:space="preserve"> INDEX( tblFilterPropType[Incl for prop type],  MATCH( tblFilterAll[[#This Row],[Code]], tblFilterPropType[RP_Code], 0 ) )</f>
        <v>1</v>
      </c>
      <c r="AN941" s="24">
        <f xml:space="preserve"> INDEX( tblFilterSize[Incl for size],  MATCH( tblFilterAll[[#This Row],[Code]], tblFilterSize[RP_Code], 0 ) )</f>
        <v>1</v>
      </c>
      <c r="AO941" s="24">
        <f xml:space="preserve"> INDEX( tblFilterRP_Type[Incl, for RP Type],  MATCH( tblFilterAll[[#This Row],[Code]], tblFilterRP_Type[RP_Code], 0 ) )</f>
        <v>1</v>
      </c>
      <c r="AP941" s="24">
        <f xml:space="preserve">  -- ( SUM( tblFilterAll[[#This Row],[Filter Region]:[Filter RP Type]] ) = 4 )</f>
        <v>1</v>
      </c>
      <c r="AQ941" s="24">
        <f xml:space="preserve"> -- ( tblFilterAll[[#This Row],[Provider name]] = SelectedProvider )</f>
        <v>0</v>
      </c>
      <c r="AR941" s="24">
        <f xml:space="preserve">  -- ( OR( SUM( tblFilterAll[[#This Row],[Filter Region]:[Filter RP Type]] ) = 4, tblFilterAll[[#This Row],[SelectedProvider]] = 1 ) )</f>
        <v>1</v>
      </c>
      <c r="AS941" s="24">
        <f xml:space="preserve"> -- ( INDEX( PeersCritera[Included in final peers], MATCH( tblFilterAll[[#This Row],[Provider name]], PeersCritera[RP_Name], 0 ) ) = 1 )</f>
        <v>1</v>
      </c>
      <c r="AT941" s="30" t="str" cm="1">
        <f t="array" ref="AT941" xml:space="preserve"> SUBSTITUTE( INDEX( VfM_Metrics_2023_Consol_Source[], $AK941, AT$832 ), 0, "" )</f>
        <v/>
      </c>
      <c r="AU941" s="34" cm="1">
        <f t="array" ref="AU941" xml:space="preserve"> INDEX( VfM_Metrics_2023_Consol_Source[], $AK941, AU$832 )</f>
        <v>1</v>
      </c>
      <c r="AV941" s="34" cm="1">
        <f t="array" ref="AV941" xml:space="preserve"> INDEX( VfM_Metrics_2023_Consol_Source[], $AK941, AV$832 )</f>
        <v>0</v>
      </c>
      <c r="AW941" s="34" cm="1">
        <f t="array" ref="AW941" xml:space="preserve"> INDEX( VfM_Metrics_2023_Consol_Source[], $AK941, AW$832 )</f>
        <v>0</v>
      </c>
      <c r="AX941" s="34" cm="1">
        <f t="array" ref="AX941" xml:space="preserve"> INDEX( VfM_Metrics_2023_Consol_Source[], $AK941, AX$832 )</f>
        <v>0</v>
      </c>
      <c r="AY941" s="34" cm="1">
        <f t="array" ref="AY941" xml:space="preserve"> INDEX( VfM_Metrics_2023_Consol_Source[], $AK941, AY$832 )</f>
        <v>0</v>
      </c>
      <c r="AZ941" s="34" cm="1">
        <f t="array" ref="AZ941" xml:space="preserve"> INDEX( VfM_Metrics_2023_Consol_Source[], $AK941, AZ$832 )</f>
        <v>0</v>
      </c>
      <c r="BA941" s="34" cm="1">
        <f t="array" ref="BA941" xml:space="preserve"> INDEX( VfM_Metrics_2023_Consol_Source[], $AK941, BA$832 )</f>
        <v>0</v>
      </c>
      <c r="BB941" s="34" cm="1">
        <f t="array" ref="BB941" xml:space="preserve"> INDEX( VfM_Metrics_2023_Consol_Source[], $AK941, BB$832 )</f>
        <v>0</v>
      </c>
      <c r="BC941" s="34" cm="1">
        <f t="array" ref="BC941" xml:space="preserve"> INDEX( VfM_Metrics_2023_Consol_Source[], $AK941, BC$832 )</f>
        <v>0</v>
      </c>
    </row>
    <row r="942" spans="2:55" x14ac:dyDescent="0.2">
      <c r="B942" s="122" t="str" vm="109">
        <f t="shared" ref="B942" si="446" xml:space="preserve"> B732</f>
        <v>North Star Housing Group</v>
      </c>
      <c r="C942" s="122" t="str" vm="328">
        <f t="shared" si="434"/>
        <v>LH0084</v>
      </c>
      <c r="D942" s="30" cm="1">
        <f t="array" ref="D942" xml:space="preserve"> INDEX( VfM_Metrics_2023_Consol_Source[], $AK942, D$832 )</f>
        <v>6.6287638740516755E-2</v>
      </c>
      <c r="E942" s="35">
        <f xml:space="preserve"> IF( tblFilterAll[[#This Row],[Reinvestment]] &lt; D$825, 4, IF( tblFilterAll[[#This Row],[Reinvestment]] &lt; D$826, 3, IF( tblFilterAll[[#This Row],[Reinvestment]] &lt; D$827, 2, 1 ) ) )</f>
        <v>3</v>
      </c>
      <c r="F942" s="35">
        <f xml:space="preserve"> COUNTIFS( tblFilterAll[Include in output], 1, tblFilterAll[Reinvestment], "&gt;" &amp; tblFilterAll[[#This Row],[Reinvestment]] ) + 1</f>
        <v>103</v>
      </c>
      <c r="G942" s="30" cm="1">
        <f t="array" ref="G942" xml:space="preserve"> INDEX( VfM_Metrics_2023_Consol_Source[], $AK942, G$832 )</f>
        <v>1.7703722988804998E-2</v>
      </c>
      <c r="H942" s="35">
        <f xml:space="preserve"> IF( tblFilterAll[[#This Row],[New Supply (Social)]] &lt; G$825, 4, IF( tblFilterAll[[#This Row],[New Supply (Social)]] &lt; G$826, 3, IF( tblFilterAll[[#This Row],[New Supply (Social)]] &lt; G$827, 2, 1 ) ) )</f>
        <v>2</v>
      </c>
      <c r="I942" s="35">
        <f xml:space="preserve"> COUNTIFS( tblFilterAll[Include in output], 1, tblFilterAll[New Supply (Social)], "&gt;" &amp; tblFilterAll[[#This Row],[New Supply (Social)]] ) + 1</f>
        <v>69</v>
      </c>
      <c r="J942" s="31" cm="1">
        <f t="array" ref="J942" xml:space="preserve"> INDEX( VfM_Metrics_2023_Consol_Source[], $AK942, J$832 )</f>
        <v>0</v>
      </c>
      <c r="K942" s="35">
        <f xml:space="preserve"> IF( tblFilterAll[[#This Row],[New Supply (Non-Social)]] &lt; J$825, 4, IF( tblFilterAll[[#This Row],[New Supply (Non-Social)]] &lt; J$826, 3, IF( tblFilterAll[[#This Row],[New Supply (Non-Social)]] &lt; J$827, 2, 1 ) ) )</f>
        <v>2</v>
      </c>
      <c r="L942" s="35">
        <f xml:space="preserve"> COUNTIFS( tblFilterAll[Include in output], 1, tblFilterAll[New Supply (Non-Social)], "&gt;" &amp; tblFilterAll[[#This Row],[New Supply (Non-Social)]] ) + 1</f>
        <v>72</v>
      </c>
      <c r="M942" s="30" cm="1">
        <f t="array" ref="M942" xml:space="preserve"> INDEX( VfM_Metrics_2023_Consol_Source[], $AK942, M$832 )</f>
        <v>0.47177660287167972</v>
      </c>
      <c r="N942" s="35">
        <f xml:space="preserve"> IF( tblFilterAll[[#This Row],[Gearing]] &lt; M$825, 4, IF( tblFilterAll[[#This Row],[Gearing]] &lt; M$826, 3, IF( tblFilterAll[[#This Row],[Gearing]] &lt; M$827, 2, 1 ) ) )</f>
        <v>2</v>
      </c>
      <c r="O942" s="35">
        <f xml:space="preserve"> COUNTIFS( tblFilterAll[Include in output], 1, tblFilterAll[Gearing], "&gt;" &amp; tblFilterAll[[#This Row],[Gearing]] ) + 1</f>
        <v>87</v>
      </c>
      <c r="P942" s="30" cm="1">
        <f t="array" ref="P942" xml:space="preserve"> INDEX( VfM_Metrics_2023_Consol_Source[], $AK942, P$832 )</f>
        <v>1.6940459110473458</v>
      </c>
      <c r="Q942" s="35">
        <f xml:space="preserve"> IF( tblFilterAll[[#This Row],[EBITDA MRI Interest Cover]] &lt; P$825, 4, IF( tblFilterAll[[#This Row],[EBITDA MRI Interest Cover]] &lt; P$826, 3, IF( tblFilterAll[[#This Row],[EBITDA MRI Interest Cover]] &lt; P$827, 2, 1 ) ) )</f>
        <v>1</v>
      </c>
      <c r="R942" s="35">
        <f xml:space="preserve"> COUNTIFS( tblFilterAll[Include in output], 1, tblFilterAll[EBITDA MRI Interest Cover], "&gt;" &amp; tblFilterAll[[#This Row],[EBITDA MRI Interest Cover]] ) + 1</f>
        <v>49</v>
      </c>
      <c r="S942" s="32" cm="1">
        <f t="array" ref="S942" xml:space="preserve"> INDEX( VfM_Metrics_2023_Consol_Source[], $AK942, S$832 )</f>
        <v>4330.8251167618055</v>
      </c>
      <c r="T942" s="35">
        <f xml:space="preserve"> IF( tblFilterAll[[#This Row],[Headline Social Housing Cost per unit]] &lt; S$825, 4, IF( tblFilterAll[[#This Row],[Headline Social Housing Cost per unit]] &lt; S$826, 3, IF( tblFilterAll[[#This Row],[Headline Social Housing Cost per unit]] &lt; S$827, 2, 1 ) ) )</f>
        <v>3</v>
      </c>
      <c r="U942" s="35">
        <f xml:space="preserve"> COUNTIFS( tblFilterAll[Include in output], 1, tblFilterAll[Headline Social Housing Cost per unit], "&gt;" &amp; tblFilterAll[[#This Row],[Headline Social Housing Cost per unit]] ) + 1</f>
        <v>122</v>
      </c>
      <c r="V942" s="30" cm="1">
        <f t="array" ref="V942" xml:space="preserve"> INDEX( VfM_Metrics_2023_Consol_Source[], $AK942, V$832 )</f>
        <v>0.21737941096015317</v>
      </c>
      <c r="W942" s="35">
        <f xml:space="preserve"> IF( tblFilterAll[[#This Row],[Operating Margin (SHL)]] &lt; V$825, 4, IF( tblFilterAll[[#This Row],[Operating Margin (SHL)]] &lt; V$826, 3, IF( tblFilterAll[[#This Row],[Operating Margin (SHL)]] &lt; V$827, 2, 1 ) ) )</f>
        <v>2</v>
      </c>
      <c r="X942" s="35">
        <f xml:space="preserve"> COUNTIFS( tblFilterAll[Include in output], 1, tblFilterAll[Operating Margin (SHL)], "&gt;" &amp; tblFilterAll[[#This Row],[Operating Margin (SHL)]] ) + 1</f>
        <v>83</v>
      </c>
      <c r="Y942" s="30" cm="1">
        <f t="array" ref="Y942" xml:space="preserve"> INDEX( VfM_Metrics_2023_Consol_Source[], $AK942, Y$832 )</f>
        <v>0.22907823600375318</v>
      </c>
      <c r="Z942" s="35">
        <f xml:space="preserve"> IF( tblFilterAll[[#This Row],[Operating Margin (Overall)]] &lt; Y$825, 4, IF( tblFilterAll[[#This Row],[Operating Margin (Overall)]] &lt; Y$826, 3, IF( tblFilterAll[[#This Row],[Operating Margin (Overall)]] &lt; Y$827, 2, 1 ) ) )</f>
        <v>2</v>
      </c>
      <c r="AA942" s="35">
        <f xml:space="preserve"> COUNTIFS( tblFilterAll[Include in output], 1, tblFilterAll[Operating Margin (Overall)], "&gt;" &amp; tblFilterAll[[#This Row],[Operating Margin (Overall)]] ) + 1</f>
        <v>52</v>
      </c>
      <c r="AB942" s="30" cm="1">
        <f t="array" ref="AB942" xml:space="preserve"> INDEX( VfM_Metrics_2023_Consol_Source[], $AK942, AB$832 )</f>
        <v>2.3087934109978198E-2</v>
      </c>
      <c r="AC942" s="35">
        <f xml:space="preserve"> IF( tblFilterAll[[#This Row],[ROCE]] &lt; AB$825, 4, IF( tblFilterAll[[#This Row],[ROCE]] &lt; AB$826, 3, IF( tblFilterAll[[#This Row],[ROCE]] &lt; AB$827, 2, 1 ) ) )</f>
        <v>3</v>
      </c>
      <c r="AD942" s="35">
        <f xml:space="preserve"> COUNTIFS( tblFilterAll[Include in output], 1, tblFilterAll[ROCE], "&gt;" &amp; tblFilterAll[[#This Row],[ROCE]] ) + 1</f>
        <v>139</v>
      </c>
      <c r="AE942" s="33" cm="1" vm="4309">
        <f t="array" ref="AE942" xml:space="preserve"> INDEX( VfM_Metrics_2023_Consol_Source[], $AK942, AE$832 )</f>
        <v>3827</v>
      </c>
      <c r="AF942" s="30" cm="1">
        <f t="array" ref="AF942" xml:space="preserve"> INDEX( VfM_Metrics_2023_Consol_Source[], $AK942, AF$832 )</f>
        <v>0.10559330893883952</v>
      </c>
      <c r="AG942" s="30" cm="1">
        <f t="array" ref="AG942" xml:space="preserve"> INDEX( VfM_Metrics_2023_Consol_Source[], $AK942, AG$832 )</f>
        <v>5.0444328280188189E-2</v>
      </c>
      <c r="AH942" s="30" cm="1">
        <f t="array" ref="AH942" xml:space="preserve"> INDEX( VfM_Metrics_2023_Consol_Source[], $AK942, AH$832 )</f>
        <v>0.15603763721902769</v>
      </c>
      <c r="AI942" s="30" t="str" cm="1">
        <f t="array" ref="AI942" xml:space="preserve"> INDEX( VfM_Metrics_2023_Consol_Source[], $AK942, AI$832 )</f>
        <v>Traditional</v>
      </c>
      <c r="AJ942" s="34" t="str" cm="1">
        <f t="array" ref="AJ942" xml:space="preserve"> INDEX( VfM_Metrics_2023_Consol_Source[], $AK942, AJ$832 )</f>
        <v>North East</v>
      </c>
      <c r="AK942" s="81">
        <f xml:space="preserve"> MATCH( tblFilterAll[[#This Row],[Code]], VfM_Metrics_2023_Consol_Source[RP_Code], 0 )</f>
        <v>109</v>
      </c>
      <c r="AL942" s="24">
        <f xml:space="preserve"> INDEX( tblFilterRegion[Include for region],  MATCH( tblFilterAll[[#This Row],[Code]], tblFilterRegion[RP_Code], 0 ) )</f>
        <v>1</v>
      </c>
      <c r="AM942" s="24">
        <f xml:space="preserve"> INDEX( tblFilterPropType[Incl for prop type],  MATCH( tblFilterAll[[#This Row],[Code]], tblFilterPropType[RP_Code], 0 ) )</f>
        <v>1</v>
      </c>
      <c r="AN942" s="24">
        <f xml:space="preserve"> INDEX( tblFilterSize[Incl for size],  MATCH( tblFilterAll[[#This Row],[Code]], tblFilterSize[RP_Code], 0 ) )</f>
        <v>1</v>
      </c>
      <c r="AO942" s="24">
        <f xml:space="preserve"> INDEX( tblFilterRP_Type[Incl, for RP Type],  MATCH( tblFilterAll[[#This Row],[Code]], tblFilterRP_Type[RP_Code], 0 ) )</f>
        <v>1</v>
      </c>
      <c r="AP942" s="24">
        <f xml:space="preserve">  -- ( SUM( tblFilterAll[[#This Row],[Filter Region]:[Filter RP Type]] ) = 4 )</f>
        <v>1</v>
      </c>
      <c r="AQ942" s="24">
        <f xml:space="preserve"> -- ( tblFilterAll[[#This Row],[Provider name]] = SelectedProvider )</f>
        <v>0</v>
      </c>
      <c r="AR942" s="24">
        <f xml:space="preserve">  -- ( OR( SUM( tblFilterAll[[#This Row],[Filter Region]:[Filter RP Type]] ) = 4, tblFilterAll[[#This Row],[SelectedProvider]] = 1 ) )</f>
        <v>1</v>
      </c>
      <c r="AS942" s="24">
        <f xml:space="preserve"> -- ( INDEX( PeersCritera[Included in final peers], MATCH( tblFilterAll[[#This Row],[Provider name]], PeersCritera[RP_Name], 0 ) ) = 1 )</f>
        <v>1</v>
      </c>
      <c r="AT942" s="30" t="str" cm="1">
        <f t="array" ref="AT942" xml:space="preserve"> SUBSTITUTE( INDEX( VfM_Metrics_2023_Consol_Source[], $AK942, AT$832 ), 0, "" )</f>
        <v/>
      </c>
      <c r="AU942" s="34" cm="1">
        <f t="array" ref="AU942" xml:space="preserve"> INDEX( VfM_Metrics_2023_Consol_Source[], $AK942, AU$832 )</f>
        <v>0</v>
      </c>
      <c r="AV942" s="34" cm="1">
        <f t="array" ref="AV942" xml:space="preserve"> INDEX( VfM_Metrics_2023_Consol_Source[], $AK942, AV$832 )</f>
        <v>0</v>
      </c>
      <c r="AW942" s="34" cm="1">
        <f t="array" ref="AW942" xml:space="preserve"> INDEX( VfM_Metrics_2023_Consol_Source[], $AK942, AW$832 )</f>
        <v>0</v>
      </c>
      <c r="AX942" s="34" cm="1">
        <f t="array" ref="AX942" xml:space="preserve"> INDEX( VfM_Metrics_2023_Consol_Source[], $AK942, AX$832 )</f>
        <v>0</v>
      </c>
      <c r="AY942" s="34" cm="1">
        <f t="array" ref="AY942" xml:space="preserve"> INDEX( VfM_Metrics_2023_Consol_Source[], $AK942, AY$832 )</f>
        <v>0</v>
      </c>
      <c r="AZ942" s="34" cm="1">
        <f t="array" ref="AZ942" xml:space="preserve"> INDEX( VfM_Metrics_2023_Consol_Source[], $AK942, AZ$832 )</f>
        <v>0</v>
      </c>
      <c r="BA942" s="34" cm="1">
        <f t="array" ref="BA942" xml:space="preserve"> INDEX( VfM_Metrics_2023_Consol_Source[], $AK942, BA$832 )</f>
        <v>0.97358786610878656</v>
      </c>
      <c r="BB942" s="34" cm="1">
        <f t="array" ref="BB942" xml:space="preserve"> INDEX( VfM_Metrics_2023_Consol_Source[], $AK942, BB$832 )</f>
        <v>0</v>
      </c>
      <c r="BC942" s="34" cm="1">
        <f t="array" ref="BC942" xml:space="preserve"> INDEX( VfM_Metrics_2023_Consol_Source[], $AK942, BC$832 )</f>
        <v>2.6412133891213389E-2</v>
      </c>
    </row>
    <row r="943" spans="2:55" x14ac:dyDescent="0.2">
      <c r="B943" s="122" t="str" vm="110">
        <f t="shared" ref="B943" si="447" xml:space="preserve"> B733</f>
        <v>Notting Hill Genesis</v>
      </c>
      <c r="C943" s="122" t="str" vm="239">
        <f t="shared" si="434"/>
        <v>4880</v>
      </c>
      <c r="D943" s="30" cm="1">
        <f t="array" ref="D943" xml:space="preserve"> INDEX( VfM_Metrics_2023_Consol_Source[], $AK943, D$832 )</f>
        <v>3.5111658890160519E-2</v>
      </c>
      <c r="E943" s="35">
        <f xml:space="preserve"> IF( tblFilterAll[[#This Row],[Reinvestment]] &lt; D$825, 4, IF( tblFilterAll[[#This Row],[Reinvestment]] &lt; D$826, 3, IF( tblFilterAll[[#This Row],[Reinvestment]] &lt; D$827, 2, 1 ) ) )</f>
        <v>4</v>
      </c>
      <c r="F943" s="35">
        <f xml:space="preserve"> COUNTIFS( tblFilterAll[Include in output], 1, tblFilterAll[Reinvestment], "&gt;" &amp; tblFilterAll[[#This Row],[Reinvestment]] ) + 1</f>
        <v>160</v>
      </c>
      <c r="G943" s="30" cm="1">
        <f t="array" ref="G943" xml:space="preserve"> INDEX( VfM_Metrics_2023_Consol_Source[], $AK943, G$832 )</f>
        <v>7.3610415623435151E-3</v>
      </c>
      <c r="H943" s="35">
        <f xml:space="preserve"> IF( tblFilterAll[[#This Row],[New Supply (Social)]] &lt; G$825, 4, IF( tblFilterAll[[#This Row],[New Supply (Social)]] &lt; G$826, 3, IF( tblFilterAll[[#This Row],[New Supply (Social)]] &lt; G$827, 2, 1 ) ) )</f>
        <v>3</v>
      </c>
      <c r="I943" s="35">
        <f xml:space="preserve"> COUNTIFS( tblFilterAll[Include in output], 1, tblFilterAll[New Supply (Social)], "&gt;" &amp; tblFilterAll[[#This Row],[New Supply (Social)]] ) + 1</f>
        <v>141</v>
      </c>
      <c r="J943" s="31" cm="1">
        <f t="array" ref="J943" xml:space="preserve"> INDEX( VfM_Metrics_2023_Consol_Source[], $AK943, J$832 )</f>
        <v>2.8455729451679983E-3</v>
      </c>
      <c r="K943" s="35">
        <f xml:space="preserve"> IF( tblFilterAll[[#This Row],[New Supply (Non-Social)]] &lt; J$825, 4, IF( tblFilterAll[[#This Row],[New Supply (Non-Social)]] &lt; J$826, 3, IF( tblFilterAll[[#This Row],[New Supply (Non-Social)]] &lt; J$827, 2, 1 ) ) )</f>
        <v>1</v>
      </c>
      <c r="L943" s="35">
        <f xml:space="preserve"> COUNTIFS( tblFilterAll[Include in output], 1, tblFilterAll[New Supply (Non-Social)], "&gt;" &amp; tblFilterAll[[#This Row],[New Supply (Non-Social)]] ) + 1</f>
        <v>30</v>
      </c>
      <c r="M943" s="30" cm="1">
        <f t="array" ref="M943" xml:space="preserve"> INDEX( VfM_Metrics_2023_Consol_Source[], $AK943, M$832 )</f>
        <v>0.47612759339143707</v>
      </c>
      <c r="N943" s="35">
        <f xml:space="preserve"> IF( tblFilterAll[[#This Row],[Gearing]] &lt; M$825, 4, IF( tblFilterAll[[#This Row],[Gearing]] &lt; M$826, 3, IF( tblFilterAll[[#This Row],[Gearing]] &lt; M$827, 2, 1 ) ) )</f>
        <v>2</v>
      </c>
      <c r="O943" s="35">
        <f xml:space="preserve"> COUNTIFS( tblFilterAll[Include in output], 1, tblFilterAll[Gearing], "&gt;" &amp; tblFilterAll[[#This Row],[Gearing]] ) + 1</f>
        <v>85</v>
      </c>
      <c r="P943" s="30" cm="1">
        <f t="array" ref="P943" xml:space="preserve"> INDEX( VfM_Metrics_2023_Consol_Source[], $AK943, P$832 )</f>
        <v>0.96851975887474884</v>
      </c>
      <c r="Q943" s="35">
        <f xml:space="preserve"> IF( tblFilterAll[[#This Row],[EBITDA MRI Interest Cover]] &lt; P$825, 4, IF( tblFilterAll[[#This Row],[EBITDA MRI Interest Cover]] &lt; P$826, 3, IF( tblFilterAll[[#This Row],[EBITDA MRI Interest Cover]] &lt; P$827, 2, 1 ) ) )</f>
        <v>3</v>
      </c>
      <c r="R943" s="35">
        <f xml:space="preserve"> COUNTIFS( tblFilterAll[Include in output], 1, tblFilterAll[EBITDA MRI Interest Cover], "&gt;" &amp; tblFilterAll[[#This Row],[EBITDA MRI Interest Cover]] ) + 1</f>
        <v>141</v>
      </c>
      <c r="S943" s="32" cm="1">
        <f t="array" ref="S943" xml:space="preserve"> INDEX( VfM_Metrics_2023_Consol_Source[], $AK943, S$832 )</f>
        <v>8167.0168067226887</v>
      </c>
      <c r="T943" s="35">
        <f xml:space="preserve"> IF( tblFilterAll[[#This Row],[Headline Social Housing Cost per unit]] &lt; S$825, 4, IF( tblFilterAll[[#This Row],[Headline Social Housing Cost per unit]] &lt; S$826, 3, IF( tblFilterAll[[#This Row],[Headline Social Housing Cost per unit]] &lt; S$827, 2, 1 ) ) )</f>
        <v>1</v>
      </c>
      <c r="U943" s="35">
        <f xml:space="preserve"> COUNTIFS( tblFilterAll[Include in output], 1, tblFilterAll[Headline Social Housing Cost per unit], "&gt;" &amp; tblFilterAll[[#This Row],[Headline Social Housing Cost per unit]] ) + 1</f>
        <v>22</v>
      </c>
      <c r="V943" s="30" cm="1">
        <f t="array" ref="V943" xml:space="preserve"> INDEX( VfM_Metrics_2023_Consol_Source[], $AK943, V$832 )</f>
        <v>0.18844513377278016</v>
      </c>
      <c r="W943" s="35">
        <f xml:space="preserve"> IF( tblFilterAll[[#This Row],[Operating Margin (SHL)]] &lt; V$825, 4, IF( tblFilterAll[[#This Row],[Operating Margin (SHL)]] &lt; V$826, 3, IF( tblFilterAll[[#This Row],[Operating Margin (SHL)]] &lt; V$827, 2, 1 ) ) )</f>
        <v>3</v>
      </c>
      <c r="X943" s="35">
        <f xml:space="preserve"> COUNTIFS( tblFilterAll[Include in output], 1, tblFilterAll[Operating Margin (SHL)], "&gt;" &amp; tblFilterAll[[#This Row],[Operating Margin (SHL)]] ) + 1</f>
        <v>109</v>
      </c>
      <c r="Y943" s="30" cm="1">
        <f t="array" ref="Y943" xml:space="preserve"> INDEX( VfM_Metrics_2023_Consol_Source[], $AK943, Y$832 )</f>
        <v>0.16838346380991623</v>
      </c>
      <c r="Z943" s="35">
        <f xml:space="preserve"> IF( tblFilterAll[[#This Row],[Operating Margin (Overall)]] &lt; Y$825, 4, IF( tblFilterAll[[#This Row],[Operating Margin (Overall)]] &lt; Y$826, 3, IF( tblFilterAll[[#This Row],[Operating Margin (Overall)]] &lt; Y$827, 2, 1 ) ) )</f>
        <v>3</v>
      </c>
      <c r="AA943" s="35">
        <f xml:space="preserve"> COUNTIFS( tblFilterAll[Include in output], 1, tblFilterAll[Operating Margin (Overall)], "&gt;" &amp; tblFilterAll[[#This Row],[Operating Margin (Overall)]] ) + 1</f>
        <v>110</v>
      </c>
      <c r="AB943" s="30" cm="1">
        <f t="array" ref="AB943" xml:space="preserve"> INDEX( VfM_Metrics_2023_Consol_Source[], $AK943, AB$832 )</f>
        <v>2.1902476089394909E-2</v>
      </c>
      <c r="AC943" s="35">
        <f xml:space="preserve"> IF( tblFilterAll[[#This Row],[ROCE]] &lt; AB$825, 4, IF( tblFilterAll[[#This Row],[ROCE]] &lt; AB$826, 3, IF( tblFilterAll[[#This Row],[ROCE]] &lt; AB$827, 2, 1 ) ) )</f>
        <v>4</v>
      </c>
      <c r="AD943" s="35">
        <f xml:space="preserve"> COUNTIFS( tblFilterAll[Include in output], 1, tblFilterAll[ROCE], "&gt;" &amp; tblFilterAll[[#This Row],[ROCE]] ) + 1</f>
        <v>150</v>
      </c>
      <c r="AE943" s="33" cm="1" vm="1448">
        <f t="array" ref="AE943" xml:space="preserve"> INDEX( VfM_Metrics_2023_Consol_Source[], $AK943, AE$832 )</f>
        <v>50459</v>
      </c>
      <c r="AF943" s="30" cm="1">
        <f t="array" ref="AF943" xml:space="preserve"> INDEX( VfM_Metrics_2023_Consol_Source[], $AK943, AF$832 )</f>
        <v>4.8052228125551398E-2</v>
      </c>
      <c r="AG943" s="30" cm="1">
        <f t="array" ref="AG943" xml:space="preserve"> INDEX( VfM_Metrics_2023_Consol_Source[], $AK943, AG$832 )</f>
        <v>3.3524810320152136E-2</v>
      </c>
      <c r="AH943" s="30" cm="1">
        <f t="array" ref="AH943" xml:space="preserve"> INDEX( VfM_Metrics_2023_Consol_Source[], $AK943, AH$832 )</f>
        <v>8.1577038445703534E-2</v>
      </c>
      <c r="AI943" s="30" t="str" cm="1">
        <f t="array" ref="AI943" xml:space="preserve"> INDEX( VfM_Metrics_2023_Consol_Source[], $AK943, AI$832 )</f>
        <v>Traditional</v>
      </c>
      <c r="AJ943" s="34" t="str" cm="1">
        <f t="array" ref="AJ943" xml:space="preserve"> INDEX( VfM_Metrics_2023_Consol_Source[], $AK943, AJ$832 )</f>
        <v>London</v>
      </c>
      <c r="AK943" s="81">
        <f xml:space="preserve"> MATCH( tblFilterAll[[#This Row],[Code]], VfM_Metrics_2023_Consol_Source[RP_Code], 0 )</f>
        <v>110</v>
      </c>
      <c r="AL943" s="24">
        <f xml:space="preserve"> INDEX( tblFilterRegion[Include for region],  MATCH( tblFilterAll[[#This Row],[Code]], tblFilterRegion[RP_Code], 0 ) )</f>
        <v>1</v>
      </c>
      <c r="AM943" s="24">
        <f xml:space="preserve"> INDEX( tblFilterPropType[Incl for prop type],  MATCH( tblFilterAll[[#This Row],[Code]], tblFilterPropType[RP_Code], 0 ) )</f>
        <v>1</v>
      </c>
      <c r="AN943" s="24">
        <f xml:space="preserve"> INDEX( tblFilterSize[Incl for size],  MATCH( tblFilterAll[[#This Row],[Code]], tblFilterSize[RP_Code], 0 ) )</f>
        <v>1</v>
      </c>
      <c r="AO943" s="24">
        <f xml:space="preserve"> INDEX( tblFilterRP_Type[Incl, for RP Type],  MATCH( tblFilterAll[[#This Row],[Code]], tblFilterRP_Type[RP_Code], 0 ) )</f>
        <v>1</v>
      </c>
      <c r="AP943" s="24">
        <f xml:space="preserve">  -- ( SUM( tblFilterAll[[#This Row],[Filter Region]:[Filter RP Type]] ) = 4 )</f>
        <v>1</v>
      </c>
      <c r="AQ943" s="24">
        <f xml:space="preserve"> -- ( tblFilterAll[[#This Row],[Provider name]] = SelectedProvider )</f>
        <v>0</v>
      </c>
      <c r="AR943" s="24">
        <f xml:space="preserve">  -- ( OR( SUM( tblFilterAll[[#This Row],[Filter Region]:[Filter RP Type]] ) = 4, tblFilterAll[[#This Row],[SelectedProvider]] = 1 ) )</f>
        <v>1</v>
      </c>
      <c r="AS943" s="24">
        <f xml:space="preserve"> -- ( INDEX( PeersCritera[Included in final peers], MATCH( tblFilterAll[[#This Row],[Provider name]], PeersCritera[RP_Name], 0 ) ) = 1 )</f>
        <v>1</v>
      </c>
      <c r="AT943" s="30" t="str" cm="1">
        <f t="array" ref="AT943" xml:space="preserve"> SUBSTITUTE( INDEX( VfM_Metrics_2023_Consol_Source[], $AK943, AT$832 ), 0, "" )</f>
        <v/>
      </c>
      <c r="AU943" s="34" cm="1">
        <f t="array" ref="AU943" xml:space="preserve"> INDEX( VfM_Metrics_2023_Consol_Source[], $AK943, AU$832 )</f>
        <v>0.89620458456122309</v>
      </c>
      <c r="AV943" s="34" cm="1">
        <f t="array" ref="AV943" xml:space="preserve"> INDEX( VfM_Metrics_2023_Consol_Source[], $AK943, AV$832 )</f>
        <v>4.5687387512114083E-3</v>
      </c>
      <c r="AW943" s="34" cm="1">
        <f t="array" ref="AW943" xml:space="preserve"> INDEX( VfM_Metrics_2023_Consol_Source[], $AK943, AW$832 )</f>
        <v>1.5822471865667214E-4</v>
      </c>
      <c r="AX943" s="34" cm="1">
        <f t="array" ref="AX943" xml:space="preserve"> INDEX( VfM_Metrics_2023_Consol_Source[], $AK943, AX$832 )</f>
        <v>0</v>
      </c>
      <c r="AY943" s="34" cm="1">
        <f t="array" ref="AY943" xml:space="preserve"> INDEX( VfM_Metrics_2023_Consol_Source[], $AK943, AY$832 )</f>
        <v>0</v>
      </c>
      <c r="AZ943" s="34" cm="1">
        <f t="array" ref="AZ943" xml:space="preserve"> INDEX( VfM_Metrics_2023_Consol_Source[], $AK943, AZ$832 )</f>
        <v>9.9028895789244675E-2</v>
      </c>
      <c r="BA943" s="34" cm="1">
        <f t="array" ref="BA943" xml:space="preserve"> INDEX( VfM_Metrics_2023_Consol_Source[], $AK943, BA$832 )</f>
        <v>0</v>
      </c>
      <c r="BB943" s="34" cm="1">
        <f t="array" ref="BB943" xml:space="preserve"> INDEX( VfM_Metrics_2023_Consol_Source[], $AK943, BB$832 )</f>
        <v>1.9778089832084018E-5</v>
      </c>
      <c r="BC943" s="34" cm="1">
        <f t="array" ref="BC943" xml:space="preserve"> INDEX( VfM_Metrics_2023_Consol_Source[], $AK943, BC$832 )</f>
        <v>1.9778089832084018E-5</v>
      </c>
    </row>
    <row r="944" spans="2:55" x14ac:dyDescent="0.2">
      <c r="B944" s="122" t="str" vm="111">
        <f t="shared" ref="B944" si="448" xml:space="preserve"> B734</f>
        <v>Nottingham Community Housing Association Limited</v>
      </c>
      <c r="C944" s="122" t="str" vm="270">
        <f t="shared" si="434"/>
        <v>4817</v>
      </c>
      <c r="D944" s="30" cm="1">
        <f t="array" ref="D944" xml:space="preserve"> INDEX( VfM_Metrics_2023_Consol_Source[], $AK944, D$832 )</f>
        <v>8.2367804488067908E-2</v>
      </c>
      <c r="E944" s="35">
        <f xml:space="preserve"> IF( tblFilterAll[[#This Row],[Reinvestment]] &lt; D$825, 4, IF( tblFilterAll[[#This Row],[Reinvestment]] &lt; D$826, 3, IF( tblFilterAll[[#This Row],[Reinvestment]] &lt; D$827, 2, 1 ) ) )</f>
        <v>2</v>
      </c>
      <c r="F944" s="35">
        <f xml:space="preserve"> COUNTIFS( tblFilterAll[Include in output], 1, tblFilterAll[Reinvestment], "&gt;" &amp; tblFilterAll[[#This Row],[Reinvestment]] ) + 1</f>
        <v>69</v>
      </c>
      <c r="G944" s="30" cm="1">
        <f t="array" ref="G944" xml:space="preserve"> INDEX( VfM_Metrics_2023_Consol_Source[], $AK944, G$832 )</f>
        <v>1.4768140198877622E-2</v>
      </c>
      <c r="H944" s="35">
        <f xml:space="preserve"> IF( tblFilterAll[[#This Row],[New Supply (Social)]] &lt; G$825, 4, IF( tblFilterAll[[#This Row],[New Supply (Social)]] &lt; G$826, 3, IF( tblFilterAll[[#This Row],[New Supply (Social)]] &lt; G$827, 2, 1 ) ) )</f>
        <v>2</v>
      </c>
      <c r="I944" s="35">
        <f xml:space="preserve"> COUNTIFS( tblFilterAll[Include in output], 1, tblFilterAll[New Supply (Social)], "&gt;" &amp; tblFilterAll[[#This Row],[New Supply (Social)]] ) + 1</f>
        <v>83</v>
      </c>
      <c r="J944" s="31" cm="1">
        <f t="array" ref="J944" xml:space="preserve"> INDEX( VfM_Metrics_2023_Consol_Source[], $AK944, J$832 )</f>
        <v>0</v>
      </c>
      <c r="K944" s="35">
        <f xml:space="preserve"> IF( tblFilterAll[[#This Row],[New Supply (Non-Social)]] &lt; J$825, 4, IF( tblFilterAll[[#This Row],[New Supply (Non-Social)]] &lt; J$826, 3, IF( tblFilterAll[[#This Row],[New Supply (Non-Social)]] &lt; J$827, 2, 1 ) ) )</f>
        <v>2</v>
      </c>
      <c r="L944" s="35">
        <f xml:space="preserve"> COUNTIFS( tblFilterAll[Include in output], 1, tblFilterAll[New Supply (Non-Social)], "&gt;" &amp; tblFilterAll[[#This Row],[New Supply (Non-Social)]] ) + 1</f>
        <v>72</v>
      </c>
      <c r="M944" s="30" cm="1">
        <f t="array" ref="M944" xml:space="preserve"> INDEX( VfM_Metrics_2023_Consol_Source[], $AK944, M$832 )</f>
        <v>0.4500424531192101</v>
      </c>
      <c r="N944" s="35">
        <f xml:space="preserve"> IF( tblFilterAll[[#This Row],[Gearing]] &lt; M$825, 4, IF( tblFilterAll[[#This Row],[Gearing]] &lt; M$826, 3, IF( tblFilterAll[[#This Row],[Gearing]] &lt; M$827, 2, 1 ) ) )</f>
        <v>3</v>
      </c>
      <c r="O944" s="35">
        <f xml:space="preserve"> COUNTIFS( tblFilterAll[Include in output], 1, tblFilterAll[Gearing], "&gt;" &amp; tblFilterAll[[#This Row],[Gearing]] ) + 1</f>
        <v>102</v>
      </c>
      <c r="P944" s="30" cm="1">
        <f t="array" ref="P944" xml:space="preserve"> INDEX( VfM_Metrics_2023_Consol_Source[], $AK944, P$832 )</f>
        <v>1.2244480187161866</v>
      </c>
      <c r="Q944" s="35">
        <f xml:space="preserve"> IF( tblFilterAll[[#This Row],[EBITDA MRI Interest Cover]] &lt; P$825, 4, IF( tblFilterAll[[#This Row],[EBITDA MRI Interest Cover]] &lt; P$826, 3, IF( tblFilterAll[[#This Row],[EBITDA MRI Interest Cover]] &lt; P$827, 2, 1 ) ) )</f>
        <v>3</v>
      </c>
      <c r="R944" s="35">
        <f xml:space="preserve"> COUNTIFS( tblFilterAll[Include in output], 1, tblFilterAll[EBITDA MRI Interest Cover], "&gt;" &amp; tblFilterAll[[#This Row],[EBITDA MRI Interest Cover]] ) + 1</f>
        <v>105</v>
      </c>
      <c r="S944" s="32" cm="1">
        <f t="array" ref="S944" xml:space="preserve"> INDEX( VfM_Metrics_2023_Consol_Source[], $AK944, S$832 )</f>
        <v>6402.0351157222658</v>
      </c>
      <c r="T944" s="35">
        <f xml:space="preserve"> IF( tblFilterAll[[#This Row],[Headline Social Housing Cost per unit]] &lt; S$825, 4, IF( tblFilterAll[[#This Row],[Headline Social Housing Cost per unit]] &lt; S$826, 3, IF( tblFilterAll[[#This Row],[Headline Social Housing Cost per unit]] &lt; S$827, 2, 1 ) ) )</f>
        <v>1</v>
      </c>
      <c r="U944" s="35">
        <f xml:space="preserve"> COUNTIFS( tblFilterAll[Include in output], 1, tblFilterAll[Headline Social Housing Cost per unit], "&gt;" &amp; tblFilterAll[[#This Row],[Headline Social Housing Cost per unit]] ) + 1</f>
        <v>41</v>
      </c>
      <c r="V944" s="30" cm="1">
        <f t="array" ref="V944" xml:space="preserve"> INDEX( VfM_Metrics_2023_Consol_Source[], $AK944, V$832 )</f>
        <v>0.2313557465914691</v>
      </c>
      <c r="W944" s="35">
        <f xml:space="preserve"> IF( tblFilterAll[[#This Row],[Operating Margin (SHL)]] &lt; V$825, 4, IF( tblFilterAll[[#This Row],[Operating Margin (SHL)]] &lt; V$826, 3, IF( tblFilterAll[[#This Row],[Operating Margin (SHL)]] &lt; V$827, 2, 1 ) ) )</f>
        <v>2</v>
      </c>
      <c r="X944" s="35">
        <f xml:space="preserve"> COUNTIFS( tblFilterAll[Include in output], 1, tblFilterAll[Operating Margin (SHL)], "&gt;" &amp; tblFilterAll[[#This Row],[Operating Margin (SHL)]] ) + 1</f>
        <v>70</v>
      </c>
      <c r="Y944" s="30" cm="1">
        <f t="array" ref="Y944" xml:space="preserve"> INDEX( VfM_Metrics_2023_Consol_Source[], $AK944, Y$832 )</f>
        <v>0.17023984770169012</v>
      </c>
      <c r="Z944" s="35">
        <f xml:space="preserve"> IF( tblFilterAll[[#This Row],[Operating Margin (Overall)]] &lt; Y$825, 4, IF( tblFilterAll[[#This Row],[Operating Margin (Overall)]] &lt; Y$826, 3, IF( tblFilterAll[[#This Row],[Operating Margin (Overall)]] &lt; Y$827, 2, 1 ) ) )</f>
        <v>3</v>
      </c>
      <c r="AA944" s="35">
        <f xml:space="preserve"> COUNTIFS( tblFilterAll[Include in output], 1, tblFilterAll[Operating Margin (Overall)], "&gt;" &amp; tblFilterAll[[#This Row],[Operating Margin (Overall)]] ) + 1</f>
        <v>107</v>
      </c>
      <c r="AB944" s="30" cm="1">
        <f t="array" ref="AB944" xml:space="preserve"> INDEX( VfM_Metrics_2023_Consol_Source[], $AK944, AB$832 )</f>
        <v>2.8191006326608602E-2</v>
      </c>
      <c r="AC944" s="35">
        <f xml:space="preserve"> IF( tblFilterAll[[#This Row],[ROCE]] &lt; AB$825, 4, IF( tblFilterAll[[#This Row],[ROCE]] &lt; AB$826, 3, IF( tblFilterAll[[#This Row],[ROCE]] &lt; AB$827, 2, 1 ) ) )</f>
        <v>3</v>
      </c>
      <c r="AD944" s="35">
        <f xml:space="preserve"> COUNTIFS( tblFilterAll[Include in output], 1, tblFilterAll[ROCE], "&gt;" &amp; tblFilterAll[[#This Row],[ROCE]] ) + 1</f>
        <v>101</v>
      </c>
      <c r="AE944" s="33" cm="1" vm="2335">
        <f t="array" ref="AE944" xml:space="preserve"> INDEX( VfM_Metrics_2023_Consol_Source[], $AK944, AE$832 )</f>
        <v>10024</v>
      </c>
      <c r="AF944" s="30" cm="1">
        <f t="array" ref="AF944" xml:space="preserve"> INDEX( VfM_Metrics_2023_Consol_Source[], $AK944, AF$832 )</f>
        <v>5.8032128514056223E-2</v>
      </c>
      <c r="AG944" s="30" cm="1">
        <f t="array" ref="AG944" xml:space="preserve"> INDEX( VfM_Metrics_2023_Consol_Source[], $AK944, AG$832 )</f>
        <v>3.3333333333333333E-2</v>
      </c>
      <c r="AH944" s="30" cm="1">
        <f t="array" ref="AH944" xml:space="preserve"> INDEX( VfM_Metrics_2023_Consol_Source[], $AK944, AH$832 )</f>
        <v>9.1365461847389556E-2</v>
      </c>
      <c r="AI944" s="30" t="str" cm="1">
        <f t="array" ref="AI944" xml:space="preserve"> INDEX( VfM_Metrics_2023_Consol_Source[], $AK944, AI$832 )</f>
        <v>Traditional</v>
      </c>
      <c r="AJ944" s="34" t="str" cm="1">
        <f t="array" ref="AJ944" xml:space="preserve"> INDEX( VfM_Metrics_2023_Consol_Source[], $AK944, AJ$832 )</f>
        <v>East Midlands</v>
      </c>
      <c r="AK944" s="81">
        <f xml:space="preserve"> MATCH( tblFilterAll[[#This Row],[Code]], VfM_Metrics_2023_Consol_Source[RP_Code], 0 )</f>
        <v>111</v>
      </c>
      <c r="AL944" s="24">
        <f xml:space="preserve"> INDEX( tblFilterRegion[Include for region],  MATCH( tblFilterAll[[#This Row],[Code]], tblFilterRegion[RP_Code], 0 ) )</f>
        <v>1</v>
      </c>
      <c r="AM944" s="24">
        <f xml:space="preserve"> INDEX( tblFilterPropType[Incl for prop type],  MATCH( tblFilterAll[[#This Row],[Code]], tblFilterPropType[RP_Code], 0 ) )</f>
        <v>1</v>
      </c>
      <c r="AN944" s="24">
        <f xml:space="preserve"> INDEX( tblFilterSize[Incl for size],  MATCH( tblFilterAll[[#This Row],[Code]], tblFilterSize[RP_Code], 0 ) )</f>
        <v>1</v>
      </c>
      <c r="AO944" s="24">
        <f xml:space="preserve"> INDEX( tblFilterRP_Type[Incl, for RP Type],  MATCH( tblFilterAll[[#This Row],[Code]], tblFilterRP_Type[RP_Code], 0 ) )</f>
        <v>1</v>
      </c>
      <c r="AP944" s="24">
        <f xml:space="preserve">  -- ( SUM( tblFilterAll[[#This Row],[Filter Region]:[Filter RP Type]] ) = 4 )</f>
        <v>1</v>
      </c>
      <c r="AQ944" s="24">
        <f xml:space="preserve"> -- ( tblFilterAll[[#This Row],[Provider name]] = SelectedProvider )</f>
        <v>0</v>
      </c>
      <c r="AR944" s="24">
        <f xml:space="preserve">  -- ( OR( SUM( tblFilterAll[[#This Row],[Filter Region]:[Filter RP Type]] ) = 4, tblFilterAll[[#This Row],[SelectedProvider]] = 1 ) )</f>
        <v>1</v>
      </c>
      <c r="AS944" s="24">
        <f xml:space="preserve"> -- ( INDEX( PeersCritera[Included in final peers], MATCH( tblFilterAll[[#This Row],[Provider name]], PeersCritera[RP_Name], 0 ) ) = 1 )</f>
        <v>1</v>
      </c>
      <c r="AT944" s="30" t="str" cm="1">
        <f t="array" ref="AT944" xml:space="preserve"> SUBSTITUTE( INDEX( VfM_Metrics_2023_Consol_Source[], $AK944, AT$832 ), 0, "" )</f>
        <v/>
      </c>
      <c r="AU944" s="34" cm="1">
        <f t="array" ref="AU944" xml:space="preserve"> INDEX( VfM_Metrics_2023_Consol_Source[], $AK944, AU$832 )</f>
        <v>0</v>
      </c>
      <c r="AV944" s="34" cm="1">
        <f t="array" ref="AV944" xml:space="preserve"> INDEX( VfM_Metrics_2023_Consol_Source[], $AK944, AV$832 )</f>
        <v>0</v>
      </c>
      <c r="AW944" s="34" cm="1">
        <f t="array" ref="AW944" xml:space="preserve"> INDEX( VfM_Metrics_2023_Consol_Source[], $AK944, AW$832 )</f>
        <v>0</v>
      </c>
      <c r="AX944" s="34" cm="1">
        <f t="array" ref="AX944" xml:space="preserve"> INDEX( VfM_Metrics_2023_Consol_Source[], $AK944, AX$832 )</f>
        <v>1</v>
      </c>
      <c r="AY944" s="34" cm="1">
        <f t="array" ref="AY944" xml:space="preserve"> INDEX( VfM_Metrics_2023_Consol_Source[], $AK944, AY$832 )</f>
        <v>0</v>
      </c>
      <c r="AZ944" s="34" cm="1">
        <f t="array" ref="AZ944" xml:space="preserve"> INDEX( VfM_Metrics_2023_Consol_Source[], $AK944, AZ$832 )</f>
        <v>0</v>
      </c>
      <c r="BA944" s="34" cm="1">
        <f t="array" ref="BA944" xml:space="preserve"> INDEX( VfM_Metrics_2023_Consol_Source[], $AK944, BA$832 )</f>
        <v>0</v>
      </c>
      <c r="BB944" s="34" cm="1">
        <f t="array" ref="BB944" xml:space="preserve"> INDEX( VfM_Metrics_2023_Consol_Source[], $AK944, BB$832 )</f>
        <v>0</v>
      </c>
      <c r="BC944" s="34" cm="1">
        <f t="array" ref="BC944" xml:space="preserve"> INDEX( VfM_Metrics_2023_Consol_Source[], $AK944, BC$832 )</f>
        <v>0</v>
      </c>
    </row>
    <row r="945" spans="2:55" x14ac:dyDescent="0.2">
      <c r="B945" s="122" t="str" vm="112">
        <f t="shared" ref="B945" si="449" xml:space="preserve"> B735</f>
        <v>NSAH (Alliance Homes) Limited</v>
      </c>
      <c r="C945" s="122" t="str" vm="362">
        <f t="shared" si="434"/>
        <v>L4459</v>
      </c>
      <c r="D945" s="30" cm="1">
        <f t="array" ref="D945" xml:space="preserve"> INDEX( VfM_Metrics_2023_Consol_Source[], $AK945, D$832 )</f>
        <v>0.18089843937784886</v>
      </c>
      <c r="E945" s="35">
        <f xml:space="preserve"> IF( tblFilterAll[[#This Row],[Reinvestment]] &lt; D$825, 4, IF( tblFilterAll[[#This Row],[Reinvestment]] &lt; D$826, 3, IF( tblFilterAll[[#This Row],[Reinvestment]] &lt; D$827, 2, 1 ) ) )</f>
        <v>1</v>
      </c>
      <c r="F945" s="35">
        <f xml:space="preserve"> COUNTIFS( tblFilterAll[Include in output], 1, tblFilterAll[Reinvestment], "&gt;" &amp; tblFilterAll[[#This Row],[Reinvestment]] ) + 1</f>
        <v>5</v>
      </c>
      <c r="G945" s="30" cm="1">
        <f t="array" ref="G945" xml:space="preserve"> INDEX( VfM_Metrics_2023_Consol_Source[], $AK945, G$832 )</f>
        <v>3.875338753387534E-2</v>
      </c>
      <c r="H945" s="35">
        <f xml:space="preserve"> IF( tblFilterAll[[#This Row],[New Supply (Social)]] &lt; G$825, 4, IF( tblFilterAll[[#This Row],[New Supply (Social)]] &lt; G$826, 3, IF( tblFilterAll[[#This Row],[New Supply (Social)]] &lt; G$827, 2, 1 ) ) )</f>
        <v>1</v>
      </c>
      <c r="I945" s="35">
        <f xml:space="preserve"> COUNTIFS( tblFilterAll[Include in output], 1, tblFilterAll[New Supply (Social)], "&gt;" &amp; tblFilterAll[[#This Row],[New Supply (Social)]] ) + 1</f>
        <v>8</v>
      </c>
      <c r="J945" s="31" cm="1">
        <f t="array" ref="J945" xml:space="preserve"> INDEX( VfM_Metrics_2023_Consol_Source[], $AK945, J$832 )</f>
        <v>4.0360554284945513E-4</v>
      </c>
      <c r="K945" s="35">
        <f xml:space="preserve"> IF( tblFilterAll[[#This Row],[New Supply (Non-Social)]] &lt; J$825, 4, IF( tblFilterAll[[#This Row],[New Supply (Non-Social)]] &lt; J$826, 3, IF( tblFilterAll[[#This Row],[New Supply (Non-Social)]] &lt; J$827, 2, 1 ) ) )</f>
        <v>2</v>
      </c>
      <c r="L945" s="35">
        <f xml:space="preserve"> COUNTIFS( tblFilterAll[Include in output], 1, tblFilterAll[New Supply (Non-Social)], "&gt;" &amp; tblFilterAll[[#This Row],[New Supply (Non-Social)]] ) + 1</f>
        <v>61</v>
      </c>
      <c r="M945" s="30" cm="1">
        <f t="array" ref="M945" xml:space="preserve"> INDEX( VfM_Metrics_2023_Consol_Source[], $AK945, M$832 )</f>
        <v>0.49408484435296018</v>
      </c>
      <c r="N945" s="35">
        <f xml:space="preserve"> IF( tblFilterAll[[#This Row],[Gearing]] &lt; M$825, 4, IF( tblFilterAll[[#This Row],[Gearing]] &lt; M$826, 3, IF( tblFilterAll[[#This Row],[Gearing]] &lt; M$827, 2, 1 ) ) )</f>
        <v>2</v>
      </c>
      <c r="O945" s="35">
        <f xml:space="preserve"> COUNTIFS( tblFilterAll[Include in output], 1, tblFilterAll[Gearing], "&gt;" &amp; tblFilterAll[[#This Row],[Gearing]] ) + 1</f>
        <v>71</v>
      </c>
      <c r="P945" s="30" cm="1">
        <f t="array" ref="P945" xml:space="preserve"> INDEX( VfM_Metrics_2023_Consol_Source[], $AK945, P$832 )</f>
        <v>2.0848886213124622</v>
      </c>
      <c r="Q945" s="35">
        <f xml:space="preserve"> IF( tblFilterAll[[#This Row],[EBITDA MRI Interest Cover]] &lt; P$825, 4, IF( tblFilterAll[[#This Row],[EBITDA MRI Interest Cover]] &lt; P$826, 3, IF( tblFilterAll[[#This Row],[EBITDA MRI Interest Cover]] &lt; P$827, 2, 1 ) ) )</f>
        <v>1</v>
      </c>
      <c r="R945" s="35">
        <f xml:space="preserve"> COUNTIFS( tblFilterAll[Include in output], 1, tblFilterAll[EBITDA MRI Interest Cover], "&gt;" &amp; tblFilterAll[[#This Row],[EBITDA MRI Interest Cover]] ) + 1</f>
        <v>27</v>
      </c>
      <c r="S945" s="32" cm="1">
        <f t="array" ref="S945" xml:space="preserve"> INDEX( VfM_Metrics_2023_Consol_Source[], $AK945, S$832 )</f>
        <v>4932.7386009629008</v>
      </c>
      <c r="T945" s="35">
        <f xml:space="preserve"> IF( tblFilterAll[[#This Row],[Headline Social Housing Cost per unit]] &lt; S$825, 4, IF( tblFilterAll[[#This Row],[Headline Social Housing Cost per unit]] &lt; S$826, 3, IF( tblFilterAll[[#This Row],[Headline Social Housing Cost per unit]] &lt; S$827, 2, 1 ) ) )</f>
        <v>2</v>
      </c>
      <c r="U945" s="35">
        <f xml:space="preserve"> COUNTIFS( tblFilterAll[Include in output], 1, tblFilterAll[Headline Social Housing Cost per unit], "&gt;" &amp; tblFilterAll[[#This Row],[Headline Social Housing Cost per unit]] ) + 1</f>
        <v>79</v>
      </c>
      <c r="V945" s="30" cm="1">
        <f t="array" ref="V945" xml:space="preserve"> INDEX( VfM_Metrics_2023_Consol_Source[], $AK945, V$832 )</f>
        <v>0.15846174460672652</v>
      </c>
      <c r="W945" s="35">
        <f xml:space="preserve"> IF( tblFilterAll[[#This Row],[Operating Margin (SHL)]] &lt; V$825, 4, IF( tblFilterAll[[#This Row],[Operating Margin (SHL)]] &lt; V$826, 3, IF( tblFilterAll[[#This Row],[Operating Margin (SHL)]] &lt; V$827, 2, 1 ) ) )</f>
        <v>3</v>
      </c>
      <c r="X945" s="35">
        <f xml:space="preserve"> COUNTIFS( tblFilterAll[Include in output], 1, tblFilterAll[Operating Margin (SHL)], "&gt;" &amp; tblFilterAll[[#This Row],[Operating Margin (SHL)]] ) + 1</f>
        <v>136</v>
      </c>
      <c r="Y945" s="30" cm="1">
        <f t="array" ref="Y945" xml:space="preserve"> INDEX( VfM_Metrics_2023_Consol_Source[], $AK945, Y$832 )</f>
        <v>0.17630024325263524</v>
      </c>
      <c r="Z945" s="35">
        <f xml:space="preserve"> IF( tblFilterAll[[#This Row],[Operating Margin (Overall)]] &lt; Y$825, 4, IF( tblFilterAll[[#This Row],[Operating Margin (Overall)]] &lt; Y$826, 3, IF( tblFilterAll[[#This Row],[Operating Margin (Overall)]] &lt; Y$827, 2, 1 ) ) )</f>
        <v>3</v>
      </c>
      <c r="AA945" s="35">
        <f xml:space="preserve"> COUNTIFS( tblFilterAll[Include in output], 1, tblFilterAll[Operating Margin (Overall)], "&gt;" &amp; tblFilterAll[[#This Row],[Operating Margin (Overall)]] ) + 1</f>
        <v>103</v>
      </c>
      <c r="AB945" s="30" cm="1">
        <f t="array" ref="AB945" xml:space="preserve"> INDEX( VfM_Metrics_2023_Consol_Source[], $AK945, AB$832 )</f>
        <v>3.8842102015948669E-2</v>
      </c>
      <c r="AC945" s="35">
        <f xml:space="preserve"> IF( tblFilterAll[[#This Row],[ROCE]] &lt; AB$825, 4, IF( tblFilterAll[[#This Row],[ROCE]] &lt; AB$826, 3, IF( tblFilterAll[[#This Row],[ROCE]] &lt; AB$827, 2, 1 ) ) )</f>
        <v>1</v>
      </c>
      <c r="AD945" s="35">
        <f xml:space="preserve"> COUNTIFS( tblFilterAll[Include in output], 1, tblFilterAll[ROCE], "&gt;" &amp; tblFilterAll[[#This Row],[ROCE]] ) + 1</f>
        <v>35</v>
      </c>
      <c r="AE945" s="33" cm="1" vm="5505">
        <f t="array" ref="AE945" xml:space="preserve"> INDEX( VfM_Metrics_2023_Consol_Source[], $AK945, AE$832 )</f>
        <v>6868</v>
      </c>
      <c r="AF945" s="30" cm="1">
        <f t="array" ref="AF945" xml:space="preserve"> INDEX( VfM_Metrics_2023_Consol_Source[], $AK945, AF$832 )</f>
        <v>6.9229636176167328E-3</v>
      </c>
      <c r="AG945" s="30" cm="1">
        <f t="array" ref="AG945" xml:space="preserve"> INDEX( VfM_Metrics_2023_Consol_Source[], $AK945, AG$832 )</f>
        <v>0</v>
      </c>
      <c r="AH945" s="30" cm="1">
        <f t="array" ref="AH945" xml:space="preserve"> INDEX( VfM_Metrics_2023_Consol_Source[], $AK945, AH$832 )</f>
        <v>6.9229636176167328E-3</v>
      </c>
      <c r="AI945" s="30" t="str" cm="1">
        <f t="array" ref="AI945" xml:space="preserve"> INDEX( VfM_Metrics_2023_Consol_Source[], $AK945, AI$832 )</f>
        <v>Traditional</v>
      </c>
      <c r="AJ945" s="34" t="str" cm="1">
        <f t="array" ref="AJ945" xml:space="preserve"> INDEX( VfM_Metrics_2023_Consol_Source[], $AK945, AJ$832 )</f>
        <v>South West</v>
      </c>
      <c r="AK945" s="81">
        <f xml:space="preserve"> MATCH( tblFilterAll[[#This Row],[Code]], VfM_Metrics_2023_Consol_Source[RP_Code], 0 )</f>
        <v>112</v>
      </c>
      <c r="AL945" s="24">
        <f xml:space="preserve"> INDEX( tblFilterRegion[Include for region],  MATCH( tblFilterAll[[#This Row],[Code]], tblFilterRegion[RP_Code], 0 ) )</f>
        <v>1</v>
      </c>
      <c r="AM945" s="24">
        <f xml:space="preserve"> INDEX( tblFilterPropType[Incl for prop type],  MATCH( tblFilterAll[[#This Row],[Code]], tblFilterPropType[RP_Code], 0 ) )</f>
        <v>1</v>
      </c>
      <c r="AN945" s="24">
        <f xml:space="preserve"> INDEX( tblFilterSize[Incl for size],  MATCH( tblFilterAll[[#This Row],[Code]], tblFilterSize[RP_Code], 0 ) )</f>
        <v>1</v>
      </c>
      <c r="AO945" s="24">
        <f xml:space="preserve"> INDEX( tblFilterRP_Type[Incl, for RP Type],  MATCH( tblFilterAll[[#This Row],[Code]], tblFilterRP_Type[RP_Code], 0 ) )</f>
        <v>1</v>
      </c>
      <c r="AP945" s="24">
        <f xml:space="preserve">  -- ( SUM( tblFilterAll[[#This Row],[Filter Region]:[Filter RP Type]] ) = 4 )</f>
        <v>1</v>
      </c>
      <c r="AQ945" s="24">
        <f xml:space="preserve"> -- ( tblFilterAll[[#This Row],[Provider name]] = SelectedProvider )</f>
        <v>0</v>
      </c>
      <c r="AR945" s="24">
        <f xml:space="preserve">  -- ( OR( SUM( tblFilterAll[[#This Row],[Filter Region]:[Filter RP Type]] ) = 4, tblFilterAll[[#This Row],[SelectedProvider]] = 1 ) )</f>
        <v>1</v>
      </c>
      <c r="AS945" s="24">
        <f xml:space="preserve"> -- ( INDEX( PeersCritera[Included in final peers], MATCH( tblFilterAll[[#This Row],[Provider name]], PeersCritera[RP_Name], 0 ) ) = 1 )</f>
        <v>1</v>
      </c>
      <c r="AT945" s="30" t="str" cm="1">
        <f t="array" ref="AT945" xml:space="preserve"> SUBSTITUTE( INDEX( VfM_Metrics_2023_Consol_Source[], $AK945, AT$832 ), 0, "" )</f>
        <v>&gt;= 12 years</v>
      </c>
      <c r="AU945" s="34" cm="1">
        <f t="array" ref="AU945" xml:space="preserve"> INDEX( VfM_Metrics_2023_Consol_Source[], $AK945, AU$832 )</f>
        <v>0</v>
      </c>
      <c r="AV945" s="34" cm="1">
        <f t="array" ref="AV945" xml:space="preserve"> INDEX( VfM_Metrics_2023_Consol_Source[], $AK945, AV$832 )</f>
        <v>0</v>
      </c>
      <c r="AW945" s="34" cm="1">
        <f t="array" ref="AW945" xml:space="preserve"> INDEX( VfM_Metrics_2023_Consol_Source[], $AK945, AW$832 )</f>
        <v>1</v>
      </c>
      <c r="AX945" s="34" cm="1">
        <f t="array" ref="AX945" xml:space="preserve"> INDEX( VfM_Metrics_2023_Consol_Source[], $AK945, AX$832 )</f>
        <v>0</v>
      </c>
      <c r="AY945" s="34" cm="1">
        <f t="array" ref="AY945" xml:space="preserve"> INDEX( VfM_Metrics_2023_Consol_Source[], $AK945, AY$832 )</f>
        <v>0</v>
      </c>
      <c r="AZ945" s="34" cm="1">
        <f t="array" ref="AZ945" xml:space="preserve"> INDEX( VfM_Metrics_2023_Consol_Source[], $AK945, AZ$832 )</f>
        <v>0</v>
      </c>
      <c r="BA945" s="34" cm="1">
        <f t="array" ref="BA945" xml:space="preserve"> INDEX( VfM_Metrics_2023_Consol_Source[], $AK945, BA$832 )</f>
        <v>0</v>
      </c>
      <c r="BB945" s="34" cm="1">
        <f t="array" ref="BB945" xml:space="preserve"> INDEX( VfM_Metrics_2023_Consol_Source[], $AK945, BB$832 )</f>
        <v>0</v>
      </c>
      <c r="BC945" s="34" cm="1">
        <f t="array" ref="BC945" xml:space="preserve"> INDEX( VfM_Metrics_2023_Consol_Source[], $AK945, BC$832 )</f>
        <v>0</v>
      </c>
    </row>
    <row r="946" spans="2:55" x14ac:dyDescent="0.2">
      <c r="B946" s="122" t="str" vm="113">
        <f t="shared" ref="B946" si="450" xml:space="preserve"> B736</f>
        <v>Ocean Housing Group Limited</v>
      </c>
      <c r="C946" s="122" t="str" vm="334">
        <f t="shared" si="434"/>
        <v>L4422</v>
      </c>
      <c r="D946" s="30" cm="1">
        <f t="array" ref="D946" xml:space="preserve"> INDEX( VfM_Metrics_2023_Consol_Source[], $AK946, D$832 )</f>
        <v>8.3032725780870856E-2</v>
      </c>
      <c r="E946" s="35">
        <f xml:space="preserve"> IF( tblFilterAll[[#This Row],[Reinvestment]] &lt; D$825, 4, IF( tblFilterAll[[#This Row],[Reinvestment]] &lt; D$826, 3, IF( tblFilterAll[[#This Row],[Reinvestment]] &lt; D$827, 2, 1 ) ) )</f>
        <v>2</v>
      </c>
      <c r="F946" s="35">
        <f xml:space="preserve"> COUNTIFS( tblFilterAll[Include in output], 1, tblFilterAll[Reinvestment], "&gt;" &amp; tblFilterAll[[#This Row],[Reinvestment]] ) + 1</f>
        <v>67</v>
      </c>
      <c r="G946" s="30" cm="1">
        <f t="array" ref="G946" xml:space="preserve"> INDEX( VfM_Metrics_2023_Consol_Source[], $AK946, G$832 )</f>
        <v>1.7893544733861833E-2</v>
      </c>
      <c r="H946" s="35">
        <f xml:space="preserve"> IF( tblFilterAll[[#This Row],[New Supply (Social)]] &lt; G$825, 4, IF( tblFilterAll[[#This Row],[New Supply (Social)]] &lt; G$826, 3, IF( tblFilterAll[[#This Row],[New Supply (Social)]] &lt; G$827, 2, 1 ) ) )</f>
        <v>2</v>
      </c>
      <c r="I946" s="35">
        <f xml:space="preserve"> COUNTIFS( tblFilterAll[Include in output], 1, tblFilterAll[New Supply (Social)], "&gt;" &amp; tblFilterAll[[#This Row],[New Supply (Social)]] ) + 1</f>
        <v>67</v>
      </c>
      <c r="J946" s="31" cm="1">
        <f t="array" ref="J946" xml:space="preserve"> INDEX( VfM_Metrics_2023_Consol_Source[], $AK946, J$832 )</f>
        <v>8.154020385050963E-3</v>
      </c>
      <c r="K946" s="35">
        <f xml:space="preserve"> IF( tblFilterAll[[#This Row],[New Supply (Non-Social)]] &lt; J$825, 4, IF( tblFilterAll[[#This Row],[New Supply (Non-Social)]] &lt; J$826, 3, IF( tblFilterAll[[#This Row],[New Supply (Non-Social)]] &lt; J$827, 2, 1 ) ) )</f>
        <v>1</v>
      </c>
      <c r="L946" s="35">
        <f xml:space="preserve"> COUNTIFS( tblFilterAll[Include in output], 1, tblFilterAll[New Supply (Non-Social)], "&gt;" &amp; tblFilterAll[[#This Row],[New Supply (Non-Social)]] ) + 1</f>
        <v>9</v>
      </c>
      <c r="M946" s="30" cm="1">
        <f t="array" ref="M946" xml:space="preserve"> INDEX( VfM_Metrics_2023_Consol_Source[], $AK946, M$832 )</f>
        <v>0.56582930160652012</v>
      </c>
      <c r="N946" s="35">
        <f xml:space="preserve"> IF( tblFilterAll[[#This Row],[Gearing]] &lt; M$825, 4, IF( tblFilterAll[[#This Row],[Gearing]] &lt; M$826, 3, IF( tblFilterAll[[#This Row],[Gearing]] &lt; M$827, 2, 1 ) ) )</f>
        <v>1</v>
      </c>
      <c r="O946" s="35">
        <f xml:space="preserve"> COUNTIFS( tblFilterAll[Include in output], 1, tblFilterAll[Gearing], "&gt;" &amp; tblFilterAll[[#This Row],[Gearing]] ) + 1</f>
        <v>35</v>
      </c>
      <c r="P946" s="30" cm="1">
        <f t="array" ref="P946" xml:space="preserve"> INDEX( VfM_Metrics_2023_Consol_Source[], $AK946, P$832 )</f>
        <v>0.61797185587177383</v>
      </c>
      <c r="Q946" s="35">
        <f xml:space="preserve"> IF( tblFilterAll[[#This Row],[EBITDA MRI Interest Cover]] &lt; P$825, 4, IF( tblFilterAll[[#This Row],[EBITDA MRI Interest Cover]] &lt; P$826, 3, IF( tblFilterAll[[#This Row],[EBITDA MRI Interest Cover]] &lt; P$827, 2, 1 ) ) )</f>
        <v>4</v>
      </c>
      <c r="R946" s="35">
        <f xml:space="preserve"> COUNTIFS( tblFilterAll[Include in output], 1, tblFilterAll[EBITDA MRI Interest Cover], "&gt;" &amp; tblFilterAll[[#This Row],[EBITDA MRI Interest Cover]] ) + 1</f>
        <v>165</v>
      </c>
      <c r="S946" s="32" cm="1">
        <f t="array" ref="S946" xml:space="preserve"> INDEX( VfM_Metrics_2023_Consol_Source[], $AK946, S$832 )</f>
        <v>3014.1409877585479</v>
      </c>
      <c r="T946" s="35">
        <f xml:space="preserve"> IF( tblFilterAll[[#This Row],[Headline Social Housing Cost per unit]] &lt; S$825, 4, IF( tblFilterAll[[#This Row],[Headline Social Housing Cost per unit]] &lt; S$826, 3, IF( tblFilterAll[[#This Row],[Headline Social Housing Cost per unit]] &lt; S$827, 2, 1 ) ) )</f>
        <v>4</v>
      </c>
      <c r="U946" s="35">
        <f xml:space="preserve"> COUNTIFS( tblFilterAll[Include in output], 1, tblFilterAll[Headline Social Housing Cost per unit], "&gt;" &amp; tblFilterAll[[#This Row],[Headline Social Housing Cost per unit]] ) + 1</f>
        <v>198</v>
      </c>
      <c r="V946" s="30" cm="1">
        <f t="array" ref="V946" xml:space="preserve"> INDEX( VfM_Metrics_2023_Consol_Source[], $AK946, V$832 )</f>
        <v>0.3516878449493005</v>
      </c>
      <c r="W946" s="35">
        <f xml:space="preserve"> IF( tblFilterAll[[#This Row],[Operating Margin (SHL)]] &lt; V$825, 4, IF( tblFilterAll[[#This Row],[Operating Margin (SHL)]] &lt; V$826, 3, IF( tblFilterAll[[#This Row],[Operating Margin (SHL)]] &lt; V$827, 2, 1 ) ) )</f>
        <v>1</v>
      </c>
      <c r="X946" s="35">
        <f xml:space="preserve"> COUNTIFS( tblFilterAll[Include in output], 1, tblFilterAll[Operating Margin (SHL)], "&gt;" &amp; tblFilterAll[[#This Row],[Operating Margin (SHL)]] ) + 1</f>
        <v>11</v>
      </c>
      <c r="Y946" s="30" cm="1">
        <f t="array" ref="Y946" xml:space="preserve"> INDEX( VfM_Metrics_2023_Consol_Source[], $AK946, Y$832 )</f>
        <v>0.25042205965109737</v>
      </c>
      <c r="Z946" s="35">
        <f xml:space="preserve"> IF( tblFilterAll[[#This Row],[Operating Margin (Overall)]] &lt; Y$825, 4, IF( tblFilterAll[[#This Row],[Operating Margin (Overall)]] &lt; Y$826, 3, IF( tblFilterAll[[#This Row],[Operating Margin (Overall)]] &lt; Y$827, 2, 1 ) ) )</f>
        <v>1</v>
      </c>
      <c r="AA946" s="35">
        <f xml:space="preserve"> COUNTIFS( tblFilterAll[Include in output], 1, tblFilterAll[Operating Margin (Overall)], "&gt;" &amp; tblFilterAll[[#This Row],[Operating Margin (Overall)]] ) + 1</f>
        <v>37</v>
      </c>
      <c r="AB946" s="30" cm="1">
        <f t="array" ref="AB946" xml:space="preserve"> INDEX( VfM_Metrics_2023_Consol_Source[], $AK946, AB$832 )</f>
        <v>0.1179117538688283</v>
      </c>
      <c r="AC946" s="35">
        <f xml:space="preserve"> IF( tblFilterAll[[#This Row],[ROCE]] &lt; AB$825, 4, IF( tblFilterAll[[#This Row],[ROCE]] &lt; AB$826, 3, IF( tblFilterAll[[#This Row],[ROCE]] &lt; AB$827, 2, 1 ) ) )</f>
        <v>1</v>
      </c>
      <c r="AD946" s="35">
        <f xml:space="preserve"> COUNTIFS( tblFilterAll[Include in output], 1, tblFilterAll[ROCE], "&gt;" &amp; tblFilterAll[[#This Row],[ROCE]] ) + 1</f>
        <v>3</v>
      </c>
      <c r="AE946" s="33" cm="1" vm="4513">
        <f t="array" ref="AE946" xml:space="preserve"> INDEX( VfM_Metrics_2023_Consol_Source[], $AK946, AE$832 )</f>
        <v>4271</v>
      </c>
      <c r="AF946" s="30" cm="1">
        <f t="array" ref="AF946" xml:space="preserve"> INDEX( VfM_Metrics_2023_Consol_Source[], $AK946, AF$832 )</f>
        <v>2.9635901778154107E-3</v>
      </c>
      <c r="AG946" s="30" cm="1">
        <f t="array" ref="AG946" xml:space="preserve"> INDEX( VfM_Metrics_2023_Consol_Source[], $AK946, AG$832 )</f>
        <v>0.13230313293818799</v>
      </c>
      <c r="AH946" s="30" cm="1">
        <f t="array" ref="AH946" xml:space="preserve"> INDEX( VfM_Metrics_2023_Consol_Source[], $AK946, AH$832 )</f>
        <v>0.13526672311600341</v>
      </c>
      <c r="AI946" s="30" t="str" cm="1">
        <f t="array" ref="AI946" xml:space="preserve"> INDEX( VfM_Metrics_2023_Consol_Source[], $AK946, AI$832 )</f>
        <v>Traditional</v>
      </c>
      <c r="AJ946" s="34" t="str" cm="1">
        <f t="array" ref="AJ946" xml:space="preserve"> INDEX( VfM_Metrics_2023_Consol_Source[], $AK946, AJ$832 )</f>
        <v>South West</v>
      </c>
      <c r="AK946" s="81">
        <f xml:space="preserve"> MATCH( tblFilterAll[[#This Row],[Code]], VfM_Metrics_2023_Consol_Source[RP_Code], 0 )</f>
        <v>113</v>
      </c>
      <c r="AL946" s="24">
        <f xml:space="preserve"> INDEX( tblFilterRegion[Include for region],  MATCH( tblFilterAll[[#This Row],[Code]], tblFilterRegion[RP_Code], 0 ) )</f>
        <v>1</v>
      </c>
      <c r="AM946" s="24">
        <f xml:space="preserve"> INDEX( tblFilterPropType[Incl for prop type],  MATCH( tblFilterAll[[#This Row],[Code]], tblFilterPropType[RP_Code], 0 ) )</f>
        <v>1</v>
      </c>
      <c r="AN946" s="24">
        <f xml:space="preserve"> INDEX( tblFilterSize[Incl for size],  MATCH( tblFilterAll[[#This Row],[Code]], tblFilterSize[RP_Code], 0 ) )</f>
        <v>1</v>
      </c>
      <c r="AO946" s="24">
        <f xml:space="preserve"> INDEX( tblFilterRP_Type[Incl, for RP Type],  MATCH( tblFilterAll[[#This Row],[Code]], tblFilterRP_Type[RP_Code], 0 ) )</f>
        <v>1</v>
      </c>
      <c r="AP946" s="24">
        <f xml:space="preserve">  -- ( SUM( tblFilterAll[[#This Row],[Filter Region]:[Filter RP Type]] ) = 4 )</f>
        <v>1</v>
      </c>
      <c r="AQ946" s="24">
        <f xml:space="preserve"> -- ( tblFilterAll[[#This Row],[Provider name]] = SelectedProvider )</f>
        <v>0</v>
      </c>
      <c r="AR946" s="24">
        <f xml:space="preserve">  -- ( OR( SUM( tblFilterAll[[#This Row],[Filter Region]:[Filter RP Type]] ) = 4, tblFilterAll[[#This Row],[SelectedProvider]] = 1 ) )</f>
        <v>1</v>
      </c>
      <c r="AS946" s="24">
        <f xml:space="preserve"> -- ( INDEX( PeersCritera[Included in final peers], MATCH( tblFilterAll[[#This Row],[Provider name]], PeersCritera[RP_Name], 0 ) ) = 1 )</f>
        <v>1</v>
      </c>
      <c r="AT946" s="30" t="str" cm="1">
        <f t="array" ref="AT946" xml:space="preserve"> SUBSTITUTE( INDEX( VfM_Metrics_2023_Consol_Source[], $AK946, AT$832 ), 0, "" )</f>
        <v>&gt;= 12 years</v>
      </c>
      <c r="AU946" s="34" cm="1">
        <f t="array" ref="AU946" xml:space="preserve"> INDEX( VfM_Metrics_2023_Consol_Source[], $AK946, AU$832 )</f>
        <v>0</v>
      </c>
      <c r="AV946" s="34" cm="1">
        <f t="array" ref="AV946" xml:space="preserve"> INDEX( VfM_Metrics_2023_Consol_Source[], $AK946, AV$832 )</f>
        <v>0</v>
      </c>
      <c r="AW946" s="34" cm="1">
        <f t="array" ref="AW946" xml:space="preserve"> INDEX( VfM_Metrics_2023_Consol_Source[], $AK946, AW$832 )</f>
        <v>1</v>
      </c>
      <c r="AX946" s="34" cm="1">
        <f t="array" ref="AX946" xml:space="preserve"> INDEX( VfM_Metrics_2023_Consol_Source[], $AK946, AX$832 )</f>
        <v>0</v>
      </c>
      <c r="AY946" s="34" cm="1">
        <f t="array" ref="AY946" xml:space="preserve"> INDEX( VfM_Metrics_2023_Consol_Source[], $AK946, AY$832 )</f>
        <v>0</v>
      </c>
      <c r="AZ946" s="34" cm="1">
        <f t="array" ref="AZ946" xml:space="preserve"> INDEX( VfM_Metrics_2023_Consol_Source[], $AK946, AZ$832 )</f>
        <v>0</v>
      </c>
      <c r="BA946" s="34" cm="1">
        <f t="array" ref="BA946" xml:space="preserve"> INDEX( VfM_Metrics_2023_Consol_Source[], $AK946, BA$832 )</f>
        <v>0</v>
      </c>
      <c r="BB946" s="34" cm="1">
        <f t="array" ref="BB946" xml:space="preserve"> INDEX( VfM_Metrics_2023_Consol_Source[], $AK946, BB$832 )</f>
        <v>0</v>
      </c>
      <c r="BC946" s="34" cm="1">
        <f t="array" ref="BC946" xml:space="preserve"> INDEX( VfM_Metrics_2023_Consol_Source[], $AK946, BC$832 )</f>
        <v>0</v>
      </c>
    </row>
    <row r="947" spans="2:55" x14ac:dyDescent="0.2">
      <c r="B947" s="122" t="str" vm="114">
        <f t="shared" ref="B947" si="451" xml:space="preserve"> B737</f>
        <v>Octavia Housing</v>
      </c>
      <c r="C947" s="122" t="str" vm="347">
        <f t="shared" si="434"/>
        <v>L0717</v>
      </c>
      <c r="D947" s="30" cm="1">
        <f t="array" ref="D947" xml:space="preserve"> INDEX( VfM_Metrics_2023_Consol_Source[], $AK947, D$832 )</f>
        <v>3.7235413742731933E-2</v>
      </c>
      <c r="E947" s="35">
        <f xml:space="preserve"> IF( tblFilterAll[[#This Row],[Reinvestment]] &lt; D$825, 4, IF( tblFilterAll[[#This Row],[Reinvestment]] &lt; D$826, 3, IF( tblFilterAll[[#This Row],[Reinvestment]] &lt; D$827, 2, 1 ) ) )</f>
        <v>4</v>
      </c>
      <c r="F947" s="35">
        <f xml:space="preserve"> COUNTIFS( tblFilterAll[Include in output], 1, tblFilterAll[Reinvestment], "&gt;" &amp; tblFilterAll[[#This Row],[Reinvestment]] ) + 1</f>
        <v>156</v>
      </c>
      <c r="G947" s="30" cm="1">
        <f t="array" ref="G947" xml:space="preserve"> INDEX( VfM_Metrics_2023_Consol_Source[], $AK947, G$832 )</f>
        <v>1.4538676607642124E-2</v>
      </c>
      <c r="H947" s="35">
        <f xml:space="preserve"> IF( tblFilterAll[[#This Row],[New Supply (Social)]] &lt; G$825, 4, IF( tblFilterAll[[#This Row],[New Supply (Social)]] &lt; G$826, 3, IF( tblFilterAll[[#This Row],[New Supply (Social)]] &lt; G$827, 2, 1 ) ) )</f>
        <v>2</v>
      </c>
      <c r="I947" s="35">
        <f xml:space="preserve"> COUNTIFS( tblFilterAll[Include in output], 1, tblFilterAll[New Supply (Social)], "&gt;" &amp; tblFilterAll[[#This Row],[New Supply (Social)]] ) + 1</f>
        <v>85</v>
      </c>
      <c r="J947" s="31" cm="1">
        <f t="array" ref="J947" xml:space="preserve"> INDEX( VfM_Metrics_2023_Consol_Source[], $AK947, J$832 )</f>
        <v>0</v>
      </c>
      <c r="K947" s="35">
        <f xml:space="preserve"> IF( tblFilterAll[[#This Row],[New Supply (Non-Social)]] &lt; J$825, 4, IF( tblFilterAll[[#This Row],[New Supply (Non-Social)]] &lt; J$826, 3, IF( tblFilterAll[[#This Row],[New Supply (Non-Social)]] &lt; J$827, 2, 1 ) ) )</f>
        <v>2</v>
      </c>
      <c r="L947" s="35">
        <f xml:space="preserve"> COUNTIFS( tblFilterAll[Include in output], 1, tblFilterAll[New Supply (Non-Social)], "&gt;" &amp; tblFilterAll[[#This Row],[New Supply (Non-Social)]] ) + 1</f>
        <v>72</v>
      </c>
      <c r="M947" s="30" cm="1">
        <f t="array" ref="M947" xml:space="preserve"> INDEX( VfM_Metrics_2023_Consol_Source[], $AK947, M$832 )</f>
        <v>0.45153920417306209</v>
      </c>
      <c r="N947" s="35">
        <f xml:space="preserve"> IF( tblFilterAll[[#This Row],[Gearing]] &lt; M$825, 4, IF( tblFilterAll[[#This Row],[Gearing]] &lt; M$826, 3, IF( tblFilterAll[[#This Row],[Gearing]] &lt; M$827, 2, 1 ) ) )</f>
        <v>3</v>
      </c>
      <c r="O947" s="35">
        <f xml:space="preserve"> COUNTIFS( tblFilterAll[Include in output], 1, tblFilterAll[Gearing], "&gt;" &amp; tblFilterAll[[#This Row],[Gearing]] ) + 1</f>
        <v>101</v>
      </c>
      <c r="P947" s="30" cm="1">
        <f t="array" ref="P947" xml:space="preserve"> INDEX( VfM_Metrics_2023_Consol_Source[], $AK947, P$832 )</f>
        <v>0.19265481190242159</v>
      </c>
      <c r="Q947" s="35">
        <f xml:space="preserve"> IF( tblFilterAll[[#This Row],[EBITDA MRI Interest Cover]] &lt; P$825, 4, IF( tblFilterAll[[#This Row],[EBITDA MRI Interest Cover]] &lt; P$826, 3, IF( tblFilterAll[[#This Row],[EBITDA MRI Interest Cover]] &lt; P$827, 2, 1 ) ) )</f>
        <v>4</v>
      </c>
      <c r="R947" s="35">
        <f xml:space="preserve"> COUNTIFS( tblFilterAll[Include in output], 1, tblFilterAll[EBITDA MRI Interest Cover], "&gt;" &amp; tblFilterAll[[#This Row],[EBITDA MRI Interest Cover]] ) + 1</f>
        <v>179</v>
      </c>
      <c r="S947" s="32" cm="1">
        <f t="array" ref="S947" xml:space="preserve"> INDEX( VfM_Metrics_2023_Consol_Source[], $AK947, S$832 )</f>
        <v>9321.3861386138615</v>
      </c>
      <c r="T947" s="35">
        <f xml:space="preserve"> IF( tblFilterAll[[#This Row],[Headline Social Housing Cost per unit]] &lt; S$825, 4, IF( tblFilterAll[[#This Row],[Headline Social Housing Cost per unit]] &lt; S$826, 3, IF( tblFilterAll[[#This Row],[Headline Social Housing Cost per unit]] &lt; S$827, 2, 1 ) ) )</f>
        <v>1</v>
      </c>
      <c r="U947" s="35">
        <f xml:space="preserve"> COUNTIFS( tblFilterAll[Include in output], 1, tblFilterAll[Headline Social Housing Cost per unit], "&gt;" &amp; tblFilterAll[[#This Row],[Headline Social Housing Cost per unit]] ) + 1</f>
        <v>16</v>
      </c>
      <c r="V947" s="30" cm="1">
        <f t="array" ref="V947" xml:space="preserve"> INDEX( VfM_Metrics_2023_Consol_Source[], $AK947, V$832 )</f>
        <v>8.1869987336428876E-2</v>
      </c>
      <c r="W947" s="35">
        <f xml:space="preserve"> IF( tblFilterAll[[#This Row],[Operating Margin (SHL)]] &lt; V$825, 4, IF( tblFilterAll[[#This Row],[Operating Margin (SHL)]] &lt; V$826, 3, IF( tblFilterAll[[#This Row],[Operating Margin (SHL)]] &lt; V$827, 2, 1 ) ) )</f>
        <v>4</v>
      </c>
      <c r="X947" s="35">
        <f xml:space="preserve"> COUNTIFS( tblFilterAll[Include in output], 1, tblFilterAll[Operating Margin (SHL)], "&gt;" &amp; tblFilterAll[[#This Row],[Operating Margin (SHL)]] ) + 1</f>
        <v>182</v>
      </c>
      <c r="Y947" s="30" cm="1">
        <f t="array" ref="Y947" xml:space="preserve"> INDEX( VfM_Metrics_2023_Consol_Source[], $AK947, Y$832 )</f>
        <v>4.3956043956043959E-2</v>
      </c>
      <c r="Z947" s="35">
        <f xml:space="preserve"> IF( tblFilterAll[[#This Row],[Operating Margin (Overall)]] &lt; Y$825, 4, IF( tblFilterAll[[#This Row],[Operating Margin (Overall)]] &lt; Y$826, 3, IF( tblFilterAll[[#This Row],[Operating Margin (Overall)]] &lt; Y$827, 2, 1 ) ) )</f>
        <v>4</v>
      </c>
      <c r="AA947" s="35">
        <f xml:space="preserve"> COUNTIFS( tblFilterAll[Include in output], 1, tblFilterAll[Operating Margin (Overall)], "&gt;" &amp; tblFilterAll[[#This Row],[Operating Margin (Overall)]] ) + 1</f>
        <v>185</v>
      </c>
      <c r="AB947" s="30" cm="1">
        <f t="array" ref="AB947" xml:space="preserve"> INDEX( VfM_Metrics_2023_Consol_Source[], $AK947, AB$832 )</f>
        <v>1.7701858793081785E-2</v>
      </c>
      <c r="AC947" s="35">
        <f xml:space="preserve"> IF( tblFilterAll[[#This Row],[ROCE]] &lt; AB$825, 4, IF( tblFilterAll[[#This Row],[ROCE]] &lt; AB$826, 3, IF( tblFilterAll[[#This Row],[ROCE]] &lt; AB$827, 2, 1 ) ) )</f>
        <v>4</v>
      </c>
      <c r="AD947" s="35">
        <f xml:space="preserve"> COUNTIFS( tblFilterAll[Include in output], 1, tblFilterAll[ROCE], "&gt;" &amp; tblFilterAll[[#This Row],[ROCE]] ) + 1</f>
        <v>172</v>
      </c>
      <c r="AE947" s="33" cm="1" vm="4986">
        <f t="array" ref="AE947" xml:space="preserve"> INDEX( VfM_Metrics_2023_Consol_Source[], $AK947, AE$832 )</f>
        <v>5050</v>
      </c>
      <c r="AF947" s="30" cm="1">
        <f t="array" ref="AF947" xml:space="preserve"> INDEX( VfM_Metrics_2023_Consol_Source[], $AK947, AF$832 )</f>
        <v>5.120359037127703E-2</v>
      </c>
      <c r="AG947" s="30" cm="1">
        <f t="array" ref="AG947" xml:space="preserve"> INDEX( VfM_Metrics_2023_Consol_Source[], $AK947, AG$832 )</f>
        <v>2.7947776417788658E-2</v>
      </c>
      <c r="AH947" s="30" cm="1">
        <f t="array" ref="AH947" xml:space="preserve"> INDEX( VfM_Metrics_2023_Consol_Source[], $AK947, AH$832 )</f>
        <v>7.9151366789065689E-2</v>
      </c>
      <c r="AI947" s="30" t="str" cm="1">
        <f t="array" ref="AI947" xml:space="preserve"> INDEX( VfM_Metrics_2023_Consol_Source[], $AK947, AI$832 )</f>
        <v>Traditional</v>
      </c>
      <c r="AJ947" s="34" t="str" cm="1">
        <f t="array" ref="AJ947" xml:space="preserve"> INDEX( VfM_Metrics_2023_Consol_Source[], $AK947, AJ$832 )</f>
        <v>London</v>
      </c>
      <c r="AK947" s="81">
        <f xml:space="preserve"> MATCH( tblFilterAll[[#This Row],[Code]], VfM_Metrics_2023_Consol_Source[RP_Code], 0 )</f>
        <v>114</v>
      </c>
      <c r="AL947" s="24">
        <f xml:space="preserve"> INDEX( tblFilterRegion[Include for region],  MATCH( tblFilterAll[[#This Row],[Code]], tblFilterRegion[RP_Code], 0 ) )</f>
        <v>1</v>
      </c>
      <c r="AM947" s="24">
        <f xml:space="preserve"> INDEX( tblFilterPropType[Incl for prop type],  MATCH( tblFilterAll[[#This Row],[Code]], tblFilterPropType[RP_Code], 0 ) )</f>
        <v>1</v>
      </c>
      <c r="AN947" s="24">
        <f xml:space="preserve"> INDEX( tblFilterSize[Incl for size],  MATCH( tblFilterAll[[#This Row],[Code]], tblFilterSize[RP_Code], 0 ) )</f>
        <v>1</v>
      </c>
      <c r="AO947" s="24">
        <f xml:space="preserve"> INDEX( tblFilterRP_Type[Incl, for RP Type],  MATCH( tblFilterAll[[#This Row],[Code]], tblFilterRP_Type[RP_Code], 0 ) )</f>
        <v>1</v>
      </c>
      <c r="AP947" s="24">
        <f xml:space="preserve">  -- ( SUM( tblFilterAll[[#This Row],[Filter Region]:[Filter RP Type]] ) = 4 )</f>
        <v>1</v>
      </c>
      <c r="AQ947" s="24">
        <f xml:space="preserve"> -- ( tblFilterAll[[#This Row],[Provider name]] = SelectedProvider )</f>
        <v>0</v>
      </c>
      <c r="AR947" s="24">
        <f xml:space="preserve">  -- ( OR( SUM( tblFilterAll[[#This Row],[Filter Region]:[Filter RP Type]] ) = 4, tblFilterAll[[#This Row],[SelectedProvider]] = 1 ) )</f>
        <v>1</v>
      </c>
      <c r="AS947" s="24">
        <f xml:space="preserve"> -- ( INDEX( PeersCritera[Included in final peers], MATCH( tblFilterAll[[#This Row],[Provider name]], PeersCritera[RP_Name], 0 ) ) = 1 )</f>
        <v>1</v>
      </c>
      <c r="AT947" s="30" t="str" cm="1">
        <f t="array" ref="AT947" xml:space="preserve"> SUBSTITUTE( INDEX( VfM_Metrics_2023_Consol_Source[], $AK947, AT$832 ), 0, "" )</f>
        <v/>
      </c>
      <c r="AU947" s="34" cm="1">
        <f t="array" ref="AU947" xml:space="preserve"> INDEX( VfM_Metrics_2023_Consol_Source[], $AK947, AU$832 )</f>
        <v>1</v>
      </c>
      <c r="AV947" s="34" cm="1">
        <f t="array" ref="AV947" xml:space="preserve"> INDEX( VfM_Metrics_2023_Consol_Source[], $AK947, AV$832 )</f>
        <v>0</v>
      </c>
      <c r="AW947" s="34" cm="1">
        <f t="array" ref="AW947" xml:space="preserve"> INDEX( VfM_Metrics_2023_Consol_Source[], $AK947, AW$832 )</f>
        <v>0</v>
      </c>
      <c r="AX947" s="34" cm="1">
        <f t="array" ref="AX947" xml:space="preserve"> INDEX( VfM_Metrics_2023_Consol_Source[], $AK947, AX$832 )</f>
        <v>0</v>
      </c>
      <c r="AY947" s="34" cm="1">
        <f t="array" ref="AY947" xml:space="preserve"> INDEX( VfM_Metrics_2023_Consol_Source[], $AK947, AY$832 )</f>
        <v>0</v>
      </c>
      <c r="AZ947" s="34" cm="1">
        <f t="array" ref="AZ947" xml:space="preserve"> INDEX( VfM_Metrics_2023_Consol_Source[], $AK947, AZ$832 )</f>
        <v>0</v>
      </c>
      <c r="BA947" s="34" cm="1">
        <f t="array" ref="BA947" xml:space="preserve"> INDEX( VfM_Metrics_2023_Consol_Source[], $AK947, BA$832 )</f>
        <v>0</v>
      </c>
      <c r="BB947" s="34" cm="1">
        <f t="array" ref="BB947" xml:space="preserve"> INDEX( VfM_Metrics_2023_Consol_Source[], $AK947, BB$832 )</f>
        <v>0</v>
      </c>
      <c r="BC947" s="34" cm="1">
        <f t="array" ref="BC947" xml:space="preserve"> INDEX( VfM_Metrics_2023_Consol_Source[], $AK947, BC$832 )</f>
        <v>0</v>
      </c>
    </row>
    <row r="948" spans="2:55" x14ac:dyDescent="0.2">
      <c r="B948" s="122" t="str" vm="115">
        <f t="shared" ref="B948" si="452" xml:space="preserve"> B738</f>
        <v>One Manchester Limited</v>
      </c>
      <c r="C948" s="122" t="str" vm="275">
        <f t="shared" si="434"/>
        <v>4808</v>
      </c>
      <c r="D948" s="30" cm="1">
        <f t="array" ref="D948" xml:space="preserve"> INDEX( VfM_Metrics_2023_Consol_Source[], $AK948, D$832 )</f>
        <v>0.1273011628608007</v>
      </c>
      <c r="E948" s="35">
        <f xml:space="preserve"> IF( tblFilterAll[[#This Row],[Reinvestment]] &lt; D$825, 4, IF( tblFilterAll[[#This Row],[Reinvestment]] &lt; D$826, 3, IF( tblFilterAll[[#This Row],[Reinvestment]] &lt; D$827, 2, 1 ) ) )</f>
        <v>1</v>
      </c>
      <c r="F948" s="35">
        <f xml:space="preserve"> COUNTIFS( tblFilterAll[Include in output], 1, tblFilterAll[Reinvestment], "&gt;" &amp; tblFilterAll[[#This Row],[Reinvestment]] ) + 1</f>
        <v>15</v>
      </c>
      <c r="G948" s="30" cm="1">
        <f t="array" ref="G948" xml:space="preserve"> INDEX( VfM_Metrics_2023_Consol_Source[], $AK948, G$832 )</f>
        <v>1.0430686406460296E-2</v>
      </c>
      <c r="H948" s="35">
        <f xml:space="preserve"> IF( tblFilterAll[[#This Row],[New Supply (Social)]] &lt; G$825, 4, IF( tblFilterAll[[#This Row],[New Supply (Social)]] &lt; G$826, 3, IF( tblFilterAll[[#This Row],[New Supply (Social)]] &lt; G$827, 2, 1 ) ) )</f>
        <v>3</v>
      </c>
      <c r="I948" s="35">
        <f xml:space="preserve"> COUNTIFS( tblFilterAll[Include in output], 1, tblFilterAll[New Supply (Social)], "&gt;" &amp; tblFilterAll[[#This Row],[New Supply (Social)]] ) + 1</f>
        <v>121</v>
      </c>
      <c r="J948" s="31" cm="1">
        <f t="array" ref="J948" xml:space="preserve"> INDEX( VfM_Metrics_2023_Consol_Source[], $AK948, J$832 )</f>
        <v>4.8603610553926866E-3</v>
      </c>
      <c r="K948" s="35">
        <f xml:space="preserve"> IF( tblFilterAll[[#This Row],[New Supply (Non-Social)]] &lt; J$825, 4, IF( tblFilterAll[[#This Row],[New Supply (Non-Social)]] &lt; J$826, 3, IF( tblFilterAll[[#This Row],[New Supply (Non-Social)]] &lt; J$827, 2, 1 ) ) )</f>
        <v>1</v>
      </c>
      <c r="L948" s="35">
        <f xml:space="preserve"> COUNTIFS( tblFilterAll[Include in output], 1, tblFilterAll[New Supply (Non-Social)], "&gt;" &amp; tblFilterAll[[#This Row],[New Supply (Non-Social)]] ) + 1</f>
        <v>20</v>
      </c>
      <c r="M948" s="30" cm="1">
        <f t="array" ref="M948" xml:space="preserve"> INDEX( VfM_Metrics_2023_Consol_Source[], $AK948, M$832 )</f>
        <v>0.55319405483425954</v>
      </c>
      <c r="N948" s="35">
        <f xml:space="preserve"> IF( tblFilterAll[[#This Row],[Gearing]] &lt; M$825, 4, IF( tblFilterAll[[#This Row],[Gearing]] &lt; M$826, 3, IF( tblFilterAll[[#This Row],[Gearing]] &lt; M$827, 2, 1 ) ) )</f>
        <v>1</v>
      </c>
      <c r="O948" s="35">
        <f xml:space="preserve"> COUNTIFS( tblFilterAll[Include in output], 1, tblFilterAll[Gearing], "&gt;" &amp; tblFilterAll[[#This Row],[Gearing]] ) + 1</f>
        <v>43</v>
      </c>
      <c r="P948" s="30" cm="1">
        <f t="array" ref="P948" xml:space="preserve"> INDEX( VfM_Metrics_2023_Consol_Source[], $AK948, P$832 )</f>
        <v>-0.27488464073829927</v>
      </c>
      <c r="Q948" s="35">
        <f xml:space="preserve"> IF( tblFilterAll[[#This Row],[EBITDA MRI Interest Cover]] &lt; P$825, 4, IF( tblFilterAll[[#This Row],[EBITDA MRI Interest Cover]] &lt; P$826, 3, IF( tblFilterAll[[#This Row],[EBITDA MRI Interest Cover]] &lt; P$827, 2, 1 ) ) )</f>
        <v>4</v>
      </c>
      <c r="R948" s="35">
        <f xml:space="preserve"> COUNTIFS( tblFilterAll[Include in output], 1, tblFilterAll[EBITDA MRI Interest Cover], "&gt;" &amp; tblFilterAll[[#This Row],[EBITDA MRI Interest Cover]] ) + 1</f>
        <v>184</v>
      </c>
      <c r="S948" s="32" cm="1">
        <f t="array" ref="S948" xml:space="preserve"> INDEX( VfM_Metrics_2023_Consol_Source[], $AK948, S$832 )</f>
        <v>5000</v>
      </c>
      <c r="T948" s="35">
        <f xml:space="preserve"> IF( tblFilterAll[[#This Row],[Headline Social Housing Cost per unit]] &lt; S$825, 4, IF( tblFilterAll[[#This Row],[Headline Social Housing Cost per unit]] &lt; S$826, 3, IF( tblFilterAll[[#This Row],[Headline Social Housing Cost per unit]] &lt; S$827, 2, 1 ) ) )</f>
        <v>2</v>
      </c>
      <c r="U948" s="35">
        <f xml:space="preserve"> COUNTIFS( tblFilterAll[Include in output], 1, tblFilterAll[Headline Social Housing Cost per unit], "&gt;" &amp; tblFilterAll[[#This Row],[Headline Social Housing Cost per unit]] ) + 1</f>
        <v>77</v>
      </c>
      <c r="V948" s="30" cm="1">
        <f t="array" ref="V948" xml:space="preserve"> INDEX( VfM_Metrics_2023_Consol_Source[], $AK948, V$832 )</f>
        <v>8.5301768536461875E-2</v>
      </c>
      <c r="W948" s="35">
        <f xml:space="preserve"> IF( tblFilterAll[[#This Row],[Operating Margin (SHL)]] &lt; V$825, 4, IF( tblFilterAll[[#This Row],[Operating Margin (SHL)]] &lt; V$826, 3, IF( tblFilterAll[[#This Row],[Operating Margin (SHL)]] &lt; V$827, 2, 1 ) ) )</f>
        <v>4</v>
      </c>
      <c r="X948" s="35">
        <f xml:space="preserve"> COUNTIFS( tblFilterAll[Include in output], 1, tblFilterAll[Operating Margin (SHL)], "&gt;" &amp; tblFilterAll[[#This Row],[Operating Margin (SHL)]] ) + 1</f>
        <v>180</v>
      </c>
      <c r="Y948" s="30" cm="1">
        <f t="array" ref="Y948" xml:space="preserve"> INDEX( VfM_Metrics_2023_Consol_Source[], $AK948, Y$832 )</f>
        <v>8.759869112305245E-2</v>
      </c>
      <c r="Z948" s="35">
        <f xml:space="preserve"> IF( tblFilterAll[[#This Row],[Operating Margin (Overall)]] &lt; Y$825, 4, IF( tblFilterAll[[#This Row],[Operating Margin (Overall)]] &lt; Y$826, 3, IF( tblFilterAll[[#This Row],[Operating Margin (Overall)]] &lt; Y$827, 2, 1 ) ) )</f>
        <v>4</v>
      </c>
      <c r="AA948" s="35">
        <f xml:space="preserve"> COUNTIFS( tblFilterAll[Include in output], 1, tblFilterAll[Operating Margin (Overall)], "&gt;" &amp; tblFilterAll[[#This Row],[Operating Margin (Overall)]] ) + 1</f>
        <v>168</v>
      </c>
      <c r="AB948" s="30" cm="1">
        <f t="array" ref="AB948" xml:space="preserve"> INDEX( VfM_Metrics_2023_Consol_Source[], $AK948, AB$832 )</f>
        <v>6.122367513130357E-2</v>
      </c>
      <c r="AC948" s="35">
        <f xml:space="preserve"> IF( tblFilterAll[[#This Row],[ROCE]] &lt; AB$825, 4, IF( tblFilterAll[[#This Row],[ROCE]] &lt; AB$826, 3, IF( tblFilterAll[[#This Row],[ROCE]] &lt; AB$827, 2, 1 ) ) )</f>
        <v>1</v>
      </c>
      <c r="AD948" s="35">
        <f xml:space="preserve"> COUNTIFS( tblFilterAll[Include in output], 1, tblFilterAll[ROCE], "&gt;" &amp; tblFilterAll[[#This Row],[ROCE]] ) + 1</f>
        <v>5</v>
      </c>
      <c r="AE948" s="33" cm="1" vm="2495">
        <f t="array" ref="AE948" xml:space="preserve"> INDEX( VfM_Metrics_2023_Consol_Source[], $AK948, AE$832 )</f>
        <v>11888</v>
      </c>
      <c r="AF948" s="30" cm="1">
        <f t="array" ref="AF948" xml:space="preserve"> INDEX( VfM_Metrics_2023_Consol_Source[], $AK948, AF$832 )</f>
        <v>5.0603019313485704E-4</v>
      </c>
      <c r="AG948" s="30" cm="1">
        <f t="array" ref="AG948" xml:space="preserve"> INDEX( VfM_Metrics_2023_Consol_Source[], $AK948, AG$832 )</f>
        <v>2.0241207725394283E-2</v>
      </c>
      <c r="AH948" s="30" cm="1">
        <f t="array" ref="AH948" xml:space="preserve"> INDEX( VfM_Metrics_2023_Consol_Source[], $AK948, AH$832 )</f>
        <v>2.074723791852914E-2</v>
      </c>
      <c r="AI948" s="30" t="str" cm="1">
        <f t="array" ref="AI948" xml:space="preserve"> INDEX( VfM_Metrics_2023_Consol_Source[], $AK948, AI$832 )</f>
        <v>Traditional</v>
      </c>
      <c r="AJ948" s="34" t="str" cm="1">
        <f t="array" ref="AJ948" xml:space="preserve"> INDEX( VfM_Metrics_2023_Consol_Source[], $AK948, AJ$832 )</f>
        <v>North West</v>
      </c>
      <c r="AK948" s="81">
        <f xml:space="preserve"> MATCH( tblFilterAll[[#This Row],[Code]], VfM_Metrics_2023_Consol_Source[RP_Code], 0 )</f>
        <v>115</v>
      </c>
      <c r="AL948" s="24">
        <f xml:space="preserve"> INDEX( tblFilterRegion[Include for region],  MATCH( tblFilterAll[[#This Row],[Code]], tblFilterRegion[RP_Code], 0 ) )</f>
        <v>1</v>
      </c>
      <c r="AM948" s="24">
        <f xml:space="preserve"> INDEX( tblFilterPropType[Incl for prop type],  MATCH( tblFilterAll[[#This Row],[Code]], tblFilterPropType[RP_Code], 0 ) )</f>
        <v>1</v>
      </c>
      <c r="AN948" s="24">
        <f xml:space="preserve"> INDEX( tblFilterSize[Incl for size],  MATCH( tblFilterAll[[#This Row],[Code]], tblFilterSize[RP_Code], 0 ) )</f>
        <v>1</v>
      </c>
      <c r="AO948" s="24">
        <f xml:space="preserve"> INDEX( tblFilterRP_Type[Incl, for RP Type],  MATCH( tblFilterAll[[#This Row],[Code]], tblFilterRP_Type[RP_Code], 0 ) )</f>
        <v>1</v>
      </c>
      <c r="AP948" s="24">
        <f xml:space="preserve">  -- ( SUM( tblFilterAll[[#This Row],[Filter Region]:[Filter RP Type]] ) = 4 )</f>
        <v>1</v>
      </c>
      <c r="AQ948" s="24">
        <f xml:space="preserve"> -- ( tblFilterAll[[#This Row],[Provider name]] = SelectedProvider )</f>
        <v>0</v>
      </c>
      <c r="AR948" s="24">
        <f xml:space="preserve">  -- ( OR( SUM( tblFilterAll[[#This Row],[Filter Region]:[Filter RP Type]] ) = 4, tblFilterAll[[#This Row],[SelectedProvider]] = 1 ) )</f>
        <v>1</v>
      </c>
      <c r="AS948" s="24">
        <f xml:space="preserve"> -- ( INDEX( PeersCritera[Included in final peers], MATCH( tblFilterAll[[#This Row],[Provider name]], PeersCritera[RP_Name], 0 ) ) = 1 )</f>
        <v>1</v>
      </c>
      <c r="AT948" s="30" t="str" cm="1">
        <f t="array" ref="AT948" xml:space="preserve"> SUBSTITUTE( INDEX( VfM_Metrics_2023_Consol_Source[], $AK948, AT$832 ), 0, "" )</f>
        <v>&gt;= 12 years</v>
      </c>
      <c r="AU948" s="34" cm="1">
        <f t="array" ref="AU948" xml:space="preserve"> INDEX( VfM_Metrics_2023_Consol_Source[], $AK948, AU$832 )</f>
        <v>0</v>
      </c>
      <c r="AV948" s="34" cm="1">
        <f t="array" ref="AV948" xml:space="preserve"> INDEX( VfM_Metrics_2023_Consol_Source[], $AK948, AV$832 )</f>
        <v>0</v>
      </c>
      <c r="AW948" s="34" cm="1">
        <f t="array" ref="AW948" xml:space="preserve"> INDEX( VfM_Metrics_2023_Consol_Source[], $AK948, AW$832 )</f>
        <v>0</v>
      </c>
      <c r="AX948" s="34" cm="1">
        <f t="array" ref="AX948" xml:space="preserve"> INDEX( VfM_Metrics_2023_Consol_Source[], $AK948, AX$832 )</f>
        <v>0</v>
      </c>
      <c r="AY948" s="34" cm="1">
        <f t="array" ref="AY948" xml:space="preserve"> INDEX( VfM_Metrics_2023_Consol_Source[], $AK948, AY$832 )</f>
        <v>0</v>
      </c>
      <c r="AZ948" s="34" cm="1">
        <f t="array" ref="AZ948" xml:space="preserve"> INDEX( VfM_Metrics_2023_Consol_Source[], $AK948, AZ$832 )</f>
        <v>0</v>
      </c>
      <c r="BA948" s="34" cm="1">
        <f t="array" ref="BA948" xml:space="preserve"> INDEX( VfM_Metrics_2023_Consol_Source[], $AK948, BA$832 )</f>
        <v>0</v>
      </c>
      <c r="BB948" s="34" cm="1">
        <f t="array" ref="BB948" xml:space="preserve"> INDEX( VfM_Metrics_2023_Consol_Source[], $AK948, BB$832 )</f>
        <v>1</v>
      </c>
      <c r="BC948" s="34" cm="1">
        <f t="array" ref="BC948" xml:space="preserve"> INDEX( VfM_Metrics_2023_Consol_Source[], $AK948, BC$832 )</f>
        <v>0</v>
      </c>
    </row>
    <row r="949" spans="2:55" x14ac:dyDescent="0.2">
      <c r="B949" s="122" t="str" vm="116">
        <f t="shared" ref="B949" si="453" xml:space="preserve"> B739</f>
        <v>One Vision Housing Limited</v>
      </c>
      <c r="C949" s="122" t="str" vm="297">
        <f t="shared" si="434"/>
        <v>4804</v>
      </c>
      <c r="D949" s="30" cm="1">
        <f t="array" ref="D949" xml:space="preserve"> INDEX( VfM_Metrics_2023_Consol_Source[], $AK949, D$832 )</f>
        <v>0.11830470637434977</v>
      </c>
      <c r="E949" s="35">
        <f xml:space="preserve"> IF( tblFilterAll[[#This Row],[Reinvestment]] &lt; D$825, 4, IF( tblFilterAll[[#This Row],[Reinvestment]] &lt; D$826, 3, IF( tblFilterAll[[#This Row],[Reinvestment]] &lt; D$827, 2, 1 ) ) )</f>
        <v>1</v>
      </c>
      <c r="F949" s="35">
        <f xml:space="preserve"> COUNTIFS( tblFilterAll[Include in output], 1, tblFilterAll[Reinvestment], "&gt;" &amp; tblFilterAll[[#This Row],[Reinvestment]] ) + 1</f>
        <v>20</v>
      </c>
      <c r="G949" s="30" cm="1">
        <f t="array" ref="G949" xml:space="preserve"> INDEX( VfM_Metrics_2023_Consol_Source[], $AK949, G$832 )</f>
        <v>1.1963302752293578E-2</v>
      </c>
      <c r="H949" s="35">
        <f xml:space="preserve"> IF( tblFilterAll[[#This Row],[New Supply (Social)]] &lt; G$825, 4, IF( tblFilterAll[[#This Row],[New Supply (Social)]] &lt; G$826, 3, IF( tblFilterAll[[#This Row],[New Supply (Social)]] &lt; G$827, 2, 1 ) ) )</f>
        <v>3</v>
      </c>
      <c r="I949" s="35">
        <f xml:space="preserve"> COUNTIFS( tblFilterAll[Include in output], 1, tblFilterAll[New Supply (Social)], "&gt;" &amp; tblFilterAll[[#This Row],[New Supply (Social)]] ) + 1</f>
        <v>110</v>
      </c>
      <c r="J949" s="31" cm="1">
        <f t="array" ref="J949" xml:space="preserve"> INDEX( VfM_Metrics_2023_Consol_Source[], $AK949, J$832 )</f>
        <v>0</v>
      </c>
      <c r="K949" s="35">
        <f xml:space="preserve"> IF( tblFilterAll[[#This Row],[New Supply (Non-Social)]] &lt; J$825, 4, IF( tblFilterAll[[#This Row],[New Supply (Non-Social)]] &lt; J$826, 3, IF( tblFilterAll[[#This Row],[New Supply (Non-Social)]] &lt; J$827, 2, 1 ) ) )</f>
        <v>2</v>
      </c>
      <c r="L949" s="35">
        <f xml:space="preserve"> COUNTIFS( tblFilterAll[Include in output], 1, tblFilterAll[New Supply (Non-Social)], "&gt;" &amp; tblFilterAll[[#This Row],[New Supply (Non-Social)]] ) + 1</f>
        <v>72</v>
      </c>
      <c r="M949" s="30" cm="1">
        <f t="array" ref="M949" xml:space="preserve"> INDEX( VfM_Metrics_2023_Consol_Source[], $AK949, M$832 )</f>
        <v>0.72343318922073896</v>
      </c>
      <c r="N949" s="35">
        <f xml:space="preserve"> IF( tblFilterAll[[#This Row],[Gearing]] &lt; M$825, 4, IF( tblFilterAll[[#This Row],[Gearing]] &lt; M$826, 3, IF( tblFilterAll[[#This Row],[Gearing]] &lt; M$827, 2, 1 ) ) )</f>
        <v>1</v>
      </c>
      <c r="O949" s="35">
        <f xml:space="preserve"> COUNTIFS( tblFilterAll[Include in output], 1, tblFilterAll[Gearing], "&gt;" &amp; tblFilterAll[[#This Row],[Gearing]] ) + 1</f>
        <v>4</v>
      </c>
      <c r="P949" s="30" cm="1">
        <f t="array" ref="P949" xml:space="preserve"> INDEX( VfM_Metrics_2023_Consol_Source[], $AK949, P$832 )</f>
        <v>1.4024241367282875</v>
      </c>
      <c r="Q949" s="35">
        <f xml:space="preserve"> IF( tblFilterAll[[#This Row],[EBITDA MRI Interest Cover]] &lt; P$825, 4, IF( tblFilterAll[[#This Row],[EBITDA MRI Interest Cover]] &lt; P$826, 3, IF( tblFilterAll[[#This Row],[EBITDA MRI Interest Cover]] &lt; P$827, 2, 1 ) ) )</f>
        <v>2</v>
      </c>
      <c r="R949" s="35">
        <f xml:space="preserve"> COUNTIFS( tblFilterAll[Include in output], 1, tblFilterAll[EBITDA MRI Interest Cover], "&gt;" &amp; tblFilterAll[[#This Row],[EBITDA MRI Interest Cover]] ) + 1</f>
        <v>77</v>
      </c>
      <c r="S949" s="32" cm="1">
        <f t="array" ref="S949" xml:space="preserve"> INDEX( VfM_Metrics_2023_Consol_Source[], $AK949, S$832 )</f>
        <v>3995.2333358960559</v>
      </c>
      <c r="T949" s="35">
        <f xml:space="preserve"> IF( tblFilterAll[[#This Row],[Headline Social Housing Cost per unit]] &lt; S$825, 4, IF( tblFilterAll[[#This Row],[Headline Social Housing Cost per unit]] &lt; S$826, 3, IF( tblFilterAll[[#This Row],[Headline Social Housing Cost per unit]] &lt; S$827, 2, 1 ) ) )</f>
        <v>4</v>
      </c>
      <c r="U949" s="35">
        <f xml:space="preserve"> COUNTIFS( tblFilterAll[Include in output], 1, tblFilterAll[Headline Social Housing Cost per unit], "&gt;" &amp; tblFilterAll[[#This Row],[Headline Social Housing Cost per unit]] ) + 1</f>
        <v>165</v>
      </c>
      <c r="V949" s="30" cm="1">
        <f t="array" ref="V949" xml:space="preserve"> INDEX( VfM_Metrics_2023_Consol_Source[], $AK949, V$832 )</f>
        <v>0.22045451163067581</v>
      </c>
      <c r="W949" s="35">
        <f xml:space="preserve"> IF( tblFilterAll[[#This Row],[Operating Margin (SHL)]] &lt; V$825, 4, IF( tblFilterAll[[#This Row],[Operating Margin (SHL)]] &lt; V$826, 3, IF( tblFilterAll[[#This Row],[Operating Margin (SHL)]] &lt; V$827, 2, 1 ) ) )</f>
        <v>2</v>
      </c>
      <c r="X949" s="35">
        <f xml:space="preserve"> COUNTIFS( tblFilterAll[Include in output], 1, tblFilterAll[Operating Margin (SHL)], "&gt;" &amp; tblFilterAll[[#This Row],[Operating Margin (SHL)]] ) + 1</f>
        <v>81</v>
      </c>
      <c r="Y949" s="30" cm="1">
        <f t="array" ref="Y949" xml:space="preserve"> INDEX( VfM_Metrics_2023_Consol_Source[], $AK949, Y$832 )</f>
        <v>0.22681482122011329</v>
      </c>
      <c r="Z949" s="35">
        <f xml:space="preserve"> IF( tblFilterAll[[#This Row],[Operating Margin (Overall)]] &lt; Y$825, 4, IF( tblFilterAll[[#This Row],[Operating Margin (Overall)]] &lt; Y$826, 3, IF( tblFilterAll[[#This Row],[Operating Margin (Overall)]] &lt; Y$827, 2, 1 ) ) )</f>
        <v>2</v>
      </c>
      <c r="AA949" s="35">
        <f xml:space="preserve"> COUNTIFS( tblFilterAll[Include in output], 1, tblFilterAll[Operating Margin (Overall)], "&gt;" &amp; tblFilterAll[[#This Row],[Operating Margin (Overall)]] ) + 1</f>
        <v>56</v>
      </c>
      <c r="AB949" s="30" cm="1">
        <f t="array" ref="AB949" xml:space="preserve"> INDEX( VfM_Metrics_2023_Consol_Source[], $AK949, AB$832 )</f>
        <v>5.0165421513917792E-2</v>
      </c>
      <c r="AC949" s="35">
        <f xml:space="preserve"> IF( tblFilterAll[[#This Row],[ROCE]] &lt; AB$825, 4, IF( tblFilterAll[[#This Row],[ROCE]] &lt; AB$826, 3, IF( tblFilterAll[[#This Row],[ROCE]] &lt; AB$827, 2, 1 ) ) )</f>
        <v>1</v>
      </c>
      <c r="AD949" s="35">
        <f xml:space="preserve"> COUNTIFS( tblFilterAll[Include in output], 1, tblFilterAll[ROCE], "&gt;" &amp; tblFilterAll[[#This Row],[ROCE]] ) + 1</f>
        <v>7</v>
      </c>
      <c r="AE949" s="33" cm="1" vm="3243">
        <f t="array" ref="AE949" xml:space="preserve"> INDEX( VfM_Metrics_2023_Consol_Source[], $AK949, AE$832 )</f>
        <v>13007</v>
      </c>
      <c r="AF949" s="30" cm="1">
        <f t="array" ref="AF949" xml:space="preserve"> INDEX( VfM_Metrics_2023_Consol_Source[], $AK949, AF$832 )</f>
        <v>7.5940601677310149E-2</v>
      </c>
      <c r="AG949" s="30" cm="1">
        <f t="array" ref="AG949" xml:space="preserve"> INDEX( VfM_Metrics_2023_Consol_Source[], $AK949, AG$832 )</f>
        <v>0</v>
      </c>
      <c r="AH949" s="30" cm="1">
        <f t="array" ref="AH949" xml:space="preserve"> INDEX( VfM_Metrics_2023_Consol_Source[], $AK949, AH$832 )</f>
        <v>7.5940601677310149E-2</v>
      </c>
      <c r="AI949" s="30" t="str" cm="1">
        <f t="array" ref="AI949" xml:space="preserve"> INDEX( VfM_Metrics_2023_Consol_Source[], $AK949, AI$832 )</f>
        <v>Traditional</v>
      </c>
      <c r="AJ949" s="34" t="str" cm="1">
        <f t="array" ref="AJ949" xml:space="preserve"> INDEX( VfM_Metrics_2023_Consol_Source[], $AK949, AJ$832 )</f>
        <v>North West</v>
      </c>
      <c r="AK949" s="81">
        <f xml:space="preserve"> MATCH( tblFilterAll[[#This Row],[Code]], VfM_Metrics_2023_Consol_Source[RP_Code], 0 )</f>
        <v>116</v>
      </c>
      <c r="AL949" s="24">
        <f xml:space="preserve"> INDEX( tblFilterRegion[Include for region],  MATCH( tblFilterAll[[#This Row],[Code]], tblFilterRegion[RP_Code], 0 ) )</f>
        <v>1</v>
      </c>
      <c r="AM949" s="24">
        <f xml:space="preserve"> INDEX( tblFilterPropType[Incl for prop type],  MATCH( tblFilterAll[[#This Row],[Code]], tblFilterPropType[RP_Code], 0 ) )</f>
        <v>1</v>
      </c>
      <c r="AN949" s="24">
        <f xml:space="preserve"> INDEX( tblFilterSize[Incl for size],  MATCH( tblFilterAll[[#This Row],[Code]], tblFilterSize[RP_Code], 0 ) )</f>
        <v>1</v>
      </c>
      <c r="AO949" s="24">
        <f xml:space="preserve"> INDEX( tblFilterRP_Type[Incl, for RP Type],  MATCH( tblFilterAll[[#This Row],[Code]], tblFilterRP_Type[RP_Code], 0 ) )</f>
        <v>1</v>
      </c>
      <c r="AP949" s="24">
        <f xml:space="preserve">  -- ( SUM( tblFilterAll[[#This Row],[Filter Region]:[Filter RP Type]] ) = 4 )</f>
        <v>1</v>
      </c>
      <c r="AQ949" s="24">
        <f xml:space="preserve"> -- ( tblFilterAll[[#This Row],[Provider name]] = SelectedProvider )</f>
        <v>0</v>
      </c>
      <c r="AR949" s="24">
        <f xml:space="preserve">  -- ( OR( SUM( tblFilterAll[[#This Row],[Filter Region]:[Filter RP Type]] ) = 4, tblFilterAll[[#This Row],[SelectedProvider]] = 1 ) )</f>
        <v>1</v>
      </c>
      <c r="AS949" s="24">
        <f xml:space="preserve"> -- ( INDEX( PeersCritera[Included in final peers], MATCH( tblFilterAll[[#This Row],[Provider name]], PeersCritera[RP_Name], 0 ) ) = 1 )</f>
        <v>1</v>
      </c>
      <c r="AT949" s="30" t="str" cm="1">
        <f t="array" ref="AT949" xml:space="preserve"> SUBSTITUTE( INDEX( VfM_Metrics_2023_Consol_Source[], $AK949, AT$832 ), 0, "" )</f>
        <v>&gt;= 12 years</v>
      </c>
      <c r="AU949" s="34" cm="1">
        <f t="array" ref="AU949" xml:space="preserve"> INDEX( VfM_Metrics_2023_Consol_Source[], $AK949, AU$832 )</f>
        <v>0</v>
      </c>
      <c r="AV949" s="34" cm="1">
        <f t="array" ref="AV949" xml:space="preserve"> INDEX( VfM_Metrics_2023_Consol_Source[], $AK949, AV$832 )</f>
        <v>0</v>
      </c>
      <c r="AW949" s="34" cm="1">
        <f t="array" ref="AW949" xml:space="preserve"> INDEX( VfM_Metrics_2023_Consol_Source[], $AK949, AW$832 )</f>
        <v>0</v>
      </c>
      <c r="AX949" s="34" cm="1">
        <f t="array" ref="AX949" xml:space="preserve"> INDEX( VfM_Metrics_2023_Consol_Source[], $AK949, AX$832 )</f>
        <v>0</v>
      </c>
      <c r="AY949" s="34" cm="1">
        <f t="array" ref="AY949" xml:space="preserve"> INDEX( VfM_Metrics_2023_Consol_Source[], $AK949, AY$832 )</f>
        <v>0</v>
      </c>
      <c r="AZ949" s="34" cm="1">
        <f t="array" ref="AZ949" xml:space="preserve"> INDEX( VfM_Metrics_2023_Consol_Source[], $AK949, AZ$832 )</f>
        <v>0</v>
      </c>
      <c r="BA949" s="34" cm="1">
        <f t="array" ref="BA949" xml:space="preserve"> INDEX( VfM_Metrics_2023_Consol_Source[], $AK949, BA$832 )</f>
        <v>0</v>
      </c>
      <c r="BB949" s="34" cm="1">
        <f t="array" ref="BB949" xml:space="preserve"> INDEX( VfM_Metrics_2023_Consol_Source[], $AK949, BB$832 )</f>
        <v>1</v>
      </c>
      <c r="BC949" s="34" cm="1">
        <f t="array" ref="BC949" xml:space="preserve"> INDEX( VfM_Metrics_2023_Consol_Source[], $AK949, BC$832 )</f>
        <v>0</v>
      </c>
    </row>
    <row r="950" spans="2:55" x14ac:dyDescent="0.2">
      <c r="B950" s="122" t="str" vm="117">
        <f t="shared" ref="B950" si="454" xml:space="preserve"> B740</f>
        <v>Ongo Homes Limited</v>
      </c>
      <c r="C950" s="122" t="str" vm="301">
        <f t="shared" si="434"/>
        <v>L4486</v>
      </c>
      <c r="D950" s="30" cm="1">
        <f t="array" ref="D950" xml:space="preserve"> INDEX( VfM_Metrics_2023_Consol_Source[], $AK950, D$832 )</f>
        <v>9.4996911132628523E-2</v>
      </c>
      <c r="E950" s="35">
        <f xml:space="preserve"> IF( tblFilterAll[[#This Row],[Reinvestment]] &lt; D$825, 4, IF( tblFilterAll[[#This Row],[Reinvestment]] &lt; D$826, 3, IF( tblFilterAll[[#This Row],[Reinvestment]] &lt; D$827, 2, 1 ) ) )</f>
        <v>1</v>
      </c>
      <c r="F950" s="35">
        <f xml:space="preserve"> COUNTIFS( tblFilterAll[Include in output], 1, tblFilterAll[Reinvestment], "&gt;" &amp; tblFilterAll[[#This Row],[Reinvestment]] ) + 1</f>
        <v>48</v>
      </c>
      <c r="G950" s="30" cm="1">
        <f t="array" ref="G950" xml:space="preserve"> INDEX( VfM_Metrics_2023_Consol_Source[], $AK950, G$832 )</f>
        <v>9.35285781766651E-3</v>
      </c>
      <c r="H950" s="35">
        <f xml:space="preserve"> IF( tblFilterAll[[#This Row],[New Supply (Social)]] &lt; G$825, 4, IF( tblFilterAll[[#This Row],[New Supply (Social)]] &lt; G$826, 3, IF( tblFilterAll[[#This Row],[New Supply (Social)]] &lt; G$827, 2, 1 ) ) )</f>
        <v>3</v>
      </c>
      <c r="I950" s="35">
        <f xml:space="preserve"> COUNTIFS( tblFilterAll[Include in output], 1, tblFilterAll[New Supply (Social)], "&gt;" &amp; tblFilterAll[[#This Row],[New Supply (Social)]] ) + 1</f>
        <v>129</v>
      </c>
      <c r="J950" s="31" cm="1">
        <f t="array" ref="J950" xml:space="preserve"> INDEX( VfM_Metrics_2023_Consol_Source[], $AK950, J$832 )</f>
        <v>1.889466225791214E-4</v>
      </c>
      <c r="K950" s="35">
        <f xml:space="preserve"> IF( tblFilterAll[[#This Row],[New Supply (Non-Social)]] &lt; J$825, 4, IF( tblFilterAll[[#This Row],[New Supply (Non-Social)]] &lt; J$826, 3, IF( tblFilterAll[[#This Row],[New Supply (Non-Social)]] &lt; J$827, 2, 1 ) ) )</f>
        <v>2</v>
      </c>
      <c r="L950" s="35">
        <f xml:space="preserve"> COUNTIFS( tblFilterAll[Include in output], 1, tblFilterAll[New Supply (Non-Social)], "&gt;" &amp; tblFilterAll[[#This Row],[New Supply (Non-Social)]] ) + 1</f>
        <v>68</v>
      </c>
      <c r="M950" s="30" cm="1">
        <f t="array" ref="M950" xml:space="preserve"> INDEX( VfM_Metrics_2023_Consol_Source[], $AK950, M$832 )</f>
        <v>0.1745319599192075</v>
      </c>
      <c r="N950" s="35">
        <f xml:space="preserve"> IF( tblFilterAll[[#This Row],[Gearing]] &lt; M$825, 4, IF( tblFilterAll[[#This Row],[Gearing]] &lt; M$826, 3, IF( tblFilterAll[[#This Row],[Gearing]] &lt; M$827, 2, 1 ) ) )</f>
        <v>4</v>
      </c>
      <c r="O950" s="35">
        <f xml:space="preserve"> COUNTIFS( tblFilterAll[Include in output], 1, tblFilterAll[Gearing], "&gt;" &amp; tblFilterAll[[#This Row],[Gearing]] ) + 1</f>
        <v>178</v>
      </c>
      <c r="P950" s="30" cm="1">
        <f t="array" ref="P950" xml:space="preserve"> INDEX( VfM_Metrics_2023_Consol_Source[], $AK950, P$832 )</f>
        <v>2.1754677754677756</v>
      </c>
      <c r="Q950" s="35">
        <f xml:space="preserve"> IF( tblFilterAll[[#This Row],[EBITDA MRI Interest Cover]] &lt; P$825, 4, IF( tblFilterAll[[#This Row],[EBITDA MRI Interest Cover]] &lt; P$826, 3, IF( tblFilterAll[[#This Row],[EBITDA MRI Interest Cover]] &lt; P$827, 2, 1 ) ) )</f>
        <v>1</v>
      </c>
      <c r="R950" s="35">
        <f xml:space="preserve"> COUNTIFS( tblFilterAll[Include in output], 1, tblFilterAll[EBITDA MRI Interest Cover], "&gt;" &amp; tblFilterAll[[#This Row],[EBITDA MRI Interest Cover]] ) + 1</f>
        <v>24</v>
      </c>
      <c r="S950" s="32" cm="1">
        <f t="array" ref="S950" xml:space="preserve"> INDEX( VfM_Metrics_2023_Consol_Source[], $AK950, S$832 )</f>
        <v>3812.8518734226363</v>
      </c>
      <c r="T950" s="35">
        <f xml:space="preserve"> IF( tblFilterAll[[#This Row],[Headline Social Housing Cost per unit]] &lt; S$825, 4, IF( tblFilterAll[[#This Row],[Headline Social Housing Cost per unit]] &lt; S$826, 3, IF( tblFilterAll[[#This Row],[Headline Social Housing Cost per unit]] &lt; S$827, 2, 1 ) ) )</f>
        <v>4</v>
      </c>
      <c r="U950" s="35">
        <f xml:space="preserve"> COUNTIFS( tblFilterAll[Include in output], 1, tblFilterAll[Headline Social Housing Cost per unit], "&gt;" &amp; tblFilterAll[[#This Row],[Headline Social Housing Cost per unit]] ) + 1</f>
        <v>180</v>
      </c>
      <c r="V950" s="30" cm="1">
        <f t="array" ref="V950" xml:space="preserve"> INDEX( VfM_Metrics_2023_Consol_Source[], $AK950, V$832 )</f>
        <v>0.11843798887106675</v>
      </c>
      <c r="W950" s="35">
        <f xml:space="preserve"> IF( tblFilterAll[[#This Row],[Operating Margin (SHL)]] &lt; V$825, 4, IF( tblFilterAll[[#This Row],[Operating Margin (SHL)]] &lt; V$826, 3, IF( tblFilterAll[[#This Row],[Operating Margin (SHL)]] &lt; V$827, 2, 1 ) ) )</f>
        <v>4</v>
      </c>
      <c r="X950" s="35">
        <f xml:space="preserve"> COUNTIFS( tblFilterAll[Include in output], 1, tblFilterAll[Operating Margin (SHL)], "&gt;" &amp; tblFilterAll[[#This Row],[Operating Margin (SHL)]] ) + 1</f>
        <v>164</v>
      </c>
      <c r="Y950" s="30" cm="1">
        <f t="array" ref="Y950" xml:space="preserve"> INDEX( VfM_Metrics_2023_Consol_Source[], $AK950, Y$832 )</f>
        <v>0.13008627781072446</v>
      </c>
      <c r="Z950" s="35">
        <f xml:space="preserve"> IF( tblFilterAll[[#This Row],[Operating Margin (Overall)]] &lt; Y$825, 4, IF( tblFilterAll[[#This Row],[Operating Margin (Overall)]] &lt; Y$826, 3, IF( tblFilterAll[[#This Row],[Operating Margin (Overall)]] &lt; Y$827, 2, 1 ) ) )</f>
        <v>3</v>
      </c>
      <c r="AA950" s="35">
        <f xml:space="preserve"> COUNTIFS( tblFilterAll[Include in output], 1, tblFilterAll[Operating Margin (Overall)], "&gt;" &amp; tblFilterAll[[#This Row],[Operating Margin (Overall)]] ) + 1</f>
        <v>144</v>
      </c>
      <c r="AB950" s="30" cm="1">
        <f t="array" ref="AB950" xml:space="preserve"> INDEX( VfM_Metrics_2023_Consol_Source[], $AK950, AB$832 )</f>
        <v>3.4503120130255832E-2</v>
      </c>
      <c r="AC950" s="35">
        <f xml:space="preserve"> IF( tblFilterAll[[#This Row],[ROCE]] &lt; AB$825, 4, IF( tblFilterAll[[#This Row],[ROCE]] &lt; AB$826, 3, IF( tblFilterAll[[#This Row],[ROCE]] &lt; AB$827, 2, 1 ) ) )</f>
        <v>2</v>
      </c>
      <c r="AD950" s="35">
        <f xml:space="preserve"> COUNTIFS( tblFilterAll[Include in output], 1, tblFilterAll[ROCE], "&gt;" &amp; tblFilterAll[[#This Row],[ROCE]] ) + 1</f>
        <v>61</v>
      </c>
      <c r="AE950" s="33" cm="1" vm="3390">
        <f t="array" ref="AE950" xml:space="preserve"> INDEX( VfM_Metrics_2023_Consol_Source[], $AK950, AE$832 )</f>
        <v>10289</v>
      </c>
      <c r="AF950" s="30" cm="1">
        <f t="array" ref="AF950" xml:space="preserve"> INDEX( VfM_Metrics_2023_Consol_Source[], $AK950, AF$832 )</f>
        <v>3.5005834305717621E-3</v>
      </c>
      <c r="AG950" s="30" cm="1">
        <f t="array" ref="AG950" xml:space="preserve"> INDEX( VfM_Metrics_2023_Consol_Source[], $AK950, AG$832 )</f>
        <v>0</v>
      </c>
      <c r="AH950" s="30" cm="1">
        <f t="array" ref="AH950" xml:space="preserve"> INDEX( VfM_Metrics_2023_Consol_Source[], $AK950, AH$832 )</f>
        <v>3.5005834305717621E-3</v>
      </c>
      <c r="AI950" s="30" t="str" cm="1">
        <f t="array" ref="AI950" xml:space="preserve"> INDEX( VfM_Metrics_2023_Consol_Source[], $AK950, AI$832 )</f>
        <v>Traditional</v>
      </c>
      <c r="AJ950" s="34" t="str" cm="1">
        <f t="array" ref="AJ950" xml:space="preserve"> INDEX( VfM_Metrics_2023_Consol_Source[], $AK950, AJ$832 )</f>
        <v>Yorkshire &amp; the Humber</v>
      </c>
      <c r="AK950" s="81">
        <f xml:space="preserve"> MATCH( tblFilterAll[[#This Row],[Code]], VfM_Metrics_2023_Consol_Source[RP_Code], 0 )</f>
        <v>117</v>
      </c>
      <c r="AL950" s="24">
        <f xml:space="preserve"> INDEX( tblFilterRegion[Include for region],  MATCH( tblFilterAll[[#This Row],[Code]], tblFilterRegion[RP_Code], 0 ) )</f>
        <v>1</v>
      </c>
      <c r="AM950" s="24">
        <f xml:space="preserve"> INDEX( tblFilterPropType[Incl for prop type],  MATCH( tblFilterAll[[#This Row],[Code]], tblFilterPropType[RP_Code], 0 ) )</f>
        <v>1</v>
      </c>
      <c r="AN950" s="24">
        <f xml:space="preserve"> INDEX( tblFilterSize[Incl for size],  MATCH( tblFilterAll[[#This Row],[Code]], tblFilterSize[RP_Code], 0 ) )</f>
        <v>1</v>
      </c>
      <c r="AO950" s="24">
        <f xml:space="preserve"> INDEX( tblFilterRP_Type[Incl, for RP Type],  MATCH( tblFilterAll[[#This Row],[Code]], tblFilterRP_Type[RP_Code], 0 ) )</f>
        <v>1</v>
      </c>
      <c r="AP950" s="24">
        <f xml:space="preserve">  -- ( SUM( tblFilterAll[[#This Row],[Filter Region]:[Filter RP Type]] ) = 4 )</f>
        <v>1</v>
      </c>
      <c r="AQ950" s="24">
        <f xml:space="preserve"> -- ( tblFilterAll[[#This Row],[Provider name]] = SelectedProvider )</f>
        <v>0</v>
      </c>
      <c r="AR950" s="24">
        <f xml:space="preserve">  -- ( OR( SUM( tblFilterAll[[#This Row],[Filter Region]:[Filter RP Type]] ) = 4, tblFilterAll[[#This Row],[SelectedProvider]] = 1 ) )</f>
        <v>1</v>
      </c>
      <c r="AS950" s="24">
        <f xml:space="preserve"> -- ( INDEX( PeersCritera[Included in final peers], MATCH( tblFilterAll[[#This Row],[Provider name]], PeersCritera[RP_Name], 0 ) ) = 1 )</f>
        <v>1</v>
      </c>
      <c r="AT950" s="30" t="str" cm="1">
        <f t="array" ref="AT950" xml:space="preserve"> SUBSTITUTE( INDEX( VfM_Metrics_2023_Consol_Source[], $AK950, AT$832 ), 0, "" )</f>
        <v>&gt;= 12 years</v>
      </c>
      <c r="AU950" s="34" cm="1">
        <f t="array" ref="AU950" xml:space="preserve"> INDEX( VfM_Metrics_2023_Consol_Source[], $AK950, AU$832 )</f>
        <v>0</v>
      </c>
      <c r="AV950" s="34" cm="1">
        <f t="array" ref="AV950" xml:space="preserve"> INDEX( VfM_Metrics_2023_Consol_Source[], $AK950, AV$832 )</f>
        <v>0</v>
      </c>
      <c r="AW950" s="34" cm="1">
        <f t="array" ref="AW950" xml:space="preserve"> INDEX( VfM_Metrics_2023_Consol_Source[], $AK950, AW$832 )</f>
        <v>0</v>
      </c>
      <c r="AX950" s="34" cm="1">
        <f t="array" ref="AX950" xml:space="preserve"> INDEX( VfM_Metrics_2023_Consol_Source[], $AK950, AX$832 )</f>
        <v>2.5269705510739624E-2</v>
      </c>
      <c r="AY950" s="34" cm="1">
        <f t="array" ref="AY950" xml:space="preserve"> INDEX( VfM_Metrics_2023_Consol_Source[], $AK950, AY$832 )</f>
        <v>0</v>
      </c>
      <c r="AZ950" s="34" cm="1">
        <f t="array" ref="AZ950" xml:space="preserve"> INDEX( VfM_Metrics_2023_Consol_Source[], $AK950, AZ$832 )</f>
        <v>0</v>
      </c>
      <c r="BA950" s="34" cm="1">
        <f t="array" ref="BA950" xml:space="preserve"> INDEX( VfM_Metrics_2023_Consol_Source[], $AK950, BA$832 )</f>
        <v>0</v>
      </c>
      <c r="BB950" s="34" cm="1">
        <f t="array" ref="BB950" xml:space="preserve"> INDEX( VfM_Metrics_2023_Consol_Source[], $AK950, BB$832 )</f>
        <v>0</v>
      </c>
      <c r="BC950" s="34" cm="1">
        <f t="array" ref="BC950" xml:space="preserve"> INDEX( VfM_Metrics_2023_Consol_Source[], $AK950, BC$832 )</f>
        <v>0.97473029448926041</v>
      </c>
    </row>
    <row r="951" spans="2:55" x14ac:dyDescent="0.2">
      <c r="B951" s="122" t="str" vm="118">
        <f t="shared" ref="B951" si="455" xml:space="preserve"> B741</f>
        <v>Onward Group Limited</v>
      </c>
      <c r="C951" s="122" t="str" vm="338">
        <f t="shared" si="434"/>
        <v>4649</v>
      </c>
      <c r="D951" s="30" cm="1">
        <f t="array" ref="D951" xml:space="preserve"> INDEX( VfM_Metrics_2023_Consol_Source[], $AK951, D$832 )</f>
        <v>7.5821478222284744E-2</v>
      </c>
      <c r="E951" s="35">
        <f xml:space="preserve"> IF( tblFilterAll[[#This Row],[Reinvestment]] &lt; D$825, 4, IF( tblFilterAll[[#This Row],[Reinvestment]] &lt; D$826, 3, IF( tblFilterAll[[#This Row],[Reinvestment]] &lt; D$827, 2, 1 ) ) )</f>
        <v>2</v>
      </c>
      <c r="F951" s="35">
        <f xml:space="preserve"> COUNTIFS( tblFilterAll[Include in output], 1, tblFilterAll[Reinvestment], "&gt;" &amp; tblFilterAll[[#This Row],[Reinvestment]] ) + 1</f>
        <v>80</v>
      </c>
      <c r="G951" s="30" cm="1">
        <f t="array" ref="G951" xml:space="preserve"> INDEX( VfM_Metrics_2023_Consol_Source[], $AK951, G$832 )</f>
        <v>8.8266176663604149E-3</v>
      </c>
      <c r="H951" s="35">
        <f xml:space="preserve"> IF( tblFilterAll[[#This Row],[New Supply (Social)]] &lt; G$825, 4, IF( tblFilterAll[[#This Row],[New Supply (Social)]] &lt; G$826, 3, IF( tblFilterAll[[#This Row],[New Supply (Social)]] &lt; G$827, 2, 1 ) ) )</f>
        <v>3</v>
      </c>
      <c r="I951" s="35">
        <f xml:space="preserve"> COUNTIFS( tblFilterAll[Include in output], 1, tblFilterAll[New Supply (Social)], "&gt;" &amp; tblFilterAll[[#This Row],[New Supply (Social)]] ) + 1</f>
        <v>133</v>
      </c>
      <c r="J951" s="31" cm="1">
        <f t="array" ref="J951" xml:space="preserve"> INDEX( VfM_Metrics_2023_Consol_Source[], $AK951, J$832 )</f>
        <v>0</v>
      </c>
      <c r="K951" s="35">
        <f xml:space="preserve"> IF( tblFilterAll[[#This Row],[New Supply (Non-Social)]] &lt; J$825, 4, IF( tblFilterAll[[#This Row],[New Supply (Non-Social)]] &lt; J$826, 3, IF( tblFilterAll[[#This Row],[New Supply (Non-Social)]] &lt; J$827, 2, 1 ) ) )</f>
        <v>2</v>
      </c>
      <c r="L951" s="35">
        <f xml:space="preserve"> COUNTIFS( tblFilterAll[Include in output], 1, tblFilterAll[New Supply (Non-Social)], "&gt;" &amp; tblFilterAll[[#This Row],[New Supply (Non-Social)]] ) + 1</f>
        <v>72</v>
      </c>
      <c r="M951" s="30" cm="1">
        <f t="array" ref="M951" xml:space="preserve"> INDEX( VfM_Metrics_2023_Consol_Source[], $AK951, M$832 )</f>
        <v>0.27071941702637953</v>
      </c>
      <c r="N951" s="35">
        <f xml:space="preserve"> IF( tblFilterAll[[#This Row],[Gearing]] &lt; M$825, 4, IF( tblFilterAll[[#This Row],[Gearing]] &lt; M$826, 3, IF( tblFilterAll[[#This Row],[Gearing]] &lt; M$827, 2, 1 ) ) )</f>
        <v>4</v>
      </c>
      <c r="O951" s="35">
        <f xml:space="preserve"> COUNTIFS( tblFilterAll[Include in output], 1, tblFilterAll[Gearing], "&gt;" &amp; tblFilterAll[[#This Row],[Gearing]] ) + 1</f>
        <v>166</v>
      </c>
      <c r="P951" s="30" cm="1">
        <f t="array" ref="P951" xml:space="preserve"> INDEX( VfM_Metrics_2023_Consol_Source[], $AK951, P$832 )</f>
        <v>0.52116935483870963</v>
      </c>
      <c r="Q951" s="35">
        <f xml:space="preserve"> IF( tblFilterAll[[#This Row],[EBITDA MRI Interest Cover]] &lt; P$825, 4, IF( tblFilterAll[[#This Row],[EBITDA MRI Interest Cover]] &lt; P$826, 3, IF( tblFilterAll[[#This Row],[EBITDA MRI Interest Cover]] &lt; P$827, 2, 1 ) ) )</f>
        <v>4</v>
      </c>
      <c r="R951" s="35">
        <f xml:space="preserve"> COUNTIFS( tblFilterAll[Include in output], 1, tblFilterAll[EBITDA MRI Interest Cover], "&gt;" &amp; tblFilterAll[[#This Row],[EBITDA MRI Interest Cover]] ) + 1</f>
        <v>169</v>
      </c>
      <c r="S951" s="32" cm="1">
        <f t="array" ref="S951" xml:space="preserve"> INDEX( VfM_Metrics_2023_Consol_Source[], $AK951, S$832 )</f>
        <v>4627.0953828056072</v>
      </c>
      <c r="T951" s="35">
        <f xml:space="preserve"> IF( tblFilterAll[[#This Row],[Headline Social Housing Cost per unit]] &lt; S$825, 4, IF( tblFilterAll[[#This Row],[Headline Social Housing Cost per unit]] &lt; S$826, 3, IF( tblFilterAll[[#This Row],[Headline Social Housing Cost per unit]] &lt; S$827, 2, 1 ) ) )</f>
        <v>2</v>
      </c>
      <c r="U951" s="35">
        <f xml:space="preserve"> COUNTIFS( tblFilterAll[Include in output], 1, tblFilterAll[Headline Social Housing Cost per unit], "&gt;" &amp; tblFilterAll[[#This Row],[Headline Social Housing Cost per unit]] ) + 1</f>
        <v>96</v>
      </c>
      <c r="V951" s="30" cm="1">
        <f t="array" ref="V951" xml:space="preserve"> INDEX( VfM_Metrics_2023_Consol_Source[], $AK951, V$832 )</f>
        <v>0.1444947291401317</v>
      </c>
      <c r="W951" s="35">
        <f xml:space="preserve"> IF( tblFilterAll[[#This Row],[Operating Margin (SHL)]] &lt; V$825, 4, IF( tblFilterAll[[#This Row],[Operating Margin (SHL)]] &lt; V$826, 3, IF( tblFilterAll[[#This Row],[Operating Margin (SHL)]] &lt; V$827, 2, 1 ) ) )</f>
        <v>3</v>
      </c>
      <c r="X951" s="35">
        <f xml:space="preserve"> COUNTIFS( tblFilterAll[Include in output], 1, tblFilterAll[Operating Margin (SHL)], "&gt;" &amp; tblFilterAll[[#This Row],[Operating Margin (SHL)]] ) + 1</f>
        <v>149</v>
      </c>
      <c r="Y951" s="30" cm="1">
        <f t="array" ref="Y951" xml:space="preserve"> INDEX( VfM_Metrics_2023_Consol_Source[], $AK951, Y$832 )</f>
        <v>9.8063304372478718E-2</v>
      </c>
      <c r="Z951" s="35">
        <f xml:space="preserve"> IF( tblFilterAll[[#This Row],[Operating Margin (Overall)]] &lt; Y$825, 4, IF( tblFilterAll[[#This Row],[Operating Margin (Overall)]] &lt; Y$826, 3, IF( tblFilterAll[[#This Row],[Operating Margin (Overall)]] &lt; Y$827, 2, 1 ) ) )</f>
        <v>4</v>
      </c>
      <c r="AA951" s="35">
        <f xml:space="preserve"> COUNTIFS( tblFilterAll[Include in output], 1, tblFilterAll[Operating Margin (Overall)], "&gt;" &amp; tblFilterAll[[#This Row],[Operating Margin (Overall)]] ) + 1</f>
        <v>162</v>
      </c>
      <c r="AB951" s="30" cm="1">
        <f t="array" ref="AB951" xml:space="preserve"> INDEX( VfM_Metrics_2023_Consol_Source[], $AK951, AB$832 )</f>
        <v>1.3667300475986601E-2</v>
      </c>
      <c r="AC951" s="35">
        <f xml:space="preserve"> IF( tblFilterAll[[#This Row],[ROCE]] &lt; AB$825, 4, IF( tblFilterAll[[#This Row],[ROCE]] &lt; AB$826, 3, IF( tblFilterAll[[#This Row],[ROCE]] &lt; AB$827, 2, 1 ) ) )</f>
        <v>4</v>
      </c>
      <c r="AD951" s="35">
        <f xml:space="preserve"> COUNTIFS( tblFilterAll[Include in output], 1, tblFilterAll[ROCE], "&gt;" &amp; tblFilterAll[[#This Row],[ROCE]] ) + 1</f>
        <v>183</v>
      </c>
      <c r="AE951" s="33" cm="1" vm="7345">
        <f t="array" ref="AE951" xml:space="preserve"> INDEX( VfM_Metrics_2023_Consol_Source[], $AK951, AE$832 )</f>
        <v>29686</v>
      </c>
      <c r="AF951" s="30" cm="1">
        <f t="array" ref="AF951" xml:space="preserve"> INDEX( VfM_Metrics_2023_Consol_Source[], $AK951, AF$832 )</f>
        <v>6.5031875063244177E-2</v>
      </c>
      <c r="AG951" s="30" cm="1">
        <f t="array" ref="AG951" xml:space="preserve"> INDEX( VfM_Metrics_2023_Consol_Source[], $AK951, AG$832 )</f>
        <v>0.13067089418828212</v>
      </c>
      <c r="AH951" s="30" cm="1">
        <f t="array" ref="AH951" xml:space="preserve"> INDEX( VfM_Metrics_2023_Consol_Source[], $AK951, AH$832 )</f>
        <v>0.1957027692515263</v>
      </c>
      <c r="AI951" s="30" t="str" cm="1">
        <f t="array" ref="AI951" xml:space="preserve"> INDEX( VfM_Metrics_2023_Consol_Source[], $AK951, AI$832 )</f>
        <v>Traditional</v>
      </c>
      <c r="AJ951" s="34" t="str" cm="1">
        <f t="array" ref="AJ951" xml:space="preserve"> INDEX( VfM_Metrics_2023_Consol_Source[], $AK951, AJ$832 )</f>
        <v>North West</v>
      </c>
      <c r="AK951" s="81">
        <f xml:space="preserve"> MATCH( tblFilterAll[[#This Row],[Code]], VfM_Metrics_2023_Consol_Source[RP_Code], 0 )</f>
        <v>118</v>
      </c>
      <c r="AL951" s="24">
        <f xml:space="preserve"> INDEX( tblFilterRegion[Include for region],  MATCH( tblFilterAll[[#This Row],[Code]], tblFilterRegion[RP_Code], 0 ) )</f>
        <v>1</v>
      </c>
      <c r="AM951" s="24">
        <f xml:space="preserve"> INDEX( tblFilterPropType[Incl for prop type],  MATCH( tblFilterAll[[#This Row],[Code]], tblFilterPropType[RP_Code], 0 ) )</f>
        <v>1</v>
      </c>
      <c r="AN951" s="24">
        <f xml:space="preserve"> INDEX( tblFilterSize[Incl for size],  MATCH( tblFilterAll[[#This Row],[Code]], tblFilterSize[RP_Code], 0 ) )</f>
        <v>1</v>
      </c>
      <c r="AO951" s="24">
        <f xml:space="preserve"> INDEX( tblFilterRP_Type[Incl, for RP Type],  MATCH( tblFilterAll[[#This Row],[Code]], tblFilterRP_Type[RP_Code], 0 ) )</f>
        <v>1</v>
      </c>
      <c r="AP951" s="24">
        <f xml:space="preserve">  -- ( SUM( tblFilterAll[[#This Row],[Filter Region]:[Filter RP Type]] ) = 4 )</f>
        <v>1</v>
      </c>
      <c r="AQ951" s="24">
        <f xml:space="preserve"> -- ( tblFilterAll[[#This Row],[Provider name]] = SelectedProvider )</f>
        <v>0</v>
      </c>
      <c r="AR951" s="24">
        <f xml:space="preserve">  -- ( OR( SUM( tblFilterAll[[#This Row],[Filter Region]:[Filter RP Type]] ) = 4, tblFilterAll[[#This Row],[SelectedProvider]] = 1 ) )</f>
        <v>1</v>
      </c>
      <c r="AS951" s="24">
        <f xml:space="preserve"> -- ( INDEX( PeersCritera[Included in final peers], MATCH( tblFilterAll[[#This Row],[Provider name]], PeersCritera[RP_Name], 0 ) ) = 1 )</f>
        <v>1</v>
      </c>
      <c r="AT951" s="30" t="str" cm="1">
        <f t="array" ref="AT951" xml:space="preserve"> SUBSTITUTE( INDEX( VfM_Metrics_2023_Consol_Source[], $AK951, AT$832 ), 0, "" )</f>
        <v>&gt;= 12 years</v>
      </c>
      <c r="AU951" s="34" cm="1">
        <f t="array" ref="AU951" xml:space="preserve"> INDEX( VfM_Metrics_2023_Consol_Source[], $AK951, AU$832 )</f>
        <v>0</v>
      </c>
      <c r="AV951" s="34" cm="1">
        <f t="array" ref="AV951" xml:space="preserve"> INDEX( VfM_Metrics_2023_Consol_Source[], $AK951, AV$832 )</f>
        <v>0</v>
      </c>
      <c r="AW951" s="34" cm="1">
        <f t="array" ref="AW951" xml:space="preserve"> INDEX( VfM_Metrics_2023_Consol_Source[], $AK951, AW$832 )</f>
        <v>0</v>
      </c>
      <c r="AX951" s="34" cm="1">
        <f t="array" ref="AX951" xml:space="preserve"> INDEX( VfM_Metrics_2023_Consol_Source[], $AK951, AX$832 )</f>
        <v>1.3507125008441954E-4</v>
      </c>
      <c r="AY951" s="34" cm="1">
        <f t="array" ref="AY951" xml:space="preserve"> INDEX( VfM_Metrics_2023_Consol_Source[], $AK951, AY$832 )</f>
        <v>0</v>
      </c>
      <c r="AZ951" s="34" cm="1">
        <f t="array" ref="AZ951" xml:space="preserve"> INDEX( VfM_Metrics_2023_Consol_Source[], $AK951, AZ$832 )</f>
        <v>0</v>
      </c>
      <c r="BA951" s="34" cm="1">
        <f t="array" ref="BA951" xml:space="preserve"> INDEX( VfM_Metrics_2023_Consol_Source[], $AK951, BA$832 )</f>
        <v>0</v>
      </c>
      <c r="BB951" s="34" cm="1">
        <f t="array" ref="BB951" xml:space="preserve"> INDEX( VfM_Metrics_2023_Consol_Source[], $AK951, BB$832 )</f>
        <v>0.99986492874991562</v>
      </c>
      <c r="BC951" s="34" cm="1">
        <f t="array" ref="BC951" xml:space="preserve"> INDEX( VfM_Metrics_2023_Consol_Source[], $AK951, BC$832 )</f>
        <v>0</v>
      </c>
    </row>
    <row r="952" spans="2:55" x14ac:dyDescent="0.2">
      <c r="B952" s="122" t="str" vm="119">
        <f t="shared" ref="B952" si="456" xml:space="preserve"> B742</f>
        <v>Orbit Group Limited</v>
      </c>
      <c r="C952" s="122" t="str" vm="253">
        <f t="shared" si="434"/>
        <v>L4123</v>
      </c>
      <c r="D952" s="30" cm="1">
        <f t="array" ref="D952" xml:space="preserve"> INDEX( VfM_Metrics_2023_Consol_Source[], $AK952, D$832 )</f>
        <v>6.7644551525743946E-2</v>
      </c>
      <c r="E952" s="35">
        <f xml:space="preserve"> IF( tblFilterAll[[#This Row],[Reinvestment]] &lt; D$825, 4, IF( tblFilterAll[[#This Row],[Reinvestment]] &lt; D$826, 3, IF( tblFilterAll[[#This Row],[Reinvestment]] &lt; D$827, 2, 1 ) ) )</f>
        <v>2</v>
      </c>
      <c r="F952" s="35">
        <f xml:space="preserve"> COUNTIFS( tblFilterAll[Include in output], 1, tblFilterAll[Reinvestment], "&gt;" &amp; tblFilterAll[[#This Row],[Reinvestment]] ) + 1</f>
        <v>95</v>
      </c>
      <c r="G952" s="30" cm="1">
        <f t="array" ref="G952" xml:space="preserve"> INDEX( VfM_Metrics_2023_Consol_Source[], $AK952, G$832 )</f>
        <v>2.1081233017895624E-2</v>
      </c>
      <c r="H952" s="35">
        <f xml:space="preserve"> IF( tblFilterAll[[#This Row],[New Supply (Social)]] &lt; G$825, 4, IF( tblFilterAll[[#This Row],[New Supply (Social)]] &lt; G$826, 3, IF( tblFilterAll[[#This Row],[New Supply (Social)]] &lt; G$827, 2, 1 ) ) )</f>
        <v>2</v>
      </c>
      <c r="I952" s="35">
        <f xml:space="preserve"> COUNTIFS( tblFilterAll[Include in output], 1, tblFilterAll[New Supply (Social)], "&gt;" &amp; tblFilterAll[[#This Row],[New Supply (Social)]] ) + 1</f>
        <v>56</v>
      </c>
      <c r="J952" s="31" cm="1">
        <f t="array" ref="J952" xml:space="preserve"> INDEX( VfM_Metrics_2023_Consol_Source[], $AK952, J$832 )</f>
        <v>7.5379145853021919E-3</v>
      </c>
      <c r="K952" s="35">
        <f xml:space="preserve"> IF( tblFilterAll[[#This Row],[New Supply (Non-Social)]] &lt; J$825, 4, IF( tblFilterAll[[#This Row],[New Supply (Non-Social)]] &lt; J$826, 3, IF( tblFilterAll[[#This Row],[New Supply (Non-Social)]] &lt; J$827, 2, 1 ) ) )</f>
        <v>1</v>
      </c>
      <c r="L952" s="35">
        <f xml:space="preserve"> COUNTIFS( tblFilterAll[Include in output], 1, tblFilterAll[New Supply (Non-Social)], "&gt;" &amp; tblFilterAll[[#This Row],[New Supply (Non-Social)]] ) + 1</f>
        <v>11</v>
      </c>
      <c r="M952" s="30" cm="1">
        <f t="array" ref="M952" xml:space="preserve"> INDEX( VfM_Metrics_2023_Consol_Source[], $AK952, M$832 )</f>
        <v>0.49102952744890871</v>
      </c>
      <c r="N952" s="35">
        <f xml:space="preserve"> IF( tblFilterAll[[#This Row],[Gearing]] &lt; M$825, 4, IF( tblFilterAll[[#This Row],[Gearing]] &lt; M$826, 3, IF( tblFilterAll[[#This Row],[Gearing]] &lt; M$827, 2, 1 ) ) )</f>
        <v>2</v>
      </c>
      <c r="O952" s="35">
        <f xml:space="preserve"> COUNTIFS( tblFilterAll[Include in output], 1, tblFilterAll[Gearing], "&gt;" &amp; tblFilterAll[[#This Row],[Gearing]] ) + 1</f>
        <v>73</v>
      </c>
      <c r="P952" s="30" cm="1">
        <f t="array" ref="P952" xml:space="preserve"> INDEX( VfM_Metrics_2023_Consol_Source[], $AK952, P$832 )</f>
        <v>1.6917325357829525</v>
      </c>
      <c r="Q952" s="35">
        <f xml:space="preserve"> IF( tblFilterAll[[#This Row],[EBITDA MRI Interest Cover]] &lt; P$825, 4, IF( tblFilterAll[[#This Row],[EBITDA MRI Interest Cover]] &lt; P$826, 3, IF( tblFilterAll[[#This Row],[EBITDA MRI Interest Cover]] &lt; P$827, 2, 1 ) ) )</f>
        <v>2</v>
      </c>
      <c r="R952" s="35">
        <f xml:space="preserve"> COUNTIFS( tblFilterAll[Include in output], 1, tblFilterAll[EBITDA MRI Interest Cover], "&gt;" &amp; tblFilterAll[[#This Row],[EBITDA MRI Interest Cover]] ) + 1</f>
        <v>50</v>
      </c>
      <c r="S952" s="32" cm="1">
        <f t="array" ref="S952" xml:space="preserve"> INDEX( VfM_Metrics_2023_Consol_Source[], $AK952, S$832 )</f>
        <v>4436.227967971442</v>
      </c>
      <c r="T952" s="35">
        <f xml:space="preserve"> IF( tblFilterAll[[#This Row],[Headline Social Housing Cost per unit]] &lt; S$825, 4, IF( tblFilterAll[[#This Row],[Headline Social Housing Cost per unit]] &lt; S$826, 3, IF( tblFilterAll[[#This Row],[Headline Social Housing Cost per unit]] &lt; S$827, 2, 1 ) ) )</f>
        <v>3</v>
      </c>
      <c r="U952" s="35">
        <f xml:space="preserve"> COUNTIFS( tblFilterAll[Include in output], 1, tblFilterAll[Headline Social Housing Cost per unit], "&gt;" &amp; tblFilterAll[[#This Row],[Headline Social Housing Cost per unit]] ) + 1</f>
        <v>114</v>
      </c>
      <c r="V952" s="30" cm="1">
        <f t="array" ref="V952" xml:space="preserve"> INDEX( VfM_Metrics_2023_Consol_Source[], $AK952, V$832 )</f>
        <v>0.34954262084521159</v>
      </c>
      <c r="W952" s="35">
        <f xml:space="preserve"> IF( tblFilterAll[[#This Row],[Operating Margin (SHL)]] &lt; V$825, 4, IF( tblFilterAll[[#This Row],[Operating Margin (SHL)]] &lt; V$826, 3, IF( tblFilterAll[[#This Row],[Operating Margin (SHL)]] &lt; V$827, 2, 1 ) ) )</f>
        <v>1</v>
      </c>
      <c r="X952" s="35">
        <f xml:space="preserve"> COUNTIFS( tblFilterAll[Include in output], 1, tblFilterAll[Operating Margin (SHL)], "&gt;" &amp; tblFilterAll[[#This Row],[Operating Margin (SHL)]] ) + 1</f>
        <v>12</v>
      </c>
      <c r="Y952" s="30" cm="1">
        <f t="array" ref="Y952" xml:space="preserve"> INDEX( VfM_Metrics_2023_Consol_Source[], $AK952, Y$832 )</f>
        <v>0.25124788433403139</v>
      </c>
      <c r="Z952" s="35">
        <f xml:space="preserve"> IF( tblFilterAll[[#This Row],[Operating Margin (Overall)]] &lt; Y$825, 4, IF( tblFilterAll[[#This Row],[Operating Margin (Overall)]] &lt; Y$826, 3, IF( tblFilterAll[[#This Row],[Operating Margin (Overall)]] &lt; Y$827, 2, 1 ) ) )</f>
        <v>1</v>
      </c>
      <c r="AA952" s="35">
        <f xml:space="preserve"> COUNTIFS( tblFilterAll[Include in output], 1, tblFilterAll[Operating Margin (Overall)], "&gt;" &amp; tblFilterAll[[#This Row],[Operating Margin (Overall)]] ) + 1</f>
        <v>34</v>
      </c>
      <c r="AB952" s="30" cm="1">
        <f t="array" ref="AB952" xml:space="preserve"> INDEX( VfM_Metrics_2023_Consol_Source[], $AK952, AB$832 )</f>
        <v>4.1848237316617638E-2</v>
      </c>
      <c r="AC952" s="35">
        <f xml:space="preserve"> IF( tblFilterAll[[#This Row],[ROCE]] &lt; AB$825, 4, IF( tblFilterAll[[#This Row],[ROCE]] &lt; AB$826, 3, IF( tblFilterAll[[#This Row],[ROCE]] &lt; AB$827, 2, 1 ) ) )</f>
        <v>1</v>
      </c>
      <c r="AD952" s="35">
        <f xml:space="preserve"> COUNTIFS( tblFilterAll[Include in output], 1, tblFilterAll[ROCE], "&gt;" &amp; tblFilterAll[[#This Row],[ROCE]] ) + 1</f>
        <v>22</v>
      </c>
      <c r="AE952" s="33" cm="1" vm="1834">
        <f t="array" ref="AE952" xml:space="preserve"> INDEX( VfM_Metrics_2023_Consol_Source[], $AK952, AE$832 )</f>
        <v>40339</v>
      </c>
      <c r="AF952" s="30" cm="1">
        <f t="array" ref="AF952" xml:space="preserve"> INDEX( VfM_Metrics_2023_Consol_Source[], $AK952, AF$832 )</f>
        <v>1.5823257202567546E-2</v>
      </c>
      <c r="AG952" s="30" cm="1">
        <f t="array" ref="AG952" xml:space="preserve"> INDEX( VfM_Metrics_2023_Consol_Source[], $AK952, AG$832 )</f>
        <v>6.7845947156291983E-2</v>
      </c>
      <c r="AH952" s="30" cm="1">
        <f t="array" ref="AH952" xml:space="preserve"> INDEX( VfM_Metrics_2023_Consol_Source[], $AK952, AH$832 )</f>
        <v>8.3669204358859522E-2</v>
      </c>
      <c r="AI952" s="30" t="str" cm="1">
        <f t="array" ref="AI952" xml:space="preserve"> INDEX( VfM_Metrics_2023_Consol_Source[], $AK952, AI$832 )</f>
        <v>Traditional</v>
      </c>
      <c r="AJ952" s="34" t="str" cm="1">
        <f t="array" ref="AJ952" xml:space="preserve"> INDEX( VfM_Metrics_2023_Consol_Source[], $AK952, AJ$832 )</f>
        <v>Mixed</v>
      </c>
      <c r="AK952" s="81">
        <f xml:space="preserve"> MATCH( tblFilterAll[[#This Row],[Code]], VfM_Metrics_2023_Consol_Source[RP_Code], 0 )</f>
        <v>119</v>
      </c>
      <c r="AL952" s="24">
        <f xml:space="preserve"> INDEX( tblFilterRegion[Include for region],  MATCH( tblFilterAll[[#This Row],[Code]], tblFilterRegion[RP_Code], 0 ) )</f>
        <v>1</v>
      </c>
      <c r="AM952" s="24">
        <f xml:space="preserve"> INDEX( tblFilterPropType[Incl for prop type],  MATCH( tblFilterAll[[#This Row],[Code]], tblFilterPropType[RP_Code], 0 ) )</f>
        <v>1</v>
      </c>
      <c r="AN952" s="24">
        <f xml:space="preserve"> INDEX( tblFilterSize[Incl for size],  MATCH( tblFilterAll[[#This Row],[Code]], tblFilterSize[RP_Code], 0 ) )</f>
        <v>1</v>
      </c>
      <c r="AO952" s="24">
        <f xml:space="preserve"> INDEX( tblFilterRP_Type[Incl, for RP Type],  MATCH( tblFilterAll[[#This Row],[Code]], tblFilterRP_Type[RP_Code], 0 ) )</f>
        <v>1</v>
      </c>
      <c r="AP952" s="24">
        <f xml:space="preserve">  -- ( SUM( tblFilterAll[[#This Row],[Filter Region]:[Filter RP Type]] ) = 4 )</f>
        <v>1</v>
      </c>
      <c r="AQ952" s="24">
        <f xml:space="preserve"> -- ( tblFilterAll[[#This Row],[Provider name]] = SelectedProvider )</f>
        <v>0</v>
      </c>
      <c r="AR952" s="24">
        <f xml:space="preserve">  -- ( OR( SUM( tblFilterAll[[#This Row],[Filter Region]:[Filter RP Type]] ) = 4, tblFilterAll[[#This Row],[SelectedProvider]] = 1 ) )</f>
        <v>1</v>
      </c>
      <c r="AS952" s="24">
        <f xml:space="preserve"> -- ( INDEX( PeersCritera[Included in final peers], MATCH( tblFilterAll[[#This Row],[Provider name]], PeersCritera[RP_Name], 0 ) ) = 1 )</f>
        <v>1</v>
      </c>
      <c r="AT952" s="30" t="str" cm="1">
        <f t="array" ref="AT952" xml:space="preserve"> SUBSTITUTE( INDEX( VfM_Metrics_2023_Consol_Source[], $AK952, AT$832 ), 0, "" )</f>
        <v/>
      </c>
      <c r="AU952" s="34" cm="1">
        <f t="array" ref="AU952" xml:space="preserve"> INDEX( VfM_Metrics_2023_Consol_Source[], $AK952, AU$832 )</f>
        <v>0.12815871047737135</v>
      </c>
      <c r="AV952" s="34" cm="1">
        <f t="array" ref="AV952" xml:space="preserve"> INDEX( VfM_Metrics_2023_Consol_Source[], $AK952, AV$832 )</f>
        <v>0.27320520768753875</v>
      </c>
      <c r="AW952" s="34" cm="1">
        <f t="array" ref="AW952" xml:space="preserve"> INDEX( VfM_Metrics_2023_Consol_Source[], $AK952, AW$832 )</f>
        <v>0</v>
      </c>
      <c r="AX952" s="34" cm="1">
        <f t="array" ref="AX952" xml:space="preserve"> INDEX( VfM_Metrics_2023_Consol_Source[], $AK952, AX$832 )</f>
        <v>0.10492250464972101</v>
      </c>
      <c r="AY952" s="34" cm="1">
        <f t="array" ref="AY952" xml:space="preserve"> INDEX( VfM_Metrics_2023_Consol_Source[], $AK952, AY$832 )</f>
        <v>0.34060756354618721</v>
      </c>
      <c r="AZ952" s="34" cm="1">
        <f t="array" ref="AZ952" xml:space="preserve"> INDEX( VfM_Metrics_2023_Consol_Source[], $AK952, AZ$832 )</f>
        <v>0.15310601363918164</v>
      </c>
      <c r="BA952" s="34" cm="1">
        <f t="array" ref="BA952" xml:space="preserve"> INDEX( VfM_Metrics_2023_Consol_Source[], $AK952, BA$832 )</f>
        <v>0</v>
      </c>
      <c r="BB952" s="34" cm="1">
        <f t="array" ref="BB952" xml:space="preserve"> INDEX( VfM_Metrics_2023_Consol_Source[], $AK952, BB$832 )</f>
        <v>0</v>
      </c>
      <c r="BC952" s="34" cm="1">
        <f t="array" ref="BC952" xml:space="preserve"> INDEX( VfM_Metrics_2023_Consol_Source[], $AK952, BC$832 )</f>
        <v>0</v>
      </c>
    </row>
    <row r="953" spans="2:55" x14ac:dyDescent="0.2">
      <c r="B953" s="122" t="str" vm="120">
        <f t="shared" ref="B953" si="457" xml:space="preserve"> B743</f>
        <v>Origin Housing Limited</v>
      </c>
      <c r="C953" s="122" t="str" vm="348">
        <f t="shared" si="434"/>
        <v>L0871</v>
      </c>
      <c r="D953" s="30" cm="1">
        <f t="array" ref="D953" xml:space="preserve"> INDEX( VfM_Metrics_2023_Consol_Source[], $AK953, D$832 )</f>
        <v>8.4231461452665024E-2</v>
      </c>
      <c r="E953" s="35">
        <f xml:space="preserve"> IF( tblFilterAll[[#This Row],[Reinvestment]] &lt; D$825, 4, IF( tblFilterAll[[#This Row],[Reinvestment]] &lt; D$826, 3, IF( tblFilterAll[[#This Row],[Reinvestment]] &lt; D$827, 2, 1 ) ) )</f>
        <v>2</v>
      </c>
      <c r="F953" s="35">
        <f xml:space="preserve"> COUNTIFS( tblFilterAll[Include in output], 1, tblFilterAll[Reinvestment], "&gt;" &amp; tblFilterAll[[#This Row],[Reinvestment]] ) + 1</f>
        <v>64</v>
      </c>
      <c r="G953" s="30" cm="1">
        <f t="array" ref="G953" xml:space="preserve"> INDEX( VfM_Metrics_2023_Consol_Source[], $AK953, G$832 )</f>
        <v>1.6461494417406242E-2</v>
      </c>
      <c r="H953" s="35">
        <f xml:space="preserve"> IF( tblFilterAll[[#This Row],[New Supply (Social)]] &lt; G$825, 4, IF( tblFilterAll[[#This Row],[New Supply (Social)]] &lt; G$826, 3, IF( tblFilterAll[[#This Row],[New Supply (Social)]] &lt; G$827, 2, 1 ) ) )</f>
        <v>2</v>
      </c>
      <c r="I953" s="35">
        <f xml:space="preserve"> COUNTIFS( tblFilterAll[Include in output], 1, tblFilterAll[New Supply (Social)], "&gt;" &amp; tblFilterAll[[#This Row],[New Supply (Social)]] ) + 1</f>
        <v>77</v>
      </c>
      <c r="J953" s="31" cm="1">
        <f t="array" ref="J953" xml:space="preserve"> INDEX( VfM_Metrics_2023_Consol_Source[], $AK953, J$832 )</f>
        <v>5.1733057423693739E-4</v>
      </c>
      <c r="K953" s="35">
        <f xml:space="preserve"> IF( tblFilterAll[[#This Row],[New Supply (Non-Social)]] &lt; J$825, 4, IF( tblFilterAll[[#This Row],[New Supply (Non-Social)]] &lt; J$826, 3, IF( tblFilterAll[[#This Row],[New Supply (Non-Social)]] &lt; J$827, 2, 1 ) ) )</f>
        <v>2</v>
      </c>
      <c r="L953" s="35">
        <f xml:space="preserve"> COUNTIFS( tblFilterAll[Include in output], 1, tblFilterAll[New Supply (Non-Social)], "&gt;" &amp; tblFilterAll[[#This Row],[New Supply (Non-Social)]] ) + 1</f>
        <v>60</v>
      </c>
      <c r="M953" s="30" cm="1">
        <f t="array" ref="M953" xml:space="preserve"> INDEX( VfM_Metrics_2023_Consol_Source[], $AK953, M$832 )</f>
        <v>0.52664704937979523</v>
      </c>
      <c r="N953" s="35">
        <f xml:space="preserve"> IF( tblFilterAll[[#This Row],[Gearing]] &lt; M$825, 4, IF( tblFilterAll[[#This Row],[Gearing]] &lt; M$826, 3, IF( tblFilterAll[[#This Row],[Gearing]] &lt; M$827, 2, 1 ) ) )</f>
        <v>2</v>
      </c>
      <c r="O953" s="35">
        <f xml:space="preserve"> COUNTIFS( tblFilterAll[Include in output], 1, tblFilterAll[Gearing], "&gt;" &amp; tblFilterAll[[#This Row],[Gearing]] ) + 1</f>
        <v>57</v>
      </c>
      <c r="P953" s="30" cm="1">
        <f t="array" ref="P953" xml:space="preserve"> INDEX( VfM_Metrics_2023_Consol_Source[], $AK953, P$832 )</f>
        <v>0.61129300936297315</v>
      </c>
      <c r="Q953" s="35">
        <f xml:space="preserve"> IF( tblFilterAll[[#This Row],[EBITDA MRI Interest Cover]] &lt; P$825, 4, IF( tblFilterAll[[#This Row],[EBITDA MRI Interest Cover]] &lt; P$826, 3, IF( tblFilterAll[[#This Row],[EBITDA MRI Interest Cover]] &lt; P$827, 2, 1 ) ) )</f>
        <v>4</v>
      </c>
      <c r="R953" s="35">
        <f xml:space="preserve"> COUNTIFS( tblFilterAll[Include in output], 1, tblFilterAll[EBITDA MRI Interest Cover], "&gt;" &amp; tblFilterAll[[#This Row],[EBITDA MRI Interest Cover]] ) + 1</f>
        <v>166</v>
      </c>
      <c r="S953" s="32" cm="1">
        <f t="array" ref="S953" xml:space="preserve"> INDEX( VfM_Metrics_2023_Consol_Source[], $AK953, S$832 )</f>
        <v>7181.4941333729394</v>
      </c>
      <c r="T953" s="35">
        <f xml:space="preserve"> IF( tblFilterAll[[#This Row],[Headline Social Housing Cost per unit]] &lt; S$825, 4, IF( tblFilterAll[[#This Row],[Headline Social Housing Cost per unit]] &lt; S$826, 3, IF( tblFilterAll[[#This Row],[Headline Social Housing Cost per unit]] &lt; S$827, 2, 1 ) ) )</f>
        <v>1</v>
      </c>
      <c r="U953" s="35">
        <f xml:space="preserve"> COUNTIFS( tblFilterAll[Include in output], 1, tblFilterAll[Headline Social Housing Cost per unit], "&gt;" &amp; tblFilterAll[[#This Row],[Headline Social Housing Cost per unit]] ) + 1</f>
        <v>32</v>
      </c>
      <c r="V953" s="30" cm="1">
        <f t="array" ref="V953" xml:space="preserve"> INDEX( VfM_Metrics_2023_Consol_Source[], $AK953, V$832 )</f>
        <v>0.10597012077617295</v>
      </c>
      <c r="W953" s="35">
        <f xml:space="preserve"> IF( tblFilterAll[[#This Row],[Operating Margin (SHL)]] &lt; V$825, 4, IF( tblFilterAll[[#This Row],[Operating Margin (SHL)]] &lt; V$826, 3, IF( tblFilterAll[[#This Row],[Operating Margin (SHL)]] &lt; V$827, 2, 1 ) ) )</f>
        <v>4</v>
      </c>
      <c r="X953" s="35">
        <f xml:space="preserve"> COUNTIFS( tblFilterAll[Include in output], 1, tblFilterAll[Operating Margin (SHL)], "&gt;" &amp; tblFilterAll[[#This Row],[Operating Margin (SHL)]] ) + 1</f>
        <v>173</v>
      </c>
      <c r="Y953" s="30" cm="1">
        <f t="array" ref="Y953" xml:space="preserve"> INDEX( VfM_Metrics_2023_Consol_Source[], $AK953, Y$832 )</f>
        <v>0.16310480923841544</v>
      </c>
      <c r="Z953" s="35">
        <f xml:space="preserve"> IF( tblFilterAll[[#This Row],[Operating Margin (Overall)]] &lt; Y$825, 4, IF( tblFilterAll[[#This Row],[Operating Margin (Overall)]] &lt; Y$826, 3, IF( tblFilterAll[[#This Row],[Operating Margin (Overall)]] &lt; Y$827, 2, 1 ) ) )</f>
        <v>3</v>
      </c>
      <c r="AA953" s="35">
        <f xml:space="preserve"> COUNTIFS( tblFilterAll[Include in output], 1, tblFilterAll[Operating Margin (Overall)], "&gt;" &amp; tblFilterAll[[#This Row],[Operating Margin (Overall)]] ) + 1</f>
        <v>118</v>
      </c>
      <c r="AB953" s="30" cm="1">
        <f t="array" ref="AB953" xml:space="preserve"> INDEX( VfM_Metrics_2023_Consol_Source[], $AK953, AB$832 )</f>
        <v>1.4659148486942823E-2</v>
      </c>
      <c r="AC953" s="35">
        <f xml:space="preserve"> IF( tblFilterAll[[#This Row],[ROCE]] &lt; AB$825, 4, IF( tblFilterAll[[#This Row],[ROCE]] &lt; AB$826, 3, IF( tblFilterAll[[#This Row],[ROCE]] &lt; AB$827, 2, 1 ) ) )</f>
        <v>4</v>
      </c>
      <c r="AD953" s="35">
        <f xml:space="preserve"> COUNTIFS( tblFilterAll[Include in output], 1, tblFilterAll[ROCE], "&gt;" &amp; tblFilterAll[[#This Row],[ROCE]] ) + 1</f>
        <v>182</v>
      </c>
      <c r="AE953" s="33" cm="1" vm="5016">
        <f t="array" ref="AE953" xml:space="preserve"> INDEX( VfM_Metrics_2023_Consol_Source[], $AK953, AE$832 )</f>
        <v>6729</v>
      </c>
      <c r="AF953" s="30" cm="1">
        <f t="array" ref="AF953" xml:space="preserve"> INDEX( VfM_Metrics_2023_Consol_Source[], $AK953, AF$832 )</f>
        <v>4.4390243902439022E-2</v>
      </c>
      <c r="AG953" s="30" cm="1">
        <f t="array" ref="AG953" xml:space="preserve"> INDEX( VfM_Metrics_2023_Consol_Source[], $AK953, AG$832 )</f>
        <v>6.5365853658536588E-2</v>
      </c>
      <c r="AH953" s="30" cm="1">
        <f t="array" ref="AH953" xml:space="preserve"> INDEX( VfM_Metrics_2023_Consol_Source[], $AK953, AH$832 )</f>
        <v>0.10975609756097561</v>
      </c>
      <c r="AI953" s="30" t="str" cm="1">
        <f t="array" ref="AI953" xml:space="preserve"> INDEX( VfM_Metrics_2023_Consol_Source[], $AK953, AI$832 )</f>
        <v>Traditional</v>
      </c>
      <c r="AJ953" s="34" t="str" cm="1">
        <f t="array" ref="AJ953" xml:space="preserve"> INDEX( VfM_Metrics_2023_Consol_Source[], $AK953, AJ$832 )</f>
        <v>London</v>
      </c>
      <c r="AK953" s="81">
        <f xml:space="preserve"> MATCH( tblFilterAll[[#This Row],[Code]], VfM_Metrics_2023_Consol_Source[RP_Code], 0 )</f>
        <v>120</v>
      </c>
      <c r="AL953" s="24">
        <f xml:space="preserve"> INDEX( tblFilterRegion[Include for region],  MATCH( tblFilterAll[[#This Row],[Code]], tblFilterRegion[RP_Code], 0 ) )</f>
        <v>1</v>
      </c>
      <c r="AM953" s="24">
        <f xml:space="preserve"> INDEX( tblFilterPropType[Incl for prop type],  MATCH( tblFilterAll[[#This Row],[Code]], tblFilterPropType[RP_Code], 0 ) )</f>
        <v>1</v>
      </c>
      <c r="AN953" s="24">
        <f xml:space="preserve"> INDEX( tblFilterSize[Incl for size],  MATCH( tblFilterAll[[#This Row],[Code]], tblFilterSize[RP_Code], 0 ) )</f>
        <v>1</v>
      </c>
      <c r="AO953" s="24">
        <f xml:space="preserve"> INDEX( tblFilterRP_Type[Incl, for RP Type],  MATCH( tblFilterAll[[#This Row],[Code]], tblFilterRP_Type[RP_Code], 0 ) )</f>
        <v>1</v>
      </c>
      <c r="AP953" s="24">
        <f xml:space="preserve">  -- ( SUM( tblFilterAll[[#This Row],[Filter Region]:[Filter RP Type]] ) = 4 )</f>
        <v>1</v>
      </c>
      <c r="AQ953" s="24">
        <f xml:space="preserve"> -- ( tblFilterAll[[#This Row],[Provider name]] = SelectedProvider )</f>
        <v>0</v>
      </c>
      <c r="AR953" s="24">
        <f xml:space="preserve">  -- ( OR( SUM( tblFilterAll[[#This Row],[Filter Region]:[Filter RP Type]] ) = 4, tblFilterAll[[#This Row],[SelectedProvider]] = 1 ) )</f>
        <v>1</v>
      </c>
      <c r="AS953" s="24">
        <f xml:space="preserve"> -- ( INDEX( PeersCritera[Included in final peers], MATCH( tblFilterAll[[#This Row],[Provider name]], PeersCritera[RP_Name], 0 ) ) = 1 )</f>
        <v>1</v>
      </c>
      <c r="AT953" s="30" t="str" cm="1">
        <f t="array" ref="AT953" xml:space="preserve"> SUBSTITUTE( INDEX( VfM_Metrics_2023_Consol_Source[], $AK953, AT$832 ), 0, "" )</f>
        <v/>
      </c>
      <c r="AU953" s="34" cm="1">
        <f t="array" ref="AU953" xml:space="preserve"> INDEX( VfM_Metrics_2023_Consol_Source[], $AK953, AU$832 )</f>
        <v>0.78719948018193631</v>
      </c>
      <c r="AV953" s="34" cm="1">
        <f t="array" ref="AV953" xml:space="preserve"> INDEX( VfM_Metrics_2023_Consol_Source[], $AK953, AV$832 )</f>
        <v>4.8732943469785572E-4</v>
      </c>
      <c r="AW953" s="34" cm="1">
        <f t="array" ref="AW953" xml:space="preserve"> INDEX( VfM_Metrics_2023_Consol_Source[], $AK953, AW$832 )</f>
        <v>0</v>
      </c>
      <c r="AX953" s="34" cm="1">
        <f t="array" ref="AX953" xml:space="preserve"> INDEX( VfM_Metrics_2023_Consol_Source[], $AK953, AX$832 )</f>
        <v>0</v>
      </c>
      <c r="AY953" s="34" cm="1">
        <f t="array" ref="AY953" xml:space="preserve"> INDEX( VfM_Metrics_2023_Consol_Source[], $AK953, AY$832 )</f>
        <v>0</v>
      </c>
      <c r="AZ953" s="34" cm="1">
        <f t="array" ref="AZ953" xml:space="preserve"> INDEX( VfM_Metrics_2023_Consol_Source[], $AK953, AZ$832 )</f>
        <v>0.21231319038336582</v>
      </c>
      <c r="BA953" s="34" cm="1">
        <f t="array" ref="BA953" xml:space="preserve"> INDEX( VfM_Metrics_2023_Consol_Source[], $AK953, BA$832 )</f>
        <v>0</v>
      </c>
      <c r="BB953" s="34" cm="1">
        <f t="array" ref="BB953" xml:space="preserve"> INDEX( VfM_Metrics_2023_Consol_Source[], $AK953, BB$832 )</f>
        <v>0</v>
      </c>
      <c r="BC953" s="34" cm="1">
        <f t="array" ref="BC953" xml:space="preserve"> INDEX( VfM_Metrics_2023_Consol_Source[], $AK953, BC$832 )</f>
        <v>0</v>
      </c>
    </row>
    <row r="954" spans="2:55" x14ac:dyDescent="0.2">
      <c r="B954" s="122" t="str" vm="121">
        <f t="shared" ref="B954" si="458" xml:space="preserve"> B744</f>
        <v>Orwell Housing Association Limited</v>
      </c>
      <c r="C954" s="122" t="str" vm="308">
        <f t="shared" si="434"/>
        <v>L0028</v>
      </c>
      <c r="D954" s="30" cm="1">
        <f t="array" ref="D954" xml:space="preserve"> INDEX( VfM_Metrics_2023_Consol_Source[], $AK954, D$832 )</f>
        <v>3.7495938921377515E-2</v>
      </c>
      <c r="E954" s="35">
        <f xml:space="preserve"> IF( tblFilterAll[[#This Row],[Reinvestment]] &lt; D$825, 4, IF( tblFilterAll[[#This Row],[Reinvestment]] &lt; D$826, 3, IF( tblFilterAll[[#This Row],[Reinvestment]] &lt; D$827, 2, 1 ) ) )</f>
        <v>4</v>
      </c>
      <c r="F954" s="35">
        <f xml:space="preserve"> COUNTIFS( tblFilterAll[Include in output], 1, tblFilterAll[Reinvestment], "&gt;" &amp; tblFilterAll[[#This Row],[Reinvestment]] ) + 1</f>
        <v>155</v>
      </c>
      <c r="G954" s="30" cm="1">
        <f t="array" ref="G954" xml:space="preserve"> INDEX( VfM_Metrics_2023_Consol_Source[], $AK954, G$832 )</f>
        <v>9.3579412529243566E-3</v>
      </c>
      <c r="H954" s="35">
        <f xml:space="preserve"> IF( tblFilterAll[[#This Row],[New Supply (Social)]] &lt; G$825, 4, IF( tblFilterAll[[#This Row],[New Supply (Social)]] &lt; G$826, 3, IF( tblFilterAll[[#This Row],[New Supply (Social)]] &lt; G$827, 2, 1 ) ) )</f>
        <v>3</v>
      </c>
      <c r="I954" s="35">
        <f xml:space="preserve"> COUNTIFS( tblFilterAll[Include in output], 1, tblFilterAll[New Supply (Social)], "&gt;" &amp; tblFilterAll[[#This Row],[New Supply (Social)]] ) + 1</f>
        <v>128</v>
      </c>
      <c r="J954" s="31" cm="1">
        <f t="array" ref="J954" xml:space="preserve"> INDEX( VfM_Metrics_2023_Consol_Source[], $AK954, J$832 )</f>
        <v>3.6165469407976221E-2</v>
      </c>
      <c r="K954" s="35">
        <f xml:space="preserve"> IF( tblFilterAll[[#This Row],[New Supply (Non-Social)]] &lt; J$825, 4, IF( tblFilterAll[[#This Row],[New Supply (Non-Social)]] &lt; J$826, 3, IF( tblFilterAll[[#This Row],[New Supply (Non-Social)]] &lt; J$827, 2, 1 ) ) )</f>
        <v>1</v>
      </c>
      <c r="L954" s="35">
        <f xml:space="preserve"> COUNTIFS( tblFilterAll[Include in output], 1, tblFilterAll[New Supply (Non-Social)], "&gt;" &amp; tblFilterAll[[#This Row],[New Supply (Non-Social)]] ) + 1</f>
        <v>1</v>
      </c>
      <c r="M954" s="30" cm="1">
        <f t="array" ref="M954" xml:space="preserve"> INDEX( VfM_Metrics_2023_Consol_Source[], $AK954, M$832 )</f>
        <v>0.43252923976608187</v>
      </c>
      <c r="N954" s="35">
        <f xml:space="preserve"> IF( tblFilterAll[[#This Row],[Gearing]] &lt; M$825, 4, IF( tblFilterAll[[#This Row],[Gearing]] &lt; M$826, 3, IF( tblFilterAll[[#This Row],[Gearing]] &lt; M$827, 2, 1 ) ) )</f>
        <v>3</v>
      </c>
      <c r="O954" s="35">
        <f xml:space="preserve"> COUNTIFS( tblFilterAll[Include in output], 1, tblFilterAll[Gearing], "&gt;" &amp; tblFilterAll[[#This Row],[Gearing]] ) + 1</f>
        <v>115</v>
      </c>
      <c r="P954" s="30" cm="1">
        <f t="array" ref="P954" xml:space="preserve"> INDEX( VfM_Metrics_2023_Consol_Source[], $AK954, P$832 )</f>
        <v>1.6671368124118477</v>
      </c>
      <c r="Q954" s="35">
        <f xml:space="preserve"> IF( tblFilterAll[[#This Row],[EBITDA MRI Interest Cover]] &lt; P$825, 4, IF( tblFilterAll[[#This Row],[EBITDA MRI Interest Cover]] &lt; P$826, 3, IF( tblFilterAll[[#This Row],[EBITDA MRI Interest Cover]] &lt; P$827, 2, 1 ) ) )</f>
        <v>2</v>
      </c>
      <c r="R954" s="35">
        <f xml:space="preserve"> COUNTIFS( tblFilterAll[Include in output], 1, tblFilterAll[EBITDA MRI Interest Cover], "&gt;" &amp; tblFilterAll[[#This Row],[EBITDA MRI Interest Cover]] ) + 1</f>
        <v>53</v>
      </c>
      <c r="S954" s="32" cm="1">
        <f t="array" ref="S954" xml:space="preserve"> INDEX( VfM_Metrics_2023_Consol_Source[], $AK954, S$832 )</f>
        <v>10012.856775520699</v>
      </c>
      <c r="T954" s="35">
        <f xml:space="preserve"> IF( tblFilterAll[[#This Row],[Headline Social Housing Cost per unit]] &lt; S$825, 4, IF( tblFilterAll[[#This Row],[Headline Social Housing Cost per unit]] &lt; S$826, 3, IF( tblFilterAll[[#This Row],[Headline Social Housing Cost per unit]] &lt; S$827, 2, 1 ) ) )</f>
        <v>1</v>
      </c>
      <c r="U954" s="35">
        <f xml:space="preserve"> COUNTIFS( tblFilterAll[Include in output], 1, tblFilterAll[Headline Social Housing Cost per unit], "&gt;" &amp; tblFilterAll[[#This Row],[Headline Social Housing Cost per unit]] ) + 1</f>
        <v>15</v>
      </c>
      <c r="V954" s="30" cm="1">
        <f t="array" ref="V954" xml:space="preserve"> INDEX( VfM_Metrics_2023_Consol_Source[], $AK954, V$832 )</f>
        <v>0.19595750427658234</v>
      </c>
      <c r="W954" s="35">
        <f xml:space="preserve"> IF( tblFilterAll[[#This Row],[Operating Margin (SHL)]] &lt; V$825, 4, IF( tblFilterAll[[#This Row],[Operating Margin (SHL)]] &lt; V$826, 3, IF( tblFilterAll[[#This Row],[Operating Margin (SHL)]] &lt; V$827, 2, 1 ) ) )</f>
        <v>3</v>
      </c>
      <c r="X954" s="35">
        <f xml:space="preserve"> COUNTIFS( tblFilterAll[Include in output], 1, tblFilterAll[Operating Margin (SHL)], "&gt;" &amp; tblFilterAll[[#This Row],[Operating Margin (SHL)]] ) + 1</f>
        <v>103</v>
      </c>
      <c r="Y954" s="30" cm="1">
        <f t="array" ref="Y954" xml:space="preserve"> INDEX( VfM_Metrics_2023_Consol_Source[], $AK954, Y$832 )</f>
        <v>0.10587306781651235</v>
      </c>
      <c r="Z954" s="35">
        <f xml:space="preserve"> IF( tblFilterAll[[#This Row],[Operating Margin (Overall)]] &lt; Y$825, 4, IF( tblFilterAll[[#This Row],[Operating Margin (Overall)]] &lt; Y$826, 3, IF( tblFilterAll[[#This Row],[Operating Margin (Overall)]] &lt; Y$827, 2, 1 ) ) )</f>
        <v>4</v>
      </c>
      <c r="AA954" s="35">
        <f xml:space="preserve"> COUNTIFS( tblFilterAll[Include in output], 1, tblFilterAll[Operating Margin (Overall)], "&gt;" &amp; tblFilterAll[[#This Row],[Operating Margin (Overall)]] ) + 1</f>
        <v>157</v>
      </c>
      <c r="AB954" s="30" cm="1">
        <f t="array" ref="AB954" xml:space="preserve"> INDEX( VfM_Metrics_2023_Consol_Source[], $AK954, AB$832 )</f>
        <v>2.2521187245848059E-2</v>
      </c>
      <c r="AC954" s="35">
        <f xml:space="preserve"> IF( tblFilterAll[[#This Row],[ROCE]] &lt; AB$825, 4, IF( tblFilterAll[[#This Row],[ROCE]] &lt; AB$826, 3, IF( tblFilterAll[[#This Row],[ROCE]] &lt; AB$827, 2, 1 ) ) )</f>
        <v>3</v>
      </c>
      <c r="AD954" s="35">
        <f xml:space="preserve"> COUNTIFS( tblFilterAll[Include in output], 1, tblFilterAll[ROCE], "&gt;" &amp; tblFilterAll[[#This Row],[ROCE]] ) + 1</f>
        <v>141</v>
      </c>
      <c r="AE954" s="33" cm="1" vm="3607">
        <f t="array" ref="AE954" xml:space="preserve"> INDEX( VfM_Metrics_2023_Consol_Source[], $AK954, AE$832 )</f>
        <v>3847</v>
      </c>
      <c r="AF954" s="30" cm="1">
        <f t="array" ref="AF954" xml:space="preserve"> INDEX( VfM_Metrics_2023_Consol_Source[], $AK954, AF$832 )</f>
        <v>0.10132501948558068</v>
      </c>
      <c r="AG954" s="30" cm="1">
        <f t="array" ref="AG954" xml:space="preserve"> INDEX( VfM_Metrics_2023_Consol_Source[], $AK954, AG$832 )</f>
        <v>0.11119771369186801</v>
      </c>
      <c r="AH954" s="30" cm="1">
        <f t="array" ref="AH954" xml:space="preserve"> INDEX( VfM_Metrics_2023_Consol_Source[], $AK954, AH$832 )</f>
        <v>0.21252273317744869</v>
      </c>
      <c r="AI954" s="30" t="str" cm="1">
        <f t="array" ref="AI954" xml:space="preserve"> INDEX( VfM_Metrics_2023_Consol_Source[], $AK954, AI$832 )</f>
        <v>Traditional</v>
      </c>
      <c r="AJ954" s="34" t="str" cm="1">
        <f t="array" ref="AJ954" xml:space="preserve"> INDEX( VfM_Metrics_2023_Consol_Source[], $AK954, AJ$832 )</f>
        <v>East of England</v>
      </c>
      <c r="AK954" s="81">
        <f xml:space="preserve"> MATCH( tblFilterAll[[#This Row],[Code]], VfM_Metrics_2023_Consol_Source[RP_Code], 0 )</f>
        <v>121</v>
      </c>
      <c r="AL954" s="24">
        <f xml:space="preserve"> INDEX( tblFilterRegion[Include for region],  MATCH( tblFilterAll[[#This Row],[Code]], tblFilterRegion[RP_Code], 0 ) )</f>
        <v>1</v>
      </c>
      <c r="AM954" s="24">
        <f xml:space="preserve"> INDEX( tblFilterPropType[Incl for prop type],  MATCH( tblFilterAll[[#This Row],[Code]], tblFilterPropType[RP_Code], 0 ) )</f>
        <v>1</v>
      </c>
      <c r="AN954" s="24">
        <f xml:space="preserve"> INDEX( tblFilterSize[Incl for size],  MATCH( tblFilterAll[[#This Row],[Code]], tblFilterSize[RP_Code], 0 ) )</f>
        <v>1</v>
      </c>
      <c r="AO954" s="24">
        <f xml:space="preserve"> INDEX( tblFilterRP_Type[Incl, for RP Type],  MATCH( tblFilterAll[[#This Row],[Code]], tblFilterRP_Type[RP_Code], 0 ) )</f>
        <v>1</v>
      </c>
      <c r="AP954" s="24">
        <f xml:space="preserve">  -- ( SUM( tblFilterAll[[#This Row],[Filter Region]:[Filter RP Type]] ) = 4 )</f>
        <v>1</v>
      </c>
      <c r="AQ954" s="24">
        <f xml:space="preserve"> -- ( tblFilterAll[[#This Row],[Provider name]] = SelectedProvider )</f>
        <v>0</v>
      </c>
      <c r="AR954" s="24">
        <f xml:space="preserve">  -- ( OR( SUM( tblFilterAll[[#This Row],[Filter Region]:[Filter RP Type]] ) = 4, tblFilterAll[[#This Row],[SelectedProvider]] = 1 ) )</f>
        <v>1</v>
      </c>
      <c r="AS954" s="24">
        <f xml:space="preserve"> -- ( INDEX( PeersCritera[Included in final peers], MATCH( tblFilterAll[[#This Row],[Provider name]], PeersCritera[RP_Name], 0 ) ) = 1 )</f>
        <v>1</v>
      </c>
      <c r="AT954" s="30" t="str" cm="1">
        <f t="array" ref="AT954" xml:space="preserve"> SUBSTITUTE( INDEX( VfM_Metrics_2023_Consol_Source[], $AK954, AT$832 ), 0, "" )</f>
        <v/>
      </c>
      <c r="AU954" s="34" cm="1">
        <f t="array" ref="AU954" xml:space="preserve"> INDEX( VfM_Metrics_2023_Consol_Source[], $AK954, AU$832 )</f>
        <v>0</v>
      </c>
      <c r="AV954" s="34" cm="1">
        <f t="array" ref="AV954" xml:space="preserve"> INDEX( VfM_Metrics_2023_Consol_Source[], $AK954, AV$832 )</f>
        <v>0</v>
      </c>
      <c r="AW954" s="34" cm="1">
        <f t="array" ref="AW954" xml:space="preserve"> INDEX( VfM_Metrics_2023_Consol_Source[], $AK954, AW$832 )</f>
        <v>0</v>
      </c>
      <c r="AX954" s="34" cm="1">
        <f t="array" ref="AX954" xml:space="preserve"> INDEX( VfM_Metrics_2023_Consol_Source[], $AK954, AX$832 )</f>
        <v>0</v>
      </c>
      <c r="AY954" s="34" cm="1">
        <f t="array" ref="AY954" xml:space="preserve"> INDEX( VfM_Metrics_2023_Consol_Source[], $AK954, AY$832 )</f>
        <v>0</v>
      </c>
      <c r="AZ954" s="34" cm="1">
        <f t="array" ref="AZ954" xml:space="preserve"> INDEX( VfM_Metrics_2023_Consol_Source[], $AK954, AZ$832 )</f>
        <v>1</v>
      </c>
      <c r="BA954" s="34" cm="1">
        <f t="array" ref="BA954" xml:space="preserve"> INDEX( VfM_Metrics_2023_Consol_Source[], $AK954, BA$832 )</f>
        <v>0</v>
      </c>
      <c r="BB954" s="34" cm="1">
        <f t="array" ref="BB954" xml:space="preserve"> INDEX( VfM_Metrics_2023_Consol_Source[], $AK954, BB$832 )</f>
        <v>0</v>
      </c>
      <c r="BC954" s="34" cm="1">
        <f t="array" ref="BC954" xml:space="preserve"> INDEX( VfM_Metrics_2023_Consol_Source[], $AK954, BC$832 )</f>
        <v>0</v>
      </c>
    </row>
    <row r="955" spans="2:55" x14ac:dyDescent="0.2">
      <c r="B955" s="122" t="str" vm="122">
        <f t="shared" ref="B955" si="459" xml:space="preserve"> B745</f>
        <v>Paradigm Housing Group Limited</v>
      </c>
      <c r="C955" s="122" t="str" vm="287">
        <f t="shared" si="434"/>
        <v>L4215</v>
      </c>
      <c r="D955" s="30" cm="1">
        <f t="array" ref="D955" xml:space="preserve"> INDEX( VfM_Metrics_2023_Consol_Source[], $AK955, D$832 )</f>
        <v>6.7325251006994574E-2</v>
      </c>
      <c r="E955" s="35">
        <f xml:space="preserve"> IF( tblFilterAll[[#This Row],[Reinvestment]] &lt; D$825, 4, IF( tblFilterAll[[#This Row],[Reinvestment]] &lt; D$826, 3, IF( tblFilterAll[[#This Row],[Reinvestment]] &lt; D$827, 2, 1 ) ) )</f>
        <v>2</v>
      </c>
      <c r="F955" s="35">
        <f xml:space="preserve"> COUNTIFS( tblFilterAll[Include in output], 1, tblFilterAll[Reinvestment], "&gt;" &amp; tblFilterAll[[#This Row],[Reinvestment]] ) + 1</f>
        <v>99</v>
      </c>
      <c r="G955" s="30" cm="1">
        <f t="array" ref="G955" xml:space="preserve"> INDEX( VfM_Metrics_2023_Consol_Source[], $AK955, G$832 )</f>
        <v>2.9693741677762984E-2</v>
      </c>
      <c r="H955" s="35">
        <f xml:space="preserve"> IF( tblFilterAll[[#This Row],[New Supply (Social)]] &lt; G$825, 4, IF( tblFilterAll[[#This Row],[New Supply (Social)]] &lt; G$826, 3, IF( tblFilterAll[[#This Row],[New Supply (Social)]] &lt; G$827, 2, 1 ) ) )</f>
        <v>1</v>
      </c>
      <c r="I955" s="35">
        <f xml:space="preserve"> COUNTIFS( tblFilterAll[Include in output], 1, tblFilterAll[New Supply (Social)], "&gt;" &amp; tblFilterAll[[#This Row],[New Supply (Social)]] ) + 1</f>
        <v>20</v>
      </c>
      <c r="J955" s="31" cm="1">
        <f t="array" ref="J955" xml:space="preserve"> INDEX( VfM_Metrics_2023_Consol_Source[], $AK955, J$832 )</f>
        <v>0</v>
      </c>
      <c r="K955" s="35">
        <f xml:space="preserve"> IF( tblFilterAll[[#This Row],[New Supply (Non-Social)]] &lt; J$825, 4, IF( tblFilterAll[[#This Row],[New Supply (Non-Social)]] &lt; J$826, 3, IF( tblFilterAll[[#This Row],[New Supply (Non-Social)]] &lt; J$827, 2, 1 ) ) )</f>
        <v>2</v>
      </c>
      <c r="L955" s="35">
        <f xml:space="preserve"> COUNTIFS( tblFilterAll[Include in output], 1, tblFilterAll[New Supply (Non-Social)], "&gt;" &amp; tblFilterAll[[#This Row],[New Supply (Non-Social)]] ) + 1</f>
        <v>72</v>
      </c>
      <c r="M955" s="30" cm="1">
        <f t="array" ref="M955" xml:space="preserve"> INDEX( VfM_Metrics_2023_Consol_Source[], $AK955, M$832 )</f>
        <v>0.55483456282261734</v>
      </c>
      <c r="N955" s="35">
        <f xml:space="preserve"> IF( tblFilterAll[[#This Row],[Gearing]] &lt; M$825, 4, IF( tblFilterAll[[#This Row],[Gearing]] &lt; M$826, 3, IF( tblFilterAll[[#This Row],[Gearing]] &lt; M$827, 2, 1 ) ) )</f>
        <v>1</v>
      </c>
      <c r="O955" s="35">
        <f xml:space="preserve"> COUNTIFS( tblFilterAll[Include in output], 1, tblFilterAll[Gearing], "&gt;" &amp; tblFilterAll[[#This Row],[Gearing]] ) + 1</f>
        <v>41</v>
      </c>
      <c r="P955" s="30" cm="1">
        <f t="array" ref="P955" xml:space="preserve"> INDEX( VfM_Metrics_2023_Consol_Source[], $AK955, P$832 )</f>
        <v>1.4250862179077788</v>
      </c>
      <c r="Q955" s="35">
        <f xml:space="preserve"> IF( tblFilterAll[[#This Row],[EBITDA MRI Interest Cover]] &lt; P$825, 4, IF( tblFilterAll[[#This Row],[EBITDA MRI Interest Cover]] &lt; P$826, 3, IF( tblFilterAll[[#This Row],[EBITDA MRI Interest Cover]] &lt; P$827, 2, 1 ) ) )</f>
        <v>2</v>
      </c>
      <c r="R955" s="35">
        <f xml:space="preserve"> COUNTIFS( tblFilterAll[Include in output], 1, tblFilterAll[EBITDA MRI Interest Cover], "&gt;" &amp; tblFilterAll[[#This Row],[EBITDA MRI Interest Cover]] ) + 1</f>
        <v>75</v>
      </c>
      <c r="S955" s="32" cm="1">
        <f t="array" ref="S955" xml:space="preserve"> INDEX( VfM_Metrics_2023_Consol_Source[], $AK955, S$832 )</f>
        <v>4289.4475686404239</v>
      </c>
      <c r="T955" s="35">
        <f xml:space="preserve"> IF( tblFilterAll[[#This Row],[Headline Social Housing Cost per unit]] &lt; S$825, 4, IF( tblFilterAll[[#This Row],[Headline Social Housing Cost per unit]] &lt; S$826, 3, IF( tblFilterAll[[#This Row],[Headline Social Housing Cost per unit]] &lt; S$827, 2, 1 ) ) )</f>
        <v>3</v>
      </c>
      <c r="U955" s="35">
        <f xml:space="preserve"> COUNTIFS( tblFilterAll[Include in output], 1, tblFilterAll[Headline Social Housing Cost per unit], "&gt;" &amp; tblFilterAll[[#This Row],[Headline Social Housing Cost per unit]] ) + 1</f>
        <v>129</v>
      </c>
      <c r="V955" s="30" cm="1">
        <f t="array" ref="V955" xml:space="preserve"> INDEX( VfM_Metrics_2023_Consol_Source[], $AK955, V$832 )</f>
        <v>0.35481310219593759</v>
      </c>
      <c r="W955" s="35">
        <f xml:space="preserve"> IF( tblFilterAll[[#This Row],[Operating Margin (SHL)]] &lt; V$825, 4, IF( tblFilterAll[[#This Row],[Operating Margin (SHL)]] &lt; V$826, 3, IF( tblFilterAll[[#This Row],[Operating Margin (SHL)]] &lt; V$827, 2, 1 ) ) )</f>
        <v>1</v>
      </c>
      <c r="X955" s="35">
        <f xml:space="preserve"> COUNTIFS( tblFilterAll[Include in output], 1, tblFilterAll[Operating Margin (SHL)], "&gt;" &amp; tblFilterAll[[#This Row],[Operating Margin (SHL)]] ) + 1</f>
        <v>9</v>
      </c>
      <c r="Y955" s="30" cm="1">
        <f t="array" ref="Y955" xml:space="preserve"> INDEX( VfM_Metrics_2023_Consol_Source[], $AK955, Y$832 )</f>
        <v>0.33340692587595566</v>
      </c>
      <c r="Z955" s="35">
        <f xml:space="preserve"> IF( tblFilterAll[[#This Row],[Operating Margin (Overall)]] &lt; Y$825, 4, IF( tblFilterAll[[#This Row],[Operating Margin (Overall)]] &lt; Y$826, 3, IF( tblFilterAll[[#This Row],[Operating Margin (Overall)]] &lt; Y$827, 2, 1 ) ) )</f>
        <v>1</v>
      </c>
      <c r="AA955" s="35">
        <f xml:space="preserve"> COUNTIFS( tblFilterAll[Include in output], 1, tblFilterAll[Operating Margin (Overall)], "&gt;" &amp; tblFilterAll[[#This Row],[Operating Margin (Overall)]] ) + 1</f>
        <v>7</v>
      </c>
      <c r="AB955" s="30" cm="1">
        <f t="array" ref="AB955" xml:space="preserve"> INDEX( VfM_Metrics_2023_Consol_Source[], $AK955, AB$832 )</f>
        <v>3.0039089805610864E-2</v>
      </c>
      <c r="AC955" s="35">
        <f xml:space="preserve"> IF( tblFilterAll[[#This Row],[ROCE]] &lt; AB$825, 4, IF( tblFilterAll[[#This Row],[ROCE]] &lt; AB$826, 3, IF( tblFilterAll[[#This Row],[ROCE]] &lt; AB$827, 2, 1 ) ) )</f>
        <v>2</v>
      </c>
      <c r="AD955" s="35">
        <f xml:space="preserve"> COUNTIFS( tblFilterAll[Include in output], 1, tblFilterAll[ROCE], "&gt;" &amp; tblFilterAll[[#This Row],[ROCE]] ) + 1</f>
        <v>85</v>
      </c>
      <c r="AE955" s="33" cm="1" vm="2897">
        <f t="array" ref="AE955" xml:space="preserve"> INDEX( VfM_Metrics_2023_Consol_Source[], $AK955, AE$832 )</f>
        <v>15020</v>
      </c>
      <c r="AF955" s="30" cm="1">
        <f t="array" ref="AF955" xml:space="preserve"> INDEX( VfM_Metrics_2023_Consol_Source[], $AK955, AF$832 )</f>
        <v>9.1662735054256258E-3</v>
      </c>
      <c r="AG955" s="30" cm="1">
        <f t="array" ref="AG955" xml:space="preserve"> INDEX( VfM_Metrics_2023_Consol_Source[], $AK955, AG$832 )</f>
        <v>1.684976747320887E-3</v>
      </c>
      <c r="AH955" s="30" cm="1">
        <f t="array" ref="AH955" xml:space="preserve"> INDEX( VfM_Metrics_2023_Consol_Source[], $AK955, AH$832 )</f>
        <v>1.0851250252746513E-2</v>
      </c>
      <c r="AI955" s="30" t="str" cm="1">
        <f t="array" ref="AI955" xml:space="preserve"> INDEX( VfM_Metrics_2023_Consol_Source[], $AK955, AI$832 )</f>
        <v>Traditional</v>
      </c>
      <c r="AJ955" s="34" t="str" cm="1">
        <f t="array" ref="AJ955" xml:space="preserve"> INDEX( VfM_Metrics_2023_Consol_Source[], $AK955, AJ$832 )</f>
        <v>South East</v>
      </c>
      <c r="AK955" s="81">
        <f xml:space="preserve"> MATCH( tblFilterAll[[#This Row],[Code]], VfM_Metrics_2023_Consol_Source[RP_Code], 0 )</f>
        <v>122</v>
      </c>
      <c r="AL955" s="24">
        <f xml:space="preserve"> INDEX( tblFilterRegion[Include for region],  MATCH( tblFilterAll[[#This Row],[Code]], tblFilterRegion[RP_Code], 0 ) )</f>
        <v>1</v>
      </c>
      <c r="AM955" s="24">
        <f xml:space="preserve"> INDEX( tblFilterPropType[Incl for prop type],  MATCH( tblFilterAll[[#This Row],[Code]], tblFilterPropType[RP_Code], 0 ) )</f>
        <v>1</v>
      </c>
      <c r="AN955" s="24">
        <f xml:space="preserve"> INDEX( tblFilterSize[Incl for size],  MATCH( tblFilterAll[[#This Row],[Code]], tblFilterSize[RP_Code], 0 ) )</f>
        <v>1</v>
      </c>
      <c r="AO955" s="24">
        <f xml:space="preserve"> INDEX( tblFilterRP_Type[Incl, for RP Type],  MATCH( tblFilterAll[[#This Row],[Code]], tblFilterRP_Type[RP_Code], 0 ) )</f>
        <v>1</v>
      </c>
      <c r="AP955" s="24">
        <f xml:space="preserve">  -- ( SUM( tblFilterAll[[#This Row],[Filter Region]:[Filter RP Type]] ) = 4 )</f>
        <v>1</v>
      </c>
      <c r="AQ955" s="24">
        <f xml:space="preserve"> -- ( tblFilterAll[[#This Row],[Provider name]] = SelectedProvider )</f>
        <v>0</v>
      </c>
      <c r="AR955" s="24">
        <f xml:space="preserve">  -- ( OR( SUM( tblFilterAll[[#This Row],[Filter Region]:[Filter RP Type]] ) = 4, tblFilterAll[[#This Row],[SelectedProvider]] = 1 ) )</f>
        <v>1</v>
      </c>
      <c r="AS955" s="24">
        <f xml:space="preserve"> -- ( INDEX( PeersCritera[Included in final peers], MATCH( tblFilterAll[[#This Row],[Provider name]], PeersCritera[RP_Name], 0 ) ) = 1 )</f>
        <v>1</v>
      </c>
      <c r="AT955" s="30" t="str" cm="1">
        <f t="array" ref="AT955" xml:space="preserve"> SUBSTITUTE( INDEX( VfM_Metrics_2023_Consol_Source[], $AK955, AT$832 ), 0, "" )</f>
        <v/>
      </c>
      <c r="AU955" s="34" cm="1">
        <f t="array" ref="AU955" xml:space="preserve"> INDEX( VfM_Metrics_2023_Consol_Source[], $AK955, AU$832 )</f>
        <v>5.5157641073699713E-2</v>
      </c>
      <c r="AV955" s="34" cm="1">
        <f t="array" ref="AV955" xml:space="preserve"> INDEX( VfM_Metrics_2023_Consol_Source[], $AK955, AV$832 )</f>
        <v>0.68458397483097932</v>
      </c>
      <c r="AW955" s="34" cm="1">
        <f t="array" ref="AW955" xml:space="preserve"> INDEX( VfM_Metrics_2023_Consol_Source[], $AK955, AW$832 )</f>
        <v>0</v>
      </c>
      <c r="AX955" s="34" cm="1">
        <f t="array" ref="AX955" xml:space="preserve"> INDEX( VfM_Metrics_2023_Consol_Source[], $AK955, AX$832 )</f>
        <v>0</v>
      </c>
      <c r="AY955" s="34" cm="1">
        <f t="array" ref="AY955" xml:space="preserve"> INDEX( VfM_Metrics_2023_Consol_Source[], $AK955, AY$832 )</f>
        <v>0</v>
      </c>
      <c r="AZ955" s="34" cm="1">
        <f t="array" ref="AZ955" xml:space="preserve"> INDEX( VfM_Metrics_2023_Consol_Source[], $AK955, AZ$832 )</f>
        <v>0.26025838409532098</v>
      </c>
      <c r="BA955" s="34" cm="1">
        <f t="array" ref="BA955" xml:space="preserve"> INDEX( VfM_Metrics_2023_Consol_Source[], $AK955, BA$832 )</f>
        <v>0</v>
      </c>
      <c r="BB955" s="34" cm="1">
        <f t="array" ref="BB955" xml:space="preserve"> INDEX( VfM_Metrics_2023_Consol_Source[], $AK955, BB$832 )</f>
        <v>0</v>
      </c>
      <c r="BC955" s="34" cm="1">
        <f t="array" ref="BC955" xml:space="preserve"> INDEX( VfM_Metrics_2023_Consol_Source[], $AK955, BC$832 )</f>
        <v>0</v>
      </c>
    </row>
    <row r="956" spans="2:55" x14ac:dyDescent="0.2">
      <c r="B956" s="122" t="str" vm="123">
        <f t="shared" ref="B956" si="460" xml:space="preserve"> B746</f>
        <v>Paragon Asra Housing Limited</v>
      </c>
      <c r="C956" s="122" t="str" vm="337">
        <f t="shared" si="434"/>
        <v>4849</v>
      </c>
      <c r="D956" s="30" cm="1">
        <f t="array" ref="D956" xml:space="preserve"> INDEX( VfM_Metrics_2023_Consol_Source[], $AK956, D$832 )</f>
        <v>7.0499652574388214E-2</v>
      </c>
      <c r="E956" s="35">
        <f xml:space="preserve"> IF( tblFilterAll[[#This Row],[Reinvestment]] &lt; D$825, 4, IF( tblFilterAll[[#This Row],[Reinvestment]] &lt; D$826, 3, IF( tblFilterAll[[#This Row],[Reinvestment]] &lt; D$827, 2, 1 ) ) )</f>
        <v>2</v>
      </c>
      <c r="F956" s="35">
        <f xml:space="preserve"> COUNTIFS( tblFilterAll[Include in output], 1, tblFilterAll[Reinvestment], "&gt;" &amp; tblFilterAll[[#This Row],[Reinvestment]] ) + 1</f>
        <v>89</v>
      </c>
      <c r="G956" s="30" cm="1">
        <f t="array" ref="G956" xml:space="preserve"> INDEX( VfM_Metrics_2023_Consol_Source[], $AK956, G$832 )</f>
        <v>1.2201409176834507E-2</v>
      </c>
      <c r="H956" s="35">
        <f xml:space="preserve"> IF( tblFilterAll[[#This Row],[New Supply (Social)]] &lt; G$825, 4, IF( tblFilterAll[[#This Row],[New Supply (Social)]] &lt; G$826, 3, IF( tblFilterAll[[#This Row],[New Supply (Social)]] &lt; G$827, 2, 1 ) ) )</f>
        <v>3</v>
      </c>
      <c r="I956" s="35">
        <f xml:space="preserve"> COUNTIFS( tblFilterAll[Include in output], 1, tblFilterAll[New Supply (Social)], "&gt;" &amp; tblFilterAll[[#This Row],[New Supply (Social)]] ) + 1</f>
        <v>107</v>
      </c>
      <c r="J956" s="31" cm="1">
        <f t="array" ref="J956" xml:space="preserve"> INDEX( VfM_Metrics_2023_Consol_Source[], $AK956, J$832 )</f>
        <v>0</v>
      </c>
      <c r="K956" s="35">
        <f xml:space="preserve"> IF( tblFilterAll[[#This Row],[New Supply (Non-Social)]] &lt; J$825, 4, IF( tblFilterAll[[#This Row],[New Supply (Non-Social)]] &lt; J$826, 3, IF( tblFilterAll[[#This Row],[New Supply (Non-Social)]] &lt; J$827, 2, 1 ) ) )</f>
        <v>2</v>
      </c>
      <c r="L956" s="35">
        <f xml:space="preserve"> COUNTIFS( tblFilterAll[Include in output], 1, tblFilterAll[New Supply (Non-Social)], "&gt;" &amp; tblFilterAll[[#This Row],[New Supply (Non-Social)]] ) + 1</f>
        <v>72</v>
      </c>
      <c r="M956" s="30" cm="1">
        <f t="array" ref="M956" xml:space="preserve"> INDEX( VfM_Metrics_2023_Consol_Source[], $AK956, M$832 )</f>
        <v>0.4990819900728764</v>
      </c>
      <c r="N956" s="35">
        <f xml:space="preserve"> IF( tblFilterAll[[#This Row],[Gearing]] &lt; M$825, 4, IF( tblFilterAll[[#This Row],[Gearing]] &lt; M$826, 3, IF( tblFilterAll[[#This Row],[Gearing]] &lt; M$827, 2, 1 ) ) )</f>
        <v>2</v>
      </c>
      <c r="O956" s="35">
        <f xml:space="preserve"> COUNTIFS( tblFilterAll[Include in output], 1, tblFilterAll[Gearing], "&gt;" &amp; tblFilterAll[[#This Row],[Gearing]] ) + 1</f>
        <v>70</v>
      </c>
      <c r="P956" s="30" cm="1">
        <f t="array" ref="P956" xml:space="preserve"> INDEX( VfM_Metrics_2023_Consol_Source[], $AK956, P$832 )</f>
        <v>0.8772255464647698</v>
      </c>
      <c r="Q956" s="35">
        <f xml:space="preserve"> IF( tblFilterAll[[#This Row],[EBITDA MRI Interest Cover]] &lt; P$825, 4, IF( tblFilterAll[[#This Row],[EBITDA MRI Interest Cover]] &lt; P$826, 3, IF( tblFilterAll[[#This Row],[EBITDA MRI Interest Cover]] &lt; P$827, 2, 1 ) ) )</f>
        <v>4</v>
      </c>
      <c r="R956" s="35">
        <f xml:space="preserve"> COUNTIFS( tblFilterAll[Include in output], 1, tblFilterAll[EBITDA MRI Interest Cover], "&gt;" &amp; tblFilterAll[[#This Row],[EBITDA MRI Interest Cover]] ) + 1</f>
        <v>150</v>
      </c>
      <c r="S956" s="32" cm="1">
        <f t="array" ref="S956" xml:space="preserve"> INDEX( VfM_Metrics_2023_Consol_Source[], $AK956, S$832 )</f>
        <v>5539.8555661534265</v>
      </c>
      <c r="T956" s="35">
        <f xml:space="preserve"> IF( tblFilterAll[[#This Row],[Headline Social Housing Cost per unit]] &lt; S$825, 4, IF( tblFilterAll[[#This Row],[Headline Social Housing Cost per unit]] &lt; S$826, 3, IF( tblFilterAll[[#This Row],[Headline Social Housing Cost per unit]] &lt; S$827, 2, 1 ) ) )</f>
        <v>2</v>
      </c>
      <c r="U956" s="35">
        <f xml:space="preserve"> COUNTIFS( tblFilterAll[Include in output], 1, tblFilterAll[Headline Social Housing Cost per unit], "&gt;" &amp; tblFilterAll[[#This Row],[Headline Social Housing Cost per unit]] ) + 1</f>
        <v>57</v>
      </c>
      <c r="V956" s="30" cm="1">
        <f t="array" ref="V956" xml:space="preserve"> INDEX( VfM_Metrics_2023_Consol_Source[], $AK956, V$832 )</f>
        <v>0.18716332007630873</v>
      </c>
      <c r="W956" s="35">
        <f xml:space="preserve"> IF( tblFilterAll[[#This Row],[Operating Margin (SHL)]] &lt; V$825, 4, IF( tblFilterAll[[#This Row],[Operating Margin (SHL)]] &lt; V$826, 3, IF( tblFilterAll[[#This Row],[Operating Margin (SHL)]] &lt; V$827, 2, 1 ) ) )</f>
        <v>3</v>
      </c>
      <c r="X956" s="35">
        <f xml:space="preserve"> COUNTIFS( tblFilterAll[Include in output], 1, tblFilterAll[Operating Margin (SHL)], "&gt;" &amp; tblFilterAll[[#This Row],[Operating Margin (SHL)]] ) + 1</f>
        <v>111</v>
      </c>
      <c r="Y956" s="30" cm="1">
        <f t="array" ref="Y956" xml:space="preserve"> INDEX( VfM_Metrics_2023_Consol_Source[], $AK956, Y$832 )</f>
        <v>0.18739393135320098</v>
      </c>
      <c r="Z956" s="35">
        <f xml:space="preserve"> IF( tblFilterAll[[#This Row],[Operating Margin (Overall)]] &lt; Y$825, 4, IF( tblFilterAll[[#This Row],[Operating Margin (Overall)]] &lt; Y$826, 3, IF( tblFilterAll[[#This Row],[Operating Margin (Overall)]] &lt; Y$827, 2, 1 ) ) )</f>
        <v>2</v>
      </c>
      <c r="AA956" s="35">
        <f xml:space="preserve"> COUNTIFS( tblFilterAll[Include in output], 1, tblFilterAll[Operating Margin (Overall)], "&gt;" &amp; tblFilterAll[[#This Row],[Operating Margin (Overall)]] ) + 1</f>
        <v>93</v>
      </c>
      <c r="AB956" s="30" cm="1">
        <f t="array" ref="AB956" xml:space="preserve"> INDEX( VfM_Metrics_2023_Consol_Source[], $AK956, AB$832 )</f>
        <v>1.8296277512696378E-2</v>
      </c>
      <c r="AC956" s="35">
        <f xml:space="preserve"> IF( tblFilterAll[[#This Row],[ROCE]] &lt; AB$825, 4, IF( tblFilterAll[[#This Row],[ROCE]] &lt; AB$826, 3, IF( tblFilterAll[[#This Row],[ROCE]] &lt; AB$827, 2, 1 ) ) )</f>
        <v>4</v>
      </c>
      <c r="AD956" s="35">
        <f xml:space="preserve"> COUNTIFS( tblFilterAll[Include in output], 1, tblFilterAll[ROCE], "&gt;" &amp; tblFilterAll[[#This Row],[ROCE]] ) + 1</f>
        <v>170</v>
      </c>
      <c r="AE956" s="33" cm="1" vm="4629">
        <f t="array" ref="AE956" xml:space="preserve"> INDEX( VfM_Metrics_2023_Consol_Source[], $AK956, AE$832 )</f>
        <v>21692</v>
      </c>
      <c r="AF956" s="30" cm="1">
        <f t="array" ref="AF956" xml:space="preserve"> INDEX( VfM_Metrics_2023_Consol_Source[], $AK956, AF$832 )</f>
        <v>2.8043870609468276E-2</v>
      </c>
      <c r="AG956" s="30" cm="1">
        <f t="array" ref="AG956" xml:space="preserve"> INDEX( VfM_Metrics_2023_Consol_Source[], $AK956, AG$832 )</f>
        <v>0.10532648433523069</v>
      </c>
      <c r="AH956" s="30" cm="1">
        <f t="array" ref="AH956" xml:space="preserve"> INDEX( VfM_Metrics_2023_Consol_Source[], $AK956, AH$832 )</f>
        <v>0.13337035494469895</v>
      </c>
      <c r="AI956" s="30" t="str" cm="1">
        <f t="array" ref="AI956" xml:space="preserve"> INDEX( VfM_Metrics_2023_Consol_Source[], $AK956, AI$832 )</f>
        <v>Traditional</v>
      </c>
      <c r="AJ956" s="34" t="str" cm="1">
        <f t="array" ref="AJ956" xml:space="preserve"> INDEX( VfM_Metrics_2023_Consol_Source[], $AK956, AJ$832 )</f>
        <v>Mixed</v>
      </c>
      <c r="AK956" s="81">
        <f xml:space="preserve"> MATCH( tblFilterAll[[#This Row],[Code]], VfM_Metrics_2023_Consol_Source[RP_Code], 0 )</f>
        <v>123</v>
      </c>
      <c r="AL956" s="24">
        <f xml:space="preserve"> INDEX( tblFilterRegion[Include for region],  MATCH( tblFilterAll[[#This Row],[Code]], tblFilterRegion[RP_Code], 0 ) )</f>
        <v>1</v>
      </c>
      <c r="AM956" s="24">
        <f xml:space="preserve"> INDEX( tblFilterPropType[Incl for prop type],  MATCH( tblFilterAll[[#This Row],[Code]], tblFilterPropType[RP_Code], 0 ) )</f>
        <v>1</v>
      </c>
      <c r="AN956" s="24">
        <f xml:space="preserve"> INDEX( tblFilterSize[Incl for size],  MATCH( tblFilterAll[[#This Row],[Code]], tblFilterSize[RP_Code], 0 ) )</f>
        <v>1</v>
      </c>
      <c r="AO956" s="24">
        <f xml:space="preserve"> INDEX( tblFilterRP_Type[Incl, for RP Type],  MATCH( tblFilterAll[[#This Row],[Code]], tblFilterRP_Type[RP_Code], 0 ) )</f>
        <v>1</v>
      </c>
      <c r="AP956" s="24">
        <f xml:space="preserve">  -- ( SUM( tblFilterAll[[#This Row],[Filter Region]:[Filter RP Type]] ) = 4 )</f>
        <v>1</v>
      </c>
      <c r="AQ956" s="24">
        <f xml:space="preserve"> -- ( tblFilterAll[[#This Row],[Provider name]] = SelectedProvider )</f>
        <v>0</v>
      </c>
      <c r="AR956" s="24">
        <f xml:space="preserve">  -- ( OR( SUM( tblFilterAll[[#This Row],[Filter Region]:[Filter RP Type]] ) = 4, tblFilterAll[[#This Row],[SelectedProvider]] = 1 ) )</f>
        <v>1</v>
      </c>
      <c r="AS956" s="24">
        <f xml:space="preserve"> -- ( INDEX( PeersCritera[Included in final peers], MATCH( tblFilterAll[[#This Row],[Provider name]], PeersCritera[RP_Name], 0 ) ) = 1 )</f>
        <v>1</v>
      </c>
      <c r="AT956" s="30" t="str" cm="1">
        <f t="array" ref="AT956" xml:space="preserve"> SUBSTITUTE( INDEX( VfM_Metrics_2023_Consol_Source[], $AK956, AT$832 ), 0, "" )</f>
        <v/>
      </c>
      <c r="AU956" s="34" cm="1">
        <f t="array" ref="AU956" xml:space="preserve"> INDEX( VfM_Metrics_2023_Consol_Source[], $AK956, AU$832 )</f>
        <v>0.35583815028901733</v>
      </c>
      <c r="AV956" s="34" cm="1">
        <f t="array" ref="AV956" xml:space="preserve"> INDEX( VfM_Metrics_2023_Consol_Source[], $AK956, AV$832 )</f>
        <v>0.26053179190751447</v>
      </c>
      <c r="AW956" s="34" cm="1">
        <f t="array" ref="AW956" xml:space="preserve"> INDEX( VfM_Metrics_2023_Consol_Source[], $AK956, AW$832 )</f>
        <v>0</v>
      </c>
      <c r="AX956" s="34" cm="1">
        <f t="array" ref="AX956" xml:space="preserve"> INDEX( VfM_Metrics_2023_Consol_Source[], $AK956, AX$832 )</f>
        <v>0.36763005780346819</v>
      </c>
      <c r="AY956" s="34" cm="1">
        <f t="array" ref="AY956" xml:space="preserve"> INDEX( VfM_Metrics_2023_Consol_Source[], $AK956, AY$832 )</f>
        <v>1.3364161849710983E-2</v>
      </c>
      <c r="AZ956" s="34" cm="1">
        <f t="array" ref="AZ956" xml:space="preserve"> INDEX( VfM_Metrics_2023_Consol_Source[], $AK956, AZ$832 )</f>
        <v>2.5895953757225434E-3</v>
      </c>
      <c r="BA956" s="34" cm="1">
        <f t="array" ref="BA956" xml:space="preserve"> INDEX( VfM_Metrics_2023_Consol_Source[], $AK956, BA$832 )</f>
        <v>4.6242774566473991E-5</v>
      </c>
      <c r="BB956" s="34" cm="1">
        <f t="array" ref="BB956" xml:space="preserve"> INDEX( VfM_Metrics_2023_Consol_Source[], $AK956, BB$832 )</f>
        <v>0</v>
      </c>
      <c r="BC956" s="34" cm="1">
        <f t="array" ref="BC956" xml:space="preserve"> INDEX( VfM_Metrics_2023_Consol_Source[], $AK956, BC$832 )</f>
        <v>0</v>
      </c>
    </row>
    <row r="957" spans="2:55" x14ac:dyDescent="0.2">
      <c r="B957" s="122" t="str" vm="124">
        <f t="shared" ref="B957" si="461" xml:space="preserve"> B747</f>
        <v>Peabody Trust</v>
      </c>
      <c r="C957" s="122" t="str" vm="242">
        <f t="shared" si="434"/>
        <v>4878</v>
      </c>
      <c r="D957" s="30" cm="1">
        <f t="array" ref="D957" xml:space="preserve"> INDEX( VfM_Metrics_2023_Consol_Source[], $AK957, D$832 )</f>
        <v>5.5630991456985697E-2</v>
      </c>
      <c r="E957" s="35">
        <f xml:space="preserve"> IF( tblFilterAll[[#This Row],[Reinvestment]] &lt; D$825, 4, IF( tblFilterAll[[#This Row],[Reinvestment]] &lt; D$826, 3, IF( tblFilterAll[[#This Row],[Reinvestment]] &lt; D$827, 2, 1 ) ) )</f>
        <v>3</v>
      </c>
      <c r="F957" s="35">
        <f xml:space="preserve"> COUNTIFS( tblFilterAll[Include in output], 1, tblFilterAll[Reinvestment], "&gt;" &amp; tblFilterAll[[#This Row],[Reinvestment]] ) + 1</f>
        <v>132</v>
      </c>
      <c r="G957" s="30" cm="1">
        <f t="array" ref="G957" xml:space="preserve"> INDEX( VfM_Metrics_2023_Consol_Source[], $AK957, G$832 )</f>
        <v>2.4222801810714394E-2</v>
      </c>
      <c r="H957" s="35">
        <f xml:space="preserve"> IF( tblFilterAll[[#This Row],[New Supply (Social)]] &lt; G$825, 4, IF( tblFilterAll[[#This Row],[New Supply (Social)]] &lt; G$826, 3, IF( tblFilterAll[[#This Row],[New Supply (Social)]] &lt; G$827, 2, 1 ) ) )</f>
        <v>1</v>
      </c>
      <c r="I957" s="35">
        <f xml:space="preserve"> COUNTIFS( tblFilterAll[Include in output], 1, tblFilterAll[New Supply (Social)], "&gt;" &amp; tblFilterAll[[#This Row],[New Supply (Social)]] ) + 1</f>
        <v>41</v>
      </c>
      <c r="J957" s="31" cm="1">
        <f t="array" ref="J957" xml:space="preserve"> INDEX( VfM_Metrics_2023_Consol_Source[], $AK957, J$832 )</f>
        <v>7.3905898222648642E-3</v>
      </c>
      <c r="K957" s="35">
        <f xml:space="preserve"> IF( tblFilterAll[[#This Row],[New Supply (Non-Social)]] &lt; J$825, 4, IF( tblFilterAll[[#This Row],[New Supply (Non-Social)]] &lt; J$826, 3, IF( tblFilterAll[[#This Row],[New Supply (Non-Social)]] &lt; J$827, 2, 1 ) ) )</f>
        <v>1</v>
      </c>
      <c r="L957" s="35">
        <f xml:space="preserve"> COUNTIFS( tblFilterAll[Include in output], 1, tblFilterAll[New Supply (Non-Social)], "&gt;" &amp; tblFilterAll[[#This Row],[New Supply (Non-Social)]] ) + 1</f>
        <v>12</v>
      </c>
      <c r="M957" s="30" cm="1">
        <f t="array" ref="M957" xml:space="preserve"> INDEX( VfM_Metrics_2023_Consol_Source[], $AK957, M$832 )</f>
        <v>0.41413082453531108</v>
      </c>
      <c r="N957" s="35">
        <f xml:space="preserve"> IF( tblFilterAll[[#This Row],[Gearing]] &lt; M$825, 4, IF( tblFilterAll[[#This Row],[Gearing]] &lt; M$826, 3, IF( tblFilterAll[[#This Row],[Gearing]] &lt; M$827, 2, 1 ) ) )</f>
        <v>3</v>
      </c>
      <c r="O957" s="35">
        <f xml:space="preserve"> COUNTIFS( tblFilterAll[Include in output], 1, tblFilterAll[Gearing], "&gt;" &amp; tblFilterAll[[#This Row],[Gearing]] ) + 1</f>
        <v>124</v>
      </c>
      <c r="P957" s="30" cm="1">
        <f t="array" ref="P957" xml:space="preserve"> INDEX( VfM_Metrics_2023_Consol_Source[], $AK957, P$832 )</f>
        <v>0.69228373815845545</v>
      </c>
      <c r="Q957" s="35">
        <f xml:space="preserve"> IF( tblFilterAll[[#This Row],[EBITDA MRI Interest Cover]] &lt; P$825, 4, IF( tblFilterAll[[#This Row],[EBITDA MRI Interest Cover]] &lt; P$826, 3, IF( tblFilterAll[[#This Row],[EBITDA MRI Interest Cover]] &lt; P$827, 2, 1 ) ) )</f>
        <v>4</v>
      </c>
      <c r="R957" s="35">
        <f xml:space="preserve"> COUNTIFS( tblFilterAll[Include in output], 1, tblFilterAll[EBITDA MRI Interest Cover], "&gt;" &amp; tblFilterAll[[#This Row],[EBITDA MRI Interest Cover]] ) + 1</f>
        <v>161</v>
      </c>
      <c r="S957" s="32" cm="1">
        <f t="array" ref="S957" xml:space="preserve"> INDEX( VfM_Metrics_2023_Consol_Source[], $AK957, S$832 )</f>
        <v>6707.2418776427767</v>
      </c>
      <c r="T957" s="35">
        <f xml:space="preserve"> IF( tblFilterAll[[#This Row],[Headline Social Housing Cost per unit]] &lt; S$825, 4, IF( tblFilterAll[[#This Row],[Headline Social Housing Cost per unit]] &lt; S$826, 3, IF( tblFilterAll[[#This Row],[Headline Social Housing Cost per unit]] &lt; S$827, 2, 1 ) ) )</f>
        <v>1</v>
      </c>
      <c r="U957" s="35">
        <f xml:space="preserve"> COUNTIFS( tblFilterAll[Include in output], 1, tblFilterAll[Headline Social Housing Cost per unit], "&gt;" &amp; tblFilterAll[[#This Row],[Headline Social Housing Cost per unit]] ) + 1</f>
        <v>38</v>
      </c>
      <c r="V957" s="30" cm="1">
        <f t="array" ref="V957" xml:space="preserve"> INDEX( VfM_Metrics_2023_Consol_Source[], $AK957, V$832 )</f>
        <v>0.24144698247544072</v>
      </c>
      <c r="W957" s="35">
        <f xml:space="preserve"> IF( tblFilterAll[[#This Row],[Operating Margin (SHL)]] &lt; V$825, 4, IF( tblFilterAll[[#This Row],[Operating Margin (SHL)]] &lt; V$826, 3, IF( tblFilterAll[[#This Row],[Operating Margin (SHL)]] &lt; V$827, 2, 1 ) ) )</f>
        <v>2</v>
      </c>
      <c r="X957" s="35">
        <f xml:space="preserve"> COUNTIFS( tblFilterAll[Include in output], 1, tblFilterAll[Operating Margin (SHL)], "&gt;" &amp; tblFilterAll[[#This Row],[Operating Margin (SHL)]] ) + 1</f>
        <v>64</v>
      </c>
      <c r="Y957" s="30" cm="1">
        <f t="array" ref="Y957" xml:space="preserve"> INDEX( VfM_Metrics_2023_Consol_Source[], $AK957, Y$832 )</f>
        <v>0.16655464891657693</v>
      </c>
      <c r="Z957" s="35">
        <f xml:space="preserve"> IF( tblFilterAll[[#This Row],[Operating Margin (Overall)]] &lt; Y$825, 4, IF( tblFilterAll[[#This Row],[Operating Margin (Overall)]] &lt; Y$826, 3, IF( tblFilterAll[[#This Row],[Operating Margin (Overall)]] &lt; Y$827, 2, 1 ) ) )</f>
        <v>3</v>
      </c>
      <c r="AA957" s="35">
        <f xml:space="preserve"> COUNTIFS( tblFilterAll[Include in output], 1, tblFilterAll[Operating Margin (Overall)], "&gt;" &amp; tblFilterAll[[#This Row],[Operating Margin (Overall)]] ) + 1</f>
        <v>115</v>
      </c>
      <c r="AB957" s="30" cm="1">
        <f t="array" ref="AB957" xml:space="preserve"> INDEX( VfM_Metrics_2023_Consol_Source[], $AK957, AB$832 )</f>
        <v>2.1832480898300862E-2</v>
      </c>
      <c r="AC957" s="35">
        <f xml:space="preserve"> IF( tblFilterAll[[#This Row],[ROCE]] &lt; AB$825, 4, IF( tblFilterAll[[#This Row],[ROCE]] &lt; AB$826, 3, IF( tblFilterAll[[#This Row],[ROCE]] &lt; AB$827, 2, 1 ) ) )</f>
        <v>4</v>
      </c>
      <c r="AD957" s="35">
        <f xml:space="preserve"> COUNTIFS( tblFilterAll[Include in output], 1, tblFilterAll[ROCE], "&gt;" &amp; tblFilterAll[[#This Row],[ROCE]] ) + 1</f>
        <v>151</v>
      </c>
      <c r="AE957" s="33" cm="1" vm="1522">
        <f t="array" ref="AE957" xml:space="preserve"> INDEX( VfM_Metrics_2023_Consol_Source[], $AK957, AE$832 )</f>
        <v>92799</v>
      </c>
      <c r="AF957" s="30" cm="1">
        <f t="array" ref="AF957" xml:space="preserve"> INDEX( VfM_Metrics_2023_Consol_Source[], $AK957, AF$832 )</f>
        <v>3.8766375545851529E-2</v>
      </c>
      <c r="AG957" s="30" cm="1">
        <f t="array" ref="AG957" xml:space="preserve"> INDEX( VfM_Metrics_2023_Consol_Source[], $AK957, AG$832 )</f>
        <v>2.836244541484716E-2</v>
      </c>
      <c r="AH957" s="30" cm="1">
        <f t="array" ref="AH957" xml:space="preserve"> INDEX( VfM_Metrics_2023_Consol_Source[], $AK957, AH$832 )</f>
        <v>6.7128820960698693E-2</v>
      </c>
      <c r="AI957" s="30" t="str" cm="1">
        <f t="array" ref="AI957" xml:space="preserve"> INDEX( VfM_Metrics_2023_Consol_Source[], $AK957, AI$832 )</f>
        <v>Traditional</v>
      </c>
      <c r="AJ957" s="34" t="str" cm="1">
        <f t="array" ref="AJ957" xml:space="preserve"> INDEX( VfM_Metrics_2023_Consol_Source[], $AK957, AJ$832 )</f>
        <v>London</v>
      </c>
      <c r="AK957" s="81">
        <f xml:space="preserve"> MATCH( tblFilterAll[[#This Row],[Code]], VfM_Metrics_2023_Consol_Source[RP_Code], 0 )</f>
        <v>124</v>
      </c>
      <c r="AL957" s="24">
        <f xml:space="preserve"> INDEX( tblFilterRegion[Include for region],  MATCH( tblFilterAll[[#This Row],[Code]], tblFilterRegion[RP_Code], 0 ) )</f>
        <v>1</v>
      </c>
      <c r="AM957" s="24">
        <f xml:space="preserve"> INDEX( tblFilterPropType[Incl for prop type],  MATCH( tblFilterAll[[#This Row],[Code]], tblFilterPropType[RP_Code], 0 ) )</f>
        <v>1</v>
      </c>
      <c r="AN957" s="24">
        <f xml:space="preserve"> INDEX( tblFilterSize[Incl for size],  MATCH( tblFilterAll[[#This Row],[Code]], tblFilterSize[RP_Code], 0 ) )</f>
        <v>1</v>
      </c>
      <c r="AO957" s="24">
        <f xml:space="preserve"> INDEX( tblFilterRP_Type[Incl, for RP Type],  MATCH( tblFilterAll[[#This Row],[Code]], tblFilterRP_Type[RP_Code], 0 ) )</f>
        <v>1</v>
      </c>
      <c r="AP957" s="24">
        <f xml:space="preserve">  -- ( SUM( tblFilterAll[[#This Row],[Filter Region]:[Filter RP Type]] ) = 4 )</f>
        <v>1</v>
      </c>
      <c r="AQ957" s="24">
        <f xml:space="preserve"> -- ( tblFilterAll[[#This Row],[Provider name]] = SelectedProvider )</f>
        <v>0</v>
      </c>
      <c r="AR957" s="24">
        <f xml:space="preserve">  -- ( OR( SUM( tblFilterAll[[#This Row],[Filter Region]:[Filter RP Type]] ) = 4, tblFilterAll[[#This Row],[SelectedProvider]] = 1 ) )</f>
        <v>1</v>
      </c>
      <c r="AS957" s="24">
        <f xml:space="preserve"> -- ( INDEX( PeersCritera[Included in final peers], MATCH( tblFilterAll[[#This Row],[Provider name]], PeersCritera[RP_Name], 0 ) ) = 1 )</f>
        <v>1</v>
      </c>
      <c r="AT957" s="30" t="str" cm="1">
        <f t="array" ref="AT957" xml:space="preserve"> SUBSTITUTE( INDEX( VfM_Metrics_2023_Consol_Source[], $AK957, AT$832 ), 0, "" )</f>
        <v/>
      </c>
      <c r="AU957" s="34" cm="1">
        <f t="array" ref="AU957" xml:space="preserve"> INDEX( VfM_Metrics_2023_Consol_Source[], $AK957, AU$832 )</f>
        <v>0.68377649157926801</v>
      </c>
      <c r="AV957" s="34" cm="1">
        <f t="array" ref="AV957" xml:space="preserve"> INDEX( VfM_Metrics_2023_Consol_Source[], $AK957, AV$832 )</f>
        <v>0.19320901692849993</v>
      </c>
      <c r="AW957" s="34" cm="1">
        <f t="array" ref="AW957" xml:space="preserve"> INDEX( VfM_Metrics_2023_Consol_Source[], $AK957, AW$832 )</f>
        <v>6.5276992036206969E-5</v>
      </c>
      <c r="AX957" s="34" cm="1">
        <f t="array" ref="AX957" xml:space="preserve"> INDEX( VfM_Metrics_2023_Consol_Source[], $AK957, AX$832 )</f>
        <v>1.0444318725793115E-3</v>
      </c>
      <c r="AY957" s="34" cm="1">
        <f t="array" ref="AY957" xml:space="preserve"> INDEX( VfM_Metrics_2023_Consol_Source[], $AK957, AY$832 )</f>
        <v>0</v>
      </c>
      <c r="AZ957" s="34" cm="1">
        <f t="array" ref="AZ957" xml:space="preserve"> INDEX( VfM_Metrics_2023_Consol_Source[], $AK957, AZ$832 )</f>
        <v>0.12189390312894381</v>
      </c>
      <c r="BA957" s="34" cm="1">
        <f t="array" ref="BA957" xml:space="preserve"> INDEX( VfM_Metrics_2023_Consol_Source[], $AK957, BA$832 )</f>
        <v>0</v>
      </c>
      <c r="BB957" s="34" cm="1">
        <f t="array" ref="BB957" xml:space="preserve"> INDEX( VfM_Metrics_2023_Consol_Source[], $AK957, BB$832 )</f>
        <v>0</v>
      </c>
      <c r="BC957" s="34" cm="1">
        <f t="array" ref="BC957" xml:space="preserve"> INDEX( VfM_Metrics_2023_Consol_Source[], $AK957, BC$832 )</f>
        <v>1.0879498672701162E-5</v>
      </c>
    </row>
    <row r="958" spans="2:55" x14ac:dyDescent="0.2">
      <c r="B958" s="122" t="str" vm="125">
        <f t="shared" ref="B958" si="462" xml:space="preserve"> B748</f>
        <v>Phoenix Community Housing Association (Bellingham and Downham) Limited</v>
      </c>
      <c r="C958" s="122" t="str" vm="357">
        <f t="shared" si="434"/>
        <v>L4505</v>
      </c>
      <c r="D958" s="30" cm="1">
        <f t="array" ref="D958" xml:space="preserve"> INDEX( VfM_Metrics_2023_Consol_Source[], $AK958, D$832 )</f>
        <v>3.3053470462078377E-2</v>
      </c>
      <c r="E958" s="35">
        <f xml:space="preserve"> IF( tblFilterAll[[#This Row],[Reinvestment]] &lt; D$825, 4, IF( tblFilterAll[[#This Row],[Reinvestment]] &lt; D$826, 3, IF( tblFilterAll[[#This Row],[Reinvestment]] &lt; D$827, 2, 1 ) ) )</f>
        <v>4</v>
      </c>
      <c r="F958" s="35">
        <f xml:space="preserve"> COUNTIFS( tblFilterAll[Include in output], 1, tblFilterAll[Reinvestment], "&gt;" &amp; tblFilterAll[[#This Row],[Reinvestment]] ) + 1</f>
        <v>165</v>
      </c>
      <c r="G958" s="30" cm="1">
        <f t="array" ref="G958" xml:space="preserve"> INDEX( VfM_Metrics_2023_Consol_Source[], $AK958, G$832 )</f>
        <v>1.17096018735363E-3</v>
      </c>
      <c r="H958" s="35">
        <f xml:space="preserve"> IF( tblFilterAll[[#This Row],[New Supply (Social)]] &lt; G$825, 4, IF( tblFilterAll[[#This Row],[New Supply (Social)]] &lt; G$826, 3, IF( tblFilterAll[[#This Row],[New Supply (Social)]] &lt; G$827, 2, 1 ) ) )</f>
        <v>4</v>
      </c>
      <c r="I958" s="35">
        <f xml:space="preserve"> COUNTIFS( tblFilterAll[Include in output], 1, tblFilterAll[New Supply (Social)], "&gt;" &amp; tblFilterAll[[#This Row],[New Supply (Social)]] ) + 1</f>
        <v>180</v>
      </c>
      <c r="J958" s="31" cm="1">
        <f t="array" ref="J958" xml:space="preserve"> INDEX( VfM_Metrics_2023_Consol_Source[], $AK958, J$832 )</f>
        <v>0</v>
      </c>
      <c r="K958" s="35">
        <f xml:space="preserve"> IF( tblFilterAll[[#This Row],[New Supply (Non-Social)]] &lt; J$825, 4, IF( tblFilterAll[[#This Row],[New Supply (Non-Social)]] &lt; J$826, 3, IF( tblFilterAll[[#This Row],[New Supply (Non-Social)]] &lt; J$827, 2, 1 ) ) )</f>
        <v>2</v>
      </c>
      <c r="L958" s="35">
        <f xml:space="preserve"> COUNTIFS( tblFilterAll[Include in output], 1, tblFilterAll[New Supply (Non-Social)], "&gt;" &amp; tblFilterAll[[#This Row],[New Supply (Non-Social)]] ) + 1</f>
        <v>72</v>
      </c>
      <c r="M958" s="30" cm="1">
        <f t="array" ref="M958" xml:space="preserve"> INDEX( VfM_Metrics_2023_Consol_Source[], $AK958, M$832 )</f>
        <v>0.46586810294404368</v>
      </c>
      <c r="N958" s="35">
        <f xml:space="preserve"> IF( tblFilterAll[[#This Row],[Gearing]] &lt; M$825, 4, IF( tblFilterAll[[#This Row],[Gearing]] &lt; M$826, 3, IF( tblFilterAll[[#This Row],[Gearing]] &lt; M$827, 2, 1 ) ) )</f>
        <v>2</v>
      </c>
      <c r="O958" s="35">
        <f xml:space="preserve"> COUNTIFS( tblFilterAll[Include in output], 1, tblFilterAll[Gearing], "&gt;" &amp; tblFilterAll[[#This Row],[Gearing]] ) + 1</f>
        <v>92</v>
      </c>
      <c r="P958" s="30" cm="1">
        <f t="array" ref="P958" xml:space="preserve"> INDEX( VfM_Metrics_2023_Consol_Source[], $AK958, P$832 )</f>
        <v>1.2419470293486041</v>
      </c>
      <c r="Q958" s="35">
        <f xml:space="preserve"> IF( tblFilterAll[[#This Row],[EBITDA MRI Interest Cover]] &lt; P$825, 4, IF( tblFilterAll[[#This Row],[EBITDA MRI Interest Cover]] &lt; P$826, 3, IF( tblFilterAll[[#This Row],[EBITDA MRI Interest Cover]] &lt; P$827, 2, 1 ) ) )</f>
        <v>3</v>
      </c>
      <c r="R958" s="35">
        <f xml:space="preserve"> COUNTIFS( tblFilterAll[Include in output], 1, tblFilterAll[EBITDA MRI Interest Cover], "&gt;" &amp; tblFilterAll[[#This Row],[EBITDA MRI Interest Cover]] ) + 1</f>
        <v>103</v>
      </c>
      <c r="S958" s="32" cm="1">
        <f t="array" ref="S958" xml:space="preserve"> INDEX( VfM_Metrics_2023_Consol_Source[], $AK958, S$832 )</f>
        <v>5439.2120652508456</v>
      </c>
      <c r="T958" s="35">
        <f xml:space="preserve"> IF( tblFilterAll[[#This Row],[Headline Social Housing Cost per unit]] &lt; S$825, 4, IF( tblFilterAll[[#This Row],[Headline Social Housing Cost per unit]] &lt; S$826, 3, IF( tblFilterAll[[#This Row],[Headline Social Housing Cost per unit]] &lt; S$827, 2, 1 ) ) )</f>
        <v>2</v>
      </c>
      <c r="U958" s="35">
        <f xml:space="preserve"> COUNTIFS( tblFilterAll[Include in output], 1, tblFilterAll[Headline Social Housing Cost per unit], "&gt;" &amp; tblFilterAll[[#This Row],[Headline Social Housing Cost per unit]] ) + 1</f>
        <v>62</v>
      </c>
      <c r="V958" s="30" cm="1">
        <f t="array" ref="V958" xml:space="preserve"> INDEX( VfM_Metrics_2023_Consol_Source[], $AK958, V$832 )</f>
        <v>0.12914918443854118</v>
      </c>
      <c r="W958" s="35">
        <f xml:space="preserve"> IF( tblFilterAll[[#This Row],[Operating Margin (SHL)]] &lt; V$825, 4, IF( tblFilterAll[[#This Row],[Operating Margin (SHL)]] &lt; V$826, 3, IF( tblFilterAll[[#This Row],[Operating Margin (SHL)]] &lt; V$827, 2, 1 ) ) )</f>
        <v>4</v>
      </c>
      <c r="X958" s="35">
        <f xml:space="preserve"> COUNTIFS( tblFilterAll[Include in output], 1, tblFilterAll[Operating Margin (SHL)], "&gt;" &amp; tblFilterAll[[#This Row],[Operating Margin (SHL)]] ) + 1</f>
        <v>158</v>
      </c>
      <c r="Y958" s="30" cm="1">
        <f t="array" ref="Y958" xml:space="preserve"> INDEX( VfM_Metrics_2023_Consol_Source[], $AK958, Y$832 )</f>
        <v>0.12139548956175669</v>
      </c>
      <c r="Z958" s="35">
        <f xml:space="preserve"> IF( tblFilterAll[[#This Row],[Operating Margin (Overall)]] &lt; Y$825, 4, IF( tblFilterAll[[#This Row],[Operating Margin (Overall)]] &lt; Y$826, 3, IF( tblFilterAll[[#This Row],[Operating Margin (Overall)]] &lt; Y$827, 2, 1 ) ) )</f>
        <v>3</v>
      </c>
      <c r="AA958" s="35">
        <f xml:space="preserve"> COUNTIFS( tblFilterAll[Include in output], 1, tblFilterAll[Operating Margin (Overall)], "&gt;" &amp; tblFilterAll[[#This Row],[Operating Margin (Overall)]] ) + 1</f>
        <v>149</v>
      </c>
      <c r="AB958" s="30" cm="1">
        <f t="array" ref="AB958" xml:space="preserve"> INDEX( VfM_Metrics_2023_Consol_Source[], $AK958, AB$832 )</f>
        <v>2.5682080184449854E-2</v>
      </c>
      <c r="AC958" s="35">
        <f xml:space="preserve"> IF( tblFilterAll[[#This Row],[ROCE]] &lt; AB$825, 4, IF( tblFilterAll[[#This Row],[ROCE]] &lt; AB$826, 3, IF( tblFilterAll[[#This Row],[ROCE]] &lt; AB$827, 2, 1 ) ) )</f>
        <v>3</v>
      </c>
      <c r="AD958" s="35">
        <f xml:space="preserve"> COUNTIFS( tblFilterAll[Include in output], 1, tblFilterAll[ROCE], "&gt;" &amp; tblFilterAll[[#This Row],[ROCE]] ) + 1</f>
        <v>121</v>
      </c>
      <c r="AE958" s="33" cm="1" vm="5335">
        <f t="array" ref="AE958" xml:space="preserve"> INDEX( VfM_Metrics_2023_Consol_Source[], $AK958, AE$832 )</f>
        <v>6498</v>
      </c>
      <c r="AF958" s="30" cm="1">
        <f t="array" ref="AF958" xml:space="preserve"> INDEX( VfM_Metrics_2023_Consol_Source[], $AK958, AF$832 )</f>
        <v>0</v>
      </c>
      <c r="AG958" s="30" cm="1">
        <f t="array" ref="AG958" xml:space="preserve"> INDEX( VfM_Metrics_2023_Consol_Source[], $AK958, AG$832 )</f>
        <v>0</v>
      </c>
      <c r="AH958" s="30" cm="1">
        <f t="array" ref="AH958" xml:space="preserve"> INDEX( VfM_Metrics_2023_Consol_Source[], $AK958, AH$832 )</f>
        <v>0</v>
      </c>
      <c r="AI958" s="30" t="str" cm="1">
        <f t="array" ref="AI958" xml:space="preserve"> INDEX( VfM_Metrics_2023_Consol_Source[], $AK958, AI$832 )</f>
        <v>Traditional</v>
      </c>
      <c r="AJ958" s="34" t="str" cm="1">
        <f t="array" ref="AJ958" xml:space="preserve"> INDEX( VfM_Metrics_2023_Consol_Source[], $AK958, AJ$832 )</f>
        <v>London</v>
      </c>
      <c r="AK958" s="81">
        <f xml:space="preserve"> MATCH( tblFilterAll[[#This Row],[Code]], VfM_Metrics_2023_Consol_Source[RP_Code], 0 )</f>
        <v>125</v>
      </c>
      <c r="AL958" s="24">
        <f xml:space="preserve"> INDEX( tblFilterRegion[Include for region],  MATCH( tblFilterAll[[#This Row],[Code]], tblFilterRegion[RP_Code], 0 ) )</f>
        <v>1</v>
      </c>
      <c r="AM958" s="24">
        <f xml:space="preserve"> INDEX( tblFilterPropType[Incl for prop type],  MATCH( tblFilterAll[[#This Row],[Code]], tblFilterPropType[RP_Code], 0 ) )</f>
        <v>1</v>
      </c>
      <c r="AN958" s="24">
        <f xml:space="preserve"> INDEX( tblFilterSize[Incl for size],  MATCH( tblFilterAll[[#This Row],[Code]], tblFilterSize[RP_Code], 0 ) )</f>
        <v>1</v>
      </c>
      <c r="AO958" s="24">
        <f xml:space="preserve"> INDEX( tblFilterRP_Type[Incl, for RP Type],  MATCH( tblFilterAll[[#This Row],[Code]], tblFilterRP_Type[RP_Code], 0 ) )</f>
        <v>1</v>
      </c>
      <c r="AP958" s="24">
        <f xml:space="preserve">  -- ( SUM( tblFilterAll[[#This Row],[Filter Region]:[Filter RP Type]] ) = 4 )</f>
        <v>1</v>
      </c>
      <c r="AQ958" s="24">
        <f xml:space="preserve"> -- ( tblFilterAll[[#This Row],[Provider name]] = SelectedProvider )</f>
        <v>0</v>
      </c>
      <c r="AR958" s="24">
        <f xml:space="preserve">  -- ( OR( SUM( tblFilterAll[[#This Row],[Filter Region]:[Filter RP Type]] ) = 4, tblFilterAll[[#This Row],[SelectedProvider]] = 1 ) )</f>
        <v>1</v>
      </c>
      <c r="AS958" s="24">
        <f xml:space="preserve"> -- ( INDEX( PeersCritera[Included in final peers], MATCH( tblFilterAll[[#This Row],[Provider name]], PeersCritera[RP_Name], 0 ) ) = 1 )</f>
        <v>1</v>
      </c>
      <c r="AT958" s="30" t="str" cm="1">
        <f t="array" ref="AT958" xml:space="preserve"> SUBSTITUTE( INDEX( VfM_Metrics_2023_Consol_Source[], $AK958, AT$832 ), 0, "" )</f>
        <v>&gt;= 12 years</v>
      </c>
      <c r="AU958" s="34" cm="1">
        <f t="array" ref="AU958" xml:space="preserve"> INDEX( VfM_Metrics_2023_Consol_Source[], $AK958, AU$832 )</f>
        <v>1</v>
      </c>
      <c r="AV958" s="34" cm="1">
        <f t="array" ref="AV958" xml:space="preserve"> INDEX( VfM_Metrics_2023_Consol_Source[], $AK958, AV$832 )</f>
        <v>0</v>
      </c>
      <c r="AW958" s="34" cm="1">
        <f t="array" ref="AW958" xml:space="preserve"> INDEX( VfM_Metrics_2023_Consol_Source[], $AK958, AW$832 )</f>
        <v>0</v>
      </c>
      <c r="AX958" s="34" cm="1">
        <f t="array" ref="AX958" xml:space="preserve"> INDEX( VfM_Metrics_2023_Consol_Source[], $AK958, AX$832 )</f>
        <v>0</v>
      </c>
      <c r="AY958" s="34" cm="1">
        <f t="array" ref="AY958" xml:space="preserve"> INDEX( VfM_Metrics_2023_Consol_Source[], $AK958, AY$832 )</f>
        <v>0</v>
      </c>
      <c r="AZ958" s="34" cm="1">
        <f t="array" ref="AZ958" xml:space="preserve"> INDEX( VfM_Metrics_2023_Consol_Source[], $AK958, AZ$832 )</f>
        <v>0</v>
      </c>
      <c r="BA958" s="34" cm="1">
        <f t="array" ref="BA958" xml:space="preserve"> INDEX( VfM_Metrics_2023_Consol_Source[], $AK958, BA$832 )</f>
        <v>0</v>
      </c>
      <c r="BB958" s="34" cm="1">
        <f t="array" ref="BB958" xml:space="preserve"> INDEX( VfM_Metrics_2023_Consol_Source[], $AK958, BB$832 )</f>
        <v>0</v>
      </c>
      <c r="BC958" s="34" cm="1">
        <f t="array" ref="BC958" xml:space="preserve"> INDEX( VfM_Metrics_2023_Consol_Source[], $AK958, BC$832 )</f>
        <v>0</v>
      </c>
    </row>
    <row r="959" spans="2:55" x14ac:dyDescent="0.2">
      <c r="B959" s="122" t="str" vm="126">
        <f t="shared" ref="B959" si="463" xml:space="preserve"> B749</f>
        <v>Pickering and Ferens Homes</v>
      </c>
      <c r="C959" s="122" t="str" vm="220">
        <f t="shared" si="434"/>
        <v>A4020</v>
      </c>
      <c r="D959" s="30" cm="1">
        <f t="array" ref="D959" xml:space="preserve"> INDEX( VfM_Metrics_2023_Consol_Source[], $AK959, D$832 )</f>
        <v>3.5333643719092499E-2</v>
      </c>
      <c r="E959" s="35">
        <f xml:space="preserve"> IF( tblFilterAll[[#This Row],[Reinvestment]] &lt; D$825, 4, IF( tblFilterAll[[#This Row],[Reinvestment]] &lt; D$826, 3, IF( tblFilterAll[[#This Row],[Reinvestment]] &lt; D$827, 2, 1 ) ) )</f>
        <v>4</v>
      </c>
      <c r="F959" s="35">
        <f xml:space="preserve"> COUNTIFS( tblFilterAll[Include in output], 1, tblFilterAll[Reinvestment], "&gt;" &amp; tblFilterAll[[#This Row],[Reinvestment]] ) + 1</f>
        <v>159</v>
      </c>
      <c r="G959" s="30" cm="1">
        <f t="array" ref="G959" xml:space="preserve"> INDEX( VfM_Metrics_2023_Consol_Source[], $AK959, G$832 )</f>
        <v>2.5892232330300909E-2</v>
      </c>
      <c r="H959" s="35">
        <f xml:space="preserve"> IF( tblFilterAll[[#This Row],[New Supply (Social)]] &lt; G$825, 4, IF( tblFilterAll[[#This Row],[New Supply (Social)]] &lt; G$826, 3, IF( tblFilterAll[[#This Row],[New Supply (Social)]] &lt; G$827, 2, 1 ) ) )</f>
        <v>1</v>
      </c>
      <c r="I959" s="35">
        <f xml:space="preserve"> COUNTIFS( tblFilterAll[Include in output], 1, tblFilterAll[New Supply (Social)], "&gt;" &amp; tblFilterAll[[#This Row],[New Supply (Social)]] ) + 1</f>
        <v>32</v>
      </c>
      <c r="J959" s="31" cm="1">
        <f t="array" ref="J959" xml:space="preserve"> INDEX( VfM_Metrics_2023_Consol_Source[], $AK959, J$832 )</f>
        <v>0</v>
      </c>
      <c r="K959" s="35">
        <f xml:space="preserve"> IF( tblFilterAll[[#This Row],[New Supply (Non-Social)]] &lt; J$825, 4, IF( tblFilterAll[[#This Row],[New Supply (Non-Social)]] &lt; J$826, 3, IF( tblFilterAll[[#This Row],[New Supply (Non-Social)]] &lt; J$827, 2, 1 ) ) )</f>
        <v>2</v>
      </c>
      <c r="L959" s="35">
        <f xml:space="preserve"> COUNTIFS( tblFilterAll[Include in output], 1, tblFilterAll[New Supply (Non-Social)], "&gt;" &amp; tblFilterAll[[#This Row],[New Supply (Non-Social)]] ) + 1</f>
        <v>72</v>
      </c>
      <c r="M959" s="30" cm="1">
        <f t="array" ref="M959" xml:space="preserve"> INDEX( VfM_Metrics_2023_Consol_Source[], $AK959, M$832 )</f>
        <v>0.15102364384492456</v>
      </c>
      <c r="N959" s="35">
        <f xml:space="preserve"> IF( tblFilterAll[[#This Row],[Gearing]] &lt; M$825, 4, IF( tblFilterAll[[#This Row],[Gearing]] &lt; M$826, 3, IF( tblFilterAll[[#This Row],[Gearing]] &lt; M$827, 2, 1 ) ) )</f>
        <v>4</v>
      </c>
      <c r="O959" s="35">
        <f xml:space="preserve"> COUNTIFS( tblFilterAll[Include in output], 1, tblFilterAll[Gearing], "&gt;" &amp; tblFilterAll[[#This Row],[Gearing]] ) + 1</f>
        <v>182</v>
      </c>
      <c r="P959" s="30" cm="1">
        <f t="array" ref="P959" xml:space="preserve"> INDEX( VfM_Metrics_2023_Consol_Source[], $AK959, P$832 )</f>
        <v>3.1987041036717061</v>
      </c>
      <c r="Q959" s="35">
        <f xml:space="preserve"> IF( tblFilterAll[[#This Row],[EBITDA MRI Interest Cover]] &lt; P$825, 4, IF( tblFilterAll[[#This Row],[EBITDA MRI Interest Cover]] &lt; P$826, 3, IF( tblFilterAll[[#This Row],[EBITDA MRI Interest Cover]] &lt; P$827, 2, 1 ) ) )</f>
        <v>1</v>
      </c>
      <c r="R959" s="35">
        <f xml:space="preserve"> COUNTIFS( tblFilterAll[Include in output], 1, tblFilterAll[EBITDA MRI Interest Cover], "&gt;" &amp; tblFilterAll[[#This Row],[EBITDA MRI Interest Cover]] ) + 1</f>
        <v>4</v>
      </c>
      <c r="S959" s="32" cm="1">
        <f t="array" ref="S959" xml:space="preserve"> INDEX( VfM_Metrics_2023_Consol_Source[], $AK959, S$832 )</f>
        <v>5125.2624212736182</v>
      </c>
      <c r="T959" s="35">
        <f xml:space="preserve"> IF( tblFilterAll[[#This Row],[Headline Social Housing Cost per unit]] &lt; S$825, 4, IF( tblFilterAll[[#This Row],[Headline Social Housing Cost per unit]] &lt; S$826, 3, IF( tblFilterAll[[#This Row],[Headline Social Housing Cost per unit]] &lt; S$827, 2, 1 ) ) )</f>
        <v>2</v>
      </c>
      <c r="U959" s="35">
        <f xml:space="preserve"> COUNTIFS( tblFilterAll[Include in output], 1, tblFilterAll[Headline Social Housing Cost per unit], "&gt;" &amp; tblFilterAll[[#This Row],[Headline Social Housing Cost per unit]] ) + 1</f>
        <v>71</v>
      </c>
      <c r="V959" s="30" cm="1">
        <f t="array" ref="V959" xml:space="preserve"> INDEX( VfM_Metrics_2023_Consol_Source[], $AK959, V$832 )</f>
        <v>0.11012816150618124</v>
      </c>
      <c r="W959" s="35">
        <f xml:space="preserve"> IF( tblFilterAll[[#This Row],[Operating Margin (SHL)]] &lt; V$825, 4, IF( tblFilterAll[[#This Row],[Operating Margin (SHL)]] &lt; V$826, 3, IF( tblFilterAll[[#This Row],[Operating Margin (SHL)]] &lt; V$827, 2, 1 ) ) )</f>
        <v>4</v>
      </c>
      <c r="X959" s="35">
        <f xml:space="preserve"> COUNTIFS( tblFilterAll[Include in output], 1, tblFilterAll[Operating Margin (SHL)], "&gt;" &amp; tblFilterAll[[#This Row],[Operating Margin (SHL)]] ) + 1</f>
        <v>171</v>
      </c>
      <c r="Y959" s="30" cm="1">
        <f t="array" ref="Y959" xml:space="preserve"> INDEX( VfM_Metrics_2023_Consol_Source[], $AK959, Y$832 )</f>
        <v>0.11662726556343578</v>
      </c>
      <c r="Z959" s="35">
        <f xml:space="preserve"> IF( tblFilterAll[[#This Row],[Operating Margin (Overall)]] &lt; Y$825, 4, IF( tblFilterAll[[#This Row],[Operating Margin (Overall)]] &lt; Y$826, 3, IF( tblFilterAll[[#This Row],[Operating Margin (Overall)]] &lt; Y$827, 2, 1 ) ) )</f>
        <v>4</v>
      </c>
      <c r="AA959" s="35">
        <f xml:space="preserve"> COUNTIFS( tblFilterAll[Include in output], 1, tblFilterAll[Operating Margin (Overall)], "&gt;" &amp; tblFilterAll[[#This Row],[Operating Margin (Overall)]] ) + 1</f>
        <v>150</v>
      </c>
      <c r="AB959" s="30" cm="1">
        <f t="array" ref="AB959" xml:space="preserve"> INDEX( VfM_Metrics_2023_Consol_Source[], $AK959, AB$832 )</f>
        <v>1.5729553903345725E-2</v>
      </c>
      <c r="AC959" s="35">
        <f xml:space="preserve"> IF( tblFilterAll[[#This Row],[ROCE]] &lt; AB$825, 4, IF( tblFilterAll[[#This Row],[ROCE]] &lt; AB$826, 3, IF( tblFilterAll[[#This Row],[ROCE]] &lt; AB$827, 2, 1 ) ) )</f>
        <v>4</v>
      </c>
      <c r="AD959" s="35">
        <f xml:space="preserve"> COUNTIFS( tblFilterAll[Include in output], 1, tblFilterAll[ROCE], "&gt;" &amp; tblFilterAll[[#This Row],[ROCE]] ) + 1</f>
        <v>180</v>
      </c>
      <c r="AE959" s="33" cm="1" vm="1022">
        <f t="array" ref="AE959" xml:space="preserve"> INDEX( VfM_Metrics_2023_Consol_Source[], $AK959, AE$832 )</f>
        <v>1429</v>
      </c>
      <c r="AF959" s="30" cm="1">
        <f t="array" ref="AF959" xml:space="preserve"> INDEX( VfM_Metrics_2023_Consol_Source[], $AK959, AF$832 )</f>
        <v>0</v>
      </c>
      <c r="AG959" s="30" cm="1">
        <f t="array" ref="AG959" xml:space="preserve"> INDEX( VfM_Metrics_2023_Consol_Source[], $AK959, AG$832 )</f>
        <v>0.13365990202939118</v>
      </c>
      <c r="AH959" s="30" cm="1">
        <f t="array" ref="AH959" xml:space="preserve"> INDEX( VfM_Metrics_2023_Consol_Source[], $AK959, AH$832 )</f>
        <v>0.13365990202939118</v>
      </c>
      <c r="AI959" s="30" t="str" cm="1">
        <f t="array" ref="AI959" xml:space="preserve"> INDEX( VfM_Metrics_2023_Consol_Source[], $AK959, AI$832 )</f>
        <v>Traditional</v>
      </c>
      <c r="AJ959" s="34" t="str" cm="1">
        <f t="array" ref="AJ959" xml:space="preserve"> INDEX( VfM_Metrics_2023_Consol_Source[], $AK959, AJ$832 )</f>
        <v>Yorkshire &amp; the Humber</v>
      </c>
      <c r="AK959" s="81">
        <f xml:space="preserve"> MATCH( tblFilterAll[[#This Row],[Code]], VfM_Metrics_2023_Consol_Source[RP_Code], 0 )</f>
        <v>126</v>
      </c>
      <c r="AL959" s="24">
        <f xml:space="preserve"> INDEX( tblFilterRegion[Include for region],  MATCH( tblFilterAll[[#This Row],[Code]], tblFilterRegion[RP_Code], 0 ) )</f>
        <v>1</v>
      </c>
      <c r="AM959" s="24">
        <f xml:space="preserve"> INDEX( tblFilterPropType[Incl for prop type],  MATCH( tblFilterAll[[#This Row],[Code]], tblFilterPropType[RP_Code], 0 ) )</f>
        <v>1</v>
      </c>
      <c r="AN959" s="24">
        <f xml:space="preserve"> INDEX( tblFilterSize[Incl for size],  MATCH( tblFilterAll[[#This Row],[Code]], tblFilterSize[RP_Code], 0 ) )</f>
        <v>1</v>
      </c>
      <c r="AO959" s="24">
        <f xml:space="preserve"> INDEX( tblFilterRP_Type[Incl, for RP Type],  MATCH( tblFilterAll[[#This Row],[Code]], tblFilterRP_Type[RP_Code], 0 ) )</f>
        <v>1</v>
      </c>
      <c r="AP959" s="24">
        <f xml:space="preserve">  -- ( SUM( tblFilterAll[[#This Row],[Filter Region]:[Filter RP Type]] ) = 4 )</f>
        <v>1</v>
      </c>
      <c r="AQ959" s="24">
        <f xml:space="preserve"> -- ( tblFilterAll[[#This Row],[Provider name]] = SelectedProvider )</f>
        <v>0</v>
      </c>
      <c r="AR959" s="24">
        <f xml:space="preserve">  -- ( OR( SUM( tblFilterAll[[#This Row],[Filter Region]:[Filter RP Type]] ) = 4, tblFilterAll[[#This Row],[SelectedProvider]] = 1 ) )</f>
        <v>1</v>
      </c>
      <c r="AS959" s="24">
        <f xml:space="preserve"> -- ( INDEX( PeersCritera[Included in final peers], MATCH( tblFilterAll[[#This Row],[Provider name]], PeersCritera[RP_Name], 0 ) ) = 1 )</f>
        <v>1</v>
      </c>
      <c r="AT959" s="30" t="str" cm="1">
        <f t="array" ref="AT959" xml:space="preserve"> SUBSTITUTE( INDEX( VfM_Metrics_2023_Consol_Source[], $AK959, AT$832 ), 0, "" )</f>
        <v/>
      </c>
      <c r="AU959" s="34" cm="1">
        <f t="array" ref="AU959" xml:space="preserve"> INDEX( VfM_Metrics_2023_Consol_Source[], $AK959, AU$832 )</f>
        <v>0</v>
      </c>
      <c r="AV959" s="34" cm="1">
        <f t="array" ref="AV959" xml:space="preserve"> INDEX( VfM_Metrics_2023_Consol_Source[], $AK959, AV$832 )</f>
        <v>0</v>
      </c>
      <c r="AW959" s="34" cm="1">
        <f t="array" ref="AW959" xml:space="preserve"> INDEX( VfM_Metrics_2023_Consol_Source[], $AK959, AW$832 )</f>
        <v>0</v>
      </c>
      <c r="AX959" s="34" cm="1">
        <f t="array" ref="AX959" xml:space="preserve"> INDEX( VfM_Metrics_2023_Consol_Source[], $AK959, AX$832 )</f>
        <v>0</v>
      </c>
      <c r="AY959" s="34" cm="1">
        <f t="array" ref="AY959" xml:space="preserve"> INDEX( VfM_Metrics_2023_Consol_Source[], $AK959, AY$832 )</f>
        <v>0</v>
      </c>
      <c r="AZ959" s="34" cm="1">
        <f t="array" ref="AZ959" xml:space="preserve"> INDEX( VfM_Metrics_2023_Consol_Source[], $AK959, AZ$832 )</f>
        <v>0</v>
      </c>
      <c r="BA959" s="34" cm="1">
        <f t="array" ref="BA959" xml:space="preserve"> INDEX( VfM_Metrics_2023_Consol_Source[], $AK959, BA$832 )</f>
        <v>0</v>
      </c>
      <c r="BB959" s="34" cm="1">
        <f t="array" ref="BB959" xml:space="preserve"> INDEX( VfM_Metrics_2023_Consol_Source[], $AK959, BB$832 )</f>
        <v>0</v>
      </c>
      <c r="BC959" s="34" cm="1">
        <f t="array" ref="BC959" xml:space="preserve"> INDEX( VfM_Metrics_2023_Consol_Source[], $AK959, BC$832 )</f>
        <v>1</v>
      </c>
    </row>
    <row r="960" spans="2:55" x14ac:dyDescent="0.2">
      <c r="B960" s="122" t="str" vm="127">
        <f t="shared" ref="B960" si="464" xml:space="preserve"> B750</f>
        <v>Places for People Group Limited</v>
      </c>
      <c r="C960" s="122" t="str" vm="267">
        <f t="shared" si="434"/>
        <v>L4236</v>
      </c>
      <c r="D960" s="30" cm="1">
        <f t="array" ref="D960" xml:space="preserve"> INDEX( VfM_Metrics_2023_Consol_Source[], $AK960, D$832 )</f>
        <v>9.1512191959518124E-2</v>
      </c>
      <c r="E960" s="35">
        <f xml:space="preserve"> IF( tblFilterAll[[#This Row],[Reinvestment]] &lt; D$825, 4, IF( tblFilterAll[[#This Row],[Reinvestment]] &lt; D$826, 3, IF( tblFilterAll[[#This Row],[Reinvestment]] &lt; D$827, 2, 1 ) ) )</f>
        <v>2</v>
      </c>
      <c r="F960" s="35">
        <f xml:space="preserve"> COUNTIFS( tblFilterAll[Include in output], 1, tblFilterAll[Reinvestment], "&gt;" &amp; tblFilterAll[[#This Row],[Reinvestment]] ) + 1</f>
        <v>53</v>
      </c>
      <c r="G960" s="30" cm="1">
        <f t="array" ref="G960" xml:space="preserve"> INDEX( VfM_Metrics_2023_Consol_Source[], $AK960, G$832 )</f>
        <v>2.1459749456073731E-2</v>
      </c>
      <c r="H960" s="35">
        <f xml:space="preserve"> IF( tblFilterAll[[#This Row],[New Supply (Social)]] &lt; G$825, 4, IF( tblFilterAll[[#This Row],[New Supply (Social)]] &lt; G$826, 3, IF( tblFilterAll[[#This Row],[New Supply (Social)]] &lt; G$827, 2, 1 ) ) )</f>
        <v>2</v>
      </c>
      <c r="I960" s="35">
        <f xml:space="preserve"> COUNTIFS( tblFilterAll[Include in output], 1, tblFilterAll[New Supply (Social)], "&gt;" &amp; tblFilterAll[[#This Row],[New Supply (Social)]] ) + 1</f>
        <v>54</v>
      </c>
      <c r="J960" s="31" cm="1">
        <f t="array" ref="J960" xml:space="preserve"> INDEX( VfM_Metrics_2023_Consol_Source[], $AK960, J$832 )</f>
        <v>5.4692205758342365E-3</v>
      </c>
      <c r="K960" s="35">
        <f xml:space="preserve"> IF( tblFilterAll[[#This Row],[New Supply (Non-Social)]] &lt; J$825, 4, IF( tblFilterAll[[#This Row],[New Supply (Non-Social)]] &lt; J$826, 3, IF( tblFilterAll[[#This Row],[New Supply (Non-Social)]] &lt; J$827, 2, 1 ) ) )</f>
        <v>1</v>
      </c>
      <c r="L960" s="35">
        <f xml:space="preserve"> COUNTIFS( tblFilterAll[Include in output], 1, tblFilterAll[New Supply (Non-Social)], "&gt;" &amp; tblFilterAll[[#This Row],[New Supply (Non-Social)]] ) + 1</f>
        <v>18</v>
      </c>
      <c r="M960" s="30" cm="1">
        <f t="array" ref="M960" xml:space="preserve"> INDEX( VfM_Metrics_2023_Consol_Source[], $AK960, M$832 )</f>
        <v>0.71431575129506442</v>
      </c>
      <c r="N960" s="35">
        <f xml:space="preserve"> IF( tblFilterAll[[#This Row],[Gearing]] &lt; M$825, 4, IF( tblFilterAll[[#This Row],[Gearing]] &lt; M$826, 3, IF( tblFilterAll[[#This Row],[Gearing]] &lt; M$827, 2, 1 ) ) )</f>
        <v>1</v>
      </c>
      <c r="O960" s="35">
        <f xml:space="preserve"> COUNTIFS( tblFilterAll[Include in output], 1, tblFilterAll[Gearing], "&gt;" &amp; tblFilterAll[[#This Row],[Gearing]] ) + 1</f>
        <v>5</v>
      </c>
      <c r="P960" s="30" cm="1">
        <f t="array" ref="P960" xml:space="preserve"> INDEX( VfM_Metrics_2023_Consol_Source[], $AK960, P$832 )</f>
        <v>1.3488639694308449</v>
      </c>
      <c r="Q960" s="35">
        <f xml:space="preserve"> IF( tblFilterAll[[#This Row],[EBITDA MRI Interest Cover]] &lt; P$825, 4, IF( tblFilterAll[[#This Row],[EBITDA MRI Interest Cover]] &lt; P$826, 3, IF( tblFilterAll[[#This Row],[EBITDA MRI Interest Cover]] &lt; P$827, 2, 1 ) ) )</f>
        <v>2</v>
      </c>
      <c r="R960" s="35">
        <f xml:space="preserve"> COUNTIFS( tblFilterAll[Include in output], 1, tblFilterAll[EBITDA MRI Interest Cover], "&gt;" &amp; tblFilterAll[[#This Row],[EBITDA MRI Interest Cover]] ) + 1</f>
        <v>85</v>
      </c>
      <c r="S960" s="32" cm="1">
        <f t="array" ref="S960" xml:space="preserve"> INDEX( VfM_Metrics_2023_Consol_Source[], $AK960, S$832 )</f>
        <v>3361.500317863954</v>
      </c>
      <c r="T960" s="35">
        <f xml:space="preserve"> IF( tblFilterAll[[#This Row],[Headline Social Housing Cost per unit]] &lt; S$825, 4, IF( tblFilterAll[[#This Row],[Headline Social Housing Cost per unit]] &lt; S$826, 3, IF( tblFilterAll[[#This Row],[Headline Social Housing Cost per unit]] &lt; S$827, 2, 1 ) ) )</f>
        <v>4</v>
      </c>
      <c r="U960" s="35">
        <f xml:space="preserve"> COUNTIFS( tblFilterAll[Include in output], 1, tblFilterAll[Headline Social Housing Cost per unit], "&gt;" &amp; tblFilterAll[[#This Row],[Headline Social Housing Cost per unit]] ) + 1</f>
        <v>192</v>
      </c>
      <c r="V960" s="30" cm="1">
        <f t="array" ref="V960" xml:space="preserve"> INDEX( VfM_Metrics_2023_Consol_Source[], $AK960, V$832 )</f>
        <v>0.40655239114831082</v>
      </c>
      <c r="W960" s="35">
        <f xml:space="preserve"> IF( tblFilterAll[[#This Row],[Operating Margin (SHL)]] &lt; V$825, 4, IF( tblFilterAll[[#This Row],[Operating Margin (SHL)]] &lt; V$826, 3, IF( tblFilterAll[[#This Row],[Operating Margin (SHL)]] &lt; V$827, 2, 1 ) ) )</f>
        <v>1</v>
      </c>
      <c r="X960" s="35">
        <f xml:space="preserve"> COUNTIFS( tblFilterAll[Include in output], 1, tblFilterAll[Operating Margin (SHL)], "&gt;" &amp; tblFilterAll[[#This Row],[Operating Margin (SHL)]] ) + 1</f>
        <v>3</v>
      </c>
      <c r="Y960" s="30" cm="1">
        <f t="array" ref="Y960" xml:space="preserve"> INDEX( VfM_Metrics_2023_Consol_Source[], $AK960, Y$832 )</f>
        <v>0.18202886200918283</v>
      </c>
      <c r="Z960" s="35">
        <f xml:space="preserve"> IF( tblFilterAll[[#This Row],[Operating Margin (Overall)]] &lt; Y$825, 4, IF( tblFilterAll[[#This Row],[Operating Margin (Overall)]] &lt; Y$826, 3, IF( tblFilterAll[[#This Row],[Operating Margin (Overall)]] &lt; Y$827, 2, 1 ) ) )</f>
        <v>2</v>
      </c>
      <c r="AA960" s="35">
        <f xml:space="preserve"> COUNTIFS( tblFilterAll[Include in output], 1, tblFilterAll[Operating Margin (Overall)], "&gt;" &amp; tblFilterAll[[#This Row],[Operating Margin (Overall)]] ) + 1</f>
        <v>99</v>
      </c>
      <c r="AB960" s="30" cm="1">
        <f t="array" ref="AB960" xml:space="preserve"> INDEX( VfM_Metrics_2023_Consol_Source[], $AK960, AB$832 )</f>
        <v>3.0304413673196272E-2</v>
      </c>
      <c r="AC960" s="35">
        <f xml:space="preserve"> IF( tblFilterAll[[#This Row],[ROCE]] &lt; AB$825, 4, IF( tblFilterAll[[#This Row],[ROCE]] &lt; AB$826, 3, IF( tblFilterAll[[#This Row],[ROCE]] &lt; AB$827, 2, 1 ) ) )</f>
        <v>2</v>
      </c>
      <c r="AD960" s="35">
        <f xml:space="preserve"> COUNTIFS( tblFilterAll[Include in output], 1, tblFilterAll[ROCE], "&gt;" &amp; tblFilterAll[[#This Row],[ROCE]] ) + 1</f>
        <v>82</v>
      </c>
      <c r="AE960" s="33" cm="1" vm="2239">
        <f t="array" ref="AE960" xml:space="preserve"> INDEX( VfM_Metrics_2023_Consol_Source[], $AK960, AE$832 )</f>
        <v>70663</v>
      </c>
      <c r="AF960" s="30" cm="1">
        <f t="array" ref="AF960" xml:space="preserve"> INDEX( VfM_Metrics_2023_Consol_Source[], $AK960, AF$832 )</f>
        <v>4.9455902508297692E-2</v>
      </c>
      <c r="AG960" s="30" cm="1">
        <f t="array" ref="AG960" xml:space="preserve"> INDEX( VfM_Metrics_2023_Consol_Source[], $AK960, AG$832 )</f>
        <v>6.6051288825773213E-2</v>
      </c>
      <c r="AH960" s="30" cm="1">
        <f t="array" ref="AH960" xml:space="preserve"> INDEX( VfM_Metrics_2023_Consol_Source[], $AK960, AH$832 )</f>
        <v>0.1155071913340709</v>
      </c>
      <c r="AI960" s="30" t="str" cm="1">
        <f t="array" ref="AI960" xml:space="preserve"> INDEX( VfM_Metrics_2023_Consol_Source[], $AK960, AI$832 )</f>
        <v>Traditional</v>
      </c>
      <c r="AJ960" s="34" t="str" cm="1">
        <f t="array" ref="AJ960" xml:space="preserve"> INDEX( VfM_Metrics_2023_Consol_Source[], $AK960, AJ$832 )</f>
        <v>Mixed</v>
      </c>
      <c r="AK960" s="81">
        <f xml:space="preserve"> MATCH( tblFilterAll[[#This Row],[Code]], VfM_Metrics_2023_Consol_Source[RP_Code], 0 )</f>
        <v>127</v>
      </c>
      <c r="AL960" s="24">
        <f xml:space="preserve"> INDEX( tblFilterRegion[Include for region],  MATCH( tblFilterAll[[#This Row],[Code]], tblFilterRegion[RP_Code], 0 ) )</f>
        <v>1</v>
      </c>
      <c r="AM960" s="24">
        <f xml:space="preserve"> INDEX( tblFilterPropType[Incl for prop type],  MATCH( tblFilterAll[[#This Row],[Code]], tblFilterPropType[RP_Code], 0 ) )</f>
        <v>1</v>
      </c>
      <c r="AN960" s="24">
        <f xml:space="preserve"> INDEX( tblFilterSize[Incl for size],  MATCH( tblFilterAll[[#This Row],[Code]], tblFilterSize[RP_Code], 0 ) )</f>
        <v>1</v>
      </c>
      <c r="AO960" s="24">
        <f xml:space="preserve"> INDEX( tblFilterRP_Type[Incl, for RP Type],  MATCH( tblFilterAll[[#This Row],[Code]], tblFilterRP_Type[RP_Code], 0 ) )</f>
        <v>1</v>
      </c>
      <c r="AP960" s="24">
        <f xml:space="preserve">  -- ( SUM( tblFilterAll[[#This Row],[Filter Region]:[Filter RP Type]] ) = 4 )</f>
        <v>1</v>
      </c>
      <c r="AQ960" s="24">
        <f xml:space="preserve"> -- ( tblFilterAll[[#This Row],[Provider name]] = SelectedProvider )</f>
        <v>0</v>
      </c>
      <c r="AR960" s="24">
        <f xml:space="preserve">  -- ( OR( SUM( tblFilterAll[[#This Row],[Filter Region]:[Filter RP Type]] ) = 4, tblFilterAll[[#This Row],[SelectedProvider]] = 1 ) )</f>
        <v>1</v>
      </c>
      <c r="AS960" s="24">
        <f xml:space="preserve"> -- ( INDEX( PeersCritera[Included in final peers], MATCH( tblFilterAll[[#This Row],[Provider name]], PeersCritera[RP_Name], 0 ) ) = 1 )</f>
        <v>1</v>
      </c>
      <c r="AT960" s="30" t="str" cm="1">
        <f t="array" ref="AT960" xml:space="preserve"> SUBSTITUTE( INDEX( VfM_Metrics_2023_Consol_Source[], $AK960, AT$832 ), 0, "" )</f>
        <v/>
      </c>
      <c r="AU960" s="34" cm="1">
        <f t="array" ref="AU960" xml:space="preserve"> INDEX( VfM_Metrics_2023_Consol_Source[], $AK960, AU$832 )</f>
        <v>4.087922783680753E-2</v>
      </c>
      <c r="AV960" s="34" cm="1">
        <f t="array" ref="AV960" xml:space="preserve"> INDEX( VfM_Metrics_2023_Consol_Source[], $AK960, AV$832 )</f>
        <v>9.5936410090031635E-2</v>
      </c>
      <c r="AW960" s="34" cm="1">
        <f t="array" ref="AW960" xml:space="preserve"> INDEX( VfM_Metrics_2023_Consol_Source[], $AK960, AW$832 )</f>
        <v>5.0871927974693809E-2</v>
      </c>
      <c r="AX960" s="34" cm="1">
        <f t="array" ref="AX960" xml:space="preserve"> INDEX( VfM_Metrics_2023_Consol_Source[], $AK960, AX$832 )</f>
        <v>0.17346094573769161</v>
      </c>
      <c r="AY960" s="34" cm="1">
        <f t="array" ref="AY960" xml:space="preserve"> INDEX( VfM_Metrics_2023_Consol_Source[], $AK960, AY$832 )</f>
        <v>5.1585692270257116E-3</v>
      </c>
      <c r="AZ960" s="34" cm="1">
        <f t="array" ref="AZ960" xml:space="preserve"> INDEX( VfM_Metrics_2023_Consol_Source[], $AK960, AZ$832 )</f>
        <v>0.1873793495011761</v>
      </c>
      <c r="BA960" s="34" cm="1">
        <f t="array" ref="BA960" xml:space="preserve"> INDEX( VfM_Metrics_2023_Consol_Source[], $AK960, BA$832 )</f>
        <v>8.1060913293860004E-2</v>
      </c>
      <c r="BB960" s="34" cm="1">
        <f t="array" ref="BB960" xml:space="preserve"> INDEX( VfM_Metrics_2023_Consol_Source[], $AK960, BB$832 )</f>
        <v>0.20262795036093761</v>
      </c>
      <c r="BC960" s="34" cm="1">
        <f t="array" ref="BC960" xml:space="preserve"> INDEX( VfM_Metrics_2023_Consol_Source[], $AK960, BC$832 )</f>
        <v>0.16262470597777598</v>
      </c>
    </row>
    <row r="961" spans="2:55" x14ac:dyDescent="0.2">
      <c r="B961" s="122" t="str" vm="128">
        <f t="shared" ref="B961" si="465" xml:space="preserve"> B751</f>
        <v>Platform Housing Group Limited</v>
      </c>
      <c r="C961" s="122" t="str" vm="266">
        <f t="shared" si="434"/>
        <v>4789</v>
      </c>
      <c r="D961" s="30" cm="1">
        <f t="array" ref="D961" xml:space="preserve"> INDEX( VfM_Metrics_2023_Consol_Source[], $AK961, D$832 )</f>
        <v>9.363038520878883E-2</v>
      </c>
      <c r="E961" s="35">
        <f xml:space="preserve"> IF( tblFilterAll[[#This Row],[Reinvestment]] &lt; D$825, 4, IF( tblFilterAll[[#This Row],[Reinvestment]] &lt; D$826, 3, IF( tblFilterAll[[#This Row],[Reinvestment]] &lt; D$827, 2, 1 ) ) )</f>
        <v>2</v>
      </c>
      <c r="F961" s="35">
        <f xml:space="preserve"> COUNTIFS( tblFilterAll[Include in output], 1, tblFilterAll[Reinvestment], "&gt;" &amp; tblFilterAll[[#This Row],[Reinvestment]] ) + 1</f>
        <v>50</v>
      </c>
      <c r="G961" s="30" cm="1">
        <f t="array" ref="G961" xml:space="preserve"> INDEX( VfM_Metrics_2023_Consol_Source[], $AK961, G$832 )</f>
        <v>2.244142514617423E-2</v>
      </c>
      <c r="H961" s="35">
        <f xml:space="preserve"> IF( tblFilterAll[[#This Row],[New Supply (Social)]] &lt; G$825, 4, IF( tblFilterAll[[#This Row],[New Supply (Social)]] &lt; G$826, 3, IF( tblFilterAll[[#This Row],[New Supply (Social)]] &lt; G$827, 2, 1 ) ) )</f>
        <v>1</v>
      </c>
      <c r="I961" s="35">
        <f xml:space="preserve"> COUNTIFS( tblFilterAll[Include in output], 1, tblFilterAll[New Supply (Social)], "&gt;" &amp; tblFilterAll[[#This Row],[New Supply (Social)]] ) + 1</f>
        <v>47</v>
      </c>
      <c r="J961" s="31" cm="1">
        <f t="array" ref="J961" xml:space="preserve"> INDEX( VfM_Metrics_2023_Consol_Source[], $AK961, J$832 )</f>
        <v>0</v>
      </c>
      <c r="K961" s="35">
        <f xml:space="preserve"> IF( tblFilterAll[[#This Row],[New Supply (Non-Social)]] &lt; J$825, 4, IF( tblFilterAll[[#This Row],[New Supply (Non-Social)]] &lt; J$826, 3, IF( tblFilterAll[[#This Row],[New Supply (Non-Social)]] &lt; J$827, 2, 1 ) ) )</f>
        <v>2</v>
      </c>
      <c r="L961" s="35">
        <f xml:space="preserve"> COUNTIFS( tblFilterAll[Include in output], 1, tblFilterAll[New Supply (Non-Social)], "&gt;" &amp; tblFilterAll[[#This Row],[New Supply (Non-Social)]] ) + 1</f>
        <v>72</v>
      </c>
      <c r="M961" s="30" cm="1">
        <f t="array" ref="M961" xml:space="preserve"> INDEX( VfM_Metrics_2023_Consol_Source[], $AK961, M$832 )</f>
        <v>0.43413361137112838</v>
      </c>
      <c r="N961" s="35">
        <f xml:space="preserve"> IF( tblFilterAll[[#This Row],[Gearing]] &lt; M$825, 4, IF( tblFilterAll[[#This Row],[Gearing]] &lt; M$826, 3, IF( tblFilterAll[[#This Row],[Gearing]] &lt; M$827, 2, 1 ) ) )</f>
        <v>3</v>
      </c>
      <c r="O961" s="35">
        <f xml:space="preserve"> COUNTIFS( tblFilterAll[Include in output], 1, tblFilterAll[Gearing], "&gt;" &amp; tblFilterAll[[#This Row],[Gearing]] ) + 1</f>
        <v>112</v>
      </c>
      <c r="P961" s="30" cm="1">
        <f t="array" ref="P961" xml:space="preserve"> INDEX( VfM_Metrics_2023_Consol_Source[], $AK961, P$832 )</f>
        <v>1.8686332199763096</v>
      </c>
      <c r="Q961" s="35">
        <f xml:space="preserve"> IF( tblFilterAll[[#This Row],[EBITDA MRI Interest Cover]] &lt; P$825, 4, IF( tblFilterAll[[#This Row],[EBITDA MRI Interest Cover]] &lt; P$826, 3, IF( tblFilterAll[[#This Row],[EBITDA MRI Interest Cover]] &lt; P$827, 2, 1 ) ) )</f>
        <v>1</v>
      </c>
      <c r="R961" s="35">
        <f xml:space="preserve"> COUNTIFS( tblFilterAll[Include in output], 1, tblFilterAll[EBITDA MRI Interest Cover], "&gt;" &amp; tblFilterAll[[#This Row],[EBITDA MRI Interest Cover]] ) + 1</f>
        <v>36</v>
      </c>
      <c r="S961" s="32" cm="1">
        <f t="array" ref="S961" xml:space="preserve"> INDEX( VfM_Metrics_2023_Consol_Source[], $AK961, S$832 )</f>
        <v>3435.5422465422894</v>
      </c>
      <c r="T961" s="35">
        <f xml:space="preserve"> IF( tblFilterAll[[#This Row],[Headline Social Housing Cost per unit]] &lt; S$825, 4, IF( tblFilterAll[[#This Row],[Headline Social Housing Cost per unit]] &lt; S$826, 3, IF( tblFilterAll[[#This Row],[Headline Social Housing Cost per unit]] &lt; S$827, 2, 1 ) ) )</f>
        <v>4</v>
      </c>
      <c r="U961" s="35">
        <f xml:space="preserve"> COUNTIFS( tblFilterAll[Include in output], 1, tblFilterAll[Headline Social Housing Cost per unit], "&gt;" &amp; tblFilterAll[[#This Row],[Headline Social Housing Cost per unit]] ) + 1</f>
        <v>191</v>
      </c>
      <c r="V961" s="30" cm="1">
        <f t="array" ref="V961" xml:space="preserve"> INDEX( VfM_Metrics_2023_Consol_Source[], $AK961, V$832 )</f>
        <v>0.32062486652886402</v>
      </c>
      <c r="W961" s="35">
        <f xml:space="preserve"> IF( tblFilterAll[[#This Row],[Operating Margin (SHL)]] &lt; V$825, 4, IF( tblFilterAll[[#This Row],[Operating Margin (SHL)]] &lt; V$826, 3, IF( tblFilterAll[[#This Row],[Operating Margin (SHL)]] &lt; V$827, 2, 1 ) ) )</f>
        <v>1</v>
      </c>
      <c r="X961" s="35">
        <f xml:space="preserve"> COUNTIFS( tblFilterAll[Include in output], 1, tblFilterAll[Operating Margin (SHL)], "&gt;" &amp; tblFilterAll[[#This Row],[Operating Margin (SHL)]] ) + 1</f>
        <v>20</v>
      </c>
      <c r="Y961" s="30" cm="1">
        <f t="array" ref="Y961" xml:space="preserve"> INDEX( VfM_Metrics_2023_Consol_Source[], $AK961, Y$832 )</f>
        <v>0.27170177374352888</v>
      </c>
      <c r="Z961" s="35">
        <f xml:space="preserve"> IF( tblFilterAll[[#This Row],[Operating Margin (Overall)]] &lt; Y$825, 4, IF( tblFilterAll[[#This Row],[Operating Margin (Overall)]] &lt; Y$826, 3, IF( tblFilterAll[[#This Row],[Operating Margin (Overall)]] &lt; Y$827, 2, 1 ) ) )</f>
        <v>1</v>
      </c>
      <c r="AA961" s="35">
        <f xml:space="preserve"> COUNTIFS( tblFilterAll[Include in output], 1, tblFilterAll[Operating Margin (Overall)], "&gt;" &amp; tblFilterAll[[#This Row],[Operating Margin (Overall)]] ) + 1</f>
        <v>21</v>
      </c>
      <c r="AB961" s="30" cm="1">
        <f t="array" ref="AB961" xml:space="preserve"> INDEX( VfM_Metrics_2023_Consol_Source[], $AK961, AB$832 )</f>
        <v>3.0423085877549189E-2</v>
      </c>
      <c r="AC961" s="35">
        <f xml:space="preserve"> IF( tblFilterAll[[#This Row],[ROCE]] &lt; AB$825, 4, IF( tblFilterAll[[#This Row],[ROCE]] &lt; AB$826, 3, IF( tblFilterAll[[#This Row],[ROCE]] &lt; AB$827, 2, 1 ) ) )</f>
        <v>2</v>
      </c>
      <c r="AD961" s="35">
        <f xml:space="preserve"> COUNTIFS( tblFilterAll[Include in output], 1, tblFilterAll[ROCE], "&gt;" &amp; tblFilterAll[[#This Row],[ROCE]] ) + 1</f>
        <v>81</v>
      </c>
      <c r="AE961" s="33" cm="1" vm="7895">
        <f t="array" ref="AE961" xml:space="preserve"> INDEX( VfM_Metrics_2023_Consol_Source[], $AK961, AE$832 )</f>
        <v>46401</v>
      </c>
      <c r="AF961" s="30" cm="1">
        <f t="array" ref="AF961" xml:space="preserve"> INDEX( VfM_Metrics_2023_Consol_Source[], $AK961, AF$832 )</f>
        <v>7.2223306656256101E-3</v>
      </c>
      <c r="AG961" s="30" cm="1">
        <f t="array" ref="AG961" xml:space="preserve"> INDEX( VfM_Metrics_2023_Consol_Source[], $AK961, AG$832 )</f>
        <v>6.4545513696401852E-2</v>
      </c>
      <c r="AH961" s="30" cm="1">
        <f t="array" ref="AH961" xml:space="preserve"> INDEX( VfM_Metrics_2023_Consol_Source[], $AK961, AH$832 )</f>
        <v>7.1767844362027461E-2</v>
      </c>
      <c r="AI961" s="30" t="str" cm="1">
        <f t="array" ref="AI961" xml:space="preserve"> INDEX( VfM_Metrics_2023_Consol_Source[], $AK961, AI$832 )</f>
        <v>Traditional</v>
      </c>
      <c r="AJ961" s="34" t="str" cm="1">
        <f t="array" ref="AJ961" xml:space="preserve"> INDEX( VfM_Metrics_2023_Consol_Source[], $AK961, AJ$832 )</f>
        <v>West Midlands</v>
      </c>
      <c r="AK961" s="81">
        <f xml:space="preserve"> MATCH( tblFilterAll[[#This Row],[Code]], VfM_Metrics_2023_Consol_Source[RP_Code], 0 )</f>
        <v>128</v>
      </c>
      <c r="AL961" s="24">
        <f xml:space="preserve"> INDEX( tblFilterRegion[Include for region],  MATCH( tblFilterAll[[#This Row],[Code]], tblFilterRegion[RP_Code], 0 ) )</f>
        <v>1</v>
      </c>
      <c r="AM961" s="24">
        <f xml:space="preserve"> INDEX( tblFilterPropType[Incl for prop type],  MATCH( tblFilterAll[[#This Row],[Code]], tblFilterPropType[RP_Code], 0 ) )</f>
        <v>1</v>
      </c>
      <c r="AN961" s="24">
        <f xml:space="preserve"> INDEX( tblFilterSize[Incl for size],  MATCH( tblFilterAll[[#This Row],[Code]], tblFilterSize[RP_Code], 0 ) )</f>
        <v>1</v>
      </c>
      <c r="AO961" s="24">
        <f xml:space="preserve"> INDEX( tblFilterRP_Type[Incl, for RP Type],  MATCH( tblFilterAll[[#This Row],[Code]], tblFilterRP_Type[RP_Code], 0 ) )</f>
        <v>1</v>
      </c>
      <c r="AP961" s="24">
        <f xml:space="preserve">  -- ( SUM( tblFilterAll[[#This Row],[Filter Region]:[Filter RP Type]] ) = 4 )</f>
        <v>1</v>
      </c>
      <c r="AQ961" s="24">
        <f xml:space="preserve"> -- ( tblFilterAll[[#This Row],[Provider name]] = SelectedProvider )</f>
        <v>0</v>
      </c>
      <c r="AR961" s="24">
        <f xml:space="preserve">  -- ( OR( SUM( tblFilterAll[[#This Row],[Filter Region]:[Filter RP Type]] ) = 4, tblFilterAll[[#This Row],[SelectedProvider]] = 1 ) )</f>
        <v>1</v>
      </c>
      <c r="AS961" s="24">
        <f xml:space="preserve"> -- ( INDEX( PeersCritera[Included in final peers], MATCH( tblFilterAll[[#This Row],[Provider name]], PeersCritera[RP_Name], 0 ) ) = 1 )</f>
        <v>1</v>
      </c>
      <c r="AT961" s="30" t="str" cm="1">
        <f t="array" ref="AT961" xml:space="preserve"> SUBSTITUTE( INDEX( VfM_Metrics_2023_Consol_Source[], $AK961, AT$832 ), 0, "" )</f>
        <v/>
      </c>
      <c r="AU961" s="34" cm="1">
        <f t="array" ref="AU961" xml:space="preserve"> INDEX( VfM_Metrics_2023_Consol_Source[], $AK961, AU$832 )</f>
        <v>0</v>
      </c>
      <c r="AV961" s="34" cm="1">
        <f t="array" ref="AV961" xml:space="preserve"> INDEX( VfM_Metrics_2023_Consol_Source[], $AK961, AV$832 )</f>
        <v>7.3705308075257001E-3</v>
      </c>
      <c r="AW961" s="34" cm="1">
        <f t="array" ref="AW961" xml:space="preserve"> INDEX( VfM_Metrics_2023_Consol_Source[], $AK961, AW$832 )</f>
        <v>7.8015560009482557E-3</v>
      </c>
      <c r="AX961" s="34" cm="1">
        <f t="array" ref="AX961" xml:space="preserve"> INDEX( VfM_Metrics_2023_Consol_Source[], $AK961, AX$832 )</f>
        <v>0.44445162819766815</v>
      </c>
      <c r="AY961" s="34" cm="1">
        <f t="array" ref="AY961" xml:space="preserve"> INDEX( VfM_Metrics_2023_Consol_Source[], $AK961, AY$832 )</f>
        <v>0.53927717075063042</v>
      </c>
      <c r="AZ961" s="34" cm="1">
        <f t="array" ref="AZ961" xml:space="preserve"> INDEX( VfM_Metrics_2023_Consol_Source[], $AK961, AZ$832 )</f>
        <v>8.6205038684511112E-4</v>
      </c>
      <c r="BA961" s="34" cm="1">
        <f t="array" ref="BA961" xml:space="preserve"> INDEX( VfM_Metrics_2023_Consol_Source[], $AK961, BA$832 )</f>
        <v>0</v>
      </c>
      <c r="BB961" s="34" cm="1">
        <f t="array" ref="BB961" xml:space="preserve"> INDEX( VfM_Metrics_2023_Consol_Source[], $AK961, BB$832 )</f>
        <v>2.3706385638240556E-4</v>
      </c>
      <c r="BC961" s="34" cm="1">
        <f t="array" ref="BC961" xml:space="preserve"> INDEX( VfM_Metrics_2023_Consol_Source[], $AK961, BC$832 )</f>
        <v>0</v>
      </c>
    </row>
    <row r="962" spans="2:55" x14ac:dyDescent="0.2">
      <c r="B962" s="122" t="str" vm="129">
        <f t="shared" ref="B962" si="466" xml:space="preserve"> B752</f>
        <v>Plus Dane Housing Limited</v>
      </c>
      <c r="C962" s="122" t="str" vm="274">
        <f t="shared" ref="C962:C993" si="467" xml:space="preserve"> C752</f>
        <v>L4556</v>
      </c>
      <c r="D962" s="30" cm="1">
        <f t="array" ref="D962" xml:space="preserve"> INDEX( VfM_Metrics_2023_Consol_Source[], $AK962, D$832 )</f>
        <v>6.4566446574194983E-2</v>
      </c>
      <c r="E962" s="35">
        <f xml:space="preserve"> IF( tblFilterAll[[#This Row],[Reinvestment]] &lt; D$825, 4, IF( tblFilterAll[[#This Row],[Reinvestment]] &lt; D$826, 3, IF( tblFilterAll[[#This Row],[Reinvestment]] &lt; D$827, 2, 1 ) ) )</f>
        <v>3</v>
      </c>
      <c r="F962" s="35">
        <f xml:space="preserve"> COUNTIFS( tblFilterAll[Include in output], 1, tblFilterAll[Reinvestment], "&gt;" &amp; tblFilterAll[[#This Row],[Reinvestment]] ) + 1</f>
        <v>108</v>
      </c>
      <c r="G962" s="30" cm="1">
        <f t="array" ref="G962" xml:space="preserve"> INDEX( VfM_Metrics_2023_Consol_Source[], $AK962, G$832 )</f>
        <v>1.0665685913938948E-2</v>
      </c>
      <c r="H962" s="35">
        <f xml:space="preserve"> IF( tblFilterAll[[#This Row],[New Supply (Social)]] &lt; G$825, 4, IF( tblFilterAll[[#This Row],[New Supply (Social)]] &lt; G$826, 3, IF( tblFilterAll[[#This Row],[New Supply (Social)]] &lt; G$827, 2, 1 ) ) )</f>
        <v>3</v>
      </c>
      <c r="I962" s="35">
        <f xml:space="preserve"> COUNTIFS( tblFilterAll[Include in output], 1, tblFilterAll[New Supply (Social)], "&gt;" &amp; tblFilterAll[[#This Row],[New Supply (Social)]] ) + 1</f>
        <v>119</v>
      </c>
      <c r="J962" s="31" cm="1">
        <f t="array" ref="J962" xml:space="preserve"> INDEX( VfM_Metrics_2023_Consol_Source[], $AK962, J$832 )</f>
        <v>0</v>
      </c>
      <c r="K962" s="35">
        <f xml:space="preserve"> IF( tblFilterAll[[#This Row],[New Supply (Non-Social)]] &lt; J$825, 4, IF( tblFilterAll[[#This Row],[New Supply (Non-Social)]] &lt; J$826, 3, IF( tblFilterAll[[#This Row],[New Supply (Non-Social)]] &lt; J$827, 2, 1 ) ) )</f>
        <v>2</v>
      </c>
      <c r="L962" s="35">
        <f xml:space="preserve"> COUNTIFS( tblFilterAll[Include in output], 1, tblFilterAll[New Supply (Non-Social)], "&gt;" &amp; tblFilterAll[[#This Row],[New Supply (Non-Social)]] ) + 1</f>
        <v>72</v>
      </c>
      <c r="M962" s="30" cm="1">
        <f t="array" ref="M962" xml:space="preserve"> INDEX( VfM_Metrics_2023_Consol_Source[], $AK962, M$832 )</f>
        <v>0.50340147576929706</v>
      </c>
      <c r="N962" s="35">
        <f xml:space="preserve"> IF( tblFilterAll[[#This Row],[Gearing]] &lt; M$825, 4, IF( tblFilterAll[[#This Row],[Gearing]] &lt; M$826, 3, IF( tblFilterAll[[#This Row],[Gearing]] &lt; M$827, 2, 1 ) ) )</f>
        <v>2</v>
      </c>
      <c r="O962" s="35">
        <f xml:space="preserve"> COUNTIFS( tblFilterAll[Include in output], 1, tblFilterAll[Gearing], "&gt;" &amp; tblFilterAll[[#This Row],[Gearing]] ) + 1</f>
        <v>69</v>
      </c>
      <c r="P962" s="30" cm="1">
        <f t="array" ref="P962" xml:space="preserve"> INDEX( VfM_Metrics_2023_Consol_Source[], $AK962, P$832 )</f>
        <v>0.42851935554421522</v>
      </c>
      <c r="Q962" s="35">
        <f xml:space="preserve"> IF( tblFilterAll[[#This Row],[EBITDA MRI Interest Cover]] &lt; P$825, 4, IF( tblFilterAll[[#This Row],[EBITDA MRI Interest Cover]] &lt; P$826, 3, IF( tblFilterAll[[#This Row],[EBITDA MRI Interest Cover]] &lt; P$827, 2, 1 ) ) )</f>
        <v>4</v>
      </c>
      <c r="R962" s="35">
        <f xml:space="preserve"> COUNTIFS( tblFilterAll[Include in output], 1, tblFilterAll[EBITDA MRI Interest Cover], "&gt;" &amp; tblFilterAll[[#This Row],[EBITDA MRI Interest Cover]] ) + 1</f>
        <v>171</v>
      </c>
      <c r="S962" s="32" cm="1">
        <f t="array" ref="S962" xml:space="preserve"> INDEX( VfM_Metrics_2023_Consol_Source[], $AK962, S$832 )</f>
        <v>5049.2699363534257</v>
      </c>
      <c r="T962" s="35">
        <f xml:space="preserve"> IF( tblFilterAll[[#This Row],[Headline Social Housing Cost per unit]] &lt; S$825, 4, IF( tblFilterAll[[#This Row],[Headline Social Housing Cost per unit]] &lt; S$826, 3, IF( tblFilterAll[[#This Row],[Headline Social Housing Cost per unit]] &lt; S$827, 2, 1 ) ) )</f>
        <v>2</v>
      </c>
      <c r="U962" s="35">
        <f xml:space="preserve"> COUNTIFS( tblFilterAll[Include in output], 1, tblFilterAll[Headline Social Housing Cost per unit], "&gt;" &amp; tblFilterAll[[#This Row],[Headline Social Housing Cost per unit]] ) + 1</f>
        <v>75</v>
      </c>
      <c r="V962" s="30" cm="1">
        <f t="array" ref="V962" xml:space="preserve"> INDEX( VfM_Metrics_2023_Consol_Source[], $AK962, V$832 )</f>
        <v>0.18190194856229167</v>
      </c>
      <c r="W962" s="35">
        <f xml:space="preserve"> IF( tblFilterAll[[#This Row],[Operating Margin (SHL)]] &lt; V$825, 4, IF( tblFilterAll[[#This Row],[Operating Margin (SHL)]] &lt; V$826, 3, IF( tblFilterAll[[#This Row],[Operating Margin (SHL)]] &lt; V$827, 2, 1 ) ) )</f>
        <v>3</v>
      </c>
      <c r="X962" s="35">
        <f xml:space="preserve"> COUNTIFS( tblFilterAll[Include in output], 1, tblFilterAll[Operating Margin (SHL)], "&gt;" &amp; tblFilterAll[[#This Row],[Operating Margin (SHL)]] ) + 1</f>
        <v>120</v>
      </c>
      <c r="Y962" s="30" cm="1">
        <f t="array" ref="Y962" xml:space="preserve"> INDEX( VfM_Metrics_2023_Consol_Source[], $AK962, Y$832 )</f>
        <v>8.178737172750139E-2</v>
      </c>
      <c r="Z962" s="35">
        <f xml:space="preserve"> IF( tblFilterAll[[#This Row],[Operating Margin (Overall)]] &lt; Y$825, 4, IF( tblFilterAll[[#This Row],[Operating Margin (Overall)]] &lt; Y$826, 3, IF( tblFilterAll[[#This Row],[Operating Margin (Overall)]] &lt; Y$827, 2, 1 ) ) )</f>
        <v>4</v>
      </c>
      <c r="AA962" s="35">
        <f xml:space="preserve"> COUNTIFS( tblFilterAll[Include in output], 1, tblFilterAll[Operating Margin (Overall)], "&gt;" &amp; tblFilterAll[[#This Row],[Operating Margin (Overall)]] ) + 1</f>
        <v>170</v>
      </c>
      <c r="AB962" s="30" cm="1">
        <f t="array" ref="AB962" xml:space="preserve"> INDEX( VfM_Metrics_2023_Consol_Source[], $AK962, AB$832 )</f>
        <v>1.2522917024839238E-2</v>
      </c>
      <c r="AC962" s="35">
        <f xml:space="preserve"> IF( tblFilterAll[[#This Row],[ROCE]] &lt; AB$825, 4, IF( tblFilterAll[[#This Row],[ROCE]] &lt; AB$826, 3, IF( tblFilterAll[[#This Row],[ROCE]] &lt; AB$827, 2, 1 ) ) )</f>
        <v>4</v>
      </c>
      <c r="AD962" s="35">
        <f xml:space="preserve"> COUNTIFS( tblFilterAll[Include in output], 1, tblFilterAll[ROCE], "&gt;" &amp; tblFilterAll[[#This Row],[ROCE]] ) + 1</f>
        <v>184</v>
      </c>
      <c r="AE962" s="33" cm="1" vm="8103">
        <f t="array" ref="AE962" xml:space="preserve"> INDEX( VfM_Metrics_2023_Consol_Source[], $AK962, AE$832 )</f>
        <v>13355</v>
      </c>
      <c r="AF962" s="30" cm="1">
        <f t="array" ref="AF962" xml:space="preserve"> INDEX( VfM_Metrics_2023_Consol_Source[], $AK962, AF$832 )</f>
        <v>1.9192537085181219E-2</v>
      </c>
      <c r="AG962" s="30" cm="1">
        <f t="array" ref="AG962" xml:space="preserve"> INDEX( VfM_Metrics_2023_Consol_Source[], $AK962, AG$832 )</f>
        <v>2.8750573482183819E-2</v>
      </c>
      <c r="AH962" s="30" cm="1">
        <f t="array" ref="AH962" xml:space="preserve"> INDEX( VfM_Metrics_2023_Consol_Source[], $AK962, AH$832 )</f>
        <v>4.7943110567365041E-2</v>
      </c>
      <c r="AI962" s="30" t="str" cm="1">
        <f t="array" ref="AI962" xml:space="preserve"> INDEX( VfM_Metrics_2023_Consol_Source[], $AK962, AI$832 )</f>
        <v>Traditional</v>
      </c>
      <c r="AJ962" s="34" t="str" cm="1">
        <f t="array" ref="AJ962" xml:space="preserve"> INDEX( VfM_Metrics_2023_Consol_Source[], $AK962, AJ$832 )</f>
        <v>North West</v>
      </c>
      <c r="AK962" s="81">
        <f xml:space="preserve"> MATCH( tblFilterAll[[#This Row],[Code]], VfM_Metrics_2023_Consol_Source[RP_Code], 0 )</f>
        <v>129</v>
      </c>
      <c r="AL962" s="24">
        <f xml:space="preserve"> INDEX( tblFilterRegion[Include for region],  MATCH( tblFilterAll[[#This Row],[Code]], tblFilterRegion[RP_Code], 0 ) )</f>
        <v>1</v>
      </c>
      <c r="AM962" s="24">
        <f xml:space="preserve"> INDEX( tblFilterPropType[Incl for prop type],  MATCH( tblFilterAll[[#This Row],[Code]], tblFilterPropType[RP_Code], 0 ) )</f>
        <v>1</v>
      </c>
      <c r="AN962" s="24">
        <f xml:space="preserve"> INDEX( tblFilterSize[Incl for size],  MATCH( tblFilterAll[[#This Row],[Code]], tblFilterSize[RP_Code], 0 ) )</f>
        <v>1</v>
      </c>
      <c r="AO962" s="24">
        <f xml:space="preserve"> INDEX( tblFilterRP_Type[Incl, for RP Type],  MATCH( tblFilterAll[[#This Row],[Code]], tblFilterRP_Type[RP_Code], 0 ) )</f>
        <v>1</v>
      </c>
      <c r="AP962" s="24">
        <f xml:space="preserve">  -- ( SUM( tblFilterAll[[#This Row],[Filter Region]:[Filter RP Type]] ) = 4 )</f>
        <v>1</v>
      </c>
      <c r="AQ962" s="24">
        <f xml:space="preserve"> -- ( tblFilterAll[[#This Row],[Provider name]] = SelectedProvider )</f>
        <v>0</v>
      </c>
      <c r="AR962" s="24">
        <f xml:space="preserve">  -- ( OR( SUM( tblFilterAll[[#This Row],[Filter Region]:[Filter RP Type]] ) = 4, tblFilterAll[[#This Row],[SelectedProvider]] = 1 ) )</f>
        <v>1</v>
      </c>
      <c r="AS962" s="24">
        <f xml:space="preserve"> -- ( INDEX( PeersCritera[Included in final peers], MATCH( tblFilterAll[[#This Row],[Provider name]], PeersCritera[RP_Name], 0 ) ) = 1 )</f>
        <v>1</v>
      </c>
      <c r="AT962" s="30" t="str" cm="1">
        <f t="array" ref="AT962" xml:space="preserve"> SUBSTITUTE( INDEX( VfM_Metrics_2023_Consol_Source[], $AK962, AT$832 ), 0, "" )</f>
        <v/>
      </c>
      <c r="AU962" s="34" cm="1">
        <f t="array" ref="AU962" xml:space="preserve"> INDEX( VfM_Metrics_2023_Consol_Source[], $AK962, AU$832 )</f>
        <v>0</v>
      </c>
      <c r="AV962" s="34" cm="1">
        <f t="array" ref="AV962" xml:space="preserve"> INDEX( VfM_Metrics_2023_Consol_Source[], $AK962, AV$832 )</f>
        <v>0</v>
      </c>
      <c r="AW962" s="34" cm="1">
        <f t="array" ref="AW962" xml:space="preserve"> INDEX( VfM_Metrics_2023_Consol_Source[], $AK962, AW$832 )</f>
        <v>0</v>
      </c>
      <c r="AX962" s="34" cm="1">
        <f t="array" ref="AX962" xml:space="preserve"> INDEX( VfM_Metrics_2023_Consol_Source[], $AK962, AX$832 )</f>
        <v>0</v>
      </c>
      <c r="AY962" s="34" cm="1">
        <f t="array" ref="AY962" xml:space="preserve"> INDEX( VfM_Metrics_2023_Consol_Source[], $AK962, AY$832 )</f>
        <v>1.4487228364468167E-3</v>
      </c>
      <c r="AZ962" s="34" cm="1">
        <f t="array" ref="AZ962" xml:space="preserve"> INDEX( VfM_Metrics_2023_Consol_Source[], $AK962, AZ$832 )</f>
        <v>0</v>
      </c>
      <c r="BA962" s="34" cm="1">
        <f t="array" ref="BA962" xml:space="preserve"> INDEX( VfM_Metrics_2023_Consol_Source[], $AK962, BA$832 )</f>
        <v>0</v>
      </c>
      <c r="BB962" s="34" cm="1">
        <f t="array" ref="BB962" xml:space="preserve"> INDEX( VfM_Metrics_2023_Consol_Source[], $AK962, BB$832 )</f>
        <v>0.99855127716355319</v>
      </c>
      <c r="BC962" s="34" cm="1">
        <f t="array" ref="BC962" xml:space="preserve"> INDEX( VfM_Metrics_2023_Consol_Source[], $AK962, BC$832 )</f>
        <v>0</v>
      </c>
    </row>
    <row r="963" spans="2:55" x14ac:dyDescent="0.2">
      <c r="B963" s="122" t="str" vm="130">
        <f t="shared" ref="B963" si="468" xml:space="preserve"> B753</f>
        <v>Plymouth Community Homes Limited</v>
      </c>
      <c r="C963" s="122" t="str" vm="286">
        <f t="shared" si="467"/>
        <v>L4543</v>
      </c>
      <c r="D963" s="30" cm="1">
        <f t="array" ref="D963" xml:space="preserve"> INDEX( VfM_Metrics_2023_Consol_Source[], $AK963, D$832 )</f>
        <v>3.3182202998072952E-2</v>
      </c>
      <c r="E963" s="35">
        <f xml:space="preserve"> IF( tblFilterAll[[#This Row],[Reinvestment]] &lt; D$825, 4, IF( tblFilterAll[[#This Row],[Reinvestment]] &lt; D$826, 3, IF( tblFilterAll[[#This Row],[Reinvestment]] &lt; D$827, 2, 1 ) ) )</f>
        <v>4</v>
      </c>
      <c r="F963" s="35">
        <f xml:space="preserve"> COUNTIFS( tblFilterAll[Include in output], 1, tblFilterAll[Reinvestment], "&gt;" &amp; tblFilterAll[[#This Row],[Reinvestment]] ) + 1</f>
        <v>164</v>
      </c>
      <c r="G963" s="30" cm="1">
        <f t="array" ref="G963" xml:space="preserve"> INDEX( VfM_Metrics_2023_Consol_Source[], $AK963, G$832 )</f>
        <v>7.5302245250431776E-3</v>
      </c>
      <c r="H963" s="35">
        <f xml:space="preserve"> IF( tblFilterAll[[#This Row],[New Supply (Social)]] &lt; G$825, 4, IF( tblFilterAll[[#This Row],[New Supply (Social)]] &lt; G$826, 3, IF( tblFilterAll[[#This Row],[New Supply (Social)]] &lt; G$827, 2, 1 ) ) )</f>
        <v>3</v>
      </c>
      <c r="I963" s="35">
        <f xml:space="preserve"> COUNTIFS( tblFilterAll[Include in output], 1, tblFilterAll[New Supply (Social)], "&gt;" &amp; tblFilterAll[[#This Row],[New Supply (Social)]] ) + 1</f>
        <v>140</v>
      </c>
      <c r="J963" s="31" cm="1">
        <f t="array" ref="J963" xml:space="preserve"> INDEX( VfM_Metrics_2023_Consol_Source[], $AK963, J$832 )</f>
        <v>7.4165636588380713E-4</v>
      </c>
      <c r="K963" s="35">
        <f xml:space="preserve"> IF( tblFilterAll[[#This Row],[New Supply (Non-Social)]] &lt; J$825, 4, IF( tblFilterAll[[#This Row],[New Supply (Non-Social)]] &lt; J$826, 3, IF( tblFilterAll[[#This Row],[New Supply (Non-Social)]] &lt; J$827, 2, 1 ) ) )</f>
        <v>2</v>
      </c>
      <c r="L963" s="35">
        <f xml:space="preserve"> COUNTIFS( tblFilterAll[Include in output], 1, tblFilterAll[New Supply (Non-Social)], "&gt;" &amp; tblFilterAll[[#This Row],[New Supply (Non-Social)]] ) + 1</f>
        <v>51</v>
      </c>
      <c r="M963" s="30" cm="1">
        <f t="array" ref="M963" xml:space="preserve"> INDEX( VfM_Metrics_2023_Consol_Source[], $AK963, M$832 )</f>
        <v>0.16927020544903112</v>
      </c>
      <c r="N963" s="35">
        <f xml:space="preserve"> IF( tblFilterAll[[#This Row],[Gearing]] &lt; M$825, 4, IF( tblFilterAll[[#This Row],[Gearing]] &lt; M$826, 3, IF( tblFilterAll[[#This Row],[Gearing]] &lt; M$827, 2, 1 ) ) )</f>
        <v>4</v>
      </c>
      <c r="O963" s="35">
        <f xml:space="preserve"> COUNTIFS( tblFilterAll[Include in output], 1, tblFilterAll[Gearing], "&gt;" &amp; tblFilterAll[[#This Row],[Gearing]] ) + 1</f>
        <v>180</v>
      </c>
      <c r="P963" s="30" cm="1">
        <f t="array" ref="P963" xml:space="preserve"> INDEX( VfM_Metrics_2023_Consol_Source[], $AK963, P$832 )</f>
        <v>2.243314424635332</v>
      </c>
      <c r="Q963" s="35">
        <f xml:space="preserve"> IF( tblFilterAll[[#This Row],[EBITDA MRI Interest Cover]] &lt; P$825, 4, IF( tblFilterAll[[#This Row],[EBITDA MRI Interest Cover]] &lt; P$826, 3, IF( tblFilterAll[[#This Row],[EBITDA MRI Interest Cover]] &lt; P$827, 2, 1 ) ) )</f>
        <v>1</v>
      </c>
      <c r="R963" s="35">
        <f xml:space="preserve"> COUNTIFS( tblFilterAll[Include in output], 1, tblFilterAll[EBITDA MRI Interest Cover], "&gt;" &amp; tblFilterAll[[#This Row],[EBITDA MRI Interest Cover]] ) + 1</f>
        <v>21</v>
      </c>
      <c r="S963" s="32" cm="1">
        <f t="array" ref="S963" xml:space="preserve"> INDEX( VfM_Metrics_2023_Consol_Source[], $AK963, S$832 )</f>
        <v>4309.6373056994817</v>
      </c>
      <c r="T963" s="35">
        <f xml:space="preserve"> IF( tblFilterAll[[#This Row],[Headline Social Housing Cost per unit]] &lt; S$825, 4, IF( tblFilterAll[[#This Row],[Headline Social Housing Cost per unit]] &lt; S$826, 3, IF( tblFilterAll[[#This Row],[Headline Social Housing Cost per unit]] &lt; S$827, 2, 1 ) ) )</f>
        <v>3</v>
      </c>
      <c r="U963" s="35">
        <f xml:space="preserve"> COUNTIFS( tblFilterAll[Include in output], 1, tblFilterAll[Headline Social Housing Cost per unit], "&gt;" &amp; tblFilterAll[[#This Row],[Headline Social Housing Cost per unit]] ) + 1</f>
        <v>127</v>
      </c>
      <c r="V963" s="30" cm="1">
        <f t="array" ref="V963" xml:space="preserve"> INDEX( VfM_Metrics_2023_Consol_Source[], $AK963, V$832 )</f>
        <v>4.2896555815954196E-2</v>
      </c>
      <c r="W963" s="35">
        <f xml:space="preserve"> IF( tblFilterAll[[#This Row],[Operating Margin (SHL)]] &lt; V$825, 4, IF( tblFilterAll[[#This Row],[Operating Margin (SHL)]] &lt; V$826, 3, IF( tblFilterAll[[#This Row],[Operating Margin (SHL)]] &lt; V$827, 2, 1 ) ) )</f>
        <v>4</v>
      </c>
      <c r="X963" s="35">
        <f xml:space="preserve"> COUNTIFS( tblFilterAll[Include in output], 1, tblFilterAll[Operating Margin (SHL)], "&gt;" &amp; tblFilterAll[[#This Row],[Operating Margin (SHL)]] ) + 1</f>
        <v>188</v>
      </c>
      <c r="Y963" s="30" cm="1">
        <f t="array" ref="Y963" xml:space="preserve"> INDEX( VfM_Metrics_2023_Consol_Source[], $AK963, Y$832 )</f>
        <v>6.5337478482053388E-2</v>
      </c>
      <c r="Z963" s="35">
        <f xml:space="preserve"> IF( tblFilterAll[[#This Row],[Operating Margin (Overall)]] &lt; Y$825, 4, IF( tblFilterAll[[#This Row],[Operating Margin (Overall)]] &lt; Y$826, 3, IF( tblFilterAll[[#This Row],[Operating Margin (Overall)]] &lt; Y$827, 2, 1 ) ) )</f>
        <v>4</v>
      </c>
      <c r="AA963" s="35">
        <f xml:space="preserve"> COUNTIFS( tblFilterAll[Include in output], 1, tblFilterAll[Operating Margin (Overall)], "&gt;" &amp; tblFilterAll[[#This Row],[Operating Margin (Overall)]] ) + 1</f>
        <v>176</v>
      </c>
      <c r="AB963" s="30" cm="1">
        <f t="array" ref="AB963" xml:space="preserve"> INDEX( VfM_Metrics_2023_Consol_Source[], $AK963, AB$832 )</f>
        <v>9.5035486292740431E-3</v>
      </c>
      <c r="AC963" s="35">
        <f xml:space="preserve"> IF( tblFilterAll[[#This Row],[ROCE]] &lt; AB$825, 4, IF( tblFilterAll[[#This Row],[ROCE]] &lt; AB$826, 3, IF( tblFilterAll[[#This Row],[ROCE]] &lt; AB$827, 2, 1 ) ) )</f>
        <v>4</v>
      </c>
      <c r="AD963" s="35">
        <f xml:space="preserve"> COUNTIFS( tblFilterAll[Include in output], 1, tblFilterAll[ROCE], "&gt;" &amp; tblFilterAll[[#This Row],[ROCE]] ) + 1</f>
        <v>190</v>
      </c>
      <c r="AE963" s="33" cm="1" vm="2864">
        <f t="array" ref="AE963" xml:space="preserve"> INDEX( VfM_Metrics_2023_Consol_Source[], $AK963, AE$832 )</f>
        <v>14475</v>
      </c>
      <c r="AF963" s="30" cm="1">
        <f t="array" ref="AF963" xml:space="preserve"> INDEX( VfM_Metrics_2023_Consol_Source[], $AK963, AF$832 )</f>
        <v>9.2487548422800228E-2</v>
      </c>
      <c r="AG963" s="30" cm="1">
        <f t="array" ref="AG963" xml:space="preserve"> INDEX( VfM_Metrics_2023_Consol_Source[], $AK963, AG$832 )</f>
        <v>0</v>
      </c>
      <c r="AH963" s="30" cm="1">
        <f t="array" ref="AH963" xml:space="preserve"> INDEX( VfM_Metrics_2023_Consol_Source[], $AK963, AH$832 )</f>
        <v>9.2487548422800228E-2</v>
      </c>
      <c r="AI963" s="30" t="str" cm="1">
        <f t="array" ref="AI963" xml:space="preserve"> INDEX( VfM_Metrics_2023_Consol_Source[], $AK963, AI$832 )</f>
        <v>Traditional</v>
      </c>
      <c r="AJ963" s="34" t="str" cm="1">
        <f t="array" ref="AJ963" xml:space="preserve"> INDEX( VfM_Metrics_2023_Consol_Source[], $AK963, AJ$832 )</f>
        <v>South West</v>
      </c>
      <c r="AK963" s="81">
        <f xml:space="preserve"> MATCH( tblFilterAll[[#This Row],[Code]], VfM_Metrics_2023_Consol_Source[RP_Code], 0 )</f>
        <v>130</v>
      </c>
      <c r="AL963" s="24">
        <f xml:space="preserve"> INDEX( tblFilterRegion[Include for region],  MATCH( tblFilterAll[[#This Row],[Code]], tblFilterRegion[RP_Code], 0 ) )</f>
        <v>1</v>
      </c>
      <c r="AM963" s="24">
        <f xml:space="preserve"> INDEX( tblFilterPropType[Incl for prop type],  MATCH( tblFilterAll[[#This Row],[Code]], tblFilterPropType[RP_Code], 0 ) )</f>
        <v>1</v>
      </c>
      <c r="AN963" s="24">
        <f xml:space="preserve"> INDEX( tblFilterSize[Incl for size],  MATCH( tblFilterAll[[#This Row],[Code]], tblFilterSize[RP_Code], 0 ) )</f>
        <v>1</v>
      </c>
      <c r="AO963" s="24">
        <f xml:space="preserve"> INDEX( tblFilterRP_Type[Incl, for RP Type],  MATCH( tblFilterAll[[#This Row],[Code]], tblFilterRP_Type[RP_Code], 0 ) )</f>
        <v>1</v>
      </c>
      <c r="AP963" s="24">
        <f xml:space="preserve">  -- ( SUM( tblFilterAll[[#This Row],[Filter Region]:[Filter RP Type]] ) = 4 )</f>
        <v>1</v>
      </c>
      <c r="AQ963" s="24">
        <f xml:space="preserve"> -- ( tblFilterAll[[#This Row],[Provider name]] = SelectedProvider )</f>
        <v>0</v>
      </c>
      <c r="AR963" s="24">
        <f xml:space="preserve">  -- ( OR( SUM( tblFilterAll[[#This Row],[Filter Region]:[Filter RP Type]] ) = 4, tblFilterAll[[#This Row],[SelectedProvider]] = 1 ) )</f>
        <v>1</v>
      </c>
      <c r="AS963" s="24">
        <f xml:space="preserve"> -- ( INDEX( PeersCritera[Included in final peers], MATCH( tblFilterAll[[#This Row],[Provider name]], PeersCritera[RP_Name], 0 ) ) = 1 )</f>
        <v>1</v>
      </c>
      <c r="AT963" s="30" t="str" cm="1">
        <f t="array" ref="AT963" xml:space="preserve"> SUBSTITUTE( INDEX( VfM_Metrics_2023_Consol_Source[], $AK963, AT$832 ), 0, "" )</f>
        <v>&gt;= 12 years</v>
      </c>
      <c r="AU963" s="34" cm="1">
        <f t="array" ref="AU963" xml:space="preserve"> INDEX( VfM_Metrics_2023_Consol_Source[], $AK963, AU$832 )</f>
        <v>0</v>
      </c>
      <c r="AV963" s="34" cm="1">
        <f t="array" ref="AV963" xml:space="preserve"> INDEX( VfM_Metrics_2023_Consol_Source[], $AK963, AV$832 )</f>
        <v>0</v>
      </c>
      <c r="AW963" s="34" cm="1">
        <f t="array" ref="AW963" xml:space="preserve"> INDEX( VfM_Metrics_2023_Consol_Source[], $AK963, AW$832 )</f>
        <v>1</v>
      </c>
      <c r="AX963" s="34" cm="1">
        <f t="array" ref="AX963" xml:space="preserve"> INDEX( VfM_Metrics_2023_Consol_Source[], $AK963, AX$832 )</f>
        <v>0</v>
      </c>
      <c r="AY963" s="34" cm="1">
        <f t="array" ref="AY963" xml:space="preserve"> INDEX( VfM_Metrics_2023_Consol_Source[], $AK963, AY$832 )</f>
        <v>0</v>
      </c>
      <c r="AZ963" s="34" cm="1">
        <f t="array" ref="AZ963" xml:space="preserve"> INDEX( VfM_Metrics_2023_Consol_Source[], $AK963, AZ$832 )</f>
        <v>0</v>
      </c>
      <c r="BA963" s="34" cm="1">
        <f t="array" ref="BA963" xml:space="preserve"> INDEX( VfM_Metrics_2023_Consol_Source[], $AK963, BA$832 )</f>
        <v>0</v>
      </c>
      <c r="BB963" s="34" cm="1">
        <f t="array" ref="BB963" xml:space="preserve"> INDEX( VfM_Metrics_2023_Consol_Source[], $AK963, BB$832 )</f>
        <v>0</v>
      </c>
      <c r="BC963" s="34" cm="1">
        <f t="array" ref="BC963" xml:space="preserve"> INDEX( VfM_Metrics_2023_Consol_Source[], $AK963, BC$832 )</f>
        <v>0</v>
      </c>
    </row>
    <row r="964" spans="2:55" x14ac:dyDescent="0.2">
      <c r="B964" s="122" t="str" vm="131">
        <f t="shared" ref="B964" si="469" xml:space="preserve"> B754</f>
        <v>Poplar Housing And Regeneration Community Association Limited</v>
      </c>
      <c r="C964" s="122" t="str" vm="350">
        <f t="shared" si="467"/>
        <v>L4170</v>
      </c>
      <c r="D964" s="30" cm="1">
        <f t="array" ref="D964" xml:space="preserve"> INDEX( VfM_Metrics_2023_Consol_Source[], $AK964, D$832 )</f>
        <v>5.4476524103917352E-2</v>
      </c>
      <c r="E964" s="35">
        <f xml:space="preserve"> IF( tblFilterAll[[#This Row],[Reinvestment]] &lt; D$825, 4, IF( tblFilterAll[[#This Row],[Reinvestment]] &lt; D$826, 3, IF( tblFilterAll[[#This Row],[Reinvestment]] &lt; D$827, 2, 1 ) ) )</f>
        <v>3</v>
      </c>
      <c r="F964" s="35">
        <f xml:space="preserve"> COUNTIFS( tblFilterAll[Include in output], 1, tblFilterAll[Reinvestment], "&gt;" &amp; tblFilterAll[[#This Row],[Reinvestment]] ) + 1</f>
        <v>137</v>
      </c>
      <c r="G964" s="30" cm="1">
        <f t="array" ref="G964" xml:space="preserve"> INDEX( VfM_Metrics_2023_Consol_Source[], $AK964, G$832 )</f>
        <v>5.6412185031966908E-3</v>
      </c>
      <c r="H964" s="35">
        <f xml:space="preserve"> IF( tblFilterAll[[#This Row],[New Supply (Social)]] &lt; G$825, 4, IF( tblFilterAll[[#This Row],[New Supply (Social)]] &lt; G$826, 3, IF( tblFilterAll[[#This Row],[New Supply (Social)]] &lt; G$827, 2, 1 ) ) )</f>
        <v>4</v>
      </c>
      <c r="I964" s="35">
        <f xml:space="preserve"> COUNTIFS( tblFilterAll[Include in output], 1, tblFilterAll[New Supply (Social)], "&gt;" &amp; tblFilterAll[[#This Row],[New Supply (Social)]] ) + 1</f>
        <v>153</v>
      </c>
      <c r="J964" s="31" cm="1">
        <f t="array" ref="J964" xml:space="preserve"> INDEX( VfM_Metrics_2023_Consol_Source[], $AK964, J$832 )</f>
        <v>1.0828531690840453E-2</v>
      </c>
      <c r="K964" s="35">
        <f xml:space="preserve"> IF( tblFilterAll[[#This Row],[New Supply (Non-Social)]] &lt; J$825, 4, IF( tblFilterAll[[#This Row],[New Supply (Non-Social)]] &lt; J$826, 3, IF( tblFilterAll[[#This Row],[New Supply (Non-Social)]] &lt; J$827, 2, 1 ) ) )</f>
        <v>1</v>
      </c>
      <c r="L964" s="35">
        <f xml:space="preserve"> COUNTIFS( tblFilterAll[Include in output], 1, tblFilterAll[New Supply (Non-Social)], "&gt;" &amp; tblFilterAll[[#This Row],[New Supply (Non-Social)]] ) + 1</f>
        <v>5</v>
      </c>
      <c r="M964" s="30" cm="1">
        <f t="array" ref="M964" xml:space="preserve"> INDEX( VfM_Metrics_2023_Consol_Source[], $AK964, M$832 )</f>
        <v>0.58241578849319064</v>
      </c>
      <c r="N964" s="35">
        <f xml:space="preserve"> IF( tblFilterAll[[#This Row],[Gearing]] &lt; M$825, 4, IF( tblFilterAll[[#This Row],[Gearing]] &lt; M$826, 3, IF( tblFilterAll[[#This Row],[Gearing]] &lt; M$827, 2, 1 ) ) )</f>
        <v>1</v>
      </c>
      <c r="O964" s="35">
        <f xml:space="preserve"> COUNTIFS( tblFilterAll[Include in output], 1, tblFilterAll[Gearing], "&gt;" &amp; tblFilterAll[[#This Row],[Gearing]] ) + 1</f>
        <v>28</v>
      </c>
      <c r="P964" s="30" cm="1">
        <f t="array" ref="P964" xml:space="preserve"> INDEX( VfM_Metrics_2023_Consol_Source[], $AK964, P$832 )</f>
        <v>1.4961629881154499</v>
      </c>
      <c r="Q964" s="35">
        <f xml:space="preserve"> IF( tblFilterAll[[#This Row],[EBITDA MRI Interest Cover]] &lt; P$825, 4, IF( tblFilterAll[[#This Row],[EBITDA MRI Interest Cover]] &lt; P$826, 3, IF( tblFilterAll[[#This Row],[EBITDA MRI Interest Cover]] &lt; P$827, 2, 1 ) ) )</f>
        <v>2</v>
      </c>
      <c r="R964" s="35">
        <f xml:space="preserve"> COUNTIFS( tblFilterAll[Include in output], 1, tblFilterAll[EBITDA MRI Interest Cover], "&gt;" &amp; tblFilterAll[[#This Row],[EBITDA MRI Interest Cover]] ) + 1</f>
        <v>64</v>
      </c>
      <c r="S964" s="32" cm="1">
        <f t="array" ref="S964" xml:space="preserve"> INDEX( VfM_Metrics_2023_Consol_Source[], $AK964, S$832 )</f>
        <v>6499.7285067873308</v>
      </c>
      <c r="T964" s="35">
        <f xml:space="preserve"> IF( tblFilterAll[[#This Row],[Headline Social Housing Cost per unit]] &lt; S$825, 4, IF( tblFilterAll[[#This Row],[Headline Social Housing Cost per unit]] &lt; S$826, 3, IF( tblFilterAll[[#This Row],[Headline Social Housing Cost per unit]] &lt; S$827, 2, 1 ) ) )</f>
        <v>1</v>
      </c>
      <c r="U964" s="35">
        <f xml:space="preserve"> COUNTIFS( tblFilterAll[Include in output], 1, tblFilterAll[Headline Social Housing Cost per unit], "&gt;" &amp; tblFilterAll[[#This Row],[Headline Social Housing Cost per unit]] ) + 1</f>
        <v>40</v>
      </c>
      <c r="V964" s="30" cm="1">
        <f t="array" ref="V964" xml:space="preserve"> INDEX( VfM_Metrics_2023_Consol_Source[], $AK964, V$832 )</f>
        <v>0.10764600409836066</v>
      </c>
      <c r="W964" s="35">
        <f xml:space="preserve"> IF( tblFilterAll[[#This Row],[Operating Margin (SHL)]] &lt; V$825, 4, IF( tblFilterAll[[#This Row],[Operating Margin (SHL)]] &lt; V$826, 3, IF( tblFilterAll[[#This Row],[Operating Margin (SHL)]] &lt; V$827, 2, 1 ) ) )</f>
        <v>4</v>
      </c>
      <c r="X964" s="35">
        <f xml:space="preserve"> COUNTIFS( tblFilterAll[Include in output], 1, tblFilterAll[Operating Margin (SHL)], "&gt;" &amp; tblFilterAll[[#This Row],[Operating Margin (SHL)]] ) + 1</f>
        <v>172</v>
      </c>
      <c r="Y964" s="30" cm="1">
        <f t="array" ref="Y964" xml:space="preserve"> INDEX( VfM_Metrics_2023_Consol_Source[], $AK964, Y$832 )</f>
        <v>0.18289348818292739</v>
      </c>
      <c r="Z964" s="35">
        <f xml:space="preserve"> IF( tblFilterAll[[#This Row],[Operating Margin (Overall)]] &lt; Y$825, 4, IF( tblFilterAll[[#This Row],[Operating Margin (Overall)]] &lt; Y$826, 3, IF( tblFilterAll[[#This Row],[Operating Margin (Overall)]] &lt; Y$827, 2, 1 ) ) )</f>
        <v>2</v>
      </c>
      <c r="AA964" s="35">
        <f xml:space="preserve"> COUNTIFS( tblFilterAll[Include in output], 1, tblFilterAll[Operating Margin (Overall)], "&gt;" &amp; tblFilterAll[[#This Row],[Operating Margin (Overall)]] ) + 1</f>
        <v>98</v>
      </c>
      <c r="AB964" s="30" cm="1">
        <f t="array" ref="AB964" xml:space="preserve"> INDEX( VfM_Metrics_2023_Consol_Source[], $AK964, AB$832 )</f>
        <v>3.1403187915611301E-2</v>
      </c>
      <c r="AC964" s="35">
        <f xml:space="preserve"> IF( tblFilterAll[[#This Row],[ROCE]] &lt; AB$825, 4, IF( tblFilterAll[[#This Row],[ROCE]] &lt; AB$826, 3, IF( tblFilterAll[[#This Row],[ROCE]] &lt; AB$827, 2, 1 ) ) )</f>
        <v>2</v>
      </c>
      <c r="AD964" s="35">
        <f xml:space="preserve"> COUNTIFS( tblFilterAll[Include in output], 1, tblFilterAll[ROCE], "&gt;" &amp; tblFilterAll[[#This Row],[ROCE]] ) + 1</f>
        <v>77</v>
      </c>
      <c r="AE964" s="33" cm="1" vm="7349">
        <f t="array" ref="AE964" xml:space="preserve"> INDEX( VfM_Metrics_2023_Consol_Source[], $AK964, AE$832 )</f>
        <v>5318</v>
      </c>
      <c r="AF964" s="30" cm="1">
        <f t="array" ref="AF964" xml:space="preserve"> INDEX( VfM_Metrics_2023_Consol_Source[], $AK964, AF$832 )</f>
        <v>0</v>
      </c>
      <c r="AG964" s="30" cm="1">
        <f t="array" ref="AG964" xml:space="preserve"> INDEX( VfM_Metrics_2023_Consol_Source[], $AK964, AG$832 )</f>
        <v>0</v>
      </c>
      <c r="AH964" s="30" cm="1">
        <f t="array" ref="AH964" xml:space="preserve"> INDEX( VfM_Metrics_2023_Consol_Source[], $AK964, AH$832 )</f>
        <v>0</v>
      </c>
      <c r="AI964" s="30" t="str" cm="1">
        <f t="array" ref="AI964" xml:space="preserve"> INDEX( VfM_Metrics_2023_Consol_Source[], $AK964, AI$832 )</f>
        <v>Traditional</v>
      </c>
      <c r="AJ964" s="34" t="str" cm="1">
        <f t="array" ref="AJ964" xml:space="preserve"> INDEX( VfM_Metrics_2023_Consol_Source[], $AK964, AJ$832 )</f>
        <v>London</v>
      </c>
      <c r="AK964" s="81">
        <f xml:space="preserve"> MATCH( tblFilterAll[[#This Row],[Code]], VfM_Metrics_2023_Consol_Source[RP_Code], 0 )</f>
        <v>131</v>
      </c>
      <c r="AL964" s="24">
        <f xml:space="preserve"> INDEX( tblFilterRegion[Include for region],  MATCH( tblFilterAll[[#This Row],[Code]], tblFilterRegion[RP_Code], 0 ) )</f>
        <v>1</v>
      </c>
      <c r="AM964" s="24">
        <f xml:space="preserve"> INDEX( tblFilterPropType[Incl for prop type],  MATCH( tblFilterAll[[#This Row],[Code]], tblFilterPropType[RP_Code], 0 ) )</f>
        <v>1</v>
      </c>
      <c r="AN964" s="24">
        <f xml:space="preserve"> INDEX( tblFilterSize[Incl for size],  MATCH( tblFilterAll[[#This Row],[Code]], tblFilterSize[RP_Code], 0 ) )</f>
        <v>1</v>
      </c>
      <c r="AO964" s="24">
        <f xml:space="preserve"> INDEX( tblFilterRP_Type[Incl, for RP Type],  MATCH( tblFilterAll[[#This Row],[Code]], tblFilterRP_Type[RP_Code], 0 ) )</f>
        <v>1</v>
      </c>
      <c r="AP964" s="24">
        <f xml:space="preserve">  -- ( SUM( tblFilterAll[[#This Row],[Filter Region]:[Filter RP Type]] ) = 4 )</f>
        <v>1</v>
      </c>
      <c r="AQ964" s="24">
        <f xml:space="preserve"> -- ( tblFilterAll[[#This Row],[Provider name]] = SelectedProvider )</f>
        <v>0</v>
      </c>
      <c r="AR964" s="24">
        <f xml:space="preserve">  -- ( OR( SUM( tblFilterAll[[#This Row],[Filter Region]:[Filter RP Type]] ) = 4, tblFilterAll[[#This Row],[SelectedProvider]] = 1 ) )</f>
        <v>1</v>
      </c>
      <c r="AS964" s="24">
        <f xml:space="preserve"> -- ( INDEX( PeersCritera[Included in final peers], MATCH( tblFilterAll[[#This Row],[Provider name]], PeersCritera[RP_Name], 0 ) ) = 1 )</f>
        <v>1</v>
      </c>
      <c r="AT964" s="30" t="str" cm="1">
        <f t="array" ref="AT964" xml:space="preserve"> SUBSTITUTE( INDEX( VfM_Metrics_2023_Consol_Source[], $AK964, AT$832 ), 0, "" )</f>
        <v>&gt;= 12 years</v>
      </c>
      <c r="AU964" s="34" cm="1">
        <f t="array" ref="AU964" xml:space="preserve"> INDEX( VfM_Metrics_2023_Consol_Source[], $AK964, AU$832 )</f>
        <v>1</v>
      </c>
      <c r="AV964" s="34" cm="1">
        <f t="array" ref="AV964" xml:space="preserve"> INDEX( VfM_Metrics_2023_Consol_Source[], $AK964, AV$832 )</f>
        <v>0</v>
      </c>
      <c r="AW964" s="34" cm="1">
        <f t="array" ref="AW964" xml:space="preserve"> INDEX( VfM_Metrics_2023_Consol_Source[], $AK964, AW$832 )</f>
        <v>0</v>
      </c>
      <c r="AX964" s="34" cm="1">
        <f t="array" ref="AX964" xml:space="preserve"> INDEX( VfM_Metrics_2023_Consol_Source[], $AK964, AX$832 )</f>
        <v>0</v>
      </c>
      <c r="AY964" s="34" cm="1">
        <f t="array" ref="AY964" xml:space="preserve"> INDEX( VfM_Metrics_2023_Consol_Source[], $AK964, AY$832 )</f>
        <v>0</v>
      </c>
      <c r="AZ964" s="34" cm="1">
        <f t="array" ref="AZ964" xml:space="preserve"> INDEX( VfM_Metrics_2023_Consol_Source[], $AK964, AZ$832 )</f>
        <v>0</v>
      </c>
      <c r="BA964" s="34" cm="1">
        <f t="array" ref="BA964" xml:space="preserve"> INDEX( VfM_Metrics_2023_Consol_Source[], $AK964, BA$832 )</f>
        <v>0</v>
      </c>
      <c r="BB964" s="34" cm="1">
        <f t="array" ref="BB964" xml:space="preserve"> INDEX( VfM_Metrics_2023_Consol_Source[], $AK964, BB$832 )</f>
        <v>0</v>
      </c>
      <c r="BC964" s="34" cm="1">
        <f t="array" ref="BC964" xml:space="preserve"> INDEX( VfM_Metrics_2023_Consol_Source[], $AK964, BC$832 )</f>
        <v>0</v>
      </c>
    </row>
    <row r="965" spans="2:55" x14ac:dyDescent="0.2">
      <c r="B965" s="122" t="str" vm="132">
        <f t="shared" ref="B965" si="470" xml:space="preserve"> B755</f>
        <v>Prima Housing Group Limited</v>
      </c>
      <c r="C965" s="122" t="str" vm="317">
        <f t="shared" si="467"/>
        <v>L1001</v>
      </c>
      <c r="D965" s="30" cm="1">
        <f t="array" ref="D965" xml:space="preserve"> INDEX( VfM_Metrics_2023_Consol_Source[], $AK965, D$832 )</f>
        <v>8.8646318570534663E-2</v>
      </c>
      <c r="E965" s="35">
        <f xml:space="preserve"> IF( tblFilterAll[[#This Row],[Reinvestment]] &lt; D$825, 4, IF( tblFilterAll[[#This Row],[Reinvestment]] &lt; D$826, 3, IF( tblFilterAll[[#This Row],[Reinvestment]] &lt; D$827, 2, 1 ) ) )</f>
        <v>2</v>
      </c>
      <c r="F965" s="35">
        <f xml:space="preserve"> COUNTIFS( tblFilterAll[Include in output], 1, tblFilterAll[Reinvestment], "&gt;" &amp; tblFilterAll[[#This Row],[Reinvestment]] ) + 1</f>
        <v>57</v>
      </c>
      <c r="G965" s="30" cm="1">
        <f t="array" ref="G965" xml:space="preserve"> INDEX( VfM_Metrics_2023_Consol_Source[], $AK965, G$832 )</f>
        <v>7.1267816954238561E-3</v>
      </c>
      <c r="H965" s="35">
        <f xml:space="preserve"> IF( tblFilterAll[[#This Row],[New Supply (Social)]] &lt; G$825, 4, IF( tblFilterAll[[#This Row],[New Supply (Social)]] &lt; G$826, 3, IF( tblFilterAll[[#This Row],[New Supply (Social)]] &lt; G$827, 2, 1 ) ) )</f>
        <v>3</v>
      </c>
      <c r="I965" s="35">
        <f xml:space="preserve"> COUNTIFS( tblFilterAll[Include in output], 1, tblFilterAll[New Supply (Social)], "&gt;" &amp; tblFilterAll[[#This Row],[New Supply (Social)]] ) + 1</f>
        <v>143</v>
      </c>
      <c r="J965" s="31" cm="1">
        <f t="array" ref="J965" xml:space="preserve"> INDEX( VfM_Metrics_2023_Consol_Source[], $AK965, J$832 )</f>
        <v>1.4540167211922936E-3</v>
      </c>
      <c r="K965" s="35">
        <f xml:space="preserve"> IF( tblFilterAll[[#This Row],[New Supply (Non-Social)]] &lt; J$825, 4, IF( tblFilterAll[[#This Row],[New Supply (Non-Social)]] &lt; J$826, 3, IF( tblFilterAll[[#This Row],[New Supply (Non-Social)]] &lt; J$827, 2, 1 ) ) )</f>
        <v>1</v>
      </c>
      <c r="L965" s="35">
        <f xml:space="preserve"> COUNTIFS( tblFilterAll[Include in output], 1, tblFilterAll[New Supply (Non-Social)], "&gt;" &amp; tblFilterAll[[#This Row],[New Supply (Non-Social)]] ) + 1</f>
        <v>40</v>
      </c>
      <c r="M965" s="30" cm="1">
        <f t="array" ref="M965" xml:space="preserve"> INDEX( VfM_Metrics_2023_Consol_Source[], $AK965, M$832 )</f>
        <v>-1.5891776998639266E-4</v>
      </c>
      <c r="N965" s="35">
        <f xml:space="preserve"> IF( tblFilterAll[[#This Row],[Gearing]] &lt; M$825, 4, IF( tblFilterAll[[#This Row],[Gearing]] &lt; M$826, 3, IF( tblFilterAll[[#This Row],[Gearing]] &lt; M$827, 2, 1 ) ) )</f>
        <v>4</v>
      </c>
      <c r="O965" s="35">
        <f xml:space="preserve"> COUNTIFS( tblFilterAll[Include in output], 1, tblFilterAll[Gearing], "&gt;" &amp; tblFilterAll[[#This Row],[Gearing]] ) + 1</f>
        <v>191</v>
      </c>
      <c r="P965" s="30" cm="1">
        <f t="array" ref="P965" xml:space="preserve"> INDEX( VfM_Metrics_2023_Consol_Source[], $AK965, P$832 )</f>
        <v>0.25092707045735474</v>
      </c>
      <c r="Q965" s="35">
        <f xml:space="preserve"> IF( tblFilterAll[[#This Row],[EBITDA MRI Interest Cover]] &lt; P$825, 4, IF( tblFilterAll[[#This Row],[EBITDA MRI Interest Cover]] &lt; P$826, 3, IF( tblFilterAll[[#This Row],[EBITDA MRI Interest Cover]] &lt; P$827, 2, 1 ) ) )</f>
        <v>4</v>
      </c>
      <c r="R965" s="35">
        <f xml:space="preserve"> COUNTIFS( tblFilterAll[Include in output], 1, tblFilterAll[EBITDA MRI Interest Cover], "&gt;" &amp; tblFilterAll[[#This Row],[EBITDA MRI Interest Cover]] ) + 1</f>
        <v>177</v>
      </c>
      <c r="S965" s="32" cm="1">
        <f t="array" ref="S965" xml:space="preserve"> INDEX( VfM_Metrics_2023_Consol_Source[], $AK965, S$832 )</f>
        <v>5280.9452363090768</v>
      </c>
      <c r="T965" s="35">
        <f xml:space="preserve"> IF( tblFilterAll[[#This Row],[Headline Social Housing Cost per unit]] &lt; S$825, 4, IF( tblFilterAll[[#This Row],[Headline Social Housing Cost per unit]] &lt; S$826, 3, IF( tblFilterAll[[#This Row],[Headline Social Housing Cost per unit]] &lt; S$827, 2, 1 ) ) )</f>
        <v>2</v>
      </c>
      <c r="U965" s="35">
        <f xml:space="preserve"> COUNTIFS( tblFilterAll[Include in output], 1, tblFilterAll[Headline Social Housing Cost per unit], "&gt;" &amp; tblFilterAll[[#This Row],[Headline Social Housing Cost per unit]] ) + 1</f>
        <v>65</v>
      </c>
      <c r="V965" s="30" cm="1">
        <f t="array" ref="V965" xml:space="preserve"> INDEX( VfM_Metrics_2023_Consol_Source[], $AK965, V$832 )</f>
        <v>0.23861633372502938</v>
      </c>
      <c r="W965" s="35">
        <f xml:space="preserve"> IF( tblFilterAll[[#This Row],[Operating Margin (SHL)]] &lt; V$825, 4, IF( tblFilterAll[[#This Row],[Operating Margin (SHL)]] &lt; V$826, 3, IF( tblFilterAll[[#This Row],[Operating Margin (SHL)]] &lt; V$827, 2, 1 ) ) )</f>
        <v>2</v>
      </c>
      <c r="X965" s="35">
        <f xml:space="preserve"> COUNTIFS( tblFilterAll[Include in output], 1, tblFilterAll[Operating Margin (SHL)], "&gt;" &amp; tblFilterAll[[#This Row],[Operating Margin (SHL)]] ) + 1</f>
        <v>66</v>
      </c>
      <c r="Y965" s="30" cm="1">
        <f t="array" ref="Y965" xml:space="preserve"> INDEX( VfM_Metrics_2023_Consol_Source[], $AK965, Y$832 )</f>
        <v>0.25757073752567755</v>
      </c>
      <c r="Z965" s="35">
        <f xml:space="preserve"> IF( tblFilterAll[[#This Row],[Operating Margin (Overall)]] &lt; Y$825, 4, IF( tblFilterAll[[#This Row],[Operating Margin (Overall)]] &lt; Y$826, 3, IF( tblFilterAll[[#This Row],[Operating Margin (Overall)]] &lt; Y$827, 2, 1 ) ) )</f>
        <v>1</v>
      </c>
      <c r="AA965" s="35">
        <f xml:space="preserve"> COUNTIFS( tblFilterAll[Include in output], 1, tblFilterAll[Operating Margin (Overall)], "&gt;" &amp; tblFilterAll[[#This Row],[Operating Margin (Overall)]] ) + 1</f>
        <v>32</v>
      </c>
      <c r="AB965" s="30" cm="1">
        <f t="array" ref="AB965" xml:space="preserve"> INDEX( VfM_Metrics_2023_Consol_Source[], $AK965, AB$832 )</f>
        <v>3.880570878206812E-2</v>
      </c>
      <c r="AC965" s="35">
        <f xml:space="preserve"> IF( tblFilterAll[[#This Row],[ROCE]] &lt; AB$825, 4, IF( tblFilterAll[[#This Row],[ROCE]] &lt; AB$826, 3, IF( tblFilterAll[[#This Row],[ROCE]] &lt; AB$827, 2, 1 ) ) )</f>
        <v>1</v>
      </c>
      <c r="AD965" s="35">
        <f xml:space="preserve"> COUNTIFS( tblFilterAll[Include in output], 1, tblFilterAll[ROCE], "&gt;" &amp; tblFilterAll[[#This Row],[ROCE]] ) + 1</f>
        <v>36</v>
      </c>
      <c r="AE965" s="33" cm="1" vm="3933">
        <f t="array" ref="AE965" xml:space="preserve"> INDEX( VfM_Metrics_2023_Consol_Source[], $AK965, AE$832 )</f>
        <v>2666</v>
      </c>
      <c r="AF965" s="30" cm="1">
        <f t="array" ref="AF965" xml:space="preserve"> INDEX( VfM_Metrics_2023_Consol_Source[], $AK965, AF$832 )</f>
        <v>1.9140625000000001E-2</v>
      </c>
      <c r="AG965" s="30" cm="1">
        <f t="array" ref="AG965" xml:space="preserve"> INDEX( VfM_Metrics_2023_Consol_Source[], $AK965, AG$832 )</f>
        <v>7.7734374999999994E-2</v>
      </c>
      <c r="AH965" s="30" cm="1">
        <f t="array" ref="AH965" xml:space="preserve"> INDEX( VfM_Metrics_2023_Consol_Source[], $AK965, AH$832 )</f>
        <v>9.6874999999999989E-2</v>
      </c>
      <c r="AI965" s="30" t="str" cm="1">
        <f t="array" ref="AI965" xml:space="preserve"> INDEX( VfM_Metrics_2023_Consol_Source[], $AK965, AI$832 )</f>
        <v>Traditional</v>
      </c>
      <c r="AJ965" s="34" t="str" cm="1">
        <f t="array" ref="AJ965" xml:space="preserve"> INDEX( VfM_Metrics_2023_Consol_Source[], $AK965, AJ$832 )</f>
        <v>North West</v>
      </c>
      <c r="AK965" s="81">
        <f xml:space="preserve"> MATCH( tblFilterAll[[#This Row],[Code]], VfM_Metrics_2023_Consol_Source[RP_Code], 0 )</f>
        <v>132</v>
      </c>
      <c r="AL965" s="24">
        <f xml:space="preserve"> INDEX( tblFilterRegion[Include for region],  MATCH( tblFilterAll[[#This Row],[Code]], tblFilterRegion[RP_Code], 0 ) )</f>
        <v>1</v>
      </c>
      <c r="AM965" s="24">
        <f xml:space="preserve"> INDEX( tblFilterPropType[Incl for prop type],  MATCH( tblFilterAll[[#This Row],[Code]], tblFilterPropType[RP_Code], 0 ) )</f>
        <v>1</v>
      </c>
      <c r="AN965" s="24">
        <f xml:space="preserve"> INDEX( tblFilterSize[Incl for size],  MATCH( tblFilterAll[[#This Row],[Code]], tblFilterSize[RP_Code], 0 ) )</f>
        <v>1</v>
      </c>
      <c r="AO965" s="24">
        <f xml:space="preserve"> INDEX( tblFilterRP_Type[Incl, for RP Type],  MATCH( tblFilterAll[[#This Row],[Code]], tblFilterRP_Type[RP_Code], 0 ) )</f>
        <v>1</v>
      </c>
      <c r="AP965" s="24">
        <f xml:space="preserve">  -- ( SUM( tblFilterAll[[#This Row],[Filter Region]:[Filter RP Type]] ) = 4 )</f>
        <v>1</v>
      </c>
      <c r="AQ965" s="24">
        <f xml:space="preserve"> -- ( tblFilterAll[[#This Row],[Provider name]] = SelectedProvider )</f>
        <v>0</v>
      </c>
      <c r="AR965" s="24">
        <f xml:space="preserve">  -- ( OR( SUM( tblFilterAll[[#This Row],[Filter Region]:[Filter RP Type]] ) = 4, tblFilterAll[[#This Row],[SelectedProvider]] = 1 ) )</f>
        <v>1</v>
      </c>
      <c r="AS965" s="24">
        <f xml:space="preserve"> -- ( INDEX( PeersCritera[Included in final peers], MATCH( tblFilterAll[[#This Row],[Provider name]], PeersCritera[RP_Name], 0 ) ) = 1 )</f>
        <v>1</v>
      </c>
      <c r="AT965" s="30" t="str" cm="1">
        <f t="array" ref="AT965" xml:space="preserve"> SUBSTITUTE( INDEX( VfM_Metrics_2023_Consol_Source[], $AK965, AT$832 ), 0, "" )</f>
        <v/>
      </c>
      <c r="AU965" s="34" cm="1">
        <f t="array" ref="AU965" xml:space="preserve"> INDEX( VfM_Metrics_2023_Consol_Source[], $AK965, AU$832 )</f>
        <v>0</v>
      </c>
      <c r="AV965" s="34" cm="1">
        <f t="array" ref="AV965" xml:space="preserve"> INDEX( VfM_Metrics_2023_Consol_Source[], $AK965, AV$832 )</f>
        <v>0</v>
      </c>
      <c r="AW965" s="34" cm="1">
        <f t="array" ref="AW965" xml:space="preserve"> INDEX( VfM_Metrics_2023_Consol_Source[], $AK965, AW$832 )</f>
        <v>0</v>
      </c>
      <c r="AX965" s="34" cm="1">
        <f t="array" ref="AX965" xml:space="preserve"> INDEX( VfM_Metrics_2023_Consol_Source[], $AK965, AX$832 )</f>
        <v>0</v>
      </c>
      <c r="AY965" s="34" cm="1">
        <f t="array" ref="AY965" xml:space="preserve"> INDEX( VfM_Metrics_2023_Consol_Source[], $AK965, AY$832 )</f>
        <v>0</v>
      </c>
      <c r="AZ965" s="34" cm="1">
        <f t="array" ref="AZ965" xml:space="preserve"> INDEX( VfM_Metrics_2023_Consol_Source[], $AK965, AZ$832 )</f>
        <v>0</v>
      </c>
      <c r="BA965" s="34" cm="1">
        <f t="array" ref="BA965" xml:space="preserve"> INDEX( VfM_Metrics_2023_Consol_Source[], $AK965, BA$832 )</f>
        <v>0</v>
      </c>
      <c r="BB965" s="34" cm="1">
        <f t="array" ref="BB965" xml:space="preserve"> INDEX( VfM_Metrics_2023_Consol_Source[], $AK965, BB$832 )</f>
        <v>1</v>
      </c>
      <c r="BC965" s="34" cm="1">
        <f t="array" ref="BC965" xml:space="preserve"> INDEX( VfM_Metrics_2023_Consol_Source[], $AK965, BC$832 )</f>
        <v>0</v>
      </c>
    </row>
    <row r="966" spans="2:55" x14ac:dyDescent="0.2">
      <c r="B966" s="122" t="str" vm="133">
        <f t="shared" ref="B966" si="471" xml:space="preserve"> B756</f>
        <v>Progress Housing Group Limited</v>
      </c>
      <c r="C966" s="122" t="str" vm="269">
        <f t="shared" si="467"/>
        <v>LH4189</v>
      </c>
      <c r="D966" s="30" cm="1">
        <f t="array" ref="D966" xml:space="preserve"> INDEX( VfM_Metrics_2023_Consol_Source[], $AK966, D$832 )</f>
        <v>6.6482276138374249E-2</v>
      </c>
      <c r="E966" s="35">
        <f xml:space="preserve"> IF( tblFilterAll[[#This Row],[Reinvestment]] &lt; D$825, 4, IF( tblFilterAll[[#This Row],[Reinvestment]] &lt; D$826, 3, IF( tblFilterAll[[#This Row],[Reinvestment]] &lt; D$827, 2, 1 ) ) )</f>
        <v>3</v>
      </c>
      <c r="F966" s="35">
        <f xml:space="preserve"> COUNTIFS( tblFilterAll[Include in output], 1, tblFilterAll[Reinvestment], "&gt;" &amp; tblFilterAll[[#This Row],[Reinvestment]] ) + 1</f>
        <v>102</v>
      </c>
      <c r="G966" s="30" cm="1">
        <f t="array" ref="G966" xml:space="preserve"> INDEX( VfM_Metrics_2023_Consol_Source[], $AK966, G$832 )</f>
        <v>1.2858290918832038E-2</v>
      </c>
      <c r="H966" s="35">
        <f xml:space="preserve"> IF( tblFilterAll[[#This Row],[New Supply (Social)]] &lt; G$825, 4, IF( tblFilterAll[[#This Row],[New Supply (Social)]] &lt; G$826, 3, IF( tblFilterAll[[#This Row],[New Supply (Social)]] &lt; G$827, 2, 1 ) ) )</f>
        <v>2</v>
      </c>
      <c r="I966" s="35">
        <f xml:space="preserve"> COUNTIFS( tblFilterAll[Include in output], 1, tblFilterAll[New Supply (Social)], "&gt;" &amp; tblFilterAll[[#This Row],[New Supply (Social)]] ) + 1</f>
        <v>98</v>
      </c>
      <c r="J966" s="31" cm="1">
        <f t="array" ref="J966" xml:space="preserve"> INDEX( VfM_Metrics_2023_Consol_Source[], $AK966, J$832 )</f>
        <v>3.2105441027374111E-3</v>
      </c>
      <c r="K966" s="35">
        <f xml:space="preserve"> IF( tblFilterAll[[#This Row],[New Supply (Non-Social)]] &lt; J$825, 4, IF( tblFilterAll[[#This Row],[New Supply (Non-Social)]] &lt; J$826, 3, IF( tblFilterAll[[#This Row],[New Supply (Non-Social)]] &lt; J$827, 2, 1 ) ) )</f>
        <v>1</v>
      </c>
      <c r="L966" s="35">
        <f xml:space="preserve"> COUNTIFS( tblFilterAll[Include in output], 1, tblFilterAll[New Supply (Non-Social)], "&gt;" &amp; tblFilterAll[[#This Row],[New Supply (Non-Social)]] ) + 1</f>
        <v>28</v>
      </c>
      <c r="M966" s="30" cm="1">
        <f t="array" ref="M966" xml:space="preserve"> INDEX( VfM_Metrics_2023_Consol_Source[], $AK966, M$832 )</f>
        <v>0.43361940981472819</v>
      </c>
      <c r="N966" s="35">
        <f xml:space="preserve"> IF( tblFilterAll[[#This Row],[Gearing]] &lt; M$825, 4, IF( tblFilterAll[[#This Row],[Gearing]] &lt; M$826, 3, IF( tblFilterAll[[#This Row],[Gearing]] &lt; M$827, 2, 1 ) ) )</f>
        <v>3</v>
      </c>
      <c r="O966" s="35">
        <f xml:space="preserve"> COUNTIFS( tblFilterAll[Include in output], 1, tblFilterAll[Gearing], "&gt;" &amp; tblFilterAll[[#This Row],[Gearing]] ) + 1</f>
        <v>113</v>
      </c>
      <c r="P966" s="30" cm="1">
        <f t="array" ref="P966" xml:space="preserve"> INDEX( VfM_Metrics_2023_Consol_Source[], $AK966, P$832 )</f>
        <v>2.1907192575406031</v>
      </c>
      <c r="Q966" s="35">
        <f xml:space="preserve"> IF( tblFilterAll[[#This Row],[EBITDA MRI Interest Cover]] &lt; P$825, 4, IF( tblFilterAll[[#This Row],[EBITDA MRI Interest Cover]] &lt; P$826, 3, IF( tblFilterAll[[#This Row],[EBITDA MRI Interest Cover]] &lt; P$827, 2, 1 ) ) )</f>
        <v>1</v>
      </c>
      <c r="R966" s="35">
        <f xml:space="preserve"> COUNTIFS( tblFilterAll[Include in output], 1, tblFilterAll[EBITDA MRI Interest Cover], "&gt;" &amp; tblFilterAll[[#This Row],[EBITDA MRI Interest Cover]] ) + 1</f>
        <v>22</v>
      </c>
      <c r="S966" s="32" cm="1">
        <f t="array" ref="S966" xml:space="preserve"> INDEX( VfM_Metrics_2023_Consol_Source[], $AK966, S$832 )</f>
        <v>6834.0750158931969</v>
      </c>
      <c r="T966" s="35">
        <f xml:space="preserve"> IF( tblFilterAll[[#This Row],[Headline Social Housing Cost per unit]] &lt; S$825, 4, IF( tblFilterAll[[#This Row],[Headline Social Housing Cost per unit]] &lt; S$826, 3, IF( tblFilterAll[[#This Row],[Headline Social Housing Cost per unit]] &lt; S$827, 2, 1 ) ) )</f>
        <v>1</v>
      </c>
      <c r="U966" s="35">
        <f xml:space="preserve"> COUNTIFS( tblFilterAll[Include in output], 1, tblFilterAll[Headline Social Housing Cost per unit], "&gt;" &amp; tblFilterAll[[#This Row],[Headline Social Housing Cost per unit]] ) + 1</f>
        <v>36</v>
      </c>
      <c r="V966" s="30" cm="1">
        <f t="array" ref="V966" xml:space="preserve"> INDEX( VfM_Metrics_2023_Consol_Source[], $AK966, V$832 )</f>
        <v>0.15098172725953543</v>
      </c>
      <c r="W966" s="35">
        <f xml:space="preserve"> IF( tblFilterAll[[#This Row],[Operating Margin (SHL)]] &lt; V$825, 4, IF( tblFilterAll[[#This Row],[Operating Margin (SHL)]] &lt; V$826, 3, IF( tblFilterAll[[#This Row],[Operating Margin (SHL)]] &lt; V$827, 2, 1 ) ) )</f>
        <v>3</v>
      </c>
      <c r="X966" s="35">
        <f xml:space="preserve"> COUNTIFS( tblFilterAll[Include in output], 1, tblFilterAll[Operating Margin (SHL)], "&gt;" &amp; tblFilterAll[[#This Row],[Operating Margin (SHL)]] ) + 1</f>
        <v>144</v>
      </c>
      <c r="Y966" s="30" cm="1">
        <f t="array" ref="Y966" xml:space="preserve"> INDEX( VfM_Metrics_2023_Consol_Source[], $AK966, Y$832 )</f>
        <v>0.1385615953904808</v>
      </c>
      <c r="Z966" s="35">
        <f xml:space="preserve"> IF( tblFilterAll[[#This Row],[Operating Margin (Overall)]] &lt; Y$825, 4, IF( tblFilterAll[[#This Row],[Operating Margin (Overall)]] &lt; Y$826, 3, IF( tblFilterAll[[#This Row],[Operating Margin (Overall)]] &lt; Y$827, 2, 1 ) ) )</f>
        <v>3</v>
      </c>
      <c r="AA966" s="35">
        <f xml:space="preserve"> COUNTIFS( tblFilterAll[Include in output], 1, tblFilterAll[Operating Margin (Overall)], "&gt;" &amp; tblFilterAll[[#This Row],[Operating Margin (Overall)]] ) + 1</f>
        <v>140</v>
      </c>
      <c r="AB966" s="30" cm="1">
        <f t="array" ref="AB966" xml:space="preserve"> INDEX( VfM_Metrics_2023_Consol_Source[], $AK966, AB$832 )</f>
        <v>2.7395813702618222E-2</v>
      </c>
      <c r="AC966" s="35">
        <f xml:space="preserve"> IF( tblFilterAll[[#This Row],[ROCE]] &lt; AB$825, 4, IF( tblFilterAll[[#This Row],[ROCE]] &lt; AB$826, 3, IF( tblFilterAll[[#This Row],[ROCE]] &lt; AB$827, 2, 1 ) ) )</f>
        <v>3</v>
      </c>
      <c r="AD966" s="35">
        <f xml:space="preserve"> COUNTIFS( tblFilterAll[Include in output], 1, tblFilterAll[ROCE], "&gt;" &amp; tblFilterAll[[#This Row],[ROCE]] ) + 1</f>
        <v>111</v>
      </c>
      <c r="AE966" s="33" cm="1" vm="2309">
        <f t="array" ref="AE966" xml:space="preserve"> INDEX( VfM_Metrics_2023_Consol_Source[], $AK966, AE$832 )</f>
        <v>11000</v>
      </c>
      <c r="AF966" s="30" cm="1">
        <f t="array" ref="AF966" xml:space="preserve"> INDEX( VfM_Metrics_2023_Consol_Source[], $AK966, AF$832 )</f>
        <v>0.39135194307608101</v>
      </c>
      <c r="AG966" s="30" cm="1">
        <f t="array" ref="AG966" xml:space="preserve"> INDEX( VfM_Metrics_2023_Consol_Source[], $AK966, AG$832 )</f>
        <v>0.11065498996533479</v>
      </c>
      <c r="AH966" s="30" cm="1">
        <f t="array" ref="AH966" xml:space="preserve"> INDEX( VfM_Metrics_2023_Consol_Source[], $AK966, AH$832 )</f>
        <v>0.50200693304141586</v>
      </c>
      <c r="AI966" s="30" t="str" cm="1">
        <f t="array" ref="AI966" xml:space="preserve"> INDEX( VfM_Metrics_2023_Consol_Source[], $AK966, AI$832 )</f>
        <v>Traditional</v>
      </c>
      <c r="AJ966" s="34" t="str" cm="1">
        <f t="array" ref="AJ966" xml:space="preserve"> INDEX( VfM_Metrics_2023_Consol_Source[], $AK966, AJ$832 )</f>
        <v>North West</v>
      </c>
      <c r="AK966" s="81">
        <f xml:space="preserve"> MATCH( tblFilterAll[[#This Row],[Code]], VfM_Metrics_2023_Consol_Source[RP_Code], 0 )</f>
        <v>133</v>
      </c>
      <c r="AL966" s="24">
        <f xml:space="preserve"> INDEX( tblFilterRegion[Include for region],  MATCH( tblFilterAll[[#This Row],[Code]], tblFilterRegion[RP_Code], 0 ) )</f>
        <v>1</v>
      </c>
      <c r="AM966" s="24">
        <f xml:space="preserve"> INDEX( tblFilterPropType[Incl for prop type],  MATCH( tblFilterAll[[#This Row],[Code]], tblFilterPropType[RP_Code], 0 ) )</f>
        <v>1</v>
      </c>
      <c r="AN966" s="24">
        <f xml:space="preserve"> INDEX( tblFilterSize[Incl for size],  MATCH( tblFilterAll[[#This Row],[Code]], tblFilterSize[RP_Code], 0 ) )</f>
        <v>1</v>
      </c>
      <c r="AO966" s="24">
        <f xml:space="preserve"> INDEX( tblFilterRP_Type[Incl, for RP Type],  MATCH( tblFilterAll[[#This Row],[Code]], tblFilterRP_Type[RP_Code], 0 ) )</f>
        <v>1</v>
      </c>
      <c r="AP966" s="24">
        <f xml:space="preserve">  -- ( SUM( tblFilterAll[[#This Row],[Filter Region]:[Filter RP Type]] ) = 4 )</f>
        <v>1</v>
      </c>
      <c r="AQ966" s="24">
        <f xml:space="preserve"> -- ( tblFilterAll[[#This Row],[Provider name]] = SelectedProvider )</f>
        <v>0</v>
      </c>
      <c r="AR966" s="24">
        <f xml:space="preserve">  -- ( OR( SUM( tblFilterAll[[#This Row],[Filter Region]:[Filter RP Type]] ) = 4, tblFilterAll[[#This Row],[SelectedProvider]] = 1 ) )</f>
        <v>1</v>
      </c>
      <c r="AS966" s="24">
        <f xml:space="preserve"> -- ( INDEX( PeersCritera[Included in final peers], MATCH( tblFilterAll[[#This Row],[Provider name]], PeersCritera[RP_Name], 0 ) ) = 1 )</f>
        <v>1</v>
      </c>
      <c r="AT966" s="30" t="str" cm="1">
        <f t="array" ref="AT966" xml:space="preserve"> SUBSTITUTE( INDEX( VfM_Metrics_2023_Consol_Source[], $AK966, AT$832 ), 0, "" )</f>
        <v/>
      </c>
      <c r="AU966" s="34" cm="1">
        <f t="array" ref="AU966" xml:space="preserve"> INDEX( VfM_Metrics_2023_Consol_Source[], $AK966, AU$832 )</f>
        <v>1.8509991711944011E-2</v>
      </c>
      <c r="AV966" s="34" cm="1">
        <f t="array" ref="AV966" xml:space="preserve"> INDEX( VfM_Metrics_2023_Consol_Source[], $AK966, AV$832 )</f>
        <v>3.1770881296620312E-2</v>
      </c>
      <c r="AW966" s="34" cm="1">
        <f t="array" ref="AW966" xml:space="preserve"> INDEX( VfM_Metrics_2023_Consol_Source[], $AK966, AW$832 )</f>
        <v>1.1787457408601161E-2</v>
      </c>
      <c r="AX966" s="34" cm="1">
        <f t="array" ref="AX966" xml:space="preserve"> INDEX( VfM_Metrics_2023_Consol_Source[], $AK966, AX$832 )</f>
        <v>6.6212358412376826E-2</v>
      </c>
      <c r="AY966" s="34" cm="1">
        <f t="array" ref="AY966" xml:space="preserve"> INDEX( VfM_Metrics_2023_Consol_Source[], $AK966, AY$832 )</f>
        <v>4.8807440832489175E-3</v>
      </c>
      <c r="AZ966" s="34" cm="1">
        <f t="array" ref="AZ966" xml:space="preserve"> INDEX( VfM_Metrics_2023_Consol_Source[], $AK966, AZ$832 )</f>
        <v>3.3336402983700157E-2</v>
      </c>
      <c r="BA966" s="34" cm="1">
        <f t="array" ref="BA966" xml:space="preserve"> INDEX( VfM_Metrics_2023_Consol_Source[], $AK966, BA$832 )</f>
        <v>2.3206556773183534E-2</v>
      </c>
      <c r="BB966" s="34" cm="1">
        <f t="array" ref="BB966" xml:space="preserve"> INDEX( VfM_Metrics_2023_Consol_Source[], $AK966, BB$832 )</f>
        <v>0.72888847960217329</v>
      </c>
      <c r="BC966" s="34" cm="1">
        <f t="array" ref="BC966" xml:space="preserve"> INDEX( VfM_Metrics_2023_Consol_Source[], $AK966, BC$832 )</f>
        <v>8.1407127728151757E-2</v>
      </c>
    </row>
    <row r="967" spans="2:55" x14ac:dyDescent="0.2">
      <c r="B967" s="122" t="str" vm="134">
        <f t="shared" ref="B967" si="472" xml:space="preserve"> B757</f>
        <v>Railway Housing Association and Benefit Fund</v>
      </c>
      <c r="C967" s="122" t="str" vm="230">
        <f t="shared" si="467"/>
        <v>A1855</v>
      </c>
      <c r="D967" s="30" cm="1">
        <f t="array" ref="D967" xml:space="preserve"> INDEX( VfM_Metrics_2023_Consol_Source[], $AK967, D$832 )</f>
        <v>7.9024356466494708E-2</v>
      </c>
      <c r="E967" s="35">
        <f xml:space="preserve"> IF( tblFilterAll[[#This Row],[Reinvestment]] &lt; D$825, 4, IF( tblFilterAll[[#This Row],[Reinvestment]] &lt; D$826, 3, IF( tblFilterAll[[#This Row],[Reinvestment]] &lt; D$827, 2, 1 ) ) )</f>
        <v>2</v>
      </c>
      <c r="F967" s="35">
        <f xml:space="preserve"> COUNTIFS( tblFilterAll[Include in output], 1, tblFilterAll[Reinvestment], "&gt;" &amp; tblFilterAll[[#This Row],[Reinvestment]] ) + 1</f>
        <v>76</v>
      </c>
      <c r="G967" s="30" cm="1">
        <f t="array" ref="G967" xml:space="preserve"> INDEX( VfM_Metrics_2023_Consol_Source[], $AK967, G$832 )</f>
        <v>1.7283950617283949E-2</v>
      </c>
      <c r="H967" s="35">
        <f xml:space="preserve"> IF( tblFilterAll[[#This Row],[New Supply (Social)]] &lt; G$825, 4, IF( tblFilterAll[[#This Row],[New Supply (Social)]] &lt; G$826, 3, IF( tblFilterAll[[#This Row],[New Supply (Social)]] &lt; G$827, 2, 1 ) ) )</f>
        <v>2</v>
      </c>
      <c r="I967" s="35">
        <f xml:space="preserve"> COUNTIFS( tblFilterAll[Include in output], 1, tblFilterAll[New Supply (Social)], "&gt;" &amp; tblFilterAll[[#This Row],[New Supply (Social)]] ) + 1</f>
        <v>71</v>
      </c>
      <c r="J967" s="31" cm="1">
        <f t="array" ref="J967" xml:space="preserve"> INDEX( VfM_Metrics_2023_Consol_Source[], $AK967, J$832 )</f>
        <v>0</v>
      </c>
      <c r="K967" s="35">
        <f xml:space="preserve"> IF( tblFilterAll[[#This Row],[New Supply (Non-Social)]] &lt; J$825, 4, IF( tblFilterAll[[#This Row],[New Supply (Non-Social)]] &lt; J$826, 3, IF( tblFilterAll[[#This Row],[New Supply (Non-Social)]] &lt; J$827, 2, 1 ) ) )</f>
        <v>2</v>
      </c>
      <c r="L967" s="35">
        <f xml:space="preserve"> COUNTIFS( tblFilterAll[Include in output], 1, tblFilterAll[New Supply (Non-Social)], "&gt;" &amp; tblFilterAll[[#This Row],[New Supply (Non-Social)]] ) + 1</f>
        <v>72</v>
      </c>
      <c r="M967" s="30" cm="1">
        <f t="array" ref="M967" xml:space="preserve"> INDEX( VfM_Metrics_2023_Consol_Source[], $AK967, M$832 )</f>
        <v>0.17120501324285492</v>
      </c>
      <c r="N967" s="35">
        <f xml:space="preserve"> IF( tblFilterAll[[#This Row],[Gearing]] &lt; M$825, 4, IF( tblFilterAll[[#This Row],[Gearing]] &lt; M$826, 3, IF( tblFilterAll[[#This Row],[Gearing]] &lt; M$827, 2, 1 ) ) )</f>
        <v>4</v>
      </c>
      <c r="O967" s="35">
        <f xml:space="preserve"> COUNTIFS( tblFilterAll[Include in output], 1, tblFilterAll[Gearing], "&gt;" &amp; tblFilterAll[[#This Row],[Gearing]] ) + 1</f>
        <v>179</v>
      </c>
      <c r="P967" s="30" cm="1">
        <f t="array" ref="P967" xml:space="preserve"> INDEX( VfM_Metrics_2023_Consol_Source[], $AK967, P$832 )</f>
        <v>2.3929961089494163</v>
      </c>
      <c r="Q967" s="35">
        <f xml:space="preserve"> IF( tblFilterAll[[#This Row],[EBITDA MRI Interest Cover]] &lt; P$825, 4, IF( tblFilterAll[[#This Row],[EBITDA MRI Interest Cover]] &lt; P$826, 3, IF( tblFilterAll[[#This Row],[EBITDA MRI Interest Cover]] &lt; P$827, 2, 1 ) ) )</f>
        <v>1</v>
      </c>
      <c r="R967" s="35">
        <f xml:space="preserve"> COUNTIFS( tblFilterAll[Include in output], 1, tblFilterAll[EBITDA MRI Interest Cover], "&gt;" &amp; tblFilterAll[[#This Row],[EBITDA MRI Interest Cover]] ) + 1</f>
        <v>17</v>
      </c>
      <c r="S967" s="32" cm="1">
        <f t="array" ref="S967" xml:space="preserve"> INDEX( VfM_Metrics_2023_Consol_Source[], $AK967, S$832 )</f>
        <v>3837.7504848093085</v>
      </c>
      <c r="T967" s="35">
        <f xml:space="preserve"> IF( tblFilterAll[[#This Row],[Headline Social Housing Cost per unit]] &lt; S$825, 4, IF( tblFilterAll[[#This Row],[Headline Social Housing Cost per unit]] &lt; S$826, 3, IF( tblFilterAll[[#This Row],[Headline Social Housing Cost per unit]] &lt; S$827, 2, 1 ) ) )</f>
        <v>4</v>
      </c>
      <c r="U967" s="35">
        <f xml:space="preserve"> COUNTIFS( tblFilterAll[Include in output], 1, tblFilterAll[Headline Social Housing Cost per unit], "&gt;" &amp; tblFilterAll[[#This Row],[Headline Social Housing Cost per unit]] ) + 1</f>
        <v>176</v>
      </c>
      <c r="V967" s="30" cm="1">
        <f t="array" ref="V967" xml:space="preserve"> INDEX( VfM_Metrics_2023_Consol_Source[], $AK967, V$832 )</f>
        <v>0.16506471869793668</v>
      </c>
      <c r="W967" s="35">
        <f xml:space="preserve"> IF( tblFilterAll[[#This Row],[Operating Margin (SHL)]] &lt; V$825, 4, IF( tblFilterAll[[#This Row],[Operating Margin (SHL)]] &lt; V$826, 3, IF( tblFilterAll[[#This Row],[Operating Margin (SHL)]] &lt; V$827, 2, 1 ) ) )</f>
        <v>3</v>
      </c>
      <c r="X967" s="35">
        <f xml:space="preserve"> COUNTIFS( tblFilterAll[Include in output], 1, tblFilterAll[Operating Margin (SHL)], "&gt;" &amp; tblFilterAll[[#This Row],[Operating Margin (SHL)]] ) + 1</f>
        <v>132</v>
      </c>
      <c r="Y967" s="30" cm="1">
        <f t="array" ref="Y967" xml:space="preserve"> INDEX( VfM_Metrics_2023_Consol_Source[], $AK967, Y$832 )</f>
        <v>0.16829942225571465</v>
      </c>
      <c r="Z967" s="35">
        <f xml:space="preserve"> IF( tblFilterAll[[#This Row],[Operating Margin (Overall)]] &lt; Y$825, 4, IF( tblFilterAll[[#This Row],[Operating Margin (Overall)]] &lt; Y$826, 3, IF( tblFilterAll[[#This Row],[Operating Margin (Overall)]] &lt; Y$827, 2, 1 ) ) )</f>
        <v>3</v>
      </c>
      <c r="AA967" s="35">
        <f xml:space="preserve"> COUNTIFS( tblFilterAll[Include in output], 1, tblFilterAll[Operating Margin (Overall)], "&gt;" &amp; tblFilterAll[[#This Row],[Operating Margin (Overall)]] ) + 1</f>
        <v>112</v>
      </c>
      <c r="AB967" s="30" cm="1">
        <f t="array" ref="AB967" xml:space="preserve"> INDEX( VfM_Metrics_2023_Consol_Source[], $AK967, AB$832 )</f>
        <v>2.0918216019606924E-2</v>
      </c>
      <c r="AC967" s="35">
        <f xml:space="preserve"> IF( tblFilterAll[[#This Row],[ROCE]] &lt; AB$825, 4, IF( tblFilterAll[[#This Row],[ROCE]] &lt; AB$826, 3, IF( tblFilterAll[[#This Row],[ROCE]] &lt; AB$827, 2, 1 ) ) )</f>
        <v>4</v>
      </c>
      <c r="AD967" s="35">
        <f xml:space="preserve"> COUNTIFS( tblFilterAll[Include in output], 1, tblFilterAll[ROCE], "&gt;" &amp; tblFilterAll[[#This Row],[ROCE]] ) + 1</f>
        <v>158</v>
      </c>
      <c r="AE967" s="33" cm="1" vm="1365">
        <f t="array" ref="AE967" xml:space="preserve"> INDEX( VfM_Metrics_2023_Consol_Source[], $AK967, AE$832 )</f>
        <v>1547</v>
      </c>
      <c r="AF967" s="30" cm="1">
        <f t="array" ref="AF967" xml:space="preserve"> INDEX( VfM_Metrics_2023_Consol_Source[], $AK967, AF$832 )</f>
        <v>0.30389129092032119</v>
      </c>
      <c r="AG967" s="30" cm="1">
        <f t="array" ref="AG967" xml:space="preserve"> INDEX( VfM_Metrics_2023_Consol_Source[], $AK967, AG$832 )</f>
        <v>0.26436071649166154</v>
      </c>
      <c r="AH967" s="30" cm="1">
        <f t="array" ref="AH967" xml:space="preserve"> INDEX( VfM_Metrics_2023_Consol_Source[], $AK967, AH$832 )</f>
        <v>0.56825200741198278</v>
      </c>
      <c r="AI967" s="30" t="str" cm="1">
        <f t="array" ref="AI967" xml:space="preserve"> INDEX( VfM_Metrics_2023_Consol_Source[], $AK967, AI$832 )</f>
        <v>Traditional</v>
      </c>
      <c r="AJ967" s="34" t="str" cm="1">
        <f t="array" ref="AJ967" xml:space="preserve"> INDEX( VfM_Metrics_2023_Consol_Source[], $AK967, AJ$832 )</f>
        <v>North East</v>
      </c>
      <c r="AK967" s="81">
        <f xml:space="preserve"> MATCH( tblFilterAll[[#This Row],[Code]], VfM_Metrics_2023_Consol_Source[RP_Code], 0 )</f>
        <v>134</v>
      </c>
      <c r="AL967" s="24">
        <f xml:space="preserve"> INDEX( tblFilterRegion[Include for region],  MATCH( tblFilterAll[[#This Row],[Code]], tblFilterRegion[RP_Code], 0 ) )</f>
        <v>1</v>
      </c>
      <c r="AM967" s="24">
        <f xml:space="preserve"> INDEX( tblFilterPropType[Incl for prop type],  MATCH( tblFilterAll[[#This Row],[Code]], tblFilterPropType[RP_Code], 0 ) )</f>
        <v>1</v>
      </c>
      <c r="AN967" s="24">
        <f xml:space="preserve"> INDEX( tblFilterSize[Incl for size],  MATCH( tblFilterAll[[#This Row],[Code]], tblFilterSize[RP_Code], 0 ) )</f>
        <v>1</v>
      </c>
      <c r="AO967" s="24">
        <f xml:space="preserve"> INDEX( tblFilterRP_Type[Incl, for RP Type],  MATCH( tblFilterAll[[#This Row],[Code]], tblFilterRP_Type[RP_Code], 0 ) )</f>
        <v>1</v>
      </c>
      <c r="AP967" s="24">
        <f xml:space="preserve">  -- ( SUM( tblFilterAll[[#This Row],[Filter Region]:[Filter RP Type]] ) = 4 )</f>
        <v>1</v>
      </c>
      <c r="AQ967" s="24">
        <f xml:space="preserve"> -- ( tblFilterAll[[#This Row],[Provider name]] = SelectedProvider )</f>
        <v>0</v>
      </c>
      <c r="AR967" s="24">
        <f xml:space="preserve">  -- ( OR( SUM( tblFilterAll[[#This Row],[Filter Region]:[Filter RP Type]] ) = 4, tblFilterAll[[#This Row],[SelectedProvider]] = 1 ) )</f>
        <v>1</v>
      </c>
      <c r="AS967" s="24">
        <f xml:space="preserve"> -- ( INDEX( PeersCritera[Included in final peers], MATCH( tblFilterAll[[#This Row],[Provider name]], PeersCritera[RP_Name], 0 ) ) = 1 )</f>
        <v>1</v>
      </c>
      <c r="AT967" s="30" t="str" cm="1">
        <f t="array" ref="AT967" xml:space="preserve"> SUBSTITUTE( INDEX( VfM_Metrics_2023_Consol_Source[], $AK967, AT$832 ), 0, "" )</f>
        <v/>
      </c>
      <c r="AU967" s="34" cm="1">
        <f t="array" ref="AU967" xml:space="preserve"> INDEX( VfM_Metrics_2023_Consol_Source[], $AK967, AU$832 )</f>
        <v>1.3588634959851761E-2</v>
      </c>
      <c r="AV967" s="34" cm="1">
        <f t="array" ref="AV967" xml:space="preserve"> INDEX( VfM_Metrics_2023_Consol_Source[], $AK967, AV$832 )</f>
        <v>0</v>
      </c>
      <c r="AW967" s="34" cm="1">
        <f t="array" ref="AW967" xml:space="preserve"> INDEX( VfM_Metrics_2023_Consol_Source[], $AK967, AW$832 )</f>
        <v>0</v>
      </c>
      <c r="AX967" s="34" cm="1">
        <f t="array" ref="AX967" xml:space="preserve"> INDEX( VfM_Metrics_2023_Consol_Source[], $AK967, AX$832 )</f>
        <v>0</v>
      </c>
      <c r="AY967" s="34" cm="1">
        <f t="array" ref="AY967" xml:space="preserve"> INDEX( VfM_Metrics_2023_Consol_Source[], $AK967, AY$832 )</f>
        <v>1.8529956763434219E-2</v>
      </c>
      <c r="AZ967" s="34" cm="1">
        <f t="array" ref="AZ967" xml:space="preserve"> INDEX( VfM_Metrics_2023_Consol_Source[], $AK967, AZ$832 )</f>
        <v>0</v>
      </c>
      <c r="BA967" s="34" cm="1">
        <f t="array" ref="BA967" xml:space="preserve"> INDEX( VfM_Metrics_2023_Consol_Source[], $AK967, BA$832 )</f>
        <v>0.58307597282273005</v>
      </c>
      <c r="BB967" s="34" cm="1">
        <f t="array" ref="BB967" xml:space="preserve"> INDEX( VfM_Metrics_2023_Consol_Source[], $AK967, BB$832 )</f>
        <v>1.2353304508956147E-3</v>
      </c>
      <c r="BC967" s="34" cm="1">
        <f t="array" ref="BC967" xml:space="preserve"> INDEX( VfM_Metrics_2023_Consol_Source[], $AK967, BC$832 )</f>
        <v>0.3835701050030883</v>
      </c>
    </row>
    <row r="968" spans="2:55" x14ac:dyDescent="0.2">
      <c r="B968" s="122" t="str" vm="135">
        <f t="shared" ref="B968" si="473" xml:space="preserve"> B758</f>
        <v>Raven Housing Trust Limited</v>
      </c>
      <c r="C968" s="122" t="str" vm="359">
        <f t="shared" si="467"/>
        <v>L4334</v>
      </c>
      <c r="D968" s="30" cm="1">
        <f t="array" ref="D968" xml:space="preserve"> INDEX( VfM_Metrics_2023_Consol_Source[], $AK968, D$832 )</f>
        <v>2.2922042934520603E-2</v>
      </c>
      <c r="E968" s="35">
        <f xml:space="preserve"> IF( tblFilterAll[[#This Row],[Reinvestment]] &lt; D$825, 4, IF( tblFilterAll[[#This Row],[Reinvestment]] &lt; D$826, 3, IF( tblFilterAll[[#This Row],[Reinvestment]] &lt; D$827, 2, 1 ) ) )</f>
        <v>4</v>
      </c>
      <c r="F968" s="35">
        <f xml:space="preserve"> COUNTIFS( tblFilterAll[Include in output], 1, tblFilterAll[Reinvestment], "&gt;" &amp; tblFilterAll[[#This Row],[Reinvestment]] ) + 1</f>
        <v>184</v>
      </c>
      <c r="G968" s="30" cm="1">
        <f t="array" ref="G968" xml:space="preserve"> INDEX( VfM_Metrics_2023_Consol_Source[], $AK968, G$832 )</f>
        <v>2.6407227241139679E-3</v>
      </c>
      <c r="H968" s="35">
        <f xml:space="preserve"> IF( tblFilterAll[[#This Row],[New Supply (Social)]] &lt; G$825, 4, IF( tblFilterAll[[#This Row],[New Supply (Social)]] &lt; G$826, 3, IF( tblFilterAll[[#This Row],[New Supply (Social)]] &lt; G$827, 2, 1 ) ) )</f>
        <v>4</v>
      </c>
      <c r="I968" s="35">
        <f xml:space="preserve"> COUNTIFS( tblFilterAll[Include in output], 1, tblFilterAll[New Supply (Social)], "&gt;" &amp; tblFilterAll[[#This Row],[New Supply (Social)]] ) + 1</f>
        <v>173</v>
      </c>
      <c r="J968" s="31" cm="1">
        <f t="array" ref="J968" xml:space="preserve"> INDEX( VfM_Metrics_2023_Consol_Source[], $AK968, J$832 )</f>
        <v>0</v>
      </c>
      <c r="K968" s="35">
        <f xml:space="preserve"> IF( tblFilterAll[[#This Row],[New Supply (Non-Social)]] &lt; J$825, 4, IF( tblFilterAll[[#This Row],[New Supply (Non-Social)]] &lt; J$826, 3, IF( tblFilterAll[[#This Row],[New Supply (Non-Social)]] &lt; J$827, 2, 1 ) ) )</f>
        <v>2</v>
      </c>
      <c r="L968" s="35">
        <f xml:space="preserve"> COUNTIFS( tblFilterAll[Include in output], 1, tblFilterAll[New Supply (Non-Social)], "&gt;" &amp; tblFilterAll[[#This Row],[New Supply (Non-Social)]] ) + 1</f>
        <v>72</v>
      </c>
      <c r="M968" s="30" cm="1">
        <f t="array" ref="M968" xml:space="preserve"> INDEX( VfM_Metrics_2023_Consol_Source[], $AK968, M$832 )</f>
        <v>0.57546436775090037</v>
      </c>
      <c r="N968" s="35">
        <f xml:space="preserve"> IF( tblFilterAll[[#This Row],[Gearing]] &lt; M$825, 4, IF( tblFilterAll[[#This Row],[Gearing]] &lt; M$826, 3, IF( tblFilterAll[[#This Row],[Gearing]] &lt; M$827, 2, 1 ) ) )</f>
        <v>1</v>
      </c>
      <c r="O968" s="35">
        <f xml:space="preserve"> COUNTIFS( tblFilterAll[Include in output], 1, tblFilterAll[Gearing], "&gt;" &amp; tblFilterAll[[#This Row],[Gearing]] ) + 1</f>
        <v>30</v>
      </c>
      <c r="P968" s="30" cm="1">
        <f t="array" ref="P968" xml:space="preserve"> INDEX( VfM_Metrics_2023_Consol_Source[], $AK968, P$832 )</f>
        <v>1.607968881412952</v>
      </c>
      <c r="Q968" s="35">
        <f xml:space="preserve"> IF( tblFilterAll[[#This Row],[EBITDA MRI Interest Cover]] &lt; P$825, 4, IF( tblFilterAll[[#This Row],[EBITDA MRI Interest Cover]] &lt; P$826, 3, IF( tblFilterAll[[#This Row],[EBITDA MRI Interest Cover]] &lt; P$827, 2, 1 ) ) )</f>
        <v>2</v>
      </c>
      <c r="R968" s="35">
        <f xml:space="preserve"> COUNTIFS( tblFilterAll[Include in output], 1, tblFilterAll[EBITDA MRI Interest Cover], "&gt;" &amp; tblFilterAll[[#This Row],[EBITDA MRI Interest Cover]] ) + 1</f>
        <v>57</v>
      </c>
      <c r="S968" s="32" cm="1">
        <f t="array" ref="S968" xml:space="preserve"> INDEX( VfM_Metrics_2023_Consol_Source[], $AK968, S$832 )</f>
        <v>5253.2467532467526</v>
      </c>
      <c r="T968" s="35">
        <f xml:space="preserve"> IF( tblFilterAll[[#This Row],[Headline Social Housing Cost per unit]] &lt; S$825, 4, IF( tblFilterAll[[#This Row],[Headline Social Housing Cost per unit]] &lt; S$826, 3, IF( tblFilterAll[[#This Row],[Headline Social Housing Cost per unit]] &lt; S$827, 2, 1 ) ) )</f>
        <v>2</v>
      </c>
      <c r="U968" s="35">
        <f xml:space="preserve"> COUNTIFS( tblFilterAll[Include in output], 1, tblFilterAll[Headline Social Housing Cost per unit], "&gt;" &amp; tblFilterAll[[#This Row],[Headline Social Housing Cost per unit]] ) + 1</f>
        <v>66</v>
      </c>
      <c r="V968" s="30" cm="1">
        <f t="array" ref="V968" xml:space="preserve"> INDEX( VfM_Metrics_2023_Consol_Source[], $AK968, V$832 )</f>
        <v>0.30026583673734031</v>
      </c>
      <c r="W968" s="35">
        <f xml:space="preserve"> IF( tblFilterAll[[#This Row],[Operating Margin (SHL)]] &lt; V$825, 4, IF( tblFilterAll[[#This Row],[Operating Margin (SHL)]] &lt; V$826, 3, IF( tblFilterAll[[#This Row],[Operating Margin (SHL)]] &lt; V$827, 2, 1 ) ) )</f>
        <v>1</v>
      </c>
      <c r="X968" s="35">
        <f xml:space="preserve"> COUNTIFS( tblFilterAll[Include in output], 1, tblFilterAll[Operating Margin (SHL)], "&gt;" &amp; tblFilterAll[[#This Row],[Operating Margin (SHL)]] ) + 1</f>
        <v>28</v>
      </c>
      <c r="Y968" s="30" cm="1">
        <f t="array" ref="Y968" xml:space="preserve"> INDEX( VfM_Metrics_2023_Consol_Source[], $AK968, Y$832 )</f>
        <v>0.23340547060701741</v>
      </c>
      <c r="Z968" s="35">
        <f xml:space="preserve"> IF( tblFilterAll[[#This Row],[Operating Margin (Overall)]] &lt; Y$825, 4, IF( tblFilterAll[[#This Row],[Operating Margin (Overall)]] &lt; Y$826, 3, IF( tblFilterAll[[#This Row],[Operating Margin (Overall)]] &lt; Y$827, 2, 1 ) ) )</f>
        <v>1</v>
      </c>
      <c r="AA968" s="35">
        <f xml:space="preserve"> COUNTIFS( tblFilterAll[Include in output], 1, tblFilterAll[Operating Margin (Overall)], "&gt;" &amp; tblFilterAll[[#This Row],[Operating Margin (Overall)]] ) + 1</f>
        <v>46</v>
      </c>
      <c r="AB968" s="30" cm="1">
        <f t="array" ref="AB968" xml:space="preserve"> INDEX( VfM_Metrics_2023_Consol_Source[], $AK968, AB$832 )</f>
        <v>4.5967112090639681E-2</v>
      </c>
      <c r="AC968" s="35">
        <f xml:space="preserve"> IF( tblFilterAll[[#This Row],[ROCE]] &lt; AB$825, 4, IF( tblFilterAll[[#This Row],[ROCE]] &lt; AB$826, 3, IF( tblFilterAll[[#This Row],[ROCE]] &lt; AB$827, 2, 1 ) ) )</f>
        <v>1</v>
      </c>
      <c r="AD968" s="35">
        <f xml:space="preserve"> COUNTIFS( tblFilterAll[Include in output], 1, tblFilterAll[ROCE], "&gt;" &amp; tblFilterAll[[#This Row],[ROCE]] ) + 1</f>
        <v>12</v>
      </c>
      <c r="AE968" s="33" cm="1" vm="5401">
        <f t="array" ref="AE968" xml:space="preserve"> INDEX( VfM_Metrics_2023_Consol_Source[], $AK968, AE$832 )</f>
        <v>6337</v>
      </c>
      <c r="AF968" s="30" cm="1">
        <f t="array" ref="AF968" xml:space="preserve"> INDEX( VfM_Metrics_2023_Consol_Source[], $AK968, AF$832 )</f>
        <v>0</v>
      </c>
      <c r="AG968" s="30" cm="1">
        <f t="array" ref="AG968" xml:space="preserve"> INDEX( VfM_Metrics_2023_Consol_Source[], $AK968, AG$832 )</f>
        <v>5.4199683042789222E-2</v>
      </c>
      <c r="AH968" s="30" cm="1">
        <f t="array" ref="AH968" xml:space="preserve"> INDEX( VfM_Metrics_2023_Consol_Source[], $AK968, AH$832 )</f>
        <v>5.4199683042789222E-2</v>
      </c>
      <c r="AI968" s="30" t="str" cm="1">
        <f t="array" ref="AI968" xml:space="preserve"> INDEX( VfM_Metrics_2023_Consol_Source[], $AK968, AI$832 )</f>
        <v>Traditional</v>
      </c>
      <c r="AJ968" s="34" t="str" cm="1">
        <f t="array" ref="AJ968" xml:space="preserve"> INDEX( VfM_Metrics_2023_Consol_Source[], $AK968, AJ$832 )</f>
        <v>South East</v>
      </c>
      <c r="AK968" s="81">
        <f xml:space="preserve"> MATCH( tblFilterAll[[#This Row],[Code]], VfM_Metrics_2023_Consol_Source[RP_Code], 0 )</f>
        <v>135</v>
      </c>
      <c r="AL968" s="24">
        <f xml:space="preserve"> INDEX( tblFilterRegion[Include for region],  MATCH( tblFilterAll[[#This Row],[Code]], tblFilterRegion[RP_Code], 0 ) )</f>
        <v>1</v>
      </c>
      <c r="AM968" s="24">
        <f xml:space="preserve"> INDEX( tblFilterPropType[Incl for prop type],  MATCH( tblFilterAll[[#This Row],[Code]], tblFilterPropType[RP_Code], 0 ) )</f>
        <v>1</v>
      </c>
      <c r="AN968" s="24">
        <f xml:space="preserve"> INDEX( tblFilterSize[Incl for size],  MATCH( tblFilterAll[[#This Row],[Code]], tblFilterSize[RP_Code], 0 ) )</f>
        <v>1</v>
      </c>
      <c r="AO968" s="24">
        <f xml:space="preserve"> INDEX( tblFilterRP_Type[Incl, for RP Type],  MATCH( tblFilterAll[[#This Row],[Code]], tblFilterRP_Type[RP_Code], 0 ) )</f>
        <v>1</v>
      </c>
      <c r="AP968" s="24">
        <f xml:space="preserve">  -- ( SUM( tblFilterAll[[#This Row],[Filter Region]:[Filter RP Type]] ) = 4 )</f>
        <v>1</v>
      </c>
      <c r="AQ968" s="24">
        <f xml:space="preserve"> -- ( tblFilterAll[[#This Row],[Provider name]] = SelectedProvider )</f>
        <v>0</v>
      </c>
      <c r="AR968" s="24">
        <f xml:space="preserve">  -- ( OR( SUM( tblFilterAll[[#This Row],[Filter Region]:[Filter RP Type]] ) = 4, tblFilterAll[[#This Row],[SelectedProvider]] = 1 ) )</f>
        <v>1</v>
      </c>
      <c r="AS968" s="24">
        <f xml:space="preserve"> -- ( INDEX( PeersCritera[Included in final peers], MATCH( tblFilterAll[[#This Row],[Provider name]], PeersCritera[RP_Name], 0 ) ) = 1 )</f>
        <v>1</v>
      </c>
      <c r="AT968" s="30" t="str" cm="1">
        <f t="array" ref="AT968" xml:space="preserve"> SUBSTITUTE( INDEX( VfM_Metrics_2023_Consol_Source[], $AK968, AT$832 ), 0, "" )</f>
        <v>&gt;= 12 years</v>
      </c>
      <c r="AU968" s="34" cm="1">
        <f t="array" ref="AU968" xml:space="preserve"> INDEX( VfM_Metrics_2023_Consol_Source[], $AK968, AU$832 )</f>
        <v>1.266624445851805E-3</v>
      </c>
      <c r="AV968" s="34" cm="1">
        <f t="array" ref="AV968" xml:space="preserve"> INDEX( VfM_Metrics_2023_Consol_Source[], $AK968, AV$832 )</f>
        <v>0.99873337555414821</v>
      </c>
      <c r="AW968" s="34" cm="1">
        <f t="array" ref="AW968" xml:space="preserve"> INDEX( VfM_Metrics_2023_Consol_Source[], $AK968, AW$832 )</f>
        <v>0</v>
      </c>
      <c r="AX968" s="34" cm="1">
        <f t="array" ref="AX968" xml:space="preserve"> INDEX( VfM_Metrics_2023_Consol_Source[], $AK968, AX$832 )</f>
        <v>0</v>
      </c>
      <c r="AY968" s="34" cm="1">
        <f t="array" ref="AY968" xml:space="preserve"> INDEX( VfM_Metrics_2023_Consol_Source[], $AK968, AY$832 )</f>
        <v>0</v>
      </c>
      <c r="AZ968" s="34" cm="1">
        <f t="array" ref="AZ968" xml:space="preserve"> INDEX( VfM_Metrics_2023_Consol_Source[], $AK968, AZ$832 )</f>
        <v>0</v>
      </c>
      <c r="BA968" s="34" cm="1">
        <f t="array" ref="BA968" xml:space="preserve"> INDEX( VfM_Metrics_2023_Consol_Source[], $AK968, BA$832 )</f>
        <v>0</v>
      </c>
      <c r="BB968" s="34" cm="1">
        <f t="array" ref="BB968" xml:space="preserve"> INDEX( VfM_Metrics_2023_Consol_Source[], $AK968, BB$832 )</f>
        <v>0</v>
      </c>
      <c r="BC968" s="34" cm="1">
        <f t="array" ref="BC968" xml:space="preserve"> INDEX( VfM_Metrics_2023_Consol_Source[], $AK968, BC$832 )</f>
        <v>0</v>
      </c>
    </row>
    <row r="969" spans="2:55" x14ac:dyDescent="0.2">
      <c r="B969" s="122" t="str" vm="136">
        <f t="shared" ref="B969" si="474" xml:space="preserve"> B759</f>
        <v>Red Kite Community Housing Limited</v>
      </c>
      <c r="C969" s="122" t="str" vm="356">
        <f t="shared" si="467"/>
        <v>4682</v>
      </c>
      <c r="D969" s="30" cm="1">
        <f t="array" ref="D969" xml:space="preserve"> INDEX( VfM_Metrics_2023_Consol_Source[], $AK969, D$832 )</f>
        <v>9.7255166154378778E-2</v>
      </c>
      <c r="E969" s="35">
        <f xml:space="preserve"> IF( tblFilterAll[[#This Row],[Reinvestment]] &lt; D$825, 4, IF( tblFilterAll[[#This Row],[Reinvestment]] &lt; D$826, 3, IF( tblFilterAll[[#This Row],[Reinvestment]] &lt; D$827, 2, 1 ) ) )</f>
        <v>1</v>
      </c>
      <c r="F969" s="35">
        <f xml:space="preserve"> COUNTIFS( tblFilterAll[Include in output], 1, tblFilterAll[Reinvestment], "&gt;" &amp; tblFilterAll[[#This Row],[Reinvestment]] ) + 1</f>
        <v>44</v>
      </c>
      <c r="G969" s="30" cm="1">
        <f t="array" ref="G969" xml:space="preserve"> INDEX( VfM_Metrics_2023_Consol_Source[], $AK969, G$832 )</f>
        <v>1.4479638009049773E-3</v>
      </c>
      <c r="H969" s="35">
        <f xml:space="preserve"> IF( tblFilterAll[[#This Row],[New Supply (Social)]] &lt; G$825, 4, IF( tblFilterAll[[#This Row],[New Supply (Social)]] &lt; G$826, 3, IF( tblFilterAll[[#This Row],[New Supply (Social)]] &lt; G$827, 2, 1 ) ) )</f>
        <v>4</v>
      </c>
      <c r="I969" s="35">
        <f xml:space="preserve"> COUNTIFS( tblFilterAll[Include in output], 1, tblFilterAll[New Supply (Social)], "&gt;" &amp; tblFilterAll[[#This Row],[New Supply (Social)]] ) + 1</f>
        <v>178</v>
      </c>
      <c r="J969" s="31" cm="1">
        <f t="array" ref="J969" xml:space="preserve"> INDEX( VfM_Metrics_2023_Consol_Source[], $AK969, J$832 )</f>
        <v>2.1621621621621622E-3</v>
      </c>
      <c r="K969" s="35">
        <f xml:space="preserve"> IF( tblFilterAll[[#This Row],[New Supply (Non-Social)]] &lt; J$825, 4, IF( tblFilterAll[[#This Row],[New Supply (Non-Social)]] &lt; J$826, 3, IF( tblFilterAll[[#This Row],[New Supply (Non-Social)]] &lt; J$827, 2, 1 ) ) )</f>
        <v>1</v>
      </c>
      <c r="L969" s="35">
        <f xml:space="preserve"> COUNTIFS( tblFilterAll[Include in output], 1, tblFilterAll[New Supply (Non-Social)], "&gt;" &amp; tblFilterAll[[#This Row],[New Supply (Non-Social)]] ) + 1</f>
        <v>34</v>
      </c>
      <c r="M969" s="30" cm="1">
        <f t="array" ref="M969" xml:space="preserve"> INDEX( VfM_Metrics_2023_Consol_Source[], $AK969, M$832 )</f>
        <v>0.34590894842968556</v>
      </c>
      <c r="N969" s="35">
        <f xml:space="preserve"> IF( tblFilterAll[[#This Row],[Gearing]] &lt; M$825, 4, IF( tblFilterAll[[#This Row],[Gearing]] &lt; M$826, 3, IF( tblFilterAll[[#This Row],[Gearing]] &lt; M$827, 2, 1 ) ) )</f>
        <v>3</v>
      </c>
      <c r="O969" s="35">
        <f xml:space="preserve"> COUNTIFS( tblFilterAll[Include in output], 1, tblFilterAll[Gearing], "&gt;" &amp; tblFilterAll[[#This Row],[Gearing]] ) + 1</f>
        <v>145</v>
      </c>
      <c r="P969" s="30" cm="1">
        <f t="array" ref="P969" xml:space="preserve"> INDEX( VfM_Metrics_2023_Consol_Source[], $AK969, P$832 )</f>
        <v>1.5226420536486875</v>
      </c>
      <c r="Q969" s="35">
        <f xml:space="preserve"> IF( tblFilterAll[[#This Row],[EBITDA MRI Interest Cover]] &lt; P$825, 4, IF( tblFilterAll[[#This Row],[EBITDA MRI Interest Cover]] &lt; P$826, 3, IF( tblFilterAll[[#This Row],[EBITDA MRI Interest Cover]] &lt; P$827, 2, 1 ) ) )</f>
        <v>2</v>
      </c>
      <c r="R969" s="35">
        <f xml:space="preserve"> COUNTIFS( tblFilterAll[Include in output], 1, tblFilterAll[EBITDA MRI Interest Cover], "&gt;" &amp; tblFilterAll[[#This Row],[EBITDA MRI Interest Cover]] ) + 1</f>
        <v>60</v>
      </c>
      <c r="S969" s="32" cm="1">
        <f t="array" ref="S969" xml:space="preserve"> INDEX( VfM_Metrics_2023_Consol_Source[], $AK969, S$832 )</f>
        <v>5455.2036199095028</v>
      </c>
      <c r="T969" s="35">
        <f xml:space="preserve"> IF( tblFilterAll[[#This Row],[Headline Social Housing Cost per unit]] &lt; S$825, 4, IF( tblFilterAll[[#This Row],[Headline Social Housing Cost per unit]] &lt; S$826, 3, IF( tblFilterAll[[#This Row],[Headline Social Housing Cost per unit]] &lt; S$827, 2, 1 ) ) )</f>
        <v>2</v>
      </c>
      <c r="U969" s="35">
        <f xml:space="preserve"> COUNTIFS( tblFilterAll[Include in output], 1, tblFilterAll[Headline Social Housing Cost per unit], "&gt;" &amp; tblFilterAll[[#This Row],[Headline Social Housing Cost per unit]] ) + 1</f>
        <v>61</v>
      </c>
      <c r="V969" s="30" cm="1">
        <f t="array" ref="V969" xml:space="preserve"> INDEX( VfM_Metrics_2023_Consol_Source[], $AK969, V$832 )</f>
        <v>0.2345011186949503</v>
      </c>
      <c r="W969" s="35">
        <f xml:space="preserve"> IF( tblFilterAll[[#This Row],[Operating Margin (SHL)]] &lt; V$825, 4, IF( tblFilterAll[[#This Row],[Operating Margin (SHL)]] &lt; V$826, 3, IF( tblFilterAll[[#This Row],[Operating Margin (SHL)]] &lt; V$827, 2, 1 ) ) )</f>
        <v>2</v>
      </c>
      <c r="X969" s="35">
        <f xml:space="preserve"> COUNTIFS( tblFilterAll[Include in output], 1, tblFilterAll[Operating Margin (SHL)], "&gt;" &amp; tblFilterAll[[#This Row],[Operating Margin (SHL)]] ) + 1</f>
        <v>67</v>
      </c>
      <c r="Y969" s="30" cm="1">
        <f t="array" ref="Y969" xml:space="preserve"> INDEX( VfM_Metrics_2023_Consol_Source[], $AK969, Y$832 )</f>
        <v>0.16764953664700927</v>
      </c>
      <c r="Z969" s="35">
        <f xml:space="preserve"> IF( tblFilterAll[[#This Row],[Operating Margin (Overall)]] &lt; Y$825, 4, IF( tblFilterAll[[#This Row],[Operating Margin (Overall)]] &lt; Y$826, 3, IF( tblFilterAll[[#This Row],[Operating Margin (Overall)]] &lt; Y$827, 2, 1 ) ) )</f>
        <v>3</v>
      </c>
      <c r="AA969" s="35">
        <f xml:space="preserve"> COUNTIFS( tblFilterAll[Include in output], 1, tblFilterAll[Operating Margin (Overall)], "&gt;" &amp; tblFilterAll[[#This Row],[Operating Margin (Overall)]] ) + 1</f>
        <v>114</v>
      </c>
      <c r="AB969" s="30" cm="1">
        <f t="array" ref="AB969" xml:space="preserve"> INDEX( VfM_Metrics_2023_Consol_Source[], $AK969, AB$832 )</f>
        <v>2.8432663124116912E-2</v>
      </c>
      <c r="AC969" s="35">
        <f xml:space="preserve"> IF( tblFilterAll[[#This Row],[ROCE]] &lt; AB$825, 4, IF( tblFilterAll[[#This Row],[ROCE]] &lt; AB$826, 3, IF( tblFilterAll[[#This Row],[ROCE]] &lt; AB$827, 2, 1 ) ) )</f>
        <v>2</v>
      </c>
      <c r="AD969" s="35">
        <f xml:space="preserve"> COUNTIFS( tblFilterAll[Include in output], 1, tblFilterAll[ROCE], "&gt;" &amp; tblFilterAll[[#This Row],[ROCE]] ) + 1</f>
        <v>99</v>
      </c>
      <c r="AE969" s="33" cm="1" vm="5300">
        <f t="array" ref="AE969" xml:space="preserve"> INDEX( VfM_Metrics_2023_Consol_Source[], $AK969, AE$832 )</f>
        <v>5525</v>
      </c>
      <c r="AF969" s="30" cm="1">
        <f t="array" ref="AF969" xml:space="preserve"> INDEX( VfM_Metrics_2023_Consol_Source[], $AK969, AF$832 )</f>
        <v>0</v>
      </c>
      <c r="AG969" s="30" cm="1">
        <f t="array" ref="AG969" xml:space="preserve"> INDEX( VfM_Metrics_2023_Consol_Source[], $AK969, AG$832 )</f>
        <v>0.31312217194570136</v>
      </c>
      <c r="AH969" s="30" cm="1">
        <f t="array" ref="AH969" xml:space="preserve"> INDEX( VfM_Metrics_2023_Consol_Source[], $AK969, AH$832 )</f>
        <v>0.31312217194570136</v>
      </c>
      <c r="AI969" s="30" t="str" cm="1">
        <f t="array" ref="AI969" xml:space="preserve"> INDEX( VfM_Metrics_2023_Consol_Source[], $AK969, AI$832 )</f>
        <v>Traditional</v>
      </c>
      <c r="AJ969" s="34" t="str" cm="1">
        <f t="array" ref="AJ969" xml:space="preserve"> INDEX( VfM_Metrics_2023_Consol_Source[], $AK969, AJ$832 )</f>
        <v>South East</v>
      </c>
      <c r="AK969" s="81">
        <f xml:space="preserve"> MATCH( tblFilterAll[[#This Row],[Code]], VfM_Metrics_2023_Consol_Source[RP_Code], 0 )</f>
        <v>136</v>
      </c>
      <c r="AL969" s="24">
        <f xml:space="preserve"> INDEX( tblFilterRegion[Include for region],  MATCH( tblFilterAll[[#This Row],[Code]], tblFilterRegion[RP_Code], 0 ) )</f>
        <v>1</v>
      </c>
      <c r="AM969" s="24">
        <f xml:space="preserve"> INDEX( tblFilterPropType[Incl for prop type],  MATCH( tblFilterAll[[#This Row],[Code]], tblFilterPropType[RP_Code], 0 ) )</f>
        <v>1</v>
      </c>
      <c r="AN969" s="24">
        <f xml:space="preserve"> INDEX( tblFilterSize[Incl for size],  MATCH( tblFilterAll[[#This Row],[Code]], tblFilterSize[RP_Code], 0 ) )</f>
        <v>1</v>
      </c>
      <c r="AO969" s="24">
        <f xml:space="preserve"> INDEX( tblFilterRP_Type[Incl, for RP Type],  MATCH( tblFilterAll[[#This Row],[Code]], tblFilterRP_Type[RP_Code], 0 ) )</f>
        <v>1</v>
      </c>
      <c r="AP969" s="24">
        <f xml:space="preserve">  -- ( SUM( tblFilterAll[[#This Row],[Filter Region]:[Filter RP Type]] ) = 4 )</f>
        <v>1</v>
      </c>
      <c r="AQ969" s="24">
        <f xml:space="preserve"> -- ( tblFilterAll[[#This Row],[Provider name]] = SelectedProvider )</f>
        <v>0</v>
      </c>
      <c r="AR969" s="24">
        <f xml:space="preserve">  -- ( OR( SUM( tblFilterAll[[#This Row],[Filter Region]:[Filter RP Type]] ) = 4, tblFilterAll[[#This Row],[SelectedProvider]] = 1 ) )</f>
        <v>1</v>
      </c>
      <c r="AS969" s="24">
        <f xml:space="preserve"> -- ( INDEX( PeersCritera[Included in final peers], MATCH( tblFilterAll[[#This Row],[Provider name]], PeersCritera[RP_Name], 0 ) ) = 1 )</f>
        <v>1</v>
      </c>
      <c r="AT969" s="30" t="str" cm="1">
        <f t="array" ref="AT969" xml:space="preserve"> SUBSTITUTE( INDEX( VfM_Metrics_2023_Consol_Source[], $AK969, AT$832 ), 0, "" )</f>
        <v>&gt;= 12 years</v>
      </c>
      <c r="AU969" s="34" cm="1">
        <f t="array" ref="AU969" xml:space="preserve"> INDEX( VfM_Metrics_2023_Consol_Source[], $AK969, AU$832 )</f>
        <v>0</v>
      </c>
      <c r="AV969" s="34" cm="1">
        <f t="array" ref="AV969" xml:space="preserve"> INDEX( VfM_Metrics_2023_Consol_Source[], $AK969, AV$832 )</f>
        <v>1</v>
      </c>
      <c r="AW969" s="34" cm="1">
        <f t="array" ref="AW969" xml:space="preserve"> INDEX( VfM_Metrics_2023_Consol_Source[], $AK969, AW$832 )</f>
        <v>0</v>
      </c>
      <c r="AX969" s="34" cm="1">
        <f t="array" ref="AX969" xml:space="preserve"> INDEX( VfM_Metrics_2023_Consol_Source[], $AK969, AX$832 )</f>
        <v>0</v>
      </c>
      <c r="AY969" s="34" cm="1">
        <f t="array" ref="AY969" xml:space="preserve"> INDEX( VfM_Metrics_2023_Consol_Source[], $AK969, AY$832 )</f>
        <v>0</v>
      </c>
      <c r="AZ969" s="34" cm="1">
        <f t="array" ref="AZ969" xml:space="preserve"> INDEX( VfM_Metrics_2023_Consol_Source[], $AK969, AZ$832 )</f>
        <v>0</v>
      </c>
      <c r="BA969" s="34" cm="1">
        <f t="array" ref="BA969" xml:space="preserve"> INDEX( VfM_Metrics_2023_Consol_Source[], $AK969, BA$832 )</f>
        <v>0</v>
      </c>
      <c r="BB969" s="34" cm="1">
        <f t="array" ref="BB969" xml:space="preserve"> INDEX( VfM_Metrics_2023_Consol_Source[], $AK969, BB$832 )</f>
        <v>0</v>
      </c>
      <c r="BC969" s="34" cm="1">
        <f t="array" ref="BC969" xml:space="preserve"> INDEX( VfM_Metrics_2023_Consol_Source[], $AK969, BC$832 )</f>
        <v>0</v>
      </c>
    </row>
    <row r="970" spans="2:55" x14ac:dyDescent="0.2">
      <c r="B970" s="122" t="str" vm="137">
        <f t="shared" ref="B970" si="475" xml:space="preserve"> B760</f>
        <v>Regenda Limited</v>
      </c>
      <c r="C970" s="122" t="str" vm="283">
        <f t="shared" si="467"/>
        <v>4653</v>
      </c>
      <c r="D970" s="30" cm="1">
        <f t="array" ref="D970" xml:space="preserve"> INDEX( VfM_Metrics_2023_Consol_Source[], $AK970, D$832 )</f>
        <v>3.0270149450862059E-2</v>
      </c>
      <c r="E970" s="35">
        <f xml:space="preserve"> IF( tblFilterAll[[#This Row],[Reinvestment]] &lt; D$825, 4, IF( tblFilterAll[[#This Row],[Reinvestment]] &lt; D$826, 3, IF( tblFilterAll[[#This Row],[Reinvestment]] &lt; D$827, 2, 1 ) ) )</f>
        <v>4</v>
      </c>
      <c r="F970" s="35">
        <f xml:space="preserve"> COUNTIFS( tblFilterAll[Include in output], 1, tblFilterAll[Reinvestment], "&gt;" &amp; tblFilterAll[[#This Row],[Reinvestment]] ) + 1</f>
        <v>173</v>
      </c>
      <c r="G970" s="30" cm="1">
        <f t="array" ref="G970" xml:space="preserve"> INDEX( VfM_Metrics_2023_Consol_Source[], $AK970, G$832 )</f>
        <v>1.5772870662460569E-4</v>
      </c>
      <c r="H970" s="35">
        <f xml:space="preserve"> IF( tblFilterAll[[#This Row],[New Supply (Social)]] &lt; G$825, 4, IF( tblFilterAll[[#This Row],[New Supply (Social)]] &lt; G$826, 3, IF( tblFilterAll[[#This Row],[New Supply (Social)]] &lt; G$827, 2, 1 ) ) )</f>
        <v>4</v>
      </c>
      <c r="I970" s="35">
        <f xml:space="preserve"> COUNTIFS( tblFilterAll[Include in output], 1, tblFilterAll[New Supply (Social)], "&gt;" &amp; tblFilterAll[[#This Row],[New Supply (Social)]] ) + 1</f>
        <v>186</v>
      </c>
      <c r="J970" s="31" cm="1">
        <f t="array" ref="J970" xml:space="preserve"> INDEX( VfM_Metrics_2023_Consol_Source[], $AK970, J$832 )</f>
        <v>2.3230602446956791E-4</v>
      </c>
      <c r="K970" s="35">
        <f xml:space="preserve"> IF( tblFilterAll[[#This Row],[New Supply (Non-Social)]] &lt; J$825, 4, IF( tblFilterAll[[#This Row],[New Supply (Non-Social)]] &lt; J$826, 3, IF( tblFilterAll[[#This Row],[New Supply (Non-Social)]] &lt; J$827, 2, 1 ) ) )</f>
        <v>2</v>
      </c>
      <c r="L970" s="35">
        <f xml:space="preserve"> COUNTIFS( tblFilterAll[Include in output], 1, tblFilterAll[New Supply (Non-Social)], "&gt;" &amp; tblFilterAll[[#This Row],[New Supply (Non-Social)]] ) + 1</f>
        <v>67</v>
      </c>
      <c r="M970" s="30" cm="1">
        <f t="array" ref="M970" xml:space="preserve"> INDEX( VfM_Metrics_2023_Consol_Source[], $AK970, M$832 )</f>
        <v>0.41307974437908296</v>
      </c>
      <c r="N970" s="35">
        <f xml:space="preserve"> IF( tblFilterAll[[#This Row],[Gearing]] &lt; M$825, 4, IF( tblFilterAll[[#This Row],[Gearing]] &lt; M$826, 3, IF( tblFilterAll[[#This Row],[Gearing]] &lt; M$827, 2, 1 ) ) )</f>
        <v>3</v>
      </c>
      <c r="O970" s="35">
        <f xml:space="preserve"> COUNTIFS( tblFilterAll[Include in output], 1, tblFilterAll[Gearing], "&gt;" &amp; tblFilterAll[[#This Row],[Gearing]] ) + 1</f>
        <v>125</v>
      </c>
      <c r="P970" s="30" cm="1">
        <f t="array" ref="P970" xml:space="preserve"> INDEX( VfM_Metrics_2023_Consol_Source[], $AK970, P$832 )</f>
        <v>0.42051905920519062</v>
      </c>
      <c r="Q970" s="35">
        <f xml:space="preserve"> IF( tblFilterAll[[#This Row],[EBITDA MRI Interest Cover]] &lt; P$825, 4, IF( tblFilterAll[[#This Row],[EBITDA MRI Interest Cover]] &lt; P$826, 3, IF( tblFilterAll[[#This Row],[EBITDA MRI Interest Cover]] &lt; P$827, 2, 1 ) ) )</f>
        <v>4</v>
      </c>
      <c r="R970" s="35">
        <f xml:space="preserve"> COUNTIFS( tblFilterAll[Include in output], 1, tblFilterAll[EBITDA MRI Interest Cover], "&gt;" &amp; tblFilterAll[[#This Row],[EBITDA MRI Interest Cover]] ) + 1</f>
        <v>173</v>
      </c>
      <c r="S970" s="32" cm="1">
        <f t="array" ref="S970" xml:space="preserve"> INDEX( VfM_Metrics_2023_Consol_Source[], $AK970, S$832 )</f>
        <v>4450.757575757576</v>
      </c>
      <c r="T970" s="35">
        <f xml:space="preserve"> IF( tblFilterAll[[#This Row],[Headline Social Housing Cost per unit]] &lt; S$825, 4, IF( tblFilterAll[[#This Row],[Headline Social Housing Cost per unit]] &lt; S$826, 3, IF( tblFilterAll[[#This Row],[Headline Social Housing Cost per unit]] &lt; S$827, 2, 1 ) ) )</f>
        <v>3</v>
      </c>
      <c r="U970" s="35">
        <f xml:space="preserve"> COUNTIFS( tblFilterAll[Include in output], 1, tblFilterAll[Headline Social Housing Cost per unit], "&gt;" &amp; tblFilterAll[[#This Row],[Headline Social Housing Cost per unit]] ) + 1</f>
        <v>113</v>
      </c>
      <c r="V970" s="30" cm="1">
        <f t="array" ref="V970" xml:space="preserve"> INDEX( VfM_Metrics_2023_Consol_Source[], $AK970, V$832 )</f>
        <v>0.19666284966464911</v>
      </c>
      <c r="W970" s="35">
        <f xml:space="preserve"> IF( tblFilterAll[[#This Row],[Operating Margin (SHL)]] &lt; V$825, 4, IF( tblFilterAll[[#This Row],[Operating Margin (SHL)]] &lt; V$826, 3, IF( tblFilterAll[[#This Row],[Operating Margin (SHL)]] &lt; V$827, 2, 1 ) ) )</f>
        <v>3</v>
      </c>
      <c r="X970" s="35">
        <f xml:space="preserve"> COUNTIFS( tblFilterAll[Include in output], 1, tblFilterAll[Operating Margin (SHL)], "&gt;" &amp; tblFilterAll[[#This Row],[Operating Margin (SHL)]] ) + 1</f>
        <v>101</v>
      </c>
      <c r="Y970" s="30" cm="1">
        <f t="array" ref="Y970" xml:space="preserve"> INDEX( VfM_Metrics_2023_Consol_Source[], $AK970, Y$832 )</f>
        <v>9.2787407330061605E-2</v>
      </c>
      <c r="Z970" s="35">
        <f xml:space="preserve"> IF( tblFilterAll[[#This Row],[Operating Margin (Overall)]] &lt; Y$825, 4, IF( tblFilterAll[[#This Row],[Operating Margin (Overall)]] &lt; Y$826, 3, IF( tblFilterAll[[#This Row],[Operating Margin (Overall)]] &lt; Y$827, 2, 1 ) ) )</f>
        <v>4</v>
      </c>
      <c r="AA970" s="35">
        <f xml:space="preserve"> COUNTIFS( tblFilterAll[Include in output], 1, tblFilterAll[Operating Margin (Overall)], "&gt;" &amp; tblFilterAll[[#This Row],[Operating Margin (Overall)]] ) + 1</f>
        <v>165</v>
      </c>
      <c r="AB970" s="30" cm="1">
        <f t="array" ref="AB970" xml:space="preserve"> INDEX( VfM_Metrics_2023_Consol_Source[], $AK970, AB$832 )</f>
        <v>1.7902156136060138E-2</v>
      </c>
      <c r="AC970" s="35">
        <f xml:space="preserve"> IF( tblFilterAll[[#This Row],[ROCE]] &lt; AB$825, 4, IF( tblFilterAll[[#This Row],[ROCE]] &lt; AB$826, 3, IF( tblFilterAll[[#This Row],[ROCE]] &lt; AB$827, 2, 1 ) ) )</f>
        <v>4</v>
      </c>
      <c r="AD970" s="35">
        <f xml:space="preserve"> COUNTIFS( tblFilterAll[Include in output], 1, tblFilterAll[ROCE], "&gt;" &amp; tblFilterAll[[#This Row],[ROCE]] ) + 1</f>
        <v>171</v>
      </c>
      <c r="AE970" s="33" cm="1" vm="2752">
        <f t="array" ref="AE970" xml:space="preserve"> INDEX( VfM_Metrics_2023_Consol_Source[], $AK970, AE$832 )</f>
        <v>12133</v>
      </c>
      <c r="AF970" s="30" cm="1">
        <f t="array" ref="AF970" xml:space="preserve"> INDEX( VfM_Metrics_2023_Consol_Source[], $AK970, AF$832 )</f>
        <v>7.0981754995655955E-2</v>
      </c>
      <c r="AG970" s="30" cm="1">
        <f t="array" ref="AG970" xml:space="preserve"> INDEX( VfM_Metrics_2023_Consol_Source[], $AK970, AG$832 )</f>
        <v>8.2363162467419634E-2</v>
      </c>
      <c r="AH970" s="30" cm="1">
        <f t="array" ref="AH970" xml:space="preserve"> INDEX( VfM_Metrics_2023_Consol_Source[], $AK970, AH$832 )</f>
        <v>0.1533449174630756</v>
      </c>
      <c r="AI970" s="30" t="str" cm="1">
        <f t="array" ref="AI970" xml:space="preserve"> INDEX( VfM_Metrics_2023_Consol_Source[], $AK970, AI$832 )</f>
        <v>Traditional</v>
      </c>
      <c r="AJ970" s="34" t="str" cm="1">
        <f t="array" ref="AJ970" xml:space="preserve"> INDEX( VfM_Metrics_2023_Consol_Source[], $AK970, AJ$832 )</f>
        <v>North West</v>
      </c>
      <c r="AK970" s="81">
        <f xml:space="preserve"> MATCH( tblFilterAll[[#This Row],[Code]], VfM_Metrics_2023_Consol_Source[RP_Code], 0 )</f>
        <v>137</v>
      </c>
      <c r="AL970" s="24">
        <f xml:space="preserve"> INDEX( tblFilterRegion[Include for region],  MATCH( tblFilterAll[[#This Row],[Code]], tblFilterRegion[RP_Code], 0 ) )</f>
        <v>1</v>
      </c>
      <c r="AM970" s="24">
        <f xml:space="preserve"> INDEX( tblFilterPropType[Incl for prop type],  MATCH( tblFilterAll[[#This Row],[Code]], tblFilterPropType[RP_Code], 0 ) )</f>
        <v>1</v>
      </c>
      <c r="AN970" s="24">
        <f xml:space="preserve"> INDEX( tblFilterSize[Incl for size],  MATCH( tblFilterAll[[#This Row],[Code]], tblFilterSize[RP_Code], 0 ) )</f>
        <v>1</v>
      </c>
      <c r="AO970" s="24">
        <f xml:space="preserve"> INDEX( tblFilterRP_Type[Incl, for RP Type],  MATCH( tblFilterAll[[#This Row],[Code]], tblFilterRP_Type[RP_Code], 0 ) )</f>
        <v>1</v>
      </c>
      <c r="AP970" s="24">
        <f xml:space="preserve">  -- ( SUM( tblFilterAll[[#This Row],[Filter Region]:[Filter RP Type]] ) = 4 )</f>
        <v>1</v>
      </c>
      <c r="AQ970" s="24">
        <f xml:space="preserve"> -- ( tblFilterAll[[#This Row],[Provider name]] = SelectedProvider )</f>
        <v>0</v>
      </c>
      <c r="AR970" s="24">
        <f xml:space="preserve">  -- ( OR( SUM( tblFilterAll[[#This Row],[Filter Region]:[Filter RP Type]] ) = 4, tblFilterAll[[#This Row],[SelectedProvider]] = 1 ) )</f>
        <v>1</v>
      </c>
      <c r="AS970" s="24">
        <f xml:space="preserve"> -- ( INDEX( PeersCritera[Included in final peers], MATCH( tblFilterAll[[#This Row],[Provider name]], PeersCritera[RP_Name], 0 ) ) = 1 )</f>
        <v>1</v>
      </c>
      <c r="AT970" s="30" t="str" cm="1">
        <f t="array" ref="AT970" xml:space="preserve"> SUBSTITUTE( INDEX( VfM_Metrics_2023_Consol_Source[], $AK970, AT$832 ), 0, "" )</f>
        <v/>
      </c>
      <c r="AU970" s="34" cm="1">
        <f t="array" ref="AU970" xml:space="preserve"> INDEX( VfM_Metrics_2023_Consol_Source[], $AK970, AU$832 )</f>
        <v>0</v>
      </c>
      <c r="AV970" s="34" cm="1">
        <f t="array" ref="AV970" xml:space="preserve"> INDEX( VfM_Metrics_2023_Consol_Source[], $AK970, AV$832 )</f>
        <v>0</v>
      </c>
      <c r="AW970" s="34" cm="1">
        <f t="array" ref="AW970" xml:space="preserve"> INDEX( VfM_Metrics_2023_Consol_Source[], $AK970, AW$832 )</f>
        <v>0</v>
      </c>
      <c r="AX970" s="34" cm="1">
        <f t="array" ref="AX970" xml:space="preserve"> INDEX( VfM_Metrics_2023_Consol_Source[], $AK970, AX$832 )</f>
        <v>0</v>
      </c>
      <c r="AY970" s="34" cm="1">
        <f t="array" ref="AY970" xml:space="preserve"> INDEX( VfM_Metrics_2023_Consol_Source[], $AK970, AY$832 )</f>
        <v>0</v>
      </c>
      <c r="AZ970" s="34" cm="1">
        <f t="array" ref="AZ970" xml:space="preserve"> INDEX( VfM_Metrics_2023_Consol_Source[], $AK970, AZ$832 )</f>
        <v>0</v>
      </c>
      <c r="BA970" s="34" cm="1">
        <f t="array" ref="BA970" xml:space="preserve"> INDEX( VfM_Metrics_2023_Consol_Source[], $AK970, BA$832 )</f>
        <v>0</v>
      </c>
      <c r="BB970" s="34" cm="1">
        <f t="array" ref="BB970" xml:space="preserve"> INDEX( VfM_Metrics_2023_Consol_Source[], $AK970, BB$832 )</f>
        <v>1</v>
      </c>
      <c r="BC970" s="34" cm="1">
        <f t="array" ref="BC970" xml:space="preserve"> INDEX( VfM_Metrics_2023_Consol_Source[], $AK970, BC$832 )</f>
        <v>0</v>
      </c>
    </row>
    <row r="971" spans="2:55" x14ac:dyDescent="0.2">
      <c r="B971" s="122" t="str" vm="138">
        <f t="shared" ref="B971" si="476" xml:space="preserve"> B761</f>
        <v>Richmond Housing Partnership Limited</v>
      </c>
      <c r="C971" s="122" t="str" vm="360">
        <f t="shared" si="467"/>
        <v>L4279</v>
      </c>
      <c r="D971" s="30" cm="1">
        <f t="array" ref="D971" xml:space="preserve"> INDEX( VfM_Metrics_2023_Consol_Source[], $AK971, D$832 )</f>
        <v>5.9862334063379964E-2</v>
      </c>
      <c r="E971" s="35">
        <f xml:space="preserve"> IF( tblFilterAll[[#This Row],[Reinvestment]] &lt; D$825, 4, IF( tblFilterAll[[#This Row],[Reinvestment]] &lt; D$826, 3, IF( tblFilterAll[[#This Row],[Reinvestment]] &lt; D$827, 2, 1 ) ) )</f>
        <v>3</v>
      </c>
      <c r="F971" s="35">
        <f xml:space="preserve"> COUNTIFS( tblFilterAll[Include in output], 1, tblFilterAll[Reinvestment], "&gt;" &amp; tblFilterAll[[#This Row],[Reinvestment]] ) + 1</f>
        <v>118</v>
      </c>
      <c r="G971" s="30" cm="1">
        <f t="array" ref="G971" xml:space="preserve"> INDEX( VfM_Metrics_2023_Consol_Source[], $AK971, G$832 )</f>
        <v>3.7696335078534031E-3</v>
      </c>
      <c r="H971" s="35">
        <f xml:space="preserve"> IF( tblFilterAll[[#This Row],[New Supply (Social)]] &lt; G$825, 4, IF( tblFilterAll[[#This Row],[New Supply (Social)]] &lt; G$826, 3, IF( tblFilterAll[[#This Row],[New Supply (Social)]] &lt; G$827, 2, 1 ) ) )</f>
        <v>4</v>
      </c>
      <c r="I971" s="35">
        <f xml:space="preserve"> COUNTIFS( tblFilterAll[Include in output], 1, tblFilterAll[New Supply (Social)], "&gt;" &amp; tblFilterAll[[#This Row],[New Supply (Social)]] ) + 1</f>
        <v>165</v>
      </c>
      <c r="J971" s="31" cm="1">
        <f t="array" ref="J971" xml:space="preserve"> INDEX( VfM_Metrics_2023_Consol_Source[], $AK971, J$832 )</f>
        <v>0</v>
      </c>
      <c r="K971" s="35">
        <f xml:space="preserve"> IF( tblFilterAll[[#This Row],[New Supply (Non-Social)]] &lt; J$825, 4, IF( tblFilterAll[[#This Row],[New Supply (Non-Social)]] &lt; J$826, 3, IF( tblFilterAll[[#This Row],[New Supply (Non-Social)]] &lt; J$827, 2, 1 ) ) )</f>
        <v>2</v>
      </c>
      <c r="L971" s="35">
        <f xml:space="preserve"> COUNTIFS( tblFilterAll[Include in output], 1, tblFilterAll[New Supply (Non-Social)], "&gt;" &amp; tblFilterAll[[#This Row],[New Supply (Non-Social)]] ) + 1</f>
        <v>72</v>
      </c>
      <c r="M971" s="30" cm="1">
        <f t="array" ref="M971" xml:space="preserve"> INDEX( VfM_Metrics_2023_Consol_Source[], $AK971, M$832 )</f>
        <v>0.56483931524605546</v>
      </c>
      <c r="N971" s="35">
        <f xml:space="preserve"> IF( tblFilterAll[[#This Row],[Gearing]] &lt; M$825, 4, IF( tblFilterAll[[#This Row],[Gearing]] &lt; M$826, 3, IF( tblFilterAll[[#This Row],[Gearing]] &lt; M$827, 2, 1 ) ) )</f>
        <v>1</v>
      </c>
      <c r="O971" s="35">
        <f xml:space="preserve"> COUNTIFS( tblFilterAll[Include in output], 1, tblFilterAll[Gearing], "&gt;" &amp; tblFilterAll[[#This Row],[Gearing]] ) + 1</f>
        <v>36</v>
      </c>
      <c r="P971" s="30" cm="1">
        <f t="array" ref="P971" xml:space="preserve"> INDEX( VfM_Metrics_2023_Consol_Source[], $AK971, P$832 )</f>
        <v>1.3510687198345208</v>
      </c>
      <c r="Q971" s="35">
        <f xml:space="preserve"> IF( tblFilterAll[[#This Row],[EBITDA MRI Interest Cover]] &lt; P$825, 4, IF( tblFilterAll[[#This Row],[EBITDA MRI Interest Cover]] &lt; P$826, 3, IF( tblFilterAll[[#This Row],[EBITDA MRI Interest Cover]] &lt; P$827, 2, 1 ) ) )</f>
        <v>2</v>
      </c>
      <c r="R971" s="35">
        <f xml:space="preserve"> COUNTIFS( tblFilterAll[Include in output], 1, tblFilterAll[EBITDA MRI Interest Cover], "&gt;" &amp; tblFilterAll[[#This Row],[EBITDA MRI Interest Cover]] ) + 1</f>
        <v>84</v>
      </c>
      <c r="S971" s="32" cm="1">
        <f t="array" ref="S971" xml:space="preserve"> INDEX( VfM_Metrics_2023_Consol_Source[], $AK971, S$832 )</f>
        <v>5197.9064442263652</v>
      </c>
      <c r="T971" s="35">
        <f xml:space="preserve"> IF( tblFilterAll[[#This Row],[Headline Social Housing Cost per unit]] &lt; S$825, 4, IF( tblFilterAll[[#This Row],[Headline Social Housing Cost per unit]] &lt; S$826, 3, IF( tblFilterAll[[#This Row],[Headline Social Housing Cost per unit]] &lt; S$827, 2, 1 ) ) )</f>
        <v>2</v>
      </c>
      <c r="U971" s="35">
        <f xml:space="preserve"> COUNTIFS( tblFilterAll[Include in output], 1, tblFilterAll[Headline Social Housing Cost per unit], "&gt;" &amp; tblFilterAll[[#This Row],[Headline Social Housing Cost per unit]] ) + 1</f>
        <v>67</v>
      </c>
      <c r="V971" s="30" cm="1">
        <f t="array" ref="V971" xml:space="preserve"> INDEX( VfM_Metrics_2023_Consol_Source[], $AK971, V$832 )</f>
        <v>0.28326323168594464</v>
      </c>
      <c r="W971" s="35">
        <f xml:space="preserve"> IF( tblFilterAll[[#This Row],[Operating Margin (SHL)]] &lt; V$825, 4, IF( tblFilterAll[[#This Row],[Operating Margin (SHL)]] &lt; V$826, 3, IF( tblFilterAll[[#This Row],[Operating Margin (SHL)]] &lt; V$827, 2, 1 ) ) )</f>
        <v>1</v>
      </c>
      <c r="X971" s="35">
        <f xml:space="preserve"> COUNTIFS( tblFilterAll[Include in output], 1, tblFilterAll[Operating Margin (SHL)], "&gt;" &amp; tblFilterAll[[#This Row],[Operating Margin (SHL)]] ) + 1</f>
        <v>33</v>
      </c>
      <c r="Y971" s="30" cm="1">
        <f t="array" ref="Y971" xml:space="preserve"> INDEX( VfM_Metrics_2023_Consol_Source[], $AK971, Y$832 )</f>
        <v>0.25107649064051191</v>
      </c>
      <c r="Z971" s="35">
        <f xml:space="preserve"> IF( tblFilterAll[[#This Row],[Operating Margin (Overall)]] &lt; Y$825, 4, IF( tblFilterAll[[#This Row],[Operating Margin (Overall)]] &lt; Y$826, 3, IF( tblFilterAll[[#This Row],[Operating Margin (Overall)]] &lt; Y$827, 2, 1 ) ) )</f>
        <v>1</v>
      </c>
      <c r="AA971" s="35">
        <f xml:space="preserve"> COUNTIFS( tblFilterAll[Include in output], 1, tblFilterAll[Operating Margin (Overall)], "&gt;" &amp; tblFilterAll[[#This Row],[Operating Margin (Overall)]] ) + 1</f>
        <v>35</v>
      </c>
      <c r="AB971" s="30" cm="1">
        <f t="array" ref="AB971" xml:space="preserve"> INDEX( VfM_Metrics_2023_Consol_Source[], $AK971, AB$832 )</f>
        <v>3.7330808176862386E-2</v>
      </c>
      <c r="AC971" s="35">
        <f xml:space="preserve"> IF( tblFilterAll[[#This Row],[ROCE]] &lt; AB$825, 4, IF( tblFilterAll[[#This Row],[ROCE]] &lt; AB$826, 3, IF( tblFilterAll[[#This Row],[ROCE]] &lt; AB$827, 2, 1 ) ) )</f>
        <v>1</v>
      </c>
      <c r="AD971" s="35">
        <f xml:space="preserve"> COUNTIFS( tblFilterAll[Include in output], 1, tblFilterAll[ROCE], "&gt;" &amp; tblFilterAll[[#This Row],[ROCE]] ) + 1</f>
        <v>42</v>
      </c>
      <c r="AE971" s="33" cm="1" vm="5437">
        <f t="array" ref="AE971" xml:space="preserve"> INDEX( VfM_Metrics_2023_Consol_Source[], $AK971, AE$832 )</f>
        <v>7588</v>
      </c>
      <c r="AF971" s="30" cm="1">
        <f t="array" ref="AF971" xml:space="preserve"> INDEX( VfM_Metrics_2023_Consol_Source[], $AK971, AF$832 )</f>
        <v>0</v>
      </c>
      <c r="AG971" s="30" cm="1">
        <f t="array" ref="AG971" xml:space="preserve"> INDEX( VfM_Metrics_2023_Consol_Source[], $AK971, AG$832 )</f>
        <v>5.1758460517584606E-2</v>
      </c>
      <c r="AH971" s="30" cm="1">
        <f t="array" ref="AH971" xml:space="preserve"> INDEX( VfM_Metrics_2023_Consol_Source[], $AK971, AH$832 )</f>
        <v>5.1758460517584606E-2</v>
      </c>
      <c r="AI971" s="30" t="str" cm="1">
        <f t="array" ref="AI971" xml:space="preserve"> INDEX( VfM_Metrics_2023_Consol_Source[], $AK971, AI$832 )</f>
        <v>Traditional</v>
      </c>
      <c r="AJ971" s="34" t="str" cm="1">
        <f t="array" ref="AJ971" xml:space="preserve"> INDEX( VfM_Metrics_2023_Consol_Source[], $AK971, AJ$832 )</f>
        <v>London</v>
      </c>
      <c r="AK971" s="81">
        <f xml:space="preserve"> MATCH( tblFilterAll[[#This Row],[Code]], VfM_Metrics_2023_Consol_Source[RP_Code], 0 )</f>
        <v>138</v>
      </c>
      <c r="AL971" s="24">
        <f xml:space="preserve"> INDEX( tblFilterRegion[Include for region],  MATCH( tblFilterAll[[#This Row],[Code]], tblFilterRegion[RP_Code], 0 ) )</f>
        <v>1</v>
      </c>
      <c r="AM971" s="24">
        <f xml:space="preserve"> INDEX( tblFilterPropType[Incl for prop type],  MATCH( tblFilterAll[[#This Row],[Code]], tblFilterPropType[RP_Code], 0 ) )</f>
        <v>1</v>
      </c>
      <c r="AN971" s="24">
        <f xml:space="preserve"> INDEX( tblFilterSize[Incl for size],  MATCH( tblFilterAll[[#This Row],[Code]], tblFilterSize[RP_Code], 0 ) )</f>
        <v>1</v>
      </c>
      <c r="AO971" s="24">
        <f xml:space="preserve"> INDEX( tblFilterRP_Type[Incl, for RP Type],  MATCH( tblFilterAll[[#This Row],[Code]], tblFilterRP_Type[RP_Code], 0 ) )</f>
        <v>1</v>
      </c>
      <c r="AP971" s="24">
        <f xml:space="preserve">  -- ( SUM( tblFilterAll[[#This Row],[Filter Region]:[Filter RP Type]] ) = 4 )</f>
        <v>1</v>
      </c>
      <c r="AQ971" s="24">
        <f xml:space="preserve"> -- ( tblFilterAll[[#This Row],[Provider name]] = SelectedProvider )</f>
        <v>0</v>
      </c>
      <c r="AR971" s="24">
        <f xml:space="preserve">  -- ( OR( SUM( tblFilterAll[[#This Row],[Filter Region]:[Filter RP Type]] ) = 4, tblFilterAll[[#This Row],[SelectedProvider]] = 1 ) )</f>
        <v>1</v>
      </c>
      <c r="AS971" s="24">
        <f xml:space="preserve"> -- ( INDEX( PeersCritera[Included in final peers], MATCH( tblFilterAll[[#This Row],[Provider name]], PeersCritera[RP_Name], 0 ) ) = 1 )</f>
        <v>1</v>
      </c>
      <c r="AT971" s="30" t="str" cm="1">
        <f t="array" ref="AT971" xml:space="preserve"> SUBSTITUTE( INDEX( VfM_Metrics_2023_Consol_Source[], $AK971, AT$832 ), 0, "" )</f>
        <v>&gt;= 12 years</v>
      </c>
      <c r="AU971" s="34" cm="1">
        <f t="array" ref="AU971" xml:space="preserve"> INDEX( VfM_Metrics_2023_Consol_Source[], $AK971, AU$832 )</f>
        <v>0.98648648648648651</v>
      </c>
      <c r="AV971" s="34" cm="1">
        <f t="array" ref="AV971" xml:space="preserve"> INDEX( VfM_Metrics_2023_Consol_Source[], $AK971, AV$832 )</f>
        <v>1.2983571807101218E-2</v>
      </c>
      <c r="AW971" s="34" cm="1">
        <f t="array" ref="AW971" xml:space="preserve"> INDEX( VfM_Metrics_2023_Consol_Source[], $AK971, AW$832 )</f>
        <v>0</v>
      </c>
      <c r="AX971" s="34" cm="1">
        <f t="array" ref="AX971" xml:space="preserve"> INDEX( VfM_Metrics_2023_Consol_Source[], $AK971, AX$832 )</f>
        <v>0</v>
      </c>
      <c r="AY971" s="34" cm="1">
        <f t="array" ref="AY971" xml:space="preserve"> INDEX( VfM_Metrics_2023_Consol_Source[], $AK971, AY$832 )</f>
        <v>0</v>
      </c>
      <c r="AZ971" s="34" cm="1">
        <f t="array" ref="AZ971" xml:space="preserve"> INDEX( VfM_Metrics_2023_Consol_Source[], $AK971, AZ$832 )</f>
        <v>5.2994170641229468E-4</v>
      </c>
      <c r="BA971" s="34" cm="1">
        <f t="array" ref="BA971" xml:space="preserve"> INDEX( VfM_Metrics_2023_Consol_Source[], $AK971, BA$832 )</f>
        <v>0</v>
      </c>
      <c r="BB971" s="34" cm="1">
        <f t="array" ref="BB971" xml:space="preserve"> INDEX( VfM_Metrics_2023_Consol_Source[], $AK971, BB$832 )</f>
        <v>0</v>
      </c>
      <c r="BC971" s="34" cm="1">
        <f t="array" ref="BC971" xml:space="preserve"> INDEX( VfM_Metrics_2023_Consol_Source[], $AK971, BC$832 )</f>
        <v>0</v>
      </c>
    </row>
    <row r="972" spans="2:55" x14ac:dyDescent="0.2">
      <c r="B972" s="122" t="str" vm="139">
        <f t="shared" ref="B972" si="477" xml:space="preserve"> B762</f>
        <v>Rochdale Boroughwide Housing Limited</v>
      </c>
      <c r="C972" s="122" t="str" vm="273">
        <f t="shared" si="467"/>
        <v>4607</v>
      </c>
      <c r="D972" s="30" cm="1">
        <f t="array" ref="D972" xml:space="preserve"> INDEX( VfM_Metrics_2023_Consol_Source[], $AK972, D$832 )</f>
        <v>9.2385864541571175E-2</v>
      </c>
      <c r="E972" s="35">
        <f xml:space="preserve"> IF( tblFilterAll[[#This Row],[Reinvestment]] &lt; D$825, 4, IF( tblFilterAll[[#This Row],[Reinvestment]] &lt; D$826, 3, IF( tblFilterAll[[#This Row],[Reinvestment]] &lt; D$827, 2, 1 ) ) )</f>
        <v>2</v>
      </c>
      <c r="F972" s="35">
        <f xml:space="preserve"> COUNTIFS( tblFilterAll[Include in output], 1, tblFilterAll[Reinvestment], "&gt;" &amp; tblFilterAll[[#This Row],[Reinvestment]] ) + 1</f>
        <v>51</v>
      </c>
      <c r="G972" s="30" cm="1">
        <f t="array" ref="G972" xml:space="preserve"> INDEX( VfM_Metrics_2023_Consol_Source[], $AK972, G$832 )</f>
        <v>5.0734107156583906E-3</v>
      </c>
      <c r="H972" s="35">
        <f xml:space="preserve"> IF( tblFilterAll[[#This Row],[New Supply (Social)]] &lt; G$825, 4, IF( tblFilterAll[[#This Row],[New Supply (Social)]] &lt; G$826, 3, IF( tblFilterAll[[#This Row],[New Supply (Social)]] &lt; G$827, 2, 1 ) ) )</f>
        <v>4</v>
      </c>
      <c r="I972" s="35">
        <f xml:space="preserve"> COUNTIFS( tblFilterAll[Include in output], 1, tblFilterAll[New Supply (Social)], "&gt;" &amp; tblFilterAll[[#This Row],[New Supply (Social)]] ) + 1</f>
        <v>159</v>
      </c>
      <c r="J972" s="31" cm="1">
        <f t="array" ref="J972" xml:space="preserve"> INDEX( VfM_Metrics_2023_Consol_Source[], $AK972, J$832 )</f>
        <v>0</v>
      </c>
      <c r="K972" s="35">
        <f xml:space="preserve"> IF( tblFilterAll[[#This Row],[New Supply (Non-Social)]] &lt; J$825, 4, IF( tblFilterAll[[#This Row],[New Supply (Non-Social)]] &lt; J$826, 3, IF( tblFilterAll[[#This Row],[New Supply (Non-Social)]] &lt; J$827, 2, 1 ) ) )</f>
        <v>2</v>
      </c>
      <c r="L972" s="35">
        <f xml:space="preserve"> COUNTIFS( tblFilterAll[Include in output], 1, tblFilterAll[New Supply (Non-Social)], "&gt;" &amp; tblFilterAll[[#This Row],[New Supply (Non-Social)]] ) + 1</f>
        <v>72</v>
      </c>
      <c r="M972" s="30" cm="1">
        <f t="array" ref="M972" xml:space="preserve"> INDEX( VfM_Metrics_2023_Consol_Source[], $AK972, M$832 )</f>
        <v>5.2102761566692739E-2</v>
      </c>
      <c r="N972" s="35">
        <f xml:space="preserve"> IF( tblFilterAll[[#This Row],[Gearing]] &lt; M$825, 4, IF( tblFilterAll[[#This Row],[Gearing]] &lt; M$826, 3, IF( tblFilterAll[[#This Row],[Gearing]] &lt; M$827, 2, 1 ) ) )</f>
        <v>4</v>
      </c>
      <c r="O972" s="35">
        <f xml:space="preserve"> COUNTIFS( tblFilterAll[Include in output], 1, tblFilterAll[Gearing], "&gt;" &amp; tblFilterAll[[#This Row],[Gearing]] ) + 1</f>
        <v>190</v>
      </c>
      <c r="P972" s="30" cm="1">
        <f t="array" ref="P972" xml:space="preserve"> INDEX( VfM_Metrics_2023_Consol_Source[], $AK972, P$832 )</f>
        <v>-3.5489781536293163</v>
      </c>
      <c r="Q972" s="35">
        <f xml:space="preserve"> IF( tblFilterAll[[#This Row],[EBITDA MRI Interest Cover]] &lt; P$825, 4, IF( tblFilterAll[[#This Row],[EBITDA MRI Interest Cover]] &lt; P$826, 3, IF( tblFilterAll[[#This Row],[EBITDA MRI Interest Cover]] &lt; P$827, 2, 1 ) ) )</f>
        <v>4</v>
      </c>
      <c r="R972" s="35">
        <f xml:space="preserve"> COUNTIFS( tblFilterAll[Include in output], 1, tblFilterAll[EBITDA MRI Interest Cover], "&gt;" &amp; tblFilterAll[[#This Row],[EBITDA MRI Interest Cover]] ) + 1</f>
        <v>192</v>
      </c>
      <c r="S972" s="32" cm="1">
        <f t="array" ref="S972" xml:space="preserve"> INDEX( VfM_Metrics_2023_Consol_Source[], $AK972, S$832 )</f>
        <v>5093.6087798579729</v>
      </c>
      <c r="T972" s="35">
        <f xml:space="preserve"> IF( tblFilterAll[[#This Row],[Headline Social Housing Cost per unit]] &lt; S$825, 4, IF( tblFilterAll[[#This Row],[Headline Social Housing Cost per unit]] &lt; S$826, 3, IF( tblFilterAll[[#This Row],[Headline Social Housing Cost per unit]] &lt; S$827, 2, 1 ) ) )</f>
        <v>2</v>
      </c>
      <c r="U972" s="35">
        <f xml:space="preserve"> COUNTIFS( tblFilterAll[Include in output], 1, tblFilterAll[Headline Social Housing Cost per unit], "&gt;" &amp; tblFilterAll[[#This Row],[Headline Social Housing Cost per unit]] ) + 1</f>
        <v>72</v>
      </c>
      <c r="V972" s="30" cm="1">
        <f t="array" ref="V972" xml:space="preserve"> INDEX( VfM_Metrics_2023_Consol_Source[], $AK972, V$832 )</f>
        <v>0.10088023873425798</v>
      </c>
      <c r="W972" s="35">
        <f xml:space="preserve"> IF( tblFilterAll[[#This Row],[Operating Margin (SHL)]] &lt; V$825, 4, IF( tblFilterAll[[#This Row],[Operating Margin (SHL)]] &lt; V$826, 3, IF( tblFilterAll[[#This Row],[Operating Margin (SHL)]] &lt; V$827, 2, 1 ) ) )</f>
        <v>4</v>
      </c>
      <c r="X972" s="35">
        <f xml:space="preserve"> COUNTIFS( tblFilterAll[Include in output], 1, tblFilterAll[Operating Margin (SHL)], "&gt;" &amp; tblFilterAll[[#This Row],[Operating Margin (SHL)]] ) + 1</f>
        <v>176</v>
      </c>
      <c r="Y972" s="30" cm="1">
        <f t="array" ref="Y972" xml:space="preserve"> INDEX( VfM_Metrics_2023_Consol_Source[], $AK972, Y$832 )</f>
        <v>1.0386119257086998E-2</v>
      </c>
      <c r="Z972" s="35">
        <f xml:space="preserve"> IF( tblFilterAll[[#This Row],[Operating Margin (Overall)]] &lt; Y$825, 4, IF( tblFilterAll[[#This Row],[Operating Margin (Overall)]] &lt; Y$826, 3, IF( tblFilterAll[[#This Row],[Operating Margin (Overall)]] &lt; Y$827, 2, 1 ) ) )</f>
        <v>4</v>
      </c>
      <c r="AA972" s="35">
        <f xml:space="preserve"> COUNTIFS( tblFilterAll[Include in output], 1, tblFilterAll[Operating Margin (Overall)], "&gt;" &amp; tblFilterAll[[#This Row],[Operating Margin (Overall)]] ) + 1</f>
        <v>191</v>
      </c>
      <c r="AB972" s="30" cm="1">
        <f t="array" ref="AB972" xml:space="preserve"> INDEX( VfM_Metrics_2023_Consol_Source[], $AK972, AB$832 )</f>
        <v>2.1187088562608734E-2</v>
      </c>
      <c r="AC972" s="35">
        <f xml:space="preserve"> IF( tblFilterAll[[#This Row],[ROCE]] &lt; AB$825, 4, IF( tblFilterAll[[#This Row],[ROCE]] &lt; AB$826, 3, IF( tblFilterAll[[#This Row],[ROCE]] &lt; AB$827, 2, 1 ) ) )</f>
        <v>4</v>
      </c>
      <c r="AD972" s="35">
        <f xml:space="preserve"> COUNTIFS( tblFilterAll[Include in output], 1, tblFilterAll[ROCE], "&gt;" &amp; tblFilterAll[[#This Row],[ROCE]] ) + 1</f>
        <v>154</v>
      </c>
      <c r="AE972" s="33" cm="1" vm="2429">
        <f t="array" ref="AE972" xml:space="preserve"> INDEX( VfM_Metrics_2023_Consol_Source[], $AK972, AE$832 )</f>
        <v>12381</v>
      </c>
      <c r="AF972" s="30" cm="1">
        <f t="array" ref="AF972" xml:space="preserve"> INDEX( VfM_Metrics_2023_Consol_Source[], $AK972, AF$832 )</f>
        <v>0</v>
      </c>
      <c r="AG972" s="30" cm="1">
        <f t="array" ref="AG972" xml:space="preserve"> INDEX( VfM_Metrics_2023_Consol_Source[], $AK972, AG$832 )</f>
        <v>7.5512841221127447E-2</v>
      </c>
      <c r="AH972" s="30" cm="1">
        <f t="array" ref="AH972" xml:space="preserve"> INDEX( VfM_Metrics_2023_Consol_Source[], $AK972, AH$832 )</f>
        <v>7.5512841221127447E-2</v>
      </c>
      <c r="AI972" s="30" t="str" cm="1">
        <f t="array" ref="AI972" xml:space="preserve"> INDEX( VfM_Metrics_2023_Consol_Source[], $AK972, AI$832 )</f>
        <v>LSVT</v>
      </c>
      <c r="AJ972" s="34" t="str" cm="1">
        <f t="array" ref="AJ972" xml:space="preserve"> INDEX( VfM_Metrics_2023_Consol_Source[], $AK972, AJ$832 )</f>
        <v>North West</v>
      </c>
      <c r="AK972" s="81">
        <f xml:space="preserve"> MATCH( tblFilterAll[[#This Row],[Code]], VfM_Metrics_2023_Consol_Source[RP_Code], 0 )</f>
        <v>139</v>
      </c>
      <c r="AL972" s="24">
        <f xml:space="preserve"> INDEX( tblFilterRegion[Include for region],  MATCH( tblFilterAll[[#This Row],[Code]], tblFilterRegion[RP_Code], 0 ) )</f>
        <v>1</v>
      </c>
      <c r="AM972" s="24">
        <f xml:space="preserve"> INDEX( tblFilterPropType[Incl for prop type],  MATCH( tblFilterAll[[#This Row],[Code]], tblFilterPropType[RP_Code], 0 ) )</f>
        <v>1</v>
      </c>
      <c r="AN972" s="24">
        <f xml:space="preserve"> INDEX( tblFilterSize[Incl for size],  MATCH( tblFilterAll[[#This Row],[Code]], tblFilterSize[RP_Code], 0 ) )</f>
        <v>1</v>
      </c>
      <c r="AO972" s="24">
        <f xml:space="preserve"> INDEX( tblFilterRP_Type[Incl, for RP Type],  MATCH( tblFilterAll[[#This Row],[Code]], tblFilterRP_Type[RP_Code], 0 ) )</f>
        <v>1</v>
      </c>
      <c r="AP972" s="24">
        <f xml:space="preserve">  -- ( SUM( tblFilterAll[[#This Row],[Filter Region]:[Filter RP Type]] ) = 4 )</f>
        <v>1</v>
      </c>
      <c r="AQ972" s="24">
        <f xml:space="preserve"> -- ( tblFilterAll[[#This Row],[Provider name]] = SelectedProvider )</f>
        <v>0</v>
      </c>
      <c r="AR972" s="24">
        <f xml:space="preserve">  -- ( OR( SUM( tblFilterAll[[#This Row],[Filter Region]:[Filter RP Type]] ) = 4, tblFilterAll[[#This Row],[SelectedProvider]] = 1 ) )</f>
        <v>1</v>
      </c>
      <c r="AS972" s="24">
        <f xml:space="preserve"> -- ( INDEX( PeersCritera[Included in final peers], MATCH( tblFilterAll[[#This Row],[Provider name]], PeersCritera[RP_Name], 0 ) ) = 1 )</f>
        <v>1</v>
      </c>
      <c r="AT972" s="30" t="str" cm="1">
        <f t="array" ref="AT972" xml:space="preserve"> SUBSTITUTE( INDEX( VfM_Metrics_2023_Consol_Source[], $AK972, AT$832 ), 0, "" )</f>
        <v>&lt; 12 years</v>
      </c>
      <c r="AU972" s="34" cm="1">
        <f t="array" ref="AU972" xml:space="preserve"> INDEX( VfM_Metrics_2023_Consol_Source[], $AK972, AU$832 )</f>
        <v>0</v>
      </c>
      <c r="AV972" s="34" cm="1">
        <f t="array" ref="AV972" xml:space="preserve"> INDEX( VfM_Metrics_2023_Consol_Source[], $AK972, AV$832 )</f>
        <v>0</v>
      </c>
      <c r="AW972" s="34" cm="1">
        <f t="array" ref="AW972" xml:space="preserve"> INDEX( VfM_Metrics_2023_Consol_Source[], $AK972, AW$832 )</f>
        <v>0</v>
      </c>
      <c r="AX972" s="34" cm="1">
        <f t="array" ref="AX972" xml:space="preserve"> INDEX( VfM_Metrics_2023_Consol_Source[], $AK972, AX$832 )</f>
        <v>0</v>
      </c>
      <c r="AY972" s="34" cm="1">
        <f t="array" ref="AY972" xml:space="preserve"> INDEX( VfM_Metrics_2023_Consol_Source[], $AK972, AY$832 )</f>
        <v>0</v>
      </c>
      <c r="AZ972" s="34" cm="1">
        <f t="array" ref="AZ972" xml:space="preserve"> INDEX( VfM_Metrics_2023_Consol_Source[], $AK972, AZ$832 )</f>
        <v>0</v>
      </c>
      <c r="BA972" s="34" cm="1">
        <f t="array" ref="BA972" xml:space="preserve"> INDEX( VfM_Metrics_2023_Consol_Source[], $AK972, BA$832 )</f>
        <v>0</v>
      </c>
      <c r="BB972" s="34" cm="1">
        <f t="array" ref="BB972" xml:space="preserve"> INDEX( VfM_Metrics_2023_Consol_Source[], $AK972, BB$832 )</f>
        <v>1</v>
      </c>
      <c r="BC972" s="34" cm="1">
        <f t="array" ref="BC972" xml:space="preserve"> INDEX( VfM_Metrics_2023_Consol_Source[], $AK972, BC$832 )</f>
        <v>0</v>
      </c>
    </row>
    <row r="973" spans="2:55" x14ac:dyDescent="0.2">
      <c r="B973" s="122" t="str" vm="140">
        <f t="shared" ref="B973" si="478" xml:space="preserve"> B763</f>
        <v>Rooftop Housing Group Limited</v>
      </c>
      <c r="C973" s="122" t="str" vm="364">
        <f t="shared" si="467"/>
        <v>L4404</v>
      </c>
      <c r="D973" s="30" cm="1">
        <f t="array" ref="D973" xml:space="preserve"> INDEX( VfM_Metrics_2023_Consol_Source[], $AK973, D$832 )</f>
        <v>6.4042536513991583E-2</v>
      </c>
      <c r="E973" s="35">
        <f xml:space="preserve"> IF( tblFilterAll[[#This Row],[Reinvestment]] &lt; D$825, 4, IF( tblFilterAll[[#This Row],[Reinvestment]] &lt; D$826, 3, IF( tblFilterAll[[#This Row],[Reinvestment]] &lt; D$827, 2, 1 ) ) )</f>
        <v>3</v>
      </c>
      <c r="F973" s="35">
        <f xml:space="preserve"> COUNTIFS( tblFilterAll[Include in output], 1, tblFilterAll[Reinvestment], "&gt;" &amp; tblFilterAll[[#This Row],[Reinvestment]] ) + 1</f>
        <v>110</v>
      </c>
      <c r="G973" s="30" cm="1">
        <f t="array" ref="G973" xml:space="preserve"> INDEX( VfM_Metrics_2023_Consol_Source[], $AK973, G$832 )</f>
        <v>2.4933214603739984E-2</v>
      </c>
      <c r="H973" s="35">
        <f xml:space="preserve"> IF( tblFilterAll[[#This Row],[New Supply (Social)]] &lt; G$825, 4, IF( tblFilterAll[[#This Row],[New Supply (Social)]] &lt; G$826, 3, IF( tblFilterAll[[#This Row],[New Supply (Social)]] &lt; G$827, 2, 1 ) ) )</f>
        <v>1</v>
      </c>
      <c r="I973" s="35">
        <f xml:space="preserve"> COUNTIFS( tblFilterAll[Include in output], 1, tblFilterAll[New Supply (Social)], "&gt;" &amp; tblFilterAll[[#This Row],[New Supply (Social)]] ) + 1</f>
        <v>37</v>
      </c>
      <c r="J973" s="31" cm="1">
        <f t="array" ref="J973" xml:space="preserve"> INDEX( VfM_Metrics_2023_Consol_Source[], $AK973, J$832 )</f>
        <v>0</v>
      </c>
      <c r="K973" s="35">
        <f xml:space="preserve"> IF( tblFilterAll[[#This Row],[New Supply (Non-Social)]] &lt; J$825, 4, IF( tblFilterAll[[#This Row],[New Supply (Non-Social)]] &lt; J$826, 3, IF( tblFilterAll[[#This Row],[New Supply (Non-Social)]] &lt; J$827, 2, 1 ) ) )</f>
        <v>2</v>
      </c>
      <c r="L973" s="35">
        <f xml:space="preserve"> COUNTIFS( tblFilterAll[Include in output], 1, tblFilterAll[New Supply (Non-Social)], "&gt;" &amp; tblFilterAll[[#This Row],[New Supply (Non-Social)]] ) + 1</f>
        <v>72</v>
      </c>
      <c r="M973" s="30" cm="1">
        <f t="array" ref="M973" xml:space="preserve"> INDEX( VfM_Metrics_2023_Consol_Source[], $AK973, M$832 )</f>
        <v>0.56795391006714913</v>
      </c>
      <c r="N973" s="35">
        <f xml:space="preserve"> IF( tblFilterAll[[#This Row],[Gearing]] &lt; M$825, 4, IF( tblFilterAll[[#This Row],[Gearing]] &lt; M$826, 3, IF( tblFilterAll[[#This Row],[Gearing]] &lt; M$827, 2, 1 ) ) )</f>
        <v>1</v>
      </c>
      <c r="O973" s="35">
        <f xml:space="preserve"> COUNTIFS( tblFilterAll[Include in output], 1, tblFilterAll[Gearing], "&gt;" &amp; tblFilterAll[[#This Row],[Gearing]] ) + 1</f>
        <v>33</v>
      </c>
      <c r="P973" s="30" cm="1">
        <f t="array" ref="P973" xml:space="preserve"> INDEX( VfM_Metrics_2023_Consol_Source[], $AK973, P$832 )</f>
        <v>1.0193461710703089</v>
      </c>
      <c r="Q973" s="35">
        <f xml:space="preserve"> IF( tblFilterAll[[#This Row],[EBITDA MRI Interest Cover]] &lt; P$825, 4, IF( tblFilterAll[[#This Row],[EBITDA MRI Interest Cover]] &lt; P$826, 3, IF( tblFilterAll[[#This Row],[EBITDA MRI Interest Cover]] &lt; P$827, 2, 1 ) ) )</f>
        <v>3</v>
      </c>
      <c r="R973" s="35">
        <f xml:space="preserve"> COUNTIFS( tblFilterAll[Include in output], 1, tblFilterAll[EBITDA MRI Interest Cover], "&gt;" &amp; tblFilterAll[[#This Row],[EBITDA MRI Interest Cover]] ) + 1</f>
        <v>136</v>
      </c>
      <c r="S973" s="32" cm="1">
        <f t="array" ref="S973" xml:space="preserve"> INDEX( VfM_Metrics_2023_Consol_Source[], $AK973, S$832 )</f>
        <v>4664.8061547744755</v>
      </c>
      <c r="T973" s="35">
        <f xml:space="preserve"> IF( tblFilterAll[[#This Row],[Headline Social Housing Cost per unit]] &lt; S$825, 4, IF( tblFilterAll[[#This Row],[Headline Social Housing Cost per unit]] &lt; S$826, 3, IF( tblFilterAll[[#This Row],[Headline Social Housing Cost per unit]] &lt; S$827, 2, 1 ) ) )</f>
        <v>2</v>
      </c>
      <c r="U973" s="35">
        <f xml:space="preserve"> COUNTIFS( tblFilterAll[Include in output], 1, tblFilterAll[Headline Social Housing Cost per unit], "&gt;" &amp; tblFilterAll[[#This Row],[Headline Social Housing Cost per unit]] ) + 1</f>
        <v>90</v>
      </c>
      <c r="V973" s="30" cm="1">
        <f t="array" ref="V973" xml:space="preserve"> INDEX( VfM_Metrics_2023_Consol_Source[], $AK973, V$832 )</f>
        <v>0.31756364645623597</v>
      </c>
      <c r="W973" s="35">
        <f xml:space="preserve"> IF( tblFilterAll[[#This Row],[Operating Margin (SHL)]] &lt; V$825, 4, IF( tblFilterAll[[#This Row],[Operating Margin (SHL)]] &lt; V$826, 3, IF( tblFilterAll[[#This Row],[Operating Margin (SHL)]] &lt; V$827, 2, 1 ) ) )</f>
        <v>1</v>
      </c>
      <c r="X973" s="35">
        <f xml:space="preserve"> COUNTIFS( tblFilterAll[Include in output], 1, tblFilterAll[Operating Margin (SHL)], "&gt;" &amp; tblFilterAll[[#This Row],[Operating Margin (SHL)]] ) + 1</f>
        <v>21</v>
      </c>
      <c r="Y973" s="30" cm="1">
        <f t="array" ref="Y973" xml:space="preserve"> INDEX( VfM_Metrics_2023_Consol_Source[], $AK973, Y$832 )</f>
        <v>0.26918233713901946</v>
      </c>
      <c r="Z973" s="35">
        <f xml:space="preserve"> IF( tblFilterAll[[#This Row],[Operating Margin (Overall)]] &lt; Y$825, 4, IF( tblFilterAll[[#This Row],[Operating Margin (Overall)]] &lt; Y$826, 3, IF( tblFilterAll[[#This Row],[Operating Margin (Overall)]] &lt; Y$827, 2, 1 ) ) )</f>
        <v>1</v>
      </c>
      <c r="AA973" s="35">
        <f xml:space="preserve"> COUNTIFS( tblFilterAll[Include in output], 1, tblFilterAll[Operating Margin (Overall)], "&gt;" &amp; tblFilterAll[[#This Row],[Operating Margin (Overall)]] ) + 1</f>
        <v>23</v>
      </c>
      <c r="AB973" s="30" cm="1">
        <f t="array" ref="AB973" xml:space="preserve"> INDEX( VfM_Metrics_2023_Consol_Source[], $AK973, AB$832 )</f>
        <v>3.5098690639046318E-2</v>
      </c>
      <c r="AC973" s="35">
        <f xml:space="preserve"> IF( tblFilterAll[[#This Row],[ROCE]] &lt; AB$825, 4, IF( tblFilterAll[[#This Row],[ROCE]] &lt; AB$826, 3, IF( tblFilterAll[[#This Row],[ROCE]] &lt; AB$827, 2, 1 ) ) )</f>
        <v>2</v>
      </c>
      <c r="AD973" s="35">
        <f xml:space="preserve"> COUNTIFS( tblFilterAll[Include in output], 1, tblFilterAll[ROCE], "&gt;" &amp; tblFilterAll[[#This Row],[ROCE]] ) + 1</f>
        <v>59</v>
      </c>
      <c r="AE973" s="33" cm="1" vm="4408">
        <f t="array" ref="AE973" xml:space="preserve"> INDEX( VfM_Metrics_2023_Consol_Source[], $AK973, AE$832 )</f>
        <v>6609</v>
      </c>
      <c r="AF973" s="30" cm="1">
        <f t="array" ref="AF973" xml:space="preserve"> INDEX( VfM_Metrics_2023_Consol_Source[], $AK973, AF$832 )</f>
        <v>1.8569254185692542E-2</v>
      </c>
      <c r="AG973" s="30" cm="1">
        <f t="array" ref="AG973" xml:space="preserve"> INDEX( VfM_Metrics_2023_Consol_Source[], $AK973, AG$832 )</f>
        <v>6.5296803652968041E-2</v>
      </c>
      <c r="AH973" s="30" cm="1">
        <f t="array" ref="AH973" xml:space="preserve"> INDEX( VfM_Metrics_2023_Consol_Source[], $AK973, AH$832 )</f>
        <v>8.3866057838660579E-2</v>
      </c>
      <c r="AI973" s="30" t="str" cm="1">
        <f t="array" ref="AI973" xml:space="preserve"> INDEX( VfM_Metrics_2023_Consol_Source[], $AK973, AI$832 )</f>
        <v>Traditional</v>
      </c>
      <c r="AJ973" s="34" t="str" cm="1">
        <f t="array" ref="AJ973" xml:space="preserve"> INDEX( VfM_Metrics_2023_Consol_Source[], $AK973, AJ$832 )</f>
        <v>West Midlands</v>
      </c>
      <c r="AK973" s="81">
        <f xml:space="preserve"> MATCH( tblFilterAll[[#This Row],[Code]], VfM_Metrics_2023_Consol_Source[RP_Code], 0 )</f>
        <v>140</v>
      </c>
      <c r="AL973" s="24">
        <f xml:space="preserve"> INDEX( tblFilterRegion[Include for region],  MATCH( tblFilterAll[[#This Row],[Code]], tblFilterRegion[RP_Code], 0 ) )</f>
        <v>1</v>
      </c>
      <c r="AM973" s="24">
        <f xml:space="preserve"> INDEX( tblFilterPropType[Incl for prop type],  MATCH( tblFilterAll[[#This Row],[Code]], tblFilterPropType[RP_Code], 0 ) )</f>
        <v>1</v>
      </c>
      <c r="AN973" s="24">
        <f xml:space="preserve"> INDEX( tblFilterSize[Incl for size],  MATCH( tblFilterAll[[#This Row],[Code]], tblFilterSize[RP_Code], 0 ) )</f>
        <v>1</v>
      </c>
      <c r="AO973" s="24">
        <f xml:space="preserve"> INDEX( tblFilterRP_Type[Incl, for RP Type],  MATCH( tblFilterAll[[#This Row],[Code]], tblFilterRP_Type[RP_Code], 0 ) )</f>
        <v>1</v>
      </c>
      <c r="AP973" s="24">
        <f xml:space="preserve">  -- ( SUM( tblFilterAll[[#This Row],[Filter Region]:[Filter RP Type]] ) = 4 )</f>
        <v>1</v>
      </c>
      <c r="AQ973" s="24">
        <f xml:space="preserve"> -- ( tblFilterAll[[#This Row],[Provider name]] = SelectedProvider )</f>
        <v>0</v>
      </c>
      <c r="AR973" s="24">
        <f xml:space="preserve">  -- ( OR( SUM( tblFilterAll[[#This Row],[Filter Region]:[Filter RP Type]] ) = 4, tblFilterAll[[#This Row],[SelectedProvider]] = 1 ) )</f>
        <v>1</v>
      </c>
      <c r="AS973" s="24">
        <f xml:space="preserve"> -- ( INDEX( PeersCritera[Included in final peers], MATCH( tblFilterAll[[#This Row],[Provider name]], PeersCritera[RP_Name], 0 ) ) = 1 )</f>
        <v>1</v>
      </c>
      <c r="AT973" s="30" t="str" cm="1">
        <f t="array" ref="AT973" xml:space="preserve"> SUBSTITUTE( INDEX( VfM_Metrics_2023_Consol_Source[], $AK973, AT$832 ), 0, "" )</f>
        <v>&gt;= 12 years</v>
      </c>
      <c r="AU973" s="34" cm="1">
        <f t="array" ref="AU973" xml:space="preserve"> INDEX( VfM_Metrics_2023_Consol_Source[], $AK973, AU$832 )</f>
        <v>0</v>
      </c>
      <c r="AV973" s="34" cm="1">
        <f t="array" ref="AV973" xml:space="preserve"> INDEX( VfM_Metrics_2023_Consol_Source[], $AK973, AV$832 )</f>
        <v>0</v>
      </c>
      <c r="AW973" s="34" cm="1">
        <f t="array" ref="AW973" xml:space="preserve"> INDEX( VfM_Metrics_2023_Consol_Source[], $AK973, AW$832 )</f>
        <v>0.19815179518254811</v>
      </c>
      <c r="AX973" s="34" cm="1">
        <f t="array" ref="AX973" xml:space="preserve"> INDEX( VfM_Metrics_2023_Consol_Source[], $AK973, AX$832 )</f>
        <v>0</v>
      </c>
      <c r="AY973" s="34" cm="1">
        <f t="array" ref="AY973" xml:space="preserve"> INDEX( VfM_Metrics_2023_Consol_Source[], $AK973, AY$832 )</f>
        <v>0.80184820481745189</v>
      </c>
      <c r="AZ973" s="34" cm="1">
        <f t="array" ref="AZ973" xml:space="preserve"> INDEX( VfM_Metrics_2023_Consol_Source[], $AK973, AZ$832 )</f>
        <v>0</v>
      </c>
      <c r="BA973" s="34" cm="1">
        <f t="array" ref="BA973" xml:space="preserve"> INDEX( VfM_Metrics_2023_Consol_Source[], $AK973, BA$832 )</f>
        <v>0</v>
      </c>
      <c r="BB973" s="34" cm="1">
        <f t="array" ref="BB973" xml:space="preserve"> INDEX( VfM_Metrics_2023_Consol_Source[], $AK973, BB$832 )</f>
        <v>0</v>
      </c>
      <c r="BC973" s="34" cm="1">
        <f t="array" ref="BC973" xml:space="preserve"> INDEX( VfM_Metrics_2023_Consol_Source[], $AK973, BC$832 )</f>
        <v>0</v>
      </c>
    </row>
    <row r="974" spans="2:55" x14ac:dyDescent="0.2">
      <c r="B974" s="122" t="str" vm="141">
        <f t="shared" ref="B974" si="479" xml:space="preserve"> B764</f>
        <v>Saffron Housing Trust Limited</v>
      </c>
      <c r="C974" s="122" t="str" vm="384">
        <f t="shared" si="467"/>
        <v>LH4412</v>
      </c>
      <c r="D974" s="30" cm="1">
        <f t="array" ref="D974" xml:space="preserve"> INDEX( VfM_Metrics_2023_Consol_Source[], $AK974, D$832 )</f>
        <v>0.11918287015705428</v>
      </c>
      <c r="E974" s="35">
        <f xml:space="preserve"> IF( tblFilterAll[[#This Row],[Reinvestment]] &lt; D$825, 4, IF( tblFilterAll[[#This Row],[Reinvestment]] &lt; D$826, 3, IF( tblFilterAll[[#This Row],[Reinvestment]] &lt; D$827, 2, 1 ) ) )</f>
        <v>1</v>
      </c>
      <c r="F974" s="35">
        <f xml:space="preserve"> COUNTIFS( tblFilterAll[Include in output], 1, tblFilterAll[Reinvestment], "&gt;" &amp; tblFilterAll[[#This Row],[Reinvestment]] ) + 1</f>
        <v>19</v>
      </c>
      <c r="G974" s="30" cm="1">
        <f t="array" ref="G974" xml:space="preserve"> INDEX( VfM_Metrics_2023_Consol_Source[], $AK974, G$832 )</f>
        <v>1.5544823422879566E-2</v>
      </c>
      <c r="H974" s="35">
        <f xml:space="preserve"> IF( tblFilterAll[[#This Row],[New Supply (Social)]] &lt; G$825, 4, IF( tblFilterAll[[#This Row],[New Supply (Social)]] &lt; G$826, 3, IF( tblFilterAll[[#This Row],[New Supply (Social)]] &lt; G$827, 2, 1 ) ) )</f>
        <v>2</v>
      </c>
      <c r="I974" s="35">
        <f xml:space="preserve"> COUNTIFS( tblFilterAll[Include in output], 1, tblFilterAll[New Supply (Social)], "&gt;" &amp; tblFilterAll[[#This Row],[New Supply (Social)]] ) + 1</f>
        <v>80</v>
      </c>
      <c r="J974" s="31" cm="1">
        <f t="array" ref="J974" xml:space="preserve"> INDEX( VfM_Metrics_2023_Consol_Source[], $AK974, J$832 )</f>
        <v>3.8650215549279024E-3</v>
      </c>
      <c r="K974" s="35">
        <f xml:space="preserve"> IF( tblFilterAll[[#This Row],[New Supply (Non-Social)]] &lt; J$825, 4, IF( tblFilterAll[[#This Row],[New Supply (Non-Social)]] &lt; J$826, 3, IF( tblFilterAll[[#This Row],[New Supply (Non-Social)]] &lt; J$827, 2, 1 ) ) )</f>
        <v>1</v>
      </c>
      <c r="L974" s="35">
        <f xml:space="preserve"> COUNTIFS( tblFilterAll[Include in output], 1, tblFilterAll[New Supply (Non-Social)], "&gt;" &amp; tblFilterAll[[#This Row],[New Supply (Non-Social)]] ) + 1</f>
        <v>25</v>
      </c>
      <c r="M974" s="30" cm="1">
        <f t="array" ref="M974" xml:space="preserve"> INDEX( VfM_Metrics_2023_Consol_Source[], $AK974, M$832 )</f>
        <v>0.6181988125485447</v>
      </c>
      <c r="N974" s="35">
        <f xml:space="preserve"> IF( tblFilterAll[[#This Row],[Gearing]] &lt; M$825, 4, IF( tblFilterAll[[#This Row],[Gearing]] &lt; M$826, 3, IF( tblFilterAll[[#This Row],[Gearing]] &lt; M$827, 2, 1 ) ) )</f>
        <v>1</v>
      </c>
      <c r="O974" s="35">
        <f xml:space="preserve"> COUNTIFS( tblFilterAll[Include in output], 1, tblFilterAll[Gearing], "&gt;" &amp; tblFilterAll[[#This Row],[Gearing]] ) + 1</f>
        <v>20</v>
      </c>
      <c r="P974" s="30" cm="1">
        <f t="array" ref="P974" xml:space="preserve"> INDEX( VfM_Metrics_2023_Consol_Source[], $AK974, P$832 )</f>
        <v>0.53448596393381664</v>
      </c>
      <c r="Q974" s="35">
        <f xml:space="preserve"> IF( tblFilterAll[[#This Row],[EBITDA MRI Interest Cover]] &lt; P$825, 4, IF( tblFilterAll[[#This Row],[EBITDA MRI Interest Cover]] &lt; P$826, 3, IF( tblFilterAll[[#This Row],[EBITDA MRI Interest Cover]] &lt; P$827, 2, 1 ) ) )</f>
        <v>4</v>
      </c>
      <c r="R974" s="35">
        <f xml:space="preserve"> COUNTIFS( tblFilterAll[Include in output], 1, tblFilterAll[EBITDA MRI Interest Cover], "&gt;" &amp; tblFilterAll[[#This Row],[EBITDA MRI Interest Cover]] ) + 1</f>
        <v>168</v>
      </c>
      <c r="S974" s="32" cm="1">
        <f t="array" ref="S974" xml:space="preserve"> INDEX( VfM_Metrics_2023_Consol_Source[], $AK974, S$832 )</f>
        <v>4068.970721400543</v>
      </c>
      <c r="T974" s="35">
        <f xml:space="preserve"> IF( tblFilterAll[[#This Row],[Headline Social Housing Cost per unit]] &lt; S$825, 4, IF( tblFilterAll[[#This Row],[Headline Social Housing Cost per unit]] &lt; S$826, 3, IF( tblFilterAll[[#This Row],[Headline Social Housing Cost per unit]] &lt; S$827, 2, 1 ) ) )</f>
        <v>4</v>
      </c>
      <c r="U974" s="35">
        <f xml:space="preserve"> COUNTIFS( tblFilterAll[Include in output], 1, tblFilterAll[Headline Social Housing Cost per unit], "&gt;" &amp; tblFilterAll[[#This Row],[Headline Social Housing Cost per unit]] ) + 1</f>
        <v>151</v>
      </c>
      <c r="V974" s="30" cm="1">
        <f t="array" ref="V974" xml:space="preserve"> INDEX( VfM_Metrics_2023_Consol_Source[], $AK974, V$832 )</f>
        <v>0.26149595421353861</v>
      </c>
      <c r="W974" s="35">
        <f xml:space="preserve"> IF( tblFilterAll[[#This Row],[Operating Margin (SHL)]] &lt; V$825, 4, IF( tblFilterAll[[#This Row],[Operating Margin (SHL)]] &lt; V$826, 3, IF( tblFilterAll[[#This Row],[Operating Margin (SHL)]] &lt; V$827, 2, 1 ) ) )</f>
        <v>1</v>
      </c>
      <c r="X974" s="35">
        <f xml:space="preserve"> COUNTIFS( tblFilterAll[Include in output], 1, tblFilterAll[Operating Margin (SHL)], "&gt;" &amp; tblFilterAll[[#This Row],[Operating Margin (SHL)]] ) + 1</f>
        <v>48</v>
      </c>
      <c r="Y974" s="30" cm="1">
        <f t="array" ref="Y974" xml:space="preserve"> INDEX( VfM_Metrics_2023_Consol_Source[], $AK974, Y$832 )</f>
        <v>0.26367750763077569</v>
      </c>
      <c r="Z974" s="35">
        <f xml:space="preserve"> IF( tblFilterAll[[#This Row],[Operating Margin (Overall)]] &lt; Y$825, 4, IF( tblFilterAll[[#This Row],[Operating Margin (Overall)]] &lt; Y$826, 3, IF( tblFilterAll[[#This Row],[Operating Margin (Overall)]] &lt; Y$827, 2, 1 ) ) )</f>
        <v>1</v>
      </c>
      <c r="AA974" s="35">
        <f xml:space="preserve"> COUNTIFS( tblFilterAll[Include in output], 1, tblFilterAll[Operating Margin (Overall)], "&gt;" &amp; tblFilterAll[[#This Row],[Operating Margin (Overall)]] ) + 1</f>
        <v>26</v>
      </c>
      <c r="AB974" s="30" cm="1">
        <f t="array" ref="AB974" xml:space="preserve"> INDEX( VfM_Metrics_2023_Consol_Source[], $AK974, AB$832 )</f>
        <v>4.3181259278824699E-2</v>
      </c>
      <c r="AC974" s="35">
        <f xml:space="preserve"> IF( tblFilterAll[[#This Row],[ROCE]] &lt; AB$825, 4, IF( tblFilterAll[[#This Row],[ROCE]] &lt; AB$826, 3, IF( tblFilterAll[[#This Row],[ROCE]] &lt; AB$827, 2, 1 ) ) )</f>
        <v>1</v>
      </c>
      <c r="AD974" s="35">
        <f xml:space="preserve"> COUNTIFS( tblFilterAll[Include in output], 1, tblFilterAll[ROCE], "&gt;" &amp; tblFilterAll[[#This Row],[ROCE]] ) + 1</f>
        <v>19</v>
      </c>
      <c r="AE974" s="33" cm="1" vm="6336">
        <f t="array" ref="AE974" xml:space="preserve"> INDEX( VfM_Metrics_2023_Consol_Source[], $AK974, AE$832 )</f>
        <v>6626</v>
      </c>
      <c r="AF974" s="30" cm="1">
        <f t="array" ref="AF974" xml:space="preserve"> INDEX( VfM_Metrics_2023_Consol_Source[], $AK974, AF$832 )</f>
        <v>1.9461310913903161E-2</v>
      </c>
      <c r="AG974" s="30" cm="1">
        <f t="array" ref="AG974" xml:space="preserve"> INDEX( VfM_Metrics_2023_Consol_Source[], $AK974, AG$832 )</f>
        <v>9.5905340183714771E-2</v>
      </c>
      <c r="AH974" s="30" cm="1">
        <f t="array" ref="AH974" xml:space="preserve"> INDEX( VfM_Metrics_2023_Consol_Source[], $AK974, AH$832 )</f>
        <v>0.11536665109761793</v>
      </c>
      <c r="AI974" s="30" t="str" cm="1">
        <f t="array" ref="AI974" xml:space="preserve"> INDEX( VfM_Metrics_2023_Consol_Source[], $AK974, AI$832 )</f>
        <v>Traditional</v>
      </c>
      <c r="AJ974" s="34" t="str" cm="1">
        <f t="array" ref="AJ974" xml:space="preserve"> INDEX( VfM_Metrics_2023_Consol_Source[], $AK974, AJ$832 )</f>
        <v>East of England</v>
      </c>
      <c r="AK974" s="81">
        <f xml:space="preserve"> MATCH( tblFilterAll[[#This Row],[Code]], VfM_Metrics_2023_Consol_Source[RP_Code], 0 )</f>
        <v>141</v>
      </c>
      <c r="AL974" s="24">
        <f xml:space="preserve"> INDEX( tblFilterRegion[Include for region],  MATCH( tblFilterAll[[#This Row],[Code]], tblFilterRegion[RP_Code], 0 ) )</f>
        <v>1</v>
      </c>
      <c r="AM974" s="24">
        <f xml:space="preserve"> INDEX( tblFilterPropType[Incl for prop type],  MATCH( tblFilterAll[[#This Row],[Code]], tblFilterPropType[RP_Code], 0 ) )</f>
        <v>1</v>
      </c>
      <c r="AN974" s="24">
        <f xml:space="preserve"> INDEX( tblFilterSize[Incl for size],  MATCH( tblFilterAll[[#This Row],[Code]], tblFilterSize[RP_Code], 0 ) )</f>
        <v>1</v>
      </c>
      <c r="AO974" s="24">
        <f xml:space="preserve"> INDEX( tblFilterRP_Type[Incl, for RP Type],  MATCH( tblFilterAll[[#This Row],[Code]], tblFilterRP_Type[RP_Code], 0 ) )</f>
        <v>1</v>
      </c>
      <c r="AP974" s="24">
        <f xml:space="preserve">  -- ( SUM( tblFilterAll[[#This Row],[Filter Region]:[Filter RP Type]] ) = 4 )</f>
        <v>1</v>
      </c>
      <c r="AQ974" s="24">
        <f xml:space="preserve"> -- ( tblFilterAll[[#This Row],[Provider name]] = SelectedProvider )</f>
        <v>0</v>
      </c>
      <c r="AR974" s="24">
        <f xml:space="preserve">  -- ( OR( SUM( tblFilterAll[[#This Row],[Filter Region]:[Filter RP Type]] ) = 4, tblFilterAll[[#This Row],[SelectedProvider]] = 1 ) )</f>
        <v>1</v>
      </c>
      <c r="AS974" s="24">
        <f xml:space="preserve"> -- ( INDEX( PeersCritera[Included in final peers], MATCH( tblFilterAll[[#This Row],[Provider name]], PeersCritera[RP_Name], 0 ) ) = 1 )</f>
        <v>1</v>
      </c>
      <c r="AT974" s="30" t="str" cm="1">
        <f t="array" ref="AT974" xml:space="preserve"> SUBSTITUTE( INDEX( VfM_Metrics_2023_Consol_Source[], $AK974, AT$832 ), 0, "" )</f>
        <v>&gt;= 12 years</v>
      </c>
      <c r="AU974" s="34" cm="1">
        <f t="array" ref="AU974" xml:space="preserve"> INDEX( VfM_Metrics_2023_Consol_Source[], $AK974, AU$832 )</f>
        <v>0</v>
      </c>
      <c r="AV974" s="34" cm="1">
        <f t="array" ref="AV974" xml:space="preserve"> INDEX( VfM_Metrics_2023_Consol_Source[], $AK974, AV$832 )</f>
        <v>0</v>
      </c>
      <c r="AW974" s="34" cm="1">
        <f t="array" ref="AW974" xml:space="preserve"> INDEX( VfM_Metrics_2023_Consol_Source[], $AK974, AW$832 )</f>
        <v>0</v>
      </c>
      <c r="AX974" s="34" cm="1">
        <f t="array" ref="AX974" xml:space="preserve"> INDEX( VfM_Metrics_2023_Consol_Source[], $AK974, AX$832 )</f>
        <v>0</v>
      </c>
      <c r="AY974" s="34" cm="1">
        <f t="array" ref="AY974" xml:space="preserve"> INDEX( VfM_Metrics_2023_Consol_Source[], $AK974, AY$832 )</f>
        <v>0</v>
      </c>
      <c r="AZ974" s="34" cm="1">
        <f t="array" ref="AZ974" xml:space="preserve"> INDEX( VfM_Metrics_2023_Consol_Source[], $AK974, AZ$832 )</f>
        <v>1</v>
      </c>
      <c r="BA974" s="34" cm="1">
        <f t="array" ref="BA974" xml:space="preserve"> INDEX( VfM_Metrics_2023_Consol_Source[], $AK974, BA$832 )</f>
        <v>0</v>
      </c>
      <c r="BB974" s="34" cm="1">
        <f t="array" ref="BB974" xml:space="preserve"> INDEX( VfM_Metrics_2023_Consol_Source[], $AK974, BB$832 )</f>
        <v>0</v>
      </c>
      <c r="BC974" s="34" cm="1">
        <f t="array" ref="BC974" xml:space="preserve"> INDEX( VfM_Metrics_2023_Consol_Source[], $AK974, BC$832 )</f>
        <v>0</v>
      </c>
    </row>
    <row r="975" spans="2:55" x14ac:dyDescent="0.2">
      <c r="B975" s="122" t="str" vm="142">
        <f t="shared" ref="B975" si="480" xml:space="preserve"> B765</f>
        <v>Salix Homes Limited</v>
      </c>
      <c r="C975" s="122" t="str" vm="383">
        <f t="shared" si="467"/>
        <v>4609</v>
      </c>
      <c r="D975" s="30" cm="1">
        <f t="array" ref="D975" xml:space="preserve"> INDEX( VfM_Metrics_2023_Consol_Source[], $AK975, D$832 )</f>
        <v>0.12381945800404905</v>
      </c>
      <c r="E975" s="35">
        <f xml:space="preserve"> IF( tblFilterAll[[#This Row],[Reinvestment]] &lt; D$825, 4, IF( tblFilterAll[[#This Row],[Reinvestment]] &lt; D$826, 3, IF( tblFilterAll[[#This Row],[Reinvestment]] &lt; D$827, 2, 1 ) ) )</f>
        <v>1</v>
      </c>
      <c r="F975" s="35">
        <f xml:space="preserve"> COUNTIFS( tblFilterAll[Include in output], 1, tblFilterAll[Reinvestment], "&gt;" &amp; tblFilterAll[[#This Row],[Reinvestment]] ) + 1</f>
        <v>17</v>
      </c>
      <c r="G975" s="30" cm="1">
        <f t="array" ref="G975" xml:space="preserve"> INDEX( VfM_Metrics_2023_Consol_Source[], $AK975, G$832 )</f>
        <v>0</v>
      </c>
      <c r="H975" s="35">
        <f xml:space="preserve"> IF( tblFilterAll[[#This Row],[New Supply (Social)]] &lt; G$825, 4, IF( tblFilterAll[[#This Row],[New Supply (Social)]] &lt; G$826, 3, IF( tblFilterAll[[#This Row],[New Supply (Social)]] &lt; G$827, 2, 1 ) ) )</f>
        <v>4</v>
      </c>
      <c r="I975" s="35">
        <f xml:space="preserve"> COUNTIFS( tblFilterAll[Include in output], 1, tblFilterAll[New Supply (Social)], "&gt;" &amp; tblFilterAll[[#This Row],[New Supply (Social)]] ) + 1</f>
        <v>187</v>
      </c>
      <c r="J975" s="31" cm="1">
        <f t="array" ref="J975" xml:space="preserve"> INDEX( VfM_Metrics_2023_Consol_Source[], $AK975, J$832 )</f>
        <v>1.2661433274246644E-4</v>
      </c>
      <c r="K975" s="35">
        <f xml:space="preserve"> IF( tblFilterAll[[#This Row],[New Supply (Non-Social)]] &lt; J$825, 4, IF( tblFilterAll[[#This Row],[New Supply (Non-Social)]] &lt; J$826, 3, IF( tblFilterAll[[#This Row],[New Supply (Non-Social)]] &lt; J$827, 2, 1 ) ) )</f>
        <v>2</v>
      </c>
      <c r="L975" s="35">
        <f xml:space="preserve"> COUNTIFS( tblFilterAll[Include in output], 1, tblFilterAll[New Supply (Non-Social)], "&gt;" &amp; tblFilterAll[[#This Row],[New Supply (Non-Social)]] ) + 1</f>
        <v>70</v>
      </c>
      <c r="M975" s="30" cm="1">
        <f t="array" ref="M975" xml:space="preserve"> INDEX( VfM_Metrics_2023_Consol_Source[], $AK975, M$832 )</f>
        <v>0.39671863278078656</v>
      </c>
      <c r="N975" s="35">
        <f xml:space="preserve"> IF( tblFilterAll[[#This Row],[Gearing]] &lt; M$825, 4, IF( tblFilterAll[[#This Row],[Gearing]] &lt; M$826, 3, IF( tblFilterAll[[#This Row],[Gearing]] &lt; M$827, 2, 1 ) ) )</f>
        <v>3</v>
      </c>
      <c r="O975" s="35">
        <f xml:space="preserve"> COUNTIFS( tblFilterAll[Include in output], 1, tblFilterAll[Gearing], "&gt;" &amp; tblFilterAll[[#This Row],[Gearing]] ) + 1</f>
        <v>130</v>
      </c>
      <c r="P975" s="30" cm="1">
        <f t="array" ref="P975" xml:space="preserve"> INDEX( VfM_Metrics_2023_Consol_Source[], $AK975, P$832 )</f>
        <v>1.1349310571240971</v>
      </c>
      <c r="Q975" s="35">
        <f xml:space="preserve"> IF( tblFilterAll[[#This Row],[EBITDA MRI Interest Cover]] &lt; P$825, 4, IF( tblFilterAll[[#This Row],[EBITDA MRI Interest Cover]] &lt; P$826, 3, IF( tblFilterAll[[#This Row],[EBITDA MRI Interest Cover]] &lt; P$827, 2, 1 ) ) )</f>
        <v>3</v>
      </c>
      <c r="R975" s="35">
        <f xml:space="preserve"> COUNTIFS( tblFilterAll[Include in output], 1, tblFilterAll[EBITDA MRI Interest Cover], "&gt;" &amp; tblFilterAll[[#This Row],[EBITDA MRI Interest Cover]] ) + 1</f>
        <v>119</v>
      </c>
      <c r="S975" s="32" cm="1">
        <f t="array" ref="S975" xml:space="preserve"> INDEX( VfM_Metrics_2023_Consol_Source[], $AK975, S$832 )</f>
        <v>4100.6856272219393</v>
      </c>
      <c r="T975" s="35">
        <f xml:space="preserve"> IF( tblFilterAll[[#This Row],[Headline Social Housing Cost per unit]] &lt; S$825, 4, IF( tblFilterAll[[#This Row],[Headline Social Housing Cost per unit]] &lt; S$826, 3, IF( tblFilterAll[[#This Row],[Headline Social Housing Cost per unit]] &lt; S$827, 2, 1 ) ) )</f>
        <v>3</v>
      </c>
      <c r="U975" s="35">
        <f xml:space="preserve"> COUNTIFS( tblFilterAll[Include in output], 1, tblFilterAll[Headline Social Housing Cost per unit], "&gt;" &amp; tblFilterAll[[#This Row],[Headline Social Housing Cost per unit]] ) + 1</f>
        <v>147</v>
      </c>
      <c r="V975" s="30" cm="1">
        <f t="array" ref="V975" xml:space="preserve"> INDEX( VfM_Metrics_2023_Consol_Source[], $AK975, V$832 )</f>
        <v>0.12386282185587473</v>
      </c>
      <c r="W975" s="35">
        <f xml:space="preserve"> IF( tblFilterAll[[#This Row],[Operating Margin (SHL)]] &lt; V$825, 4, IF( tblFilterAll[[#This Row],[Operating Margin (SHL)]] &lt; V$826, 3, IF( tblFilterAll[[#This Row],[Operating Margin (SHL)]] &lt; V$827, 2, 1 ) ) )</f>
        <v>4</v>
      </c>
      <c r="X975" s="35">
        <f xml:space="preserve"> COUNTIFS( tblFilterAll[Include in output], 1, tblFilterAll[Operating Margin (SHL)], "&gt;" &amp; tblFilterAll[[#This Row],[Operating Margin (SHL)]] ) + 1</f>
        <v>161</v>
      </c>
      <c r="Y975" s="30" cm="1">
        <f t="array" ref="Y975" xml:space="preserve"> INDEX( VfM_Metrics_2023_Consol_Source[], $AK975, Y$832 )</f>
        <v>0.1027571498316931</v>
      </c>
      <c r="Z975" s="35">
        <f xml:space="preserve"> IF( tblFilterAll[[#This Row],[Operating Margin (Overall)]] &lt; Y$825, 4, IF( tblFilterAll[[#This Row],[Operating Margin (Overall)]] &lt; Y$826, 3, IF( tblFilterAll[[#This Row],[Operating Margin (Overall)]] &lt; Y$827, 2, 1 ) ) )</f>
        <v>4</v>
      </c>
      <c r="AA975" s="35">
        <f xml:space="preserve"> COUNTIFS( tblFilterAll[Include in output], 1, tblFilterAll[Operating Margin (Overall)], "&gt;" &amp; tblFilterAll[[#This Row],[Operating Margin (Overall)]] ) + 1</f>
        <v>161</v>
      </c>
      <c r="AB975" s="30" cm="1">
        <f t="array" ref="AB975" xml:space="preserve"> INDEX( VfM_Metrics_2023_Consol_Source[], $AK975, AB$832 )</f>
        <v>2.9522869799644125E-2</v>
      </c>
      <c r="AC975" s="35">
        <f xml:space="preserve"> IF( tblFilterAll[[#This Row],[ROCE]] &lt; AB$825, 4, IF( tblFilterAll[[#This Row],[ROCE]] &lt; AB$826, 3, IF( tblFilterAll[[#This Row],[ROCE]] &lt; AB$827, 2, 1 ) ) )</f>
        <v>2</v>
      </c>
      <c r="AD975" s="35">
        <f xml:space="preserve"> COUNTIFS( tblFilterAll[Include in output], 1, tblFilterAll[ROCE], "&gt;" &amp; tblFilterAll[[#This Row],[ROCE]] ) + 1</f>
        <v>94</v>
      </c>
      <c r="AE975" s="33" cm="1" vm="6294">
        <f t="array" ref="AE975" xml:space="preserve"> INDEX( VfM_Metrics_2023_Consol_Source[], $AK975, AE$832 )</f>
        <v>7876</v>
      </c>
      <c r="AF975" s="30" cm="1">
        <f t="array" ref="AF975" xml:space="preserve"> INDEX( VfM_Metrics_2023_Consol_Source[], $AK975, AF$832 )</f>
        <v>0</v>
      </c>
      <c r="AG975" s="30" cm="1">
        <f t="array" ref="AG975" xml:space="preserve"> INDEX( VfM_Metrics_2023_Consol_Source[], $AK975, AG$832 )</f>
        <v>3.7709497206703912E-2</v>
      </c>
      <c r="AH975" s="30" cm="1">
        <f t="array" ref="AH975" xml:space="preserve"> INDEX( VfM_Metrics_2023_Consol_Source[], $AK975, AH$832 )</f>
        <v>3.7709497206703912E-2</v>
      </c>
      <c r="AI975" s="30" t="str" cm="1">
        <f t="array" ref="AI975" xml:space="preserve"> INDEX( VfM_Metrics_2023_Consol_Source[], $AK975, AI$832 )</f>
        <v>LSVT</v>
      </c>
      <c r="AJ975" s="34" t="str" cm="1">
        <f t="array" ref="AJ975" xml:space="preserve"> INDEX( VfM_Metrics_2023_Consol_Source[], $AK975, AJ$832 )</f>
        <v>North West</v>
      </c>
      <c r="AK975" s="81">
        <f xml:space="preserve"> MATCH( tblFilterAll[[#This Row],[Code]], VfM_Metrics_2023_Consol_Source[RP_Code], 0 )</f>
        <v>142</v>
      </c>
      <c r="AL975" s="24">
        <f xml:space="preserve"> INDEX( tblFilterRegion[Include for region],  MATCH( tblFilterAll[[#This Row],[Code]], tblFilterRegion[RP_Code], 0 ) )</f>
        <v>1</v>
      </c>
      <c r="AM975" s="24">
        <f xml:space="preserve"> INDEX( tblFilterPropType[Incl for prop type],  MATCH( tblFilterAll[[#This Row],[Code]], tblFilterPropType[RP_Code], 0 ) )</f>
        <v>1</v>
      </c>
      <c r="AN975" s="24">
        <f xml:space="preserve"> INDEX( tblFilterSize[Incl for size],  MATCH( tblFilterAll[[#This Row],[Code]], tblFilterSize[RP_Code], 0 ) )</f>
        <v>1</v>
      </c>
      <c r="AO975" s="24">
        <f xml:space="preserve"> INDEX( tblFilterRP_Type[Incl, for RP Type],  MATCH( tblFilterAll[[#This Row],[Code]], tblFilterRP_Type[RP_Code], 0 ) )</f>
        <v>1</v>
      </c>
      <c r="AP975" s="24">
        <f xml:space="preserve">  -- ( SUM( tblFilterAll[[#This Row],[Filter Region]:[Filter RP Type]] ) = 4 )</f>
        <v>1</v>
      </c>
      <c r="AQ975" s="24">
        <f xml:space="preserve"> -- ( tblFilterAll[[#This Row],[Provider name]] = SelectedProvider )</f>
        <v>0</v>
      </c>
      <c r="AR975" s="24">
        <f xml:space="preserve">  -- ( OR( SUM( tblFilterAll[[#This Row],[Filter Region]:[Filter RP Type]] ) = 4, tblFilterAll[[#This Row],[SelectedProvider]] = 1 ) )</f>
        <v>1</v>
      </c>
      <c r="AS975" s="24">
        <f xml:space="preserve"> -- ( INDEX( PeersCritera[Included in final peers], MATCH( tblFilterAll[[#This Row],[Provider name]], PeersCritera[RP_Name], 0 ) ) = 1 )</f>
        <v>1</v>
      </c>
      <c r="AT975" s="30" t="str" cm="1">
        <f t="array" ref="AT975" xml:space="preserve"> SUBSTITUTE( INDEX( VfM_Metrics_2023_Consol_Source[], $AK975, AT$832 ), 0, "" )</f>
        <v>&lt; 12 years</v>
      </c>
      <c r="AU975" s="34" cm="1">
        <f t="array" ref="AU975" xml:space="preserve"> INDEX( VfM_Metrics_2023_Consol_Source[], $AK975, AU$832 )</f>
        <v>0</v>
      </c>
      <c r="AV975" s="34" cm="1">
        <f t="array" ref="AV975" xml:space="preserve"> INDEX( VfM_Metrics_2023_Consol_Source[], $AK975, AV$832 )</f>
        <v>0</v>
      </c>
      <c r="AW975" s="34" cm="1">
        <f t="array" ref="AW975" xml:space="preserve"> INDEX( VfM_Metrics_2023_Consol_Source[], $AK975, AW$832 )</f>
        <v>0</v>
      </c>
      <c r="AX975" s="34" cm="1">
        <f t="array" ref="AX975" xml:space="preserve"> INDEX( VfM_Metrics_2023_Consol_Source[], $AK975, AX$832 )</f>
        <v>0</v>
      </c>
      <c r="AY975" s="34" cm="1">
        <f t="array" ref="AY975" xml:space="preserve"> INDEX( VfM_Metrics_2023_Consol_Source[], $AK975, AY$832 )</f>
        <v>0</v>
      </c>
      <c r="AZ975" s="34" cm="1">
        <f t="array" ref="AZ975" xml:space="preserve"> INDEX( VfM_Metrics_2023_Consol_Source[], $AK975, AZ$832 )</f>
        <v>0</v>
      </c>
      <c r="BA975" s="34" cm="1">
        <f t="array" ref="BA975" xml:space="preserve"> INDEX( VfM_Metrics_2023_Consol_Source[], $AK975, BA$832 )</f>
        <v>0</v>
      </c>
      <c r="BB975" s="34" cm="1">
        <f t="array" ref="BB975" xml:space="preserve"> INDEX( VfM_Metrics_2023_Consol_Source[], $AK975, BB$832 )</f>
        <v>1</v>
      </c>
      <c r="BC975" s="34" cm="1">
        <f t="array" ref="BC975" xml:space="preserve"> INDEX( VfM_Metrics_2023_Consol_Source[], $AK975, BC$832 )</f>
        <v>0</v>
      </c>
    </row>
    <row r="976" spans="2:55" x14ac:dyDescent="0.2">
      <c r="B976" s="122" t="str" vm="143">
        <f t="shared" ref="B976" si="481" xml:space="preserve"> B766</f>
        <v>Salvation Army Housing Association</v>
      </c>
      <c r="C976" s="122" t="str" vm="310">
        <f t="shared" si="467"/>
        <v>LH2429</v>
      </c>
      <c r="D976" s="30" cm="1">
        <f t="array" ref="D976" xml:space="preserve"> INDEX( VfM_Metrics_2023_Consol_Source[], $AK976, D$832 )</f>
        <v>2.2490946005267777E-2</v>
      </c>
      <c r="E976" s="35">
        <f xml:space="preserve"> IF( tblFilterAll[[#This Row],[Reinvestment]] &lt; D$825, 4, IF( tblFilterAll[[#This Row],[Reinvestment]] &lt; D$826, 3, IF( tblFilterAll[[#This Row],[Reinvestment]] &lt; D$827, 2, 1 ) ) )</f>
        <v>4</v>
      </c>
      <c r="F976" s="35">
        <f xml:space="preserve"> COUNTIFS( tblFilterAll[Include in output], 1, tblFilterAll[Reinvestment], "&gt;" &amp; tblFilterAll[[#This Row],[Reinvestment]] ) + 1</f>
        <v>186</v>
      </c>
      <c r="G976" s="30" cm="1">
        <f t="array" ref="G976" xml:space="preserve"> INDEX( VfM_Metrics_2023_Consol_Source[], $AK976, G$832 )</f>
        <v>2.768549280177187E-4</v>
      </c>
      <c r="H976" s="35">
        <f xml:space="preserve"> IF( tblFilterAll[[#This Row],[New Supply (Social)]] &lt; G$825, 4, IF( tblFilterAll[[#This Row],[New Supply (Social)]] &lt; G$826, 3, IF( tblFilterAll[[#This Row],[New Supply (Social)]] &lt; G$827, 2, 1 ) ) )</f>
        <v>4</v>
      </c>
      <c r="I976" s="35">
        <f xml:space="preserve"> COUNTIFS( tblFilterAll[Include in output], 1, tblFilterAll[New Supply (Social)], "&gt;" &amp; tblFilterAll[[#This Row],[New Supply (Social)]] ) + 1</f>
        <v>185</v>
      </c>
      <c r="J976" s="31" cm="1">
        <f t="array" ref="J976" xml:space="preserve"> INDEX( VfM_Metrics_2023_Consol_Source[], $AK976, J$832 )</f>
        <v>0</v>
      </c>
      <c r="K976" s="35">
        <f xml:space="preserve"> IF( tblFilterAll[[#This Row],[New Supply (Non-Social)]] &lt; J$825, 4, IF( tblFilterAll[[#This Row],[New Supply (Non-Social)]] &lt; J$826, 3, IF( tblFilterAll[[#This Row],[New Supply (Non-Social)]] &lt; J$827, 2, 1 ) ) )</f>
        <v>2</v>
      </c>
      <c r="L976" s="35">
        <f xml:space="preserve"> COUNTIFS( tblFilterAll[Include in output], 1, tblFilterAll[New Supply (Non-Social)], "&gt;" &amp; tblFilterAll[[#This Row],[New Supply (Non-Social)]] ) + 1</f>
        <v>72</v>
      </c>
      <c r="M976" s="30" cm="1">
        <f t="array" ref="M976" xml:space="preserve"> INDEX( VfM_Metrics_2023_Consol_Source[], $AK976, M$832 )</f>
        <v>9.9648814749780504E-2</v>
      </c>
      <c r="N976" s="35">
        <f xml:space="preserve"> IF( tblFilterAll[[#This Row],[Gearing]] &lt; M$825, 4, IF( tblFilterAll[[#This Row],[Gearing]] &lt; M$826, 3, IF( tblFilterAll[[#This Row],[Gearing]] &lt; M$827, 2, 1 ) ) )</f>
        <v>4</v>
      </c>
      <c r="O976" s="35">
        <f xml:space="preserve"> COUNTIFS( tblFilterAll[Include in output], 1, tblFilterAll[Gearing], "&gt;" &amp; tblFilterAll[[#This Row],[Gearing]] ) + 1</f>
        <v>187</v>
      </c>
      <c r="P976" s="30" cm="1">
        <f t="array" ref="P976" xml:space="preserve"> INDEX( VfM_Metrics_2023_Consol_Source[], $AK976, P$832 )</f>
        <v>2.0579119086460032</v>
      </c>
      <c r="Q976" s="35">
        <f xml:space="preserve"> IF( tblFilterAll[[#This Row],[EBITDA MRI Interest Cover]] &lt; P$825, 4, IF( tblFilterAll[[#This Row],[EBITDA MRI Interest Cover]] &lt; P$826, 3, IF( tblFilterAll[[#This Row],[EBITDA MRI Interest Cover]] &lt; P$827, 2, 1 ) ) )</f>
        <v>1</v>
      </c>
      <c r="R976" s="35">
        <f xml:space="preserve"> COUNTIFS( tblFilterAll[Include in output], 1, tblFilterAll[EBITDA MRI Interest Cover], "&gt;" &amp; tblFilterAll[[#This Row],[EBITDA MRI Interest Cover]] ) + 1</f>
        <v>28</v>
      </c>
      <c r="S976" s="32" cm="1">
        <f t="array" ref="S976" xml:space="preserve"> INDEX( VfM_Metrics_2023_Consol_Source[], $AK976, S$832 )</f>
        <v>7795.4168967421319</v>
      </c>
      <c r="T976" s="35">
        <f xml:space="preserve"> IF( tblFilterAll[[#This Row],[Headline Social Housing Cost per unit]] &lt; S$825, 4, IF( tblFilterAll[[#This Row],[Headline Social Housing Cost per unit]] &lt; S$826, 3, IF( tblFilterAll[[#This Row],[Headline Social Housing Cost per unit]] &lt; S$827, 2, 1 ) ) )</f>
        <v>1</v>
      </c>
      <c r="U976" s="35">
        <f xml:space="preserve"> COUNTIFS( tblFilterAll[Include in output], 1, tblFilterAll[Headline Social Housing Cost per unit], "&gt;" &amp; tblFilterAll[[#This Row],[Headline Social Housing Cost per unit]] ) + 1</f>
        <v>24</v>
      </c>
      <c r="V976" s="30" cm="1">
        <f t="array" ref="V976" xml:space="preserve"> INDEX( VfM_Metrics_2023_Consol_Source[], $AK976, V$832 )</f>
        <v>5.2166224580017684E-2</v>
      </c>
      <c r="W976" s="35">
        <f xml:space="preserve"> IF( tblFilterAll[[#This Row],[Operating Margin (SHL)]] &lt; V$825, 4, IF( tblFilterAll[[#This Row],[Operating Margin (SHL)]] &lt; V$826, 3, IF( tblFilterAll[[#This Row],[Operating Margin (SHL)]] &lt; V$827, 2, 1 ) ) )</f>
        <v>4</v>
      </c>
      <c r="X976" s="35">
        <f xml:space="preserve"> COUNTIFS( tblFilterAll[Include in output], 1, tblFilterAll[Operating Margin (SHL)], "&gt;" &amp; tblFilterAll[[#This Row],[Operating Margin (SHL)]] ) + 1</f>
        <v>186</v>
      </c>
      <c r="Y976" s="30" cm="1">
        <f t="array" ref="Y976" xml:space="preserve"> INDEX( VfM_Metrics_2023_Consol_Source[], $AK976, Y$832 )</f>
        <v>0.10489656198839113</v>
      </c>
      <c r="Z976" s="35">
        <f xml:space="preserve"> IF( tblFilterAll[[#This Row],[Operating Margin (Overall)]] &lt; Y$825, 4, IF( tblFilterAll[[#This Row],[Operating Margin (Overall)]] &lt; Y$826, 3, IF( tblFilterAll[[#This Row],[Operating Margin (Overall)]] &lt; Y$827, 2, 1 ) ) )</f>
        <v>4</v>
      </c>
      <c r="AA976" s="35">
        <f xml:space="preserve"> COUNTIFS( tblFilterAll[Include in output], 1, tblFilterAll[Operating Margin (Overall)], "&gt;" &amp; tblFilterAll[[#This Row],[Operating Margin (Overall)]] ) + 1</f>
        <v>158</v>
      </c>
      <c r="AB976" s="30" cm="1">
        <f t="array" ref="AB976" xml:space="preserve"> INDEX( VfM_Metrics_2023_Consol_Source[], $AK976, AB$832 )</f>
        <v>1.9991944222248696E-2</v>
      </c>
      <c r="AC976" s="35">
        <f xml:space="preserve"> IF( tblFilterAll[[#This Row],[ROCE]] &lt; AB$825, 4, IF( tblFilterAll[[#This Row],[ROCE]] &lt; AB$826, 3, IF( tblFilterAll[[#This Row],[ROCE]] &lt; AB$827, 2, 1 ) ) )</f>
        <v>4</v>
      </c>
      <c r="AD976" s="35">
        <f xml:space="preserve"> COUNTIFS( tblFilterAll[Include in output], 1, tblFilterAll[ROCE], "&gt;" &amp; tblFilterAll[[#This Row],[ROCE]] ) + 1</f>
        <v>162</v>
      </c>
      <c r="AE976" s="33" cm="1" vm="3668">
        <f t="array" ref="AE976" xml:space="preserve"> INDEX( VfM_Metrics_2023_Consol_Source[], $AK976, AE$832 )</f>
        <v>3612</v>
      </c>
      <c r="AF976" s="30" cm="1">
        <f t="array" ref="AF976" xml:space="preserve"> INDEX( VfM_Metrics_2023_Consol_Source[], $AK976, AF$832 )</f>
        <v>0.54872226902555465</v>
      </c>
      <c r="AG976" s="30" cm="1">
        <f t="array" ref="AG976" xml:space="preserve"> INDEX( VfM_Metrics_2023_Consol_Source[], $AK976, AG$832 )</f>
        <v>8.1156978376860436E-2</v>
      </c>
      <c r="AH976" s="30" cm="1">
        <f t="array" ref="AH976" xml:space="preserve"> INDEX( VfM_Metrics_2023_Consol_Source[], $AK976, AH$832 )</f>
        <v>0.62987924740241508</v>
      </c>
      <c r="AI976" s="30" t="str" cm="1">
        <f t="array" ref="AI976" xml:space="preserve"> INDEX( VfM_Metrics_2023_Consol_Source[], $AK976, AI$832 )</f>
        <v>Traditional</v>
      </c>
      <c r="AJ976" s="34" t="str" cm="1">
        <f t="array" ref="AJ976" xml:space="preserve"> INDEX( VfM_Metrics_2023_Consol_Source[], $AK976, AJ$832 )</f>
        <v>Mixed</v>
      </c>
      <c r="AK976" s="81">
        <f xml:space="preserve"> MATCH( tblFilterAll[[#This Row],[Code]], VfM_Metrics_2023_Consol_Source[RP_Code], 0 )</f>
        <v>143</v>
      </c>
      <c r="AL976" s="24">
        <f xml:space="preserve"> INDEX( tblFilterRegion[Include for region],  MATCH( tblFilterAll[[#This Row],[Code]], tblFilterRegion[RP_Code], 0 ) )</f>
        <v>1</v>
      </c>
      <c r="AM976" s="24">
        <f xml:space="preserve"> INDEX( tblFilterPropType[Incl for prop type],  MATCH( tblFilterAll[[#This Row],[Code]], tblFilterPropType[RP_Code], 0 ) )</f>
        <v>1</v>
      </c>
      <c r="AN976" s="24">
        <f xml:space="preserve"> INDEX( tblFilterSize[Incl for size],  MATCH( tblFilterAll[[#This Row],[Code]], tblFilterSize[RP_Code], 0 ) )</f>
        <v>1</v>
      </c>
      <c r="AO976" s="24">
        <f xml:space="preserve"> INDEX( tblFilterRP_Type[Incl, for RP Type],  MATCH( tblFilterAll[[#This Row],[Code]], tblFilterRP_Type[RP_Code], 0 ) )</f>
        <v>1</v>
      </c>
      <c r="AP976" s="24">
        <f xml:space="preserve">  -- ( SUM( tblFilterAll[[#This Row],[Filter Region]:[Filter RP Type]] ) = 4 )</f>
        <v>1</v>
      </c>
      <c r="AQ976" s="24">
        <f xml:space="preserve"> -- ( tblFilterAll[[#This Row],[Provider name]] = SelectedProvider )</f>
        <v>0</v>
      </c>
      <c r="AR976" s="24">
        <f xml:space="preserve">  -- ( OR( SUM( tblFilterAll[[#This Row],[Filter Region]:[Filter RP Type]] ) = 4, tblFilterAll[[#This Row],[SelectedProvider]] = 1 ) )</f>
        <v>1</v>
      </c>
      <c r="AS976" s="24">
        <f xml:space="preserve"> -- ( INDEX( PeersCritera[Included in final peers], MATCH( tblFilterAll[[#This Row],[Provider name]], PeersCritera[RP_Name], 0 ) ) = 1 )</f>
        <v>1</v>
      </c>
      <c r="AT976" s="30" t="str" cm="1">
        <f t="array" ref="AT976" xml:space="preserve"> SUBSTITUTE( INDEX( VfM_Metrics_2023_Consol_Source[], $AK976, AT$832 ), 0, "" )</f>
        <v/>
      </c>
      <c r="AU976" s="34" cm="1">
        <f t="array" ref="AU976" xml:space="preserve"> INDEX( VfM_Metrics_2023_Consol_Source[], $AK976, AU$832 )</f>
        <v>0.19681002563372257</v>
      </c>
      <c r="AV976" s="34" cm="1">
        <f t="array" ref="AV976" xml:space="preserve"> INDEX( VfM_Metrics_2023_Consol_Source[], $AK976, AV$832 )</f>
        <v>9.6268869268014812E-2</v>
      </c>
      <c r="AW976" s="34" cm="1">
        <f t="array" ref="AW976" xml:space="preserve"> INDEX( VfM_Metrics_2023_Consol_Source[], $AK976, AW$832 )</f>
        <v>0.13101680432925092</v>
      </c>
      <c r="AX976" s="34" cm="1">
        <f t="array" ref="AX976" xml:space="preserve"> INDEX( VfM_Metrics_2023_Consol_Source[], $AK976, AX$832 )</f>
        <v>4.8704072913699797E-2</v>
      </c>
      <c r="AY976" s="34" cm="1">
        <f t="array" ref="AY976" xml:space="preserve"> INDEX( VfM_Metrics_2023_Consol_Source[], $AK976, AY$832 )</f>
        <v>5.8103104528624321E-2</v>
      </c>
      <c r="AZ976" s="34" cm="1">
        <f t="array" ref="AZ976" xml:space="preserve"> INDEX( VfM_Metrics_2023_Consol_Source[], $AK976, AZ$832 )</f>
        <v>0.11478211335801766</v>
      </c>
      <c r="BA976" s="34" cm="1">
        <f t="array" ref="BA976" xml:space="preserve"> INDEX( VfM_Metrics_2023_Consol_Source[], $AK976, BA$832 )</f>
        <v>3.7880945599544288E-2</v>
      </c>
      <c r="BB976" s="34" cm="1">
        <f t="array" ref="BB976" xml:space="preserve"> INDEX( VfM_Metrics_2023_Consol_Source[], $AK976, BB$832 )</f>
        <v>0.23241241811449728</v>
      </c>
      <c r="BC976" s="34" cm="1">
        <f t="array" ref="BC976" xml:space="preserve"> INDEX( VfM_Metrics_2023_Consol_Source[], $AK976, BC$832 )</f>
        <v>8.402164625462831E-2</v>
      </c>
    </row>
    <row r="977" spans="2:55" x14ac:dyDescent="0.2">
      <c r="B977" s="122" t="str" vm="144">
        <f t="shared" ref="B977" si="482" xml:space="preserve"> B767</f>
        <v>Sanctuary Housing Association</v>
      </c>
      <c r="C977" s="122" t="str" vm="251">
        <f t="shared" si="467"/>
        <v>L0247</v>
      </c>
      <c r="D977" s="30" cm="1">
        <f t="array" ref="D977" xml:space="preserve"> INDEX( VfM_Metrics_2023_Consol_Source[], $AK977, D$832 )</f>
        <v>3.1208639152929853E-2</v>
      </c>
      <c r="E977" s="35">
        <f xml:space="preserve"> IF( tblFilterAll[[#This Row],[Reinvestment]] &lt; D$825, 4, IF( tblFilterAll[[#This Row],[Reinvestment]] &lt; D$826, 3, IF( tblFilterAll[[#This Row],[Reinvestment]] &lt; D$827, 2, 1 ) ) )</f>
        <v>4</v>
      </c>
      <c r="F977" s="35">
        <f xml:space="preserve"> COUNTIFS( tblFilterAll[Include in output], 1, tblFilterAll[Reinvestment], "&gt;" &amp; tblFilterAll[[#This Row],[Reinvestment]] ) + 1</f>
        <v>170</v>
      </c>
      <c r="G977" s="30" cm="1">
        <f t="array" ref="G977" xml:space="preserve"> INDEX( VfM_Metrics_2023_Consol_Source[], $AK977, G$832 )</f>
        <v>8.4471199597959852E-3</v>
      </c>
      <c r="H977" s="35">
        <f xml:space="preserve"> IF( tblFilterAll[[#This Row],[New Supply (Social)]] &lt; G$825, 4, IF( tblFilterAll[[#This Row],[New Supply (Social)]] &lt; G$826, 3, IF( tblFilterAll[[#This Row],[New Supply (Social)]] &lt; G$827, 2, 1 ) ) )</f>
        <v>3</v>
      </c>
      <c r="I977" s="35">
        <f xml:space="preserve"> COUNTIFS( tblFilterAll[Include in output], 1, tblFilterAll[New Supply (Social)], "&gt;" &amp; tblFilterAll[[#This Row],[New Supply (Social)]] ) + 1</f>
        <v>135</v>
      </c>
      <c r="J977" s="31" cm="1">
        <f t="array" ref="J977" xml:space="preserve"> INDEX( VfM_Metrics_2023_Consol_Source[], $AK977, J$832 )</f>
        <v>9.5875661251814057E-3</v>
      </c>
      <c r="K977" s="35">
        <f xml:space="preserve"> IF( tblFilterAll[[#This Row],[New Supply (Non-Social)]] &lt; J$825, 4, IF( tblFilterAll[[#This Row],[New Supply (Non-Social)]] &lt; J$826, 3, IF( tblFilterAll[[#This Row],[New Supply (Non-Social)]] &lt; J$827, 2, 1 ) ) )</f>
        <v>1</v>
      </c>
      <c r="L977" s="35">
        <f xml:space="preserve"> COUNTIFS( tblFilterAll[Include in output], 1, tblFilterAll[New Supply (Non-Social)], "&gt;" &amp; tblFilterAll[[#This Row],[New Supply (Non-Social)]] ) + 1</f>
        <v>7</v>
      </c>
      <c r="M977" s="30" cm="1">
        <f t="array" ref="M977" xml:space="preserve"> INDEX( VfM_Metrics_2023_Consol_Source[], $AK977, M$832 )</f>
        <v>0.53742028636746486</v>
      </c>
      <c r="N977" s="35">
        <f xml:space="preserve"> IF( tblFilterAll[[#This Row],[Gearing]] &lt; M$825, 4, IF( tblFilterAll[[#This Row],[Gearing]] &lt; M$826, 3, IF( tblFilterAll[[#This Row],[Gearing]] &lt; M$827, 2, 1 ) ) )</f>
        <v>2</v>
      </c>
      <c r="O977" s="35">
        <f xml:space="preserve"> COUNTIFS( tblFilterAll[Include in output], 1, tblFilterAll[Gearing], "&gt;" &amp; tblFilterAll[[#This Row],[Gearing]] ) + 1</f>
        <v>50</v>
      </c>
      <c r="P977" s="30" cm="1">
        <f t="array" ref="P977" xml:space="preserve"> INDEX( VfM_Metrics_2023_Consol_Source[], $AK977, P$832 )</f>
        <v>1.1620712844653664</v>
      </c>
      <c r="Q977" s="35">
        <f xml:space="preserve"> IF( tblFilterAll[[#This Row],[EBITDA MRI Interest Cover]] &lt; P$825, 4, IF( tblFilterAll[[#This Row],[EBITDA MRI Interest Cover]] &lt; P$826, 3, IF( tblFilterAll[[#This Row],[EBITDA MRI Interest Cover]] &lt; P$827, 2, 1 ) ) )</f>
        <v>3</v>
      </c>
      <c r="R977" s="35">
        <f xml:space="preserve"> COUNTIFS( tblFilterAll[Include in output], 1, tblFilterAll[EBITDA MRI Interest Cover], "&gt;" &amp; tblFilterAll[[#This Row],[EBITDA MRI Interest Cover]] ) + 1</f>
        <v>115</v>
      </c>
      <c r="S977" s="32" cm="1">
        <f t="array" ref="S977" xml:space="preserve"> INDEX( VfM_Metrics_2023_Consol_Source[], $AK977, S$832 )</f>
        <v>4750.2119647202608</v>
      </c>
      <c r="T977" s="35">
        <f xml:space="preserve"> IF( tblFilterAll[[#This Row],[Headline Social Housing Cost per unit]] &lt; S$825, 4, IF( tblFilterAll[[#This Row],[Headline Social Housing Cost per unit]] &lt; S$826, 3, IF( tblFilterAll[[#This Row],[Headline Social Housing Cost per unit]] &lt; S$827, 2, 1 ) ) )</f>
        <v>2</v>
      </c>
      <c r="U977" s="35">
        <f xml:space="preserve"> COUNTIFS( tblFilterAll[Include in output], 1, tblFilterAll[Headline Social Housing Cost per unit], "&gt;" &amp; tblFilterAll[[#This Row],[Headline Social Housing Cost per unit]] ) + 1</f>
        <v>86</v>
      </c>
      <c r="V977" s="30" cm="1">
        <f t="array" ref="V977" xml:space="preserve"> INDEX( VfM_Metrics_2023_Consol_Source[], $AK977, V$832 )</f>
        <v>0.33072365636902246</v>
      </c>
      <c r="W977" s="35">
        <f xml:space="preserve"> IF( tblFilterAll[[#This Row],[Operating Margin (SHL)]] &lt; V$825, 4, IF( tblFilterAll[[#This Row],[Operating Margin (SHL)]] &lt; V$826, 3, IF( tblFilterAll[[#This Row],[Operating Margin (SHL)]] &lt; V$827, 2, 1 ) ) )</f>
        <v>1</v>
      </c>
      <c r="X977" s="35">
        <f xml:space="preserve"> COUNTIFS( tblFilterAll[Include in output], 1, tblFilterAll[Operating Margin (SHL)], "&gt;" &amp; tblFilterAll[[#This Row],[Operating Margin (SHL)]] ) + 1</f>
        <v>17</v>
      </c>
      <c r="Y977" s="30" cm="1">
        <f t="array" ref="Y977" xml:space="preserve"> INDEX( VfM_Metrics_2023_Consol_Source[], $AK977, Y$832 )</f>
        <v>0.19548633184996822</v>
      </c>
      <c r="Z977" s="35">
        <f xml:space="preserve"> IF( tblFilterAll[[#This Row],[Operating Margin (Overall)]] &lt; Y$825, 4, IF( tblFilterAll[[#This Row],[Operating Margin (Overall)]] &lt; Y$826, 3, IF( tblFilterAll[[#This Row],[Operating Margin (Overall)]] &lt; Y$827, 2, 1 ) ) )</f>
        <v>2</v>
      </c>
      <c r="AA977" s="35">
        <f xml:space="preserve"> COUNTIFS( tblFilterAll[Include in output], 1, tblFilterAll[Operating Margin (Overall)], "&gt;" &amp; tblFilterAll[[#This Row],[Operating Margin (Overall)]] ) + 1</f>
        <v>86</v>
      </c>
      <c r="AB977" s="30" cm="1">
        <f t="array" ref="AB977" xml:space="preserve"> INDEX( VfM_Metrics_2023_Consol_Source[], $AK977, AB$832 )</f>
        <v>2.8162257495590828E-2</v>
      </c>
      <c r="AC977" s="35">
        <f xml:space="preserve"> IF( tblFilterAll[[#This Row],[ROCE]] &lt; AB$825, 4, IF( tblFilterAll[[#This Row],[ROCE]] &lt; AB$826, 3, IF( tblFilterAll[[#This Row],[ROCE]] &lt; AB$827, 2, 1 ) ) )</f>
        <v>3</v>
      </c>
      <c r="AD977" s="35">
        <f xml:space="preserve"> COUNTIFS( tblFilterAll[Include in output], 1, tblFilterAll[ROCE], "&gt;" &amp; tblFilterAll[[#This Row],[ROCE]] ) + 1</f>
        <v>102</v>
      </c>
      <c r="AE977" s="33" cm="1" vm="1772">
        <f t="array" ref="AE977" xml:space="preserve"> INDEX( VfM_Metrics_2023_Consol_Source[], $AK977, AE$832 )</f>
        <v>88889</v>
      </c>
      <c r="AF977" s="30" cm="1">
        <f t="array" ref="AF977" xml:space="preserve"> INDEX( VfM_Metrics_2023_Consol_Source[], $AK977, AF$832 )</f>
        <v>5.5806881768671879E-2</v>
      </c>
      <c r="AG977" s="30" cm="1">
        <f t="array" ref="AG977" xml:space="preserve"> INDEX( VfM_Metrics_2023_Consol_Source[], $AK977, AG$832 )</f>
        <v>0.12948492665844144</v>
      </c>
      <c r="AH977" s="30" cm="1">
        <f t="array" ref="AH977" xml:space="preserve"> INDEX( VfM_Metrics_2023_Consol_Source[], $AK977, AH$832 )</f>
        <v>0.18529180842711332</v>
      </c>
      <c r="AI977" s="30" t="str" cm="1">
        <f t="array" ref="AI977" xml:space="preserve"> INDEX( VfM_Metrics_2023_Consol_Source[], $AK977, AI$832 )</f>
        <v>Traditional</v>
      </c>
      <c r="AJ977" s="34" t="str" cm="1">
        <f t="array" ref="AJ977" xml:space="preserve"> INDEX( VfM_Metrics_2023_Consol_Source[], $AK977, AJ$832 )</f>
        <v>Mixed</v>
      </c>
      <c r="AK977" s="81">
        <f xml:space="preserve"> MATCH( tblFilterAll[[#This Row],[Code]], VfM_Metrics_2023_Consol_Source[RP_Code], 0 )</f>
        <v>144</v>
      </c>
      <c r="AL977" s="24">
        <f xml:space="preserve"> INDEX( tblFilterRegion[Include for region],  MATCH( tblFilterAll[[#This Row],[Code]], tblFilterRegion[RP_Code], 0 ) )</f>
        <v>1</v>
      </c>
      <c r="AM977" s="24">
        <f xml:space="preserve"> INDEX( tblFilterPropType[Incl for prop type],  MATCH( tblFilterAll[[#This Row],[Code]], tblFilterPropType[RP_Code], 0 ) )</f>
        <v>1</v>
      </c>
      <c r="AN977" s="24">
        <f xml:space="preserve"> INDEX( tblFilterSize[Incl for size],  MATCH( tblFilterAll[[#This Row],[Code]], tblFilterSize[RP_Code], 0 ) )</f>
        <v>1</v>
      </c>
      <c r="AO977" s="24">
        <f xml:space="preserve"> INDEX( tblFilterRP_Type[Incl, for RP Type],  MATCH( tblFilterAll[[#This Row],[Code]], tblFilterRP_Type[RP_Code], 0 ) )</f>
        <v>1</v>
      </c>
      <c r="AP977" s="24">
        <f xml:space="preserve">  -- ( SUM( tblFilterAll[[#This Row],[Filter Region]:[Filter RP Type]] ) = 4 )</f>
        <v>1</v>
      </c>
      <c r="AQ977" s="24">
        <f xml:space="preserve"> -- ( tblFilterAll[[#This Row],[Provider name]] = SelectedProvider )</f>
        <v>0</v>
      </c>
      <c r="AR977" s="24">
        <f xml:space="preserve">  -- ( OR( SUM( tblFilterAll[[#This Row],[Filter Region]:[Filter RP Type]] ) = 4, tblFilterAll[[#This Row],[SelectedProvider]] = 1 ) )</f>
        <v>1</v>
      </c>
      <c r="AS977" s="24">
        <f xml:space="preserve"> -- ( INDEX( PeersCritera[Included in final peers], MATCH( tblFilterAll[[#This Row],[Provider name]], PeersCritera[RP_Name], 0 ) ) = 1 )</f>
        <v>1</v>
      </c>
      <c r="AT977" s="30" t="str" cm="1">
        <f t="array" ref="AT977" xml:space="preserve"> SUBSTITUTE( INDEX( VfM_Metrics_2023_Consol_Source[], $AK977, AT$832 ), 0, "" )</f>
        <v/>
      </c>
      <c r="AU977" s="34" cm="1">
        <f t="array" ref="AU977" xml:space="preserve"> INDEX( VfM_Metrics_2023_Consol_Source[], $AK977, AU$832 )</f>
        <v>0.13272325497197218</v>
      </c>
      <c r="AV977" s="34" cm="1">
        <f t="array" ref="AV977" xml:space="preserve"> INDEX( VfM_Metrics_2023_Consol_Source[], $AK977, AV$832 )</f>
        <v>0.13311027603340866</v>
      </c>
      <c r="AW977" s="34" cm="1">
        <f t="array" ref="AW977" xml:space="preserve"> INDEX( VfM_Metrics_2023_Consol_Source[], $AK977, AW$832 )</f>
        <v>0.13147479993508035</v>
      </c>
      <c r="AX977" s="34" cm="1">
        <f t="array" ref="AX977" xml:space="preserve"> INDEX( VfM_Metrics_2023_Consol_Source[], $AK977, AX$832 )</f>
        <v>1.4244871970935966E-2</v>
      </c>
      <c r="AY977" s="34" cm="1">
        <f t="array" ref="AY977" xml:space="preserve"> INDEX( VfM_Metrics_2023_Consol_Source[], $AK977, AY$832 )</f>
        <v>0.12418382251963196</v>
      </c>
      <c r="AZ977" s="34" cm="1">
        <f t="array" ref="AZ977" xml:space="preserve"> INDEX( VfM_Metrics_2023_Consol_Source[], $AK977, AZ$832 )</f>
        <v>0.22580806252262825</v>
      </c>
      <c r="BA977" s="34" cm="1">
        <f t="array" ref="BA977" xml:space="preserve"> INDEX( VfM_Metrics_2023_Consol_Source[], $AK977, BA$832 )</f>
        <v>1.0986404324648247E-3</v>
      </c>
      <c r="BB977" s="34" cm="1">
        <f t="array" ref="BB977" xml:space="preserve"> INDEX( VfM_Metrics_2023_Consol_Source[], $AK977, BB$832 )</f>
        <v>0.1248829573402914</v>
      </c>
      <c r="BC977" s="34" cm="1">
        <f t="array" ref="BC977" xml:space="preserve"> INDEX( VfM_Metrics_2023_Consol_Source[], $AK977, BC$832 )</f>
        <v>0.11247331427358644</v>
      </c>
    </row>
    <row r="978" spans="2:55" x14ac:dyDescent="0.2">
      <c r="B978" s="122" t="str" vm="145">
        <f t="shared" ref="B978" si="483" xml:space="preserve"> B768</f>
        <v>Saxon Weald</v>
      </c>
      <c r="C978" s="122" t="str" vm="358">
        <f t="shared" si="467"/>
        <v>L4299</v>
      </c>
      <c r="D978" s="30" cm="1">
        <f t="array" ref="D978" xml:space="preserve"> INDEX( VfM_Metrics_2023_Consol_Source[], $AK978, D$832 )</f>
        <v>7.4152056594804686E-2</v>
      </c>
      <c r="E978" s="35">
        <f xml:space="preserve"> IF( tblFilterAll[[#This Row],[Reinvestment]] &lt; D$825, 4, IF( tblFilterAll[[#This Row],[Reinvestment]] &lt; D$826, 3, IF( tblFilterAll[[#This Row],[Reinvestment]] &lt; D$827, 2, 1 ) ) )</f>
        <v>2</v>
      </c>
      <c r="F978" s="35">
        <f xml:space="preserve"> COUNTIFS( tblFilterAll[Include in output], 1, tblFilterAll[Reinvestment], "&gt;" &amp; tblFilterAll[[#This Row],[Reinvestment]] ) + 1</f>
        <v>85</v>
      </c>
      <c r="G978" s="30" cm="1">
        <f t="array" ref="G978" xml:space="preserve"> INDEX( VfM_Metrics_2023_Consol_Source[], $AK978, G$832 )</f>
        <v>1.5074626865671641E-2</v>
      </c>
      <c r="H978" s="35">
        <f xml:space="preserve"> IF( tblFilterAll[[#This Row],[New Supply (Social)]] &lt; G$825, 4, IF( tblFilterAll[[#This Row],[New Supply (Social)]] &lt; G$826, 3, IF( tblFilterAll[[#This Row],[New Supply (Social)]] &lt; G$827, 2, 1 ) ) )</f>
        <v>2</v>
      </c>
      <c r="I978" s="35">
        <f xml:space="preserve"> COUNTIFS( tblFilterAll[Include in output], 1, tblFilterAll[New Supply (Social)], "&gt;" &amp; tblFilterAll[[#This Row],[New Supply (Social)]] ) + 1</f>
        <v>81</v>
      </c>
      <c r="J978" s="31" cm="1">
        <f t="array" ref="J978" xml:space="preserve"> INDEX( VfM_Metrics_2023_Consol_Source[], $AK978, J$832 )</f>
        <v>0</v>
      </c>
      <c r="K978" s="35">
        <f xml:space="preserve"> IF( tblFilterAll[[#This Row],[New Supply (Non-Social)]] &lt; J$825, 4, IF( tblFilterAll[[#This Row],[New Supply (Non-Social)]] &lt; J$826, 3, IF( tblFilterAll[[#This Row],[New Supply (Non-Social)]] &lt; J$827, 2, 1 ) ) )</f>
        <v>2</v>
      </c>
      <c r="L978" s="35">
        <f xml:space="preserve"> COUNTIFS( tblFilterAll[Include in output], 1, tblFilterAll[New Supply (Non-Social)], "&gt;" &amp; tblFilterAll[[#This Row],[New Supply (Non-Social)]] ) + 1</f>
        <v>72</v>
      </c>
      <c r="M978" s="30" cm="1">
        <f t="array" ref="M978" xml:space="preserve"> INDEX( VfM_Metrics_2023_Consol_Source[], $AK978, M$832 )</f>
        <v>0.67083298381008305</v>
      </c>
      <c r="N978" s="35">
        <f xml:space="preserve"> IF( tblFilterAll[[#This Row],[Gearing]] &lt; M$825, 4, IF( tblFilterAll[[#This Row],[Gearing]] &lt; M$826, 3, IF( tblFilterAll[[#This Row],[Gearing]] &lt; M$827, 2, 1 ) ) )</f>
        <v>1</v>
      </c>
      <c r="O978" s="35">
        <f xml:space="preserve"> COUNTIFS( tblFilterAll[Include in output], 1, tblFilterAll[Gearing], "&gt;" &amp; tblFilterAll[[#This Row],[Gearing]] ) + 1</f>
        <v>10</v>
      </c>
      <c r="P978" s="30" cm="1">
        <f t="array" ref="P978" xml:space="preserve"> INDEX( VfM_Metrics_2023_Consol_Source[], $AK978, P$832 )</f>
        <v>1.4890007661157929</v>
      </c>
      <c r="Q978" s="35">
        <f xml:space="preserve"> IF( tblFilterAll[[#This Row],[EBITDA MRI Interest Cover]] &lt; P$825, 4, IF( tblFilterAll[[#This Row],[EBITDA MRI Interest Cover]] &lt; P$826, 3, IF( tblFilterAll[[#This Row],[EBITDA MRI Interest Cover]] &lt; P$827, 2, 1 ) ) )</f>
        <v>2</v>
      </c>
      <c r="R978" s="35">
        <f xml:space="preserve"> COUNTIFS( tblFilterAll[Include in output], 1, tblFilterAll[EBITDA MRI Interest Cover], "&gt;" &amp; tblFilterAll[[#This Row],[EBITDA MRI Interest Cover]] ) + 1</f>
        <v>65</v>
      </c>
      <c r="S978" s="32" cm="1">
        <f t="array" ref="S978" xml:space="preserve"> INDEX( VfM_Metrics_2023_Consol_Source[], $AK978, S$832 )</f>
        <v>5392.6390228222435</v>
      </c>
      <c r="T978" s="35">
        <f xml:space="preserve"> IF( tblFilterAll[[#This Row],[Headline Social Housing Cost per unit]] &lt; S$825, 4, IF( tblFilterAll[[#This Row],[Headline Social Housing Cost per unit]] &lt; S$826, 3, IF( tblFilterAll[[#This Row],[Headline Social Housing Cost per unit]] &lt; S$827, 2, 1 ) ) )</f>
        <v>2</v>
      </c>
      <c r="U978" s="35">
        <f xml:space="preserve"> COUNTIFS( tblFilterAll[Include in output], 1, tblFilterAll[Headline Social Housing Cost per unit], "&gt;" &amp; tblFilterAll[[#This Row],[Headline Social Housing Cost per unit]] ) + 1</f>
        <v>64</v>
      </c>
      <c r="V978" s="30" cm="1">
        <f t="array" ref="V978" xml:space="preserve"> INDEX( VfM_Metrics_2023_Consol_Source[], $AK978, V$832 )</f>
        <v>0.20007025401216272</v>
      </c>
      <c r="W978" s="35">
        <f xml:space="preserve"> IF( tblFilterAll[[#This Row],[Operating Margin (SHL)]] &lt; V$825, 4, IF( tblFilterAll[[#This Row],[Operating Margin (SHL)]] &lt; V$826, 3, IF( tblFilterAll[[#This Row],[Operating Margin (SHL)]] &lt; V$827, 2, 1 ) ) )</f>
        <v>2</v>
      </c>
      <c r="X978" s="35">
        <f xml:space="preserve"> COUNTIFS( tblFilterAll[Include in output], 1, tblFilterAll[Operating Margin (SHL)], "&gt;" &amp; tblFilterAll[[#This Row],[Operating Margin (SHL)]] ) + 1</f>
        <v>96</v>
      </c>
      <c r="Y978" s="30" cm="1">
        <f t="array" ref="Y978" xml:space="preserve"> INDEX( VfM_Metrics_2023_Consol_Source[], $AK978, Y$832 )</f>
        <v>0.22320824545346016</v>
      </c>
      <c r="Z978" s="35">
        <f xml:space="preserve"> IF( tblFilterAll[[#This Row],[Operating Margin (Overall)]] &lt; Y$825, 4, IF( tblFilterAll[[#This Row],[Operating Margin (Overall)]] &lt; Y$826, 3, IF( tblFilterAll[[#This Row],[Operating Margin (Overall)]] &lt; Y$827, 2, 1 ) ) )</f>
        <v>2</v>
      </c>
      <c r="AA978" s="35">
        <f xml:space="preserve"> COUNTIFS( tblFilterAll[Include in output], 1, tblFilterAll[Operating Margin (Overall)], "&gt;" &amp; tblFilterAll[[#This Row],[Operating Margin (Overall)]] ) + 1</f>
        <v>58</v>
      </c>
      <c r="AB978" s="30" cm="1">
        <f t="array" ref="AB978" xml:space="preserve"> INDEX( VfM_Metrics_2023_Consol_Source[], $AK978, AB$832 )</f>
        <v>3.5869697931674438E-2</v>
      </c>
      <c r="AC978" s="35">
        <f xml:space="preserve"> IF( tblFilterAll[[#This Row],[ROCE]] &lt; AB$825, 4, IF( tblFilterAll[[#This Row],[ROCE]] &lt; AB$826, 3, IF( tblFilterAll[[#This Row],[ROCE]] &lt; AB$827, 2, 1 ) ) )</f>
        <v>2</v>
      </c>
      <c r="AD978" s="35">
        <f xml:space="preserve"> COUNTIFS( tblFilterAll[Include in output], 1, tblFilterAll[ROCE], "&gt;" &amp; tblFilterAll[[#This Row],[ROCE]] ) + 1</f>
        <v>54</v>
      </c>
      <c r="AE978" s="33" cm="1" vm="5363">
        <f t="array" ref="AE978" xml:space="preserve"> INDEX( VfM_Metrics_2023_Consol_Source[], $AK978, AE$832 )</f>
        <v>6164</v>
      </c>
      <c r="AF978" s="30" cm="1">
        <f t="array" ref="AF978" xml:space="preserve"> INDEX( VfM_Metrics_2023_Consol_Source[], $AK978, AF$832 )</f>
        <v>3.114754098360656E-3</v>
      </c>
      <c r="AG978" s="30" cm="1">
        <f t="array" ref="AG978" xml:space="preserve"> INDEX( VfM_Metrics_2023_Consol_Source[], $AK978, AG$832 )</f>
        <v>0.20885245901639343</v>
      </c>
      <c r="AH978" s="30" cm="1">
        <f t="array" ref="AH978" xml:space="preserve"> INDEX( VfM_Metrics_2023_Consol_Source[], $AK978, AH$832 )</f>
        <v>0.21196721311475408</v>
      </c>
      <c r="AI978" s="30" t="str" cm="1">
        <f t="array" ref="AI978" xml:space="preserve"> INDEX( VfM_Metrics_2023_Consol_Source[], $AK978, AI$832 )</f>
        <v>Traditional</v>
      </c>
      <c r="AJ978" s="34" t="str" cm="1">
        <f t="array" ref="AJ978" xml:space="preserve"> INDEX( VfM_Metrics_2023_Consol_Source[], $AK978, AJ$832 )</f>
        <v>South East</v>
      </c>
      <c r="AK978" s="81">
        <f xml:space="preserve"> MATCH( tblFilterAll[[#This Row],[Code]], VfM_Metrics_2023_Consol_Source[RP_Code], 0 )</f>
        <v>145</v>
      </c>
      <c r="AL978" s="24">
        <f xml:space="preserve"> INDEX( tblFilterRegion[Include for region],  MATCH( tblFilterAll[[#This Row],[Code]], tblFilterRegion[RP_Code], 0 ) )</f>
        <v>1</v>
      </c>
      <c r="AM978" s="24">
        <f xml:space="preserve"> INDEX( tblFilterPropType[Incl for prop type],  MATCH( tblFilterAll[[#This Row],[Code]], tblFilterPropType[RP_Code], 0 ) )</f>
        <v>1</v>
      </c>
      <c r="AN978" s="24">
        <f xml:space="preserve"> INDEX( tblFilterSize[Incl for size],  MATCH( tblFilterAll[[#This Row],[Code]], tblFilterSize[RP_Code], 0 ) )</f>
        <v>1</v>
      </c>
      <c r="AO978" s="24">
        <f xml:space="preserve"> INDEX( tblFilterRP_Type[Incl, for RP Type],  MATCH( tblFilterAll[[#This Row],[Code]], tblFilterRP_Type[RP_Code], 0 ) )</f>
        <v>1</v>
      </c>
      <c r="AP978" s="24">
        <f xml:space="preserve">  -- ( SUM( tblFilterAll[[#This Row],[Filter Region]:[Filter RP Type]] ) = 4 )</f>
        <v>1</v>
      </c>
      <c r="AQ978" s="24">
        <f xml:space="preserve"> -- ( tblFilterAll[[#This Row],[Provider name]] = SelectedProvider )</f>
        <v>0</v>
      </c>
      <c r="AR978" s="24">
        <f xml:space="preserve">  -- ( OR( SUM( tblFilterAll[[#This Row],[Filter Region]:[Filter RP Type]] ) = 4, tblFilterAll[[#This Row],[SelectedProvider]] = 1 ) )</f>
        <v>1</v>
      </c>
      <c r="AS978" s="24">
        <f xml:space="preserve"> -- ( INDEX( PeersCritera[Included in final peers], MATCH( tblFilterAll[[#This Row],[Provider name]], PeersCritera[RP_Name], 0 ) ) = 1 )</f>
        <v>1</v>
      </c>
      <c r="AT978" s="30" t="str" cm="1">
        <f t="array" ref="AT978" xml:space="preserve"> SUBSTITUTE( INDEX( VfM_Metrics_2023_Consol_Source[], $AK978, AT$832 ), 0, "" )</f>
        <v>&gt;= 12 years</v>
      </c>
      <c r="AU978" s="34" cm="1">
        <f t="array" ref="AU978" xml:space="preserve"> INDEX( VfM_Metrics_2023_Consol_Source[], $AK978, AU$832 )</f>
        <v>0</v>
      </c>
      <c r="AV978" s="34" cm="1">
        <f t="array" ref="AV978" xml:space="preserve"> INDEX( VfM_Metrics_2023_Consol_Source[], $AK978, AV$832 )</f>
        <v>1</v>
      </c>
      <c r="AW978" s="34" cm="1">
        <f t="array" ref="AW978" xml:space="preserve"> INDEX( VfM_Metrics_2023_Consol_Source[], $AK978, AW$832 )</f>
        <v>0</v>
      </c>
      <c r="AX978" s="34" cm="1">
        <f t="array" ref="AX978" xml:space="preserve"> INDEX( VfM_Metrics_2023_Consol_Source[], $AK978, AX$832 )</f>
        <v>0</v>
      </c>
      <c r="AY978" s="34" cm="1">
        <f t="array" ref="AY978" xml:space="preserve"> INDEX( VfM_Metrics_2023_Consol_Source[], $AK978, AY$832 )</f>
        <v>0</v>
      </c>
      <c r="AZ978" s="34" cm="1">
        <f t="array" ref="AZ978" xml:space="preserve"> INDEX( VfM_Metrics_2023_Consol_Source[], $AK978, AZ$832 )</f>
        <v>0</v>
      </c>
      <c r="BA978" s="34" cm="1">
        <f t="array" ref="BA978" xml:space="preserve"> INDEX( VfM_Metrics_2023_Consol_Source[], $AK978, BA$832 )</f>
        <v>0</v>
      </c>
      <c r="BB978" s="34" cm="1">
        <f t="array" ref="BB978" xml:space="preserve"> INDEX( VfM_Metrics_2023_Consol_Source[], $AK978, BB$832 )</f>
        <v>0</v>
      </c>
      <c r="BC978" s="34" cm="1">
        <f t="array" ref="BC978" xml:space="preserve"> INDEX( VfM_Metrics_2023_Consol_Source[], $AK978, BC$832 )</f>
        <v>0</v>
      </c>
    </row>
    <row r="979" spans="2:55" x14ac:dyDescent="0.2">
      <c r="B979" s="122" t="str" vm="146">
        <f t="shared" ref="B979" si="484" xml:space="preserve"> B769</f>
        <v>Selwood Housing Society Limited</v>
      </c>
      <c r="C979" s="122" t="str" vm="375">
        <f t="shared" si="467"/>
        <v>LH4097</v>
      </c>
      <c r="D979" s="30" cm="1">
        <f t="array" ref="D979" xml:space="preserve"> INDEX( VfM_Metrics_2023_Consol_Source[], $AK979, D$832 )</f>
        <v>7.0072373928431408E-2</v>
      </c>
      <c r="E979" s="35">
        <f xml:space="preserve"> IF( tblFilterAll[[#This Row],[Reinvestment]] &lt; D$825, 4, IF( tblFilterAll[[#This Row],[Reinvestment]] &lt; D$826, 3, IF( tblFilterAll[[#This Row],[Reinvestment]] &lt; D$827, 2, 1 ) ) )</f>
        <v>2</v>
      </c>
      <c r="F979" s="35">
        <f xml:space="preserve"> COUNTIFS( tblFilterAll[Include in output], 1, tblFilterAll[Reinvestment], "&gt;" &amp; tblFilterAll[[#This Row],[Reinvestment]] ) + 1</f>
        <v>90</v>
      </c>
      <c r="G979" s="30" cm="1">
        <f t="array" ref="G979" xml:space="preserve"> INDEX( VfM_Metrics_2023_Consol_Source[], $AK979, G$832 )</f>
        <v>2.2266915673035483E-2</v>
      </c>
      <c r="H979" s="35">
        <f xml:space="preserve"> IF( tblFilterAll[[#This Row],[New Supply (Social)]] &lt; G$825, 4, IF( tblFilterAll[[#This Row],[New Supply (Social)]] &lt; G$826, 3, IF( tblFilterAll[[#This Row],[New Supply (Social)]] &lt; G$827, 2, 1 ) ) )</f>
        <v>2</v>
      </c>
      <c r="I979" s="35">
        <f xml:space="preserve"> COUNTIFS( tblFilterAll[Include in output], 1, tblFilterAll[New Supply (Social)], "&gt;" &amp; tblFilterAll[[#This Row],[New Supply (Social)]] ) + 1</f>
        <v>52</v>
      </c>
      <c r="J979" s="31" cm="1">
        <f t="array" ref="J979" xml:space="preserve"> INDEX( VfM_Metrics_2023_Consol_Source[], $AK979, J$832 )</f>
        <v>0</v>
      </c>
      <c r="K979" s="35">
        <f xml:space="preserve"> IF( tblFilterAll[[#This Row],[New Supply (Non-Social)]] &lt; J$825, 4, IF( tblFilterAll[[#This Row],[New Supply (Non-Social)]] &lt; J$826, 3, IF( tblFilterAll[[#This Row],[New Supply (Non-Social)]] &lt; J$827, 2, 1 ) ) )</f>
        <v>2</v>
      </c>
      <c r="L979" s="35">
        <f xml:space="preserve"> COUNTIFS( tblFilterAll[Include in output], 1, tblFilterAll[New Supply (Non-Social)], "&gt;" &amp; tblFilterAll[[#This Row],[New Supply (Non-Social)]] ) + 1</f>
        <v>72</v>
      </c>
      <c r="M979" s="30" cm="1">
        <f t="array" ref="M979" xml:space="preserve"> INDEX( VfM_Metrics_2023_Consol_Source[], $AK979, M$832 )</f>
        <v>0.33533394792891885</v>
      </c>
      <c r="N979" s="35">
        <f xml:space="preserve"> IF( tblFilterAll[[#This Row],[Gearing]] &lt; M$825, 4, IF( tblFilterAll[[#This Row],[Gearing]] &lt; M$826, 3, IF( tblFilterAll[[#This Row],[Gearing]] &lt; M$827, 2, 1 ) ) )</f>
        <v>3</v>
      </c>
      <c r="O979" s="35">
        <f xml:space="preserve"> COUNTIFS( tblFilterAll[Include in output], 1, tblFilterAll[Gearing], "&gt;" &amp; tblFilterAll[[#This Row],[Gearing]] ) + 1</f>
        <v>147</v>
      </c>
      <c r="P979" s="30" cm="1">
        <f t="array" ref="P979" xml:space="preserve"> INDEX( VfM_Metrics_2023_Consol_Source[], $AK979, P$832 )</f>
        <v>2.5457111834961998</v>
      </c>
      <c r="Q979" s="35">
        <f xml:space="preserve"> IF( tblFilterAll[[#This Row],[EBITDA MRI Interest Cover]] &lt; P$825, 4, IF( tblFilterAll[[#This Row],[EBITDA MRI Interest Cover]] &lt; P$826, 3, IF( tblFilterAll[[#This Row],[EBITDA MRI Interest Cover]] &lt; P$827, 2, 1 ) ) )</f>
        <v>1</v>
      </c>
      <c r="R979" s="35">
        <f xml:space="preserve"> COUNTIFS( tblFilterAll[Include in output], 1, tblFilterAll[EBITDA MRI Interest Cover], "&gt;" &amp; tblFilterAll[[#This Row],[EBITDA MRI Interest Cover]] ) + 1</f>
        <v>15</v>
      </c>
      <c r="S979" s="32" cm="1">
        <f t="array" ref="S979" xml:space="preserve"> INDEX( VfM_Metrics_2023_Consol_Source[], $AK979, S$832 )</f>
        <v>4325.9589139491454</v>
      </c>
      <c r="T979" s="35">
        <f xml:space="preserve"> IF( tblFilterAll[[#This Row],[Headline Social Housing Cost per unit]] &lt; S$825, 4, IF( tblFilterAll[[#This Row],[Headline Social Housing Cost per unit]] &lt; S$826, 3, IF( tblFilterAll[[#This Row],[Headline Social Housing Cost per unit]] &lt; S$827, 2, 1 ) ) )</f>
        <v>3</v>
      </c>
      <c r="U979" s="35">
        <f xml:space="preserve"> COUNTIFS( tblFilterAll[Include in output], 1, tblFilterAll[Headline Social Housing Cost per unit], "&gt;" &amp; tblFilterAll[[#This Row],[Headline Social Housing Cost per unit]] ) + 1</f>
        <v>123</v>
      </c>
      <c r="V979" s="30" cm="1">
        <f t="array" ref="V979" xml:space="preserve"> INDEX( VfM_Metrics_2023_Consol_Source[], $AK979, V$832 )</f>
        <v>0.19002845478164049</v>
      </c>
      <c r="W979" s="35">
        <f xml:space="preserve"> IF( tblFilterAll[[#This Row],[Operating Margin (SHL)]] &lt; V$825, 4, IF( tblFilterAll[[#This Row],[Operating Margin (SHL)]] &lt; V$826, 3, IF( tblFilterAll[[#This Row],[Operating Margin (SHL)]] &lt; V$827, 2, 1 ) ) )</f>
        <v>3</v>
      </c>
      <c r="X979" s="35">
        <f xml:space="preserve"> COUNTIFS( tblFilterAll[Include in output], 1, tblFilterAll[Operating Margin (SHL)], "&gt;" &amp; tblFilterAll[[#This Row],[Operating Margin (SHL)]] ) + 1</f>
        <v>107</v>
      </c>
      <c r="Y979" s="30" cm="1">
        <f t="array" ref="Y979" xml:space="preserve"> INDEX( VfM_Metrics_2023_Consol_Source[], $AK979, Y$832 )</f>
        <v>0.18197837579132856</v>
      </c>
      <c r="Z979" s="35">
        <f xml:space="preserve"> IF( tblFilterAll[[#This Row],[Operating Margin (Overall)]] &lt; Y$825, 4, IF( tblFilterAll[[#This Row],[Operating Margin (Overall)]] &lt; Y$826, 3, IF( tblFilterAll[[#This Row],[Operating Margin (Overall)]] &lt; Y$827, 2, 1 ) ) )</f>
        <v>3</v>
      </c>
      <c r="AA979" s="35">
        <f xml:space="preserve"> COUNTIFS( tblFilterAll[Include in output], 1, tblFilterAll[Operating Margin (Overall)], "&gt;" &amp; tblFilterAll[[#This Row],[Operating Margin (Overall)]] ) + 1</f>
        <v>100</v>
      </c>
      <c r="AB979" s="30" cm="1">
        <f t="array" ref="AB979" xml:space="preserve"> INDEX( VfM_Metrics_2023_Consol_Source[], $AK979, AB$832 )</f>
        <v>2.1105305296869076E-2</v>
      </c>
      <c r="AC979" s="35">
        <f xml:space="preserve"> IF( tblFilterAll[[#This Row],[ROCE]] &lt; AB$825, 4, IF( tblFilterAll[[#This Row],[ROCE]] &lt; AB$826, 3, IF( tblFilterAll[[#This Row],[ROCE]] &lt; AB$827, 2, 1 ) ) )</f>
        <v>4</v>
      </c>
      <c r="AD979" s="35">
        <f xml:space="preserve"> COUNTIFS( tblFilterAll[Include in output], 1, tblFilterAll[ROCE], "&gt;" &amp; tblFilterAll[[#This Row],[ROCE]] ) + 1</f>
        <v>155</v>
      </c>
      <c r="AE979" s="33" cm="1" vm="5991">
        <f t="array" ref="AE979" xml:space="preserve"> INDEX( VfM_Metrics_2023_Consol_Source[], $AK979, AE$832 )</f>
        <v>6961</v>
      </c>
      <c r="AF979" s="30" cm="1">
        <f t="array" ref="AF979" xml:space="preserve"> INDEX( VfM_Metrics_2023_Consol_Source[], $AK979, AF$832 )</f>
        <v>1.1590843233845263E-2</v>
      </c>
      <c r="AG979" s="30" cm="1">
        <f t="array" ref="AG979" xml:space="preserve"> INDEX( VfM_Metrics_2023_Consol_Source[], $AK979, AG$832 )</f>
        <v>0.20501303969863807</v>
      </c>
      <c r="AH979" s="30" cm="1">
        <f t="array" ref="AH979" xml:space="preserve"> INDEX( VfM_Metrics_2023_Consol_Source[], $AK979, AH$832 )</f>
        <v>0.21660388293248334</v>
      </c>
      <c r="AI979" s="30" t="str" cm="1">
        <f t="array" ref="AI979" xml:space="preserve"> INDEX( VfM_Metrics_2023_Consol_Source[], $AK979, AI$832 )</f>
        <v>Traditional</v>
      </c>
      <c r="AJ979" s="34" t="str" cm="1">
        <f t="array" ref="AJ979" xml:space="preserve"> INDEX( VfM_Metrics_2023_Consol_Source[], $AK979, AJ$832 )</f>
        <v>South West</v>
      </c>
      <c r="AK979" s="81">
        <f xml:space="preserve"> MATCH( tblFilterAll[[#This Row],[Code]], VfM_Metrics_2023_Consol_Source[RP_Code], 0 )</f>
        <v>146</v>
      </c>
      <c r="AL979" s="24">
        <f xml:space="preserve"> INDEX( tblFilterRegion[Include for region],  MATCH( tblFilterAll[[#This Row],[Code]], tblFilterRegion[RP_Code], 0 ) )</f>
        <v>1</v>
      </c>
      <c r="AM979" s="24">
        <f xml:space="preserve"> INDEX( tblFilterPropType[Incl for prop type],  MATCH( tblFilterAll[[#This Row],[Code]], tblFilterPropType[RP_Code], 0 ) )</f>
        <v>1</v>
      </c>
      <c r="AN979" s="24">
        <f xml:space="preserve"> INDEX( tblFilterSize[Incl for size],  MATCH( tblFilterAll[[#This Row],[Code]], tblFilterSize[RP_Code], 0 ) )</f>
        <v>1</v>
      </c>
      <c r="AO979" s="24">
        <f xml:space="preserve"> INDEX( tblFilterRP_Type[Incl, for RP Type],  MATCH( tblFilterAll[[#This Row],[Code]], tblFilterRP_Type[RP_Code], 0 ) )</f>
        <v>1</v>
      </c>
      <c r="AP979" s="24">
        <f xml:space="preserve">  -- ( SUM( tblFilterAll[[#This Row],[Filter Region]:[Filter RP Type]] ) = 4 )</f>
        <v>1</v>
      </c>
      <c r="AQ979" s="24">
        <f xml:space="preserve"> -- ( tblFilterAll[[#This Row],[Provider name]] = SelectedProvider )</f>
        <v>0</v>
      </c>
      <c r="AR979" s="24">
        <f xml:space="preserve">  -- ( OR( SUM( tblFilterAll[[#This Row],[Filter Region]:[Filter RP Type]] ) = 4, tblFilterAll[[#This Row],[SelectedProvider]] = 1 ) )</f>
        <v>1</v>
      </c>
      <c r="AS979" s="24">
        <f xml:space="preserve"> -- ( INDEX( PeersCritera[Included in final peers], MATCH( tblFilterAll[[#This Row],[Provider name]], PeersCritera[RP_Name], 0 ) ) = 1 )</f>
        <v>1</v>
      </c>
      <c r="AT979" s="30" t="str" cm="1">
        <f t="array" ref="AT979" xml:space="preserve"> SUBSTITUTE( INDEX( VfM_Metrics_2023_Consol_Source[], $AK979, AT$832 ), 0, "" )</f>
        <v>&gt;= 12 years</v>
      </c>
      <c r="AU979" s="34" cm="1">
        <f t="array" ref="AU979" xml:space="preserve"> INDEX( VfM_Metrics_2023_Consol_Source[], $AK979, AU$832 )</f>
        <v>0</v>
      </c>
      <c r="AV979" s="34" cm="1">
        <f t="array" ref="AV979" xml:space="preserve"> INDEX( VfM_Metrics_2023_Consol_Source[], $AK979, AV$832 )</f>
        <v>0</v>
      </c>
      <c r="AW979" s="34" cm="1">
        <f t="array" ref="AW979" xml:space="preserve"> INDEX( VfM_Metrics_2023_Consol_Source[], $AK979, AW$832 )</f>
        <v>1</v>
      </c>
      <c r="AX979" s="34" cm="1">
        <f t="array" ref="AX979" xml:space="preserve"> INDEX( VfM_Metrics_2023_Consol_Source[], $AK979, AX$832 )</f>
        <v>0</v>
      </c>
      <c r="AY979" s="34" cm="1">
        <f t="array" ref="AY979" xml:space="preserve"> INDEX( VfM_Metrics_2023_Consol_Source[], $AK979, AY$832 )</f>
        <v>0</v>
      </c>
      <c r="AZ979" s="34" cm="1">
        <f t="array" ref="AZ979" xml:space="preserve"> INDEX( VfM_Metrics_2023_Consol_Source[], $AK979, AZ$832 )</f>
        <v>0</v>
      </c>
      <c r="BA979" s="34" cm="1">
        <f t="array" ref="BA979" xml:space="preserve"> INDEX( VfM_Metrics_2023_Consol_Source[], $AK979, BA$832 )</f>
        <v>0</v>
      </c>
      <c r="BB979" s="34" cm="1">
        <f t="array" ref="BB979" xml:space="preserve"> INDEX( VfM_Metrics_2023_Consol_Source[], $AK979, BB$832 )</f>
        <v>0</v>
      </c>
      <c r="BC979" s="34" cm="1">
        <f t="array" ref="BC979" xml:space="preserve"> INDEX( VfM_Metrics_2023_Consol_Source[], $AK979, BC$832 )</f>
        <v>0</v>
      </c>
    </row>
    <row r="980" spans="2:55" x14ac:dyDescent="0.2">
      <c r="B980" s="122" t="str" vm="147">
        <f t="shared" ref="B980" si="485" xml:space="preserve"> B770</f>
        <v>Settle Group</v>
      </c>
      <c r="C980" s="122" t="str" vm="353">
        <f t="shared" si="467"/>
        <v>L4370</v>
      </c>
      <c r="D980" s="30" cm="1">
        <f t="array" ref="D980" xml:space="preserve"> INDEX( VfM_Metrics_2023_Consol_Source[], $AK980, D$832 )</f>
        <v>0.14159842713720178</v>
      </c>
      <c r="E980" s="35">
        <f xml:space="preserve"> IF( tblFilterAll[[#This Row],[Reinvestment]] &lt; D$825, 4, IF( tblFilterAll[[#This Row],[Reinvestment]] &lt; D$826, 3, IF( tblFilterAll[[#This Row],[Reinvestment]] &lt; D$827, 2, 1 ) ) )</f>
        <v>1</v>
      </c>
      <c r="F980" s="35">
        <f xml:space="preserve"> COUNTIFS( tblFilterAll[Include in output], 1, tblFilterAll[Reinvestment], "&gt;" &amp; tblFilterAll[[#This Row],[Reinvestment]] ) + 1</f>
        <v>12</v>
      </c>
      <c r="G980" s="30" cm="1">
        <f t="array" ref="G980" xml:space="preserve"> INDEX( VfM_Metrics_2023_Consol_Source[], $AK980, G$832 )</f>
        <v>3.0002158428663932E-2</v>
      </c>
      <c r="H980" s="35">
        <f xml:space="preserve"> IF( tblFilterAll[[#This Row],[New Supply (Social)]] &lt; G$825, 4, IF( tblFilterAll[[#This Row],[New Supply (Social)]] &lt; G$826, 3, IF( tblFilterAll[[#This Row],[New Supply (Social)]] &lt; G$827, 2, 1 ) ) )</f>
        <v>1</v>
      </c>
      <c r="I980" s="35">
        <f xml:space="preserve"> COUNTIFS( tblFilterAll[Include in output], 1, tblFilterAll[New Supply (Social)], "&gt;" &amp; tblFilterAll[[#This Row],[New Supply (Social)]] ) + 1</f>
        <v>19</v>
      </c>
      <c r="J980" s="31" cm="1">
        <f t="array" ref="J980" xml:space="preserve"> INDEX( VfM_Metrics_2023_Consol_Source[], $AK980, J$832 )</f>
        <v>0</v>
      </c>
      <c r="K980" s="35">
        <f xml:space="preserve"> IF( tblFilterAll[[#This Row],[New Supply (Non-Social)]] &lt; J$825, 4, IF( tblFilterAll[[#This Row],[New Supply (Non-Social)]] &lt; J$826, 3, IF( tblFilterAll[[#This Row],[New Supply (Non-Social)]] &lt; J$827, 2, 1 ) ) )</f>
        <v>2</v>
      </c>
      <c r="L980" s="35">
        <f xml:space="preserve"> COUNTIFS( tblFilterAll[Include in output], 1, tblFilterAll[New Supply (Non-Social)], "&gt;" &amp; tblFilterAll[[#This Row],[New Supply (Non-Social)]] ) + 1</f>
        <v>72</v>
      </c>
      <c r="M980" s="30" cm="1">
        <f t="array" ref="M980" xml:space="preserve"> INDEX( VfM_Metrics_2023_Consol_Source[], $AK980, M$832 )</f>
        <v>0.60564613778150467</v>
      </c>
      <c r="N980" s="35">
        <f xml:space="preserve"> IF( tblFilterAll[[#This Row],[Gearing]] &lt; M$825, 4, IF( tblFilterAll[[#This Row],[Gearing]] &lt; M$826, 3, IF( tblFilterAll[[#This Row],[Gearing]] &lt; M$827, 2, 1 ) ) )</f>
        <v>1</v>
      </c>
      <c r="O980" s="35">
        <f xml:space="preserve"> COUNTIFS( tblFilterAll[Include in output], 1, tblFilterAll[Gearing], "&gt;" &amp; tblFilterAll[[#This Row],[Gearing]] ) + 1</f>
        <v>24</v>
      </c>
      <c r="P980" s="30" cm="1">
        <f t="array" ref="P980" xml:space="preserve"> INDEX( VfM_Metrics_2023_Consol_Source[], $AK980, P$832 )</f>
        <v>0.69376057645067957</v>
      </c>
      <c r="Q980" s="35">
        <f xml:space="preserve"> IF( tblFilterAll[[#This Row],[EBITDA MRI Interest Cover]] &lt; P$825, 4, IF( tblFilterAll[[#This Row],[EBITDA MRI Interest Cover]] &lt; P$826, 3, IF( tblFilterAll[[#This Row],[EBITDA MRI Interest Cover]] &lt; P$827, 2, 1 ) ) )</f>
        <v>4</v>
      </c>
      <c r="R980" s="35">
        <f xml:space="preserve"> COUNTIFS( tblFilterAll[Include in output], 1, tblFilterAll[EBITDA MRI Interest Cover], "&gt;" &amp; tblFilterAll[[#This Row],[EBITDA MRI Interest Cover]] ) + 1</f>
        <v>160</v>
      </c>
      <c r="S980" s="32" cm="1">
        <f t="array" ref="S980" xml:space="preserve"> INDEX( VfM_Metrics_2023_Consol_Source[], $AK980, S$832 )</f>
        <v>5570.041010144615</v>
      </c>
      <c r="T980" s="35">
        <f xml:space="preserve"> IF( tblFilterAll[[#This Row],[Headline Social Housing Cost per unit]] &lt; S$825, 4, IF( tblFilterAll[[#This Row],[Headline Social Housing Cost per unit]] &lt; S$826, 3, IF( tblFilterAll[[#This Row],[Headline Social Housing Cost per unit]] &lt; S$827, 2, 1 ) ) )</f>
        <v>2</v>
      </c>
      <c r="U980" s="35">
        <f xml:space="preserve"> COUNTIFS( tblFilterAll[Include in output], 1, tblFilterAll[Headline Social Housing Cost per unit], "&gt;" &amp; tblFilterAll[[#This Row],[Headline Social Housing Cost per unit]] ) + 1</f>
        <v>55</v>
      </c>
      <c r="V980" s="30" cm="1">
        <f t="array" ref="V980" xml:space="preserve"> INDEX( VfM_Metrics_2023_Consol_Source[], $AK980, V$832 )</f>
        <v>0.23868629894405458</v>
      </c>
      <c r="W980" s="35">
        <f xml:space="preserve"> IF( tblFilterAll[[#This Row],[Operating Margin (SHL)]] &lt; V$825, 4, IF( tblFilterAll[[#This Row],[Operating Margin (SHL)]] &lt; V$826, 3, IF( tblFilterAll[[#This Row],[Operating Margin (SHL)]] &lt; V$827, 2, 1 ) ) )</f>
        <v>2</v>
      </c>
      <c r="X980" s="35">
        <f xml:space="preserve"> COUNTIFS( tblFilterAll[Include in output], 1, tblFilterAll[Operating Margin (SHL)], "&gt;" &amp; tblFilterAll[[#This Row],[Operating Margin (SHL)]] ) + 1</f>
        <v>65</v>
      </c>
      <c r="Y980" s="30" cm="1">
        <f t="array" ref="Y980" xml:space="preserve"> INDEX( VfM_Metrics_2023_Consol_Source[], $AK980, Y$832 )</f>
        <v>0.21662507003514492</v>
      </c>
      <c r="Z980" s="35">
        <f xml:space="preserve"> IF( tblFilterAll[[#This Row],[Operating Margin (Overall)]] &lt; Y$825, 4, IF( tblFilterAll[[#This Row],[Operating Margin (Overall)]] &lt; Y$826, 3, IF( tblFilterAll[[#This Row],[Operating Margin (Overall)]] &lt; Y$827, 2, 1 ) ) )</f>
        <v>2</v>
      </c>
      <c r="AA980" s="35">
        <f xml:space="preserve"> COUNTIFS( tblFilterAll[Include in output], 1, tblFilterAll[Operating Margin (Overall)], "&gt;" &amp; tblFilterAll[[#This Row],[Operating Margin (Overall)]] ) + 1</f>
        <v>65</v>
      </c>
      <c r="AB980" s="30" cm="1">
        <f t="array" ref="AB980" xml:space="preserve"> INDEX( VfM_Metrics_2023_Consol_Source[], $AK980, AB$832 )</f>
        <v>3.6880622535978312E-2</v>
      </c>
      <c r="AC980" s="35">
        <f xml:space="preserve"> IF( tblFilterAll[[#This Row],[ROCE]] &lt; AB$825, 4, IF( tblFilterAll[[#This Row],[ROCE]] &lt; AB$826, 3, IF( tblFilterAll[[#This Row],[ROCE]] &lt; AB$827, 2, 1 ) ) )</f>
        <v>1</v>
      </c>
      <c r="AD980" s="35">
        <f xml:space="preserve"> COUNTIFS( tblFilterAll[Include in output], 1, tblFilterAll[ROCE], "&gt;" &amp; tblFilterAll[[#This Row],[ROCE]] ) + 1</f>
        <v>46</v>
      </c>
      <c r="AE980" s="33" cm="1" vm="5196">
        <f t="array" ref="AE980" xml:space="preserve"> INDEX( VfM_Metrics_2023_Consol_Source[], $AK980, AE$832 )</f>
        <v>9266</v>
      </c>
      <c r="AF980" s="30" cm="1">
        <f t="array" ref="AF980" xml:space="preserve"> INDEX( VfM_Metrics_2023_Consol_Source[], $AK980, AF$832 )</f>
        <v>1.1504327818560315E-2</v>
      </c>
      <c r="AG980" s="30" cm="1">
        <f t="array" ref="AG980" xml:space="preserve"> INDEX( VfM_Metrics_2023_Consol_Source[], $AK980, AG$832 )</f>
        <v>8.4803330776816038E-2</v>
      </c>
      <c r="AH980" s="30" cm="1">
        <f t="array" ref="AH980" xml:space="preserve"> INDEX( VfM_Metrics_2023_Consol_Source[], $AK980, AH$832 )</f>
        <v>9.630765859537635E-2</v>
      </c>
      <c r="AI980" s="30" t="str" cm="1">
        <f t="array" ref="AI980" xml:space="preserve"> INDEX( VfM_Metrics_2023_Consol_Source[], $AK980, AI$832 )</f>
        <v>Traditional</v>
      </c>
      <c r="AJ980" s="34" t="str" cm="1">
        <f t="array" ref="AJ980" xml:space="preserve"> INDEX( VfM_Metrics_2023_Consol_Source[], $AK980, AJ$832 )</f>
        <v>East of England</v>
      </c>
      <c r="AK980" s="81">
        <f xml:space="preserve"> MATCH( tblFilterAll[[#This Row],[Code]], VfM_Metrics_2023_Consol_Source[RP_Code], 0 )</f>
        <v>147</v>
      </c>
      <c r="AL980" s="24">
        <f xml:space="preserve"> INDEX( tblFilterRegion[Include for region],  MATCH( tblFilterAll[[#This Row],[Code]], tblFilterRegion[RP_Code], 0 ) )</f>
        <v>1</v>
      </c>
      <c r="AM980" s="24">
        <f xml:space="preserve"> INDEX( tblFilterPropType[Incl for prop type],  MATCH( tblFilterAll[[#This Row],[Code]], tblFilterPropType[RP_Code], 0 ) )</f>
        <v>1</v>
      </c>
      <c r="AN980" s="24">
        <f xml:space="preserve"> INDEX( tblFilterSize[Incl for size],  MATCH( tblFilterAll[[#This Row],[Code]], tblFilterSize[RP_Code], 0 ) )</f>
        <v>1</v>
      </c>
      <c r="AO980" s="24">
        <f xml:space="preserve"> INDEX( tblFilterRP_Type[Incl, for RP Type],  MATCH( tblFilterAll[[#This Row],[Code]], tblFilterRP_Type[RP_Code], 0 ) )</f>
        <v>1</v>
      </c>
      <c r="AP980" s="24">
        <f xml:space="preserve">  -- ( SUM( tblFilterAll[[#This Row],[Filter Region]:[Filter RP Type]] ) = 4 )</f>
        <v>1</v>
      </c>
      <c r="AQ980" s="24">
        <f xml:space="preserve"> -- ( tblFilterAll[[#This Row],[Provider name]] = SelectedProvider )</f>
        <v>0</v>
      </c>
      <c r="AR980" s="24">
        <f xml:space="preserve">  -- ( OR( SUM( tblFilterAll[[#This Row],[Filter Region]:[Filter RP Type]] ) = 4, tblFilterAll[[#This Row],[SelectedProvider]] = 1 ) )</f>
        <v>1</v>
      </c>
      <c r="AS980" s="24">
        <f xml:space="preserve"> -- ( INDEX( PeersCritera[Included in final peers], MATCH( tblFilterAll[[#This Row],[Provider name]], PeersCritera[RP_Name], 0 ) ) = 1 )</f>
        <v>1</v>
      </c>
      <c r="AT980" s="30" t="str" cm="1">
        <f t="array" ref="AT980" xml:space="preserve"> SUBSTITUTE( INDEX( VfM_Metrics_2023_Consol_Source[], $AK980, AT$832 ), 0, "" )</f>
        <v>&gt;= 12 years</v>
      </c>
      <c r="AU980" s="34" cm="1">
        <f t="array" ref="AU980" xml:space="preserve"> INDEX( VfM_Metrics_2023_Consol_Source[], $AK980, AU$832 )</f>
        <v>0</v>
      </c>
      <c r="AV980" s="34" cm="1">
        <f t="array" ref="AV980" xml:space="preserve"> INDEX( VfM_Metrics_2023_Consol_Source[], $AK980, AV$832 )</f>
        <v>6.5111231687466087E-4</v>
      </c>
      <c r="AW980" s="34" cm="1">
        <f t="array" ref="AW980" xml:space="preserve"> INDEX( VfM_Metrics_2023_Consol_Source[], $AK980, AW$832 )</f>
        <v>0</v>
      </c>
      <c r="AX980" s="34" cm="1">
        <f t="array" ref="AX980" xml:space="preserve"> INDEX( VfM_Metrics_2023_Consol_Source[], $AK980, AX$832 )</f>
        <v>0</v>
      </c>
      <c r="AY980" s="34" cm="1">
        <f t="array" ref="AY980" xml:space="preserve"> INDEX( VfM_Metrics_2023_Consol_Source[], $AK980, AY$832 )</f>
        <v>0</v>
      </c>
      <c r="AZ980" s="34" cm="1">
        <f t="array" ref="AZ980" xml:space="preserve"> INDEX( VfM_Metrics_2023_Consol_Source[], $AK980, AZ$832 )</f>
        <v>0.99934888768312535</v>
      </c>
      <c r="BA980" s="34" cm="1">
        <f t="array" ref="BA980" xml:space="preserve"> INDEX( VfM_Metrics_2023_Consol_Source[], $AK980, BA$832 )</f>
        <v>0</v>
      </c>
      <c r="BB980" s="34" cm="1">
        <f t="array" ref="BB980" xml:space="preserve"> INDEX( VfM_Metrics_2023_Consol_Source[], $AK980, BB$832 )</f>
        <v>0</v>
      </c>
      <c r="BC980" s="34" cm="1">
        <f t="array" ref="BC980" xml:space="preserve"> INDEX( VfM_Metrics_2023_Consol_Source[], $AK980, BC$832 )</f>
        <v>0</v>
      </c>
    </row>
    <row r="981" spans="2:55" x14ac:dyDescent="0.2">
      <c r="B981" s="122" t="str" vm="148">
        <f t="shared" ref="B981" si="486" xml:space="preserve"> B771</f>
        <v>Shepherds Bush Housing Association Limited</v>
      </c>
      <c r="C981" s="122" t="str" vm="306">
        <f t="shared" si="467"/>
        <v>LH0050</v>
      </c>
      <c r="D981" s="30" cm="1">
        <f t="array" ref="D981" xml:space="preserve"> INDEX( VfM_Metrics_2023_Consol_Source[], $AK981, D$832 )</f>
        <v>6.028720241233157E-2</v>
      </c>
      <c r="E981" s="35">
        <f xml:space="preserve"> IF( tblFilterAll[[#This Row],[Reinvestment]] &lt; D$825, 4, IF( tblFilterAll[[#This Row],[Reinvestment]] &lt; D$826, 3, IF( tblFilterAll[[#This Row],[Reinvestment]] &lt; D$827, 2, 1 ) ) )</f>
        <v>3</v>
      </c>
      <c r="F981" s="35">
        <f xml:space="preserve"> COUNTIFS( tblFilterAll[Include in output], 1, tblFilterAll[Reinvestment], "&gt;" &amp; tblFilterAll[[#This Row],[Reinvestment]] ) + 1</f>
        <v>117</v>
      </c>
      <c r="G981" s="30" cm="1">
        <f t="array" ref="G981" xml:space="preserve"> INDEX( VfM_Metrics_2023_Consol_Source[], $AK981, G$832 )</f>
        <v>1.3558614935335837E-2</v>
      </c>
      <c r="H981" s="35">
        <f xml:space="preserve"> IF( tblFilterAll[[#This Row],[New Supply (Social)]] &lt; G$825, 4, IF( tblFilterAll[[#This Row],[New Supply (Social)]] &lt; G$826, 3, IF( tblFilterAll[[#This Row],[New Supply (Social)]] &lt; G$827, 2, 1 ) ) )</f>
        <v>2</v>
      </c>
      <c r="I981" s="35">
        <f xml:space="preserve"> COUNTIFS( tblFilterAll[Include in output], 1, tblFilterAll[New Supply (Social)], "&gt;" &amp; tblFilterAll[[#This Row],[New Supply (Social)]] ) + 1</f>
        <v>94</v>
      </c>
      <c r="J981" s="31" cm="1">
        <f t="array" ref="J981" xml:space="preserve"> INDEX( VfM_Metrics_2023_Consol_Source[], $AK981, J$832 )</f>
        <v>0</v>
      </c>
      <c r="K981" s="35">
        <f xml:space="preserve"> IF( tblFilterAll[[#This Row],[New Supply (Non-Social)]] &lt; J$825, 4, IF( tblFilterAll[[#This Row],[New Supply (Non-Social)]] &lt; J$826, 3, IF( tblFilterAll[[#This Row],[New Supply (Non-Social)]] &lt; J$827, 2, 1 ) ) )</f>
        <v>2</v>
      </c>
      <c r="L981" s="35">
        <f xml:space="preserve"> COUNTIFS( tblFilterAll[Include in output], 1, tblFilterAll[New Supply (Non-Social)], "&gt;" &amp; tblFilterAll[[#This Row],[New Supply (Non-Social)]] ) + 1</f>
        <v>72</v>
      </c>
      <c r="M981" s="30" cm="1">
        <f t="array" ref="M981" xml:space="preserve"> INDEX( VfM_Metrics_2023_Consol_Source[], $AK981, M$832 )</f>
        <v>0.51670251425117208</v>
      </c>
      <c r="N981" s="35">
        <f xml:space="preserve"> IF( tblFilterAll[[#This Row],[Gearing]] &lt; M$825, 4, IF( tblFilterAll[[#This Row],[Gearing]] &lt; M$826, 3, IF( tblFilterAll[[#This Row],[Gearing]] &lt; M$827, 2, 1 ) ) )</f>
        <v>2</v>
      </c>
      <c r="O981" s="35">
        <f xml:space="preserve"> COUNTIFS( tblFilterAll[Include in output], 1, tblFilterAll[Gearing], "&gt;" &amp; tblFilterAll[[#This Row],[Gearing]] ) + 1</f>
        <v>62</v>
      </c>
      <c r="P981" s="30" cm="1">
        <f t="array" ref="P981" xml:space="preserve"> INDEX( VfM_Metrics_2023_Consol_Source[], $AK981, P$832 )</f>
        <v>-0.91302648294732724</v>
      </c>
      <c r="Q981" s="35">
        <f xml:space="preserve"> IF( tblFilterAll[[#This Row],[EBITDA MRI Interest Cover]] &lt; P$825, 4, IF( tblFilterAll[[#This Row],[EBITDA MRI Interest Cover]] &lt; P$826, 3, IF( tblFilterAll[[#This Row],[EBITDA MRI Interest Cover]] &lt; P$827, 2, 1 ) ) )</f>
        <v>4</v>
      </c>
      <c r="R981" s="35">
        <f xml:space="preserve"> COUNTIFS( tblFilterAll[Include in output], 1, tblFilterAll[EBITDA MRI Interest Cover], "&gt;" &amp; tblFilterAll[[#This Row],[EBITDA MRI Interest Cover]] ) + 1</f>
        <v>189</v>
      </c>
      <c r="S981" s="32" cm="1">
        <f t="array" ref="S981" xml:space="preserve"> INDEX( VfM_Metrics_2023_Consol_Source[], $AK981, S$832 )</f>
        <v>11124.133448873483</v>
      </c>
      <c r="T981" s="35">
        <f xml:space="preserve"> IF( tblFilterAll[[#This Row],[Headline Social Housing Cost per unit]] &lt; S$825, 4, IF( tblFilterAll[[#This Row],[Headline Social Housing Cost per unit]] &lt; S$826, 3, IF( tblFilterAll[[#This Row],[Headline Social Housing Cost per unit]] &lt; S$827, 2, 1 ) ) )</f>
        <v>1</v>
      </c>
      <c r="U981" s="35">
        <f xml:space="preserve"> COUNTIFS( tblFilterAll[Include in output], 1, tblFilterAll[Headline Social Housing Cost per unit], "&gt;" &amp; tblFilterAll[[#This Row],[Headline Social Housing Cost per unit]] ) + 1</f>
        <v>13</v>
      </c>
      <c r="V981" s="30" cm="1">
        <f t="array" ref="V981" xml:space="preserve"> INDEX( VfM_Metrics_2023_Consol_Source[], $AK981, V$832 )</f>
        <v>9.33120030562785E-2</v>
      </c>
      <c r="W981" s="35">
        <f xml:space="preserve"> IF( tblFilterAll[[#This Row],[Operating Margin (SHL)]] &lt; V$825, 4, IF( tblFilterAll[[#This Row],[Operating Margin (SHL)]] &lt; V$826, 3, IF( tblFilterAll[[#This Row],[Operating Margin (SHL)]] &lt; V$827, 2, 1 ) ) )</f>
        <v>4</v>
      </c>
      <c r="X981" s="35">
        <f xml:space="preserve"> COUNTIFS( tblFilterAll[Include in output], 1, tblFilterAll[Operating Margin (SHL)], "&gt;" &amp; tblFilterAll[[#This Row],[Operating Margin (SHL)]] ) + 1</f>
        <v>178</v>
      </c>
      <c r="Y981" s="30" cm="1">
        <f t="array" ref="Y981" xml:space="preserve"> INDEX( VfM_Metrics_2023_Consol_Source[], $AK981, Y$832 )</f>
        <v>9.6910888656881411E-2</v>
      </c>
      <c r="Z981" s="35">
        <f xml:space="preserve"> IF( tblFilterAll[[#This Row],[Operating Margin (Overall)]] &lt; Y$825, 4, IF( tblFilterAll[[#This Row],[Operating Margin (Overall)]] &lt; Y$826, 3, IF( tblFilterAll[[#This Row],[Operating Margin (Overall)]] &lt; Y$827, 2, 1 ) ) )</f>
        <v>4</v>
      </c>
      <c r="AA981" s="35">
        <f xml:space="preserve"> COUNTIFS( tblFilterAll[Include in output], 1, tblFilterAll[Operating Margin (Overall)], "&gt;" &amp; tblFilterAll[[#This Row],[Operating Margin (Overall)]] ) + 1</f>
        <v>164</v>
      </c>
      <c r="AB981" s="30" cm="1">
        <f t="array" ref="AB981" xml:space="preserve"> INDEX( VfM_Metrics_2023_Consol_Source[], $AK981, AB$832 )</f>
        <v>2.7658507486168288E-2</v>
      </c>
      <c r="AC981" s="35">
        <f xml:space="preserve"> IF( tblFilterAll[[#This Row],[ROCE]] &lt; AB$825, 4, IF( tblFilterAll[[#This Row],[ROCE]] &lt; AB$826, 3, IF( tblFilterAll[[#This Row],[ROCE]] &lt; AB$827, 2, 1 ) ) )</f>
        <v>3</v>
      </c>
      <c r="AD981" s="35">
        <f xml:space="preserve"> COUNTIFS( tblFilterAll[Include in output], 1, tblFilterAll[ROCE], "&gt;" &amp; tblFilterAll[[#This Row],[ROCE]] ) + 1</f>
        <v>109</v>
      </c>
      <c r="AE981" s="33" cm="1" vm="3579">
        <f t="array" ref="AE981" xml:space="preserve"> INDEX( VfM_Metrics_2023_Consol_Source[], $AK981, AE$832 )</f>
        <v>4616</v>
      </c>
      <c r="AF981" s="30" cm="1">
        <f t="array" ref="AF981" xml:space="preserve"> INDEX( VfM_Metrics_2023_Consol_Source[], $AK981, AF$832 )</f>
        <v>4.5840787119856889E-2</v>
      </c>
      <c r="AG981" s="30" cm="1">
        <f t="array" ref="AG981" xml:space="preserve"> INDEX( VfM_Metrics_2023_Consol_Source[], $AK981, AG$832 )</f>
        <v>1.6323792486583184E-2</v>
      </c>
      <c r="AH981" s="30" cm="1">
        <f t="array" ref="AH981" xml:space="preserve"> INDEX( VfM_Metrics_2023_Consol_Source[], $AK981, AH$832 )</f>
        <v>6.2164579606440076E-2</v>
      </c>
      <c r="AI981" s="30" t="str" cm="1">
        <f t="array" ref="AI981" xml:space="preserve"> INDEX( VfM_Metrics_2023_Consol_Source[], $AK981, AI$832 )</f>
        <v>Traditional</v>
      </c>
      <c r="AJ981" s="34" t="str" cm="1">
        <f t="array" ref="AJ981" xml:space="preserve"> INDEX( VfM_Metrics_2023_Consol_Source[], $AK981, AJ$832 )</f>
        <v>London</v>
      </c>
      <c r="AK981" s="81">
        <f xml:space="preserve"> MATCH( tblFilterAll[[#This Row],[Code]], VfM_Metrics_2023_Consol_Source[RP_Code], 0 )</f>
        <v>148</v>
      </c>
      <c r="AL981" s="24">
        <f xml:space="preserve"> INDEX( tblFilterRegion[Include for region],  MATCH( tblFilterAll[[#This Row],[Code]], tblFilterRegion[RP_Code], 0 ) )</f>
        <v>1</v>
      </c>
      <c r="AM981" s="24">
        <f xml:space="preserve"> INDEX( tblFilterPropType[Incl for prop type],  MATCH( tblFilterAll[[#This Row],[Code]], tblFilterPropType[RP_Code], 0 ) )</f>
        <v>1</v>
      </c>
      <c r="AN981" s="24">
        <f xml:space="preserve"> INDEX( tblFilterSize[Incl for size],  MATCH( tblFilterAll[[#This Row],[Code]], tblFilterSize[RP_Code], 0 ) )</f>
        <v>1</v>
      </c>
      <c r="AO981" s="24">
        <f xml:space="preserve"> INDEX( tblFilterRP_Type[Incl, for RP Type],  MATCH( tblFilterAll[[#This Row],[Code]], tblFilterRP_Type[RP_Code], 0 ) )</f>
        <v>1</v>
      </c>
      <c r="AP981" s="24">
        <f xml:space="preserve">  -- ( SUM( tblFilterAll[[#This Row],[Filter Region]:[Filter RP Type]] ) = 4 )</f>
        <v>1</v>
      </c>
      <c r="AQ981" s="24">
        <f xml:space="preserve"> -- ( tblFilterAll[[#This Row],[Provider name]] = SelectedProvider )</f>
        <v>0</v>
      </c>
      <c r="AR981" s="24">
        <f xml:space="preserve">  -- ( OR( SUM( tblFilterAll[[#This Row],[Filter Region]:[Filter RP Type]] ) = 4, tblFilterAll[[#This Row],[SelectedProvider]] = 1 ) )</f>
        <v>1</v>
      </c>
      <c r="AS981" s="24">
        <f xml:space="preserve"> -- ( INDEX( PeersCritera[Included in final peers], MATCH( tblFilterAll[[#This Row],[Provider name]], PeersCritera[RP_Name], 0 ) ) = 1 )</f>
        <v>1</v>
      </c>
      <c r="AT981" s="30" t="str" cm="1">
        <f t="array" ref="AT981" xml:space="preserve"> SUBSTITUTE( INDEX( VfM_Metrics_2023_Consol_Source[], $AK981, AT$832 ), 0, "" )</f>
        <v/>
      </c>
      <c r="AU981" s="34" cm="1">
        <f t="array" ref="AU981" xml:space="preserve"> INDEX( VfM_Metrics_2023_Consol_Source[], $AK981, AU$832 )</f>
        <v>0.99549954995499546</v>
      </c>
      <c r="AV981" s="34" cm="1">
        <f t="array" ref="AV981" xml:space="preserve"> INDEX( VfM_Metrics_2023_Consol_Source[], $AK981, AV$832 )</f>
        <v>2.7002700270027003E-3</v>
      </c>
      <c r="AW981" s="34" cm="1">
        <f t="array" ref="AW981" xml:space="preserve"> INDEX( VfM_Metrics_2023_Consol_Source[], $AK981, AW$832 )</f>
        <v>4.5004500450045003E-4</v>
      </c>
      <c r="AX981" s="34" cm="1">
        <f t="array" ref="AX981" xml:space="preserve"> INDEX( VfM_Metrics_2023_Consol_Source[], $AK981, AX$832 )</f>
        <v>0</v>
      </c>
      <c r="AY981" s="34" cm="1">
        <f t="array" ref="AY981" xml:space="preserve"> INDEX( VfM_Metrics_2023_Consol_Source[], $AK981, AY$832 )</f>
        <v>0</v>
      </c>
      <c r="AZ981" s="34" cm="1">
        <f t="array" ref="AZ981" xml:space="preserve"> INDEX( VfM_Metrics_2023_Consol_Source[], $AK981, AZ$832 )</f>
        <v>1.3501350135013501E-3</v>
      </c>
      <c r="BA981" s="34" cm="1">
        <f t="array" ref="BA981" xml:space="preserve"> INDEX( VfM_Metrics_2023_Consol_Source[], $AK981, BA$832 )</f>
        <v>0</v>
      </c>
      <c r="BB981" s="34" cm="1">
        <f t="array" ref="BB981" xml:space="preserve"> INDEX( VfM_Metrics_2023_Consol_Source[], $AK981, BB$832 )</f>
        <v>0</v>
      </c>
      <c r="BC981" s="34" cm="1">
        <f t="array" ref="BC981" xml:space="preserve"> INDEX( VfM_Metrics_2023_Consol_Source[], $AK981, BC$832 )</f>
        <v>0</v>
      </c>
    </row>
    <row r="982" spans="2:55" x14ac:dyDescent="0.2">
      <c r="B982" s="122" t="str" vm="149">
        <f t="shared" ref="B982" si="487" xml:space="preserve"> B772</f>
        <v>Silva Homes Limited</v>
      </c>
      <c r="C982" s="122" t="str" vm="365">
        <f t="shared" si="467"/>
        <v>L4513</v>
      </c>
      <c r="D982" s="30" cm="1">
        <f t="array" ref="D982" xml:space="preserve"> INDEX( VfM_Metrics_2023_Consol_Source[], $AK982, D$832 )</f>
        <v>9.9962356936335164E-2</v>
      </c>
      <c r="E982" s="35">
        <f xml:space="preserve"> IF( tblFilterAll[[#This Row],[Reinvestment]] &lt; D$825, 4, IF( tblFilterAll[[#This Row],[Reinvestment]] &lt; D$826, 3, IF( tblFilterAll[[#This Row],[Reinvestment]] &lt; D$827, 2, 1 ) ) )</f>
        <v>1</v>
      </c>
      <c r="F982" s="35">
        <f xml:space="preserve"> COUNTIFS( tblFilterAll[Include in output], 1, tblFilterAll[Reinvestment], "&gt;" &amp; tblFilterAll[[#This Row],[Reinvestment]] ) + 1</f>
        <v>41</v>
      </c>
      <c r="G982" s="30" cm="1">
        <f t="array" ref="G982" xml:space="preserve"> INDEX( VfM_Metrics_2023_Consol_Source[], $AK982, G$832 )</f>
        <v>2.6160701451775192E-2</v>
      </c>
      <c r="H982" s="35">
        <f xml:space="preserve"> IF( tblFilterAll[[#This Row],[New Supply (Social)]] &lt; G$825, 4, IF( tblFilterAll[[#This Row],[New Supply (Social)]] &lt; G$826, 3, IF( tblFilterAll[[#This Row],[New Supply (Social)]] &lt; G$827, 2, 1 ) ) )</f>
        <v>1</v>
      </c>
      <c r="I982" s="35">
        <f xml:space="preserve"> COUNTIFS( tblFilterAll[Include in output], 1, tblFilterAll[New Supply (Social)], "&gt;" &amp; tblFilterAll[[#This Row],[New Supply (Social)]] ) + 1</f>
        <v>29</v>
      </c>
      <c r="J982" s="31" cm="1">
        <f t="array" ref="J982" xml:space="preserve"> INDEX( VfM_Metrics_2023_Consol_Source[], $AK982, J$832 )</f>
        <v>1.244090569793481E-4</v>
      </c>
      <c r="K982" s="35">
        <f xml:space="preserve"> IF( tblFilterAll[[#This Row],[New Supply (Non-Social)]] &lt; J$825, 4, IF( tblFilterAll[[#This Row],[New Supply (Non-Social)]] &lt; J$826, 3, IF( tblFilterAll[[#This Row],[New Supply (Non-Social)]] &lt; J$827, 2, 1 ) ) )</f>
        <v>2</v>
      </c>
      <c r="L982" s="35">
        <f xml:space="preserve"> COUNTIFS( tblFilterAll[Include in output], 1, tblFilterAll[New Supply (Non-Social)], "&gt;" &amp; tblFilterAll[[#This Row],[New Supply (Non-Social)]] ) + 1</f>
        <v>71</v>
      </c>
      <c r="M982" s="30" cm="1">
        <f t="array" ref="M982" xml:space="preserve"> INDEX( VfM_Metrics_2023_Consol_Source[], $AK982, M$832 )</f>
        <v>0.41864292750907039</v>
      </c>
      <c r="N982" s="35">
        <f xml:space="preserve"> IF( tblFilterAll[[#This Row],[Gearing]] &lt; M$825, 4, IF( tblFilterAll[[#This Row],[Gearing]] &lt; M$826, 3, IF( tblFilterAll[[#This Row],[Gearing]] &lt; M$827, 2, 1 ) ) )</f>
        <v>3</v>
      </c>
      <c r="O982" s="35">
        <f xml:space="preserve"> COUNTIFS( tblFilterAll[Include in output], 1, tblFilterAll[Gearing], "&gt;" &amp; tblFilterAll[[#This Row],[Gearing]] ) + 1</f>
        <v>122</v>
      </c>
      <c r="P982" s="30" cm="1">
        <f t="array" ref="P982" xml:space="preserve"> INDEX( VfM_Metrics_2023_Consol_Source[], $AK982, P$832 )</f>
        <v>2.6099618943930323</v>
      </c>
      <c r="Q982" s="35">
        <f xml:space="preserve"> IF( tblFilterAll[[#This Row],[EBITDA MRI Interest Cover]] &lt; P$825, 4, IF( tblFilterAll[[#This Row],[EBITDA MRI Interest Cover]] &lt; P$826, 3, IF( tblFilterAll[[#This Row],[EBITDA MRI Interest Cover]] &lt; P$827, 2, 1 ) ) )</f>
        <v>1</v>
      </c>
      <c r="R982" s="35">
        <f xml:space="preserve"> COUNTIFS( tblFilterAll[Include in output], 1, tblFilterAll[EBITDA MRI Interest Cover], "&gt;" &amp; tblFilterAll[[#This Row],[EBITDA MRI Interest Cover]] ) + 1</f>
        <v>12</v>
      </c>
      <c r="S982" s="32" cm="1">
        <f t="array" ref="S982" xml:space="preserve"> INDEX( VfM_Metrics_2023_Consol_Source[], $AK982, S$832 )</f>
        <v>4636.3375017967519</v>
      </c>
      <c r="T982" s="35">
        <f xml:space="preserve"> IF( tblFilterAll[[#This Row],[Headline Social Housing Cost per unit]] &lt; S$825, 4, IF( tblFilterAll[[#This Row],[Headline Social Housing Cost per unit]] &lt; S$826, 3, IF( tblFilterAll[[#This Row],[Headline Social Housing Cost per unit]] &lt; S$827, 2, 1 ) ) )</f>
        <v>2</v>
      </c>
      <c r="U982" s="35">
        <f xml:space="preserve"> COUNTIFS( tblFilterAll[Include in output], 1, tblFilterAll[Headline Social Housing Cost per unit], "&gt;" &amp; tblFilterAll[[#This Row],[Headline Social Housing Cost per unit]] ) + 1</f>
        <v>94</v>
      </c>
      <c r="V982" s="30" cm="1">
        <f t="array" ref="V982" xml:space="preserve"> INDEX( VfM_Metrics_2023_Consol_Source[], $AK982, V$832 )</f>
        <v>0.30818974870882337</v>
      </c>
      <c r="W982" s="35">
        <f xml:space="preserve"> IF( tblFilterAll[[#This Row],[Operating Margin (SHL)]] &lt; V$825, 4, IF( tblFilterAll[[#This Row],[Operating Margin (SHL)]] &lt; V$826, 3, IF( tblFilterAll[[#This Row],[Operating Margin (SHL)]] &lt; V$827, 2, 1 ) ) )</f>
        <v>1</v>
      </c>
      <c r="X982" s="35">
        <f xml:space="preserve"> COUNTIFS( tblFilterAll[Include in output], 1, tblFilterAll[Operating Margin (SHL)], "&gt;" &amp; tblFilterAll[[#This Row],[Operating Margin (SHL)]] ) + 1</f>
        <v>25</v>
      </c>
      <c r="Y982" s="30" cm="1">
        <f t="array" ref="Y982" xml:space="preserve"> INDEX( VfM_Metrics_2023_Consol_Source[], $AK982, Y$832 )</f>
        <v>0.30231630057034536</v>
      </c>
      <c r="Z982" s="35">
        <f xml:space="preserve"> IF( tblFilterAll[[#This Row],[Operating Margin (Overall)]] &lt; Y$825, 4, IF( tblFilterAll[[#This Row],[Operating Margin (Overall)]] &lt; Y$826, 3, IF( tblFilterAll[[#This Row],[Operating Margin (Overall)]] &lt; Y$827, 2, 1 ) ) )</f>
        <v>1</v>
      </c>
      <c r="AA982" s="35">
        <f xml:space="preserve"> COUNTIFS( tblFilterAll[Include in output], 1, tblFilterAll[Operating Margin (Overall)], "&gt;" &amp; tblFilterAll[[#This Row],[Operating Margin (Overall)]] ) + 1</f>
        <v>15</v>
      </c>
      <c r="AB982" s="30" cm="1">
        <f t="array" ref="AB982" xml:space="preserve"> INDEX( VfM_Metrics_2023_Consol_Source[], $AK982, AB$832 )</f>
        <v>3.5466157938978886E-2</v>
      </c>
      <c r="AC982" s="35">
        <f xml:space="preserve"> IF( tblFilterAll[[#This Row],[ROCE]] &lt; AB$825, 4, IF( tblFilterAll[[#This Row],[ROCE]] &lt; AB$826, 3, IF( tblFilterAll[[#This Row],[ROCE]] &lt; AB$827, 2, 1 ) ) )</f>
        <v>2</v>
      </c>
      <c r="AD982" s="35">
        <f xml:space="preserve"> COUNTIFS( tblFilterAll[Include in output], 1, tblFilterAll[ROCE], "&gt;" &amp; tblFilterAll[[#This Row],[ROCE]] ) + 1</f>
        <v>56</v>
      </c>
      <c r="AE982" s="33" cm="1" vm="5602">
        <f t="array" ref="AE982" xml:space="preserve"> INDEX( VfM_Metrics_2023_Consol_Source[], $AK982, AE$832 )</f>
        <v>6957</v>
      </c>
      <c r="AF982" s="30" cm="1">
        <f t="array" ref="AF982" xml:space="preserve"> INDEX( VfM_Metrics_2023_Consol_Source[], $AK982, AF$832 )</f>
        <v>6.7171644990710305E-3</v>
      </c>
      <c r="AG982" s="30" cm="1">
        <f t="array" ref="AG982" xml:space="preserve"> INDEX( VfM_Metrics_2023_Consol_Source[], $AK982, AG$832 )</f>
        <v>5.002143775903959E-2</v>
      </c>
      <c r="AH982" s="30" cm="1">
        <f t="array" ref="AH982" xml:space="preserve"> INDEX( VfM_Metrics_2023_Consol_Source[], $AK982, AH$832 )</f>
        <v>5.6738602258110622E-2</v>
      </c>
      <c r="AI982" s="30" t="str" cm="1">
        <f t="array" ref="AI982" xml:space="preserve"> INDEX( VfM_Metrics_2023_Consol_Source[], $AK982, AI$832 )</f>
        <v>Traditional</v>
      </c>
      <c r="AJ982" s="34" t="str" cm="1">
        <f t="array" ref="AJ982" xml:space="preserve"> INDEX( VfM_Metrics_2023_Consol_Source[], $AK982, AJ$832 )</f>
        <v>South East</v>
      </c>
      <c r="AK982" s="81">
        <f xml:space="preserve"> MATCH( tblFilterAll[[#This Row],[Code]], VfM_Metrics_2023_Consol_Source[RP_Code], 0 )</f>
        <v>149</v>
      </c>
      <c r="AL982" s="24">
        <f xml:space="preserve"> INDEX( tblFilterRegion[Include for region],  MATCH( tblFilterAll[[#This Row],[Code]], tblFilterRegion[RP_Code], 0 ) )</f>
        <v>1</v>
      </c>
      <c r="AM982" s="24">
        <f xml:space="preserve"> INDEX( tblFilterPropType[Incl for prop type],  MATCH( tblFilterAll[[#This Row],[Code]], tblFilterPropType[RP_Code], 0 ) )</f>
        <v>1</v>
      </c>
      <c r="AN982" s="24">
        <f xml:space="preserve"> INDEX( tblFilterSize[Incl for size],  MATCH( tblFilterAll[[#This Row],[Code]], tblFilterSize[RP_Code], 0 ) )</f>
        <v>1</v>
      </c>
      <c r="AO982" s="24">
        <f xml:space="preserve"> INDEX( tblFilterRP_Type[Incl, for RP Type],  MATCH( tblFilterAll[[#This Row],[Code]], tblFilterRP_Type[RP_Code], 0 ) )</f>
        <v>1</v>
      </c>
      <c r="AP982" s="24">
        <f xml:space="preserve">  -- ( SUM( tblFilterAll[[#This Row],[Filter Region]:[Filter RP Type]] ) = 4 )</f>
        <v>1</v>
      </c>
      <c r="AQ982" s="24">
        <f xml:space="preserve"> -- ( tblFilterAll[[#This Row],[Provider name]] = SelectedProvider )</f>
        <v>0</v>
      </c>
      <c r="AR982" s="24">
        <f xml:space="preserve">  -- ( OR( SUM( tblFilterAll[[#This Row],[Filter Region]:[Filter RP Type]] ) = 4, tblFilterAll[[#This Row],[SelectedProvider]] = 1 ) )</f>
        <v>1</v>
      </c>
      <c r="AS982" s="24">
        <f xml:space="preserve"> -- ( INDEX( PeersCritera[Included in final peers], MATCH( tblFilterAll[[#This Row],[Provider name]], PeersCritera[RP_Name], 0 ) ) = 1 )</f>
        <v>1</v>
      </c>
      <c r="AT982" s="30" t="str" cm="1">
        <f t="array" ref="AT982" xml:space="preserve"> SUBSTITUTE( INDEX( VfM_Metrics_2023_Consol_Source[], $AK982, AT$832 ), 0, "" )</f>
        <v>&gt;= 12 years</v>
      </c>
      <c r="AU982" s="34" cm="1">
        <f t="array" ref="AU982" xml:space="preserve"> INDEX( VfM_Metrics_2023_Consol_Source[], $AK982, AU$832 )</f>
        <v>0</v>
      </c>
      <c r="AV982" s="34" cm="1">
        <f t="array" ref="AV982" xml:space="preserve"> INDEX( VfM_Metrics_2023_Consol_Source[], $AK982, AV$832 )</f>
        <v>1</v>
      </c>
      <c r="AW982" s="34" cm="1">
        <f t="array" ref="AW982" xml:space="preserve"> INDEX( VfM_Metrics_2023_Consol_Source[], $AK982, AW$832 )</f>
        <v>0</v>
      </c>
      <c r="AX982" s="34" cm="1">
        <f t="array" ref="AX982" xml:space="preserve"> INDEX( VfM_Metrics_2023_Consol_Source[], $AK982, AX$832 )</f>
        <v>0</v>
      </c>
      <c r="AY982" s="34" cm="1">
        <f t="array" ref="AY982" xml:space="preserve"> INDEX( VfM_Metrics_2023_Consol_Source[], $AK982, AY$832 )</f>
        <v>0</v>
      </c>
      <c r="AZ982" s="34" cm="1">
        <f t="array" ref="AZ982" xml:space="preserve"> INDEX( VfM_Metrics_2023_Consol_Source[], $AK982, AZ$832 )</f>
        <v>0</v>
      </c>
      <c r="BA982" s="34" cm="1">
        <f t="array" ref="BA982" xml:space="preserve"> INDEX( VfM_Metrics_2023_Consol_Source[], $AK982, BA$832 )</f>
        <v>0</v>
      </c>
      <c r="BB982" s="34" cm="1">
        <f t="array" ref="BB982" xml:space="preserve"> INDEX( VfM_Metrics_2023_Consol_Source[], $AK982, BB$832 )</f>
        <v>0</v>
      </c>
      <c r="BC982" s="34" cm="1">
        <f t="array" ref="BC982" xml:space="preserve"> INDEX( VfM_Metrics_2023_Consol_Source[], $AK982, BC$832 )</f>
        <v>0</v>
      </c>
    </row>
    <row r="983" spans="2:55" x14ac:dyDescent="0.2">
      <c r="B983" s="122" t="str" vm="150">
        <f t="shared" ref="B983" si="488" xml:space="preserve"> B773</f>
        <v>Soha Housing Limited</v>
      </c>
      <c r="C983" s="122" t="str" vm="380">
        <f t="shared" si="467"/>
        <v>L4130</v>
      </c>
      <c r="D983" s="30" cm="1">
        <f t="array" ref="D983" xml:space="preserve"> INDEX( VfM_Metrics_2023_Consol_Source[], $AK983, D$832 )</f>
        <v>7.5318958880602721E-2</v>
      </c>
      <c r="E983" s="35">
        <f xml:space="preserve"> IF( tblFilterAll[[#This Row],[Reinvestment]] &lt; D$825, 4, IF( tblFilterAll[[#This Row],[Reinvestment]] &lt; D$826, 3, IF( tblFilterAll[[#This Row],[Reinvestment]] &lt; D$827, 2, 1 ) ) )</f>
        <v>2</v>
      </c>
      <c r="F983" s="35">
        <f xml:space="preserve"> COUNTIFS( tblFilterAll[Include in output], 1, tblFilterAll[Reinvestment], "&gt;" &amp; tblFilterAll[[#This Row],[Reinvestment]] ) + 1</f>
        <v>81</v>
      </c>
      <c r="G983" s="30" cm="1">
        <f t="array" ref="G983" xml:space="preserve"> INDEX( VfM_Metrics_2023_Consol_Source[], $AK983, G$832 )</f>
        <v>4.1423332880619314E-2</v>
      </c>
      <c r="H983" s="35">
        <f xml:space="preserve"> IF( tblFilterAll[[#This Row],[New Supply (Social)]] &lt; G$825, 4, IF( tblFilterAll[[#This Row],[New Supply (Social)]] &lt; G$826, 3, IF( tblFilterAll[[#This Row],[New Supply (Social)]] &lt; G$827, 2, 1 ) ) )</f>
        <v>1</v>
      </c>
      <c r="I983" s="35">
        <f xml:space="preserve"> COUNTIFS( tblFilterAll[Include in output], 1, tblFilterAll[New Supply (Social)], "&gt;" &amp; tblFilterAll[[#This Row],[New Supply (Social)]] ) + 1</f>
        <v>7</v>
      </c>
      <c r="J983" s="31" cm="1">
        <f t="array" ref="J983" xml:space="preserve"> INDEX( VfM_Metrics_2023_Consol_Source[], $AK983, J$832 )</f>
        <v>0</v>
      </c>
      <c r="K983" s="35">
        <f xml:space="preserve"> IF( tblFilterAll[[#This Row],[New Supply (Non-Social)]] &lt; J$825, 4, IF( tblFilterAll[[#This Row],[New Supply (Non-Social)]] &lt; J$826, 3, IF( tblFilterAll[[#This Row],[New Supply (Non-Social)]] &lt; J$827, 2, 1 ) ) )</f>
        <v>2</v>
      </c>
      <c r="L983" s="35">
        <f xml:space="preserve"> COUNTIFS( tblFilterAll[Include in output], 1, tblFilterAll[New Supply (Non-Social)], "&gt;" &amp; tblFilterAll[[#This Row],[New Supply (Non-Social)]] ) + 1</f>
        <v>72</v>
      </c>
      <c r="M983" s="30" cm="1">
        <f t="array" ref="M983" xml:space="preserve"> INDEX( VfM_Metrics_2023_Consol_Source[], $AK983, M$832 )</f>
        <v>0.45181825661277714</v>
      </c>
      <c r="N983" s="35">
        <f xml:space="preserve"> IF( tblFilterAll[[#This Row],[Gearing]] &lt; M$825, 4, IF( tblFilterAll[[#This Row],[Gearing]] &lt; M$826, 3, IF( tblFilterAll[[#This Row],[Gearing]] &lt; M$827, 2, 1 ) ) )</f>
        <v>3</v>
      </c>
      <c r="O983" s="35">
        <f xml:space="preserve"> COUNTIFS( tblFilterAll[Include in output], 1, tblFilterAll[Gearing], "&gt;" &amp; tblFilterAll[[#This Row],[Gearing]] ) + 1</f>
        <v>100</v>
      </c>
      <c r="P983" s="30" cm="1">
        <f t="array" ref="P983" xml:space="preserve"> INDEX( VfM_Metrics_2023_Consol_Source[], $AK983, P$832 )</f>
        <v>1.4998063066553033</v>
      </c>
      <c r="Q983" s="35">
        <f xml:space="preserve"> IF( tblFilterAll[[#This Row],[EBITDA MRI Interest Cover]] &lt; P$825, 4, IF( tblFilterAll[[#This Row],[EBITDA MRI Interest Cover]] &lt; P$826, 3, IF( tblFilterAll[[#This Row],[EBITDA MRI Interest Cover]] &lt; P$827, 2, 1 ) ) )</f>
        <v>2</v>
      </c>
      <c r="R983" s="35">
        <f xml:space="preserve"> COUNTIFS( tblFilterAll[Include in output], 1, tblFilterAll[EBITDA MRI Interest Cover], "&gt;" &amp; tblFilterAll[[#This Row],[EBITDA MRI Interest Cover]] ) + 1</f>
        <v>63</v>
      </c>
      <c r="S983" s="32" cm="1">
        <f t="array" ref="S983" xml:space="preserve"> INDEX( VfM_Metrics_2023_Consol_Source[], $AK983, S$832 )</f>
        <v>4158.7668070080135</v>
      </c>
      <c r="T983" s="35">
        <f xml:space="preserve"> IF( tblFilterAll[[#This Row],[Headline Social Housing Cost per unit]] &lt; S$825, 4, IF( tblFilterAll[[#This Row],[Headline Social Housing Cost per unit]] &lt; S$826, 3, IF( tblFilterAll[[#This Row],[Headline Social Housing Cost per unit]] &lt; S$827, 2, 1 ) ) )</f>
        <v>3</v>
      </c>
      <c r="U983" s="35">
        <f xml:space="preserve"> COUNTIFS( tblFilterAll[Include in output], 1, tblFilterAll[Headline Social Housing Cost per unit], "&gt;" &amp; tblFilterAll[[#This Row],[Headline Social Housing Cost per unit]] ) + 1</f>
        <v>142</v>
      </c>
      <c r="V983" s="30" cm="1">
        <f t="array" ref="V983" xml:space="preserve"> INDEX( VfM_Metrics_2023_Consol_Source[], $AK983, V$832 )</f>
        <v>0.3086016686938523</v>
      </c>
      <c r="W983" s="35">
        <f xml:space="preserve"> IF( tblFilterAll[[#This Row],[Operating Margin (SHL)]] &lt; V$825, 4, IF( tblFilterAll[[#This Row],[Operating Margin (SHL)]] &lt; V$826, 3, IF( tblFilterAll[[#This Row],[Operating Margin (SHL)]] &lt; V$827, 2, 1 ) ) )</f>
        <v>1</v>
      </c>
      <c r="X983" s="35">
        <f xml:space="preserve"> COUNTIFS( tblFilterAll[Include in output], 1, tblFilterAll[Operating Margin (SHL)], "&gt;" &amp; tblFilterAll[[#This Row],[Operating Margin (SHL)]] ) + 1</f>
        <v>24</v>
      </c>
      <c r="Y983" s="30" cm="1">
        <f t="array" ref="Y983" xml:space="preserve"> INDEX( VfM_Metrics_2023_Consol_Source[], $AK983, Y$832 )</f>
        <v>0.3111138754620415</v>
      </c>
      <c r="Z983" s="35">
        <f xml:space="preserve"> IF( tblFilterAll[[#This Row],[Operating Margin (Overall)]] &lt; Y$825, 4, IF( tblFilterAll[[#This Row],[Operating Margin (Overall)]] &lt; Y$826, 3, IF( tblFilterAll[[#This Row],[Operating Margin (Overall)]] &lt; Y$827, 2, 1 ) ) )</f>
        <v>1</v>
      </c>
      <c r="AA983" s="35">
        <f xml:space="preserve"> COUNTIFS( tblFilterAll[Include in output], 1, tblFilterAll[Operating Margin (Overall)], "&gt;" &amp; tblFilterAll[[#This Row],[Operating Margin (Overall)]] ) + 1</f>
        <v>11</v>
      </c>
      <c r="AB983" s="30" cm="1">
        <f t="array" ref="AB983" xml:space="preserve"> INDEX( VfM_Metrics_2023_Consol_Source[], $AK983, AB$832 )</f>
        <v>2.7971196137822188E-2</v>
      </c>
      <c r="AC983" s="35">
        <f xml:space="preserve"> IF( tblFilterAll[[#This Row],[ROCE]] &lt; AB$825, 4, IF( tblFilterAll[[#This Row],[ROCE]] &lt; AB$826, 3, IF( tblFilterAll[[#This Row],[ROCE]] &lt; AB$827, 2, 1 ) ) )</f>
        <v>3</v>
      </c>
      <c r="AD983" s="35">
        <f xml:space="preserve"> COUNTIFS( tblFilterAll[Include in output], 1, tblFilterAll[ROCE], "&gt;" &amp; tblFilterAll[[#This Row],[ROCE]] ) + 1</f>
        <v>104</v>
      </c>
      <c r="AE983" s="33" cm="1" vm="6189">
        <f t="array" ref="AE983" xml:space="preserve"> INDEX( VfM_Metrics_2023_Consol_Source[], $AK983, AE$832 )</f>
        <v>7363</v>
      </c>
      <c r="AF983" s="30" cm="1">
        <f t="array" ref="AF983" xml:space="preserve"> INDEX( VfM_Metrics_2023_Consol_Source[], $AK983, AF$832 )</f>
        <v>1.3331500824628917E-2</v>
      </c>
      <c r="AG983" s="30" cm="1">
        <f t="array" ref="AG983" xml:space="preserve"> INDEX( VfM_Metrics_2023_Consol_Source[], $AK983, AG$832 )</f>
        <v>7.6140736668499173E-2</v>
      </c>
      <c r="AH983" s="30" cm="1">
        <f t="array" ref="AH983" xml:space="preserve"> INDEX( VfM_Metrics_2023_Consol_Source[], $AK983, AH$832 )</f>
        <v>8.947223749312809E-2</v>
      </c>
      <c r="AI983" s="30" t="str" cm="1">
        <f t="array" ref="AI983" xml:space="preserve"> INDEX( VfM_Metrics_2023_Consol_Source[], $AK983, AI$832 )</f>
        <v>Traditional</v>
      </c>
      <c r="AJ983" s="34" t="str" cm="1">
        <f t="array" ref="AJ983" xml:space="preserve"> INDEX( VfM_Metrics_2023_Consol_Source[], $AK983, AJ$832 )</f>
        <v>South East</v>
      </c>
      <c r="AK983" s="81">
        <f xml:space="preserve"> MATCH( tblFilterAll[[#This Row],[Code]], VfM_Metrics_2023_Consol_Source[RP_Code], 0 )</f>
        <v>150</v>
      </c>
      <c r="AL983" s="24">
        <f xml:space="preserve"> INDEX( tblFilterRegion[Include for region],  MATCH( tblFilterAll[[#This Row],[Code]], tblFilterRegion[RP_Code], 0 ) )</f>
        <v>1</v>
      </c>
      <c r="AM983" s="24">
        <f xml:space="preserve"> INDEX( tblFilterPropType[Incl for prop type],  MATCH( tblFilterAll[[#This Row],[Code]], tblFilterPropType[RP_Code], 0 ) )</f>
        <v>1</v>
      </c>
      <c r="AN983" s="24">
        <f xml:space="preserve"> INDEX( tblFilterSize[Incl for size],  MATCH( tblFilterAll[[#This Row],[Code]], tblFilterSize[RP_Code], 0 ) )</f>
        <v>1</v>
      </c>
      <c r="AO983" s="24">
        <f xml:space="preserve"> INDEX( tblFilterRP_Type[Incl, for RP Type],  MATCH( tblFilterAll[[#This Row],[Code]], tblFilterRP_Type[RP_Code], 0 ) )</f>
        <v>1</v>
      </c>
      <c r="AP983" s="24">
        <f xml:space="preserve">  -- ( SUM( tblFilterAll[[#This Row],[Filter Region]:[Filter RP Type]] ) = 4 )</f>
        <v>1</v>
      </c>
      <c r="AQ983" s="24">
        <f xml:space="preserve"> -- ( tblFilterAll[[#This Row],[Provider name]] = SelectedProvider )</f>
        <v>0</v>
      </c>
      <c r="AR983" s="24">
        <f xml:space="preserve">  -- ( OR( SUM( tblFilterAll[[#This Row],[Filter Region]:[Filter RP Type]] ) = 4, tblFilterAll[[#This Row],[SelectedProvider]] = 1 ) )</f>
        <v>1</v>
      </c>
      <c r="AS983" s="24">
        <f xml:space="preserve"> -- ( INDEX( PeersCritera[Included in final peers], MATCH( tblFilterAll[[#This Row],[Provider name]], PeersCritera[RP_Name], 0 ) ) = 1 )</f>
        <v>1</v>
      </c>
      <c r="AT983" s="30" t="str" cm="1">
        <f t="array" ref="AT983" xml:space="preserve"> SUBSTITUTE( INDEX( VfM_Metrics_2023_Consol_Source[], $AK983, AT$832 ), 0, "" )</f>
        <v>&gt;= 12 years</v>
      </c>
      <c r="AU983" s="34" cm="1">
        <f t="array" ref="AU983" xml:space="preserve"> INDEX( VfM_Metrics_2023_Consol_Source[], $AK983, AU$832 )</f>
        <v>0</v>
      </c>
      <c r="AV983" s="34" cm="1">
        <f t="array" ref="AV983" xml:space="preserve"> INDEX( VfM_Metrics_2023_Consol_Source[], $AK983, AV$832 )</f>
        <v>0.9683552899633302</v>
      </c>
      <c r="AW983" s="34" cm="1">
        <f t="array" ref="AW983" xml:space="preserve"> INDEX( VfM_Metrics_2023_Consol_Source[], $AK983, AW$832 )</f>
        <v>3.1644710036669833E-2</v>
      </c>
      <c r="AX983" s="34" cm="1">
        <f t="array" ref="AX983" xml:space="preserve"> INDEX( VfM_Metrics_2023_Consol_Source[], $AK983, AX$832 )</f>
        <v>0</v>
      </c>
      <c r="AY983" s="34" cm="1">
        <f t="array" ref="AY983" xml:space="preserve"> INDEX( VfM_Metrics_2023_Consol_Source[], $AK983, AY$832 )</f>
        <v>0</v>
      </c>
      <c r="AZ983" s="34" cm="1">
        <f t="array" ref="AZ983" xml:space="preserve"> INDEX( VfM_Metrics_2023_Consol_Source[], $AK983, AZ$832 )</f>
        <v>0</v>
      </c>
      <c r="BA983" s="34" cm="1">
        <f t="array" ref="BA983" xml:space="preserve"> INDEX( VfM_Metrics_2023_Consol_Source[], $AK983, BA$832 )</f>
        <v>0</v>
      </c>
      <c r="BB983" s="34" cm="1">
        <f t="array" ref="BB983" xml:space="preserve"> INDEX( VfM_Metrics_2023_Consol_Source[], $AK983, BB$832 )</f>
        <v>0</v>
      </c>
      <c r="BC983" s="34" cm="1">
        <f t="array" ref="BC983" xml:space="preserve"> INDEX( VfM_Metrics_2023_Consol_Source[], $AK983, BC$832 )</f>
        <v>0</v>
      </c>
    </row>
    <row r="984" spans="2:55" x14ac:dyDescent="0.2">
      <c r="B984" s="122" t="str" vm="151">
        <f t="shared" ref="B984" si="489" xml:space="preserve"> B774</f>
        <v>South Lakes Housing</v>
      </c>
      <c r="C984" s="122" t="str" vm="320">
        <f t="shared" si="467"/>
        <v>4686</v>
      </c>
      <c r="D984" s="30" cm="1">
        <f t="array" ref="D984" xml:space="preserve"> INDEX( VfM_Metrics_2023_Consol_Source[], $AK984, D$832 )</f>
        <v>0.10198426885949231</v>
      </c>
      <c r="E984" s="35">
        <f xml:space="preserve"> IF( tblFilterAll[[#This Row],[Reinvestment]] &lt; D$825, 4, IF( tblFilterAll[[#This Row],[Reinvestment]] &lt; D$826, 3, IF( tblFilterAll[[#This Row],[Reinvestment]] &lt; D$827, 2, 1 ) ) )</f>
        <v>1</v>
      </c>
      <c r="F984" s="35">
        <f xml:space="preserve"> COUNTIFS( tblFilterAll[Include in output], 1, tblFilterAll[Reinvestment], "&gt;" &amp; tblFilterAll[[#This Row],[Reinvestment]] ) + 1</f>
        <v>36</v>
      </c>
      <c r="G984" s="30" cm="1">
        <f t="array" ref="G984" xml:space="preserve"> INDEX( VfM_Metrics_2023_Consol_Source[], $AK984, G$832 )</f>
        <v>2.3939393939393941E-2</v>
      </c>
      <c r="H984" s="35">
        <f xml:space="preserve"> IF( tblFilterAll[[#This Row],[New Supply (Social)]] &lt; G$825, 4, IF( tblFilterAll[[#This Row],[New Supply (Social)]] &lt; G$826, 3, IF( tblFilterAll[[#This Row],[New Supply (Social)]] &lt; G$827, 2, 1 ) ) )</f>
        <v>1</v>
      </c>
      <c r="I984" s="35">
        <f xml:space="preserve"> COUNTIFS( tblFilterAll[Include in output], 1, tblFilterAll[New Supply (Social)], "&gt;" &amp; tblFilterAll[[#This Row],[New Supply (Social)]] ) + 1</f>
        <v>42</v>
      </c>
      <c r="J984" s="31" cm="1">
        <f t="array" ref="J984" xml:space="preserve"> INDEX( VfM_Metrics_2023_Consol_Source[], $AK984, J$832 )</f>
        <v>0</v>
      </c>
      <c r="K984" s="35">
        <f xml:space="preserve"> IF( tblFilterAll[[#This Row],[New Supply (Non-Social)]] &lt; J$825, 4, IF( tblFilterAll[[#This Row],[New Supply (Non-Social)]] &lt; J$826, 3, IF( tblFilterAll[[#This Row],[New Supply (Non-Social)]] &lt; J$827, 2, 1 ) ) )</f>
        <v>2</v>
      </c>
      <c r="L984" s="35">
        <f xml:space="preserve"> COUNTIFS( tblFilterAll[Include in output], 1, tblFilterAll[New Supply (Non-Social)], "&gt;" &amp; tblFilterAll[[#This Row],[New Supply (Non-Social)]] ) + 1</f>
        <v>72</v>
      </c>
      <c r="M984" s="30" cm="1">
        <f t="array" ref="M984" xml:space="preserve"> INDEX( VfM_Metrics_2023_Consol_Source[], $AK984, M$832 )</f>
        <v>0.33383170279845287</v>
      </c>
      <c r="N984" s="35">
        <f xml:space="preserve"> IF( tblFilterAll[[#This Row],[Gearing]] &lt; M$825, 4, IF( tblFilterAll[[#This Row],[Gearing]] &lt; M$826, 3, IF( tblFilterAll[[#This Row],[Gearing]] &lt; M$827, 2, 1 ) ) )</f>
        <v>3</v>
      </c>
      <c r="O984" s="35">
        <f xml:space="preserve"> COUNTIFS( tblFilterAll[Include in output], 1, tblFilterAll[Gearing], "&gt;" &amp; tblFilterAll[[#This Row],[Gearing]] ) + 1</f>
        <v>148</v>
      </c>
      <c r="P984" s="30" cm="1">
        <f t="array" ref="P984" xml:space="preserve"> INDEX( VfM_Metrics_2023_Consol_Source[], $AK984, P$832 )</f>
        <v>1.5220550077841204</v>
      </c>
      <c r="Q984" s="35">
        <f xml:space="preserve"> IF( tblFilterAll[[#This Row],[EBITDA MRI Interest Cover]] &lt; P$825, 4, IF( tblFilterAll[[#This Row],[EBITDA MRI Interest Cover]] &lt; P$826, 3, IF( tblFilterAll[[#This Row],[EBITDA MRI Interest Cover]] &lt; P$827, 2, 1 ) ) )</f>
        <v>2</v>
      </c>
      <c r="R984" s="35">
        <f xml:space="preserve"> COUNTIFS( tblFilterAll[Include in output], 1, tblFilterAll[EBITDA MRI Interest Cover], "&gt;" &amp; tblFilterAll[[#This Row],[EBITDA MRI Interest Cover]] ) + 1</f>
        <v>61</v>
      </c>
      <c r="S984" s="32" cm="1">
        <f t="array" ref="S984" xml:space="preserve"> INDEX( VfM_Metrics_2023_Consol_Source[], $AK984, S$832 )</f>
        <v>4803.5190615835782</v>
      </c>
      <c r="T984" s="35">
        <f xml:space="preserve"> IF( tblFilterAll[[#This Row],[Headline Social Housing Cost per unit]] &lt; S$825, 4, IF( tblFilterAll[[#This Row],[Headline Social Housing Cost per unit]] &lt; S$826, 3, IF( tblFilterAll[[#This Row],[Headline Social Housing Cost per unit]] &lt; S$827, 2, 1 ) ) )</f>
        <v>2</v>
      </c>
      <c r="U984" s="35">
        <f xml:space="preserve"> COUNTIFS( tblFilterAll[Include in output], 1, tblFilterAll[Headline Social Housing Cost per unit], "&gt;" &amp; tblFilterAll[[#This Row],[Headline Social Housing Cost per unit]] ) + 1</f>
        <v>84</v>
      </c>
      <c r="V984" s="30" cm="1">
        <f t="array" ref="V984" xml:space="preserve"> INDEX( VfM_Metrics_2023_Consol_Source[], $AK984, V$832 )</f>
        <v>0.19124437781109446</v>
      </c>
      <c r="W984" s="35">
        <f xml:space="preserve"> IF( tblFilterAll[[#This Row],[Operating Margin (SHL)]] &lt; V$825, 4, IF( tblFilterAll[[#This Row],[Operating Margin (SHL)]] &lt; V$826, 3, IF( tblFilterAll[[#This Row],[Operating Margin (SHL)]] &lt; V$827, 2, 1 ) ) )</f>
        <v>3</v>
      </c>
      <c r="X984" s="35">
        <f xml:space="preserve"> COUNTIFS( tblFilterAll[Include in output], 1, tblFilterAll[Operating Margin (SHL)], "&gt;" &amp; tblFilterAll[[#This Row],[Operating Margin (SHL)]] ) + 1</f>
        <v>105</v>
      </c>
      <c r="Y984" s="30" cm="1">
        <f t="array" ref="Y984" xml:space="preserve"> INDEX( VfM_Metrics_2023_Consol_Source[], $AK984, Y$832 )</f>
        <v>0.21537345902828137</v>
      </c>
      <c r="Z984" s="35">
        <f xml:space="preserve"> IF( tblFilterAll[[#This Row],[Operating Margin (Overall)]] &lt; Y$825, 4, IF( tblFilterAll[[#This Row],[Operating Margin (Overall)]] &lt; Y$826, 3, IF( tblFilterAll[[#This Row],[Operating Margin (Overall)]] &lt; Y$827, 2, 1 ) ) )</f>
        <v>2</v>
      </c>
      <c r="AA984" s="35">
        <f xml:space="preserve"> COUNTIFS( tblFilterAll[Include in output], 1, tblFilterAll[Operating Margin (Overall)], "&gt;" &amp; tblFilterAll[[#This Row],[Operating Margin (Overall)]] ) + 1</f>
        <v>68</v>
      </c>
      <c r="AB984" s="30" cm="1">
        <f t="array" ref="AB984" xml:space="preserve"> INDEX( VfM_Metrics_2023_Consol_Source[], $AK984, AB$832 )</f>
        <v>3.1747687813380304E-2</v>
      </c>
      <c r="AC984" s="35">
        <f xml:space="preserve"> IF( tblFilterAll[[#This Row],[ROCE]] &lt; AB$825, 4, IF( tblFilterAll[[#This Row],[ROCE]] &lt; AB$826, 3, IF( tblFilterAll[[#This Row],[ROCE]] &lt; AB$827, 2, 1 ) ) )</f>
        <v>2</v>
      </c>
      <c r="AD984" s="35">
        <f xml:space="preserve"> COUNTIFS( tblFilterAll[Include in output], 1, tblFilterAll[ROCE], "&gt;" &amp; tblFilterAll[[#This Row],[ROCE]] ) + 1</f>
        <v>74</v>
      </c>
      <c r="AE984" s="33" cm="1" vm="4030">
        <f t="array" ref="AE984" xml:space="preserve"> INDEX( VfM_Metrics_2023_Consol_Source[], $AK984, AE$832 )</f>
        <v>3300</v>
      </c>
      <c r="AF984" s="30" cm="1">
        <f t="array" ref="AF984" xml:space="preserve"> INDEX( VfM_Metrics_2023_Consol_Source[], $AK984, AF$832 )</f>
        <v>0</v>
      </c>
      <c r="AG984" s="30" cm="1">
        <f t="array" ref="AG984" xml:space="preserve"> INDEX( VfM_Metrics_2023_Consol_Source[], $AK984, AG$832 )</f>
        <v>0.12855831037649221</v>
      </c>
      <c r="AH984" s="30" cm="1">
        <f t="array" ref="AH984" xml:space="preserve"> INDEX( VfM_Metrics_2023_Consol_Source[], $AK984, AH$832 )</f>
        <v>0.12855831037649221</v>
      </c>
      <c r="AI984" s="30" t="str" cm="1">
        <f t="array" ref="AI984" xml:space="preserve"> INDEX( VfM_Metrics_2023_Consol_Source[], $AK984, AI$832 )</f>
        <v>LSVT</v>
      </c>
      <c r="AJ984" s="34" t="str" cm="1">
        <f t="array" ref="AJ984" xml:space="preserve"> INDEX( VfM_Metrics_2023_Consol_Source[], $AK984, AJ$832 )</f>
        <v>North West</v>
      </c>
      <c r="AK984" s="81">
        <f xml:space="preserve"> MATCH( tblFilterAll[[#This Row],[Code]], VfM_Metrics_2023_Consol_Source[RP_Code], 0 )</f>
        <v>151</v>
      </c>
      <c r="AL984" s="24">
        <f xml:space="preserve"> INDEX( tblFilterRegion[Include for region],  MATCH( tblFilterAll[[#This Row],[Code]], tblFilterRegion[RP_Code], 0 ) )</f>
        <v>1</v>
      </c>
      <c r="AM984" s="24">
        <f xml:space="preserve"> INDEX( tblFilterPropType[Incl for prop type],  MATCH( tblFilterAll[[#This Row],[Code]], tblFilterPropType[RP_Code], 0 ) )</f>
        <v>1</v>
      </c>
      <c r="AN984" s="24">
        <f xml:space="preserve"> INDEX( tblFilterSize[Incl for size],  MATCH( tblFilterAll[[#This Row],[Code]], tblFilterSize[RP_Code], 0 ) )</f>
        <v>1</v>
      </c>
      <c r="AO984" s="24">
        <f xml:space="preserve"> INDEX( tblFilterRP_Type[Incl, for RP Type],  MATCH( tblFilterAll[[#This Row],[Code]], tblFilterRP_Type[RP_Code], 0 ) )</f>
        <v>1</v>
      </c>
      <c r="AP984" s="24">
        <f xml:space="preserve">  -- ( SUM( tblFilterAll[[#This Row],[Filter Region]:[Filter RP Type]] ) = 4 )</f>
        <v>1</v>
      </c>
      <c r="AQ984" s="24">
        <f xml:space="preserve"> -- ( tblFilterAll[[#This Row],[Provider name]] = SelectedProvider )</f>
        <v>0</v>
      </c>
      <c r="AR984" s="24">
        <f xml:space="preserve">  -- ( OR( SUM( tblFilterAll[[#This Row],[Filter Region]:[Filter RP Type]] ) = 4, tblFilterAll[[#This Row],[SelectedProvider]] = 1 ) )</f>
        <v>1</v>
      </c>
      <c r="AS984" s="24">
        <f xml:space="preserve"> -- ( INDEX( PeersCritera[Included in final peers], MATCH( tblFilterAll[[#This Row],[Provider name]], PeersCritera[RP_Name], 0 ) ) = 1 )</f>
        <v>1</v>
      </c>
      <c r="AT984" s="30" t="str" cm="1">
        <f t="array" ref="AT984" xml:space="preserve"> SUBSTITUTE( INDEX( VfM_Metrics_2023_Consol_Source[], $AK984, AT$832 ), 0, "" )</f>
        <v>&lt; 12 years</v>
      </c>
      <c r="AU984" s="34" cm="1">
        <f t="array" ref="AU984" xml:space="preserve"> INDEX( VfM_Metrics_2023_Consol_Source[], $AK984, AU$832 )</f>
        <v>0</v>
      </c>
      <c r="AV984" s="34" cm="1">
        <f t="array" ref="AV984" xml:space="preserve"> INDEX( VfM_Metrics_2023_Consol_Source[], $AK984, AV$832 )</f>
        <v>0</v>
      </c>
      <c r="AW984" s="34" cm="1">
        <f t="array" ref="AW984" xml:space="preserve"> INDEX( VfM_Metrics_2023_Consol_Source[], $AK984, AW$832 )</f>
        <v>0</v>
      </c>
      <c r="AX984" s="34" cm="1">
        <f t="array" ref="AX984" xml:space="preserve"> INDEX( VfM_Metrics_2023_Consol_Source[], $AK984, AX$832 )</f>
        <v>0</v>
      </c>
      <c r="AY984" s="34" cm="1">
        <f t="array" ref="AY984" xml:space="preserve"> INDEX( VfM_Metrics_2023_Consol_Source[], $AK984, AY$832 )</f>
        <v>0</v>
      </c>
      <c r="AZ984" s="34" cm="1">
        <f t="array" ref="AZ984" xml:space="preserve"> INDEX( VfM_Metrics_2023_Consol_Source[], $AK984, AZ$832 )</f>
        <v>0</v>
      </c>
      <c r="BA984" s="34" cm="1">
        <f t="array" ref="BA984" xml:space="preserve"> INDEX( VfM_Metrics_2023_Consol_Source[], $AK984, BA$832 )</f>
        <v>0</v>
      </c>
      <c r="BB984" s="34" cm="1">
        <f t="array" ref="BB984" xml:space="preserve"> INDEX( VfM_Metrics_2023_Consol_Source[], $AK984, BB$832 )</f>
        <v>1</v>
      </c>
      <c r="BC984" s="34" cm="1">
        <f t="array" ref="BC984" xml:space="preserve"> INDEX( VfM_Metrics_2023_Consol_Source[], $AK984, BC$832 )</f>
        <v>0</v>
      </c>
    </row>
    <row r="985" spans="2:55" x14ac:dyDescent="0.2">
      <c r="B985" s="122" t="str" vm="152">
        <f t="shared" ref="B985" si="490" xml:space="preserve"> B775</f>
        <v>South Liverpool Homes Limited</v>
      </c>
      <c r="C985" s="122" t="str" vm="331">
        <f t="shared" si="467"/>
        <v>L4230</v>
      </c>
      <c r="D985" s="30" cm="1">
        <f t="array" ref="D985" xml:space="preserve"> INDEX( VfM_Metrics_2023_Consol_Source[], $AK985, D$832 )</f>
        <v>4.8892764058427553E-2</v>
      </c>
      <c r="E985" s="35">
        <f xml:space="preserve"> IF( tblFilterAll[[#This Row],[Reinvestment]] &lt; D$825, 4, IF( tblFilterAll[[#This Row],[Reinvestment]] &lt; D$826, 3, IF( tblFilterAll[[#This Row],[Reinvestment]] &lt; D$827, 2, 1 ) ) )</f>
        <v>3</v>
      </c>
      <c r="F985" s="35">
        <f xml:space="preserve"> COUNTIFS( tblFilterAll[Include in output], 1, tblFilterAll[Reinvestment], "&gt;" &amp; tblFilterAll[[#This Row],[Reinvestment]] ) + 1</f>
        <v>146</v>
      </c>
      <c r="G985" s="30" cm="1">
        <f t="array" ref="G985" xml:space="preserve"> INDEX( VfM_Metrics_2023_Consol_Source[], $AK985, G$832 )</f>
        <v>5.2002080083203327E-3</v>
      </c>
      <c r="H985" s="35">
        <f xml:space="preserve"> IF( tblFilterAll[[#This Row],[New Supply (Social)]] &lt; G$825, 4, IF( tblFilterAll[[#This Row],[New Supply (Social)]] &lt; G$826, 3, IF( tblFilterAll[[#This Row],[New Supply (Social)]] &lt; G$827, 2, 1 ) ) )</f>
        <v>4</v>
      </c>
      <c r="I985" s="35">
        <f xml:space="preserve"> COUNTIFS( tblFilterAll[Include in output], 1, tblFilterAll[New Supply (Social)], "&gt;" &amp; tblFilterAll[[#This Row],[New Supply (Social)]] ) + 1</f>
        <v>158</v>
      </c>
      <c r="J985" s="31" cm="1">
        <f t="array" ref="J985" xml:space="preserve"> INDEX( VfM_Metrics_2023_Consol_Source[], $AK985, J$832 )</f>
        <v>0</v>
      </c>
      <c r="K985" s="35">
        <f xml:space="preserve"> IF( tblFilterAll[[#This Row],[New Supply (Non-Social)]] &lt; J$825, 4, IF( tblFilterAll[[#This Row],[New Supply (Non-Social)]] &lt; J$826, 3, IF( tblFilterAll[[#This Row],[New Supply (Non-Social)]] &lt; J$827, 2, 1 ) ) )</f>
        <v>2</v>
      </c>
      <c r="L985" s="35">
        <f xml:space="preserve"> COUNTIFS( tblFilterAll[Include in output], 1, tblFilterAll[New Supply (Non-Social)], "&gt;" &amp; tblFilterAll[[#This Row],[New Supply (Non-Social)]] ) + 1</f>
        <v>72</v>
      </c>
      <c r="M985" s="30" cm="1">
        <f t="array" ref="M985" xml:space="preserve"> INDEX( VfM_Metrics_2023_Consol_Source[], $AK985, M$832 )</f>
        <v>0.23296019200840037</v>
      </c>
      <c r="N985" s="35">
        <f xml:space="preserve"> IF( tblFilterAll[[#This Row],[Gearing]] &lt; M$825, 4, IF( tblFilterAll[[#This Row],[Gearing]] &lt; M$826, 3, IF( tblFilterAll[[#This Row],[Gearing]] &lt; M$827, 2, 1 ) ) )</f>
        <v>4</v>
      </c>
      <c r="O985" s="35">
        <f xml:space="preserve"> COUNTIFS( tblFilterAll[Include in output], 1, tblFilterAll[Gearing], "&gt;" &amp; tblFilterAll[[#This Row],[Gearing]] ) + 1</f>
        <v>173</v>
      </c>
      <c r="P985" s="30" cm="1">
        <f t="array" ref="P985" xml:space="preserve"> INDEX( VfM_Metrics_2023_Consol_Source[], $AK985, P$832 )</f>
        <v>3.0377503852080121</v>
      </c>
      <c r="Q985" s="35">
        <f xml:space="preserve"> IF( tblFilterAll[[#This Row],[EBITDA MRI Interest Cover]] &lt; P$825, 4, IF( tblFilterAll[[#This Row],[EBITDA MRI Interest Cover]] &lt; P$826, 3, IF( tblFilterAll[[#This Row],[EBITDA MRI Interest Cover]] &lt; P$827, 2, 1 ) ) )</f>
        <v>1</v>
      </c>
      <c r="R985" s="35">
        <f xml:space="preserve"> COUNTIFS( tblFilterAll[Include in output], 1, tblFilterAll[EBITDA MRI Interest Cover], "&gt;" &amp; tblFilterAll[[#This Row],[EBITDA MRI Interest Cover]] ) + 1</f>
        <v>6</v>
      </c>
      <c r="S985" s="32" cm="1">
        <f t="array" ref="S985" xml:space="preserve"> INDEX( VfM_Metrics_2023_Consol_Source[], $AK985, S$832 )</f>
        <v>4210.1827676240209</v>
      </c>
      <c r="T985" s="35">
        <f xml:space="preserve"> IF( tblFilterAll[[#This Row],[Headline Social Housing Cost per unit]] &lt; S$825, 4, IF( tblFilterAll[[#This Row],[Headline Social Housing Cost per unit]] &lt; S$826, 3, IF( tblFilterAll[[#This Row],[Headline Social Housing Cost per unit]] &lt; S$827, 2, 1 ) ) )</f>
        <v>3</v>
      </c>
      <c r="U985" s="35">
        <f xml:space="preserve"> COUNTIFS( tblFilterAll[Include in output], 1, tblFilterAll[Headline Social Housing Cost per unit], "&gt;" &amp; tblFilterAll[[#This Row],[Headline Social Housing Cost per unit]] ) + 1</f>
        <v>136</v>
      </c>
      <c r="V985" s="30" cm="1">
        <f t="array" ref="V985" xml:space="preserve"> INDEX( VfM_Metrics_2023_Consol_Source[], $AK985, V$832 )</f>
        <v>0.23110890597866535</v>
      </c>
      <c r="W985" s="35">
        <f xml:space="preserve"> IF( tblFilterAll[[#This Row],[Operating Margin (SHL)]] &lt; V$825, 4, IF( tblFilterAll[[#This Row],[Operating Margin (SHL)]] &lt; V$826, 3, IF( tblFilterAll[[#This Row],[Operating Margin (SHL)]] &lt; V$827, 2, 1 ) ) )</f>
        <v>2</v>
      </c>
      <c r="X985" s="35">
        <f xml:space="preserve"> COUNTIFS( tblFilterAll[Include in output], 1, tblFilterAll[Operating Margin (SHL)], "&gt;" &amp; tblFilterAll[[#This Row],[Operating Margin (SHL)]] ) + 1</f>
        <v>72</v>
      </c>
      <c r="Y985" s="30" cm="1">
        <f t="array" ref="Y985" xml:space="preserve"> INDEX( VfM_Metrics_2023_Consol_Source[], $AK985, Y$832 )</f>
        <v>0.20038864401156453</v>
      </c>
      <c r="Z985" s="35">
        <f xml:space="preserve"> IF( tblFilterAll[[#This Row],[Operating Margin (Overall)]] &lt; Y$825, 4, IF( tblFilterAll[[#This Row],[Operating Margin (Overall)]] &lt; Y$826, 3, IF( tblFilterAll[[#This Row],[Operating Margin (Overall)]] &lt; Y$827, 2, 1 ) ) )</f>
        <v>2</v>
      </c>
      <c r="AA985" s="35">
        <f xml:space="preserve"> COUNTIFS( tblFilterAll[Include in output], 1, tblFilterAll[Operating Margin (Overall)], "&gt;" &amp; tblFilterAll[[#This Row],[Operating Margin (Overall)]] ) + 1</f>
        <v>83</v>
      </c>
      <c r="AB985" s="30" cm="1">
        <f t="array" ref="AB985" xml:space="preserve"> INDEX( VfM_Metrics_2023_Consol_Source[], $AK985, AB$832 )</f>
        <v>4.6379875850478439E-2</v>
      </c>
      <c r="AC985" s="35">
        <f xml:space="preserve"> IF( tblFilterAll[[#This Row],[ROCE]] &lt; AB$825, 4, IF( tblFilterAll[[#This Row],[ROCE]] &lt; AB$826, 3, IF( tblFilterAll[[#This Row],[ROCE]] &lt; AB$827, 2, 1 ) ) )</f>
        <v>1</v>
      </c>
      <c r="AD985" s="35">
        <f xml:space="preserve"> COUNTIFS( tblFilterAll[Include in output], 1, tblFilterAll[ROCE], "&gt;" &amp; tblFilterAll[[#This Row],[ROCE]] ) + 1</f>
        <v>11</v>
      </c>
      <c r="AE985" s="33" cm="1" vm="4413">
        <f t="array" ref="AE985" xml:space="preserve"> INDEX( VfM_Metrics_2023_Consol_Source[], $AK985, AE$832 )</f>
        <v>3830</v>
      </c>
      <c r="AF985" s="30" cm="1">
        <f t="array" ref="AF985" xml:space="preserve"> INDEX( VfM_Metrics_2023_Consol_Source[], $AK985, AF$832 )</f>
        <v>7.8308535630383712E-4</v>
      </c>
      <c r="AG985" s="30" cm="1">
        <f t="array" ref="AG985" xml:space="preserve"> INDEX( VfM_Metrics_2023_Consol_Source[], $AK985, AG$832 )</f>
        <v>3.0801357347950926E-2</v>
      </c>
      <c r="AH985" s="30" cm="1">
        <f t="array" ref="AH985" xml:space="preserve"> INDEX( VfM_Metrics_2023_Consol_Source[], $AK985, AH$832 )</f>
        <v>3.1584442704254763E-2</v>
      </c>
      <c r="AI985" s="30" t="str" cm="1">
        <f t="array" ref="AI985" xml:space="preserve"> INDEX( VfM_Metrics_2023_Consol_Source[], $AK985, AI$832 )</f>
        <v>Traditional</v>
      </c>
      <c r="AJ985" s="34" t="str" cm="1">
        <f t="array" ref="AJ985" xml:space="preserve"> INDEX( VfM_Metrics_2023_Consol_Source[], $AK985, AJ$832 )</f>
        <v>North West</v>
      </c>
      <c r="AK985" s="81">
        <f xml:space="preserve"> MATCH( tblFilterAll[[#This Row],[Code]], VfM_Metrics_2023_Consol_Source[RP_Code], 0 )</f>
        <v>152</v>
      </c>
      <c r="AL985" s="24">
        <f xml:space="preserve"> INDEX( tblFilterRegion[Include for region],  MATCH( tblFilterAll[[#This Row],[Code]], tblFilterRegion[RP_Code], 0 ) )</f>
        <v>1</v>
      </c>
      <c r="AM985" s="24">
        <f xml:space="preserve"> INDEX( tblFilterPropType[Incl for prop type],  MATCH( tblFilterAll[[#This Row],[Code]], tblFilterPropType[RP_Code], 0 ) )</f>
        <v>1</v>
      </c>
      <c r="AN985" s="24">
        <f xml:space="preserve"> INDEX( tblFilterSize[Incl for size],  MATCH( tblFilterAll[[#This Row],[Code]], tblFilterSize[RP_Code], 0 ) )</f>
        <v>1</v>
      </c>
      <c r="AO985" s="24">
        <f xml:space="preserve"> INDEX( tblFilterRP_Type[Incl, for RP Type],  MATCH( tblFilterAll[[#This Row],[Code]], tblFilterRP_Type[RP_Code], 0 ) )</f>
        <v>1</v>
      </c>
      <c r="AP985" s="24">
        <f xml:space="preserve">  -- ( SUM( tblFilterAll[[#This Row],[Filter Region]:[Filter RP Type]] ) = 4 )</f>
        <v>1</v>
      </c>
      <c r="AQ985" s="24">
        <f xml:space="preserve"> -- ( tblFilterAll[[#This Row],[Provider name]] = SelectedProvider )</f>
        <v>0</v>
      </c>
      <c r="AR985" s="24">
        <f xml:space="preserve">  -- ( OR( SUM( tblFilterAll[[#This Row],[Filter Region]:[Filter RP Type]] ) = 4, tblFilterAll[[#This Row],[SelectedProvider]] = 1 ) )</f>
        <v>1</v>
      </c>
      <c r="AS985" s="24">
        <f xml:space="preserve"> -- ( INDEX( PeersCritera[Included in final peers], MATCH( tblFilterAll[[#This Row],[Provider name]], PeersCritera[RP_Name], 0 ) ) = 1 )</f>
        <v>1</v>
      </c>
      <c r="AT985" s="30" t="str" cm="1">
        <f t="array" ref="AT985" xml:space="preserve"> SUBSTITUTE( INDEX( VfM_Metrics_2023_Consol_Source[], $AK985, AT$832 ), 0, "" )</f>
        <v>&gt;= 12 years</v>
      </c>
      <c r="AU985" s="34" cm="1">
        <f t="array" ref="AU985" xml:space="preserve"> INDEX( VfM_Metrics_2023_Consol_Source[], $AK985, AU$832 )</f>
        <v>0</v>
      </c>
      <c r="AV985" s="34" cm="1">
        <f t="array" ref="AV985" xml:space="preserve"> INDEX( VfM_Metrics_2023_Consol_Source[], $AK985, AV$832 )</f>
        <v>0</v>
      </c>
      <c r="AW985" s="34" cm="1">
        <f t="array" ref="AW985" xml:space="preserve"> INDEX( VfM_Metrics_2023_Consol_Source[], $AK985, AW$832 )</f>
        <v>0</v>
      </c>
      <c r="AX985" s="34" cm="1">
        <f t="array" ref="AX985" xml:space="preserve"> INDEX( VfM_Metrics_2023_Consol_Source[], $AK985, AX$832 )</f>
        <v>0</v>
      </c>
      <c r="AY985" s="34" cm="1">
        <f t="array" ref="AY985" xml:space="preserve"> INDEX( VfM_Metrics_2023_Consol_Source[], $AK985, AY$832 )</f>
        <v>0</v>
      </c>
      <c r="AZ985" s="34" cm="1">
        <f t="array" ref="AZ985" xml:space="preserve"> INDEX( VfM_Metrics_2023_Consol_Source[], $AK985, AZ$832 )</f>
        <v>0</v>
      </c>
      <c r="BA985" s="34" cm="1">
        <f t="array" ref="BA985" xml:space="preserve"> INDEX( VfM_Metrics_2023_Consol_Source[], $AK985, BA$832 )</f>
        <v>0</v>
      </c>
      <c r="BB985" s="34" cm="1">
        <f t="array" ref="BB985" xml:space="preserve"> INDEX( VfM_Metrics_2023_Consol_Source[], $AK985, BB$832 )</f>
        <v>1</v>
      </c>
      <c r="BC985" s="34" cm="1">
        <f t="array" ref="BC985" xml:space="preserve"> INDEX( VfM_Metrics_2023_Consol_Source[], $AK985, BC$832 )</f>
        <v>0</v>
      </c>
    </row>
    <row r="986" spans="2:55" x14ac:dyDescent="0.2">
      <c r="B986" s="122" t="str" vm="153">
        <f t="shared" ref="B986" si="491" xml:space="preserve"> B776</f>
        <v>South Yorkshire Housing Association Limited</v>
      </c>
      <c r="C986" s="122" t="str" vm="354">
        <f t="shared" si="467"/>
        <v>L0078</v>
      </c>
      <c r="D986" s="30" cm="1">
        <f t="array" ref="D986" xml:space="preserve"> INDEX( VfM_Metrics_2023_Consol_Source[], $AK986, D$832 )</f>
        <v>2.6797275599523489E-2</v>
      </c>
      <c r="E986" s="35">
        <f xml:space="preserve"> IF( tblFilterAll[[#This Row],[Reinvestment]] &lt; D$825, 4, IF( tblFilterAll[[#This Row],[Reinvestment]] &lt; D$826, 3, IF( tblFilterAll[[#This Row],[Reinvestment]] &lt; D$827, 2, 1 ) ) )</f>
        <v>4</v>
      </c>
      <c r="F986" s="35">
        <f xml:space="preserve"> COUNTIFS( tblFilterAll[Include in output], 1, tblFilterAll[Reinvestment], "&gt;" &amp; tblFilterAll[[#This Row],[Reinvestment]] ) + 1</f>
        <v>181</v>
      </c>
      <c r="G986" s="30" cm="1">
        <f t="array" ref="G986" xml:space="preserve"> INDEX( VfM_Metrics_2023_Consol_Source[], $AK986, G$832 )</f>
        <v>2.9417172274315132E-3</v>
      </c>
      <c r="H986" s="35">
        <f xml:space="preserve"> IF( tblFilterAll[[#This Row],[New Supply (Social)]] &lt; G$825, 4, IF( tblFilterAll[[#This Row],[New Supply (Social)]] &lt; G$826, 3, IF( tblFilterAll[[#This Row],[New Supply (Social)]] &lt; G$827, 2, 1 ) ) )</f>
        <v>4</v>
      </c>
      <c r="I986" s="35">
        <f xml:space="preserve"> COUNTIFS( tblFilterAll[Include in output], 1, tblFilterAll[New Supply (Social)], "&gt;" &amp; tblFilterAll[[#This Row],[New Supply (Social)]] ) + 1</f>
        <v>170</v>
      </c>
      <c r="J986" s="31" cm="1">
        <f t="array" ref="J986" xml:space="preserve"> INDEX( VfM_Metrics_2023_Consol_Source[], $AK986, J$832 )</f>
        <v>0</v>
      </c>
      <c r="K986" s="35">
        <f xml:space="preserve"> IF( tblFilterAll[[#This Row],[New Supply (Non-Social)]] &lt; J$825, 4, IF( tblFilterAll[[#This Row],[New Supply (Non-Social)]] &lt; J$826, 3, IF( tblFilterAll[[#This Row],[New Supply (Non-Social)]] &lt; J$827, 2, 1 ) ) )</f>
        <v>2</v>
      </c>
      <c r="L986" s="35">
        <f xml:space="preserve"> COUNTIFS( tblFilterAll[Include in output], 1, tblFilterAll[New Supply (Non-Social)], "&gt;" &amp; tblFilterAll[[#This Row],[New Supply (Non-Social)]] ) + 1</f>
        <v>72</v>
      </c>
      <c r="M986" s="30" cm="1">
        <f t="array" ref="M986" xml:space="preserve"> INDEX( VfM_Metrics_2023_Consol_Source[], $AK986, M$832 )</f>
        <v>0.44662881338374683</v>
      </c>
      <c r="N986" s="35">
        <f xml:space="preserve"> IF( tblFilterAll[[#This Row],[Gearing]] &lt; M$825, 4, IF( tblFilterAll[[#This Row],[Gearing]] &lt; M$826, 3, IF( tblFilterAll[[#This Row],[Gearing]] &lt; M$827, 2, 1 ) ) )</f>
        <v>3</v>
      </c>
      <c r="O986" s="35">
        <f xml:space="preserve"> COUNTIFS( tblFilterAll[Include in output], 1, tblFilterAll[Gearing], "&gt;" &amp; tblFilterAll[[#This Row],[Gearing]] ) + 1</f>
        <v>105</v>
      </c>
      <c r="P986" s="30" cm="1">
        <f t="array" ref="P986" xml:space="preserve"> INDEX( VfM_Metrics_2023_Consol_Source[], $AK986, P$832 )</f>
        <v>0.95112781954887216</v>
      </c>
      <c r="Q986" s="35">
        <f xml:space="preserve"> IF( tblFilterAll[[#This Row],[EBITDA MRI Interest Cover]] &lt; P$825, 4, IF( tblFilterAll[[#This Row],[EBITDA MRI Interest Cover]] &lt; P$826, 3, IF( tblFilterAll[[#This Row],[EBITDA MRI Interest Cover]] &lt; P$827, 2, 1 ) ) )</f>
        <v>3</v>
      </c>
      <c r="R986" s="35">
        <f xml:space="preserve"> COUNTIFS( tblFilterAll[Include in output], 1, tblFilterAll[EBITDA MRI Interest Cover], "&gt;" &amp; tblFilterAll[[#This Row],[EBITDA MRI Interest Cover]] ) + 1</f>
        <v>142</v>
      </c>
      <c r="S986" s="32" cm="1">
        <f t="array" ref="S986" xml:space="preserve"> INDEX( VfM_Metrics_2023_Consol_Source[], $AK986, S$832 )</f>
        <v>5477.691740412979</v>
      </c>
      <c r="T986" s="35">
        <f xml:space="preserve"> IF( tblFilterAll[[#This Row],[Headline Social Housing Cost per unit]] &lt; S$825, 4, IF( tblFilterAll[[#This Row],[Headline Social Housing Cost per unit]] &lt; S$826, 3, IF( tblFilterAll[[#This Row],[Headline Social Housing Cost per unit]] &lt; S$827, 2, 1 ) ) )</f>
        <v>2</v>
      </c>
      <c r="U986" s="35">
        <f xml:space="preserve"> COUNTIFS( tblFilterAll[Include in output], 1, tblFilterAll[Headline Social Housing Cost per unit], "&gt;" &amp; tblFilterAll[[#This Row],[Headline Social Housing Cost per unit]] ) + 1</f>
        <v>58</v>
      </c>
      <c r="V986" s="30" cm="1">
        <f t="array" ref="V986" xml:space="preserve"> INDEX( VfM_Metrics_2023_Consol_Source[], $AK986, V$832 )</f>
        <v>0.134988387420752</v>
      </c>
      <c r="W986" s="35">
        <f xml:space="preserve"> IF( tblFilterAll[[#This Row],[Operating Margin (SHL)]] &lt; V$825, 4, IF( tblFilterAll[[#This Row],[Operating Margin (SHL)]] &lt; V$826, 3, IF( tblFilterAll[[#This Row],[Operating Margin (SHL)]] &lt; V$827, 2, 1 ) ) )</f>
        <v>4</v>
      </c>
      <c r="X986" s="35">
        <f xml:space="preserve"> COUNTIFS( tblFilterAll[Include in output], 1, tblFilterAll[Operating Margin (SHL)], "&gt;" &amp; tblFilterAll[[#This Row],[Operating Margin (SHL)]] ) + 1</f>
        <v>155</v>
      </c>
      <c r="Y986" s="30" cm="1">
        <f t="array" ref="Y986" xml:space="preserve"> INDEX( VfM_Metrics_2023_Consol_Source[], $AK986, Y$832 )</f>
        <v>0.10450290669031431</v>
      </c>
      <c r="Z986" s="35">
        <f xml:space="preserve"> IF( tblFilterAll[[#This Row],[Operating Margin (Overall)]] &lt; Y$825, 4, IF( tblFilterAll[[#This Row],[Operating Margin (Overall)]] &lt; Y$826, 3, IF( tblFilterAll[[#This Row],[Operating Margin (Overall)]] &lt; Y$827, 2, 1 ) ) )</f>
        <v>4</v>
      </c>
      <c r="AA986" s="35">
        <f xml:space="preserve"> COUNTIFS( tblFilterAll[Include in output], 1, tblFilterAll[Operating Margin (Overall)], "&gt;" &amp; tblFilterAll[[#This Row],[Operating Margin (Overall)]] ) + 1</f>
        <v>159</v>
      </c>
      <c r="AB986" s="30" cm="1">
        <f t="array" ref="AB986" xml:space="preserve"> INDEX( VfM_Metrics_2023_Consol_Source[], $AK986, AB$832 )</f>
        <v>3.2310234971442753E-2</v>
      </c>
      <c r="AC986" s="35">
        <f xml:space="preserve"> IF( tblFilterAll[[#This Row],[ROCE]] &lt; AB$825, 4, IF( tblFilterAll[[#This Row],[ROCE]] &lt; AB$826, 3, IF( tblFilterAll[[#This Row],[ROCE]] &lt; AB$827, 2, 1 ) ) )</f>
        <v>2</v>
      </c>
      <c r="AD986" s="35">
        <f xml:space="preserve"> COUNTIFS( tblFilterAll[Include in output], 1, tblFilterAll[ROCE], "&gt;" &amp; tblFilterAll[[#This Row],[ROCE]] ) + 1</f>
        <v>69</v>
      </c>
      <c r="AE986" s="33" cm="1" vm="5238">
        <f t="array" ref="AE986" xml:space="preserve"> INDEX( VfM_Metrics_2023_Consol_Source[], $AK986, AE$832 )</f>
        <v>5386</v>
      </c>
      <c r="AF986" s="30" cm="1">
        <f t="array" ref="AF986" xml:space="preserve"> INDEX( VfM_Metrics_2023_Consol_Source[], $AK986, AF$832 )</f>
        <v>0.18340449229626879</v>
      </c>
      <c r="AG986" s="30" cm="1">
        <f t="array" ref="AG986" xml:space="preserve"> INDEX( VfM_Metrics_2023_Consol_Source[], $AK986, AG$832 )</f>
        <v>5.810284017078151E-2</v>
      </c>
      <c r="AH986" s="30" cm="1">
        <f t="array" ref="AH986" xml:space="preserve"> INDEX( VfM_Metrics_2023_Consol_Source[], $AK986, AH$832 )</f>
        <v>0.24150733246705031</v>
      </c>
      <c r="AI986" s="30" t="str" cm="1">
        <f t="array" ref="AI986" xml:space="preserve"> INDEX( VfM_Metrics_2023_Consol_Source[], $AK986, AI$832 )</f>
        <v>Traditional</v>
      </c>
      <c r="AJ986" s="34" t="str" cm="1">
        <f t="array" ref="AJ986" xml:space="preserve"> INDEX( VfM_Metrics_2023_Consol_Source[], $AK986, AJ$832 )</f>
        <v>Yorkshire &amp; the Humber</v>
      </c>
      <c r="AK986" s="81">
        <f xml:space="preserve"> MATCH( tblFilterAll[[#This Row],[Code]], VfM_Metrics_2023_Consol_Source[RP_Code], 0 )</f>
        <v>153</v>
      </c>
      <c r="AL986" s="24">
        <f xml:space="preserve"> INDEX( tblFilterRegion[Include for region],  MATCH( tblFilterAll[[#This Row],[Code]], tblFilterRegion[RP_Code], 0 ) )</f>
        <v>1</v>
      </c>
      <c r="AM986" s="24">
        <f xml:space="preserve"> INDEX( tblFilterPropType[Incl for prop type],  MATCH( tblFilterAll[[#This Row],[Code]], tblFilterPropType[RP_Code], 0 ) )</f>
        <v>1</v>
      </c>
      <c r="AN986" s="24">
        <f xml:space="preserve"> INDEX( tblFilterSize[Incl for size],  MATCH( tblFilterAll[[#This Row],[Code]], tblFilterSize[RP_Code], 0 ) )</f>
        <v>1</v>
      </c>
      <c r="AO986" s="24">
        <f xml:space="preserve"> INDEX( tblFilterRP_Type[Incl, for RP Type],  MATCH( tblFilterAll[[#This Row],[Code]], tblFilterRP_Type[RP_Code], 0 ) )</f>
        <v>1</v>
      </c>
      <c r="AP986" s="24">
        <f xml:space="preserve">  -- ( SUM( tblFilterAll[[#This Row],[Filter Region]:[Filter RP Type]] ) = 4 )</f>
        <v>1</v>
      </c>
      <c r="AQ986" s="24">
        <f xml:space="preserve"> -- ( tblFilterAll[[#This Row],[Provider name]] = SelectedProvider )</f>
        <v>0</v>
      </c>
      <c r="AR986" s="24">
        <f xml:space="preserve">  -- ( OR( SUM( tblFilterAll[[#This Row],[Filter Region]:[Filter RP Type]] ) = 4, tblFilterAll[[#This Row],[SelectedProvider]] = 1 ) )</f>
        <v>1</v>
      </c>
      <c r="AS986" s="24">
        <f xml:space="preserve"> -- ( INDEX( PeersCritera[Included in final peers], MATCH( tblFilterAll[[#This Row],[Provider name]], PeersCritera[RP_Name], 0 ) ) = 1 )</f>
        <v>1</v>
      </c>
      <c r="AT986" s="30" t="str" cm="1">
        <f t="array" ref="AT986" xml:space="preserve"> SUBSTITUTE( INDEX( VfM_Metrics_2023_Consol_Source[], $AK986, AT$832 ), 0, "" )</f>
        <v/>
      </c>
      <c r="AU986" s="34" cm="1">
        <f t="array" ref="AU986" xml:space="preserve"> INDEX( VfM_Metrics_2023_Consol_Source[], $AK986, AU$832 )</f>
        <v>0</v>
      </c>
      <c r="AV986" s="34" cm="1">
        <f t="array" ref="AV986" xml:space="preserve"> INDEX( VfM_Metrics_2023_Consol_Source[], $AK986, AV$832 )</f>
        <v>0</v>
      </c>
      <c r="AW986" s="34" cm="1">
        <f t="array" ref="AW986" xml:space="preserve"> INDEX( VfM_Metrics_2023_Consol_Source[], $AK986, AW$832 )</f>
        <v>0</v>
      </c>
      <c r="AX986" s="34" cm="1">
        <f t="array" ref="AX986" xml:space="preserve"> INDEX( VfM_Metrics_2023_Consol_Source[], $AK986, AX$832 )</f>
        <v>0.11991034740381024</v>
      </c>
      <c r="AY986" s="34" cm="1">
        <f t="array" ref="AY986" xml:space="preserve"> INDEX( VfM_Metrics_2023_Consol_Source[], $AK986, AY$832 )</f>
        <v>0</v>
      </c>
      <c r="AZ986" s="34" cm="1">
        <f t="array" ref="AZ986" xml:space="preserve"> INDEX( VfM_Metrics_2023_Consol_Source[], $AK986, AZ$832 )</f>
        <v>0</v>
      </c>
      <c r="BA986" s="34" cm="1">
        <f t="array" ref="BA986" xml:space="preserve"> INDEX( VfM_Metrics_2023_Consol_Source[], $AK986, BA$832 )</f>
        <v>0</v>
      </c>
      <c r="BB986" s="34" cm="1">
        <f t="array" ref="BB986" xml:space="preserve"> INDEX( VfM_Metrics_2023_Consol_Source[], $AK986, BB$832 )</f>
        <v>0</v>
      </c>
      <c r="BC986" s="34" cm="1">
        <f t="array" ref="BC986" xml:space="preserve"> INDEX( VfM_Metrics_2023_Consol_Source[], $AK986, BC$832 )</f>
        <v>0.88008965259618976</v>
      </c>
    </row>
    <row r="987" spans="2:55" x14ac:dyDescent="0.2">
      <c r="B987" s="122" t="str" vm="154">
        <f t="shared" ref="B987" si="492" xml:space="preserve"> B777</f>
        <v>Southern Housing</v>
      </c>
      <c r="C987" s="122" t="str" vm="244">
        <f t="shared" si="467"/>
        <v>5171</v>
      </c>
      <c r="D987" s="30" cm="1">
        <f t="array" ref="D987" xml:space="preserve"> INDEX( VfM_Metrics_2023_Consol_Source[], $AK987, D$832 )</f>
        <v>5.663055142095607E-2</v>
      </c>
      <c r="E987" s="35">
        <f xml:space="preserve"> IF( tblFilterAll[[#This Row],[Reinvestment]] &lt; D$825, 4, IF( tblFilterAll[[#This Row],[Reinvestment]] &lt; D$826, 3, IF( tblFilterAll[[#This Row],[Reinvestment]] &lt; D$827, 2, 1 ) ) )</f>
        <v>3</v>
      </c>
      <c r="F987" s="35">
        <f xml:space="preserve"> COUNTIFS( tblFilterAll[Include in output], 1, tblFilterAll[Reinvestment], "&gt;" &amp; tblFilterAll[[#This Row],[Reinvestment]] ) + 1</f>
        <v>130</v>
      </c>
      <c r="G987" s="30" cm="1">
        <f t="array" ref="G987" xml:space="preserve"> INDEX( VfM_Metrics_2023_Consol_Source[], $AK987, G$832 )</f>
        <v>2.2352168199737187E-2</v>
      </c>
      <c r="H987" s="35">
        <f xml:space="preserve"> IF( tblFilterAll[[#This Row],[New Supply (Social)]] &lt; G$825, 4, IF( tblFilterAll[[#This Row],[New Supply (Social)]] &lt; G$826, 3, IF( tblFilterAll[[#This Row],[New Supply (Social)]] &lt; G$827, 2, 1 ) ) )</f>
        <v>1</v>
      </c>
      <c r="I987" s="35">
        <f xml:space="preserve"> COUNTIFS( tblFilterAll[Include in output], 1, tblFilterAll[New Supply (Social)], "&gt;" &amp; tblFilterAll[[#This Row],[New Supply (Social)]] ) + 1</f>
        <v>49</v>
      </c>
      <c r="J987" s="31" cm="1">
        <f t="array" ref="J987" xml:space="preserve"> INDEX( VfM_Metrics_2023_Consol_Source[], $AK987, J$832 )</f>
        <v>7.2998309512832332E-4</v>
      </c>
      <c r="K987" s="35">
        <f xml:space="preserve"> IF( tblFilterAll[[#This Row],[New Supply (Non-Social)]] &lt; J$825, 4, IF( tblFilterAll[[#This Row],[New Supply (Non-Social)]] &lt; J$826, 3, IF( tblFilterAll[[#This Row],[New Supply (Non-Social)]] &lt; J$827, 2, 1 ) ) )</f>
        <v>2</v>
      </c>
      <c r="L987" s="35">
        <f xml:space="preserve"> COUNTIFS( tblFilterAll[Include in output], 1, tblFilterAll[New Supply (Non-Social)], "&gt;" &amp; tblFilterAll[[#This Row],[New Supply (Non-Social)]] ) + 1</f>
        <v>52</v>
      </c>
      <c r="M987" s="30" cm="1">
        <f t="array" ref="M987" xml:space="preserve"> INDEX( VfM_Metrics_2023_Consol_Source[], $AK987, M$832 )</f>
        <v>0.47827892969642427</v>
      </c>
      <c r="N987" s="35">
        <f xml:space="preserve"> IF( tblFilterAll[[#This Row],[Gearing]] &lt; M$825, 4, IF( tblFilterAll[[#This Row],[Gearing]] &lt; M$826, 3, IF( tblFilterAll[[#This Row],[Gearing]] &lt; M$827, 2, 1 ) ) )</f>
        <v>2</v>
      </c>
      <c r="O987" s="35">
        <f xml:space="preserve"> COUNTIFS( tblFilterAll[Include in output], 1, tblFilterAll[Gearing], "&gt;" &amp; tblFilterAll[[#This Row],[Gearing]] ) + 1</f>
        <v>82</v>
      </c>
      <c r="P987" s="30" cm="1">
        <f t="array" ref="P987" xml:space="preserve"> INDEX( VfM_Metrics_2023_Consol_Source[], $AK987, P$832 )</f>
        <v>0.74243663123466885</v>
      </c>
      <c r="Q987" s="35">
        <f xml:space="preserve"> IF( tblFilterAll[[#This Row],[EBITDA MRI Interest Cover]] &lt; P$825, 4, IF( tblFilterAll[[#This Row],[EBITDA MRI Interest Cover]] &lt; P$826, 3, IF( tblFilterAll[[#This Row],[EBITDA MRI Interest Cover]] &lt; P$827, 2, 1 ) ) )</f>
        <v>4</v>
      </c>
      <c r="R987" s="35">
        <f xml:space="preserve"> COUNTIFS( tblFilterAll[Include in output], 1, tblFilterAll[EBITDA MRI Interest Cover], "&gt;" &amp; tblFilterAll[[#This Row],[EBITDA MRI Interest Cover]] ) + 1</f>
        <v>156</v>
      </c>
      <c r="S987" s="32" cm="1">
        <f t="array" ref="S987" xml:space="preserve"> INDEX( VfM_Metrics_2023_Consol_Source[], $AK987, S$832 )</f>
        <v>5867.8772964487252</v>
      </c>
      <c r="T987" s="35">
        <f xml:space="preserve"> IF( tblFilterAll[[#This Row],[Headline Social Housing Cost per unit]] &lt; S$825, 4, IF( tblFilterAll[[#This Row],[Headline Social Housing Cost per unit]] &lt; S$826, 3, IF( tblFilterAll[[#This Row],[Headline Social Housing Cost per unit]] &lt; S$827, 2, 1 ) ) )</f>
        <v>1</v>
      </c>
      <c r="U987" s="35">
        <f xml:space="preserve"> COUNTIFS( tblFilterAll[Include in output], 1, tblFilterAll[Headline Social Housing Cost per unit], "&gt;" &amp; tblFilterAll[[#This Row],[Headline Social Housing Cost per unit]] ) + 1</f>
        <v>49</v>
      </c>
      <c r="V987" s="30" cm="1">
        <f t="array" ref="V987" xml:space="preserve"> INDEX( VfM_Metrics_2023_Consol_Source[], $AK987, V$832 )</f>
        <v>0.18644772396591144</v>
      </c>
      <c r="W987" s="35">
        <f xml:space="preserve"> IF( tblFilterAll[[#This Row],[Operating Margin (SHL)]] &lt; V$825, 4, IF( tblFilterAll[[#This Row],[Operating Margin (SHL)]] &lt; V$826, 3, IF( tblFilterAll[[#This Row],[Operating Margin (SHL)]] &lt; V$827, 2, 1 ) ) )</f>
        <v>3</v>
      </c>
      <c r="X987" s="35">
        <f xml:space="preserve"> COUNTIFS( tblFilterAll[Include in output], 1, tblFilterAll[Operating Margin (SHL)], "&gt;" &amp; tblFilterAll[[#This Row],[Operating Margin (SHL)]] ) + 1</f>
        <v>113</v>
      </c>
      <c r="Y987" s="30" cm="1">
        <f t="array" ref="Y987" xml:space="preserve"> INDEX( VfM_Metrics_2023_Consol_Source[], $AK987, Y$832 )</f>
        <v>0.13903160516892418</v>
      </c>
      <c r="Z987" s="35">
        <f xml:space="preserve"> IF( tblFilterAll[[#This Row],[Operating Margin (Overall)]] &lt; Y$825, 4, IF( tblFilterAll[[#This Row],[Operating Margin (Overall)]] &lt; Y$826, 3, IF( tblFilterAll[[#This Row],[Operating Margin (Overall)]] &lt; Y$827, 2, 1 ) ) )</f>
        <v>3</v>
      </c>
      <c r="AA987" s="35">
        <f xml:space="preserve"> COUNTIFS( tblFilterAll[Include in output], 1, tblFilterAll[Operating Margin (Overall)], "&gt;" &amp; tblFilterAll[[#This Row],[Operating Margin (Overall)]] ) + 1</f>
        <v>139</v>
      </c>
      <c r="AB987" s="30" cm="1">
        <f t="array" ref="AB987" xml:space="preserve"> INDEX( VfM_Metrics_2023_Consol_Source[], $AK987, AB$832 )</f>
        <v>2.2235225277940317E-2</v>
      </c>
      <c r="AC987" s="35">
        <f xml:space="preserve"> IF( tblFilterAll[[#This Row],[ROCE]] &lt; AB$825, 4, IF( tblFilterAll[[#This Row],[ROCE]] &lt; AB$826, 3, IF( tblFilterAll[[#This Row],[ROCE]] &lt; AB$827, 2, 1 ) ) )</f>
        <v>3</v>
      </c>
      <c r="AD987" s="35">
        <f xml:space="preserve"> COUNTIFS( tblFilterAll[Include in output], 1, tblFilterAll[ROCE], "&gt;" &amp; tblFilterAll[[#This Row],[ROCE]] ) + 1</f>
        <v>146</v>
      </c>
      <c r="AE987" s="33" cm="1" vm="1660">
        <f t="array" ref="AE987" xml:space="preserve"> INDEX( VfM_Metrics_2023_Consol_Source[], $AK987, AE$832 )</f>
        <v>70031</v>
      </c>
      <c r="AF987" s="30" cm="1">
        <f t="array" ref="AF987" xml:space="preserve"> INDEX( VfM_Metrics_2023_Consol_Source[], $AK987, AF$832 )</f>
        <v>2.4066157172804251E-2</v>
      </c>
      <c r="AG987" s="30" cm="1">
        <f t="array" ref="AG987" xml:space="preserve"> INDEX( VfM_Metrics_2023_Consol_Source[], $AK987, AG$832 )</f>
        <v>9.4614000627238667E-2</v>
      </c>
      <c r="AH987" s="30" cm="1">
        <f t="array" ref="AH987" xml:space="preserve"> INDEX( VfM_Metrics_2023_Consol_Source[], $AK987, AH$832 )</f>
        <v>0.11868015780004292</v>
      </c>
      <c r="AI987" s="30" t="str" cm="1">
        <f t="array" ref="AI987" xml:space="preserve"> INDEX( VfM_Metrics_2023_Consol_Source[], $AK987, AI$832 )</f>
        <v>Traditional</v>
      </c>
      <c r="AJ987" s="34" t="str" cm="1">
        <f t="array" ref="AJ987" xml:space="preserve"> INDEX( VfM_Metrics_2023_Consol_Source[], $AK987, AJ$832 )</f>
        <v>South East</v>
      </c>
      <c r="AK987" s="81">
        <f xml:space="preserve"> MATCH( tblFilterAll[[#This Row],[Code]], VfM_Metrics_2023_Consol_Source[RP_Code], 0 )</f>
        <v>154</v>
      </c>
      <c r="AL987" s="24">
        <f xml:space="preserve"> INDEX( tblFilterRegion[Include for region],  MATCH( tblFilterAll[[#This Row],[Code]], tblFilterRegion[RP_Code], 0 ) )</f>
        <v>1</v>
      </c>
      <c r="AM987" s="24">
        <f xml:space="preserve"> INDEX( tblFilterPropType[Incl for prop type],  MATCH( tblFilterAll[[#This Row],[Code]], tblFilterPropType[RP_Code], 0 ) )</f>
        <v>1</v>
      </c>
      <c r="AN987" s="24">
        <f xml:space="preserve"> INDEX( tblFilterSize[Incl for size],  MATCH( tblFilterAll[[#This Row],[Code]], tblFilterSize[RP_Code], 0 ) )</f>
        <v>1</v>
      </c>
      <c r="AO987" s="24">
        <f xml:space="preserve"> INDEX( tblFilterRP_Type[Incl, for RP Type],  MATCH( tblFilterAll[[#This Row],[Code]], tblFilterRP_Type[RP_Code], 0 ) )</f>
        <v>1</v>
      </c>
      <c r="AP987" s="24">
        <f xml:space="preserve">  -- ( SUM( tblFilterAll[[#This Row],[Filter Region]:[Filter RP Type]] ) = 4 )</f>
        <v>1</v>
      </c>
      <c r="AQ987" s="24">
        <f xml:space="preserve"> -- ( tblFilterAll[[#This Row],[Provider name]] = SelectedProvider )</f>
        <v>0</v>
      </c>
      <c r="AR987" s="24">
        <f xml:space="preserve">  -- ( OR( SUM( tblFilterAll[[#This Row],[Filter Region]:[Filter RP Type]] ) = 4, tblFilterAll[[#This Row],[SelectedProvider]] = 1 ) )</f>
        <v>1</v>
      </c>
      <c r="AS987" s="24">
        <f xml:space="preserve"> -- ( INDEX( PeersCritera[Included in final peers], MATCH( tblFilterAll[[#This Row],[Provider name]], PeersCritera[RP_Name], 0 ) ) = 1 )</f>
        <v>1</v>
      </c>
      <c r="AT987" s="30" t="str" cm="1">
        <f t="array" ref="AT987" xml:space="preserve"> SUBSTITUTE( INDEX( VfM_Metrics_2023_Consol_Source[], $AK987, AT$832 ), 0, "" )</f>
        <v/>
      </c>
      <c r="AU987" s="34" cm="1">
        <f t="array" ref="AU987" xml:space="preserve"> INDEX( VfM_Metrics_2023_Consol_Source[], $AK987, AU$832 )</f>
        <v>0.42292798562951839</v>
      </c>
      <c r="AV987" s="34" cm="1">
        <f t="array" ref="AV987" xml:space="preserve"> INDEX( VfM_Metrics_2023_Consol_Source[], $AK987, AV$832 )</f>
        <v>0.53125138036132336</v>
      </c>
      <c r="AW987" s="34" cm="1">
        <f t="array" ref="AW987" xml:space="preserve"> INDEX( VfM_Metrics_2023_Consol_Source[], $AK987, AW$832 )</f>
        <v>4.4171562348160254E-5</v>
      </c>
      <c r="AX987" s="34" cm="1">
        <f t="array" ref="AX987" xml:space="preserve"> INDEX( VfM_Metrics_2023_Consol_Source[], $AK987, AX$832 )</f>
        <v>1.1087062149388224E-2</v>
      </c>
      <c r="AY987" s="34" cm="1">
        <f t="array" ref="AY987" xml:space="preserve"> INDEX( VfM_Metrics_2023_Consol_Source[], $AK987, AY$832 )</f>
        <v>2.5207238246683451E-2</v>
      </c>
      <c r="AZ987" s="34" cm="1">
        <f t="array" ref="AZ987" xml:space="preserve"> INDEX( VfM_Metrics_2023_Consol_Source[], $AK987, AZ$832 )</f>
        <v>9.4674381966223485E-3</v>
      </c>
      <c r="BA987" s="34" cm="1">
        <f t="array" ref="BA987" xml:space="preserve"> INDEX( VfM_Metrics_2023_Consol_Source[], $AK987, BA$832 )</f>
        <v>0</v>
      </c>
      <c r="BB987" s="34" cm="1">
        <f t="array" ref="BB987" xml:space="preserve"> INDEX( VfM_Metrics_2023_Consol_Source[], $AK987, BB$832 )</f>
        <v>0</v>
      </c>
      <c r="BC987" s="34" cm="1">
        <f t="array" ref="BC987" xml:space="preserve"> INDEX( VfM_Metrics_2023_Consol_Source[], $AK987, BC$832 )</f>
        <v>1.4723854116053418E-5</v>
      </c>
    </row>
    <row r="988" spans="2:55" x14ac:dyDescent="0.2">
      <c r="B988" s="122" t="str" vm="155">
        <f t="shared" ref="B988" si="493" xml:space="preserve"> B778</f>
        <v>Southway Housing Trust (Manchester) Limited</v>
      </c>
      <c r="C988" s="122" t="str" vm="382">
        <f t="shared" si="467"/>
        <v>L4507</v>
      </c>
      <c r="D988" s="30" cm="1">
        <f t="array" ref="D988" xml:space="preserve"> INDEX( VfM_Metrics_2023_Consol_Source[], $AK988, D$832 )</f>
        <v>0.11719153626249985</v>
      </c>
      <c r="E988" s="35">
        <f xml:space="preserve"> IF( tblFilterAll[[#This Row],[Reinvestment]] &lt; D$825, 4, IF( tblFilterAll[[#This Row],[Reinvestment]] &lt; D$826, 3, IF( tblFilterAll[[#This Row],[Reinvestment]] &lt; D$827, 2, 1 ) ) )</f>
        <v>1</v>
      </c>
      <c r="F988" s="35">
        <f xml:space="preserve"> COUNTIFS( tblFilterAll[Include in output], 1, tblFilterAll[Reinvestment], "&gt;" &amp; tblFilterAll[[#This Row],[Reinvestment]] ) + 1</f>
        <v>21</v>
      </c>
      <c r="G988" s="30" cm="1">
        <f t="array" ref="G988" xml:space="preserve"> INDEX( VfM_Metrics_2023_Consol_Source[], $AK988, G$832 )</f>
        <v>1.780185758513932E-2</v>
      </c>
      <c r="H988" s="35">
        <f xml:space="preserve"> IF( tblFilterAll[[#This Row],[New Supply (Social)]] &lt; G$825, 4, IF( tblFilterAll[[#This Row],[New Supply (Social)]] &lt; G$826, 3, IF( tblFilterAll[[#This Row],[New Supply (Social)]] &lt; G$827, 2, 1 ) ) )</f>
        <v>2</v>
      </c>
      <c r="I988" s="35">
        <f xml:space="preserve"> COUNTIFS( tblFilterAll[Include in output], 1, tblFilterAll[New Supply (Social)], "&gt;" &amp; tblFilterAll[[#This Row],[New Supply (Social)]] ) + 1</f>
        <v>68</v>
      </c>
      <c r="J988" s="31" cm="1">
        <f t="array" ref="J988" xml:space="preserve"> INDEX( VfM_Metrics_2023_Consol_Source[], $AK988, J$832 )</f>
        <v>7.628928898382667E-4</v>
      </c>
      <c r="K988" s="35">
        <f xml:space="preserve"> IF( tblFilterAll[[#This Row],[New Supply (Non-Social)]] &lt; J$825, 4, IF( tblFilterAll[[#This Row],[New Supply (Non-Social)]] &lt; J$826, 3, IF( tblFilterAll[[#This Row],[New Supply (Non-Social)]] &lt; J$827, 2, 1 ) ) )</f>
        <v>2</v>
      </c>
      <c r="L988" s="35">
        <f xml:space="preserve"> COUNTIFS( tblFilterAll[Include in output], 1, tblFilterAll[New Supply (Non-Social)], "&gt;" &amp; tblFilterAll[[#This Row],[New Supply (Non-Social)]] ) + 1</f>
        <v>50</v>
      </c>
      <c r="M988" s="30" cm="1">
        <f t="array" ref="M988" xml:space="preserve"> INDEX( VfM_Metrics_2023_Consol_Source[], $AK988, M$832 )</f>
        <v>0.37889346850208377</v>
      </c>
      <c r="N988" s="35">
        <f xml:space="preserve"> IF( tblFilterAll[[#This Row],[Gearing]] &lt; M$825, 4, IF( tblFilterAll[[#This Row],[Gearing]] &lt; M$826, 3, IF( tblFilterAll[[#This Row],[Gearing]] &lt; M$827, 2, 1 ) ) )</f>
        <v>3</v>
      </c>
      <c r="O988" s="35">
        <f xml:space="preserve"> COUNTIFS( tblFilterAll[Include in output], 1, tblFilterAll[Gearing], "&gt;" &amp; tblFilterAll[[#This Row],[Gearing]] ) + 1</f>
        <v>139</v>
      </c>
      <c r="P988" s="30" cm="1">
        <f t="array" ref="P988" xml:space="preserve"> INDEX( VfM_Metrics_2023_Consol_Source[], $AK988, P$832 )</f>
        <v>4.2154576856649397</v>
      </c>
      <c r="Q988" s="35">
        <f xml:space="preserve"> IF( tblFilterAll[[#This Row],[EBITDA MRI Interest Cover]] &lt; P$825, 4, IF( tblFilterAll[[#This Row],[EBITDA MRI Interest Cover]] &lt; P$826, 3, IF( tblFilterAll[[#This Row],[EBITDA MRI Interest Cover]] &lt; P$827, 2, 1 ) ) )</f>
        <v>1</v>
      </c>
      <c r="R988" s="35">
        <f xml:space="preserve"> COUNTIFS( tblFilterAll[Include in output], 1, tblFilterAll[EBITDA MRI Interest Cover], "&gt;" &amp; tblFilterAll[[#This Row],[EBITDA MRI Interest Cover]] ) + 1</f>
        <v>3</v>
      </c>
      <c r="S988" s="32" cm="1">
        <f t="array" ref="S988" xml:space="preserve"> INDEX( VfM_Metrics_2023_Consol_Source[], $AK988, S$832 )</f>
        <v>4122.9720960415307</v>
      </c>
      <c r="T988" s="35">
        <f xml:space="preserve"> IF( tblFilterAll[[#This Row],[Headline Social Housing Cost per unit]] &lt; S$825, 4, IF( tblFilterAll[[#This Row],[Headline Social Housing Cost per unit]] &lt; S$826, 3, IF( tblFilterAll[[#This Row],[Headline Social Housing Cost per unit]] &lt; S$827, 2, 1 ) ) )</f>
        <v>3</v>
      </c>
      <c r="U988" s="35">
        <f xml:space="preserve"> COUNTIFS( tblFilterAll[Include in output], 1, tblFilterAll[Headline Social Housing Cost per unit], "&gt;" &amp; tblFilterAll[[#This Row],[Headline Social Housing Cost per unit]] ) + 1</f>
        <v>145</v>
      </c>
      <c r="V988" s="30" cm="1">
        <f t="array" ref="V988" xml:space="preserve"> INDEX( VfM_Metrics_2023_Consol_Source[], $AK988, V$832 )</f>
        <v>0.18083850931677017</v>
      </c>
      <c r="W988" s="35">
        <f xml:space="preserve"> IF( tblFilterAll[[#This Row],[Operating Margin (SHL)]] &lt; V$825, 4, IF( tblFilterAll[[#This Row],[Operating Margin (SHL)]] &lt; V$826, 3, IF( tblFilterAll[[#This Row],[Operating Margin (SHL)]] &lt; V$827, 2, 1 ) ) )</f>
        <v>3</v>
      </c>
      <c r="X988" s="35">
        <f xml:space="preserve"> COUNTIFS( tblFilterAll[Include in output], 1, tblFilterAll[Operating Margin (SHL)], "&gt;" &amp; tblFilterAll[[#This Row],[Operating Margin (SHL)]] ) + 1</f>
        <v>123</v>
      </c>
      <c r="Y988" s="30" cm="1">
        <f t="array" ref="Y988" xml:space="preserve"> INDEX( VfM_Metrics_2023_Consol_Source[], $AK988, Y$832 )</f>
        <v>0.16162037133509763</v>
      </c>
      <c r="Z988" s="35">
        <f xml:space="preserve"> IF( tblFilterAll[[#This Row],[Operating Margin (Overall)]] &lt; Y$825, 4, IF( tblFilterAll[[#This Row],[Operating Margin (Overall)]] &lt; Y$826, 3, IF( tblFilterAll[[#This Row],[Operating Margin (Overall)]] &lt; Y$827, 2, 1 ) ) )</f>
        <v>3</v>
      </c>
      <c r="AA988" s="35">
        <f xml:space="preserve"> COUNTIFS( tblFilterAll[Include in output], 1, tblFilterAll[Operating Margin (Overall)], "&gt;" &amp; tblFilterAll[[#This Row],[Operating Margin (Overall)]] ) + 1</f>
        <v>120</v>
      </c>
      <c r="AB988" s="30" cm="1">
        <f t="array" ref="AB988" xml:space="preserve"> INDEX( VfM_Metrics_2023_Consol_Source[], $AK988, AB$832 )</f>
        <v>5.6317870060223561E-2</v>
      </c>
      <c r="AC988" s="35">
        <f xml:space="preserve"> IF( tblFilterAll[[#This Row],[ROCE]] &lt; AB$825, 4, IF( tblFilterAll[[#This Row],[ROCE]] &lt; AB$826, 3, IF( tblFilterAll[[#This Row],[ROCE]] &lt; AB$827, 2, 1 ) ) )</f>
        <v>1</v>
      </c>
      <c r="AD988" s="35">
        <f xml:space="preserve"> COUNTIFS( tblFilterAll[Include in output], 1, tblFilterAll[ROCE], "&gt;" &amp; tblFilterAll[[#This Row],[ROCE]] ) + 1</f>
        <v>6</v>
      </c>
      <c r="AE988" s="33" cm="1" vm="6258">
        <f t="array" ref="AE988" xml:space="preserve"> INDEX( VfM_Metrics_2023_Consol_Source[], $AK988, AE$832 )</f>
        <v>6164</v>
      </c>
      <c r="AF988" s="30" cm="1">
        <f t="array" ref="AF988" xml:space="preserve"> INDEX( VfM_Metrics_2023_Consol_Source[], $AK988, AF$832 )</f>
        <v>0</v>
      </c>
      <c r="AG988" s="30" cm="1">
        <f t="array" ref="AG988" xml:space="preserve"> INDEX( VfM_Metrics_2023_Consol_Source[], $AK988, AG$832 )</f>
        <v>3.6073134574205239E-2</v>
      </c>
      <c r="AH988" s="30" cm="1">
        <f t="array" ref="AH988" xml:space="preserve"> INDEX( VfM_Metrics_2023_Consol_Source[], $AK988, AH$832 )</f>
        <v>3.6073134574205239E-2</v>
      </c>
      <c r="AI988" s="30" t="str" cm="1">
        <f t="array" ref="AI988" xml:space="preserve"> INDEX( VfM_Metrics_2023_Consol_Source[], $AK988, AI$832 )</f>
        <v>Traditional</v>
      </c>
      <c r="AJ988" s="34" t="str" cm="1">
        <f t="array" ref="AJ988" xml:space="preserve"> INDEX( VfM_Metrics_2023_Consol_Source[], $AK988, AJ$832 )</f>
        <v>North West</v>
      </c>
      <c r="AK988" s="81">
        <f xml:space="preserve"> MATCH( tblFilterAll[[#This Row],[Code]], VfM_Metrics_2023_Consol_Source[RP_Code], 0 )</f>
        <v>155</v>
      </c>
      <c r="AL988" s="24">
        <f xml:space="preserve"> INDEX( tblFilterRegion[Include for region],  MATCH( tblFilterAll[[#This Row],[Code]], tblFilterRegion[RP_Code], 0 ) )</f>
        <v>1</v>
      </c>
      <c r="AM988" s="24">
        <f xml:space="preserve"> INDEX( tblFilterPropType[Incl for prop type],  MATCH( tblFilterAll[[#This Row],[Code]], tblFilterPropType[RP_Code], 0 ) )</f>
        <v>1</v>
      </c>
      <c r="AN988" s="24">
        <f xml:space="preserve"> INDEX( tblFilterSize[Incl for size],  MATCH( tblFilterAll[[#This Row],[Code]], tblFilterSize[RP_Code], 0 ) )</f>
        <v>1</v>
      </c>
      <c r="AO988" s="24">
        <f xml:space="preserve"> INDEX( tblFilterRP_Type[Incl, for RP Type],  MATCH( tblFilterAll[[#This Row],[Code]], tblFilterRP_Type[RP_Code], 0 ) )</f>
        <v>1</v>
      </c>
      <c r="AP988" s="24">
        <f xml:space="preserve">  -- ( SUM( tblFilterAll[[#This Row],[Filter Region]:[Filter RP Type]] ) = 4 )</f>
        <v>1</v>
      </c>
      <c r="AQ988" s="24">
        <f xml:space="preserve"> -- ( tblFilterAll[[#This Row],[Provider name]] = SelectedProvider )</f>
        <v>0</v>
      </c>
      <c r="AR988" s="24">
        <f xml:space="preserve">  -- ( OR( SUM( tblFilterAll[[#This Row],[Filter Region]:[Filter RP Type]] ) = 4, tblFilterAll[[#This Row],[SelectedProvider]] = 1 ) )</f>
        <v>1</v>
      </c>
      <c r="AS988" s="24">
        <f xml:space="preserve"> -- ( INDEX( PeersCritera[Included in final peers], MATCH( tblFilterAll[[#This Row],[Provider name]], PeersCritera[RP_Name], 0 ) ) = 1 )</f>
        <v>1</v>
      </c>
      <c r="AT988" s="30" t="str" cm="1">
        <f t="array" ref="AT988" xml:space="preserve"> SUBSTITUTE( INDEX( VfM_Metrics_2023_Consol_Source[], $AK988, AT$832 ), 0, "" )</f>
        <v>&gt;= 12 years</v>
      </c>
      <c r="AU988" s="34" cm="1">
        <f t="array" ref="AU988" xml:space="preserve"> INDEX( VfM_Metrics_2023_Consol_Source[], $AK988, AU$832 )</f>
        <v>0</v>
      </c>
      <c r="AV988" s="34" cm="1">
        <f t="array" ref="AV988" xml:space="preserve"> INDEX( VfM_Metrics_2023_Consol_Source[], $AK988, AV$832 )</f>
        <v>0</v>
      </c>
      <c r="AW988" s="34" cm="1">
        <f t="array" ref="AW988" xml:space="preserve"> INDEX( VfM_Metrics_2023_Consol_Source[], $AK988, AW$832 )</f>
        <v>0</v>
      </c>
      <c r="AX988" s="34" cm="1">
        <f t="array" ref="AX988" xml:space="preserve"> INDEX( VfM_Metrics_2023_Consol_Source[], $AK988, AX$832 )</f>
        <v>0</v>
      </c>
      <c r="AY988" s="34" cm="1">
        <f t="array" ref="AY988" xml:space="preserve"> INDEX( VfM_Metrics_2023_Consol_Source[], $AK988, AY$832 )</f>
        <v>0</v>
      </c>
      <c r="AZ988" s="34" cm="1">
        <f t="array" ref="AZ988" xml:space="preserve"> INDEX( VfM_Metrics_2023_Consol_Source[], $AK988, AZ$832 )</f>
        <v>0</v>
      </c>
      <c r="BA988" s="34" cm="1">
        <f t="array" ref="BA988" xml:space="preserve"> INDEX( VfM_Metrics_2023_Consol_Source[], $AK988, BA$832 )</f>
        <v>0</v>
      </c>
      <c r="BB988" s="34" cm="1">
        <f t="array" ref="BB988" xml:space="preserve"> INDEX( VfM_Metrics_2023_Consol_Source[], $AK988, BB$832 )</f>
        <v>1</v>
      </c>
      <c r="BC988" s="34" cm="1">
        <f t="array" ref="BC988" xml:space="preserve"> INDEX( VfM_Metrics_2023_Consol_Source[], $AK988, BC$832 )</f>
        <v>0</v>
      </c>
    </row>
    <row r="989" spans="2:55" x14ac:dyDescent="0.2">
      <c r="B989" s="122" t="str" vm="156">
        <f t="shared" ref="B989" si="494" xml:space="preserve"> B779</f>
        <v>Sovereign Housing Association Limited</v>
      </c>
      <c r="C989" s="122" t="str" vm="252">
        <f t="shared" si="467"/>
        <v>4837</v>
      </c>
      <c r="D989" s="30" cm="1">
        <f t="array" ref="D989" xml:space="preserve"> INDEX( VfM_Metrics_2023_Consol_Source[], $AK989, D$832 )</f>
        <v>7.9350104774555535E-2</v>
      </c>
      <c r="E989" s="35">
        <f xml:space="preserve"> IF( tblFilterAll[[#This Row],[Reinvestment]] &lt; D$825, 4, IF( tblFilterAll[[#This Row],[Reinvestment]] &lt; D$826, 3, IF( tblFilterAll[[#This Row],[Reinvestment]] &lt; D$827, 2, 1 ) ) )</f>
        <v>2</v>
      </c>
      <c r="F989" s="35">
        <f xml:space="preserve"> COUNTIFS( tblFilterAll[Include in output], 1, tblFilterAll[Reinvestment], "&gt;" &amp; tblFilterAll[[#This Row],[Reinvestment]] ) + 1</f>
        <v>74</v>
      </c>
      <c r="G989" s="30" cm="1">
        <f t="array" ref="G989" xml:space="preserve"> INDEX( VfM_Metrics_2023_Consol_Source[], $AK989, G$832 )</f>
        <v>2.6847006049072249E-2</v>
      </c>
      <c r="H989" s="35">
        <f xml:space="preserve"> IF( tblFilterAll[[#This Row],[New Supply (Social)]] &lt; G$825, 4, IF( tblFilterAll[[#This Row],[New Supply (Social)]] &lt; G$826, 3, IF( tblFilterAll[[#This Row],[New Supply (Social)]] &lt; G$827, 2, 1 ) ) )</f>
        <v>1</v>
      </c>
      <c r="I989" s="35">
        <f xml:space="preserve"> COUNTIFS( tblFilterAll[Include in output], 1, tblFilterAll[New Supply (Social)], "&gt;" &amp; tblFilterAll[[#This Row],[New Supply (Social)]] ) + 1</f>
        <v>26</v>
      </c>
      <c r="J989" s="31" cm="1">
        <f t="array" ref="J989" xml:space="preserve"> INDEX( VfM_Metrics_2023_Consol_Source[], $AK989, J$832 )</f>
        <v>5.8616647127784287E-4</v>
      </c>
      <c r="K989" s="35">
        <f xml:space="preserve"> IF( tblFilterAll[[#This Row],[New Supply (Non-Social)]] &lt; J$825, 4, IF( tblFilterAll[[#This Row],[New Supply (Non-Social)]] &lt; J$826, 3, IF( tblFilterAll[[#This Row],[New Supply (Non-Social)]] &lt; J$827, 2, 1 ) ) )</f>
        <v>2</v>
      </c>
      <c r="L989" s="35">
        <f xml:space="preserve"> COUNTIFS( tblFilterAll[Include in output], 1, tblFilterAll[New Supply (Non-Social)], "&gt;" &amp; tblFilterAll[[#This Row],[New Supply (Non-Social)]] ) + 1</f>
        <v>58</v>
      </c>
      <c r="M989" s="30" cm="1">
        <f t="array" ref="M989" xml:space="preserve"> INDEX( VfM_Metrics_2023_Consol_Source[], $AK989, M$832 )</f>
        <v>0.4850104098445262</v>
      </c>
      <c r="N989" s="35">
        <f xml:space="preserve"> IF( tblFilterAll[[#This Row],[Gearing]] &lt; M$825, 4, IF( tblFilterAll[[#This Row],[Gearing]] &lt; M$826, 3, IF( tblFilterAll[[#This Row],[Gearing]] &lt; M$827, 2, 1 ) ) )</f>
        <v>2</v>
      </c>
      <c r="O989" s="35">
        <f xml:space="preserve"> COUNTIFS( tblFilterAll[Include in output], 1, tblFilterAll[Gearing], "&gt;" &amp; tblFilterAll[[#This Row],[Gearing]] ) + 1</f>
        <v>78</v>
      </c>
      <c r="P989" s="30" cm="1">
        <f t="array" ref="P989" xml:space="preserve"> INDEX( VfM_Metrics_2023_Consol_Source[], $AK989, P$832 )</f>
        <v>1.4727341820254607</v>
      </c>
      <c r="Q989" s="35">
        <f xml:space="preserve"> IF( tblFilterAll[[#This Row],[EBITDA MRI Interest Cover]] &lt; P$825, 4, IF( tblFilterAll[[#This Row],[EBITDA MRI Interest Cover]] &lt; P$826, 3, IF( tblFilterAll[[#This Row],[EBITDA MRI Interest Cover]] &lt; P$827, 2, 1 ) ) )</f>
        <v>2</v>
      </c>
      <c r="R989" s="35">
        <f xml:space="preserve"> COUNTIFS( tblFilterAll[Include in output], 1, tblFilterAll[EBITDA MRI Interest Cover], "&gt;" &amp; tblFilterAll[[#This Row],[EBITDA MRI Interest Cover]] ) + 1</f>
        <v>68</v>
      </c>
      <c r="S989" s="32" cm="1">
        <f t="array" ref="S989" xml:space="preserve"> INDEX( VfM_Metrics_2023_Consol_Source[], $AK989, S$832 )</f>
        <v>4694.5182406973308</v>
      </c>
      <c r="T989" s="35">
        <f xml:space="preserve"> IF( tblFilterAll[[#This Row],[Headline Social Housing Cost per unit]] &lt; S$825, 4, IF( tblFilterAll[[#This Row],[Headline Social Housing Cost per unit]] &lt; S$826, 3, IF( tblFilterAll[[#This Row],[Headline Social Housing Cost per unit]] &lt; S$827, 2, 1 ) ) )</f>
        <v>2</v>
      </c>
      <c r="U989" s="35">
        <f xml:space="preserve"> COUNTIFS( tblFilterAll[Include in output], 1, tblFilterAll[Headline Social Housing Cost per unit], "&gt;" &amp; tblFilterAll[[#This Row],[Headline Social Housing Cost per unit]] ) + 1</f>
        <v>88</v>
      </c>
      <c r="V989" s="30" cm="1">
        <f t="array" ref="V989" xml:space="preserve"> INDEX( VfM_Metrics_2023_Consol_Source[], $AK989, V$832 )</f>
        <v>0.24198524218067302</v>
      </c>
      <c r="W989" s="35">
        <f xml:space="preserve"> IF( tblFilterAll[[#This Row],[Operating Margin (SHL)]] &lt; V$825, 4, IF( tblFilterAll[[#This Row],[Operating Margin (SHL)]] &lt; V$826, 3, IF( tblFilterAll[[#This Row],[Operating Margin (SHL)]] &lt; V$827, 2, 1 ) ) )</f>
        <v>2</v>
      </c>
      <c r="X989" s="35">
        <f xml:space="preserve"> COUNTIFS( tblFilterAll[Include in output], 1, tblFilterAll[Operating Margin (SHL)], "&gt;" &amp; tblFilterAll[[#This Row],[Operating Margin (SHL)]] ) + 1</f>
        <v>63</v>
      </c>
      <c r="Y989" s="30" cm="1">
        <f t="array" ref="Y989" xml:space="preserve"> INDEX( VfM_Metrics_2023_Consol_Source[], $AK989, Y$832 )</f>
        <v>0.23253956389907163</v>
      </c>
      <c r="Z989" s="35">
        <f xml:space="preserve"> IF( tblFilterAll[[#This Row],[Operating Margin (Overall)]] &lt; Y$825, 4, IF( tblFilterAll[[#This Row],[Operating Margin (Overall)]] &lt; Y$826, 3, IF( tblFilterAll[[#This Row],[Operating Margin (Overall)]] &lt; Y$827, 2, 1 ) ) )</f>
        <v>1</v>
      </c>
      <c r="AA989" s="35">
        <f xml:space="preserve"> COUNTIFS( tblFilterAll[Include in output], 1, tblFilterAll[Operating Margin (Overall)], "&gt;" &amp; tblFilterAll[[#This Row],[Operating Margin (Overall)]] ) + 1</f>
        <v>47</v>
      </c>
      <c r="AB989" s="30" cm="1">
        <f t="array" ref="AB989" xml:space="preserve"> INDEX( VfM_Metrics_2023_Consol_Source[], $AK989, AB$832 )</f>
        <v>2.7339075979187499E-2</v>
      </c>
      <c r="AC989" s="35">
        <f xml:space="preserve"> IF( tblFilterAll[[#This Row],[ROCE]] &lt; AB$825, 4, IF( tblFilterAll[[#This Row],[ROCE]] &lt; AB$826, 3, IF( tblFilterAll[[#This Row],[ROCE]] &lt; AB$827, 2, 1 ) ) )</f>
        <v>3</v>
      </c>
      <c r="AD989" s="35">
        <f xml:space="preserve"> COUNTIFS( tblFilterAll[Include in output], 1, tblFilterAll[ROCE], "&gt;" &amp; tblFilterAll[[#This Row],[ROCE]] ) + 1</f>
        <v>112</v>
      </c>
      <c r="AE989" s="33" cm="1" vm="1801">
        <f t="array" ref="AE989" xml:space="preserve"> INDEX( VfM_Metrics_2023_Consol_Source[], $AK989, AE$832 )</f>
        <v>57576</v>
      </c>
      <c r="AF989" s="30" cm="1">
        <f t="array" ref="AF989" xml:space="preserve"> INDEX( VfM_Metrics_2023_Consol_Source[], $AK989, AF$832 )</f>
        <v>1.9687795316929754E-2</v>
      </c>
      <c r="AG989" s="30" cm="1">
        <f t="array" ref="AG989" xml:space="preserve"> INDEX( VfM_Metrics_2023_Consol_Source[], $AK989, AG$832 )</f>
        <v>3.900808512127682E-2</v>
      </c>
      <c r="AH989" s="30" cm="1">
        <f t="array" ref="AH989" xml:space="preserve"> INDEX( VfM_Metrics_2023_Consol_Source[], $AK989, AH$832 )</f>
        <v>5.8695880438206574E-2</v>
      </c>
      <c r="AI989" s="30" t="str" cm="1">
        <f t="array" ref="AI989" xml:space="preserve"> INDEX( VfM_Metrics_2023_Consol_Source[], $AK989, AI$832 )</f>
        <v>Traditional</v>
      </c>
      <c r="AJ989" s="34" t="str" cm="1">
        <f t="array" ref="AJ989" xml:space="preserve"> INDEX( VfM_Metrics_2023_Consol_Source[], $AK989, AJ$832 )</f>
        <v>South East</v>
      </c>
      <c r="AK989" s="81">
        <f xml:space="preserve"> MATCH( tblFilterAll[[#This Row],[Code]], VfM_Metrics_2023_Consol_Source[RP_Code], 0 )</f>
        <v>156</v>
      </c>
      <c r="AL989" s="24">
        <f xml:space="preserve"> INDEX( tblFilterRegion[Include for region],  MATCH( tblFilterAll[[#This Row],[Code]], tblFilterRegion[RP_Code], 0 ) )</f>
        <v>1</v>
      </c>
      <c r="AM989" s="24">
        <f xml:space="preserve"> INDEX( tblFilterPropType[Incl for prop type],  MATCH( tblFilterAll[[#This Row],[Code]], tblFilterPropType[RP_Code], 0 ) )</f>
        <v>1</v>
      </c>
      <c r="AN989" s="24">
        <f xml:space="preserve"> INDEX( tblFilterSize[Incl for size],  MATCH( tblFilterAll[[#This Row],[Code]], tblFilterSize[RP_Code], 0 ) )</f>
        <v>1</v>
      </c>
      <c r="AO989" s="24">
        <f xml:space="preserve"> INDEX( tblFilterRP_Type[Incl, for RP Type],  MATCH( tblFilterAll[[#This Row],[Code]], tblFilterRP_Type[RP_Code], 0 ) )</f>
        <v>1</v>
      </c>
      <c r="AP989" s="24">
        <f xml:space="preserve">  -- ( SUM( tblFilterAll[[#This Row],[Filter Region]:[Filter RP Type]] ) = 4 )</f>
        <v>1</v>
      </c>
      <c r="AQ989" s="24">
        <f xml:space="preserve"> -- ( tblFilterAll[[#This Row],[Provider name]] = SelectedProvider )</f>
        <v>0</v>
      </c>
      <c r="AR989" s="24">
        <f xml:space="preserve">  -- ( OR( SUM( tblFilterAll[[#This Row],[Filter Region]:[Filter RP Type]] ) = 4, tblFilterAll[[#This Row],[SelectedProvider]] = 1 ) )</f>
        <v>1</v>
      </c>
      <c r="AS989" s="24">
        <f xml:space="preserve"> -- ( INDEX( PeersCritera[Included in final peers], MATCH( tblFilterAll[[#This Row],[Provider name]], PeersCritera[RP_Name], 0 ) ) = 1 )</f>
        <v>1</v>
      </c>
      <c r="AT989" s="30" t="str" cm="1">
        <f t="array" ref="AT989" xml:space="preserve"> SUBSTITUTE( INDEX( VfM_Metrics_2023_Consol_Source[], $AK989, AT$832 ), 0, "" )</f>
        <v/>
      </c>
      <c r="AU989" s="34" cm="1">
        <f t="array" ref="AU989" xml:space="preserve"> INDEX( VfM_Metrics_2023_Consol_Source[], $AK989, AU$832 )</f>
        <v>0</v>
      </c>
      <c r="AV989" s="34" cm="1">
        <f t="array" ref="AV989" xml:space="preserve"> INDEX( VfM_Metrics_2023_Consol_Source[], $AK989, AV$832 )</f>
        <v>0.57337486080178168</v>
      </c>
      <c r="AW989" s="34" cm="1">
        <f t="array" ref="AW989" xml:space="preserve"> INDEX( VfM_Metrics_2023_Consol_Source[], $AK989, AW$832 )</f>
        <v>0.42659033964365256</v>
      </c>
      <c r="AX989" s="34" cm="1">
        <f t="array" ref="AX989" xml:space="preserve"> INDEX( VfM_Metrics_2023_Consol_Source[], $AK989, AX$832 )</f>
        <v>1.7399777282850779E-5</v>
      </c>
      <c r="AY989" s="34" cm="1">
        <f t="array" ref="AY989" xml:space="preserve"> INDEX( VfM_Metrics_2023_Consol_Source[], $AK989, AY$832 )</f>
        <v>0</v>
      </c>
      <c r="AZ989" s="34" cm="1">
        <f t="array" ref="AZ989" xml:space="preserve"> INDEX( VfM_Metrics_2023_Consol_Source[], $AK989, AZ$832 )</f>
        <v>1.7399777282850779E-5</v>
      </c>
      <c r="BA989" s="34" cm="1">
        <f t="array" ref="BA989" xml:space="preserve"> INDEX( VfM_Metrics_2023_Consol_Source[], $AK989, BA$832 )</f>
        <v>0</v>
      </c>
      <c r="BB989" s="34" cm="1">
        <f t="array" ref="BB989" xml:space="preserve"> INDEX( VfM_Metrics_2023_Consol_Source[], $AK989, BB$832 )</f>
        <v>0</v>
      </c>
      <c r="BC989" s="34" cm="1">
        <f t="array" ref="BC989" xml:space="preserve"> INDEX( VfM_Metrics_2023_Consol_Source[], $AK989, BC$832 )</f>
        <v>0</v>
      </c>
    </row>
    <row r="990" spans="2:55" x14ac:dyDescent="0.2">
      <c r="B990" s="122" t="str" vm="157">
        <f t="shared" ref="B990" si="495" xml:space="preserve"> B780</f>
        <v>Sovereign Network Homes</v>
      </c>
      <c r="C990" s="122" t="str" vm="271">
        <f t="shared" si="467"/>
        <v>4825</v>
      </c>
      <c r="D990" s="30" cm="1">
        <f t="array" ref="D990" xml:space="preserve"> INDEX( VfM_Metrics_2023_Consol_Source[], $AK990, D$832 )</f>
        <v>7.4504568826116363E-2</v>
      </c>
      <c r="E990" s="35">
        <f xml:space="preserve"> IF( tblFilterAll[[#This Row],[Reinvestment]] &lt; D$825, 4, IF( tblFilterAll[[#This Row],[Reinvestment]] &lt; D$826, 3, IF( tblFilterAll[[#This Row],[Reinvestment]] &lt; D$827, 2, 1 ) ) )</f>
        <v>2</v>
      </c>
      <c r="F990" s="35">
        <f xml:space="preserve"> COUNTIFS( tblFilterAll[Include in output], 1, tblFilterAll[Reinvestment], "&gt;" &amp; tblFilterAll[[#This Row],[Reinvestment]] ) + 1</f>
        <v>84</v>
      </c>
      <c r="G990" s="30" cm="1">
        <f t="array" ref="G990" xml:space="preserve"> INDEX( VfM_Metrics_2023_Consol_Source[], $AK990, G$832 )</f>
        <v>9.7030855812148264E-3</v>
      </c>
      <c r="H990" s="35">
        <f xml:space="preserve"> IF( tblFilterAll[[#This Row],[New Supply (Social)]] &lt; G$825, 4, IF( tblFilterAll[[#This Row],[New Supply (Social)]] &lt; G$826, 3, IF( tblFilterAll[[#This Row],[New Supply (Social)]] &lt; G$827, 2, 1 ) ) )</f>
        <v>3</v>
      </c>
      <c r="I990" s="35">
        <f xml:space="preserve"> COUNTIFS( tblFilterAll[Include in output], 1, tblFilterAll[New Supply (Social)], "&gt;" &amp; tblFilterAll[[#This Row],[New Supply (Social)]] ) + 1</f>
        <v>125</v>
      </c>
      <c r="J990" s="31" cm="1">
        <f t="array" ref="J990" xml:space="preserve"> INDEX( VfM_Metrics_2023_Consol_Source[], $AK990, J$832 )</f>
        <v>0</v>
      </c>
      <c r="K990" s="35">
        <f xml:space="preserve"> IF( tblFilterAll[[#This Row],[New Supply (Non-Social)]] &lt; J$825, 4, IF( tblFilterAll[[#This Row],[New Supply (Non-Social)]] &lt; J$826, 3, IF( tblFilterAll[[#This Row],[New Supply (Non-Social)]] &lt; J$827, 2, 1 ) ) )</f>
        <v>2</v>
      </c>
      <c r="L990" s="35">
        <f xml:space="preserve"> COUNTIFS( tblFilterAll[Include in output], 1, tblFilterAll[New Supply (Non-Social)], "&gt;" &amp; tblFilterAll[[#This Row],[New Supply (Non-Social)]] ) + 1</f>
        <v>72</v>
      </c>
      <c r="M990" s="30" cm="1">
        <f t="array" ref="M990" xml:space="preserve"> INDEX( VfM_Metrics_2023_Consol_Source[], $AK990, M$832 )</f>
        <v>0.51259864028301283</v>
      </c>
      <c r="N990" s="35">
        <f xml:space="preserve"> IF( tblFilterAll[[#This Row],[Gearing]] &lt; M$825, 4, IF( tblFilterAll[[#This Row],[Gearing]] &lt; M$826, 3, IF( tblFilterAll[[#This Row],[Gearing]] &lt; M$827, 2, 1 ) ) )</f>
        <v>2</v>
      </c>
      <c r="O990" s="35">
        <f xml:space="preserve"> COUNTIFS( tblFilterAll[Include in output], 1, tblFilterAll[Gearing], "&gt;" &amp; tblFilterAll[[#This Row],[Gearing]] ) + 1</f>
        <v>63</v>
      </c>
      <c r="P990" s="30" cm="1">
        <f t="array" ref="P990" xml:space="preserve"> INDEX( VfM_Metrics_2023_Consol_Source[], $AK990, P$832 )</f>
        <v>0.81691151637960147</v>
      </c>
      <c r="Q990" s="35">
        <f xml:space="preserve"> IF( tblFilterAll[[#This Row],[EBITDA MRI Interest Cover]] &lt; P$825, 4, IF( tblFilterAll[[#This Row],[EBITDA MRI Interest Cover]] &lt; P$826, 3, IF( tblFilterAll[[#This Row],[EBITDA MRI Interest Cover]] &lt; P$827, 2, 1 ) ) )</f>
        <v>4</v>
      </c>
      <c r="R990" s="35">
        <f xml:space="preserve"> COUNTIFS( tblFilterAll[Include in output], 1, tblFilterAll[EBITDA MRI Interest Cover], "&gt;" &amp; tblFilterAll[[#This Row],[EBITDA MRI Interest Cover]] ) + 1</f>
        <v>152</v>
      </c>
      <c r="S990" s="32" cm="1">
        <f t="array" ref="S990" xml:space="preserve"> INDEX( VfM_Metrics_2023_Consol_Source[], $AK990, S$832 )</f>
        <v>6238.8365650969536</v>
      </c>
      <c r="T990" s="35">
        <f xml:space="preserve"> IF( tblFilterAll[[#This Row],[Headline Social Housing Cost per unit]] &lt; S$825, 4, IF( tblFilterAll[[#This Row],[Headline Social Housing Cost per unit]] &lt; S$826, 3, IF( tblFilterAll[[#This Row],[Headline Social Housing Cost per unit]] &lt; S$827, 2, 1 ) ) )</f>
        <v>1</v>
      </c>
      <c r="U990" s="35">
        <f xml:space="preserve"> COUNTIFS( tblFilterAll[Include in output], 1, tblFilterAll[Headline Social Housing Cost per unit], "&gt;" &amp; tblFilterAll[[#This Row],[Headline Social Housing Cost per unit]] ) + 1</f>
        <v>44</v>
      </c>
      <c r="V990" s="30" cm="1">
        <f t="array" ref="V990" xml:space="preserve"> INDEX( VfM_Metrics_2023_Consol_Source[], $AK990, V$832 )</f>
        <v>0.15784057424464201</v>
      </c>
      <c r="W990" s="35">
        <f xml:space="preserve"> IF( tblFilterAll[[#This Row],[Operating Margin (SHL)]] &lt; V$825, 4, IF( tblFilterAll[[#This Row],[Operating Margin (SHL)]] &lt; V$826, 3, IF( tblFilterAll[[#This Row],[Operating Margin (SHL)]] &lt; V$827, 2, 1 ) ) )</f>
        <v>3</v>
      </c>
      <c r="X990" s="35">
        <f xml:space="preserve"> COUNTIFS( tblFilterAll[Include in output], 1, tblFilterAll[Operating Margin (SHL)], "&gt;" &amp; tblFilterAll[[#This Row],[Operating Margin (SHL)]] ) + 1</f>
        <v>139</v>
      </c>
      <c r="Y990" s="30" cm="1">
        <f t="array" ref="Y990" xml:space="preserve"> INDEX( VfM_Metrics_2023_Consol_Source[], $AK990, Y$832 )</f>
        <v>0.1243943369995311</v>
      </c>
      <c r="Z990" s="35">
        <f xml:space="preserve"> IF( tblFilterAll[[#This Row],[Operating Margin (Overall)]] &lt; Y$825, 4, IF( tblFilterAll[[#This Row],[Operating Margin (Overall)]] &lt; Y$826, 3, IF( tblFilterAll[[#This Row],[Operating Margin (Overall)]] &lt; Y$827, 2, 1 ) ) )</f>
        <v>3</v>
      </c>
      <c r="AA990" s="35">
        <f xml:space="preserve"> COUNTIFS( tblFilterAll[Include in output], 1, tblFilterAll[Operating Margin (Overall)], "&gt;" &amp; tblFilterAll[[#This Row],[Operating Margin (Overall)]] ) + 1</f>
        <v>148</v>
      </c>
      <c r="AB990" s="30" cm="1">
        <f t="array" ref="AB990" xml:space="preserve"> INDEX( VfM_Metrics_2023_Consol_Source[], $AK990, AB$832 )</f>
        <v>1.6364167695086081E-2</v>
      </c>
      <c r="AC990" s="35">
        <f xml:space="preserve"> IF( tblFilterAll[[#This Row],[ROCE]] &lt; AB$825, 4, IF( tblFilterAll[[#This Row],[ROCE]] &lt; AB$826, 3, IF( tblFilterAll[[#This Row],[ROCE]] &lt; AB$827, 2, 1 ) ) )</f>
        <v>4</v>
      </c>
      <c r="AD990" s="35">
        <f xml:space="preserve"> COUNTIFS( tblFilterAll[Include in output], 1, tblFilterAll[ROCE], "&gt;" &amp; tblFilterAll[[#This Row],[ROCE]] ) + 1</f>
        <v>176</v>
      </c>
      <c r="AE990" s="33" cm="1" vm="2360">
        <f t="array" ref="AE990" xml:space="preserve"> INDEX( VfM_Metrics_2023_Consol_Source[], $AK990, AE$832 )</f>
        <v>18043</v>
      </c>
      <c r="AF990" s="30" cm="1">
        <f t="array" ref="AF990" xml:space="preserve"> INDEX( VfM_Metrics_2023_Consol_Source[], $AK990, AF$832 )</f>
        <v>1.883969634842356E-2</v>
      </c>
      <c r="AG990" s="30" cm="1">
        <f t="array" ref="AG990" xml:space="preserve"> INDEX( VfM_Metrics_2023_Consol_Source[], $AK990, AG$832 )</f>
        <v>7.9348368149830997E-2</v>
      </c>
      <c r="AH990" s="30" cm="1">
        <f t="array" ref="AH990" xml:space="preserve"> INDEX( VfM_Metrics_2023_Consol_Source[], $AK990, AH$832 )</f>
        <v>9.8188064498254554E-2</v>
      </c>
      <c r="AI990" s="30" t="str" cm="1">
        <f t="array" ref="AI990" xml:space="preserve"> INDEX( VfM_Metrics_2023_Consol_Source[], $AK990, AI$832 )</f>
        <v>Traditional</v>
      </c>
      <c r="AJ990" s="34" t="str" cm="1">
        <f t="array" ref="AJ990" xml:space="preserve"> INDEX( VfM_Metrics_2023_Consol_Source[], $AK990, AJ$832 )</f>
        <v>London</v>
      </c>
      <c r="AK990" s="81">
        <f xml:space="preserve"> MATCH( tblFilterAll[[#This Row],[Code]], VfM_Metrics_2023_Consol_Source[RP_Code], 0 )</f>
        <v>157</v>
      </c>
      <c r="AL990" s="24">
        <f xml:space="preserve"> INDEX( tblFilterRegion[Include for region],  MATCH( tblFilterAll[[#This Row],[Code]], tblFilterRegion[RP_Code], 0 ) )</f>
        <v>1</v>
      </c>
      <c r="AM990" s="24">
        <f xml:space="preserve"> INDEX( tblFilterPropType[Incl for prop type],  MATCH( tblFilterAll[[#This Row],[Code]], tblFilterPropType[RP_Code], 0 ) )</f>
        <v>1</v>
      </c>
      <c r="AN990" s="24">
        <f xml:space="preserve"> INDEX( tblFilterSize[Incl for size],  MATCH( tblFilterAll[[#This Row],[Code]], tblFilterSize[RP_Code], 0 ) )</f>
        <v>1</v>
      </c>
      <c r="AO990" s="24">
        <f xml:space="preserve"> INDEX( tblFilterRP_Type[Incl, for RP Type],  MATCH( tblFilterAll[[#This Row],[Code]], tblFilterRP_Type[RP_Code], 0 ) )</f>
        <v>1</v>
      </c>
      <c r="AP990" s="24">
        <f xml:space="preserve">  -- ( SUM( tblFilterAll[[#This Row],[Filter Region]:[Filter RP Type]] ) = 4 )</f>
        <v>1</v>
      </c>
      <c r="AQ990" s="24">
        <f xml:space="preserve"> -- ( tblFilterAll[[#This Row],[Provider name]] = SelectedProvider )</f>
        <v>0</v>
      </c>
      <c r="AR990" s="24">
        <f xml:space="preserve">  -- ( OR( SUM( tblFilterAll[[#This Row],[Filter Region]:[Filter RP Type]] ) = 4, tblFilterAll[[#This Row],[SelectedProvider]] = 1 ) )</f>
        <v>1</v>
      </c>
      <c r="AS990" s="24">
        <f xml:space="preserve"> -- ( INDEX( PeersCritera[Included in final peers], MATCH( tblFilterAll[[#This Row],[Provider name]], PeersCritera[RP_Name], 0 ) ) = 1 )</f>
        <v>1</v>
      </c>
      <c r="AT990" s="30" t="str" cm="1">
        <f t="array" ref="AT990" xml:space="preserve"> SUBSTITUTE( INDEX( VfM_Metrics_2023_Consol_Source[], $AK990, AT$832 ), 0, "" )</f>
        <v/>
      </c>
      <c r="AU990" s="34" cm="1">
        <f t="array" ref="AU990" xml:space="preserve"> INDEX( VfM_Metrics_2023_Consol_Source[], $AK990, AU$832 )</f>
        <v>0.73707254891093499</v>
      </c>
      <c r="AV990" s="34" cm="1">
        <f t="array" ref="AV990" xml:space="preserve"> INDEX( VfM_Metrics_2023_Consol_Source[], $AK990, AV$832 )</f>
        <v>1.7679986698442611E-2</v>
      </c>
      <c r="AW990" s="34" cm="1">
        <f t="array" ref="AW990" xml:space="preserve"> INDEX( VfM_Metrics_2023_Consol_Source[], $AK990, AW$832 )</f>
        <v>0</v>
      </c>
      <c r="AX990" s="34" cm="1">
        <f t="array" ref="AX990" xml:space="preserve"> INDEX( VfM_Metrics_2023_Consol_Source[], $AK990, AX$832 )</f>
        <v>0</v>
      </c>
      <c r="AY990" s="34" cm="1">
        <f t="array" ref="AY990" xml:space="preserve"> INDEX( VfM_Metrics_2023_Consol_Source[], $AK990, AY$832 )</f>
        <v>0</v>
      </c>
      <c r="AZ990" s="34" cm="1">
        <f t="array" ref="AZ990" xml:space="preserve"> INDEX( VfM_Metrics_2023_Consol_Source[], $AK990, AZ$832 )</f>
        <v>0.24524746439062239</v>
      </c>
      <c r="BA990" s="34" cm="1">
        <f t="array" ref="BA990" xml:space="preserve"> INDEX( VfM_Metrics_2023_Consol_Source[], $AK990, BA$832 )</f>
        <v>0</v>
      </c>
      <c r="BB990" s="34" cm="1">
        <f t="array" ref="BB990" xml:space="preserve"> INDEX( VfM_Metrics_2023_Consol_Source[], $AK990, BB$832 )</f>
        <v>0</v>
      </c>
      <c r="BC990" s="34" cm="1">
        <f t="array" ref="BC990" xml:space="preserve"> INDEX( VfM_Metrics_2023_Consol_Source[], $AK990, BC$832 )</f>
        <v>0</v>
      </c>
    </row>
    <row r="991" spans="2:55" x14ac:dyDescent="0.2">
      <c r="B991" s="122" t="str" vm="158">
        <f t="shared" ref="B991" si="496" xml:space="preserve"> B781</f>
        <v>St Mungo Community Housing Association</v>
      </c>
      <c r="C991" s="122" t="str" vm="202">
        <f t="shared" si="467"/>
        <v>LH0279</v>
      </c>
      <c r="D991" s="30" cm="1">
        <f t="array" ref="D991" xml:space="preserve"> INDEX( VfM_Metrics_2023_Consol_Source[], $AK991, D$832 )</f>
        <v>6.469442798224502E-2</v>
      </c>
      <c r="E991" s="35">
        <f xml:space="preserve"> IF( tblFilterAll[[#This Row],[Reinvestment]] &lt; D$825, 4, IF( tblFilterAll[[#This Row],[Reinvestment]] &lt; D$826, 3, IF( tblFilterAll[[#This Row],[Reinvestment]] &lt; D$827, 2, 1 ) ) )</f>
        <v>3</v>
      </c>
      <c r="F991" s="35">
        <f xml:space="preserve"> COUNTIFS( tblFilterAll[Include in output], 1, tblFilterAll[Reinvestment], "&gt;" &amp; tblFilterAll[[#This Row],[Reinvestment]] ) + 1</f>
        <v>107</v>
      </c>
      <c r="G991" s="30" cm="1">
        <f t="array" ref="G991" xml:space="preserve"> INDEX( VfM_Metrics_2023_Consol_Source[], $AK991, G$832 )</f>
        <v>2.858776443682104E-3</v>
      </c>
      <c r="H991" s="35">
        <f xml:space="preserve"> IF( tblFilterAll[[#This Row],[New Supply (Social)]] &lt; G$825, 4, IF( tblFilterAll[[#This Row],[New Supply (Social)]] &lt; G$826, 3, IF( tblFilterAll[[#This Row],[New Supply (Social)]] &lt; G$827, 2, 1 ) ) )</f>
        <v>4</v>
      </c>
      <c r="I991" s="35">
        <f xml:space="preserve"> COUNTIFS( tblFilterAll[Include in output], 1, tblFilterAll[New Supply (Social)], "&gt;" &amp; tblFilterAll[[#This Row],[New Supply (Social)]] ) + 1</f>
        <v>171</v>
      </c>
      <c r="J991" s="31" cm="1">
        <f t="array" ref="J991" xml:space="preserve"> INDEX( VfM_Metrics_2023_Consol_Source[], $AK991, J$832 )</f>
        <v>0</v>
      </c>
      <c r="K991" s="35">
        <f xml:space="preserve"> IF( tblFilterAll[[#This Row],[New Supply (Non-Social)]] &lt; J$825, 4, IF( tblFilterAll[[#This Row],[New Supply (Non-Social)]] &lt; J$826, 3, IF( tblFilterAll[[#This Row],[New Supply (Non-Social)]] &lt; J$827, 2, 1 ) ) )</f>
        <v>2</v>
      </c>
      <c r="L991" s="35">
        <f xml:space="preserve"> COUNTIFS( tblFilterAll[Include in output], 1, tblFilterAll[New Supply (Non-Social)], "&gt;" &amp; tblFilterAll[[#This Row],[New Supply (Non-Social)]] ) + 1</f>
        <v>72</v>
      </c>
      <c r="M991" s="30" cm="1">
        <f t="array" ref="M991" xml:space="preserve"> INDEX( VfM_Metrics_2023_Consol_Source[], $AK991, M$832 )</f>
        <v>-0.1945670710320388</v>
      </c>
      <c r="N991" s="35">
        <f xml:space="preserve"> IF( tblFilterAll[[#This Row],[Gearing]] &lt; M$825, 4, IF( tblFilterAll[[#This Row],[Gearing]] &lt; M$826, 3, IF( tblFilterAll[[#This Row],[Gearing]] &lt; M$827, 2, 1 ) ) )</f>
        <v>4</v>
      </c>
      <c r="O991" s="35">
        <f xml:space="preserve"> COUNTIFS( tblFilterAll[Include in output], 1, tblFilterAll[Gearing], "&gt;" &amp; tblFilterAll[[#This Row],[Gearing]] ) + 1</f>
        <v>196</v>
      </c>
      <c r="P991" s="30" cm="1">
        <f t="array" ref="P991" xml:space="preserve"> INDEX( VfM_Metrics_2023_Consol_Source[], $AK991, P$832 )</f>
        <v>-37.990521327014221</v>
      </c>
      <c r="Q991" s="35">
        <f xml:space="preserve"> IF( tblFilterAll[[#This Row],[EBITDA MRI Interest Cover]] &lt; P$825, 4, IF( tblFilterAll[[#This Row],[EBITDA MRI Interest Cover]] &lt; P$826, 3, IF( tblFilterAll[[#This Row],[EBITDA MRI Interest Cover]] &lt; P$827, 2, 1 ) ) )</f>
        <v>4</v>
      </c>
      <c r="R991" s="35">
        <f xml:space="preserve"> COUNTIFS( tblFilterAll[Include in output], 1, tblFilterAll[EBITDA MRI Interest Cover], "&gt;" &amp; tblFilterAll[[#This Row],[EBITDA MRI Interest Cover]] ) + 1</f>
        <v>196</v>
      </c>
      <c r="S991" s="32" cm="1">
        <f t="array" ref="S991" xml:space="preserve"> INDEX( VfM_Metrics_2023_Consol_Source[], $AK991, S$832 )</f>
        <v>25629.585798816566</v>
      </c>
      <c r="T991" s="35">
        <f xml:space="preserve"> IF( tblFilterAll[[#This Row],[Headline Social Housing Cost per unit]] &lt; S$825, 4, IF( tblFilterAll[[#This Row],[Headline Social Housing Cost per unit]] &lt; S$826, 3, IF( tblFilterAll[[#This Row],[Headline Social Housing Cost per unit]] &lt; S$827, 2, 1 ) ) )</f>
        <v>1</v>
      </c>
      <c r="U991" s="35">
        <f xml:space="preserve"> COUNTIFS( tblFilterAll[Include in output], 1, tblFilterAll[Headline Social Housing Cost per unit], "&gt;" &amp; tblFilterAll[[#This Row],[Headline Social Housing Cost per unit]] ) + 1</f>
        <v>4</v>
      </c>
      <c r="V991" s="30" cm="1">
        <f t="array" ref="V991" xml:space="preserve"> INDEX( VfM_Metrics_2023_Consol_Source[], $AK991, V$832 )</f>
        <v>-4.6824134132909069E-2</v>
      </c>
      <c r="W991" s="35">
        <f xml:space="preserve"> IF( tblFilterAll[[#This Row],[Operating Margin (SHL)]] &lt; V$825, 4, IF( tblFilterAll[[#This Row],[Operating Margin (SHL)]] &lt; V$826, 3, IF( tblFilterAll[[#This Row],[Operating Margin (SHL)]] &lt; V$827, 2, 1 ) ) )</f>
        <v>4</v>
      </c>
      <c r="X991" s="35">
        <f xml:space="preserve"> COUNTIFS( tblFilterAll[Include in output], 1, tblFilterAll[Operating Margin (SHL)], "&gt;" &amp; tblFilterAll[[#This Row],[Operating Margin (SHL)]] ) + 1</f>
        <v>195</v>
      </c>
      <c r="Y991" s="30" cm="1">
        <f t="array" ref="Y991" xml:space="preserve"> INDEX( VfM_Metrics_2023_Consol_Source[], $AK991, Y$832 )</f>
        <v>-2.5952458482578964E-2</v>
      </c>
      <c r="Z991" s="35">
        <f xml:space="preserve"> IF( tblFilterAll[[#This Row],[Operating Margin (Overall)]] &lt; Y$825, 4, IF( tblFilterAll[[#This Row],[Operating Margin (Overall)]] &lt; Y$826, 3, IF( tblFilterAll[[#This Row],[Operating Margin (Overall)]] &lt; Y$827, 2, 1 ) ) )</f>
        <v>4</v>
      </c>
      <c r="AA991" s="35">
        <f xml:space="preserve"> COUNTIFS( tblFilterAll[Include in output], 1, tblFilterAll[Operating Margin (Overall)], "&gt;" &amp; tblFilterAll[[#This Row],[Operating Margin (Overall)]] ) + 1</f>
        <v>193</v>
      </c>
      <c r="AB991" s="30" cm="1">
        <f t="array" ref="AB991" xml:space="preserve"> INDEX( VfM_Metrics_2023_Consol_Source[], $AK991, AB$832 )</f>
        <v>-2.9389236887112175E-2</v>
      </c>
      <c r="AC991" s="35">
        <f xml:space="preserve"> IF( tblFilterAll[[#This Row],[ROCE]] &lt; AB$825, 4, IF( tblFilterAll[[#This Row],[ROCE]] &lt; AB$826, 3, IF( tblFilterAll[[#This Row],[ROCE]] &lt; AB$827, 2, 1 ) ) )</f>
        <v>4</v>
      </c>
      <c r="AD991" s="35">
        <f xml:space="preserve"> COUNTIFS( tblFilterAll[Include in output], 1, tblFilterAll[ROCE], "&gt;" &amp; tblFilterAll[[#This Row],[ROCE]] ) + 1</f>
        <v>196</v>
      </c>
      <c r="AE991" s="33" cm="1" vm="656">
        <f t="array" ref="AE991" xml:space="preserve"> INDEX( VfM_Metrics_2023_Consol_Source[], $AK991, AE$832 )</f>
        <v>1749</v>
      </c>
      <c r="AF991" s="30" cm="1">
        <f t="array" ref="AF991" xml:space="preserve"> INDEX( VfM_Metrics_2023_Consol_Source[], $AK991, AF$832 )</f>
        <v>0.82561463693539161</v>
      </c>
      <c r="AG991" s="30" cm="1">
        <f t="array" ref="AG991" xml:space="preserve"> INDEX( VfM_Metrics_2023_Consol_Source[], $AK991, AG$832 )</f>
        <v>0</v>
      </c>
      <c r="AH991" s="30" cm="1">
        <f t="array" ref="AH991" xml:space="preserve"> INDEX( VfM_Metrics_2023_Consol_Source[], $AK991, AH$832 )</f>
        <v>0.82561463693539161</v>
      </c>
      <c r="AI991" s="30" t="str" cm="1">
        <f t="array" ref="AI991" xml:space="preserve"> INDEX( VfM_Metrics_2023_Consol_Source[], $AK991, AI$832 )</f>
        <v>Traditional</v>
      </c>
      <c r="AJ991" s="34" t="str" cm="1">
        <f t="array" ref="AJ991" xml:space="preserve"> INDEX( VfM_Metrics_2023_Consol_Source[], $AK991, AJ$832 )</f>
        <v>London</v>
      </c>
      <c r="AK991" s="81">
        <f xml:space="preserve"> MATCH( tblFilterAll[[#This Row],[Code]], VfM_Metrics_2023_Consol_Source[RP_Code], 0 )</f>
        <v>158</v>
      </c>
      <c r="AL991" s="24">
        <f xml:space="preserve"> INDEX( tblFilterRegion[Include for region],  MATCH( tblFilterAll[[#This Row],[Code]], tblFilterRegion[RP_Code], 0 ) )</f>
        <v>1</v>
      </c>
      <c r="AM991" s="24">
        <f xml:space="preserve"> INDEX( tblFilterPropType[Incl for prop type],  MATCH( tblFilterAll[[#This Row],[Code]], tblFilterPropType[RP_Code], 0 ) )</f>
        <v>1</v>
      </c>
      <c r="AN991" s="24">
        <f xml:space="preserve"> INDEX( tblFilterSize[Incl for size],  MATCH( tblFilterAll[[#This Row],[Code]], tblFilterSize[RP_Code], 0 ) )</f>
        <v>1</v>
      </c>
      <c r="AO991" s="24">
        <f xml:space="preserve"> INDEX( tblFilterRP_Type[Incl, for RP Type],  MATCH( tblFilterAll[[#This Row],[Code]], tblFilterRP_Type[RP_Code], 0 ) )</f>
        <v>1</v>
      </c>
      <c r="AP991" s="24">
        <f xml:space="preserve">  -- ( SUM( tblFilterAll[[#This Row],[Filter Region]:[Filter RP Type]] ) = 4 )</f>
        <v>1</v>
      </c>
      <c r="AQ991" s="24">
        <f xml:space="preserve"> -- ( tblFilterAll[[#This Row],[Provider name]] = SelectedProvider )</f>
        <v>0</v>
      </c>
      <c r="AR991" s="24">
        <f xml:space="preserve">  -- ( OR( SUM( tblFilterAll[[#This Row],[Filter Region]:[Filter RP Type]] ) = 4, tblFilterAll[[#This Row],[SelectedProvider]] = 1 ) )</f>
        <v>1</v>
      </c>
      <c r="AS991" s="24">
        <f xml:space="preserve"> -- ( INDEX( PeersCritera[Included in final peers], MATCH( tblFilterAll[[#This Row],[Provider name]], PeersCritera[RP_Name], 0 ) ) = 1 )</f>
        <v>1</v>
      </c>
      <c r="AT991" s="30" t="str" cm="1">
        <f t="array" ref="AT991" xml:space="preserve"> SUBSTITUTE( INDEX( VfM_Metrics_2023_Consol_Source[], $AK991, AT$832 ), 0, "" )</f>
        <v/>
      </c>
      <c r="AU991" s="34" cm="1">
        <f t="array" ref="AU991" xml:space="preserve"> INDEX( VfM_Metrics_2023_Consol_Source[], $AK991, AU$832 )</f>
        <v>0.88193624557260919</v>
      </c>
      <c r="AV991" s="34" cm="1">
        <f t="array" ref="AV991" xml:space="preserve"> INDEX( VfM_Metrics_2023_Consol_Source[], $AK991, AV$832 )</f>
        <v>5.5489964580873671E-2</v>
      </c>
      <c r="AW991" s="34" cm="1">
        <f t="array" ref="AW991" xml:space="preserve"> INDEX( VfM_Metrics_2023_Consol_Source[], $AK991, AW$832 )</f>
        <v>5.9622195985832349E-2</v>
      </c>
      <c r="AX991" s="34" cm="1">
        <f t="array" ref="AX991" xml:space="preserve"> INDEX( VfM_Metrics_2023_Consol_Source[], $AK991, AX$832 )</f>
        <v>0</v>
      </c>
      <c r="AY991" s="34" cm="1">
        <f t="array" ref="AY991" xml:space="preserve"> INDEX( VfM_Metrics_2023_Consol_Source[], $AK991, AY$832 )</f>
        <v>0</v>
      </c>
      <c r="AZ991" s="34" cm="1">
        <f t="array" ref="AZ991" xml:space="preserve"> INDEX( VfM_Metrics_2023_Consol_Source[], $AK991, AZ$832 )</f>
        <v>2.9515938606847697E-3</v>
      </c>
      <c r="BA991" s="34" cm="1">
        <f t="array" ref="BA991" xml:space="preserve"> INDEX( VfM_Metrics_2023_Consol_Source[], $AK991, BA$832 )</f>
        <v>0</v>
      </c>
      <c r="BB991" s="34" cm="1">
        <f t="array" ref="BB991" xml:space="preserve"> INDEX( VfM_Metrics_2023_Consol_Source[], $AK991, BB$832 )</f>
        <v>0</v>
      </c>
      <c r="BC991" s="34" cm="1">
        <f t="array" ref="BC991" xml:space="preserve"> INDEX( VfM_Metrics_2023_Consol_Source[], $AK991, BC$832 )</f>
        <v>0</v>
      </c>
    </row>
    <row r="992" spans="2:55" x14ac:dyDescent="0.2">
      <c r="B992" s="122" t="str" vm="159">
        <f t="shared" ref="B992" si="497" xml:space="preserve"> B782</f>
        <v>Stonewater Limited</v>
      </c>
      <c r="C992" s="122" t="str" vm="261">
        <f t="shared" si="467"/>
        <v>L1556</v>
      </c>
      <c r="D992" s="30" cm="1">
        <f t="array" ref="D992" xml:space="preserve"> INDEX( VfM_Metrics_2023_Consol_Source[], $AK992, D$832 )</f>
        <v>9.3822464240118808E-2</v>
      </c>
      <c r="E992" s="35">
        <f xml:space="preserve"> IF( tblFilterAll[[#This Row],[Reinvestment]] &lt; D$825, 4, IF( tblFilterAll[[#This Row],[Reinvestment]] &lt; D$826, 3, IF( tblFilterAll[[#This Row],[Reinvestment]] &lt; D$827, 2, 1 ) ) )</f>
        <v>1</v>
      </c>
      <c r="F992" s="35">
        <f xml:space="preserve"> COUNTIFS( tblFilterAll[Include in output], 1, tblFilterAll[Reinvestment], "&gt;" &amp; tblFilterAll[[#This Row],[Reinvestment]] ) + 1</f>
        <v>49</v>
      </c>
      <c r="G992" s="30" cm="1">
        <f t="array" ref="G992" xml:space="preserve"> INDEX( VfM_Metrics_2023_Consol_Source[], $AK992, G$832 )</f>
        <v>3.1399567112764079E-2</v>
      </c>
      <c r="H992" s="35">
        <f xml:space="preserve"> IF( tblFilterAll[[#This Row],[New Supply (Social)]] &lt; G$825, 4, IF( tblFilterAll[[#This Row],[New Supply (Social)]] &lt; G$826, 3, IF( tblFilterAll[[#This Row],[New Supply (Social)]] &lt; G$827, 2, 1 ) ) )</f>
        <v>1</v>
      </c>
      <c r="I992" s="35">
        <f xml:space="preserve"> COUNTIFS( tblFilterAll[Include in output], 1, tblFilterAll[New Supply (Social)], "&gt;" &amp; tblFilterAll[[#This Row],[New Supply (Social)]] ) + 1</f>
        <v>16</v>
      </c>
      <c r="J992" s="31" cm="1">
        <f t="array" ref="J992" xml:space="preserve"> INDEX( VfM_Metrics_2023_Consol_Source[], $AK992, J$832 )</f>
        <v>0</v>
      </c>
      <c r="K992" s="35">
        <f xml:space="preserve"> IF( tblFilterAll[[#This Row],[New Supply (Non-Social)]] &lt; J$825, 4, IF( tblFilterAll[[#This Row],[New Supply (Non-Social)]] &lt; J$826, 3, IF( tblFilterAll[[#This Row],[New Supply (Non-Social)]] &lt; J$827, 2, 1 ) ) )</f>
        <v>2</v>
      </c>
      <c r="L992" s="35">
        <f xml:space="preserve"> COUNTIFS( tblFilterAll[Include in output], 1, tblFilterAll[New Supply (Non-Social)], "&gt;" &amp; tblFilterAll[[#This Row],[New Supply (Non-Social)]] ) + 1</f>
        <v>72</v>
      </c>
      <c r="M992" s="30" cm="1">
        <f t="array" ref="M992" xml:space="preserve"> INDEX( VfM_Metrics_2023_Consol_Source[], $AK992, M$832 )</f>
        <v>0.54062670724560724</v>
      </c>
      <c r="N992" s="35">
        <f xml:space="preserve"> IF( tblFilterAll[[#This Row],[Gearing]] &lt; M$825, 4, IF( tblFilterAll[[#This Row],[Gearing]] &lt; M$826, 3, IF( tblFilterAll[[#This Row],[Gearing]] &lt; M$827, 2, 1 ) ) )</f>
        <v>1</v>
      </c>
      <c r="O992" s="35">
        <f xml:space="preserve"> COUNTIFS( tblFilterAll[Include in output], 1, tblFilterAll[Gearing], "&gt;" &amp; tblFilterAll[[#This Row],[Gearing]] ) + 1</f>
        <v>47</v>
      </c>
      <c r="P992" s="30" cm="1">
        <f t="array" ref="P992" xml:space="preserve"> INDEX( VfM_Metrics_2023_Consol_Source[], $AK992, P$832 )</f>
        <v>1.0625449760470425</v>
      </c>
      <c r="Q992" s="35">
        <f xml:space="preserve"> IF( tblFilterAll[[#This Row],[EBITDA MRI Interest Cover]] &lt; P$825, 4, IF( tblFilterAll[[#This Row],[EBITDA MRI Interest Cover]] &lt; P$826, 3, IF( tblFilterAll[[#This Row],[EBITDA MRI Interest Cover]] &lt; P$827, 2, 1 ) ) )</f>
        <v>3</v>
      </c>
      <c r="R992" s="35">
        <f xml:space="preserve"> COUNTIFS( tblFilterAll[Include in output], 1, tblFilterAll[EBITDA MRI Interest Cover], "&gt;" &amp; tblFilterAll[[#This Row],[EBITDA MRI Interest Cover]] ) + 1</f>
        <v>131</v>
      </c>
      <c r="S992" s="32" cm="1">
        <f t="array" ref="S992" xml:space="preserve"> INDEX( VfM_Metrics_2023_Consol_Source[], $AK992, S$832 )</f>
        <v>3996.9173359292613</v>
      </c>
      <c r="T992" s="35">
        <f xml:space="preserve"> IF( tblFilterAll[[#This Row],[Headline Social Housing Cost per unit]] &lt; S$825, 4, IF( tblFilterAll[[#This Row],[Headline Social Housing Cost per unit]] &lt; S$826, 3, IF( tblFilterAll[[#This Row],[Headline Social Housing Cost per unit]] &lt; S$827, 2, 1 ) ) )</f>
        <v>4</v>
      </c>
      <c r="U992" s="35">
        <f xml:space="preserve"> COUNTIFS( tblFilterAll[Include in output], 1, tblFilterAll[Headline Social Housing Cost per unit], "&gt;" &amp; tblFilterAll[[#This Row],[Headline Social Housing Cost per unit]] ) + 1</f>
        <v>164</v>
      </c>
      <c r="V992" s="30" cm="1">
        <f t="array" ref="V992" xml:space="preserve"> INDEX( VfM_Metrics_2023_Consol_Source[], $AK992, V$832 )</f>
        <v>0.2317784758168778</v>
      </c>
      <c r="W992" s="35">
        <f xml:space="preserve"> IF( tblFilterAll[[#This Row],[Operating Margin (SHL)]] &lt; V$825, 4, IF( tblFilterAll[[#This Row],[Operating Margin (SHL)]] &lt; V$826, 3, IF( tblFilterAll[[#This Row],[Operating Margin (SHL)]] &lt; V$827, 2, 1 ) ) )</f>
        <v>2</v>
      </c>
      <c r="X992" s="35">
        <f xml:space="preserve"> COUNTIFS( tblFilterAll[Include in output], 1, tblFilterAll[Operating Margin (SHL)], "&gt;" &amp; tblFilterAll[[#This Row],[Operating Margin (SHL)]] ) + 1</f>
        <v>69</v>
      </c>
      <c r="Y992" s="30" cm="1">
        <f t="array" ref="Y992" xml:space="preserve"> INDEX( VfM_Metrics_2023_Consol_Source[], $AK992, Y$832 )</f>
        <v>0.21576553392167447</v>
      </c>
      <c r="Z992" s="35">
        <f xml:space="preserve"> IF( tblFilterAll[[#This Row],[Operating Margin (Overall)]] &lt; Y$825, 4, IF( tblFilterAll[[#This Row],[Operating Margin (Overall)]] &lt; Y$826, 3, IF( tblFilterAll[[#This Row],[Operating Margin (Overall)]] &lt; Y$827, 2, 1 ) ) )</f>
        <v>2</v>
      </c>
      <c r="AA992" s="35">
        <f xml:space="preserve"> COUNTIFS( tblFilterAll[Include in output], 1, tblFilterAll[Operating Margin (Overall)], "&gt;" &amp; tblFilterAll[[#This Row],[Operating Margin (Overall)]] ) + 1</f>
        <v>66</v>
      </c>
      <c r="AB992" s="30" cm="1">
        <f t="array" ref="AB992" xml:space="preserve"> INDEX( VfM_Metrics_2023_Consol_Source[], $AK992, AB$832 )</f>
        <v>2.5689876471817873E-2</v>
      </c>
      <c r="AC992" s="35">
        <f xml:space="preserve"> IF( tblFilterAll[[#This Row],[ROCE]] &lt; AB$825, 4, IF( tblFilterAll[[#This Row],[ROCE]] &lt; AB$826, 3, IF( tblFilterAll[[#This Row],[ROCE]] &lt; AB$827, 2, 1 ) ) )</f>
        <v>3</v>
      </c>
      <c r="AD992" s="35">
        <f xml:space="preserve"> COUNTIFS( tblFilterAll[Include in output], 1, tblFilterAll[ROCE], "&gt;" &amp; tblFilterAll[[#This Row],[ROCE]] ) + 1</f>
        <v>120</v>
      </c>
      <c r="AE992" s="33" cm="1" vm="7644">
        <f t="array" ref="AE992" xml:space="preserve"> INDEX( VfM_Metrics_2023_Consol_Source[], $AK992, AE$832 )</f>
        <v>32803</v>
      </c>
      <c r="AF992" s="30" cm="1">
        <f t="array" ref="AF992" xml:space="preserve"> INDEX( VfM_Metrics_2023_Consol_Source[], $AK992, AF$832 )</f>
        <v>1.9426546391752578E-2</v>
      </c>
      <c r="AG992" s="30" cm="1">
        <f t="array" ref="AG992" xml:space="preserve"> INDEX( VfM_Metrics_2023_Consol_Source[], $AK992, AG$832 )</f>
        <v>7.6997422680412375E-2</v>
      </c>
      <c r="AH992" s="30" cm="1">
        <f t="array" ref="AH992" xml:space="preserve"> INDEX( VfM_Metrics_2023_Consol_Source[], $AK992, AH$832 )</f>
        <v>9.6423969072164953E-2</v>
      </c>
      <c r="AI992" s="30" t="str" cm="1">
        <f t="array" ref="AI992" xml:space="preserve"> INDEX( VfM_Metrics_2023_Consol_Source[], $AK992, AI$832 )</f>
        <v>Traditional</v>
      </c>
      <c r="AJ992" s="34" t="str" cm="1">
        <f t="array" ref="AJ992" xml:space="preserve"> INDEX( VfM_Metrics_2023_Consol_Source[], $AK992, AJ$832 )</f>
        <v>Mixed</v>
      </c>
      <c r="AK992" s="81">
        <f xml:space="preserve"> MATCH( tblFilterAll[[#This Row],[Code]], VfM_Metrics_2023_Consol_Source[RP_Code], 0 )</f>
        <v>159</v>
      </c>
      <c r="AL992" s="24">
        <f xml:space="preserve"> INDEX( tblFilterRegion[Include for region],  MATCH( tblFilterAll[[#This Row],[Code]], tblFilterRegion[RP_Code], 0 ) )</f>
        <v>1</v>
      </c>
      <c r="AM992" s="24">
        <f xml:space="preserve"> INDEX( tblFilterPropType[Incl for prop type],  MATCH( tblFilterAll[[#This Row],[Code]], tblFilterPropType[RP_Code], 0 ) )</f>
        <v>1</v>
      </c>
      <c r="AN992" s="24">
        <f xml:space="preserve"> INDEX( tblFilterSize[Incl for size],  MATCH( tblFilterAll[[#This Row],[Code]], tblFilterSize[RP_Code], 0 ) )</f>
        <v>1</v>
      </c>
      <c r="AO992" s="24">
        <f xml:space="preserve"> INDEX( tblFilterRP_Type[Incl, for RP Type],  MATCH( tblFilterAll[[#This Row],[Code]], tblFilterRP_Type[RP_Code], 0 ) )</f>
        <v>1</v>
      </c>
      <c r="AP992" s="24">
        <f xml:space="preserve">  -- ( SUM( tblFilterAll[[#This Row],[Filter Region]:[Filter RP Type]] ) = 4 )</f>
        <v>1</v>
      </c>
      <c r="AQ992" s="24">
        <f xml:space="preserve"> -- ( tblFilterAll[[#This Row],[Provider name]] = SelectedProvider )</f>
        <v>0</v>
      </c>
      <c r="AR992" s="24">
        <f xml:space="preserve">  -- ( OR( SUM( tblFilterAll[[#This Row],[Filter Region]:[Filter RP Type]] ) = 4, tblFilterAll[[#This Row],[SelectedProvider]] = 1 ) )</f>
        <v>1</v>
      </c>
      <c r="AS992" s="24">
        <f xml:space="preserve"> -- ( INDEX( PeersCritera[Included in final peers], MATCH( tblFilterAll[[#This Row],[Provider name]], PeersCritera[RP_Name], 0 ) ) = 1 )</f>
        <v>1</v>
      </c>
      <c r="AT992" s="30" t="str" cm="1">
        <f t="array" ref="AT992" xml:space="preserve"> SUBSTITUTE( INDEX( VfM_Metrics_2023_Consol_Source[], $AK992, AT$832 ), 0, "" )</f>
        <v/>
      </c>
      <c r="AU992" s="34" cm="1">
        <f t="array" ref="AU992" xml:space="preserve"> INDEX( VfM_Metrics_2023_Consol_Source[], $AK992, AU$832 )</f>
        <v>3.0813792253412625E-5</v>
      </c>
      <c r="AV992" s="34" cm="1">
        <f t="array" ref="AV992" xml:space="preserve"> INDEX( VfM_Metrics_2023_Consol_Source[], $AK992, AV$832 )</f>
        <v>0.22682032477737035</v>
      </c>
      <c r="AW992" s="34" cm="1">
        <f t="array" ref="AW992" xml:space="preserve"> INDEX( VfM_Metrics_2023_Consol_Source[], $AK992, AW$832 )</f>
        <v>0.28733861276307276</v>
      </c>
      <c r="AX992" s="34" cm="1">
        <f t="array" ref="AX992" xml:space="preserve"> INDEX( VfM_Metrics_2023_Consol_Source[], $AK992, AX$832 )</f>
        <v>5.5772963978676857E-2</v>
      </c>
      <c r="AY992" s="34" cm="1">
        <f t="array" ref="AY992" xml:space="preserve"> INDEX( VfM_Metrics_2023_Consol_Source[], $AK992, AY$832 )</f>
        <v>0.25264228268573014</v>
      </c>
      <c r="AZ992" s="34" cm="1">
        <f t="array" ref="AZ992" xml:space="preserve"> INDEX( VfM_Metrics_2023_Consol_Source[], $AK992, AZ$832 )</f>
        <v>0.12217668628478107</v>
      </c>
      <c r="BA992" s="34" cm="1">
        <f t="array" ref="BA992" xml:space="preserve"> INDEX( VfM_Metrics_2023_Consol_Source[], $AK992, BA$832 )</f>
        <v>0</v>
      </c>
      <c r="BB992" s="34" cm="1">
        <f t="array" ref="BB992" xml:space="preserve"> INDEX( VfM_Metrics_2023_Consol_Source[], $AK992, BB$832 )</f>
        <v>0</v>
      </c>
      <c r="BC992" s="34" cm="1">
        <f t="array" ref="BC992" xml:space="preserve"> INDEX( VfM_Metrics_2023_Consol_Source[], $AK992, BC$832 )</f>
        <v>5.5218315718115425E-2</v>
      </c>
    </row>
    <row r="993" spans="2:55" x14ac:dyDescent="0.2">
      <c r="B993" s="122" t="str" vm="160">
        <f t="shared" ref="B993" si="498" xml:space="preserve"> B783</f>
        <v>Sustain (UK) Ltd</v>
      </c>
      <c r="C993" s="122" t="str" vm="209">
        <f t="shared" si="467"/>
        <v>4687</v>
      </c>
      <c r="D993" s="30" t="str" cm="1">
        <f t="array" ref="D993" xml:space="preserve"> INDEX( VfM_Metrics_2023_Consol_Source[], $AK993, D$832 )</f>
        <v>n/a</v>
      </c>
      <c r="E993" s="35">
        <f xml:space="preserve"> IF( tblFilterAll[[#This Row],[Reinvestment]] &lt; D$825, 4, IF( tblFilterAll[[#This Row],[Reinvestment]] &lt; D$826, 3, IF( tblFilterAll[[#This Row],[Reinvestment]] &lt; D$827, 2, 1 ) ) )</f>
        <v>1</v>
      </c>
      <c r="F993" s="35">
        <f xml:space="preserve"> COUNTIFS( tblFilterAll[Include in output], 1, tblFilterAll[Reinvestment], "&gt;" &amp; tblFilterAll[[#This Row],[Reinvestment]] ) + 1</f>
        <v>1</v>
      </c>
      <c r="G993" s="30" cm="1">
        <f t="array" ref="G993" xml:space="preserve"> INDEX( VfM_Metrics_2023_Consol_Source[], $AK993, G$832 )</f>
        <v>0</v>
      </c>
      <c r="H993" s="35">
        <f xml:space="preserve"> IF( tblFilterAll[[#This Row],[New Supply (Social)]] &lt; G$825, 4, IF( tblFilterAll[[#This Row],[New Supply (Social)]] &lt; G$826, 3, IF( tblFilterAll[[#This Row],[New Supply (Social)]] &lt; G$827, 2, 1 ) ) )</f>
        <v>4</v>
      </c>
      <c r="I993" s="35">
        <f xml:space="preserve"> COUNTIFS( tblFilterAll[Include in output], 1, tblFilterAll[New Supply (Social)], "&gt;" &amp; tblFilterAll[[#This Row],[New Supply (Social)]] ) + 1</f>
        <v>187</v>
      </c>
      <c r="J993" s="31" cm="1">
        <f t="array" ref="J993" xml:space="preserve"> INDEX( VfM_Metrics_2023_Consol_Source[], $AK993, J$832 )</f>
        <v>0</v>
      </c>
      <c r="K993" s="35">
        <f xml:space="preserve"> IF( tblFilterAll[[#This Row],[New Supply (Non-Social)]] &lt; J$825, 4, IF( tblFilterAll[[#This Row],[New Supply (Non-Social)]] &lt; J$826, 3, IF( tblFilterAll[[#This Row],[New Supply (Non-Social)]] &lt; J$827, 2, 1 ) ) )</f>
        <v>2</v>
      </c>
      <c r="L993" s="35">
        <f xml:space="preserve"> COUNTIFS( tblFilterAll[Include in output], 1, tblFilterAll[New Supply (Non-Social)], "&gt;" &amp; tblFilterAll[[#This Row],[New Supply (Non-Social)]] ) + 1</f>
        <v>72</v>
      </c>
      <c r="M993" s="30" t="str" cm="1">
        <f t="array" ref="M993" xml:space="preserve"> INDEX( VfM_Metrics_2023_Consol_Source[], $AK993, M$832 )</f>
        <v>n/a</v>
      </c>
      <c r="N993" s="35">
        <f xml:space="preserve"> IF( tblFilterAll[[#This Row],[Gearing]] &lt; M$825, 4, IF( tblFilterAll[[#This Row],[Gearing]] &lt; M$826, 3, IF( tblFilterAll[[#This Row],[Gearing]] &lt; M$827, 2, 1 ) ) )</f>
        <v>1</v>
      </c>
      <c r="O993" s="35">
        <f xml:space="preserve"> COUNTIFS( tblFilterAll[Include in output], 1, tblFilterAll[Gearing], "&gt;" &amp; tblFilterAll[[#This Row],[Gearing]] ) + 1</f>
        <v>1</v>
      </c>
      <c r="P993" s="30" t="str" cm="1">
        <f t="array" ref="P993" xml:space="preserve"> INDEX( VfM_Metrics_2023_Consol_Source[], $AK993, P$832 )</f>
        <v>n/a</v>
      </c>
      <c r="Q993" s="35">
        <f xml:space="preserve"> IF( tblFilterAll[[#This Row],[EBITDA MRI Interest Cover]] &lt; P$825, 4, IF( tblFilterAll[[#This Row],[EBITDA MRI Interest Cover]] &lt; P$826, 3, IF( tblFilterAll[[#This Row],[EBITDA MRI Interest Cover]] &lt; P$827, 2, 1 ) ) )</f>
        <v>1</v>
      </c>
      <c r="R993" s="35">
        <f xml:space="preserve"> COUNTIFS( tblFilterAll[Include in output], 1, tblFilterAll[EBITDA MRI Interest Cover], "&gt;" &amp; tblFilterAll[[#This Row],[EBITDA MRI Interest Cover]] ) + 1</f>
        <v>1</v>
      </c>
      <c r="S993" s="32" cm="1">
        <f t="array" ref="S993" xml:space="preserve"> INDEX( VfM_Metrics_2023_Consol_Source[], $AK993, S$832 )</f>
        <v>8375.85868498528</v>
      </c>
      <c r="T993" s="35">
        <f xml:space="preserve"> IF( tblFilterAll[[#This Row],[Headline Social Housing Cost per unit]] &lt; S$825, 4, IF( tblFilterAll[[#This Row],[Headline Social Housing Cost per unit]] &lt; S$826, 3, IF( tblFilterAll[[#This Row],[Headline Social Housing Cost per unit]] &lt; S$827, 2, 1 ) ) )</f>
        <v>1</v>
      </c>
      <c r="U993" s="35">
        <f xml:space="preserve"> COUNTIFS( tblFilterAll[Include in output], 1, tblFilterAll[Headline Social Housing Cost per unit], "&gt;" &amp; tblFilterAll[[#This Row],[Headline Social Housing Cost per unit]] ) + 1</f>
        <v>20</v>
      </c>
      <c r="V993" s="30" cm="1">
        <f t="array" ref="V993" xml:space="preserve"> INDEX( VfM_Metrics_2023_Consol_Source[], $AK993, V$832 )</f>
        <v>4.4714309698360287E-2</v>
      </c>
      <c r="W993" s="35">
        <f xml:space="preserve"> IF( tblFilterAll[[#This Row],[Operating Margin (SHL)]] &lt; V$825, 4, IF( tblFilterAll[[#This Row],[Operating Margin (SHL)]] &lt; V$826, 3, IF( tblFilterAll[[#This Row],[Operating Margin (SHL)]] &lt; V$827, 2, 1 ) ) )</f>
        <v>4</v>
      </c>
      <c r="X993" s="35">
        <f xml:space="preserve"> COUNTIFS( tblFilterAll[Include in output], 1, tblFilterAll[Operating Margin (SHL)], "&gt;" &amp; tblFilterAll[[#This Row],[Operating Margin (SHL)]] ) + 1</f>
        <v>187</v>
      </c>
      <c r="Y993" s="30" cm="1">
        <f t="array" ref="Y993" xml:space="preserve"> INDEX( VfM_Metrics_2023_Consol_Source[], $AK993, Y$832 )</f>
        <v>4.4714309698360287E-2</v>
      </c>
      <c r="Z993" s="35">
        <f xml:space="preserve"> IF( tblFilterAll[[#This Row],[Operating Margin (Overall)]] &lt; Y$825, 4, IF( tblFilterAll[[#This Row],[Operating Margin (Overall)]] &lt; Y$826, 3, IF( tblFilterAll[[#This Row],[Operating Margin (Overall)]] &lt; Y$827, 2, 1 ) ) )</f>
        <v>4</v>
      </c>
      <c r="AA993" s="35">
        <f xml:space="preserve"> COUNTIFS( tblFilterAll[Include in output], 1, tblFilterAll[Operating Margin (Overall)], "&gt;" &amp; tblFilterAll[[#This Row],[Operating Margin (Overall)]] ) + 1</f>
        <v>184</v>
      </c>
      <c r="AB993" s="30" cm="1">
        <f t="array" ref="AB993" xml:space="preserve"> INDEX( VfM_Metrics_2023_Consol_Source[], $AK993, AB$832 )</f>
        <v>0.22406057206954572</v>
      </c>
      <c r="AC993" s="35">
        <f xml:space="preserve"> IF( tblFilterAll[[#This Row],[ROCE]] &lt; AB$825, 4, IF( tblFilterAll[[#This Row],[ROCE]] &lt; AB$826, 3, IF( tblFilterAll[[#This Row],[ROCE]] &lt; AB$827, 2, 1 ) ) )</f>
        <v>1</v>
      </c>
      <c r="AD993" s="35">
        <f xml:space="preserve"> COUNTIFS( tblFilterAll[Include in output], 1, tblFilterAll[ROCE], "&gt;" &amp; tblFilterAll[[#This Row],[ROCE]] ) + 1</f>
        <v>1</v>
      </c>
      <c r="AE993" s="33" cm="1" vm="9106">
        <f t="array" ref="AE993" xml:space="preserve"> INDEX( VfM_Metrics_2023_Consol_Source[], $AK993, AE$832 )</f>
        <v>2038</v>
      </c>
      <c r="AF993" s="30" cm="1">
        <f t="array" ref="AF993" xml:space="preserve"> INDEX( VfM_Metrics_2023_Consol_Source[], $AK993, AF$832 )</f>
        <v>1</v>
      </c>
      <c r="AG993" s="30" cm="1">
        <f t="array" ref="AG993" xml:space="preserve"> INDEX( VfM_Metrics_2023_Consol_Source[], $AK993, AG$832 )</f>
        <v>0</v>
      </c>
      <c r="AH993" s="30" cm="1">
        <f t="array" ref="AH993" xml:space="preserve"> INDEX( VfM_Metrics_2023_Consol_Source[], $AK993, AH$832 )</f>
        <v>1</v>
      </c>
      <c r="AI993" s="30" t="str" cm="1">
        <f t="array" ref="AI993" xml:space="preserve"> INDEX( VfM_Metrics_2023_Consol_Source[], $AK993, AI$832 )</f>
        <v>Traditional</v>
      </c>
      <c r="AJ993" s="34" t="str" cm="1">
        <f t="array" ref="AJ993" xml:space="preserve"> INDEX( VfM_Metrics_2023_Consol_Source[], $AK993, AJ$832 )</f>
        <v>West Midlands</v>
      </c>
      <c r="AK993" s="81">
        <f xml:space="preserve"> MATCH( tblFilterAll[[#This Row],[Code]], VfM_Metrics_2023_Consol_Source[RP_Code], 0 )</f>
        <v>160</v>
      </c>
      <c r="AL993" s="24">
        <f xml:space="preserve"> INDEX( tblFilterRegion[Include for region],  MATCH( tblFilterAll[[#This Row],[Code]], tblFilterRegion[RP_Code], 0 ) )</f>
        <v>1</v>
      </c>
      <c r="AM993" s="24">
        <f xml:space="preserve"> INDEX( tblFilterPropType[Incl for prop type],  MATCH( tblFilterAll[[#This Row],[Code]], tblFilterPropType[RP_Code], 0 ) )</f>
        <v>1</v>
      </c>
      <c r="AN993" s="24">
        <f xml:space="preserve"> INDEX( tblFilterSize[Incl for size],  MATCH( tblFilterAll[[#This Row],[Code]], tblFilterSize[RP_Code], 0 ) )</f>
        <v>1</v>
      </c>
      <c r="AO993" s="24">
        <f xml:space="preserve"> INDEX( tblFilterRP_Type[Incl, for RP Type],  MATCH( tblFilterAll[[#This Row],[Code]], tblFilterRP_Type[RP_Code], 0 ) )</f>
        <v>1</v>
      </c>
      <c r="AP993" s="24">
        <f xml:space="preserve">  -- ( SUM( tblFilterAll[[#This Row],[Filter Region]:[Filter RP Type]] ) = 4 )</f>
        <v>1</v>
      </c>
      <c r="AQ993" s="24">
        <f xml:space="preserve"> -- ( tblFilterAll[[#This Row],[Provider name]] = SelectedProvider )</f>
        <v>0</v>
      </c>
      <c r="AR993" s="24">
        <f xml:space="preserve">  -- ( OR( SUM( tblFilterAll[[#This Row],[Filter Region]:[Filter RP Type]] ) = 4, tblFilterAll[[#This Row],[SelectedProvider]] = 1 ) )</f>
        <v>1</v>
      </c>
      <c r="AS993" s="24">
        <f xml:space="preserve"> -- ( INDEX( PeersCritera[Included in final peers], MATCH( tblFilterAll[[#This Row],[Provider name]], PeersCritera[RP_Name], 0 ) ) = 1 )</f>
        <v>1</v>
      </c>
      <c r="AT993" s="30" t="str" cm="1">
        <f t="array" ref="AT993" xml:space="preserve"> SUBSTITUTE( INDEX( VfM_Metrics_2023_Consol_Source[], $AK993, AT$832 ), 0, "" )</f>
        <v/>
      </c>
      <c r="AU993" s="34" cm="1">
        <f t="array" ref="AU993" xml:space="preserve"> INDEX( VfM_Metrics_2023_Consol_Source[], $AK993, AU$832 )</f>
        <v>0</v>
      </c>
      <c r="AV993" s="34" cm="1">
        <f t="array" ref="AV993" xml:space="preserve"> INDEX( VfM_Metrics_2023_Consol_Source[], $AK993, AV$832 )</f>
        <v>0</v>
      </c>
      <c r="AW993" s="34" cm="1">
        <f t="array" ref="AW993" xml:space="preserve"> INDEX( VfM_Metrics_2023_Consol_Source[], $AK993, AW$832 )</f>
        <v>0</v>
      </c>
      <c r="AX993" s="34" cm="1">
        <f t="array" ref="AX993" xml:space="preserve"> INDEX( VfM_Metrics_2023_Consol_Source[], $AK993, AX$832 )</f>
        <v>0</v>
      </c>
      <c r="AY993" s="34" cm="1">
        <f t="array" ref="AY993" xml:space="preserve"> INDEX( VfM_Metrics_2023_Consol_Source[], $AK993, AY$832 )</f>
        <v>1</v>
      </c>
      <c r="AZ993" s="34" cm="1">
        <f t="array" ref="AZ993" xml:space="preserve"> INDEX( VfM_Metrics_2023_Consol_Source[], $AK993, AZ$832 )</f>
        <v>0</v>
      </c>
      <c r="BA993" s="34" cm="1">
        <f t="array" ref="BA993" xml:space="preserve"> INDEX( VfM_Metrics_2023_Consol_Source[], $AK993, BA$832 )</f>
        <v>0</v>
      </c>
      <c r="BB993" s="34" cm="1">
        <f t="array" ref="BB993" xml:space="preserve"> INDEX( VfM_Metrics_2023_Consol_Source[], $AK993, BB$832 )</f>
        <v>0</v>
      </c>
      <c r="BC993" s="34" cm="1">
        <f t="array" ref="BC993" xml:space="preserve"> INDEX( VfM_Metrics_2023_Consol_Source[], $AK993, BC$832 )</f>
        <v>0</v>
      </c>
    </row>
    <row r="994" spans="2:55" x14ac:dyDescent="0.2">
      <c r="B994" s="122" t="str" vm="161">
        <f t="shared" ref="B994" si="499" xml:space="preserve"> B784</f>
        <v>Teign Housing</v>
      </c>
      <c r="C994" s="122" t="str" vm="327">
        <f t="shared" ref="C994:C1025" si="500" xml:space="preserve"> C784</f>
        <v>LH4403</v>
      </c>
      <c r="D994" s="30" cm="1">
        <f t="array" ref="D994" xml:space="preserve"> INDEX( VfM_Metrics_2023_Consol_Source[], $AK994, D$832 )</f>
        <v>9.6912834453421928E-2</v>
      </c>
      <c r="E994" s="35">
        <f xml:space="preserve"> IF( tblFilterAll[[#This Row],[Reinvestment]] &lt; D$825, 4, IF( tblFilterAll[[#This Row],[Reinvestment]] &lt; D$826, 3, IF( tblFilterAll[[#This Row],[Reinvestment]] &lt; D$827, 2, 1 ) ) )</f>
        <v>1</v>
      </c>
      <c r="F994" s="35">
        <f xml:space="preserve"> COUNTIFS( tblFilterAll[Include in output], 1, tblFilterAll[Reinvestment], "&gt;" &amp; tblFilterAll[[#This Row],[Reinvestment]] ) + 1</f>
        <v>45</v>
      </c>
      <c r="G994" s="30" cm="1">
        <f t="array" ref="G994" xml:space="preserve"> INDEX( VfM_Metrics_2023_Consol_Source[], $AK994, G$832 )</f>
        <v>1.2204424103737605E-2</v>
      </c>
      <c r="H994" s="35">
        <f xml:space="preserve"> IF( tblFilterAll[[#This Row],[New Supply (Social)]] &lt; G$825, 4, IF( tblFilterAll[[#This Row],[New Supply (Social)]] &lt; G$826, 3, IF( tblFilterAll[[#This Row],[New Supply (Social)]] &lt; G$827, 2, 1 ) ) )</f>
        <v>3</v>
      </c>
      <c r="I994" s="35">
        <f xml:space="preserve"> COUNTIFS( tblFilterAll[Include in output], 1, tblFilterAll[New Supply (Social)], "&gt;" &amp; tblFilterAll[[#This Row],[New Supply (Social)]] ) + 1</f>
        <v>106</v>
      </c>
      <c r="J994" s="31" cm="1">
        <f t="array" ref="J994" xml:space="preserve"> INDEX( VfM_Metrics_2023_Consol_Source[], $AK994, J$832 )</f>
        <v>0</v>
      </c>
      <c r="K994" s="35">
        <f xml:space="preserve"> IF( tblFilterAll[[#This Row],[New Supply (Non-Social)]] &lt; J$825, 4, IF( tblFilterAll[[#This Row],[New Supply (Non-Social)]] &lt; J$826, 3, IF( tblFilterAll[[#This Row],[New Supply (Non-Social)]] &lt; J$827, 2, 1 ) ) )</f>
        <v>2</v>
      </c>
      <c r="L994" s="35">
        <f xml:space="preserve"> COUNTIFS( tblFilterAll[Include in output], 1, tblFilterAll[New Supply (Non-Social)], "&gt;" &amp; tblFilterAll[[#This Row],[New Supply (Non-Social)]] ) + 1</f>
        <v>72</v>
      </c>
      <c r="M994" s="30" cm="1">
        <f t="array" ref="M994" xml:space="preserve"> INDEX( VfM_Metrics_2023_Consol_Source[], $AK994, M$832 )</f>
        <v>0.32829922726471844</v>
      </c>
      <c r="N994" s="35">
        <f xml:space="preserve"> IF( tblFilterAll[[#This Row],[Gearing]] &lt; M$825, 4, IF( tblFilterAll[[#This Row],[Gearing]] &lt; M$826, 3, IF( tblFilterAll[[#This Row],[Gearing]] &lt; M$827, 2, 1 ) ) )</f>
        <v>4</v>
      </c>
      <c r="O994" s="35">
        <f xml:space="preserve"> COUNTIFS( tblFilterAll[Include in output], 1, tblFilterAll[Gearing], "&gt;" &amp; tblFilterAll[[#This Row],[Gearing]] ) + 1</f>
        <v>152</v>
      </c>
      <c r="P994" s="30" cm="1">
        <f t="array" ref="P994" xml:space="preserve"> INDEX( VfM_Metrics_2023_Consol_Source[], $AK994, P$832 )</f>
        <v>1.4733952702702702</v>
      </c>
      <c r="Q994" s="35">
        <f xml:space="preserve"> IF( tblFilterAll[[#This Row],[EBITDA MRI Interest Cover]] &lt; P$825, 4, IF( tblFilterAll[[#This Row],[EBITDA MRI Interest Cover]] &lt; P$826, 3, IF( tblFilterAll[[#This Row],[EBITDA MRI Interest Cover]] &lt; P$827, 2, 1 ) ) )</f>
        <v>2</v>
      </c>
      <c r="R994" s="35">
        <f xml:space="preserve"> COUNTIFS( tblFilterAll[Include in output], 1, tblFilterAll[EBITDA MRI Interest Cover], "&gt;" &amp; tblFilterAll[[#This Row],[EBITDA MRI Interest Cover]] ) + 1</f>
        <v>67</v>
      </c>
      <c r="S994" s="32" cm="1">
        <f t="array" ref="S994" xml:space="preserve"> INDEX( VfM_Metrics_2023_Consol_Source[], $AK994, S$832 )</f>
        <v>4341.3802151666232</v>
      </c>
      <c r="T994" s="35">
        <f xml:space="preserve"> IF( tblFilterAll[[#This Row],[Headline Social Housing Cost per unit]] &lt; S$825, 4, IF( tblFilterAll[[#This Row],[Headline Social Housing Cost per unit]] &lt; S$826, 3, IF( tblFilterAll[[#This Row],[Headline Social Housing Cost per unit]] &lt; S$827, 2, 1 ) ) )</f>
        <v>3</v>
      </c>
      <c r="U994" s="35">
        <f xml:space="preserve"> COUNTIFS( tblFilterAll[Include in output], 1, tblFilterAll[Headline Social Housing Cost per unit], "&gt;" &amp; tblFilterAll[[#This Row],[Headline Social Housing Cost per unit]] ) + 1</f>
        <v>121</v>
      </c>
      <c r="V994" s="30" cm="1">
        <f t="array" ref="V994" xml:space="preserve"> INDEX( VfM_Metrics_2023_Consol_Source[], $AK994, V$832 )</f>
        <v>0.20203743923880443</v>
      </c>
      <c r="W994" s="35">
        <f xml:space="preserve"> IF( tblFilterAll[[#This Row],[Operating Margin (SHL)]] &lt; V$825, 4, IF( tblFilterAll[[#This Row],[Operating Margin (SHL)]] &lt; V$826, 3, IF( tblFilterAll[[#This Row],[Operating Margin (SHL)]] &lt; V$827, 2, 1 ) ) )</f>
        <v>2</v>
      </c>
      <c r="X994" s="35">
        <f xml:space="preserve"> COUNTIFS( tblFilterAll[Include in output], 1, tblFilterAll[Operating Margin (SHL)], "&gt;" &amp; tblFilterAll[[#This Row],[Operating Margin (SHL)]] ) + 1</f>
        <v>95</v>
      </c>
      <c r="Y994" s="30" cm="1">
        <f t="array" ref="Y994" xml:space="preserve"> INDEX( VfM_Metrics_2023_Consol_Source[], $AK994, Y$832 )</f>
        <v>0.20154277699859749</v>
      </c>
      <c r="Z994" s="35">
        <f xml:space="preserve"> IF( tblFilterAll[[#This Row],[Operating Margin (Overall)]] &lt; Y$825, 4, IF( tblFilterAll[[#This Row],[Operating Margin (Overall)]] &lt; Y$826, 3, IF( tblFilterAll[[#This Row],[Operating Margin (Overall)]] &lt; Y$827, 2, 1 ) ) )</f>
        <v>2</v>
      </c>
      <c r="AA994" s="35">
        <f xml:space="preserve"> COUNTIFS( tblFilterAll[Include in output], 1, tblFilterAll[Operating Margin (Overall)], "&gt;" &amp; tblFilterAll[[#This Row],[Operating Margin (Overall)]] ) + 1</f>
        <v>82</v>
      </c>
      <c r="AB994" s="30" cm="1">
        <f t="array" ref="AB994" xml:space="preserve"> INDEX( VfM_Metrics_2023_Consol_Source[], $AK994, AB$832 )</f>
        <v>2.6553369111508646E-2</v>
      </c>
      <c r="AC994" s="35">
        <f xml:space="preserve"> IF( tblFilterAll[[#This Row],[ROCE]] &lt; AB$825, 4, IF( tblFilterAll[[#This Row],[ROCE]] &lt; AB$826, 3, IF( tblFilterAll[[#This Row],[ROCE]] &lt; AB$827, 2, 1 ) ) )</f>
        <v>3</v>
      </c>
      <c r="AD994" s="35">
        <f xml:space="preserve"> COUNTIFS( tblFilterAll[Include in output], 1, tblFilterAll[ROCE], "&gt;" &amp; tblFilterAll[[#This Row],[ROCE]] ) + 1</f>
        <v>115</v>
      </c>
      <c r="AE994" s="33" cm="1" vm="4282">
        <f t="array" ref="AE994" xml:space="preserve"> INDEX( VfM_Metrics_2023_Consol_Source[], $AK994, AE$832 )</f>
        <v>3782</v>
      </c>
      <c r="AF994" s="30" cm="1">
        <f t="array" ref="AF994" xml:space="preserve"> INDEX( VfM_Metrics_2023_Consol_Source[], $AK994, AF$832 )</f>
        <v>0</v>
      </c>
      <c r="AG994" s="30" cm="1">
        <f t="array" ref="AG994" xml:space="preserve"> INDEX( VfM_Metrics_2023_Consol_Source[], $AK994, AG$832 )</f>
        <v>0.26466684364215554</v>
      </c>
      <c r="AH994" s="30" cm="1">
        <f t="array" ref="AH994" xml:space="preserve"> INDEX( VfM_Metrics_2023_Consol_Source[], $AK994, AH$832 )</f>
        <v>0.26466684364215554</v>
      </c>
      <c r="AI994" s="30" t="str" cm="1">
        <f t="array" ref="AI994" xml:space="preserve"> INDEX( VfM_Metrics_2023_Consol_Source[], $AK994, AI$832 )</f>
        <v>Traditional</v>
      </c>
      <c r="AJ994" s="34" t="str" cm="1">
        <f t="array" ref="AJ994" xml:space="preserve"> INDEX( VfM_Metrics_2023_Consol_Source[], $AK994, AJ$832 )</f>
        <v>South West</v>
      </c>
      <c r="AK994" s="81">
        <f xml:space="preserve"> MATCH( tblFilterAll[[#This Row],[Code]], VfM_Metrics_2023_Consol_Source[RP_Code], 0 )</f>
        <v>161</v>
      </c>
      <c r="AL994" s="24">
        <f xml:space="preserve"> INDEX( tblFilterRegion[Include for region],  MATCH( tblFilterAll[[#This Row],[Code]], tblFilterRegion[RP_Code], 0 ) )</f>
        <v>1</v>
      </c>
      <c r="AM994" s="24">
        <f xml:space="preserve"> INDEX( tblFilterPropType[Incl for prop type],  MATCH( tblFilterAll[[#This Row],[Code]], tblFilterPropType[RP_Code], 0 ) )</f>
        <v>1</v>
      </c>
      <c r="AN994" s="24">
        <f xml:space="preserve"> INDEX( tblFilterSize[Incl for size],  MATCH( tblFilterAll[[#This Row],[Code]], tblFilterSize[RP_Code], 0 ) )</f>
        <v>1</v>
      </c>
      <c r="AO994" s="24">
        <f xml:space="preserve"> INDEX( tblFilterRP_Type[Incl, for RP Type],  MATCH( tblFilterAll[[#This Row],[Code]], tblFilterRP_Type[RP_Code], 0 ) )</f>
        <v>1</v>
      </c>
      <c r="AP994" s="24">
        <f xml:space="preserve">  -- ( SUM( tblFilterAll[[#This Row],[Filter Region]:[Filter RP Type]] ) = 4 )</f>
        <v>1</v>
      </c>
      <c r="AQ994" s="24">
        <f xml:space="preserve"> -- ( tblFilterAll[[#This Row],[Provider name]] = SelectedProvider )</f>
        <v>0</v>
      </c>
      <c r="AR994" s="24">
        <f xml:space="preserve">  -- ( OR( SUM( tblFilterAll[[#This Row],[Filter Region]:[Filter RP Type]] ) = 4, tblFilterAll[[#This Row],[SelectedProvider]] = 1 ) )</f>
        <v>1</v>
      </c>
      <c r="AS994" s="24">
        <f xml:space="preserve"> -- ( INDEX( PeersCritera[Included in final peers], MATCH( tblFilterAll[[#This Row],[Provider name]], PeersCritera[RP_Name], 0 ) ) = 1 )</f>
        <v>1</v>
      </c>
      <c r="AT994" s="30" t="str" cm="1">
        <f t="array" ref="AT994" xml:space="preserve"> SUBSTITUTE( INDEX( VfM_Metrics_2023_Consol_Source[], $AK994, AT$832 ), 0, "" )</f>
        <v>&gt;= 12 years</v>
      </c>
      <c r="AU994" s="34" cm="1">
        <f t="array" ref="AU994" xml:space="preserve"> INDEX( VfM_Metrics_2023_Consol_Source[], $AK994, AU$832 )</f>
        <v>0</v>
      </c>
      <c r="AV994" s="34" cm="1">
        <f t="array" ref="AV994" xml:space="preserve"> INDEX( VfM_Metrics_2023_Consol_Source[], $AK994, AV$832 )</f>
        <v>0</v>
      </c>
      <c r="AW994" s="34" cm="1">
        <f t="array" ref="AW994" xml:space="preserve"> INDEX( VfM_Metrics_2023_Consol_Source[], $AK994, AW$832 )</f>
        <v>1</v>
      </c>
      <c r="AX994" s="34" cm="1">
        <f t="array" ref="AX994" xml:space="preserve"> INDEX( VfM_Metrics_2023_Consol_Source[], $AK994, AX$832 )</f>
        <v>0</v>
      </c>
      <c r="AY994" s="34" cm="1">
        <f t="array" ref="AY994" xml:space="preserve"> INDEX( VfM_Metrics_2023_Consol_Source[], $AK994, AY$832 )</f>
        <v>0</v>
      </c>
      <c r="AZ994" s="34" cm="1">
        <f t="array" ref="AZ994" xml:space="preserve"> INDEX( VfM_Metrics_2023_Consol_Source[], $AK994, AZ$832 )</f>
        <v>0</v>
      </c>
      <c r="BA994" s="34" cm="1">
        <f t="array" ref="BA994" xml:space="preserve"> INDEX( VfM_Metrics_2023_Consol_Source[], $AK994, BA$832 )</f>
        <v>0</v>
      </c>
      <c r="BB994" s="34" cm="1">
        <f t="array" ref="BB994" xml:space="preserve"> INDEX( VfM_Metrics_2023_Consol_Source[], $AK994, BB$832 )</f>
        <v>0</v>
      </c>
      <c r="BC994" s="34" cm="1">
        <f t="array" ref="BC994" xml:space="preserve"> INDEX( VfM_Metrics_2023_Consol_Source[], $AK994, BC$832 )</f>
        <v>0</v>
      </c>
    </row>
    <row r="995" spans="2:55" x14ac:dyDescent="0.2">
      <c r="B995" s="122" t="str" vm="162">
        <f t="shared" ref="B995" si="501" xml:space="preserve"> B785</f>
        <v>Thames Valley Housing Association Limited</v>
      </c>
      <c r="C995" s="122" t="str" vm="247">
        <f t="shared" si="500"/>
        <v>L0514</v>
      </c>
      <c r="D995" s="30" cm="1">
        <f t="array" ref="D995" xml:space="preserve"> INDEX( VfM_Metrics_2023_Consol_Source[], $AK995, D$832 )</f>
        <v>4.3633739675001393E-2</v>
      </c>
      <c r="E995" s="35">
        <f xml:space="preserve"> IF( tblFilterAll[[#This Row],[Reinvestment]] &lt; D$825, 4, IF( tblFilterAll[[#This Row],[Reinvestment]] &lt; D$826, 3, IF( tblFilterAll[[#This Row],[Reinvestment]] &lt; D$827, 2, 1 ) ) )</f>
        <v>3</v>
      </c>
      <c r="F995" s="35">
        <f xml:space="preserve"> COUNTIFS( tblFilterAll[Include in output], 1, tblFilterAll[Reinvestment], "&gt;" &amp; tblFilterAll[[#This Row],[Reinvestment]] ) + 1</f>
        <v>148</v>
      </c>
      <c r="G995" s="30" cm="1">
        <f t="array" ref="G995" xml:space="preserve"> INDEX( VfM_Metrics_2023_Consol_Source[], $AK995, G$832 )</f>
        <v>1.085759591243448E-2</v>
      </c>
      <c r="H995" s="35">
        <f xml:space="preserve"> IF( tblFilterAll[[#This Row],[New Supply (Social)]] &lt; G$825, 4, IF( tblFilterAll[[#This Row],[New Supply (Social)]] &lt; G$826, 3, IF( tblFilterAll[[#This Row],[New Supply (Social)]] &lt; G$827, 2, 1 ) ) )</f>
        <v>3</v>
      </c>
      <c r="I995" s="35">
        <f xml:space="preserve"> COUNTIFS( tblFilterAll[Include in output], 1, tblFilterAll[New Supply (Social)], "&gt;" &amp; tblFilterAll[[#This Row],[New Supply (Social)]] ) + 1</f>
        <v>117</v>
      </c>
      <c r="J995" s="31" cm="1">
        <f t="array" ref="J995" xml:space="preserve"> INDEX( VfM_Metrics_2023_Consol_Source[], $AK995, J$832 )</f>
        <v>6.1975322553383294E-4</v>
      </c>
      <c r="K995" s="35">
        <f xml:space="preserve"> IF( tblFilterAll[[#This Row],[New Supply (Non-Social)]] &lt; J$825, 4, IF( tblFilterAll[[#This Row],[New Supply (Non-Social)]] &lt; J$826, 3, IF( tblFilterAll[[#This Row],[New Supply (Non-Social)]] &lt; J$827, 2, 1 ) ) )</f>
        <v>2</v>
      </c>
      <c r="L995" s="35">
        <f xml:space="preserve"> COUNTIFS( tblFilterAll[Include in output], 1, tblFilterAll[New Supply (Non-Social)], "&gt;" &amp; tblFilterAll[[#This Row],[New Supply (Non-Social)]] ) + 1</f>
        <v>57</v>
      </c>
      <c r="M995" s="30" cm="1">
        <f t="array" ref="M995" xml:space="preserve"> INDEX( VfM_Metrics_2023_Consol_Source[], $AK995, M$832 )</f>
        <v>0.36875501089045865</v>
      </c>
      <c r="N995" s="35">
        <f xml:space="preserve"> IF( tblFilterAll[[#This Row],[Gearing]] &lt; M$825, 4, IF( tblFilterAll[[#This Row],[Gearing]] &lt; M$826, 3, IF( tblFilterAll[[#This Row],[Gearing]] &lt; M$827, 2, 1 ) ) )</f>
        <v>3</v>
      </c>
      <c r="O995" s="35">
        <f xml:space="preserve"> COUNTIFS( tblFilterAll[Include in output], 1, tblFilterAll[Gearing], "&gt;" &amp; tblFilterAll[[#This Row],[Gearing]] ) + 1</f>
        <v>140</v>
      </c>
      <c r="P995" s="30" cm="1">
        <f t="array" ref="P995" xml:space="preserve"> INDEX( VfM_Metrics_2023_Consol_Source[], $AK995, P$832 )</f>
        <v>0.8207930620134789</v>
      </c>
      <c r="Q995" s="35">
        <f xml:space="preserve"> IF( tblFilterAll[[#This Row],[EBITDA MRI Interest Cover]] &lt; P$825, 4, IF( tblFilterAll[[#This Row],[EBITDA MRI Interest Cover]] &lt; P$826, 3, IF( tblFilterAll[[#This Row],[EBITDA MRI Interest Cover]] &lt; P$827, 2, 1 ) ) )</f>
        <v>4</v>
      </c>
      <c r="R995" s="35">
        <f xml:space="preserve"> COUNTIFS( tblFilterAll[Include in output], 1, tblFilterAll[EBITDA MRI Interest Cover], "&gt;" &amp; tblFilterAll[[#This Row],[EBITDA MRI Interest Cover]] ) + 1</f>
        <v>151</v>
      </c>
      <c r="S995" s="32" cm="1">
        <f t="array" ref="S995" xml:space="preserve"> INDEX( VfM_Metrics_2023_Consol_Source[], $AK995, S$832 )</f>
        <v>5397.0746628753604</v>
      </c>
      <c r="T995" s="35">
        <f xml:space="preserve"> IF( tblFilterAll[[#This Row],[Headline Social Housing Cost per unit]] &lt; S$825, 4, IF( tblFilterAll[[#This Row],[Headline Social Housing Cost per unit]] &lt; S$826, 3, IF( tblFilterAll[[#This Row],[Headline Social Housing Cost per unit]] &lt; S$827, 2, 1 ) ) )</f>
        <v>2</v>
      </c>
      <c r="U995" s="35">
        <f xml:space="preserve"> COUNTIFS( tblFilterAll[Include in output], 1, tblFilterAll[Headline Social Housing Cost per unit], "&gt;" &amp; tblFilterAll[[#This Row],[Headline Social Housing Cost per unit]] ) + 1</f>
        <v>63</v>
      </c>
      <c r="V995" s="30" cm="1">
        <f t="array" ref="V995" xml:space="preserve"> INDEX( VfM_Metrics_2023_Consol_Source[], $AK995, V$832 )</f>
        <v>0.26684309219425884</v>
      </c>
      <c r="W995" s="35">
        <f xml:space="preserve"> IF( tblFilterAll[[#This Row],[Operating Margin (SHL)]] &lt; V$825, 4, IF( tblFilterAll[[#This Row],[Operating Margin (SHL)]] &lt; V$826, 3, IF( tblFilterAll[[#This Row],[Operating Margin (SHL)]] &lt; V$827, 2, 1 ) ) )</f>
        <v>1</v>
      </c>
      <c r="X995" s="35">
        <f xml:space="preserve"> COUNTIFS( tblFilterAll[Include in output], 1, tblFilterAll[Operating Margin (SHL)], "&gt;" &amp; tblFilterAll[[#This Row],[Operating Margin (SHL)]] ) + 1</f>
        <v>45</v>
      </c>
      <c r="Y995" s="30" cm="1">
        <f t="array" ref="Y995" xml:space="preserve"> INDEX( VfM_Metrics_2023_Consol_Source[], $AK995, Y$832 )</f>
        <v>0.16077936172784577</v>
      </c>
      <c r="Z995" s="35">
        <f xml:space="preserve"> IF( tblFilterAll[[#This Row],[Operating Margin (Overall)]] &lt; Y$825, 4, IF( tblFilterAll[[#This Row],[Operating Margin (Overall)]] &lt; Y$826, 3, IF( tblFilterAll[[#This Row],[Operating Margin (Overall)]] &lt; Y$827, 2, 1 ) ) )</f>
        <v>3</v>
      </c>
      <c r="AA995" s="35">
        <f xml:space="preserve"> COUNTIFS( tblFilterAll[Include in output], 1, tblFilterAll[Operating Margin (Overall)], "&gt;" &amp; tblFilterAll[[#This Row],[Operating Margin (Overall)]] ) + 1</f>
        <v>124</v>
      </c>
      <c r="AB995" s="30" cm="1">
        <f t="array" ref="AB995" xml:space="preserve"> INDEX( VfM_Metrics_2023_Consol_Source[], $AK995, AB$832 )</f>
        <v>2.1920971860483661E-2</v>
      </c>
      <c r="AC995" s="35">
        <f xml:space="preserve"> IF( tblFilterAll[[#This Row],[ROCE]] &lt; AB$825, 4, IF( tblFilterAll[[#This Row],[ROCE]] &lt; AB$826, 3, IF( tblFilterAll[[#This Row],[ROCE]] &lt; AB$827, 2, 1 ) ) )</f>
        <v>3</v>
      </c>
      <c r="AD995" s="35">
        <f xml:space="preserve"> COUNTIFS( tblFilterAll[Include in output], 1, tblFilterAll[ROCE], "&gt;" &amp; tblFilterAll[[#This Row],[ROCE]] ) + 1</f>
        <v>149</v>
      </c>
      <c r="AE995" s="33" cm="1" vm="1660">
        <f t="array" ref="AE995" xml:space="preserve"> INDEX( VfM_Metrics_2023_Consol_Source[], $AK995, AE$832 )</f>
        <v>45406</v>
      </c>
      <c r="AF995" s="30" cm="1">
        <f t="array" ref="AF995" xml:space="preserve"> INDEX( VfM_Metrics_2023_Consol_Source[], $AK995, AF$832 )</f>
        <v>4.2970985779069257E-2</v>
      </c>
      <c r="AG995" s="30" cm="1">
        <f t="array" ref="AG995" xml:space="preserve"> INDEX( VfM_Metrics_2023_Consol_Source[], $AK995, AG$832 )</f>
        <v>7.1478888742130056E-2</v>
      </c>
      <c r="AH995" s="30" cm="1">
        <f t="array" ref="AH995" xml:space="preserve"> INDEX( VfM_Metrics_2023_Consol_Source[], $AK995, AH$832 )</f>
        <v>0.11444987452119931</v>
      </c>
      <c r="AI995" s="30" t="str" cm="1">
        <f t="array" ref="AI995" xml:space="preserve"> INDEX( VfM_Metrics_2023_Consol_Source[], $AK995, AI$832 )</f>
        <v>Traditional</v>
      </c>
      <c r="AJ995" s="34" t="str" cm="1">
        <f t="array" ref="AJ995" xml:space="preserve"> INDEX( VfM_Metrics_2023_Consol_Source[], $AK995, AJ$832 )</f>
        <v>Mixed</v>
      </c>
      <c r="AK995" s="81">
        <f xml:space="preserve"> MATCH( tblFilterAll[[#This Row],[Code]], VfM_Metrics_2023_Consol_Source[RP_Code], 0 )</f>
        <v>162</v>
      </c>
      <c r="AL995" s="24">
        <f xml:space="preserve"> INDEX( tblFilterRegion[Include for region],  MATCH( tblFilterAll[[#This Row],[Code]], tblFilterRegion[RP_Code], 0 ) )</f>
        <v>1</v>
      </c>
      <c r="AM995" s="24">
        <f xml:space="preserve"> INDEX( tblFilterPropType[Incl for prop type],  MATCH( tblFilterAll[[#This Row],[Code]], tblFilterPropType[RP_Code], 0 ) )</f>
        <v>1</v>
      </c>
      <c r="AN995" s="24">
        <f xml:space="preserve"> INDEX( tblFilterSize[Incl for size],  MATCH( tblFilterAll[[#This Row],[Code]], tblFilterSize[RP_Code], 0 ) )</f>
        <v>1</v>
      </c>
      <c r="AO995" s="24">
        <f xml:space="preserve"> INDEX( tblFilterRP_Type[Incl, for RP Type],  MATCH( tblFilterAll[[#This Row],[Code]], tblFilterRP_Type[RP_Code], 0 ) )</f>
        <v>1</v>
      </c>
      <c r="AP995" s="24">
        <f xml:space="preserve">  -- ( SUM( tblFilterAll[[#This Row],[Filter Region]:[Filter RP Type]] ) = 4 )</f>
        <v>1</v>
      </c>
      <c r="AQ995" s="24">
        <f xml:space="preserve"> -- ( tblFilterAll[[#This Row],[Provider name]] = SelectedProvider )</f>
        <v>0</v>
      </c>
      <c r="AR995" s="24">
        <f xml:space="preserve">  -- ( OR( SUM( tblFilterAll[[#This Row],[Filter Region]:[Filter RP Type]] ) = 4, tblFilterAll[[#This Row],[SelectedProvider]] = 1 ) )</f>
        <v>1</v>
      </c>
      <c r="AS995" s="24">
        <f xml:space="preserve"> -- ( INDEX( PeersCritera[Included in final peers], MATCH( tblFilterAll[[#This Row],[Provider name]], PeersCritera[RP_Name], 0 ) ) = 1 )</f>
        <v>1</v>
      </c>
      <c r="AT995" s="30" t="str" cm="1">
        <f t="array" ref="AT995" xml:space="preserve"> SUBSTITUTE( INDEX( VfM_Metrics_2023_Consol_Source[], $AK995, AT$832 ), 0, "" )</f>
        <v/>
      </c>
      <c r="AU995" s="34" cm="1">
        <f t="array" ref="AU995" xml:space="preserve"> INDEX( VfM_Metrics_2023_Consol_Source[], $AK995, AU$832 )</f>
        <v>0.47502487562189055</v>
      </c>
      <c r="AV995" s="34" cm="1">
        <f t="array" ref="AV995" xml:space="preserve"> INDEX( VfM_Metrics_2023_Consol_Source[], $AK995, AV$832 )</f>
        <v>0.19610834715312328</v>
      </c>
      <c r="AW995" s="34" cm="1">
        <f t="array" ref="AW995" xml:space="preserve"> INDEX( VfM_Metrics_2023_Consol_Source[], $AK995, AW$832 )</f>
        <v>2.211166390270868E-5</v>
      </c>
      <c r="AX995" s="34" cm="1">
        <f t="array" ref="AX995" xml:space="preserve"> INDEX( VfM_Metrics_2023_Consol_Source[], $AK995, AX$832 )</f>
        <v>0.22606965174129354</v>
      </c>
      <c r="AY995" s="34" cm="1">
        <f t="array" ref="AY995" xml:space="preserve"> INDEX( VfM_Metrics_2023_Consol_Source[], $AK995, AY$832 )</f>
        <v>1.2824765063571034E-3</v>
      </c>
      <c r="AZ995" s="34" cm="1">
        <f t="array" ref="AZ995" xml:space="preserve"> INDEX( VfM_Metrics_2023_Consol_Source[], $AK995, AZ$832 )</f>
        <v>0.10122719734660034</v>
      </c>
      <c r="BA995" s="34" cm="1">
        <f t="array" ref="BA995" xml:space="preserve"> INDEX( VfM_Metrics_2023_Consol_Source[], $AK995, BA$832 )</f>
        <v>2.211166390270868E-5</v>
      </c>
      <c r="BB995" s="34" cm="1">
        <f t="array" ref="BB995" xml:space="preserve"> INDEX( VfM_Metrics_2023_Consol_Source[], $AK995, BB$832 )</f>
        <v>0</v>
      </c>
      <c r="BC995" s="34" cm="1">
        <f t="array" ref="BC995" xml:space="preserve"> INDEX( VfM_Metrics_2023_Consol_Source[], $AK995, BC$832 )</f>
        <v>2.4322830292979546E-4</v>
      </c>
    </row>
    <row r="996" spans="2:55" x14ac:dyDescent="0.2">
      <c r="B996" s="122" t="str" vm="163">
        <f t="shared" ref="B996" si="502" xml:space="preserve"> B786</f>
        <v>The Abbeyfield Society</v>
      </c>
      <c r="C996" s="122" t="str" vm="201">
        <f t="shared" si="500"/>
        <v>H1046</v>
      </c>
      <c r="D996" s="30" cm="1">
        <f t="array" ref="D996" xml:space="preserve"> INDEX( VfM_Metrics_2023_Consol_Source[], $AK996, D$832 )</f>
        <v>2.7409958753242335E-2</v>
      </c>
      <c r="E996" s="35">
        <f xml:space="preserve"> IF( tblFilterAll[[#This Row],[Reinvestment]] &lt; D$825, 4, IF( tblFilterAll[[#This Row],[Reinvestment]] &lt; D$826, 3, IF( tblFilterAll[[#This Row],[Reinvestment]] &lt; D$827, 2, 1 ) ) )</f>
        <v>4</v>
      </c>
      <c r="F996" s="35">
        <f xml:space="preserve"> COUNTIFS( tblFilterAll[Include in output], 1, tblFilterAll[Reinvestment], "&gt;" &amp; tblFilterAll[[#This Row],[Reinvestment]] ) + 1</f>
        <v>177</v>
      </c>
      <c r="G996" s="30" cm="1">
        <f t="array" ref="G996" xml:space="preserve"> INDEX( VfM_Metrics_2023_Consol_Source[], $AK996, G$832 )</f>
        <v>0</v>
      </c>
      <c r="H996" s="35">
        <f xml:space="preserve"> IF( tblFilterAll[[#This Row],[New Supply (Social)]] &lt; G$825, 4, IF( tblFilterAll[[#This Row],[New Supply (Social)]] &lt; G$826, 3, IF( tblFilterAll[[#This Row],[New Supply (Social)]] &lt; G$827, 2, 1 ) ) )</f>
        <v>4</v>
      </c>
      <c r="I996" s="35">
        <f xml:space="preserve"> COUNTIFS( tblFilterAll[Include in output], 1, tblFilterAll[New Supply (Social)], "&gt;" &amp; tblFilterAll[[#This Row],[New Supply (Social)]] ) + 1</f>
        <v>187</v>
      </c>
      <c r="J996" s="31" cm="1">
        <f t="array" ref="J996" xml:space="preserve"> INDEX( VfM_Metrics_2023_Consol_Source[], $AK996, J$832 )</f>
        <v>1.2042147516307075E-2</v>
      </c>
      <c r="K996" s="35">
        <f xml:space="preserve"> IF( tblFilterAll[[#This Row],[New Supply (Non-Social)]] &lt; J$825, 4, IF( tblFilterAll[[#This Row],[New Supply (Non-Social)]] &lt; J$826, 3, IF( tblFilterAll[[#This Row],[New Supply (Non-Social)]] &lt; J$827, 2, 1 ) ) )</f>
        <v>1</v>
      </c>
      <c r="L996" s="35">
        <f xml:space="preserve"> COUNTIFS( tblFilterAll[Include in output], 1, tblFilterAll[New Supply (Non-Social)], "&gt;" &amp; tblFilterAll[[#This Row],[New Supply (Non-Social)]] ) + 1</f>
        <v>4</v>
      </c>
      <c r="M996" s="30" cm="1">
        <f t="array" ref="M996" xml:space="preserve"> INDEX( VfM_Metrics_2023_Consol_Source[], $AK996, M$832 )</f>
        <v>-0.13409023259769529</v>
      </c>
      <c r="N996" s="35">
        <f xml:space="preserve"> IF( tblFilterAll[[#This Row],[Gearing]] &lt; M$825, 4, IF( tblFilterAll[[#This Row],[Gearing]] &lt; M$826, 3, IF( tblFilterAll[[#This Row],[Gearing]] &lt; M$827, 2, 1 ) ) )</f>
        <v>4</v>
      </c>
      <c r="O996" s="35">
        <f xml:space="preserve"> COUNTIFS( tblFilterAll[Include in output], 1, tblFilterAll[Gearing], "&gt;" &amp; tblFilterAll[[#This Row],[Gearing]] ) + 1</f>
        <v>195</v>
      </c>
      <c r="P996" s="30" cm="1">
        <f t="array" ref="P996" xml:space="preserve"> INDEX( VfM_Metrics_2023_Consol_Source[], $AK996, P$832 )</f>
        <v>-28.438931297709924</v>
      </c>
      <c r="Q996" s="35">
        <f xml:space="preserve"> IF( tblFilterAll[[#This Row],[EBITDA MRI Interest Cover]] &lt; P$825, 4, IF( tblFilterAll[[#This Row],[EBITDA MRI Interest Cover]] &lt; P$826, 3, IF( tblFilterAll[[#This Row],[EBITDA MRI Interest Cover]] &lt; P$827, 2, 1 ) ) )</f>
        <v>4</v>
      </c>
      <c r="R996" s="35">
        <f xml:space="preserve"> COUNTIFS( tblFilterAll[Include in output], 1, tblFilterAll[EBITDA MRI Interest Cover], "&gt;" &amp; tblFilterAll[[#This Row],[EBITDA MRI Interest Cover]] ) + 1</f>
        <v>194</v>
      </c>
      <c r="S996" s="32" cm="1">
        <f t="array" ref="S996" xml:space="preserve"> INDEX( VfM_Metrics_2023_Consol_Source[], $AK996, S$832 )</f>
        <v>27800.320341697814</v>
      </c>
      <c r="T996" s="35">
        <f xml:space="preserve"> IF( tblFilterAll[[#This Row],[Headline Social Housing Cost per unit]] &lt; S$825, 4, IF( tblFilterAll[[#This Row],[Headline Social Housing Cost per unit]] &lt; S$826, 3, IF( tblFilterAll[[#This Row],[Headline Social Housing Cost per unit]] &lt; S$827, 2, 1 ) ) )</f>
        <v>1</v>
      </c>
      <c r="U996" s="35">
        <f xml:space="preserve"> COUNTIFS( tblFilterAll[Include in output], 1, tblFilterAll[Headline Social Housing Cost per unit], "&gt;" &amp; tblFilterAll[[#This Row],[Headline Social Housing Cost per unit]] ) + 1</f>
        <v>3</v>
      </c>
      <c r="V996" s="30" cm="1">
        <f t="array" ref="V996" xml:space="preserve"> INDEX( VfM_Metrics_2023_Consol_Source[], $AK996, V$832 )</f>
        <v>0.35897679500273139</v>
      </c>
      <c r="W996" s="35">
        <f xml:space="preserve"> IF( tblFilterAll[[#This Row],[Operating Margin (SHL)]] &lt; V$825, 4, IF( tblFilterAll[[#This Row],[Operating Margin (SHL)]] &lt; V$826, 3, IF( tblFilterAll[[#This Row],[Operating Margin (SHL)]] &lt; V$827, 2, 1 ) ) )</f>
        <v>1</v>
      </c>
      <c r="X996" s="35">
        <f xml:space="preserve"> COUNTIFS( tblFilterAll[Include in output], 1, tblFilterAll[Operating Margin (SHL)], "&gt;" &amp; tblFilterAll[[#This Row],[Operating Margin (SHL)]] ) + 1</f>
        <v>7</v>
      </c>
      <c r="Y996" s="30" cm="1">
        <f t="array" ref="Y996" xml:space="preserve"> INDEX( VfM_Metrics_2023_Consol_Source[], $AK996, Y$832 )</f>
        <v>-0.14421481071682604</v>
      </c>
      <c r="Z996" s="35">
        <f xml:space="preserve"> IF( tblFilterAll[[#This Row],[Operating Margin (Overall)]] &lt; Y$825, 4, IF( tblFilterAll[[#This Row],[Operating Margin (Overall)]] &lt; Y$826, 3, IF( tblFilterAll[[#This Row],[Operating Margin (Overall)]] &lt; Y$827, 2, 1 ) ) )</f>
        <v>4</v>
      </c>
      <c r="AA996" s="35">
        <f xml:space="preserve"> COUNTIFS( tblFilterAll[Include in output], 1, tblFilterAll[Operating Margin (Overall)], "&gt;" &amp; tblFilterAll[[#This Row],[Operating Margin (Overall)]] ) + 1</f>
        <v>197</v>
      </c>
      <c r="AB996" s="30" cm="1">
        <f t="array" ref="AB996" xml:space="preserve"> INDEX( VfM_Metrics_2023_Consol_Source[], $AK996, AB$832 )</f>
        <v>-5.6700406085217286E-2</v>
      </c>
      <c r="AC996" s="35">
        <f xml:space="preserve"> IF( tblFilterAll[[#This Row],[ROCE]] &lt; AB$825, 4, IF( tblFilterAll[[#This Row],[ROCE]] &lt; AB$826, 3, IF( tblFilterAll[[#This Row],[ROCE]] &lt; AB$827, 2, 1 ) ) )</f>
        <v>4</v>
      </c>
      <c r="AD996" s="35">
        <f xml:space="preserve"> COUNTIFS( tblFilterAll[Include in output], 1, tblFilterAll[ROCE], "&gt;" &amp; tblFilterAll[[#This Row],[ROCE]] ) + 1</f>
        <v>198</v>
      </c>
      <c r="AE996" s="33" cm="1" vm="9192">
        <f t="array" ref="AE996" xml:space="preserve"> INDEX( VfM_Metrics_2023_Consol_Source[], $AK996, AE$832 )</f>
        <v>1873</v>
      </c>
      <c r="AF996" s="30" cm="1">
        <f t="array" ref="AF996" xml:space="preserve"> INDEX( VfM_Metrics_2023_Consol_Source[], $AK996, AF$832 )</f>
        <v>0</v>
      </c>
      <c r="AG996" s="30" cm="1">
        <f t="array" ref="AG996" xml:space="preserve"> INDEX( VfM_Metrics_2023_Consol_Source[], $AK996, AG$832 )</f>
        <v>0.60794780545670224</v>
      </c>
      <c r="AH996" s="30" cm="1">
        <f t="array" ref="AH996" xml:space="preserve"> INDEX( VfM_Metrics_2023_Consol_Source[], $AK996, AH$832 )</f>
        <v>0.60794780545670224</v>
      </c>
      <c r="AI996" s="30" t="str" cm="1">
        <f t="array" ref="AI996" xml:space="preserve"> INDEX( VfM_Metrics_2023_Consol_Source[], $AK996, AI$832 )</f>
        <v>Traditional</v>
      </c>
      <c r="AJ996" s="34" t="str" cm="1">
        <f t="array" ref="AJ996" xml:space="preserve"> INDEX( VfM_Metrics_2023_Consol_Source[], $AK996, AJ$832 )</f>
        <v>Mixed</v>
      </c>
      <c r="AK996" s="81">
        <f xml:space="preserve"> MATCH( tblFilterAll[[#This Row],[Code]], VfM_Metrics_2023_Consol_Source[RP_Code], 0 )</f>
        <v>163</v>
      </c>
      <c r="AL996" s="24">
        <f xml:space="preserve"> INDEX( tblFilterRegion[Include for region],  MATCH( tblFilterAll[[#This Row],[Code]], tblFilterRegion[RP_Code], 0 ) )</f>
        <v>1</v>
      </c>
      <c r="AM996" s="24">
        <f xml:space="preserve"> INDEX( tblFilterPropType[Incl for prop type],  MATCH( tblFilterAll[[#This Row],[Code]], tblFilterPropType[RP_Code], 0 ) )</f>
        <v>1</v>
      </c>
      <c r="AN996" s="24">
        <f xml:space="preserve"> INDEX( tblFilterSize[Incl for size],  MATCH( tblFilterAll[[#This Row],[Code]], tblFilterSize[RP_Code], 0 ) )</f>
        <v>1</v>
      </c>
      <c r="AO996" s="24">
        <f xml:space="preserve"> INDEX( tblFilterRP_Type[Incl, for RP Type],  MATCH( tblFilterAll[[#This Row],[Code]], tblFilterRP_Type[RP_Code], 0 ) )</f>
        <v>1</v>
      </c>
      <c r="AP996" s="24">
        <f xml:space="preserve">  -- ( SUM( tblFilterAll[[#This Row],[Filter Region]:[Filter RP Type]] ) = 4 )</f>
        <v>1</v>
      </c>
      <c r="AQ996" s="24">
        <f xml:space="preserve"> -- ( tblFilterAll[[#This Row],[Provider name]] = SelectedProvider )</f>
        <v>0</v>
      </c>
      <c r="AR996" s="24">
        <f xml:space="preserve">  -- ( OR( SUM( tblFilterAll[[#This Row],[Filter Region]:[Filter RP Type]] ) = 4, tblFilterAll[[#This Row],[SelectedProvider]] = 1 ) )</f>
        <v>1</v>
      </c>
      <c r="AS996" s="24">
        <f xml:space="preserve"> -- ( INDEX( PeersCritera[Included in final peers], MATCH( tblFilterAll[[#This Row],[Provider name]], PeersCritera[RP_Name], 0 ) ) = 1 )</f>
        <v>1</v>
      </c>
      <c r="AT996" s="30" t="str" cm="1">
        <f t="array" ref="AT996" xml:space="preserve"> SUBSTITUTE( INDEX( VfM_Metrics_2023_Consol_Source[], $AK996, AT$832 ), 0, "" )</f>
        <v/>
      </c>
      <c r="AU996" s="34" cm="1">
        <f t="array" ref="AU996" xml:space="preserve"> INDEX( VfM_Metrics_2023_Consol_Source[], $AK996, AU$832 )</f>
        <v>3.7100949094046591E-2</v>
      </c>
      <c r="AV996" s="34" cm="1">
        <f t="array" ref="AV996" xml:space="preserve"> INDEX( VfM_Metrics_2023_Consol_Source[], $AK996, AV$832 )</f>
        <v>0.16134598792062121</v>
      </c>
      <c r="AW996" s="34" cm="1">
        <f t="array" ref="AW996" xml:space="preserve"> INDEX( VfM_Metrics_2023_Consol_Source[], $AK996, AW$832 )</f>
        <v>0.22433132010353754</v>
      </c>
      <c r="AX996" s="34" cm="1">
        <f t="array" ref="AX996" xml:space="preserve"> INDEX( VfM_Metrics_2023_Consol_Source[], $AK996, AX$832 )</f>
        <v>8.8869715271786026E-2</v>
      </c>
      <c r="AY996" s="34" cm="1">
        <f t="array" ref="AY996" xml:space="preserve"> INDEX( VfM_Metrics_2023_Consol_Source[], $AK996, AY$832 )</f>
        <v>6.9887834339948232E-2</v>
      </c>
      <c r="AZ996" s="34" cm="1">
        <f t="array" ref="AZ996" xml:space="preserve"> INDEX( VfM_Metrics_2023_Consol_Source[], $AK996, AZ$832 )</f>
        <v>7.2476272648835202E-2</v>
      </c>
      <c r="BA996" s="34" cm="1">
        <f t="array" ref="BA996" xml:space="preserve"> INDEX( VfM_Metrics_2023_Consol_Source[], $AK996, BA$832 )</f>
        <v>8.1104400345125102E-2</v>
      </c>
      <c r="BB996" s="34" cm="1">
        <f t="array" ref="BB996" xml:space="preserve"> INDEX( VfM_Metrics_2023_Consol_Source[], $AK996, BB$832 )</f>
        <v>0.16307161345987919</v>
      </c>
      <c r="BC996" s="34" cm="1">
        <f t="array" ref="BC996" xml:space="preserve"> INDEX( VfM_Metrics_2023_Consol_Source[], $AK996, BC$832 )</f>
        <v>0.10181190681622088</v>
      </c>
    </row>
    <row r="997" spans="2:55" x14ac:dyDescent="0.2">
      <c r="B997" s="122" t="str" vm="164">
        <f t="shared" ref="B997" si="503" xml:space="preserve"> B787</f>
        <v>The Cambridge Housing Society Limited</v>
      </c>
      <c r="C997" s="122" t="str" vm="314">
        <f t="shared" si="500"/>
        <v>L0992</v>
      </c>
      <c r="D997" s="30" cm="1">
        <f t="array" ref="D997" xml:space="preserve"> INDEX( VfM_Metrics_2023_Consol_Source[], $AK997, D$832 )</f>
        <v>4.0164625990328225E-2</v>
      </c>
      <c r="E997" s="35">
        <f xml:space="preserve"> IF( tblFilterAll[[#This Row],[Reinvestment]] &lt; D$825, 4, IF( tblFilterAll[[#This Row],[Reinvestment]] &lt; D$826, 3, IF( tblFilterAll[[#This Row],[Reinvestment]] &lt; D$827, 2, 1 ) ) )</f>
        <v>4</v>
      </c>
      <c r="F997" s="35">
        <f xml:space="preserve"> COUNTIFS( tblFilterAll[Include in output], 1, tblFilterAll[Reinvestment], "&gt;" &amp; tblFilterAll[[#This Row],[Reinvestment]] ) + 1</f>
        <v>151</v>
      </c>
      <c r="G997" s="30" cm="1">
        <f t="array" ref="G997" xml:space="preserve"> INDEX( VfM_Metrics_2023_Consol_Source[], $AK997, G$832 )</f>
        <v>1.2779552715654952E-2</v>
      </c>
      <c r="H997" s="35">
        <f xml:space="preserve"> IF( tblFilterAll[[#This Row],[New Supply (Social)]] &lt; G$825, 4, IF( tblFilterAll[[#This Row],[New Supply (Social)]] &lt; G$826, 3, IF( tblFilterAll[[#This Row],[New Supply (Social)]] &lt; G$827, 2, 1 ) ) )</f>
        <v>3</v>
      </c>
      <c r="I997" s="35">
        <f xml:space="preserve"> COUNTIFS( tblFilterAll[Include in output], 1, tblFilterAll[New Supply (Social)], "&gt;" &amp; tblFilterAll[[#This Row],[New Supply (Social)]] ) + 1</f>
        <v>100</v>
      </c>
      <c r="J997" s="31" cm="1">
        <f t="array" ref="J997" xml:space="preserve"> INDEX( VfM_Metrics_2023_Consol_Source[], $AK997, J$832 )</f>
        <v>0</v>
      </c>
      <c r="K997" s="35">
        <f xml:space="preserve"> IF( tblFilterAll[[#This Row],[New Supply (Non-Social)]] &lt; J$825, 4, IF( tblFilterAll[[#This Row],[New Supply (Non-Social)]] &lt; J$826, 3, IF( tblFilterAll[[#This Row],[New Supply (Non-Social)]] &lt; J$827, 2, 1 ) ) )</f>
        <v>2</v>
      </c>
      <c r="L997" s="35">
        <f xml:space="preserve"> COUNTIFS( tblFilterAll[Include in output], 1, tblFilterAll[New Supply (Non-Social)], "&gt;" &amp; tblFilterAll[[#This Row],[New Supply (Non-Social)]] ) + 1</f>
        <v>72</v>
      </c>
      <c r="M997" s="30" cm="1">
        <f t="array" ref="M997" xml:space="preserve"> INDEX( VfM_Metrics_2023_Consol_Source[], $AK997, M$832 )</f>
        <v>0.49161024796789793</v>
      </c>
      <c r="N997" s="35">
        <f xml:space="preserve"> IF( tblFilterAll[[#This Row],[Gearing]] &lt; M$825, 4, IF( tblFilterAll[[#This Row],[Gearing]] &lt; M$826, 3, IF( tblFilterAll[[#This Row],[Gearing]] &lt; M$827, 2, 1 ) ) )</f>
        <v>2</v>
      </c>
      <c r="O997" s="35">
        <f xml:space="preserve"> COUNTIFS( tblFilterAll[Include in output], 1, tblFilterAll[Gearing], "&gt;" &amp; tblFilterAll[[#This Row],[Gearing]] ) + 1</f>
        <v>72</v>
      </c>
      <c r="P997" s="30" cm="1">
        <f t="array" ref="P997" xml:space="preserve"> INDEX( VfM_Metrics_2023_Consol_Source[], $AK997, P$832 )</f>
        <v>1.3446814521825117</v>
      </c>
      <c r="Q997" s="35">
        <f xml:space="preserve"> IF( tblFilterAll[[#This Row],[EBITDA MRI Interest Cover]] &lt; P$825, 4, IF( tblFilterAll[[#This Row],[EBITDA MRI Interest Cover]] &lt; P$826, 3, IF( tblFilterAll[[#This Row],[EBITDA MRI Interest Cover]] &lt; P$827, 2, 1 ) ) )</f>
        <v>2</v>
      </c>
      <c r="R997" s="35">
        <f xml:space="preserve"> COUNTIFS( tblFilterAll[Include in output], 1, tblFilterAll[EBITDA MRI Interest Cover], "&gt;" &amp; tblFilterAll[[#This Row],[EBITDA MRI Interest Cover]] ) + 1</f>
        <v>86</v>
      </c>
      <c r="S997" s="32" cm="1">
        <f t="array" ref="S997" xml:space="preserve"> INDEX( VfM_Metrics_2023_Consol_Source[], $AK997, S$832 )</f>
        <v>6288.736979166667</v>
      </c>
      <c r="T997" s="35">
        <f xml:space="preserve"> IF( tblFilterAll[[#This Row],[Headline Social Housing Cost per unit]] &lt; S$825, 4, IF( tblFilterAll[[#This Row],[Headline Social Housing Cost per unit]] &lt; S$826, 3, IF( tblFilterAll[[#This Row],[Headline Social Housing Cost per unit]] &lt; S$827, 2, 1 ) ) )</f>
        <v>1</v>
      </c>
      <c r="U997" s="35">
        <f xml:space="preserve"> COUNTIFS( tblFilterAll[Include in output], 1, tblFilterAll[Headline Social Housing Cost per unit], "&gt;" &amp; tblFilterAll[[#This Row],[Headline Social Housing Cost per unit]] ) + 1</f>
        <v>42</v>
      </c>
      <c r="V997" s="30" cm="1">
        <f t="array" ref="V997" xml:space="preserve"> INDEX( VfM_Metrics_2023_Consol_Source[], $AK997, V$832 )</f>
        <v>0.38936965054144795</v>
      </c>
      <c r="W997" s="35">
        <f xml:space="preserve"> IF( tblFilterAll[[#This Row],[Operating Margin (SHL)]] &lt; V$825, 4, IF( tblFilterAll[[#This Row],[Operating Margin (SHL)]] &lt; V$826, 3, IF( tblFilterAll[[#This Row],[Operating Margin (SHL)]] &lt; V$827, 2, 1 ) ) )</f>
        <v>1</v>
      </c>
      <c r="X997" s="35">
        <f xml:space="preserve"> COUNTIFS( tblFilterAll[Include in output], 1, tblFilterAll[Operating Margin (SHL)], "&gt;" &amp; tblFilterAll[[#This Row],[Operating Margin (SHL)]] ) + 1</f>
        <v>5</v>
      </c>
      <c r="Y997" s="30" cm="1">
        <f t="array" ref="Y997" xml:space="preserve"> INDEX( VfM_Metrics_2023_Consol_Source[], $AK997, Y$832 )</f>
        <v>0.31102822644372097</v>
      </c>
      <c r="Z997" s="35">
        <f xml:space="preserve"> IF( tblFilterAll[[#This Row],[Operating Margin (Overall)]] &lt; Y$825, 4, IF( tblFilterAll[[#This Row],[Operating Margin (Overall)]] &lt; Y$826, 3, IF( tblFilterAll[[#This Row],[Operating Margin (Overall)]] &lt; Y$827, 2, 1 ) ) )</f>
        <v>1</v>
      </c>
      <c r="AA997" s="35">
        <f xml:space="preserve"> COUNTIFS( tblFilterAll[Include in output], 1, tblFilterAll[Operating Margin (Overall)], "&gt;" &amp; tblFilterAll[[#This Row],[Operating Margin (Overall)]] ) + 1</f>
        <v>12</v>
      </c>
      <c r="AB997" s="30" cm="1">
        <f t="array" ref="AB997" xml:space="preserve"> INDEX( VfM_Metrics_2023_Consol_Source[], $AK997, AB$832 )</f>
        <v>4.5385241485251804E-2</v>
      </c>
      <c r="AC997" s="35">
        <f xml:space="preserve"> IF( tblFilterAll[[#This Row],[ROCE]] &lt; AB$825, 4, IF( tblFilterAll[[#This Row],[ROCE]] &lt; AB$826, 3, IF( tblFilterAll[[#This Row],[ROCE]] &lt; AB$827, 2, 1 ) ) )</f>
        <v>1</v>
      </c>
      <c r="AD997" s="35">
        <f xml:space="preserve"> COUNTIFS( tblFilterAll[Include in output], 1, tblFilterAll[ROCE], "&gt;" &amp; tblFilterAll[[#This Row],[ROCE]] ) + 1</f>
        <v>15</v>
      </c>
      <c r="AE997" s="33" cm="1" vm="3826">
        <f t="array" ref="AE997" xml:space="preserve"> INDEX( VfM_Metrics_2023_Consol_Source[], $AK997, AE$832 )</f>
        <v>3072</v>
      </c>
      <c r="AF997" s="30" cm="1">
        <f t="array" ref="AF997" xml:space="preserve"> INDEX( VfM_Metrics_2023_Consol_Source[], $AK997, AF$832 )</f>
        <v>6.2073448163795904E-2</v>
      </c>
      <c r="AG997" s="30" cm="1">
        <f t="array" ref="AG997" xml:space="preserve"> INDEX( VfM_Metrics_2023_Consol_Source[], $AK997, AG$832 )</f>
        <v>6.9873253168670782E-2</v>
      </c>
      <c r="AH997" s="30" cm="1">
        <f t="array" ref="AH997" xml:space="preserve"> INDEX( VfM_Metrics_2023_Consol_Source[], $AK997, AH$832 )</f>
        <v>0.13194670133246669</v>
      </c>
      <c r="AI997" s="30" t="str" cm="1">
        <f t="array" ref="AI997" xml:space="preserve"> INDEX( VfM_Metrics_2023_Consol_Source[], $AK997, AI$832 )</f>
        <v>Traditional</v>
      </c>
      <c r="AJ997" s="34" t="str" cm="1">
        <f t="array" ref="AJ997" xml:space="preserve"> INDEX( VfM_Metrics_2023_Consol_Source[], $AK997, AJ$832 )</f>
        <v>East of England</v>
      </c>
      <c r="AK997" s="81">
        <f xml:space="preserve"> MATCH( tblFilterAll[[#This Row],[Code]], VfM_Metrics_2023_Consol_Source[RP_Code], 0 )</f>
        <v>164</v>
      </c>
      <c r="AL997" s="24">
        <f xml:space="preserve"> INDEX( tblFilterRegion[Include for region],  MATCH( tblFilterAll[[#This Row],[Code]], tblFilterRegion[RP_Code], 0 ) )</f>
        <v>1</v>
      </c>
      <c r="AM997" s="24">
        <f xml:space="preserve"> INDEX( tblFilterPropType[Incl for prop type],  MATCH( tblFilterAll[[#This Row],[Code]], tblFilterPropType[RP_Code], 0 ) )</f>
        <v>1</v>
      </c>
      <c r="AN997" s="24">
        <f xml:space="preserve"> INDEX( tblFilterSize[Incl for size],  MATCH( tblFilterAll[[#This Row],[Code]], tblFilterSize[RP_Code], 0 ) )</f>
        <v>1</v>
      </c>
      <c r="AO997" s="24">
        <f xml:space="preserve"> INDEX( tblFilterRP_Type[Incl, for RP Type],  MATCH( tblFilterAll[[#This Row],[Code]], tblFilterRP_Type[RP_Code], 0 ) )</f>
        <v>1</v>
      </c>
      <c r="AP997" s="24">
        <f xml:space="preserve">  -- ( SUM( tblFilterAll[[#This Row],[Filter Region]:[Filter RP Type]] ) = 4 )</f>
        <v>1</v>
      </c>
      <c r="AQ997" s="24">
        <f xml:space="preserve"> -- ( tblFilterAll[[#This Row],[Provider name]] = SelectedProvider )</f>
        <v>0</v>
      </c>
      <c r="AR997" s="24">
        <f xml:space="preserve">  -- ( OR( SUM( tblFilterAll[[#This Row],[Filter Region]:[Filter RP Type]] ) = 4, tblFilterAll[[#This Row],[SelectedProvider]] = 1 ) )</f>
        <v>1</v>
      </c>
      <c r="AS997" s="24">
        <f xml:space="preserve"> -- ( INDEX( PeersCritera[Included in final peers], MATCH( tblFilterAll[[#This Row],[Provider name]], PeersCritera[RP_Name], 0 ) ) = 1 )</f>
        <v>1</v>
      </c>
      <c r="AT997" s="30" t="str" cm="1">
        <f t="array" ref="AT997" xml:space="preserve"> SUBSTITUTE( INDEX( VfM_Metrics_2023_Consol_Source[], $AK997, AT$832 ), 0, "" )</f>
        <v/>
      </c>
      <c r="AU997" s="34" cm="1">
        <f t="array" ref="AU997" xml:space="preserve"> INDEX( VfM_Metrics_2023_Consol_Source[], $AK997, AU$832 )</f>
        <v>0</v>
      </c>
      <c r="AV997" s="34" cm="1">
        <f t="array" ref="AV997" xml:space="preserve"> INDEX( VfM_Metrics_2023_Consol_Source[], $AK997, AV$832 )</f>
        <v>0</v>
      </c>
      <c r="AW997" s="34" cm="1">
        <f t="array" ref="AW997" xml:space="preserve"> INDEX( VfM_Metrics_2023_Consol_Source[], $AK997, AW$832 )</f>
        <v>0</v>
      </c>
      <c r="AX997" s="34" cm="1">
        <f t="array" ref="AX997" xml:space="preserve"> INDEX( VfM_Metrics_2023_Consol_Source[], $AK997, AX$832 )</f>
        <v>0</v>
      </c>
      <c r="AY997" s="34" cm="1">
        <f t="array" ref="AY997" xml:space="preserve"> INDEX( VfM_Metrics_2023_Consol_Source[], $AK997, AY$832 )</f>
        <v>0</v>
      </c>
      <c r="AZ997" s="34" cm="1">
        <f t="array" ref="AZ997" xml:space="preserve"> INDEX( VfM_Metrics_2023_Consol_Source[], $AK997, AZ$832 )</f>
        <v>1</v>
      </c>
      <c r="BA997" s="34" cm="1">
        <f t="array" ref="BA997" xml:space="preserve"> INDEX( VfM_Metrics_2023_Consol_Source[], $AK997, BA$832 )</f>
        <v>0</v>
      </c>
      <c r="BB997" s="34" cm="1">
        <f t="array" ref="BB997" xml:space="preserve"> INDEX( VfM_Metrics_2023_Consol_Source[], $AK997, BB$832 )</f>
        <v>0</v>
      </c>
      <c r="BC997" s="34" cm="1">
        <f t="array" ref="BC997" xml:space="preserve"> INDEX( VfM_Metrics_2023_Consol_Source[], $AK997, BC$832 )</f>
        <v>0</v>
      </c>
    </row>
    <row r="998" spans="2:55" x14ac:dyDescent="0.2">
      <c r="B998" s="122" t="str" vm="165">
        <f t="shared" ref="B998" si="504" xml:space="preserve"> B788</f>
        <v>The Community Housing Group Limited</v>
      </c>
      <c r="C998" s="122" t="str" vm="378">
        <f t="shared" si="500"/>
        <v>LH4264</v>
      </c>
      <c r="D998" s="30" cm="1">
        <f t="array" ref="D998" xml:space="preserve"> INDEX( VfM_Metrics_2023_Consol_Source[], $AK998, D$832 )</f>
        <v>6.085748748126759E-2</v>
      </c>
      <c r="E998" s="35">
        <f xml:space="preserve"> IF( tblFilterAll[[#This Row],[Reinvestment]] &lt; D$825, 4, IF( tblFilterAll[[#This Row],[Reinvestment]] &lt; D$826, 3, IF( tblFilterAll[[#This Row],[Reinvestment]] &lt; D$827, 2, 1 ) ) )</f>
        <v>3</v>
      </c>
      <c r="F998" s="35">
        <f xml:space="preserve"> COUNTIFS( tblFilterAll[Include in output], 1, tblFilterAll[Reinvestment], "&gt;" &amp; tblFilterAll[[#This Row],[Reinvestment]] ) + 1</f>
        <v>116</v>
      </c>
      <c r="G998" s="30" cm="1">
        <f t="array" ref="G998" xml:space="preserve"> INDEX( VfM_Metrics_2023_Consol_Source[], $AK998, G$832 )</f>
        <v>1.4523498694516971E-2</v>
      </c>
      <c r="H998" s="35">
        <f xml:space="preserve"> IF( tblFilterAll[[#This Row],[New Supply (Social)]] &lt; G$825, 4, IF( tblFilterAll[[#This Row],[New Supply (Social)]] &lt; G$826, 3, IF( tblFilterAll[[#This Row],[New Supply (Social)]] &lt; G$827, 2, 1 ) ) )</f>
        <v>2</v>
      </c>
      <c r="I998" s="35">
        <f xml:space="preserve"> COUNTIFS( tblFilterAll[Include in output], 1, tblFilterAll[New Supply (Social)], "&gt;" &amp; tblFilterAll[[#This Row],[New Supply (Social)]] ) + 1</f>
        <v>86</v>
      </c>
      <c r="J998" s="31" cm="1">
        <f t="array" ref="J998" xml:space="preserve"> INDEX( VfM_Metrics_2023_Consol_Source[], $AK998, J$832 )</f>
        <v>0</v>
      </c>
      <c r="K998" s="35">
        <f xml:space="preserve"> IF( tblFilterAll[[#This Row],[New Supply (Non-Social)]] &lt; J$825, 4, IF( tblFilterAll[[#This Row],[New Supply (Non-Social)]] &lt; J$826, 3, IF( tblFilterAll[[#This Row],[New Supply (Non-Social)]] &lt; J$827, 2, 1 ) ) )</f>
        <v>2</v>
      </c>
      <c r="L998" s="35">
        <f xml:space="preserve"> COUNTIFS( tblFilterAll[Include in output], 1, tblFilterAll[New Supply (Non-Social)], "&gt;" &amp; tblFilterAll[[#This Row],[New Supply (Non-Social)]] ) + 1</f>
        <v>72</v>
      </c>
      <c r="M998" s="30" cm="1">
        <f t="array" ref="M998" xml:space="preserve"> INDEX( VfM_Metrics_2023_Consol_Source[], $AK998, M$832 )</f>
        <v>0.61538555259085981</v>
      </c>
      <c r="N998" s="35">
        <f xml:space="preserve"> IF( tblFilterAll[[#This Row],[Gearing]] &lt; M$825, 4, IF( tblFilterAll[[#This Row],[Gearing]] &lt; M$826, 3, IF( tblFilterAll[[#This Row],[Gearing]] &lt; M$827, 2, 1 ) ) )</f>
        <v>1</v>
      </c>
      <c r="O998" s="35">
        <f xml:space="preserve"> COUNTIFS( tblFilterAll[Include in output], 1, tblFilterAll[Gearing], "&gt;" &amp; tblFilterAll[[#This Row],[Gearing]] ) + 1</f>
        <v>22</v>
      </c>
      <c r="P998" s="30" cm="1">
        <f t="array" ref="P998" xml:space="preserve"> INDEX( VfM_Metrics_2023_Consol_Source[], $AK998, P$832 )</f>
        <v>0.94033283723447436</v>
      </c>
      <c r="Q998" s="35">
        <f xml:space="preserve"> IF( tblFilterAll[[#This Row],[EBITDA MRI Interest Cover]] &lt; P$825, 4, IF( tblFilterAll[[#This Row],[EBITDA MRI Interest Cover]] &lt; P$826, 3, IF( tblFilterAll[[#This Row],[EBITDA MRI Interest Cover]] &lt; P$827, 2, 1 ) ) )</f>
        <v>3</v>
      </c>
      <c r="R998" s="35">
        <f xml:space="preserve"> COUNTIFS( tblFilterAll[Include in output], 1, tblFilterAll[EBITDA MRI Interest Cover], "&gt;" &amp; tblFilterAll[[#This Row],[EBITDA MRI Interest Cover]] ) + 1</f>
        <v>144</v>
      </c>
      <c r="S998" s="32" cm="1">
        <f t="array" ref="S998" xml:space="preserve"> INDEX( VfM_Metrics_2023_Consol_Source[], $AK998, S$832 )</f>
        <v>4251.1589403973512</v>
      </c>
      <c r="T998" s="35">
        <f xml:space="preserve"> IF( tblFilterAll[[#This Row],[Headline Social Housing Cost per unit]] &lt; S$825, 4, IF( tblFilterAll[[#This Row],[Headline Social Housing Cost per unit]] &lt; S$826, 3, IF( tblFilterAll[[#This Row],[Headline Social Housing Cost per unit]] &lt; S$827, 2, 1 ) ) )</f>
        <v>3</v>
      </c>
      <c r="U998" s="35">
        <f xml:space="preserve"> COUNTIFS( tblFilterAll[Include in output], 1, tblFilterAll[Headline Social Housing Cost per unit], "&gt;" &amp; tblFilterAll[[#This Row],[Headline Social Housing Cost per unit]] ) + 1</f>
        <v>132</v>
      </c>
      <c r="V998" s="30" cm="1">
        <f t="array" ref="V998" xml:space="preserve"> INDEX( VfM_Metrics_2023_Consol_Source[], $AK998, V$832 )</f>
        <v>0.31006040137689161</v>
      </c>
      <c r="W998" s="35">
        <f xml:space="preserve"> IF( tblFilterAll[[#This Row],[Operating Margin (SHL)]] &lt; V$825, 4, IF( tblFilterAll[[#This Row],[Operating Margin (SHL)]] &lt; V$826, 3, IF( tblFilterAll[[#This Row],[Operating Margin (SHL)]] &lt; V$827, 2, 1 ) ) )</f>
        <v>1</v>
      </c>
      <c r="X998" s="35">
        <f xml:space="preserve"> COUNTIFS( tblFilterAll[Include in output], 1, tblFilterAll[Operating Margin (SHL)], "&gt;" &amp; tblFilterAll[[#This Row],[Operating Margin (SHL)]] ) + 1</f>
        <v>23</v>
      </c>
      <c r="Y998" s="30" cm="1">
        <f t="array" ref="Y998" xml:space="preserve"> INDEX( VfM_Metrics_2023_Consol_Source[], $AK998, Y$832 )</f>
        <v>0.24028402623448425</v>
      </c>
      <c r="Z998" s="35">
        <f xml:space="preserve"> IF( tblFilterAll[[#This Row],[Operating Margin (Overall)]] &lt; Y$825, 4, IF( tblFilterAll[[#This Row],[Operating Margin (Overall)]] &lt; Y$826, 3, IF( tblFilterAll[[#This Row],[Operating Margin (Overall)]] &lt; Y$827, 2, 1 ) ) )</f>
        <v>1</v>
      </c>
      <c r="AA998" s="35">
        <f xml:space="preserve"> COUNTIFS( tblFilterAll[Include in output], 1, tblFilterAll[Operating Margin (Overall)], "&gt;" &amp; tblFilterAll[[#This Row],[Operating Margin (Overall)]] ) + 1</f>
        <v>43</v>
      </c>
      <c r="AB998" s="30" cm="1">
        <f t="array" ref="AB998" xml:space="preserve"> INDEX( VfM_Metrics_2023_Consol_Source[], $AK998, AB$832 )</f>
        <v>3.2006612639485364E-2</v>
      </c>
      <c r="AC998" s="35">
        <f xml:space="preserve"> IF( tblFilterAll[[#This Row],[ROCE]] &lt; AB$825, 4, IF( tblFilterAll[[#This Row],[ROCE]] &lt; AB$826, 3, IF( tblFilterAll[[#This Row],[ROCE]] &lt; AB$827, 2, 1 ) ) )</f>
        <v>2</v>
      </c>
      <c r="AD998" s="35">
        <f xml:space="preserve"> COUNTIFS( tblFilterAll[Include in output], 1, tblFilterAll[ROCE], "&gt;" &amp; tblFilterAll[[#This Row],[ROCE]] ) + 1</f>
        <v>72</v>
      </c>
      <c r="AE998" s="33" cm="1" vm="6113">
        <f t="array" ref="AE998" xml:space="preserve"> INDEX( VfM_Metrics_2023_Consol_Source[], $AK998, AE$832 )</f>
        <v>6040</v>
      </c>
      <c r="AF998" s="30" cm="1">
        <f t="array" ref="AF998" xml:space="preserve"> INDEX( VfM_Metrics_2023_Consol_Source[], $AK998, AF$832 )</f>
        <v>0.31937779248717524</v>
      </c>
      <c r="AG998" s="30" cm="1">
        <f t="array" ref="AG998" xml:space="preserve"> INDEX( VfM_Metrics_2023_Consol_Source[], $AK998, AG$832 )</f>
        <v>0</v>
      </c>
      <c r="AH998" s="30" cm="1">
        <f t="array" ref="AH998" xml:space="preserve"> INDEX( VfM_Metrics_2023_Consol_Source[], $AK998, AH$832 )</f>
        <v>0.31937779248717524</v>
      </c>
      <c r="AI998" s="30" t="str" cm="1">
        <f t="array" ref="AI998" xml:space="preserve"> INDEX( VfM_Metrics_2023_Consol_Source[], $AK998, AI$832 )</f>
        <v>Traditional</v>
      </c>
      <c r="AJ998" s="34" t="str" cm="1">
        <f t="array" ref="AJ998" xml:space="preserve"> INDEX( VfM_Metrics_2023_Consol_Source[], $AK998, AJ$832 )</f>
        <v>West Midlands</v>
      </c>
      <c r="AK998" s="81">
        <f xml:space="preserve"> MATCH( tblFilterAll[[#This Row],[Code]], VfM_Metrics_2023_Consol_Source[RP_Code], 0 )</f>
        <v>165</v>
      </c>
      <c r="AL998" s="24">
        <f xml:space="preserve"> INDEX( tblFilterRegion[Include for region],  MATCH( tblFilterAll[[#This Row],[Code]], tblFilterRegion[RP_Code], 0 ) )</f>
        <v>1</v>
      </c>
      <c r="AM998" s="24">
        <f xml:space="preserve"> INDEX( tblFilterPropType[Incl for prop type],  MATCH( tblFilterAll[[#This Row],[Code]], tblFilterPropType[RP_Code], 0 ) )</f>
        <v>1</v>
      </c>
      <c r="AN998" s="24">
        <f xml:space="preserve"> INDEX( tblFilterSize[Incl for size],  MATCH( tblFilterAll[[#This Row],[Code]], tblFilterSize[RP_Code], 0 ) )</f>
        <v>1</v>
      </c>
      <c r="AO998" s="24">
        <f xml:space="preserve"> INDEX( tblFilterRP_Type[Incl, for RP Type],  MATCH( tblFilterAll[[#This Row],[Code]], tblFilterRP_Type[RP_Code], 0 ) )</f>
        <v>1</v>
      </c>
      <c r="AP998" s="24">
        <f xml:space="preserve">  -- ( SUM( tblFilterAll[[#This Row],[Filter Region]:[Filter RP Type]] ) = 4 )</f>
        <v>1</v>
      </c>
      <c r="AQ998" s="24">
        <f xml:space="preserve"> -- ( tblFilterAll[[#This Row],[Provider name]] = SelectedProvider )</f>
        <v>0</v>
      </c>
      <c r="AR998" s="24">
        <f xml:space="preserve">  -- ( OR( SUM( tblFilterAll[[#This Row],[Filter Region]:[Filter RP Type]] ) = 4, tblFilterAll[[#This Row],[SelectedProvider]] = 1 ) )</f>
        <v>1</v>
      </c>
      <c r="AS998" s="24">
        <f xml:space="preserve"> -- ( INDEX( PeersCritera[Included in final peers], MATCH( tblFilterAll[[#This Row],[Provider name]], PeersCritera[RP_Name], 0 ) ) = 1 )</f>
        <v>1</v>
      </c>
      <c r="AT998" s="30" t="str" cm="1">
        <f t="array" ref="AT998" xml:space="preserve"> SUBSTITUTE( INDEX( VfM_Metrics_2023_Consol_Source[], $AK998, AT$832 ), 0, "" )</f>
        <v>&gt;= 12 years</v>
      </c>
      <c r="AU998" s="34" cm="1">
        <f t="array" ref="AU998" xml:space="preserve"> INDEX( VfM_Metrics_2023_Consol_Source[], $AK998, AU$832 )</f>
        <v>0</v>
      </c>
      <c r="AV998" s="34" cm="1">
        <f t="array" ref="AV998" xml:space="preserve"> INDEX( VfM_Metrics_2023_Consol_Source[], $AK998, AV$832 )</f>
        <v>0</v>
      </c>
      <c r="AW998" s="34" cm="1">
        <f t="array" ref="AW998" xml:space="preserve"> INDEX( VfM_Metrics_2023_Consol_Source[], $AK998, AW$832 )</f>
        <v>0</v>
      </c>
      <c r="AX998" s="34" cm="1">
        <f t="array" ref="AX998" xml:space="preserve"> INDEX( VfM_Metrics_2023_Consol_Source[], $AK998, AX$832 )</f>
        <v>0</v>
      </c>
      <c r="AY998" s="34" cm="1">
        <f t="array" ref="AY998" xml:space="preserve"> INDEX( VfM_Metrics_2023_Consol_Source[], $AK998, AY$832 )</f>
        <v>1</v>
      </c>
      <c r="AZ998" s="34" cm="1">
        <f t="array" ref="AZ998" xml:space="preserve"> INDEX( VfM_Metrics_2023_Consol_Source[], $AK998, AZ$832 )</f>
        <v>0</v>
      </c>
      <c r="BA998" s="34" cm="1">
        <f t="array" ref="BA998" xml:space="preserve"> INDEX( VfM_Metrics_2023_Consol_Source[], $AK998, BA$832 )</f>
        <v>0</v>
      </c>
      <c r="BB998" s="34" cm="1">
        <f t="array" ref="BB998" xml:space="preserve"> INDEX( VfM_Metrics_2023_Consol_Source[], $AK998, BB$832 )</f>
        <v>0</v>
      </c>
      <c r="BC998" s="34" cm="1">
        <f t="array" ref="BC998" xml:space="preserve"> INDEX( VfM_Metrics_2023_Consol_Source[], $AK998, BC$832 )</f>
        <v>0</v>
      </c>
    </row>
    <row r="999" spans="2:55" x14ac:dyDescent="0.2">
      <c r="B999" s="122" t="str" vm="166">
        <f t="shared" ref="B999" si="505" xml:space="preserve"> B789</f>
        <v>The Guinness Partnership Limited</v>
      </c>
      <c r="C999" s="122" t="str" vm="248">
        <f t="shared" si="500"/>
        <v>4729</v>
      </c>
      <c r="D999" s="30" cm="1">
        <f t="array" ref="D999" xml:space="preserve"> INDEX( VfM_Metrics_2023_Consol_Source[], $AK999, D$832 )</f>
        <v>8.3942378985276983E-2</v>
      </c>
      <c r="E999" s="35">
        <f xml:space="preserve"> IF( tblFilterAll[[#This Row],[Reinvestment]] &lt; D$825, 4, IF( tblFilterAll[[#This Row],[Reinvestment]] &lt; D$826, 3, IF( tblFilterAll[[#This Row],[Reinvestment]] &lt; D$827, 2, 1 ) ) )</f>
        <v>2</v>
      </c>
      <c r="F999" s="35">
        <f xml:space="preserve"> COUNTIFS( tblFilterAll[Include in output], 1, tblFilterAll[Reinvestment], "&gt;" &amp; tblFilterAll[[#This Row],[Reinvestment]] ) + 1</f>
        <v>66</v>
      </c>
      <c r="G999" s="30" cm="1">
        <f t="array" ref="G999" xml:space="preserve"> INDEX( VfM_Metrics_2023_Consol_Source[], $AK999, G$832 )</f>
        <v>8.0557030005932503E-3</v>
      </c>
      <c r="H999" s="35">
        <f xml:space="preserve"> IF( tblFilterAll[[#This Row],[New Supply (Social)]] &lt; G$825, 4, IF( tblFilterAll[[#This Row],[New Supply (Social)]] &lt; G$826, 3, IF( tblFilterAll[[#This Row],[New Supply (Social)]] &lt; G$827, 2, 1 ) ) )</f>
        <v>3</v>
      </c>
      <c r="I999" s="35">
        <f xml:space="preserve"> COUNTIFS( tblFilterAll[Include in output], 1, tblFilterAll[New Supply (Social)], "&gt;" &amp; tblFilterAll[[#This Row],[New Supply (Social)]] ) + 1</f>
        <v>138</v>
      </c>
      <c r="J999" s="31" cm="1">
        <f t="array" ref="J999" xml:space="preserve"> INDEX( VfM_Metrics_2023_Consol_Source[], $AK999, J$832 )</f>
        <v>4.7818569804208661E-3</v>
      </c>
      <c r="K999" s="35">
        <f xml:space="preserve"> IF( tblFilterAll[[#This Row],[New Supply (Non-Social)]] &lt; J$825, 4, IF( tblFilterAll[[#This Row],[New Supply (Non-Social)]] &lt; J$826, 3, IF( tblFilterAll[[#This Row],[New Supply (Non-Social)]] &lt; J$827, 2, 1 ) ) )</f>
        <v>1</v>
      </c>
      <c r="L999" s="35">
        <f xml:space="preserve"> COUNTIFS( tblFilterAll[Include in output], 1, tblFilterAll[New Supply (Non-Social)], "&gt;" &amp; tblFilterAll[[#This Row],[New Supply (Non-Social)]] ) + 1</f>
        <v>21</v>
      </c>
      <c r="M999" s="30" cm="1">
        <f t="array" ref="M999" xml:space="preserve"> INDEX( VfM_Metrics_2023_Consol_Source[], $AK999, M$832 )</f>
        <v>0.38181866327719521</v>
      </c>
      <c r="N999" s="35">
        <f xml:space="preserve"> IF( tblFilterAll[[#This Row],[Gearing]] &lt; M$825, 4, IF( tblFilterAll[[#This Row],[Gearing]] &lt; M$826, 3, IF( tblFilterAll[[#This Row],[Gearing]] &lt; M$827, 2, 1 ) ) )</f>
        <v>3</v>
      </c>
      <c r="O999" s="35">
        <f xml:space="preserve"> COUNTIFS( tblFilterAll[Include in output], 1, tblFilterAll[Gearing], "&gt;" &amp; tblFilterAll[[#This Row],[Gearing]] ) + 1</f>
        <v>135</v>
      </c>
      <c r="P999" s="30" cm="1">
        <f t="array" ref="P999" xml:space="preserve"> INDEX( VfM_Metrics_2023_Consol_Source[], $AK999, P$832 )</f>
        <v>1.0687830687830688</v>
      </c>
      <c r="Q999" s="35">
        <f xml:space="preserve"> IF( tblFilterAll[[#This Row],[EBITDA MRI Interest Cover]] &lt; P$825, 4, IF( tblFilterAll[[#This Row],[EBITDA MRI Interest Cover]] &lt; P$826, 3, IF( tblFilterAll[[#This Row],[EBITDA MRI Interest Cover]] &lt; P$827, 2, 1 ) ) )</f>
        <v>3</v>
      </c>
      <c r="R999" s="35">
        <f xml:space="preserve"> COUNTIFS( tblFilterAll[Include in output], 1, tblFilterAll[EBITDA MRI Interest Cover], "&gt;" &amp; tblFilterAll[[#This Row],[EBITDA MRI Interest Cover]] ) + 1</f>
        <v>130</v>
      </c>
      <c r="S999" s="32" cm="1">
        <f t="array" ref="S999" xml:space="preserve"> INDEX( VfM_Metrics_2023_Consol_Source[], $AK999, S$832 )</f>
        <v>5140.9099888062165</v>
      </c>
      <c r="T999" s="35">
        <f xml:space="preserve"> IF( tblFilterAll[[#This Row],[Headline Social Housing Cost per unit]] &lt; S$825, 4, IF( tblFilterAll[[#This Row],[Headline Social Housing Cost per unit]] &lt; S$826, 3, IF( tblFilterAll[[#This Row],[Headline Social Housing Cost per unit]] &lt; S$827, 2, 1 ) ) )</f>
        <v>2</v>
      </c>
      <c r="U999" s="35">
        <f xml:space="preserve"> COUNTIFS( tblFilterAll[Include in output], 1, tblFilterAll[Headline Social Housing Cost per unit], "&gt;" &amp; tblFilterAll[[#This Row],[Headline Social Housing Cost per unit]] ) + 1</f>
        <v>69</v>
      </c>
      <c r="V999" s="30" cm="1">
        <f t="array" ref="V999" xml:space="preserve"> INDEX( VfM_Metrics_2023_Consol_Source[], $AK999, V$832 )</f>
        <v>0.2213206491326245</v>
      </c>
      <c r="W999" s="35">
        <f xml:space="preserve"> IF( tblFilterAll[[#This Row],[Operating Margin (SHL)]] &lt; V$825, 4, IF( tblFilterAll[[#This Row],[Operating Margin (SHL)]] &lt; V$826, 3, IF( tblFilterAll[[#This Row],[Operating Margin (SHL)]] &lt; V$827, 2, 1 ) ) )</f>
        <v>2</v>
      </c>
      <c r="X999" s="35">
        <f xml:space="preserve"> COUNTIFS( tblFilterAll[Include in output], 1, tblFilterAll[Operating Margin (SHL)], "&gt;" &amp; tblFilterAll[[#This Row],[Operating Margin (SHL)]] ) + 1</f>
        <v>79</v>
      </c>
      <c r="Y999" s="30" cm="1">
        <f t="array" ref="Y999" xml:space="preserve"> INDEX( VfM_Metrics_2023_Consol_Source[], $AK999, Y$832 )</f>
        <v>0.1623172311678697</v>
      </c>
      <c r="Z999" s="35">
        <f xml:space="preserve"> IF( tblFilterAll[[#This Row],[Operating Margin (Overall)]] &lt; Y$825, 4, IF( tblFilterAll[[#This Row],[Operating Margin (Overall)]] &lt; Y$826, 3, IF( tblFilterAll[[#This Row],[Operating Margin (Overall)]] &lt; Y$827, 2, 1 ) ) )</f>
        <v>3</v>
      </c>
      <c r="AA999" s="35">
        <f xml:space="preserve"> COUNTIFS( tblFilterAll[Include in output], 1, tblFilterAll[Operating Margin (Overall)], "&gt;" &amp; tblFilterAll[[#This Row],[Operating Margin (Overall)]] ) + 1</f>
        <v>119</v>
      </c>
      <c r="AB999" s="30" cm="1">
        <f t="array" ref="AB999" xml:space="preserve"> INDEX( VfM_Metrics_2023_Consol_Source[], $AK999, AB$832 )</f>
        <v>2.5563831719913836E-2</v>
      </c>
      <c r="AC999" s="35">
        <f xml:space="preserve"> IF( tblFilterAll[[#This Row],[ROCE]] &lt; AB$825, 4, IF( tblFilterAll[[#This Row],[ROCE]] &lt; AB$826, 3, IF( tblFilterAll[[#This Row],[ROCE]] &lt; AB$827, 2, 1 ) ) )</f>
        <v>3</v>
      </c>
      <c r="AD999" s="35">
        <f xml:space="preserve"> COUNTIFS( tblFilterAll[Include in output], 1, tblFilterAll[ROCE], "&gt;" &amp; tblFilterAll[[#This Row],[ROCE]] ) + 1</f>
        <v>124</v>
      </c>
      <c r="AE999" s="33" cm="1" vm="1694">
        <f t="array" ref="AE999" xml:space="preserve"> INDEX( VfM_Metrics_2023_Consol_Source[], $AK999, AE$832 )</f>
        <v>60576</v>
      </c>
      <c r="AF999" s="30" cm="1">
        <f t="array" ref="AF999" xml:space="preserve"> INDEX( VfM_Metrics_2023_Consol_Source[], $AK999, AF$832 )</f>
        <v>1.290912111646453E-2</v>
      </c>
      <c r="AG999" s="30" cm="1">
        <f t="array" ref="AG999" xml:space="preserve"> INDEX( VfM_Metrics_2023_Consol_Source[], $AK999, AG$832 )</f>
        <v>0.12593454062136566</v>
      </c>
      <c r="AH999" s="30" cm="1">
        <f t="array" ref="AH999" xml:space="preserve"> INDEX( VfM_Metrics_2023_Consol_Source[], $AK999, AH$832 )</f>
        <v>0.13884366173783019</v>
      </c>
      <c r="AI999" s="30" t="str" cm="1">
        <f t="array" ref="AI999" xml:space="preserve"> INDEX( VfM_Metrics_2023_Consol_Source[], $AK999, AI$832 )</f>
        <v>Traditional</v>
      </c>
      <c r="AJ999" s="34" t="str" cm="1">
        <f t="array" ref="AJ999" xml:space="preserve"> INDEX( VfM_Metrics_2023_Consol_Source[], $AK999, AJ$832 )</f>
        <v>Mixed</v>
      </c>
      <c r="AK999" s="81">
        <f xml:space="preserve"> MATCH( tblFilterAll[[#This Row],[Code]], VfM_Metrics_2023_Consol_Source[RP_Code], 0 )</f>
        <v>166</v>
      </c>
      <c r="AL999" s="24">
        <f xml:space="preserve"> INDEX( tblFilterRegion[Include for region],  MATCH( tblFilterAll[[#This Row],[Code]], tblFilterRegion[RP_Code], 0 ) )</f>
        <v>1</v>
      </c>
      <c r="AM999" s="24">
        <f xml:space="preserve"> INDEX( tblFilterPropType[Incl for prop type],  MATCH( tblFilterAll[[#This Row],[Code]], tblFilterPropType[RP_Code], 0 ) )</f>
        <v>1</v>
      </c>
      <c r="AN999" s="24">
        <f xml:space="preserve"> INDEX( tblFilterSize[Incl for size],  MATCH( tblFilterAll[[#This Row],[Code]], tblFilterSize[RP_Code], 0 ) )</f>
        <v>1</v>
      </c>
      <c r="AO999" s="24">
        <f xml:space="preserve"> INDEX( tblFilterRP_Type[Incl, for RP Type],  MATCH( tblFilterAll[[#This Row],[Code]], tblFilterRP_Type[RP_Code], 0 ) )</f>
        <v>1</v>
      </c>
      <c r="AP999" s="24">
        <f xml:space="preserve">  -- ( SUM( tblFilterAll[[#This Row],[Filter Region]:[Filter RP Type]] ) = 4 )</f>
        <v>1</v>
      </c>
      <c r="AQ999" s="24">
        <f xml:space="preserve"> -- ( tblFilterAll[[#This Row],[Provider name]] = SelectedProvider )</f>
        <v>0</v>
      </c>
      <c r="AR999" s="24">
        <f xml:space="preserve">  -- ( OR( SUM( tblFilterAll[[#This Row],[Filter Region]:[Filter RP Type]] ) = 4, tblFilterAll[[#This Row],[SelectedProvider]] = 1 ) )</f>
        <v>1</v>
      </c>
      <c r="AS999" s="24">
        <f xml:space="preserve"> -- ( INDEX( PeersCritera[Included in final peers], MATCH( tblFilterAll[[#This Row],[Provider name]], PeersCritera[RP_Name], 0 ) ) = 1 )</f>
        <v>1</v>
      </c>
      <c r="AT999" s="30" t="str" cm="1">
        <f t="array" ref="AT999" xml:space="preserve"> SUBSTITUTE( INDEX( VfM_Metrics_2023_Consol_Source[], $AK999, AT$832 ), 0, "" )</f>
        <v/>
      </c>
      <c r="AU999" s="34" cm="1">
        <f t="array" ref="AU999" xml:space="preserve"> INDEX( VfM_Metrics_2023_Consol_Source[], $AK999, AU$832 )</f>
        <v>0.10820728985866601</v>
      </c>
      <c r="AV999" s="34" cm="1">
        <f t="array" ref="AV999" xml:space="preserve"> INDEX( VfM_Metrics_2023_Consol_Source[], $AK999, AV$832 )</f>
        <v>0.21223241590214068</v>
      </c>
      <c r="AW999" s="34" cm="1">
        <f t="array" ref="AW999" xml:space="preserve"> INDEX( VfM_Metrics_2023_Consol_Source[], $AK999, AW$832 )</f>
        <v>0.16713777998181667</v>
      </c>
      <c r="AX999" s="34" cm="1">
        <f t="array" ref="AX999" xml:space="preserve"> INDEX( VfM_Metrics_2023_Consol_Source[], $AK999, AX$832 )</f>
        <v>7.719646251756343E-2</v>
      </c>
      <c r="AY999" s="34" cm="1">
        <f t="array" ref="AY999" xml:space="preserve"> INDEX( VfM_Metrics_2023_Consol_Source[], $AK999, AY$832 )</f>
        <v>1.5703777171667079E-3</v>
      </c>
      <c r="AZ999" s="34" cm="1">
        <f t="array" ref="AZ999" xml:space="preserve"> INDEX( VfM_Metrics_2023_Consol_Source[], $AK999, AZ$832 )</f>
        <v>4.9409042069592526E-2</v>
      </c>
      <c r="BA999" s="34" cm="1">
        <f t="array" ref="BA999" xml:space="preserve"> INDEX( VfM_Metrics_2023_Consol_Source[], $AK999, BA$832 )</f>
        <v>1.6530291759649558E-5</v>
      </c>
      <c r="BB999" s="34" cm="1">
        <f t="array" ref="BB999" xml:space="preserve"> INDEX( VfM_Metrics_2023_Consol_Source[], $AK999, BB$832 )</f>
        <v>0.28119679312339863</v>
      </c>
      <c r="BC999" s="34" cm="1">
        <f t="array" ref="BC999" xml:space="preserve"> INDEX( VfM_Metrics_2023_Consol_Source[], $AK999, BC$832 )</f>
        <v>0.10303330853789569</v>
      </c>
    </row>
    <row r="1000" spans="2:55" x14ac:dyDescent="0.2">
      <c r="B1000" s="122" t="str" vm="167">
        <f t="shared" ref="B1000" si="506" xml:space="preserve"> B790</f>
        <v>The Havebury Housing Partnership</v>
      </c>
      <c r="C1000" s="122" t="str" vm="374">
        <f t="shared" si="500"/>
        <v>LH4339</v>
      </c>
      <c r="D1000" s="30" cm="1">
        <f t="array" ref="D1000" xml:space="preserve"> INDEX( VfM_Metrics_2023_Consol_Source[], $AK1000, D$832 )</f>
        <v>6.754730154983872E-2</v>
      </c>
      <c r="E1000" s="35">
        <f xml:space="preserve"> IF( tblFilterAll[[#This Row],[Reinvestment]] &lt; D$825, 4, IF( tblFilterAll[[#This Row],[Reinvestment]] &lt; D$826, 3, IF( tblFilterAll[[#This Row],[Reinvestment]] &lt; D$827, 2, 1 ) ) )</f>
        <v>2</v>
      </c>
      <c r="F1000" s="35">
        <f xml:space="preserve"> COUNTIFS( tblFilterAll[Include in output], 1, tblFilterAll[Reinvestment], "&gt;" &amp; tblFilterAll[[#This Row],[Reinvestment]] ) + 1</f>
        <v>97</v>
      </c>
      <c r="G1000" s="30" cm="1">
        <f t="array" ref="G1000" xml:space="preserve"> INDEX( VfM_Metrics_2023_Consol_Source[], $AK1000, G$832 )</f>
        <v>2.628755364806867E-2</v>
      </c>
      <c r="H1000" s="35">
        <f xml:space="preserve"> IF( tblFilterAll[[#This Row],[New Supply (Social)]] &lt; G$825, 4, IF( tblFilterAll[[#This Row],[New Supply (Social)]] &lt; G$826, 3, IF( tblFilterAll[[#This Row],[New Supply (Social)]] &lt; G$827, 2, 1 ) ) )</f>
        <v>1</v>
      </c>
      <c r="I1000" s="35">
        <f xml:space="preserve"> COUNTIFS( tblFilterAll[Include in output], 1, tblFilterAll[New Supply (Social)], "&gt;" &amp; tblFilterAll[[#This Row],[New Supply (Social)]] ) + 1</f>
        <v>28</v>
      </c>
      <c r="J1000" s="31" cm="1">
        <f t="array" ref="J1000" xml:space="preserve"> INDEX( VfM_Metrics_2023_Consol_Source[], $AK1000, J$832 )</f>
        <v>0</v>
      </c>
      <c r="K1000" s="35">
        <f xml:space="preserve"> IF( tblFilterAll[[#This Row],[New Supply (Non-Social)]] &lt; J$825, 4, IF( tblFilterAll[[#This Row],[New Supply (Non-Social)]] &lt; J$826, 3, IF( tblFilterAll[[#This Row],[New Supply (Non-Social)]] &lt; J$827, 2, 1 ) ) )</f>
        <v>2</v>
      </c>
      <c r="L1000" s="35">
        <f xml:space="preserve"> COUNTIFS( tblFilterAll[Include in output], 1, tblFilterAll[New Supply (Non-Social)], "&gt;" &amp; tblFilterAll[[#This Row],[New Supply (Non-Social)]] ) + 1</f>
        <v>72</v>
      </c>
      <c r="M1000" s="30" cm="1">
        <f t="array" ref="M1000" xml:space="preserve"> INDEX( VfM_Metrics_2023_Consol_Source[], $AK1000, M$832 )</f>
        <v>0.52474972464794267</v>
      </c>
      <c r="N1000" s="35">
        <f xml:space="preserve"> IF( tblFilterAll[[#This Row],[Gearing]] &lt; M$825, 4, IF( tblFilterAll[[#This Row],[Gearing]] &lt; M$826, 3, IF( tblFilterAll[[#This Row],[Gearing]] &lt; M$827, 2, 1 ) ) )</f>
        <v>2</v>
      </c>
      <c r="O1000" s="35">
        <f xml:space="preserve"> COUNTIFS( tblFilterAll[Include in output], 1, tblFilterAll[Gearing], "&gt;" &amp; tblFilterAll[[#This Row],[Gearing]] ) + 1</f>
        <v>58</v>
      </c>
      <c r="P1000" s="30" cm="1">
        <f t="array" ref="P1000" xml:space="preserve"> INDEX( VfM_Metrics_2023_Consol_Source[], $AK1000, P$832 )</f>
        <v>1.2901348336405083</v>
      </c>
      <c r="Q1000" s="35">
        <f xml:space="preserve"> IF( tblFilterAll[[#This Row],[EBITDA MRI Interest Cover]] &lt; P$825, 4, IF( tblFilterAll[[#This Row],[EBITDA MRI Interest Cover]] &lt; P$826, 3, IF( tblFilterAll[[#This Row],[EBITDA MRI Interest Cover]] &lt; P$827, 2, 1 ) ) )</f>
        <v>2</v>
      </c>
      <c r="R1000" s="35">
        <f xml:space="preserve"> COUNTIFS( tblFilterAll[Include in output], 1, tblFilterAll[EBITDA MRI Interest Cover], "&gt;" &amp; tblFilterAll[[#This Row],[EBITDA MRI Interest Cover]] ) + 1</f>
        <v>95</v>
      </c>
      <c r="S1000" s="32" cm="1">
        <f t="array" ref="S1000" xml:space="preserve"> INDEX( VfM_Metrics_2023_Consol_Source[], $AK1000, S$832 )</f>
        <v>4382.0162736174316</v>
      </c>
      <c r="T1000" s="35">
        <f xml:space="preserve"> IF( tblFilterAll[[#This Row],[Headline Social Housing Cost per unit]] &lt; S$825, 4, IF( tblFilterAll[[#This Row],[Headline Social Housing Cost per unit]] &lt; S$826, 3, IF( tblFilterAll[[#This Row],[Headline Social Housing Cost per unit]] &lt; S$827, 2, 1 ) ) )</f>
        <v>3</v>
      </c>
      <c r="U1000" s="35">
        <f xml:space="preserve"> COUNTIFS( tblFilterAll[Include in output], 1, tblFilterAll[Headline Social Housing Cost per unit], "&gt;" &amp; tblFilterAll[[#This Row],[Headline Social Housing Cost per unit]] ) + 1</f>
        <v>117</v>
      </c>
      <c r="V1000" s="30" cm="1">
        <f t="array" ref="V1000" xml:space="preserve"> INDEX( VfM_Metrics_2023_Consol_Source[], $AK1000, V$832 )</f>
        <v>0.18601635982178638</v>
      </c>
      <c r="W1000" s="35">
        <f xml:space="preserve"> IF( tblFilterAll[[#This Row],[Operating Margin (SHL)]] &lt; V$825, 4, IF( tblFilterAll[[#This Row],[Operating Margin (SHL)]] &lt; V$826, 3, IF( tblFilterAll[[#This Row],[Operating Margin (SHL)]] &lt; V$827, 2, 1 ) ) )</f>
        <v>3</v>
      </c>
      <c r="X1000" s="35">
        <f xml:space="preserve"> COUNTIFS( tblFilterAll[Include in output], 1, tblFilterAll[Operating Margin (SHL)], "&gt;" &amp; tblFilterAll[[#This Row],[Operating Margin (SHL)]] ) + 1</f>
        <v>114</v>
      </c>
      <c r="Y1000" s="30" cm="1">
        <f t="array" ref="Y1000" xml:space="preserve"> INDEX( VfM_Metrics_2023_Consol_Source[], $AK1000, Y$832 )</f>
        <v>0.19151854944530597</v>
      </c>
      <c r="Z1000" s="35">
        <f xml:space="preserve"> IF( tblFilterAll[[#This Row],[Operating Margin (Overall)]] &lt; Y$825, 4, IF( tblFilterAll[[#This Row],[Operating Margin (Overall)]] &lt; Y$826, 3, IF( tblFilterAll[[#This Row],[Operating Margin (Overall)]] &lt; Y$827, 2, 1 ) ) )</f>
        <v>2</v>
      </c>
      <c r="AA1000" s="35">
        <f xml:space="preserve"> COUNTIFS( tblFilterAll[Include in output], 1, tblFilterAll[Operating Margin (Overall)], "&gt;" &amp; tblFilterAll[[#This Row],[Operating Margin (Overall)]] ) + 1</f>
        <v>92</v>
      </c>
      <c r="AB1000" s="30" cm="1">
        <f t="array" ref="AB1000" xml:space="preserve"> INDEX( VfM_Metrics_2023_Consol_Source[], $AK1000, AB$832 )</f>
        <v>2.7679475123645995E-2</v>
      </c>
      <c r="AC1000" s="35">
        <f xml:space="preserve"> IF( tblFilterAll[[#This Row],[ROCE]] &lt; AB$825, 4, IF( tblFilterAll[[#This Row],[ROCE]] &lt; AB$826, 3, IF( tblFilterAll[[#This Row],[ROCE]] &lt; AB$827, 2, 1 ) ) )</f>
        <v>3</v>
      </c>
      <c r="AD1000" s="35">
        <f xml:space="preserve"> COUNTIFS( tblFilterAll[Include in output], 1, tblFilterAll[ROCE], "&gt;" &amp; tblFilterAll[[#This Row],[ROCE]] ) + 1</f>
        <v>108</v>
      </c>
      <c r="AE1000" s="33" cm="1" vm="5955">
        <f t="array" ref="AE1000" xml:space="preserve"> INDEX( VfM_Metrics_2023_Consol_Source[], $AK1000, AE$832 )</f>
        <v>7251</v>
      </c>
      <c r="AF1000" s="30" cm="1">
        <f t="array" ref="AF1000" xml:space="preserve"> INDEX( VfM_Metrics_2023_Consol_Source[], $AK1000, AF$832 )</f>
        <v>1.364522417153996E-2</v>
      </c>
      <c r="AG1000" s="30" cm="1">
        <f t="array" ref="AG1000" xml:space="preserve"> INDEX( VfM_Metrics_2023_Consol_Source[], $AK1000, AG$832 )</f>
        <v>3.6758563074352546E-2</v>
      </c>
      <c r="AH1000" s="30" cm="1">
        <f t="array" ref="AH1000" xml:space="preserve"> INDEX( VfM_Metrics_2023_Consol_Source[], $AK1000, AH$832 )</f>
        <v>5.0403787245892506E-2</v>
      </c>
      <c r="AI1000" s="30" t="str" cm="1">
        <f t="array" ref="AI1000" xml:space="preserve"> INDEX( VfM_Metrics_2023_Consol_Source[], $AK1000, AI$832 )</f>
        <v>Traditional</v>
      </c>
      <c r="AJ1000" s="34" t="str" cm="1">
        <f t="array" ref="AJ1000" xml:space="preserve"> INDEX( VfM_Metrics_2023_Consol_Source[], $AK1000, AJ$832 )</f>
        <v>East of England</v>
      </c>
      <c r="AK1000" s="81">
        <f xml:space="preserve"> MATCH( tblFilterAll[[#This Row],[Code]], VfM_Metrics_2023_Consol_Source[RP_Code], 0 )</f>
        <v>167</v>
      </c>
      <c r="AL1000" s="24">
        <f xml:space="preserve"> INDEX( tblFilterRegion[Include for region],  MATCH( tblFilterAll[[#This Row],[Code]], tblFilterRegion[RP_Code], 0 ) )</f>
        <v>1</v>
      </c>
      <c r="AM1000" s="24">
        <f xml:space="preserve"> INDEX( tblFilterPropType[Incl for prop type],  MATCH( tblFilterAll[[#This Row],[Code]], tblFilterPropType[RP_Code], 0 ) )</f>
        <v>1</v>
      </c>
      <c r="AN1000" s="24">
        <f xml:space="preserve"> INDEX( tblFilterSize[Incl for size],  MATCH( tblFilterAll[[#This Row],[Code]], tblFilterSize[RP_Code], 0 ) )</f>
        <v>1</v>
      </c>
      <c r="AO1000" s="24">
        <f xml:space="preserve"> INDEX( tblFilterRP_Type[Incl, for RP Type],  MATCH( tblFilterAll[[#This Row],[Code]], tblFilterRP_Type[RP_Code], 0 ) )</f>
        <v>1</v>
      </c>
      <c r="AP1000" s="24">
        <f xml:space="preserve">  -- ( SUM( tblFilterAll[[#This Row],[Filter Region]:[Filter RP Type]] ) = 4 )</f>
        <v>1</v>
      </c>
      <c r="AQ1000" s="24">
        <f xml:space="preserve"> -- ( tblFilterAll[[#This Row],[Provider name]] = SelectedProvider )</f>
        <v>0</v>
      </c>
      <c r="AR1000" s="24">
        <f xml:space="preserve">  -- ( OR( SUM( tblFilterAll[[#This Row],[Filter Region]:[Filter RP Type]] ) = 4, tblFilterAll[[#This Row],[SelectedProvider]] = 1 ) )</f>
        <v>1</v>
      </c>
      <c r="AS1000" s="24">
        <f xml:space="preserve"> -- ( INDEX( PeersCritera[Included in final peers], MATCH( tblFilterAll[[#This Row],[Provider name]], PeersCritera[RP_Name], 0 ) ) = 1 )</f>
        <v>1</v>
      </c>
      <c r="AT1000" s="30" t="str" cm="1">
        <f t="array" ref="AT1000" xml:space="preserve"> SUBSTITUTE( INDEX( VfM_Metrics_2023_Consol_Source[], $AK1000, AT$832 ), 0, "" )</f>
        <v>&gt;= 12 years</v>
      </c>
      <c r="AU1000" s="34" cm="1">
        <f t="array" ref="AU1000" xml:space="preserve"> INDEX( VfM_Metrics_2023_Consol_Source[], $AK1000, AU$832 )</f>
        <v>0</v>
      </c>
      <c r="AV1000" s="34" cm="1">
        <f t="array" ref="AV1000" xml:space="preserve"> INDEX( VfM_Metrics_2023_Consol_Source[], $AK1000, AV$832 )</f>
        <v>0</v>
      </c>
      <c r="AW1000" s="34" cm="1">
        <f t="array" ref="AW1000" xml:space="preserve"> INDEX( VfM_Metrics_2023_Consol_Source[], $AK1000, AW$832 )</f>
        <v>0</v>
      </c>
      <c r="AX1000" s="34" cm="1">
        <f t="array" ref="AX1000" xml:space="preserve"> INDEX( VfM_Metrics_2023_Consol_Source[], $AK1000, AX$832 )</f>
        <v>0</v>
      </c>
      <c r="AY1000" s="34" cm="1">
        <f t="array" ref="AY1000" xml:space="preserve"> INDEX( VfM_Metrics_2023_Consol_Source[], $AK1000, AY$832 )</f>
        <v>0</v>
      </c>
      <c r="AZ1000" s="34" cm="1">
        <f t="array" ref="AZ1000" xml:space="preserve"> INDEX( VfM_Metrics_2023_Consol_Source[], $AK1000, AZ$832 )</f>
        <v>1</v>
      </c>
      <c r="BA1000" s="34" cm="1">
        <f t="array" ref="BA1000" xml:space="preserve"> INDEX( VfM_Metrics_2023_Consol_Source[], $AK1000, BA$832 )</f>
        <v>0</v>
      </c>
      <c r="BB1000" s="34" cm="1">
        <f t="array" ref="BB1000" xml:space="preserve"> INDEX( VfM_Metrics_2023_Consol_Source[], $AK1000, BB$832 )</f>
        <v>0</v>
      </c>
      <c r="BC1000" s="34" cm="1">
        <f t="array" ref="BC1000" xml:space="preserve"> INDEX( VfM_Metrics_2023_Consol_Source[], $AK1000, BC$832 )</f>
        <v>0</v>
      </c>
    </row>
    <row r="1001" spans="2:55" x14ac:dyDescent="0.2">
      <c r="B1001" s="122" t="str" vm="168">
        <f t="shared" ref="B1001" si="507" xml:space="preserve"> B791</f>
        <v>The Housing Plus Group Limited</v>
      </c>
      <c r="C1001" s="122" t="str" vm="293">
        <f t="shared" si="500"/>
        <v>L4491</v>
      </c>
      <c r="D1001" s="30" cm="1">
        <f t="array" ref="D1001" xml:space="preserve"> INDEX( VfM_Metrics_2023_Consol_Source[], $AK1001, D$832 )</f>
        <v>4.9861533144521693E-2</v>
      </c>
      <c r="E1001" s="35">
        <f xml:space="preserve"> IF( tblFilterAll[[#This Row],[Reinvestment]] &lt; D$825, 4, IF( tblFilterAll[[#This Row],[Reinvestment]] &lt; D$826, 3, IF( tblFilterAll[[#This Row],[Reinvestment]] &lt; D$827, 2, 1 ) ) )</f>
        <v>3</v>
      </c>
      <c r="F1001" s="35">
        <f xml:space="preserve"> COUNTIFS( tblFilterAll[Include in output], 1, tblFilterAll[Reinvestment], "&gt;" &amp; tblFilterAll[[#This Row],[Reinvestment]] ) + 1</f>
        <v>144</v>
      </c>
      <c r="G1001" s="30" cm="1">
        <f t="array" ref="G1001" xml:space="preserve"> INDEX( VfM_Metrics_2023_Consol_Source[], $AK1001, G$832 )</f>
        <v>8.1699346405228763E-3</v>
      </c>
      <c r="H1001" s="35">
        <f xml:space="preserve"> IF( tblFilterAll[[#This Row],[New Supply (Social)]] &lt; G$825, 4, IF( tblFilterAll[[#This Row],[New Supply (Social)]] &lt; G$826, 3, IF( tblFilterAll[[#This Row],[New Supply (Social)]] &lt; G$827, 2, 1 ) ) )</f>
        <v>3</v>
      </c>
      <c r="I1001" s="35">
        <f xml:space="preserve"> COUNTIFS( tblFilterAll[Include in output], 1, tblFilterAll[New Supply (Social)], "&gt;" &amp; tblFilterAll[[#This Row],[New Supply (Social)]] ) + 1</f>
        <v>137</v>
      </c>
      <c r="J1001" s="31" cm="1">
        <f t="array" ref="J1001" xml:space="preserve"> INDEX( VfM_Metrics_2023_Consol_Source[], $AK1001, J$832 )</f>
        <v>1.0639375823285034E-3</v>
      </c>
      <c r="K1001" s="35">
        <f xml:space="preserve"> IF( tblFilterAll[[#This Row],[New Supply (Non-Social)]] &lt; J$825, 4, IF( tblFilterAll[[#This Row],[New Supply (Non-Social)]] &lt; J$826, 3, IF( tblFilterAll[[#This Row],[New Supply (Non-Social)]] &lt; J$827, 2, 1 ) ) )</f>
        <v>1</v>
      </c>
      <c r="L1001" s="35">
        <f xml:space="preserve"> COUNTIFS( tblFilterAll[Include in output], 1, tblFilterAll[New Supply (Non-Social)], "&gt;" &amp; tblFilterAll[[#This Row],[New Supply (Non-Social)]] ) + 1</f>
        <v>44</v>
      </c>
      <c r="M1001" s="30" cm="1">
        <f t="array" ref="M1001" xml:space="preserve"> INDEX( VfM_Metrics_2023_Consol_Source[], $AK1001, M$832 )</f>
        <v>0.62349133964999526</v>
      </c>
      <c r="N1001" s="35">
        <f xml:space="preserve"> IF( tblFilterAll[[#This Row],[Gearing]] &lt; M$825, 4, IF( tblFilterAll[[#This Row],[Gearing]] &lt; M$826, 3, IF( tblFilterAll[[#This Row],[Gearing]] &lt; M$827, 2, 1 ) ) )</f>
        <v>1</v>
      </c>
      <c r="O1001" s="35">
        <f xml:space="preserve"> COUNTIFS( tblFilterAll[Include in output], 1, tblFilterAll[Gearing], "&gt;" &amp; tblFilterAll[[#This Row],[Gearing]] ) + 1</f>
        <v>18</v>
      </c>
      <c r="P1001" s="30" cm="1">
        <f t="array" ref="P1001" xml:space="preserve"> INDEX( VfM_Metrics_2023_Consol_Source[], $AK1001, P$832 )</f>
        <v>1.1993868218665558</v>
      </c>
      <c r="Q1001" s="35">
        <f xml:space="preserve"> IF( tblFilterAll[[#This Row],[EBITDA MRI Interest Cover]] &lt; P$825, 4, IF( tblFilterAll[[#This Row],[EBITDA MRI Interest Cover]] &lt; P$826, 3, IF( tblFilterAll[[#This Row],[EBITDA MRI Interest Cover]] &lt; P$827, 2, 1 ) ) )</f>
        <v>3</v>
      </c>
      <c r="R1001" s="35">
        <f xml:space="preserve"> COUNTIFS( tblFilterAll[Include in output], 1, tblFilterAll[EBITDA MRI Interest Cover], "&gt;" &amp; tblFilterAll[[#This Row],[EBITDA MRI Interest Cover]] ) + 1</f>
        <v>109</v>
      </c>
      <c r="S1001" s="32" cm="1">
        <f t="array" ref="S1001" xml:space="preserve"> INDEX( VfM_Metrics_2023_Consol_Source[], $AK1001, S$832 )</f>
        <v>4059.6541329525621</v>
      </c>
      <c r="T1001" s="35">
        <f xml:space="preserve"> IF( tblFilterAll[[#This Row],[Headline Social Housing Cost per unit]] &lt; S$825, 4, IF( tblFilterAll[[#This Row],[Headline Social Housing Cost per unit]] &lt; S$826, 3, IF( tblFilterAll[[#This Row],[Headline Social Housing Cost per unit]] &lt; S$827, 2, 1 ) ) )</f>
        <v>4</v>
      </c>
      <c r="U1001" s="35">
        <f xml:space="preserve"> COUNTIFS( tblFilterAll[Include in output], 1, tblFilterAll[Headline Social Housing Cost per unit], "&gt;" &amp; tblFilterAll[[#This Row],[Headline Social Housing Cost per unit]] ) + 1</f>
        <v>153</v>
      </c>
      <c r="V1001" s="30" cm="1">
        <f t="array" ref="V1001" xml:space="preserve"> INDEX( VfM_Metrics_2023_Consol_Source[], $AK1001, V$832 )</f>
        <v>0.19603840154108693</v>
      </c>
      <c r="W1001" s="35">
        <f xml:space="preserve"> IF( tblFilterAll[[#This Row],[Operating Margin (SHL)]] &lt; V$825, 4, IF( tblFilterAll[[#This Row],[Operating Margin (SHL)]] &lt; V$826, 3, IF( tblFilterAll[[#This Row],[Operating Margin (SHL)]] &lt; V$827, 2, 1 ) ) )</f>
        <v>3</v>
      </c>
      <c r="X1001" s="35">
        <f xml:space="preserve"> COUNTIFS( tblFilterAll[Include in output], 1, tblFilterAll[Operating Margin (SHL)], "&gt;" &amp; tblFilterAll[[#This Row],[Operating Margin (SHL)]] ) + 1</f>
        <v>102</v>
      </c>
      <c r="Y1001" s="30" cm="1">
        <f t="array" ref="Y1001" xml:space="preserve"> INDEX( VfM_Metrics_2023_Consol_Source[], $AK1001, Y$832 )</f>
        <v>0.1964317797980524</v>
      </c>
      <c r="Z1001" s="35">
        <f xml:space="preserve"> IF( tblFilterAll[[#This Row],[Operating Margin (Overall)]] &lt; Y$825, 4, IF( tblFilterAll[[#This Row],[Operating Margin (Overall)]] &lt; Y$826, 3, IF( tblFilterAll[[#This Row],[Operating Margin (Overall)]] &lt; Y$827, 2, 1 ) ) )</f>
        <v>2</v>
      </c>
      <c r="AA1001" s="35">
        <f xml:space="preserve"> COUNTIFS( tblFilterAll[Include in output], 1, tblFilterAll[Operating Margin (Overall)], "&gt;" &amp; tblFilterAll[[#This Row],[Operating Margin (Overall)]] ) + 1</f>
        <v>85</v>
      </c>
      <c r="AB1001" s="30" cm="1">
        <f t="array" ref="AB1001" xml:space="preserve"> INDEX( VfM_Metrics_2023_Consol_Source[], $AK1001, AB$832 )</f>
        <v>3.6128352591596039E-2</v>
      </c>
      <c r="AC1001" s="35">
        <f xml:space="preserve"> IF( tblFilterAll[[#This Row],[ROCE]] &lt; AB$825, 4, IF( tblFilterAll[[#This Row],[ROCE]] &lt; AB$826, 3, IF( tblFilterAll[[#This Row],[ROCE]] &lt; AB$827, 2, 1 ) ) )</f>
        <v>2</v>
      </c>
      <c r="AD1001" s="35">
        <f xml:space="preserve"> COUNTIFS( tblFilterAll[Include in output], 1, tblFilterAll[ROCE], "&gt;" &amp; tblFilterAll[[#This Row],[ROCE]] ) + 1</f>
        <v>51</v>
      </c>
      <c r="AE1001" s="33" cm="1" vm="7081">
        <f t="array" ref="AE1001" xml:space="preserve"> INDEX( VfM_Metrics_2023_Consol_Source[], $AK1001, AE$832 )</f>
        <v>18908</v>
      </c>
      <c r="AF1001" s="30" cm="1">
        <f t="array" ref="AF1001" xml:space="preserve"> INDEX( VfM_Metrics_2023_Consol_Source[], $AK1001, AF$832 )</f>
        <v>1.3177392040643523E-2</v>
      </c>
      <c r="AG1001" s="30" cm="1">
        <f t="array" ref="AG1001" xml:space="preserve"> INDEX( VfM_Metrics_2023_Consol_Source[], $AK1001, AG$832 )</f>
        <v>9.785139712108383E-2</v>
      </c>
      <c r="AH1001" s="30" cm="1">
        <f t="array" ref="AH1001" xml:space="preserve"> INDEX( VfM_Metrics_2023_Consol_Source[], $AK1001, AH$832 )</f>
        <v>0.11102878916172736</v>
      </c>
      <c r="AI1001" s="30" t="str" cm="1">
        <f t="array" ref="AI1001" xml:space="preserve"> INDEX( VfM_Metrics_2023_Consol_Source[], $AK1001, AI$832 )</f>
        <v>Traditional</v>
      </c>
      <c r="AJ1001" s="34" t="str" cm="1">
        <f t="array" ref="AJ1001" xml:space="preserve"> INDEX( VfM_Metrics_2023_Consol_Source[], $AK1001, AJ$832 )</f>
        <v>West Midlands</v>
      </c>
      <c r="AK1001" s="81">
        <f xml:space="preserve"> MATCH( tblFilterAll[[#This Row],[Code]], VfM_Metrics_2023_Consol_Source[RP_Code], 0 )</f>
        <v>168</v>
      </c>
      <c r="AL1001" s="24">
        <f xml:space="preserve"> INDEX( tblFilterRegion[Include for region],  MATCH( tblFilterAll[[#This Row],[Code]], tblFilterRegion[RP_Code], 0 ) )</f>
        <v>1</v>
      </c>
      <c r="AM1001" s="24">
        <f xml:space="preserve"> INDEX( tblFilterPropType[Incl for prop type],  MATCH( tblFilterAll[[#This Row],[Code]], tblFilterPropType[RP_Code], 0 ) )</f>
        <v>1</v>
      </c>
      <c r="AN1001" s="24">
        <f xml:space="preserve"> INDEX( tblFilterSize[Incl for size],  MATCH( tblFilterAll[[#This Row],[Code]], tblFilterSize[RP_Code], 0 ) )</f>
        <v>1</v>
      </c>
      <c r="AO1001" s="24">
        <f xml:space="preserve"> INDEX( tblFilterRP_Type[Incl, for RP Type],  MATCH( tblFilterAll[[#This Row],[Code]], tblFilterRP_Type[RP_Code], 0 ) )</f>
        <v>1</v>
      </c>
      <c r="AP1001" s="24">
        <f xml:space="preserve">  -- ( SUM( tblFilterAll[[#This Row],[Filter Region]:[Filter RP Type]] ) = 4 )</f>
        <v>1</v>
      </c>
      <c r="AQ1001" s="24">
        <f xml:space="preserve"> -- ( tblFilterAll[[#This Row],[Provider name]] = SelectedProvider )</f>
        <v>0</v>
      </c>
      <c r="AR1001" s="24">
        <f xml:space="preserve">  -- ( OR( SUM( tblFilterAll[[#This Row],[Filter Region]:[Filter RP Type]] ) = 4, tblFilterAll[[#This Row],[SelectedProvider]] = 1 ) )</f>
        <v>1</v>
      </c>
      <c r="AS1001" s="24">
        <f xml:space="preserve"> -- ( INDEX( PeersCritera[Included in final peers], MATCH( tblFilterAll[[#This Row],[Provider name]], PeersCritera[RP_Name], 0 ) ) = 1 )</f>
        <v>1</v>
      </c>
      <c r="AT1001" s="30" t="str" cm="1">
        <f t="array" ref="AT1001" xml:space="preserve"> SUBSTITUTE( INDEX( VfM_Metrics_2023_Consol_Source[], $AK1001, AT$832 ), 0, "" )</f>
        <v>&gt;= 12 years</v>
      </c>
      <c r="AU1001" s="34" cm="1">
        <f t="array" ref="AU1001" xml:space="preserve"> INDEX( VfM_Metrics_2023_Consol_Source[], $AK1001, AU$832 )</f>
        <v>0</v>
      </c>
      <c r="AV1001" s="34" cm="1">
        <f t="array" ref="AV1001" xml:space="preserve"> INDEX( VfM_Metrics_2023_Consol_Source[], $AK1001, AV$832 )</f>
        <v>0</v>
      </c>
      <c r="AW1001" s="34" cm="1">
        <f t="array" ref="AW1001" xml:space="preserve"> INDEX( VfM_Metrics_2023_Consol_Source[], $AK1001, AW$832 )</f>
        <v>0</v>
      </c>
      <c r="AX1001" s="34" cm="1">
        <f t="array" ref="AX1001" xml:space="preserve"> INDEX( VfM_Metrics_2023_Consol_Source[], $AK1001, AX$832 )</f>
        <v>0</v>
      </c>
      <c r="AY1001" s="34" cm="1">
        <f t="array" ref="AY1001" xml:space="preserve"> INDEX( VfM_Metrics_2023_Consol_Source[], $AK1001, AY$832 )</f>
        <v>1</v>
      </c>
      <c r="AZ1001" s="34" cm="1">
        <f t="array" ref="AZ1001" xml:space="preserve"> INDEX( VfM_Metrics_2023_Consol_Source[], $AK1001, AZ$832 )</f>
        <v>0</v>
      </c>
      <c r="BA1001" s="34" cm="1">
        <f t="array" ref="BA1001" xml:space="preserve"> INDEX( VfM_Metrics_2023_Consol_Source[], $AK1001, BA$832 )</f>
        <v>0</v>
      </c>
      <c r="BB1001" s="34" cm="1">
        <f t="array" ref="BB1001" xml:space="preserve"> INDEX( VfM_Metrics_2023_Consol_Source[], $AK1001, BB$832 )</f>
        <v>0</v>
      </c>
      <c r="BC1001" s="34" cm="1">
        <f t="array" ref="BC1001" xml:space="preserve"> INDEX( VfM_Metrics_2023_Consol_Source[], $AK1001, BC$832 )</f>
        <v>0</v>
      </c>
    </row>
    <row r="1002" spans="2:55" x14ac:dyDescent="0.2">
      <c r="B1002" s="122" t="str" vm="169">
        <f t="shared" ref="B1002" si="508" xml:space="preserve"> B792</f>
        <v>The Industrial Dwellings Society (1885) Limited</v>
      </c>
      <c r="C1002" s="122" t="str" vm="208">
        <f t="shared" si="500"/>
        <v>L0266</v>
      </c>
      <c r="D1002" s="30" cm="1">
        <f t="array" ref="D1002" xml:space="preserve"> INDEX( VfM_Metrics_2023_Consol_Source[], $AK1002, D$832 )</f>
        <v>0.20296282954724543</v>
      </c>
      <c r="E1002" s="35">
        <f xml:space="preserve"> IF( tblFilterAll[[#This Row],[Reinvestment]] &lt; D$825, 4, IF( tblFilterAll[[#This Row],[Reinvestment]] &lt; D$826, 3, IF( tblFilterAll[[#This Row],[Reinvestment]] &lt; D$827, 2, 1 ) ) )</f>
        <v>1</v>
      </c>
      <c r="F1002" s="35">
        <f xml:space="preserve"> COUNTIFS( tblFilterAll[Include in output], 1, tblFilterAll[Reinvestment], "&gt;" &amp; tblFilterAll[[#This Row],[Reinvestment]] ) + 1</f>
        <v>2</v>
      </c>
      <c r="G1002" s="30" cm="1">
        <f t="array" ref="G1002" xml:space="preserve"> INDEX( VfM_Metrics_2023_Consol_Source[], $AK1002, G$832 )</f>
        <v>8.4151472650771386E-3</v>
      </c>
      <c r="H1002" s="35">
        <f xml:space="preserve"> IF( tblFilterAll[[#This Row],[New Supply (Social)]] &lt; G$825, 4, IF( tblFilterAll[[#This Row],[New Supply (Social)]] &lt; G$826, 3, IF( tblFilterAll[[#This Row],[New Supply (Social)]] &lt; G$827, 2, 1 ) ) )</f>
        <v>3</v>
      </c>
      <c r="I1002" s="35">
        <f xml:space="preserve"> COUNTIFS( tblFilterAll[Include in output], 1, tblFilterAll[New Supply (Social)], "&gt;" &amp; tblFilterAll[[#This Row],[New Supply (Social)]] ) + 1</f>
        <v>136</v>
      </c>
      <c r="J1002" s="31" cm="1">
        <f t="array" ref="J1002" xml:space="preserve"> INDEX( VfM_Metrics_2023_Consol_Source[], $AK1002, J$832 )</f>
        <v>0</v>
      </c>
      <c r="K1002" s="35">
        <f xml:space="preserve"> IF( tblFilterAll[[#This Row],[New Supply (Non-Social)]] &lt; J$825, 4, IF( tblFilterAll[[#This Row],[New Supply (Non-Social)]] &lt; J$826, 3, IF( tblFilterAll[[#This Row],[New Supply (Non-Social)]] &lt; J$827, 2, 1 ) ) )</f>
        <v>2</v>
      </c>
      <c r="L1002" s="35">
        <f xml:space="preserve"> COUNTIFS( tblFilterAll[Include in output], 1, tblFilterAll[New Supply (Non-Social)], "&gt;" &amp; tblFilterAll[[#This Row],[New Supply (Non-Social)]] ) + 1</f>
        <v>72</v>
      </c>
      <c r="M1002" s="30" cm="1">
        <f t="array" ref="M1002" xml:space="preserve"> INDEX( VfM_Metrics_2023_Consol_Source[], $AK1002, M$832 )</f>
        <v>0.34698426278226807</v>
      </c>
      <c r="N1002" s="35">
        <f xml:space="preserve"> IF( tblFilterAll[[#This Row],[Gearing]] &lt; M$825, 4, IF( tblFilterAll[[#This Row],[Gearing]] &lt; M$826, 3, IF( tblFilterAll[[#This Row],[Gearing]] &lt; M$827, 2, 1 ) ) )</f>
        <v>3</v>
      </c>
      <c r="O1002" s="35">
        <f xml:space="preserve"> COUNTIFS( tblFilterAll[Include in output], 1, tblFilterAll[Gearing], "&gt;" &amp; tblFilterAll[[#This Row],[Gearing]] ) + 1</f>
        <v>143</v>
      </c>
      <c r="P1002" s="30" cm="1">
        <f t="array" ref="P1002" xml:space="preserve"> INDEX( VfM_Metrics_2023_Consol_Source[], $AK1002, P$832 )</f>
        <v>-2.0852211434735706</v>
      </c>
      <c r="Q1002" s="35">
        <f xml:space="preserve"> IF( tblFilterAll[[#This Row],[EBITDA MRI Interest Cover]] &lt; P$825, 4, IF( tblFilterAll[[#This Row],[EBITDA MRI Interest Cover]] &lt; P$826, 3, IF( tblFilterAll[[#This Row],[EBITDA MRI Interest Cover]] &lt; P$827, 2, 1 ) ) )</f>
        <v>4</v>
      </c>
      <c r="R1002" s="35">
        <f xml:space="preserve"> COUNTIFS( tblFilterAll[Include in output], 1, tblFilterAll[EBITDA MRI Interest Cover], "&gt;" &amp; tblFilterAll[[#This Row],[EBITDA MRI Interest Cover]] ) + 1</f>
        <v>190</v>
      </c>
      <c r="S1002" s="32" cm="1">
        <f t="array" ref="S1002" xml:space="preserve"> INDEX( VfM_Metrics_2023_Consol_Source[], $AK1002, S$832 )</f>
        <v>8680.6429070580016</v>
      </c>
      <c r="T1002" s="35">
        <f xml:space="preserve"> IF( tblFilterAll[[#This Row],[Headline Social Housing Cost per unit]] &lt; S$825, 4, IF( tblFilterAll[[#This Row],[Headline Social Housing Cost per unit]] &lt; S$826, 3, IF( tblFilterAll[[#This Row],[Headline Social Housing Cost per unit]] &lt; S$827, 2, 1 ) ) )</f>
        <v>1</v>
      </c>
      <c r="U1002" s="35">
        <f xml:space="preserve"> COUNTIFS( tblFilterAll[Include in output], 1, tblFilterAll[Headline Social Housing Cost per unit], "&gt;" &amp; tblFilterAll[[#This Row],[Headline Social Housing Cost per unit]] ) + 1</f>
        <v>19</v>
      </c>
      <c r="V1002" s="30" cm="1">
        <f t="array" ref="V1002" xml:space="preserve"> INDEX( VfM_Metrics_2023_Consol_Source[], $AK1002, V$832 )</f>
        <v>0.10220230717894938</v>
      </c>
      <c r="W1002" s="35">
        <f xml:space="preserve"> IF( tblFilterAll[[#This Row],[Operating Margin (SHL)]] &lt; V$825, 4, IF( tblFilterAll[[#This Row],[Operating Margin (SHL)]] &lt; V$826, 3, IF( tblFilterAll[[#This Row],[Operating Margin (SHL)]] &lt; V$827, 2, 1 ) ) )</f>
        <v>4</v>
      </c>
      <c r="X1002" s="35">
        <f xml:space="preserve"> COUNTIFS( tblFilterAll[Include in output], 1, tblFilterAll[Operating Margin (SHL)], "&gt;" &amp; tblFilterAll[[#This Row],[Operating Margin (SHL)]] ) + 1</f>
        <v>175</v>
      </c>
      <c r="Y1002" s="30" cm="1">
        <f t="array" ref="Y1002" xml:space="preserve"> INDEX( VfM_Metrics_2023_Consol_Source[], $AK1002, Y$832 )</f>
        <v>8.9625708182409211E-2</v>
      </c>
      <c r="Z1002" s="35">
        <f xml:space="preserve"> IF( tblFilterAll[[#This Row],[Operating Margin (Overall)]] &lt; Y$825, 4, IF( tblFilterAll[[#This Row],[Operating Margin (Overall)]] &lt; Y$826, 3, IF( tblFilterAll[[#This Row],[Operating Margin (Overall)]] &lt; Y$827, 2, 1 ) ) )</f>
        <v>4</v>
      </c>
      <c r="AA1002" s="35">
        <f xml:space="preserve"> COUNTIFS( tblFilterAll[Include in output], 1, tblFilterAll[Operating Margin (Overall)], "&gt;" &amp; tblFilterAll[[#This Row],[Operating Margin (Overall)]] ) + 1</f>
        <v>167</v>
      </c>
      <c r="AB1002" s="30" cm="1">
        <f t="array" ref="AB1002" xml:space="preserve"> INDEX( VfM_Metrics_2023_Consol_Source[], $AK1002, AB$832 )</f>
        <v>9.7349864315474082E-3</v>
      </c>
      <c r="AC1002" s="35">
        <f xml:space="preserve"> IF( tblFilterAll[[#This Row],[ROCE]] &lt; AB$825, 4, IF( tblFilterAll[[#This Row],[ROCE]] &lt; AB$826, 3, IF( tblFilterAll[[#This Row],[ROCE]] &lt; AB$827, 2, 1 ) ) )</f>
        <v>4</v>
      </c>
      <c r="AD1002" s="35">
        <f xml:space="preserve"> COUNTIFS( tblFilterAll[Include in output], 1, tblFilterAll[ROCE], "&gt;" &amp; tblFilterAll[[#This Row],[ROCE]] ) + 1</f>
        <v>189</v>
      </c>
      <c r="AE1002" s="33" cm="1" vm="773">
        <f t="array" ref="AE1002" xml:space="preserve"> INDEX( VfM_Metrics_2023_Consol_Source[], $AK1002, AE$832 )</f>
        <v>1426</v>
      </c>
      <c r="AF1002" s="30" cm="1">
        <f t="array" ref="AF1002" xml:space="preserve"> INDEX( VfM_Metrics_2023_Consol_Source[], $AK1002, AF$832 )</f>
        <v>2.0847810979847115E-3</v>
      </c>
      <c r="AG1002" s="30" cm="1">
        <f t="array" ref="AG1002" xml:space="preserve"> INDEX( VfM_Metrics_2023_Consol_Source[], $AK1002, AG$832 )</f>
        <v>0.14176511466296038</v>
      </c>
      <c r="AH1002" s="30" cm="1">
        <f t="array" ref="AH1002" xml:space="preserve"> INDEX( VfM_Metrics_2023_Consol_Source[], $AK1002, AH$832 )</f>
        <v>0.14384989576094509</v>
      </c>
      <c r="AI1002" s="30" t="str" cm="1">
        <f t="array" ref="AI1002" xml:space="preserve"> INDEX( VfM_Metrics_2023_Consol_Source[], $AK1002, AI$832 )</f>
        <v>Traditional</v>
      </c>
      <c r="AJ1002" s="34" t="str" cm="1">
        <f t="array" ref="AJ1002" xml:space="preserve"> INDEX( VfM_Metrics_2023_Consol_Source[], $AK1002, AJ$832 )</f>
        <v>London</v>
      </c>
      <c r="AK1002" s="81">
        <f xml:space="preserve"> MATCH( tblFilterAll[[#This Row],[Code]], VfM_Metrics_2023_Consol_Source[RP_Code], 0 )</f>
        <v>169</v>
      </c>
      <c r="AL1002" s="24">
        <f xml:space="preserve"> INDEX( tblFilterRegion[Include for region],  MATCH( tblFilterAll[[#This Row],[Code]], tblFilterRegion[RP_Code], 0 ) )</f>
        <v>1</v>
      </c>
      <c r="AM1002" s="24">
        <f xml:space="preserve"> INDEX( tblFilterPropType[Incl for prop type],  MATCH( tblFilterAll[[#This Row],[Code]], tblFilterPropType[RP_Code], 0 ) )</f>
        <v>1</v>
      </c>
      <c r="AN1002" s="24">
        <f xml:space="preserve"> INDEX( tblFilterSize[Incl for size],  MATCH( tblFilterAll[[#This Row],[Code]], tblFilterSize[RP_Code], 0 ) )</f>
        <v>1</v>
      </c>
      <c r="AO1002" s="24">
        <f xml:space="preserve"> INDEX( tblFilterRP_Type[Incl, for RP Type],  MATCH( tblFilterAll[[#This Row],[Code]], tblFilterRP_Type[RP_Code], 0 ) )</f>
        <v>1</v>
      </c>
      <c r="AP1002" s="24">
        <f xml:space="preserve">  -- ( SUM( tblFilterAll[[#This Row],[Filter Region]:[Filter RP Type]] ) = 4 )</f>
        <v>1</v>
      </c>
      <c r="AQ1002" s="24">
        <f xml:space="preserve"> -- ( tblFilterAll[[#This Row],[Provider name]] = SelectedProvider )</f>
        <v>0</v>
      </c>
      <c r="AR1002" s="24">
        <f xml:space="preserve">  -- ( OR( SUM( tblFilterAll[[#This Row],[Filter Region]:[Filter RP Type]] ) = 4, tblFilterAll[[#This Row],[SelectedProvider]] = 1 ) )</f>
        <v>1</v>
      </c>
      <c r="AS1002" s="24">
        <f xml:space="preserve"> -- ( INDEX( PeersCritera[Included in final peers], MATCH( tblFilterAll[[#This Row],[Provider name]], PeersCritera[RP_Name], 0 ) ) = 1 )</f>
        <v>1</v>
      </c>
      <c r="AT1002" s="30" t="str" cm="1">
        <f t="array" ref="AT1002" xml:space="preserve"> SUBSTITUTE( INDEX( VfM_Metrics_2023_Consol_Source[], $AK1002, AT$832 ), 0, "" )</f>
        <v/>
      </c>
      <c r="AU1002" s="34" cm="1">
        <f t="array" ref="AU1002" xml:space="preserve"> INDEX( VfM_Metrics_2023_Consol_Source[], $AK1002, AU$832 )</f>
        <v>0.9916666666666667</v>
      </c>
      <c r="AV1002" s="34" cm="1">
        <f t="array" ref="AV1002" xml:space="preserve"> INDEX( VfM_Metrics_2023_Consol_Source[], $AK1002, AV$832 )</f>
        <v>0</v>
      </c>
      <c r="AW1002" s="34" cm="1">
        <f t="array" ref="AW1002" xml:space="preserve"> INDEX( VfM_Metrics_2023_Consol_Source[], $AK1002, AW$832 )</f>
        <v>0</v>
      </c>
      <c r="AX1002" s="34" cm="1">
        <f t="array" ref="AX1002" xml:space="preserve"> INDEX( VfM_Metrics_2023_Consol_Source[], $AK1002, AX$832 )</f>
        <v>0</v>
      </c>
      <c r="AY1002" s="34" cm="1">
        <f t="array" ref="AY1002" xml:space="preserve"> INDEX( VfM_Metrics_2023_Consol_Source[], $AK1002, AY$832 )</f>
        <v>0</v>
      </c>
      <c r="AZ1002" s="34" cm="1">
        <f t="array" ref="AZ1002" xml:space="preserve"> INDEX( VfM_Metrics_2023_Consol_Source[], $AK1002, AZ$832 )</f>
        <v>8.3333333333333332E-3</v>
      </c>
      <c r="BA1002" s="34" cm="1">
        <f t="array" ref="BA1002" xml:space="preserve"> INDEX( VfM_Metrics_2023_Consol_Source[], $AK1002, BA$832 )</f>
        <v>0</v>
      </c>
      <c r="BB1002" s="34" cm="1">
        <f t="array" ref="BB1002" xml:space="preserve"> INDEX( VfM_Metrics_2023_Consol_Source[], $AK1002, BB$832 )</f>
        <v>0</v>
      </c>
      <c r="BC1002" s="34" cm="1">
        <f t="array" ref="BC1002" xml:space="preserve"> INDEX( VfM_Metrics_2023_Consol_Source[], $AK1002, BC$832 )</f>
        <v>0</v>
      </c>
    </row>
    <row r="1003" spans="2:55" x14ac:dyDescent="0.2">
      <c r="B1003" s="122" t="str" vm="170">
        <f t="shared" ref="B1003" si="509" xml:space="preserve"> B793</f>
        <v>The Pioneer Housing and Community Group Limited</v>
      </c>
      <c r="C1003" s="122" t="str" vm="235">
        <f t="shared" si="500"/>
        <v>L4118</v>
      </c>
      <c r="D1003" s="30" cm="1">
        <f t="array" ref="D1003" xml:space="preserve"> INDEX( VfM_Metrics_2023_Consol_Source[], $AK1003, D$832 )</f>
        <v>7.2797289327304476E-2</v>
      </c>
      <c r="E1003" s="35">
        <f xml:space="preserve"> IF( tblFilterAll[[#This Row],[Reinvestment]] &lt; D$825, 4, IF( tblFilterAll[[#This Row],[Reinvestment]] &lt; D$826, 3, IF( tblFilterAll[[#This Row],[Reinvestment]] &lt; D$827, 2, 1 ) ) )</f>
        <v>2</v>
      </c>
      <c r="F1003" s="35">
        <f xml:space="preserve"> COUNTIFS( tblFilterAll[Include in output], 1, tblFilterAll[Reinvestment], "&gt;" &amp; tblFilterAll[[#This Row],[Reinvestment]] ) + 1</f>
        <v>86</v>
      </c>
      <c r="G1003" s="30" cm="1">
        <f t="array" ref="G1003" xml:space="preserve"> INDEX( VfM_Metrics_2023_Consol_Source[], $AK1003, G$832 )</f>
        <v>1.4437689969604863E-2</v>
      </c>
      <c r="H1003" s="35">
        <f xml:space="preserve"> IF( tblFilterAll[[#This Row],[New Supply (Social)]] &lt; G$825, 4, IF( tblFilterAll[[#This Row],[New Supply (Social)]] &lt; G$826, 3, IF( tblFilterAll[[#This Row],[New Supply (Social)]] &lt; G$827, 2, 1 ) ) )</f>
        <v>2</v>
      </c>
      <c r="I1003" s="35">
        <f xml:space="preserve"> COUNTIFS( tblFilterAll[Include in output], 1, tblFilterAll[New Supply (Social)], "&gt;" &amp; tblFilterAll[[#This Row],[New Supply (Social)]] ) + 1</f>
        <v>87</v>
      </c>
      <c r="J1003" s="31" cm="1">
        <f t="array" ref="J1003" xml:space="preserve"> INDEX( VfM_Metrics_2023_Consol_Source[], $AK1003, J$832 )</f>
        <v>0</v>
      </c>
      <c r="K1003" s="35">
        <f xml:space="preserve"> IF( tblFilterAll[[#This Row],[New Supply (Non-Social)]] &lt; J$825, 4, IF( tblFilterAll[[#This Row],[New Supply (Non-Social)]] &lt; J$826, 3, IF( tblFilterAll[[#This Row],[New Supply (Non-Social)]] &lt; J$827, 2, 1 ) ) )</f>
        <v>2</v>
      </c>
      <c r="L1003" s="35">
        <f xml:space="preserve"> COUNTIFS( tblFilterAll[Include in output], 1, tblFilterAll[New Supply (Non-Social)], "&gt;" &amp; tblFilterAll[[#This Row],[New Supply (Non-Social)]] ) + 1</f>
        <v>72</v>
      </c>
      <c r="M1003" s="30" cm="1">
        <f t="array" ref="M1003" xml:space="preserve"> INDEX( VfM_Metrics_2023_Consol_Source[], $AK1003, M$832 )</f>
        <v>0.32920102228441245</v>
      </c>
      <c r="N1003" s="35">
        <f xml:space="preserve"> IF( tblFilterAll[[#This Row],[Gearing]] &lt; M$825, 4, IF( tblFilterAll[[#This Row],[Gearing]] &lt; M$826, 3, IF( tblFilterAll[[#This Row],[Gearing]] &lt; M$827, 2, 1 ) ) )</f>
        <v>4</v>
      </c>
      <c r="O1003" s="35">
        <f xml:space="preserve"> COUNTIFS( tblFilterAll[Include in output], 1, tblFilterAll[Gearing], "&gt;" &amp; tblFilterAll[[#This Row],[Gearing]] ) + 1</f>
        <v>150</v>
      </c>
      <c r="P1003" s="30" cm="1">
        <f t="array" ref="P1003" xml:space="preserve"> INDEX( VfM_Metrics_2023_Consol_Source[], $AK1003, P$832 )</f>
        <v>2.6511500547645124</v>
      </c>
      <c r="Q1003" s="35">
        <f xml:space="preserve"> IF( tblFilterAll[[#This Row],[EBITDA MRI Interest Cover]] &lt; P$825, 4, IF( tblFilterAll[[#This Row],[EBITDA MRI Interest Cover]] &lt; P$826, 3, IF( tblFilterAll[[#This Row],[EBITDA MRI Interest Cover]] &lt; P$827, 2, 1 ) ) )</f>
        <v>1</v>
      </c>
      <c r="R1003" s="35">
        <f xml:space="preserve"> COUNTIFS( tblFilterAll[Include in output], 1, tblFilterAll[EBITDA MRI Interest Cover], "&gt;" &amp; tblFilterAll[[#This Row],[EBITDA MRI Interest Cover]] ) + 1</f>
        <v>11</v>
      </c>
      <c r="S1003" s="32" cm="1">
        <f t="array" ref="S1003" xml:space="preserve"> INDEX( VfM_Metrics_2023_Consol_Source[], $AK1003, S$832 )</f>
        <v>3521.7211419114606</v>
      </c>
      <c r="T1003" s="35">
        <f xml:space="preserve"> IF( tblFilterAll[[#This Row],[Headline Social Housing Cost per unit]] &lt; S$825, 4, IF( tblFilterAll[[#This Row],[Headline Social Housing Cost per unit]] &lt; S$826, 3, IF( tblFilterAll[[#This Row],[Headline Social Housing Cost per unit]] &lt; S$827, 2, 1 ) ) )</f>
        <v>4</v>
      </c>
      <c r="U1003" s="35">
        <f xml:space="preserve"> COUNTIFS( tblFilterAll[Include in output], 1, tblFilterAll[Headline Social Housing Cost per unit], "&gt;" &amp; tblFilterAll[[#This Row],[Headline Social Housing Cost per unit]] ) + 1</f>
        <v>190</v>
      </c>
      <c r="V1003" s="30" cm="1">
        <f t="array" ref="V1003" xml:space="preserve"> INDEX( VfM_Metrics_2023_Consol_Source[], $AK1003, V$832 )</f>
        <v>0.32603497235091916</v>
      </c>
      <c r="W1003" s="35">
        <f xml:space="preserve"> IF( tblFilterAll[[#This Row],[Operating Margin (SHL)]] &lt; V$825, 4, IF( tblFilterAll[[#This Row],[Operating Margin (SHL)]] &lt; V$826, 3, IF( tblFilterAll[[#This Row],[Operating Margin (SHL)]] &lt; V$827, 2, 1 ) ) )</f>
        <v>1</v>
      </c>
      <c r="X1003" s="35">
        <f xml:space="preserve"> COUNTIFS( tblFilterAll[Include in output], 1, tblFilterAll[Operating Margin (SHL)], "&gt;" &amp; tblFilterAll[[#This Row],[Operating Margin (SHL)]] ) + 1</f>
        <v>19</v>
      </c>
      <c r="Y1003" s="30" cm="1">
        <f t="array" ref="Y1003" xml:space="preserve"> INDEX( VfM_Metrics_2023_Consol_Source[], $AK1003, Y$832 )</f>
        <v>0.22647312092508304</v>
      </c>
      <c r="Z1003" s="35">
        <f xml:space="preserve"> IF( tblFilterAll[[#This Row],[Operating Margin (Overall)]] &lt; Y$825, 4, IF( tblFilterAll[[#This Row],[Operating Margin (Overall)]] &lt; Y$826, 3, IF( tblFilterAll[[#This Row],[Operating Margin (Overall)]] &lt; Y$827, 2, 1 ) ) )</f>
        <v>2</v>
      </c>
      <c r="AA1003" s="35">
        <f xml:space="preserve"> COUNTIFS( tblFilterAll[Include in output], 1, tblFilterAll[Operating Margin (Overall)], "&gt;" &amp; tblFilterAll[[#This Row],[Operating Margin (Overall)]] ) + 1</f>
        <v>57</v>
      </c>
      <c r="AB1003" s="30" cm="1">
        <f t="array" ref="AB1003" xml:space="preserve"> INDEX( VfM_Metrics_2023_Consol_Source[], $AK1003, AB$832 )</f>
        <v>3.0676850223043638E-2</v>
      </c>
      <c r="AC1003" s="35">
        <f xml:space="preserve"> IF( tblFilterAll[[#This Row],[ROCE]] &lt; AB$825, 4, IF( tblFilterAll[[#This Row],[ROCE]] &lt; AB$826, 3, IF( tblFilterAll[[#This Row],[ROCE]] &lt; AB$827, 2, 1 ) ) )</f>
        <v>2</v>
      </c>
      <c r="AD1003" s="35">
        <f xml:space="preserve"> COUNTIFS( tblFilterAll[Include in output], 1, tblFilterAll[ROCE], "&gt;" &amp; tblFilterAll[[#This Row],[ROCE]] ) + 1</f>
        <v>80</v>
      </c>
      <c r="AE1003" s="33" cm="1" vm="8141">
        <f t="array" ref="AE1003" xml:space="preserve"> INDEX( VfM_Metrics_2023_Consol_Source[], $AK1003, AE$832 )</f>
        <v>2417</v>
      </c>
      <c r="AF1003" s="30" cm="1">
        <f t="array" ref="AF1003" xml:space="preserve"> INDEX( VfM_Metrics_2023_Consol_Source[], $AK1003, AF$832 )</f>
        <v>0</v>
      </c>
      <c r="AG1003" s="30" cm="1">
        <f t="array" ref="AG1003" xml:space="preserve"> INDEX( VfM_Metrics_2023_Consol_Source[], $AK1003, AG$832 )</f>
        <v>5.293631100082713E-2</v>
      </c>
      <c r="AH1003" s="30" cm="1">
        <f t="array" ref="AH1003" xml:space="preserve"> INDEX( VfM_Metrics_2023_Consol_Source[], $AK1003, AH$832 )</f>
        <v>5.293631100082713E-2</v>
      </c>
      <c r="AI1003" s="30" t="str" cm="1">
        <f t="array" ref="AI1003" xml:space="preserve"> INDEX( VfM_Metrics_2023_Consol_Source[], $AK1003, AI$832 )</f>
        <v>Traditional</v>
      </c>
      <c r="AJ1003" s="34" t="str" cm="1">
        <f t="array" ref="AJ1003" xml:space="preserve"> INDEX( VfM_Metrics_2023_Consol_Source[], $AK1003, AJ$832 )</f>
        <v>West Midlands</v>
      </c>
      <c r="AK1003" s="81">
        <f xml:space="preserve"> MATCH( tblFilterAll[[#This Row],[Code]], VfM_Metrics_2023_Consol_Source[RP_Code], 0 )</f>
        <v>170</v>
      </c>
      <c r="AL1003" s="24">
        <f xml:space="preserve"> INDEX( tblFilterRegion[Include for region],  MATCH( tblFilterAll[[#This Row],[Code]], tblFilterRegion[RP_Code], 0 ) )</f>
        <v>1</v>
      </c>
      <c r="AM1003" s="24">
        <f xml:space="preserve"> INDEX( tblFilterPropType[Incl for prop type],  MATCH( tblFilterAll[[#This Row],[Code]], tblFilterPropType[RP_Code], 0 ) )</f>
        <v>1</v>
      </c>
      <c r="AN1003" s="24">
        <f xml:space="preserve"> INDEX( tblFilterSize[Incl for size],  MATCH( tblFilterAll[[#This Row],[Code]], tblFilterSize[RP_Code], 0 ) )</f>
        <v>1</v>
      </c>
      <c r="AO1003" s="24">
        <f xml:space="preserve"> INDEX( tblFilterRP_Type[Incl, for RP Type],  MATCH( tblFilterAll[[#This Row],[Code]], tblFilterRP_Type[RP_Code], 0 ) )</f>
        <v>1</v>
      </c>
      <c r="AP1003" s="24">
        <f xml:space="preserve">  -- ( SUM( tblFilterAll[[#This Row],[Filter Region]:[Filter RP Type]] ) = 4 )</f>
        <v>1</v>
      </c>
      <c r="AQ1003" s="24">
        <f xml:space="preserve"> -- ( tblFilterAll[[#This Row],[Provider name]] = SelectedProvider )</f>
        <v>0</v>
      </c>
      <c r="AR1003" s="24">
        <f xml:space="preserve">  -- ( OR( SUM( tblFilterAll[[#This Row],[Filter Region]:[Filter RP Type]] ) = 4, tblFilterAll[[#This Row],[SelectedProvider]] = 1 ) )</f>
        <v>1</v>
      </c>
      <c r="AS1003" s="24">
        <f xml:space="preserve"> -- ( INDEX( PeersCritera[Included in final peers], MATCH( tblFilterAll[[#This Row],[Provider name]], PeersCritera[RP_Name], 0 ) ) = 1 )</f>
        <v>1</v>
      </c>
      <c r="AT1003" s="30" t="str" cm="1">
        <f t="array" ref="AT1003" xml:space="preserve"> SUBSTITUTE( INDEX( VfM_Metrics_2023_Consol_Source[], $AK1003, AT$832 ), 0, "" )</f>
        <v/>
      </c>
      <c r="AU1003" s="34" cm="1">
        <f t="array" ref="AU1003" xml:space="preserve"> INDEX( VfM_Metrics_2023_Consol_Source[], $AK1003, AU$832 )</f>
        <v>0</v>
      </c>
      <c r="AV1003" s="34" cm="1">
        <f t="array" ref="AV1003" xml:space="preserve"> INDEX( VfM_Metrics_2023_Consol_Source[], $AK1003, AV$832 )</f>
        <v>0</v>
      </c>
      <c r="AW1003" s="34" cm="1">
        <f t="array" ref="AW1003" xml:space="preserve"> INDEX( VfM_Metrics_2023_Consol_Source[], $AK1003, AW$832 )</f>
        <v>0</v>
      </c>
      <c r="AX1003" s="34" cm="1">
        <f t="array" ref="AX1003" xml:space="preserve"> INDEX( VfM_Metrics_2023_Consol_Source[], $AK1003, AX$832 )</f>
        <v>0</v>
      </c>
      <c r="AY1003" s="34" cm="1">
        <f t="array" ref="AY1003" xml:space="preserve"> INDEX( VfM_Metrics_2023_Consol_Source[], $AK1003, AY$832 )</f>
        <v>1</v>
      </c>
      <c r="AZ1003" s="34" cm="1">
        <f t="array" ref="AZ1003" xml:space="preserve"> INDEX( VfM_Metrics_2023_Consol_Source[], $AK1003, AZ$832 )</f>
        <v>0</v>
      </c>
      <c r="BA1003" s="34" cm="1">
        <f t="array" ref="BA1003" xml:space="preserve"> INDEX( VfM_Metrics_2023_Consol_Source[], $AK1003, BA$832 )</f>
        <v>0</v>
      </c>
      <c r="BB1003" s="34" cm="1">
        <f t="array" ref="BB1003" xml:space="preserve"> INDEX( VfM_Metrics_2023_Consol_Source[], $AK1003, BB$832 )</f>
        <v>0</v>
      </c>
      <c r="BC1003" s="34" cm="1">
        <f t="array" ref="BC1003" xml:space="preserve"> INDEX( VfM_Metrics_2023_Consol_Source[], $AK1003, BC$832 )</f>
        <v>0</v>
      </c>
    </row>
    <row r="1004" spans="2:55" x14ac:dyDescent="0.2">
      <c r="B1004" s="122" t="str" vm="171">
        <f t="shared" ref="B1004" si="510" xml:space="preserve"> B794</f>
        <v>The Riverside Group Limited</v>
      </c>
      <c r="C1004" s="122" t="str" vm="241">
        <f t="shared" si="500"/>
        <v>L4552</v>
      </c>
      <c r="D1004" s="30" cm="1">
        <f t="array" ref="D1004" xml:space="preserve"> INDEX( VfM_Metrics_2023_Consol_Source[], $AK1004, D$832 )</f>
        <v>8.0248061816082406E-2</v>
      </c>
      <c r="E1004" s="35">
        <f xml:space="preserve"> IF( tblFilterAll[[#This Row],[Reinvestment]] &lt; D$825, 4, IF( tblFilterAll[[#This Row],[Reinvestment]] &lt; D$826, 3, IF( tblFilterAll[[#This Row],[Reinvestment]] &lt; D$827, 2, 1 ) ) )</f>
        <v>2</v>
      </c>
      <c r="F1004" s="35">
        <f xml:space="preserve"> COUNTIFS( tblFilterAll[Include in output], 1, tblFilterAll[Reinvestment], "&gt;" &amp; tblFilterAll[[#This Row],[Reinvestment]] ) + 1</f>
        <v>73</v>
      </c>
      <c r="G1004" s="30" cm="1">
        <f t="array" ref="G1004" xml:space="preserve"> INDEX( VfM_Metrics_2023_Consol_Source[], $AK1004, G$832 )</f>
        <v>1.2296729652170296E-2</v>
      </c>
      <c r="H1004" s="35">
        <f xml:space="preserve"> IF( tblFilterAll[[#This Row],[New Supply (Social)]] &lt; G$825, 4, IF( tblFilterAll[[#This Row],[New Supply (Social)]] &lt; G$826, 3, IF( tblFilterAll[[#This Row],[New Supply (Social)]] &lt; G$827, 2, 1 ) ) )</f>
        <v>3</v>
      </c>
      <c r="I1004" s="35">
        <f xml:space="preserve"> COUNTIFS( tblFilterAll[Include in output], 1, tblFilterAll[New Supply (Social)], "&gt;" &amp; tblFilterAll[[#This Row],[New Supply (Social)]] ) + 1</f>
        <v>105</v>
      </c>
      <c r="J1004" s="31" cm="1">
        <f t="array" ref="J1004" xml:space="preserve"> INDEX( VfM_Metrics_2023_Consol_Source[], $AK1004, J$832 )</f>
        <v>6.5381279605043697E-4</v>
      </c>
      <c r="K1004" s="35">
        <f xml:space="preserve"> IF( tblFilterAll[[#This Row],[New Supply (Non-Social)]] &lt; J$825, 4, IF( tblFilterAll[[#This Row],[New Supply (Non-Social)]] &lt; J$826, 3, IF( tblFilterAll[[#This Row],[New Supply (Non-Social)]] &lt; J$827, 2, 1 ) ) )</f>
        <v>2</v>
      </c>
      <c r="L1004" s="35">
        <f xml:space="preserve"> COUNTIFS( tblFilterAll[Include in output], 1, tblFilterAll[New Supply (Non-Social)], "&gt;" &amp; tblFilterAll[[#This Row],[New Supply (Non-Social)]] ) + 1</f>
        <v>55</v>
      </c>
      <c r="M1004" s="30" cm="1">
        <f t="array" ref="M1004" xml:space="preserve"> INDEX( VfM_Metrics_2023_Consol_Source[], $AK1004, M$832 )</f>
        <v>0.57264967835868186</v>
      </c>
      <c r="N1004" s="35">
        <f xml:space="preserve"> IF( tblFilterAll[[#This Row],[Gearing]] &lt; M$825, 4, IF( tblFilterAll[[#This Row],[Gearing]] &lt; M$826, 3, IF( tblFilterAll[[#This Row],[Gearing]] &lt; M$827, 2, 1 ) ) )</f>
        <v>1</v>
      </c>
      <c r="O1004" s="35">
        <f xml:space="preserve"> COUNTIFS( tblFilterAll[Include in output], 1, tblFilterAll[Gearing], "&gt;" &amp; tblFilterAll[[#This Row],[Gearing]] ) + 1</f>
        <v>31</v>
      </c>
      <c r="P1004" s="30" cm="1">
        <f t="array" ref="P1004" xml:space="preserve"> INDEX( VfM_Metrics_2023_Consol_Source[], $AK1004, P$832 )</f>
        <v>0.42451879883477173</v>
      </c>
      <c r="Q1004" s="35">
        <f xml:space="preserve"> IF( tblFilterAll[[#This Row],[EBITDA MRI Interest Cover]] &lt; P$825, 4, IF( tblFilterAll[[#This Row],[EBITDA MRI Interest Cover]] &lt; P$826, 3, IF( tblFilterAll[[#This Row],[EBITDA MRI Interest Cover]] &lt; P$827, 2, 1 ) ) )</f>
        <v>4</v>
      </c>
      <c r="R1004" s="35">
        <f xml:space="preserve"> COUNTIFS( tblFilterAll[Include in output], 1, tblFilterAll[EBITDA MRI Interest Cover], "&gt;" &amp; tblFilterAll[[#This Row],[EBITDA MRI Interest Cover]] ) + 1</f>
        <v>172</v>
      </c>
      <c r="S1004" s="32" cm="1">
        <f t="array" ref="S1004" xml:space="preserve"> INDEX( VfM_Metrics_2023_Consol_Source[], $AK1004, S$832 )</f>
        <v>7330.474732006126</v>
      </c>
      <c r="T1004" s="35">
        <f xml:space="preserve"> IF( tblFilterAll[[#This Row],[Headline Social Housing Cost per unit]] &lt; S$825, 4, IF( tblFilterAll[[#This Row],[Headline Social Housing Cost per unit]] &lt; S$826, 3, IF( tblFilterAll[[#This Row],[Headline Social Housing Cost per unit]] &lt; S$827, 2, 1 ) ) )</f>
        <v>1</v>
      </c>
      <c r="U1004" s="35">
        <f xml:space="preserve"> COUNTIFS( tblFilterAll[Include in output], 1, tblFilterAll[Headline Social Housing Cost per unit], "&gt;" &amp; tblFilterAll[[#This Row],[Headline Social Housing Cost per unit]] ) + 1</f>
        <v>29</v>
      </c>
      <c r="V1004" s="30" cm="1">
        <f t="array" ref="V1004" xml:space="preserve"> INDEX( VfM_Metrics_2023_Consol_Source[], $AK1004, V$832 )</f>
        <v>5.2795440648093009E-2</v>
      </c>
      <c r="W1004" s="35">
        <f xml:space="preserve"> IF( tblFilterAll[[#This Row],[Operating Margin (SHL)]] &lt; V$825, 4, IF( tblFilterAll[[#This Row],[Operating Margin (SHL)]] &lt; V$826, 3, IF( tblFilterAll[[#This Row],[Operating Margin (SHL)]] &lt; V$827, 2, 1 ) ) )</f>
        <v>4</v>
      </c>
      <c r="X1004" s="35">
        <f xml:space="preserve"> COUNTIFS( tblFilterAll[Include in output], 1, tblFilterAll[Operating Margin (SHL)], "&gt;" &amp; tblFilterAll[[#This Row],[Operating Margin (SHL)]] ) + 1</f>
        <v>185</v>
      </c>
      <c r="Y1004" s="30" cm="1">
        <f t="array" ref="Y1004" xml:space="preserve"> INDEX( VfM_Metrics_2023_Consol_Source[], $AK1004, Y$832 )</f>
        <v>5.0842254219265914E-2</v>
      </c>
      <c r="Z1004" s="35">
        <f xml:space="preserve"> IF( tblFilterAll[[#This Row],[Operating Margin (Overall)]] &lt; Y$825, 4, IF( tblFilterAll[[#This Row],[Operating Margin (Overall)]] &lt; Y$826, 3, IF( tblFilterAll[[#This Row],[Operating Margin (Overall)]] &lt; Y$827, 2, 1 ) ) )</f>
        <v>4</v>
      </c>
      <c r="AA1004" s="35">
        <f xml:space="preserve"> COUNTIFS( tblFilterAll[Include in output], 1, tblFilterAll[Operating Margin (Overall)], "&gt;" &amp; tblFilterAll[[#This Row],[Operating Margin (Overall)]] ) + 1</f>
        <v>182</v>
      </c>
      <c r="AB1004" s="30" cm="1">
        <f t="array" ref="AB1004" xml:space="preserve"> INDEX( VfM_Metrics_2023_Consol_Source[], $AK1004, AB$832 )</f>
        <v>1.167005229263722E-2</v>
      </c>
      <c r="AC1004" s="35">
        <f xml:space="preserve"> IF( tblFilterAll[[#This Row],[ROCE]] &lt; AB$825, 4, IF( tblFilterAll[[#This Row],[ROCE]] &lt; AB$826, 3, IF( tblFilterAll[[#This Row],[ROCE]] &lt; AB$827, 2, 1 ) ) )</f>
        <v>4</v>
      </c>
      <c r="AD1004" s="35">
        <f xml:space="preserve"> COUNTIFS( tblFilterAll[Include in output], 1, tblFilterAll[ROCE], "&gt;" &amp; tblFilterAll[[#This Row],[ROCE]] ) + 1</f>
        <v>187</v>
      </c>
      <c r="AE1004" s="33" cm="1" vm="1494">
        <f t="array" ref="AE1004" xml:space="preserve"> INDEX( VfM_Metrics_2023_Consol_Source[], $AK1004, AE$832 )</f>
        <v>66944</v>
      </c>
      <c r="AF1004" s="30" cm="1">
        <f t="array" ref="AF1004" xml:space="preserve"> INDEX( VfM_Metrics_2023_Consol_Source[], $AK1004, AF$832 )</f>
        <v>8.265145493368245E-2</v>
      </c>
      <c r="AG1004" s="30" cm="1">
        <f t="array" ref="AG1004" xml:space="preserve"> INDEX( VfM_Metrics_2023_Consol_Source[], $AK1004, AG$832 )</f>
        <v>7.7991303128068457E-2</v>
      </c>
      <c r="AH1004" s="30" cm="1">
        <f t="array" ref="AH1004" xml:space="preserve"> INDEX( VfM_Metrics_2023_Consol_Source[], $AK1004, AH$832 )</f>
        <v>0.16064275806175091</v>
      </c>
      <c r="AI1004" s="30" t="str" cm="1">
        <f t="array" ref="AI1004" xml:space="preserve"> INDEX( VfM_Metrics_2023_Consol_Source[], $AK1004, AI$832 )</f>
        <v>Traditional</v>
      </c>
      <c r="AJ1004" s="34" t="str" cm="1">
        <f t="array" ref="AJ1004" xml:space="preserve"> INDEX( VfM_Metrics_2023_Consol_Source[], $AK1004, AJ$832 )</f>
        <v>North West</v>
      </c>
      <c r="AK1004" s="81">
        <f xml:space="preserve"> MATCH( tblFilterAll[[#This Row],[Code]], VfM_Metrics_2023_Consol_Source[RP_Code], 0 )</f>
        <v>171</v>
      </c>
      <c r="AL1004" s="24">
        <f xml:space="preserve"> INDEX( tblFilterRegion[Include for region],  MATCH( tblFilterAll[[#This Row],[Code]], tblFilterRegion[RP_Code], 0 ) )</f>
        <v>1</v>
      </c>
      <c r="AM1004" s="24">
        <f xml:space="preserve"> INDEX( tblFilterPropType[Incl for prop type],  MATCH( tblFilterAll[[#This Row],[Code]], tblFilterPropType[RP_Code], 0 ) )</f>
        <v>1</v>
      </c>
      <c r="AN1004" s="24">
        <f xml:space="preserve"> INDEX( tblFilterSize[Incl for size],  MATCH( tblFilterAll[[#This Row],[Code]], tblFilterSize[RP_Code], 0 ) )</f>
        <v>1</v>
      </c>
      <c r="AO1004" s="24">
        <f xml:space="preserve"> INDEX( tblFilterRP_Type[Incl, for RP Type],  MATCH( tblFilterAll[[#This Row],[Code]], tblFilterRP_Type[RP_Code], 0 ) )</f>
        <v>1</v>
      </c>
      <c r="AP1004" s="24">
        <f xml:space="preserve">  -- ( SUM( tblFilterAll[[#This Row],[Filter Region]:[Filter RP Type]] ) = 4 )</f>
        <v>1</v>
      </c>
      <c r="AQ1004" s="24">
        <f xml:space="preserve"> -- ( tblFilterAll[[#This Row],[Provider name]] = SelectedProvider )</f>
        <v>0</v>
      </c>
      <c r="AR1004" s="24">
        <f xml:space="preserve">  -- ( OR( SUM( tblFilterAll[[#This Row],[Filter Region]:[Filter RP Type]] ) = 4, tblFilterAll[[#This Row],[SelectedProvider]] = 1 ) )</f>
        <v>1</v>
      </c>
      <c r="AS1004" s="24">
        <f xml:space="preserve"> -- ( INDEX( PeersCritera[Included in final peers], MATCH( tblFilterAll[[#This Row],[Provider name]], PeersCritera[RP_Name], 0 ) ) = 1 )</f>
        <v>1</v>
      </c>
      <c r="AT1004" s="30" t="str" cm="1">
        <f t="array" ref="AT1004" xml:space="preserve"> SUBSTITUTE( INDEX( VfM_Metrics_2023_Consol_Source[], $AK1004, AT$832 ), 0, "" )</f>
        <v/>
      </c>
      <c r="AU1004" s="34" cm="1">
        <f t="array" ref="AU1004" xml:space="preserve"> INDEX( VfM_Metrics_2023_Consol_Source[], $AK1004, AU$832 )</f>
        <v>0.21369905956112853</v>
      </c>
      <c r="AV1004" s="34" cm="1">
        <f t="array" ref="AV1004" xml:space="preserve"> INDEX( VfM_Metrics_2023_Consol_Source[], $AK1004, AV$832 )</f>
        <v>4.0658307210031351E-2</v>
      </c>
      <c r="AW1004" s="34" cm="1">
        <f t="array" ref="AW1004" xml:space="preserve"> INDEX( VfM_Metrics_2023_Consol_Source[], $AK1004, AW$832 )</f>
        <v>5.2037617554858938E-3</v>
      </c>
      <c r="AX1004" s="34" cm="1">
        <f t="array" ref="AX1004" xml:space="preserve"> INDEX( VfM_Metrics_2023_Consol_Source[], $AK1004, AX$832 )</f>
        <v>7.0799373040752345E-2</v>
      </c>
      <c r="AY1004" s="34" cm="1">
        <f t="array" ref="AY1004" xml:space="preserve"> INDEX( VfM_Metrics_2023_Consol_Source[], $AK1004, AY$832 )</f>
        <v>1.3166144200626959E-2</v>
      </c>
      <c r="AZ1004" s="34" cm="1">
        <f t="array" ref="AZ1004" xml:space="preserve"> INDEX( VfM_Metrics_2023_Consol_Source[], $AK1004, AZ$832 )</f>
        <v>8.1818181818181825E-3</v>
      </c>
      <c r="BA1004" s="34" cm="1">
        <f t="array" ref="BA1004" xml:space="preserve"> INDEX( VfM_Metrics_2023_Consol_Source[], $AK1004, BA$832 )</f>
        <v>6.4623824451410655E-2</v>
      </c>
      <c r="BB1004" s="34" cm="1">
        <f t="array" ref="BB1004" xml:space="preserve"> INDEX( VfM_Metrics_2023_Consol_Source[], $AK1004, BB$832 )</f>
        <v>0.54451410658307209</v>
      </c>
      <c r="BC1004" s="34" cm="1">
        <f t="array" ref="BC1004" xml:space="preserve"> INDEX( VfM_Metrics_2023_Consol_Source[], $AK1004, BC$832 )</f>
        <v>3.9153605015673984E-2</v>
      </c>
    </row>
    <row r="1005" spans="2:55" x14ac:dyDescent="0.2">
      <c r="B1005" s="122" t="str" vm="172">
        <f t="shared" ref="B1005" si="511" xml:space="preserve"> B795</f>
        <v>The Wrekin Housing Group Limited</v>
      </c>
      <c r="C1005" s="122" t="str" vm="282">
        <f t="shared" si="500"/>
        <v>LH4220</v>
      </c>
      <c r="D1005" s="30" cm="1">
        <f t="array" ref="D1005" xml:space="preserve"> INDEX( VfM_Metrics_2023_Consol_Source[], $AK1005, D$832 )</f>
        <v>0.10578079070029081</v>
      </c>
      <c r="E1005" s="35">
        <f xml:space="preserve"> IF( tblFilterAll[[#This Row],[Reinvestment]] &lt; D$825, 4, IF( tblFilterAll[[#This Row],[Reinvestment]] &lt; D$826, 3, IF( tblFilterAll[[#This Row],[Reinvestment]] &lt; D$827, 2, 1 ) ) )</f>
        <v>1</v>
      </c>
      <c r="F1005" s="35">
        <f xml:space="preserve"> COUNTIFS( tblFilterAll[Include in output], 1, tblFilterAll[Reinvestment], "&gt;" &amp; tblFilterAll[[#This Row],[Reinvestment]] ) + 1</f>
        <v>31</v>
      </c>
      <c r="G1005" s="30" cm="1">
        <f t="array" ref="G1005" xml:space="preserve"> INDEX( VfM_Metrics_2023_Consol_Source[], $AK1005, G$832 )</f>
        <v>3.4818637784400669E-2</v>
      </c>
      <c r="H1005" s="35">
        <f xml:space="preserve"> IF( tblFilterAll[[#This Row],[New Supply (Social)]] &lt; G$825, 4, IF( tblFilterAll[[#This Row],[New Supply (Social)]] &lt; G$826, 3, IF( tblFilterAll[[#This Row],[New Supply (Social)]] &lt; G$827, 2, 1 ) ) )</f>
        <v>1</v>
      </c>
      <c r="I1005" s="35">
        <f xml:space="preserve"> COUNTIFS( tblFilterAll[Include in output], 1, tblFilterAll[New Supply (Social)], "&gt;" &amp; tblFilterAll[[#This Row],[New Supply (Social)]] ) + 1</f>
        <v>12</v>
      </c>
      <c r="J1005" s="31" cm="1">
        <f t="array" ref="J1005" xml:space="preserve"> INDEX( VfM_Metrics_2023_Consol_Source[], $AK1005, J$832 )</f>
        <v>0</v>
      </c>
      <c r="K1005" s="35">
        <f xml:space="preserve"> IF( tblFilterAll[[#This Row],[New Supply (Non-Social)]] &lt; J$825, 4, IF( tblFilterAll[[#This Row],[New Supply (Non-Social)]] &lt; J$826, 3, IF( tblFilterAll[[#This Row],[New Supply (Non-Social)]] &lt; J$827, 2, 1 ) ) )</f>
        <v>2</v>
      </c>
      <c r="L1005" s="35">
        <f xml:space="preserve"> COUNTIFS( tblFilterAll[Include in output], 1, tblFilterAll[New Supply (Non-Social)], "&gt;" &amp; tblFilterAll[[#This Row],[New Supply (Non-Social)]] ) + 1</f>
        <v>72</v>
      </c>
      <c r="M1005" s="30" cm="1">
        <f t="array" ref="M1005" xml:space="preserve"> INDEX( VfM_Metrics_2023_Consol_Source[], $AK1005, M$832 )</f>
        <v>0.66619789615795688</v>
      </c>
      <c r="N1005" s="35">
        <f xml:space="preserve"> IF( tblFilterAll[[#This Row],[Gearing]] &lt; M$825, 4, IF( tblFilterAll[[#This Row],[Gearing]] &lt; M$826, 3, IF( tblFilterAll[[#This Row],[Gearing]] &lt; M$827, 2, 1 ) ) )</f>
        <v>1</v>
      </c>
      <c r="O1005" s="35">
        <f xml:space="preserve"> COUNTIFS( tblFilterAll[Include in output], 1, tblFilterAll[Gearing], "&gt;" &amp; tblFilterAll[[#This Row],[Gearing]] ) + 1</f>
        <v>11</v>
      </c>
      <c r="P1005" s="30" cm="1">
        <f t="array" ref="P1005" xml:space="preserve"> INDEX( VfM_Metrics_2023_Consol_Source[], $AK1005, P$832 )</f>
        <v>1.3644934911876574</v>
      </c>
      <c r="Q1005" s="35">
        <f xml:space="preserve"> IF( tblFilterAll[[#This Row],[EBITDA MRI Interest Cover]] &lt; P$825, 4, IF( tblFilterAll[[#This Row],[EBITDA MRI Interest Cover]] &lt; P$826, 3, IF( tblFilterAll[[#This Row],[EBITDA MRI Interest Cover]] &lt; P$827, 2, 1 ) ) )</f>
        <v>2</v>
      </c>
      <c r="R1005" s="35">
        <f xml:space="preserve"> COUNTIFS( tblFilterAll[Include in output], 1, tblFilterAll[EBITDA MRI Interest Cover], "&gt;" &amp; tblFilterAll[[#This Row],[EBITDA MRI Interest Cover]] ) + 1</f>
        <v>82</v>
      </c>
      <c r="S1005" s="32" cm="1">
        <f t="array" ref="S1005" xml:space="preserve"> INDEX( VfM_Metrics_2023_Consol_Source[], $AK1005, S$832 )</f>
        <v>4469.7783493456382</v>
      </c>
      <c r="T1005" s="35">
        <f xml:space="preserve"> IF( tblFilterAll[[#This Row],[Headline Social Housing Cost per unit]] &lt; S$825, 4, IF( tblFilterAll[[#This Row],[Headline Social Housing Cost per unit]] &lt; S$826, 3, IF( tblFilterAll[[#This Row],[Headline Social Housing Cost per unit]] &lt; S$827, 2, 1 ) ) )</f>
        <v>3</v>
      </c>
      <c r="U1005" s="35">
        <f xml:space="preserve"> COUNTIFS( tblFilterAll[Include in output], 1, tblFilterAll[Headline Social Housing Cost per unit], "&gt;" &amp; tblFilterAll[[#This Row],[Headline Social Housing Cost per unit]] ) + 1</f>
        <v>110</v>
      </c>
      <c r="V1005" s="30" cm="1">
        <f t="array" ref="V1005" xml:space="preserve"> INDEX( VfM_Metrics_2023_Consol_Source[], $AK1005, V$832 )</f>
        <v>0.21200868513903626</v>
      </c>
      <c r="W1005" s="35">
        <f xml:space="preserve"> IF( tblFilterAll[[#This Row],[Operating Margin (SHL)]] &lt; V$825, 4, IF( tblFilterAll[[#This Row],[Operating Margin (SHL)]] &lt; V$826, 3, IF( tblFilterAll[[#This Row],[Operating Margin (SHL)]] &lt; V$827, 2, 1 ) ) )</f>
        <v>2</v>
      </c>
      <c r="X1005" s="35">
        <f xml:space="preserve"> COUNTIFS( tblFilterAll[Include in output], 1, tblFilterAll[Operating Margin (SHL)], "&gt;" &amp; tblFilterAll[[#This Row],[Operating Margin (SHL)]] ) + 1</f>
        <v>88</v>
      </c>
      <c r="Y1005" s="30" cm="1">
        <f t="array" ref="Y1005" xml:space="preserve"> INDEX( VfM_Metrics_2023_Consol_Source[], $AK1005, Y$832 )</f>
        <v>0.18696685913921102</v>
      </c>
      <c r="Z1005" s="35">
        <f xml:space="preserve"> IF( tblFilterAll[[#This Row],[Operating Margin (Overall)]] &lt; Y$825, 4, IF( tblFilterAll[[#This Row],[Operating Margin (Overall)]] &lt; Y$826, 3, IF( tblFilterAll[[#This Row],[Operating Margin (Overall)]] &lt; Y$827, 2, 1 ) ) )</f>
        <v>2</v>
      </c>
      <c r="AA1005" s="35">
        <f xml:space="preserve"> COUNTIFS( tblFilterAll[Include in output], 1, tblFilterAll[Operating Margin (Overall)], "&gt;" &amp; tblFilterAll[[#This Row],[Operating Margin (Overall)]] ) + 1</f>
        <v>94</v>
      </c>
      <c r="AB1005" s="30" cm="1">
        <f t="array" ref="AB1005" xml:space="preserve"> INDEX( VfM_Metrics_2023_Consol_Source[], $AK1005, AB$832 )</f>
        <v>2.6659063189666977E-2</v>
      </c>
      <c r="AC1005" s="35">
        <f xml:space="preserve"> IF( tblFilterAll[[#This Row],[ROCE]] &lt; AB$825, 4, IF( tblFilterAll[[#This Row],[ROCE]] &lt; AB$826, 3, IF( tblFilterAll[[#This Row],[ROCE]] &lt; AB$827, 2, 1 ) ) )</f>
        <v>3</v>
      </c>
      <c r="AD1005" s="35">
        <f xml:space="preserve"> COUNTIFS( tblFilterAll[Include in output], 1, tblFilterAll[ROCE], "&gt;" &amp; tblFilterAll[[#This Row],[ROCE]] ) + 1</f>
        <v>113</v>
      </c>
      <c r="AE1005" s="33" cm="1" vm="2169">
        <f t="array" ref="AE1005" xml:space="preserve"> INDEX( VfM_Metrics_2023_Consol_Source[], $AK1005, AE$832 )</f>
        <v>13167</v>
      </c>
      <c r="AF1005" s="30" cm="1">
        <f t="array" ref="AF1005" xml:space="preserve"> INDEX( VfM_Metrics_2023_Consol_Source[], $AK1005, AF$832 )</f>
        <v>6.8053219146658513E-3</v>
      </c>
      <c r="AG1005" s="30" cm="1">
        <f t="array" ref="AG1005" xml:space="preserve"> INDEX( VfM_Metrics_2023_Consol_Source[], $AK1005, AG$832 )</f>
        <v>9.9938828567059185E-2</v>
      </c>
      <c r="AH1005" s="30" cm="1">
        <f t="array" ref="AH1005" xml:space="preserve"> INDEX( VfM_Metrics_2023_Consol_Source[], $AK1005, AH$832 )</f>
        <v>0.10674415048172503</v>
      </c>
      <c r="AI1005" s="30" t="str" cm="1">
        <f t="array" ref="AI1005" xml:space="preserve"> INDEX( VfM_Metrics_2023_Consol_Source[], $AK1005, AI$832 )</f>
        <v>Traditional</v>
      </c>
      <c r="AJ1005" s="34" t="str" cm="1">
        <f t="array" ref="AJ1005" xml:space="preserve"> INDEX( VfM_Metrics_2023_Consol_Source[], $AK1005, AJ$832 )</f>
        <v>West Midlands</v>
      </c>
      <c r="AK1005" s="81">
        <f xml:space="preserve"> MATCH( tblFilterAll[[#This Row],[Code]], VfM_Metrics_2023_Consol_Source[RP_Code], 0 )</f>
        <v>172</v>
      </c>
      <c r="AL1005" s="24">
        <f xml:space="preserve"> INDEX( tblFilterRegion[Include for region],  MATCH( tblFilterAll[[#This Row],[Code]], tblFilterRegion[RP_Code], 0 ) )</f>
        <v>1</v>
      </c>
      <c r="AM1005" s="24">
        <f xml:space="preserve"> INDEX( tblFilterPropType[Incl for prop type],  MATCH( tblFilterAll[[#This Row],[Code]], tblFilterPropType[RP_Code], 0 ) )</f>
        <v>1</v>
      </c>
      <c r="AN1005" s="24">
        <f xml:space="preserve"> INDEX( tblFilterSize[Incl for size],  MATCH( tblFilterAll[[#This Row],[Code]], tblFilterSize[RP_Code], 0 ) )</f>
        <v>1</v>
      </c>
      <c r="AO1005" s="24">
        <f xml:space="preserve"> INDEX( tblFilterRP_Type[Incl, for RP Type],  MATCH( tblFilterAll[[#This Row],[Code]], tblFilterRP_Type[RP_Code], 0 ) )</f>
        <v>1</v>
      </c>
      <c r="AP1005" s="24">
        <f xml:space="preserve">  -- ( SUM( tblFilterAll[[#This Row],[Filter Region]:[Filter RP Type]] ) = 4 )</f>
        <v>1</v>
      </c>
      <c r="AQ1005" s="24">
        <f xml:space="preserve"> -- ( tblFilterAll[[#This Row],[Provider name]] = SelectedProvider )</f>
        <v>0</v>
      </c>
      <c r="AR1005" s="24">
        <f xml:space="preserve">  -- ( OR( SUM( tblFilterAll[[#This Row],[Filter Region]:[Filter RP Type]] ) = 4, tblFilterAll[[#This Row],[SelectedProvider]] = 1 ) )</f>
        <v>1</v>
      </c>
      <c r="AS1005" s="24">
        <f xml:space="preserve"> -- ( INDEX( PeersCritera[Included in final peers], MATCH( tblFilterAll[[#This Row],[Provider name]], PeersCritera[RP_Name], 0 ) ) = 1 )</f>
        <v>1</v>
      </c>
      <c r="AT1005" s="30" t="str" cm="1">
        <f t="array" ref="AT1005" xml:space="preserve"> SUBSTITUTE( INDEX( VfM_Metrics_2023_Consol_Source[], $AK1005, AT$832 ), 0, "" )</f>
        <v>&gt;= 12 years</v>
      </c>
      <c r="AU1005" s="34" cm="1">
        <f t="array" ref="AU1005" xml:space="preserve"> INDEX( VfM_Metrics_2023_Consol_Source[], $AK1005, AU$832 )</f>
        <v>0</v>
      </c>
      <c r="AV1005" s="34" cm="1">
        <f t="array" ref="AV1005" xml:space="preserve"> INDEX( VfM_Metrics_2023_Consol_Source[], $AK1005, AV$832 )</f>
        <v>0</v>
      </c>
      <c r="AW1005" s="34" cm="1">
        <f t="array" ref="AW1005" xml:space="preserve"> INDEX( VfM_Metrics_2023_Consol_Source[], $AK1005, AW$832 )</f>
        <v>0</v>
      </c>
      <c r="AX1005" s="34" cm="1">
        <f t="array" ref="AX1005" xml:space="preserve"> INDEX( VfM_Metrics_2023_Consol_Source[], $AK1005, AX$832 )</f>
        <v>0</v>
      </c>
      <c r="AY1005" s="34" cm="1">
        <f t="array" ref="AY1005" xml:space="preserve"> INDEX( VfM_Metrics_2023_Consol_Source[], $AK1005, AY$832 )</f>
        <v>1</v>
      </c>
      <c r="AZ1005" s="34" cm="1">
        <f t="array" ref="AZ1005" xml:space="preserve"> INDEX( VfM_Metrics_2023_Consol_Source[], $AK1005, AZ$832 )</f>
        <v>0</v>
      </c>
      <c r="BA1005" s="34" cm="1">
        <f t="array" ref="BA1005" xml:space="preserve"> INDEX( VfM_Metrics_2023_Consol_Source[], $AK1005, BA$832 )</f>
        <v>0</v>
      </c>
      <c r="BB1005" s="34" cm="1">
        <f t="array" ref="BB1005" xml:space="preserve"> INDEX( VfM_Metrics_2023_Consol_Source[], $AK1005, BB$832 )</f>
        <v>0</v>
      </c>
      <c r="BC1005" s="34" cm="1">
        <f t="array" ref="BC1005" xml:space="preserve"> INDEX( VfM_Metrics_2023_Consol_Source[], $AK1005, BC$832 )</f>
        <v>0</v>
      </c>
    </row>
    <row r="1006" spans="2:55" x14ac:dyDescent="0.2">
      <c r="B1006" s="122" t="str" vm="173">
        <f t="shared" ref="B1006" si="512" xml:space="preserve"> B796</f>
        <v>Thirteen Housing Group Limited</v>
      </c>
      <c r="C1006" s="122" t="str" vm="260">
        <f t="shared" si="500"/>
        <v>L4522</v>
      </c>
      <c r="D1006" s="30" cm="1">
        <f t="array" ref="D1006" xml:space="preserve"> INDEX( VfM_Metrics_2023_Consol_Source[], $AK1006, D$832 )</f>
        <v>8.0893243048552083E-2</v>
      </c>
      <c r="E1006" s="35">
        <f xml:space="preserve"> IF( tblFilterAll[[#This Row],[Reinvestment]] &lt; D$825, 4, IF( tblFilterAll[[#This Row],[Reinvestment]] &lt; D$826, 3, IF( tblFilterAll[[#This Row],[Reinvestment]] &lt; D$827, 2, 1 ) ) )</f>
        <v>2</v>
      </c>
      <c r="F1006" s="35">
        <f xml:space="preserve"> COUNTIFS( tblFilterAll[Include in output], 1, tblFilterAll[Reinvestment], "&gt;" &amp; tblFilterAll[[#This Row],[Reinvestment]] ) + 1</f>
        <v>71</v>
      </c>
      <c r="G1006" s="30" cm="1">
        <f t="array" ref="G1006" xml:space="preserve"> INDEX( VfM_Metrics_2023_Consol_Source[], $AK1006, G$832 )</f>
        <v>1.2349875368230229E-2</v>
      </c>
      <c r="H1006" s="35">
        <f xml:space="preserve"> IF( tblFilterAll[[#This Row],[New Supply (Social)]] &lt; G$825, 4, IF( tblFilterAll[[#This Row],[New Supply (Social)]] &lt; G$826, 3, IF( tblFilterAll[[#This Row],[New Supply (Social)]] &lt; G$827, 2, 1 ) ) )</f>
        <v>3</v>
      </c>
      <c r="I1006" s="35">
        <f xml:space="preserve"> COUNTIFS( tblFilterAll[Include in output], 1, tblFilterAll[New Supply (Social)], "&gt;" &amp; tblFilterAll[[#This Row],[New Supply (Social)]] ) + 1</f>
        <v>104</v>
      </c>
      <c r="J1006" s="31" cm="1">
        <f t="array" ref="J1006" xml:space="preserve"> INDEX( VfM_Metrics_2023_Consol_Source[], $AK1006, J$832 )</f>
        <v>5.3412796581581016E-4</v>
      </c>
      <c r="K1006" s="35">
        <f xml:space="preserve"> IF( tblFilterAll[[#This Row],[New Supply (Non-Social)]] &lt; J$825, 4, IF( tblFilterAll[[#This Row],[New Supply (Non-Social)]] &lt; J$826, 3, IF( tblFilterAll[[#This Row],[New Supply (Non-Social)]] &lt; J$827, 2, 1 ) ) )</f>
        <v>2</v>
      </c>
      <c r="L1006" s="35">
        <f xml:space="preserve"> COUNTIFS( tblFilterAll[Include in output], 1, tblFilterAll[New Supply (Non-Social)], "&gt;" &amp; tblFilterAll[[#This Row],[New Supply (Non-Social)]] ) + 1</f>
        <v>59</v>
      </c>
      <c r="M1006" s="30" cm="1">
        <f t="array" ref="M1006" xml:space="preserve"> INDEX( VfM_Metrics_2023_Consol_Source[], $AK1006, M$832 )</f>
        <v>0.2295988638936341</v>
      </c>
      <c r="N1006" s="35">
        <f xml:space="preserve"> IF( tblFilterAll[[#This Row],[Gearing]] &lt; M$825, 4, IF( tblFilterAll[[#This Row],[Gearing]] &lt; M$826, 3, IF( tblFilterAll[[#This Row],[Gearing]] &lt; M$827, 2, 1 ) ) )</f>
        <v>4</v>
      </c>
      <c r="O1006" s="35">
        <f xml:space="preserve"> COUNTIFS( tblFilterAll[Include in output], 1, tblFilterAll[Gearing], "&gt;" &amp; tblFilterAll[[#This Row],[Gearing]] ) + 1</f>
        <v>174</v>
      </c>
      <c r="P1006" s="30" cm="1">
        <f t="array" ref="P1006" xml:space="preserve"> INDEX( VfM_Metrics_2023_Consol_Source[], $AK1006, P$832 )</f>
        <v>2.2645633935956515</v>
      </c>
      <c r="Q1006" s="35">
        <f xml:space="preserve"> IF( tblFilterAll[[#This Row],[EBITDA MRI Interest Cover]] &lt; P$825, 4, IF( tblFilterAll[[#This Row],[EBITDA MRI Interest Cover]] &lt; P$826, 3, IF( tblFilterAll[[#This Row],[EBITDA MRI Interest Cover]] &lt; P$827, 2, 1 ) ) )</f>
        <v>1</v>
      </c>
      <c r="R1006" s="35">
        <f xml:space="preserve"> COUNTIFS( tblFilterAll[Include in output], 1, tblFilterAll[EBITDA MRI Interest Cover], "&gt;" &amp; tblFilterAll[[#This Row],[EBITDA MRI Interest Cover]] ) + 1</f>
        <v>20</v>
      </c>
      <c r="S1006" s="32" cm="1">
        <f t="array" ref="S1006" xml:space="preserve"> INDEX( VfM_Metrics_2023_Consol_Source[], $AK1006, S$832 )</f>
        <v>4009.8044869946366</v>
      </c>
      <c r="T1006" s="35">
        <f xml:space="preserve"> IF( tblFilterAll[[#This Row],[Headline Social Housing Cost per unit]] &lt; S$825, 4, IF( tblFilterAll[[#This Row],[Headline Social Housing Cost per unit]] &lt; S$826, 3, IF( tblFilterAll[[#This Row],[Headline Social Housing Cost per unit]] &lt; S$827, 2, 1 ) ) )</f>
        <v>4</v>
      </c>
      <c r="U1006" s="35">
        <f xml:space="preserve"> COUNTIFS( tblFilterAll[Include in output], 1, tblFilterAll[Headline Social Housing Cost per unit], "&gt;" &amp; tblFilterAll[[#This Row],[Headline Social Housing Cost per unit]] ) + 1</f>
        <v>162</v>
      </c>
      <c r="V1006" s="30" cm="1">
        <f t="array" ref="V1006" xml:space="preserve"> INDEX( VfM_Metrics_2023_Consol_Source[], $AK1006, V$832 )</f>
        <v>0.24834574518546629</v>
      </c>
      <c r="W1006" s="35">
        <f xml:space="preserve"> IF( tblFilterAll[[#This Row],[Operating Margin (SHL)]] &lt; V$825, 4, IF( tblFilterAll[[#This Row],[Operating Margin (SHL)]] &lt; V$826, 3, IF( tblFilterAll[[#This Row],[Operating Margin (SHL)]] &lt; V$827, 2, 1 ) ) )</f>
        <v>2</v>
      </c>
      <c r="X1006" s="35">
        <f xml:space="preserve"> COUNTIFS( tblFilterAll[Include in output], 1, tblFilterAll[Operating Margin (SHL)], "&gt;" &amp; tblFilterAll[[#This Row],[Operating Margin (SHL)]] ) + 1</f>
        <v>57</v>
      </c>
      <c r="Y1006" s="30" cm="1">
        <f t="array" ref="Y1006" xml:space="preserve"> INDEX( VfM_Metrics_2023_Consol_Source[], $AK1006, Y$832 )</f>
        <v>0.18475037760344315</v>
      </c>
      <c r="Z1006" s="35">
        <f xml:space="preserve"> IF( tblFilterAll[[#This Row],[Operating Margin (Overall)]] &lt; Y$825, 4, IF( tblFilterAll[[#This Row],[Operating Margin (Overall)]] &lt; Y$826, 3, IF( tblFilterAll[[#This Row],[Operating Margin (Overall)]] &lt; Y$827, 2, 1 ) ) )</f>
        <v>2</v>
      </c>
      <c r="AA1006" s="35">
        <f xml:space="preserve"> COUNTIFS( tblFilterAll[Include in output], 1, tblFilterAll[Operating Margin (Overall)], "&gt;" &amp; tblFilterAll[[#This Row],[Operating Margin (Overall)]] ) + 1</f>
        <v>97</v>
      </c>
      <c r="AB1006" s="30" cm="1">
        <f t="array" ref="AB1006" xml:space="preserve"> INDEX( VfM_Metrics_2023_Consol_Source[], $AK1006, AB$832 )</f>
        <v>3.1602452291175802E-2</v>
      </c>
      <c r="AC1006" s="35">
        <f xml:space="preserve"> IF( tblFilterAll[[#This Row],[ROCE]] &lt; AB$825, 4, IF( tblFilterAll[[#This Row],[ROCE]] &lt; AB$826, 3, IF( tblFilterAll[[#This Row],[ROCE]] &lt; AB$827, 2, 1 ) ) )</f>
        <v>2</v>
      </c>
      <c r="AD1006" s="35">
        <f xml:space="preserve"> COUNTIFS( tblFilterAll[Include in output], 1, tblFilterAll[ROCE], "&gt;" &amp; tblFilterAll[[#This Row],[ROCE]] ) + 1</f>
        <v>75</v>
      </c>
      <c r="AE1006" s="33" cm="1" vm="2037">
        <f t="array" ref="AE1006" xml:space="preserve"> INDEX( VfM_Metrics_2023_Consol_Source[], $AK1006, AE$832 )</f>
        <v>34579</v>
      </c>
      <c r="AF1006" s="30" cm="1">
        <f t="array" ref="AF1006" xml:space="preserve"> INDEX( VfM_Metrics_2023_Consol_Source[], $AK1006, AF$832 )</f>
        <v>7.311341282966316E-3</v>
      </c>
      <c r="AG1006" s="30" cm="1">
        <f t="array" ref="AG1006" xml:space="preserve"> INDEX( VfM_Metrics_2023_Consol_Source[], $AK1006, AG$832 )</f>
        <v>6.8964516784170371E-2</v>
      </c>
      <c r="AH1006" s="30" cm="1">
        <f t="array" ref="AH1006" xml:space="preserve"> INDEX( VfM_Metrics_2023_Consol_Source[], $AK1006, AH$832 )</f>
        <v>7.6275858067136687E-2</v>
      </c>
      <c r="AI1006" s="30" t="str" cm="1">
        <f t="array" ref="AI1006" xml:space="preserve"> INDEX( VfM_Metrics_2023_Consol_Source[], $AK1006, AI$832 )</f>
        <v>Traditional</v>
      </c>
      <c r="AJ1006" s="34" t="str" cm="1">
        <f t="array" ref="AJ1006" xml:space="preserve"> INDEX( VfM_Metrics_2023_Consol_Source[], $AK1006, AJ$832 )</f>
        <v>North East</v>
      </c>
      <c r="AK1006" s="81">
        <f xml:space="preserve"> MATCH( tblFilterAll[[#This Row],[Code]], VfM_Metrics_2023_Consol_Source[RP_Code], 0 )</f>
        <v>173</v>
      </c>
      <c r="AL1006" s="24">
        <f xml:space="preserve"> INDEX( tblFilterRegion[Include for region],  MATCH( tblFilterAll[[#This Row],[Code]], tblFilterRegion[RP_Code], 0 ) )</f>
        <v>1</v>
      </c>
      <c r="AM1006" s="24">
        <f xml:space="preserve"> INDEX( tblFilterPropType[Incl for prop type],  MATCH( tblFilterAll[[#This Row],[Code]], tblFilterPropType[RP_Code], 0 ) )</f>
        <v>1</v>
      </c>
      <c r="AN1006" s="24">
        <f xml:space="preserve"> INDEX( tblFilterSize[Incl for size],  MATCH( tblFilterAll[[#This Row],[Code]], tblFilterSize[RP_Code], 0 ) )</f>
        <v>1</v>
      </c>
      <c r="AO1006" s="24">
        <f xml:space="preserve"> INDEX( tblFilterRP_Type[Incl, for RP Type],  MATCH( tblFilterAll[[#This Row],[Code]], tblFilterRP_Type[RP_Code], 0 ) )</f>
        <v>1</v>
      </c>
      <c r="AP1006" s="24">
        <f xml:space="preserve">  -- ( SUM( tblFilterAll[[#This Row],[Filter Region]:[Filter RP Type]] ) = 4 )</f>
        <v>1</v>
      </c>
      <c r="AQ1006" s="24">
        <f xml:space="preserve"> -- ( tblFilterAll[[#This Row],[Provider name]] = SelectedProvider )</f>
        <v>0</v>
      </c>
      <c r="AR1006" s="24">
        <f xml:space="preserve">  -- ( OR( SUM( tblFilterAll[[#This Row],[Filter Region]:[Filter RP Type]] ) = 4, tblFilterAll[[#This Row],[SelectedProvider]] = 1 ) )</f>
        <v>1</v>
      </c>
      <c r="AS1006" s="24">
        <f xml:space="preserve"> -- ( INDEX( PeersCritera[Included in final peers], MATCH( tblFilterAll[[#This Row],[Provider name]], PeersCritera[RP_Name], 0 ) ) = 1 )</f>
        <v>1</v>
      </c>
      <c r="AT1006" s="30" t="str" cm="1">
        <f t="array" ref="AT1006" xml:space="preserve"> SUBSTITUTE( INDEX( VfM_Metrics_2023_Consol_Source[], $AK1006, AT$832 ), 0, "" )</f>
        <v>&gt;= 12 years</v>
      </c>
      <c r="AU1006" s="34" cm="1">
        <f t="array" ref="AU1006" xml:space="preserve"> INDEX( VfM_Metrics_2023_Consol_Source[], $AK1006, AU$832 )</f>
        <v>0</v>
      </c>
      <c r="AV1006" s="34" cm="1">
        <f t="array" ref="AV1006" xml:space="preserve"> INDEX( VfM_Metrics_2023_Consol_Source[], $AK1006, AV$832 )</f>
        <v>0</v>
      </c>
      <c r="AW1006" s="34" cm="1">
        <f t="array" ref="AW1006" xml:space="preserve"> INDEX( VfM_Metrics_2023_Consol_Source[], $AK1006, AW$832 )</f>
        <v>0</v>
      </c>
      <c r="AX1006" s="34" cm="1">
        <f t="array" ref="AX1006" xml:space="preserve"> INDEX( VfM_Metrics_2023_Consol_Source[], $AK1006, AX$832 )</f>
        <v>0</v>
      </c>
      <c r="AY1006" s="34" cm="1">
        <f t="array" ref="AY1006" xml:space="preserve"> INDEX( VfM_Metrics_2023_Consol_Source[], $AK1006, AY$832 )</f>
        <v>0</v>
      </c>
      <c r="AZ1006" s="34" cm="1">
        <f t="array" ref="AZ1006" xml:space="preserve"> INDEX( VfM_Metrics_2023_Consol_Source[], $AK1006, AZ$832 )</f>
        <v>2.8920122621319915E-5</v>
      </c>
      <c r="BA1006" s="34" cm="1">
        <f t="array" ref="BA1006" xml:space="preserve"> INDEX( VfM_Metrics_2023_Consol_Source[], $AK1006, BA$832 )</f>
        <v>0.95390132454161602</v>
      </c>
      <c r="BB1006" s="34" cm="1">
        <f t="array" ref="BB1006" xml:space="preserve"> INDEX( VfM_Metrics_2023_Consol_Source[], $AK1006, BB$832 )</f>
        <v>0</v>
      </c>
      <c r="BC1006" s="34" cm="1">
        <f t="array" ref="BC1006" xml:space="preserve"> INDEX( VfM_Metrics_2023_Consol_Source[], $AK1006, BC$832 )</f>
        <v>4.6069755335762623E-2</v>
      </c>
    </row>
    <row r="1007" spans="2:55" x14ac:dyDescent="0.2">
      <c r="B1007" s="122" t="str" vm="174">
        <f t="shared" ref="B1007" si="513" xml:space="preserve"> B797</f>
        <v>Thrive Homes Limited</v>
      </c>
      <c r="C1007" s="122" t="str" vm="319">
        <f t="shared" si="500"/>
        <v>L4520</v>
      </c>
      <c r="D1007" s="30" cm="1">
        <f t="array" ref="D1007" xml:space="preserve"> INDEX( VfM_Metrics_2023_Consol_Source[], $AK1007, D$832 )</f>
        <v>0.18419459149021175</v>
      </c>
      <c r="E1007" s="35">
        <f xml:space="preserve"> IF( tblFilterAll[[#This Row],[Reinvestment]] &lt; D$825, 4, IF( tblFilterAll[[#This Row],[Reinvestment]] &lt; D$826, 3, IF( tblFilterAll[[#This Row],[Reinvestment]] &lt; D$827, 2, 1 ) ) )</f>
        <v>1</v>
      </c>
      <c r="F1007" s="35">
        <f xml:space="preserve"> COUNTIFS( tblFilterAll[Include in output], 1, tblFilterAll[Reinvestment], "&gt;" &amp; tblFilterAll[[#This Row],[Reinvestment]] ) + 1</f>
        <v>4</v>
      </c>
      <c r="G1007" s="30" cm="1">
        <f t="array" ref="G1007" xml:space="preserve"> INDEX( VfM_Metrics_2023_Consol_Source[], $AK1007, G$832 )</f>
        <v>1.1534236543390699E-2</v>
      </c>
      <c r="H1007" s="35">
        <f xml:space="preserve"> IF( tblFilterAll[[#This Row],[New Supply (Social)]] &lt; G$825, 4, IF( tblFilterAll[[#This Row],[New Supply (Social)]] &lt; G$826, 3, IF( tblFilterAll[[#This Row],[New Supply (Social)]] &lt; G$827, 2, 1 ) ) )</f>
        <v>3</v>
      </c>
      <c r="I1007" s="35">
        <f xml:space="preserve"> COUNTIFS( tblFilterAll[Include in output], 1, tblFilterAll[New Supply (Social)], "&gt;" &amp; tblFilterAll[[#This Row],[New Supply (Social)]] ) + 1</f>
        <v>111</v>
      </c>
      <c r="J1007" s="31" cm="1">
        <f t="array" ref="J1007" xml:space="preserve"> INDEX( VfM_Metrics_2023_Consol_Source[], $AK1007, J$832 )</f>
        <v>0</v>
      </c>
      <c r="K1007" s="35">
        <f xml:space="preserve"> IF( tblFilterAll[[#This Row],[New Supply (Non-Social)]] &lt; J$825, 4, IF( tblFilterAll[[#This Row],[New Supply (Non-Social)]] &lt; J$826, 3, IF( tblFilterAll[[#This Row],[New Supply (Non-Social)]] &lt; J$827, 2, 1 ) ) )</f>
        <v>2</v>
      </c>
      <c r="L1007" s="35">
        <f xml:space="preserve"> COUNTIFS( tblFilterAll[Include in output], 1, tblFilterAll[New Supply (Non-Social)], "&gt;" &amp; tblFilterAll[[#This Row],[New Supply (Non-Social)]] ) + 1</f>
        <v>72</v>
      </c>
      <c r="M1007" s="30" cm="1">
        <f t="array" ref="M1007" xml:space="preserve"> INDEX( VfM_Metrics_2023_Consol_Source[], $AK1007, M$832 )</f>
        <v>0.68757491010787053</v>
      </c>
      <c r="N1007" s="35">
        <f xml:space="preserve"> IF( tblFilterAll[[#This Row],[Gearing]] &lt; M$825, 4, IF( tblFilterAll[[#This Row],[Gearing]] &lt; M$826, 3, IF( tblFilterAll[[#This Row],[Gearing]] &lt; M$827, 2, 1 ) ) )</f>
        <v>1</v>
      </c>
      <c r="O1007" s="35">
        <f xml:space="preserve"> COUNTIFS( tblFilterAll[Include in output], 1, tblFilterAll[Gearing], "&gt;" &amp; tblFilterAll[[#This Row],[Gearing]] ) + 1</f>
        <v>8</v>
      </c>
      <c r="P1007" s="30" cm="1">
        <f t="array" ref="P1007" xml:space="preserve"> INDEX( VfM_Metrics_2023_Consol_Source[], $AK1007, P$832 )</f>
        <v>1.4530750605326876</v>
      </c>
      <c r="Q1007" s="35">
        <f xml:space="preserve"> IF( tblFilterAll[[#This Row],[EBITDA MRI Interest Cover]] &lt; P$825, 4, IF( tblFilterAll[[#This Row],[EBITDA MRI Interest Cover]] &lt; P$826, 3, IF( tblFilterAll[[#This Row],[EBITDA MRI Interest Cover]] &lt; P$827, 2, 1 ) ) )</f>
        <v>2</v>
      </c>
      <c r="R1007" s="35">
        <f xml:space="preserve"> COUNTIFS( tblFilterAll[Include in output], 1, tblFilterAll[EBITDA MRI Interest Cover], "&gt;" &amp; tblFilterAll[[#This Row],[EBITDA MRI Interest Cover]] ) + 1</f>
        <v>71</v>
      </c>
      <c r="S1007" s="32" cm="1">
        <f t="array" ref="S1007" xml:space="preserve"> INDEX( VfM_Metrics_2023_Consol_Source[], $AK1007, S$832 )</f>
        <v>4882.4457593688358</v>
      </c>
      <c r="T1007" s="35">
        <f xml:space="preserve"> IF( tblFilterAll[[#This Row],[Headline Social Housing Cost per unit]] &lt; S$825, 4, IF( tblFilterAll[[#This Row],[Headline Social Housing Cost per unit]] &lt; S$826, 3, IF( tblFilterAll[[#This Row],[Headline Social Housing Cost per unit]] &lt; S$827, 2, 1 ) ) )</f>
        <v>2</v>
      </c>
      <c r="U1007" s="35">
        <f xml:space="preserve"> COUNTIFS( tblFilterAll[Include in output], 1, tblFilterAll[Headline Social Housing Cost per unit], "&gt;" &amp; tblFilterAll[[#This Row],[Headline Social Housing Cost per unit]] ) + 1</f>
        <v>81</v>
      </c>
      <c r="V1007" s="30" cm="1">
        <f t="array" ref="V1007" xml:space="preserve"> INDEX( VfM_Metrics_2023_Consol_Source[], $AK1007, V$832 )</f>
        <v>0.22117624223602483</v>
      </c>
      <c r="W1007" s="35">
        <f xml:space="preserve"> IF( tblFilterAll[[#This Row],[Operating Margin (SHL)]] &lt; V$825, 4, IF( tblFilterAll[[#This Row],[Operating Margin (SHL)]] &lt; V$826, 3, IF( tblFilterAll[[#This Row],[Operating Margin (SHL)]] &lt; V$827, 2, 1 ) ) )</f>
        <v>2</v>
      </c>
      <c r="X1007" s="35">
        <f xml:space="preserve"> COUNTIFS( tblFilterAll[Include in output], 1, tblFilterAll[Operating Margin (SHL)], "&gt;" &amp; tblFilterAll[[#This Row],[Operating Margin (SHL)]] ) + 1</f>
        <v>80</v>
      </c>
      <c r="Y1007" s="30" cm="1">
        <f t="array" ref="Y1007" xml:space="preserve"> INDEX( VfM_Metrics_2023_Consol_Source[], $AK1007, Y$832 )</f>
        <v>0.28950692704342607</v>
      </c>
      <c r="Z1007" s="35">
        <f xml:space="preserve"> IF( tblFilterAll[[#This Row],[Operating Margin (Overall)]] &lt; Y$825, 4, IF( tblFilterAll[[#This Row],[Operating Margin (Overall)]] &lt; Y$826, 3, IF( tblFilterAll[[#This Row],[Operating Margin (Overall)]] &lt; Y$827, 2, 1 ) ) )</f>
        <v>1</v>
      </c>
      <c r="AA1007" s="35">
        <f xml:space="preserve"> COUNTIFS( tblFilterAll[Include in output], 1, tblFilterAll[Operating Margin (Overall)], "&gt;" &amp; tblFilterAll[[#This Row],[Operating Margin (Overall)]] ) + 1</f>
        <v>18</v>
      </c>
      <c r="AB1007" s="30" cm="1">
        <f t="array" ref="AB1007" xml:space="preserve"> INDEX( VfM_Metrics_2023_Consol_Source[], $AK1007, AB$832 )</f>
        <v>4.4726348618412327E-2</v>
      </c>
      <c r="AC1007" s="35">
        <f xml:space="preserve"> IF( tblFilterAll[[#This Row],[ROCE]] &lt; AB$825, 4, IF( tblFilterAll[[#This Row],[ROCE]] &lt; AB$826, 3, IF( tblFilterAll[[#This Row],[ROCE]] &lt; AB$827, 2, 1 ) ) )</f>
        <v>1</v>
      </c>
      <c r="AD1007" s="35">
        <f xml:space="preserve"> COUNTIFS( tblFilterAll[Include in output], 1, tblFilterAll[ROCE], "&gt;" &amp; tblFilterAll[[#This Row],[ROCE]] ) + 1</f>
        <v>17</v>
      </c>
      <c r="AE1007" s="33" cm="1" vm="3993">
        <f t="array" ref="AE1007" xml:space="preserve"> INDEX( VfM_Metrics_2023_Consol_Source[], $AK1007, AE$832 )</f>
        <v>4831</v>
      </c>
      <c r="AF1007" s="30" cm="1">
        <f t="array" ref="AF1007" xml:space="preserve"> INDEX( VfM_Metrics_2023_Consol_Source[], $AK1007, AF$832 )</f>
        <v>0</v>
      </c>
      <c r="AG1007" s="30" cm="1">
        <f t="array" ref="AG1007" xml:space="preserve"> INDEX( VfM_Metrics_2023_Consol_Source[], $AK1007, AG$832 )</f>
        <v>0.12084656084656084</v>
      </c>
      <c r="AH1007" s="30" cm="1">
        <f t="array" ref="AH1007" xml:space="preserve"> INDEX( VfM_Metrics_2023_Consol_Source[], $AK1007, AH$832 )</f>
        <v>0.12084656084656084</v>
      </c>
      <c r="AI1007" s="30" t="str" cm="1">
        <f t="array" ref="AI1007" xml:space="preserve"> INDEX( VfM_Metrics_2023_Consol_Source[], $AK1007, AI$832 )</f>
        <v>Traditional</v>
      </c>
      <c r="AJ1007" s="34" t="str" cm="1">
        <f t="array" ref="AJ1007" xml:space="preserve"> INDEX( VfM_Metrics_2023_Consol_Source[], $AK1007, AJ$832 )</f>
        <v>East of England</v>
      </c>
      <c r="AK1007" s="81">
        <f xml:space="preserve"> MATCH( tblFilterAll[[#This Row],[Code]], VfM_Metrics_2023_Consol_Source[RP_Code], 0 )</f>
        <v>174</v>
      </c>
      <c r="AL1007" s="24">
        <f xml:space="preserve"> INDEX( tblFilterRegion[Include for region],  MATCH( tblFilterAll[[#This Row],[Code]], tblFilterRegion[RP_Code], 0 ) )</f>
        <v>1</v>
      </c>
      <c r="AM1007" s="24">
        <f xml:space="preserve"> INDEX( tblFilterPropType[Incl for prop type],  MATCH( tblFilterAll[[#This Row],[Code]], tblFilterPropType[RP_Code], 0 ) )</f>
        <v>1</v>
      </c>
      <c r="AN1007" s="24">
        <f xml:space="preserve"> INDEX( tblFilterSize[Incl for size],  MATCH( tblFilterAll[[#This Row],[Code]], tblFilterSize[RP_Code], 0 ) )</f>
        <v>1</v>
      </c>
      <c r="AO1007" s="24">
        <f xml:space="preserve"> INDEX( tblFilterRP_Type[Incl, for RP Type],  MATCH( tblFilterAll[[#This Row],[Code]], tblFilterRP_Type[RP_Code], 0 ) )</f>
        <v>1</v>
      </c>
      <c r="AP1007" s="24">
        <f xml:space="preserve">  -- ( SUM( tblFilterAll[[#This Row],[Filter Region]:[Filter RP Type]] ) = 4 )</f>
        <v>1</v>
      </c>
      <c r="AQ1007" s="24">
        <f xml:space="preserve"> -- ( tblFilterAll[[#This Row],[Provider name]] = SelectedProvider )</f>
        <v>0</v>
      </c>
      <c r="AR1007" s="24">
        <f xml:space="preserve">  -- ( OR( SUM( tblFilterAll[[#This Row],[Filter Region]:[Filter RP Type]] ) = 4, tblFilterAll[[#This Row],[SelectedProvider]] = 1 ) )</f>
        <v>1</v>
      </c>
      <c r="AS1007" s="24">
        <f xml:space="preserve"> -- ( INDEX( PeersCritera[Included in final peers], MATCH( tblFilterAll[[#This Row],[Provider name]], PeersCritera[RP_Name], 0 ) ) = 1 )</f>
        <v>1</v>
      </c>
      <c r="AT1007" s="30" t="str" cm="1">
        <f t="array" ref="AT1007" xml:space="preserve"> SUBSTITUTE( INDEX( VfM_Metrics_2023_Consol_Source[], $AK1007, AT$832 ), 0, "" )</f>
        <v>&gt;= 12 years</v>
      </c>
      <c r="AU1007" s="34" cm="1">
        <f t="array" ref="AU1007" xml:space="preserve"> INDEX( VfM_Metrics_2023_Consol_Source[], $AK1007, AU$832 )</f>
        <v>0</v>
      </c>
      <c r="AV1007" s="34" cm="1">
        <f t="array" ref="AV1007" xml:space="preserve"> INDEX( VfM_Metrics_2023_Consol_Source[], $AK1007, AV$832 )</f>
        <v>0.14179258952597806</v>
      </c>
      <c r="AW1007" s="34" cm="1">
        <f t="array" ref="AW1007" xml:space="preserve"> INDEX( VfM_Metrics_2023_Consol_Source[], $AK1007, AW$832 )</f>
        <v>0</v>
      </c>
      <c r="AX1007" s="34" cm="1">
        <f t="array" ref="AX1007" xml:space="preserve"> INDEX( VfM_Metrics_2023_Consol_Source[], $AK1007, AX$832 )</f>
        <v>2.0699648105982198E-4</v>
      </c>
      <c r="AY1007" s="34" cm="1">
        <f t="array" ref="AY1007" xml:space="preserve"> INDEX( VfM_Metrics_2023_Consol_Source[], $AK1007, AY$832 )</f>
        <v>0</v>
      </c>
      <c r="AZ1007" s="34" cm="1">
        <f t="array" ref="AZ1007" xml:space="preserve"> INDEX( VfM_Metrics_2023_Consol_Source[], $AK1007, AZ$832 )</f>
        <v>0.85800041399296212</v>
      </c>
      <c r="BA1007" s="34" cm="1">
        <f t="array" ref="BA1007" xml:space="preserve"> INDEX( VfM_Metrics_2023_Consol_Source[], $AK1007, BA$832 )</f>
        <v>0</v>
      </c>
      <c r="BB1007" s="34" cm="1">
        <f t="array" ref="BB1007" xml:space="preserve"> INDEX( VfM_Metrics_2023_Consol_Source[], $AK1007, BB$832 )</f>
        <v>0</v>
      </c>
      <c r="BC1007" s="34" cm="1">
        <f t="array" ref="BC1007" xml:space="preserve"> INDEX( VfM_Metrics_2023_Consol_Source[], $AK1007, BC$832 )</f>
        <v>0</v>
      </c>
    </row>
    <row r="1008" spans="2:55" x14ac:dyDescent="0.2">
      <c r="B1008" s="122" t="str" vm="175">
        <f t="shared" ref="B1008" si="514" xml:space="preserve"> B798</f>
        <v>Together Housing Group Limited</v>
      </c>
      <c r="C1008" s="122" t="str" vm="249">
        <f t="shared" si="500"/>
        <v>L4464</v>
      </c>
      <c r="D1008" s="30" cm="1">
        <f t="array" ref="D1008" xml:space="preserve"> INDEX( VfM_Metrics_2023_Consol_Source[], $AK1008, D$832 )</f>
        <v>9.6325366597328571E-2</v>
      </c>
      <c r="E1008" s="35">
        <f xml:space="preserve"> IF( tblFilterAll[[#This Row],[Reinvestment]] &lt; D$825, 4, IF( tblFilterAll[[#This Row],[Reinvestment]] &lt; D$826, 3, IF( tblFilterAll[[#This Row],[Reinvestment]] &lt; D$827, 2, 1 ) ) )</f>
        <v>1</v>
      </c>
      <c r="F1008" s="35">
        <f xml:space="preserve"> COUNTIFS( tblFilterAll[Include in output], 1, tblFilterAll[Reinvestment], "&gt;" &amp; tblFilterAll[[#This Row],[Reinvestment]] ) + 1</f>
        <v>46</v>
      </c>
      <c r="G1008" s="30" cm="1">
        <f t="array" ref="G1008" xml:space="preserve"> INDEX( VfM_Metrics_2023_Consol_Source[], $AK1008, G$832 )</f>
        <v>9.2021276595744689E-3</v>
      </c>
      <c r="H1008" s="35">
        <f xml:space="preserve"> IF( tblFilterAll[[#This Row],[New Supply (Social)]] &lt; G$825, 4, IF( tblFilterAll[[#This Row],[New Supply (Social)]] &lt; G$826, 3, IF( tblFilterAll[[#This Row],[New Supply (Social)]] &lt; G$827, 2, 1 ) ) )</f>
        <v>3</v>
      </c>
      <c r="I1008" s="35">
        <f xml:space="preserve"> COUNTIFS( tblFilterAll[Include in output], 1, tblFilterAll[New Supply (Social)], "&gt;" &amp; tblFilterAll[[#This Row],[New Supply (Social)]] ) + 1</f>
        <v>130</v>
      </c>
      <c r="J1008" s="31" cm="1">
        <f t="array" ref="J1008" xml:space="preserve"> INDEX( VfM_Metrics_2023_Consol_Source[], $AK1008, J$832 )</f>
        <v>7.2916120232911922E-3</v>
      </c>
      <c r="K1008" s="35">
        <f xml:space="preserve"> IF( tblFilterAll[[#This Row],[New Supply (Non-Social)]] &lt; J$825, 4, IF( tblFilterAll[[#This Row],[New Supply (Non-Social)]] &lt; J$826, 3, IF( tblFilterAll[[#This Row],[New Supply (Non-Social)]] &lt; J$827, 2, 1 ) ) )</f>
        <v>1</v>
      </c>
      <c r="L1008" s="35">
        <f xml:space="preserve"> COUNTIFS( tblFilterAll[Include in output], 1, tblFilterAll[New Supply (Non-Social)], "&gt;" &amp; tblFilterAll[[#This Row],[New Supply (Non-Social)]] ) + 1</f>
        <v>13</v>
      </c>
      <c r="M1008" s="30" cm="1">
        <f t="array" ref="M1008" xml:space="preserve"> INDEX( VfM_Metrics_2023_Consol_Source[], $AK1008, M$832 )</f>
        <v>0.52188523029909129</v>
      </c>
      <c r="N1008" s="35">
        <f xml:space="preserve"> IF( tblFilterAll[[#This Row],[Gearing]] &lt; M$825, 4, IF( tblFilterAll[[#This Row],[Gearing]] &lt; M$826, 3, IF( tblFilterAll[[#This Row],[Gearing]] &lt; M$827, 2, 1 ) ) )</f>
        <v>2</v>
      </c>
      <c r="O1008" s="35">
        <f xml:space="preserve"> COUNTIFS( tblFilterAll[Include in output], 1, tblFilterAll[Gearing], "&gt;" &amp; tblFilterAll[[#This Row],[Gearing]] ) + 1</f>
        <v>59</v>
      </c>
      <c r="P1008" s="30" cm="1">
        <f t="array" ref="P1008" xml:space="preserve"> INDEX( VfM_Metrics_2023_Consol_Source[], $AK1008, P$832 )</f>
        <v>8.3289577316881067E-2</v>
      </c>
      <c r="Q1008" s="35">
        <f xml:space="preserve"> IF( tblFilterAll[[#This Row],[EBITDA MRI Interest Cover]] &lt; P$825, 4, IF( tblFilterAll[[#This Row],[EBITDA MRI Interest Cover]] &lt; P$826, 3, IF( tblFilterAll[[#This Row],[EBITDA MRI Interest Cover]] &lt; P$827, 2, 1 ) ) )</f>
        <v>4</v>
      </c>
      <c r="R1008" s="35">
        <f xml:space="preserve"> COUNTIFS( tblFilterAll[Include in output], 1, tblFilterAll[EBITDA MRI Interest Cover], "&gt;" &amp; tblFilterAll[[#This Row],[EBITDA MRI Interest Cover]] ) + 1</f>
        <v>183</v>
      </c>
      <c r="S1008" s="32" cm="1">
        <f t="array" ref="S1008" xml:space="preserve"> INDEX( VfM_Metrics_2023_Consol_Source[], $AK1008, S$832 )</f>
        <v>5063.9894561299698</v>
      </c>
      <c r="T1008" s="35">
        <f xml:space="preserve"> IF( tblFilterAll[[#This Row],[Headline Social Housing Cost per unit]] &lt; S$825, 4, IF( tblFilterAll[[#This Row],[Headline Social Housing Cost per unit]] &lt; S$826, 3, IF( tblFilterAll[[#This Row],[Headline Social Housing Cost per unit]] &lt; S$827, 2, 1 ) ) )</f>
        <v>2</v>
      </c>
      <c r="U1008" s="35">
        <f xml:space="preserve"> COUNTIFS( tblFilterAll[Include in output], 1, tblFilterAll[Headline Social Housing Cost per unit], "&gt;" &amp; tblFilterAll[[#This Row],[Headline Social Housing Cost per unit]] ) + 1</f>
        <v>73</v>
      </c>
      <c r="V1008" s="30" cm="1">
        <f t="array" ref="V1008" xml:space="preserve"> INDEX( VfM_Metrics_2023_Consol_Source[], $AK1008, V$832 )</f>
        <v>0.1425811855743534</v>
      </c>
      <c r="W1008" s="35">
        <f xml:space="preserve"> IF( tblFilterAll[[#This Row],[Operating Margin (SHL)]] &lt; V$825, 4, IF( tblFilterAll[[#This Row],[Operating Margin (SHL)]] &lt; V$826, 3, IF( tblFilterAll[[#This Row],[Operating Margin (SHL)]] &lt; V$827, 2, 1 ) ) )</f>
        <v>4</v>
      </c>
      <c r="X1008" s="35">
        <f xml:space="preserve"> COUNTIFS( tblFilterAll[Include in output], 1, tblFilterAll[Operating Margin (SHL)], "&gt;" &amp; tblFilterAll[[#This Row],[Operating Margin (SHL)]] ) + 1</f>
        <v>151</v>
      </c>
      <c r="Y1008" s="30" cm="1">
        <f t="array" ref="Y1008" xml:space="preserve"> INDEX( VfM_Metrics_2023_Consol_Source[], $AK1008, Y$832 )</f>
        <v>7.9430707605047432E-2</v>
      </c>
      <c r="Z1008" s="35">
        <f xml:space="preserve"> IF( tblFilterAll[[#This Row],[Operating Margin (Overall)]] &lt; Y$825, 4, IF( tblFilterAll[[#This Row],[Operating Margin (Overall)]] &lt; Y$826, 3, IF( tblFilterAll[[#This Row],[Operating Margin (Overall)]] &lt; Y$827, 2, 1 ) ) )</f>
        <v>4</v>
      </c>
      <c r="AA1008" s="35">
        <f xml:space="preserve"> COUNTIFS( tblFilterAll[Include in output], 1, tblFilterAll[Operating Margin (Overall)], "&gt;" &amp; tblFilterAll[[#This Row],[Operating Margin (Overall)]] ) + 1</f>
        <v>171</v>
      </c>
      <c r="AB1008" s="30" cm="1">
        <f t="array" ref="AB1008" xml:space="preserve"> INDEX( VfM_Metrics_2023_Consol_Source[], $AK1008, AB$832 )</f>
        <v>2.2575447037976301E-2</v>
      </c>
      <c r="AC1008" s="35">
        <f xml:space="preserve"> IF( tblFilterAll[[#This Row],[ROCE]] &lt; AB$825, 4, IF( tblFilterAll[[#This Row],[ROCE]] &lt; AB$826, 3, IF( tblFilterAll[[#This Row],[ROCE]] &lt; AB$827, 2, 1 ) ) )</f>
        <v>3</v>
      </c>
      <c r="AD1008" s="35">
        <f xml:space="preserve"> COUNTIFS( tblFilterAll[Include in output], 1, tblFilterAll[ROCE], "&gt;" &amp; tblFilterAll[[#This Row],[ROCE]] ) + 1</f>
        <v>140</v>
      </c>
      <c r="AE1008" s="33" cm="1" vm="1894">
        <f t="array" ref="AE1008" xml:space="preserve"> INDEX( VfM_Metrics_2023_Consol_Source[], $AK1008, AE$832 )</f>
        <v>35968</v>
      </c>
      <c r="AF1008" s="30" cm="1">
        <f t="array" ref="AF1008" xml:space="preserve"> INDEX( VfM_Metrics_2023_Consol_Source[], $AK1008, AF$832 )</f>
        <v>1.2511843058574374E-2</v>
      </c>
      <c r="AG1008" s="30" cm="1">
        <f t="array" ref="AG1008" xml:space="preserve"> INDEX( VfM_Metrics_2023_Consol_Source[], $AK1008, AG$832 )</f>
        <v>1.3710081926099314E-2</v>
      </c>
      <c r="AH1008" s="30" cm="1">
        <f t="array" ref="AH1008" xml:space="preserve"> INDEX( VfM_Metrics_2023_Consol_Source[], $AK1008, AH$832 )</f>
        <v>2.622192498467369E-2</v>
      </c>
      <c r="AI1008" s="30" t="str" cm="1">
        <f t="array" ref="AI1008" xml:space="preserve"> INDEX( VfM_Metrics_2023_Consol_Source[], $AK1008, AI$832 )</f>
        <v>Traditional</v>
      </c>
      <c r="AJ1008" s="34" t="str" cm="1">
        <f t="array" ref="AJ1008" xml:space="preserve"> INDEX( VfM_Metrics_2023_Consol_Source[], $AK1008, AJ$832 )</f>
        <v>Yorkshire &amp; the Humber</v>
      </c>
      <c r="AK1008" s="81">
        <f xml:space="preserve"> MATCH( tblFilterAll[[#This Row],[Code]], VfM_Metrics_2023_Consol_Source[RP_Code], 0 )</f>
        <v>175</v>
      </c>
      <c r="AL1008" s="24">
        <f xml:space="preserve"> INDEX( tblFilterRegion[Include for region],  MATCH( tblFilterAll[[#This Row],[Code]], tblFilterRegion[RP_Code], 0 ) )</f>
        <v>1</v>
      </c>
      <c r="AM1008" s="24">
        <f xml:space="preserve"> INDEX( tblFilterPropType[Incl for prop type],  MATCH( tblFilterAll[[#This Row],[Code]], tblFilterPropType[RP_Code], 0 ) )</f>
        <v>1</v>
      </c>
      <c r="AN1008" s="24">
        <f xml:space="preserve"> INDEX( tblFilterSize[Incl for size],  MATCH( tblFilterAll[[#This Row],[Code]], tblFilterSize[RP_Code], 0 ) )</f>
        <v>1</v>
      </c>
      <c r="AO1008" s="24">
        <f xml:space="preserve"> INDEX( tblFilterRP_Type[Incl, for RP Type],  MATCH( tblFilterAll[[#This Row],[Code]], tblFilterRP_Type[RP_Code], 0 ) )</f>
        <v>1</v>
      </c>
      <c r="AP1008" s="24">
        <f xml:space="preserve">  -- ( SUM( tblFilterAll[[#This Row],[Filter Region]:[Filter RP Type]] ) = 4 )</f>
        <v>1</v>
      </c>
      <c r="AQ1008" s="24">
        <f xml:space="preserve"> -- ( tblFilterAll[[#This Row],[Provider name]] = SelectedProvider )</f>
        <v>0</v>
      </c>
      <c r="AR1008" s="24">
        <f xml:space="preserve">  -- ( OR( SUM( tblFilterAll[[#This Row],[Filter Region]:[Filter RP Type]] ) = 4, tblFilterAll[[#This Row],[SelectedProvider]] = 1 ) )</f>
        <v>1</v>
      </c>
      <c r="AS1008" s="24">
        <f xml:space="preserve"> -- ( INDEX( PeersCritera[Included in final peers], MATCH( tblFilterAll[[#This Row],[Provider name]], PeersCritera[RP_Name], 0 ) ) = 1 )</f>
        <v>1</v>
      </c>
      <c r="AT1008" s="30" t="str" cm="1">
        <f t="array" ref="AT1008" xml:space="preserve"> SUBSTITUTE( INDEX( VfM_Metrics_2023_Consol_Source[], $AK1008, AT$832 ), 0, "" )</f>
        <v>&gt;= 12 years</v>
      </c>
      <c r="AU1008" s="34" cm="1">
        <f t="array" ref="AU1008" xml:space="preserve"> INDEX( VfM_Metrics_2023_Consol_Source[], $AK1008, AU$832 )</f>
        <v>0</v>
      </c>
      <c r="AV1008" s="34" cm="1">
        <f t="array" ref="AV1008" xml:space="preserve"> INDEX( VfM_Metrics_2023_Consol_Source[], $AK1008, AV$832 )</f>
        <v>0</v>
      </c>
      <c r="AW1008" s="34" cm="1">
        <f t="array" ref="AW1008" xml:space="preserve"> INDEX( VfM_Metrics_2023_Consol_Source[], $AK1008, AW$832 )</f>
        <v>0</v>
      </c>
      <c r="AX1008" s="34" cm="1">
        <f t="array" ref="AX1008" xml:space="preserve"> INDEX( VfM_Metrics_2023_Consol_Source[], $AK1008, AX$832 )</f>
        <v>9.0120160213618163E-3</v>
      </c>
      <c r="AY1008" s="34" cm="1">
        <f t="array" ref="AY1008" xml:space="preserve"> INDEX( VfM_Metrics_2023_Consol_Source[], $AK1008, AY$832 )</f>
        <v>0</v>
      </c>
      <c r="AZ1008" s="34" cm="1">
        <f t="array" ref="AZ1008" xml:space="preserve"> INDEX( VfM_Metrics_2023_Consol_Source[], $AK1008, AZ$832 )</f>
        <v>0</v>
      </c>
      <c r="BA1008" s="34" cm="1">
        <f t="array" ref="BA1008" xml:space="preserve"> INDEX( VfM_Metrics_2023_Consol_Source[], $AK1008, BA$832 )</f>
        <v>0</v>
      </c>
      <c r="BB1008" s="34" cm="1">
        <f t="array" ref="BB1008" xml:space="preserve"> INDEX( VfM_Metrics_2023_Consol_Source[], $AK1008, BB$832 )</f>
        <v>0.41722296395193592</v>
      </c>
      <c r="BC1008" s="34" cm="1">
        <f t="array" ref="BC1008" xml:space="preserve"> INDEX( VfM_Metrics_2023_Consol_Source[], $AK1008, BC$832 )</f>
        <v>0.57376502002670227</v>
      </c>
    </row>
    <row r="1009" spans="2:55" x14ac:dyDescent="0.2">
      <c r="B1009" s="122" t="str" vm="176">
        <f t="shared" ref="B1009" si="515" xml:space="preserve"> B799</f>
        <v>Torus62 Limited</v>
      </c>
      <c r="C1009" s="122" t="str" vm="259">
        <f t="shared" si="500"/>
        <v>5065</v>
      </c>
      <c r="D1009" s="30" cm="1">
        <f t="array" ref="D1009" xml:space="preserve"> INDEX( VfM_Metrics_2023_Consol_Source[], $AK1009, D$832 )</f>
        <v>0.13346463819333707</v>
      </c>
      <c r="E1009" s="35">
        <f xml:space="preserve"> IF( tblFilterAll[[#This Row],[Reinvestment]] &lt; D$825, 4, IF( tblFilterAll[[#This Row],[Reinvestment]] &lt; D$826, 3, IF( tblFilterAll[[#This Row],[Reinvestment]] &lt; D$827, 2, 1 ) ) )</f>
        <v>1</v>
      </c>
      <c r="F1009" s="35">
        <f xml:space="preserve"> COUNTIFS( tblFilterAll[Include in output], 1, tblFilterAll[Reinvestment], "&gt;" &amp; tblFilterAll[[#This Row],[Reinvestment]] ) + 1</f>
        <v>13</v>
      </c>
      <c r="G1009" s="30" cm="1">
        <f t="array" ref="G1009" xml:space="preserve"> INDEX( VfM_Metrics_2023_Consol_Source[], $AK1009, G$832 )</f>
        <v>1.7145165770269928E-2</v>
      </c>
      <c r="H1009" s="35">
        <f xml:space="preserve"> IF( tblFilterAll[[#This Row],[New Supply (Social)]] &lt; G$825, 4, IF( tblFilterAll[[#This Row],[New Supply (Social)]] &lt; G$826, 3, IF( tblFilterAll[[#This Row],[New Supply (Social)]] &lt; G$827, 2, 1 ) ) )</f>
        <v>2</v>
      </c>
      <c r="I1009" s="35">
        <f xml:space="preserve"> COUNTIFS( tblFilterAll[Include in output], 1, tblFilterAll[New Supply (Social)], "&gt;" &amp; tblFilterAll[[#This Row],[New Supply (Social)]] ) + 1</f>
        <v>73</v>
      </c>
      <c r="J1009" s="31" cm="1">
        <f t="array" ref="J1009" xml:space="preserve"> INDEX( VfM_Metrics_2023_Consol_Source[], $AK1009, J$832 )</f>
        <v>0</v>
      </c>
      <c r="K1009" s="35">
        <f xml:space="preserve"> IF( tblFilterAll[[#This Row],[New Supply (Non-Social)]] &lt; J$825, 4, IF( tblFilterAll[[#This Row],[New Supply (Non-Social)]] &lt; J$826, 3, IF( tblFilterAll[[#This Row],[New Supply (Non-Social)]] &lt; J$827, 2, 1 ) ) )</f>
        <v>2</v>
      </c>
      <c r="L1009" s="35">
        <f xml:space="preserve"> COUNTIFS( tblFilterAll[Include in output], 1, tblFilterAll[New Supply (Non-Social)], "&gt;" &amp; tblFilterAll[[#This Row],[New Supply (Non-Social)]] ) + 1</f>
        <v>72</v>
      </c>
      <c r="M1009" s="30" cm="1">
        <f t="array" ref="M1009" xml:space="preserve"> INDEX( VfM_Metrics_2023_Consol_Source[], $AK1009, M$832 )</f>
        <v>0.39006852562168687</v>
      </c>
      <c r="N1009" s="35">
        <f xml:space="preserve"> IF( tblFilterAll[[#This Row],[Gearing]] &lt; M$825, 4, IF( tblFilterAll[[#This Row],[Gearing]] &lt; M$826, 3, IF( tblFilterAll[[#This Row],[Gearing]] &lt; M$827, 2, 1 ) ) )</f>
        <v>3</v>
      </c>
      <c r="O1009" s="35">
        <f xml:space="preserve"> COUNTIFS( tblFilterAll[Include in output], 1, tblFilterAll[Gearing], "&gt;" &amp; tblFilterAll[[#This Row],[Gearing]] ) + 1</f>
        <v>132</v>
      </c>
      <c r="P1009" s="30" cm="1">
        <f t="array" ref="P1009" xml:space="preserve"> INDEX( VfM_Metrics_2023_Consol_Source[], $AK1009, P$832 )</f>
        <v>2.1211325812576791</v>
      </c>
      <c r="Q1009" s="35">
        <f xml:space="preserve"> IF( tblFilterAll[[#This Row],[EBITDA MRI Interest Cover]] &lt; P$825, 4, IF( tblFilterAll[[#This Row],[EBITDA MRI Interest Cover]] &lt; P$826, 3, IF( tblFilterAll[[#This Row],[EBITDA MRI Interest Cover]] &lt; P$827, 2, 1 ) ) )</f>
        <v>1</v>
      </c>
      <c r="R1009" s="35">
        <f xml:space="preserve"> COUNTIFS( tblFilterAll[Include in output], 1, tblFilterAll[EBITDA MRI Interest Cover], "&gt;" &amp; tblFilterAll[[#This Row],[EBITDA MRI Interest Cover]] ) + 1</f>
        <v>26</v>
      </c>
      <c r="S1009" s="32" cm="1">
        <f t="array" ref="S1009" xml:space="preserve"> INDEX( VfM_Metrics_2023_Consol_Source[], $AK1009, S$832 )</f>
        <v>4042.1655656482249</v>
      </c>
      <c r="T1009" s="35">
        <f xml:space="preserve"> IF( tblFilterAll[[#This Row],[Headline Social Housing Cost per unit]] &lt; S$825, 4, IF( tblFilterAll[[#This Row],[Headline Social Housing Cost per unit]] &lt; S$826, 3, IF( tblFilterAll[[#This Row],[Headline Social Housing Cost per unit]] &lt; S$827, 2, 1 ) ) )</f>
        <v>4</v>
      </c>
      <c r="U1009" s="35">
        <f xml:space="preserve"> COUNTIFS( tblFilterAll[Include in output], 1, tblFilterAll[Headline Social Housing Cost per unit], "&gt;" &amp; tblFilterAll[[#This Row],[Headline Social Housing Cost per unit]] ) + 1</f>
        <v>156</v>
      </c>
      <c r="V1009" s="30" cm="1">
        <f t="array" ref="V1009" xml:space="preserve"> INDEX( VfM_Metrics_2023_Consol_Source[], $AK1009, V$832 )</f>
        <v>0.20481769878116518</v>
      </c>
      <c r="W1009" s="35">
        <f xml:space="preserve"> IF( tblFilterAll[[#This Row],[Operating Margin (SHL)]] &lt; V$825, 4, IF( tblFilterAll[[#This Row],[Operating Margin (SHL)]] &lt; V$826, 3, IF( tblFilterAll[[#This Row],[Operating Margin (SHL)]] &lt; V$827, 2, 1 ) ) )</f>
        <v>2</v>
      </c>
      <c r="X1009" s="35">
        <f xml:space="preserve"> COUNTIFS( tblFilterAll[Include in output], 1, tblFilterAll[Operating Margin (SHL)], "&gt;" &amp; tblFilterAll[[#This Row],[Operating Margin (SHL)]] ) + 1</f>
        <v>91</v>
      </c>
      <c r="Y1009" s="30" cm="1">
        <f t="array" ref="Y1009" xml:space="preserve"> INDEX( VfM_Metrics_2023_Consol_Source[], $AK1009, Y$832 )</f>
        <v>0.1693533796098125</v>
      </c>
      <c r="Z1009" s="35">
        <f xml:space="preserve"> IF( tblFilterAll[[#This Row],[Operating Margin (Overall)]] &lt; Y$825, 4, IF( tblFilterAll[[#This Row],[Operating Margin (Overall)]] &lt; Y$826, 3, IF( tblFilterAll[[#This Row],[Operating Margin (Overall)]] &lt; Y$827, 2, 1 ) ) )</f>
        <v>3</v>
      </c>
      <c r="AA1009" s="35">
        <f xml:space="preserve"> COUNTIFS( tblFilterAll[Include in output], 1, tblFilterAll[Operating Margin (Overall)], "&gt;" &amp; tblFilterAll[[#This Row],[Operating Margin (Overall)]] ) + 1</f>
        <v>109</v>
      </c>
      <c r="AB1009" s="30" cm="1">
        <f t="array" ref="AB1009" xml:space="preserve"> INDEX( VfM_Metrics_2023_Consol_Source[], $AK1009, AB$832 )</f>
        <v>3.2282201159256008E-2</v>
      </c>
      <c r="AC1009" s="35">
        <f xml:space="preserve"> IF( tblFilterAll[[#This Row],[ROCE]] &lt; AB$825, 4, IF( tblFilterAll[[#This Row],[ROCE]] &lt; AB$826, 3, IF( tblFilterAll[[#This Row],[ROCE]] &lt; AB$827, 2, 1 ) ) )</f>
        <v>2</v>
      </c>
      <c r="AD1009" s="35">
        <f xml:space="preserve"> COUNTIFS( tblFilterAll[Include in output], 1, tblFilterAll[ROCE], "&gt;" &amp; tblFilterAll[[#This Row],[ROCE]] ) + 1</f>
        <v>70</v>
      </c>
      <c r="AE1009" s="33" cm="1" vm="2007">
        <f t="array" ref="AE1009" xml:space="preserve"> INDEX( VfM_Metrics_2023_Consol_Source[], $AK1009, AE$832 )</f>
        <v>38674</v>
      </c>
      <c r="AF1009" s="30" cm="1">
        <f t="array" ref="AF1009" xml:space="preserve"> INDEX( VfM_Metrics_2023_Consol_Source[], $AK1009, AF$832 )</f>
        <v>4.1829046505585865E-3</v>
      </c>
      <c r="AG1009" s="30" cm="1">
        <f t="array" ref="AG1009" xml:space="preserve"> INDEX( VfM_Metrics_2023_Consol_Source[], $AK1009, AG$832 )</f>
        <v>8.791893998441154E-2</v>
      </c>
      <c r="AH1009" s="30" cm="1">
        <f t="array" ref="AH1009" xml:space="preserve"> INDEX( VfM_Metrics_2023_Consol_Source[], $AK1009, AH$832 )</f>
        <v>9.210184463497012E-2</v>
      </c>
      <c r="AI1009" s="30" t="str" cm="1">
        <f t="array" ref="AI1009" xml:space="preserve"> INDEX( VfM_Metrics_2023_Consol_Source[], $AK1009, AI$832 )</f>
        <v>Traditional</v>
      </c>
      <c r="AJ1009" s="34" t="str" cm="1">
        <f t="array" ref="AJ1009" xml:space="preserve"> INDEX( VfM_Metrics_2023_Consol_Source[], $AK1009, AJ$832 )</f>
        <v>North West</v>
      </c>
      <c r="AK1009" s="81">
        <f xml:space="preserve"> MATCH( tblFilterAll[[#This Row],[Code]], VfM_Metrics_2023_Consol_Source[RP_Code], 0 )</f>
        <v>176</v>
      </c>
      <c r="AL1009" s="24">
        <f xml:space="preserve"> INDEX( tblFilterRegion[Include for region],  MATCH( tblFilterAll[[#This Row],[Code]], tblFilterRegion[RP_Code], 0 ) )</f>
        <v>1</v>
      </c>
      <c r="AM1009" s="24">
        <f xml:space="preserve"> INDEX( tblFilterPropType[Incl for prop type],  MATCH( tblFilterAll[[#This Row],[Code]], tblFilterPropType[RP_Code], 0 ) )</f>
        <v>1</v>
      </c>
      <c r="AN1009" s="24">
        <f xml:space="preserve"> INDEX( tblFilterSize[Incl for size],  MATCH( tblFilterAll[[#This Row],[Code]], tblFilterSize[RP_Code], 0 ) )</f>
        <v>1</v>
      </c>
      <c r="AO1009" s="24">
        <f xml:space="preserve"> INDEX( tblFilterRP_Type[Incl, for RP Type],  MATCH( tblFilterAll[[#This Row],[Code]], tblFilterRP_Type[RP_Code], 0 ) )</f>
        <v>1</v>
      </c>
      <c r="AP1009" s="24">
        <f xml:space="preserve">  -- ( SUM( tblFilterAll[[#This Row],[Filter Region]:[Filter RP Type]] ) = 4 )</f>
        <v>1</v>
      </c>
      <c r="AQ1009" s="24">
        <f xml:space="preserve"> -- ( tblFilterAll[[#This Row],[Provider name]] = SelectedProvider )</f>
        <v>0</v>
      </c>
      <c r="AR1009" s="24">
        <f xml:space="preserve">  -- ( OR( SUM( tblFilterAll[[#This Row],[Filter Region]:[Filter RP Type]] ) = 4, tblFilterAll[[#This Row],[SelectedProvider]] = 1 ) )</f>
        <v>1</v>
      </c>
      <c r="AS1009" s="24">
        <f xml:space="preserve"> -- ( INDEX( PeersCritera[Included in final peers], MATCH( tblFilterAll[[#This Row],[Provider name]], PeersCritera[RP_Name], 0 ) ) = 1 )</f>
        <v>1</v>
      </c>
      <c r="AT1009" s="30" t="str" cm="1">
        <f t="array" ref="AT1009" xml:space="preserve"> SUBSTITUTE( INDEX( VfM_Metrics_2023_Consol_Source[], $AK1009, AT$832 ), 0, "" )</f>
        <v>&gt;= 12 years</v>
      </c>
      <c r="AU1009" s="34" cm="1">
        <f t="array" ref="AU1009" xml:space="preserve"> INDEX( VfM_Metrics_2023_Consol_Source[], $AK1009, AU$832 )</f>
        <v>0</v>
      </c>
      <c r="AV1009" s="34" cm="1">
        <f t="array" ref="AV1009" xml:space="preserve"> INDEX( VfM_Metrics_2023_Consol_Source[], $AK1009, AV$832 )</f>
        <v>0</v>
      </c>
      <c r="AW1009" s="34" cm="1">
        <f t="array" ref="AW1009" xml:space="preserve"> INDEX( VfM_Metrics_2023_Consol_Source[], $AK1009, AW$832 )</f>
        <v>0</v>
      </c>
      <c r="AX1009" s="34" cm="1">
        <f t="array" ref="AX1009" xml:space="preserve"> INDEX( VfM_Metrics_2023_Consol_Source[], $AK1009, AX$832 )</f>
        <v>0</v>
      </c>
      <c r="AY1009" s="34" cm="1">
        <f t="array" ref="AY1009" xml:space="preserve"> INDEX( VfM_Metrics_2023_Consol_Source[], $AK1009, AY$832 )</f>
        <v>0</v>
      </c>
      <c r="AZ1009" s="34" cm="1">
        <f t="array" ref="AZ1009" xml:space="preserve"> INDEX( VfM_Metrics_2023_Consol_Source[], $AK1009, AZ$832 )</f>
        <v>0</v>
      </c>
      <c r="BA1009" s="34" cm="1">
        <f t="array" ref="BA1009" xml:space="preserve"> INDEX( VfM_Metrics_2023_Consol_Source[], $AK1009, BA$832 )</f>
        <v>0</v>
      </c>
      <c r="BB1009" s="34" cm="1">
        <f t="array" ref="BB1009" xml:space="preserve"> INDEX( VfM_Metrics_2023_Consol_Source[], $AK1009, BB$832 )</f>
        <v>1</v>
      </c>
      <c r="BC1009" s="34" cm="1">
        <f t="array" ref="BC1009" xml:space="preserve"> INDEX( VfM_Metrics_2023_Consol_Source[], $AK1009, BC$832 )</f>
        <v>0</v>
      </c>
    </row>
    <row r="1010" spans="2:55" x14ac:dyDescent="0.2">
      <c r="B1010" s="122" t="str" vm="177">
        <f t="shared" ref="B1010" si="516" xml:space="preserve"> B800</f>
        <v>Tower Hamlets Community Housing</v>
      </c>
      <c r="C1010" s="122" t="str" vm="203">
        <f t="shared" si="500"/>
        <v>L4260</v>
      </c>
      <c r="D1010" s="30" cm="1">
        <f t="array" ref="D1010" xml:space="preserve"> INDEX( VfM_Metrics_2023_Consol_Source[], $AK1010, D$832 )</f>
        <v>6.6575476059299227E-2</v>
      </c>
      <c r="E1010" s="35">
        <f xml:space="preserve"> IF( tblFilterAll[[#This Row],[Reinvestment]] &lt; D$825, 4, IF( tblFilterAll[[#This Row],[Reinvestment]] &lt; D$826, 3, IF( tblFilterAll[[#This Row],[Reinvestment]] &lt; D$827, 2, 1 ) ) )</f>
        <v>3</v>
      </c>
      <c r="F1010" s="35">
        <f xml:space="preserve"> COUNTIFS( tblFilterAll[Include in output], 1, tblFilterAll[Reinvestment], "&gt;" &amp; tblFilterAll[[#This Row],[Reinvestment]] ) + 1</f>
        <v>101</v>
      </c>
      <c r="G1010" s="30" cm="1">
        <f t="array" ref="G1010" xml:space="preserve"> INDEX( VfM_Metrics_2023_Consol_Source[], $AK1010, G$832 )</f>
        <v>0</v>
      </c>
      <c r="H1010" s="35">
        <f xml:space="preserve"> IF( tblFilterAll[[#This Row],[New Supply (Social)]] &lt; G$825, 4, IF( tblFilterAll[[#This Row],[New Supply (Social)]] &lt; G$826, 3, IF( tblFilterAll[[#This Row],[New Supply (Social)]] &lt; G$827, 2, 1 ) ) )</f>
        <v>4</v>
      </c>
      <c r="I1010" s="35">
        <f xml:space="preserve"> COUNTIFS( tblFilterAll[Include in output], 1, tblFilterAll[New Supply (Social)], "&gt;" &amp; tblFilterAll[[#This Row],[New Supply (Social)]] ) + 1</f>
        <v>187</v>
      </c>
      <c r="J1010" s="31" cm="1">
        <f t="array" ref="J1010" xml:space="preserve"> INDEX( VfM_Metrics_2023_Consol_Source[], $AK1010, J$832 )</f>
        <v>0</v>
      </c>
      <c r="K1010" s="35">
        <f xml:space="preserve"> IF( tblFilterAll[[#This Row],[New Supply (Non-Social)]] &lt; J$825, 4, IF( tblFilterAll[[#This Row],[New Supply (Non-Social)]] &lt; J$826, 3, IF( tblFilterAll[[#This Row],[New Supply (Non-Social)]] &lt; J$827, 2, 1 ) ) )</f>
        <v>2</v>
      </c>
      <c r="L1010" s="35">
        <f xml:space="preserve"> COUNTIFS( tblFilterAll[Include in output], 1, tblFilterAll[New Supply (Non-Social)], "&gt;" &amp; tblFilterAll[[#This Row],[New Supply (Non-Social)]] ) + 1</f>
        <v>72</v>
      </c>
      <c r="M1010" s="30" cm="1">
        <f t="array" ref="M1010" xml:space="preserve"> INDEX( VfM_Metrics_2023_Consol_Source[], $AK1010, M$832 )</f>
        <v>0.38236728283653448</v>
      </c>
      <c r="N1010" s="35">
        <f xml:space="preserve"> IF( tblFilterAll[[#This Row],[Gearing]] &lt; M$825, 4, IF( tblFilterAll[[#This Row],[Gearing]] &lt; M$826, 3, IF( tblFilterAll[[#This Row],[Gearing]] &lt; M$827, 2, 1 ) ) )</f>
        <v>3</v>
      </c>
      <c r="O1010" s="35">
        <f xml:space="preserve"> COUNTIFS( tblFilterAll[Include in output], 1, tblFilterAll[Gearing], "&gt;" &amp; tblFilterAll[[#This Row],[Gearing]] ) + 1</f>
        <v>134</v>
      </c>
      <c r="P1010" s="30" cm="1">
        <f t="array" ref="P1010" xml:space="preserve"> INDEX( VfM_Metrics_2023_Consol_Source[], $AK1010, P$832 )</f>
        <v>-4.3568341437061049</v>
      </c>
      <c r="Q1010" s="35">
        <f xml:space="preserve"> IF( tblFilterAll[[#This Row],[EBITDA MRI Interest Cover]] &lt; P$825, 4, IF( tblFilterAll[[#This Row],[EBITDA MRI Interest Cover]] &lt; P$826, 3, IF( tblFilterAll[[#This Row],[EBITDA MRI Interest Cover]] &lt; P$827, 2, 1 ) ) )</f>
        <v>4</v>
      </c>
      <c r="R1010" s="35">
        <f xml:space="preserve"> COUNTIFS( tblFilterAll[Include in output], 1, tblFilterAll[EBITDA MRI Interest Cover], "&gt;" &amp; tblFilterAll[[#This Row],[EBITDA MRI Interest Cover]] ) + 1</f>
        <v>193</v>
      </c>
      <c r="S1010" s="32" cm="1">
        <f t="array" ref="S1010" xml:space="preserve"> INDEX( VfM_Metrics_2023_Consol_Source[], $AK1010, S$832 )</f>
        <v>16944.498539435248</v>
      </c>
      <c r="T1010" s="35">
        <f xml:space="preserve"> IF( tblFilterAll[[#This Row],[Headline Social Housing Cost per unit]] &lt; S$825, 4, IF( tblFilterAll[[#This Row],[Headline Social Housing Cost per unit]] &lt; S$826, 3, IF( tblFilterAll[[#This Row],[Headline Social Housing Cost per unit]] &lt; S$827, 2, 1 ) ) )</f>
        <v>1</v>
      </c>
      <c r="U1010" s="35">
        <f xml:space="preserve"> COUNTIFS( tblFilterAll[Include in output], 1, tblFilterAll[Headline Social Housing Cost per unit], "&gt;" &amp; tblFilterAll[[#This Row],[Headline Social Housing Cost per unit]] ) + 1</f>
        <v>5</v>
      </c>
      <c r="V1010" s="30" cm="1">
        <f t="array" ref="V1010" xml:space="preserve"> INDEX( VfM_Metrics_2023_Consol_Source[], $AK1010, V$832 )</f>
        <v>-0.29085527340707273</v>
      </c>
      <c r="W1010" s="35">
        <f xml:space="preserve"> IF( tblFilterAll[[#This Row],[Operating Margin (SHL)]] &lt; V$825, 4, IF( tblFilterAll[[#This Row],[Operating Margin (SHL)]] &lt; V$826, 3, IF( tblFilterAll[[#This Row],[Operating Margin (SHL)]] &lt; V$827, 2, 1 ) ) )</f>
        <v>4</v>
      </c>
      <c r="X1010" s="35">
        <f xml:space="preserve"> COUNTIFS( tblFilterAll[Include in output], 1, tblFilterAll[Operating Margin (SHL)], "&gt;" &amp; tblFilterAll[[#This Row],[Operating Margin (SHL)]] ) + 1</f>
        <v>198</v>
      </c>
      <c r="Y1010" s="30" cm="1">
        <f t="array" ref="Y1010" xml:space="preserve"> INDEX( VfM_Metrics_2023_Consol_Source[], $AK1010, Y$832 )</f>
        <v>-0.29303696983442956</v>
      </c>
      <c r="Z1010" s="35">
        <f xml:space="preserve"> IF( tblFilterAll[[#This Row],[Operating Margin (Overall)]] &lt; Y$825, 4, IF( tblFilterAll[[#This Row],[Operating Margin (Overall)]] &lt; Y$826, 3, IF( tblFilterAll[[#This Row],[Operating Margin (Overall)]] &lt; Y$827, 2, 1 ) ) )</f>
        <v>4</v>
      </c>
      <c r="AA1010" s="35">
        <f xml:space="preserve"> COUNTIFS( tblFilterAll[Include in output], 1, tblFilterAll[Operating Margin (Overall)], "&gt;" &amp; tblFilterAll[[#This Row],[Operating Margin (Overall)]] ) + 1</f>
        <v>198</v>
      </c>
      <c r="AB1010" s="30" cm="1">
        <f t="array" ref="AB1010" xml:space="preserve"> INDEX( VfM_Metrics_2023_Consol_Source[], $AK1010, AB$832 )</f>
        <v>-4.0478593051751478E-2</v>
      </c>
      <c r="AC1010" s="35">
        <f xml:space="preserve"> IF( tblFilterAll[[#This Row],[ROCE]] &lt; AB$825, 4, IF( tblFilterAll[[#This Row],[ROCE]] &lt; AB$826, 3, IF( tblFilterAll[[#This Row],[ROCE]] &lt; AB$827, 2, 1 ) ) )</f>
        <v>4</v>
      </c>
      <c r="AD1010" s="35">
        <f xml:space="preserve"> COUNTIFS( tblFilterAll[Include in output], 1, tblFilterAll[ROCE], "&gt;" &amp; tblFilterAll[[#This Row],[ROCE]] ) + 1</f>
        <v>197</v>
      </c>
      <c r="AE1010" s="33" cm="1" vm="679">
        <f t="array" ref="AE1010" xml:space="preserve"> INDEX( VfM_Metrics_2023_Consol_Source[], $AK1010, AE$832 )</f>
        <v>2054</v>
      </c>
      <c r="AF1010" s="30" cm="1">
        <f t="array" ref="AF1010" xml:space="preserve"> INDEX( VfM_Metrics_2023_Consol_Source[], $AK1010, AF$832 )</f>
        <v>0</v>
      </c>
      <c r="AG1010" s="30" cm="1">
        <f t="array" ref="AG1010" xml:space="preserve"> INDEX( VfM_Metrics_2023_Consol_Source[], $AK1010, AG$832 )</f>
        <v>0</v>
      </c>
      <c r="AH1010" s="30" cm="1">
        <f t="array" ref="AH1010" xml:space="preserve"> INDEX( VfM_Metrics_2023_Consol_Source[], $AK1010, AH$832 )</f>
        <v>0</v>
      </c>
      <c r="AI1010" s="30" t="str" cm="1">
        <f t="array" ref="AI1010" xml:space="preserve"> INDEX( VfM_Metrics_2023_Consol_Source[], $AK1010, AI$832 )</f>
        <v>Traditional</v>
      </c>
      <c r="AJ1010" s="34" t="str" cm="1">
        <f t="array" ref="AJ1010" xml:space="preserve"> INDEX( VfM_Metrics_2023_Consol_Source[], $AK1010, AJ$832 )</f>
        <v>London</v>
      </c>
      <c r="AK1010" s="81">
        <f xml:space="preserve"> MATCH( tblFilterAll[[#This Row],[Code]], VfM_Metrics_2023_Consol_Source[RP_Code], 0 )</f>
        <v>177</v>
      </c>
      <c r="AL1010" s="24">
        <f xml:space="preserve"> INDEX( tblFilterRegion[Include for region],  MATCH( tblFilterAll[[#This Row],[Code]], tblFilterRegion[RP_Code], 0 ) )</f>
        <v>1</v>
      </c>
      <c r="AM1010" s="24">
        <f xml:space="preserve"> INDEX( tblFilterPropType[Incl for prop type],  MATCH( tblFilterAll[[#This Row],[Code]], tblFilterPropType[RP_Code], 0 ) )</f>
        <v>1</v>
      </c>
      <c r="AN1010" s="24">
        <f xml:space="preserve"> INDEX( tblFilterSize[Incl for size],  MATCH( tblFilterAll[[#This Row],[Code]], tblFilterSize[RP_Code], 0 ) )</f>
        <v>1</v>
      </c>
      <c r="AO1010" s="24">
        <f xml:space="preserve"> INDEX( tblFilterRP_Type[Incl, for RP Type],  MATCH( tblFilterAll[[#This Row],[Code]], tblFilterRP_Type[RP_Code], 0 ) )</f>
        <v>1</v>
      </c>
      <c r="AP1010" s="24">
        <f xml:space="preserve">  -- ( SUM( tblFilterAll[[#This Row],[Filter Region]:[Filter RP Type]] ) = 4 )</f>
        <v>1</v>
      </c>
      <c r="AQ1010" s="24">
        <f xml:space="preserve"> -- ( tblFilterAll[[#This Row],[Provider name]] = SelectedProvider )</f>
        <v>0</v>
      </c>
      <c r="AR1010" s="24">
        <f xml:space="preserve">  -- ( OR( SUM( tblFilterAll[[#This Row],[Filter Region]:[Filter RP Type]] ) = 4, tblFilterAll[[#This Row],[SelectedProvider]] = 1 ) )</f>
        <v>1</v>
      </c>
      <c r="AS1010" s="24">
        <f xml:space="preserve"> -- ( INDEX( PeersCritera[Included in final peers], MATCH( tblFilterAll[[#This Row],[Provider name]], PeersCritera[RP_Name], 0 ) ) = 1 )</f>
        <v>1</v>
      </c>
      <c r="AT1010" s="30" t="str" cm="1">
        <f t="array" ref="AT1010" xml:space="preserve"> SUBSTITUTE( INDEX( VfM_Metrics_2023_Consol_Source[], $AK1010, AT$832 ), 0, "" )</f>
        <v>&gt;= 12 years</v>
      </c>
      <c r="AU1010" s="34" cm="1">
        <f t="array" ref="AU1010" xml:space="preserve"> INDEX( VfM_Metrics_2023_Consol_Source[], $AK1010, AU$832 )</f>
        <v>1</v>
      </c>
      <c r="AV1010" s="34" cm="1">
        <f t="array" ref="AV1010" xml:space="preserve"> INDEX( VfM_Metrics_2023_Consol_Source[], $AK1010, AV$832 )</f>
        <v>0</v>
      </c>
      <c r="AW1010" s="34" cm="1">
        <f t="array" ref="AW1010" xml:space="preserve"> INDEX( VfM_Metrics_2023_Consol_Source[], $AK1010, AW$832 )</f>
        <v>0</v>
      </c>
      <c r="AX1010" s="34" cm="1">
        <f t="array" ref="AX1010" xml:space="preserve"> INDEX( VfM_Metrics_2023_Consol_Source[], $AK1010, AX$832 )</f>
        <v>0</v>
      </c>
      <c r="AY1010" s="34" cm="1">
        <f t="array" ref="AY1010" xml:space="preserve"> INDEX( VfM_Metrics_2023_Consol_Source[], $AK1010, AY$832 )</f>
        <v>0</v>
      </c>
      <c r="AZ1010" s="34" cm="1">
        <f t="array" ref="AZ1010" xml:space="preserve"> INDEX( VfM_Metrics_2023_Consol_Source[], $AK1010, AZ$832 )</f>
        <v>0</v>
      </c>
      <c r="BA1010" s="34" cm="1">
        <f t="array" ref="BA1010" xml:space="preserve"> INDEX( VfM_Metrics_2023_Consol_Source[], $AK1010, BA$832 )</f>
        <v>0</v>
      </c>
      <c r="BB1010" s="34" cm="1">
        <f t="array" ref="BB1010" xml:space="preserve"> INDEX( VfM_Metrics_2023_Consol_Source[], $AK1010, BB$832 )</f>
        <v>0</v>
      </c>
      <c r="BC1010" s="34" cm="1">
        <f t="array" ref="BC1010" xml:space="preserve"> INDEX( VfM_Metrics_2023_Consol_Source[], $AK1010, BC$832 )</f>
        <v>0</v>
      </c>
    </row>
    <row r="1011" spans="2:55" x14ac:dyDescent="0.2">
      <c r="B1011" s="122" t="str" vm="178">
        <f t="shared" ref="B1011" si="517" xml:space="preserve"> B801</f>
        <v>Trent &amp; Dove Housing Limited</v>
      </c>
      <c r="C1011" s="122" t="str" vm="386">
        <f t="shared" si="500"/>
        <v>L4311</v>
      </c>
      <c r="D1011" s="30" cm="1">
        <f t="array" ref="D1011" xml:space="preserve"> INDEX( VfM_Metrics_2023_Consol_Source[], $AK1011, D$832 )</f>
        <v>0.10075547471545887</v>
      </c>
      <c r="E1011" s="35">
        <f xml:space="preserve"> IF( tblFilterAll[[#This Row],[Reinvestment]] &lt; D$825, 4, IF( tblFilterAll[[#This Row],[Reinvestment]] &lt; D$826, 3, IF( tblFilterAll[[#This Row],[Reinvestment]] &lt; D$827, 2, 1 ) ) )</f>
        <v>1</v>
      </c>
      <c r="F1011" s="35">
        <f xml:space="preserve"> COUNTIFS( tblFilterAll[Include in output], 1, tblFilterAll[Reinvestment], "&gt;" &amp; tblFilterAll[[#This Row],[Reinvestment]] ) + 1</f>
        <v>39</v>
      </c>
      <c r="G1011" s="30" cm="1">
        <f t="array" ref="G1011" xml:space="preserve"> INDEX( VfM_Metrics_2023_Consol_Source[], $AK1011, G$832 )</f>
        <v>1.1423550087873463E-2</v>
      </c>
      <c r="H1011" s="35">
        <f xml:space="preserve"> IF( tblFilterAll[[#This Row],[New Supply (Social)]] &lt; G$825, 4, IF( tblFilterAll[[#This Row],[New Supply (Social)]] &lt; G$826, 3, IF( tblFilterAll[[#This Row],[New Supply (Social)]] &lt; G$827, 2, 1 ) ) )</f>
        <v>3</v>
      </c>
      <c r="I1011" s="35">
        <f xml:space="preserve"> COUNTIFS( tblFilterAll[Include in output], 1, tblFilterAll[New Supply (Social)], "&gt;" &amp; tblFilterAll[[#This Row],[New Supply (Social)]] ) + 1</f>
        <v>114</v>
      </c>
      <c r="J1011" s="31" cm="1">
        <f t="array" ref="J1011" xml:space="preserve"> INDEX( VfM_Metrics_2023_Consol_Source[], $AK1011, J$832 )</f>
        <v>0</v>
      </c>
      <c r="K1011" s="35">
        <f xml:space="preserve"> IF( tblFilterAll[[#This Row],[New Supply (Non-Social)]] &lt; J$825, 4, IF( tblFilterAll[[#This Row],[New Supply (Non-Social)]] &lt; J$826, 3, IF( tblFilterAll[[#This Row],[New Supply (Non-Social)]] &lt; J$827, 2, 1 ) ) )</f>
        <v>2</v>
      </c>
      <c r="L1011" s="35">
        <f xml:space="preserve"> COUNTIFS( tblFilterAll[Include in output], 1, tblFilterAll[New Supply (Non-Social)], "&gt;" &amp; tblFilterAll[[#This Row],[New Supply (Non-Social)]] ) + 1</f>
        <v>72</v>
      </c>
      <c r="M1011" s="30" cm="1">
        <f t="array" ref="M1011" xml:space="preserve"> INDEX( VfM_Metrics_2023_Consol_Source[], $AK1011, M$832 )</f>
        <v>0.70743588820054748</v>
      </c>
      <c r="N1011" s="35">
        <f xml:space="preserve"> IF( tblFilterAll[[#This Row],[Gearing]] &lt; M$825, 4, IF( tblFilterAll[[#This Row],[Gearing]] &lt; M$826, 3, IF( tblFilterAll[[#This Row],[Gearing]] &lt; M$827, 2, 1 ) ) )</f>
        <v>1</v>
      </c>
      <c r="O1011" s="35">
        <f xml:space="preserve"> COUNTIFS( tblFilterAll[Include in output], 1, tblFilterAll[Gearing], "&gt;" &amp; tblFilterAll[[#This Row],[Gearing]] ) + 1</f>
        <v>6</v>
      </c>
      <c r="P1011" s="30" cm="1">
        <f t="array" ref="P1011" xml:space="preserve"> INDEX( VfM_Metrics_2023_Consol_Source[], $AK1011, P$832 )</f>
        <v>1.1509148646605172</v>
      </c>
      <c r="Q1011" s="35">
        <f xml:space="preserve"> IF( tblFilterAll[[#This Row],[EBITDA MRI Interest Cover]] &lt; P$825, 4, IF( tblFilterAll[[#This Row],[EBITDA MRI Interest Cover]] &lt; P$826, 3, IF( tblFilterAll[[#This Row],[EBITDA MRI Interest Cover]] &lt; P$827, 2, 1 ) ) )</f>
        <v>3</v>
      </c>
      <c r="R1011" s="35">
        <f xml:space="preserve"> COUNTIFS( tblFilterAll[Include in output], 1, tblFilterAll[EBITDA MRI Interest Cover], "&gt;" &amp; tblFilterAll[[#This Row],[EBITDA MRI Interest Cover]] ) + 1</f>
        <v>117</v>
      </c>
      <c r="S1011" s="32" cm="1">
        <f t="array" ref="S1011" xml:space="preserve"> INDEX( VfM_Metrics_2023_Consol_Source[], $AK1011, S$832 )</f>
        <v>4019.2985143207229</v>
      </c>
      <c r="T1011" s="35">
        <f xml:space="preserve"> IF( tblFilterAll[[#This Row],[Headline Social Housing Cost per unit]] &lt; S$825, 4, IF( tblFilterAll[[#This Row],[Headline Social Housing Cost per unit]] &lt; S$826, 3, IF( tblFilterAll[[#This Row],[Headline Social Housing Cost per unit]] &lt; S$827, 2, 1 ) ) )</f>
        <v>4</v>
      </c>
      <c r="U1011" s="35">
        <f xml:space="preserve"> COUNTIFS( tblFilterAll[Include in output], 1, tblFilterAll[Headline Social Housing Cost per unit], "&gt;" &amp; tblFilterAll[[#This Row],[Headline Social Housing Cost per unit]] ) + 1</f>
        <v>160</v>
      </c>
      <c r="V1011" s="30" cm="1">
        <f t="array" ref="V1011" xml:space="preserve"> INDEX( VfM_Metrics_2023_Consol_Source[], $AK1011, V$832 )</f>
        <v>0.19933408719688403</v>
      </c>
      <c r="W1011" s="35">
        <f xml:space="preserve"> IF( tblFilterAll[[#This Row],[Operating Margin (SHL)]] &lt; V$825, 4, IF( tblFilterAll[[#This Row],[Operating Margin (SHL)]] &lt; V$826, 3, IF( tblFilterAll[[#This Row],[Operating Margin (SHL)]] &lt; V$827, 2, 1 ) ) )</f>
        <v>2</v>
      </c>
      <c r="X1011" s="35">
        <f xml:space="preserve"> COUNTIFS( tblFilterAll[Include in output], 1, tblFilterAll[Operating Margin (SHL)], "&gt;" &amp; tblFilterAll[[#This Row],[Operating Margin (SHL)]] ) + 1</f>
        <v>97</v>
      </c>
      <c r="Y1011" s="30" cm="1">
        <f t="array" ref="Y1011" xml:space="preserve"> INDEX( VfM_Metrics_2023_Consol_Source[], $AK1011, Y$832 )</f>
        <v>0.19281579337984267</v>
      </c>
      <c r="Z1011" s="35">
        <f xml:space="preserve"> IF( tblFilterAll[[#This Row],[Operating Margin (Overall)]] &lt; Y$825, 4, IF( tblFilterAll[[#This Row],[Operating Margin (Overall)]] &lt; Y$826, 3, IF( tblFilterAll[[#This Row],[Operating Margin (Overall)]] &lt; Y$827, 2, 1 ) ) )</f>
        <v>2</v>
      </c>
      <c r="AA1011" s="35">
        <f xml:space="preserve"> COUNTIFS( tblFilterAll[Include in output], 1, tblFilterAll[Operating Margin (Overall)], "&gt;" &amp; tblFilterAll[[#This Row],[Operating Margin (Overall)]] ) + 1</f>
        <v>91</v>
      </c>
      <c r="AB1011" s="30" cm="1">
        <f t="array" ref="AB1011" xml:space="preserve"> INDEX( VfM_Metrics_2023_Consol_Source[], $AK1011, AB$832 )</f>
        <v>3.2014643946270085E-2</v>
      </c>
      <c r="AC1011" s="35">
        <f xml:space="preserve"> IF( tblFilterAll[[#This Row],[ROCE]] &lt; AB$825, 4, IF( tblFilterAll[[#This Row],[ROCE]] &lt; AB$826, 3, IF( tblFilterAll[[#This Row],[ROCE]] &lt; AB$827, 2, 1 ) ) )</f>
        <v>2</v>
      </c>
      <c r="AD1011" s="35">
        <f xml:space="preserve"> COUNTIFS( tblFilterAll[Include in output], 1, tblFilterAll[ROCE], "&gt;" &amp; tblFilterAll[[#This Row],[ROCE]] ) + 1</f>
        <v>71</v>
      </c>
      <c r="AE1011" s="33" cm="1" vm="6420">
        <f t="array" ref="AE1011" xml:space="preserve"> INDEX( VfM_Metrics_2023_Consol_Source[], $AK1011, AE$832 )</f>
        <v>6529</v>
      </c>
      <c r="AF1011" s="30" cm="1">
        <f t="array" ref="AF1011" xml:space="preserve"> INDEX( VfM_Metrics_2023_Consol_Source[], $AK1011, AF$832 )</f>
        <v>3.0707815138952864E-4</v>
      </c>
      <c r="AG1011" s="30" cm="1">
        <f t="array" ref="AG1011" xml:space="preserve"> INDEX( VfM_Metrics_2023_Consol_Source[], $AK1011, AG$832 )</f>
        <v>2.5333947489636112E-2</v>
      </c>
      <c r="AH1011" s="30" cm="1">
        <f t="array" ref="AH1011" xml:space="preserve"> INDEX( VfM_Metrics_2023_Consol_Source[], $AK1011, AH$832 )</f>
        <v>2.564102564102564E-2</v>
      </c>
      <c r="AI1011" s="30" t="str" cm="1">
        <f t="array" ref="AI1011" xml:space="preserve"> INDEX( VfM_Metrics_2023_Consol_Source[], $AK1011, AI$832 )</f>
        <v>Traditional</v>
      </c>
      <c r="AJ1011" s="34" t="str" cm="1">
        <f t="array" ref="AJ1011" xml:space="preserve"> INDEX( VfM_Metrics_2023_Consol_Source[], $AK1011, AJ$832 )</f>
        <v>West Midlands</v>
      </c>
      <c r="AK1011" s="81">
        <f xml:space="preserve"> MATCH( tblFilterAll[[#This Row],[Code]], VfM_Metrics_2023_Consol_Source[RP_Code], 0 )</f>
        <v>178</v>
      </c>
      <c r="AL1011" s="24">
        <f xml:space="preserve"> INDEX( tblFilterRegion[Include for region],  MATCH( tblFilterAll[[#This Row],[Code]], tblFilterRegion[RP_Code], 0 ) )</f>
        <v>1</v>
      </c>
      <c r="AM1011" s="24">
        <f xml:space="preserve"> INDEX( tblFilterPropType[Incl for prop type],  MATCH( tblFilterAll[[#This Row],[Code]], tblFilterPropType[RP_Code], 0 ) )</f>
        <v>1</v>
      </c>
      <c r="AN1011" s="24">
        <f xml:space="preserve"> INDEX( tblFilterSize[Incl for size],  MATCH( tblFilterAll[[#This Row],[Code]], tblFilterSize[RP_Code], 0 ) )</f>
        <v>1</v>
      </c>
      <c r="AO1011" s="24">
        <f xml:space="preserve"> INDEX( tblFilterRP_Type[Incl, for RP Type],  MATCH( tblFilterAll[[#This Row],[Code]], tblFilterRP_Type[RP_Code], 0 ) )</f>
        <v>1</v>
      </c>
      <c r="AP1011" s="24">
        <f xml:space="preserve">  -- ( SUM( tblFilterAll[[#This Row],[Filter Region]:[Filter RP Type]] ) = 4 )</f>
        <v>1</v>
      </c>
      <c r="AQ1011" s="24">
        <f xml:space="preserve"> -- ( tblFilterAll[[#This Row],[Provider name]] = SelectedProvider )</f>
        <v>0</v>
      </c>
      <c r="AR1011" s="24">
        <f xml:space="preserve">  -- ( OR( SUM( tblFilterAll[[#This Row],[Filter Region]:[Filter RP Type]] ) = 4, tblFilterAll[[#This Row],[SelectedProvider]] = 1 ) )</f>
        <v>1</v>
      </c>
      <c r="AS1011" s="24">
        <f xml:space="preserve"> -- ( INDEX( PeersCritera[Included in final peers], MATCH( tblFilterAll[[#This Row],[Provider name]], PeersCritera[RP_Name], 0 ) ) = 1 )</f>
        <v>1</v>
      </c>
      <c r="AT1011" s="30" t="str" cm="1">
        <f t="array" ref="AT1011" xml:space="preserve"> SUBSTITUTE( INDEX( VfM_Metrics_2023_Consol_Source[], $AK1011, AT$832 ), 0, "" )</f>
        <v>&gt;= 12 years</v>
      </c>
      <c r="AU1011" s="34" cm="1">
        <f t="array" ref="AU1011" xml:space="preserve"> INDEX( VfM_Metrics_2023_Consol_Source[], $AK1011, AU$832 )</f>
        <v>0</v>
      </c>
      <c r="AV1011" s="34" cm="1">
        <f t="array" ref="AV1011" xml:space="preserve"> INDEX( VfM_Metrics_2023_Consol_Source[], $AK1011, AV$832 )</f>
        <v>0</v>
      </c>
      <c r="AW1011" s="34" cm="1">
        <f t="array" ref="AW1011" xml:space="preserve"> INDEX( VfM_Metrics_2023_Consol_Source[], $AK1011, AW$832 )</f>
        <v>0</v>
      </c>
      <c r="AX1011" s="34" cm="1">
        <f t="array" ref="AX1011" xml:space="preserve"> INDEX( VfM_Metrics_2023_Consol_Source[], $AK1011, AX$832 )</f>
        <v>8.6536988819114716E-2</v>
      </c>
      <c r="AY1011" s="34" cm="1">
        <f t="array" ref="AY1011" xml:space="preserve"> INDEX( VfM_Metrics_2023_Consol_Source[], $AK1011, AY$832 )</f>
        <v>0.91346301118088524</v>
      </c>
      <c r="AZ1011" s="34" cm="1">
        <f t="array" ref="AZ1011" xml:space="preserve"> INDEX( VfM_Metrics_2023_Consol_Source[], $AK1011, AZ$832 )</f>
        <v>0</v>
      </c>
      <c r="BA1011" s="34" cm="1">
        <f t="array" ref="BA1011" xml:space="preserve"> INDEX( VfM_Metrics_2023_Consol_Source[], $AK1011, BA$832 )</f>
        <v>0</v>
      </c>
      <c r="BB1011" s="34" cm="1">
        <f t="array" ref="BB1011" xml:space="preserve"> INDEX( VfM_Metrics_2023_Consol_Source[], $AK1011, BB$832 )</f>
        <v>0</v>
      </c>
      <c r="BC1011" s="34" cm="1">
        <f t="array" ref="BC1011" xml:space="preserve"> INDEX( VfM_Metrics_2023_Consol_Source[], $AK1011, BC$832 )</f>
        <v>0</v>
      </c>
    </row>
    <row r="1012" spans="2:55" x14ac:dyDescent="0.2">
      <c r="B1012" s="122" t="str" vm="179">
        <f t="shared" ref="B1012" si="518" xml:space="preserve"> B802</f>
        <v>Trident Housing Association Limited</v>
      </c>
      <c r="C1012" s="122" t="str" vm="305">
        <f t="shared" si="500"/>
        <v>L0979</v>
      </c>
      <c r="D1012" s="30" cm="1">
        <f t="array" ref="D1012" xml:space="preserve"> INDEX( VfM_Metrics_2023_Consol_Source[], $AK1012, D$832 )</f>
        <v>3.2989997541439678E-2</v>
      </c>
      <c r="E1012" s="35">
        <f xml:space="preserve"> IF( tblFilterAll[[#This Row],[Reinvestment]] &lt; D$825, 4, IF( tblFilterAll[[#This Row],[Reinvestment]] &lt; D$826, 3, IF( tblFilterAll[[#This Row],[Reinvestment]] &lt; D$827, 2, 1 ) ) )</f>
        <v>4</v>
      </c>
      <c r="F1012" s="35">
        <f xml:space="preserve"> COUNTIFS( tblFilterAll[Include in output], 1, tblFilterAll[Reinvestment], "&gt;" &amp; tblFilterAll[[#This Row],[Reinvestment]] ) + 1</f>
        <v>166</v>
      </c>
      <c r="G1012" s="30" cm="1">
        <f t="array" ref="G1012" xml:space="preserve"> INDEX( VfM_Metrics_2023_Consol_Source[], $AK1012, G$832 )</f>
        <v>1.8999366687777073E-3</v>
      </c>
      <c r="H1012" s="35">
        <f xml:space="preserve"> IF( tblFilterAll[[#This Row],[New Supply (Social)]] &lt; G$825, 4, IF( tblFilterAll[[#This Row],[New Supply (Social)]] &lt; G$826, 3, IF( tblFilterAll[[#This Row],[New Supply (Social)]] &lt; G$827, 2, 1 ) ) )</f>
        <v>4</v>
      </c>
      <c r="I1012" s="35">
        <f xml:space="preserve"> COUNTIFS( tblFilterAll[Include in output], 1, tblFilterAll[New Supply (Social)], "&gt;" &amp; tblFilterAll[[#This Row],[New Supply (Social)]] ) + 1</f>
        <v>177</v>
      </c>
      <c r="J1012" s="31" cm="1">
        <f t="array" ref="J1012" xml:space="preserve"> INDEX( VfM_Metrics_2023_Consol_Source[], $AK1012, J$832 )</f>
        <v>0</v>
      </c>
      <c r="K1012" s="35">
        <f xml:space="preserve"> IF( tblFilterAll[[#This Row],[New Supply (Non-Social)]] &lt; J$825, 4, IF( tblFilterAll[[#This Row],[New Supply (Non-Social)]] &lt; J$826, 3, IF( tblFilterAll[[#This Row],[New Supply (Non-Social)]] &lt; J$827, 2, 1 ) ) )</f>
        <v>2</v>
      </c>
      <c r="L1012" s="35">
        <f xml:space="preserve"> COUNTIFS( tblFilterAll[Include in output], 1, tblFilterAll[New Supply (Non-Social)], "&gt;" &amp; tblFilterAll[[#This Row],[New Supply (Non-Social)]] ) + 1</f>
        <v>72</v>
      </c>
      <c r="M1012" s="30" cm="1">
        <f t="array" ref="M1012" xml:space="preserve"> INDEX( VfM_Metrics_2023_Consol_Source[], $AK1012, M$832 )</f>
        <v>0.48814068140940203</v>
      </c>
      <c r="N1012" s="35">
        <f xml:space="preserve"> IF( tblFilterAll[[#This Row],[Gearing]] &lt; M$825, 4, IF( tblFilterAll[[#This Row],[Gearing]] &lt; M$826, 3, IF( tblFilterAll[[#This Row],[Gearing]] &lt; M$827, 2, 1 ) ) )</f>
        <v>2</v>
      </c>
      <c r="O1012" s="35">
        <f xml:space="preserve"> COUNTIFS( tblFilterAll[Include in output], 1, tblFilterAll[Gearing], "&gt;" &amp; tblFilterAll[[#This Row],[Gearing]] ) + 1</f>
        <v>76</v>
      </c>
      <c r="P1012" s="30" cm="1">
        <f t="array" ref="P1012" xml:space="preserve"> INDEX( VfM_Metrics_2023_Consol_Source[], $AK1012, P$832 )</f>
        <v>1.1678194393884238</v>
      </c>
      <c r="Q1012" s="35">
        <f xml:space="preserve"> IF( tblFilterAll[[#This Row],[EBITDA MRI Interest Cover]] &lt; P$825, 4, IF( tblFilterAll[[#This Row],[EBITDA MRI Interest Cover]] &lt; P$826, 3, IF( tblFilterAll[[#This Row],[EBITDA MRI Interest Cover]] &lt; P$827, 2, 1 ) ) )</f>
        <v>3</v>
      </c>
      <c r="R1012" s="35">
        <f xml:space="preserve"> COUNTIFS( tblFilterAll[Include in output], 1, tblFilterAll[EBITDA MRI Interest Cover], "&gt;" &amp; tblFilterAll[[#This Row],[EBITDA MRI Interest Cover]] ) + 1</f>
        <v>114</v>
      </c>
      <c r="S1012" s="32" cm="1">
        <f t="array" ref="S1012" xml:space="preserve"> INDEX( VfM_Metrics_2023_Consol_Source[], $AK1012, S$832 )</f>
        <v>11219.47496947497</v>
      </c>
      <c r="T1012" s="35">
        <f xml:space="preserve"> IF( tblFilterAll[[#This Row],[Headline Social Housing Cost per unit]] &lt; S$825, 4, IF( tblFilterAll[[#This Row],[Headline Social Housing Cost per unit]] &lt; S$826, 3, IF( tblFilterAll[[#This Row],[Headline Social Housing Cost per unit]] &lt; S$827, 2, 1 ) ) )</f>
        <v>1</v>
      </c>
      <c r="U1012" s="35">
        <f xml:space="preserve"> COUNTIFS( tblFilterAll[Include in output], 1, tblFilterAll[Headline Social Housing Cost per unit], "&gt;" &amp; tblFilterAll[[#This Row],[Headline Social Housing Cost per unit]] ) + 1</f>
        <v>11</v>
      </c>
      <c r="V1012" s="30" cm="1">
        <f t="array" ref="V1012" xml:space="preserve"> INDEX( VfM_Metrics_2023_Consol_Source[], $AK1012, V$832 )</f>
        <v>0.13408526760440709</v>
      </c>
      <c r="W1012" s="35">
        <f xml:space="preserve"> IF( tblFilterAll[[#This Row],[Operating Margin (SHL)]] &lt; V$825, 4, IF( tblFilterAll[[#This Row],[Operating Margin (SHL)]] &lt; V$826, 3, IF( tblFilterAll[[#This Row],[Operating Margin (SHL)]] &lt; V$827, 2, 1 ) ) )</f>
        <v>4</v>
      </c>
      <c r="X1012" s="35">
        <f xml:space="preserve"> COUNTIFS( tblFilterAll[Include in output], 1, tblFilterAll[Operating Margin (SHL)], "&gt;" &amp; tblFilterAll[[#This Row],[Operating Margin (SHL)]] ) + 1</f>
        <v>156</v>
      </c>
      <c r="Y1012" s="30" cm="1">
        <f t="array" ref="Y1012" xml:space="preserve"> INDEX( VfM_Metrics_2023_Consol_Source[], $AK1012, Y$832 )</f>
        <v>7.4457108578284345E-2</v>
      </c>
      <c r="Z1012" s="35">
        <f xml:space="preserve"> IF( tblFilterAll[[#This Row],[Operating Margin (Overall)]] &lt; Y$825, 4, IF( tblFilterAll[[#This Row],[Operating Margin (Overall)]] &lt; Y$826, 3, IF( tblFilterAll[[#This Row],[Operating Margin (Overall)]] &lt; Y$827, 2, 1 ) ) )</f>
        <v>4</v>
      </c>
      <c r="AA1012" s="35">
        <f xml:space="preserve"> COUNTIFS( tblFilterAll[Include in output], 1, tblFilterAll[Operating Margin (Overall)], "&gt;" &amp; tblFilterAll[[#This Row],[Operating Margin (Overall)]] ) + 1</f>
        <v>172</v>
      </c>
      <c r="AB1012" s="30" cm="1">
        <f t="array" ref="AB1012" xml:space="preserve"> INDEX( VfM_Metrics_2023_Consol_Source[], $AK1012, AB$832 )</f>
        <v>1.9636982484314981E-2</v>
      </c>
      <c r="AC1012" s="35">
        <f xml:space="preserve"> IF( tblFilterAll[[#This Row],[ROCE]] &lt; AB$825, 4, IF( tblFilterAll[[#This Row],[ROCE]] &lt; AB$826, 3, IF( tblFilterAll[[#This Row],[ROCE]] &lt; AB$827, 2, 1 ) ) )</f>
        <v>4</v>
      </c>
      <c r="AD1012" s="35">
        <f xml:space="preserve"> COUNTIFS( tblFilterAll[Include in output], 1, tblFilterAll[ROCE], "&gt;" &amp; tblFilterAll[[#This Row],[ROCE]] ) + 1</f>
        <v>163</v>
      </c>
      <c r="AE1012" s="33" cm="1" vm="3510">
        <f t="array" ref="AE1012" xml:space="preserve"> INDEX( VfM_Metrics_2023_Consol_Source[], $AK1012, AE$832 )</f>
        <v>3158</v>
      </c>
      <c r="AF1012" s="30" cm="1">
        <f t="array" ref="AF1012" xml:space="preserve"> INDEX( VfM_Metrics_2023_Consol_Source[], $AK1012, AF$832 )</f>
        <v>0.18340196388976876</v>
      </c>
      <c r="AG1012" s="30" cm="1">
        <f t="array" ref="AG1012" xml:space="preserve"> INDEX( VfM_Metrics_2023_Consol_Source[], $AK1012, AG$832 )</f>
        <v>0.14127336078555591</v>
      </c>
      <c r="AH1012" s="30" cm="1">
        <f t="array" ref="AH1012" xml:space="preserve"> INDEX( VfM_Metrics_2023_Consol_Source[], $AK1012, AH$832 )</f>
        <v>0.32467532467532467</v>
      </c>
      <c r="AI1012" s="30" t="str" cm="1">
        <f t="array" ref="AI1012" xml:space="preserve"> INDEX( VfM_Metrics_2023_Consol_Source[], $AK1012, AI$832 )</f>
        <v>Traditional</v>
      </c>
      <c r="AJ1012" s="34" t="str" cm="1">
        <f t="array" ref="AJ1012" xml:space="preserve"> INDEX( VfM_Metrics_2023_Consol_Source[], $AK1012, AJ$832 )</f>
        <v>West Midlands</v>
      </c>
      <c r="AK1012" s="81">
        <f xml:space="preserve"> MATCH( tblFilterAll[[#This Row],[Code]], VfM_Metrics_2023_Consol_Source[RP_Code], 0 )</f>
        <v>179</v>
      </c>
      <c r="AL1012" s="24">
        <f xml:space="preserve"> INDEX( tblFilterRegion[Include for region],  MATCH( tblFilterAll[[#This Row],[Code]], tblFilterRegion[RP_Code], 0 ) )</f>
        <v>1</v>
      </c>
      <c r="AM1012" s="24">
        <f xml:space="preserve"> INDEX( tblFilterPropType[Incl for prop type],  MATCH( tblFilterAll[[#This Row],[Code]], tblFilterPropType[RP_Code], 0 ) )</f>
        <v>1</v>
      </c>
      <c r="AN1012" s="24">
        <f xml:space="preserve"> INDEX( tblFilterSize[Incl for size],  MATCH( tblFilterAll[[#This Row],[Code]], tblFilterSize[RP_Code], 0 ) )</f>
        <v>1</v>
      </c>
      <c r="AO1012" s="24">
        <f xml:space="preserve"> INDEX( tblFilterRP_Type[Incl, for RP Type],  MATCH( tblFilterAll[[#This Row],[Code]], tblFilterRP_Type[RP_Code], 0 ) )</f>
        <v>1</v>
      </c>
      <c r="AP1012" s="24">
        <f xml:space="preserve">  -- ( SUM( tblFilterAll[[#This Row],[Filter Region]:[Filter RP Type]] ) = 4 )</f>
        <v>1</v>
      </c>
      <c r="AQ1012" s="24">
        <f xml:space="preserve"> -- ( tblFilterAll[[#This Row],[Provider name]] = SelectedProvider )</f>
        <v>0</v>
      </c>
      <c r="AR1012" s="24">
        <f xml:space="preserve">  -- ( OR( SUM( tblFilterAll[[#This Row],[Filter Region]:[Filter RP Type]] ) = 4, tblFilterAll[[#This Row],[SelectedProvider]] = 1 ) )</f>
        <v>1</v>
      </c>
      <c r="AS1012" s="24">
        <f xml:space="preserve"> -- ( INDEX( PeersCritera[Included in final peers], MATCH( tblFilterAll[[#This Row],[Provider name]], PeersCritera[RP_Name], 0 ) ) = 1 )</f>
        <v>1</v>
      </c>
      <c r="AT1012" s="30" t="str" cm="1">
        <f t="array" ref="AT1012" xml:space="preserve"> SUBSTITUTE( INDEX( VfM_Metrics_2023_Consol_Source[], $AK1012, AT$832 ), 0, "" )</f>
        <v/>
      </c>
      <c r="AU1012" s="34" cm="1">
        <f t="array" ref="AU1012" xml:space="preserve"> INDEX( VfM_Metrics_2023_Consol_Source[], $AK1012, AU$832 )</f>
        <v>0</v>
      </c>
      <c r="AV1012" s="34" cm="1">
        <f t="array" ref="AV1012" xml:space="preserve"> INDEX( VfM_Metrics_2023_Consol_Source[], $AK1012, AV$832 )</f>
        <v>0</v>
      </c>
      <c r="AW1012" s="34" cm="1">
        <f t="array" ref="AW1012" xml:space="preserve"> INDEX( VfM_Metrics_2023_Consol_Source[], $AK1012, AW$832 )</f>
        <v>0</v>
      </c>
      <c r="AX1012" s="34" cm="1">
        <f t="array" ref="AX1012" xml:space="preserve"> INDEX( VfM_Metrics_2023_Consol_Source[], $AK1012, AX$832 )</f>
        <v>0.11672025723472669</v>
      </c>
      <c r="AY1012" s="34" cm="1">
        <f t="array" ref="AY1012" xml:space="preserve"> INDEX( VfM_Metrics_2023_Consol_Source[], $AK1012, AY$832 )</f>
        <v>0.88327974276527332</v>
      </c>
      <c r="AZ1012" s="34" cm="1">
        <f t="array" ref="AZ1012" xml:space="preserve"> INDEX( VfM_Metrics_2023_Consol_Source[], $AK1012, AZ$832 )</f>
        <v>0</v>
      </c>
      <c r="BA1012" s="34" cm="1">
        <f t="array" ref="BA1012" xml:space="preserve"> INDEX( VfM_Metrics_2023_Consol_Source[], $AK1012, BA$832 )</f>
        <v>0</v>
      </c>
      <c r="BB1012" s="34" cm="1">
        <f t="array" ref="BB1012" xml:space="preserve"> INDEX( VfM_Metrics_2023_Consol_Source[], $AK1012, BB$832 )</f>
        <v>0</v>
      </c>
      <c r="BC1012" s="34" cm="1">
        <f t="array" ref="BC1012" xml:space="preserve"> INDEX( VfM_Metrics_2023_Consol_Source[], $AK1012, BC$832 )</f>
        <v>0</v>
      </c>
    </row>
    <row r="1013" spans="2:55" x14ac:dyDescent="0.2">
      <c r="B1013" s="122" t="str" vm="180">
        <f t="shared" ref="B1013" si="519" xml:space="preserve"> B803</f>
        <v>Tuntum Housing Association Limited</v>
      </c>
      <c r="C1013" s="122" t="str" vm="227">
        <f t="shared" si="500"/>
        <v>L3808</v>
      </c>
      <c r="D1013" s="30" cm="1">
        <f t="array" ref="D1013" xml:space="preserve"> INDEX( VfM_Metrics_2023_Consol_Source[], $AK1013, D$832 )</f>
        <v>3.9185832960633368E-2</v>
      </c>
      <c r="E1013" s="35">
        <f xml:space="preserve"> IF( tblFilterAll[[#This Row],[Reinvestment]] &lt; D$825, 4, IF( tblFilterAll[[#This Row],[Reinvestment]] &lt; D$826, 3, IF( tblFilterAll[[#This Row],[Reinvestment]] &lt; D$827, 2, 1 ) ) )</f>
        <v>4</v>
      </c>
      <c r="F1013" s="35">
        <f xml:space="preserve"> COUNTIFS( tblFilterAll[Include in output], 1, tblFilterAll[Reinvestment], "&gt;" &amp; tblFilterAll[[#This Row],[Reinvestment]] ) + 1</f>
        <v>152</v>
      </c>
      <c r="G1013" s="30" cm="1">
        <f t="array" ref="G1013" xml:space="preserve"> INDEX( VfM_Metrics_2023_Consol_Source[], $AK1013, G$832 )</f>
        <v>2.2915340547422024E-2</v>
      </c>
      <c r="H1013" s="35">
        <f xml:space="preserve"> IF( tblFilterAll[[#This Row],[New Supply (Social)]] &lt; G$825, 4, IF( tblFilterAll[[#This Row],[New Supply (Social)]] &lt; G$826, 3, IF( tblFilterAll[[#This Row],[New Supply (Social)]] &lt; G$827, 2, 1 ) ) )</f>
        <v>1</v>
      </c>
      <c r="I1013" s="35">
        <f xml:space="preserve"> COUNTIFS( tblFilterAll[Include in output], 1, tblFilterAll[New Supply (Social)], "&gt;" &amp; tblFilterAll[[#This Row],[New Supply (Social)]] ) + 1</f>
        <v>44</v>
      </c>
      <c r="J1013" s="31" cm="1">
        <f t="array" ref="J1013" xml:space="preserve"> INDEX( VfM_Metrics_2023_Consol_Source[], $AK1013, J$832 )</f>
        <v>0</v>
      </c>
      <c r="K1013" s="35">
        <f xml:space="preserve"> IF( tblFilterAll[[#This Row],[New Supply (Non-Social)]] &lt; J$825, 4, IF( tblFilterAll[[#This Row],[New Supply (Non-Social)]] &lt; J$826, 3, IF( tblFilterAll[[#This Row],[New Supply (Non-Social)]] &lt; J$827, 2, 1 ) ) )</f>
        <v>2</v>
      </c>
      <c r="L1013" s="35">
        <f xml:space="preserve"> COUNTIFS( tblFilterAll[Include in output], 1, tblFilterAll[New Supply (Non-Social)], "&gt;" &amp; tblFilterAll[[#This Row],[New Supply (Non-Social)]] ) + 1</f>
        <v>72</v>
      </c>
      <c r="M1013" s="30" cm="1">
        <f t="array" ref="M1013" xml:space="preserve"> INDEX( VfM_Metrics_2023_Consol_Source[], $AK1013, M$832 )</f>
        <v>0.5721911903243917</v>
      </c>
      <c r="N1013" s="35">
        <f xml:space="preserve"> IF( tblFilterAll[[#This Row],[Gearing]] &lt; M$825, 4, IF( tblFilterAll[[#This Row],[Gearing]] &lt; M$826, 3, IF( tblFilterAll[[#This Row],[Gearing]] &lt; M$827, 2, 1 ) ) )</f>
        <v>1</v>
      </c>
      <c r="O1013" s="35">
        <f xml:space="preserve"> COUNTIFS( tblFilterAll[Include in output], 1, tblFilterAll[Gearing], "&gt;" &amp; tblFilterAll[[#This Row],[Gearing]] ) + 1</f>
        <v>32</v>
      </c>
      <c r="P1013" s="30" cm="1">
        <f t="array" ref="P1013" xml:space="preserve"> INDEX( VfM_Metrics_2023_Consol_Source[], $AK1013, P$832 )</f>
        <v>1.1783737760749255</v>
      </c>
      <c r="Q1013" s="35">
        <f xml:space="preserve"> IF( tblFilterAll[[#This Row],[EBITDA MRI Interest Cover]] &lt; P$825, 4, IF( tblFilterAll[[#This Row],[EBITDA MRI Interest Cover]] &lt; P$826, 3, IF( tblFilterAll[[#This Row],[EBITDA MRI Interest Cover]] &lt; P$827, 2, 1 ) ) )</f>
        <v>3</v>
      </c>
      <c r="R1013" s="35">
        <f xml:space="preserve"> COUNTIFS( tblFilterAll[Include in output], 1, tblFilterAll[EBITDA MRI Interest Cover], "&gt;" &amp; tblFilterAll[[#This Row],[EBITDA MRI Interest Cover]] ) + 1</f>
        <v>112</v>
      </c>
      <c r="S1013" s="32" cm="1">
        <f t="array" ref="S1013" xml:space="preserve"> INDEX( VfM_Metrics_2023_Consol_Source[], $AK1013, S$832 )</f>
        <v>4173.5330836454432</v>
      </c>
      <c r="T1013" s="35">
        <f xml:space="preserve"> IF( tblFilterAll[[#This Row],[Headline Social Housing Cost per unit]] &lt; S$825, 4, IF( tblFilterAll[[#This Row],[Headline Social Housing Cost per unit]] &lt; S$826, 3, IF( tblFilterAll[[#This Row],[Headline Social Housing Cost per unit]] &lt; S$827, 2, 1 ) ) )</f>
        <v>3</v>
      </c>
      <c r="U1013" s="35">
        <f xml:space="preserve"> COUNTIFS( tblFilterAll[Include in output], 1, tblFilterAll[Headline Social Housing Cost per unit], "&gt;" &amp; tblFilterAll[[#This Row],[Headline Social Housing Cost per unit]] ) + 1</f>
        <v>141</v>
      </c>
      <c r="V1013" s="30" cm="1">
        <f t="array" ref="V1013" xml:space="preserve"> INDEX( VfM_Metrics_2023_Consol_Source[], $AK1013, V$832 )</f>
        <v>0.27018255578093309</v>
      </c>
      <c r="W1013" s="35">
        <f xml:space="preserve"> IF( tblFilterAll[[#This Row],[Operating Margin (SHL)]] &lt; V$825, 4, IF( tblFilterAll[[#This Row],[Operating Margin (SHL)]] &lt; V$826, 3, IF( tblFilterAll[[#This Row],[Operating Margin (SHL)]] &lt; V$827, 2, 1 ) ) )</f>
        <v>1</v>
      </c>
      <c r="X1013" s="35">
        <f xml:space="preserve"> COUNTIFS( tblFilterAll[Include in output], 1, tblFilterAll[Operating Margin (SHL)], "&gt;" &amp; tblFilterAll[[#This Row],[Operating Margin (SHL)]] ) + 1</f>
        <v>43</v>
      </c>
      <c r="Y1013" s="30" cm="1">
        <f t="array" ref="Y1013" xml:space="preserve"> INDEX( VfM_Metrics_2023_Consol_Source[], $AK1013, Y$832 )</f>
        <v>0.26308111262400313</v>
      </c>
      <c r="Z1013" s="35">
        <f xml:space="preserve"> IF( tblFilterAll[[#This Row],[Operating Margin (Overall)]] &lt; Y$825, 4, IF( tblFilterAll[[#This Row],[Operating Margin (Overall)]] &lt; Y$826, 3, IF( tblFilterAll[[#This Row],[Operating Margin (Overall)]] &lt; Y$827, 2, 1 ) ) )</f>
        <v>1</v>
      </c>
      <c r="AA1013" s="35">
        <f xml:space="preserve"> COUNTIFS( tblFilterAll[Include in output], 1, tblFilterAll[Operating Margin (Overall)], "&gt;" &amp; tblFilterAll[[#This Row],[Operating Margin (Overall)]] ) + 1</f>
        <v>28</v>
      </c>
      <c r="AB1013" s="30" cm="1">
        <f t="array" ref="AB1013" xml:space="preserve"> INDEX( VfM_Metrics_2023_Consol_Source[], $AK1013, AB$832 )</f>
        <v>2.6134620421296818E-2</v>
      </c>
      <c r="AC1013" s="35">
        <f xml:space="preserve"> IF( tblFilterAll[[#This Row],[ROCE]] &lt; AB$825, 4, IF( tblFilterAll[[#This Row],[ROCE]] &lt; AB$826, 3, IF( tblFilterAll[[#This Row],[ROCE]] &lt; AB$827, 2, 1 ) ) )</f>
        <v>3</v>
      </c>
      <c r="AD1013" s="35">
        <f xml:space="preserve"> COUNTIFS( tblFilterAll[Include in output], 1, tblFilterAll[ROCE], "&gt;" &amp; tblFilterAll[[#This Row],[ROCE]] ) + 1</f>
        <v>117</v>
      </c>
      <c r="AE1013" s="33" cm="1" vm="1181">
        <f t="array" ref="AE1013" xml:space="preserve"> INDEX( VfM_Metrics_2023_Consol_Source[], $AK1013, AE$832 )</f>
        <v>1571</v>
      </c>
      <c r="AF1013" s="30" cm="1">
        <f t="array" ref="AF1013" xml:space="preserve"> INDEX( VfM_Metrics_2023_Consol_Source[], $AK1013, AF$832 )</f>
        <v>6.4208518753973293E-2</v>
      </c>
      <c r="AG1013" s="30" cm="1">
        <f t="array" ref="AG1013" xml:space="preserve"> INDEX( VfM_Metrics_2023_Consol_Source[], $AK1013, AG$832 )</f>
        <v>5.8486967577876671E-2</v>
      </c>
      <c r="AH1013" s="30" cm="1">
        <f t="array" ref="AH1013" xml:space="preserve"> INDEX( VfM_Metrics_2023_Consol_Source[], $AK1013, AH$832 )</f>
        <v>0.12269548633184996</v>
      </c>
      <c r="AI1013" s="30" t="str" cm="1">
        <f t="array" ref="AI1013" xml:space="preserve"> INDEX( VfM_Metrics_2023_Consol_Source[], $AK1013, AI$832 )</f>
        <v>Traditional</v>
      </c>
      <c r="AJ1013" s="34" t="str" cm="1">
        <f t="array" ref="AJ1013" xml:space="preserve"> INDEX( VfM_Metrics_2023_Consol_Source[], $AK1013, AJ$832 )</f>
        <v>East Midlands</v>
      </c>
      <c r="AK1013" s="81">
        <f xml:space="preserve"> MATCH( tblFilterAll[[#This Row],[Code]], VfM_Metrics_2023_Consol_Source[RP_Code], 0 )</f>
        <v>180</v>
      </c>
      <c r="AL1013" s="24">
        <f xml:space="preserve"> INDEX( tblFilterRegion[Include for region],  MATCH( tblFilterAll[[#This Row],[Code]], tblFilterRegion[RP_Code], 0 ) )</f>
        <v>1</v>
      </c>
      <c r="AM1013" s="24">
        <f xml:space="preserve"> INDEX( tblFilterPropType[Incl for prop type],  MATCH( tblFilterAll[[#This Row],[Code]], tblFilterPropType[RP_Code], 0 ) )</f>
        <v>1</v>
      </c>
      <c r="AN1013" s="24">
        <f xml:space="preserve"> INDEX( tblFilterSize[Incl for size],  MATCH( tblFilterAll[[#This Row],[Code]], tblFilterSize[RP_Code], 0 ) )</f>
        <v>1</v>
      </c>
      <c r="AO1013" s="24">
        <f xml:space="preserve"> INDEX( tblFilterRP_Type[Incl, for RP Type],  MATCH( tblFilterAll[[#This Row],[Code]], tblFilterRP_Type[RP_Code], 0 ) )</f>
        <v>1</v>
      </c>
      <c r="AP1013" s="24">
        <f xml:space="preserve">  -- ( SUM( tblFilterAll[[#This Row],[Filter Region]:[Filter RP Type]] ) = 4 )</f>
        <v>1</v>
      </c>
      <c r="AQ1013" s="24">
        <f xml:space="preserve"> -- ( tblFilterAll[[#This Row],[Provider name]] = SelectedProvider )</f>
        <v>0</v>
      </c>
      <c r="AR1013" s="24">
        <f xml:space="preserve">  -- ( OR( SUM( tblFilterAll[[#This Row],[Filter Region]:[Filter RP Type]] ) = 4, tblFilterAll[[#This Row],[SelectedProvider]] = 1 ) )</f>
        <v>1</v>
      </c>
      <c r="AS1013" s="24">
        <f xml:space="preserve"> -- ( INDEX( PeersCritera[Included in final peers], MATCH( tblFilterAll[[#This Row],[Provider name]], PeersCritera[RP_Name], 0 ) ) = 1 )</f>
        <v>1</v>
      </c>
      <c r="AT1013" s="30" t="str" cm="1">
        <f t="array" ref="AT1013" xml:space="preserve"> SUBSTITUTE( INDEX( VfM_Metrics_2023_Consol_Source[], $AK1013, AT$832 ), 0, "" )</f>
        <v/>
      </c>
      <c r="AU1013" s="34" cm="1">
        <f t="array" ref="AU1013" xml:space="preserve"> INDEX( VfM_Metrics_2023_Consol_Source[], $AK1013, AU$832 )</f>
        <v>0</v>
      </c>
      <c r="AV1013" s="34" cm="1">
        <f t="array" ref="AV1013" xml:space="preserve"> INDEX( VfM_Metrics_2023_Consol_Source[], $AK1013, AV$832 )</f>
        <v>0</v>
      </c>
      <c r="AW1013" s="34" cm="1">
        <f t="array" ref="AW1013" xml:space="preserve"> INDEX( VfM_Metrics_2023_Consol_Source[], $AK1013, AW$832 )</f>
        <v>0</v>
      </c>
      <c r="AX1013" s="34" cm="1">
        <f t="array" ref="AX1013" xml:space="preserve"> INDEX( VfM_Metrics_2023_Consol_Source[], $AK1013, AX$832 )</f>
        <v>0.97772119669000634</v>
      </c>
      <c r="AY1013" s="34" cm="1">
        <f t="array" ref="AY1013" xml:space="preserve"> INDEX( VfM_Metrics_2023_Consol_Source[], $AK1013, AY$832 )</f>
        <v>2.2278803309993635E-2</v>
      </c>
      <c r="AZ1013" s="34" cm="1">
        <f t="array" ref="AZ1013" xml:space="preserve"> INDEX( VfM_Metrics_2023_Consol_Source[], $AK1013, AZ$832 )</f>
        <v>0</v>
      </c>
      <c r="BA1013" s="34" cm="1">
        <f t="array" ref="BA1013" xml:space="preserve"> INDEX( VfM_Metrics_2023_Consol_Source[], $AK1013, BA$832 )</f>
        <v>0</v>
      </c>
      <c r="BB1013" s="34" cm="1">
        <f t="array" ref="BB1013" xml:space="preserve"> INDEX( VfM_Metrics_2023_Consol_Source[], $AK1013, BB$832 )</f>
        <v>0</v>
      </c>
      <c r="BC1013" s="34" cm="1">
        <f t="array" ref="BC1013" xml:space="preserve"> INDEX( VfM_Metrics_2023_Consol_Source[], $AK1013, BC$832 )</f>
        <v>0</v>
      </c>
    </row>
    <row r="1014" spans="2:55" x14ac:dyDescent="0.2">
      <c r="B1014" s="122" t="str" vm="181">
        <f t="shared" ref="B1014" si="520" xml:space="preserve"> B804</f>
        <v>Two Rivers Housing</v>
      </c>
      <c r="C1014" s="122" t="str" vm="333">
        <f t="shared" si="500"/>
        <v>L4385</v>
      </c>
      <c r="D1014" s="30" cm="1">
        <f t="array" ref="D1014" xml:space="preserve"> INDEX( VfM_Metrics_2023_Consol_Source[], $AK1014, D$832 )</f>
        <v>0.11024195213106917</v>
      </c>
      <c r="E1014" s="35">
        <f xml:space="preserve"> IF( tblFilterAll[[#This Row],[Reinvestment]] &lt; D$825, 4, IF( tblFilterAll[[#This Row],[Reinvestment]] &lt; D$826, 3, IF( tblFilterAll[[#This Row],[Reinvestment]] &lt; D$827, 2, 1 ) ) )</f>
        <v>1</v>
      </c>
      <c r="F1014" s="35">
        <f xml:space="preserve"> COUNTIFS( tblFilterAll[Include in output], 1, tblFilterAll[Reinvestment], "&gt;" &amp; tblFilterAll[[#This Row],[Reinvestment]] ) + 1</f>
        <v>27</v>
      </c>
      <c r="G1014" s="30" cm="1">
        <f t="array" ref="G1014" xml:space="preserve"> INDEX( VfM_Metrics_2023_Consol_Source[], $AK1014, G$832 )</f>
        <v>2.2582116788321168E-2</v>
      </c>
      <c r="H1014" s="35">
        <f xml:space="preserve"> IF( tblFilterAll[[#This Row],[New Supply (Social)]] &lt; G$825, 4, IF( tblFilterAll[[#This Row],[New Supply (Social)]] &lt; G$826, 3, IF( tblFilterAll[[#This Row],[New Supply (Social)]] &lt; G$827, 2, 1 ) ) )</f>
        <v>1</v>
      </c>
      <c r="I1014" s="35">
        <f xml:space="preserve"> COUNTIFS( tblFilterAll[Include in output], 1, tblFilterAll[New Supply (Social)], "&gt;" &amp; tblFilterAll[[#This Row],[New Supply (Social)]] ) + 1</f>
        <v>46</v>
      </c>
      <c r="J1014" s="31" cm="1">
        <f t="array" ref="J1014" xml:space="preserve"> INDEX( VfM_Metrics_2023_Consol_Source[], $AK1014, J$832 )</f>
        <v>0</v>
      </c>
      <c r="K1014" s="35">
        <f xml:space="preserve"> IF( tblFilterAll[[#This Row],[New Supply (Non-Social)]] &lt; J$825, 4, IF( tblFilterAll[[#This Row],[New Supply (Non-Social)]] &lt; J$826, 3, IF( tblFilterAll[[#This Row],[New Supply (Non-Social)]] &lt; J$827, 2, 1 ) ) )</f>
        <v>2</v>
      </c>
      <c r="L1014" s="35">
        <f xml:space="preserve"> COUNTIFS( tblFilterAll[Include in output], 1, tblFilterAll[New Supply (Non-Social)], "&gt;" &amp; tblFilterAll[[#This Row],[New Supply (Non-Social)]] ) + 1</f>
        <v>72</v>
      </c>
      <c r="M1014" s="30" cm="1">
        <f t="array" ref="M1014" xml:space="preserve"> INDEX( VfM_Metrics_2023_Consol_Source[], $AK1014, M$832 )</f>
        <v>0.67146333778777312</v>
      </c>
      <c r="N1014" s="35">
        <f xml:space="preserve"> IF( tblFilterAll[[#This Row],[Gearing]] &lt; M$825, 4, IF( tblFilterAll[[#This Row],[Gearing]] &lt; M$826, 3, IF( tblFilterAll[[#This Row],[Gearing]] &lt; M$827, 2, 1 ) ) )</f>
        <v>1</v>
      </c>
      <c r="O1014" s="35">
        <f xml:space="preserve"> COUNTIFS( tblFilterAll[Include in output], 1, tblFilterAll[Gearing], "&gt;" &amp; tblFilterAll[[#This Row],[Gearing]] ) + 1</f>
        <v>9</v>
      </c>
      <c r="P1014" s="30" cm="1">
        <f t="array" ref="P1014" xml:space="preserve"> INDEX( VfM_Metrics_2023_Consol_Source[], $AK1014, P$832 )</f>
        <v>1.5832565000921999</v>
      </c>
      <c r="Q1014" s="35">
        <f xml:space="preserve"> IF( tblFilterAll[[#This Row],[EBITDA MRI Interest Cover]] &lt; P$825, 4, IF( tblFilterAll[[#This Row],[EBITDA MRI Interest Cover]] &lt; P$826, 3, IF( tblFilterAll[[#This Row],[EBITDA MRI Interest Cover]] &lt; P$827, 2, 1 ) ) )</f>
        <v>2</v>
      </c>
      <c r="R1014" s="35">
        <f xml:space="preserve"> COUNTIFS( tblFilterAll[Include in output], 1, tblFilterAll[EBITDA MRI Interest Cover], "&gt;" &amp; tblFilterAll[[#This Row],[EBITDA MRI Interest Cover]] ) + 1</f>
        <v>58</v>
      </c>
      <c r="S1014" s="32" cm="1">
        <f t="array" ref="S1014" xml:space="preserve"> INDEX( VfM_Metrics_2023_Consol_Source[], $AK1014, S$832 )</f>
        <v>3954.0282203004094</v>
      </c>
      <c r="T1014" s="35">
        <f xml:space="preserve"> IF( tblFilterAll[[#This Row],[Headline Social Housing Cost per unit]] &lt; S$825, 4, IF( tblFilterAll[[#This Row],[Headline Social Housing Cost per unit]] &lt; S$826, 3, IF( tblFilterAll[[#This Row],[Headline Social Housing Cost per unit]] &lt; S$827, 2, 1 ) ) )</f>
        <v>4</v>
      </c>
      <c r="U1014" s="35">
        <f xml:space="preserve"> COUNTIFS( tblFilterAll[Include in output], 1, tblFilterAll[Headline Social Housing Cost per unit], "&gt;" &amp; tblFilterAll[[#This Row],[Headline Social Housing Cost per unit]] ) + 1</f>
        <v>169</v>
      </c>
      <c r="V1014" s="30" cm="1">
        <f t="array" ref="V1014" xml:space="preserve"> INDEX( VfM_Metrics_2023_Consol_Source[], $AK1014, V$832 )</f>
        <v>0.18476804555350862</v>
      </c>
      <c r="W1014" s="35">
        <f xml:space="preserve"> IF( tblFilterAll[[#This Row],[Operating Margin (SHL)]] &lt; V$825, 4, IF( tblFilterAll[[#This Row],[Operating Margin (SHL)]] &lt; V$826, 3, IF( tblFilterAll[[#This Row],[Operating Margin (SHL)]] &lt; V$827, 2, 1 ) ) )</f>
        <v>3</v>
      </c>
      <c r="X1014" s="35">
        <f xml:space="preserve"> COUNTIFS( tblFilterAll[Include in output], 1, tblFilterAll[Operating Margin (SHL)], "&gt;" &amp; tblFilterAll[[#This Row],[Operating Margin (SHL)]] ) + 1</f>
        <v>115</v>
      </c>
      <c r="Y1014" s="30" cm="1">
        <f t="array" ref="Y1014" xml:space="preserve"> INDEX( VfM_Metrics_2023_Consol_Source[], $AK1014, Y$832 )</f>
        <v>0.20481417428440335</v>
      </c>
      <c r="Z1014" s="35">
        <f xml:space="preserve"> IF( tblFilterAll[[#This Row],[Operating Margin (Overall)]] &lt; Y$825, 4, IF( tblFilterAll[[#This Row],[Operating Margin (Overall)]] &lt; Y$826, 3, IF( tblFilterAll[[#This Row],[Operating Margin (Overall)]] &lt; Y$827, 2, 1 ) ) )</f>
        <v>2</v>
      </c>
      <c r="AA1014" s="35">
        <f xml:space="preserve"> COUNTIFS( tblFilterAll[Include in output], 1, tblFilterAll[Operating Margin (Overall)], "&gt;" &amp; tblFilterAll[[#This Row],[Operating Margin (Overall)]] ) + 1</f>
        <v>77</v>
      </c>
      <c r="AB1014" s="30" cm="1">
        <f t="array" ref="AB1014" xml:space="preserve"> INDEX( VfM_Metrics_2023_Consol_Source[], $AK1014, AB$832 )</f>
        <v>3.0768877034856985E-2</v>
      </c>
      <c r="AC1014" s="35">
        <f xml:space="preserve"> IF( tblFilterAll[[#This Row],[ROCE]] &lt; AB$825, 4, IF( tblFilterAll[[#This Row],[ROCE]] &lt; AB$826, 3, IF( tblFilterAll[[#This Row],[ROCE]] &lt; AB$827, 2, 1 ) ) )</f>
        <v>2</v>
      </c>
      <c r="AD1014" s="35">
        <f xml:space="preserve"> COUNTIFS( tblFilterAll[Include in output], 1, tblFilterAll[ROCE], "&gt;" &amp; tblFilterAll[[#This Row],[ROCE]] ) + 1</f>
        <v>79</v>
      </c>
      <c r="AE1014" s="33" cm="1" vm="4476">
        <f t="array" ref="AE1014" xml:space="preserve"> INDEX( VfM_Metrics_2023_Consol_Source[], $AK1014, AE$832 )</f>
        <v>4384</v>
      </c>
      <c r="AF1014" s="30" cm="1">
        <f t="array" ref="AF1014" xml:space="preserve"> INDEX( VfM_Metrics_2023_Consol_Source[], $AK1014, AF$832 )</f>
        <v>0</v>
      </c>
      <c r="AG1014" s="30" cm="1">
        <f t="array" ref="AG1014" xml:space="preserve"> INDEX( VfM_Metrics_2023_Consol_Source[], $AK1014, AG$832 )</f>
        <v>0.13628034814475493</v>
      </c>
      <c r="AH1014" s="30" cm="1">
        <f t="array" ref="AH1014" xml:space="preserve"> INDEX( VfM_Metrics_2023_Consol_Source[], $AK1014, AH$832 )</f>
        <v>0.13628034814475493</v>
      </c>
      <c r="AI1014" s="30" t="str" cm="1">
        <f t="array" ref="AI1014" xml:space="preserve"> INDEX( VfM_Metrics_2023_Consol_Source[], $AK1014, AI$832 )</f>
        <v>Traditional</v>
      </c>
      <c r="AJ1014" s="34" t="str" cm="1">
        <f t="array" ref="AJ1014" xml:space="preserve"> INDEX( VfM_Metrics_2023_Consol_Source[], $AK1014, AJ$832 )</f>
        <v>South West</v>
      </c>
      <c r="AK1014" s="81">
        <f xml:space="preserve"> MATCH( tblFilterAll[[#This Row],[Code]], VfM_Metrics_2023_Consol_Source[RP_Code], 0 )</f>
        <v>181</v>
      </c>
      <c r="AL1014" s="24">
        <f xml:space="preserve"> INDEX( tblFilterRegion[Include for region],  MATCH( tblFilterAll[[#This Row],[Code]], tblFilterRegion[RP_Code], 0 ) )</f>
        <v>1</v>
      </c>
      <c r="AM1014" s="24">
        <f xml:space="preserve"> INDEX( tblFilterPropType[Incl for prop type],  MATCH( tblFilterAll[[#This Row],[Code]], tblFilterPropType[RP_Code], 0 ) )</f>
        <v>1</v>
      </c>
      <c r="AN1014" s="24">
        <f xml:space="preserve"> INDEX( tblFilterSize[Incl for size],  MATCH( tblFilterAll[[#This Row],[Code]], tblFilterSize[RP_Code], 0 ) )</f>
        <v>1</v>
      </c>
      <c r="AO1014" s="24">
        <f xml:space="preserve"> INDEX( tblFilterRP_Type[Incl, for RP Type],  MATCH( tblFilterAll[[#This Row],[Code]], tblFilterRP_Type[RP_Code], 0 ) )</f>
        <v>1</v>
      </c>
      <c r="AP1014" s="24">
        <f xml:space="preserve">  -- ( SUM( tblFilterAll[[#This Row],[Filter Region]:[Filter RP Type]] ) = 4 )</f>
        <v>1</v>
      </c>
      <c r="AQ1014" s="24">
        <f xml:space="preserve"> -- ( tblFilterAll[[#This Row],[Provider name]] = SelectedProvider )</f>
        <v>0</v>
      </c>
      <c r="AR1014" s="24">
        <f xml:space="preserve">  -- ( OR( SUM( tblFilterAll[[#This Row],[Filter Region]:[Filter RP Type]] ) = 4, tblFilterAll[[#This Row],[SelectedProvider]] = 1 ) )</f>
        <v>1</v>
      </c>
      <c r="AS1014" s="24">
        <f xml:space="preserve"> -- ( INDEX( PeersCritera[Included in final peers], MATCH( tblFilterAll[[#This Row],[Provider name]], PeersCritera[RP_Name], 0 ) ) = 1 )</f>
        <v>1</v>
      </c>
      <c r="AT1014" s="30" t="str" cm="1">
        <f t="array" ref="AT1014" xml:space="preserve"> SUBSTITUTE( INDEX( VfM_Metrics_2023_Consol_Source[], $AK1014, AT$832 ), 0, "" )</f>
        <v>&gt;= 12 years</v>
      </c>
      <c r="AU1014" s="34" cm="1">
        <f t="array" ref="AU1014" xml:space="preserve"> INDEX( VfM_Metrics_2023_Consol_Source[], $AK1014, AU$832 )</f>
        <v>0</v>
      </c>
      <c r="AV1014" s="34" cm="1">
        <f t="array" ref="AV1014" xml:space="preserve"> INDEX( VfM_Metrics_2023_Consol_Source[], $AK1014, AV$832 )</f>
        <v>0</v>
      </c>
      <c r="AW1014" s="34" cm="1">
        <f t="array" ref="AW1014" xml:space="preserve"> INDEX( VfM_Metrics_2023_Consol_Source[], $AK1014, AW$832 )</f>
        <v>0.99248975876194812</v>
      </c>
      <c r="AX1014" s="34" cm="1">
        <f t="array" ref="AX1014" xml:space="preserve"> INDEX( VfM_Metrics_2023_Consol_Source[], $AK1014, AX$832 )</f>
        <v>0</v>
      </c>
      <c r="AY1014" s="34" cm="1">
        <f t="array" ref="AY1014" xml:space="preserve"> INDEX( VfM_Metrics_2023_Consol_Source[], $AK1014, AY$832 )</f>
        <v>7.5102412380518889E-3</v>
      </c>
      <c r="AZ1014" s="34" cm="1">
        <f t="array" ref="AZ1014" xml:space="preserve"> INDEX( VfM_Metrics_2023_Consol_Source[], $AK1014, AZ$832 )</f>
        <v>0</v>
      </c>
      <c r="BA1014" s="34" cm="1">
        <f t="array" ref="BA1014" xml:space="preserve"> INDEX( VfM_Metrics_2023_Consol_Source[], $AK1014, BA$832 )</f>
        <v>0</v>
      </c>
      <c r="BB1014" s="34" cm="1">
        <f t="array" ref="BB1014" xml:space="preserve"> INDEX( VfM_Metrics_2023_Consol_Source[], $AK1014, BB$832 )</f>
        <v>0</v>
      </c>
      <c r="BC1014" s="34" cm="1">
        <f t="array" ref="BC1014" xml:space="preserve"> INDEX( VfM_Metrics_2023_Consol_Source[], $AK1014, BC$832 )</f>
        <v>0</v>
      </c>
    </row>
    <row r="1015" spans="2:55" x14ac:dyDescent="0.2">
      <c r="B1015" s="122" t="str" vm="182">
        <f t="shared" ref="B1015" si="521" xml:space="preserve"> B805</f>
        <v>Unity Housing Association Limited</v>
      </c>
      <c r="C1015" s="122" t="str" vm="229">
        <f t="shared" si="500"/>
        <v>LH3737</v>
      </c>
      <c r="D1015" s="30" cm="1">
        <f t="array" ref="D1015" xml:space="preserve"> INDEX( VfM_Metrics_2023_Consol_Source[], $AK1015, D$832 )</f>
        <v>1.8424576924637798E-2</v>
      </c>
      <c r="E1015" s="35">
        <f xml:space="preserve"> IF( tblFilterAll[[#This Row],[Reinvestment]] &lt; D$825, 4, IF( tblFilterAll[[#This Row],[Reinvestment]] &lt; D$826, 3, IF( tblFilterAll[[#This Row],[Reinvestment]] &lt; D$827, 2, 1 ) ) )</f>
        <v>4</v>
      </c>
      <c r="F1015" s="35">
        <f xml:space="preserve"> COUNTIFS( tblFilterAll[Include in output], 1, tblFilterAll[Reinvestment], "&gt;" &amp; tblFilterAll[[#This Row],[Reinvestment]] ) + 1</f>
        <v>191</v>
      </c>
      <c r="G1015" s="30" cm="1">
        <f t="array" ref="G1015" xml:space="preserve"> INDEX( VfM_Metrics_2023_Consol_Source[], $AK1015, G$832 )</f>
        <v>1.0783608914450037E-2</v>
      </c>
      <c r="H1015" s="35">
        <f xml:space="preserve"> IF( tblFilterAll[[#This Row],[New Supply (Social)]] &lt; G$825, 4, IF( tblFilterAll[[#This Row],[New Supply (Social)]] &lt; G$826, 3, IF( tblFilterAll[[#This Row],[New Supply (Social)]] &lt; G$827, 2, 1 ) ) )</f>
        <v>3</v>
      </c>
      <c r="I1015" s="35">
        <f xml:space="preserve"> COUNTIFS( tblFilterAll[Include in output], 1, tblFilterAll[New Supply (Social)], "&gt;" &amp; tblFilterAll[[#This Row],[New Supply (Social)]] ) + 1</f>
        <v>118</v>
      </c>
      <c r="J1015" s="31" cm="1">
        <f t="array" ref="J1015" xml:space="preserve"> INDEX( VfM_Metrics_2023_Consol_Source[], $AK1015, J$832 )</f>
        <v>0</v>
      </c>
      <c r="K1015" s="35">
        <f xml:space="preserve"> IF( tblFilterAll[[#This Row],[New Supply (Non-Social)]] &lt; J$825, 4, IF( tblFilterAll[[#This Row],[New Supply (Non-Social)]] &lt; J$826, 3, IF( tblFilterAll[[#This Row],[New Supply (Non-Social)]] &lt; J$827, 2, 1 ) ) )</f>
        <v>2</v>
      </c>
      <c r="L1015" s="35">
        <f xml:space="preserve"> COUNTIFS( tblFilterAll[Include in output], 1, tblFilterAll[New Supply (Non-Social)], "&gt;" &amp; tblFilterAll[[#This Row],[New Supply (Non-Social)]] ) + 1</f>
        <v>72</v>
      </c>
      <c r="M1015" s="30" cm="1">
        <f t="array" ref="M1015" xml:space="preserve"> INDEX( VfM_Metrics_2023_Consol_Source[], $AK1015, M$832 )</f>
        <v>0.21322186599569823</v>
      </c>
      <c r="N1015" s="35">
        <f xml:space="preserve"> IF( tblFilterAll[[#This Row],[Gearing]] &lt; M$825, 4, IF( tblFilterAll[[#This Row],[Gearing]] &lt; M$826, 3, IF( tblFilterAll[[#This Row],[Gearing]] &lt; M$827, 2, 1 ) ) )</f>
        <v>4</v>
      </c>
      <c r="O1015" s="35">
        <f xml:space="preserve"> COUNTIFS( tblFilterAll[Include in output], 1, tblFilterAll[Gearing], "&gt;" &amp; tblFilterAll[[#This Row],[Gearing]] ) + 1</f>
        <v>176</v>
      </c>
      <c r="P1015" s="30" cm="1">
        <f t="array" ref="P1015" xml:space="preserve"> INDEX( VfM_Metrics_2023_Consol_Source[], $AK1015, P$832 )</f>
        <v>2.6608579088471851</v>
      </c>
      <c r="Q1015" s="35">
        <f xml:space="preserve"> IF( tblFilterAll[[#This Row],[EBITDA MRI Interest Cover]] &lt; P$825, 4, IF( tblFilterAll[[#This Row],[EBITDA MRI Interest Cover]] &lt; P$826, 3, IF( tblFilterAll[[#This Row],[EBITDA MRI Interest Cover]] &lt; P$827, 2, 1 ) ) )</f>
        <v>1</v>
      </c>
      <c r="R1015" s="35">
        <f xml:space="preserve"> COUNTIFS( tblFilterAll[Include in output], 1, tblFilterAll[EBITDA MRI Interest Cover], "&gt;" &amp; tblFilterAll[[#This Row],[EBITDA MRI Interest Cover]] ) + 1</f>
        <v>10</v>
      </c>
      <c r="S1015" s="32" cm="1">
        <f t="array" ref="S1015" xml:space="preserve"> INDEX( VfM_Metrics_2023_Consol_Source[], $AK1015, S$832 )</f>
        <v>3968.2310469314079</v>
      </c>
      <c r="T1015" s="35">
        <f xml:space="preserve"> IF( tblFilterAll[[#This Row],[Headline Social Housing Cost per unit]] &lt; S$825, 4, IF( tblFilterAll[[#This Row],[Headline Social Housing Cost per unit]] &lt; S$826, 3, IF( tblFilterAll[[#This Row],[Headline Social Housing Cost per unit]] &lt; S$827, 2, 1 ) ) )</f>
        <v>4</v>
      </c>
      <c r="U1015" s="35">
        <f xml:space="preserve"> COUNTIFS( tblFilterAll[Include in output], 1, tblFilterAll[Headline Social Housing Cost per unit], "&gt;" &amp; tblFilterAll[[#This Row],[Headline Social Housing Cost per unit]] ) + 1</f>
        <v>168</v>
      </c>
      <c r="V1015" s="30" cm="1">
        <f t="array" ref="V1015" xml:space="preserve"> INDEX( VfM_Metrics_2023_Consol_Source[], $AK1015, V$832 )</f>
        <v>0.16843551005119242</v>
      </c>
      <c r="W1015" s="35">
        <f xml:space="preserve"> IF( tblFilterAll[[#This Row],[Operating Margin (SHL)]] &lt; V$825, 4, IF( tblFilterAll[[#This Row],[Operating Margin (SHL)]] &lt; V$826, 3, IF( tblFilterAll[[#This Row],[Operating Margin (SHL)]] &lt; V$827, 2, 1 ) ) )</f>
        <v>3</v>
      </c>
      <c r="X1015" s="35">
        <f xml:space="preserve"> COUNTIFS( tblFilterAll[Include in output], 1, tblFilterAll[Operating Margin (SHL)], "&gt;" &amp; tblFilterAll[[#This Row],[Operating Margin (SHL)]] ) + 1</f>
        <v>129</v>
      </c>
      <c r="Y1015" s="30" cm="1">
        <f t="array" ref="Y1015" xml:space="preserve"> INDEX( VfM_Metrics_2023_Consol_Source[], $AK1015, Y$832 )</f>
        <v>0.15480791088883838</v>
      </c>
      <c r="Z1015" s="35">
        <f xml:space="preserve"> IF( tblFilterAll[[#This Row],[Operating Margin (Overall)]] &lt; Y$825, 4, IF( tblFilterAll[[#This Row],[Operating Margin (Overall)]] &lt; Y$826, 3, IF( tblFilterAll[[#This Row],[Operating Margin (Overall)]] &lt; Y$827, 2, 1 ) ) )</f>
        <v>3</v>
      </c>
      <c r="AA1015" s="35">
        <f xml:space="preserve"> COUNTIFS( tblFilterAll[Include in output], 1, tblFilterAll[Operating Margin (Overall)], "&gt;" &amp; tblFilterAll[[#This Row],[Operating Margin (Overall)]] ) + 1</f>
        <v>127</v>
      </c>
      <c r="AB1015" s="30" cm="1">
        <f t="array" ref="AB1015" xml:space="preserve"> INDEX( VfM_Metrics_2023_Consol_Source[], $AK1015, AB$832 )</f>
        <v>1.8591385639210922E-2</v>
      </c>
      <c r="AC1015" s="35">
        <f xml:space="preserve"> IF( tblFilterAll[[#This Row],[ROCE]] &lt; AB$825, 4, IF( tblFilterAll[[#This Row],[ROCE]] &lt; AB$826, 3, IF( tblFilterAll[[#This Row],[ROCE]] &lt; AB$827, 2, 1 ) ) )</f>
        <v>4</v>
      </c>
      <c r="AD1015" s="35">
        <f xml:space="preserve"> COUNTIFS( tblFilterAll[Include in output], 1, tblFilterAll[ROCE], "&gt;" &amp; tblFilterAll[[#This Row],[ROCE]] ) + 1</f>
        <v>167</v>
      </c>
      <c r="AE1015" s="33" cm="1" vm="8730">
        <f t="array" ref="AE1015" xml:space="preserve"> INDEX( VfM_Metrics_2023_Consol_Source[], $AK1015, AE$832 )</f>
        <v>1385</v>
      </c>
      <c r="AF1015" s="30" cm="1">
        <f t="array" ref="AF1015" xml:space="preserve"> INDEX( VfM_Metrics_2023_Consol_Source[], $AK1015, AF$832 )</f>
        <v>1.3708513708513708E-2</v>
      </c>
      <c r="AG1015" s="30" cm="1">
        <f t="array" ref="AG1015" xml:space="preserve"> INDEX( VfM_Metrics_2023_Consol_Source[], $AK1015, AG$832 )</f>
        <v>0</v>
      </c>
      <c r="AH1015" s="30" cm="1">
        <f t="array" ref="AH1015" xml:space="preserve"> INDEX( VfM_Metrics_2023_Consol_Source[], $AK1015, AH$832 )</f>
        <v>1.3708513708513708E-2</v>
      </c>
      <c r="AI1015" s="30" t="str" cm="1">
        <f t="array" ref="AI1015" xml:space="preserve"> INDEX( VfM_Metrics_2023_Consol_Source[], $AK1015, AI$832 )</f>
        <v>Traditional</v>
      </c>
      <c r="AJ1015" s="34" t="str" cm="1">
        <f t="array" ref="AJ1015" xml:space="preserve"> INDEX( VfM_Metrics_2023_Consol_Source[], $AK1015, AJ$832 )</f>
        <v>Yorkshire &amp; the Humber</v>
      </c>
      <c r="AK1015" s="81">
        <f xml:space="preserve"> MATCH( tblFilterAll[[#This Row],[Code]], VfM_Metrics_2023_Consol_Source[RP_Code], 0 )</f>
        <v>182</v>
      </c>
      <c r="AL1015" s="24">
        <f xml:space="preserve"> INDEX( tblFilterRegion[Include for region],  MATCH( tblFilterAll[[#This Row],[Code]], tblFilterRegion[RP_Code], 0 ) )</f>
        <v>1</v>
      </c>
      <c r="AM1015" s="24">
        <f xml:space="preserve"> INDEX( tblFilterPropType[Incl for prop type],  MATCH( tblFilterAll[[#This Row],[Code]], tblFilterPropType[RP_Code], 0 ) )</f>
        <v>1</v>
      </c>
      <c r="AN1015" s="24">
        <f xml:space="preserve"> INDEX( tblFilterSize[Incl for size],  MATCH( tblFilterAll[[#This Row],[Code]], tblFilterSize[RP_Code], 0 ) )</f>
        <v>1</v>
      </c>
      <c r="AO1015" s="24">
        <f xml:space="preserve"> INDEX( tblFilterRP_Type[Incl, for RP Type],  MATCH( tblFilterAll[[#This Row],[Code]], tblFilterRP_Type[RP_Code], 0 ) )</f>
        <v>1</v>
      </c>
      <c r="AP1015" s="24">
        <f xml:space="preserve">  -- ( SUM( tblFilterAll[[#This Row],[Filter Region]:[Filter RP Type]] ) = 4 )</f>
        <v>1</v>
      </c>
      <c r="AQ1015" s="24">
        <f xml:space="preserve"> -- ( tblFilterAll[[#This Row],[Provider name]] = SelectedProvider )</f>
        <v>0</v>
      </c>
      <c r="AR1015" s="24">
        <f xml:space="preserve">  -- ( OR( SUM( tblFilterAll[[#This Row],[Filter Region]:[Filter RP Type]] ) = 4, tblFilterAll[[#This Row],[SelectedProvider]] = 1 ) )</f>
        <v>1</v>
      </c>
      <c r="AS1015" s="24">
        <f xml:space="preserve"> -- ( INDEX( PeersCritera[Included in final peers], MATCH( tblFilterAll[[#This Row],[Provider name]], PeersCritera[RP_Name], 0 ) ) = 1 )</f>
        <v>1</v>
      </c>
      <c r="AT1015" s="30" t="str" cm="1">
        <f t="array" ref="AT1015" xml:space="preserve"> SUBSTITUTE( INDEX( VfM_Metrics_2023_Consol_Source[], $AK1015, AT$832 ), 0, "" )</f>
        <v/>
      </c>
      <c r="AU1015" s="34" cm="1">
        <f t="array" ref="AU1015" xml:space="preserve"> INDEX( VfM_Metrics_2023_Consol_Source[], $AK1015, AU$832 )</f>
        <v>0</v>
      </c>
      <c r="AV1015" s="34" cm="1">
        <f t="array" ref="AV1015" xml:space="preserve"> INDEX( VfM_Metrics_2023_Consol_Source[], $AK1015, AV$832 )</f>
        <v>0</v>
      </c>
      <c r="AW1015" s="34" cm="1">
        <f t="array" ref="AW1015" xml:space="preserve"> INDEX( VfM_Metrics_2023_Consol_Source[], $AK1015, AW$832 )</f>
        <v>0</v>
      </c>
      <c r="AX1015" s="34" cm="1">
        <f t="array" ref="AX1015" xml:space="preserve"> INDEX( VfM_Metrics_2023_Consol_Source[], $AK1015, AX$832 )</f>
        <v>0</v>
      </c>
      <c r="AY1015" s="34" cm="1">
        <f t="array" ref="AY1015" xml:space="preserve"> INDEX( VfM_Metrics_2023_Consol_Source[], $AK1015, AY$832 )</f>
        <v>0</v>
      </c>
      <c r="AZ1015" s="34" cm="1">
        <f t="array" ref="AZ1015" xml:space="preserve"> INDEX( VfM_Metrics_2023_Consol_Source[], $AK1015, AZ$832 )</f>
        <v>0</v>
      </c>
      <c r="BA1015" s="34" cm="1">
        <f t="array" ref="BA1015" xml:space="preserve"> INDEX( VfM_Metrics_2023_Consol_Source[], $AK1015, BA$832 )</f>
        <v>0</v>
      </c>
      <c r="BB1015" s="34" cm="1">
        <f t="array" ref="BB1015" xml:space="preserve"> INDEX( VfM_Metrics_2023_Consol_Source[], $AK1015, BB$832 )</f>
        <v>0</v>
      </c>
      <c r="BC1015" s="34" cm="1">
        <f t="array" ref="BC1015" xml:space="preserve"> INDEX( VfM_Metrics_2023_Consol_Source[], $AK1015, BC$832 )</f>
        <v>1</v>
      </c>
    </row>
    <row r="1016" spans="2:55" x14ac:dyDescent="0.2">
      <c r="B1016" s="122" t="str" vm="183">
        <f t="shared" ref="B1016" si="522" xml:space="preserve"> B806</f>
        <v>Vivid Housing Limited</v>
      </c>
      <c r="C1016" s="122" t="str" vm="264">
        <f t="shared" si="500"/>
        <v>4850</v>
      </c>
      <c r="D1016" s="30" cm="1">
        <f t="array" ref="D1016" xml:space="preserve"> INDEX( VfM_Metrics_2023_Consol_Source[], $AK1016, D$832 )</f>
        <v>0.10096406791502741</v>
      </c>
      <c r="E1016" s="35">
        <f xml:space="preserve"> IF( tblFilterAll[[#This Row],[Reinvestment]] &lt; D$825, 4, IF( tblFilterAll[[#This Row],[Reinvestment]] &lt; D$826, 3, IF( tblFilterAll[[#This Row],[Reinvestment]] &lt; D$827, 2, 1 ) ) )</f>
        <v>1</v>
      </c>
      <c r="F1016" s="35">
        <f xml:space="preserve"> COUNTIFS( tblFilterAll[Include in output], 1, tblFilterAll[Reinvestment], "&gt;" &amp; tblFilterAll[[#This Row],[Reinvestment]] ) + 1</f>
        <v>38</v>
      </c>
      <c r="G1016" s="30" cm="1">
        <f t="array" ref="G1016" xml:space="preserve"> INDEX( VfM_Metrics_2023_Consol_Source[], $AK1016, G$832 )</f>
        <v>3.3091374893253631E-2</v>
      </c>
      <c r="H1016" s="35">
        <f xml:space="preserve"> IF( tblFilterAll[[#This Row],[New Supply (Social)]] &lt; G$825, 4, IF( tblFilterAll[[#This Row],[New Supply (Social)]] &lt; G$826, 3, IF( tblFilterAll[[#This Row],[New Supply (Social)]] &lt; G$827, 2, 1 ) ) )</f>
        <v>1</v>
      </c>
      <c r="I1016" s="35">
        <f xml:space="preserve"> COUNTIFS( tblFilterAll[Include in output], 1, tblFilterAll[New Supply (Social)], "&gt;" &amp; tblFilterAll[[#This Row],[New Supply (Social)]] ) + 1</f>
        <v>15</v>
      </c>
      <c r="J1016" s="31" cm="1">
        <f t="array" ref="J1016" xml:space="preserve"> INDEX( VfM_Metrics_2023_Consol_Source[], $AK1016, J$832 )</f>
        <v>4.245591116917048E-3</v>
      </c>
      <c r="K1016" s="35">
        <f xml:space="preserve"> IF( tblFilterAll[[#This Row],[New Supply (Non-Social)]] &lt; J$825, 4, IF( tblFilterAll[[#This Row],[New Supply (Non-Social)]] &lt; J$826, 3, IF( tblFilterAll[[#This Row],[New Supply (Non-Social)]] &lt; J$827, 2, 1 ) ) )</f>
        <v>1</v>
      </c>
      <c r="L1016" s="35">
        <f xml:space="preserve"> COUNTIFS( tblFilterAll[Include in output], 1, tblFilterAll[New Supply (Non-Social)], "&gt;" &amp; tblFilterAll[[#This Row],[New Supply (Non-Social)]] ) + 1</f>
        <v>24</v>
      </c>
      <c r="M1016" s="30" cm="1">
        <f t="array" ref="M1016" xml:space="preserve"> INDEX( VfM_Metrics_2023_Consol_Source[], $AK1016, M$832 )</f>
        <v>0.54420348663419027</v>
      </c>
      <c r="N1016" s="35">
        <f xml:space="preserve"> IF( tblFilterAll[[#This Row],[Gearing]] &lt; M$825, 4, IF( tblFilterAll[[#This Row],[Gearing]] &lt; M$826, 3, IF( tblFilterAll[[#This Row],[Gearing]] &lt; M$827, 2, 1 ) ) )</f>
        <v>1</v>
      </c>
      <c r="O1016" s="35">
        <f xml:space="preserve"> COUNTIFS( tblFilterAll[Include in output], 1, tblFilterAll[Gearing], "&gt;" &amp; tblFilterAll[[#This Row],[Gearing]] ) + 1</f>
        <v>44</v>
      </c>
      <c r="P1016" s="30" cm="1">
        <f t="array" ref="P1016" xml:space="preserve"> INDEX( VfM_Metrics_2023_Consol_Source[], $AK1016, P$832 )</f>
        <v>1.8537383523147464</v>
      </c>
      <c r="Q1016" s="35">
        <f xml:space="preserve"> IF( tblFilterAll[[#This Row],[EBITDA MRI Interest Cover]] &lt; P$825, 4, IF( tblFilterAll[[#This Row],[EBITDA MRI Interest Cover]] &lt; P$826, 3, IF( tblFilterAll[[#This Row],[EBITDA MRI Interest Cover]] &lt; P$827, 2, 1 ) ) )</f>
        <v>1</v>
      </c>
      <c r="R1016" s="35">
        <f xml:space="preserve"> COUNTIFS( tblFilterAll[Include in output], 1, tblFilterAll[EBITDA MRI Interest Cover], "&gt;" &amp; tblFilterAll[[#This Row],[EBITDA MRI Interest Cover]] ) + 1</f>
        <v>37</v>
      </c>
      <c r="S1016" s="32" cm="1">
        <f t="array" ref="S1016" xml:space="preserve"> INDEX( VfM_Metrics_2023_Consol_Source[], $AK1016, S$832 )</f>
        <v>3919.1157597535935</v>
      </c>
      <c r="T1016" s="35">
        <f xml:space="preserve"> IF( tblFilterAll[[#This Row],[Headline Social Housing Cost per unit]] &lt; S$825, 4, IF( tblFilterAll[[#This Row],[Headline Social Housing Cost per unit]] &lt; S$826, 3, IF( tblFilterAll[[#This Row],[Headline Social Housing Cost per unit]] &lt; S$827, 2, 1 ) ) )</f>
        <v>4</v>
      </c>
      <c r="U1016" s="35">
        <f xml:space="preserve"> COUNTIFS( tblFilterAll[Include in output], 1, tblFilterAll[Headline Social Housing Cost per unit], "&gt;" &amp; tblFilterAll[[#This Row],[Headline Social Housing Cost per unit]] ) + 1</f>
        <v>172</v>
      </c>
      <c r="V1016" s="30" cm="1">
        <f t="array" ref="V1016" xml:space="preserve"> INDEX( VfM_Metrics_2023_Consol_Source[], $AK1016, V$832 )</f>
        <v>0.42938720433366906</v>
      </c>
      <c r="W1016" s="35">
        <f xml:space="preserve"> IF( tblFilterAll[[#This Row],[Operating Margin (SHL)]] &lt; V$825, 4, IF( tblFilterAll[[#This Row],[Operating Margin (SHL)]] &lt; V$826, 3, IF( tblFilterAll[[#This Row],[Operating Margin (SHL)]] &lt; V$827, 2, 1 ) ) )</f>
        <v>1</v>
      </c>
      <c r="X1016" s="35">
        <f xml:space="preserve"> COUNTIFS( tblFilterAll[Include in output], 1, tblFilterAll[Operating Margin (SHL)], "&gt;" &amp; tblFilterAll[[#This Row],[Operating Margin (SHL)]] ) + 1</f>
        <v>1</v>
      </c>
      <c r="Y1016" s="30" cm="1">
        <f t="array" ref="Y1016" xml:space="preserve"> INDEX( VfM_Metrics_2023_Consol_Source[], $AK1016, Y$832 )</f>
        <v>0.31896158052227419</v>
      </c>
      <c r="Z1016" s="35">
        <f xml:space="preserve"> IF( tblFilterAll[[#This Row],[Operating Margin (Overall)]] &lt; Y$825, 4, IF( tblFilterAll[[#This Row],[Operating Margin (Overall)]] &lt; Y$826, 3, IF( tblFilterAll[[#This Row],[Operating Margin (Overall)]] &lt; Y$827, 2, 1 ) ) )</f>
        <v>1</v>
      </c>
      <c r="AA1016" s="35">
        <f xml:space="preserve"> COUNTIFS( tblFilterAll[Include in output], 1, tblFilterAll[Operating Margin (Overall)], "&gt;" &amp; tblFilterAll[[#This Row],[Operating Margin (Overall)]] ) + 1</f>
        <v>8</v>
      </c>
      <c r="AB1016" s="30" cm="1">
        <f t="array" ref="AB1016" xml:space="preserve"> INDEX( VfM_Metrics_2023_Consol_Source[], $AK1016, AB$832 )</f>
        <v>3.8220435148093743E-2</v>
      </c>
      <c r="AC1016" s="35">
        <f xml:space="preserve"> IF( tblFilterAll[[#This Row],[ROCE]] &lt; AB$825, 4, IF( tblFilterAll[[#This Row],[ROCE]] &lt; AB$826, 3, IF( tblFilterAll[[#This Row],[ROCE]] &lt; AB$827, 2, 1 ) ) )</f>
        <v>1</v>
      </c>
      <c r="AD1016" s="35">
        <f xml:space="preserve"> COUNTIFS( tblFilterAll[Include in output], 1, tblFilterAll[ROCE], "&gt;" &amp; tblFilterAll[[#This Row],[ROCE]] ) + 1</f>
        <v>38</v>
      </c>
      <c r="AE1016" s="33" cm="1" vm="2143">
        <f t="array" ref="AE1016" xml:space="preserve"> INDEX( VfM_Metrics_2023_Consol_Source[], $AK1016, AE$832 )</f>
        <v>31005</v>
      </c>
      <c r="AF1016" s="30" cm="1">
        <f t="array" ref="AF1016" xml:space="preserve"> INDEX( VfM_Metrics_2023_Consol_Source[], $AK1016, AF$832 )</f>
        <v>7.7926312357352459E-3</v>
      </c>
      <c r="AG1016" s="30" cm="1">
        <f t="array" ref="AG1016" xml:space="preserve"> INDEX( VfM_Metrics_2023_Consol_Source[], $AK1016, AG$832 )</f>
        <v>3.8245842843169224E-2</v>
      </c>
      <c r="AH1016" s="30" cm="1">
        <f t="array" ref="AH1016" xml:space="preserve"> INDEX( VfM_Metrics_2023_Consol_Source[], $AK1016, AH$832 )</f>
        <v>4.6038474078904469E-2</v>
      </c>
      <c r="AI1016" s="30" t="str" cm="1">
        <f t="array" ref="AI1016" xml:space="preserve"> INDEX( VfM_Metrics_2023_Consol_Source[], $AK1016, AI$832 )</f>
        <v>Traditional</v>
      </c>
      <c r="AJ1016" s="34" t="str" cm="1">
        <f t="array" ref="AJ1016" xml:space="preserve"> INDEX( VfM_Metrics_2023_Consol_Source[], $AK1016, AJ$832 )</f>
        <v>South East</v>
      </c>
      <c r="AK1016" s="81">
        <f xml:space="preserve"> MATCH( tblFilterAll[[#This Row],[Code]], VfM_Metrics_2023_Consol_Source[RP_Code], 0 )</f>
        <v>183</v>
      </c>
      <c r="AL1016" s="24">
        <f xml:space="preserve"> INDEX( tblFilterRegion[Include for region],  MATCH( tblFilterAll[[#This Row],[Code]], tblFilterRegion[RP_Code], 0 ) )</f>
        <v>1</v>
      </c>
      <c r="AM1016" s="24">
        <f xml:space="preserve"> INDEX( tblFilterPropType[Incl for prop type],  MATCH( tblFilterAll[[#This Row],[Code]], tblFilterPropType[RP_Code], 0 ) )</f>
        <v>1</v>
      </c>
      <c r="AN1016" s="24">
        <f xml:space="preserve"> INDEX( tblFilterSize[Incl for size],  MATCH( tblFilterAll[[#This Row],[Code]], tblFilterSize[RP_Code], 0 ) )</f>
        <v>1</v>
      </c>
      <c r="AO1016" s="24">
        <f xml:space="preserve"> INDEX( tblFilterRP_Type[Incl, for RP Type],  MATCH( tblFilterAll[[#This Row],[Code]], tblFilterRP_Type[RP_Code], 0 ) )</f>
        <v>1</v>
      </c>
      <c r="AP1016" s="24">
        <f xml:space="preserve">  -- ( SUM( tblFilterAll[[#This Row],[Filter Region]:[Filter RP Type]] ) = 4 )</f>
        <v>1</v>
      </c>
      <c r="AQ1016" s="24">
        <f xml:space="preserve"> -- ( tblFilterAll[[#This Row],[Provider name]] = SelectedProvider )</f>
        <v>0</v>
      </c>
      <c r="AR1016" s="24">
        <f xml:space="preserve">  -- ( OR( SUM( tblFilterAll[[#This Row],[Filter Region]:[Filter RP Type]] ) = 4, tblFilterAll[[#This Row],[SelectedProvider]] = 1 ) )</f>
        <v>1</v>
      </c>
      <c r="AS1016" s="24">
        <f xml:space="preserve"> -- ( INDEX( PeersCritera[Included in final peers], MATCH( tblFilterAll[[#This Row],[Provider name]], PeersCritera[RP_Name], 0 ) ) = 1 )</f>
        <v>1</v>
      </c>
      <c r="AT1016" s="30" t="str" cm="1">
        <f t="array" ref="AT1016" xml:space="preserve"> SUBSTITUTE( INDEX( VfM_Metrics_2023_Consol_Source[], $AK1016, AT$832 ), 0, "" )</f>
        <v>&gt;= 12 years</v>
      </c>
      <c r="AU1016" s="34" cm="1">
        <f t="array" ref="AU1016" xml:space="preserve"> INDEX( VfM_Metrics_2023_Consol_Source[], $AK1016, AU$832 )</f>
        <v>0</v>
      </c>
      <c r="AV1016" s="34" cm="1">
        <f t="array" ref="AV1016" xml:space="preserve"> INDEX( VfM_Metrics_2023_Consol_Source[], $AK1016, AV$832 )</f>
        <v>0.99922593130140303</v>
      </c>
      <c r="AW1016" s="34" cm="1">
        <f t="array" ref="AW1016" xml:space="preserve"> INDEX( VfM_Metrics_2023_Consol_Source[], $AK1016, AW$832 )</f>
        <v>7.740686985970005E-4</v>
      </c>
      <c r="AX1016" s="34" cm="1">
        <f t="array" ref="AX1016" xml:space="preserve"> INDEX( VfM_Metrics_2023_Consol_Source[], $AK1016, AX$832 )</f>
        <v>0</v>
      </c>
      <c r="AY1016" s="34" cm="1">
        <f t="array" ref="AY1016" xml:space="preserve"> INDEX( VfM_Metrics_2023_Consol_Source[], $AK1016, AY$832 )</f>
        <v>0</v>
      </c>
      <c r="AZ1016" s="34" cm="1">
        <f t="array" ref="AZ1016" xml:space="preserve"> INDEX( VfM_Metrics_2023_Consol_Source[], $AK1016, AZ$832 )</f>
        <v>0</v>
      </c>
      <c r="BA1016" s="34" cm="1">
        <f t="array" ref="BA1016" xml:space="preserve"> INDEX( VfM_Metrics_2023_Consol_Source[], $AK1016, BA$832 )</f>
        <v>0</v>
      </c>
      <c r="BB1016" s="34" cm="1">
        <f t="array" ref="BB1016" xml:space="preserve"> INDEX( VfM_Metrics_2023_Consol_Source[], $AK1016, BB$832 )</f>
        <v>0</v>
      </c>
      <c r="BC1016" s="34" cm="1">
        <f t="array" ref="BC1016" xml:space="preserve"> INDEX( VfM_Metrics_2023_Consol_Source[], $AK1016, BC$832 )</f>
        <v>0</v>
      </c>
    </row>
    <row r="1017" spans="2:55" x14ac:dyDescent="0.2">
      <c r="B1017" s="122" t="str" vm="184">
        <f t="shared" ref="B1017" si="523" xml:space="preserve"> B807</f>
        <v>Wakefield And District Housing Limited</v>
      </c>
      <c r="C1017" s="122" t="str" vm="257">
        <f t="shared" si="500"/>
        <v>L4441</v>
      </c>
      <c r="D1017" s="30" cm="1">
        <f t="array" ref="D1017" xml:space="preserve"> INDEX( VfM_Metrics_2023_Consol_Source[], $AK1017, D$832 )</f>
        <v>6.1459606606553405E-2</v>
      </c>
      <c r="E1017" s="35">
        <f xml:space="preserve"> IF( tblFilterAll[[#This Row],[Reinvestment]] &lt; D$825, 4, IF( tblFilterAll[[#This Row],[Reinvestment]] &lt; D$826, 3, IF( tblFilterAll[[#This Row],[Reinvestment]] &lt; D$827, 2, 1 ) ) )</f>
        <v>3</v>
      </c>
      <c r="F1017" s="35">
        <f xml:space="preserve"> COUNTIFS( tblFilterAll[Include in output], 1, tblFilterAll[Reinvestment], "&gt;" &amp; tblFilterAll[[#This Row],[Reinvestment]] ) + 1</f>
        <v>114</v>
      </c>
      <c r="G1017" s="30" cm="1">
        <f t="array" ref="G1017" xml:space="preserve"> INDEX( VfM_Metrics_2023_Consol_Source[], $AK1017, G$832 )</f>
        <v>1.0567576042646598E-2</v>
      </c>
      <c r="H1017" s="35">
        <f xml:space="preserve"> IF( tblFilterAll[[#This Row],[New Supply (Social)]] &lt; G$825, 4, IF( tblFilterAll[[#This Row],[New Supply (Social)]] &lt; G$826, 3, IF( tblFilterAll[[#This Row],[New Supply (Social)]] &lt; G$827, 2, 1 ) ) )</f>
        <v>3</v>
      </c>
      <c r="I1017" s="35">
        <f xml:space="preserve"> COUNTIFS( tblFilterAll[Include in output], 1, tblFilterAll[New Supply (Social)], "&gt;" &amp; tblFilterAll[[#This Row],[New Supply (Social)]] ) + 1</f>
        <v>120</v>
      </c>
      <c r="J1017" s="31" cm="1">
        <f t="array" ref="J1017" xml:space="preserve"> INDEX( VfM_Metrics_2023_Consol_Source[], $AK1017, J$832 )</f>
        <v>0</v>
      </c>
      <c r="K1017" s="35">
        <f xml:space="preserve"> IF( tblFilterAll[[#This Row],[New Supply (Non-Social)]] &lt; J$825, 4, IF( tblFilterAll[[#This Row],[New Supply (Non-Social)]] &lt; J$826, 3, IF( tblFilterAll[[#This Row],[New Supply (Non-Social)]] &lt; J$827, 2, 1 ) ) )</f>
        <v>2</v>
      </c>
      <c r="L1017" s="35">
        <f xml:space="preserve"> COUNTIFS( tblFilterAll[Include in output], 1, tblFilterAll[New Supply (Non-Social)], "&gt;" &amp; tblFilterAll[[#This Row],[New Supply (Non-Social)]] ) + 1</f>
        <v>72</v>
      </c>
      <c r="M1017" s="30" cm="1">
        <f t="array" ref="M1017" xml:space="preserve"> INDEX( VfM_Metrics_2023_Consol_Source[], $AK1017, M$832 )</f>
        <v>0.39498879027480066</v>
      </c>
      <c r="N1017" s="35">
        <f xml:space="preserve"> IF( tblFilterAll[[#This Row],[Gearing]] &lt; M$825, 4, IF( tblFilterAll[[#This Row],[Gearing]] &lt; M$826, 3, IF( tblFilterAll[[#This Row],[Gearing]] &lt; M$827, 2, 1 ) ) )</f>
        <v>3</v>
      </c>
      <c r="O1017" s="35">
        <f xml:space="preserve"> COUNTIFS( tblFilterAll[Include in output], 1, tblFilterAll[Gearing], "&gt;" &amp; tblFilterAll[[#This Row],[Gearing]] ) + 1</f>
        <v>131</v>
      </c>
      <c r="P1017" s="30" cm="1">
        <f t="array" ref="P1017" xml:space="preserve"> INDEX( VfM_Metrics_2023_Consol_Source[], $AK1017, P$832 )</f>
        <v>1.2359677968023586</v>
      </c>
      <c r="Q1017" s="35">
        <f xml:space="preserve"> IF( tblFilterAll[[#This Row],[EBITDA MRI Interest Cover]] &lt; P$825, 4, IF( tblFilterAll[[#This Row],[EBITDA MRI Interest Cover]] &lt; P$826, 3, IF( tblFilterAll[[#This Row],[EBITDA MRI Interest Cover]] &lt; P$827, 2, 1 ) ) )</f>
        <v>3</v>
      </c>
      <c r="R1017" s="35">
        <f xml:space="preserve"> COUNTIFS( tblFilterAll[Include in output], 1, tblFilterAll[EBITDA MRI Interest Cover], "&gt;" &amp; tblFilterAll[[#This Row],[EBITDA MRI Interest Cover]] ) + 1</f>
        <v>104</v>
      </c>
      <c r="S1017" s="32" cm="1">
        <f t="array" ref="S1017" xml:space="preserve"> INDEX( VfM_Metrics_2023_Consol_Source[], $AK1017, S$832 )</f>
        <v>4103.3326018120824</v>
      </c>
      <c r="T1017" s="35">
        <f xml:space="preserve"> IF( tblFilterAll[[#This Row],[Headline Social Housing Cost per unit]] &lt; S$825, 4, IF( tblFilterAll[[#This Row],[Headline Social Housing Cost per unit]] &lt; S$826, 3, IF( tblFilterAll[[#This Row],[Headline Social Housing Cost per unit]] &lt; S$827, 2, 1 ) ) )</f>
        <v>3</v>
      </c>
      <c r="U1017" s="35">
        <f xml:space="preserve"> COUNTIFS( tblFilterAll[Include in output], 1, tblFilterAll[Headline Social Housing Cost per unit], "&gt;" &amp; tblFilterAll[[#This Row],[Headline Social Housing Cost per unit]] ) + 1</f>
        <v>146</v>
      </c>
      <c r="V1017" s="30" cm="1">
        <f t="array" ref="V1017" xml:space="preserve"> INDEX( VfM_Metrics_2023_Consol_Source[], $AK1017, V$832 )</f>
        <v>0.12901906597185647</v>
      </c>
      <c r="W1017" s="35">
        <f xml:space="preserve"> IF( tblFilterAll[[#This Row],[Operating Margin (SHL)]] &lt; V$825, 4, IF( tblFilterAll[[#This Row],[Operating Margin (SHL)]] &lt; V$826, 3, IF( tblFilterAll[[#This Row],[Operating Margin (SHL)]] &lt; V$827, 2, 1 ) ) )</f>
        <v>4</v>
      </c>
      <c r="X1017" s="35">
        <f xml:space="preserve"> COUNTIFS( tblFilterAll[Include in output], 1, tblFilterAll[Operating Margin (SHL)], "&gt;" &amp; tblFilterAll[[#This Row],[Operating Margin (SHL)]] ) + 1</f>
        <v>159</v>
      </c>
      <c r="Y1017" s="30" cm="1">
        <f t="array" ref="Y1017" xml:space="preserve"> INDEX( VfM_Metrics_2023_Consol_Source[], $AK1017, Y$832 )</f>
        <v>0.1145402408276069</v>
      </c>
      <c r="Z1017" s="35">
        <f xml:space="preserve"> IF( tblFilterAll[[#This Row],[Operating Margin (Overall)]] &lt; Y$825, 4, IF( tblFilterAll[[#This Row],[Operating Margin (Overall)]] &lt; Y$826, 3, IF( tblFilterAll[[#This Row],[Operating Margin (Overall)]] &lt; Y$827, 2, 1 ) ) )</f>
        <v>4</v>
      </c>
      <c r="AA1017" s="35">
        <f xml:space="preserve"> COUNTIFS( tblFilterAll[Include in output], 1, tblFilterAll[Operating Margin (Overall)], "&gt;" &amp; tblFilterAll[[#This Row],[Operating Margin (Overall)]] ) + 1</f>
        <v>153</v>
      </c>
      <c r="AB1017" s="30" cm="1">
        <f t="array" ref="AB1017" xml:space="preserve"> INDEX( VfM_Metrics_2023_Consol_Source[], $AK1017, AB$832 )</f>
        <v>2.1474242425616383E-2</v>
      </c>
      <c r="AC1017" s="35">
        <f xml:space="preserve"> IF( tblFilterAll[[#This Row],[ROCE]] &lt; AB$825, 4, IF( tblFilterAll[[#This Row],[ROCE]] &lt; AB$826, 3, IF( tblFilterAll[[#This Row],[ROCE]] &lt; AB$827, 2, 1 ) ) )</f>
        <v>4</v>
      </c>
      <c r="AD1017" s="35">
        <f xml:space="preserve"> COUNTIFS( tblFilterAll[Include in output], 1, tblFilterAll[ROCE], "&gt;" &amp; tblFilterAll[[#This Row],[ROCE]] ) + 1</f>
        <v>152</v>
      </c>
      <c r="AE1017" s="33" cm="1" vm="1946">
        <f t="array" ref="AE1017" xml:space="preserve"> INDEX( VfM_Metrics_2023_Consol_Source[], $AK1017, AE$832 )</f>
        <v>31890</v>
      </c>
      <c r="AF1017" s="30" cm="1">
        <f t="array" ref="AF1017" xml:space="preserve"> INDEX( VfM_Metrics_2023_Consol_Source[], $AK1017, AF$832 )</f>
        <v>4.8646095717884134E-2</v>
      </c>
      <c r="AG1017" s="30" cm="1">
        <f t="array" ref="AG1017" xml:space="preserve"> INDEX( VfM_Metrics_2023_Consol_Source[], $AK1017, AG$832 )</f>
        <v>0</v>
      </c>
      <c r="AH1017" s="30" cm="1">
        <f t="array" ref="AH1017" xml:space="preserve"> INDEX( VfM_Metrics_2023_Consol_Source[], $AK1017, AH$832 )</f>
        <v>4.8646095717884134E-2</v>
      </c>
      <c r="AI1017" s="30" t="str" cm="1">
        <f t="array" ref="AI1017" xml:space="preserve"> INDEX( VfM_Metrics_2023_Consol_Source[], $AK1017, AI$832 )</f>
        <v>Traditional</v>
      </c>
      <c r="AJ1017" s="34" t="str" cm="1">
        <f t="array" ref="AJ1017" xml:space="preserve"> INDEX( VfM_Metrics_2023_Consol_Source[], $AK1017, AJ$832 )</f>
        <v>Yorkshire &amp; the Humber</v>
      </c>
      <c r="AK1017" s="81">
        <f xml:space="preserve"> MATCH( tblFilterAll[[#This Row],[Code]], VfM_Metrics_2023_Consol_Source[RP_Code], 0 )</f>
        <v>184</v>
      </c>
      <c r="AL1017" s="24">
        <f xml:space="preserve"> INDEX( tblFilterRegion[Include for region],  MATCH( tblFilterAll[[#This Row],[Code]], tblFilterRegion[RP_Code], 0 ) )</f>
        <v>1</v>
      </c>
      <c r="AM1017" s="24">
        <f xml:space="preserve"> INDEX( tblFilterPropType[Incl for prop type],  MATCH( tblFilterAll[[#This Row],[Code]], tblFilterPropType[RP_Code], 0 ) )</f>
        <v>1</v>
      </c>
      <c r="AN1017" s="24">
        <f xml:space="preserve"> INDEX( tblFilterSize[Incl for size],  MATCH( tblFilterAll[[#This Row],[Code]], tblFilterSize[RP_Code], 0 ) )</f>
        <v>1</v>
      </c>
      <c r="AO1017" s="24">
        <f xml:space="preserve"> INDEX( tblFilterRP_Type[Incl, for RP Type],  MATCH( tblFilterAll[[#This Row],[Code]], tblFilterRP_Type[RP_Code], 0 ) )</f>
        <v>1</v>
      </c>
      <c r="AP1017" s="24">
        <f xml:space="preserve">  -- ( SUM( tblFilterAll[[#This Row],[Filter Region]:[Filter RP Type]] ) = 4 )</f>
        <v>1</v>
      </c>
      <c r="AQ1017" s="24">
        <f xml:space="preserve"> -- ( tblFilterAll[[#This Row],[Provider name]] = SelectedProvider )</f>
        <v>0</v>
      </c>
      <c r="AR1017" s="24">
        <f xml:space="preserve">  -- ( OR( SUM( tblFilterAll[[#This Row],[Filter Region]:[Filter RP Type]] ) = 4, tblFilterAll[[#This Row],[SelectedProvider]] = 1 ) )</f>
        <v>1</v>
      </c>
      <c r="AS1017" s="24">
        <f xml:space="preserve"> -- ( INDEX( PeersCritera[Included in final peers], MATCH( tblFilterAll[[#This Row],[Provider name]], PeersCritera[RP_Name], 0 ) ) = 1 )</f>
        <v>1</v>
      </c>
      <c r="AT1017" s="30" t="str" cm="1">
        <f t="array" ref="AT1017" xml:space="preserve"> SUBSTITUTE( INDEX( VfM_Metrics_2023_Consol_Source[], $AK1017, AT$832 ), 0, "" )</f>
        <v>&gt;= 12 years</v>
      </c>
      <c r="AU1017" s="34" cm="1">
        <f t="array" ref="AU1017" xml:space="preserve"> INDEX( VfM_Metrics_2023_Consol_Source[], $AK1017, AU$832 )</f>
        <v>0</v>
      </c>
      <c r="AV1017" s="34" cm="1">
        <f t="array" ref="AV1017" xml:space="preserve"> INDEX( VfM_Metrics_2023_Consol_Source[], $AK1017, AV$832 )</f>
        <v>0</v>
      </c>
      <c r="AW1017" s="34" cm="1">
        <f t="array" ref="AW1017" xml:space="preserve"> INDEX( VfM_Metrics_2023_Consol_Source[], $AK1017, AW$832 )</f>
        <v>0</v>
      </c>
      <c r="AX1017" s="34" cm="1">
        <f t="array" ref="AX1017" xml:space="preserve"> INDEX( VfM_Metrics_2023_Consol_Source[], $AK1017, AX$832 )</f>
        <v>0</v>
      </c>
      <c r="AY1017" s="34" cm="1">
        <f t="array" ref="AY1017" xml:space="preserve"> INDEX( VfM_Metrics_2023_Consol_Source[], $AK1017, AY$832 )</f>
        <v>0</v>
      </c>
      <c r="AZ1017" s="34" cm="1">
        <f t="array" ref="AZ1017" xml:space="preserve"> INDEX( VfM_Metrics_2023_Consol_Source[], $AK1017, AZ$832 )</f>
        <v>0</v>
      </c>
      <c r="BA1017" s="34" cm="1">
        <f t="array" ref="BA1017" xml:space="preserve"> INDEX( VfM_Metrics_2023_Consol_Source[], $AK1017, BA$832 )</f>
        <v>0</v>
      </c>
      <c r="BB1017" s="34" cm="1">
        <f t="array" ref="BB1017" xml:space="preserve"> INDEX( VfM_Metrics_2023_Consol_Source[], $AK1017, BB$832 )</f>
        <v>0</v>
      </c>
      <c r="BC1017" s="34" cm="1">
        <f t="array" ref="BC1017" xml:space="preserve"> INDEX( VfM_Metrics_2023_Consol_Source[], $AK1017, BC$832 )</f>
        <v>1</v>
      </c>
    </row>
    <row r="1018" spans="2:55" x14ac:dyDescent="0.2">
      <c r="B1018" s="122" t="str" vm="185">
        <f t="shared" ref="B1018" si="524" xml:space="preserve"> B808</f>
        <v>Walsall Housing Group Limited</v>
      </c>
      <c r="C1018" s="122" t="str" vm="343">
        <f t="shared" si="500"/>
        <v>L4389</v>
      </c>
      <c r="D1018" s="30" cm="1">
        <f t="array" ref="D1018" xml:space="preserve"> INDEX( VfM_Metrics_2023_Consol_Source[], $AK1018, D$832 )</f>
        <v>0.11633043022886105</v>
      </c>
      <c r="E1018" s="35">
        <f xml:space="preserve"> IF( tblFilterAll[[#This Row],[Reinvestment]] &lt; D$825, 4, IF( tblFilterAll[[#This Row],[Reinvestment]] &lt; D$826, 3, IF( tblFilterAll[[#This Row],[Reinvestment]] &lt; D$827, 2, 1 ) ) )</f>
        <v>1</v>
      </c>
      <c r="F1018" s="35">
        <f xml:space="preserve"> COUNTIFS( tblFilterAll[Include in output], 1, tblFilterAll[Reinvestment], "&gt;" &amp; tblFilterAll[[#This Row],[Reinvestment]] ) + 1</f>
        <v>22</v>
      </c>
      <c r="G1018" s="30" cm="1">
        <f t="array" ref="G1018" xml:space="preserve"> INDEX( VfM_Metrics_2023_Consol_Source[], $AK1018, G$832 )</f>
        <v>1.2150170648464164E-2</v>
      </c>
      <c r="H1018" s="35">
        <f xml:space="preserve"> IF( tblFilterAll[[#This Row],[New Supply (Social)]] &lt; G$825, 4, IF( tblFilterAll[[#This Row],[New Supply (Social)]] &lt; G$826, 3, IF( tblFilterAll[[#This Row],[New Supply (Social)]] &lt; G$827, 2, 1 ) ) )</f>
        <v>3</v>
      </c>
      <c r="I1018" s="35">
        <f xml:space="preserve"> COUNTIFS( tblFilterAll[Include in output], 1, tblFilterAll[New Supply (Social)], "&gt;" &amp; tblFilterAll[[#This Row],[New Supply (Social)]] ) + 1</f>
        <v>108</v>
      </c>
      <c r="J1018" s="31" cm="1">
        <f t="array" ref="J1018" xml:space="preserve"> INDEX( VfM_Metrics_2023_Consol_Source[], $AK1018, J$832 )</f>
        <v>1.811922449719152E-4</v>
      </c>
      <c r="K1018" s="35">
        <f xml:space="preserve"> IF( tblFilterAll[[#This Row],[New Supply (Non-Social)]] &lt; J$825, 4, IF( tblFilterAll[[#This Row],[New Supply (Non-Social)]] &lt; J$826, 3, IF( tblFilterAll[[#This Row],[New Supply (Non-Social)]] &lt; J$827, 2, 1 ) ) )</f>
        <v>2</v>
      </c>
      <c r="L1018" s="35">
        <f xml:space="preserve"> COUNTIFS( tblFilterAll[Include in output], 1, tblFilterAll[New Supply (Non-Social)], "&gt;" &amp; tblFilterAll[[#This Row],[New Supply (Non-Social)]] ) + 1</f>
        <v>69</v>
      </c>
      <c r="M1018" s="30" cm="1">
        <f t="array" ref="M1018" xml:space="preserve"> INDEX( VfM_Metrics_2023_Consol_Source[], $AK1018, M$832 )</f>
        <v>0.56338721844354533</v>
      </c>
      <c r="N1018" s="35">
        <f xml:space="preserve"> IF( tblFilterAll[[#This Row],[Gearing]] &lt; M$825, 4, IF( tblFilterAll[[#This Row],[Gearing]] &lt; M$826, 3, IF( tblFilterAll[[#This Row],[Gearing]] &lt; M$827, 2, 1 ) ) )</f>
        <v>1</v>
      </c>
      <c r="O1018" s="35">
        <f xml:space="preserve"> COUNTIFS( tblFilterAll[Include in output], 1, tblFilterAll[Gearing], "&gt;" &amp; tblFilterAll[[#This Row],[Gearing]] ) + 1</f>
        <v>38</v>
      </c>
      <c r="P1018" s="30" cm="1">
        <f t="array" ref="P1018" xml:space="preserve"> INDEX( VfM_Metrics_2023_Consol_Source[], $AK1018, P$832 )</f>
        <v>1.4028851593437677</v>
      </c>
      <c r="Q1018" s="35">
        <f xml:space="preserve"> IF( tblFilterAll[[#This Row],[EBITDA MRI Interest Cover]] &lt; P$825, 4, IF( tblFilterAll[[#This Row],[EBITDA MRI Interest Cover]] &lt; P$826, 3, IF( tblFilterAll[[#This Row],[EBITDA MRI Interest Cover]] &lt; P$827, 2, 1 ) ) )</f>
        <v>2</v>
      </c>
      <c r="R1018" s="35">
        <f xml:space="preserve"> COUNTIFS( tblFilterAll[Include in output], 1, tblFilterAll[EBITDA MRI Interest Cover], "&gt;" &amp; tblFilterAll[[#This Row],[EBITDA MRI Interest Cover]] ) + 1</f>
        <v>76</v>
      </c>
      <c r="S1018" s="32" cm="1">
        <f t="array" ref="S1018" xml:space="preserve"> INDEX( VfM_Metrics_2023_Consol_Source[], $AK1018, S$832 )</f>
        <v>4055.1229123662979</v>
      </c>
      <c r="T1018" s="35">
        <f xml:space="preserve"> IF( tblFilterAll[[#This Row],[Headline Social Housing Cost per unit]] &lt; S$825, 4, IF( tblFilterAll[[#This Row],[Headline Social Housing Cost per unit]] &lt; S$826, 3, IF( tblFilterAll[[#This Row],[Headline Social Housing Cost per unit]] &lt; S$827, 2, 1 ) ) )</f>
        <v>4</v>
      </c>
      <c r="U1018" s="35">
        <f xml:space="preserve"> COUNTIFS( tblFilterAll[Include in output], 1, tblFilterAll[Headline Social Housing Cost per unit], "&gt;" &amp; tblFilterAll[[#This Row],[Headline Social Housing Cost per unit]] ) + 1</f>
        <v>154</v>
      </c>
      <c r="V1018" s="30" cm="1">
        <f t="array" ref="V1018" xml:space="preserve"> INDEX( VfM_Metrics_2023_Consol_Source[], $AK1018, V$832 )</f>
        <v>0.24691414339540019</v>
      </c>
      <c r="W1018" s="35">
        <f xml:space="preserve"> IF( tblFilterAll[[#This Row],[Operating Margin (SHL)]] &lt; V$825, 4, IF( tblFilterAll[[#This Row],[Operating Margin (SHL)]] &lt; V$826, 3, IF( tblFilterAll[[#This Row],[Operating Margin (SHL)]] &lt; V$827, 2, 1 ) ) )</f>
        <v>2</v>
      </c>
      <c r="X1018" s="35">
        <f xml:space="preserve"> COUNTIFS( tblFilterAll[Include in output], 1, tblFilterAll[Operating Margin (SHL)], "&gt;" &amp; tblFilterAll[[#This Row],[Operating Margin (SHL)]] ) + 1</f>
        <v>59</v>
      </c>
      <c r="Y1018" s="30" cm="1">
        <f t="array" ref="Y1018" xml:space="preserve"> INDEX( VfM_Metrics_2023_Consol_Source[], $AK1018, Y$832 )</f>
        <v>0.24118856350261308</v>
      </c>
      <c r="Z1018" s="35">
        <f xml:space="preserve"> IF( tblFilterAll[[#This Row],[Operating Margin (Overall)]] &lt; Y$825, 4, IF( tblFilterAll[[#This Row],[Operating Margin (Overall)]] &lt; Y$826, 3, IF( tblFilterAll[[#This Row],[Operating Margin (Overall)]] &lt; Y$827, 2, 1 ) ) )</f>
        <v>1</v>
      </c>
      <c r="AA1018" s="35">
        <f xml:space="preserve"> COUNTIFS( tblFilterAll[Include in output], 1, tblFilterAll[Operating Margin (Overall)], "&gt;" &amp; tblFilterAll[[#This Row],[Operating Margin (Overall)]] ) + 1</f>
        <v>42</v>
      </c>
      <c r="AB1018" s="30" cm="1">
        <f t="array" ref="AB1018" xml:space="preserve"> INDEX( VfM_Metrics_2023_Consol_Source[], $AK1018, AB$832 )</f>
        <v>4.7993241951694757E-2</v>
      </c>
      <c r="AC1018" s="35">
        <f xml:space="preserve"> IF( tblFilterAll[[#This Row],[ROCE]] &lt; AB$825, 4, IF( tblFilterAll[[#This Row],[ROCE]] &lt; AB$826, 3, IF( tblFilterAll[[#This Row],[ROCE]] &lt; AB$827, 2, 1 ) ) )</f>
        <v>1</v>
      </c>
      <c r="AD1018" s="35">
        <f xml:space="preserve"> COUNTIFS( tblFilterAll[Include in output], 1, tblFilterAll[ROCE], "&gt;" &amp; tblFilterAll[[#This Row],[ROCE]] ) + 1</f>
        <v>9</v>
      </c>
      <c r="AE1018" s="33" cm="1" vm="4840">
        <f t="array" ref="AE1018" xml:space="preserve"> INDEX( VfM_Metrics_2023_Consol_Source[], $AK1018, AE$832 )</f>
        <v>21316</v>
      </c>
      <c r="AF1018" s="30" cm="1">
        <f t="array" ref="AF1018" xml:space="preserve"> INDEX( VfM_Metrics_2023_Consol_Source[], $AK1018, AF$832 )</f>
        <v>4.1400075272864136E-3</v>
      </c>
      <c r="AG1018" s="30" cm="1">
        <f t="array" ref="AG1018" xml:space="preserve"> INDEX( VfM_Metrics_2023_Consol_Source[], $AK1018, AG$832 )</f>
        <v>0</v>
      </c>
      <c r="AH1018" s="30" cm="1">
        <f t="array" ref="AH1018" xml:space="preserve"> INDEX( VfM_Metrics_2023_Consol_Source[], $AK1018, AH$832 )</f>
        <v>4.1400075272864136E-3</v>
      </c>
      <c r="AI1018" s="30" t="str" cm="1">
        <f t="array" ref="AI1018" xml:space="preserve"> INDEX( VfM_Metrics_2023_Consol_Source[], $AK1018, AI$832 )</f>
        <v>Traditional</v>
      </c>
      <c r="AJ1018" s="34" t="str" cm="1">
        <f t="array" ref="AJ1018" xml:space="preserve"> INDEX( VfM_Metrics_2023_Consol_Source[], $AK1018, AJ$832 )</f>
        <v>West Midlands</v>
      </c>
      <c r="AK1018" s="81">
        <f xml:space="preserve"> MATCH( tblFilterAll[[#This Row],[Code]], VfM_Metrics_2023_Consol_Source[RP_Code], 0 )</f>
        <v>185</v>
      </c>
      <c r="AL1018" s="24">
        <f xml:space="preserve"> INDEX( tblFilterRegion[Include for region],  MATCH( tblFilterAll[[#This Row],[Code]], tblFilterRegion[RP_Code], 0 ) )</f>
        <v>1</v>
      </c>
      <c r="AM1018" s="24">
        <f xml:space="preserve"> INDEX( tblFilterPropType[Incl for prop type],  MATCH( tblFilterAll[[#This Row],[Code]], tblFilterPropType[RP_Code], 0 ) )</f>
        <v>1</v>
      </c>
      <c r="AN1018" s="24">
        <f xml:space="preserve"> INDEX( tblFilterSize[Incl for size],  MATCH( tblFilterAll[[#This Row],[Code]], tblFilterSize[RP_Code], 0 ) )</f>
        <v>1</v>
      </c>
      <c r="AO1018" s="24">
        <f xml:space="preserve"> INDEX( tblFilterRP_Type[Incl, for RP Type],  MATCH( tblFilterAll[[#This Row],[Code]], tblFilterRP_Type[RP_Code], 0 ) )</f>
        <v>1</v>
      </c>
      <c r="AP1018" s="24">
        <f xml:space="preserve">  -- ( SUM( tblFilterAll[[#This Row],[Filter Region]:[Filter RP Type]] ) = 4 )</f>
        <v>1</v>
      </c>
      <c r="AQ1018" s="24">
        <f xml:space="preserve"> -- ( tblFilterAll[[#This Row],[Provider name]] = SelectedProvider )</f>
        <v>0</v>
      </c>
      <c r="AR1018" s="24">
        <f xml:space="preserve">  -- ( OR( SUM( tblFilterAll[[#This Row],[Filter Region]:[Filter RP Type]] ) = 4, tblFilterAll[[#This Row],[SelectedProvider]] = 1 ) )</f>
        <v>1</v>
      </c>
      <c r="AS1018" s="24">
        <f xml:space="preserve"> -- ( INDEX( PeersCritera[Included in final peers], MATCH( tblFilterAll[[#This Row],[Provider name]], PeersCritera[RP_Name], 0 ) ) = 1 )</f>
        <v>1</v>
      </c>
      <c r="AT1018" s="30" t="str" cm="1">
        <f t="array" ref="AT1018" xml:space="preserve"> SUBSTITUTE( INDEX( VfM_Metrics_2023_Consol_Source[], $AK1018, AT$832 ), 0, "" )</f>
        <v>&gt;= 12 years</v>
      </c>
      <c r="AU1018" s="34" cm="1">
        <f t="array" ref="AU1018" xml:space="preserve"> INDEX( VfM_Metrics_2023_Consol_Source[], $AK1018, AU$832 )</f>
        <v>0</v>
      </c>
      <c r="AV1018" s="34" cm="1">
        <f t="array" ref="AV1018" xml:space="preserve"> INDEX( VfM_Metrics_2023_Consol_Source[], $AK1018, AV$832 )</f>
        <v>0</v>
      </c>
      <c r="AW1018" s="34" cm="1">
        <f t="array" ref="AW1018" xml:space="preserve"> INDEX( VfM_Metrics_2023_Consol_Source[], $AK1018, AW$832 )</f>
        <v>0</v>
      </c>
      <c r="AX1018" s="34" cm="1">
        <f t="array" ref="AX1018" xml:space="preserve"> INDEX( VfM_Metrics_2023_Consol_Source[], $AK1018, AX$832 )</f>
        <v>0</v>
      </c>
      <c r="AY1018" s="34" cm="1">
        <f t="array" ref="AY1018" xml:space="preserve"> INDEX( VfM_Metrics_2023_Consol_Source[], $AK1018, AY$832 )</f>
        <v>1</v>
      </c>
      <c r="AZ1018" s="34" cm="1">
        <f t="array" ref="AZ1018" xml:space="preserve"> INDEX( VfM_Metrics_2023_Consol_Source[], $AK1018, AZ$832 )</f>
        <v>0</v>
      </c>
      <c r="BA1018" s="34" cm="1">
        <f t="array" ref="BA1018" xml:space="preserve"> INDEX( VfM_Metrics_2023_Consol_Source[], $AK1018, BA$832 )</f>
        <v>0</v>
      </c>
      <c r="BB1018" s="34" cm="1">
        <f t="array" ref="BB1018" xml:space="preserve"> INDEX( VfM_Metrics_2023_Consol_Source[], $AK1018, BB$832 )</f>
        <v>0</v>
      </c>
      <c r="BC1018" s="34" cm="1">
        <f t="array" ref="BC1018" xml:space="preserve"> INDEX( VfM_Metrics_2023_Consol_Source[], $AK1018, BC$832 )</f>
        <v>0</v>
      </c>
    </row>
    <row r="1019" spans="2:55" x14ac:dyDescent="0.2">
      <c r="B1019" s="122" t="str" vm="186">
        <f t="shared" ref="B1019" si="525" xml:space="preserve"> B809</f>
        <v>Wandle Housing Association Limited</v>
      </c>
      <c r="C1019" s="122" t="str" vm="351">
        <f t="shared" si="500"/>
        <v>L0277</v>
      </c>
      <c r="D1019" s="30" cm="1">
        <f t="array" ref="D1019" xml:space="preserve"> INDEX( VfM_Metrics_2023_Consol_Source[], $AK1019, D$832 )</f>
        <v>1.62716949042442E-2</v>
      </c>
      <c r="E1019" s="35">
        <f xml:space="preserve"> IF( tblFilterAll[[#This Row],[Reinvestment]] &lt; D$825, 4, IF( tblFilterAll[[#This Row],[Reinvestment]] &lt; D$826, 3, IF( tblFilterAll[[#This Row],[Reinvestment]] &lt; D$827, 2, 1 ) ) )</f>
        <v>4</v>
      </c>
      <c r="F1019" s="35">
        <f xml:space="preserve"> COUNTIFS( tblFilterAll[Include in output], 1, tblFilterAll[Reinvestment], "&gt;" &amp; tblFilterAll[[#This Row],[Reinvestment]] ) + 1</f>
        <v>192</v>
      </c>
      <c r="G1019" s="30" cm="1">
        <f t="array" ref="G1019" xml:space="preserve"> INDEX( VfM_Metrics_2023_Consol_Source[], $AK1019, G$832 )</f>
        <v>4.4336960902861752E-3</v>
      </c>
      <c r="H1019" s="35">
        <f xml:space="preserve"> IF( tblFilterAll[[#This Row],[New Supply (Social)]] &lt; G$825, 4, IF( tblFilterAll[[#This Row],[New Supply (Social)]] &lt; G$826, 3, IF( tblFilterAll[[#This Row],[New Supply (Social)]] &lt; G$827, 2, 1 ) ) )</f>
        <v>4</v>
      </c>
      <c r="I1019" s="35">
        <f xml:space="preserve"> COUNTIFS( tblFilterAll[Include in output], 1, tblFilterAll[New Supply (Social)], "&gt;" &amp; tblFilterAll[[#This Row],[New Supply (Social)]] ) + 1</f>
        <v>162</v>
      </c>
      <c r="J1019" s="31" cm="1">
        <f t="array" ref="J1019" xml:space="preserve"> INDEX( VfM_Metrics_2023_Consol_Source[], $AK1019, J$832 )</f>
        <v>0</v>
      </c>
      <c r="K1019" s="35">
        <f xml:space="preserve"> IF( tblFilterAll[[#This Row],[New Supply (Non-Social)]] &lt; J$825, 4, IF( tblFilterAll[[#This Row],[New Supply (Non-Social)]] &lt; J$826, 3, IF( tblFilterAll[[#This Row],[New Supply (Non-Social)]] &lt; J$827, 2, 1 ) ) )</f>
        <v>2</v>
      </c>
      <c r="L1019" s="35">
        <f xml:space="preserve"> COUNTIFS( tblFilterAll[Include in output], 1, tblFilterAll[New Supply (Non-Social)], "&gt;" &amp; tblFilterAll[[#This Row],[New Supply (Non-Social)]] ) + 1</f>
        <v>72</v>
      </c>
      <c r="M1019" s="30" cm="1">
        <f t="array" ref="M1019" xml:space="preserve"> INDEX( VfM_Metrics_2023_Consol_Source[], $AK1019, M$832 )</f>
        <v>0.29661208123446148</v>
      </c>
      <c r="N1019" s="35">
        <f xml:space="preserve"> IF( tblFilterAll[[#This Row],[Gearing]] &lt; M$825, 4, IF( tblFilterAll[[#This Row],[Gearing]] &lt; M$826, 3, IF( tblFilterAll[[#This Row],[Gearing]] &lt; M$827, 2, 1 ) ) )</f>
        <v>4</v>
      </c>
      <c r="O1019" s="35">
        <f xml:space="preserve"> COUNTIFS( tblFilterAll[Include in output], 1, tblFilterAll[Gearing], "&gt;" &amp; tblFilterAll[[#This Row],[Gearing]] ) + 1</f>
        <v>160</v>
      </c>
      <c r="P1019" s="30" cm="1">
        <f t="array" ref="P1019" xml:space="preserve"> INDEX( VfM_Metrics_2023_Consol_Source[], $AK1019, P$832 )</f>
        <v>0.78981065249965943</v>
      </c>
      <c r="Q1019" s="35">
        <f xml:space="preserve"> IF( tblFilterAll[[#This Row],[EBITDA MRI Interest Cover]] &lt; P$825, 4, IF( tblFilterAll[[#This Row],[EBITDA MRI Interest Cover]] &lt; P$826, 3, IF( tblFilterAll[[#This Row],[EBITDA MRI Interest Cover]] &lt; P$827, 2, 1 ) ) )</f>
        <v>4</v>
      </c>
      <c r="R1019" s="35">
        <f xml:space="preserve"> COUNTIFS( tblFilterAll[Include in output], 1, tblFilterAll[EBITDA MRI Interest Cover], "&gt;" &amp; tblFilterAll[[#This Row],[EBITDA MRI Interest Cover]] ) + 1</f>
        <v>154</v>
      </c>
      <c r="S1019" s="32" cm="1">
        <f t="array" ref="S1019" xml:space="preserve"> INDEX( VfM_Metrics_2023_Consol_Source[], $AK1019, S$832 )</f>
        <v>6134.0101522842642</v>
      </c>
      <c r="T1019" s="35">
        <f xml:space="preserve"> IF( tblFilterAll[[#This Row],[Headline Social Housing Cost per unit]] &lt; S$825, 4, IF( tblFilterAll[[#This Row],[Headline Social Housing Cost per unit]] &lt; S$826, 3, IF( tblFilterAll[[#This Row],[Headline Social Housing Cost per unit]] &lt; S$827, 2, 1 ) ) )</f>
        <v>1</v>
      </c>
      <c r="U1019" s="35">
        <f xml:space="preserve"> COUNTIFS( tblFilterAll[Include in output], 1, tblFilterAll[Headline Social Housing Cost per unit], "&gt;" &amp; tblFilterAll[[#This Row],[Headline Social Housing Cost per unit]] ) + 1</f>
        <v>47</v>
      </c>
      <c r="V1019" s="30" cm="1">
        <f t="array" ref="V1019" xml:space="preserve"> INDEX( VfM_Metrics_2023_Consol_Source[], $AK1019, V$832 )</f>
        <v>0.18890222509463578</v>
      </c>
      <c r="W1019" s="35">
        <f xml:space="preserve"> IF( tblFilterAll[[#This Row],[Operating Margin (SHL)]] &lt; V$825, 4, IF( tblFilterAll[[#This Row],[Operating Margin (SHL)]] &lt; V$826, 3, IF( tblFilterAll[[#This Row],[Operating Margin (SHL)]] &lt; V$827, 2, 1 ) ) )</f>
        <v>3</v>
      </c>
      <c r="X1019" s="35">
        <f xml:space="preserve"> COUNTIFS( tblFilterAll[Include in output], 1, tblFilterAll[Operating Margin (SHL)], "&gt;" &amp; tblFilterAll[[#This Row],[Operating Margin (SHL)]] ) + 1</f>
        <v>108</v>
      </c>
      <c r="Y1019" s="30" cm="1">
        <f t="array" ref="Y1019" xml:space="preserve"> INDEX( VfM_Metrics_2023_Consol_Source[], $AK1019, Y$832 )</f>
        <v>0.16142880140232888</v>
      </c>
      <c r="Z1019" s="35">
        <f xml:space="preserve"> IF( tblFilterAll[[#This Row],[Operating Margin (Overall)]] &lt; Y$825, 4, IF( tblFilterAll[[#This Row],[Operating Margin (Overall)]] &lt; Y$826, 3, IF( tblFilterAll[[#This Row],[Operating Margin (Overall)]] &lt; Y$827, 2, 1 ) ) )</f>
        <v>3</v>
      </c>
      <c r="AA1019" s="35">
        <f xml:space="preserve"> COUNTIFS( tblFilterAll[Include in output], 1, tblFilterAll[Operating Margin (Overall)], "&gt;" &amp; tblFilterAll[[#This Row],[Operating Margin (Overall)]] ) + 1</f>
        <v>121</v>
      </c>
      <c r="AB1019" s="30" cm="1">
        <f t="array" ref="AB1019" xml:space="preserve"> INDEX( VfM_Metrics_2023_Consol_Source[], $AK1019, AB$832 )</f>
        <v>3.5069402993173654E-2</v>
      </c>
      <c r="AC1019" s="35">
        <f xml:space="preserve"> IF( tblFilterAll[[#This Row],[ROCE]] &lt; AB$825, 4, IF( tblFilterAll[[#This Row],[ROCE]] &lt; AB$826, 3, IF( tblFilterAll[[#This Row],[ROCE]] &lt; AB$827, 2, 1 ) ) )</f>
        <v>2</v>
      </c>
      <c r="AD1019" s="35">
        <f xml:space="preserve"> COUNTIFS( tblFilterAll[Include in output], 1, tblFilterAll[ROCE], "&gt;" &amp; tblFilterAll[[#This Row],[ROCE]] ) + 1</f>
        <v>60</v>
      </c>
      <c r="AE1019" s="33" cm="1" vm="5123">
        <f t="array" ref="AE1019" xml:space="preserve"> INDEX( VfM_Metrics_2023_Consol_Source[], $AK1019, AE$832 )</f>
        <v>6895</v>
      </c>
      <c r="AF1019" s="30" cm="1">
        <f t="array" ref="AF1019" xml:space="preserve"> INDEX( VfM_Metrics_2023_Consol_Source[], $AK1019, AF$832 )</f>
        <v>2.1732788798133021E-2</v>
      </c>
      <c r="AG1019" s="30" cm="1">
        <f t="array" ref="AG1019" xml:space="preserve"> INDEX( VfM_Metrics_2023_Consol_Source[], $AK1019, AG$832 )</f>
        <v>6.7094515752625442E-3</v>
      </c>
      <c r="AH1019" s="30" cm="1">
        <f t="array" ref="AH1019" xml:space="preserve"> INDEX( VfM_Metrics_2023_Consol_Source[], $AK1019, AH$832 )</f>
        <v>2.8442240373395565E-2</v>
      </c>
      <c r="AI1019" s="30" t="str" cm="1">
        <f t="array" ref="AI1019" xml:space="preserve"> INDEX( VfM_Metrics_2023_Consol_Source[], $AK1019, AI$832 )</f>
        <v>Traditional</v>
      </c>
      <c r="AJ1019" s="34" t="str" cm="1">
        <f t="array" ref="AJ1019" xml:space="preserve"> INDEX( VfM_Metrics_2023_Consol_Source[], $AK1019, AJ$832 )</f>
        <v>London</v>
      </c>
      <c r="AK1019" s="81">
        <f xml:space="preserve"> MATCH( tblFilterAll[[#This Row],[Code]], VfM_Metrics_2023_Consol_Source[RP_Code], 0 )</f>
        <v>186</v>
      </c>
      <c r="AL1019" s="24">
        <f xml:space="preserve"> INDEX( tblFilterRegion[Include for region],  MATCH( tblFilterAll[[#This Row],[Code]], tblFilterRegion[RP_Code], 0 ) )</f>
        <v>1</v>
      </c>
      <c r="AM1019" s="24">
        <f xml:space="preserve"> INDEX( tblFilterPropType[Incl for prop type],  MATCH( tblFilterAll[[#This Row],[Code]], tblFilterPropType[RP_Code], 0 ) )</f>
        <v>1</v>
      </c>
      <c r="AN1019" s="24">
        <f xml:space="preserve"> INDEX( tblFilterSize[Incl for size],  MATCH( tblFilterAll[[#This Row],[Code]], tblFilterSize[RP_Code], 0 ) )</f>
        <v>1</v>
      </c>
      <c r="AO1019" s="24">
        <f xml:space="preserve"> INDEX( tblFilterRP_Type[Incl, for RP Type],  MATCH( tblFilterAll[[#This Row],[Code]], tblFilterRP_Type[RP_Code], 0 ) )</f>
        <v>1</v>
      </c>
      <c r="AP1019" s="24">
        <f xml:space="preserve">  -- ( SUM( tblFilterAll[[#This Row],[Filter Region]:[Filter RP Type]] ) = 4 )</f>
        <v>1</v>
      </c>
      <c r="AQ1019" s="24">
        <f xml:space="preserve"> -- ( tblFilterAll[[#This Row],[Provider name]] = SelectedProvider )</f>
        <v>0</v>
      </c>
      <c r="AR1019" s="24">
        <f xml:space="preserve">  -- ( OR( SUM( tblFilterAll[[#This Row],[Filter Region]:[Filter RP Type]] ) = 4, tblFilterAll[[#This Row],[SelectedProvider]] = 1 ) )</f>
        <v>1</v>
      </c>
      <c r="AS1019" s="24">
        <f xml:space="preserve"> -- ( INDEX( PeersCritera[Included in final peers], MATCH( tblFilterAll[[#This Row],[Provider name]], PeersCritera[RP_Name], 0 ) ) = 1 )</f>
        <v>1</v>
      </c>
      <c r="AT1019" s="30" t="str" cm="1">
        <f t="array" ref="AT1019" xml:space="preserve"> SUBSTITUTE( INDEX( VfM_Metrics_2023_Consol_Source[], $AK1019, AT$832 ), 0, "" )</f>
        <v/>
      </c>
      <c r="AU1019" s="34" cm="1">
        <f t="array" ref="AU1019" xml:space="preserve"> INDEX( VfM_Metrics_2023_Consol_Source[], $AK1019, AU$832 )</f>
        <v>0.99970687380917489</v>
      </c>
      <c r="AV1019" s="34" cm="1">
        <f t="array" ref="AV1019" xml:space="preserve"> INDEX( VfM_Metrics_2023_Consol_Source[], $AK1019, AV$832 )</f>
        <v>2.9312619082515022E-4</v>
      </c>
      <c r="AW1019" s="34" cm="1">
        <f t="array" ref="AW1019" xml:space="preserve"> INDEX( VfM_Metrics_2023_Consol_Source[], $AK1019, AW$832 )</f>
        <v>0</v>
      </c>
      <c r="AX1019" s="34" cm="1">
        <f t="array" ref="AX1019" xml:space="preserve"> INDEX( VfM_Metrics_2023_Consol_Source[], $AK1019, AX$832 )</f>
        <v>0</v>
      </c>
      <c r="AY1019" s="34" cm="1">
        <f t="array" ref="AY1019" xml:space="preserve"> INDEX( VfM_Metrics_2023_Consol_Source[], $AK1019, AY$832 )</f>
        <v>0</v>
      </c>
      <c r="AZ1019" s="34" cm="1">
        <f t="array" ref="AZ1019" xml:space="preserve"> INDEX( VfM_Metrics_2023_Consol_Source[], $AK1019, AZ$832 )</f>
        <v>0</v>
      </c>
      <c r="BA1019" s="34" cm="1">
        <f t="array" ref="BA1019" xml:space="preserve"> INDEX( VfM_Metrics_2023_Consol_Source[], $AK1019, BA$832 )</f>
        <v>0</v>
      </c>
      <c r="BB1019" s="34" cm="1">
        <f t="array" ref="BB1019" xml:space="preserve"> INDEX( VfM_Metrics_2023_Consol_Source[], $AK1019, BB$832 )</f>
        <v>0</v>
      </c>
      <c r="BC1019" s="34" cm="1">
        <f t="array" ref="BC1019" xml:space="preserve"> INDEX( VfM_Metrics_2023_Consol_Source[], $AK1019, BC$832 )</f>
        <v>0</v>
      </c>
    </row>
    <row r="1020" spans="2:55" x14ac:dyDescent="0.2">
      <c r="B1020" s="122" t="str" vm="187">
        <f t="shared" ref="B1020" si="526" xml:space="preserve"> B810</f>
        <v>Warrington Housing Association Limited</v>
      </c>
      <c r="C1020" s="122" t="str" vm="221">
        <f t="shared" si="500"/>
        <v>L0518</v>
      </c>
      <c r="D1020" s="30" cm="1">
        <f t="array" ref="D1020" xml:space="preserve"> INDEX( VfM_Metrics_2023_Consol_Source[], $AK1020, D$832 )</f>
        <v>7.7764184126013158E-2</v>
      </c>
      <c r="E1020" s="35">
        <f xml:space="preserve"> IF( tblFilterAll[[#This Row],[Reinvestment]] &lt; D$825, 4, IF( tblFilterAll[[#This Row],[Reinvestment]] &lt; D$826, 3, IF( tblFilterAll[[#This Row],[Reinvestment]] &lt; D$827, 2, 1 ) ) )</f>
        <v>2</v>
      </c>
      <c r="F1020" s="35">
        <f xml:space="preserve"> COUNTIFS( tblFilterAll[Include in output], 1, tblFilterAll[Reinvestment], "&gt;" &amp; tblFilterAll[[#This Row],[Reinvestment]] ) + 1</f>
        <v>78</v>
      </c>
      <c r="G1020" s="30" cm="1">
        <f t="array" ref="G1020" xml:space="preserve"> INDEX( VfM_Metrics_2023_Consol_Source[], $AK1020, G$832 )</f>
        <v>2.2371364653243849E-2</v>
      </c>
      <c r="H1020" s="35">
        <f xml:space="preserve"> IF( tblFilterAll[[#This Row],[New Supply (Social)]] &lt; G$825, 4, IF( tblFilterAll[[#This Row],[New Supply (Social)]] &lt; G$826, 3, IF( tblFilterAll[[#This Row],[New Supply (Social)]] &lt; G$827, 2, 1 ) ) )</f>
        <v>1</v>
      </c>
      <c r="I1020" s="35">
        <f xml:space="preserve"> COUNTIFS( tblFilterAll[Include in output], 1, tblFilterAll[New Supply (Social)], "&gt;" &amp; tblFilterAll[[#This Row],[New Supply (Social)]] ) + 1</f>
        <v>48</v>
      </c>
      <c r="J1020" s="31" cm="1">
        <f t="array" ref="J1020" xml:space="preserve"> INDEX( VfM_Metrics_2023_Consol_Source[], $AK1020, J$832 )</f>
        <v>0</v>
      </c>
      <c r="K1020" s="35">
        <f xml:space="preserve"> IF( tblFilterAll[[#This Row],[New Supply (Non-Social)]] &lt; J$825, 4, IF( tblFilterAll[[#This Row],[New Supply (Non-Social)]] &lt; J$826, 3, IF( tblFilterAll[[#This Row],[New Supply (Non-Social)]] &lt; J$827, 2, 1 ) ) )</f>
        <v>2</v>
      </c>
      <c r="L1020" s="35">
        <f xml:space="preserve"> COUNTIFS( tblFilterAll[Include in output], 1, tblFilterAll[New Supply (Non-Social)], "&gt;" &amp; tblFilterAll[[#This Row],[New Supply (Non-Social)]] ) + 1</f>
        <v>72</v>
      </c>
      <c r="M1020" s="30" cm="1">
        <f t="array" ref="M1020" xml:space="preserve"> INDEX( VfM_Metrics_2023_Consol_Source[], $AK1020, M$832 )</f>
        <v>0.12314574093898149</v>
      </c>
      <c r="N1020" s="35">
        <f xml:space="preserve"> IF( tblFilterAll[[#This Row],[Gearing]] &lt; M$825, 4, IF( tblFilterAll[[#This Row],[Gearing]] &lt; M$826, 3, IF( tblFilterAll[[#This Row],[Gearing]] &lt; M$827, 2, 1 ) ) )</f>
        <v>4</v>
      </c>
      <c r="O1020" s="35">
        <f xml:space="preserve"> COUNTIFS( tblFilterAll[Include in output], 1, tblFilterAll[Gearing], "&gt;" &amp; tblFilterAll[[#This Row],[Gearing]] ) + 1</f>
        <v>184</v>
      </c>
      <c r="P1020" s="30" cm="1">
        <f t="array" ref="P1020" xml:space="preserve"> INDEX( VfM_Metrics_2023_Consol_Source[], $AK1020, P$832 )</f>
        <v>3.0963541666666665</v>
      </c>
      <c r="Q1020" s="35">
        <f xml:space="preserve"> IF( tblFilterAll[[#This Row],[EBITDA MRI Interest Cover]] &lt; P$825, 4, IF( tblFilterAll[[#This Row],[EBITDA MRI Interest Cover]] &lt; P$826, 3, IF( tblFilterAll[[#This Row],[EBITDA MRI Interest Cover]] &lt; P$827, 2, 1 ) ) )</f>
        <v>1</v>
      </c>
      <c r="R1020" s="35">
        <f xml:space="preserve"> COUNTIFS( tblFilterAll[Include in output], 1, tblFilterAll[EBITDA MRI Interest Cover], "&gt;" &amp; tblFilterAll[[#This Row],[EBITDA MRI Interest Cover]] ) + 1</f>
        <v>5</v>
      </c>
      <c r="S1020" s="32" cm="1">
        <f t="array" ref="S1020" xml:space="preserve"> INDEX( VfM_Metrics_2023_Consol_Source[], $AK1020, S$832 )</f>
        <v>4901.4626635873747</v>
      </c>
      <c r="T1020" s="35">
        <f xml:space="preserve"> IF( tblFilterAll[[#This Row],[Headline Social Housing Cost per unit]] &lt; S$825, 4, IF( tblFilterAll[[#This Row],[Headline Social Housing Cost per unit]] &lt; S$826, 3, IF( tblFilterAll[[#This Row],[Headline Social Housing Cost per unit]] &lt; S$827, 2, 1 ) ) )</f>
        <v>2</v>
      </c>
      <c r="U1020" s="35">
        <f xml:space="preserve"> COUNTIFS( tblFilterAll[Include in output], 1, tblFilterAll[Headline Social Housing Cost per unit], "&gt;" &amp; tblFilterAll[[#This Row],[Headline Social Housing Cost per unit]] ) + 1</f>
        <v>80</v>
      </c>
      <c r="V1020" s="30" cm="1">
        <f t="array" ref="V1020" xml:space="preserve"> INDEX( VfM_Metrics_2023_Consol_Source[], $AK1020, V$832 )</f>
        <v>0.25846335001471887</v>
      </c>
      <c r="W1020" s="35">
        <f xml:space="preserve"> IF( tblFilterAll[[#This Row],[Operating Margin (SHL)]] &lt; V$825, 4, IF( tblFilterAll[[#This Row],[Operating Margin (SHL)]] &lt; V$826, 3, IF( tblFilterAll[[#This Row],[Operating Margin (SHL)]] &lt; V$827, 2, 1 ) ) )</f>
        <v>1</v>
      </c>
      <c r="X1020" s="35">
        <f xml:space="preserve"> COUNTIFS( tblFilterAll[Include in output], 1, tblFilterAll[Operating Margin (SHL)], "&gt;" &amp; tblFilterAll[[#This Row],[Operating Margin (SHL)]] ) + 1</f>
        <v>49</v>
      </c>
      <c r="Y1020" s="30" cm="1">
        <f t="array" ref="Y1020" xml:space="preserve"> INDEX( VfM_Metrics_2023_Consol_Source[], $AK1020, Y$832 )</f>
        <v>0.185591723441837</v>
      </c>
      <c r="Z1020" s="35">
        <f xml:space="preserve"> IF( tblFilterAll[[#This Row],[Operating Margin (Overall)]] &lt; Y$825, 4, IF( tblFilterAll[[#This Row],[Operating Margin (Overall)]] &lt; Y$826, 3, IF( tblFilterAll[[#This Row],[Operating Margin (Overall)]] &lt; Y$827, 2, 1 ) ) )</f>
        <v>2</v>
      </c>
      <c r="AA1020" s="35">
        <f xml:space="preserve"> COUNTIFS( tblFilterAll[Include in output], 1, tblFilterAll[Operating Margin (Overall)], "&gt;" &amp; tblFilterAll[[#This Row],[Operating Margin (Overall)]] ) + 1</f>
        <v>96</v>
      </c>
      <c r="AB1020" s="30" cm="1">
        <f t="array" ref="AB1020" xml:space="preserve"> INDEX( VfM_Metrics_2023_Consol_Source[], $AK1020, AB$832 )</f>
        <v>3.930197525431188E-2</v>
      </c>
      <c r="AC1020" s="35">
        <f xml:space="preserve"> IF( tblFilterAll[[#This Row],[ROCE]] &lt; AB$825, 4, IF( tblFilterAll[[#This Row],[ROCE]] &lt; AB$826, 3, IF( tblFilterAll[[#This Row],[ROCE]] &lt; AB$827, 2, 1 ) ) )</f>
        <v>1</v>
      </c>
      <c r="AD1020" s="35">
        <f xml:space="preserve"> COUNTIFS( tblFilterAll[Include in output], 1, tblFilterAll[ROCE], "&gt;" &amp; tblFilterAll[[#This Row],[ROCE]] ) + 1</f>
        <v>32</v>
      </c>
      <c r="AE1020" s="33" cm="1" vm="8569">
        <f t="array" ref="AE1020" xml:space="preserve"> INDEX( VfM_Metrics_2023_Consol_Source[], $AK1020, AE$832 )</f>
        <v>1298</v>
      </c>
      <c r="AF1020" s="30" cm="1">
        <f t="array" ref="AF1020" xml:space="preserve"> INDEX( VfM_Metrics_2023_Consol_Source[], $AK1020, AF$832 )</f>
        <v>5.5427251732101619E-2</v>
      </c>
      <c r="AG1020" s="30" cm="1">
        <f t="array" ref="AG1020" xml:space="preserve"> INDEX( VfM_Metrics_2023_Consol_Source[], $AK1020, AG$832 )</f>
        <v>0.12086220169361046</v>
      </c>
      <c r="AH1020" s="30" cm="1">
        <f t="array" ref="AH1020" xml:space="preserve"> INDEX( VfM_Metrics_2023_Consol_Source[], $AK1020, AH$832 )</f>
        <v>0.17628945342571209</v>
      </c>
      <c r="AI1020" s="30" t="str" cm="1">
        <f t="array" ref="AI1020" xml:space="preserve"> INDEX( VfM_Metrics_2023_Consol_Source[], $AK1020, AI$832 )</f>
        <v>Traditional</v>
      </c>
      <c r="AJ1020" s="34" t="str" cm="1">
        <f t="array" ref="AJ1020" xml:space="preserve"> INDEX( VfM_Metrics_2023_Consol_Source[], $AK1020, AJ$832 )</f>
        <v>North West</v>
      </c>
      <c r="AK1020" s="81">
        <f xml:space="preserve"> MATCH( tblFilterAll[[#This Row],[Code]], VfM_Metrics_2023_Consol_Source[RP_Code], 0 )</f>
        <v>187</v>
      </c>
      <c r="AL1020" s="24">
        <f xml:space="preserve"> INDEX( tblFilterRegion[Include for region],  MATCH( tblFilterAll[[#This Row],[Code]], tblFilterRegion[RP_Code], 0 ) )</f>
        <v>1</v>
      </c>
      <c r="AM1020" s="24">
        <f xml:space="preserve"> INDEX( tblFilterPropType[Incl for prop type],  MATCH( tblFilterAll[[#This Row],[Code]], tblFilterPropType[RP_Code], 0 ) )</f>
        <v>1</v>
      </c>
      <c r="AN1020" s="24">
        <f xml:space="preserve"> INDEX( tblFilterSize[Incl for size],  MATCH( tblFilterAll[[#This Row],[Code]], tblFilterSize[RP_Code], 0 ) )</f>
        <v>1</v>
      </c>
      <c r="AO1020" s="24">
        <f xml:space="preserve"> INDEX( tblFilterRP_Type[Incl, for RP Type],  MATCH( tblFilterAll[[#This Row],[Code]], tblFilterRP_Type[RP_Code], 0 ) )</f>
        <v>1</v>
      </c>
      <c r="AP1020" s="24">
        <f xml:space="preserve">  -- ( SUM( tblFilterAll[[#This Row],[Filter Region]:[Filter RP Type]] ) = 4 )</f>
        <v>1</v>
      </c>
      <c r="AQ1020" s="24">
        <f xml:space="preserve"> -- ( tblFilterAll[[#This Row],[Provider name]] = SelectedProvider )</f>
        <v>0</v>
      </c>
      <c r="AR1020" s="24">
        <f xml:space="preserve">  -- ( OR( SUM( tblFilterAll[[#This Row],[Filter Region]:[Filter RP Type]] ) = 4, tblFilterAll[[#This Row],[SelectedProvider]] = 1 ) )</f>
        <v>1</v>
      </c>
      <c r="AS1020" s="24">
        <f xml:space="preserve"> -- ( INDEX( PeersCritera[Included in final peers], MATCH( tblFilterAll[[#This Row],[Provider name]], PeersCritera[RP_Name], 0 ) ) = 1 )</f>
        <v>1</v>
      </c>
      <c r="AT1020" s="30" t="str" cm="1">
        <f t="array" ref="AT1020" xml:space="preserve"> SUBSTITUTE( INDEX( VfM_Metrics_2023_Consol_Source[], $AK1020, AT$832 ), 0, "" )</f>
        <v/>
      </c>
      <c r="AU1020" s="34" cm="1">
        <f t="array" ref="AU1020" xml:space="preserve"> INDEX( VfM_Metrics_2023_Consol_Source[], $AK1020, AU$832 )</f>
        <v>0</v>
      </c>
      <c r="AV1020" s="34" cm="1">
        <f t="array" ref="AV1020" xml:space="preserve"> INDEX( VfM_Metrics_2023_Consol_Source[], $AK1020, AV$832 )</f>
        <v>0</v>
      </c>
      <c r="AW1020" s="34" cm="1">
        <f t="array" ref="AW1020" xml:space="preserve"> INDEX( VfM_Metrics_2023_Consol_Source[], $AK1020, AW$832 )</f>
        <v>0</v>
      </c>
      <c r="AX1020" s="34" cm="1">
        <f t="array" ref="AX1020" xml:space="preserve"> INDEX( VfM_Metrics_2023_Consol_Source[], $AK1020, AX$832 )</f>
        <v>0</v>
      </c>
      <c r="AY1020" s="34" cm="1">
        <f t="array" ref="AY1020" xml:space="preserve"> INDEX( VfM_Metrics_2023_Consol_Source[], $AK1020, AY$832 )</f>
        <v>0</v>
      </c>
      <c r="AZ1020" s="34" cm="1">
        <f t="array" ref="AZ1020" xml:space="preserve"> INDEX( VfM_Metrics_2023_Consol_Source[], $AK1020, AZ$832 )</f>
        <v>0</v>
      </c>
      <c r="BA1020" s="34" cm="1">
        <f t="array" ref="BA1020" xml:space="preserve"> INDEX( VfM_Metrics_2023_Consol_Source[], $AK1020, BA$832 )</f>
        <v>0</v>
      </c>
      <c r="BB1020" s="34" cm="1">
        <f t="array" ref="BB1020" xml:space="preserve"> INDEX( VfM_Metrics_2023_Consol_Source[], $AK1020, BB$832 )</f>
        <v>1</v>
      </c>
      <c r="BC1020" s="34" cm="1">
        <f t="array" ref="BC1020" xml:space="preserve"> INDEX( VfM_Metrics_2023_Consol_Source[], $AK1020, BC$832 )</f>
        <v>0</v>
      </c>
    </row>
    <row r="1021" spans="2:55" x14ac:dyDescent="0.2">
      <c r="B1021" s="122" t="str" vm="188">
        <f t="shared" ref="B1021" si="527" xml:space="preserve"> B811</f>
        <v>Watford Community Housing Trust</v>
      </c>
      <c r="C1021" s="122" t="str" vm="376">
        <f t="shared" si="500"/>
        <v>L4495</v>
      </c>
      <c r="D1021" s="30" cm="1">
        <f t="array" ref="D1021" xml:space="preserve"> INDEX( VfM_Metrics_2023_Consol_Source[], $AK1021, D$832 )</f>
        <v>7.2786486330573053E-2</v>
      </c>
      <c r="E1021" s="35">
        <f xml:space="preserve"> IF( tblFilterAll[[#This Row],[Reinvestment]] &lt; D$825, 4, IF( tblFilterAll[[#This Row],[Reinvestment]] &lt; D$826, 3, IF( tblFilterAll[[#This Row],[Reinvestment]] &lt; D$827, 2, 1 ) ) )</f>
        <v>2</v>
      </c>
      <c r="F1021" s="35">
        <f xml:space="preserve"> COUNTIFS( tblFilterAll[Include in output], 1, tblFilterAll[Reinvestment], "&gt;" &amp; tblFilterAll[[#This Row],[Reinvestment]] ) + 1</f>
        <v>87</v>
      </c>
      <c r="G1021" s="30" cm="1">
        <f t="array" ref="G1021" xml:space="preserve"> INDEX( VfM_Metrics_2023_Consol_Source[], $AK1021, G$832 )</f>
        <v>1.4559386973180077E-2</v>
      </c>
      <c r="H1021" s="35">
        <f xml:space="preserve"> IF( tblFilterAll[[#This Row],[New Supply (Social)]] &lt; G$825, 4, IF( tblFilterAll[[#This Row],[New Supply (Social)]] &lt; G$826, 3, IF( tblFilterAll[[#This Row],[New Supply (Social)]] &lt; G$827, 2, 1 ) ) )</f>
        <v>2</v>
      </c>
      <c r="I1021" s="35">
        <f xml:space="preserve"> COUNTIFS( tblFilterAll[Include in output], 1, tblFilterAll[New Supply (Social)], "&gt;" &amp; tblFilterAll[[#This Row],[New Supply (Social)]] ) + 1</f>
        <v>84</v>
      </c>
      <c r="J1021" s="31" cm="1">
        <f t="array" ref="J1021" xml:space="preserve"> INDEX( VfM_Metrics_2023_Consol_Source[], $AK1021, J$832 )</f>
        <v>0</v>
      </c>
      <c r="K1021" s="35">
        <f xml:space="preserve"> IF( tblFilterAll[[#This Row],[New Supply (Non-Social)]] &lt; J$825, 4, IF( tblFilterAll[[#This Row],[New Supply (Non-Social)]] &lt; J$826, 3, IF( tblFilterAll[[#This Row],[New Supply (Non-Social)]] &lt; J$827, 2, 1 ) ) )</f>
        <v>2</v>
      </c>
      <c r="L1021" s="35">
        <f xml:space="preserve"> COUNTIFS( tblFilterAll[Include in output], 1, tblFilterAll[New Supply (Non-Social)], "&gt;" &amp; tblFilterAll[[#This Row],[New Supply (Non-Social)]] ) + 1</f>
        <v>72</v>
      </c>
      <c r="M1021" s="30" cm="1">
        <f t="array" ref="M1021" xml:space="preserve"> INDEX( VfM_Metrics_2023_Consol_Source[], $AK1021, M$832 )</f>
        <v>0.45726108002370452</v>
      </c>
      <c r="N1021" s="35">
        <f xml:space="preserve"> IF( tblFilterAll[[#This Row],[Gearing]] &lt; M$825, 4, IF( tblFilterAll[[#This Row],[Gearing]] &lt; M$826, 3, IF( tblFilterAll[[#This Row],[Gearing]] &lt; M$827, 2, 1 ) ) )</f>
        <v>2</v>
      </c>
      <c r="O1021" s="35">
        <f xml:space="preserve"> COUNTIFS( tblFilterAll[Include in output], 1, tblFilterAll[Gearing], "&gt;" &amp; tblFilterAll[[#This Row],[Gearing]] ) + 1</f>
        <v>95</v>
      </c>
      <c r="P1021" s="30" cm="1">
        <f t="array" ref="P1021" xml:space="preserve"> INDEX( VfM_Metrics_2023_Consol_Source[], $AK1021, P$832 )</f>
        <v>1.8248415716096325</v>
      </c>
      <c r="Q1021" s="35">
        <f xml:space="preserve"> IF( tblFilterAll[[#This Row],[EBITDA MRI Interest Cover]] &lt; P$825, 4, IF( tblFilterAll[[#This Row],[EBITDA MRI Interest Cover]] &lt; P$826, 3, IF( tblFilterAll[[#This Row],[EBITDA MRI Interest Cover]] &lt; P$827, 2, 1 ) ) )</f>
        <v>1</v>
      </c>
      <c r="R1021" s="35">
        <f xml:space="preserve"> COUNTIFS( tblFilterAll[Include in output], 1, tblFilterAll[EBITDA MRI Interest Cover], "&gt;" &amp; tblFilterAll[[#This Row],[EBITDA MRI Interest Cover]] ) + 1</f>
        <v>43</v>
      </c>
      <c r="S1021" s="32" cm="1">
        <f t="array" ref="S1021" xml:space="preserve"> INDEX( VfM_Metrics_2023_Consol_Source[], $AK1021, S$832 )</f>
        <v>4310.3703703703704</v>
      </c>
      <c r="T1021" s="35">
        <f xml:space="preserve"> IF( tblFilterAll[[#This Row],[Headline Social Housing Cost per unit]] &lt; S$825, 4, IF( tblFilterAll[[#This Row],[Headline Social Housing Cost per unit]] &lt; S$826, 3, IF( tblFilterAll[[#This Row],[Headline Social Housing Cost per unit]] &lt; S$827, 2, 1 ) ) )</f>
        <v>3</v>
      </c>
      <c r="U1021" s="35">
        <f xml:space="preserve"> COUNTIFS( tblFilterAll[Include in output], 1, tblFilterAll[Headline Social Housing Cost per unit], "&gt;" &amp; tblFilterAll[[#This Row],[Headline Social Housing Cost per unit]] ) + 1</f>
        <v>126</v>
      </c>
      <c r="V1021" s="30" cm="1">
        <f t="array" ref="V1021" xml:space="preserve"> INDEX( VfM_Metrics_2023_Consol_Source[], $AK1021, V$832 )</f>
        <v>0.29033745425203883</v>
      </c>
      <c r="W1021" s="35">
        <f xml:space="preserve"> IF( tblFilterAll[[#This Row],[Operating Margin (SHL)]] &lt; V$825, 4, IF( tblFilterAll[[#This Row],[Operating Margin (SHL)]] &lt; V$826, 3, IF( tblFilterAll[[#This Row],[Operating Margin (SHL)]] &lt; V$827, 2, 1 ) ) )</f>
        <v>1</v>
      </c>
      <c r="X1021" s="35">
        <f xml:space="preserve"> COUNTIFS( tblFilterAll[Include in output], 1, tblFilterAll[Operating Margin (SHL)], "&gt;" &amp; tblFilterAll[[#This Row],[Operating Margin (SHL)]] ) + 1</f>
        <v>30</v>
      </c>
      <c r="Y1021" s="30" cm="1">
        <f t="array" ref="Y1021" xml:space="preserve"> INDEX( VfM_Metrics_2023_Consol_Source[], $AK1021, Y$832 )</f>
        <v>0.28091093068051592</v>
      </c>
      <c r="Z1021" s="35">
        <f xml:space="preserve"> IF( tblFilterAll[[#This Row],[Operating Margin (Overall)]] &lt; Y$825, 4, IF( tblFilterAll[[#This Row],[Operating Margin (Overall)]] &lt; Y$826, 3, IF( tblFilterAll[[#This Row],[Operating Margin (Overall)]] &lt; Y$827, 2, 1 ) ) )</f>
        <v>1</v>
      </c>
      <c r="AA1021" s="35">
        <f xml:space="preserve"> COUNTIFS( tblFilterAll[Include in output], 1, tblFilterAll[Operating Margin (Overall)], "&gt;" &amp; tblFilterAll[[#This Row],[Operating Margin (Overall)]] ) + 1</f>
        <v>20</v>
      </c>
      <c r="AB1021" s="30" cm="1">
        <f t="array" ref="AB1021" xml:space="preserve"> INDEX( VfM_Metrics_2023_Consol_Source[], $AK1021, AB$832 )</f>
        <v>3.3432482735827725E-2</v>
      </c>
      <c r="AC1021" s="35">
        <f xml:space="preserve"> IF( tblFilterAll[[#This Row],[ROCE]] &lt; AB$825, 4, IF( tblFilterAll[[#This Row],[ROCE]] &lt; AB$826, 3, IF( tblFilterAll[[#This Row],[ROCE]] &lt; AB$827, 2, 1 ) ) )</f>
        <v>2</v>
      </c>
      <c r="AD1021" s="35">
        <f xml:space="preserve"> COUNTIFS( tblFilterAll[Include in output], 1, tblFilterAll[ROCE], "&gt;" &amp; tblFilterAll[[#This Row],[ROCE]] ) + 1</f>
        <v>63</v>
      </c>
      <c r="AE1021" s="33" cm="1" vm="6113">
        <f t="array" ref="AE1021" xml:space="preserve"> INDEX( VfM_Metrics_2023_Consol_Source[], $AK1021, AE$832 )</f>
        <v>5220</v>
      </c>
      <c r="AF1021" s="30" cm="1">
        <f t="array" ref="AF1021" xml:space="preserve"> INDEX( VfM_Metrics_2023_Consol_Source[], $AK1021, AF$832 )</f>
        <v>0</v>
      </c>
      <c r="AG1021" s="30" cm="1">
        <f t="array" ref="AG1021" xml:space="preserve"> INDEX( VfM_Metrics_2023_Consol_Source[], $AK1021, AG$832 )</f>
        <v>9.0088359585094119E-2</v>
      </c>
      <c r="AH1021" s="30" cm="1">
        <f t="array" ref="AH1021" xml:space="preserve"> INDEX( VfM_Metrics_2023_Consol_Source[], $AK1021, AH$832 )</f>
        <v>9.0088359585094119E-2</v>
      </c>
      <c r="AI1021" s="30" t="str" cm="1">
        <f t="array" ref="AI1021" xml:space="preserve"> INDEX( VfM_Metrics_2023_Consol_Source[], $AK1021, AI$832 )</f>
        <v>Traditional</v>
      </c>
      <c r="AJ1021" s="34" t="str" cm="1">
        <f t="array" ref="AJ1021" xml:space="preserve"> INDEX( VfM_Metrics_2023_Consol_Source[], $AK1021, AJ$832 )</f>
        <v>East of England</v>
      </c>
      <c r="AK1021" s="81">
        <f xml:space="preserve"> MATCH( tblFilterAll[[#This Row],[Code]], VfM_Metrics_2023_Consol_Source[RP_Code], 0 )</f>
        <v>188</v>
      </c>
      <c r="AL1021" s="24">
        <f xml:space="preserve"> INDEX( tblFilterRegion[Include for region],  MATCH( tblFilterAll[[#This Row],[Code]], tblFilterRegion[RP_Code], 0 ) )</f>
        <v>1</v>
      </c>
      <c r="AM1021" s="24">
        <f xml:space="preserve"> INDEX( tblFilterPropType[Incl for prop type],  MATCH( tblFilterAll[[#This Row],[Code]], tblFilterPropType[RP_Code], 0 ) )</f>
        <v>1</v>
      </c>
      <c r="AN1021" s="24">
        <f xml:space="preserve"> INDEX( tblFilterSize[Incl for size],  MATCH( tblFilterAll[[#This Row],[Code]], tblFilterSize[RP_Code], 0 ) )</f>
        <v>1</v>
      </c>
      <c r="AO1021" s="24">
        <f xml:space="preserve"> INDEX( tblFilterRP_Type[Incl, for RP Type],  MATCH( tblFilterAll[[#This Row],[Code]], tblFilterRP_Type[RP_Code], 0 ) )</f>
        <v>1</v>
      </c>
      <c r="AP1021" s="24">
        <f xml:space="preserve">  -- ( SUM( tblFilterAll[[#This Row],[Filter Region]:[Filter RP Type]] ) = 4 )</f>
        <v>1</v>
      </c>
      <c r="AQ1021" s="24">
        <f xml:space="preserve"> -- ( tblFilterAll[[#This Row],[Provider name]] = SelectedProvider )</f>
        <v>0</v>
      </c>
      <c r="AR1021" s="24">
        <f xml:space="preserve">  -- ( OR( SUM( tblFilterAll[[#This Row],[Filter Region]:[Filter RP Type]] ) = 4, tblFilterAll[[#This Row],[SelectedProvider]] = 1 ) )</f>
        <v>1</v>
      </c>
      <c r="AS1021" s="24">
        <f xml:space="preserve"> -- ( INDEX( PeersCritera[Included in final peers], MATCH( tblFilterAll[[#This Row],[Provider name]], PeersCritera[RP_Name], 0 ) ) = 1 )</f>
        <v>1</v>
      </c>
      <c r="AT1021" s="30" t="str" cm="1">
        <f t="array" ref="AT1021" xml:space="preserve"> SUBSTITUTE( INDEX( VfM_Metrics_2023_Consol_Source[], $AK1021, AT$832 ), 0, "" )</f>
        <v>&gt;= 12 years</v>
      </c>
      <c r="AU1021" s="34" cm="1">
        <f t="array" ref="AU1021" xml:space="preserve"> INDEX( VfM_Metrics_2023_Consol_Source[], $AK1021, AU$832 )</f>
        <v>0</v>
      </c>
      <c r="AV1021" s="34" cm="1">
        <f t="array" ref="AV1021" xml:space="preserve"> INDEX( VfM_Metrics_2023_Consol_Source[], $AK1021, AV$832 )</f>
        <v>0</v>
      </c>
      <c r="AW1021" s="34" cm="1">
        <f t="array" ref="AW1021" xml:space="preserve"> INDEX( VfM_Metrics_2023_Consol_Source[], $AK1021, AW$832 )</f>
        <v>0</v>
      </c>
      <c r="AX1021" s="34" cm="1">
        <f t="array" ref="AX1021" xml:space="preserve"> INDEX( VfM_Metrics_2023_Consol_Source[], $AK1021, AX$832 )</f>
        <v>0</v>
      </c>
      <c r="AY1021" s="34" cm="1">
        <f t="array" ref="AY1021" xml:space="preserve"> INDEX( VfM_Metrics_2023_Consol_Source[], $AK1021, AY$832 )</f>
        <v>0</v>
      </c>
      <c r="AZ1021" s="34" cm="1">
        <f t="array" ref="AZ1021" xml:space="preserve"> INDEX( VfM_Metrics_2023_Consol_Source[], $AK1021, AZ$832 )</f>
        <v>1</v>
      </c>
      <c r="BA1021" s="34" cm="1">
        <f t="array" ref="BA1021" xml:space="preserve"> INDEX( VfM_Metrics_2023_Consol_Source[], $AK1021, BA$832 )</f>
        <v>0</v>
      </c>
      <c r="BB1021" s="34" cm="1">
        <f t="array" ref="BB1021" xml:space="preserve"> INDEX( VfM_Metrics_2023_Consol_Source[], $AK1021, BB$832 )</f>
        <v>0</v>
      </c>
      <c r="BC1021" s="34" cm="1">
        <f t="array" ref="BC1021" xml:space="preserve"> INDEX( VfM_Metrics_2023_Consol_Source[], $AK1021, BC$832 )</f>
        <v>0</v>
      </c>
    </row>
    <row r="1022" spans="2:55" x14ac:dyDescent="0.2">
      <c r="B1022" s="122" t="str" vm="189">
        <f t="shared" ref="B1022" si="528" xml:space="preserve"> B812</f>
        <v>Watmos Community Homes</v>
      </c>
      <c r="C1022" s="122" t="str" vm="307">
        <f t="shared" si="500"/>
        <v>L4383</v>
      </c>
      <c r="D1022" s="30" cm="1">
        <f t="array" ref="D1022" xml:space="preserve"> INDEX( VfM_Metrics_2023_Consol_Source[], $AK1022, D$832 )</f>
        <v>0.23221327771078448</v>
      </c>
      <c r="E1022" s="35">
        <f xml:space="preserve"> IF( tblFilterAll[[#This Row],[Reinvestment]] &lt; D$825, 4, IF( tblFilterAll[[#This Row],[Reinvestment]] &lt; D$826, 3, IF( tblFilterAll[[#This Row],[Reinvestment]] &lt; D$827, 2, 1 ) ) )</f>
        <v>1</v>
      </c>
      <c r="F1022" s="35">
        <f xml:space="preserve"> COUNTIFS( tblFilterAll[Include in output], 1, tblFilterAll[Reinvestment], "&gt;" &amp; tblFilterAll[[#This Row],[Reinvestment]] ) + 1</f>
        <v>1</v>
      </c>
      <c r="G1022" s="30" cm="1">
        <f t="array" ref="G1022" xml:space="preserve"> INDEX( VfM_Metrics_2023_Consol_Source[], $AK1022, G$832 )</f>
        <v>0</v>
      </c>
      <c r="H1022" s="35">
        <f xml:space="preserve"> IF( tblFilterAll[[#This Row],[New Supply (Social)]] &lt; G$825, 4, IF( tblFilterAll[[#This Row],[New Supply (Social)]] &lt; G$826, 3, IF( tblFilterAll[[#This Row],[New Supply (Social)]] &lt; G$827, 2, 1 ) ) )</f>
        <v>4</v>
      </c>
      <c r="I1022" s="35">
        <f xml:space="preserve"> COUNTIFS( tblFilterAll[Include in output], 1, tblFilterAll[New Supply (Social)], "&gt;" &amp; tblFilterAll[[#This Row],[New Supply (Social)]] ) + 1</f>
        <v>187</v>
      </c>
      <c r="J1022" s="31" cm="1">
        <f t="array" ref="J1022" xml:space="preserve"> INDEX( VfM_Metrics_2023_Consol_Source[], $AK1022, J$832 )</f>
        <v>0</v>
      </c>
      <c r="K1022" s="35">
        <f xml:space="preserve"> IF( tblFilterAll[[#This Row],[New Supply (Non-Social)]] &lt; J$825, 4, IF( tblFilterAll[[#This Row],[New Supply (Non-Social)]] &lt; J$826, 3, IF( tblFilterAll[[#This Row],[New Supply (Non-Social)]] &lt; J$827, 2, 1 ) ) )</f>
        <v>2</v>
      </c>
      <c r="L1022" s="35">
        <f xml:space="preserve"> COUNTIFS( tblFilterAll[Include in output], 1, tblFilterAll[New Supply (Non-Social)], "&gt;" &amp; tblFilterAll[[#This Row],[New Supply (Non-Social)]] ) + 1</f>
        <v>72</v>
      </c>
      <c r="M1022" s="30" cm="1">
        <f t="array" ref="M1022" xml:space="preserve"> INDEX( VfM_Metrics_2023_Consol_Source[], $AK1022, M$832 )</f>
        <v>-0.10315158230942216</v>
      </c>
      <c r="N1022" s="35">
        <f xml:space="preserve"> IF( tblFilterAll[[#This Row],[Gearing]] &lt; M$825, 4, IF( tblFilterAll[[#This Row],[Gearing]] &lt; M$826, 3, IF( tblFilterAll[[#This Row],[Gearing]] &lt; M$827, 2, 1 ) ) )</f>
        <v>4</v>
      </c>
      <c r="O1022" s="35">
        <f xml:space="preserve"> COUNTIFS( tblFilterAll[Include in output], 1, tblFilterAll[Gearing], "&gt;" &amp; tblFilterAll[[#This Row],[Gearing]] ) + 1</f>
        <v>193</v>
      </c>
      <c r="P1022" s="30" cm="1">
        <f t="array" ref="P1022" xml:space="preserve"> INDEX( VfM_Metrics_2023_Consol_Source[], $AK1022, P$832 )</f>
        <v>-37.138790035587192</v>
      </c>
      <c r="Q1022" s="35">
        <f xml:space="preserve"> IF( tblFilterAll[[#This Row],[EBITDA MRI Interest Cover]] &lt; P$825, 4, IF( tblFilterAll[[#This Row],[EBITDA MRI Interest Cover]] &lt; P$826, 3, IF( tblFilterAll[[#This Row],[EBITDA MRI Interest Cover]] &lt; P$827, 2, 1 ) ) )</f>
        <v>4</v>
      </c>
      <c r="R1022" s="35">
        <f xml:space="preserve"> COUNTIFS( tblFilterAll[Include in output], 1, tblFilterAll[EBITDA MRI Interest Cover], "&gt;" &amp; tblFilterAll[[#This Row],[EBITDA MRI Interest Cover]] ) + 1</f>
        <v>195</v>
      </c>
      <c r="S1022" s="32" cm="1">
        <f t="array" ref="S1022" xml:space="preserve"> INDEX( VfM_Metrics_2023_Consol_Source[], $AK1022, S$832 )</f>
        <v>10350.286806883367</v>
      </c>
      <c r="T1022" s="35">
        <f xml:space="preserve"> IF( tblFilterAll[[#This Row],[Headline Social Housing Cost per unit]] &lt; S$825, 4, IF( tblFilterAll[[#This Row],[Headline Social Housing Cost per unit]] &lt; S$826, 3, IF( tblFilterAll[[#This Row],[Headline Social Housing Cost per unit]] &lt; S$827, 2, 1 ) ) )</f>
        <v>1</v>
      </c>
      <c r="U1022" s="35">
        <f xml:space="preserve"> COUNTIFS( tblFilterAll[Include in output], 1, tblFilterAll[Headline Social Housing Cost per unit], "&gt;" &amp; tblFilterAll[[#This Row],[Headline Social Housing Cost per unit]] ) + 1</f>
        <v>14</v>
      </c>
      <c r="V1022" s="30" cm="1">
        <f t="array" ref="V1022" xml:space="preserve"> INDEX( VfM_Metrics_2023_Consol_Source[], $AK1022, V$832 )</f>
        <v>0.15405046480743692</v>
      </c>
      <c r="W1022" s="35">
        <f xml:space="preserve"> IF( tblFilterAll[[#This Row],[Operating Margin (SHL)]] &lt; V$825, 4, IF( tblFilterAll[[#This Row],[Operating Margin (SHL)]] &lt; V$826, 3, IF( tblFilterAll[[#This Row],[Operating Margin (SHL)]] &lt; V$827, 2, 1 ) ) )</f>
        <v>3</v>
      </c>
      <c r="X1022" s="35">
        <f xml:space="preserve"> COUNTIFS( tblFilterAll[Include in output], 1, tblFilterAll[Operating Margin (SHL)], "&gt;" &amp; tblFilterAll[[#This Row],[Operating Margin (SHL)]] ) + 1</f>
        <v>140</v>
      </c>
      <c r="Y1022" s="30" cm="1">
        <f t="array" ref="Y1022" xml:space="preserve"> INDEX( VfM_Metrics_2023_Consol_Source[], $AK1022, Y$832 )</f>
        <v>0.11400785048919093</v>
      </c>
      <c r="Z1022" s="35">
        <f xml:space="preserve"> IF( tblFilterAll[[#This Row],[Operating Margin (Overall)]] &lt; Y$825, 4, IF( tblFilterAll[[#This Row],[Operating Margin (Overall)]] &lt; Y$826, 3, IF( tblFilterAll[[#This Row],[Operating Margin (Overall)]] &lt; Y$827, 2, 1 ) ) )</f>
        <v>4</v>
      </c>
      <c r="AA1022" s="35">
        <f xml:space="preserve"> COUNTIFS( tblFilterAll[Include in output], 1, tblFilterAll[Operating Margin (Overall)], "&gt;" &amp; tblFilterAll[[#This Row],[Operating Margin (Overall)]] ) + 1</f>
        <v>154</v>
      </c>
      <c r="AB1022" s="30" cm="1">
        <f t="array" ref="AB1022" xml:space="preserve"> INDEX( VfM_Metrics_2023_Consol_Source[], $AK1022, AB$832 )</f>
        <v>3.8410834132310639E-2</v>
      </c>
      <c r="AC1022" s="35">
        <f xml:space="preserve"> IF( tblFilterAll[[#This Row],[ROCE]] &lt; AB$825, 4, IF( tblFilterAll[[#This Row],[ROCE]] &lt; AB$826, 3, IF( tblFilterAll[[#This Row],[ROCE]] &lt; AB$827, 2, 1 ) ) )</f>
        <v>1</v>
      </c>
      <c r="AD1022" s="35">
        <f xml:space="preserve"> COUNTIFS( tblFilterAll[Include in output], 1, tblFilterAll[ROCE], "&gt;" &amp; tblFilterAll[[#This Row],[ROCE]] ) + 1</f>
        <v>37</v>
      </c>
      <c r="AE1022" s="33" cm="1" vm="3582">
        <f t="array" ref="AE1022" xml:space="preserve"> INDEX( VfM_Metrics_2023_Consol_Source[], $AK1022, AE$832 )</f>
        <v>2615</v>
      </c>
      <c r="AF1022" s="30" cm="1">
        <f t="array" ref="AF1022" xml:space="preserve"> INDEX( VfM_Metrics_2023_Consol_Source[], $AK1022, AF$832 )</f>
        <v>0</v>
      </c>
      <c r="AG1022" s="30" cm="1">
        <f t="array" ref="AG1022" xml:space="preserve"> INDEX( VfM_Metrics_2023_Consol_Source[], $AK1022, AG$832 )</f>
        <v>3.2887189292543022E-2</v>
      </c>
      <c r="AH1022" s="30" cm="1">
        <f t="array" ref="AH1022" xml:space="preserve"> INDEX( VfM_Metrics_2023_Consol_Source[], $AK1022, AH$832 )</f>
        <v>3.2887189292543022E-2</v>
      </c>
      <c r="AI1022" s="30" t="str" cm="1">
        <f t="array" ref="AI1022" xml:space="preserve"> INDEX( VfM_Metrics_2023_Consol_Source[], $AK1022, AI$832 )</f>
        <v>Traditional</v>
      </c>
      <c r="AJ1022" s="34" t="str" cm="1">
        <f t="array" ref="AJ1022" xml:space="preserve"> INDEX( VfM_Metrics_2023_Consol_Source[], $AK1022, AJ$832 )</f>
        <v>West Midlands</v>
      </c>
      <c r="AK1022" s="81">
        <f xml:space="preserve"> MATCH( tblFilterAll[[#This Row],[Code]], VfM_Metrics_2023_Consol_Source[RP_Code], 0 )</f>
        <v>189</v>
      </c>
      <c r="AL1022" s="24">
        <f xml:space="preserve"> INDEX( tblFilterRegion[Include for region],  MATCH( tblFilterAll[[#This Row],[Code]], tblFilterRegion[RP_Code], 0 ) )</f>
        <v>1</v>
      </c>
      <c r="AM1022" s="24">
        <f xml:space="preserve"> INDEX( tblFilterPropType[Incl for prop type],  MATCH( tblFilterAll[[#This Row],[Code]], tblFilterPropType[RP_Code], 0 ) )</f>
        <v>1</v>
      </c>
      <c r="AN1022" s="24">
        <f xml:space="preserve"> INDEX( tblFilterSize[Incl for size],  MATCH( tblFilterAll[[#This Row],[Code]], tblFilterSize[RP_Code], 0 ) )</f>
        <v>1</v>
      </c>
      <c r="AO1022" s="24">
        <f xml:space="preserve"> INDEX( tblFilterRP_Type[Incl, for RP Type],  MATCH( tblFilterAll[[#This Row],[Code]], tblFilterRP_Type[RP_Code], 0 ) )</f>
        <v>1</v>
      </c>
      <c r="AP1022" s="24">
        <f xml:space="preserve">  -- ( SUM( tblFilterAll[[#This Row],[Filter Region]:[Filter RP Type]] ) = 4 )</f>
        <v>1</v>
      </c>
      <c r="AQ1022" s="24">
        <f xml:space="preserve"> -- ( tblFilterAll[[#This Row],[Provider name]] = SelectedProvider )</f>
        <v>0</v>
      </c>
      <c r="AR1022" s="24">
        <f xml:space="preserve">  -- ( OR( SUM( tblFilterAll[[#This Row],[Filter Region]:[Filter RP Type]] ) = 4, tblFilterAll[[#This Row],[SelectedProvider]] = 1 ) )</f>
        <v>1</v>
      </c>
      <c r="AS1022" s="24">
        <f xml:space="preserve"> -- ( INDEX( PeersCritera[Included in final peers], MATCH( tblFilterAll[[#This Row],[Provider name]], PeersCritera[RP_Name], 0 ) ) = 1 )</f>
        <v>1</v>
      </c>
      <c r="AT1022" s="30" t="str" cm="1">
        <f t="array" ref="AT1022" xml:space="preserve"> SUBSTITUTE( INDEX( VfM_Metrics_2023_Consol_Source[], $AK1022, AT$832 ), 0, "" )</f>
        <v>&gt;= 12 years</v>
      </c>
      <c r="AU1022" s="34" cm="1">
        <f t="array" ref="AU1022" xml:space="preserve"> INDEX( VfM_Metrics_2023_Consol_Source[], $AK1022, AU$832 )</f>
        <v>0.35296367112810706</v>
      </c>
      <c r="AV1022" s="34" cm="1">
        <f t="array" ref="AV1022" xml:space="preserve"> INDEX( VfM_Metrics_2023_Consol_Source[], $AK1022, AV$832 )</f>
        <v>0</v>
      </c>
      <c r="AW1022" s="34" cm="1">
        <f t="array" ref="AW1022" xml:space="preserve"> INDEX( VfM_Metrics_2023_Consol_Source[], $AK1022, AW$832 )</f>
        <v>0</v>
      </c>
      <c r="AX1022" s="34" cm="1">
        <f t="array" ref="AX1022" xml:space="preserve"> INDEX( VfM_Metrics_2023_Consol_Source[], $AK1022, AX$832 )</f>
        <v>0</v>
      </c>
      <c r="AY1022" s="34" cm="1">
        <f t="array" ref="AY1022" xml:space="preserve"> INDEX( VfM_Metrics_2023_Consol_Source[], $AK1022, AY$832 )</f>
        <v>0.64703632887189289</v>
      </c>
      <c r="AZ1022" s="34" cm="1">
        <f t="array" ref="AZ1022" xml:space="preserve"> INDEX( VfM_Metrics_2023_Consol_Source[], $AK1022, AZ$832 )</f>
        <v>0</v>
      </c>
      <c r="BA1022" s="34" cm="1">
        <f t="array" ref="BA1022" xml:space="preserve"> INDEX( VfM_Metrics_2023_Consol_Source[], $AK1022, BA$832 )</f>
        <v>0</v>
      </c>
      <c r="BB1022" s="34" cm="1">
        <f t="array" ref="BB1022" xml:space="preserve"> INDEX( VfM_Metrics_2023_Consol_Source[], $AK1022, BB$832 )</f>
        <v>0</v>
      </c>
      <c r="BC1022" s="34" cm="1">
        <f t="array" ref="BC1022" xml:space="preserve"> INDEX( VfM_Metrics_2023_Consol_Source[], $AK1022, BC$832 )</f>
        <v>0</v>
      </c>
    </row>
    <row r="1023" spans="2:55" x14ac:dyDescent="0.2">
      <c r="B1023" s="122" t="str" vm="190">
        <f t="shared" ref="B1023" si="529" xml:space="preserve"> B813</f>
        <v>Weaver Vale Housing Trust Limited</v>
      </c>
      <c r="C1023" s="122" t="str" vm="372">
        <f t="shared" si="500"/>
        <v>L4341</v>
      </c>
      <c r="D1023" s="30" cm="1">
        <f t="array" ref="D1023" xml:space="preserve"> INDEX( VfM_Metrics_2023_Consol_Source[], $AK1023, D$832 )</f>
        <v>8.426766142045812E-2</v>
      </c>
      <c r="E1023" s="35">
        <f xml:space="preserve"> IF( tblFilterAll[[#This Row],[Reinvestment]] &lt; D$825, 4, IF( tblFilterAll[[#This Row],[Reinvestment]] &lt; D$826, 3, IF( tblFilterAll[[#This Row],[Reinvestment]] &lt; D$827, 2, 1 ) ) )</f>
        <v>2</v>
      </c>
      <c r="F1023" s="35">
        <f xml:space="preserve"> COUNTIFS( tblFilterAll[Include in output], 1, tblFilterAll[Reinvestment], "&gt;" &amp; tblFilterAll[[#This Row],[Reinvestment]] ) + 1</f>
        <v>63</v>
      </c>
      <c r="G1023" s="30" cm="1">
        <f t="array" ref="G1023" xml:space="preserve"> INDEX( VfM_Metrics_2023_Consol_Source[], $AK1023, G$832 )</f>
        <v>2.5925925925925925E-2</v>
      </c>
      <c r="H1023" s="35">
        <f xml:space="preserve"> IF( tblFilterAll[[#This Row],[New Supply (Social)]] &lt; G$825, 4, IF( tblFilterAll[[#This Row],[New Supply (Social)]] &lt; G$826, 3, IF( tblFilterAll[[#This Row],[New Supply (Social)]] &lt; G$827, 2, 1 ) ) )</f>
        <v>1</v>
      </c>
      <c r="I1023" s="35">
        <f xml:space="preserve"> COUNTIFS( tblFilterAll[Include in output], 1, tblFilterAll[New Supply (Social)], "&gt;" &amp; tblFilterAll[[#This Row],[New Supply (Social)]] ) + 1</f>
        <v>31</v>
      </c>
      <c r="J1023" s="31" cm="1">
        <f t="array" ref="J1023" xml:space="preserve"> INDEX( VfM_Metrics_2023_Consol_Source[], $AK1023, J$832 )</f>
        <v>0</v>
      </c>
      <c r="K1023" s="35">
        <f xml:space="preserve"> IF( tblFilterAll[[#This Row],[New Supply (Non-Social)]] &lt; J$825, 4, IF( tblFilterAll[[#This Row],[New Supply (Non-Social)]] &lt; J$826, 3, IF( tblFilterAll[[#This Row],[New Supply (Non-Social)]] &lt; J$827, 2, 1 ) ) )</f>
        <v>2</v>
      </c>
      <c r="L1023" s="35">
        <f xml:space="preserve"> COUNTIFS( tblFilterAll[Include in output], 1, tblFilterAll[New Supply (Non-Social)], "&gt;" &amp; tblFilterAll[[#This Row],[New Supply (Non-Social)]] ) + 1</f>
        <v>72</v>
      </c>
      <c r="M1023" s="30" cm="1">
        <f t="array" ref="M1023" xml:space="preserve"> INDEX( VfM_Metrics_2023_Consol_Source[], $AK1023, M$832 )</f>
        <v>0.5200662237776893</v>
      </c>
      <c r="N1023" s="35">
        <f xml:space="preserve"> IF( tblFilterAll[[#This Row],[Gearing]] &lt; M$825, 4, IF( tblFilterAll[[#This Row],[Gearing]] &lt; M$826, 3, IF( tblFilterAll[[#This Row],[Gearing]] &lt; M$827, 2, 1 ) ) )</f>
        <v>2</v>
      </c>
      <c r="O1023" s="35">
        <f xml:space="preserve"> COUNTIFS( tblFilterAll[Include in output], 1, tblFilterAll[Gearing], "&gt;" &amp; tblFilterAll[[#This Row],[Gearing]] ) + 1</f>
        <v>60</v>
      </c>
      <c r="P1023" s="30" cm="1">
        <f t="array" ref="P1023" xml:space="preserve"> INDEX( VfM_Metrics_2023_Consol_Source[], $AK1023, P$832 )</f>
        <v>1.8536656041727035</v>
      </c>
      <c r="Q1023" s="35">
        <f xml:space="preserve"> IF( tblFilterAll[[#This Row],[EBITDA MRI Interest Cover]] &lt; P$825, 4, IF( tblFilterAll[[#This Row],[EBITDA MRI Interest Cover]] &lt; P$826, 3, IF( tblFilterAll[[#This Row],[EBITDA MRI Interest Cover]] &lt; P$827, 2, 1 ) ) )</f>
        <v>1</v>
      </c>
      <c r="R1023" s="35">
        <f xml:space="preserve"> COUNTIFS( tblFilterAll[Include in output], 1, tblFilterAll[EBITDA MRI Interest Cover], "&gt;" &amp; tblFilterAll[[#This Row],[EBITDA MRI Interest Cover]] ) + 1</f>
        <v>38</v>
      </c>
      <c r="S1023" s="32" cm="1">
        <f t="array" ref="S1023" xml:space="preserve"> INDEX( VfM_Metrics_2023_Consol_Source[], $AK1023, S$832 )</f>
        <v>4498.9755713159966</v>
      </c>
      <c r="T1023" s="35">
        <f xml:space="preserve"> IF( tblFilterAll[[#This Row],[Headline Social Housing Cost per unit]] &lt; S$825, 4, IF( tblFilterAll[[#This Row],[Headline Social Housing Cost per unit]] &lt; S$826, 3, IF( tblFilterAll[[#This Row],[Headline Social Housing Cost per unit]] &lt; S$827, 2, 1 ) ) )</f>
        <v>3</v>
      </c>
      <c r="U1023" s="35">
        <f xml:space="preserve"> COUNTIFS( tblFilterAll[Include in output], 1, tblFilterAll[Headline Social Housing Cost per unit], "&gt;" &amp; tblFilterAll[[#This Row],[Headline Social Housing Cost per unit]] ) + 1</f>
        <v>108</v>
      </c>
      <c r="V1023" s="30" cm="1">
        <f t="array" ref="V1023" xml:space="preserve"> INDEX( VfM_Metrics_2023_Consol_Source[], $AK1023, V$832 )</f>
        <v>0.18333129733691669</v>
      </c>
      <c r="W1023" s="35">
        <f xml:space="preserve"> IF( tblFilterAll[[#This Row],[Operating Margin (SHL)]] &lt; V$825, 4, IF( tblFilterAll[[#This Row],[Operating Margin (SHL)]] &lt; V$826, 3, IF( tblFilterAll[[#This Row],[Operating Margin (SHL)]] &lt; V$827, 2, 1 ) ) )</f>
        <v>3</v>
      </c>
      <c r="X1023" s="35">
        <f xml:space="preserve"> COUNTIFS( tblFilterAll[Include in output], 1, tblFilterAll[Operating Margin (SHL)], "&gt;" &amp; tblFilterAll[[#This Row],[Operating Margin (SHL)]] ) + 1</f>
        <v>118</v>
      </c>
      <c r="Y1023" s="30" cm="1">
        <f t="array" ref="Y1023" xml:space="preserve"> INDEX( VfM_Metrics_2023_Consol_Source[], $AK1023, Y$832 )</f>
        <v>0.15606905281301339</v>
      </c>
      <c r="Z1023" s="35">
        <f xml:space="preserve"> IF( tblFilterAll[[#This Row],[Operating Margin (Overall)]] &lt; Y$825, 4, IF( tblFilterAll[[#This Row],[Operating Margin (Overall)]] &lt; Y$826, 3, IF( tblFilterAll[[#This Row],[Operating Margin (Overall)]] &lt; Y$827, 2, 1 ) ) )</f>
        <v>3</v>
      </c>
      <c r="AA1023" s="35">
        <f xml:space="preserve"> COUNTIFS( tblFilterAll[Include in output], 1, tblFilterAll[Operating Margin (Overall)], "&gt;" &amp; tblFilterAll[[#This Row],[Operating Margin (Overall)]] ) + 1</f>
        <v>125</v>
      </c>
      <c r="AB1023" s="30" cm="1">
        <f t="array" ref="AB1023" xml:space="preserve"> INDEX( VfM_Metrics_2023_Consol_Source[], $AK1023, AB$832 )</f>
        <v>4.6956403915856509E-2</v>
      </c>
      <c r="AC1023" s="35">
        <f xml:space="preserve"> IF( tblFilterAll[[#This Row],[ROCE]] &lt; AB$825, 4, IF( tblFilterAll[[#This Row],[ROCE]] &lt; AB$826, 3, IF( tblFilterAll[[#This Row],[ROCE]] &lt; AB$827, 2, 1 ) ) )</f>
        <v>1</v>
      </c>
      <c r="AD1023" s="35">
        <f xml:space="preserve"> COUNTIFS( tblFilterAll[Include in output], 1, tblFilterAll[ROCE], "&gt;" &amp; tblFilterAll[[#This Row],[ROCE]] ) + 1</f>
        <v>10</v>
      </c>
      <c r="AE1023" s="33" cm="1" vm="5876">
        <f t="array" ref="AE1023" xml:space="preserve"> INDEX( VfM_Metrics_2023_Consol_Source[], $AK1023, AE$832 )</f>
        <v>6345</v>
      </c>
      <c r="AF1023" s="30" cm="1">
        <f t="array" ref="AF1023" xml:space="preserve"> INDEX( VfM_Metrics_2023_Consol_Source[], $AK1023, AF$832 )</f>
        <v>1.420678768745067E-3</v>
      </c>
      <c r="AG1023" s="30" cm="1">
        <f t="array" ref="AG1023" xml:space="preserve"> INDEX( VfM_Metrics_2023_Consol_Source[], $AK1023, AG$832 )</f>
        <v>1.7205998421468034E-2</v>
      </c>
      <c r="AH1023" s="30" cm="1">
        <f t="array" ref="AH1023" xml:space="preserve"> INDEX( VfM_Metrics_2023_Consol_Source[], $AK1023, AH$832 )</f>
        <v>1.86266771902131E-2</v>
      </c>
      <c r="AI1023" s="30" t="str" cm="1">
        <f t="array" ref="AI1023" xml:space="preserve"> INDEX( VfM_Metrics_2023_Consol_Source[], $AK1023, AI$832 )</f>
        <v>Traditional</v>
      </c>
      <c r="AJ1023" s="34" t="str" cm="1">
        <f t="array" ref="AJ1023" xml:space="preserve"> INDEX( VfM_Metrics_2023_Consol_Source[], $AK1023, AJ$832 )</f>
        <v>North West</v>
      </c>
      <c r="AK1023" s="81">
        <f xml:space="preserve"> MATCH( tblFilterAll[[#This Row],[Code]], VfM_Metrics_2023_Consol_Source[RP_Code], 0 )</f>
        <v>190</v>
      </c>
      <c r="AL1023" s="24">
        <f xml:space="preserve"> INDEX( tblFilterRegion[Include for region],  MATCH( tblFilterAll[[#This Row],[Code]], tblFilterRegion[RP_Code], 0 ) )</f>
        <v>1</v>
      </c>
      <c r="AM1023" s="24">
        <f xml:space="preserve"> INDEX( tblFilterPropType[Incl for prop type],  MATCH( tblFilterAll[[#This Row],[Code]], tblFilterPropType[RP_Code], 0 ) )</f>
        <v>1</v>
      </c>
      <c r="AN1023" s="24">
        <f xml:space="preserve"> INDEX( tblFilterSize[Incl for size],  MATCH( tblFilterAll[[#This Row],[Code]], tblFilterSize[RP_Code], 0 ) )</f>
        <v>1</v>
      </c>
      <c r="AO1023" s="24">
        <f xml:space="preserve"> INDEX( tblFilterRP_Type[Incl, for RP Type],  MATCH( tblFilterAll[[#This Row],[Code]], tblFilterRP_Type[RP_Code], 0 ) )</f>
        <v>1</v>
      </c>
      <c r="AP1023" s="24">
        <f xml:space="preserve">  -- ( SUM( tblFilterAll[[#This Row],[Filter Region]:[Filter RP Type]] ) = 4 )</f>
        <v>1</v>
      </c>
      <c r="AQ1023" s="24">
        <f xml:space="preserve"> -- ( tblFilterAll[[#This Row],[Provider name]] = SelectedProvider )</f>
        <v>0</v>
      </c>
      <c r="AR1023" s="24">
        <f xml:space="preserve">  -- ( OR( SUM( tblFilterAll[[#This Row],[Filter Region]:[Filter RP Type]] ) = 4, tblFilterAll[[#This Row],[SelectedProvider]] = 1 ) )</f>
        <v>1</v>
      </c>
      <c r="AS1023" s="24">
        <f xml:space="preserve"> -- ( INDEX( PeersCritera[Included in final peers], MATCH( tblFilterAll[[#This Row],[Provider name]], PeersCritera[RP_Name], 0 ) ) = 1 )</f>
        <v>1</v>
      </c>
      <c r="AT1023" s="30" t="str" cm="1">
        <f t="array" ref="AT1023" xml:space="preserve"> SUBSTITUTE( INDEX( VfM_Metrics_2023_Consol_Source[], $AK1023, AT$832 ), 0, "" )</f>
        <v>&gt;= 12 years</v>
      </c>
      <c r="AU1023" s="34" cm="1">
        <f t="array" ref="AU1023" xml:space="preserve"> INDEX( VfM_Metrics_2023_Consol_Source[], $AK1023, AU$832 )</f>
        <v>0</v>
      </c>
      <c r="AV1023" s="34" cm="1">
        <f t="array" ref="AV1023" xml:space="preserve"> INDEX( VfM_Metrics_2023_Consol_Source[], $AK1023, AV$832 )</f>
        <v>0</v>
      </c>
      <c r="AW1023" s="34" cm="1">
        <f t="array" ref="AW1023" xml:space="preserve"> INDEX( VfM_Metrics_2023_Consol_Source[], $AK1023, AW$832 )</f>
        <v>0</v>
      </c>
      <c r="AX1023" s="34" cm="1">
        <f t="array" ref="AX1023" xml:space="preserve"> INDEX( VfM_Metrics_2023_Consol_Source[], $AK1023, AX$832 )</f>
        <v>0</v>
      </c>
      <c r="AY1023" s="34" cm="1">
        <f t="array" ref="AY1023" xml:space="preserve"> INDEX( VfM_Metrics_2023_Consol_Source[], $AK1023, AY$832 )</f>
        <v>0</v>
      </c>
      <c r="AZ1023" s="34" cm="1">
        <f t="array" ref="AZ1023" xml:space="preserve"> INDEX( VfM_Metrics_2023_Consol_Source[], $AK1023, AZ$832 )</f>
        <v>0</v>
      </c>
      <c r="BA1023" s="34" cm="1">
        <f t="array" ref="BA1023" xml:space="preserve"> INDEX( VfM_Metrics_2023_Consol_Source[], $AK1023, BA$832 )</f>
        <v>0</v>
      </c>
      <c r="BB1023" s="34" cm="1">
        <f t="array" ref="BB1023" xml:space="preserve"> INDEX( VfM_Metrics_2023_Consol_Source[], $AK1023, BB$832 )</f>
        <v>1</v>
      </c>
      <c r="BC1023" s="34" cm="1">
        <f t="array" ref="BC1023" xml:space="preserve"> INDEX( VfM_Metrics_2023_Consol_Source[], $AK1023, BC$832 )</f>
        <v>0</v>
      </c>
    </row>
    <row r="1024" spans="2:55" x14ac:dyDescent="0.2">
      <c r="B1024" s="122" t="str" vm="191">
        <f t="shared" ref="B1024" si="530" xml:space="preserve"> B814</f>
        <v>West Kent Housing Association</v>
      </c>
      <c r="C1024" s="122" t="str" vm="352">
        <f t="shared" si="500"/>
        <v>LH3827</v>
      </c>
      <c r="D1024" s="30" cm="1">
        <f t="array" ref="D1024" xml:space="preserve"> INDEX( VfM_Metrics_2023_Consol_Source[], $AK1024, D$832 )</f>
        <v>5.971372424505067E-2</v>
      </c>
      <c r="E1024" s="35">
        <f xml:space="preserve"> IF( tblFilterAll[[#This Row],[Reinvestment]] &lt; D$825, 4, IF( tblFilterAll[[#This Row],[Reinvestment]] &lt; D$826, 3, IF( tblFilterAll[[#This Row],[Reinvestment]] &lt; D$827, 2, 1 ) ) )</f>
        <v>3</v>
      </c>
      <c r="F1024" s="35">
        <f xml:space="preserve"> COUNTIFS( tblFilterAll[Include in output], 1, tblFilterAll[Reinvestment], "&gt;" &amp; tblFilterAll[[#This Row],[Reinvestment]] ) + 1</f>
        <v>119</v>
      </c>
      <c r="G1024" s="30" cm="1">
        <f t="array" ref="G1024" xml:space="preserve"> INDEX( VfM_Metrics_2023_Consol_Source[], $AK1024, G$832 )</f>
        <v>1.8048780487804877E-2</v>
      </c>
      <c r="H1024" s="35">
        <f xml:space="preserve"> IF( tblFilterAll[[#This Row],[New Supply (Social)]] &lt; G$825, 4, IF( tblFilterAll[[#This Row],[New Supply (Social)]] &lt; G$826, 3, IF( tblFilterAll[[#This Row],[New Supply (Social)]] &lt; G$827, 2, 1 ) ) )</f>
        <v>2</v>
      </c>
      <c r="I1024" s="35">
        <f xml:space="preserve"> COUNTIFS( tblFilterAll[Include in output], 1, tblFilterAll[New Supply (Social)], "&gt;" &amp; tblFilterAll[[#This Row],[New Supply (Social)]] ) + 1</f>
        <v>66</v>
      </c>
      <c r="J1024" s="31" cm="1">
        <f t="array" ref="J1024" xml:space="preserve"> INDEX( VfM_Metrics_2023_Consol_Source[], $AK1024, J$832 )</f>
        <v>0</v>
      </c>
      <c r="K1024" s="35">
        <f xml:space="preserve"> IF( tblFilterAll[[#This Row],[New Supply (Non-Social)]] &lt; J$825, 4, IF( tblFilterAll[[#This Row],[New Supply (Non-Social)]] &lt; J$826, 3, IF( tblFilterAll[[#This Row],[New Supply (Non-Social)]] &lt; J$827, 2, 1 ) ) )</f>
        <v>2</v>
      </c>
      <c r="L1024" s="35">
        <f xml:space="preserve"> COUNTIFS( tblFilterAll[Include in output], 1, tblFilterAll[New Supply (Non-Social)], "&gt;" &amp; tblFilterAll[[#This Row],[New Supply (Non-Social)]] ) + 1</f>
        <v>72</v>
      </c>
      <c r="M1024" s="30" cm="1">
        <f t="array" ref="M1024" xml:space="preserve"> INDEX( VfM_Metrics_2023_Consol_Source[], $AK1024, M$832 )</f>
        <v>0.4094675808726147</v>
      </c>
      <c r="N1024" s="35">
        <f xml:space="preserve"> IF( tblFilterAll[[#This Row],[Gearing]] &lt; M$825, 4, IF( tblFilterAll[[#This Row],[Gearing]] &lt; M$826, 3, IF( tblFilterAll[[#This Row],[Gearing]] &lt; M$827, 2, 1 ) ) )</f>
        <v>3</v>
      </c>
      <c r="O1024" s="35">
        <f xml:space="preserve"> COUNTIFS( tblFilterAll[Include in output], 1, tblFilterAll[Gearing], "&gt;" &amp; tblFilterAll[[#This Row],[Gearing]] ) + 1</f>
        <v>126</v>
      </c>
      <c r="P1024" s="30" cm="1">
        <f t="array" ref="P1024" xml:space="preserve"> INDEX( VfM_Metrics_2023_Consol_Source[], $AK1024, P$832 )</f>
        <v>1.2865446716899893</v>
      </c>
      <c r="Q1024" s="35">
        <f xml:space="preserve"> IF( tblFilterAll[[#This Row],[EBITDA MRI Interest Cover]] &lt; P$825, 4, IF( tblFilterAll[[#This Row],[EBITDA MRI Interest Cover]] &lt; P$826, 3, IF( tblFilterAll[[#This Row],[EBITDA MRI Interest Cover]] &lt; P$827, 2, 1 ) ) )</f>
        <v>2</v>
      </c>
      <c r="R1024" s="35">
        <f xml:space="preserve"> COUNTIFS( tblFilterAll[Include in output], 1, tblFilterAll[EBITDA MRI Interest Cover], "&gt;" &amp; tblFilterAll[[#This Row],[EBITDA MRI Interest Cover]] ) + 1</f>
        <v>97</v>
      </c>
      <c r="S1024" s="32" cm="1">
        <f t="array" ref="S1024" xml:space="preserve"> INDEX( VfM_Metrics_2023_Consol_Source[], $AK1024, S$832 )</f>
        <v>5698.3907467940653</v>
      </c>
      <c r="T1024" s="35">
        <f xml:space="preserve"> IF( tblFilterAll[[#This Row],[Headline Social Housing Cost per unit]] &lt; S$825, 4, IF( tblFilterAll[[#This Row],[Headline Social Housing Cost per unit]] &lt; S$826, 3, IF( tblFilterAll[[#This Row],[Headline Social Housing Cost per unit]] &lt; S$827, 2, 1 ) ) )</f>
        <v>2</v>
      </c>
      <c r="U1024" s="35">
        <f xml:space="preserve"> COUNTIFS( tblFilterAll[Include in output], 1, tblFilterAll[Headline Social Housing Cost per unit], "&gt;" &amp; tblFilterAll[[#This Row],[Headline Social Housing Cost per unit]] ) + 1</f>
        <v>54</v>
      </c>
      <c r="V1024" s="30" cm="1">
        <f t="array" ref="V1024" xml:space="preserve"> INDEX( VfM_Metrics_2023_Consol_Source[], $AK1024, V$832 )</f>
        <v>0.25270624060010771</v>
      </c>
      <c r="W1024" s="35">
        <f xml:space="preserve"> IF( tblFilterAll[[#This Row],[Operating Margin (SHL)]] &lt; V$825, 4, IF( tblFilterAll[[#This Row],[Operating Margin (SHL)]] &lt; V$826, 3, IF( tblFilterAll[[#This Row],[Operating Margin (SHL)]] &lt; V$827, 2, 1 ) ) )</f>
        <v>2</v>
      </c>
      <c r="X1024" s="35">
        <f xml:space="preserve"> COUNTIFS( tblFilterAll[Include in output], 1, tblFilterAll[Operating Margin (SHL)], "&gt;" &amp; tblFilterAll[[#This Row],[Operating Margin (SHL)]] ) + 1</f>
        <v>52</v>
      </c>
      <c r="Y1024" s="30" cm="1">
        <f t="array" ref="Y1024" xml:space="preserve"> INDEX( VfM_Metrics_2023_Consol_Source[], $AK1024, Y$832 )</f>
        <v>0.22772568771793877</v>
      </c>
      <c r="Z1024" s="35">
        <f xml:space="preserve"> IF( tblFilterAll[[#This Row],[Operating Margin (Overall)]] &lt; Y$825, 4, IF( tblFilterAll[[#This Row],[Operating Margin (Overall)]] &lt; Y$826, 3, IF( tblFilterAll[[#This Row],[Operating Margin (Overall)]] &lt; Y$827, 2, 1 ) ) )</f>
        <v>2</v>
      </c>
      <c r="AA1024" s="35">
        <f xml:space="preserve"> COUNTIFS( tblFilterAll[Include in output], 1, tblFilterAll[Operating Margin (Overall)], "&gt;" &amp; tblFilterAll[[#This Row],[Operating Margin (Overall)]] ) + 1</f>
        <v>55</v>
      </c>
      <c r="AB1024" s="30" cm="1">
        <f t="array" ref="AB1024" xml:space="preserve"> INDEX( VfM_Metrics_2023_Consol_Source[], $AK1024, AB$832 )</f>
        <v>2.4173561490591508E-2</v>
      </c>
      <c r="AC1024" s="35">
        <f xml:space="preserve"> IF( tblFilterAll[[#This Row],[ROCE]] &lt; AB$825, 4, IF( tblFilterAll[[#This Row],[ROCE]] &lt; AB$826, 3, IF( tblFilterAll[[#This Row],[ROCE]] &lt; AB$827, 2, 1 ) ) )</f>
        <v>3</v>
      </c>
      <c r="AD1024" s="35">
        <f xml:space="preserve"> COUNTIFS( tblFilterAll[Include in output], 1, tblFilterAll[ROCE], "&gt;" &amp; tblFilterAll[[#This Row],[ROCE]] ) + 1</f>
        <v>133</v>
      </c>
      <c r="AE1024" s="33" cm="1" vm="5162">
        <f t="array" ref="AE1024" xml:space="preserve"> INDEX( VfM_Metrics_2023_Consol_Source[], $AK1024, AE$832 )</f>
        <v>7954</v>
      </c>
      <c r="AF1024" s="30" cm="1">
        <f t="array" ref="AF1024" xml:space="preserve"> INDEX( VfM_Metrics_2023_Consol_Source[], $AK1024, AF$832 )</f>
        <v>8.916237598894889E-3</v>
      </c>
      <c r="AG1024" s="30" cm="1">
        <f t="array" ref="AG1024" xml:space="preserve"> INDEX( VfM_Metrics_2023_Consol_Source[], $AK1024, AG$832 )</f>
        <v>8.5143790028883587E-2</v>
      </c>
      <c r="AH1024" s="30" cm="1">
        <f t="array" ref="AH1024" xml:space="preserve"> INDEX( VfM_Metrics_2023_Consol_Source[], $AK1024, AH$832 )</f>
        <v>9.4060027627778472E-2</v>
      </c>
      <c r="AI1024" s="30" t="str" cm="1">
        <f t="array" ref="AI1024" xml:space="preserve"> INDEX( VfM_Metrics_2023_Consol_Source[], $AK1024, AI$832 )</f>
        <v>Traditional</v>
      </c>
      <c r="AJ1024" s="34" t="str" cm="1">
        <f t="array" ref="AJ1024" xml:space="preserve"> INDEX( VfM_Metrics_2023_Consol_Source[], $AK1024, AJ$832 )</f>
        <v>South East</v>
      </c>
      <c r="AK1024" s="81">
        <f xml:space="preserve"> MATCH( tblFilterAll[[#This Row],[Code]], VfM_Metrics_2023_Consol_Source[RP_Code], 0 )</f>
        <v>191</v>
      </c>
      <c r="AL1024" s="24">
        <f xml:space="preserve"> INDEX( tblFilterRegion[Include for region],  MATCH( tblFilterAll[[#This Row],[Code]], tblFilterRegion[RP_Code], 0 ) )</f>
        <v>1</v>
      </c>
      <c r="AM1024" s="24">
        <f xml:space="preserve"> INDEX( tblFilterPropType[Incl for prop type],  MATCH( tblFilterAll[[#This Row],[Code]], tblFilterPropType[RP_Code], 0 ) )</f>
        <v>1</v>
      </c>
      <c r="AN1024" s="24">
        <f xml:space="preserve"> INDEX( tblFilterSize[Incl for size],  MATCH( tblFilterAll[[#This Row],[Code]], tblFilterSize[RP_Code], 0 ) )</f>
        <v>1</v>
      </c>
      <c r="AO1024" s="24">
        <f xml:space="preserve"> INDEX( tblFilterRP_Type[Incl, for RP Type],  MATCH( tblFilterAll[[#This Row],[Code]], tblFilterRP_Type[RP_Code], 0 ) )</f>
        <v>1</v>
      </c>
      <c r="AP1024" s="24">
        <f xml:space="preserve">  -- ( SUM( tblFilterAll[[#This Row],[Filter Region]:[Filter RP Type]] ) = 4 )</f>
        <v>1</v>
      </c>
      <c r="AQ1024" s="24">
        <f xml:space="preserve"> -- ( tblFilterAll[[#This Row],[Provider name]] = SelectedProvider )</f>
        <v>0</v>
      </c>
      <c r="AR1024" s="24">
        <f xml:space="preserve">  -- ( OR( SUM( tblFilterAll[[#This Row],[Filter Region]:[Filter RP Type]] ) = 4, tblFilterAll[[#This Row],[SelectedProvider]] = 1 ) )</f>
        <v>1</v>
      </c>
      <c r="AS1024" s="24">
        <f xml:space="preserve"> -- ( INDEX( PeersCritera[Included in final peers], MATCH( tblFilterAll[[#This Row],[Provider name]], PeersCritera[RP_Name], 0 ) ) = 1 )</f>
        <v>1</v>
      </c>
      <c r="AT1024" s="30" t="str" cm="1">
        <f t="array" ref="AT1024" xml:space="preserve"> SUBSTITUTE( INDEX( VfM_Metrics_2023_Consol_Source[], $AK1024, AT$832 ), 0, "" )</f>
        <v>&gt;= 12 years</v>
      </c>
      <c r="AU1024" s="34" cm="1">
        <f t="array" ref="AU1024" xml:space="preserve"> INDEX( VfM_Metrics_2023_Consol_Source[], $AK1024, AU$832 )</f>
        <v>0</v>
      </c>
      <c r="AV1024" s="34" cm="1">
        <f t="array" ref="AV1024" xml:space="preserve"> INDEX( VfM_Metrics_2023_Consol_Source[], $AK1024, AV$832 )</f>
        <v>1</v>
      </c>
      <c r="AW1024" s="34" cm="1">
        <f t="array" ref="AW1024" xml:space="preserve"> INDEX( VfM_Metrics_2023_Consol_Source[], $AK1024, AW$832 )</f>
        <v>0</v>
      </c>
      <c r="AX1024" s="34" cm="1">
        <f t="array" ref="AX1024" xml:space="preserve"> INDEX( VfM_Metrics_2023_Consol_Source[], $AK1024, AX$832 )</f>
        <v>0</v>
      </c>
      <c r="AY1024" s="34" cm="1">
        <f t="array" ref="AY1024" xml:space="preserve"> INDEX( VfM_Metrics_2023_Consol_Source[], $AK1024, AY$832 )</f>
        <v>0</v>
      </c>
      <c r="AZ1024" s="34" cm="1">
        <f t="array" ref="AZ1024" xml:space="preserve"> INDEX( VfM_Metrics_2023_Consol_Source[], $AK1024, AZ$832 )</f>
        <v>0</v>
      </c>
      <c r="BA1024" s="34" cm="1">
        <f t="array" ref="BA1024" xml:space="preserve"> INDEX( VfM_Metrics_2023_Consol_Source[], $AK1024, BA$832 )</f>
        <v>0</v>
      </c>
      <c r="BB1024" s="34" cm="1">
        <f t="array" ref="BB1024" xml:space="preserve"> INDEX( VfM_Metrics_2023_Consol_Source[], $AK1024, BB$832 )</f>
        <v>0</v>
      </c>
      <c r="BC1024" s="34" cm="1">
        <f t="array" ref="BC1024" xml:space="preserve"> INDEX( VfM_Metrics_2023_Consol_Source[], $AK1024, BC$832 )</f>
        <v>0</v>
      </c>
    </row>
    <row r="1025" spans="2:55" x14ac:dyDescent="0.2">
      <c r="B1025" s="122" t="str" vm="192">
        <f t="shared" ref="B1025" si="531" xml:space="preserve"> B815</f>
        <v>Westward Housing Group Limited</v>
      </c>
      <c r="C1025" s="122" t="str" vm="379">
        <f t="shared" si="500"/>
        <v>4826</v>
      </c>
      <c r="D1025" s="30" cm="1">
        <f t="array" ref="D1025" xml:space="preserve"> INDEX( VfM_Metrics_2023_Consol_Source[], $AK1025, D$832 )</f>
        <v>3.3719080445428741E-2</v>
      </c>
      <c r="E1025" s="35">
        <f xml:space="preserve"> IF( tblFilterAll[[#This Row],[Reinvestment]] &lt; D$825, 4, IF( tblFilterAll[[#This Row],[Reinvestment]] &lt; D$826, 3, IF( tblFilterAll[[#This Row],[Reinvestment]] &lt; D$827, 2, 1 ) ) )</f>
        <v>4</v>
      </c>
      <c r="F1025" s="35">
        <f xml:space="preserve"> COUNTIFS( tblFilterAll[Include in output], 1, tblFilterAll[Reinvestment], "&gt;" &amp; tblFilterAll[[#This Row],[Reinvestment]] ) + 1</f>
        <v>162</v>
      </c>
      <c r="G1025" s="30" cm="1">
        <f t="array" ref="G1025" xml:space="preserve"> INDEX( VfM_Metrics_2023_Consol_Source[], $AK1025, G$832 )</f>
        <v>8.9890568004168843E-3</v>
      </c>
      <c r="H1025" s="35">
        <f xml:space="preserve"> IF( tblFilterAll[[#This Row],[New Supply (Social)]] &lt; G$825, 4, IF( tblFilterAll[[#This Row],[New Supply (Social)]] &lt; G$826, 3, IF( tblFilterAll[[#This Row],[New Supply (Social)]] &lt; G$827, 2, 1 ) ) )</f>
        <v>3</v>
      </c>
      <c r="I1025" s="35">
        <f xml:space="preserve"> COUNTIFS( tblFilterAll[Include in output], 1, tblFilterAll[New Supply (Social)], "&gt;" &amp; tblFilterAll[[#This Row],[New Supply (Social)]] ) + 1</f>
        <v>131</v>
      </c>
      <c r="J1025" s="31" cm="1">
        <f t="array" ref="J1025" xml:space="preserve"> INDEX( VfM_Metrics_2023_Consol_Source[], $AK1025, J$832 )</f>
        <v>0</v>
      </c>
      <c r="K1025" s="35">
        <f xml:space="preserve"> IF( tblFilterAll[[#This Row],[New Supply (Non-Social)]] &lt; J$825, 4, IF( tblFilterAll[[#This Row],[New Supply (Non-Social)]] &lt; J$826, 3, IF( tblFilterAll[[#This Row],[New Supply (Non-Social)]] &lt; J$827, 2, 1 ) ) )</f>
        <v>2</v>
      </c>
      <c r="L1025" s="35">
        <f xml:space="preserve"> COUNTIFS( tblFilterAll[Include in output], 1, tblFilterAll[New Supply (Non-Social)], "&gt;" &amp; tblFilterAll[[#This Row],[New Supply (Non-Social)]] ) + 1</f>
        <v>72</v>
      </c>
      <c r="M1025" s="30" cm="1">
        <f t="array" ref="M1025" xml:space="preserve"> INDEX( VfM_Metrics_2023_Consol_Source[], $AK1025, M$832 )</f>
        <v>0.29619087723676141</v>
      </c>
      <c r="N1025" s="35">
        <f xml:space="preserve"> IF( tblFilterAll[[#This Row],[Gearing]] &lt; M$825, 4, IF( tblFilterAll[[#This Row],[Gearing]] &lt; M$826, 3, IF( tblFilterAll[[#This Row],[Gearing]] &lt; M$827, 2, 1 ) ) )</f>
        <v>4</v>
      </c>
      <c r="O1025" s="35">
        <f xml:space="preserve"> COUNTIFS( tblFilterAll[Include in output], 1, tblFilterAll[Gearing], "&gt;" &amp; tblFilterAll[[#This Row],[Gearing]] ) + 1</f>
        <v>161</v>
      </c>
      <c r="P1025" s="30" cm="1">
        <f t="array" ref="P1025" xml:space="preserve"> INDEX( VfM_Metrics_2023_Consol_Source[], $AK1025, P$832 )</f>
        <v>1.3862416107382551</v>
      </c>
      <c r="Q1025" s="35">
        <f xml:space="preserve"> IF( tblFilterAll[[#This Row],[EBITDA MRI Interest Cover]] &lt; P$825, 4, IF( tblFilterAll[[#This Row],[EBITDA MRI Interest Cover]] &lt; P$826, 3, IF( tblFilterAll[[#This Row],[EBITDA MRI Interest Cover]] &lt; P$827, 2, 1 ) ) )</f>
        <v>2</v>
      </c>
      <c r="R1025" s="35">
        <f xml:space="preserve"> COUNTIFS( tblFilterAll[Include in output], 1, tblFilterAll[EBITDA MRI Interest Cover], "&gt;" &amp; tblFilterAll[[#This Row],[EBITDA MRI Interest Cover]] ) + 1</f>
        <v>79</v>
      </c>
      <c r="S1025" s="32" cm="1">
        <f t="array" ref="S1025" xml:space="preserve"> INDEX( VfM_Metrics_2023_Consol_Source[], $AK1025, S$832 )</f>
        <v>4214.7849462365593</v>
      </c>
      <c r="T1025" s="35">
        <f xml:space="preserve"> IF( tblFilterAll[[#This Row],[Headline Social Housing Cost per unit]] &lt; S$825, 4, IF( tblFilterAll[[#This Row],[Headline Social Housing Cost per unit]] &lt; S$826, 3, IF( tblFilterAll[[#This Row],[Headline Social Housing Cost per unit]] &lt; S$827, 2, 1 ) ) )</f>
        <v>3</v>
      </c>
      <c r="U1025" s="35">
        <f xml:space="preserve"> COUNTIFS( tblFilterAll[Include in output], 1, tblFilterAll[Headline Social Housing Cost per unit], "&gt;" &amp; tblFilterAll[[#This Row],[Headline Social Housing Cost per unit]] ) + 1</f>
        <v>135</v>
      </c>
      <c r="V1025" s="30" cm="1">
        <f t="array" ref="V1025" xml:space="preserve"> INDEX( VfM_Metrics_2023_Consol_Source[], $AK1025, V$832 )</f>
        <v>0.22340451980210327</v>
      </c>
      <c r="W1025" s="35">
        <f xml:space="preserve"> IF( tblFilterAll[[#This Row],[Operating Margin (SHL)]] &lt; V$825, 4, IF( tblFilterAll[[#This Row],[Operating Margin (SHL)]] &lt; V$826, 3, IF( tblFilterAll[[#This Row],[Operating Margin (SHL)]] &lt; V$827, 2, 1 ) ) )</f>
        <v>2</v>
      </c>
      <c r="X1025" s="35">
        <f xml:space="preserve"> COUNTIFS( tblFilterAll[Include in output], 1, tblFilterAll[Operating Margin (SHL)], "&gt;" &amp; tblFilterAll[[#This Row],[Operating Margin (SHL)]] ) + 1</f>
        <v>78</v>
      </c>
      <c r="Y1025" s="30" cm="1">
        <f t="array" ref="Y1025" xml:space="preserve"> INDEX( VfM_Metrics_2023_Consol_Source[], $AK1025, Y$832 )</f>
        <v>0.22957419707033028</v>
      </c>
      <c r="Z1025" s="35">
        <f xml:space="preserve"> IF( tblFilterAll[[#This Row],[Operating Margin (Overall)]] &lt; Y$825, 4, IF( tblFilterAll[[#This Row],[Operating Margin (Overall)]] &lt; Y$826, 3, IF( tblFilterAll[[#This Row],[Operating Margin (Overall)]] &lt; Y$827, 2, 1 ) ) )</f>
        <v>2</v>
      </c>
      <c r="AA1025" s="35">
        <f xml:space="preserve"> COUNTIFS( tblFilterAll[Include in output], 1, tblFilterAll[Operating Margin (Overall)], "&gt;" &amp; tblFilterAll[[#This Row],[Operating Margin (Overall)]] ) + 1</f>
        <v>51</v>
      </c>
      <c r="AB1025" s="30" cm="1">
        <f t="array" ref="AB1025" xml:space="preserve"> INDEX( VfM_Metrics_2023_Consol_Source[], $AK1025, AB$832 )</f>
        <v>3.0200141105185617E-2</v>
      </c>
      <c r="AC1025" s="35">
        <f xml:space="preserve"> IF( tblFilterAll[[#This Row],[ROCE]] &lt; AB$825, 4, IF( tblFilterAll[[#This Row],[ROCE]] &lt; AB$826, 3, IF( tblFilterAll[[#This Row],[ROCE]] &lt; AB$827, 2, 1 ) ) )</f>
        <v>2</v>
      </c>
      <c r="AD1025" s="35">
        <f xml:space="preserve"> COUNTIFS( tblFilterAll[Include in output], 1, tblFilterAll[ROCE], "&gt;" &amp; tblFilterAll[[#This Row],[ROCE]] ) + 1</f>
        <v>84</v>
      </c>
      <c r="AE1025" s="33" cm="1" vm="6155">
        <f t="array" ref="AE1025" xml:space="preserve"> INDEX( VfM_Metrics_2023_Consol_Source[], $AK1025, AE$832 )</f>
        <v>7276</v>
      </c>
      <c r="AF1025" s="30" cm="1">
        <f t="array" ref="AF1025" xml:space="preserve"> INDEX( VfM_Metrics_2023_Consol_Source[], $AK1025, AF$832 )</f>
        <v>4.5829892650701899E-2</v>
      </c>
      <c r="AG1025" s="30" cm="1">
        <f t="array" ref="AG1025" xml:space="preserve"> INDEX( VfM_Metrics_2023_Consol_Source[], $AK1025, AG$832 )</f>
        <v>9.0283512248830161E-2</v>
      </c>
      <c r="AH1025" s="30" cm="1">
        <f t="array" ref="AH1025" xml:space="preserve"> INDEX( VfM_Metrics_2023_Consol_Source[], $AK1025, AH$832 )</f>
        <v>0.13611340489953205</v>
      </c>
      <c r="AI1025" s="30" t="str" cm="1">
        <f t="array" ref="AI1025" xml:space="preserve"> INDEX( VfM_Metrics_2023_Consol_Source[], $AK1025, AI$832 )</f>
        <v>Traditional</v>
      </c>
      <c r="AJ1025" s="34" t="str" cm="1">
        <f t="array" ref="AJ1025" xml:space="preserve"> INDEX( VfM_Metrics_2023_Consol_Source[], $AK1025, AJ$832 )</f>
        <v>South West</v>
      </c>
      <c r="AK1025" s="81">
        <f xml:space="preserve"> MATCH( tblFilterAll[[#This Row],[Code]], VfM_Metrics_2023_Consol_Source[RP_Code], 0 )</f>
        <v>192</v>
      </c>
      <c r="AL1025" s="24">
        <f xml:space="preserve"> INDEX( tblFilterRegion[Include for region],  MATCH( tblFilterAll[[#This Row],[Code]], tblFilterRegion[RP_Code], 0 ) )</f>
        <v>1</v>
      </c>
      <c r="AM1025" s="24">
        <f xml:space="preserve"> INDEX( tblFilterPropType[Incl for prop type],  MATCH( tblFilterAll[[#This Row],[Code]], tblFilterPropType[RP_Code], 0 ) )</f>
        <v>1</v>
      </c>
      <c r="AN1025" s="24">
        <f xml:space="preserve"> INDEX( tblFilterSize[Incl for size],  MATCH( tblFilterAll[[#This Row],[Code]], tblFilterSize[RP_Code], 0 ) )</f>
        <v>1</v>
      </c>
      <c r="AO1025" s="24">
        <f xml:space="preserve"> INDEX( tblFilterRP_Type[Incl, for RP Type],  MATCH( tblFilterAll[[#This Row],[Code]], tblFilterRP_Type[RP_Code], 0 ) )</f>
        <v>1</v>
      </c>
      <c r="AP1025" s="24">
        <f xml:space="preserve">  -- ( SUM( tblFilterAll[[#This Row],[Filter Region]:[Filter RP Type]] ) = 4 )</f>
        <v>1</v>
      </c>
      <c r="AQ1025" s="24">
        <f xml:space="preserve"> -- ( tblFilterAll[[#This Row],[Provider name]] = SelectedProvider )</f>
        <v>0</v>
      </c>
      <c r="AR1025" s="24">
        <f xml:space="preserve">  -- ( OR( SUM( tblFilterAll[[#This Row],[Filter Region]:[Filter RP Type]] ) = 4, tblFilterAll[[#This Row],[SelectedProvider]] = 1 ) )</f>
        <v>1</v>
      </c>
      <c r="AS1025" s="24">
        <f xml:space="preserve"> -- ( INDEX( PeersCritera[Included in final peers], MATCH( tblFilterAll[[#This Row],[Provider name]], PeersCritera[RP_Name], 0 ) ) = 1 )</f>
        <v>1</v>
      </c>
      <c r="AT1025" s="30" t="str" cm="1">
        <f t="array" ref="AT1025" xml:space="preserve"> SUBSTITUTE( INDEX( VfM_Metrics_2023_Consol_Source[], $AK1025, AT$832 ), 0, "" )</f>
        <v/>
      </c>
      <c r="AU1025" s="34" cm="1">
        <f t="array" ref="AU1025" xml:space="preserve"> INDEX( VfM_Metrics_2023_Consol_Source[], $AK1025, AU$832 )</f>
        <v>0</v>
      </c>
      <c r="AV1025" s="34" cm="1">
        <f t="array" ref="AV1025" xml:space="preserve"> INDEX( VfM_Metrics_2023_Consol_Source[], $AK1025, AV$832 )</f>
        <v>0</v>
      </c>
      <c r="AW1025" s="34" cm="1">
        <f t="array" ref="AW1025" xml:space="preserve"> INDEX( VfM_Metrics_2023_Consol_Source[], $AK1025, AW$832 )</f>
        <v>1</v>
      </c>
      <c r="AX1025" s="34" cm="1">
        <f t="array" ref="AX1025" xml:space="preserve"> INDEX( VfM_Metrics_2023_Consol_Source[], $AK1025, AX$832 )</f>
        <v>0</v>
      </c>
      <c r="AY1025" s="34" cm="1">
        <f t="array" ref="AY1025" xml:space="preserve"> INDEX( VfM_Metrics_2023_Consol_Source[], $AK1025, AY$832 )</f>
        <v>0</v>
      </c>
      <c r="AZ1025" s="34" cm="1">
        <f t="array" ref="AZ1025" xml:space="preserve"> INDEX( VfM_Metrics_2023_Consol_Source[], $AK1025, AZ$832 )</f>
        <v>0</v>
      </c>
      <c r="BA1025" s="34" cm="1">
        <f t="array" ref="BA1025" xml:space="preserve"> INDEX( VfM_Metrics_2023_Consol_Source[], $AK1025, BA$832 )</f>
        <v>0</v>
      </c>
      <c r="BB1025" s="34" cm="1">
        <f t="array" ref="BB1025" xml:space="preserve"> INDEX( VfM_Metrics_2023_Consol_Source[], $AK1025, BB$832 )</f>
        <v>0</v>
      </c>
      <c r="BC1025" s="34" cm="1">
        <f t="array" ref="BC1025" xml:space="preserve"> INDEX( VfM_Metrics_2023_Consol_Source[], $AK1025, BC$832 )</f>
        <v>0</v>
      </c>
    </row>
    <row r="1026" spans="2:55" x14ac:dyDescent="0.2">
      <c r="B1026" s="122" t="str" vm="193">
        <f t="shared" ref="B1026" si="532" xml:space="preserve"> B816</f>
        <v>Willow Tree Housing Partnership Limited</v>
      </c>
      <c r="C1026" s="122" t="str" vm="222">
        <f t="shared" ref="C1026:C1031" si="533" xml:space="preserve"> C816</f>
        <v>L2424</v>
      </c>
      <c r="D1026" s="30" cm="1">
        <f t="array" ref="D1026" xml:space="preserve"> INDEX( VfM_Metrics_2023_Consol_Source[], $AK1026, D$832 )</f>
        <v>2.7291899268080882E-2</v>
      </c>
      <c r="E1026" s="35">
        <f xml:space="preserve"> IF( tblFilterAll[[#This Row],[Reinvestment]] &lt; D$825, 4, IF( tblFilterAll[[#This Row],[Reinvestment]] &lt; D$826, 3, IF( tblFilterAll[[#This Row],[Reinvestment]] &lt; D$827, 2, 1 ) ) )</f>
        <v>4</v>
      </c>
      <c r="F1026" s="35">
        <f xml:space="preserve"> COUNTIFS( tblFilterAll[Include in output], 1, tblFilterAll[Reinvestment], "&gt;" &amp; tblFilterAll[[#This Row],[Reinvestment]] ) + 1</f>
        <v>178</v>
      </c>
      <c r="G1026" s="30" cm="1">
        <f t="array" ref="G1026" xml:space="preserve"> INDEX( VfM_Metrics_2023_Consol_Source[], $AK1026, G$832 )</f>
        <v>1.33422281521014E-3</v>
      </c>
      <c r="H1026" s="35">
        <f xml:space="preserve"> IF( tblFilterAll[[#This Row],[New Supply (Social)]] &lt; G$825, 4, IF( tblFilterAll[[#This Row],[New Supply (Social)]] &lt; G$826, 3, IF( tblFilterAll[[#This Row],[New Supply (Social)]] &lt; G$827, 2, 1 ) ) )</f>
        <v>4</v>
      </c>
      <c r="I1026" s="35">
        <f xml:space="preserve"> COUNTIFS( tblFilterAll[Include in output], 1, tblFilterAll[New Supply (Social)], "&gt;" &amp; tblFilterAll[[#This Row],[New Supply (Social)]] ) + 1</f>
        <v>179</v>
      </c>
      <c r="J1026" s="31" cm="1">
        <f t="array" ref="J1026" xml:space="preserve"> INDEX( VfM_Metrics_2023_Consol_Source[], $AK1026, J$832 )</f>
        <v>0</v>
      </c>
      <c r="K1026" s="35">
        <f xml:space="preserve"> IF( tblFilterAll[[#This Row],[New Supply (Non-Social)]] &lt; J$825, 4, IF( tblFilterAll[[#This Row],[New Supply (Non-Social)]] &lt; J$826, 3, IF( tblFilterAll[[#This Row],[New Supply (Non-Social)]] &lt; J$827, 2, 1 ) ) )</f>
        <v>2</v>
      </c>
      <c r="L1026" s="35">
        <f xml:space="preserve"> COUNTIFS( tblFilterAll[Include in output], 1, tblFilterAll[New Supply (Non-Social)], "&gt;" &amp; tblFilterAll[[#This Row],[New Supply (Non-Social)]] ) + 1</f>
        <v>72</v>
      </c>
      <c r="M1026" s="30" cm="1">
        <f t="array" ref="M1026" xml:space="preserve"> INDEX( VfM_Metrics_2023_Consol_Source[], $AK1026, M$832 )</f>
        <v>0.33370549559607987</v>
      </c>
      <c r="N1026" s="35">
        <f xml:space="preserve"> IF( tblFilterAll[[#This Row],[Gearing]] &lt; M$825, 4, IF( tblFilterAll[[#This Row],[Gearing]] &lt; M$826, 3, IF( tblFilterAll[[#This Row],[Gearing]] &lt; M$827, 2, 1 ) ) )</f>
        <v>4</v>
      </c>
      <c r="O1026" s="35">
        <f xml:space="preserve"> COUNTIFS( tblFilterAll[Include in output], 1, tblFilterAll[Gearing], "&gt;" &amp; tblFilterAll[[#This Row],[Gearing]] ) + 1</f>
        <v>149</v>
      </c>
      <c r="P1026" s="30" cm="1">
        <f t="array" ref="P1026" xml:space="preserve"> INDEX( VfM_Metrics_2023_Consol_Source[], $AK1026, P$832 )</f>
        <v>0.63546423135464236</v>
      </c>
      <c r="Q1026" s="35">
        <f xml:space="preserve"> IF( tblFilterAll[[#This Row],[EBITDA MRI Interest Cover]] &lt; P$825, 4, IF( tblFilterAll[[#This Row],[EBITDA MRI Interest Cover]] &lt; P$826, 3, IF( tblFilterAll[[#This Row],[EBITDA MRI Interest Cover]] &lt; P$827, 2, 1 ) ) )</f>
        <v>4</v>
      </c>
      <c r="R1026" s="35">
        <f xml:space="preserve"> COUNTIFS( tblFilterAll[Include in output], 1, tblFilterAll[EBITDA MRI Interest Cover], "&gt;" &amp; tblFilterAll[[#This Row],[EBITDA MRI Interest Cover]] ) + 1</f>
        <v>163</v>
      </c>
      <c r="S1026" s="32" cm="1">
        <f t="array" ref="S1026" xml:space="preserve"> INDEX( VfM_Metrics_2023_Consol_Source[], $AK1026, S$832 )</f>
        <v>4728.2463186077648</v>
      </c>
      <c r="T1026" s="35">
        <f xml:space="preserve"> IF( tblFilterAll[[#This Row],[Headline Social Housing Cost per unit]] &lt; S$825, 4, IF( tblFilterAll[[#This Row],[Headline Social Housing Cost per unit]] &lt; S$826, 3, IF( tblFilterAll[[#This Row],[Headline Social Housing Cost per unit]] &lt; S$827, 2, 1 ) ) )</f>
        <v>2</v>
      </c>
      <c r="U1026" s="35">
        <f xml:space="preserve"> COUNTIFS( tblFilterAll[Include in output], 1, tblFilterAll[Headline Social Housing Cost per unit], "&gt;" &amp; tblFilterAll[[#This Row],[Headline Social Housing Cost per unit]] ) + 1</f>
        <v>87</v>
      </c>
      <c r="V1026" s="30" cm="1">
        <f t="array" ref="V1026" xml:space="preserve"> INDEX( VfM_Metrics_2023_Consol_Source[], $AK1026, V$832 )</f>
        <v>0.18181818181818182</v>
      </c>
      <c r="W1026" s="35">
        <f xml:space="preserve"> IF( tblFilterAll[[#This Row],[Operating Margin (SHL)]] &lt; V$825, 4, IF( tblFilterAll[[#This Row],[Operating Margin (SHL)]] &lt; V$826, 3, IF( tblFilterAll[[#This Row],[Operating Margin (SHL)]] &lt; V$827, 2, 1 ) ) )</f>
        <v>3</v>
      </c>
      <c r="X1026" s="35">
        <f xml:space="preserve"> COUNTIFS( tblFilterAll[Include in output], 1, tblFilterAll[Operating Margin (SHL)], "&gt;" &amp; tblFilterAll[[#This Row],[Operating Margin (SHL)]] ) + 1</f>
        <v>121</v>
      </c>
      <c r="Y1026" s="30" cm="1">
        <f t="array" ref="Y1026" xml:space="preserve"> INDEX( VfM_Metrics_2023_Consol_Source[], $AK1026, Y$832 )</f>
        <v>0.16830120617743208</v>
      </c>
      <c r="Z1026" s="35">
        <f xml:space="preserve"> IF( tblFilterAll[[#This Row],[Operating Margin (Overall)]] &lt; Y$825, 4, IF( tblFilterAll[[#This Row],[Operating Margin (Overall)]] &lt; Y$826, 3, IF( tblFilterAll[[#This Row],[Operating Margin (Overall)]] &lt; Y$827, 2, 1 ) ) )</f>
        <v>3</v>
      </c>
      <c r="AA1026" s="35">
        <f xml:space="preserve"> COUNTIFS( tblFilterAll[Include in output], 1, tblFilterAll[Operating Margin (Overall)], "&gt;" &amp; tblFilterAll[[#This Row],[Operating Margin (Overall)]] ) + 1</f>
        <v>111</v>
      </c>
      <c r="AB1026" s="30" cm="1">
        <f t="array" ref="AB1026" xml:space="preserve"> INDEX( VfM_Metrics_2023_Consol_Source[], $AK1026, AB$832 )</f>
        <v>2.1070905441328051E-2</v>
      </c>
      <c r="AC1026" s="35">
        <f xml:space="preserve"> IF( tblFilterAll[[#This Row],[ROCE]] &lt; AB$825, 4, IF( tblFilterAll[[#This Row],[ROCE]] &lt; AB$826, 3, IF( tblFilterAll[[#This Row],[ROCE]] &lt; AB$827, 2, 1 ) ) )</f>
        <v>4</v>
      </c>
      <c r="AD1026" s="35">
        <f xml:space="preserve"> COUNTIFS( tblFilterAll[Include in output], 1, tblFilterAll[ROCE], "&gt;" &amp; tblFilterAll[[#This Row],[ROCE]] ) + 1</f>
        <v>156</v>
      </c>
      <c r="AE1026" s="33" cm="1" vm="8528">
        <f t="array" ref="AE1026" xml:space="preserve"> INDEX( VfM_Metrics_2023_Consol_Source[], $AK1026, AE$832 )</f>
        <v>1494</v>
      </c>
      <c r="AF1026" s="30" cm="1">
        <f t="array" ref="AF1026" xml:space="preserve"> INDEX( VfM_Metrics_2023_Consol_Source[], $AK1026, AF$832 )</f>
        <v>0</v>
      </c>
      <c r="AG1026" s="30" cm="1">
        <f t="array" ref="AG1026" xml:space="preserve"> INDEX( VfM_Metrics_2023_Consol_Source[], $AK1026, AG$832 )</f>
        <v>4.992076069730586E-2</v>
      </c>
      <c r="AH1026" s="30" cm="1">
        <f t="array" ref="AH1026" xml:space="preserve"> INDEX( VfM_Metrics_2023_Consol_Source[], $AK1026, AH$832 )</f>
        <v>4.992076069730586E-2</v>
      </c>
      <c r="AI1026" s="30" t="str" cm="1">
        <f t="array" ref="AI1026" xml:space="preserve"> INDEX( VfM_Metrics_2023_Consol_Source[], $AK1026, AI$832 )</f>
        <v>Traditional</v>
      </c>
      <c r="AJ1026" s="34" t="str" cm="1">
        <f t="array" ref="AJ1026" xml:space="preserve"> INDEX( VfM_Metrics_2023_Consol_Source[], $AK1026, AJ$832 )</f>
        <v>South West</v>
      </c>
      <c r="AK1026" s="81">
        <f xml:space="preserve"> MATCH( tblFilterAll[[#This Row],[Code]], VfM_Metrics_2023_Consol_Source[RP_Code], 0 )</f>
        <v>193</v>
      </c>
      <c r="AL1026" s="24">
        <f xml:space="preserve"> INDEX( tblFilterRegion[Include for region],  MATCH( tblFilterAll[[#This Row],[Code]], tblFilterRegion[RP_Code], 0 ) )</f>
        <v>1</v>
      </c>
      <c r="AM1026" s="24">
        <f xml:space="preserve"> INDEX( tblFilterPropType[Incl for prop type],  MATCH( tblFilterAll[[#This Row],[Code]], tblFilterPropType[RP_Code], 0 ) )</f>
        <v>1</v>
      </c>
      <c r="AN1026" s="24">
        <f xml:space="preserve"> INDEX( tblFilterSize[Incl for size],  MATCH( tblFilterAll[[#This Row],[Code]], tblFilterSize[RP_Code], 0 ) )</f>
        <v>1</v>
      </c>
      <c r="AO1026" s="24">
        <f xml:space="preserve"> INDEX( tblFilterRP_Type[Incl, for RP Type],  MATCH( tblFilterAll[[#This Row],[Code]], tblFilterRP_Type[RP_Code], 0 ) )</f>
        <v>1</v>
      </c>
      <c r="AP1026" s="24">
        <f xml:space="preserve">  -- ( SUM( tblFilterAll[[#This Row],[Filter Region]:[Filter RP Type]] ) = 4 )</f>
        <v>1</v>
      </c>
      <c r="AQ1026" s="24">
        <f xml:space="preserve"> -- ( tblFilterAll[[#This Row],[Provider name]] = SelectedProvider )</f>
        <v>0</v>
      </c>
      <c r="AR1026" s="24">
        <f xml:space="preserve">  -- ( OR( SUM( tblFilterAll[[#This Row],[Filter Region]:[Filter RP Type]] ) = 4, tblFilterAll[[#This Row],[SelectedProvider]] = 1 ) )</f>
        <v>1</v>
      </c>
      <c r="AS1026" s="24">
        <f xml:space="preserve"> -- ( INDEX( PeersCritera[Included in final peers], MATCH( tblFilterAll[[#This Row],[Provider name]], PeersCritera[RP_Name], 0 ) ) = 1 )</f>
        <v>1</v>
      </c>
      <c r="AT1026" s="30" t="str" cm="1">
        <f t="array" ref="AT1026" xml:space="preserve"> SUBSTITUTE( INDEX( VfM_Metrics_2023_Consol_Source[], $AK1026, AT$832 ), 0, "" )</f>
        <v/>
      </c>
      <c r="AU1026" s="34" cm="1">
        <f t="array" ref="AU1026" xml:space="preserve"> INDEX( VfM_Metrics_2023_Consol_Source[], $AK1026, AU$832 )</f>
        <v>0</v>
      </c>
      <c r="AV1026" s="34" cm="1">
        <f t="array" ref="AV1026" xml:space="preserve"> INDEX( VfM_Metrics_2023_Consol_Source[], $AK1026, AV$832 )</f>
        <v>0</v>
      </c>
      <c r="AW1026" s="34" cm="1">
        <f t="array" ref="AW1026" xml:space="preserve"> INDEX( VfM_Metrics_2023_Consol_Source[], $AK1026, AW$832 )</f>
        <v>1</v>
      </c>
      <c r="AX1026" s="34" cm="1">
        <f t="array" ref="AX1026" xml:space="preserve"> INDEX( VfM_Metrics_2023_Consol_Source[], $AK1026, AX$832 )</f>
        <v>0</v>
      </c>
      <c r="AY1026" s="34" cm="1">
        <f t="array" ref="AY1026" xml:space="preserve"> INDEX( VfM_Metrics_2023_Consol_Source[], $AK1026, AY$832 )</f>
        <v>0</v>
      </c>
      <c r="AZ1026" s="34" cm="1">
        <f t="array" ref="AZ1026" xml:space="preserve"> INDEX( VfM_Metrics_2023_Consol_Source[], $AK1026, AZ$832 )</f>
        <v>0</v>
      </c>
      <c r="BA1026" s="34" cm="1">
        <f t="array" ref="BA1026" xml:space="preserve"> INDEX( VfM_Metrics_2023_Consol_Source[], $AK1026, BA$832 )</f>
        <v>0</v>
      </c>
      <c r="BB1026" s="34" cm="1">
        <f t="array" ref="BB1026" xml:space="preserve"> INDEX( VfM_Metrics_2023_Consol_Source[], $AK1026, BB$832 )</f>
        <v>0</v>
      </c>
      <c r="BC1026" s="34" cm="1">
        <f t="array" ref="BC1026" xml:space="preserve"> INDEX( VfM_Metrics_2023_Consol_Source[], $AK1026, BC$832 )</f>
        <v>0</v>
      </c>
    </row>
    <row r="1027" spans="2:55" x14ac:dyDescent="0.2">
      <c r="B1027" s="122" t="str" vm="194">
        <f t="shared" ref="B1027" si="534" xml:space="preserve"> B817</f>
        <v>Worthing Homes Limited</v>
      </c>
      <c r="C1027" s="122" t="str" vm="332">
        <f t="shared" si="533"/>
        <v>LH4208</v>
      </c>
      <c r="D1027" s="30" cm="1">
        <f t="array" ref="D1027" xml:space="preserve"> INDEX( VfM_Metrics_2023_Consol_Source[], $AK1027, D$832 )</f>
        <v>8.4057435397776673E-2</v>
      </c>
      <c r="E1027" s="35">
        <f xml:space="preserve"> IF( tblFilterAll[[#This Row],[Reinvestment]] &lt; D$825, 4, IF( tblFilterAll[[#This Row],[Reinvestment]] &lt; D$826, 3, IF( tblFilterAll[[#This Row],[Reinvestment]] &lt; D$827, 2, 1 ) ) )</f>
        <v>2</v>
      </c>
      <c r="F1027" s="35">
        <f xml:space="preserve"> COUNTIFS( tblFilterAll[Include in output], 1, tblFilterAll[Reinvestment], "&gt;" &amp; tblFilterAll[[#This Row],[Reinvestment]] ) + 1</f>
        <v>65</v>
      </c>
      <c r="G1027" s="30" cm="1">
        <f t="array" ref="G1027" xml:space="preserve"> INDEX( VfM_Metrics_2023_Consol_Source[], $AK1027, G$832 )</f>
        <v>1.1398176291793313E-2</v>
      </c>
      <c r="H1027" s="35">
        <f xml:space="preserve"> IF( tblFilterAll[[#This Row],[New Supply (Social)]] &lt; G$825, 4, IF( tblFilterAll[[#This Row],[New Supply (Social)]] &lt; G$826, 3, IF( tblFilterAll[[#This Row],[New Supply (Social)]] &lt; G$827, 2, 1 ) ) )</f>
        <v>3</v>
      </c>
      <c r="I1027" s="35">
        <f xml:space="preserve"> COUNTIFS( tblFilterAll[Include in output], 1, tblFilterAll[New Supply (Social)], "&gt;" &amp; tblFilterAll[[#This Row],[New Supply (Social)]] ) + 1</f>
        <v>116</v>
      </c>
      <c r="J1027" s="31" cm="1">
        <f t="array" ref="J1027" xml:space="preserve"> INDEX( VfM_Metrics_2023_Consol_Source[], $AK1027, J$832 )</f>
        <v>0</v>
      </c>
      <c r="K1027" s="35">
        <f xml:space="preserve"> IF( tblFilterAll[[#This Row],[New Supply (Non-Social)]] &lt; J$825, 4, IF( tblFilterAll[[#This Row],[New Supply (Non-Social)]] &lt; J$826, 3, IF( tblFilterAll[[#This Row],[New Supply (Non-Social)]] &lt; J$827, 2, 1 ) ) )</f>
        <v>2</v>
      </c>
      <c r="L1027" s="35">
        <f xml:space="preserve"> COUNTIFS( tblFilterAll[Include in output], 1, tblFilterAll[New Supply (Non-Social)], "&gt;" &amp; tblFilterAll[[#This Row],[New Supply (Non-Social)]] ) + 1</f>
        <v>72</v>
      </c>
      <c r="M1027" s="30" cm="1">
        <f t="array" ref="M1027" xml:space="preserve"> INDEX( VfM_Metrics_2023_Consol_Source[], $AK1027, M$832 )</f>
        <v>0.58321959086308484</v>
      </c>
      <c r="N1027" s="35">
        <f xml:space="preserve"> IF( tblFilterAll[[#This Row],[Gearing]] &lt; M$825, 4, IF( tblFilterAll[[#This Row],[Gearing]] &lt; M$826, 3, IF( tblFilterAll[[#This Row],[Gearing]] &lt; M$827, 2, 1 ) ) )</f>
        <v>1</v>
      </c>
      <c r="O1027" s="35">
        <f xml:space="preserve"> COUNTIFS( tblFilterAll[Include in output], 1, tblFilterAll[Gearing], "&gt;" &amp; tblFilterAll[[#This Row],[Gearing]] ) + 1</f>
        <v>27</v>
      </c>
      <c r="P1027" s="30" cm="1">
        <f t="array" ref="P1027" xml:space="preserve"> INDEX( VfM_Metrics_2023_Consol_Source[], $AK1027, P$832 )</f>
        <v>1.4847876447876447</v>
      </c>
      <c r="Q1027" s="35">
        <f xml:space="preserve"> IF( tblFilterAll[[#This Row],[EBITDA MRI Interest Cover]] &lt; P$825, 4, IF( tblFilterAll[[#This Row],[EBITDA MRI Interest Cover]] &lt; P$826, 3, IF( tblFilterAll[[#This Row],[EBITDA MRI Interest Cover]] &lt; P$827, 2, 1 ) ) )</f>
        <v>2</v>
      </c>
      <c r="R1027" s="35">
        <f xml:space="preserve"> COUNTIFS( tblFilterAll[Include in output], 1, tblFilterAll[EBITDA MRI Interest Cover], "&gt;" &amp; tblFilterAll[[#This Row],[EBITDA MRI Interest Cover]] ) + 1</f>
        <v>66</v>
      </c>
      <c r="S1027" s="32" cm="1">
        <f t="array" ref="S1027" xml:space="preserve"> INDEX( VfM_Metrics_2023_Consol_Source[], $AK1027, S$832 )</f>
        <v>4146.9181721572795</v>
      </c>
      <c r="T1027" s="35">
        <f xml:space="preserve"> IF( tblFilterAll[[#This Row],[Headline Social Housing Cost per unit]] &lt; S$825, 4, IF( tblFilterAll[[#This Row],[Headline Social Housing Cost per unit]] &lt; S$826, 3, IF( tblFilterAll[[#This Row],[Headline Social Housing Cost per unit]] &lt; S$827, 2, 1 ) ) )</f>
        <v>3</v>
      </c>
      <c r="U1027" s="35">
        <f xml:space="preserve"> COUNTIFS( tblFilterAll[Include in output], 1, tblFilterAll[Headline Social Housing Cost per unit], "&gt;" &amp; tblFilterAll[[#This Row],[Headline Social Housing Cost per unit]] ) + 1</f>
        <v>144</v>
      </c>
      <c r="V1027" s="30" cm="1">
        <f t="array" ref="V1027" xml:space="preserve"> INDEX( VfM_Metrics_2023_Consol_Source[], $AK1027, V$832 )</f>
        <v>0.30778198775867094</v>
      </c>
      <c r="W1027" s="35">
        <f xml:space="preserve"> IF( tblFilterAll[[#This Row],[Operating Margin (SHL)]] &lt; V$825, 4, IF( tblFilterAll[[#This Row],[Operating Margin (SHL)]] &lt; V$826, 3, IF( tblFilterAll[[#This Row],[Operating Margin (SHL)]] &lt; V$827, 2, 1 ) ) )</f>
        <v>1</v>
      </c>
      <c r="X1027" s="35">
        <f xml:space="preserve"> COUNTIFS( tblFilterAll[Include in output], 1, tblFilterAll[Operating Margin (SHL)], "&gt;" &amp; tblFilterAll[[#This Row],[Operating Margin (SHL)]] ) + 1</f>
        <v>26</v>
      </c>
      <c r="Y1027" s="30" cm="1">
        <f t="array" ref="Y1027" xml:space="preserve"> INDEX( VfM_Metrics_2023_Consol_Source[], $AK1027, Y$832 )</f>
        <v>0.3042419246046616</v>
      </c>
      <c r="Z1027" s="35">
        <f xml:space="preserve"> IF( tblFilterAll[[#This Row],[Operating Margin (Overall)]] &lt; Y$825, 4, IF( tblFilterAll[[#This Row],[Operating Margin (Overall)]] &lt; Y$826, 3, IF( tblFilterAll[[#This Row],[Operating Margin (Overall)]] &lt; Y$827, 2, 1 ) ) )</f>
        <v>1</v>
      </c>
      <c r="AA1027" s="35">
        <f xml:space="preserve"> COUNTIFS( tblFilterAll[Include in output], 1, tblFilterAll[Operating Margin (Overall)], "&gt;" &amp; tblFilterAll[[#This Row],[Operating Margin (Overall)]] ) + 1</f>
        <v>14</v>
      </c>
      <c r="AB1027" s="30" cm="1">
        <f t="array" ref="AB1027" xml:space="preserve"> INDEX( VfM_Metrics_2023_Consol_Source[], $AK1027, AB$832 )</f>
        <v>3.9065988232017575E-2</v>
      </c>
      <c r="AC1027" s="35">
        <f xml:space="preserve"> IF( tblFilterAll[[#This Row],[ROCE]] &lt; AB$825, 4, IF( tblFilterAll[[#This Row],[ROCE]] &lt; AB$826, 3, IF( tblFilterAll[[#This Row],[ROCE]] &lt; AB$827, 2, 1 ) ) )</f>
        <v>1</v>
      </c>
      <c r="AD1027" s="35">
        <f xml:space="preserve"> COUNTIFS( tblFilterAll[Include in output], 1, tblFilterAll[ROCE], "&gt;" &amp; tblFilterAll[[#This Row],[ROCE]] ) + 1</f>
        <v>33</v>
      </c>
      <c r="AE1027" s="33" cm="1" vm="4450">
        <f t="array" ref="AE1027" xml:space="preserve"> INDEX( VfM_Metrics_2023_Consol_Source[], $AK1027, AE$832 )</f>
        <v>3690</v>
      </c>
      <c r="AF1027" s="30" cm="1">
        <f t="array" ref="AF1027" xml:space="preserve"> INDEX( VfM_Metrics_2023_Consol_Source[], $AK1027, AF$832 )</f>
        <v>2.989942919271541E-3</v>
      </c>
      <c r="AG1027" s="30" cm="1">
        <f t="array" ref="AG1027" xml:space="preserve"> INDEX( VfM_Metrics_2023_Consol_Source[], $AK1027, AG$832 )</f>
        <v>5.8439793422125574E-2</v>
      </c>
      <c r="AH1027" s="30" cm="1">
        <f t="array" ref="AH1027" xml:space="preserve"> INDEX( VfM_Metrics_2023_Consol_Source[], $AK1027, AH$832 )</f>
        <v>6.1429736341397118E-2</v>
      </c>
      <c r="AI1027" s="30" t="str" cm="1">
        <f t="array" ref="AI1027" xml:space="preserve"> INDEX( VfM_Metrics_2023_Consol_Source[], $AK1027, AI$832 )</f>
        <v>Traditional</v>
      </c>
      <c r="AJ1027" s="34" t="str" cm="1">
        <f t="array" ref="AJ1027" xml:space="preserve"> INDEX( VfM_Metrics_2023_Consol_Source[], $AK1027, AJ$832 )</f>
        <v>South East</v>
      </c>
      <c r="AK1027" s="81">
        <f xml:space="preserve"> MATCH( tblFilterAll[[#This Row],[Code]], VfM_Metrics_2023_Consol_Source[RP_Code], 0 )</f>
        <v>194</v>
      </c>
      <c r="AL1027" s="24">
        <f xml:space="preserve"> INDEX( tblFilterRegion[Include for region],  MATCH( tblFilterAll[[#This Row],[Code]], tblFilterRegion[RP_Code], 0 ) )</f>
        <v>1</v>
      </c>
      <c r="AM1027" s="24">
        <f xml:space="preserve"> INDEX( tblFilterPropType[Incl for prop type],  MATCH( tblFilterAll[[#This Row],[Code]], tblFilterPropType[RP_Code], 0 ) )</f>
        <v>1</v>
      </c>
      <c r="AN1027" s="24">
        <f xml:space="preserve"> INDEX( tblFilterSize[Incl for size],  MATCH( tblFilterAll[[#This Row],[Code]], tblFilterSize[RP_Code], 0 ) )</f>
        <v>1</v>
      </c>
      <c r="AO1027" s="24">
        <f xml:space="preserve"> INDEX( tblFilterRP_Type[Incl, for RP Type],  MATCH( tblFilterAll[[#This Row],[Code]], tblFilterRP_Type[RP_Code], 0 ) )</f>
        <v>1</v>
      </c>
      <c r="AP1027" s="24">
        <f xml:space="preserve">  -- ( SUM( tblFilterAll[[#This Row],[Filter Region]:[Filter RP Type]] ) = 4 )</f>
        <v>1</v>
      </c>
      <c r="AQ1027" s="24">
        <f xml:space="preserve"> -- ( tblFilterAll[[#This Row],[Provider name]] = SelectedProvider )</f>
        <v>0</v>
      </c>
      <c r="AR1027" s="24">
        <f xml:space="preserve">  -- ( OR( SUM( tblFilterAll[[#This Row],[Filter Region]:[Filter RP Type]] ) = 4, tblFilterAll[[#This Row],[SelectedProvider]] = 1 ) )</f>
        <v>1</v>
      </c>
      <c r="AS1027" s="24">
        <f xml:space="preserve"> -- ( INDEX( PeersCritera[Included in final peers], MATCH( tblFilterAll[[#This Row],[Provider name]], PeersCritera[RP_Name], 0 ) ) = 1 )</f>
        <v>1</v>
      </c>
      <c r="AT1027" s="30" t="str" cm="1">
        <f t="array" ref="AT1027" xml:space="preserve"> SUBSTITUTE( INDEX( VfM_Metrics_2023_Consol_Source[], $AK1027, AT$832 ), 0, "" )</f>
        <v>&gt;= 12 years</v>
      </c>
      <c r="AU1027" s="34" cm="1">
        <f t="array" ref="AU1027" xml:space="preserve"> INDEX( VfM_Metrics_2023_Consol_Source[], $AK1027, AU$832 )</f>
        <v>0</v>
      </c>
      <c r="AV1027" s="34" cm="1">
        <f t="array" ref="AV1027" xml:space="preserve"> INDEX( VfM_Metrics_2023_Consol_Source[], $AK1027, AV$832 )</f>
        <v>1</v>
      </c>
      <c r="AW1027" s="34" cm="1">
        <f t="array" ref="AW1027" xml:space="preserve"> INDEX( VfM_Metrics_2023_Consol_Source[], $AK1027, AW$832 )</f>
        <v>0</v>
      </c>
      <c r="AX1027" s="34" cm="1">
        <f t="array" ref="AX1027" xml:space="preserve"> INDEX( VfM_Metrics_2023_Consol_Source[], $AK1027, AX$832 )</f>
        <v>0</v>
      </c>
      <c r="AY1027" s="34" cm="1">
        <f t="array" ref="AY1027" xml:space="preserve"> INDEX( VfM_Metrics_2023_Consol_Source[], $AK1027, AY$832 )</f>
        <v>0</v>
      </c>
      <c r="AZ1027" s="34" cm="1">
        <f t="array" ref="AZ1027" xml:space="preserve"> INDEX( VfM_Metrics_2023_Consol_Source[], $AK1027, AZ$832 )</f>
        <v>0</v>
      </c>
      <c r="BA1027" s="34" cm="1">
        <f t="array" ref="BA1027" xml:space="preserve"> INDEX( VfM_Metrics_2023_Consol_Source[], $AK1027, BA$832 )</f>
        <v>0</v>
      </c>
      <c r="BB1027" s="34" cm="1">
        <f t="array" ref="BB1027" xml:space="preserve"> INDEX( VfM_Metrics_2023_Consol_Source[], $AK1027, BB$832 )</f>
        <v>0</v>
      </c>
      <c r="BC1027" s="34" cm="1">
        <f t="array" ref="BC1027" xml:space="preserve"> INDEX( VfM_Metrics_2023_Consol_Source[], $AK1027, BC$832 )</f>
        <v>0</v>
      </c>
    </row>
    <row r="1028" spans="2:55" x14ac:dyDescent="0.2">
      <c r="B1028" s="122" t="str" vm="195">
        <f t="shared" ref="B1028" si="535" xml:space="preserve"> B818</f>
        <v>Wythenshawe Community Housing Group Limited</v>
      </c>
      <c r="C1028" s="122" t="str" vm="280">
        <f t="shared" si="533"/>
        <v>L4219</v>
      </c>
      <c r="D1028" s="30" cm="1">
        <f t="array" ref="D1028" xml:space="preserve"> INDEX( VfM_Metrics_2023_Consol_Source[], $AK1028, D$832 )</f>
        <v>7.5133493240656851E-2</v>
      </c>
      <c r="E1028" s="35">
        <f xml:space="preserve"> IF( tblFilterAll[[#This Row],[Reinvestment]] &lt; D$825, 4, IF( tblFilterAll[[#This Row],[Reinvestment]] &lt; D$826, 3, IF( tblFilterAll[[#This Row],[Reinvestment]] &lt; D$827, 2, 1 ) ) )</f>
        <v>2</v>
      </c>
      <c r="F1028" s="35">
        <f xml:space="preserve"> COUNTIFS( tblFilterAll[Include in output], 1, tblFilterAll[Reinvestment], "&gt;" &amp; tblFilterAll[[#This Row],[Reinvestment]] ) + 1</f>
        <v>82</v>
      </c>
      <c r="G1028" s="30" cm="1">
        <f t="array" ref="G1028" xml:space="preserve"> INDEX( VfM_Metrics_2023_Consol_Source[], $AK1028, G$832 )</f>
        <v>3.5313228335334414E-3</v>
      </c>
      <c r="H1028" s="35">
        <f xml:space="preserve"> IF( tblFilterAll[[#This Row],[New Supply (Social)]] &lt; G$825, 4, IF( tblFilterAll[[#This Row],[New Supply (Social)]] &lt; G$826, 3, IF( tblFilterAll[[#This Row],[New Supply (Social)]] &lt; G$827, 2, 1 ) ) )</f>
        <v>4</v>
      </c>
      <c r="I1028" s="35">
        <f xml:space="preserve"> COUNTIFS( tblFilterAll[Include in output], 1, tblFilterAll[New Supply (Social)], "&gt;" &amp; tblFilterAll[[#This Row],[New Supply (Social)]] ) + 1</f>
        <v>167</v>
      </c>
      <c r="J1028" s="31" cm="1">
        <f t="array" ref="J1028" xml:space="preserve"> INDEX( VfM_Metrics_2023_Consol_Source[], $AK1028, J$832 )</f>
        <v>6.2994330510254078E-4</v>
      </c>
      <c r="K1028" s="35">
        <f xml:space="preserve"> IF( tblFilterAll[[#This Row],[New Supply (Non-Social)]] &lt; J$825, 4, IF( tblFilterAll[[#This Row],[New Supply (Non-Social)]] &lt; J$826, 3, IF( tblFilterAll[[#This Row],[New Supply (Non-Social)]] &lt; J$827, 2, 1 ) ) )</f>
        <v>2</v>
      </c>
      <c r="L1028" s="35">
        <f xml:space="preserve"> COUNTIFS( tblFilterAll[Include in output], 1, tblFilterAll[New Supply (Non-Social)], "&gt;" &amp; tblFilterAll[[#This Row],[New Supply (Non-Social)]] ) + 1</f>
        <v>56</v>
      </c>
      <c r="M1028" s="30" cm="1">
        <f t="array" ref="M1028" xml:space="preserve"> INDEX( VfM_Metrics_2023_Consol_Source[], $AK1028, M$832 )</f>
        <v>0.20658887937278142</v>
      </c>
      <c r="N1028" s="35">
        <f xml:space="preserve"> IF( tblFilterAll[[#This Row],[Gearing]] &lt; M$825, 4, IF( tblFilterAll[[#This Row],[Gearing]] &lt; M$826, 3, IF( tblFilterAll[[#This Row],[Gearing]] &lt; M$827, 2, 1 ) ) )</f>
        <v>4</v>
      </c>
      <c r="O1028" s="35">
        <f xml:space="preserve"> COUNTIFS( tblFilterAll[Include in output], 1, tblFilterAll[Gearing], "&gt;" &amp; tblFilterAll[[#This Row],[Gearing]] ) + 1</f>
        <v>177</v>
      </c>
      <c r="P1028" s="30" cm="1">
        <f t="array" ref="P1028" xml:space="preserve"> INDEX( VfM_Metrics_2023_Consol_Source[], $AK1028, P$832 )</f>
        <v>1.2141445200966396</v>
      </c>
      <c r="Q1028" s="35">
        <f xml:space="preserve"> IF( tblFilterAll[[#This Row],[EBITDA MRI Interest Cover]] &lt; P$825, 4, IF( tblFilterAll[[#This Row],[EBITDA MRI Interest Cover]] &lt; P$826, 3, IF( tblFilterAll[[#This Row],[EBITDA MRI Interest Cover]] &lt; P$827, 2, 1 ) ) )</f>
        <v>3</v>
      </c>
      <c r="R1028" s="35">
        <f xml:space="preserve"> COUNTIFS( tblFilterAll[Include in output], 1, tblFilterAll[EBITDA MRI Interest Cover], "&gt;" &amp; tblFilterAll[[#This Row],[EBITDA MRI Interest Cover]] ) + 1</f>
        <v>106</v>
      </c>
      <c r="S1028" s="32" cm="1">
        <f t="array" ref="S1028" xml:space="preserve"> INDEX( VfM_Metrics_2023_Consol_Source[], $AK1028, S$832 )</f>
        <v>4589.491450796213</v>
      </c>
      <c r="T1028" s="35">
        <f xml:space="preserve"> IF( tblFilterAll[[#This Row],[Headline Social Housing Cost per unit]] &lt; S$825, 4, IF( tblFilterAll[[#This Row],[Headline Social Housing Cost per unit]] &lt; S$826, 3, IF( tblFilterAll[[#This Row],[Headline Social Housing Cost per unit]] &lt; S$827, 2, 1 ) ) )</f>
        <v>2</v>
      </c>
      <c r="U1028" s="35">
        <f xml:space="preserve"> COUNTIFS( tblFilterAll[Include in output], 1, tblFilterAll[Headline Social Housing Cost per unit], "&gt;" &amp; tblFilterAll[[#This Row],[Headline Social Housing Cost per unit]] ) + 1</f>
        <v>99</v>
      </c>
      <c r="V1028" s="30" cm="1">
        <f t="array" ref="V1028" xml:space="preserve"> INDEX( VfM_Metrics_2023_Consol_Source[], $AK1028, V$832 )</f>
        <v>0.14541680975915666</v>
      </c>
      <c r="W1028" s="35">
        <f xml:space="preserve"> IF( tblFilterAll[[#This Row],[Operating Margin (SHL)]] &lt; V$825, 4, IF( tblFilterAll[[#This Row],[Operating Margin (SHL)]] &lt; V$826, 3, IF( tblFilterAll[[#This Row],[Operating Margin (SHL)]] &lt; V$827, 2, 1 ) ) )</f>
        <v>3</v>
      </c>
      <c r="X1028" s="35">
        <f xml:space="preserve"> COUNTIFS( tblFilterAll[Include in output], 1, tblFilterAll[Operating Margin (SHL)], "&gt;" &amp; tblFilterAll[[#This Row],[Operating Margin (SHL)]] ) + 1</f>
        <v>148</v>
      </c>
      <c r="Y1028" s="30" cm="1">
        <f t="array" ref="Y1028" xml:space="preserve"> INDEX( VfM_Metrics_2023_Consol_Source[], $AK1028, Y$832 )</f>
        <v>0.15058847054790608</v>
      </c>
      <c r="Z1028" s="35">
        <f xml:space="preserve"> IF( tblFilterAll[[#This Row],[Operating Margin (Overall)]] &lt; Y$825, 4, IF( tblFilterAll[[#This Row],[Operating Margin (Overall)]] &lt; Y$826, 3, IF( tblFilterAll[[#This Row],[Operating Margin (Overall)]] &lt; Y$827, 2, 1 ) ) )</f>
        <v>3</v>
      </c>
      <c r="AA1028" s="35">
        <f xml:space="preserve"> COUNTIFS( tblFilterAll[Include in output], 1, tblFilterAll[Operating Margin (Overall)], "&gt;" &amp; tblFilterAll[[#This Row],[Operating Margin (Overall)]] ) + 1</f>
        <v>133</v>
      </c>
      <c r="AB1028" s="30" cm="1">
        <f t="array" ref="AB1028" xml:space="preserve"> INDEX( VfM_Metrics_2023_Consol_Source[], $AK1028, AB$832 )</f>
        <v>3.8083119252839068E-2</v>
      </c>
      <c r="AC1028" s="35">
        <f xml:space="preserve"> IF( tblFilterAll[[#This Row],[ROCE]] &lt; AB$825, 4, IF( tblFilterAll[[#This Row],[ROCE]] &lt; AB$826, 3, IF( tblFilterAll[[#This Row],[ROCE]] &lt; AB$827, 2, 1 ) ) )</f>
        <v>1</v>
      </c>
      <c r="AD1028" s="35">
        <f xml:space="preserve"> COUNTIFS( tblFilterAll[Include in output], 1, tblFilterAll[ROCE], "&gt;" &amp; tblFilterAll[[#This Row],[ROCE]] ) + 1</f>
        <v>39</v>
      </c>
      <c r="AE1028" s="33" cm="1" vm="2662">
        <f t="array" ref="AE1028" xml:space="preserve"> INDEX( VfM_Metrics_2023_Consol_Source[], $AK1028, AE$832 )</f>
        <v>13627</v>
      </c>
      <c r="AF1028" s="30" cm="1">
        <f t="array" ref="AF1028" xml:space="preserve"> INDEX( VfM_Metrics_2023_Consol_Source[], $AK1028, AF$832 )</f>
        <v>1.1732785803329178E-3</v>
      </c>
      <c r="AG1028" s="30" cm="1">
        <f t="array" ref="AG1028" xml:space="preserve"> INDEX( VfM_Metrics_2023_Consol_Source[], $AK1028, AG$832 )</f>
        <v>5.0597638776857081E-3</v>
      </c>
      <c r="AH1028" s="30" cm="1">
        <f t="array" ref="AH1028" xml:space="preserve"> INDEX( VfM_Metrics_2023_Consol_Source[], $AK1028, AH$832 )</f>
        <v>6.2330424580186259E-3</v>
      </c>
      <c r="AI1028" s="30" t="str" cm="1">
        <f t="array" ref="AI1028" xml:space="preserve"> INDEX( VfM_Metrics_2023_Consol_Source[], $AK1028, AI$832 )</f>
        <v>Traditional</v>
      </c>
      <c r="AJ1028" s="34" t="str" cm="1">
        <f t="array" ref="AJ1028" xml:space="preserve"> INDEX( VfM_Metrics_2023_Consol_Source[], $AK1028, AJ$832 )</f>
        <v>North West</v>
      </c>
      <c r="AK1028" s="81">
        <f xml:space="preserve"> MATCH( tblFilterAll[[#This Row],[Code]], VfM_Metrics_2023_Consol_Source[RP_Code], 0 )</f>
        <v>195</v>
      </c>
      <c r="AL1028" s="24">
        <f xml:space="preserve"> INDEX( tblFilterRegion[Include for region],  MATCH( tblFilterAll[[#This Row],[Code]], tblFilterRegion[RP_Code], 0 ) )</f>
        <v>1</v>
      </c>
      <c r="AM1028" s="24">
        <f xml:space="preserve"> INDEX( tblFilterPropType[Incl for prop type],  MATCH( tblFilterAll[[#This Row],[Code]], tblFilterPropType[RP_Code], 0 ) )</f>
        <v>1</v>
      </c>
      <c r="AN1028" s="24">
        <f xml:space="preserve"> INDEX( tblFilterSize[Incl for size],  MATCH( tblFilterAll[[#This Row],[Code]], tblFilterSize[RP_Code], 0 ) )</f>
        <v>1</v>
      </c>
      <c r="AO1028" s="24">
        <f xml:space="preserve"> INDEX( tblFilterRP_Type[Incl, for RP Type],  MATCH( tblFilterAll[[#This Row],[Code]], tblFilterRP_Type[RP_Code], 0 ) )</f>
        <v>1</v>
      </c>
      <c r="AP1028" s="24">
        <f xml:space="preserve">  -- ( SUM( tblFilterAll[[#This Row],[Filter Region]:[Filter RP Type]] ) = 4 )</f>
        <v>1</v>
      </c>
      <c r="AQ1028" s="24">
        <f xml:space="preserve"> -- ( tblFilterAll[[#This Row],[Provider name]] = SelectedProvider )</f>
        <v>0</v>
      </c>
      <c r="AR1028" s="24">
        <f xml:space="preserve">  -- ( OR( SUM( tblFilterAll[[#This Row],[Filter Region]:[Filter RP Type]] ) = 4, tblFilterAll[[#This Row],[SelectedProvider]] = 1 ) )</f>
        <v>1</v>
      </c>
      <c r="AS1028" s="24">
        <f xml:space="preserve"> -- ( INDEX( PeersCritera[Included in final peers], MATCH( tblFilterAll[[#This Row],[Provider name]], PeersCritera[RP_Name], 0 ) ) = 1 )</f>
        <v>1</v>
      </c>
      <c r="AT1028" s="30" t="str" cm="1">
        <f t="array" ref="AT1028" xml:space="preserve"> SUBSTITUTE( INDEX( VfM_Metrics_2023_Consol_Source[], $AK1028, AT$832 ), 0, "" )</f>
        <v>&gt;= 12 years</v>
      </c>
      <c r="AU1028" s="34" cm="1">
        <f t="array" ref="AU1028" xml:space="preserve"> INDEX( VfM_Metrics_2023_Consol_Source[], $AK1028, AU$832 )</f>
        <v>0</v>
      </c>
      <c r="AV1028" s="34" cm="1">
        <f t="array" ref="AV1028" xml:space="preserve"> INDEX( VfM_Metrics_2023_Consol_Source[], $AK1028, AV$832 )</f>
        <v>0</v>
      </c>
      <c r="AW1028" s="34" cm="1">
        <f t="array" ref="AW1028" xml:space="preserve"> INDEX( VfM_Metrics_2023_Consol_Source[], $AK1028, AW$832 )</f>
        <v>0</v>
      </c>
      <c r="AX1028" s="34" cm="1">
        <f t="array" ref="AX1028" xml:space="preserve"> INDEX( VfM_Metrics_2023_Consol_Source[], $AK1028, AX$832 )</f>
        <v>0</v>
      </c>
      <c r="AY1028" s="34" cm="1">
        <f t="array" ref="AY1028" xml:space="preserve"> INDEX( VfM_Metrics_2023_Consol_Source[], $AK1028, AY$832 )</f>
        <v>0</v>
      </c>
      <c r="AZ1028" s="34" cm="1">
        <f t="array" ref="AZ1028" xml:space="preserve"> INDEX( VfM_Metrics_2023_Consol_Source[], $AK1028, AZ$832 )</f>
        <v>0</v>
      </c>
      <c r="BA1028" s="34" cm="1">
        <f t="array" ref="BA1028" xml:space="preserve"> INDEX( VfM_Metrics_2023_Consol_Source[], $AK1028, BA$832 )</f>
        <v>0</v>
      </c>
      <c r="BB1028" s="34" cm="1">
        <f t="array" ref="BB1028" xml:space="preserve"> INDEX( VfM_Metrics_2023_Consol_Source[], $AK1028, BB$832 )</f>
        <v>1</v>
      </c>
      <c r="BC1028" s="34" cm="1">
        <f t="array" ref="BC1028" xml:space="preserve"> INDEX( VfM_Metrics_2023_Consol_Source[], $AK1028, BC$832 )</f>
        <v>0</v>
      </c>
    </row>
    <row r="1029" spans="2:55" x14ac:dyDescent="0.2">
      <c r="B1029" s="122" t="str" vm="196">
        <f t="shared" ref="B1029" si="536" xml:space="preserve"> B819</f>
        <v>YMCA St Paul's Group</v>
      </c>
      <c r="C1029" s="122" t="str" vm="205">
        <f t="shared" si="533"/>
        <v>LH4078</v>
      </c>
      <c r="D1029" s="30" cm="1">
        <f t="array" ref="D1029" xml:space="preserve"> INDEX( VfM_Metrics_2023_Consol_Source[], $AK1029, D$832 )</f>
        <v>0.19065492276382076</v>
      </c>
      <c r="E1029" s="35">
        <f xml:space="preserve"> IF( tblFilterAll[[#This Row],[Reinvestment]] &lt; D$825, 4, IF( tblFilterAll[[#This Row],[Reinvestment]] &lt; D$826, 3, IF( tblFilterAll[[#This Row],[Reinvestment]] &lt; D$827, 2, 1 ) ) )</f>
        <v>1</v>
      </c>
      <c r="F1029" s="35">
        <f xml:space="preserve"> COUNTIFS( tblFilterAll[Include in output], 1, tblFilterAll[Reinvestment], "&gt;" &amp; tblFilterAll[[#This Row],[Reinvestment]] ) + 1</f>
        <v>3</v>
      </c>
      <c r="G1029" s="30" cm="1">
        <f t="array" ref="G1029" xml:space="preserve"> INDEX( VfM_Metrics_2023_Consol_Source[], $AK1029, G$832 )</f>
        <v>6.7170445004198151E-3</v>
      </c>
      <c r="H1029" s="35">
        <f xml:space="preserve"> IF( tblFilterAll[[#This Row],[New Supply (Social)]] &lt; G$825, 4, IF( tblFilterAll[[#This Row],[New Supply (Social)]] &lt; G$826, 3, IF( tblFilterAll[[#This Row],[New Supply (Social)]] &lt; G$827, 2, 1 ) ) )</f>
        <v>3</v>
      </c>
      <c r="I1029" s="35">
        <f xml:space="preserve"> COUNTIFS( tblFilterAll[Include in output], 1, tblFilterAll[New Supply (Social)], "&gt;" &amp; tblFilterAll[[#This Row],[New Supply (Social)]] ) + 1</f>
        <v>147</v>
      </c>
      <c r="J1029" s="31" cm="1">
        <f t="array" ref="J1029" xml:space="preserve"> INDEX( VfM_Metrics_2023_Consol_Source[], $AK1029, J$832 )</f>
        <v>0</v>
      </c>
      <c r="K1029" s="35">
        <f xml:space="preserve"> IF( tblFilterAll[[#This Row],[New Supply (Non-Social)]] &lt; J$825, 4, IF( tblFilterAll[[#This Row],[New Supply (Non-Social)]] &lt; J$826, 3, IF( tblFilterAll[[#This Row],[New Supply (Non-Social)]] &lt; J$827, 2, 1 ) ) )</f>
        <v>2</v>
      </c>
      <c r="L1029" s="35">
        <f xml:space="preserve"> COUNTIFS( tblFilterAll[Include in output], 1, tblFilterAll[New Supply (Non-Social)], "&gt;" &amp; tblFilterAll[[#This Row],[New Supply (Non-Social)]] ) + 1</f>
        <v>72</v>
      </c>
      <c r="M1029" s="30" cm="1">
        <f t="array" ref="M1029" xml:space="preserve"> INDEX( VfM_Metrics_2023_Consol_Source[], $AK1029, M$832 )</f>
        <v>0.31022920628565709</v>
      </c>
      <c r="N1029" s="35">
        <f xml:space="preserve"> IF( tblFilterAll[[#This Row],[Gearing]] &lt; M$825, 4, IF( tblFilterAll[[#This Row],[Gearing]] &lt; M$826, 3, IF( tblFilterAll[[#This Row],[Gearing]] &lt; M$827, 2, 1 ) ) )</f>
        <v>4</v>
      </c>
      <c r="O1029" s="35">
        <f xml:space="preserve"> COUNTIFS( tblFilterAll[Include in output], 1, tblFilterAll[Gearing], "&gt;" &amp; tblFilterAll[[#This Row],[Gearing]] ) + 1</f>
        <v>154</v>
      </c>
      <c r="P1029" s="30" cm="1">
        <f t="array" ref="P1029" xml:space="preserve"> INDEX( VfM_Metrics_2023_Consol_Source[], $AK1029, P$832 )</f>
        <v>1.2991666666666666</v>
      </c>
      <c r="Q1029" s="35">
        <f xml:space="preserve"> IF( tblFilterAll[[#This Row],[EBITDA MRI Interest Cover]] &lt; P$825, 4, IF( tblFilterAll[[#This Row],[EBITDA MRI Interest Cover]] &lt; P$826, 3, IF( tblFilterAll[[#This Row],[EBITDA MRI Interest Cover]] &lt; P$827, 2, 1 ) ) )</f>
        <v>2</v>
      </c>
      <c r="R1029" s="35">
        <f xml:space="preserve"> COUNTIFS( tblFilterAll[Include in output], 1, tblFilterAll[EBITDA MRI Interest Cover], "&gt;" &amp; tblFilterAll[[#This Row],[EBITDA MRI Interest Cover]] ) + 1</f>
        <v>94</v>
      </c>
      <c r="S1029" s="32" cm="1">
        <f t="array" ref="S1029" xml:space="preserve"> INDEX( VfM_Metrics_2023_Consol_Source[], $AK1029, S$832 )</f>
        <v>13816.762530813476</v>
      </c>
      <c r="T1029" s="35">
        <f xml:space="preserve"> IF( tblFilterAll[[#This Row],[Headline Social Housing Cost per unit]] &lt; S$825, 4, IF( tblFilterAll[[#This Row],[Headline Social Housing Cost per unit]] &lt; S$826, 3, IF( tblFilterAll[[#This Row],[Headline Social Housing Cost per unit]] &lt; S$827, 2, 1 ) ) )</f>
        <v>1</v>
      </c>
      <c r="U1029" s="35">
        <f xml:space="preserve"> COUNTIFS( tblFilterAll[Include in output], 1, tblFilterAll[Headline Social Housing Cost per unit], "&gt;" &amp; tblFilterAll[[#This Row],[Headline Social Housing Cost per unit]] ) + 1</f>
        <v>8</v>
      </c>
      <c r="V1029" s="30" cm="1">
        <f t="array" ref="V1029" xml:space="preserve"> INDEX( VfM_Metrics_2023_Consol_Source[], $AK1029, V$832 )</f>
        <v>0.13681087762669963</v>
      </c>
      <c r="W1029" s="35">
        <f xml:space="preserve"> IF( tblFilterAll[[#This Row],[Operating Margin (SHL)]] &lt; V$825, 4, IF( tblFilterAll[[#This Row],[Operating Margin (SHL)]] &lt; V$826, 3, IF( tblFilterAll[[#This Row],[Operating Margin (SHL)]] &lt; V$827, 2, 1 ) ) )</f>
        <v>4</v>
      </c>
      <c r="X1029" s="35">
        <f xml:space="preserve"> COUNTIFS( tblFilterAll[Include in output], 1, tblFilterAll[Operating Margin (SHL)], "&gt;" &amp; tblFilterAll[[#This Row],[Operating Margin (SHL)]] ) + 1</f>
        <v>154</v>
      </c>
      <c r="Y1029" s="30" cm="1">
        <f t="array" ref="Y1029" xml:space="preserve"> INDEX( VfM_Metrics_2023_Consol_Source[], $AK1029, Y$832 )</f>
        <v>4.2466638786450212E-2</v>
      </c>
      <c r="Z1029" s="35">
        <f xml:space="preserve"> IF( tblFilterAll[[#This Row],[Operating Margin (Overall)]] &lt; Y$825, 4, IF( tblFilterAll[[#This Row],[Operating Margin (Overall)]] &lt; Y$826, 3, IF( tblFilterAll[[#This Row],[Operating Margin (Overall)]] &lt; Y$827, 2, 1 ) ) )</f>
        <v>4</v>
      </c>
      <c r="AA1029" s="35">
        <f xml:space="preserve"> COUNTIFS( tblFilterAll[Include in output], 1, tblFilterAll[Operating Margin (Overall)], "&gt;" &amp; tblFilterAll[[#This Row],[Operating Margin (Overall)]] ) + 1</f>
        <v>186</v>
      </c>
      <c r="AB1029" s="30" cm="1">
        <f t="array" ref="AB1029" xml:space="preserve"> INDEX( VfM_Metrics_2023_Consol_Source[], $AK1029, AB$832 )</f>
        <v>1.6793961991821024E-2</v>
      </c>
      <c r="AC1029" s="35">
        <f xml:space="preserve"> IF( tblFilterAll[[#This Row],[ROCE]] &lt; AB$825, 4, IF( tblFilterAll[[#This Row],[ROCE]] &lt; AB$826, 3, IF( tblFilterAll[[#This Row],[ROCE]] &lt; AB$827, 2, 1 ) ) )</f>
        <v>4</v>
      </c>
      <c r="AD1029" s="35">
        <f xml:space="preserve"> COUNTIFS( tblFilterAll[Include in output], 1, tblFilterAll[ROCE], "&gt;" &amp; tblFilterAll[[#This Row],[ROCE]] ) + 1</f>
        <v>174</v>
      </c>
      <c r="AE1029" s="33" cm="1" vm="722">
        <f t="array" ref="AE1029" xml:space="preserve"> INDEX( VfM_Metrics_2023_Consol_Source[], $AK1029, AE$832 )</f>
        <v>1191</v>
      </c>
      <c r="AF1029" s="30" cm="1">
        <f t="array" ref="AF1029" xml:space="preserve"> INDEX( VfM_Metrics_2023_Consol_Source[], $AK1029, AF$832 )</f>
        <v>0.91267842149454237</v>
      </c>
      <c r="AG1029" s="30" cm="1">
        <f t="array" ref="AG1029" xml:space="preserve"> INDEX( VfM_Metrics_2023_Consol_Source[], $AK1029, AG$832 )</f>
        <v>0</v>
      </c>
      <c r="AH1029" s="30" cm="1">
        <f t="array" ref="AH1029" xml:space="preserve"> INDEX( VfM_Metrics_2023_Consol_Source[], $AK1029, AH$832 )</f>
        <v>0.91267842149454237</v>
      </c>
      <c r="AI1029" s="30" t="str" cm="1">
        <f t="array" ref="AI1029" xml:space="preserve"> INDEX( VfM_Metrics_2023_Consol_Source[], $AK1029, AI$832 )</f>
        <v>Traditional</v>
      </c>
      <c r="AJ1029" s="34" t="str" cm="1">
        <f t="array" ref="AJ1029" xml:space="preserve"> INDEX( VfM_Metrics_2023_Consol_Source[], $AK1029, AJ$832 )</f>
        <v>London</v>
      </c>
      <c r="AK1029" s="81">
        <f xml:space="preserve"> MATCH( tblFilterAll[[#This Row],[Code]], VfM_Metrics_2023_Consol_Source[RP_Code], 0 )</f>
        <v>196</v>
      </c>
      <c r="AL1029" s="24">
        <f xml:space="preserve"> INDEX( tblFilterRegion[Include for region],  MATCH( tblFilterAll[[#This Row],[Code]], tblFilterRegion[RP_Code], 0 ) )</f>
        <v>1</v>
      </c>
      <c r="AM1029" s="24">
        <f xml:space="preserve"> INDEX( tblFilterPropType[Incl for prop type],  MATCH( tblFilterAll[[#This Row],[Code]], tblFilterPropType[RP_Code], 0 ) )</f>
        <v>1</v>
      </c>
      <c r="AN1029" s="24">
        <f xml:space="preserve"> INDEX( tblFilterSize[Incl for size],  MATCH( tblFilterAll[[#This Row],[Code]], tblFilterSize[RP_Code], 0 ) )</f>
        <v>1</v>
      </c>
      <c r="AO1029" s="24">
        <f xml:space="preserve"> INDEX( tblFilterRP_Type[Incl, for RP Type],  MATCH( tblFilterAll[[#This Row],[Code]], tblFilterRP_Type[RP_Code], 0 ) )</f>
        <v>1</v>
      </c>
      <c r="AP1029" s="24">
        <f xml:space="preserve">  -- ( SUM( tblFilterAll[[#This Row],[Filter Region]:[Filter RP Type]] ) = 4 )</f>
        <v>1</v>
      </c>
      <c r="AQ1029" s="24">
        <f xml:space="preserve"> -- ( tblFilterAll[[#This Row],[Provider name]] = SelectedProvider )</f>
        <v>0</v>
      </c>
      <c r="AR1029" s="24">
        <f xml:space="preserve">  -- ( OR( SUM( tblFilterAll[[#This Row],[Filter Region]:[Filter RP Type]] ) = 4, tblFilterAll[[#This Row],[SelectedProvider]] = 1 ) )</f>
        <v>1</v>
      </c>
      <c r="AS1029" s="24">
        <f xml:space="preserve"> -- ( INDEX( PeersCritera[Included in final peers], MATCH( tblFilterAll[[#This Row],[Provider name]], PeersCritera[RP_Name], 0 ) ) = 1 )</f>
        <v>1</v>
      </c>
      <c r="AT1029" s="30" t="str" cm="1">
        <f t="array" ref="AT1029" xml:space="preserve"> SUBSTITUTE( INDEX( VfM_Metrics_2023_Consol_Source[], $AK1029, AT$832 ), 0, "" )</f>
        <v/>
      </c>
      <c r="AU1029" s="34" cm="1">
        <f t="array" ref="AU1029" xml:space="preserve"> INDEX( VfM_Metrics_2023_Consol_Source[], $AK1029, AU$832 )</f>
        <v>0.94663167104111989</v>
      </c>
      <c r="AV1029" s="34" cm="1">
        <f t="array" ref="AV1029" xml:space="preserve"> INDEX( VfM_Metrics_2023_Consol_Source[], $AK1029, AV$832 )</f>
        <v>5.3368328958880142E-2</v>
      </c>
      <c r="AW1029" s="34" cm="1">
        <f t="array" ref="AW1029" xml:space="preserve"> INDEX( VfM_Metrics_2023_Consol_Source[], $AK1029, AW$832 )</f>
        <v>0</v>
      </c>
      <c r="AX1029" s="34" cm="1">
        <f t="array" ref="AX1029" xml:space="preserve"> INDEX( VfM_Metrics_2023_Consol_Source[], $AK1029, AX$832 )</f>
        <v>0</v>
      </c>
      <c r="AY1029" s="34" cm="1">
        <f t="array" ref="AY1029" xml:space="preserve"> INDEX( VfM_Metrics_2023_Consol_Source[], $AK1029, AY$832 )</f>
        <v>0</v>
      </c>
      <c r="AZ1029" s="34" cm="1">
        <f t="array" ref="AZ1029" xml:space="preserve"> INDEX( VfM_Metrics_2023_Consol_Source[], $AK1029, AZ$832 )</f>
        <v>0</v>
      </c>
      <c r="BA1029" s="34" cm="1">
        <f t="array" ref="BA1029" xml:space="preserve"> INDEX( VfM_Metrics_2023_Consol_Source[], $AK1029, BA$832 )</f>
        <v>0</v>
      </c>
      <c r="BB1029" s="34" cm="1">
        <f t="array" ref="BB1029" xml:space="preserve"> INDEX( VfM_Metrics_2023_Consol_Source[], $AK1029, BB$832 )</f>
        <v>0</v>
      </c>
      <c r="BC1029" s="34" cm="1">
        <f t="array" ref="BC1029" xml:space="preserve"> INDEX( VfM_Metrics_2023_Consol_Source[], $AK1029, BC$832 )</f>
        <v>0</v>
      </c>
    </row>
    <row r="1030" spans="2:55" x14ac:dyDescent="0.2">
      <c r="B1030" s="122" t="str" vm="197">
        <f t="shared" ref="B1030" si="537" xml:space="preserve"> B820</f>
        <v>Yorkshire Housing Limited</v>
      </c>
      <c r="C1030" s="122" t="str" vm="281">
        <f t="shared" si="533"/>
        <v>L4521</v>
      </c>
      <c r="D1030" s="30" cm="1">
        <f t="array" ref="D1030" xml:space="preserve"> INDEX( VfM_Metrics_2023_Consol_Source[], $AK1030, D$832 )</f>
        <v>7.5953996036066215E-2</v>
      </c>
      <c r="E1030" s="35">
        <f xml:space="preserve"> IF( tblFilterAll[[#This Row],[Reinvestment]] &lt; D$825, 4, IF( tblFilterAll[[#This Row],[Reinvestment]] &lt; D$826, 3, IF( tblFilterAll[[#This Row],[Reinvestment]] &lt; D$827, 2, 1 ) ) )</f>
        <v>2</v>
      </c>
      <c r="F1030" s="35">
        <f xml:space="preserve"> COUNTIFS( tblFilterAll[Include in output], 1, tblFilterAll[Reinvestment], "&gt;" &amp; tblFilterAll[[#This Row],[Reinvestment]] ) + 1</f>
        <v>79</v>
      </c>
      <c r="G1030" s="30" cm="1">
        <f t="array" ref="G1030" xml:space="preserve"> INDEX( VfM_Metrics_2023_Consol_Source[], $AK1030, G$832 )</f>
        <v>2.485753052917232E-2</v>
      </c>
      <c r="H1030" s="35">
        <f xml:space="preserve"> IF( tblFilterAll[[#This Row],[New Supply (Social)]] &lt; G$825, 4, IF( tblFilterAll[[#This Row],[New Supply (Social)]] &lt; G$826, 3, IF( tblFilterAll[[#This Row],[New Supply (Social)]] &lt; G$827, 2, 1 ) ) )</f>
        <v>1</v>
      </c>
      <c r="I1030" s="35">
        <f xml:space="preserve"> COUNTIFS( tblFilterAll[Include in output], 1, tblFilterAll[New Supply (Social)], "&gt;" &amp; tblFilterAll[[#This Row],[New Supply (Social)]] ) + 1</f>
        <v>40</v>
      </c>
      <c r="J1030" s="31" cm="1">
        <f t="array" ref="J1030" xml:space="preserve"> INDEX( VfM_Metrics_2023_Consol_Source[], $AK1030, J$832 )</f>
        <v>2.3905652358691032E-3</v>
      </c>
      <c r="K1030" s="35">
        <f xml:space="preserve"> IF( tblFilterAll[[#This Row],[New Supply (Non-Social)]] &lt; J$825, 4, IF( tblFilterAll[[#This Row],[New Supply (Non-Social)]] &lt; J$826, 3, IF( tblFilterAll[[#This Row],[New Supply (Non-Social)]] &lt; J$827, 2, 1 ) ) )</f>
        <v>1</v>
      </c>
      <c r="L1030" s="35">
        <f xml:space="preserve"> COUNTIFS( tblFilterAll[Include in output], 1, tblFilterAll[New Supply (Non-Social)], "&gt;" &amp; tblFilterAll[[#This Row],[New Supply (Non-Social)]] ) + 1</f>
        <v>32</v>
      </c>
      <c r="M1030" s="30" cm="1">
        <f t="array" ref="M1030" xml:space="preserve"> INDEX( VfM_Metrics_2023_Consol_Source[], $AK1030, M$832 )</f>
        <v>0.53531716122788897</v>
      </c>
      <c r="N1030" s="35">
        <f xml:space="preserve"> IF( tblFilterAll[[#This Row],[Gearing]] &lt; M$825, 4, IF( tblFilterAll[[#This Row],[Gearing]] &lt; M$826, 3, IF( tblFilterAll[[#This Row],[Gearing]] &lt; M$827, 2, 1 ) ) )</f>
        <v>2</v>
      </c>
      <c r="O1030" s="35">
        <f xml:space="preserve"> COUNTIFS( tblFilterAll[Include in output], 1, tblFilterAll[Gearing], "&gt;" &amp; tblFilterAll[[#This Row],[Gearing]] ) + 1</f>
        <v>53</v>
      </c>
      <c r="P1030" s="30" cm="1">
        <f t="array" ref="P1030" xml:space="preserve"> INDEX( VfM_Metrics_2023_Consol_Source[], $AK1030, P$832 )</f>
        <v>1.1237547724579804</v>
      </c>
      <c r="Q1030" s="35">
        <f xml:space="preserve"> IF( tblFilterAll[[#This Row],[EBITDA MRI Interest Cover]] &lt; P$825, 4, IF( tblFilterAll[[#This Row],[EBITDA MRI Interest Cover]] &lt; P$826, 3, IF( tblFilterAll[[#This Row],[EBITDA MRI Interest Cover]] &lt; P$827, 2, 1 ) ) )</f>
        <v>3</v>
      </c>
      <c r="R1030" s="35">
        <f xml:space="preserve"> COUNTIFS( tblFilterAll[Include in output], 1, tblFilterAll[EBITDA MRI Interest Cover], "&gt;" &amp; tblFilterAll[[#This Row],[EBITDA MRI Interest Cover]] ) + 1</f>
        <v>122</v>
      </c>
      <c r="S1030" s="32" cm="1">
        <f t="array" ref="S1030" xml:space="preserve"> INDEX( VfM_Metrics_2023_Consol_Source[], $AK1030, S$832 )</f>
        <v>4507.456850807127</v>
      </c>
      <c r="T1030" s="35">
        <f xml:space="preserve"> IF( tblFilterAll[[#This Row],[Headline Social Housing Cost per unit]] &lt; S$825, 4, IF( tblFilterAll[[#This Row],[Headline Social Housing Cost per unit]] &lt; S$826, 3, IF( tblFilterAll[[#This Row],[Headline Social Housing Cost per unit]] &lt; S$827, 2, 1 ) ) )</f>
        <v>3</v>
      </c>
      <c r="U1030" s="35">
        <f xml:space="preserve"> COUNTIFS( tblFilterAll[Include in output], 1, tblFilterAll[Headline Social Housing Cost per unit], "&gt;" &amp; tblFilterAll[[#This Row],[Headline Social Housing Cost per unit]] ) + 1</f>
        <v>107</v>
      </c>
      <c r="V1030" s="30" cm="1">
        <f t="array" ref="V1030" xml:space="preserve"> INDEX( VfM_Metrics_2023_Consol_Source[], $AK1030, V$832 )</f>
        <v>0.13966910350134668</v>
      </c>
      <c r="W1030" s="35">
        <f xml:space="preserve"> IF( tblFilterAll[[#This Row],[Operating Margin (SHL)]] &lt; V$825, 4, IF( tblFilterAll[[#This Row],[Operating Margin (SHL)]] &lt; V$826, 3, IF( tblFilterAll[[#This Row],[Operating Margin (SHL)]] &lt; V$827, 2, 1 ) ) )</f>
        <v>4</v>
      </c>
      <c r="X1030" s="35">
        <f xml:space="preserve"> COUNTIFS( tblFilterAll[Include in output], 1, tblFilterAll[Operating Margin (SHL)], "&gt;" &amp; tblFilterAll[[#This Row],[Operating Margin (SHL)]] ) + 1</f>
        <v>152</v>
      </c>
      <c r="Y1030" s="30" cm="1">
        <f t="array" ref="Y1030" xml:space="preserve"> INDEX( VfM_Metrics_2023_Consol_Source[], $AK1030, Y$832 )</f>
        <v>0.15224801947940603</v>
      </c>
      <c r="Z1030" s="35">
        <f xml:space="preserve"> IF( tblFilterAll[[#This Row],[Operating Margin (Overall)]] &lt; Y$825, 4, IF( tblFilterAll[[#This Row],[Operating Margin (Overall)]] &lt; Y$826, 3, IF( tblFilterAll[[#This Row],[Operating Margin (Overall)]] &lt; Y$827, 2, 1 ) ) )</f>
        <v>3</v>
      </c>
      <c r="AA1030" s="35">
        <f xml:space="preserve"> COUNTIFS( tblFilterAll[Include in output], 1, tblFilterAll[Operating Margin (Overall)], "&gt;" &amp; tblFilterAll[[#This Row],[Operating Margin (Overall)]] ) + 1</f>
        <v>131</v>
      </c>
      <c r="AB1030" s="30" cm="1">
        <f t="array" ref="AB1030" xml:space="preserve"> INDEX( VfM_Metrics_2023_Consol_Source[], $AK1030, AB$832 )</f>
        <v>2.509487213798375E-2</v>
      </c>
      <c r="AC1030" s="35">
        <f xml:space="preserve"> IF( tblFilterAll[[#This Row],[ROCE]] &lt; AB$825, 4, IF( tblFilterAll[[#This Row],[ROCE]] &lt; AB$826, 3, IF( tblFilterAll[[#This Row],[ROCE]] &lt; AB$827, 2, 1 ) ) )</f>
        <v>3</v>
      </c>
      <c r="AD1030" s="35">
        <f xml:space="preserve"> COUNTIFS( tblFilterAll[Include in output], 1, tblFilterAll[ROCE], "&gt;" &amp; tblFilterAll[[#This Row],[ROCE]] ) + 1</f>
        <v>128</v>
      </c>
      <c r="AE1030" s="33" cm="1" vm="2691">
        <f t="array" ref="AE1030" xml:space="preserve"> INDEX( VfM_Metrics_2023_Consol_Source[], $AK1030, AE$832 )</f>
        <v>17903</v>
      </c>
      <c r="AF1030" s="30" cm="1">
        <f t="array" ref="AF1030" xml:space="preserve"> INDEX( VfM_Metrics_2023_Consol_Source[], $AK1030, AF$832 )</f>
        <v>2.2530916483144165E-2</v>
      </c>
      <c r="AG1030" s="30" cm="1">
        <f t="array" ref="AG1030" xml:space="preserve"> INDEX( VfM_Metrics_2023_Consol_Source[], $AK1030, AG$832 )</f>
        <v>4.8845219944660907E-2</v>
      </c>
      <c r="AH1030" s="30" cm="1">
        <f t="array" ref="AH1030" xml:space="preserve"> INDEX( VfM_Metrics_2023_Consol_Source[], $AK1030, AH$832 )</f>
        <v>7.1376136427805076E-2</v>
      </c>
      <c r="AI1030" s="30" t="str" cm="1">
        <f t="array" ref="AI1030" xml:space="preserve"> INDEX( VfM_Metrics_2023_Consol_Source[], $AK1030, AI$832 )</f>
        <v>Traditional</v>
      </c>
      <c r="AJ1030" s="34" t="str" cm="1">
        <f t="array" ref="AJ1030" xml:space="preserve"> INDEX( VfM_Metrics_2023_Consol_Source[], $AK1030, AJ$832 )</f>
        <v>Yorkshire &amp; the Humber</v>
      </c>
      <c r="AK1030" s="81">
        <f xml:space="preserve"> MATCH( tblFilterAll[[#This Row],[Code]], VfM_Metrics_2023_Consol_Source[RP_Code], 0 )</f>
        <v>197</v>
      </c>
      <c r="AL1030" s="24">
        <f xml:space="preserve"> INDEX( tblFilterRegion[Include for region],  MATCH( tblFilterAll[[#This Row],[Code]], tblFilterRegion[RP_Code], 0 ) )</f>
        <v>1</v>
      </c>
      <c r="AM1030" s="24">
        <f xml:space="preserve"> INDEX( tblFilterPropType[Incl for prop type],  MATCH( tblFilterAll[[#This Row],[Code]], tblFilterPropType[RP_Code], 0 ) )</f>
        <v>1</v>
      </c>
      <c r="AN1030" s="24">
        <f xml:space="preserve"> INDEX( tblFilterSize[Incl for size],  MATCH( tblFilterAll[[#This Row],[Code]], tblFilterSize[RP_Code], 0 ) )</f>
        <v>1</v>
      </c>
      <c r="AO1030" s="24">
        <f xml:space="preserve"> INDEX( tblFilterRP_Type[Incl, for RP Type],  MATCH( tblFilterAll[[#This Row],[Code]], tblFilterRP_Type[RP_Code], 0 ) )</f>
        <v>1</v>
      </c>
      <c r="AP1030" s="24">
        <f xml:space="preserve">  -- ( SUM( tblFilterAll[[#This Row],[Filter Region]:[Filter RP Type]] ) = 4 )</f>
        <v>1</v>
      </c>
      <c r="AQ1030" s="24">
        <f xml:space="preserve"> -- ( tblFilterAll[[#This Row],[Provider name]] = SelectedProvider )</f>
        <v>0</v>
      </c>
      <c r="AR1030" s="24">
        <f xml:space="preserve">  -- ( OR( SUM( tblFilterAll[[#This Row],[Filter Region]:[Filter RP Type]] ) = 4, tblFilterAll[[#This Row],[SelectedProvider]] = 1 ) )</f>
        <v>1</v>
      </c>
      <c r="AS1030" s="24">
        <f xml:space="preserve"> -- ( INDEX( PeersCritera[Included in final peers], MATCH( tblFilterAll[[#This Row],[Provider name]], PeersCritera[RP_Name], 0 ) ) = 1 )</f>
        <v>1</v>
      </c>
      <c r="AT1030" s="30" t="str" cm="1">
        <f t="array" ref="AT1030" xml:space="preserve"> SUBSTITUTE( INDEX( VfM_Metrics_2023_Consol_Source[], $AK1030, AT$832 ), 0, "" )</f>
        <v/>
      </c>
      <c r="AU1030" s="34" cm="1">
        <f t="array" ref="AU1030" xml:space="preserve"> INDEX( VfM_Metrics_2023_Consol_Source[], $AK1030, AU$832 )</f>
        <v>0</v>
      </c>
      <c r="AV1030" s="34" cm="1">
        <f t="array" ref="AV1030" xml:space="preserve"> INDEX( VfM_Metrics_2023_Consol_Source[], $AK1030, AV$832 )</f>
        <v>0</v>
      </c>
      <c r="AW1030" s="34" cm="1">
        <f t="array" ref="AW1030" xml:space="preserve"> INDEX( VfM_Metrics_2023_Consol_Source[], $AK1030, AW$832 )</f>
        <v>0</v>
      </c>
      <c r="AX1030" s="34" cm="1">
        <f t="array" ref="AX1030" xml:space="preserve"> INDEX( VfM_Metrics_2023_Consol_Source[], $AK1030, AX$832 )</f>
        <v>0</v>
      </c>
      <c r="AY1030" s="34" cm="1">
        <f t="array" ref="AY1030" xml:space="preserve"> INDEX( VfM_Metrics_2023_Consol_Source[], $AK1030, AY$832 )</f>
        <v>0</v>
      </c>
      <c r="AZ1030" s="34" cm="1">
        <f t="array" ref="AZ1030" xml:space="preserve"> INDEX( VfM_Metrics_2023_Consol_Source[], $AK1030, AZ$832 )</f>
        <v>0</v>
      </c>
      <c r="BA1030" s="34" cm="1">
        <f t="array" ref="BA1030" xml:space="preserve"> INDEX( VfM_Metrics_2023_Consol_Source[], $AK1030, BA$832 )</f>
        <v>0</v>
      </c>
      <c r="BB1030" s="34" cm="1">
        <f t="array" ref="BB1030" xml:space="preserve"> INDEX( VfM_Metrics_2023_Consol_Source[], $AK1030, BB$832 )</f>
        <v>1.3405574484723231E-3</v>
      </c>
      <c r="BC1030" s="34" cm="1">
        <f t="array" ref="BC1030" xml:space="preserve"> INDEX( VfM_Metrics_2023_Consol_Source[], $AK1030, BC$832 )</f>
        <v>0.99865944255152772</v>
      </c>
    </row>
    <row r="1031" spans="2:55" x14ac:dyDescent="0.2">
      <c r="B1031" s="122" t="str" vm="198">
        <f t="shared" ref="B1031" si="538" xml:space="preserve"> B821</f>
        <v>Your Housing Group Limited</v>
      </c>
      <c r="C1031" s="122" t="str" vm="336">
        <f t="shared" si="533"/>
        <v>L4203</v>
      </c>
      <c r="D1031" s="30" cm="1">
        <f t="array" ref="D1031" xml:space="preserve"> INDEX( VfM_Metrics_2023_Consol_Source[], $AK1031, D$832 )</f>
        <v>5.8195850586424437E-2</v>
      </c>
      <c r="E1031" s="35">
        <f xml:space="preserve"> IF( tblFilterAll[[#This Row],[Reinvestment]] &lt; D$825, 4, IF( tblFilterAll[[#This Row],[Reinvestment]] &lt; D$826, 3, IF( tblFilterAll[[#This Row],[Reinvestment]] &lt; D$827, 2, 1 ) ) )</f>
        <v>3</v>
      </c>
      <c r="F1031" s="35">
        <f xml:space="preserve"> COUNTIFS( tblFilterAll[Include in output], 1, tblFilterAll[Reinvestment], "&gt;" &amp; tblFilterAll[[#This Row],[Reinvestment]] ) + 1</f>
        <v>125</v>
      </c>
      <c r="G1031" s="30" cm="1">
        <f t="array" ref="G1031" xml:space="preserve"> INDEX( VfM_Metrics_2023_Consol_Source[], $AK1031, G$832 )</f>
        <v>1.2084368165474292E-2</v>
      </c>
      <c r="H1031" s="35">
        <f xml:space="preserve"> IF( tblFilterAll[[#This Row],[New Supply (Social)]] &lt; G$825, 4, IF( tblFilterAll[[#This Row],[New Supply (Social)]] &lt; G$826, 3, IF( tblFilterAll[[#This Row],[New Supply (Social)]] &lt; G$827, 2, 1 ) ) )</f>
        <v>3</v>
      </c>
      <c r="I1031" s="35">
        <f xml:space="preserve"> COUNTIFS( tblFilterAll[Include in output], 1, tblFilterAll[New Supply (Social)], "&gt;" &amp; tblFilterAll[[#This Row],[New Supply (Social)]] ) + 1</f>
        <v>109</v>
      </c>
      <c r="J1031" s="31" cm="1">
        <f t="array" ref="J1031" xml:space="preserve"> INDEX( VfM_Metrics_2023_Consol_Source[], $AK1031, J$832 )</f>
        <v>2.2491967154587649E-3</v>
      </c>
      <c r="K1031" s="35">
        <f xml:space="preserve"> IF( tblFilterAll[[#This Row],[New Supply (Non-Social)]] &lt; J$825, 4, IF( tblFilterAll[[#This Row],[New Supply (Non-Social)]] &lt; J$826, 3, IF( tblFilterAll[[#This Row],[New Supply (Non-Social)]] &lt; J$827, 2, 1 ) ) )</f>
        <v>1</v>
      </c>
      <c r="L1031" s="35">
        <f xml:space="preserve"> COUNTIFS( tblFilterAll[Include in output], 1, tblFilterAll[New Supply (Non-Social)], "&gt;" &amp; tblFilterAll[[#This Row],[New Supply (Non-Social)]] ) + 1</f>
        <v>33</v>
      </c>
      <c r="M1031" s="30" cm="1">
        <f t="array" ref="M1031" xml:space="preserve"> INDEX( VfM_Metrics_2023_Consol_Source[], $AK1031, M$832 )</f>
        <v>0.44816007977973854</v>
      </c>
      <c r="N1031" s="35">
        <f xml:space="preserve"> IF( tblFilterAll[[#This Row],[Gearing]] &lt; M$825, 4, IF( tblFilterAll[[#This Row],[Gearing]] &lt; M$826, 3, IF( tblFilterAll[[#This Row],[Gearing]] &lt; M$827, 2, 1 ) ) )</f>
        <v>3</v>
      </c>
      <c r="O1031" s="35">
        <f xml:space="preserve"> COUNTIFS( tblFilterAll[Include in output], 1, tblFilterAll[Gearing], "&gt;" &amp; tblFilterAll[[#This Row],[Gearing]] ) + 1</f>
        <v>104</v>
      </c>
      <c r="P1031" s="30" cm="1">
        <f t="array" ref="P1031" xml:space="preserve"> INDEX( VfM_Metrics_2023_Consol_Source[], $AK1031, P$832 )</f>
        <v>-0.58014772580018137</v>
      </c>
      <c r="Q1031" s="35">
        <f xml:space="preserve"> IF( tblFilterAll[[#This Row],[EBITDA MRI Interest Cover]] &lt; P$825, 4, IF( tblFilterAll[[#This Row],[EBITDA MRI Interest Cover]] &lt; P$826, 3, IF( tblFilterAll[[#This Row],[EBITDA MRI Interest Cover]] &lt; P$827, 2, 1 ) ) )</f>
        <v>4</v>
      </c>
      <c r="R1031" s="35">
        <f xml:space="preserve"> COUNTIFS( tblFilterAll[Include in output], 1, tblFilterAll[EBITDA MRI Interest Cover], "&gt;" &amp; tblFilterAll[[#This Row],[EBITDA MRI Interest Cover]] ) + 1</f>
        <v>187</v>
      </c>
      <c r="S1031" s="32" cm="1">
        <f t="array" ref="S1031" xml:space="preserve"> INDEX( VfM_Metrics_2023_Consol_Source[], $AK1031, S$832 )</f>
        <v>6701.3420274471155</v>
      </c>
      <c r="T1031" s="35">
        <f xml:space="preserve"> IF( tblFilterAll[[#This Row],[Headline Social Housing Cost per unit]] &lt; S$825, 4, IF( tblFilterAll[[#This Row],[Headline Social Housing Cost per unit]] &lt; S$826, 3, IF( tblFilterAll[[#This Row],[Headline Social Housing Cost per unit]] &lt; S$827, 2, 1 ) ) )</f>
        <v>1</v>
      </c>
      <c r="U1031" s="35">
        <f xml:space="preserve"> COUNTIFS( tblFilterAll[Include in output], 1, tblFilterAll[Headline Social Housing Cost per unit], "&gt;" &amp; tblFilterAll[[#This Row],[Headline Social Housing Cost per unit]] ) + 1</f>
        <v>39</v>
      </c>
      <c r="V1031" s="30" cm="1">
        <f t="array" ref="V1031" xml:space="preserve"> INDEX( VfM_Metrics_2023_Consol_Source[], $AK1031, V$832 )</f>
        <v>1.0497346712171065E-2</v>
      </c>
      <c r="W1031" s="35">
        <f xml:space="preserve"> IF( tblFilterAll[[#This Row],[Operating Margin (SHL)]] &lt; V$825, 4, IF( tblFilterAll[[#This Row],[Operating Margin (SHL)]] &lt; V$826, 3, IF( tblFilterAll[[#This Row],[Operating Margin (SHL)]] &lt; V$827, 2, 1 ) ) )</f>
        <v>4</v>
      </c>
      <c r="X1031" s="35">
        <f xml:space="preserve"> COUNTIFS( tblFilterAll[Include in output], 1, tblFilterAll[Operating Margin (SHL)], "&gt;" &amp; tblFilterAll[[#This Row],[Operating Margin (SHL)]] ) + 1</f>
        <v>193</v>
      </c>
      <c r="Y1031" s="30" cm="1">
        <f t="array" ref="Y1031" xml:space="preserve"> INDEX( VfM_Metrics_2023_Consol_Source[], $AK1031, Y$832 )</f>
        <v>-5.6231707990501957E-2</v>
      </c>
      <c r="Z1031" s="35">
        <f xml:space="preserve"> IF( tblFilterAll[[#This Row],[Operating Margin (Overall)]] &lt; Y$825, 4, IF( tblFilterAll[[#This Row],[Operating Margin (Overall)]] &lt; Y$826, 3, IF( tblFilterAll[[#This Row],[Operating Margin (Overall)]] &lt; Y$827, 2, 1 ) ) )</f>
        <v>4</v>
      </c>
      <c r="AA1031" s="35">
        <f xml:space="preserve"> COUNTIFS( tblFilterAll[Include in output], 1, tblFilterAll[Operating Margin (Overall)], "&gt;" &amp; tblFilterAll[[#This Row],[Operating Margin (Overall)]] ) + 1</f>
        <v>196</v>
      </c>
      <c r="AB1031" s="30" cm="1">
        <f t="array" ref="AB1031" xml:space="preserve"> INDEX( VfM_Metrics_2023_Consol_Source[], $AK1031, AB$832 )</f>
        <v>-3.9305256117431924E-3</v>
      </c>
      <c r="AC1031" s="35">
        <f xml:space="preserve"> IF( tblFilterAll[[#This Row],[ROCE]] &lt; AB$825, 4, IF( tblFilterAll[[#This Row],[ROCE]] &lt; AB$826, 3, IF( tblFilterAll[[#This Row],[ROCE]] &lt; AB$827, 2, 1 ) ) )</f>
        <v>4</v>
      </c>
      <c r="AD1031" s="35">
        <f xml:space="preserve"> COUNTIFS( tblFilterAll[Include in output], 1, tblFilterAll[ROCE], "&gt;" &amp; tblFilterAll[[#This Row],[ROCE]] ) + 1</f>
        <v>194</v>
      </c>
      <c r="AE1031" s="33" cm="1" vm="4590">
        <f t="array" ref="AE1031" xml:space="preserve"> INDEX( VfM_Metrics_2023_Consol_Source[], $AK1031, AE$832 )</f>
        <v>25889</v>
      </c>
      <c r="AF1031" s="30" cm="1">
        <f t="array" ref="AF1031" xml:space="preserve"> INDEX( VfM_Metrics_2023_Consol_Source[], $AK1031, AF$832 )</f>
        <v>3.1812557378357878E-2</v>
      </c>
      <c r="AG1031" s="30" cm="1">
        <f t="array" ref="AG1031" xml:space="preserve"> INDEX( VfM_Metrics_2023_Consol_Source[], $AK1031, AG$832 )</f>
        <v>0.12293936853869795</v>
      </c>
      <c r="AH1031" s="30" cm="1">
        <f t="array" ref="AH1031" xml:space="preserve"> INDEX( VfM_Metrics_2023_Consol_Source[], $AK1031, AH$832 )</f>
        <v>0.15475192591705583</v>
      </c>
      <c r="AI1031" s="30" t="str" cm="1">
        <f t="array" ref="AI1031" xml:space="preserve"> INDEX( VfM_Metrics_2023_Consol_Source[], $AK1031, AI$832 )</f>
        <v>Traditional</v>
      </c>
      <c r="AJ1031" s="34" t="str" cm="1">
        <f t="array" ref="AJ1031" xml:space="preserve"> INDEX( VfM_Metrics_2023_Consol_Source[], $AK1031, AJ$832 )</f>
        <v>North West</v>
      </c>
      <c r="AK1031" s="81">
        <f xml:space="preserve"> MATCH( tblFilterAll[[#This Row],[Code]], VfM_Metrics_2023_Consol_Source[RP_Code], 0 )</f>
        <v>198</v>
      </c>
      <c r="AL1031" s="24">
        <f xml:space="preserve"> INDEX( tblFilterRegion[Include for region],  MATCH( tblFilterAll[[#This Row],[Code]], tblFilterRegion[RP_Code], 0 ) )</f>
        <v>1</v>
      </c>
      <c r="AM1031" s="24">
        <f xml:space="preserve"> INDEX( tblFilterPropType[Incl for prop type],  MATCH( tblFilterAll[[#This Row],[Code]], tblFilterPropType[RP_Code], 0 ) )</f>
        <v>1</v>
      </c>
      <c r="AN1031" s="24">
        <f xml:space="preserve"> INDEX( tblFilterSize[Incl for size],  MATCH( tblFilterAll[[#This Row],[Code]], tblFilterSize[RP_Code], 0 ) )</f>
        <v>1</v>
      </c>
      <c r="AO1031" s="24">
        <f xml:space="preserve"> INDEX( tblFilterRP_Type[Incl, for RP Type],  MATCH( tblFilterAll[[#This Row],[Code]], tblFilterRP_Type[RP_Code], 0 ) )</f>
        <v>1</v>
      </c>
      <c r="AP1031" s="24">
        <f xml:space="preserve">  -- ( SUM( tblFilterAll[[#This Row],[Filter Region]:[Filter RP Type]] ) = 4 )</f>
        <v>1</v>
      </c>
      <c r="AQ1031" s="24">
        <f xml:space="preserve"> -- ( tblFilterAll[[#This Row],[Provider name]] = SelectedProvider )</f>
        <v>0</v>
      </c>
      <c r="AR1031" s="24">
        <f xml:space="preserve">  -- ( OR( SUM( tblFilterAll[[#This Row],[Filter Region]:[Filter RP Type]] ) = 4, tblFilterAll[[#This Row],[SelectedProvider]] = 1 ) )</f>
        <v>1</v>
      </c>
      <c r="AS1031" s="24">
        <f xml:space="preserve"> -- ( INDEX( PeersCritera[Included in final peers], MATCH( tblFilterAll[[#This Row],[Provider name]], PeersCritera[RP_Name], 0 ) ) = 1 )</f>
        <v>1</v>
      </c>
      <c r="AT1031" s="30" t="str" cm="1">
        <f t="array" ref="AT1031" xml:space="preserve"> SUBSTITUTE( INDEX( VfM_Metrics_2023_Consol_Source[], $AK1031, AT$832 ), 0, "" )</f>
        <v/>
      </c>
      <c r="AU1031" s="34" cm="1">
        <f t="array" ref="AU1031" xml:space="preserve"> INDEX( VfM_Metrics_2023_Consol_Source[], $AK1031, AU$832 )</f>
        <v>3.9831116067872224E-5</v>
      </c>
      <c r="AV1031" s="34" cm="1">
        <f t="array" ref="AV1031" xml:space="preserve"> INDEX( VfM_Metrics_2023_Consol_Source[], $AK1031, AV$832 )</f>
        <v>4.7797339281446664E-4</v>
      </c>
      <c r="AW1031" s="34" cm="1">
        <f t="array" ref="AW1031" xml:space="preserve"> INDEX( VfM_Metrics_2023_Consol_Source[], $AK1031, AW$832 )</f>
        <v>1.5135824105791443E-3</v>
      </c>
      <c r="AX1031" s="34" cm="1">
        <f t="array" ref="AX1031" xml:space="preserve"> INDEX( VfM_Metrics_2023_Consol_Source[], $AK1031, AX$832 )</f>
        <v>6.8907830797418947E-3</v>
      </c>
      <c r="AY1031" s="34" cm="1">
        <f t="array" ref="AY1031" xml:space="preserve"> INDEX( VfM_Metrics_2023_Consol_Source[], $AK1031, AY$832 )</f>
        <v>0.12873416713136301</v>
      </c>
      <c r="AZ1031" s="34" cm="1">
        <f t="array" ref="AZ1031" xml:space="preserve"> INDEX( VfM_Metrics_2023_Consol_Source[], $AK1031, AZ$832 )</f>
        <v>0</v>
      </c>
      <c r="BA1031" s="34" cm="1">
        <f t="array" ref="BA1031" xml:space="preserve"> INDEX( VfM_Metrics_2023_Consol_Source[], $AK1031, BA$832 )</f>
        <v>0</v>
      </c>
      <c r="BB1031" s="34" cm="1">
        <f t="array" ref="BB1031" xml:space="preserve"> INDEX( VfM_Metrics_2023_Consol_Source[], $AK1031, BB$832 )</f>
        <v>0.82358798693539392</v>
      </c>
      <c r="BC1031" s="34" cm="1">
        <f t="array" ref="BC1031" xml:space="preserve"> INDEX( VfM_Metrics_2023_Consol_Source[], $AK1031, BC$832 )</f>
        <v>3.8755675934039668E-2</v>
      </c>
    </row>
    <row r="1035" spans="2:55" ht="25.5" x14ac:dyDescent="0.35">
      <c r="B1035" s="16" t="s">
        <v>673</v>
      </c>
    </row>
    <row r="1038" spans="2:55" x14ac:dyDescent="0.2">
      <c r="B1038" s="44" t="s">
        <v>733</v>
      </c>
      <c r="D1038" s="45" t="s">
        <v>734</v>
      </c>
      <c r="F1038" s="44" t="s">
        <v>735</v>
      </c>
    </row>
    <row r="1039" spans="2:55" x14ac:dyDescent="0.2">
      <c r="B1039" s="43" t="s">
        <v>706</v>
      </c>
      <c r="D1039" s="46" cm="1">
        <f t="array" ref="D1039" xml:space="preserve"> MATCH( SortColumnName, ArrayHeaders, 0 )</f>
        <v>12</v>
      </c>
      <c r="F1039" s="43" t="s">
        <v>658</v>
      </c>
    </row>
    <row r="1040" spans="2:55" x14ac:dyDescent="0.2">
      <c r="B1040" s="49" t="s">
        <v>41</v>
      </c>
    </row>
    <row r="1041" spans="2:6" x14ac:dyDescent="0.2">
      <c r="B1041" s="49" t="s">
        <v>51</v>
      </c>
    </row>
    <row r="1042" spans="2:6" x14ac:dyDescent="0.2">
      <c r="B1042" s="49" t="s">
        <v>28</v>
      </c>
      <c r="D1042" s="45" t="s">
        <v>736</v>
      </c>
      <c r="F1042" s="44" t="s">
        <v>737</v>
      </c>
    </row>
    <row r="1043" spans="2:6" x14ac:dyDescent="0.2">
      <c r="B1043" s="49" t="s">
        <v>29</v>
      </c>
      <c r="D1043" s="46">
        <f xml:space="preserve"> IF( SortOrderName = "Ascending", 1, -1 )</f>
        <v>-1</v>
      </c>
      <c r="F1043" s="43" t="s">
        <v>657</v>
      </c>
    </row>
    <row r="1044" spans="2:6" x14ac:dyDescent="0.2">
      <c r="B1044" s="49" t="s">
        <v>30</v>
      </c>
    </row>
    <row r="1045" spans="2:6" x14ac:dyDescent="0.2">
      <c r="B1045" s="49" t="s">
        <v>31</v>
      </c>
    </row>
    <row r="1046" spans="2:6" x14ac:dyDescent="0.2">
      <c r="B1046" s="49" t="s">
        <v>32</v>
      </c>
      <c r="D1046" s="45" t="s">
        <v>738</v>
      </c>
    </row>
    <row r="1047" spans="2:6" x14ac:dyDescent="0.2">
      <c r="B1047" s="49" t="s">
        <v>33</v>
      </c>
      <c r="D1047" s="46">
        <f xml:space="preserve"> COUNTA( tblFilterAll[Provider name] )</f>
        <v>198</v>
      </c>
    </row>
    <row r="1048" spans="2:6" x14ac:dyDescent="0.2">
      <c r="B1048" s="49" t="s">
        <v>34</v>
      </c>
    </row>
    <row r="1049" spans="2:6" x14ac:dyDescent="0.2">
      <c r="B1049" s="43" t="s">
        <v>118</v>
      </c>
    </row>
    <row r="1050" spans="2:6" x14ac:dyDescent="0.2">
      <c r="B1050" s="43" t="s">
        <v>119</v>
      </c>
      <c r="D1050" s="45" t="s">
        <v>739</v>
      </c>
    </row>
    <row r="1051" spans="2:6" x14ac:dyDescent="0.2">
      <c r="B1051" s="43" t="s">
        <v>121</v>
      </c>
      <c r="D1051" s="46">
        <f xml:space="preserve"> COUNTIFS( PeersCritera[Meets initial criteria], 1, PeersCritera[Override initial criteria], "Include" ) +
   COUNTIFS( PeersCritera[Meets initial criteria], 0, PeersCritera[Override initial criteria], "Exclude" ) +
   COUNTIFS( PeersCritera[RP_Name], SelectedProvider, PeersCritera[Override initial criteria], "Exclude" ) +
   COUNTIFS( PeersCritera[RP_Name], SelectedProvider, PeersCritera[Override initial criteria], "Include" )</f>
        <v>0</v>
      </c>
    </row>
    <row r="1052" spans="2:6" x14ac:dyDescent="0.2">
      <c r="B1052" s="43" t="s">
        <v>123</v>
      </c>
    </row>
    <row r="1053" spans="2:6" x14ac:dyDescent="0.2">
      <c r="B1053" s="43" t="s">
        <v>126</v>
      </c>
      <c r="D1053" s="48"/>
    </row>
    <row r="1054" spans="2:6" x14ac:dyDescent="0.2">
      <c r="B1054" s="43" t="s">
        <v>129</v>
      </c>
    </row>
    <row r="1059" spans="2:6" x14ac:dyDescent="0.2">
      <c r="B1059" s="308" t="s">
        <v>39</v>
      </c>
      <c r="C1059" s="308" t="s">
        <v>740</v>
      </c>
      <c r="D1059" s="308" t="s">
        <v>741</v>
      </c>
      <c r="E1059" s="308" t="s">
        <v>742</v>
      </c>
      <c r="F1059" s="308" t="s">
        <v>743</v>
      </c>
    </row>
    <row r="1060" spans="2:6" x14ac:dyDescent="0.2">
      <c r="B1060" s="159" t="s" vm="1">
        <v>142</v>
      </c>
      <c r="C1060" s="122" t="str">
        <f xml:space="preserve">  SUBSTITUTE( SUBSTITUTE( SUBSTITUTE( SUBSTITUTE( SUBSTITUTE( SUBSTITUTE( SUBSTITUTE( ShortName[[#This Row],[RP_Name]], " Limited", "" ), " Housing Association", "" ), " Housing Group", "" ), " Group", "" ), " Housing Trust", "" ), " Housing Partnership", "" ), "The ", "" )</f>
        <v>A2Dominion</v>
      </c>
      <c r="D1060" s="122" t="str">
        <f xml:space="preserve"> IF( RIGHT( ShortName[[#This Row],[Adjust]], 8 ) = " Housing", LEFT( ShortName[[#This Row],[Adjust]], LEN(ShortName[[#This Row],[Adjust]] ) - 8 ), ShortName[[#This Row],[Adjust]] )</f>
        <v>A2Dominion</v>
      </c>
      <c r="E1060" s="159"/>
      <c r="F1060" s="122" t="str">
        <f xml:space="preserve"> IF( ISTEXT( ShortName[[#This Row],[Override]] ), ShortName[[#This Row],[Override]], ShortName[[#This Row],[Remove final Housing]] )</f>
        <v>A2Dominion</v>
      </c>
    </row>
    <row r="1061" spans="2:6" x14ac:dyDescent="0.2">
      <c r="B1061" s="159" t="s" vm="2">
        <v>146</v>
      </c>
      <c r="C1061" s="122" t="str">
        <f xml:space="preserve">  SUBSTITUTE( SUBSTITUTE( SUBSTITUTE( SUBSTITUTE( SUBSTITUTE( SUBSTITUTE( SUBSTITUTE( ShortName[[#This Row],[RP_Name]], " Limited", "" ), " Housing Association", "" ), " Housing Group", "" ), " Group", "" ), " Housing Trust", "" ), " Housing Partnership", "" ), "The ", "" )</f>
        <v>Abri</v>
      </c>
      <c r="D1061" s="122" t="str">
        <f xml:space="preserve"> IF( RIGHT( ShortName[[#This Row],[Adjust]], 8 ) = " Housing", LEFT( ShortName[[#This Row],[Adjust]], LEN(ShortName[[#This Row],[Adjust]] ) - 8 ), ShortName[[#This Row],[Adjust]] )</f>
        <v>Abri</v>
      </c>
      <c r="E1061" s="159"/>
      <c r="F1061" s="122" t="str">
        <f xml:space="preserve"> IF( ISTEXT( ShortName[[#This Row],[Override]] ), ShortName[[#This Row],[Override]], ShortName[[#This Row],[Remove final Housing]] )</f>
        <v>Abri</v>
      </c>
    </row>
    <row r="1062" spans="2:6" x14ac:dyDescent="0.2">
      <c r="B1062" s="159" t="s" vm="3">
        <v>148</v>
      </c>
      <c r="C1062" s="122" t="str">
        <f xml:space="preserve">  SUBSTITUTE( SUBSTITUTE( SUBSTITUTE( SUBSTITUTE( SUBSTITUTE( SUBSTITUTE( SUBSTITUTE( ShortName[[#This Row],[RP_Name]], " Limited", "" ), " Housing Association", "" ), " Housing Group", "" ), " Group", "" ), " Housing Trust", "" ), " Housing Partnership", "" ), "The ", "" )</f>
        <v>Accent</v>
      </c>
      <c r="D1062" s="122" t="str">
        <f xml:space="preserve"> IF( RIGHT( ShortName[[#This Row],[Adjust]], 8 ) = " Housing", LEFT( ShortName[[#This Row],[Adjust]], LEN(ShortName[[#This Row],[Adjust]] ) - 8 ), ShortName[[#This Row],[Adjust]] )</f>
        <v>Accent</v>
      </c>
      <c r="E1062" s="159"/>
      <c r="F1062" s="122" t="str">
        <f xml:space="preserve"> IF( ISTEXT( ShortName[[#This Row],[Override]] ), ShortName[[#This Row],[Override]], ShortName[[#This Row],[Remove final Housing]] )</f>
        <v>Accent</v>
      </c>
    </row>
    <row r="1063" spans="2:6" x14ac:dyDescent="0.2">
      <c r="B1063" s="159" t="s" vm="4">
        <v>150</v>
      </c>
      <c r="C1063" s="122" t="str">
        <f xml:space="preserve">  SUBSTITUTE( SUBSTITUTE( SUBSTITUTE( SUBSTITUTE( SUBSTITUTE( SUBSTITUTE( SUBSTITUTE( ShortName[[#This Row],[RP_Name]], " Limited", "" ), " Housing Association", "" ), " Housing Group", "" ), " Group", "" ), " Housing Trust", "" ), " Housing Partnership", "" ), "The ", "" )</f>
        <v>Acis</v>
      </c>
      <c r="D1063" s="122" t="str">
        <f xml:space="preserve"> IF( RIGHT( ShortName[[#This Row],[Adjust]], 8 ) = " Housing", LEFT( ShortName[[#This Row],[Adjust]], LEN(ShortName[[#This Row],[Adjust]] ) - 8 ), ShortName[[#This Row],[Adjust]] )</f>
        <v>Acis</v>
      </c>
      <c r="E1063" s="159"/>
      <c r="F1063" s="122" t="str">
        <f xml:space="preserve"> IF( ISTEXT( ShortName[[#This Row],[Override]] ), ShortName[[#This Row],[Override]], ShortName[[#This Row],[Remove final Housing]] )</f>
        <v>Acis</v>
      </c>
    </row>
    <row r="1064" spans="2:6" x14ac:dyDescent="0.2">
      <c r="B1064" s="159" t="s" vm="5">
        <v>153</v>
      </c>
      <c r="C1064" s="122" t="str">
        <f xml:space="preserve">  SUBSTITUTE( SUBSTITUTE( SUBSTITUTE( SUBSTITUTE( SUBSTITUTE( SUBSTITUTE( SUBSTITUTE( ShortName[[#This Row],[RP_Name]], " Limited", "" ), " Housing Association", "" ), " Housing Group", "" ), " Group", "" ), " Housing Trust", "" ), " Housing Partnership", "" ), "The ", "" )</f>
        <v>Advance Housing and Support</v>
      </c>
      <c r="D1064" s="122" t="str">
        <f xml:space="preserve"> IF( RIGHT( ShortName[[#This Row],[Adjust]], 8 ) = " Housing", LEFT( ShortName[[#This Row],[Adjust]], LEN(ShortName[[#This Row],[Adjust]] ) - 8 ), ShortName[[#This Row],[Adjust]] )</f>
        <v>Advance Housing and Support</v>
      </c>
      <c r="E1064" s="159" t="s">
        <v>744</v>
      </c>
      <c r="F1064" s="122" t="str">
        <f xml:space="preserve"> IF( ISTEXT( ShortName[[#This Row],[Override]] ), ShortName[[#This Row],[Override]], ShortName[[#This Row],[Remove final Housing]] )</f>
        <v>Advance</v>
      </c>
    </row>
    <row r="1065" spans="2:6" x14ac:dyDescent="0.2">
      <c r="B1065" s="159" t="s" vm="6">
        <v>155</v>
      </c>
      <c r="C1065" s="122" t="str">
        <f xml:space="preserve">  SUBSTITUTE( SUBSTITUTE( SUBSTITUTE( SUBSTITUTE( SUBSTITUTE( SUBSTITUTE( SUBSTITUTE( ShortName[[#This Row],[RP_Name]], " Limited", "" ), " Housing Association", "" ), " Housing Group", "" ), " Group", "" ), " Housing Trust", "" ), " Housing Partnership", "" ), "The ", "" )</f>
        <v>Anchor Hanover</v>
      </c>
      <c r="D1065" s="122" t="str">
        <f xml:space="preserve"> IF( RIGHT( ShortName[[#This Row],[Adjust]], 8 ) = " Housing", LEFT( ShortName[[#This Row],[Adjust]], LEN(ShortName[[#This Row],[Adjust]] ) - 8 ), ShortName[[#This Row],[Adjust]] )</f>
        <v>Anchor Hanover</v>
      </c>
      <c r="E1065" s="159"/>
      <c r="F1065" s="122" t="str">
        <f xml:space="preserve"> IF( ISTEXT( ShortName[[#This Row],[Override]] ), ShortName[[#This Row],[Override]], ShortName[[#This Row],[Remove final Housing]] )</f>
        <v>Anchor Hanover</v>
      </c>
    </row>
    <row r="1066" spans="2:6" x14ac:dyDescent="0.2">
      <c r="B1066" s="159" t="s" vm="7">
        <v>157</v>
      </c>
      <c r="C1066" s="122" t="str">
        <f xml:space="preserve">  SUBSTITUTE( SUBSTITUTE( SUBSTITUTE( SUBSTITUTE( SUBSTITUTE( SUBSTITUTE( SUBSTITUTE( ShortName[[#This Row],[RP_Name]], " Limited", "" ), " Housing Association", "" ), " Housing Group", "" ), " Group", "" ), " Housing Trust", "" ), " Housing Partnership", "" ), "The ", "" )</f>
        <v>Arawak Walton</v>
      </c>
      <c r="D1066" s="122" t="str">
        <f xml:space="preserve"> IF( RIGHT( ShortName[[#This Row],[Adjust]], 8 ) = " Housing", LEFT( ShortName[[#This Row],[Adjust]], LEN(ShortName[[#This Row],[Adjust]] ) - 8 ), ShortName[[#This Row],[Adjust]] )</f>
        <v>Arawak Walton</v>
      </c>
      <c r="E1066" s="159"/>
      <c r="F1066" s="122" t="str">
        <f xml:space="preserve"> IF( ISTEXT( ShortName[[#This Row],[Override]] ), ShortName[[#This Row],[Override]], ShortName[[#This Row],[Remove final Housing]] )</f>
        <v>Arawak Walton</v>
      </c>
    </row>
    <row r="1067" spans="2:6" x14ac:dyDescent="0.2">
      <c r="B1067" s="159" t="s" vm="8">
        <v>159</v>
      </c>
      <c r="C1067" s="122" t="str">
        <f xml:space="preserve">  SUBSTITUTE( SUBSTITUTE( SUBSTITUTE( SUBSTITUTE( SUBSTITUTE( SUBSTITUTE( SUBSTITUTE( ShortName[[#This Row],[RP_Name]], " Limited", "" ), " Housing Association", "" ), " Housing Group", "" ), " Group", "" ), " Housing Trust", "" ), " Housing Partnership", "" ), "The ", "" )</f>
        <v>Arches Housing</v>
      </c>
      <c r="D1067" s="122" t="str">
        <f xml:space="preserve"> IF( RIGHT( ShortName[[#This Row],[Adjust]], 8 ) = " Housing", LEFT( ShortName[[#This Row],[Adjust]], LEN(ShortName[[#This Row],[Adjust]] ) - 8 ), ShortName[[#This Row],[Adjust]] )</f>
        <v>Arches</v>
      </c>
      <c r="E1067" s="159"/>
      <c r="F1067" s="122" t="str">
        <f xml:space="preserve"> IF( ISTEXT( ShortName[[#This Row],[Override]] ), ShortName[[#This Row],[Override]], ShortName[[#This Row],[Remove final Housing]] )</f>
        <v>Arches</v>
      </c>
    </row>
    <row r="1068" spans="2:6" x14ac:dyDescent="0.2">
      <c r="B1068" s="159" t="s" vm="9">
        <v>161</v>
      </c>
      <c r="C1068" s="122" t="str">
        <f xml:space="preserve">  SUBSTITUTE( SUBSTITUTE( SUBSTITUTE( SUBSTITUTE( SUBSTITUTE( SUBSTITUTE( SUBSTITUTE( ShortName[[#This Row],[RP_Name]], " Limited", "" ), " Housing Association", "" ), " Housing Group", "" ), " Group", "" ), " Housing Trust", "" ), " Housing Partnership", "" ), "The ", "" )</f>
        <v>Aspire Housing</v>
      </c>
      <c r="D1068" s="122" t="str">
        <f xml:space="preserve"> IF( RIGHT( ShortName[[#This Row],[Adjust]], 8 ) = " Housing", LEFT( ShortName[[#This Row],[Adjust]], LEN(ShortName[[#This Row],[Adjust]] ) - 8 ), ShortName[[#This Row],[Adjust]] )</f>
        <v>Aspire</v>
      </c>
      <c r="E1068" s="159"/>
      <c r="F1068" s="122" t="str">
        <f xml:space="preserve"> IF( ISTEXT( ShortName[[#This Row],[Override]] ), ShortName[[#This Row],[Override]], ShortName[[#This Row],[Remove final Housing]] )</f>
        <v>Aspire</v>
      </c>
    </row>
    <row r="1069" spans="2:6" x14ac:dyDescent="0.2">
      <c r="B1069" s="159" t="s" vm="10">
        <v>163</v>
      </c>
      <c r="C1069" s="122" t="str">
        <f xml:space="preserve">  SUBSTITUTE( SUBSTITUTE( SUBSTITUTE( SUBSTITUTE( SUBSTITUTE( SUBSTITUTE( SUBSTITUTE( ShortName[[#This Row],[RP_Name]], " Limited", "" ), " Housing Association", "" ), " Housing Group", "" ), " Group", "" ), " Housing Trust", "" ), " Housing Partnership", "" ), "The ", "" )</f>
        <v>Aster</v>
      </c>
      <c r="D1069" s="122" t="str">
        <f xml:space="preserve"> IF( RIGHT( ShortName[[#This Row],[Adjust]], 8 ) = " Housing", LEFT( ShortName[[#This Row],[Adjust]], LEN(ShortName[[#This Row],[Adjust]] ) - 8 ), ShortName[[#This Row],[Adjust]] )</f>
        <v>Aster</v>
      </c>
      <c r="E1069" s="159"/>
      <c r="F1069" s="122" t="str">
        <f xml:space="preserve"> IF( ISTEXT( ShortName[[#This Row],[Override]] ), ShortName[[#This Row],[Override]], ShortName[[#This Row],[Remove final Housing]] )</f>
        <v>Aster</v>
      </c>
    </row>
    <row r="1070" spans="2:6" x14ac:dyDescent="0.2">
      <c r="B1070" s="159" t="s" vm="11">
        <v>165</v>
      </c>
      <c r="C1070" s="122" t="str">
        <f xml:space="preserve">  SUBSTITUTE( SUBSTITUTE( SUBSTITUTE( SUBSTITUTE( SUBSTITUTE( SUBSTITUTE( SUBSTITUTE( ShortName[[#This Row],[RP_Name]], " Limited", "" ), " Housing Association", "" ), " Housing Group", "" ), " Group", "" ), " Housing Trust", "" ), " Housing Partnership", "" ), "The ", "" )</f>
        <v>B3 Living</v>
      </c>
      <c r="D1070" s="122" t="str">
        <f xml:space="preserve"> IF( RIGHT( ShortName[[#This Row],[Adjust]], 8 ) = " Housing", LEFT( ShortName[[#This Row],[Adjust]], LEN(ShortName[[#This Row],[Adjust]] ) - 8 ), ShortName[[#This Row],[Adjust]] )</f>
        <v>B3 Living</v>
      </c>
      <c r="E1070" s="159"/>
      <c r="F1070" s="122" t="str">
        <f xml:space="preserve"> IF( ISTEXT( ShortName[[#This Row],[Override]] ), ShortName[[#This Row],[Override]], ShortName[[#This Row],[Remove final Housing]] )</f>
        <v>B3 Living</v>
      </c>
    </row>
    <row r="1071" spans="2:6" x14ac:dyDescent="0.2">
      <c r="B1071" s="159" t="s" vm="12">
        <v>167</v>
      </c>
      <c r="C1071" s="122" t="str">
        <f xml:space="preserve">  SUBSTITUTE( SUBSTITUTE( SUBSTITUTE( SUBSTITUTE( SUBSTITUTE( SUBSTITUTE( SUBSTITUTE( ShortName[[#This Row],[RP_Name]], " Limited", "" ), " Housing Association", "" ), " Housing Group", "" ), " Group", "" ), " Housing Trust", "" ), " Housing Partnership", "" ), "The ", "" )</f>
        <v>Believe Housing</v>
      </c>
      <c r="D1071" s="122" t="str">
        <f xml:space="preserve"> IF( RIGHT( ShortName[[#This Row],[Adjust]], 8 ) = " Housing", LEFT( ShortName[[#This Row],[Adjust]], LEN(ShortName[[#This Row],[Adjust]] ) - 8 ), ShortName[[#This Row],[Adjust]] )</f>
        <v>Believe</v>
      </c>
      <c r="E1071" s="159"/>
      <c r="F1071" s="122" t="str">
        <f xml:space="preserve"> IF( ISTEXT( ShortName[[#This Row],[Override]] ), ShortName[[#This Row],[Override]], ShortName[[#This Row],[Remove final Housing]] )</f>
        <v>Believe</v>
      </c>
    </row>
    <row r="1072" spans="2:6" x14ac:dyDescent="0.2">
      <c r="B1072" s="159" t="s" vm="13">
        <v>171</v>
      </c>
      <c r="C1072" s="122" t="str">
        <f xml:space="preserve">  SUBSTITUTE( SUBSTITUTE( SUBSTITUTE( SUBSTITUTE( SUBSTITUTE( SUBSTITUTE( SUBSTITUTE( ShortName[[#This Row],[RP_Name]], " Limited", "" ), " Housing Association", "" ), " Housing Group", "" ), " Group", "" ), " Housing Trust", "" ), " Housing Partnership", "" ), "The ", "" )</f>
        <v>Bernicia</v>
      </c>
      <c r="D1072" s="122" t="str">
        <f xml:space="preserve"> IF( RIGHT( ShortName[[#This Row],[Adjust]], 8 ) = " Housing", LEFT( ShortName[[#This Row],[Adjust]], LEN(ShortName[[#This Row],[Adjust]] ) - 8 ), ShortName[[#This Row],[Adjust]] )</f>
        <v>Bernicia</v>
      </c>
      <c r="E1072" s="159"/>
      <c r="F1072" s="122" t="str">
        <f xml:space="preserve"> IF( ISTEXT( ShortName[[#This Row],[Override]] ), ShortName[[#This Row],[Override]], ShortName[[#This Row],[Remove final Housing]] )</f>
        <v>Bernicia</v>
      </c>
    </row>
    <row r="1073" spans="2:6" x14ac:dyDescent="0.2">
      <c r="B1073" s="159" t="s" vm="14">
        <v>173</v>
      </c>
      <c r="C1073" s="122" t="str">
        <f xml:space="preserve">  SUBSTITUTE( SUBSTITUTE( SUBSTITUTE( SUBSTITUTE( SUBSTITUTE( SUBSTITUTE( SUBSTITUTE( ShortName[[#This Row],[RP_Name]], " Limited", "" ), " Housing Association", "" ), " Housing Group", "" ), " Group", "" ), " Housing Trust", "" ), " Housing Partnership", "" ), "The ", "" )</f>
        <v>Beyond Housing</v>
      </c>
      <c r="D1073" s="122" t="str">
        <f xml:space="preserve"> IF( RIGHT( ShortName[[#This Row],[Adjust]], 8 ) = " Housing", LEFT( ShortName[[#This Row],[Adjust]], LEN(ShortName[[#This Row],[Adjust]] ) - 8 ), ShortName[[#This Row],[Adjust]] )</f>
        <v>Beyond</v>
      </c>
      <c r="E1073" s="159"/>
      <c r="F1073" s="122" t="str">
        <f xml:space="preserve"> IF( ISTEXT( ShortName[[#This Row],[Override]] ), ShortName[[#This Row],[Override]], ShortName[[#This Row],[Remove final Housing]] )</f>
        <v>Beyond</v>
      </c>
    </row>
    <row r="1074" spans="2:6" x14ac:dyDescent="0.2">
      <c r="B1074" s="159" t="s" vm="15">
        <v>175</v>
      </c>
      <c r="C1074" s="122" t="str">
        <f xml:space="preserve">  SUBSTITUTE( SUBSTITUTE( SUBSTITUTE( SUBSTITUTE( SUBSTITUTE( SUBSTITUTE( SUBSTITUTE( ShortName[[#This Row],[RP_Name]], " Limited", "" ), " Housing Association", "" ), " Housing Group", "" ), " Group", "" ), " Housing Trust", "" ), " Housing Partnership", "" ), "The ", "" )</f>
        <v>Black Country</v>
      </c>
      <c r="D1074" s="122" t="str">
        <f xml:space="preserve"> IF( RIGHT( ShortName[[#This Row],[Adjust]], 8 ) = " Housing", LEFT( ShortName[[#This Row],[Adjust]], LEN(ShortName[[#This Row],[Adjust]] ) - 8 ), ShortName[[#This Row],[Adjust]] )</f>
        <v>Black Country</v>
      </c>
      <c r="E1074" s="159"/>
      <c r="F1074" s="122" t="str">
        <f xml:space="preserve"> IF( ISTEXT( ShortName[[#This Row],[Override]] ), ShortName[[#This Row],[Override]], ShortName[[#This Row],[Remove final Housing]] )</f>
        <v>Black Country</v>
      </c>
    </row>
    <row r="1075" spans="2:6" x14ac:dyDescent="0.2">
      <c r="B1075" s="159" t="s" vm="16">
        <v>177</v>
      </c>
      <c r="C1075" s="122" t="str">
        <f xml:space="preserve">  SUBSTITUTE( SUBSTITUTE( SUBSTITUTE( SUBSTITUTE( SUBSTITUTE( SUBSTITUTE( SUBSTITUTE( ShortName[[#This Row],[RP_Name]], " Limited", "" ), " Housing Association", "" ), " Housing Group", "" ), " Group", "" ), " Housing Trust", "" ), " Housing Partnership", "" ), "The ", "" )</f>
        <v>Bolton at Home</v>
      </c>
      <c r="D1075" s="122" t="str">
        <f xml:space="preserve"> IF( RIGHT( ShortName[[#This Row],[Adjust]], 8 ) = " Housing", LEFT( ShortName[[#This Row],[Adjust]], LEN(ShortName[[#This Row],[Adjust]] ) - 8 ), ShortName[[#This Row],[Adjust]] )</f>
        <v>Bolton at Home</v>
      </c>
      <c r="E1075" s="159"/>
      <c r="F1075" s="122" t="str">
        <f xml:space="preserve"> IF( ISTEXT( ShortName[[#This Row],[Override]] ), ShortName[[#This Row],[Override]], ShortName[[#This Row],[Remove final Housing]] )</f>
        <v>Bolton at Home</v>
      </c>
    </row>
    <row r="1076" spans="2:6" x14ac:dyDescent="0.2">
      <c r="B1076" s="159" t="s" vm="17">
        <v>179</v>
      </c>
      <c r="C1076" s="122" t="str">
        <f xml:space="preserve">  SUBSTITUTE( SUBSTITUTE( SUBSTITUTE( SUBSTITUTE( SUBSTITUTE( SUBSTITUTE( SUBSTITUTE( ShortName[[#This Row],[RP_Name]], " Limited", "" ), " Housing Association", "" ), " Housing Group", "" ), " Group", "" ), " Housing Trust", "" ), " Housing Partnership", "" ), "The ", "" )</f>
        <v>Bournemouth Churches</v>
      </c>
      <c r="D1076" s="122" t="str">
        <f xml:space="preserve"> IF( RIGHT( ShortName[[#This Row],[Adjust]], 8 ) = " Housing", LEFT( ShortName[[#This Row],[Adjust]], LEN(ShortName[[#This Row],[Adjust]] ) - 8 ), ShortName[[#This Row],[Adjust]] )</f>
        <v>Bournemouth Churches</v>
      </c>
      <c r="E1076" s="159"/>
      <c r="F1076" s="122" t="str">
        <f xml:space="preserve"> IF( ISTEXT( ShortName[[#This Row],[Override]] ), ShortName[[#This Row],[Override]], ShortName[[#This Row],[Remove final Housing]] )</f>
        <v>Bournemouth Churches</v>
      </c>
    </row>
    <row r="1077" spans="2:6" x14ac:dyDescent="0.2">
      <c r="B1077" s="159" t="s" vm="18">
        <v>181</v>
      </c>
      <c r="C1077" s="122" t="str">
        <f xml:space="preserve">  SUBSTITUTE( SUBSTITUTE( SUBSTITUTE( SUBSTITUTE( SUBSTITUTE( SUBSTITUTE( SUBSTITUTE( ShortName[[#This Row],[RP_Name]], " Limited", "" ), " Housing Association", "" ), " Housing Group", "" ), " Group", "" ), " Housing Trust", "" ), " Housing Partnership", "" ), "The ", "" )</f>
        <v>Bournville Village Trust</v>
      </c>
      <c r="D1077" s="122" t="str">
        <f xml:space="preserve"> IF( RIGHT( ShortName[[#This Row],[Adjust]], 8 ) = " Housing", LEFT( ShortName[[#This Row],[Adjust]], LEN(ShortName[[#This Row],[Adjust]] ) - 8 ), ShortName[[#This Row],[Adjust]] )</f>
        <v>Bournville Village Trust</v>
      </c>
      <c r="E1077" s="159"/>
      <c r="F1077" s="122" t="str">
        <f xml:space="preserve"> IF( ISTEXT( ShortName[[#This Row],[Override]] ), ShortName[[#This Row],[Override]], ShortName[[#This Row],[Remove final Housing]] )</f>
        <v>Bournville Village Trust</v>
      </c>
    </row>
    <row r="1078" spans="2:6" x14ac:dyDescent="0.2">
      <c r="B1078" s="159" t="s" vm="19">
        <v>183</v>
      </c>
      <c r="C1078" s="122" t="str">
        <f xml:space="preserve">  SUBSTITUTE( SUBSTITUTE( SUBSTITUTE( SUBSTITUTE( SUBSTITUTE( SUBSTITUTE( SUBSTITUTE( ShortName[[#This Row],[RP_Name]], " Limited", "" ), " Housing Association", "" ), " Housing Group", "" ), " Group", "" ), " Housing Trust", "" ), " Housing Partnership", "" ), "The ", "" )</f>
        <v>bpha</v>
      </c>
      <c r="D1078" s="122" t="str">
        <f xml:space="preserve"> IF( RIGHT( ShortName[[#This Row],[Adjust]], 8 ) = " Housing", LEFT( ShortName[[#This Row],[Adjust]], LEN(ShortName[[#This Row],[Adjust]] ) - 8 ), ShortName[[#This Row],[Adjust]] )</f>
        <v>bpha</v>
      </c>
      <c r="E1078" s="159"/>
      <c r="F1078" s="122" t="str">
        <f xml:space="preserve"> IF( ISTEXT( ShortName[[#This Row],[Override]] ), ShortName[[#This Row],[Override]], ShortName[[#This Row],[Remove final Housing]] )</f>
        <v>bpha</v>
      </c>
    </row>
    <row r="1079" spans="2:6" x14ac:dyDescent="0.2">
      <c r="B1079" s="159" t="s" vm="20">
        <v>185</v>
      </c>
      <c r="C1079" s="122" t="str">
        <f xml:space="preserve">  SUBSTITUTE( SUBSTITUTE( SUBSTITUTE( SUBSTITUTE( SUBSTITUTE( SUBSTITUTE( SUBSTITUTE( ShortName[[#This Row],[RP_Name]], " Limited", "" ), " Housing Association", "" ), " Housing Group", "" ), " Group", "" ), " Housing Trust", "" ), " Housing Partnership", "" ), "The ", "" )</f>
        <v>Brighter Places</v>
      </c>
      <c r="D1079" s="122" t="str">
        <f xml:space="preserve"> IF( RIGHT( ShortName[[#This Row],[Adjust]], 8 ) = " Housing", LEFT( ShortName[[#This Row],[Adjust]], LEN(ShortName[[#This Row],[Adjust]] ) - 8 ), ShortName[[#This Row],[Adjust]] )</f>
        <v>Brighter Places</v>
      </c>
      <c r="E1079" s="159"/>
      <c r="F1079" s="122" t="str">
        <f xml:space="preserve"> IF( ISTEXT( ShortName[[#This Row],[Override]] ), ShortName[[#This Row],[Override]], ShortName[[#This Row],[Remove final Housing]] )</f>
        <v>Brighter Places</v>
      </c>
    </row>
    <row r="1080" spans="2:6" x14ac:dyDescent="0.2">
      <c r="B1080" s="159" t="s" vm="21">
        <v>187</v>
      </c>
      <c r="C1080" s="122" t="str">
        <f xml:space="preserve">  SUBSTITUTE( SUBSTITUTE( SUBSTITUTE( SUBSTITUTE( SUBSTITUTE( SUBSTITUTE( SUBSTITUTE( ShortName[[#This Row],[RP_Name]], " Limited", "" ), " Housing Association", "" ), " Housing Group", "" ), " Group", "" ), " Housing Trust", "" ), " Housing Partnership", "" ), "The ", "" )</f>
        <v>Broadacres</v>
      </c>
      <c r="D1080" s="122" t="str">
        <f xml:space="preserve"> IF( RIGHT( ShortName[[#This Row],[Adjust]], 8 ) = " Housing", LEFT( ShortName[[#This Row],[Adjust]], LEN(ShortName[[#This Row],[Adjust]] ) - 8 ), ShortName[[#This Row],[Adjust]] )</f>
        <v>Broadacres</v>
      </c>
      <c r="E1080" s="159"/>
      <c r="F1080" s="122" t="str">
        <f xml:space="preserve"> IF( ISTEXT( ShortName[[#This Row],[Override]] ), ShortName[[#This Row],[Override]], ShortName[[#This Row],[Remove final Housing]] )</f>
        <v>Broadacres</v>
      </c>
    </row>
    <row r="1081" spans="2:6" x14ac:dyDescent="0.2">
      <c r="B1081" s="159" t="s" vm="22">
        <v>189</v>
      </c>
      <c r="C1081" s="122" t="str">
        <f xml:space="preserve">  SUBSTITUTE( SUBSTITUTE( SUBSTITUTE( SUBSTITUTE( SUBSTITUTE( SUBSTITUTE( SUBSTITUTE( ShortName[[#This Row],[RP_Name]], " Limited", "" ), " Housing Association", "" ), " Housing Group", "" ), " Group", "" ), " Housing Trust", "" ), " Housing Partnership", "" ), "The ", "" )</f>
        <v>Broadland</v>
      </c>
      <c r="D1081" s="122" t="str">
        <f xml:space="preserve"> IF( RIGHT( ShortName[[#This Row],[Adjust]], 8 ) = " Housing", LEFT( ShortName[[#This Row],[Adjust]], LEN(ShortName[[#This Row],[Adjust]] ) - 8 ), ShortName[[#This Row],[Adjust]] )</f>
        <v>Broadland</v>
      </c>
      <c r="E1081" s="159"/>
      <c r="F1081" s="122" t="str">
        <f xml:space="preserve"> IF( ISTEXT( ShortName[[#This Row],[Override]] ), ShortName[[#This Row],[Override]], ShortName[[#This Row],[Remove final Housing]] )</f>
        <v>Broadland</v>
      </c>
    </row>
    <row r="1082" spans="2:6" x14ac:dyDescent="0.2">
      <c r="B1082" s="159" t="s" vm="23">
        <v>191</v>
      </c>
      <c r="C1082" s="122" t="str">
        <f xml:space="preserve">  SUBSTITUTE( SUBSTITUTE( SUBSTITUTE( SUBSTITUTE( SUBSTITUTE( SUBSTITUTE( SUBSTITUTE( ShortName[[#This Row],[RP_Name]], " Limited", "" ), " Housing Association", "" ), " Housing Group", "" ), " Group", "" ), " Housing Trust", "" ), " Housing Partnership", "" ), "The ", "" )</f>
        <v>Bromford</v>
      </c>
      <c r="D1082" s="122" t="str">
        <f xml:space="preserve"> IF( RIGHT( ShortName[[#This Row],[Adjust]], 8 ) = " Housing", LEFT( ShortName[[#This Row],[Adjust]], LEN(ShortName[[#This Row],[Adjust]] ) - 8 ), ShortName[[#This Row],[Adjust]] )</f>
        <v>Bromford</v>
      </c>
      <c r="E1082" s="159"/>
      <c r="F1082" s="122" t="str">
        <f xml:space="preserve"> IF( ISTEXT( ShortName[[#This Row],[Override]] ), ShortName[[#This Row],[Override]], ShortName[[#This Row],[Remove final Housing]] )</f>
        <v>Bromford</v>
      </c>
    </row>
    <row r="1083" spans="2:6" x14ac:dyDescent="0.2">
      <c r="B1083" s="159" t="s" vm="24">
        <v>193</v>
      </c>
      <c r="C1083" s="122" t="str">
        <f xml:space="preserve">  SUBSTITUTE( SUBSTITUTE( SUBSTITUTE( SUBSTITUTE( SUBSTITUTE( SUBSTITUTE( SUBSTITUTE( ShortName[[#This Row],[RP_Name]], " Limited", "" ), " Housing Association", "" ), " Housing Group", "" ), " Group", "" ), " Housing Trust", "" ), " Housing Partnership", "" ), "The ", "" )</f>
        <v>Bromsgrove District</v>
      </c>
      <c r="D1083" s="122" t="str">
        <f xml:space="preserve"> IF( RIGHT( ShortName[[#This Row],[Adjust]], 8 ) = " Housing", LEFT( ShortName[[#This Row],[Adjust]], LEN(ShortName[[#This Row],[Adjust]] ) - 8 ), ShortName[[#This Row],[Adjust]] )</f>
        <v>Bromsgrove District</v>
      </c>
      <c r="E1083" s="159"/>
      <c r="F1083" s="122" t="str">
        <f xml:space="preserve"> IF( ISTEXT( ShortName[[#This Row],[Override]] ), ShortName[[#This Row],[Override]], ShortName[[#This Row],[Remove final Housing]] )</f>
        <v>Bromsgrove District</v>
      </c>
    </row>
    <row r="1084" spans="2:6" x14ac:dyDescent="0.2">
      <c r="B1084" s="159" t="s" vm="25">
        <v>195</v>
      </c>
      <c r="C1084" s="122" t="str">
        <f xml:space="preserve">  SUBSTITUTE( SUBSTITUTE( SUBSTITUTE( SUBSTITUTE( SUBSTITUTE( SUBSTITUTE( SUBSTITUTE( ShortName[[#This Row],[RP_Name]], " Limited", "" ), " Housing Association", "" ), " Housing Group", "" ), " Group", "" ), " Housing Trust", "" ), " Housing Partnership", "" ), "The ", "" )</f>
        <v>Brunelcare</v>
      </c>
      <c r="D1084" s="122" t="str">
        <f xml:space="preserve"> IF( RIGHT( ShortName[[#This Row],[Adjust]], 8 ) = " Housing", LEFT( ShortName[[#This Row],[Adjust]], LEN(ShortName[[#This Row],[Adjust]] ) - 8 ), ShortName[[#This Row],[Adjust]] )</f>
        <v>Brunelcare</v>
      </c>
      <c r="E1084" s="159"/>
      <c r="F1084" s="122" t="str">
        <f xml:space="preserve"> IF( ISTEXT( ShortName[[#This Row],[Override]] ), ShortName[[#This Row],[Override]], ShortName[[#This Row],[Remove final Housing]] )</f>
        <v>Brunelcare</v>
      </c>
    </row>
    <row r="1085" spans="2:6" x14ac:dyDescent="0.2">
      <c r="B1085" s="159" t="s" vm="26">
        <v>197</v>
      </c>
      <c r="C1085" s="122" t="str">
        <f xml:space="preserve">  SUBSTITUTE( SUBSTITUTE( SUBSTITUTE( SUBSTITUTE( SUBSTITUTE( SUBSTITUTE( SUBSTITUTE( ShortName[[#This Row],[RP_Name]], " Limited", "" ), " Housing Association", "" ), " Housing Group", "" ), " Group", "" ), " Housing Trust", "" ), " Housing Partnership", "" ), "The ", "" )</f>
        <v>Calico Homes</v>
      </c>
      <c r="D1085" s="122" t="str">
        <f xml:space="preserve"> IF( RIGHT( ShortName[[#This Row],[Adjust]], 8 ) = " Housing", LEFT( ShortName[[#This Row],[Adjust]], LEN(ShortName[[#This Row],[Adjust]] ) - 8 ), ShortName[[#This Row],[Adjust]] )</f>
        <v>Calico Homes</v>
      </c>
      <c r="E1085" s="159" t="s">
        <v>745</v>
      </c>
      <c r="F1085" s="122" t="str">
        <f xml:space="preserve"> IF( ISTEXT( ShortName[[#This Row],[Override]] ), ShortName[[#This Row],[Override]], ShortName[[#This Row],[Remove final Housing]] )</f>
        <v>Calico</v>
      </c>
    </row>
    <row r="1086" spans="2:6" x14ac:dyDescent="0.2">
      <c r="B1086" s="159" t="s" vm="27">
        <v>199</v>
      </c>
      <c r="C1086" s="122" t="str">
        <f xml:space="preserve">  SUBSTITUTE( SUBSTITUTE( SUBSTITUTE( SUBSTITUTE( SUBSTITUTE( SUBSTITUTE( SUBSTITUTE( ShortName[[#This Row],[RP_Name]], " Limited", "" ), " Housing Association", "" ), " Housing Group", "" ), " Group", "" ), " Housing Trust", "" ), " Housing Partnership", "" ), "The ", "" )</f>
        <v>Castles &amp; Coasts</v>
      </c>
      <c r="D1086" s="122" t="str">
        <f xml:space="preserve"> IF( RIGHT( ShortName[[#This Row],[Adjust]], 8 ) = " Housing", LEFT( ShortName[[#This Row],[Adjust]], LEN(ShortName[[#This Row],[Adjust]] ) - 8 ), ShortName[[#This Row],[Adjust]] )</f>
        <v>Castles &amp; Coasts</v>
      </c>
      <c r="E1086" s="159"/>
      <c r="F1086" s="122" t="str">
        <f xml:space="preserve"> IF( ISTEXT( ShortName[[#This Row],[Override]] ), ShortName[[#This Row],[Override]], ShortName[[#This Row],[Remove final Housing]] )</f>
        <v>Castles &amp; Coasts</v>
      </c>
    </row>
    <row r="1087" spans="2:6" x14ac:dyDescent="0.2">
      <c r="B1087" s="159" t="s" vm="28">
        <v>201</v>
      </c>
      <c r="C1087" s="122" t="str">
        <f xml:space="preserve">  SUBSTITUTE( SUBSTITUTE( SUBSTITUTE( SUBSTITUTE( SUBSTITUTE( SUBSTITUTE( SUBSTITUTE( ShortName[[#This Row],[RP_Name]], " Limited", "" ), " Housing Association", "" ), " Housing Group", "" ), " Group", "" ), " Housing Trust", "" ), " Housing Partnership", "" ), "The ", "" )</f>
        <v>Chelmer</v>
      </c>
      <c r="D1087" s="122" t="str">
        <f xml:space="preserve"> IF( RIGHT( ShortName[[#This Row],[Adjust]], 8 ) = " Housing", LEFT( ShortName[[#This Row],[Adjust]], LEN(ShortName[[#This Row],[Adjust]] ) - 8 ), ShortName[[#This Row],[Adjust]] )</f>
        <v>Chelmer</v>
      </c>
      <c r="E1087" s="159"/>
      <c r="F1087" s="122" t="str">
        <f xml:space="preserve"> IF( ISTEXT( ShortName[[#This Row],[Override]] ), ShortName[[#This Row],[Override]], ShortName[[#This Row],[Remove final Housing]] )</f>
        <v>Chelmer</v>
      </c>
    </row>
    <row r="1088" spans="2:6" x14ac:dyDescent="0.2">
      <c r="B1088" s="159" t="s" vm="29">
        <v>203</v>
      </c>
      <c r="C1088" s="122" t="str">
        <f xml:space="preserve">  SUBSTITUTE( SUBSTITUTE( SUBSTITUTE( SUBSTITUTE( SUBSTITUTE( SUBSTITUTE( SUBSTITUTE( ShortName[[#This Row],[RP_Name]], " Limited", "" ), " Housing Association", "" ), " Housing Group", "" ), " Group", "" ), " Housing Trust", "" ), " Housing Partnership", "" ), "The ", "" )</f>
        <v>Cheshire Peaks &amp; Plains</v>
      </c>
      <c r="D1088" s="122" t="str">
        <f xml:space="preserve"> IF( RIGHT( ShortName[[#This Row],[Adjust]], 8 ) = " Housing", LEFT( ShortName[[#This Row],[Adjust]], LEN(ShortName[[#This Row],[Adjust]] ) - 8 ), ShortName[[#This Row],[Adjust]] )</f>
        <v>Cheshire Peaks &amp; Plains</v>
      </c>
      <c r="E1088" s="159"/>
      <c r="F1088" s="122" t="str">
        <f xml:space="preserve"> IF( ISTEXT( ShortName[[#This Row],[Override]] ), ShortName[[#This Row],[Override]], ShortName[[#This Row],[Remove final Housing]] )</f>
        <v>Cheshire Peaks &amp; Plains</v>
      </c>
    </row>
    <row r="1089" spans="2:6" x14ac:dyDescent="0.2">
      <c r="B1089" s="159" t="s" vm="30">
        <v>205</v>
      </c>
      <c r="C1089" s="122" t="str">
        <f xml:space="preserve">  SUBSTITUTE( SUBSTITUTE( SUBSTITUTE( SUBSTITUTE( SUBSTITUTE( SUBSTITUTE( SUBSTITUTE( ShortName[[#This Row],[RP_Name]], " Limited", "" ), " Housing Association", "" ), " Housing Group", "" ), " Group", "" ), " Housing Trust", "" ), " Housing Partnership", "" ), "The ", "" )</f>
        <v>Christian Action (Enfield)</v>
      </c>
      <c r="D1089" s="122" t="str">
        <f xml:space="preserve"> IF( RIGHT( ShortName[[#This Row],[Adjust]], 8 ) = " Housing", LEFT( ShortName[[#This Row],[Adjust]], LEN(ShortName[[#This Row],[Adjust]] ) - 8 ), ShortName[[#This Row],[Adjust]] )</f>
        <v>Christian Action (Enfield)</v>
      </c>
      <c r="E1089" s="159"/>
      <c r="F1089" s="122" t="str">
        <f xml:space="preserve"> IF( ISTEXT( ShortName[[#This Row],[Override]] ), ShortName[[#This Row],[Override]], ShortName[[#This Row],[Remove final Housing]] )</f>
        <v>Christian Action (Enfield)</v>
      </c>
    </row>
    <row r="1090" spans="2:6" x14ac:dyDescent="0.2">
      <c r="B1090" s="159" t="s" vm="31">
        <v>207</v>
      </c>
      <c r="C1090" s="122" t="str">
        <f xml:space="preserve">  SUBSTITUTE( SUBSTITUTE( SUBSTITUTE( SUBSTITUTE( SUBSTITUTE( SUBSTITUTE( SUBSTITUTE( ShortName[[#This Row],[RP_Name]], " Limited", "" ), " Housing Association", "" ), " Housing Group", "" ), " Group", "" ), " Housing Trust", "" ), " Housing Partnership", "" ), "The ", "" )</f>
        <v>Citizen</v>
      </c>
      <c r="D1090" s="122" t="str">
        <f xml:space="preserve"> IF( RIGHT( ShortName[[#This Row],[Adjust]], 8 ) = " Housing", LEFT( ShortName[[#This Row],[Adjust]], LEN(ShortName[[#This Row],[Adjust]] ) - 8 ), ShortName[[#This Row],[Adjust]] )</f>
        <v>Citizen</v>
      </c>
      <c r="E1090" s="159"/>
      <c r="F1090" s="122" t="str">
        <f xml:space="preserve"> IF( ISTEXT( ShortName[[#This Row],[Override]] ), ShortName[[#This Row],[Override]], ShortName[[#This Row],[Remove final Housing]] )</f>
        <v>Citizen</v>
      </c>
    </row>
    <row r="1091" spans="2:6" x14ac:dyDescent="0.2">
      <c r="B1091" s="159" t="s" vm="32">
        <v>209</v>
      </c>
      <c r="C1091" s="122" t="str">
        <f xml:space="preserve">  SUBSTITUTE( SUBSTITUTE( SUBSTITUTE( SUBSTITUTE( SUBSTITUTE( SUBSTITUTE( SUBSTITUTE( ShortName[[#This Row],[RP_Name]], " Limited", "" ), " Housing Association", "" ), " Housing Group", "" ), " Group", "" ), " Housing Trust", "" ), " Housing Partnership", "" ), "The ", "" )</f>
        <v>Clarion</v>
      </c>
      <c r="D1091" s="122" t="str">
        <f xml:space="preserve"> IF( RIGHT( ShortName[[#This Row],[Adjust]], 8 ) = " Housing", LEFT( ShortName[[#This Row],[Adjust]], LEN(ShortName[[#This Row],[Adjust]] ) - 8 ), ShortName[[#This Row],[Adjust]] )</f>
        <v>Clarion</v>
      </c>
      <c r="E1091" s="159"/>
      <c r="F1091" s="122" t="str">
        <f xml:space="preserve"> IF( ISTEXT( ShortName[[#This Row],[Override]] ), ShortName[[#This Row],[Override]], ShortName[[#This Row],[Remove final Housing]] )</f>
        <v>Clarion</v>
      </c>
    </row>
    <row r="1092" spans="2:6" x14ac:dyDescent="0.2">
      <c r="B1092" s="159" t="s" vm="33">
        <v>211</v>
      </c>
      <c r="C1092" s="122" t="str">
        <f xml:space="preserve">  SUBSTITUTE( SUBSTITUTE( SUBSTITUTE( SUBSTITUTE( SUBSTITUTE( SUBSTITUTE( SUBSTITUTE( ShortName[[#This Row],[RP_Name]], " Limited", "" ), " Housing Association", "" ), " Housing Group", "" ), " Group", "" ), " Housing Trust", "" ), " Housing Partnership", "" ), "The ", "" )</f>
        <v>Coastline Housing</v>
      </c>
      <c r="D1092" s="122" t="str">
        <f xml:space="preserve"> IF( RIGHT( ShortName[[#This Row],[Adjust]], 8 ) = " Housing", LEFT( ShortName[[#This Row],[Adjust]], LEN(ShortName[[#This Row],[Adjust]] ) - 8 ), ShortName[[#This Row],[Adjust]] )</f>
        <v>Coastline</v>
      </c>
      <c r="E1092" s="159"/>
      <c r="F1092" s="122" t="str">
        <f xml:space="preserve"> IF( ISTEXT( ShortName[[#This Row],[Override]] ), ShortName[[#This Row],[Override]], ShortName[[#This Row],[Remove final Housing]] )</f>
        <v>Coastline</v>
      </c>
    </row>
    <row r="1093" spans="2:6" x14ac:dyDescent="0.2">
      <c r="B1093" s="159" t="s" vm="34">
        <v>213</v>
      </c>
      <c r="C1093" s="122" t="str">
        <f xml:space="preserve">  SUBSTITUTE( SUBSTITUTE( SUBSTITUTE( SUBSTITUTE( SUBSTITUTE( SUBSTITUTE( SUBSTITUTE( ShortName[[#This Row],[RP_Name]], " Limited", "" ), " Housing Association", "" ), " Housing Group", "" ), " Group", "" ), " Housing Trust", "" ), " Housing Partnership", "" ), "The ", "" )</f>
        <v>Cobalt Housing</v>
      </c>
      <c r="D1093" s="122" t="str">
        <f xml:space="preserve"> IF( RIGHT( ShortName[[#This Row],[Adjust]], 8 ) = " Housing", LEFT( ShortName[[#This Row],[Adjust]], LEN(ShortName[[#This Row],[Adjust]] ) - 8 ), ShortName[[#This Row],[Adjust]] )</f>
        <v>Cobalt</v>
      </c>
      <c r="E1093" s="159"/>
      <c r="F1093" s="122" t="str">
        <f xml:space="preserve"> IF( ISTEXT( ShortName[[#This Row],[Override]] ), ShortName[[#This Row],[Override]], ShortName[[#This Row],[Remove final Housing]] )</f>
        <v>Cobalt</v>
      </c>
    </row>
    <row r="1094" spans="2:6" x14ac:dyDescent="0.2">
      <c r="B1094" s="159" t="s" vm="35">
        <v>215</v>
      </c>
      <c r="C1094" s="122" t="str">
        <f xml:space="preserve">  SUBSTITUTE( SUBSTITUTE( SUBSTITUTE( SUBSTITUTE( SUBSTITUTE( SUBSTITUTE( SUBSTITUTE( ShortName[[#This Row],[RP_Name]], " Limited", "" ), " Housing Association", "" ), " Housing Group", "" ), " Group", "" ), " Housing Trust", "" ), " Housing Partnership", "" ), "The ", "" )</f>
        <v>Community Gateway Association</v>
      </c>
      <c r="D1094" s="122" t="str">
        <f xml:space="preserve"> IF( RIGHT( ShortName[[#This Row],[Adjust]], 8 ) = " Housing", LEFT( ShortName[[#This Row],[Adjust]], LEN(ShortName[[#This Row],[Adjust]] ) - 8 ), ShortName[[#This Row],[Adjust]] )</f>
        <v>Community Gateway Association</v>
      </c>
      <c r="E1094" s="159" t="s">
        <v>746</v>
      </c>
      <c r="F1094" s="122" t="str">
        <f xml:space="preserve"> IF( ISTEXT( ShortName[[#This Row],[Override]] ), ShortName[[#This Row],[Override]], ShortName[[#This Row],[Remove final Housing]] )</f>
        <v>Community Gateway</v>
      </c>
    </row>
    <row r="1095" spans="2:6" x14ac:dyDescent="0.2">
      <c r="B1095" s="159" t="s" vm="36">
        <v>217</v>
      </c>
      <c r="C1095" s="122" t="str">
        <f xml:space="preserve">  SUBSTITUTE( SUBSTITUTE( SUBSTITUTE( SUBSTITUTE( SUBSTITUTE( SUBSTITUTE( SUBSTITUTE( ShortName[[#This Row],[RP_Name]], " Limited", "" ), " Housing Association", "" ), " Housing Group", "" ), " Group", "" ), " Housing Trust", "" ), " Housing Partnership", "" ), "The ", "" )</f>
        <v>Connect</v>
      </c>
      <c r="D1095" s="122" t="str">
        <f xml:space="preserve"> IF( RIGHT( ShortName[[#This Row],[Adjust]], 8 ) = " Housing", LEFT( ShortName[[#This Row],[Adjust]], LEN(ShortName[[#This Row],[Adjust]] ) - 8 ), ShortName[[#This Row],[Adjust]] )</f>
        <v>Connect</v>
      </c>
      <c r="E1095" s="159"/>
      <c r="F1095" s="122" t="str">
        <f xml:space="preserve"> IF( ISTEXT( ShortName[[#This Row],[Override]] ), ShortName[[#This Row],[Override]], ShortName[[#This Row],[Remove final Housing]] )</f>
        <v>Connect</v>
      </c>
    </row>
    <row r="1096" spans="2:6" x14ac:dyDescent="0.2">
      <c r="B1096" s="159" t="s" vm="37">
        <v>219</v>
      </c>
      <c r="C1096" s="122" t="str">
        <f xml:space="preserve">  SUBSTITUTE( SUBSTITUTE( SUBSTITUTE( SUBSTITUTE( SUBSTITUTE( SUBSTITUTE( SUBSTITUTE( ShortName[[#This Row],[RP_Name]], " Limited", "" ), " Housing Association", "" ), " Housing Group", "" ), " Group", "" ), " Housing Trust", "" ), " Housing Partnership", "" ), "The ", "" )</f>
        <v>Connexus Homes</v>
      </c>
      <c r="D1096" s="122" t="str">
        <f xml:space="preserve"> IF( RIGHT( ShortName[[#This Row],[Adjust]], 8 ) = " Housing", LEFT( ShortName[[#This Row],[Adjust]], LEN(ShortName[[#This Row],[Adjust]] ) - 8 ), ShortName[[#This Row],[Adjust]] )</f>
        <v>Connexus Homes</v>
      </c>
      <c r="E1096" s="159" t="s">
        <v>747</v>
      </c>
      <c r="F1096" s="122" t="str">
        <f xml:space="preserve"> IF( ISTEXT( ShortName[[#This Row],[Override]] ), ShortName[[#This Row],[Override]], ShortName[[#This Row],[Remove final Housing]] )</f>
        <v>Connexus</v>
      </c>
    </row>
    <row r="1097" spans="2:6" x14ac:dyDescent="0.2">
      <c r="B1097" s="159" t="s" vm="38">
        <v>221</v>
      </c>
      <c r="C1097" s="122" t="str">
        <f xml:space="preserve">  SUBSTITUTE( SUBSTITUTE( SUBSTITUTE( SUBSTITUTE( SUBSTITUTE( SUBSTITUTE( SUBSTITUTE( ShortName[[#This Row],[RP_Name]], " Limited", "" ), " Housing Association", "" ), " Housing Group", "" ), " Group", "" ), " Housing Trust", "" ), " Housing Partnership", "" ), "The ", "" )</f>
        <v>Cornerstone Housing</v>
      </c>
      <c r="D1097" s="122" t="str">
        <f xml:space="preserve"> IF( RIGHT( ShortName[[#This Row],[Adjust]], 8 ) = " Housing", LEFT( ShortName[[#This Row],[Adjust]], LEN(ShortName[[#This Row],[Adjust]] ) - 8 ), ShortName[[#This Row],[Adjust]] )</f>
        <v>Cornerstone</v>
      </c>
      <c r="E1097" s="159"/>
      <c r="F1097" s="122" t="str">
        <f xml:space="preserve"> IF( ISTEXT( ShortName[[#This Row],[Override]] ), ShortName[[#This Row],[Override]], ShortName[[#This Row],[Remove final Housing]] )</f>
        <v>Cornerstone</v>
      </c>
    </row>
    <row r="1098" spans="2:6" x14ac:dyDescent="0.2">
      <c r="B1098" s="159" t="s" vm="39">
        <v>223</v>
      </c>
      <c r="C1098" s="122" t="str">
        <f xml:space="preserve">  SUBSTITUTE( SUBSTITUTE( SUBSTITUTE( SUBSTITUTE( SUBSTITUTE( SUBSTITUTE( SUBSTITUTE( ShortName[[#This Row],[RP_Name]], " Limited", "" ), " Housing Association", "" ), " Housing Group", "" ), " Group", "" ), " Housing Trust", "" ), " Housing Partnership", "" ), "The ", "" )</f>
        <v>Cottsway</v>
      </c>
      <c r="D1098" s="122" t="str">
        <f xml:space="preserve"> IF( RIGHT( ShortName[[#This Row],[Adjust]], 8 ) = " Housing", LEFT( ShortName[[#This Row],[Adjust]], LEN(ShortName[[#This Row],[Adjust]] ) - 8 ), ShortName[[#This Row],[Adjust]] )</f>
        <v>Cottsway</v>
      </c>
      <c r="E1098" s="159"/>
      <c r="F1098" s="122" t="str">
        <f xml:space="preserve"> IF( ISTEXT( ShortName[[#This Row],[Override]] ), ShortName[[#This Row],[Override]], ShortName[[#This Row],[Remove final Housing]] )</f>
        <v>Cottsway</v>
      </c>
    </row>
    <row r="1099" spans="2:6" x14ac:dyDescent="0.2">
      <c r="B1099" s="159" t="s" vm="40">
        <v>225</v>
      </c>
      <c r="C1099" s="122" t="str">
        <f xml:space="preserve">  SUBSTITUTE( SUBSTITUTE( SUBSTITUTE( SUBSTITUTE( SUBSTITUTE( SUBSTITUTE( SUBSTITUTE( ShortName[[#This Row],[RP_Name]], " Limited", "" ), " Housing Association", "" ), " Housing Group", "" ), " Group", "" ), " Housing Trust", "" ), " Housing Partnership", "" ), "The ", "" )</f>
        <v>Cross Keys Homes</v>
      </c>
      <c r="D1099" s="122" t="str">
        <f xml:space="preserve"> IF( RIGHT( ShortName[[#This Row],[Adjust]], 8 ) = " Housing", LEFT( ShortName[[#This Row],[Adjust]], LEN(ShortName[[#This Row],[Adjust]] ) - 8 ), ShortName[[#This Row],[Adjust]] )</f>
        <v>Cross Keys Homes</v>
      </c>
      <c r="E1099" s="159" t="s">
        <v>748</v>
      </c>
      <c r="F1099" s="122" t="str">
        <f xml:space="preserve"> IF( ISTEXT( ShortName[[#This Row],[Override]] ), ShortName[[#This Row],[Override]], ShortName[[#This Row],[Remove final Housing]] )</f>
        <v>Cross Keys</v>
      </c>
    </row>
    <row r="1100" spans="2:6" x14ac:dyDescent="0.2">
      <c r="B1100" s="159" t="s" vm="41">
        <v>227</v>
      </c>
      <c r="C1100" s="122" t="str">
        <f xml:space="preserve">  SUBSTITUTE( SUBSTITUTE( SUBSTITUTE( SUBSTITUTE( SUBSTITUTE( SUBSTITUTE( SUBSTITUTE( ShortName[[#This Row],[RP_Name]], " Limited", "" ), " Housing Association", "" ), " Housing Group", "" ), " Group", "" ), " Housing Trust", "" ), " Housing Partnership", "" ), "The ", "" )</f>
        <v>Croydon Churches</v>
      </c>
      <c r="D1100" s="122" t="str">
        <f xml:space="preserve"> IF( RIGHT( ShortName[[#This Row],[Adjust]], 8 ) = " Housing", LEFT( ShortName[[#This Row],[Adjust]], LEN(ShortName[[#This Row],[Adjust]] ) - 8 ), ShortName[[#This Row],[Adjust]] )</f>
        <v>Croydon Churches</v>
      </c>
      <c r="E1100" s="159"/>
      <c r="F1100" s="122" t="str">
        <f xml:space="preserve"> IF( ISTEXT( ShortName[[#This Row],[Override]] ), ShortName[[#This Row],[Override]], ShortName[[#This Row],[Remove final Housing]] )</f>
        <v>Croydon Churches</v>
      </c>
    </row>
    <row r="1101" spans="2:6" x14ac:dyDescent="0.2">
      <c r="B1101" s="159" t="s" vm="42">
        <v>229</v>
      </c>
      <c r="C1101" s="122" t="str">
        <f xml:space="preserve">  SUBSTITUTE( SUBSTITUTE( SUBSTITUTE( SUBSTITUTE( SUBSTITUTE( SUBSTITUTE( SUBSTITUTE( ShortName[[#This Row],[RP_Name]], " Limited", "" ), " Housing Association", "" ), " Housing Group", "" ), " Group", "" ), " Housing Trust", "" ), " Housing Partnership", "" ), "The ", "" )</f>
        <v>Curo (Albion)</v>
      </c>
      <c r="D1101" s="122" t="str">
        <f xml:space="preserve"> IF( RIGHT( ShortName[[#This Row],[Adjust]], 8 ) = " Housing", LEFT( ShortName[[#This Row],[Adjust]], LEN(ShortName[[#This Row],[Adjust]] ) - 8 ), ShortName[[#This Row],[Adjust]] )</f>
        <v>Curo (Albion)</v>
      </c>
      <c r="E1101" s="159"/>
      <c r="F1101" s="122" t="str">
        <f xml:space="preserve"> IF( ISTEXT( ShortName[[#This Row],[Override]] ), ShortName[[#This Row],[Override]], ShortName[[#This Row],[Remove final Housing]] )</f>
        <v>Curo (Albion)</v>
      </c>
    </row>
    <row r="1102" spans="2:6" x14ac:dyDescent="0.2">
      <c r="B1102" s="159" t="s" vm="43">
        <v>231</v>
      </c>
      <c r="C1102" s="122" t="str">
        <f xml:space="preserve">  SUBSTITUTE( SUBSTITUTE( SUBSTITUTE( SUBSTITUTE( SUBSTITUTE( SUBSTITUTE( SUBSTITUTE( ShortName[[#This Row],[RP_Name]], " Limited", "" ), " Housing Association", "" ), " Housing Group", "" ), " Group", "" ), " Housing Trust", "" ), " Housing Partnership", "" ), "The ", "" )</f>
        <v>Durham Aged Mineworkers' Homes Association</v>
      </c>
      <c r="D1102" s="122" t="str">
        <f xml:space="preserve"> IF( RIGHT( ShortName[[#This Row],[Adjust]], 8 ) = " Housing", LEFT( ShortName[[#This Row],[Adjust]], LEN(ShortName[[#This Row],[Adjust]] ) - 8 ), ShortName[[#This Row],[Adjust]] )</f>
        <v>Durham Aged Mineworkers' Homes Association</v>
      </c>
      <c r="E1102" s="159" t="s">
        <v>749</v>
      </c>
      <c r="F1102" s="122" t="str">
        <f xml:space="preserve"> IF( ISTEXT( ShortName[[#This Row],[Override]] ), ShortName[[#This Row],[Override]], ShortName[[#This Row],[Remove final Housing]] )</f>
        <v>DAMHA</v>
      </c>
    </row>
    <row r="1103" spans="2:6" x14ac:dyDescent="0.2">
      <c r="B1103" s="159" t="s" vm="44">
        <v>233</v>
      </c>
      <c r="C1103" s="122" t="str">
        <f xml:space="preserve">  SUBSTITUTE( SUBSTITUTE( SUBSTITUTE( SUBSTITUTE( SUBSTITUTE( SUBSTITUTE( SUBSTITUTE( ShortName[[#This Row],[RP_Name]], " Limited", "" ), " Housing Association", "" ), " Housing Group", "" ), " Group", "" ), " Housing Trust", "" ), " Housing Partnership", "" ), "The ", "" )</f>
        <v>East End Homes</v>
      </c>
      <c r="D1103" s="122" t="str">
        <f xml:space="preserve"> IF( RIGHT( ShortName[[#This Row],[Adjust]], 8 ) = " Housing", LEFT( ShortName[[#This Row],[Adjust]], LEN(ShortName[[#This Row],[Adjust]] ) - 8 ), ShortName[[#This Row],[Adjust]] )</f>
        <v>East End Homes</v>
      </c>
      <c r="E1103" s="159"/>
      <c r="F1103" s="122" t="str">
        <f xml:space="preserve"> IF( ISTEXT( ShortName[[#This Row],[Override]] ), ShortName[[#This Row],[Override]], ShortName[[#This Row],[Remove final Housing]] )</f>
        <v>East End Homes</v>
      </c>
    </row>
    <row r="1104" spans="2:6" x14ac:dyDescent="0.2">
      <c r="B1104" s="159" t="s" vm="45">
        <v>235</v>
      </c>
      <c r="C1104" s="122" t="str">
        <f xml:space="preserve">  SUBSTITUTE( SUBSTITUTE( SUBSTITUTE( SUBSTITUTE( SUBSTITUTE( SUBSTITUTE( SUBSTITUTE( ShortName[[#This Row],[RP_Name]], " Limited", "" ), " Housing Association", "" ), " Housing Group", "" ), " Group", "" ), " Housing Trust", "" ), " Housing Partnership", "" ), "The ", "" )</f>
        <v>East Midlands</v>
      </c>
      <c r="D1104" s="122" t="str">
        <f xml:space="preserve"> IF( RIGHT( ShortName[[#This Row],[Adjust]], 8 ) = " Housing", LEFT( ShortName[[#This Row],[Adjust]], LEN(ShortName[[#This Row],[Adjust]] ) - 8 ), ShortName[[#This Row],[Adjust]] )</f>
        <v>East Midlands</v>
      </c>
      <c r="E1104" s="159" t="s">
        <v>750</v>
      </c>
      <c r="F1104" s="122" t="str">
        <f xml:space="preserve"> IF( ISTEXT( ShortName[[#This Row],[Override]] ), ShortName[[#This Row],[Override]], ShortName[[#This Row],[Remove final Housing]] )</f>
        <v>East Midlands HG</v>
      </c>
    </row>
    <row r="1105" spans="2:6" x14ac:dyDescent="0.2">
      <c r="B1105" s="159" t="s" vm="46">
        <v>237</v>
      </c>
      <c r="C1105" s="122" t="str">
        <f xml:space="preserve">  SUBSTITUTE( SUBSTITUTE( SUBSTITUTE( SUBSTITUTE( SUBSTITUTE( SUBSTITUTE( SUBSTITUTE( ShortName[[#This Row],[RP_Name]], " Limited", "" ), " Housing Association", "" ), " Housing Group", "" ), " Group", "" ), " Housing Trust", "" ), " Housing Partnership", "" ), "The ", "" )</f>
        <v>Eastlight Community Homes</v>
      </c>
      <c r="D1105" s="122" t="str">
        <f xml:space="preserve"> IF( RIGHT( ShortName[[#This Row],[Adjust]], 8 ) = " Housing", LEFT( ShortName[[#This Row],[Adjust]], LEN(ShortName[[#This Row],[Adjust]] ) - 8 ), ShortName[[#This Row],[Adjust]] )</f>
        <v>Eastlight Community Homes</v>
      </c>
      <c r="E1105" s="159" t="s">
        <v>751</v>
      </c>
      <c r="F1105" s="122" t="str">
        <f xml:space="preserve"> IF( ISTEXT( ShortName[[#This Row],[Override]] ), ShortName[[#This Row],[Override]], ShortName[[#This Row],[Remove final Housing]] )</f>
        <v>Eastlight</v>
      </c>
    </row>
    <row r="1106" spans="2:6" x14ac:dyDescent="0.2">
      <c r="B1106" s="159" t="s" vm="47">
        <v>239</v>
      </c>
      <c r="C1106" s="122" t="str">
        <f xml:space="preserve">  SUBSTITUTE( SUBSTITUTE( SUBSTITUTE( SUBSTITUTE( SUBSTITUTE( SUBSTITUTE( SUBSTITUTE( ShortName[[#This Row],[RP_Name]], " Limited", "" ), " Housing Association", "" ), " Housing Group", "" ), " Group", "" ), " Housing Trust", "" ), " Housing Partnership", "" ), "The ", "" )</f>
        <v>Eden</v>
      </c>
      <c r="D1106" s="122" t="str">
        <f xml:space="preserve"> IF( RIGHT( ShortName[[#This Row],[Adjust]], 8 ) = " Housing", LEFT( ShortName[[#This Row],[Adjust]], LEN(ShortName[[#This Row],[Adjust]] ) - 8 ), ShortName[[#This Row],[Adjust]] )</f>
        <v>Eden</v>
      </c>
      <c r="E1106" s="159"/>
      <c r="F1106" s="122" t="str">
        <f xml:space="preserve"> IF( ISTEXT( ShortName[[#This Row],[Override]] ), ShortName[[#This Row],[Override]], ShortName[[#This Row],[Remove final Housing]] )</f>
        <v>Eden</v>
      </c>
    </row>
    <row r="1107" spans="2:6" x14ac:dyDescent="0.2">
      <c r="B1107" s="159" t="s" vm="48">
        <v>241</v>
      </c>
      <c r="C1107" s="122" t="str">
        <f xml:space="preserve">  SUBSTITUTE( SUBSTITUTE( SUBSTITUTE( SUBSTITUTE( SUBSTITUTE( SUBSTITUTE( SUBSTITUTE( ShortName[[#This Row],[RP_Name]], " Limited", "" ), " Housing Association", "" ), " Housing Group", "" ), " Group", "" ), " Housing Trust", "" ), " Housing Partnership", "" ), "The ", "" )</f>
        <v>Empowering People Inspiring Communities</v>
      </c>
      <c r="D1107" s="122" t="str">
        <f xml:space="preserve"> IF( RIGHT( ShortName[[#This Row],[Adjust]], 8 ) = " Housing", LEFT( ShortName[[#This Row],[Adjust]], LEN(ShortName[[#This Row],[Adjust]] ) - 8 ), ShortName[[#This Row],[Adjust]] )</f>
        <v>Empowering People Inspiring Communities</v>
      </c>
      <c r="E1107" s="159" t="s">
        <v>752</v>
      </c>
      <c r="F1107" s="122" t="str">
        <f xml:space="preserve"> IF( ISTEXT( ShortName[[#This Row],[Override]] ), ShortName[[#This Row],[Override]], ShortName[[#This Row],[Remove final Housing]] )</f>
        <v>EPIC</v>
      </c>
    </row>
    <row r="1108" spans="2:6" x14ac:dyDescent="0.2">
      <c r="B1108" s="159" t="s" vm="49">
        <v>243</v>
      </c>
      <c r="C1108" s="122" t="str">
        <f xml:space="preserve">  SUBSTITUTE( SUBSTITUTE( SUBSTITUTE( SUBSTITUTE( SUBSTITUTE( SUBSTITUTE( SUBSTITUTE( ShortName[[#This Row],[RP_Name]], " Limited", "" ), " Housing Association", "" ), " Housing Group", "" ), " Group", "" ), " Housing Trust", "" ), " Housing Partnership", "" ), "The ", "" )</f>
        <v>English Rural</v>
      </c>
      <c r="D1108" s="122" t="str">
        <f xml:space="preserve"> IF( RIGHT( ShortName[[#This Row],[Adjust]], 8 ) = " Housing", LEFT( ShortName[[#This Row],[Adjust]], LEN(ShortName[[#This Row],[Adjust]] ) - 8 ), ShortName[[#This Row],[Adjust]] )</f>
        <v>English Rural</v>
      </c>
      <c r="E1108" s="159"/>
      <c r="F1108" s="122" t="str">
        <f xml:space="preserve"> IF( ISTEXT( ShortName[[#This Row],[Override]] ), ShortName[[#This Row],[Override]], ShortName[[#This Row],[Remove final Housing]] )</f>
        <v>English Rural</v>
      </c>
    </row>
    <row r="1109" spans="2:6" x14ac:dyDescent="0.2">
      <c r="B1109" s="159" t="s" vm="50">
        <v>245</v>
      </c>
      <c r="C1109" s="122" t="str">
        <f xml:space="preserve">  SUBSTITUTE( SUBSTITUTE( SUBSTITUTE( SUBSTITUTE( SUBSTITUTE( SUBSTITUTE( SUBSTITUTE( ShortName[[#This Row],[RP_Name]], " Limited", "" ), " Housing Association", "" ), " Housing Group", "" ), " Group", "" ), " Housing Trust", "" ), " Housing Partnership", "" ), "The ", "" )</f>
        <v>Estuary</v>
      </c>
      <c r="D1109" s="122" t="str">
        <f xml:space="preserve"> IF( RIGHT( ShortName[[#This Row],[Adjust]], 8 ) = " Housing", LEFT( ShortName[[#This Row],[Adjust]], LEN(ShortName[[#This Row],[Adjust]] ) - 8 ), ShortName[[#This Row],[Adjust]] )</f>
        <v>Estuary</v>
      </c>
      <c r="E1109" s="159"/>
      <c r="F1109" s="122" t="str">
        <f xml:space="preserve"> IF( ISTEXT( ShortName[[#This Row],[Override]] ), ShortName[[#This Row],[Override]], ShortName[[#This Row],[Remove final Housing]] )</f>
        <v>Estuary</v>
      </c>
    </row>
    <row r="1110" spans="2:6" x14ac:dyDescent="0.2">
      <c r="B1110" s="159" t="s" vm="51">
        <v>247</v>
      </c>
      <c r="C1110" s="122" t="str">
        <f xml:space="preserve">  SUBSTITUTE( SUBSTITUTE( SUBSTITUTE( SUBSTITUTE( SUBSTITUTE( SUBSTITUTE( SUBSTITUTE( ShortName[[#This Row],[RP_Name]], " Limited", "" ), " Housing Association", "" ), " Housing Group", "" ), " Group", "" ), " Housing Trust", "" ), " Housing Partnership", "" ), "The ", "" )</f>
        <v>Fairhive Homes</v>
      </c>
      <c r="D1110" s="122" t="str">
        <f xml:space="preserve"> IF( RIGHT( ShortName[[#This Row],[Adjust]], 8 ) = " Housing", LEFT( ShortName[[#This Row],[Adjust]], LEN(ShortName[[#This Row],[Adjust]] ) - 8 ), ShortName[[#This Row],[Adjust]] )</f>
        <v>Fairhive Homes</v>
      </c>
      <c r="E1110" s="159" t="s">
        <v>753</v>
      </c>
      <c r="F1110" s="122" t="str">
        <f xml:space="preserve"> IF( ISTEXT( ShortName[[#This Row],[Override]] ), ShortName[[#This Row],[Override]], ShortName[[#This Row],[Remove final Housing]] )</f>
        <v>Fairhive</v>
      </c>
    </row>
    <row r="1111" spans="2:6" x14ac:dyDescent="0.2">
      <c r="B1111" s="159" t="s" vm="52">
        <v>249</v>
      </c>
      <c r="C1111" s="122" t="str">
        <f xml:space="preserve">  SUBSTITUTE( SUBSTITUTE( SUBSTITUTE( SUBSTITUTE( SUBSTITUTE( SUBSTITUTE( SUBSTITUTE( ShortName[[#This Row],[RP_Name]], " Limited", "" ), " Housing Association", "" ), " Housing Group", "" ), " Group", "" ), " Housing Trust", "" ), " Housing Partnership", "" ), "The ", "" )</f>
        <v>First Choice Homes Oldham</v>
      </c>
      <c r="D1111" s="122" t="str">
        <f xml:space="preserve"> IF( RIGHT( ShortName[[#This Row],[Adjust]], 8 ) = " Housing", LEFT( ShortName[[#This Row],[Adjust]], LEN(ShortName[[#This Row],[Adjust]] ) - 8 ), ShortName[[#This Row],[Adjust]] )</f>
        <v>First Choice Homes Oldham</v>
      </c>
      <c r="E1111" s="159"/>
      <c r="F1111" s="122" t="str">
        <f xml:space="preserve"> IF( ISTEXT( ShortName[[#This Row],[Override]] ), ShortName[[#This Row],[Override]], ShortName[[#This Row],[Remove final Housing]] )</f>
        <v>First Choice Homes Oldham</v>
      </c>
    </row>
    <row r="1112" spans="2:6" x14ac:dyDescent="0.2">
      <c r="B1112" s="159" t="s" vm="53">
        <v>251</v>
      </c>
      <c r="C1112" s="122" t="str">
        <f xml:space="preserve">  SUBSTITUTE( SUBSTITUTE( SUBSTITUTE( SUBSTITUTE( SUBSTITUTE( SUBSTITUTE( SUBSTITUTE( ShortName[[#This Row],[RP_Name]], " Limited", "" ), " Housing Association", "" ), " Housing Group", "" ), " Group", "" ), " Housing Trust", "" ), " Housing Partnership", "" ), "The ", "" )</f>
        <v>First Garden Cities Homes</v>
      </c>
      <c r="D1112" s="122" t="str">
        <f xml:space="preserve"> IF( RIGHT( ShortName[[#This Row],[Adjust]], 8 ) = " Housing", LEFT( ShortName[[#This Row],[Adjust]], LEN(ShortName[[#This Row],[Adjust]] ) - 8 ), ShortName[[#This Row],[Adjust]] )</f>
        <v>First Garden Cities Homes</v>
      </c>
      <c r="E1112" s="159" t="s">
        <v>754</v>
      </c>
      <c r="F1112" s="122" t="str">
        <f xml:space="preserve"> IF( ISTEXT( ShortName[[#This Row],[Override]] ), ShortName[[#This Row],[Override]], ShortName[[#This Row],[Remove final Housing]] )</f>
        <v>First Garden Cities</v>
      </c>
    </row>
    <row r="1113" spans="2:6" x14ac:dyDescent="0.2">
      <c r="B1113" s="159" t="s" vm="54">
        <v>253</v>
      </c>
      <c r="C1113" s="122" t="str">
        <f xml:space="preserve">  SUBSTITUTE( SUBSTITUTE( SUBSTITUTE( SUBSTITUTE( SUBSTITUTE( SUBSTITUTE( SUBSTITUTE( ShortName[[#This Row],[RP_Name]], " Limited", "" ), " Housing Association", "" ), " Housing Group", "" ), " Group", "" ), " Housing Trust", "" ), " Housing Partnership", "" ), "The ", "" )</f>
        <v>Flagship</v>
      </c>
      <c r="D1113" s="122" t="str">
        <f xml:space="preserve"> IF( RIGHT( ShortName[[#This Row],[Adjust]], 8 ) = " Housing", LEFT( ShortName[[#This Row],[Adjust]], LEN(ShortName[[#This Row],[Adjust]] ) - 8 ), ShortName[[#This Row],[Adjust]] )</f>
        <v>Flagship</v>
      </c>
      <c r="E1113" s="159"/>
      <c r="F1113" s="122" t="str">
        <f xml:space="preserve"> IF( ISTEXT( ShortName[[#This Row],[Override]] ), ShortName[[#This Row],[Override]], ShortName[[#This Row],[Remove final Housing]] )</f>
        <v>Flagship</v>
      </c>
    </row>
    <row r="1114" spans="2:6" x14ac:dyDescent="0.2">
      <c r="B1114" s="159" t="s" vm="55">
        <v>255</v>
      </c>
      <c r="C1114" s="122" t="str">
        <f xml:space="preserve">  SUBSTITUTE( SUBSTITUTE( SUBSTITUTE( SUBSTITUTE( SUBSTITUTE( SUBSTITUTE( SUBSTITUTE( ShortName[[#This Row],[RP_Name]], " Limited", "" ), " Housing Association", "" ), " Housing Group", "" ), " Group", "" ), " Housing Trust", "" ), " Housing Partnership", "" ), "The ", "" )</f>
        <v>ForHousing</v>
      </c>
      <c r="D1114" s="122" t="str">
        <f xml:space="preserve"> IF( RIGHT( ShortName[[#This Row],[Adjust]], 8 ) = " Housing", LEFT( ShortName[[#This Row],[Adjust]], LEN(ShortName[[#This Row],[Adjust]] ) - 8 ), ShortName[[#This Row],[Adjust]] )</f>
        <v>ForHousing</v>
      </c>
      <c r="E1114" s="159"/>
      <c r="F1114" s="122" t="str">
        <f xml:space="preserve"> IF( ISTEXT( ShortName[[#This Row],[Override]] ), ShortName[[#This Row],[Override]], ShortName[[#This Row],[Remove final Housing]] )</f>
        <v>ForHousing</v>
      </c>
    </row>
    <row r="1115" spans="2:6" x14ac:dyDescent="0.2">
      <c r="B1115" s="159" t="s" vm="56">
        <v>257</v>
      </c>
      <c r="C1115" s="122" t="str">
        <f xml:space="preserve">  SUBSTITUTE( SUBSTITUTE( SUBSTITUTE( SUBSTITUTE( SUBSTITUTE( SUBSTITUTE( SUBSTITUTE( ShortName[[#This Row],[RP_Name]], " Limited", "" ), " Housing Association", "" ), " Housing Group", "" ), " Group", "" ), " Housing Trust", "" ), " Housing Partnership", "" ), "The ", "" )</f>
        <v>Framework</v>
      </c>
      <c r="D1115" s="122" t="str">
        <f xml:space="preserve"> IF( RIGHT( ShortName[[#This Row],[Adjust]], 8 ) = " Housing", LEFT( ShortName[[#This Row],[Adjust]], LEN(ShortName[[#This Row],[Adjust]] ) - 8 ), ShortName[[#This Row],[Adjust]] )</f>
        <v>Framework</v>
      </c>
      <c r="E1115" s="159"/>
      <c r="F1115" s="122" t="str">
        <f xml:space="preserve"> IF( ISTEXT( ShortName[[#This Row],[Override]] ), ShortName[[#This Row],[Override]], ShortName[[#This Row],[Remove final Housing]] )</f>
        <v>Framework</v>
      </c>
    </row>
    <row r="1116" spans="2:6" x14ac:dyDescent="0.2">
      <c r="B1116" s="159" t="s" vm="57">
        <v>259</v>
      </c>
      <c r="C1116" s="122" t="str">
        <f xml:space="preserve">  SUBSTITUTE( SUBSTITUTE( SUBSTITUTE( SUBSTITUTE( SUBSTITUTE( SUBSTITUTE( SUBSTITUTE( ShortName[[#This Row],[RP_Name]], " Limited", "" ), " Housing Association", "" ), " Housing Group", "" ), " Group", "" ), " Housing Trust", "" ), " Housing Partnership", "" ), "The ", "" )</f>
        <v>Freebridge Community Housing</v>
      </c>
      <c r="D1116" s="122" t="str">
        <f xml:space="preserve"> IF( RIGHT( ShortName[[#This Row],[Adjust]], 8 ) = " Housing", LEFT( ShortName[[#This Row],[Adjust]], LEN(ShortName[[#This Row],[Adjust]] ) - 8 ), ShortName[[#This Row],[Adjust]] )</f>
        <v>Freebridge Community</v>
      </c>
      <c r="E1116" s="159" t="s">
        <v>755</v>
      </c>
      <c r="F1116" s="122" t="str">
        <f xml:space="preserve"> IF( ISTEXT( ShortName[[#This Row],[Override]] ), ShortName[[#This Row],[Override]], ShortName[[#This Row],[Remove final Housing]] )</f>
        <v>Freebridge</v>
      </c>
    </row>
    <row r="1117" spans="2:6" x14ac:dyDescent="0.2">
      <c r="B1117" s="159" t="s" vm="58">
        <v>261</v>
      </c>
      <c r="C1117" s="122" t="str">
        <f xml:space="preserve">  SUBSTITUTE( SUBSTITUTE( SUBSTITUTE( SUBSTITUTE( SUBSTITUTE( SUBSTITUTE( SUBSTITUTE( ShortName[[#This Row],[RP_Name]], " Limited", "" ), " Housing Association", "" ), " Housing Group", "" ), " Group", "" ), " Housing Trust", "" ), " Housing Partnership", "" ), "The ", "" )</f>
        <v>Futures</v>
      </c>
      <c r="D1117" s="122" t="str">
        <f xml:space="preserve"> IF( RIGHT( ShortName[[#This Row],[Adjust]], 8 ) = " Housing", LEFT( ShortName[[#This Row],[Adjust]], LEN(ShortName[[#This Row],[Adjust]] ) - 8 ), ShortName[[#This Row],[Adjust]] )</f>
        <v>Futures</v>
      </c>
      <c r="E1117" s="159"/>
      <c r="F1117" s="122" t="str">
        <f xml:space="preserve"> IF( ISTEXT( ShortName[[#This Row],[Override]] ), ShortName[[#This Row],[Override]], ShortName[[#This Row],[Remove final Housing]] )</f>
        <v>Futures</v>
      </c>
    </row>
    <row r="1118" spans="2:6" x14ac:dyDescent="0.2">
      <c r="B1118" s="159" t="s" vm="59">
        <v>263</v>
      </c>
      <c r="C1118" s="122" t="str">
        <f xml:space="preserve">  SUBSTITUTE( SUBSTITUTE( SUBSTITUTE( SUBSTITUTE( SUBSTITUTE( SUBSTITUTE( SUBSTITUTE( ShortName[[#This Row],[RP_Name]], " Limited", "" ), " Housing Association", "" ), " Housing Group", "" ), " Group", "" ), " Housing Trust", "" ), " Housing Partnership", "" ), "The ", "" )</f>
        <v>Gateway</v>
      </c>
      <c r="D1118" s="122" t="str">
        <f xml:space="preserve"> IF( RIGHT( ShortName[[#This Row],[Adjust]], 8 ) = " Housing", LEFT( ShortName[[#This Row],[Adjust]], LEN(ShortName[[#This Row],[Adjust]] ) - 8 ), ShortName[[#This Row],[Adjust]] )</f>
        <v>Gateway</v>
      </c>
      <c r="E1118" s="159"/>
      <c r="F1118" s="122" t="str">
        <f xml:space="preserve"> IF( ISTEXT( ShortName[[#This Row],[Override]] ), ShortName[[#This Row],[Override]], ShortName[[#This Row],[Remove final Housing]] )</f>
        <v>Gateway</v>
      </c>
    </row>
    <row r="1119" spans="2:6" x14ac:dyDescent="0.2">
      <c r="B1119" s="159" t="s" vm="60">
        <v>265</v>
      </c>
      <c r="C1119" s="122" t="str">
        <f xml:space="preserve">  SUBSTITUTE( SUBSTITUTE( SUBSTITUTE( SUBSTITUTE( SUBSTITUTE( SUBSTITUTE( SUBSTITUTE( ShortName[[#This Row],[RP_Name]], " Limited", "" ), " Housing Association", "" ), " Housing Group", "" ), " Group", "" ), " Housing Trust", "" ), " Housing Partnership", "" ), "The ", "" )</f>
        <v>Gentoo</v>
      </c>
      <c r="D1119" s="122" t="str">
        <f xml:space="preserve"> IF( RIGHT( ShortName[[#This Row],[Adjust]], 8 ) = " Housing", LEFT( ShortName[[#This Row],[Adjust]], LEN(ShortName[[#This Row],[Adjust]] ) - 8 ), ShortName[[#This Row],[Adjust]] )</f>
        <v>Gentoo</v>
      </c>
      <c r="E1119" s="159"/>
      <c r="F1119" s="122" t="str">
        <f xml:space="preserve"> IF( ISTEXT( ShortName[[#This Row],[Override]] ), ShortName[[#This Row],[Override]], ShortName[[#This Row],[Remove final Housing]] )</f>
        <v>Gentoo</v>
      </c>
    </row>
    <row r="1120" spans="2:6" x14ac:dyDescent="0.2">
      <c r="B1120" s="159" t="s" vm="61">
        <v>267</v>
      </c>
      <c r="C1120" s="122" t="str">
        <f xml:space="preserve">  SUBSTITUTE( SUBSTITUTE( SUBSTITUTE( SUBSTITUTE( SUBSTITUTE( SUBSTITUTE( SUBSTITUTE( ShortName[[#This Row],[RP_Name]], " Limited", "" ), " Housing Association", "" ), " Housing Group", "" ), " Group", "" ), " Housing Trust", "" ), " Housing Partnership", "" ), "The ", "" )</f>
        <v>Gloucester City Homes</v>
      </c>
      <c r="D1120" s="122" t="str">
        <f xml:space="preserve"> IF( RIGHT( ShortName[[#This Row],[Adjust]], 8 ) = " Housing", LEFT( ShortName[[#This Row],[Adjust]], LEN(ShortName[[#This Row],[Adjust]] ) - 8 ), ShortName[[#This Row],[Adjust]] )</f>
        <v>Gloucester City Homes</v>
      </c>
      <c r="E1120" s="159"/>
      <c r="F1120" s="122" t="str">
        <f xml:space="preserve"> IF( ISTEXT( ShortName[[#This Row],[Override]] ), ShortName[[#This Row],[Override]], ShortName[[#This Row],[Remove final Housing]] )</f>
        <v>Gloucester City Homes</v>
      </c>
    </row>
    <row r="1121" spans="2:6" x14ac:dyDescent="0.2">
      <c r="B1121" s="159" t="s" vm="62">
        <v>269</v>
      </c>
      <c r="C1121" s="122" t="str">
        <f xml:space="preserve">  SUBSTITUTE( SUBSTITUTE( SUBSTITUTE( SUBSTITUTE( SUBSTITUTE( SUBSTITUTE( SUBSTITUTE( ShortName[[#This Row],[RP_Name]], " Limited", "" ), " Housing Association", "" ), " Housing Group", "" ), " Group", "" ), " Housing Trust", "" ), " Housing Partnership", "" ), "The ", "" )</f>
        <v>Golden Lane Housing</v>
      </c>
      <c r="D1121" s="122" t="str">
        <f xml:space="preserve"> IF( RIGHT( ShortName[[#This Row],[Adjust]], 8 ) = " Housing", LEFT( ShortName[[#This Row],[Adjust]], LEN(ShortName[[#This Row],[Adjust]] ) - 8 ), ShortName[[#This Row],[Adjust]] )</f>
        <v>Golden Lane</v>
      </c>
      <c r="E1121" s="159"/>
      <c r="F1121" s="122" t="str">
        <f xml:space="preserve"> IF( ISTEXT( ShortName[[#This Row],[Override]] ), ShortName[[#This Row],[Override]], ShortName[[#This Row],[Remove final Housing]] )</f>
        <v>Golden Lane</v>
      </c>
    </row>
    <row r="1122" spans="2:6" x14ac:dyDescent="0.2">
      <c r="B1122" s="159" t="s" vm="63">
        <v>271</v>
      </c>
      <c r="C1122" s="122" t="str">
        <f xml:space="preserve">  SUBSTITUTE( SUBSTITUTE( SUBSTITUTE( SUBSTITUTE( SUBSTITUTE( SUBSTITUTE( SUBSTITUTE( ShortName[[#This Row],[RP_Name]], " Limited", "" ), " Housing Association", "" ), " Housing Group", "" ), " Group", "" ), " Housing Trust", "" ), " Housing Partnership", "" ), "The ", "" )</f>
        <v>Golding Homes</v>
      </c>
      <c r="D1122" s="122" t="str">
        <f xml:space="preserve"> IF( RIGHT( ShortName[[#This Row],[Adjust]], 8 ) = " Housing", LEFT( ShortName[[#This Row],[Adjust]], LEN(ShortName[[#This Row],[Adjust]] ) - 8 ), ShortName[[#This Row],[Adjust]] )</f>
        <v>Golding Homes</v>
      </c>
      <c r="E1122" s="159" t="s">
        <v>756</v>
      </c>
      <c r="F1122" s="122" t="str">
        <f xml:space="preserve"> IF( ISTEXT( ShortName[[#This Row],[Override]] ), ShortName[[#This Row],[Override]], ShortName[[#This Row],[Remove final Housing]] )</f>
        <v>Golding</v>
      </c>
    </row>
    <row r="1123" spans="2:6" x14ac:dyDescent="0.2">
      <c r="B1123" s="159" t="s" vm="64">
        <v>273</v>
      </c>
      <c r="C1123" s="122" t="str">
        <f xml:space="preserve">  SUBSTITUTE( SUBSTITUTE( SUBSTITUTE( SUBSTITUTE( SUBSTITUTE( SUBSTITUTE( SUBSTITUTE( ShortName[[#This Row],[RP_Name]], " Limited", "" ), " Housing Association", "" ), " Housing Group", "" ), " Group", "" ), " Housing Trust", "" ), " Housing Partnership", "" ), "The ", "" )</f>
        <v>Grand Union</v>
      </c>
      <c r="D1123" s="122" t="str">
        <f xml:space="preserve"> IF( RIGHT( ShortName[[#This Row],[Adjust]], 8 ) = " Housing", LEFT( ShortName[[#This Row],[Adjust]], LEN(ShortName[[#This Row],[Adjust]] ) - 8 ), ShortName[[#This Row],[Adjust]] )</f>
        <v>Grand Union</v>
      </c>
      <c r="E1123" s="159"/>
      <c r="F1123" s="122" t="str">
        <f xml:space="preserve"> IF( ISTEXT( ShortName[[#This Row],[Override]] ), ShortName[[#This Row],[Override]], ShortName[[#This Row],[Remove final Housing]] )</f>
        <v>Grand Union</v>
      </c>
    </row>
    <row r="1124" spans="2:6" x14ac:dyDescent="0.2">
      <c r="B1124" s="159" t="s" vm="65">
        <v>275</v>
      </c>
      <c r="C1124" s="122" t="str">
        <f xml:space="preserve">  SUBSTITUTE( SUBSTITUTE( SUBSTITUTE( SUBSTITUTE( SUBSTITUTE( SUBSTITUTE( SUBSTITUTE( ShortName[[#This Row],[RP_Name]], " Limited", "" ), " Housing Association", "" ), " Housing Group", "" ), " Group", "" ), " Housing Trust", "" ), " Housing Partnership", "" ), "The ", "" )</f>
        <v>Great Places</v>
      </c>
      <c r="D1124" s="122" t="str">
        <f xml:space="preserve"> IF( RIGHT( ShortName[[#This Row],[Adjust]], 8 ) = " Housing", LEFT( ShortName[[#This Row],[Adjust]], LEN(ShortName[[#This Row],[Adjust]] ) - 8 ), ShortName[[#This Row],[Adjust]] )</f>
        <v>Great Places</v>
      </c>
      <c r="E1124" s="159"/>
      <c r="F1124" s="122" t="str">
        <f xml:space="preserve"> IF( ISTEXT( ShortName[[#This Row],[Override]] ), ShortName[[#This Row],[Override]], ShortName[[#This Row],[Remove final Housing]] )</f>
        <v>Great Places</v>
      </c>
    </row>
    <row r="1125" spans="2:6" x14ac:dyDescent="0.2">
      <c r="B1125" s="159" t="s" vm="66">
        <v>277</v>
      </c>
      <c r="C1125" s="122" t="str">
        <f xml:space="preserve">  SUBSTITUTE( SUBSTITUTE( SUBSTITUTE( SUBSTITUTE( SUBSTITUTE( SUBSTITUTE( SUBSTITUTE( ShortName[[#This Row],[RP_Name]], " Limited", "" ), " Housing Association", "" ), " Housing Group", "" ), " Group", "" ), " Housing Trust", "" ), " Housing Partnership", "" ), "The ", "" )</f>
        <v>Greatwell Homes</v>
      </c>
      <c r="D1125" s="122" t="str">
        <f xml:space="preserve"> IF( RIGHT( ShortName[[#This Row],[Adjust]], 8 ) = " Housing", LEFT( ShortName[[#This Row],[Adjust]], LEN(ShortName[[#This Row],[Adjust]] ) - 8 ), ShortName[[#This Row],[Adjust]] )</f>
        <v>Greatwell Homes</v>
      </c>
      <c r="E1125" s="159" t="s">
        <v>757</v>
      </c>
      <c r="F1125" s="122" t="str">
        <f xml:space="preserve"> IF( ISTEXT( ShortName[[#This Row],[Override]] ), ShortName[[#This Row],[Override]], ShortName[[#This Row],[Remove final Housing]] )</f>
        <v>Greatwell</v>
      </c>
    </row>
    <row r="1126" spans="2:6" x14ac:dyDescent="0.2">
      <c r="B1126" s="159" t="s" vm="67">
        <v>279</v>
      </c>
      <c r="C1126" s="122" t="str">
        <f xml:space="preserve">  SUBSTITUTE( SUBSTITUTE( SUBSTITUTE( SUBSTITUTE( SUBSTITUTE( SUBSTITUTE( SUBSTITUTE( ShortName[[#This Row],[RP_Name]], " Limited", "" ), " Housing Association", "" ), " Housing Group", "" ), " Group", "" ), " Housing Trust", "" ), " Housing Partnership", "" ), "The ", "" )</f>
        <v>GreenSquareAccord</v>
      </c>
      <c r="D1126" s="122" t="str">
        <f xml:space="preserve"> IF( RIGHT( ShortName[[#This Row],[Adjust]], 8 ) = " Housing", LEFT( ShortName[[#This Row],[Adjust]], LEN(ShortName[[#This Row],[Adjust]] ) - 8 ), ShortName[[#This Row],[Adjust]] )</f>
        <v>GreenSquareAccord</v>
      </c>
      <c r="E1126" s="159"/>
      <c r="F1126" s="122" t="str">
        <f xml:space="preserve"> IF( ISTEXT( ShortName[[#This Row],[Override]] ), ShortName[[#This Row],[Override]], ShortName[[#This Row],[Remove final Housing]] )</f>
        <v>GreenSquareAccord</v>
      </c>
    </row>
    <row r="1127" spans="2:6" x14ac:dyDescent="0.2">
      <c r="B1127" s="159" t="s" vm="68">
        <v>281</v>
      </c>
      <c r="C1127" s="122" t="str">
        <f xml:space="preserve">  SUBSTITUTE( SUBSTITUTE( SUBSTITUTE( SUBSTITUTE( SUBSTITUTE( SUBSTITUTE( SUBSTITUTE( ShortName[[#This Row],[RP_Name]], " Limited", "" ), " Housing Association", "" ), " Housing Group", "" ), " Group", "" ), " Housing Trust", "" ), " Housing Partnership", "" ), "The ", "" )</f>
        <v>Habinteg</v>
      </c>
      <c r="D1127" s="122" t="str">
        <f xml:space="preserve"> IF( RIGHT( ShortName[[#This Row],[Adjust]], 8 ) = " Housing", LEFT( ShortName[[#This Row],[Adjust]], LEN(ShortName[[#This Row],[Adjust]] ) - 8 ), ShortName[[#This Row],[Adjust]] )</f>
        <v>Habinteg</v>
      </c>
      <c r="E1127" s="159"/>
      <c r="F1127" s="122" t="str">
        <f xml:space="preserve"> IF( ISTEXT( ShortName[[#This Row],[Override]] ), ShortName[[#This Row],[Override]], ShortName[[#This Row],[Remove final Housing]] )</f>
        <v>Habinteg</v>
      </c>
    </row>
    <row r="1128" spans="2:6" x14ac:dyDescent="0.2">
      <c r="B1128" s="159" t="s" vm="69">
        <v>283</v>
      </c>
      <c r="C1128" s="122" t="str">
        <f xml:space="preserve">  SUBSTITUTE( SUBSTITUTE( SUBSTITUTE( SUBSTITUTE( SUBSTITUTE( SUBSTITUTE( SUBSTITUTE( ShortName[[#This Row],[RP_Name]], " Limited", "" ), " Housing Association", "" ), " Housing Group", "" ), " Group", "" ), " Housing Trust", "" ), " Housing Partnership", "" ), "The ", "" )</f>
        <v>Halton Housing</v>
      </c>
      <c r="D1128" s="122" t="str">
        <f xml:space="preserve"> IF( RIGHT( ShortName[[#This Row],[Adjust]], 8 ) = " Housing", LEFT( ShortName[[#This Row],[Adjust]], LEN(ShortName[[#This Row],[Adjust]] ) - 8 ), ShortName[[#This Row],[Adjust]] )</f>
        <v>Halton</v>
      </c>
      <c r="E1128" s="159"/>
      <c r="F1128" s="122" t="str">
        <f xml:space="preserve"> IF( ISTEXT( ShortName[[#This Row],[Override]] ), ShortName[[#This Row],[Override]], ShortName[[#This Row],[Remove final Housing]] )</f>
        <v>Halton</v>
      </c>
    </row>
    <row r="1129" spans="2:6" x14ac:dyDescent="0.2">
      <c r="B1129" s="159" t="s" vm="70">
        <v>285</v>
      </c>
      <c r="C1129" s="122" t="str">
        <f xml:space="preserve">  SUBSTITUTE( SUBSTITUTE( SUBSTITUTE( SUBSTITUTE( SUBSTITUTE( SUBSTITUTE( SUBSTITUTE( ShortName[[#This Row],[RP_Name]], " Limited", "" ), " Housing Association", "" ), " Housing Group", "" ), " Group", "" ), " Housing Trust", "" ), " Housing Partnership", "" ), "The ", "" )</f>
        <v>Hastoe</v>
      </c>
      <c r="D1129" s="122" t="str">
        <f xml:space="preserve"> IF( RIGHT( ShortName[[#This Row],[Adjust]], 8 ) = " Housing", LEFT( ShortName[[#This Row],[Adjust]], LEN(ShortName[[#This Row],[Adjust]] ) - 8 ), ShortName[[#This Row],[Adjust]] )</f>
        <v>Hastoe</v>
      </c>
      <c r="E1129" s="159"/>
      <c r="F1129" s="122" t="str">
        <f xml:space="preserve"> IF( ISTEXT( ShortName[[#This Row],[Override]] ), ShortName[[#This Row],[Override]], ShortName[[#This Row],[Remove final Housing]] )</f>
        <v>Hastoe</v>
      </c>
    </row>
    <row r="1130" spans="2:6" x14ac:dyDescent="0.2">
      <c r="B1130" s="159" t="s" vm="71">
        <v>287</v>
      </c>
      <c r="C1130" s="122" t="str">
        <f xml:space="preserve">  SUBSTITUTE( SUBSTITUTE( SUBSTITUTE( SUBSTITUTE( SUBSTITUTE( SUBSTITUTE( SUBSTITUTE( ShortName[[#This Row],[RP_Name]], " Limited", "" ), " Housing Association", "" ), " Housing Group", "" ), " Group", "" ), " Housing Trust", "" ), " Housing Partnership", "" ), "The ", "" )</f>
        <v>Hexagon</v>
      </c>
      <c r="D1130" s="122" t="str">
        <f xml:space="preserve"> IF( RIGHT( ShortName[[#This Row],[Adjust]], 8 ) = " Housing", LEFT( ShortName[[#This Row],[Adjust]], LEN(ShortName[[#This Row],[Adjust]] ) - 8 ), ShortName[[#This Row],[Adjust]] )</f>
        <v>Hexagon</v>
      </c>
      <c r="E1130" s="159"/>
      <c r="F1130" s="122" t="str">
        <f xml:space="preserve"> IF( ISTEXT( ShortName[[#This Row],[Override]] ), ShortName[[#This Row],[Override]], ShortName[[#This Row],[Remove final Housing]] )</f>
        <v>Hexagon</v>
      </c>
    </row>
    <row r="1131" spans="2:6" x14ac:dyDescent="0.2">
      <c r="B1131" s="159" t="s" vm="72">
        <v>289</v>
      </c>
      <c r="C1131" s="122" t="str">
        <f xml:space="preserve">  SUBSTITUTE( SUBSTITUTE( SUBSTITUTE( SUBSTITUTE( SUBSTITUTE( SUBSTITUTE( SUBSTITUTE( ShortName[[#This Row],[RP_Name]], " Limited", "" ), " Housing Association", "" ), " Housing Group", "" ), " Group", "" ), " Housing Trust", "" ), " Housing Partnership", "" ), "The ", "" )</f>
        <v>Hightown</v>
      </c>
      <c r="D1131" s="122" t="str">
        <f xml:space="preserve"> IF( RIGHT( ShortName[[#This Row],[Adjust]], 8 ) = " Housing", LEFT( ShortName[[#This Row],[Adjust]], LEN(ShortName[[#This Row],[Adjust]] ) - 8 ), ShortName[[#This Row],[Adjust]] )</f>
        <v>Hightown</v>
      </c>
      <c r="E1131" s="159"/>
      <c r="F1131" s="122" t="str">
        <f xml:space="preserve"> IF( ISTEXT( ShortName[[#This Row],[Override]] ), ShortName[[#This Row],[Override]], ShortName[[#This Row],[Remove final Housing]] )</f>
        <v>Hightown</v>
      </c>
    </row>
    <row r="1132" spans="2:6" x14ac:dyDescent="0.2">
      <c r="B1132" s="159" t="s" vm="73">
        <v>291</v>
      </c>
      <c r="C1132" s="122" t="str">
        <f xml:space="preserve">  SUBSTITUTE( SUBSTITUTE( SUBSTITUTE( SUBSTITUTE( SUBSTITUTE( SUBSTITUTE( SUBSTITUTE( ShortName[[#This Row],[RP_Name]], " Limited", "" ), " Housing Association", "" ), " Housing Group", "" ), " Group", "" ), " Housing Trust", "" ), " Housing Partnership", "" ), "The ", "" )</f>
        <v>Home</v>
      </c>
      <c r="D1132" s="122" t="str">
        <f xml:space="preserve"> IF( RIGHT( ShortName[[#This Row],[Adjust]], 8 ) = " Housing", LEFT( ShortName[[#This Row],[Adjust]], LEN(ShortName[[#This Row],[Adjust]] ) - 8 ), ShortName[[#This Row],[Adjust]] )</f>
        <v>Home</v>
      </c>
      <c r="E1132" s="159"/>
      <c r="F1132" s="122" t="str">
        <f xml:space="preserve"> IF( ISTEXT( ShortName[[#This Row],[Override]] ), ShortName[[#This Row],[Override]], ShortName[[#This Row],[Remove final Housing]] )</f>
        <v>Home</v>
      </c>
    </row>
    <row r="1133" spans="2:6" x14ac:dyDescent="0.2">
      <c r="B1133" s="159" t="s" vm="74">
        <v>293</v>
      </c>
      <c r="C1133" s="122" t="str">
        <f xml:space="preserve">  SUBSTITUTE( SUBSTITUTE( SUBSTITUTE( SUBSTITUTE( SUBSTITUTE( SUBSTITUTE( SUBSTITUTE( ShortName[[#This Row],[RP_Name]], " Limited", "" ), " Housing Association", "" ), " Housing Group", "" ), " Group", "" ), " Housing Trust", "" ), " Housing Partnership", "" ), "The ", "" )</f>
        <v>Honeycomb</v>
      </c>
      <c r="D1133" s="122" t="str">
        <f xml:space="preserve"> IF( RIGHT( ShortName[[#This Row],[Adjust]], 8 ) = " Housing", LEFT( ShortName[[#This Row],[Adjust]], LEN(ShortName[[#This Row],[Adjust]] ) - 8 ), ShortName[[#This Row],[Adjust]] )</f>
        <v>Honeycomb</v>
      </c>
      <c r="E1133" s="159"/>
      <c r="F1133" s="122" t="str">
        <f xml:space="preserve"> IF( ISTEXT( ShortName[[#This Row],[Override]] ), ShortName[[#This Row],[Override]], ShortName[[#This Row],[Remove final Housing]] )</f>
        <v>Honeycomb</v>
      </c>
    </row>
    <row r="1134" spans="2:6" x14ac:dyDescent="0.2">
      <c r="B1134" s="159" t="s" vm="75">
        <v>295</v>
      </c>
      <c r="C1134" s="122" t="str">
        <f xml:space="preserve">  SUBSTITUTE( SUBSTITUTE( SUBSTITUTE( SUBSTITUTE( SUBSTITUTE( SUBSTITUTE( SUBSTITUTE( ShortName[[#This Row],[RP_Name]], " Limited", "" ), " Housing Association", "" ), " Housing Group", "" ), " Group", "" ), " Housing Trust", "" ), " Housing Partnership", "" ), "The ", "" )</f>
        <v>Housing 21</v>
      </c>
      <c r="D1134" s="122" t="str">
        <f xml:space="preserve"> IF( RIGHT( ShortName[[#This Row],[Adjust]], 8 ) = " Housing", LEFT( ShortName[[#This Row],[Adjust]], LEN(ShortName[[#This Row],[Adjust]] ) - 8 ), ShortName[[#This Row],[Adjust]] )</f>
        <v>Housing 21</v>
      </c>
      <c r="E1134" s="159"/>
      <c r="F1134" s="122" t="str">
        <f xml:space="preserve"> IF( ISTEXT( ShortName[[#This Row],[Override]] ), ShortName[[#This Row],[Override]], ShortName[[#This Row],[Remove final Housing]] )</f>
        <v>Housing 21</v>
      </c>
    </row>
    <row r="1135" spans="2:6" x14ac:dyDescent="0.2">
      <c r="B1135" s="159" t="s" vm="76">
        <v>297</v>
      </c>
      <c r="C1135" s="122" t="str">
        <f xml:space="preserve">  SUBSTITUTE( SUBSTITUTE( SUBSTITUTE( SUBSTITUTE( SUBSTITUTE( SUBSTITUTE( SUBSTITUTE( ShortName[[#This Row],[RP_Name]], " Limited", "" ), " Housing Association", "" ), " Housing Group", "" ), " Group", "" ), " Housing Trust", "" ), " Housing Partnership", "" ), "The ", "" )</f>
        <v>Housing Solutions</v>
      </c>
      <c r="D1135" s="122" t="str">
        <f xml:space="preserve"> IF( RIGHT( ShortName[[#This Row],[Adjust]], 8 ) = " Housing", LEFT( ShortName[[#This Row],[Adjust]], LEN(ShortName[[#This Row],[Adjust]] ) - 8 ), ShortName[[#This Row],[Adjust]] )</f>
        <v>Housing Solutions</v>
      </c>
      <c r="E1135" s="159"/>
      <c r="F1135" s="122" t="str">
        <f xml:space="preserve"> IF( ISTEXT( ShortName[[#This Row],[Override]] ), ShortName[[#This Row],[Override]], ShortName[[#This Row],[Remove final Housing]] )</f>
        <v>Housing Solutions</v>
      </c>
    </row>
    <row r="1136" spans="2:6" x14ac:dyDescent="0.2">
      <c r="B1136" s="159" t="s" vm="77">
        <v>299</v>
      </c>
      <c r="C1136" s="122" t="str">
        <f xml:space="preserve">  SUBSTITUTE( SUBSTITUTE( SUBSTITUTE( SUBSTITUTE( SUBSTITUTE( SUBSTITUTE( SUBSTITUTE( ShortName[[#This Row],[RP_Name]], " Limited", "" ), " Housing Association", "" ), " Housing Group", "" ), " Group", "" ), " Housing Trust", "" ), " Housing Partnership", "" ), "The ", "" )</f>
        <v>Hundred Houses Society</v>
      </c>
      <c r="D1136" s="122" t="str">
        <f xml:space="preserve"> IF( RIGHT( ShortName[[#This Row],[Adjust]], 8 ) = " Housing", LEFT( ShortName[[#This Row],[Adjust]], LEN(ShortName[[#This Row],[Adjust]] ) - 8 ), ShortName[[#This Row],[Adjust]] )</f>
        <v>Hundred Houses Society</v>
      </c>
      <c r="E1136" s="159"/>
      <c r="F1136" s="122" t="str">
        <f xml:space="preserve"> IF( ISTEXT( ShortName[[#This Row],[Override]] ), ShortName[[#This Row],[Override]], ShortName[[#This Row],[Remove final Housing]] )</f>
        <v>Hundred Houses Society</v>
      </c>
    </row>
    <row r="1137" spans="2:6" x14ac:dyDescent="0.2">
      <c r="B1137" s="159" t="s" vm="78">
        <v>301</v>
      </c>
      <c r="C1137" s="122" t="str">
        <f xml:space="preserve">  SUBSTITUTE( SUBSTITUTE( SUBSTITUTE( SUBSTITUTE( SUBSTITUTE( SUBSTITUTE( SUBSTITUTE( ShortName[[#This Row],[RP_Name]], " Limited", "" ), " Housing Association", "" ), " Housing Group", "" ), " Group", "" ), " Housing Trust", "" ), " Housing Partnership", "" ), "The ", "" )</f>
        <v>Hyde</v>
      </c>
      <c r="D1137" s="122" t="str">
        <f xml:space="preserve"> IF( RIGHT( ShortName[[#This Row],[Adjust]], 8 ) = " Housing", LEFT( ShortName[[#This Row],[Adjust]], LEN(ShortName[[#This Row],[Adjust]] ) - 8 ), ShortName[[#This Row],[Adjust]] )</f>
        <v>Hyde</v>
      </c>
      <c r="E1137" s="159"/>
      <c r="F1137" s="122" t="str">
        <f xml:space="preserve"> IF( ISTEXT( ShortName[[#This Row],[Override]] ), ShortName[[#This Row],[Override]], ShortName[[#This Row],[Remove final Housing]] )</f>
        <v>Hyde</v>
      </c>
    </row>
    <row r="1138" spans="2:6" x14ac:dyDescent="0.2">
      <c r="B1138" s="159" t="s" vm="79">
        <v>303</v>
      </c>
      <c r="C1138" s="122" t="str">
        <f xml:space="preserve">  SUBSTITUTE( SUBSTITUTE( SUBSTITUTE( SUBSTITUTE( SUBSTITUTE( SUBSTITUTE( SUBSTITUTE( ShortName[[#This Row],[RP_Name]], " Limited", "" ), " Housing Association", "" ), " Housing Group", "" ), " Group", "" ), " Housing Trust", "" ), " Housing Partnership", "" ), "The ", "" )</f>
        <v>Inclusion Housing Community Interest Company</v>
      </c>
      <c r="D1138" s="122" t="str">
        <f xml:space="preserve"> IF( RIGHT( ShortName[[#This Row],[Adjust]], 8 ) = " Housing", LEFT( ShortName[[#This Row],[Adjust]], LEN(ShortName[[#This Row],[Adjust]] ) - 8 ), ShortName[[#This Row],[Adjust]] )</f>
        <v>Inclusion Housing Community Interest Company</v>
      </c>
      <c r="E1138" s="159" t="s">
        <v>758</v>
      </c>
      <c r="F1138" s="122" t="str">
        <f xml:space="preserve"> IF( ISTEXT( ShortName[[#This Row],[Override]] ), ShortName[[#This Row],[Override]], ShortName[[#This Row],[Remove final Housing]] )</f>
        <v>Inclusion</v>
      </c>
    </row>
    <row r="1139" spans="2:6" x14ac:dyDescent="0.2">
      <c r="B1139" s="159" t="s" vm="80">
        <v>305</v>
      </c>
      <c r="C1139" s="122" t="str">
        <f xml:space="preserve">  SUBSTITUTE( SUBSTITUTE( SUBSTITUTE( SUBSTITUTE( SUBSTITUTE( SUBSTITUTE( SUBSTITUTE( ShortName[[#This Row],[RP_Name]], " Limited", "" ), " Housing Association", "" ), " Housing Group", "" ), " Group", "" ), " Housing Trust", "" ), " Housing Partnership", "" ), "The ", "" )</f>
        <v>Incommunities</v>
      </c>
      <c r="D1139" s="122" t="str">
        <f xml:space="preserve"> IF( RIGHT( ShortName[[#This Row],[Adjust]], 8 ) = " Housing", LEFT( ShortName[[#This Row],[Adjust]], LEN(ShortName[[#This Row],[Adjust]] ) - 8 ), ShortName[[#This Row],[Adjust]] )</f>
        <v>Incommunities</v>
      </c>
      <c r="E1139" s="159"/>
      <c r="F1139" s="122" t="str">
        <f xml:space="preserve"> IF( ISTEXT( ShortName[[#This Row],[Override]] ), ShortName[[#This Row],[Override]], ShortName[[#This Row],[Remove final Housing]] )</f>
        <v>Incommunities</v>
      </c>
    </row>
    <row r="1140" spans="2:6" x14ac:dyDescent="0.2">
      <c r="B1140" s="159" t="s" vm="81">
        <v>307</v>
      </c>
      <c r="C1140" s="122" t="str">
        <f xml:space="preserve">  SUBSTITUTE( SUBSTITUTE( SUBSTITUTE( SUBSTITUTE( SUBSTITUTE( SUBSTITUTE( SUBSTITUTE( ShortName[[#This Row],[RP_Name]], " Limited", "" ), " Housing Association", "" ), " Housing Group", "" ), " Group", "" ), " Housing Trust", "" ), " Housing Partnership", "" ), "The ", "" )</f>
        <v>Inquilab</v>
      </c>
      <c r="D1140" s="122" t="str">
        <f xml:space="preserve"> IF( RIGHT( ShortName[[#This Row],[Adjust]], 8 ) = " Housing", LEFT( ShortName[[#This Row],[Adjust]], LEN(ShortName[[#This Row],[Adjust]] ) - 8 ), ShortName[[#This Row],[Adjust]] )</f>
        <v>Inquilab</v>
      </c>
      <c r="E1140" s="159"/>
      <c r="F1140" s="122" t="str">
        <f xml:space="preserve"> IF( ISTEXT( ShortName[[#This Row],[Override]] ), ShortName[[#This Row],[Override]], ShortName[[#This Row],[Remove final Housing]] )</f>
        <v>Inquilab</v>
      </c>
    </row>
    <row r="1141" spans="2:6" x14ac:dyDescent="0.2">
      <c r="B1141" s="159" t="s" vm="82">
        <v>309</v>
      </c>
      <c r="C1141" s="122" t="str">
        <f xml:space="preserve">  SUBSTITUTE( SUBSTITUTE( SUBSTITUTE( SUBSTITUTE( SUBSTITUTE( SUBSTITUTE( SUBSTITUTE( ShortName[[#This Row],[RP_Name]], " Limited", "" ), " Housing Association", "" ), " Housing Group", "" ), " Group", "" ), " Housing Trust", "" ), " Housing Partnership", "" ), "The ", "" )</f>
        <v>Irwell Valley</v>
      </c>
      <c r="D1141" s="122" t="str">
        <f xml:space="preserve"> IF( RIGHT( ShortName[[#This Row],[Adjust]], 8 ) = " Housing", LEFT( ShortName[[#This Row],[Adjust]], LEN(ShortName[[#This Row],[Adjust]] ) - 8 ), ShortName[[#This Row],[Adjust]] )</f>
        <v>Irwell Valley</v>
      </c>
      <c r="E1141" s="159"/>
      <c r="F1141" s="122" t="str">
        <f xml:space="preserve"> IF( ISTEXT( ShortName[[#This Row],[Override]] ), ShortName[[#This Row],[Override]], ShortName[[#This Row],[Remove final Housing]] )</f>
        <v>Irwell Valley</v>
      </c>
    </row>
    <row r="1142" spans="2:6" x14ac:dyDescent="0.2">
      <c r="B1142" s="159" t="s" vm="83">
        <v>311</v>
      </c>
      <c r="C1142" s="122" t="str">
        <f xml:space="preserve">  SUBSTITUTE( SUBSTITUTE( SUBSTITUTE( SUBSTITUTE( SUBSTITUTE( SUBSTITUTE( SUBSTITUTE( ShortName[[#This Row],[RP_Name]], " Limited", "" ), " Housing Association", "" ), " Housing Group", "" ), " Group", "" ), " Housing Trust", "" ), " Housing Partnership", "" ), "The ", "" )</f>
        <v>Islington and Shoreditch</v>
      </c>
      <c r="D1142" s="122" t="str">
        <f xml:space="preserve"> IF( RIGHT( ShortName[[#This Row],[Adjust]], 8 ) = " Housing", LEFT( ShortName[[#This Row],[Adjust]], LEN(ShortName[[#This Row],[Adjust]] ) - 8 ), ShortName[[#This Row],[Adjust]] )</f>
        <v>Islington and Shoreditch</v>
      </c>
      <c r="E1142" s="159"/>
      <c r="F1142" s="122" t="str">
        <f xml:space="preserve"> IF( ISTEXT( ShortName[[#This Row],[Override]] ), ShortName[[#This Row],[Override]], ShortName[[#This Row],[Remove final Housing]] )</f>
        <v>Islington and Shoreditch</v>
      </c>
    </row>
    <row r="1143" spans="2:6" x14ac:dyDescent="0.2">
      <c r="B1143" s="159" t="s" vm="84">
        <v>313</v>
      </c>
      <c r="C1143" s="122" t="str">
        <f xml:space="preserve">  SUBSTITUTE( SUBSTITUTE( SUBSTITUTE( SUBSTITUTE( SUBSTITUTE( SUBSTITUTE( SUBSTITUTE( ShortName[[#This Row],[RP_Name]], " Limited", "" ), " Housing Association", "" ), " Housing Group", "" ), " Group", "" ), " Housing Trust", "" ), " Housing Partnership", "" ), "The ", "" )</f>
        <v>Jigsaw Homes</v>
      </c>
      <c r="D1143" s="122" t="str">
        <f xml:space="preserve"> IF( RIGHT( ShortName[[#This Row],[Adjust]], 8 ) = " Housing", LEFT( ShortName[[#This Row],[Adjust]], LEN(ShortName[[#This Row],[Adjust]] ) - 8 ), ShortName[[#This Row],[Adjust]] )</f>
        <v>Jigsaw Homes</v>
      </c>
      <c r="E1143" s="159"/>
      <c r="F1143" s="122" t="str">
        <f xml:space="preserve"> IF( ISTEXT( ShortName[[#This Row],[Override]] ), ShortName[[#This Row],[Override]], ShortName[[#This Row],[Remove final Housing]] )</f>
        <v>Jigsaw Homes</v>
      </c>
    </row>
    <row r="1144" spans="2:6" x14ac:dyDescent="0.2">
      <c r="B1144" s="159" t="s" vm="85">
        <v>315</v>
      </c>
      <c r="C1144" s="122" t="str">
        <f xml:space="preserve">  SUBSTITUTE( SUBSTITUTE( SUBSTITUTE( SUBSTITUTE( SUBSTITUTE( SUBSTITUTE( SUBSTITUTE( ShortName[[#This Row],[RP_Name]], " Limited", "" ), " Housing Association", "" ), " Housing Group", "" ), " Group", "" ), " Housing Trust", "" ), " Housing Partnership", "" ), "The ", "" )</f>
        <v>'Johnnie' Johnson</v>
      </c>
      <c r="D1144" s="122" t="str">
        <f xml:space="preserve"> IF( RIGHT( ShortName[[#This Row],[Adjust]], 8 ) = " Housing", LEFT( ShortName[[#This Row],[Adjust]], LEN(ShortName[[#This Row],[Adjust]] ) - 8 ), ShortName[[#This Row],[Adjust]] )</f>
        <v>'Johnnie' Johnson</v>
      </c>
      <c r="E1144" s="159"/>
      <c r="F1144" s="122" t="str">
        <f xml:space="preserve"> IF( ISTEXT( ShortName[[#This Row],[Override]] ), ShortName[[#This Row],[Override]], ShortName[[#This Row],[Remove final Housing]] )</f>
        <v>'Johnnie' Johnson</v>
      </c>
    </row>
    <row r="1145" spans="2:6" x14ac:dyDescent="0.2">
      <c r="B1145" s="159" t="s" vm="86">
        <v>317</v>
      </c>
      <c r="C1145" s="122" t="str">
        <f xml:space="preserve">  SUBSTITUTE( SUBSTITUTE( SUBSTITUTE( SUBSTITUTE( SUBSTITUTE( SUBSTITUTE( SUBSTITUTE( ShortName[[#This Row],[RP_Name]], " Limited", "" ), " Housing Association", "" ), " Housing Group", "" ), " Group", "" ), " Housing Trust", "" ), " Housing Partnership", "" ), "The ", "" )</f>
        <v>Joseph Rowntree</v>
      </c>
      <c r="D1145" s="122" t="str">
        <f xml:space="preserve"> IF( RIGHT( ShortName[[#This Row],[Adjust]], 8 ) = " Housing", LEFT( ShortName[[#This Row],[Adjust]], LEN(ShortName[[#This Row],[Adjust]] ) - 8 ), ShortName[[#This Row],[Adjust]] )</f>
        <v>Joseph Rowntree</v>
      </c>
      <c r="E1145" s="159"/>
      <c r="F1145" s="122" t="str">
        <f xml:space="preserve"> IF( ISTEXT( ShortName[[#This Row],[Override]] ), ShortName[[#This Row],[Override]], ShortName[[#This Row],[Remove final Housing]] )</f>
        <v>Joseph Rowntree</v>
      </c>
    </row>
    <row r="1146" spans="2:6" x14ac:dyDescent="0.2">
      <c r="B1146" s="159" t="s" vm="87">
        <v>319</v>
      </c>
      <c r="C1146" s="122" t="str">
        <f xml:space="preserve">  SUBSTITUTE( SUBSTITUTE( SUBSTITUTE( SUBSTITUTE( SUBSTITUTE( SUBSTITUTE( SUBSTITUTE( ShortName[[#This Row],[RP_Name]], " Limited", "" ), " Housing Association", "" ), " Housing Group", "" ), " Group", "" ), " Housing Trust", "" ), " Housing Partnership", "" ), "The ", "" )</f>
        <v>Karbon Homes</v>
      </c>
      <c r="D1146" s="122" t="str">
        <f xml:space="preserve"> IF( RIGHT( ShortName[[#This Row],[Adjust]], 8 ) = " Housing", LEFT( ShortName[[#This Row],[Adjust]], LEN(ShortName[[#This Row],[Adjust]] ) - 8 ), ShortName[[#This Row],[Adjust]] )</f>
        <v>Karbon Homes</v>
      </c>
      <c r="E1146" s="159"/>
      <c r="F1146" s="122" t="str">
        <f xml:space="preserve"> IF( ISTEXT( ShortName[[#This Row],[Override]] ), ShortName[[#This Row],[Override]], ShortName[[#This Row],[Remove final Housing]] )</f>
        <v>Karbon Homes</v>
      </c>
    </row>
    <row r="1147" spans="2:6" x14ac:dyDescent="0.2">
      <c r="B1147" s="159" t="s" vm="88">
        <v>321</v>
      </c>
      <c r="C1147" s="122" t="str">
        <f xml:space="preserve">  SUBSTITUTE( SUBSTITUTE( SUBSTITUTE( SUBSTITUTE( SUBSTITUTE( SUBSTITUTE( SUBSTITUTE( ShortName[[#This Row],[RP_Name]], " Limited", "" ), " Housing Association", "" ), " Housing Group", "" ), " Group", "" ), " Housing Trust", "" ), " Housing Partnership", "" ), "The ", "" )</f>
        <v>Leeds Federated</v>
      </c>
      <c r="D1147" s="122" t="str">
        <f xml:space="preserve"> IF( RIGHT( ShortName[[#This Row],[Adjust]], 8 ) = " Housing", LEFT( ShortName[[#This Row],[Adjust]], LEN(ShortName[[#This Row],[Adjust]] ) - 8 ), ShortName[[#This Row],[Adjust]] )</f>
        <v>Leeds Federated</v>
      </c>
      <c r="E1147" s="159"/>
      <c r="F1147" s="122" t="str">
        <f xml:space="preserve"> IF( ISTEXT( ShortName[[#This Row],[Override]] ), ShortName[[#This Row],[Override]], ShortName[[#This Row],[Remove final Housing]] )</f>
        <v>Leeds Federated</v>
      </c>
    </row>
    <row r="1148" spans="2:6" x14ac:dyDescent="0.2">
      <c r="B1148" s="159" t="s" vm="89">
        <v>323</v>
      </c>
      <c r="C1148" s="122" t="str">
        <f xml:space="preserve">  SUBSTITUTE( SUBSTITUTE( SUBSTITUTE( SUBSTITUTE( SUBSTITUTE( SUBSTITUTE( SUBSTITUTE( ShortName[[#This Row],[RP_Name]], " Limited", "" ), " Housing Association", "" ), " Housing Group", "" ), " Group", "" ), " Housing Trust", "" ), " Housing Partnership", "" ), "The ", "" )</f>
        <v>Lincolnshire</v>
      </c>
      <c r="D1148" s="122" t="str">
        <f xml:space="preserve"> IF( RIGHT( ShortName[[#This Row],[Adjust]], 8 ) = " Housing", LEFT( ShortName[[#This Row],[Adjust]], LEN(ShortName[[#This Row],[Adjust]] ) - 8 ), ShortName[[#This Row],[Adjust]] )</f>
        <v>Lincolnshire</v>
      </c>
      <c r="E1148" s="159" t="s">
        <v>759</v>
      </c>
      <c r="F1148" s="122" t="str">
        <f xml:space="preserve"> IF( ISTEXT( ShortName[[#This Row],[Override]] ), ShortName[[#This Row],[Override]], ShortName[[#This Row],[Remove final Housing]] )</f>
        <v>Lincolnshire HP</v>
      </c>
    </row>
    <row r="1149" spans="2:6" x14ac:dyDescent="0.2">
      <c r="B1149" s="159" t="s" vm="90">
        <v>325</v>
      </c>
      <c r="C1149" s="122" t="str">
        <f xml:space="preserve">  SUBSTITUTE( SUBSTITUTE( SUBSTITUTE( SUBSTITUTE( SUBSTITUTE( SUBSTITUTE( SUBSTITUTE( ShortName[[#This Row],[RP_Name]], " Limited", "" ), " Housing Association", "" ), " Housing Group", "" ), " Group", "" ), " Housing Trust", "" ), " Housing Partnership", "" ), "The ", "" )</f>
        <v>LiveWest Homes</v>
      </c>
      <c r="D1149" s="122" t="str">
        <f xml:space="preserve"> IF( RIGHT( ShortName[[#This Row],[Adjust]], 8 ) = " Housing", LEFT( ShortName[[#This Row],[Adjust]], LEN(ShortName[[#This Row],[Adjust]] ) - 8 ), ShortName[[#This Row],[Adjust]] )</f>
        <v>LiveWest Homes</v>
      </c>
      <c r="E1149" s="159"/>
      <c r="F1149" s="122" t="str">
        <f xml:space="preserve"> IF( ISTEXT( ShortName[[#This Row],[Override]] ), ShortName[[#This Row],[Override]], ShortName[[#This Row],[Remove final Housing]] )</f>
        <v>LiveWest Homes</v>
      </c>
    </row>
    <row r="1150" spans="2:6" x14ac:dyDescent="0.2">
      <c r="B1150" s="159" t="s" vm="91">
        <v>327</v>
      </c>
      <c r="C1150" s="122" t="str">
        <f xml:space="preserve">  SUBSTITUTE( SUBSTITUTE( SUBSTITUTE( SUBSTITUTE( SUBSTITUTE( SUBSTITUTE( SUBSTITUTE( ShortName[[#This Row],[RP_Name]], " Limited", "" ), " Housing Association", "" ), " Housing Group", "" ), " Group", "" ), " Housing Trust", "" ), " Housing Partnership", "" ), "The ", "" )</f>
        <v>Livin Housing</v>
      </c>
      <c r="D1150" s="122" t="str">
        <f xml:space="preserve"> IF( RIGHT( ShortName[[#This Row],[Adjust]], 8 ) = " Housing", LEFT( ShortName[[#This Row],[Adjust]], LEN(ShortName[[#This Row],[Adjust]] ) - 8 ), ShortName[[#This Row],[Adjust]] )</f>
        <v>Livin</v>
      </c>
      <c r="E1150" s="159"/>
      <c r="F1150" s="122" t="str">
        <f xml:space="preserve"> IF( ISTEXT( ShortName[[#This Row],[Override]] ), ShortName[[#This Row],[Override]], ShortName[[#This Row],[Remove final Housing]] )</f>
        <v>Livin</v>
      </c>
    </row>
    <row r="1151" spans="2:6" x14ac:dyDescent="0.2">
      <c r="B1151" s="159" t="s" vm="92">
        <v>329</v>
      </c>
      <c r="C1151" s="122" t="str">
        <f xml:space="preserve">  SUBSTITUTE( SUBSTITUTE( SUBSTITUTE( SUBSTITUTE( SUBSTITUTE( SUBSTITUTE( SUBSTITUTE( ShortName[[#This Row],[RP_Name]], " Limited", "" ), " Housing Association", "" ), " Housing Group", "" ), " Group", "" ), " Housing Trust", "" ), " Housing Partnership", "" ), "The ", "" )</f>
        <v>Livv</v>
      </c>
      <c r="D1151" s="122" t="str">
        <f xml:space="preserve"> IF( RIGHT( ShortName[[#This Row],[Adjust]], 8 ) = " Housing", LEFT( ShortName[[#This Row],[Adjust]], LEN(ShortName[[#This Row],[Adjust]] ) - 8 ), ShortName[[#This Row],[Adjust]] )</f>
        <v>Livv</v>
      </c>
      <c r="E1151" s="159"/>
      <c r="F1151" s="122" t="str">
        <f xml:space="preserve"> IF( ISTEXT( ShortName[[#This Row],[Override]] ), ShortName[[#This Row],[Override]], ShortName[[#This Row],[Remove final Housing]] )</f>
        <v>Livv</v>
      </c>
    </row>
    <row r="1152" spans="2:6" x14ac:dyDescent="0.2">
      <c r="B1152" s="159" t="s" vm="93">
        <v>331</v>
      </c>
      <c r="C1152" s="122" t="str">
        <f xml:space="preserve">  SUBSTITUTE( SUBSTITUTE( SUBSTITUTE( SUBSTITUTE( SUBSTITUTE( SUBSTITUTE( SUBSTITUTE( ShortName[[#This Row],[RP_Name]], " Limited", "" ), " Housing Association", "" ), " Housing Group", "" ), " Group", "" ), " Housing Trust", "" ), " Housing Partnership", "" ), "The ", "" )</f>
        <v>Local Space</v>
      </c>
      <c r="D1152" s="122" t="str">
        <f xml:space="preserve"> IF( RIGHT( ShortName[[#This Row],[Adjust]], 8 ) = " Housing", LEFT( ShortName[[#This Row],[Adjust]], LEN(ShortName[[#This Row],[Adjust]] ) - 8 ), ShortName[[#This Row],[Adjust]] )</f>
        <v>Local Space</v>
      </c>
      <c r="E1152" s="159"/>
      <c r="F1152" s="122" t="str">
        <f xml:space="preserve"> IF( ISTEXT( ShortName[[#This Row],[Override]] ), ShortName[[#This Row],[Override]], ShortName[[#This Row],[Remove final Housing]] )</f>
        <v>Local Space</v>
      </c>
    </row>
    <row r="1153" spans="2:6" x14ac:dyDescent="0.2">
      <c r="B1153" s="159" t="s" vm="94">
        <v>333</v>
      </c>
      <c r="C1153" s="122" t="str">
        <f xml:space="preserve">  SUBSTITUTE( SUBSTITUTE( SUBSTITUTE( SUBSTITUTE( SUBSTITUTE( SUBSTITUTE( SUBSTITUTE( ShortName[[#This Row],[RP_Name]], " Limited", "" ), " Housing Association", "" ), " Housing Group", "" ), " Group", "" ), " Housing Trust", "" ), " Housing Partnership", "" ), "The ", "" )</f>
        <v>London &amp; Quadrant</v>
      </c>
      <c r="D1153" s="122" t="str">
        <f xml:space="preserve"> IF( RIGHT( ShortName[[#This Row],[Adjust]], 8 ) = " Housing", LEFT( ShortName[[#This Row],[Adjust]], LEN(ShortName[[#This Row],[Adjust]] ) - 8 ), ShortName[[#This Row],[Adjust]] )</f>
        <v>London &amp; Quadrant</v>
      </c>
      <c r="E1153" s="159"/>
      <c r="F1153" s="122" t="str">
        <f xml:space="preserve"> IF( ISTEXT( ShortName[[#This Row],[Override]] ), ShortName[[#This Row],[Override]], ShortName[[#This Row],[Remove final Housing]] )</f>
        <v>London &amp; Quadrant</v>
      </c>
    </row>
    <row r="1154" spans="2:6" x14ac:dyDescent="0.2">
      <c r="B1154" s="159" t="s" vm="95">
        <v>335</v>
      </c>
      <c r="C1154" s="122" t="str">
        <f xml:space="preserve">  SUBSTITUTE( SUBSTITUTE( SUBSTITUTE( SUBSTITUTE( SUBSTITUTE( SUBSTITUTE( SUBSTITUTE( ShortName[[#This Row],[RP_Name]], " Limited", "" ), " Housing Association", "" ), " Housing Group", "" ), " Group", "" ), " Housing Trust", "" ), " Housing Partnership", "" ), "The ", "" )</f>
        <v>Longhurst</v>
      </c>
      <c r="D1154" s="122" t="str">
        <f xml:space="preserve"> IF( RIGHT( ShortName[[#This Row],[Adjust]], 8 ) = " Housing", LEFT( ShortName[[#This Row],[Adjust]], LEN(ShortName[[#This Row],[Adjust]] ) - 8 ), ShortName[[#This Row],[Adjust]] )</f>
        <v>Longhurst</v>
      </c>
      <c r="E1154" s="159"/>
      <c r="F1154" s="122" t="str">
        <f xml:space="preserve"> IF( ISTEXT( ShortName[[#This Row],[Override]] ), ShortName[[#This Row],[Override]], ShortName[[#This Row],[Remove final Housing]] )</f>
        <v>Longhurst</v>
      </c>
    </row>
    <row r="1155" spans="2:6" x14ac:dyDescent="0.2">
      <c r="B1155" s="159" t="s" vm="96">
        <v>337</v>
      </c>
      <c r="C1155" s="122" t="str">
        <f xml:space="preserve">  SUBSTITUTE( SUBSTITUTE( SUBSTITUTE( SUBSTITUTE( SUBSTITUTE( SUBSTITUTE( SUBSTITUTE( ShortName[[#This Row],[RP_Name]], " Limited", "" ), " Housing Association", "" ), " Housing Group", "" ), " Group", "" ), " Housing Trust", "" ), " Housing Partnership", "" ), "The ", "" )</f>
        <v>Look Ahead Care and Support</v>
      </c>
      <c r="D1155" s="122" t="str">
        <f xml:space="preserve"> IF( RIGHT( ShortName[[#This Row],[Adjust]], 8 ) = " Housing", LEFT( ShortName[[#This Row],[Adjust]], LEN(ShortName[[#This Row],[Adjust]] ) - 8 ), ShortName[[#This Row],[Adjust]] )</f>
        <v>Look Ahead Care and Support</v>
      </c>
      <c r="E1155" s="159" t="s">
        <v>760</v>
      </c>
      <c r="F1155" s="122" t="str">
        <f xml:space="preserve"> IF( ISTEXT( ShortName[[#This Row],[Override]] ), ShortName[[#This Row],[Override]], ShortName[[#This Row],[Remove final Housing]] )</f>
        <v>Look Ahead</v>
      </c>
    </row>
    <row r="1156" spans="2:6" x14ac:dyDescent="0.2">
      <c r="B1156" s="159" t="s" vm="97">
        <v>339</v>
      </c>
      <c r="C1156" s="122" t="str">
        <f xml:space="preserve">  SUBSTITUTE( SUBSTITUTE( SUBSTITUTE( SUBSTITUTE( SUBSTITUTE( SUBSTITUTE( SUBSTITUTE( ShortName[[#This Row],[RP_Name]], " Limited", "" ), " Housing Association", "" ), " Housing Group", "" ), " Group", "" ), " Housing Trust", "" ), " Housing Partnership", "" ), "The ", "" )</f>
        <v>Magenta Living</v>
      </c>
      <c r="D1156" s="122" t="str">
        <f xml:space="preserve"> IF( RIGHT( ShortName[[#This Row],[Adjust]], 8 ) = " Housing", LEFT( ShortName[[#This Row],[Adjust]], LEN(ShortName[[#This Row],[Adjust]] ) - 8 ), ShortName[[#This Row],[Adjust]] )</f>
        <v>Magenta Living</v>
      </c>
      <c r="E1156" s="159"/>
      <c r="F1156" s="122" t="str">
        <f xml:space="preserve"> IF( ISTEXT( ShortName[[#This Row],[Override]] ), ShortName[[#This Row],[Override]], ShortName[[#This Row],[Remove final Housing]] )</f>
        <v>Magenta Living</v>
      </c>
    </row>
    <row r="1157" spans="2:6" x14ac:dyDescent="0.2">
      <c r="B1157" s="159" t="s" vm="98">
        <v>341</v>
      </c>
      <c r="C1157" s="122" t="str">
        <f xml:space="preserve">  SUBSTITUTE( SUBSTITUTE( SUBSTITUTE( SUBSTITUTE( SUBSTITUTE( SUBSTITUTE( SUBSTITUTE( ShortName[[#This Row],[RP_Name]], " Limited", "" ), " Housing Association", "" ), " Housing Group", "" ), " Group", "" ), " Housing Trust", "" ), " Housing Partnership", "" ), "The ", "" )</f>
        <v>Magna Housing</v>
      </c>
      <c r="D1157" s="122" t="str">
        <f xml:space="preserve"> IF( RIGHT( ShortName[[#This Row],[Adjust]], 8 ) = " Housing", LEFT( ShortName[[#This Row],[Adjust]], LEN(ShortName[[#This Row],[Adjust]] ) - 8 ), ShortName[[#This Row],[Adjust]] )</f>
        <v>Magna</v>
      </c>
      <c r="E1157" s="159"/>
      <c r="F1157" s="122" t="str">
        <f xml:space="preserve"> IF( ISTEXT( ShortName[[#This Row],[Override]] ), ShortName[[#This Row],[Override]], ShortName[[#This Row],[Remove final Housing]] )</f>
        <v>Magna</v>
      </c>
    </row>
    <row r="1158" spans="2:6" x14ac:dyDescent="0.2">
      <c r="B1158" s="159" t="s" vm="99">
        <v>343</v>
      </c>
      <c r="C1158" s="122" t="str">
        <f xml:space="preserve">  SUBSTITUTE( SUBSTITUTE( SUBSTITUTE( SUBSTITUTE( SUBSTITUTE( SUBSTITUTE( SUBSTITUTE( ShortName[[#This Row],[RP_Name]], " Limited", "" ), " Housing Association", "" ), " Housing Group", "" ), " Group", "" ), " Housing Trust", "" ), " Housing Partnership", "" ), "The ", "" )</f>
        <v>Manningham</v>
      </c>
      <c r="D1158" s="122" t="str">
        <f xml:space="preserve"> IF( RIGHT( ShortName[[#This Row],[Adjust]], 8 ) = " Housing", LEFT( ShortName[[#This Row],[Adjust]], LEN(ShortName[[#This Row],[Adjust]] ) - 8 ), ShortName[[#This Row],[Adjust]] )</f>
        <v>Manningham</v>
      </c>
      <c r="E1158" s="159"/>
      <c r="F1158" s="122" t="str">
        <f xml:space="preserve"> IF( ISTEXT( ShortName[[#This Row],[Override]] ), ShortName[[#This Row],[Override]], ShortName[[#This Row],[Remove final Housing]] )</f>
        <v>Manningham</v>
      </c>
    </row>
    <row r="1159" spans="2:6" x14ac:dyDescent="0.2">
      <c r="B1159" s="159" t="s" vm="100">
        <v>345</v>
      </c>
      <c r="C1159" s="122" t="str">
        <f xml:space="preserve">  SUBSTITUTE( SUBSTITUTE( SUBSTITUTE( SUBSTITUTE( SUBSTITUTE( SUBSTITUTE( SUBSTITUTE( ShortName[[#This Row],[RP_Name]], " Limited", "" ), " Housing Association", "" ), " Housing Group", "" ), " Group", "" ), " Housing Trust", "" ), " Housing Partnership", "" ), "The ", "" )</f>
        <v>Midland Heart</v>
      </c>
      <c r="D1159" s="122" t="str">
        <f xml:space="preserve"> IF( RIGHT( ShortName[[#This Row],[Adjust]], 8 ) = " Housing", LEFT( ShortName[[#This Row],[Adjust]], LEN(ShortName[[#This Row],[Adjust]] ) - 8 ), ShortName[[#This Row],[Adjust]] )</f>
        <v>Midland Heart</v>
      </c>
      <c r="E1159" s="159"/>
      <c r="F1159" s="122" t="str">
        <f xml:space="preserve"> IF( ISTEXT( ShortName[[#This Row],[Override]] ), ShortName[[#This Row],[Override]], ShortName[[#This Row],[Remove final Housing]] )</f>
        <v>Midland Heart</v>
      </c>
    </row>
    <row r="1160" spans="2:6" x14ac:dyDescent="0.2">
      <c r="B1160" s="159" t="s" vm="101">
        <v>347</v>
      </c>
      <c r="C1160" s="122" t="str">
        <f xml:space="preserve">  SUBSTITUTE( SUBSTITUTE( SUBSTITUTE( SUBSTITUTE( SUBSTITUTE( SUBSTITUTE( SUBSTITUTE( ShortName[[#This Row],[RP_Name]], " Limited", "" ), " Housing Association", "" ), " Housing Group", "" ), " Group", "" ), " Housing Trust", "" ), " Housing Partnership", "" ), "The ", "" )</f>
        <v>Moat Homes</v>
      </c>
      <c r="D1160" s="122" t="str">
        <f xml:space="preserve"> IF( RIGHT( ShortName[[#This Row],[Adjust]], 8 ) = " Housing", LEFT( ShortName[[#This Row],[Adjust]], LEN(ShortName[[#This Row],[Adjust]] ) - 8 ), ShortName[[#This Row],[Adjust]] )</f>
        <v>Moat Homes</v>
      </c>
      <c r="E1160" s="159"/>
      <c r="F1160" s="122" t="str">
        <f xml:space="preserve"> IF( ISTEXT( ShortName[[#This Row],[Override]] ), ShortName[[#This Row],[Override]], ShortName[[#This Row],[Remove final Housing]] )</f>
        <v>Moat Homes</v>
      </c>
    </row>
    <row r="1161" spans="2:6" x14ac:dyDescent="0.2">
      <c r="B1161" s="159" t="s" vm="102">
        <v>349</v>
      </c>
      <c r="C1161" s="122" t="str">
        <f xml:space="preserve">  SUBSTITUTE( SUBSTITUTE( SUBSTITUTE( SUBSTITUTE( SUBSTITUTE( SUBSTITUTE( SUBSTITUTE( ShortName[[#This Row],[RP_Name]], " Limited", "" ), " Housing Association", "" ), " Housing Group", "" ), " Group", "" ), " Housing Trust", "" ), " Housing Partnership", "" ), "The ", "" )</f>
        <v>Mosscare St. Vincent's</v>
      </c>
      <c r="D1161" s="122" t="str">
        <f xml:space="preserve"> IF( RIGHT( ShortName[[#This Row],[Adjust]], 8 ) = " Housing", LEFT( ShortName[[#This Row],[Adjust]], LEN(ShortName[[#This Row],[Adjust]] ) - 8 ), ShortName[[#This Row],[Adjust]] )</f>
        <v>Mosscare St. Vincent's</v>
      </c>
      <c r="E1161" s="159"/>
      <c r="F1161" s="122" t="str">
        <f xml:space="preserve"> IF( ISTEXT( ShortName[[#This Row],[Override]] ), ShortName[[#This Row],[Override]], ShortName[[#This Row],[Remove final Housing]] )</f>
        <v>Mosscare St. Vincent's</v>
      </c>
    </row>
    <row r="1162" spans="2:6" x14ac:dyDescent="0.2">
      <c r="B1162" s="159" t="s" vm="103">
        <v>351</v>
      </c>
      <c r="C1162" s="122" t="str">
        <f xml:space="preserve">  SUBSTITUTE( SUBSTITUTE( SUBSTITUTE( SUBSTITUTE( SUBSTITUTE( SUBSTITUTE( SUBSTITUTE( ShortName[[#This Row],[RP_Name]], " Limited", "" ), " Housing Association", "" ), " Housing Group", "" ), " Group", "" ), " Housing Trust", "" ), " Housing Partnership", "" ), "The ", "" )</f>
        <v>Mount Green</v>
      </c>
      <c r="D1162" s="122" t="str">
        <f xml:space="preserve"> IF( RIGHT( ShortName[[#This Row],[Adjust]], 8 ) = " Housing", LEFT( ShortName[[#This Row],[Adjust]], LEN(ShortName[[#This Row],[Adjust]] ) - 8 ), ShortName[[#This Row],[Adjust]] )</f>
        <v>Mount Green</v>
      </c>
      <c r="E1162" s="159"/>
      <c r="F1162" s="122" t="str">
        <f xml:space="preserve"> IF( ISTEXT( ShortName[[#This Row],[Override]] ), ShortName[[#This Row],[Override]], ShortName[[#This Row],[Remove final Housing]] )</f>
        <v>Mount Green</v>
      </c>
    </row>
    <row r="1163" spans="2:6" x14ac:dyDescent="0.2">
      <c r="B1163" s="159" t="s" vm="104">
        <v>353</v>
      </c>
      <c r="C1163" s="122" t="str">
        <f xml:space="preserve">  SUBSTITUTE( SUBSTITUTE( SUBSTITUTE( SUBSTITUTE( SUBSTITUTE( SUBSTITUTE( SUBSTITUTE( ShortName[[#This Row],[RP_Name]], " Limited", "" ), " Housing Association", "" ), " Housing Group", "" ), " Group", "" ), " Housing Trust", "" ), " Housing Partnership", "" ), "The ", "" )</f>
        <v>Muir</v>
      </c>
      <c r="D1163" s="122" t="str">
        <f xml:space="preserve"> IF( RIGHT( ShortName[[#This Row],[Adjust]], 8 ) = " Housing", LEFT( ShortName[[#This Row],[Adjust]], LEN(ShortName[[#This Row],[Adjust]] ) - 8 ), ShortName[[#This Row],[Adjust]] )</f>
        <v>Muir</v>
      </c>
      <c r="E1163" s="159"/>
      <c r="F1163" s="122" t="str">
        <f xml:space="preserve"> IF( ISTEXT( ShortName[[#This Row],[Override]] ), ShortName[[#This Row],[Override]], ShortName[[#This Row],[Remove final Housing]] )</f>
        <v>Muir</v>
      </c>
    </row>
    <row r="1164" spans="2:6" x14ac:dyDescent="0.2">
      <c r="B1164" s="159" t="s" vm="105">
        <v>355</v>
      </c>
      <c r="C1164" s="122" t="str">
        <f xml:space="preserve">  SUBSTITUTE( SUBSTITUTE( SUBSTITUTE( SUBSTITUTE( SUBSTITUTE( SUBSTITUTE( SUBSTITUTE( ShortName[[#This Row],[RP_Name]], " Limited", "" ), " Housing Association", "" ), " Housing Group", "" ), " Group", "" ), " Housing Trust", "" ), " Housing Partnership", "" ), "The ", "" )</f>
        <v>Nehemiah United Churches</v>
      </c>
      <c r="D1164" s="122" t="str">
        <f xml:space="preserve"> IF( RIGHT( ShortName[[#This Row],[Adjust]], 8 ) = " Housing", LEFT( ShortName[[#This Row],[Adjust]], LEN(ShortName[[#This Row],[Adjust]] ) - 8 ), ShortName[[#This Row],[Adjust]] )</f>
        <v>Nehemiah United Churches</v>
      </c>
      <c r="E1164" s="159"/>
      <c r="F1164" s="122" t="str">
        <f xml:space="preserve"> IF( ISTEXT( ShortName[[#This Row],[Override]] ), ShortName[[#This Row],[Override]], ShortName[[#This Row],[Remove final Housing]] )</f>
        <v>Nehemiah United Churches</v>
      </c>
    </row>
    <row r="1165" spans="2:6" x14ac:dyDescent="0.2">
      <c r="B1165" s="159" t="s" vm="106">
        <v>357</v>
      </c>
      <c r="C1165" s="122" t="str">
        <f xml:space="preserve">  SUBSTITUTE( SUBSTITUTE( SUBSTITUTE( SUBSTITUTE( SUBSTITUTE( SUBSTITUTE( SUBSTITUTE( ShortName[[#This Row],[RP_Name]], " Limited", "" ), " Housing Association", "" ), " Housing Group", "" ), " Group", "" ), " Housing Trust", "" ), " Housing Partnership", "" ), "The ", "" )</f>
        <v>Newlon</v>
      </c>
      <c r="D1165" s="122" t="str">
        <f xml:space="preserve"> IF( RIGHT( ShortName[[#This Row],[Adjust]], 8 ) = " Housing", LEFT( ShortName[[#This Row],[Adjust]], LEN(ShortName[[#This Row],[Adjust]] ) - 8 ), ShortName[[#This Row],[Adjust]] )</f>
        <v>Newlon</v>
      </c>
      <c r="E1165" s="159"/>
      <c r="F1165" s="122" t="str">
        <f xml:space="preserve"> IF( ISTEXT( ShortName[[#This Row],[Override]] ), ShortName[[#This Row],[Override]], ShortName[[#This Row],[Remove final Housing]] )</f>
        <v>Newlon</v>
      </c>
    </row>
    <row r="1166" spans="2:6" x14ac:dyDescent="0.2">
      <c r="B1166" s="159" t="s" vm="107">
        <v>359</v>
      </c>
      <c r="C1166" s="122" t="str">
        <f xml:space="preserve">  SUBSTITUTE( SUBSTITUTE( SUBSTITUTE( SUBSTITUTE( SUBSTITUTE( SUBSTITUTE( SUBSTITUTE( ShortName[[#This Row],[RP_Name]], " Limited", "" ), " Housing Association", "" ), " Housing Group", "" ), " Group", "" ), " Housing Trust", "" ), " Housing Partnership", "" ), "The ", "" )</f>
        <v>North Devon Homes</v>
      </c>
      <c r="D1166" s="122" t="str">
        <f xml:space="preserve"> IF( RIGHT( ShortName[[#This Row],[Adjust]], 8 ) = " Housing", LEFT( ShortName[[#This Row],[Adjust]], LEN(ShortName[[#This Row],[Adjust]] ) - 8 ), ShortName[[#This Row],[Adjust]] )</f>
        <v>North Devon Homes</v>
      </c>
      <c r="E1166" s="159"/>
      <c r="F1166" s="122" t="str">
        <f xml:space="preserve"> IF( ISTEXT( ShortName[[#This Row],[Override]] ), ShortName[[#This Row],[Override]], ShortName[[#This Row],[Remove final Housing]] )</f>
        <v>North Devon Homes</v>
      </c>
    </row>
    <row r="1167" spans="2:6" x14ac:dyDescent="0.2">
      <c r="B1167" s="159" t="s" vm="108">
        <v>361</v>
      </c>
      <c r="C1167" s="122" t="str">
        <f xml:space="preserve">  SUBSTITUTE( SUBSTITUTE( SUBSTITUTE( SUBSTITUTE( SUBSTITUTE( SUBSTITUTE( SUBSTITUTE( ShortName[[#This Row],[RP_Name]], " Limited", "" ), " Housing Association", "" ), " Housing Group", "" ), " Group", "" ), " Housing Trust", "" ), " Housing Partnership", "" ), "The ", "" )</f>
        <v>North London Muslim</v>
      </c>
      <c r="D1167" s="122" t="str">
        <f xml:space="preserve"> IF( RIGHT( ShortName[[#This Row],[Adjust]], 8 ) = " Housing", LEFT( ShortName[[#This Row],[Adjust]], LEN(ShortName[[#This Row],[Adjust]] ) - 8 ), ShortName[[#This Row],[Adjust]] )</f>
        <v>North London Muslim</v>
      </c>
      <c r="E1167" s="159"/>
      <c r="F1167" s="122" t="str">
        <f xml:space="preserve"> IF( ISTEXT( ShortName[[#This Row],[Override]] ), ShortName[[#This Row],[Override]], ShortName[[#This Row],[Remove final Housing]] )</f>
        <v>North London Muslim</v>
      </c>
    </row>
    <row r="1168" spans="2:6" x14ac:dyDescent="0.2">
      <c r="B1168" s="159" t="s" vm="109">
        <v>363</v>
      </c>
      <c r="C1168" s="122" t="str">
        <f xml:space="preserve">  SUBSTITUTE( SUBSTITUTE( SUBSTITUTE( SUBSTITUTE( SUBSTITUTE( SUBSTITUTE( SUBSTITUTE( ShortName[[#This Row],[RP_Name]], " Limited", "" ), " Housing Association", "" ), " Housing Group", "" ), " Group", "" ), " Housing Trust", "" ), " Housing Partnership", "" ), "The ", "" )</f>
        <v>North Star</v>
      </c>
      <c r="D1168" s="122" t="str">
        <f xml:space="preserve"> IF( RIGHT( ShortName[[#This Row],[Adjust]], 8 ) = " Housing", LEFT( ShortName[[#This Row],[Adjust]], LEN(ShortName[[#This Row],[Adjust]] ) - 8 ), ShortName[[#This Row],[Adjust]] )</f>
        <v>North Star</v>
      </c>
      <c r="E1168" s="159"/>
      <c r="F1168" s="122" t="str">
        <f xml:space="preserve"> IF( ISTEXT( ShortName[[#This Row],[Override]] ), ShortName[[#This Row],[Override]], ShortName[[#This Row],[Remove final Housing]] )</f>
        <v>North Star</v>
      </c>
    </row>
    <row r="1169" spans="2:6" x14ac:dyDescent="0.2">
      <c r="B1169" s="159" t="s" vm="110">
        <v>365</v>
      </c>
      <c r="C1169" s="122" t="str">
        <f xml:space="preserve">  SUBSTITUTE( SUBSTITUTE( SUBSTITUTE( SUBSTITUTE( SUBSTITUTE( SUBSTITUTE( SUBSTITUTE( ShortName[[#This Row],[RP_Name]], " Limited", "" ), " Housing Association", "" ), " Housing Group", "" ), " Group", "" ), " Housing Trust", "" ), " Housing Partnership", "" ), "The ", "" )</f>
        <v>Notting Hill Genesis</v>
      </c>
      <c r="D1169" s="122" t="str">
        <f xml:space="preserve"> IF( RIGHT( ShortName[[#This Row],[Adjust]], 8 ) = " Housing", LEFT( ShortName[[#This Row],[Adjust]], LEN(ShortName[[#This Row],[Adjust]] ) - 8 ), ShortName[[#This Row],[Adjust]] )</f>
        <v>Notting Hill Genesis</v>
      </c>
      <c r="E1169" s="159"/>
      <c r="F1169" s="122" t="str">
        <f xml:space="preserve"> IF( ISTEXT( ShortName[[#This Row],[Override]] ), ShortName[[#This Row],[Override]], ShortName[[#This Row],[Remove final Housing]] )</f>
        <v>Notting Hill Genesis</v>
      </c>
    </row>
    <row r="1170" spans="2:6" x14ac:dyDescent="0.2">
      <c r="B1170" s="159" t="s" vm="111">
        <v>367</v>
      </c>
      <c r="C1170" s="122" t="str">
        <f xml:space="preserve">  SUBSTITUTE( SUBSTITUTE( SUBSTITUTE( SUBSTITUTE( SUBSTITUTE( SUBSTITUTE( SUBSTITUTE( ShortName[[#This Row],[RP_Name]], " Limited", "" ), " Housing Association", "" ), " Housing Group", "" ), " Group", "" ), " Housing Trust", "" ), " Housing Partnership", "" ), "The ", "" )</f>
        <v>Nottingham Community</v>
      </c>
      <c r="D1170" s="122" t="str">
        <f xml:space="preserve"> IF( RIGHT( ShortName[[#This Row],[Adjust]], 8 ) = " Housing", LEFT( ShortName[[#This Row],[Adjust]], LEN(ShortName[[#This Row],[Adjust]] ) - 8 ), ShortName[[#This Row],[Adjust]] )</f>
        <v>Nottingham Community</v>
      </c>
      <c r="E1170" s="159"/>
      <c r="F1170" s="122" t="str">
        <f xml:space="preserve"> IF( ISTEXT( ShortName[[#This Row],[Override]] ), ShortName[[#This Row],[Override]], ShortName[[#This Row],[Remove final Housing]] )</f>
        <v>Nottingham Community</v>
      </c>
    </row>
    <row r="1171" spans="2:6" x14ac:dyDescent="0.2">
      <c r="B1171" s="159" t="s" vm="112">
        <v>369</v>
      </c>
      <c r="C1171" s="122" t="str">
        <f xml:space="preserve">  SUBSTITUTE( SUBSTITUTE( SUBSTITUTE( SUBSTITUTE( SUBSTITUTE( SUBSTITUTE( SUBSTITUTE( ShortName[[#This Row],[RP_Name]], " Limited", "" ), " Housing Association", "" ), " Housing Group", "" ), " Group", "" ), " Housing Trust", "" ), " Housing Partnership", "" ), "The ", "" )</f>
        <v>NSAH (Alliance Homes)</v>
      </c>
      <c r="D1171" s="122" t="str">
        <f xml:space="preserve"> IF( RIGHT( ShortName[[#This Row],[Adjust]], 8 ) = " Housing", LEFT( ShortName[[#This Row],[Adjust]], LEN(ShortName[[#This Row],[Adjust]] ) - 8 ), ShortName[[#This Row],[Adjust]] )</f>
        <v>NSAH (Alliance Homes)</v>
      </c>
      <c r="E1171" s="159"/>
      <c r="F1171" s="122" t="str">
        <f xml:space="preserve"> IF( ISTEXT( ShortName[[#This Row],[Override]] ), ShortName[[#This Row],[Override]], ShortName[[#This Row],[Remove final Housing]] )</f>
        <v>NSAH (Alliance Homes)</v>
      </c>
    </row>
    <row r="1172" spans="2:6" x14ac:dyDescent="0.2">
      <c r="B1172" s="159" t="s" vm="113">
        <v>371</v>
      </c>
      <c r="C1172" s="122" t="str">
        <f xml:space="preserve">  SUBSTITUTE( SUBSTITUTE( SUBSTITUTE( SUBSTITUTE( SUBSTITUTE( SUBSTITUTE( SUBSTITUTE( ShortName[[#This Row],[RP_Name]], " Limited", "" ), " Housing Association", "" ), " Housing Group", "" ), " Group", "" ), " Housing Trust", "" ), " Housing Partnership", "" ), "The ", "" )</f>
        <v>Ocean</v>
      </c>
      <c r="D1172" s="122" t="str">
        <f xml:space="preserve"> IF( RIGHT( ShortName[[#This Row],[Adjust]], 8 ) = " Housing", LEFT( ShortName[[#This Row],[Adjust]], LEN(ShortName[[#This Row],[Adjust]] ) - 8 ), ShortName[[#This Row],[Adjust]] )</f>
        <v>Ocean</v>
      </c>
      <c r="E1172" s="159"/>
      <c r="F1172" s="122" t="str">
        <f xml:space="preserve"> IF( ISTEXT( ShortName[[#This Row],[Override]] ), ShortName[[#This Row],[Override]], ShortName[[#This Row],[Remove final Housing]] )</f>
        <v>Ocean</v>
      </c>
    </row>
    <row r="1173" spans="2:6" x14ac:dyDescent="0.2">
      <c r="B1173" s="159" t="s" vm="114">
        <v>373</v>
      </c>
      <c r="C1173" s="122" t="str">
        <f xml:space="preserve">  SUBSTITUTE( SUBSTITUTE( SUBSTITUTE( SUBSTITUTE( SUBSTITUTE( SUBSTITUTE( SUBSTITUTE( ShortName[[#This Row],[RP_Name]], " Limited", "" ), " Housing Association", "" ), " Housing Group", "" ), " Group", "" ), " Housing Trust", "" ), " Housing Partnership", "" ), "The ", "" )</f>
        <v>Octavia Housing</v>
      </c>
      <c r="D1173" s="122" t="str">
        <f xml:space="preserve"> IF( RIGHT( ShortName[[#This Row],[Adjust]], 8 ) = " Housing", LEFT( ShortName[[#This Row],[Adjust]], LEN(ShortName[[#This Row],[Adjust]] ) - 8 ), ShortName[[#This Row],[Adjust]] )</f>
        <v>Octavia</v>
      </c>
      <c r="E1173" s="159"/>
      <c r="F1173" s="122" t="str">
        <f xml:space="preserve"> IF( ISTEXT( ShortName[[#This Row],[Override]] ), ShortName[[#This Row],[Override]], ShortName[[#This Row],[Remove final Housing]] )</f>
        <v>Octavia</v>
      </c>
    </row>
    <row r="1174" spans="2:6" x14ac:dyDescent="0.2">
      <c r="B1174" s="159" t="s" vm="115">
        <v>375</v>
      </c>
      <c r="C1174" s="122" t="str">
        <f xml:space="preserve">  SUBSTITUTE( SUBSTITUTE( SUBSTITUTE( SUBSTITUTE( SUBSTITUTE( SUBSTITUTE( SUBSTITUTE( ShortName[[#This Row],[RP_Name]], " Limited", "" ), " Housing Association", "" ), " Housing Group", "" ), " Group", "" ), " Housing Trust", "" ), " Housing Partnership", "" ), "The ", "" )</f>
        <v>One Manchester</v>
      </c>
      <c r="D1174" s="122" t="str">
        <f xml:space="preserve"> IF( RIGHT( ShortName[[#This Row],[Adjust]], 8 ) = " Housing", LEFT( ShortName[[#This Row],[Adjust]], LEN(ShortName[[#This Row],[Adjust]] ) - 8 ), ShortName[[#This Row],[Adjust]] )</f>
        <v>One Manchester</v>
      </c>
      <c r="E1174" s="159"/>
      <c r="F1174" s="122" t="str">
        <f xml:space="preserve"> IF( ISTEXT( ShortName[[#This Row],[Override]] ), ShortName[[#This Row],[Override]], ShortName[[#This Row],[Remove final Housing]] )</f>
        <v>One Manchester</v>
      </c>
    </row>
    <row r="1175" spans="2:6" x14ac:dyDescent="0.2">
      <c r="B1175" s="159" t="s" vm="116">
        <v>377</v>
      </c>
      <c r="C1175" s="122" t="str">
        <f xml:space="preserve">  SUBSTITUTE( SUBSTITUTE( SUBSTITUTE( SUBSTITUTE( SUBSTITUTE( SUBSTITUTE( SUBSTITUTE( ShortName[[#This Row],[RP_Name]], " Limited", "" ), " Housing Association", "" ), " Housing Group", "" ), " Group", "" ), " Housing Trust", "" ), " Housing Partnership", "" ), "The ", "" )</f>
        <v>One Vision Housing</v>
      </c>
      <c r="D1175" s="122" t="str">
        <f xml:space="preserve"> IF( RIGHT( ShortName[[#This Row],[Adjust]], 8 ) = " Housing", LEFT( ShortName[[#This Row],[Adjust]], LEN(ShortName[[#This Row],[Adjust]] ) - 8 ), ShortName[[#This Row],[Adjust]] )</f>
        <v>One Vision</v>
      </c>
      <c r="E1175" s="159"/>
      <c r="F1175" s="122" t="str">
        <f xml:space="preserve"> IF( ISTEXT( ShortName[[#This Row],[Override]] ), ShortName[[#This Row],[Override]], ShortName[[#This Row],[Remove final Housing]] )</f>
        <v>One Vision</v>
      </c>
    </row>
    <row r="1176" spans="2:6" x14ac:dyDescent="0.2">
      <c r="B1176" s="159" t="s" vm="117">
        <v>379</v>
      </c>
      <c r="C1176" s="122" t="str">
        <f xml:space="preserve">  SUBSTITUTE( SUBSTITUTE( SUBSTITUTE( SUBSTITUTE( SUBSTITUTE( SUBSTITUTE( SUBSTITUTE( ShortName[[#This Row],[RP_Name]], " Limited", "" ), " Housing Association", "" ), " Housing Group", "" ), " Group", "" ), " Housing Trust", "" ), " Housing Partnership", "" ), "The ", "" )</f>
        <v>Ongo Homes</v>
      </c>
      <c r="D1176" s="122" t="str">
        <f xml:space="preserve"> IF( RIGHT( ShortName[[#This Row],[Adjust]], 8 ) = " Housing", LEFT( ShortName[[#This Row],[Adjust]], LEN(ShortName[[#This Row],[Adjust]] ) - 8 ), ShortName[[#This Row],[Adjust]] )</f>
        <v>Ongo Homes</v>
      </c>
      <c r="E1176" s="159"/>
      <c r="F1176" s="122" t="str">
        <f xml:space="preserve"> IF( ISTEXT( ShortName[[#This Row],[Override]] ), ShortName[[#This Row],[Override]], ShortName[[#This Row],[Remove final Housing]] )</f>
        <v>Ongo Homes</v>
      </c>
    </row>
    <row r="1177" spans="2:6" x14ac:dyDescent="0.2">
      <c r="B1177" s="159" t="s" vm="118">
        <v>381</v>
      </c>
      <c r="C1177" s="122" t="str">
        <f xml:space="preserve">  SUBSTITUTE( SUBSTITUTE( SUBSTITUTE( SUBSTITUTE( SUBSTITUTE( SUBSTITUTE( SUBSTITUTE( ShortName[[#This Row],[RP_Name]], " Limited", "" ), " Housing Association", "" ), " Housing Group", "" ), " Group", "" ), " Housing Trust", "" ), " Housing Partnership", "" ), "The ", "" )</f>
        <v>Onward</v>
      </c>
      <c r="D1177" s="122" t="str">
        <f xml:space="preserve"> IF( RIGHT( ShortName[[#This Row],[Adjust]], 8 ) = " Housing", LEFT( ShortName[[#This Row],[Adjust]], LEN(ShortName[[#This Row],[Adjust]] ) - 8 ), ShortName[[#This Row],[Adjust]] )</f>
        <v>Onward</v>
      </c>
      <c r="E1177" s="159"/>
      <c r="F1177" s="122" t="str">
        <f xml:space="preserve"> IF( ISTEXT( ShortName[[#This Row],[Override]] ), ShortName[[#This Row],[Override]], ShortName[[#This Row],[Remove final Housing]] )</f>
        <v>Onward</v>
      </c>
    </row>
    <row r="1178" spans="2:6" x14ac:dyDescent="0.2">
      <c r="B1178" s="159" t="s" vm="119">
        <v>383</v>
      </c>
      <c r="C1178" s="122" t="str">
        <f xml:space="preserve">  SUBSTITUTE( SUBSTITUTE( SUBSTITUTE( SUBSTITUTE( SUBSTITUTE( SUBSTITUTE( SUBSTITUTE( ShortName[[#This Row],[RP_Name]], " Limited", "" ), " Housing Association", "" ), " Housing Group", "" ), " Group", "" ), " Housing Trust", "" ), " Housing Partnership", "" ), "The ", "" )</f>
        <v>Orbit</v>
      </c>
      <c r="D1178" s="122" t="str">
        <f xml:space="preserve"> IF( RIGHT( ShortName[[#This Row],[Adjust]], 8 ) = " Housing", LEFT( ShortName[[#This Row],[Adjust]], LEN(ShortName[[#This Row],[Adjust]] ) - 8 ), ShortName[[#This Row],[Adjust]] )</f>
        <v>Orbit</v>
      </c>
      <c r="E1178" s="159"/>
      <c r="F1178" s="122" t="str">
        <f xml:space="preserve"> IF( ISTEXT( ShortName[[#This Row],[Override]] ), ShortName[[#This Row],[Override]], ShortName[[#This Row],[Remove final Housing]] )</f>
        <v>Orbit</v>
      </c>
    </row>
    <row r="1179" spans="2:6" x14ac:dyDescent="0.2">
      <c r="B1179" s="159" t="s" vm="120">
        <v>385</v>
      </c>
      <c r="C1179" s="122" t="str">
        <f xml:space="preserve">  SUBSTITUTE( SUBSTITUTE( SUBSTITUTE( SUBSTITUTE( SUBSTITUTE( SUBSTITUTE( SUBSTITUTE( ShortName[[#This Row],[RP_Name]], " Limited", "" ), " Housing Association", "" ), " Housing Group", "" ), " Group", "" ), " Housing Trust", "" ), " Housing Partnership", "" ), "The ", "" )</f>
        <v>Origin Housing</v>
      </c>
      <c r="D1179" s="122" t="str">
        <f xml:space="preserve"> IF( RIGHT( ShortName[[#This Row],[Adjust]], 8 ) = " Housing", LEFT( ShortName[[#This Row],[Adjust]], LEN(ShortName[[#This Row],[Adjust]] ) - 8 ), ShortName[[#This Row],[Adjust]] )</f>
        <v>Origin</v>
      </c>
      <c r="E1179" s="159"/>
      <c r="F1179" s="122" t="str">
        <f xml:space="preserve"> IF( ISTEXT( ShortName[[#This Row],[Override]] ), ShortName[[#This Row],[Override]], ShortName[[#This Row],[Remove final Housing]] )</f>
        <v>Origin</v>
      </c>
    </row>
    <row r="1180" spans="2:6" x14ac:dyDescent="0.2">
      <c r="B1180" s="159" t="s" vm="121">
        <v>387</v>
      </c>
      <c r="C1180" s="122" t="str">
        <f xml:space="preserve">  SUBSTITUTE( SUBSTITUTE( SUBSTITUTE( SUBSTITUTE( SUBSTITUTE( SUBSTITUTE( SUBSTITUTE( ShortName[[#This Row],[RP_Name]], " Limited", "" ), " Housing Association", "" ), " Housing Group", "" ), " Group", "" ), " Housing Trust", "" ), " Housing Partnership", "" ), "The ", "" )</f>
        <v>Orwell</v>
      </c>
      <c r="D1180" s="122" t="str">
        <f xml:space="preserve"> IF( RIGHT( ShortName[[#This Row],[Adjust]], 8 ) = " Housing", LEFT( ShortName[[#This Row],[Adjust]], LEN(ShortName[[#This Row],[Adjust]] ) - 8 ), ShortName[[#This Row],[Adjust]] )</f>
        <v>Orwell</v>
      </c>
      <c r="E1180" s="159"/>
      <c r="F1180" s="122" t="str">
        <f xml:space="preserve"> IF( ISTEXT( ShortName[[#This Row],[Override]] ), ShortName[[#This Row],[Override]], ShortName[[#This Row],[Remove final Housing]] )</f>
        <v>Orwell</v>
      </c>
    </row>
    <row r="1181" spans="2:6" x14ac:dyDescent="0.2">
      <c r="B1181" s="159" t="s" vm="122">
        <v>389</v>
      </c>
      <c r="C1181" s="122" t="str">
        <f xml:space="preserve">  SUBSTITUTE( SUBSTITUTE( SUBSTITUTE( SUBSTITUTE( SUBSTITUTE( SUBSTITUTE( SUBSTITUTE( ShortName[[#This Row],[RP_Name]], " Limited", "" ), " Housing Association", "" ), " Housing Group", "" ), " Group", "" ), " Housing Trust", "" ), " Housing Partnership", "" ), "The ", "" )</f>
        <v>Paradigm</v>
      </c>
      <c r="D1181" s="122" t="str">
        <f xml:space="preserve"> IF( RIGHT( ShortName[[#This Row],[Adjust]], 8 ) = " Housing", LEFT( ShortName[[#This Row],[Adjust]], LEN(ShortName[[#This Row],[Adjust]] ) - 8 ), ShortName[[#This Row],[Adjust]] )</f>
        <v>Paradigm</v>
      </c>
      <c r="E1181" s="159"/>
      <c r="F1181" s="122" t="str">
        <f xml:space="preserve"> IF( ISTEXT( ShortName[[#This Row],[Override]] ), ShortName[[#This Row],[Override]], ShortName[[#This Row],[Remove final Housing]] )</f>
        <v>Paradigm</v>
      </c>
    </row>
    <row r="1182" spans="2:6" x14ac:dyDescent="0.2">
      <c r="B1182" s="159" t="s" vm="123">
        <v>391</v>
      </c>
      <c r="C1182" s="122" t="str">
        <f xml:space="preserve">  SUBSTITUTE( SUBSTITUTE( SUBSTITUTE( SUBSTITUTE( SUBSTITUTE( SUBSTITUTE( SUBSTITUTE( ShortName[[#This Row],[RP_Name]], " Limited", "" ), " Housing Association", "" ), " Housing Group", "" ), " Group", "" ), " Housing Trust", "" ), " Housing Partnership", "" ), "The ", "" )</f>
        <v>Paragon Asra Housing</v>
      </c>
      <c r="D1182" s="122" t="str">
        <f xml:space="preserve"> IF( RIGHT( ShortName[[#This Row],[Adjust]], 8 ) = " Housing", LEFT( ShortName[[#This Row],[Adjust]], LEN(ShortName[[#This Row],[Adjust]] ) - 8 ), ShortName[[#This Row],[Adjust]] )</f>
        <v>Paragon Asra</v>
      </c>
      <c r="E1182" s="159"/>
      <c r="F1182" s="122" t="str">
        <f xml:space="preserve"> IF( ISTEXT( ShortName[[#This Row],[Override]] ), ShortName[[#This Row],[Override]], ShortName[[#This Row],[Remove final Housing]] )</f>
        <v>Paragon Asra</v>
      </c>
    </row>
    <row r="1183" spans="2:6" x14ac:dyDescent="0.2">
      <c r="B1183" s="159" t="s" vm="124">
        <v>393</v>
      </c>
      <c r="C1183" s="122" t="str">
        <f xml:space="preserve">  SUBSTITUTE( SUBSTITUTE( SUBSTITUTE( SUBSTITUTE( SUBSTITUTE( SUBSTITUTE( SUBSTITUTE( ShortName[[#This Row],[RP_Name]], " Limited", "" ), " Housing Association", "" ), " Housing Group", "" ), " Group", "" ), " Housing Trust", "" ), " Housing Partnership", "" ), "The ", "" )</f>
        <v>Peabody Trust</v>
      </c>
      <c r="D1183" s="122" t="str">
        <f xml:space="preserve"> IF( RIGHT( ShortName[[#This Row],[Adjust]], 8 ) = " Housing", LEFT( ShortName[[#This Row],[Adjust]], LEN(ShortName[[#This Row],[Adjust]] ) - 8 ), ShortName[[#This Row],[Adjust]] )</f>
        <v>Peabody Trust</v>
      </c>
      <c r="E1183" s="159"/>
      <c r="F1183" s="122" t="str">
        <f xml:space="preserve"> IF( ISTEXT( ShortName[[#This Row],[Override]] ), ShortName[[#This Row],[Override]], ShortName[[#This Row],[Remove final Housing]] )</f>
        <v>Peabody Trust</v>
      </c>
    </row>
    <row r="1184" spans="2:6" x14ac:dyDescent="0.2">
      <c r="B1184" s="159" t="s" vm="125">
        <v>395</v>
      </c>
      <c r="C1184" s="122" t="str">
        <f xml:space="preserve">  SUBSTITUTE( SUBSTITUTE( SUBSTITUTE( SUBSTITUTE( SUBSTITUTE( SUBSTITUTE( SUBSTITUTE( ShortName[[#This Row],[RP_Name]], " Limited", "" ), " Housing Association", "" ), " Housing Group", "" ), " Group", "" ), " Housing Trust", "" ), " Housing Partnership", "" ), "The ", "" )</f>
        <v>Phoenix Community (Bellingham and Downham)</v>
      </c>
      <c r="D1184" s="122" t="str">
        <f xml:space="preserve"> IF( RIGHT( ShortName[[#This Row],[Adjust]], 8 ) = " Housing", LEFT( ShortName[[#This Row],[Adjust]], LEN(ShortName[[#This Row],[Adjust]] ) - 8 ), ShortName[[#This Row],[Adjust]] )</f>
        <v>Phoenix Community (Bellingham and Downham)</v>
      </c>
      <c r="E1184" s="159"/>
      <c r="F1184" s="122" t="str">
        <f xml:space="preserve"> IF( ISTEXT( ShortName[[#This Row],[Override]] ), ShortName[[#This Row],[Override]], ShortName[[#This Row],[Remove final Housing]] )</f>
        <v>Phoenix Community (Bellingham and Downham)</v>
      </c>
    </row>
    <row r="1185" spans="2:6" x14ac:dyDescent="0.2">
      <c r="B1185" s="159" t="s" vm="126">
        <v>397</v>
      </c>
      <c r="C1185" s="122" t="str">
        <f xml:space="preserve">  SUBSTITUTE( SUBSTITUTE( SUBSTITUTE( SUBSTITUTE( SUBSTITUTE( SUBSTITUTE( SUBSTITUTE( ShortName[[#This Row],[RP_Name]], " Limited", "" ), " Housing Association", "" ), " Housing Group", "" ), " Group", "" ), " Housing Trust", "" ), " Housing Partnership", "" ), "The ", "" )</f>
        <v>Pickering and Ferens Homes</v>
      </c>
      <c r="D1185" s="122" t="str">
        <f xml:space="preserve"> IF( RIGHT( ShortName[[#This Row],[Adjust]], 8 ) = " Housing", LEFT( ShortName[[#This Row],[Adjust]], LEN(ShortName[[#This Row],[Adjust]] ) - 8 ), ShortName[[#This Row],[Adjust]] )</f>
        <v>Pickering and Ferens Homes</v>
      </c>
      <c r="E1185" s="159" t="s">
        <v>761</v>
      </c>
      <c r="F1185" s="122" t="str">
        <f xml:space="preserve"> IF( ISTEXT( ShortName[[#This Row],[Override]] ), ShortName[[#This Row],[Override]], ShortName[[#This Row],[Remove final Housing]] )</f>
        <v>Pickering and Ferens</v>
      </c>
    </row>
    <row r="1186" spans="2:6" x14ac:dyDescent="0.2">
      <c r="B1186" s="159" t="s" vm="127">
        <v>399</v>
      </c>
      <c r="C1186" s="122" t="str">
        <f xml:space="preserve">  SUBSTITUTE( SUBSTITUTE( SUBSTITUTE( SUBSTITUTE( SUBSTITUTE( SUBSTITUTE( SUBSTITUTE( ShortName[[#This Row],[RP_Name]], " Limited", "" ), " Housing Association", "" ), " Housing Group", "" ), " Group", "" ), " Housing Trust", "" ), " Housing Partnership", "" ), "The ", "" )</f>
        <v>Places for People</v>
      </c>
      <c r="D1186" s="122" t="str">
        <f xml:space="preserve"> IF( RIGHT( ShortName[[#This Row],[Adjust]], 8 ) = " Housing", LEFT( ShortName[[#This Row],[Adjust]], LEN(ShortName[[#This Row],[Adjust]] ) - 8 ), ShortName[[#This Row],[Adjust]] )</f>
        <v>Places for People</v>
      </c>
      <c r="E1186" s="159"/>
      <c r="F1186" s="122" t="str">
        <f xml:space="preserve"> IF( ISTEXT( ShortName[[#This Row],[Override]] ), ShortName[[#This Row],[Override]], ShortName[[#This Row],[Remove final Housing]] )</f>
        <v>Places for People</v>
      </c>
    </row>
    <row r="1187" spans="2:6" x14ac:dyDescent="0.2">
      <c r="B1187" s="159" t="s" vm="128">
        <v>401</v>
      </c>
      <c r="C1187" s="122" t="str">
        <f xml:space="preserve">  SUBSTITUTE( SUBSTITUTE( SUBSTITUTE( SUBSTITUTE( SUBSTITUTE( SUBSTITUTE( SUBSTITUTE( ShortName[[#This Row],[RP_Name]], " Limited", "" ), " Housing Association", "" ), " Housing Group", "" ), " Group", "" ), " Housing Trust", "" ), " Housing Partnership", "" ), "The ", "" )</f>
        <v>Platform</v>
      </c>
      <c r="D1187" s="122" t="str">
        <f xml:space="preserve"> IF( RIGHT( ShortName[[#This Row],[Adjust]], 8 ) = " Housing", LEFT( ShortName[[#This Row],[Adjust]], LEN(ShortName[[#This Row],[Adjust]] ) - 8 ), ShortName[[#This Row],[Adjust]] )</f>
        <v>Platform</v>
      </c>
      <c r="E1187" s="159"/>
      <c r="F1187" s="122" t="str">
        <f xml:space="preserve"> IF( ISTEXT( ShortName[[#This Row],[Override]] ), ShortName[[#This Row],[Override]], ShortName[[#This Row],[Remove final Housing]] )</f>
        <v>Platform</v>
      </c>
    </row>
    <row r="1188" spans="2:6" x14ac:dyDescent="0.2">
      <c r="B1188" s="159" t="s" vm="129">
        <v>403</v>
      </c>
      <c r="C1188" s="122" t="str">
        <f xml:space="preserve">  SUBSTITUTE( SUBSTITUTE( SUBSTITUTE( SUBSTITUTE( SUBSTITUTE( SUBSTITUTE( SUBSTITUTE( ShortName[[#This Row],[RP_Name]], " Limited", "" ), " Housing Association", "" ), " Housing Group", "" ), " Group", "" ), " Housing Trust", "" ), " Housing Partnership", "" ), "The ", "" )</f>
        <v>Plus Dane Housing</v>
      </c>
      <c r="D1188" s="122" t="str">
        <f xml:space="preserve"> IF( RIGHT( ShortName[[#This Row],[Adjust]], 8 ) = " Housing", LEFT( ShortName[[#This Row],[Adjust]], LEN(ShortName[[#This Row],[Adjust]] ) - 8 ), ShortName[[#This Row],[Adjust]] )</f>
        <v>Plus Dane</v>
      </c>
      <c r="E1188" s="159"/>
      <c r="F1188" s="122" t="str">
        <f xml:space="preserve"> IF( ISTEXT( ShortName[[#This Row],[Override]] ), ShortName[[#This Row],[Override]], ShortName[[#This Row],[Remove final Housing]] )</f>
        <v>Plus Dane</v>
      </c>
    </row>
    <row r="1189" spans="2:6" x14ac:dyDescent="0.2">
      <c r="B1189" s="159" t="s" vm="130">
        <v>405</v>
      </c>
      <c r="C1189" s="122" t="str">
        <f xml:space="preserve">  SUBSTITUTE( SUBSTITUTE( SUBSTITUTE( SUBSTITUTE( SUBSTITUTE( SUBSTITUTE( SUBSTITUTE( ShortName[[#This Row],[RP_Name]], " Limited", "" ), " Housing Association", "" ), " Housing Group", "" ), " Group", "" ), " Housing Trust", "" ), " Housing Partnership", "" ), "The ", "" )</f>
        <v>Plymouth Community Homes</v>
      </c>
      <c r="D1189" s="122" t="str">
        <f xml:space="preserve"> IF( RIGHT( ShortName[[#This Row],[Adjust]], 8 ) = " Housing", LEFT( ShortName[[#This Row],[Adjust]], LEN(ShortName[[#This Row],[Adjust]] ) - 8 ), ShortName[[#This Row],[Adjust]] )</f>
        <v>Plymouth Community Homes</v>
      </c>
      <c r="E1189" s="159"/>
      <c r="F1189" s="122" t="str">
        <f xml:space="preserve"> IF( ISTEXT( ShortName[[#This Row],[Override]] ), ShortName[[#This Row],[Override]], ShortName[[#This Row],[Remove final Housing]] )</f>
        <v>Plymouth Community Homes</v>
      </c>
    </row>
    <row r="1190" spans="2:6" x14ac:dyDescent="0.2">
      <c r="B1190" s="159" t="s" vm="131">
        <v>407</v>
      </c>
      <c r="C1190" s="122" t="str">
        <f xml:space="preserve">  SUBSTITUTE( SUBSTITUTE( SUBSTITUTE( SUBSTITUTE( SUBSTITUTE( SUBSTITUTE( SUBSTITUTE( ShortName[[#This Row],[RP_Name]], " Limited", "" ), " Housing Association", "" ), " Housing Group", "" ), " Group", "" ), " Housing Trust", "" ), " Housing Partnership", "" ), "The ", "" )</f>
        <v>Poplar Housing And Regeneration Community Association</v>
      </c>
      <c r="D1190" s="122" t="str">
        <f xml:space="preserve"> IF( RIGHT( ShortName[[#This Row],[Adjust]], 8 ) = " Housing", LEFT( ShortName[[#This Row],[Adjust]], LEN(ShortName[[#This Row],[Adjust]] ) - 8 ), ShortName[[#This Row],[Adjust]] )</f>
        <v>Poplar Housing And Regeneration Community Association</v>
      </c>
      <c r="E1190" s="159" t="s">
        <v>762</v>
      </c>
      <c r="F1190" s="122" t="str">
        <f xml:space="preserve"> IF( ISTEXT( ShortName[[#This Row],[Override]] ), ShortName[[#This Row],[Override]], ShortName[[#This Row],[Remove final Housing]] )</f>
        <v>Poplar HARCA</v>
      </c>
    </row>
    <row r="1191" spans="2:6" x14ac:dyDescent="0.2">
      <c r="B1191" s="159" t="s" vm="132">
        <v>409</v>
      </c>
      <c r="C1191" s="122" t="str">
        <f xml:space="preserve">  SUBSTITUTE( SUBSTITUTE( SUBSTITUTE( SUBSTITUTE( SUBSTITUTE( SUBSTITUTE( SUBSTITUTE( ShortName[[#This Row],[RP_Name]], " Limited", "" ), " Housing Association", "" ), " Housing Group", "" ), " Group", "" ), " Housing Trust", "" ), " Housing Partnership", "" ), "The ", "" )</f>
        <v>Prima</v>
      </c>
      <c r="D1191" s="122" t="str">
        <f xml:space="preserve"> IF( RIGHT( ShortName[[#This Row],[Adjust]], 8 ) = " Housing", LEFT( ShortName[[#This Row],[Adjust]], LEN(ShortName[[#This Row],[Adjust]] ) - 8 ), ShortName[[#This Row],[Adjust]] )</f>
        <v>Prima</v>
      </c>
      <c r="E1191" s="159"/>
      <c r="F1191" s="122" t="str">
        <f xml:space="preserve"> IF( ISTEXT( ShortName[[#This Row],[Override]] ), ShortName[[#This Row],[Override]], ShortName[[#This Row],[Remove final Housing]] )</f>
        <v>Prima</v>
      </c>
    </row>
    <row r="1192" spans="2:6" x14ac:dyDescent="0.2">
      <c r="B1192" s="159" t="s" vm="133">
        <v>411</v>
      </c>
      <c r="C1192" s="122" t="str">
        <f xml:space="preserve">  SUBSTITUTE( SUBSTITUTE( SUBSTITUTE( SUBSTITUTE( SUBSTITUTE( SUBSTITUTE( SUBSTITUTE( ShortName[[#This Row],[RP_Name]], " Limited", "" ), " Housing Association", "" ), " Housing Group", "" ), " Group", "" ), " Housing Trust", "" ), " Housing Partnership", "" ), "The ", "" )</f>
        <v>Progress</v>
      </c>
      <c r="D1192" s="122" t="str">
        <f xml:space="preserve"> IF( RIGHT( ShortName[[#This Row],[Adjust]], 8 ) = " Housing", LEFT( ShortName[[#This Row],[Adjust]], LEN(ShortName[[#This Row],[Adjust]] ) - 8 ), ShortName[[#This Row],[Adjust]] )</f>
        <v>Progress</v>
      </c>
      <c r="E1192" s="159"/>
      <c r="F1192" s="122" t="str">
        <f xml:space="preserve"> IF( ISTEXT( ShortName[[#This Row],[Override]] ), ShortName[[#This Row],[Override]], ShortName[[#This Row],[Remove final Housing]] )</f>
        <v>Progress</v>
      </c>
    </row>
    <row r="1193" spans="2:6" x14ac:dyDescent="0.2">
      <c r="B1193" s="159" t="s" vm="134">
        <v>413</v>
      </c>
      <c r="C1193" s="122" t="str">
        <f xml:space="preserve">  SUBSTITUTE( SUBSTITUTE( SUBSTITUTE( SUBSTITUTE( SUBSTITUTE( SUBSTITUTE( SUBSTITUTE( ShortName[[#This Row],[RP_Name]], " Limited", "" ), " Housing Association", "" ), " Housing Group", "" ), " Group", "" ), " Housing Trust", "" ), " Housing Partnership", "" ), "The ", "" )</f>
        <v>Railway and Benefit Fund</v>
      </c>
      <c r="D1193" s="122" t="str">
        <f xml:space="preserve"> IF( RIGHT( ShortName[[#This Row],[Adjust]], 8 ) = " Housing", LEFT( ShortName[[#This Row],[Adjust]], LEN(ShortName[[#This Row],[Adjust]] ) - 8 ), ShortName[[#This Row],[Adjust]] )</f>
        <v>Railway and Benefit Fund</v>
      </c>
      <c r="E1193" s="159" t="s">
        <v>763</v>
      </c>
      <c r="F1193" s="122" t="str">
        <f xml:space="preserve"> IF( ISTEXT( ShortName[[#This Row],[Override]] ), ShortName[[#This Row],[Override]], ShortName[[#This Row],[Remove final Housing]] )</f>
        <v>Railway</v>
      </c>
    </row>
    <row r="1194" spans="2:6" x14ac:dyDescent="0.2">
      <c r="B1194" s="159" t="s" vm="135">
        <v>415</v>
      </c>
      <c r="C1194" s="122" t="str">
        <f xml:space="preserve">  SUBSTITUTE( SUBSTITUTE( SUBSTITUTE( SUBSTITUTE( SUBSTITUTE( SUBSTITUTE( SUBSTITUTE( ShortName[[#This Row],[RP_Name]], " Limited", "" ), " Housing Association", "" ), " Housing Group", "" ), " Group", "" ), " Housing Trust", "" ), " Housing Partnership", "" ), "The ", "" )</f>
        <v>Raven</v>
      </c>
      <c r="D1194" s="122" t="str">
        <f xml:space="preserve"> IF( RIGHT( ShortName[[#This Row],[Adjust]], 8 ) = " Housing", LEFT( ShortName[[#This Row],[Adjust]], LEN(ShortName[[#This Row],[Adjust]] ) - 8 ), ShortName[[#This Row],[Adjust]] )</f>
        <v>Raven</v>
      </c>
      <c r="E1194" s="159"/>
      <c r="F1194" s="122" t="str">
        <f xml:space="preserve"> IF( ISTEXT( ShortName[[#This Row],[Override]] ), ShortName[[#This Row],[Override]], ShortName[[#This Row],[Remove final Housing]] )</f>
        <v>Raven</v>
      </c>
    </row>
    <row r="1195" spans="2:6" x14ac:dyDescent="0.2">
      <c r="B1195" s="159" t="s" vm="136">
        <v>417</v>
      </c>
      <c r="C1195" s="122" t="str">
        <f xml:space="preserve">  SUBSTITUTE( SUBSTITUTE( SUBSTITUTE( SUBSTITUTE( SUBSTITUTE( SUBSTITUTE( SUBSTITUTE( ShortName[[#This Row],[RP_Name]], " Limited", "" ), " Housing Association", "" ), " Housing Group", "" ), " Group", "" ), " Housing Trust", "" ), " Housing Partnership", "" ), "The ", "" )</f>
        <v>Red Kite Community Housing</v>
      </c>
      <c r="D1195" s="122" t="str">
        <f xml:space="preserve"> IF( RIGHT( ShortName[[#This Row],[Adjust]], 8 ) = " Housing", LEFT( ShortName[[#This Row],[Adjust]], LEN(ShortName[[#This Row],[Adjust]] ) - 8 ), ShortName[[#This Row],[Adjust]] )</f>
        <v>Red Kite Community</v>
      </c>
      <c r="E1195" s="159" t="s">
        <v>764</v>
      </c>
      <c r="F1195" s="122" t="str">
        <f xml:space="preserve"> IF( ISTEXT( ShortName[[#This Row],[Override]] ), ShortName[[#This Row],[Override]], ShortName[[#This Row],[Remove final Housing]] )</f>
        <v>Red Kite</v>
      </c>
    </row>
    <row r="1196" spans="2:6" x14ac:dyDescent="0.2">
      <c r="B1196" s="159" t="s" vm="137">
        <v>419</v>
      </c>
      <c r="C1196" s="122" t="str">
        <f xml:space="preserve">  SUBSTITUTE( SUBSTITUTE( SUBSTITUTE( SUBSTITUTE( SUBSTITUTE( SUBSTITUTE( SUBSTITUTE( ShortName[[#This Row],[RP_Name]], " Limited", "" ), " Housing Association", "" ), " Housing Group", "" ), " Group", "" ), " Housing Trust", "" ), " Housing Partnership", "" ), "The ", "" )</f>
        <v>Regenda</v>
      </c>
      <c r="D1196" s="122" t="str">
        <f xml:space="preserve"> IF( RIGHT( ShortName[[#This Row],[Adjust]], 8 ) = " Housing", LEFT( ShortName[[#This Row],[Adjust]], LEN(ShortName[[#This Row],[Adjust]] ) - 8 ), ShortName[[#This Row],[Adjust]] )</f>
        <v>Regenda</v>
      </c>
      <c r="E1196" s="159"/>
      <c r="F1196" s="122" t="str">
        <f xml:space="preserve"> IF( ISTEXT( ShortName[[#This Row],[Override]] ), ShortName[[#This Row],[Override]], ShortName[[#This Row],[Remove final Housing]] )</f>
        <v>Regenda</v>
      </c>
    </row>
    <row r="1197" spans="2:6" x14ac:dyDescent="0.2">
      <c r="B1197" s="159" t="s" vm="138">
        <v>421</v>
      </c>
      <c r="C1197" s="122" t="str">
        <f xml:space="preserve">  SUBSTITUTE( SUBSTITUTE( SUBSTITUTE( SUBSTITUTE( SUBSTITUTE( SUBSTITUTE( SUBSTITUTE( ShortName[[#This Row],[RP_Name]], " Limited", "" ), " Housing Association", "" ), " Housing Group", "" ), " Group", "" ), " Housing Trust", "" ), " Housing Partnership", "" ), "The ", "" )</f>
        <v>Richmond</v>
      </c>
      <c r="D1197" s="122" t="str">
        <f xml:space="preserve"> IF( RIGHT( ShortName[[#This Row],[Adjust]], 8 ) = " Housing", LEFT( ShortName[[#This Row],[Adjust]], LEN(ShortName[[#This Row],[Adjust]] ) - 8 ), ShortName[[#This Row],[Adjust]] )</f>
        <v>Richmond</v>
      </c>
      <c r="E1197" s="159"/>
      <c r="F1197" s="122" t="str">
        <f xml:space="preserve"> IF( ISTEXT( ShortName[[#This Row],[Override]] ), ShortName[[#This Row],[Override]], ShortName[[#This Row],[Remove final Housing]] )</f>
        <v>Richmond</v>
      </c>
    </row>
    <row r="1198" spans="2:6" x14ac:dyDescent="0.2">
      <c r="B1198" s="159" t="s" vm="139">
        <v>423</v>
      </c>
      <c r="C1198" s="122" t="str">
        <f xml:space="preserve">  SUBSTITUTE( SUBSTITUTE( SUBSTITUTE( SUBSTITUTE( SUBSTITUTE( SUBSTITUTE( SUBSTITUTE( ShortName[[#This Row],[RP_Name]], " Limited", "" ), " Housing Association", "" ), " Housing Group", "" ), " Group", "" ), " Housing Trust", "" ), " Housing Partnership", "" ), "The ", "" )</f>
        <v>Rochdale Boroughwide Housing</v>
      </c>
      <c r="D1198" s="122" t="str">
        <f xml:space="preserve"> IF( RIGHT( ShortName[[#This Row],[Adjust]], 8 ) = " Housing", LEFT( ShortName[[#This Row],[Adjust]], LEN(ShortName[[#This Row],[Adjust]] ) - 8 ), ShortName[[#This Row],[Adjust]] )</f>
        <v>Rochdale Boroughwide</v>
      </c>
      <c r="E1198" s="159"/>
      <c r="F1198" s="122" t="str">
        <f xml:space="preserve"> IF( ISTEXT( ShortName[[#This Row],[Override]] ), ShortName[[#This Row],[Override]], ShortName[[#This Row],[Remove final Housing]] )</f>
        <v>Rochdale Boroughwide</v>
      </c>
    </row>
    <row r="1199" spans="2:6" x14ac:dyDescent="0.2">
      <c r="B1199" s="159" t="s" vm="140">
        <v>425</v>
      </c>
      <c r="C1199" s="122" t="str">
        <f xml:space="preserve">  SUBSTITUTE( SUBSTITUTE( SUBSTITUTE( SUBSTITUTE( SUBSTITUTE( SUBSTITUTE( SUBSTITUTE( ShortName[[#This Row],[RP_Name]], " Limited", "" ), " Housing Association", "" ), " Housing Group", "" ), " Group", "" ), " Housing Trust", "" ), " Housing Partnership", "" ), "The ", "" )</f>
        <v>Rooftop</v>
      </c>
      <c r="D1199" s="122" t="str">
        <f xml:space="preserve"> IF( RIGHT( ShortName[[#This Row],[Adjust]], 8 ) = " Housing", LEFT( ShortName[[#This Row],[Adjust]], LEN(ShortName[[#This Row],[Adjust]] ) - 8 ), ShortName[[#This Row],[Adjust]] )</f>
        <v>Rooftop</v>
      </c>
      <c r="E1199" s="159"/>
      <c r="F1199" s="122" t="str">
        <f xml:space="preserve"> IF( ISTEXT( ShortName[[#This Row],[Override]] ), ShortName[[#This Row],[Override]], ShortName[[#This Row],[Remove final Housing]] )</f>
        <v>Rooftop</v>
      </c>
    </row>
    <row r="1200" spans="2:6" x14ac:dyDescent="0.2">
      <c r="B1200" s="159" t="s" vm="141">
        <v>427</v>
      </c>
      <c r="C1200" s="122" t="str">
        <f xml:space="preserve">  SUBSTITUTE( SUBSTITUTE( SUBSTITUTE( SUBSTITUTE( SUBSTITUTE( SUBSTITUTE( SUBSTITUTE( ShortName[[#This Row],[RP_Name]], " Limited", "" ), " Housing Association", "" ), " Housing Group", "" ), " Group", "" ), " Housing Trust", "" ), " Housing Partnership", "" ), "The ", "" )</f>
        <v>Saffron</v>
      </c>
      <c r="D1200" s="122" t="str">
        <f xml:space="preserve"> IF( RIGHT( ShortName[[#This Row],[Adjust]], 8 ) = " Housing", LEFT( ShortName[[#This Row],[Adjust]], LEN(ShortName[[#This Row],[Adjust]] ) - 8 ), ShortName[[#This Row],[Adjust]] )</f>
        <v>Saffron</v>
      </c>
      <c r="E1200" s="159"/>
      <c r="F1200" s="122" t="str">
        <f xml:space="preserve"> IF( ISTEXT( ShortName[[#This Row],[Override]] ), ShortName[[#This Row],[Override]], ShortName[[#This Row],[Remove final Housing]] )</f>
        <v>Saffron</v>
      </c>
    </row>
    <row r="1201" spans="2:6" x14ac:dyDescent="0.2">
      <c r="B1201" s="159" t="s" vm="142">
        <v>429</v>
      </c>
      <c r="C1201" s="122" t="str">
        <f xml:space="preserve">  SUBSTITUTE( SUBSTITUTE( SUBSTITUTE( SUBSTITUTE( SUBSTITUTE( SUBSTITUTE( SUBSTITUTE( ShortName[[#This Row],[RP_Name]], " Limited", "" ), " Housing Association", "" ), " Housing Group", "" ), " Group", "" ), " Housing Trust", "" ), " Housing Partnership", "" ), "The ", "" )</f>
        <v>Salix Homes</v>
      </c>
      <c r="D1201" s="122" t="str">
        <f xml:space="preserve"> IF( RIGHT( ShortName[[#This Row],[Adjust]], 8 ) = " Housing", LEFT( ShortName[[#This Row],[Adjust]], LEN(ShortName[[#This Row],[Adjust]] ) - 8 ), ShortName[[#This Row],[Adjust]] )</f>
        <v>Salix Homes</v>
      </c>
      <c r="E1201" s="159"/>
      <c r="F1201" s="122" t="str">
        <f xml:space="preserve"> IF( ISTEXT( ShortName[[#This Row],[Override]] ), ShortName[[#This Row],[Override]], ShortName[[#This Row],[Remove final Housing]] )</f>
        <v>Salix Homes</v>
      </c>
    </row>
    <row r="1202" spans="2:6" x14ac:dyDescent="0.2">
      <c r="B1202" s="159" t="s" vm="143">
        <v>431</v>
      </c>
      <c r="C1202" s="122" t="str">
        <f xml:space="preserve">  SUBSTITUTE( SUBSTITUTE( SUBSTITUTE( SUBSTITUTE( SUBSTITUTE( SUBSTITUTE( SUBSTITUTE( ShortName[[#This Row],[RP_Name]], " Limited", "" ), " Housing Association", "" ), " Housing Group", "" ), " Group", "" ), " Housing Trust", "" ), " Housing Partnership", "" ), "The ", "" )</f>
        <v>Salvation Army</v>
      </c>
      <c r="D1202" s="122" t="str">
        <f xml:space="preserve"> IF( RIGHT( ShortName[[#This Row],[Adjust]], 8 ) = " Housing", LEFT( ShortName[[#This Row],[Adjust]], LEN(ShortName[[#This Row],[Adjust]] ) - 8 ), ShortName[[#This Row],[Adjust]] )</f>
        <v>Salvation Army</v>
      </c>
      <c r="E1202" s="159"/>
      <c r="F1202" s="122" t="str">
        <f xml:space="preserve"> IF( ISTEXT( ShortName[[#This Row],[Override]] ), ShortName[[#This Row],[Override]], ShortName[[#This Row],[Remove final Housing]] )</f>
        <v>Salvation Army</v>
      </c>
    </row>
    <row r="1203" spans="2:6" x14ac:dyDescent="0.2">
      <c r="B1203" s="159" t="s" vm="144">
        <v>433</v>
      </c>
      <c r="C1203" s="122" t="str">
        <f xml:space="preserve">  SUBSTITUTE( SUBSTITUTE( SUBSTITUTE( SUBSTITUTE( SUBSTITUTE( SUBSTITUTE( SUBSTITUTE( ShortName[[#This Row],[RP_Name]], " Limited", "" ), " Housing Association", "" ), " Housing Group", "" ), " Group", "" ), " Housing Trust", "" ), " Housing Partnership", "" ), "The ", "" )</f>
        <v>Sanctuary</v>
      </c>
      <c r="D1203" s="122" t="str">
        <f xml:space="preserve"> IF( RIGHT( ShortName[[#This Row],[Adjust]], 8 ) = " Housing", LEFT( ShortName[[#This Row],[Adjust]], LEN(ShortName[[#This Row],[Adjust]] ) - 8 ), ShortName[[#This Row],[Adjust]] )</f>
        <v>Sanctuary</v>
      </c>
      <c r="E1203" s="159"/>
      <c r="F1203" s="122" t="str">
        <f xml:space="preserve"> IF( ISTEXT( ShortName[[#This Row],[Override]] ), ShortName[[#This Row],[Override]], ShortName[[#This Row],[Remove final Housing]] )</f>
        <v>Sanctuary</v>
      </c>
    </row>
    <row r="1204" spans="2:6" x14ac:dyDescent="0.2">
      <c r="B1204" s="159" t="s" vm="145">
        <v>435</v>
      </c>
      <c r="C1204" s="122" t="str">
        <f xml:space="preserve">  SUBSTITUTE( SUBSTITUTE( SUBSTITUTE( SUBSTITUTE( SUBSTITUTE( SUBSTITUTE( SUBSTITUTE( ShortName[[#This Row],[RP_Name]], " Limited", "" ), " Housing Association", "" ), " Housing Group", "" ), " Group", "" ), " Housing Trust", "" ), " Housing Partnership", "" ), "The ", "" )</f>
        <v>Saxon Weald</v>
      </c>
      <c r="D1204" s="122" t="str">
        <f xml:space="preserve"> IF( RIGHT( ShortName[[#This Row],[Adjust]], 8 ) = " Housing", LEFT( ShortName[[#This Row],[Adjust]], LEN(ShortName[[#This Row],[Adjust]] ) - 8 ), ShortName[[#This Row],[Adjust]] )</f>
        <v>Saxon Weald</v>
      </c>
      <c r="E1204" s="159"/>
      <c r="F1204" s="122" t="str">
        <f xml:space="preserve"> IF( ISTEXT( ShortName[[#This Row],[Override]] ), ShortName[[#This Row],[Override]], ShortName[[#This Row],[Remove final Housing]] )</f>
        <v>Saxon Weald</v>
      </c>
    </row>
    <row r="1205" spans="2:6" x14ac:dyDescent="0.2">
      <c r="B1205" s="159" t="s" vm="146">
        <v>437</v>
      </c>
      <c r="C1205" s="122" t="str">
        <f xml:space="preserve">  SUBSTITUTE( SUBSTITUTE( SUBSTITUTE( SUBSTITUTE( SUBSTITUTE( SUBSTITUTE( SUBSTITUTE( ShortName[[#This Row],[RP_Name]], " Limited", "" ), " Housing Association", "" ), " Housing Group", "" ), " Group", "" ), " Housing Trust", "" ), " Housing Partnership", "" ), "The ", "" )</f>
        <v>Selwood Housing Society</v>
      </c>
      <c r="D1205" s="122" t="str">
        <f xml:space="preserve"> IF( RIGHT( ShortName[[#This Row],[Adjust]], 8 ) = " Housing", LEFT( ShortName[[#This Row],[Adjust]], LEN(ShortName[[#This Row],[Adjust]] ) - 8 ), ShortName[[#This Row],[Adjust]] )</f>
        <v>Selwood Housing Society</v>
      </c>
      <c r="E1205" s="159" t="s">
        <v>765</v>
      </c>
      <c r="F1205" s="122" t="str">
        <f xml:space="preserve"> IF( ISTEXT( ShortName[[#This Row],[Override]] ), ShortName[[#This Row],[Override]], ShortName[[#This Row],[Remove final Housing]] )</f>
        <v>Selwood</v>
      </c>
    </row>
    <row r="1206" spans="2:6" x14ac:dyDescent="0.2">
      <c r="B1206" s="159" t="s" vm="147">
        <v>439</v>
      </c>
      <c r="C1206" s="122" t="str">
        <f xml:space="preserve">  SUBSTITUTE( SUBSTITUTE( SUBSTITUTE( SUBSTITUTE( SUBSTITUTE( SUBSTITUTE( SUBSTITUTE( ShortName[[#This Row],[RP_Name]], " Limited", "" ), " Housing Association", "" ), " Housing Group", "" ), " Group", "" ), " Housing Trust", "" ), " Housing Partnership", "" ), "The ", "" )</f>
        <v>Settle</v>
      </c>
      <c r="D1206" s="122" t="str">
        <f xml:space="preserve"> IF( RIGHT( ShortName[[#This Row],[Adjust]], 8 ) = " Housing", LEFT( ShortName[[#This Row],[Adjust]], LEN(ShortName[[#This Row],[Adjust]] ) - 8 ), ShortName[[#This Row],[Adjust]] )</f>
        <v>Settle</v>
      </c>
      <c r="E1206" s="159"/>
      <c r="F1206" s="122" t="str">
        <f xml:space="preserve"> IF( ISTEXT( ShortName[[#This Row],[Override]] ), ShortName[[#This Row],[Override]], ShortName[[#This Row],[Remove final Housing]] )</f>
        <v>Settle</v>
      </c>
    </row>
    <row r="1207" spans="2:6" x14ac:dyDescent="0.2">
      <c r="B1207" s="159" t="s" vm="148">
        <v>441</v>
      </c>
      <c r="C1207" s="122" t="str">
        <f xml:space="preserve">  SUBSTITUTE( SUBSTITUTE( SUBSTITUTE( SUBSTITUTE( SUBSTITUTE( SUBSTITUTE( SUBSTITUTE( ShortName[[#This Row],[RP_Name]], " Limited", "" ), " Housing Association", "" ), " Housing Group", "" ), " Group", "" ), " Housing Trust", "" ), " Housing Partnership", "" ), "The ", "" )</f>
        <v>Shepherds Bush</v>
      </c>
      <c r="D1207" s="122" t="str">
        <f xml:space="preserve"> IF( RIGHT( ShortName[[#This Row],[Adjust]], 8 ) = " Housing", LEFT( ShortName[[#This Row],[Adjust]], LEN(ShortName[[#This Row],[Adjust]] ) - 8 ), ShortName[[#This Row],[Adjust]] )</f>
        <v>Shepherds Bush</v>
      </c>
      <c r="E1207" s="159"/>
      <c r="F1207" s="122" t="str">
        <f xml:space="preserve"> IF( ISTEXT( ShortName[[#This Row],[Override]] ), ShortName[[#This Row],[Override]], ShortName[[#This Row],[Remove final Housing]] )</f>
        <v>Shepherds Bush</v>
      </c>
    </row>
    <row r="1208" spans="2:6" x14ac:dyDescent="0.2">
      <c r="B1208" s="159" t="s" vm="149">
        <v>443</v>
      </c>
      <c r="C1208" s="122" t="str">
        <f xml:space="preserve">  SUBSTITUTE( SUBSTITUTE( SUBSTITUTE( SUBSTITUTE( SUBSTITUTE( SUBSTITUTE( SUBSTITUTE( ShortName[[#This Row],[RP_Name]], " Limited", "" ), " Housing Association", "" ), " Housing Group", "" ), " Group", "" ), " Housing Trust", "" ), " Housing Partnership", "" ), "The ", "" )</f>
        <v>Silva Homes</v>
      </c>
      <c r="D1208" s="122" t="str">
        <f xml:space="preserve"> IF( RIGHT( ShortName[[#This Row],[Adjust]], 8 ) = " Housing", LEFT( ShortName[[#This Row],[Adjust]], LEN(ShortName[[#This Row],[Adjust]] ) - 8 ), ShortName[[#This Row],[Adjust]] )</f>
        <v>Silva Homes</v>
      </c>
      <c r="E1208" s="159"/>
      <c r="F1208" s="122" t="str">
        <f xml:space="preserve"> IF( ISTEXT( ShortName[[#This Row],[Override]] ), ShortName[[#This Row],[Override]], ShortName[[#This Row],[Remove final Housing]] )</f>
        <v>Silva Homes</v>
      </c>
    </row>
    <row r="1209" spans="2:6" x14ac:dyDescent="0.2">
      <c r="B1209" s="159" t="s" vm="150">
        <v>445</v>
      </c>
      <c r="C1209" s="122" t="str">
        <f xml:space="preserve">  SUBSTITUTE( SUBSTITUTE( SUBSTITUTE( SUBSTITUTE( SUBSTITUTE( SUBSTITUTE( SUBSTITUTE( ShortName[[#This Row],[RP_Name]], " Limited", "" ), " Housing Association", "" ), " Housing Group", "" ), " Group", "" ), " Housing Trust", "" ), " Housing Partnership", "" ), "The ", "" )</f>
        <v>Soha Housing</v>
      </c>
      <c r="D1209" s="122" t="str">
        <f xml:space="preserve"> IF( RIGHT( ShortName[[#This Row],[Adjust]], 8 ) = " Housing", LEFT( ShortName[[#This Row],[Adjust]], LEN(ShortName[[#This Row],[Adjust]] ) - 8 ), ShortName[[#This Row],[Adjust]] )</f>
        <v>Soha</v>
      </c>
      <c r="E1209" s="159"/>
      <c r="F1209" s="122" t="str">
        <f xml:space="preserve"> IF( ISTEXT( ShortName[[#This Row],[Override]] ), ShortName[[#This Row],[Override]], ShortName[[#This Row],[Remove final Housing]] )</f>
        <v>Soha</v>
      </c>
    </row>
    <row r="1210" spans="2:6" x14ac:dyDescent="0.2">
      <c r="B1210" s="159" t="s" vm="151">
        <v>447</v>
      </c>
      <c r="C1210" s="122" t="str">
        <f xml:space="preserve">  SUBSTITUTE( SUBSTITUTE( SUBSTITUTE( SUBSTITUTE( SUBSTITUTE( SUBSTITUTE( SUBSTITUTE( ShortName[[#This Row],[RP_Name]], " Limited", "" ), " Housing Association", "" ), " Housing Group", "" ), " Group", "" ), " Housing Trust", "" ), " Housing Partnership", "" ), "The ", "" )</f>
        <v>South Lakes Housing</v>
      </c>
      <c r="D1210" s="122" t="str">
        <f xml:space="preserve"> IF( RIGHT( ShortName[[#This Row],[Adjust]], 8 ) = " Housing", LEFT( ShortName[[#This Row],[Adjust]], LEN(ShortName[[#This Row],[Adjust]] ) - 8 ), ShortName[[#This Row],[Adjust]] )</f>
        <v>South Lakes</v>
      </c>
      <c r="E1210" s="159"/>
      <c r="F1210" s="122" t="str">
        <f xml:space="preserve"> IF( ISTEXT( ShortName[[#This Row],[Override]] ), ShortName[[#This Row],[Override]], ShortName[[#This Row],[Remove final Housing]] )</f>
        <v>South Lakes</v>
      </c>
    </row>
    <row r="1211" spans="2:6" x14ac:dyDescent="0.2">
      <c r="B1211" s="159" t="s" vm="152">
        <v>449</v>
      </c>
      <c r="C1211" s="122" t="str">
        <f xml:space="preserve">  SUBSTITUTE( SUBSTITUTE( SUBSTITUTE( SUBSTITUTE( SUBSTITUTE( SUBSTITUTE( SUBSTITUTE( ShortName[[#This Row],[RP_Name]], " Limited", "" ), " Housing Association", "" ), " Housing Group", "" ), " Group", "" ), " Housing Trust", "" ), " Housing Partnership", "" ), "The ", "" )</f>
        <v>South Liverpool Homes</v>
      </c>
      <c r="D1211" s="122" t="str">
        <f xml:space="preserve"> IF( RIGHT( ShortName[[#This Row],[Adjust]], 8 ) = " Housing", LEFT( ShortName[[#This Row],[Adjust]], LEN(ShortName[[#This Row],[Adjust]] ) - 8 ), ShortName[[#This Row],[Adjust]] )</f>
        <v>South Liverpool Homes</v>
      </c>
      <c r="E1211" s="159"/>
      <c r="F1211" s="122" t="str">
        <f xml:space="preserve"> IF( ISTEXT( ShortName[[#This Row],[Override]] ), ShortName[[#This Row],[Override]], ShortName[[#This Row],[Remove final Housing]] )</f>
        <v>South Liverpool Homes</v>
      </c>
    </row>
    <row r="1212" spans="2:6" x14ac:dyDescent="0.2">
      <c r="B1212" s="159" t="s" vm="153">
        <v>451</v>
      </c>
      <c r="C1212" s="122" t="str">
        <f xml:space="preserve">  SUBSTITUTE( SUBSTITUTE( SUBSTITUTE( SUBSTITUTE( SUBSTITUTE( SUBSTITUTE( SUBSTITUTE( ShortName[[#This Row],[RP_Name]], " Limited", "" ), " Housing Association", "" ), " Housing Group", "" ), " Group", "" ), " Housing Trust", "" ), " Housing Partnership", "" ), "The ", "" )</f>
        <v>South Yorkshire</v>
      </c>
      <c r="D1212" s="122" t="str">
        <f xml:space="preserve"> IF( RIGHT( ShortName[[#This Row],[Adjust]], 8 ) = " Housing", LEFT( ShortName[[#This Row],[Adjust]], LEN(ShortName[[#This Row],[Adjust]] ) - 8 ), ShortName[[#This Row],[Adjust]] )</f>
        <v>South Yorkshire</v>
      </c>
      <c r="E1212" s="159"/>
      <c r="F1212" s="122" t="str">
        <f xml:space="preserve"> IF( ISTEXT( ShortName[[#This Row],[Override]] ), ShortName[[#This Row],[Override]], ShortName[[#This Row],[Remove final Housing]] )</f>
        <v>South Yorkshire</v>
      </c>
    </row>
    <row r="1213" spans="2:6" x14ac:dyDescent="0.2">
      <c r="B1213" s="159" t="s" vm="154">
        <v>453</v>
      </c>
      <c r="C1213" s="122" t="str">
        <f xml:space="preserve">  SUBSTITUTE( SUBSTITUTE( SUBSTITUTE( SUBSTITUTE( SUBSTITUTE( SUBSTITUTE( SUBSTITUTE( ShortName[[#This Row],[RP_Name]], " Limited", "" ), " Housing Association", "" ), " Housing Group", "" ), " Group", "" ), " Housing Trust", "" ), " Housing Partnership", "" ), "The ", "" )</f>
        <v>Southern Housing</v>
      </c>
      <c r="D1213" s="122" t="str">
        <f xml:space="preserve"> IF( RIGHT( ShortName[[#This Row],[Adjust]], 8 ) = " Housing", LEFT( ShortName[[#This Row],[Adjust]], LEN(ShortName[[#This Row],[Adjust]] ) - 8 ), ShortName[[#This Row],[Adjust]] )</f>
        <v>Southern</v>
      </c>
      <c r="E1213" s="159"/>
      <c r="F1213" s="122" t="str">
        <f xml:space="preserve"> IF( ISTEXT( ShortName[[#This Row],[Override]] ), ShortName[[#This Row],[Override]], ShortName[[#This Row],[Remove final Housing]] )</f>
        <v>Southern</v>
      </c>
    </row>
    <row r="1214" spans="2:6" x14ac:dyDescent="0.2">
      <c r="B1214" s="159" t="s" vm="155">
        <v>455</v>
      </c>
      <c r="C1214" s="122" t="str">
        <f xml:space="preserve">  SUBSTITUTE( SUBSTITUTE( SUBSTITUTE( SUBSTITUTE( SUBSTITUTE( SUBSTITUTE( SUBSTITUTE( ShortName[[#This Row],[RP_Name]], " Limited", "" ), " Housing Association", "" ), " Housing Group", "" ), " Group", "" ), " Housing Trust", "" ), " Housing Partnership", "" ), "The ", "" )</f>
        <v>Southway (Manchester)</v>
      </c>
      <c r="D1214" s="122" t="str">
        <f xml:space="preserve"> IF( RIGHT( ShortName[[#This Row],[Adjust]], 8 ) = " Housing", LEFT( ShortName[[#This Row],[Adjust]], LEN(ShortName[[#This Row],[Adjust]] ) - 8 ), ShortName[[#This Row],[Adjust]] )</f>
        <v>Southway (Manchester)</v>
      </c>
      <c r="E1214" s="159" t="s">
        <v>766</v>
      </c>
      <c r="F1214" s="122" t="str">
        <f xml:space="preserve"> IF( ISTEXT( ShortName[[#This Row],[Override]] ), ShortName[[#This Row],[Override]], ShortName[[#This Row],[Remove final Housing]] )</f>
        <v>Southway</v>
      </c>
    </row>
    <row r="1215" spans="2:6" x14ac:dyDescent="0.2">
      <c r="B1215" s="159" t="s" vm="156">
        <v>457</v>
      </c>
      <c r="C1215" s="122" t="str">
        <f xml:space="preserve">  SUBSTITUTE( SUBSTITUTE( SUBSTITUTE( SUBSTITUTE( SUBSTITUTE( SUBSTITUTE( SUBSTITUTE( ShortName[[#This Row],[RP_Name]], " Limited", "" ), " Housing Association", "" ), " Housing Group", "" ), " Group", "" ), " Housing Trust", "" ), " Housing Partnership", "" ), "The ", "" )</f>
        <v>Sovereign</v>
      </c>
      <c r="D1215" s="122" t="str">
        <f xml:space="preserve"> IF( RIGHT( ShortName[[#This Row],[Adjust]], 8 ) = " Housing", LEFT( ShortName[[#This Row],[Adjust]], LEN(ShortName[[#This Row],[Adjust]] ) - 8 ), ShortName[[#This Row],[Adjust]] )</f>
        <v>Sovereign</v>
      </c>
      <c r="E1215" s="159"/>
      <c r="F1215" s="122" t="str">
        <f xml:space="preserve"> IF( ISTEXT( ShortName[[#This Row],[Override]] ), ShortName[[#This Row],[Override]], ShortName[[#This Row],[Remove final Housing]] )</f>
        <v>Sovereign</v>
      </c>
    </row>
    <row r="1216" spans="2:6" x14ac:dyDescent="0.2">
      <c r="B1216" s="159" t="s" vm="157">
        <v>459</v>
      </c>
      <c r="C1216" s="122" t="str">
        <f xml:space="preserve">  SUBSTITUTE( SUBSTITUTE( SUBSTITUTE( SUBSTITUTE( SUBSTITUTE( SUBSTITUTE( SUBSTITUTE( ShortName[[#This Row],[RP_Name]], " Limited", "" ), " Housing Association", "" ), " Housing Group", "" ), " Group", "" ), " Housing Trust", "" ), " Housing Partnership", "" ), "The ", "" )</f>
        <v>Sovereign Network Homes</v>
      </c>
      <c r="D1216" s="122" t="str">
        <f xml:space="preserve"> IF( RIGHT( ShortName[[#This Row],[Adjust]], 8 ) = " Housing", LEFT( ShortName[[#This Row],[Adjust]], LEN(ShortName[[#This Row],[Adjust]] ) - 8 ), ShortName[[#This Row],[Adjust]] )</f>
        <v>Sovereign Network Homes</v>
      </c>
      <c r="E1216" s="159"/>
      <c r="F1216" s="122" t="str">
        <f xml:space="preserve"> IF( ISTEXT( ShortName[[#This Row],[Override]] ), ShortName[[#This Row],[Override]], ShortName[[#This Row],[Remove final Housing]] )</f>
        <v>Sovereign Network Homes</v>
      </c>
    </row>
    <row r="1217" spans="2:6" x14ac:dyDescent="0.2">
      <c r="B1217" s="159" t="s" vm="158">
        <v>461</v>
      </c>
      <c r="C1217" s="122" t="str">
        <f xml:space="preserve">  SUBSTITUTE( SUBSTITUTE( SUBSTITUTE( SUBSTITUTE( SUBSTITUTE( SUBSTITUTE( SUBSTITUTE( ShortName[[#This Row],[RP_Name]], " Limited", "" ), " Housing Association", "" ), " Housing Group", "" ), " Group", "" ), " Housing Trust", "" ), " Housing Partnership", "" ), "The ", "" )</f>
        <v>St Mungo Community</v>
      </c>
      <c r="D1217" s="122" t="str">
        <f xml:space="preserve"> IF( RIGHT( ShortName[[#This Row],[Adjust]], 8 ) = " Housing", LEFT( ShortName[[#This Row],[Adjust]], LEN(ShortName[[#This Row],[Adjust]] ) - 8 ), ShortName[[#This Row],[Adjust]] )</f>
        <v>St Mungo Community</v>
      </c>
      <c r="E1217" s="159" t="s">
        <v>767</v>
      </c>
      <c r="F1217" s="122" t="str">
        <f xml:space="preserve"> IF( ISTEXT( ShortName[[#This Row],[Override]] ), ShortName[[#This Row],[Override]], ShortName[[#This Row],[Remove final Housing]] )</f>
        <v>St Mungo</v>
      </c>
    </row>
    <row r="1218" spans="2:6" x14ac:dyDescent="0.2">
      <c r="B1218" s="159" t="s" vm="159">
        <v>463</v>
      </c>
      <c r="C1218" s="122" t="str">
        <f xml:space="preserve">  SUBSTITUTE( SUBSTITUTE( SUBSTITUTE( SUBSTITUTE( SUBSTITUTE( SUBSTITUTE( SUBSTITUTE( ShortName[[#This Row],[RP_Name]], " Limited", "" ), " Housing Association", "" ), " Housing Group", "" ), " Group", "" ), " Housing Trust", "" ), " Housing Partnership", "" ), "The ", "" )</f>
        <v>Stonewater</v>
      </c>
      <c r="D1218" s="122" t="str">
        <f xml:space="preserve"> IF( RIGHT( ShortName[[#This Row],[Adjust]], 8 ) = " Housing", LEFT( ShortName[[#This Row],[Adjust]], LEN(ShortName[[#This Row],[Adjust]] ) - 8 ), ShortName[[#This Row],[Adjust]] )</f>
        <v>Stonewater</v>
      </c>
      <c r="E1218" s="159"/>
      <c r="F1218" s="122" t="str">
        <f xml:space="preserve"> IF( ISTEXT( ShortName[[#This Row],[Override]] ), ShortName[[#This Row],[Override]], ShortName[[#This Row],[Remove final Housing]] )</f>
        <v>Stonewater</v>
      </c>
    </row>
    <row r="1219" spans="2:6" x14ac:dyDescent="0.2">
      <c r="B1219" s="159" t="s" vm="160">
        <v>465</v>
      </c>
      <c r="C1219" s="122" t="str">
        <f xml:space="preserve">  SUBSTITUTE( SUBSTITUTE( SUBSTITUTE( SUBSTITUTE( SUBSTITUTE( SUBSTITUTE( SUBSTITUTE( ShortName[[#This Row],[RP_Name]], " Limited", "" ), " Housing Association", "" ), " Housing Group", "" ), " Group", "" ), " Housing Trust", "" ), " Housing Partnership", "" ), "The ", "" )</f>
        <v>Sustain (UK) Ltd</v>
      </c>
      <c r="D1219" s="122" t="str">
        <f xml:space="preserve"> IF( RIGHT( ShortName[[#This Row],[Adjust]], 8 ) = " Housing", LEFT( ShortName[[#This Row],[Adjust]], LEN(ShortName[[#This Row],[Adjust]] ) - 8 ), ShortName[[#This Row],[Adjust]] )</f>
        <v>Sustain (UK) Ltd</v>
      </c>
      <c r="E1219" s="159"/>
      <c r="F1219" s="122" t="str">
        <f xml:space="preserve"> IF( ISTEXT( ShortName[[#This Row],[Override]] ), ShortName[[#This Row],[Override]], ShortName[[#This Row],[Remove final Housing]] )</f>
        <v>Sustain (UK) Ltd</v>
      </c>
    </row>
    <row r="1220" spans="2:6" x14ac:dyDescent="0.2">
      <c r="B1220" s="159" t="s" vm="161">
        <v>467</v>
      </c>
      <c r="C1220" s="122" t="str">
        <f xml:space="preserve">  SUBSTITUTE( SUBSTITUTE( SUBSTITUTE( SUBSTITUTE( SUBSTITUTE( SUBSTITUTE( SUBSTITUTE( ShortName[[#This Row],[RP_Name]], " Limited", "" ), " Housing Association", "" ), " Housing Group", "" ), " Group", "" ), " Housing Trust", "" ), " Housing Partnership", "" ), "The ", "" )</f>
        <v>Teign Housing</v>
      </c>
      <c r="D1220" s="122" t="str">
        <f xml:space="preserve"> IF( RIGHT( ShortName[[#This Row],[Adjust]], 8 ) = " Housing", LEFT( ShortName[[#This Row],[Adjust]], LEN(ShortName[[#This Row],[Adjust]] ) - 8 ), ShortName[[#This Row],[Adjust]] )</f>
        <v>Teign</v>
      </c>
      <c r="E1220" s="159"/>
      <c r="F1220" s="122" t="str">
        <f xml:space="preserve"> IF( ISTEXT( ShortName[[#This Row],[Override]] ), ShortName[[#This Row],[Override]], ShortName[[#This Row],[Remove final Housing]] )</f>
        <v>Teign</v>
      </c>
    </row>
    <row r="1221" spans="2:6" x14ac:dyDescent="0.2">
      <c r="B1221" s="159" t="s" vm="162">
        <v>469</v>
      </c>
      <c r="C1221" s="122" t="str">
        <f xml:space="preserve">  SUBSTITUTE( SUBSTITUTE( SUBSTITUTE( SUBSTITUTE( SUBSTITUTE( SUBSTITUTE( SUBSTITUTE( ShortName[[#This Row],[RP_Name]], " Limited", "" ), " Housing Association", "" ), " Housing Group", "" ), " Group", "" ), " Housing Trust", "" ), " Housing Partnership", "" ), "The ", "" )</f>
        <v>Thames Valley</v>
      </c>
      <c r="D1221" s="122" t="str">
        <f xml:space="preserve"> IF( RIGHT( ShortName[[#This Row],[Adjust]], 8 ) = " Housing", LEFT( ShortName[[#This Row],[Adjust]], LEN(ShortName[[#This Row],[Adjust]] ) - 8 ), ShortName[[#This Row],[Adjust]] )</f>
        <v>Thames Valley</v>
      </c>
      <c r="E1221" s="159"/>
      <c r="F1221" s="122" t="str">
        <f xml:space="preserve"> IF( ISTEXT( ShortName[[#This Row],[Override]] ), ShortName[[#This Row],[Override]], ShortName[[#This Row],[Remove final Housing]] )</f>
        <v>Thames Valley</v>
      </c>
    </row>
    <row r="1222" spans="2:6" x14ac:dyDescent="0.2">
      <c r="B1222" s="159" t="s" vm="163">
        <v>471</v>
      </c>
      <c r="C1222" s="122" t="str">
        <f xml:space="preserve">  SUBSTITUTE( SUBSTITUTE( SUBSTITUTE( SUBSTITUTE( SUBSTITUTE( SUBSTITUTE( SUBSTITUTE( ShortName[[#This Row],[RP_Name]], " Limited", "" ), " Housing Association", "" ), " Housing Group", "" ), " Group", "" ), " Housing Trust", "" ), " Housing Partnership", "" ), "The ", "" )</f>
        <v>Abbeyfield Society</v>
      </c>
      <c r="D1222" s="122" t="str">
        <f xml:space="preserve"> IF( RIGHT( ShortName[[#This Row],[Adjust]], 8 ) = " Housing", LEFT( ShortName[[#This Row],[Adjust]], LEN(ShortName[[#This Row],[Adjust]] ) - 8 ), ShortName[[#This Row],[Adjust]] )</f>
        <v>Abbeyfield Society</v>
      </c>
      <c r="E1222" s="159"/>
      <c r="F1222" s="122" t="str">
        <f xml:space="preserve"> IF( ISTEXT( ShortName[[#This Row],[Override]] ), ShortName[[#This Row],[Override]], ShortName[[#This Row],[Remove final Housing]] )</f>
        <v>Abbeyfield Society</v>
      </c>
    </row>
    <row r="1223" spans="2:6" x14ac:dyDescent="0.2">
      <c r="B1223" s="159" t="s" vm="164">
        <v>473</v>
      </c>
      <c r="C1223" s="122" t="str">
        <f xml:space="preserve">  SUBSTITUTE( SUBSTITUTE( SUBSTITUTE( SUBSTITUTE( SUBSTITUTE( SUBSTITUTE( SUBSTITUTE( ShortName[[#This Row],[RP_Name]], " Limited", "" ), " Housing Association", "" ), " Housing Group", "" ), " Group", "" ), " Housing Trust", "" ), " Housing Partnership", "" ), "The ", "" )</f>
        <v>Cambridge Housing Society</v>
      </c>
      <c r="D1223" s="122" t="str">
        <f xml:space="preserve"> IF( RIGHT( ShortName[[#This Row],[Adjust]], 8 ) = " Housing", LEFT( ShortName[[#This Row],[Adjust]], LEN(ShortName[[#This Row],[Adjust]] ) - 8 ), ShortName[[#This Row],[Adjust]] )</f>
        <v>Cambridge Housing Society</v>
      </c>
      <c r="E1223" s="159" t="s">
        <v>768</v>
      </c>
      <c r="F1223" s="122" t="str">
        <f xml:space="preserve"> IF( ISTEXT( ShortName[[#This Row],[Override]] ), ShortName[[#This Row],[Override]], ShortName[[#This Row],[Remove final Housing]] )</f>
        <v>Cambridge</v>
      </c>
    </row>
    <row r="1224" spans="2:6" x14ac:dyDescent="0.2">
      <c r="B1224" s="159" t="s" vm="165">
        <v>475</v>
      </c>
      <c r="C1224" s="122" t="str">
        <f xml:space="preserve">  SUBSTITUTE( SUBSTITUTE( SUBSTITUTE( SUBSTITUTE( SUBSTITUTE( SUBSTITUTE( SUBSTITUTE( ShortName[[#This Row],[RP_Name]], " Limited", "" ), " Housing Association", "" ), " Housing Group", "" ), " Group", "" ), " Housing Trust", "" ), " Housing Partnership", "" ), "The ", "" )</f>
        <v>Community</v>
      </c>
      <c r="D1224" s="122" t="str">
        <f xml:space="preserve"> IF( RIGHT( ShortName[[#This Row],[Adjust]], 8 ) = " Housing", LEFT( ShortName[[#This Row],[Adjust]], LEN(ShortName[[#This Row],[Adjust]] ) - 8 ), ShortName[[#This Row],[Adjust]] )</f>
        <v>Community</v>
      </c>
      <c r="E1224" s="159"/>
      <c r="F1224" s="122" t="str">
        <f xml:space="preserve"> IF( ISTEXT( ShortName[[#This Row],[Override]] ), ShortName[[#This Row],[Override]], ShortName[[#This Row],[Remove final Housing]] )</f>
        <v>Community</v>
      </c>
    </row>
    <row r="1225" spans="2:6" x14ac:dyDescent="0.2">
      <c r="B1225" s="159" t="s" vm="166">
        <v>477</v>
      </c>
      <c r="C1225" s="122" t="str">
        <f xml:space="preserve">  SUBSTITUTE( SUBSTITUTE( SUBSTITUTE( SUBSTITUTE( SUBSTITUTE( SUBSTITUTE( SUBSTITUTE( ShortName[[#This Row],[RP_Name]], " Limited", "" ), " Housing Association", "" ), " Housing Group", "" ), " Group", "" ), " Housing Trust", "" ), " Housing Partnership", "" ), "The ", "" )</f>
        <v>Guinness Partnership</v>
      </c>
      <c r="D1225" s="122" t="str">
        <f xml:space="preserve"> IF( RIGHT( ShortName[[#This Row],[Adjust]], 8 ) = " Housing", LEFT( ShortName[[#This Row],[Adjust]], LEN(ShortName[[#This Row],[Adjust]] ) - 8 ), ShortName[[#This Row],[Adjust]] )</f>
        <v>Guinness Partnership</v>
      </c>
      <c r="E1225" s="159" t="s">
        <v>769</v>
      </c>
      <c r="F1225" s="122" t="str">
        <f xml:space="preserve"> IF( ISTEXT( ShortName[[#This Row],[Override]] ), ShortName[[#This Row],[Override]], ShortName[[#This Row],[Remove final Housing]] )</f>
        <v>Guinness</v>
      </c>
    </row>
    <row r="1226" spans="2:6" x14ac:dyDescent="0.2">
      <c r="B1226" s="159" t="s" vm="167">
        <v>479</v>
      </c>
      <c r="C1226" s="122" t="str">
        <f xml:space="preserve">  SUBSTITUTE( SUBSTITUTE( SUBSTITUTE( SUBSTITUTE( SUBSTITUTE( SUBSTITUTE( SUBSTITUTE( ShortName[[#This Row],[RP_Name]], " Limited", "" ), " Housing Association", "" ), " Housing Group", "" ), " Group", "" ), " Housing Trust", "" ), " Housing Partnership", "" ), "The ", "" )</f>
        <v>Havebury</v>
      </c>
      <c r="D1226" s="122" t="str">
        <f xml:space="preserve"> IF( RIGHT( ShortName[[#This Row],[Adjust]], 8 ) = " Housing", LEFT( ShortName[[#This Row],[Adjust]], LEN(ShortName[[#This Row],[Adjust]] ) - 8 ), ShortName[[#This Row],[Adjust]] )</f>
        <v>Havebury</v>
      </c>
      <c r="E1226" s="159"/>
      <c r="F1226" s="122" t="str">
        <f xml:space="preserve"> IF( ISTEXT( ShortName[[#This Row],[Override]] ), ShortName[[#This Row],[Override]], ShortName[[#This Row],[Remove final Housing]] )</f>
        <v>Havebury</v>
      </c>
    </row>
    <row r="1227" spans="2:6" x14ac:dyDescent="0.2">
      <c r="B1227" s="159" t="s" vm="168">
        <v>481</v>
      </c>
      <c r="C1227" s="122" t="str">
        <f xml:space="preserve">  SUBSTITUTE( SUBSTITUTE( SUBSTITUTE( SUBSTITUTE( SUBSTITUTE( SUBSTITUTE( SUBSTITUTE( ShortName[[#This Row],[RP_Name]], " Limited", "" ), " Housing Association", "" ), " Housing Group", "" ), " Group", "" ), " Housing Trust", "" ), " Housing Partnership", "" ), "The ", "" )</f>
        <v>Housing Plus</v>
      </c>
      <c r="D1227" s="122" t="str">
        <f xml:space="preserve"> IF( RIGHT( ShortName[[#This Row],[Adjust]], 8 ) = " Housing", LEFT( ShortName[[#This Row],[Adjust]], LEN(ShortName[[#This Row],[Adjust]] ) - 8 ), ShortName[[#This Row],[Adjust]] )</f>
        <v>Housing Plus</v>
      </c>
      <c r="E1227" s="159"/>
      <c r="F1227" s="122" t="str">
        <f xml:space="preserve"> IF( ISTEXT( ShortName[[#This Row],[Override]] ), ShortName[[#This Row],[Override]], ShortName[[#This Row],[Remove final Housing]] )</f>
        <v>Housing Plus</v>
      </c>
    </row>
    <row r="1228" spans="2:6" x14ac:dyDescent="0.2">
      <c r="B1228" s="159" t="s" vm="169">
        <v>483</v>
      </c>
      <c r="C1228" s="122" t="str">
        <f xml:space="preserve">  SUBSTITUTE( SUBSTITUTE( SUBSTITUTE( SUBSTITUTE( SUBSTITUTE( SUBSTITUTE( SUBSTITUTE( ShortName[[#This Row],[RP_Name]], " Limited", "" ), " Housing Association", "" ), " Housing Group", "" ), " Group", "" ), " Housing Trust", "" ), " Housing Partnership", "" ), "The ", "" )</f>
        <v>Industrial Dwellings Society (1885)</v>
      </c>
      <c r="D1228" s="122" t="str">
        <f xml:space="preserve"> IF( RIGHT( ShortName[[#This Row],[Adjust]], 8 ) = " Housing", LEFT( ShortName[[#This Row],[Adjust]], LEN(ShortName[[#This Row],[Adjust]] ) - 8 ), ShortName[[#This Row],[Adjust]] )</f>
        <v>Industrial Dwellings Society (1885)</v>
      </c>
      <c r="E1228" s="159"/>
      <c r="F1228" s="122" t="str">
        <f xml:space="preserve"> IF( ISTEXT( ShortName[[#This Row],[Override]] ), ShortName[[#This Row],[Override]], ShortName[[#This Row],[Remove final Housing]] )</f>
        <v>Industrial Dwellings Society (1885)</v>
      </c>
    </row>
    <row r="1229" spans="2:6" x14ac:dyDescent="0.2">
      <c r="B1229" s="159" t="s" vm="170">
        <v>485</v>
      </c>
      <c r="C1229" s="122" t="str">
        <f xml:space="preserve">  SUBSTITUTE( SUBSTITUTE( SUBSTITUTE( SUBSTITUTE( SUBSTITUTE( SUBSTITUTE( SUBSTITUTE( ShortName[[#This Row],[RP_Name]], " Limited", "" ), " Housing Association", "" ), " Housing Group", "" ), " Group", "" ), " Housing Trust", "" ), " Housing Partnership", "" ), "The ", "" )</f>
        <v>Pioneer Housing and Community</v>
      </c>
      <c r="D1229" s="122" t="str">
        <f xml:space="preserve"> IF( RIGHT( ShortName[[#This Row],[Adjust]], 8 ) = " Housing", LEFT( ShortName[[#This Row],[Adjust]], LEN(ShortName[[#This Row],[Adjust]] ) - 8 ), ShortName[[#This Row],[Adjust]] )</f>
        <v>Pioneer Housing and Community</v>
      </c>
      <c r="E1229" s="159" t="s">
        <v>770</v>
      </c>
      <c r="F1229" s="122" t="str">
        <f xml:space="preserve"> IF( ISTEXT( ShortName[[#This Row],[Override]] ), ShortName[[#This Row],[Override]], ShortName[[#This Row],[Remove final Housing]] )</f>
        <v>Pioneer</v>
      </c>
    </row>
    <row r="1230" spans="2:6" x14ac:dyDescent="0.2">
      <c r="B1230" s="159" t="s" vm="171">
        <v>487</v>
      </c>
      <c r="C1230" s="122" t="str">
        <f xml:space="preserve">  SUBSTITUTE( SUBSTITUTE( SUBSTITUTE( SUBSTITUTE( SUBSTITUTE( SUBSTITUTE( SUBSTITUTE( ShortName[[#This Row],[RP_Name]], " Limited", "" ), " Housing Association", "" ), " Housing Group", "" ), " Group", "" ), " Housing Trust", "" ), " Housing Partnership", "" ), "The ", "" )</f>
        <v>Riverside</v>
      </c>
      <c r="D1230" s="122" t="str">
        <f xml:space="preserve"> IF( RIGHT( ShortName[[#This Row],[Adjust]], 8 ) = " Housing", LEFT( ShortName[[#This Row],[Adjust]], LEN(ShortName[[#This Row],[Adjust]] ) - 8 ), ShortName[[#This Row],[Adjust]] )</f>
        <v>Riverside</v>
      </c>
      <c r="E1230" s="159"/>
      <c r="F1230" s="122" t="str">
        <f xml:space="preserve"> IF( ISTEXT( ShortName[[#This Row],[Override]] ), ShortName[[#This Row],[Override]], ShortName[[#This Row],[Remove final Housing]] )</f>
        <v>Riverside</v>
      </c>
    </row>
    <row r="1231" spans="2:6" x14ac:dyDescent="0.2">
      <c r="B1231" s="159" t="s" vm="172">
        <v>489</v>
      </c>
      <c r="C1231" s="122" t="str">
        <f xml:space="preserve">  SUBSTITUTE( SUBSTITUTE( SUBSTITUTE( SUBSTITUTE( SUBSTITUTE( SUBSTITUTE( SUBSTITUTE( ShortName[[#This Row],[RP_Name]], " Limited", "" ), " Housing Association", "" ), " Housing Group", "" ), " Group", "" ), " Housing Trust", "" ), " Housing Partnership", "" ), "The ", "" )</f>
        <v>Wrekin</v>
      </c>
      <c r="D1231" s="122" t="str">
        <f xml:space="preserve"> IF( RIGHT( ShortName[[#This Row],[Adjust]], 8 ) = " Housing", LEFT( ShortName[[#This Row],[Adjust]], LEN(ShortName[[#This Row],[Adjust]] ) - 8 ), ShortName[[#This Row],[Adjust]] )</f>
        <v>Wrekin</v>
      </c>
      <c r="E1231" s="159"/>
      <c r="F1231" s="122" t="str">
        <f xml:space="preserve"> IF( ISTEXT( ShortName[[#This Row],[Override]] ), ShortName[[#This Row],[Override]], ShortName[[#This Row],[Remove final Housing]] )</f>
        <v>Wrekin</v>
      </c>
    </row>
    <row r="1232" spans="2:6" x14ac:dyDescent="0.2">
      <c r="B1232" s="159" t="s" vm="173">
        <v>491</v>
      </c>
      <c r="C1232" s="122" t="str">
        <f xml:space="preserve">  SUBSTITUTE( SUBSTITUTE( SUBSTITUTE( SUBSTITUTE( SUBSTITUTE( SUBSTITUTE( SUBSTITUTE( ShortName[[#This Row],[RP_Name]], " Limited", "" ), " Housing Association", "" ), " Housing Group", "" ), " Group", "" ), " Housing Trust", "" ), " Housing Partnership", "" ), "The ", "" )</f>
        <v>Thirteen</v>
      </c>
      <c r="D1232" s="122" t="str">
        <f xml:space="preserve"> IF( RIGHT( ShortName[[#This Row],[Adjust]], 8 ) = " Housing", LEFT( ShortName[[#This Row],[Adjust]], LEN(ShortName[[#This Row],[Adjust]] ) - 8 ), ShortName[[#This Row],[Adjust]] )</f>
        <v>Thirteen</v>
      </c>
      <c r="E1232" s="159"/>
      <c r="F1232" s="122" t="str">
        <f xml:space="preserve"> IF( ISTEXT( ShortName[[#This Row],[Override]] ), ShortName[[#This Row],[Override]], ShortName[[#This Row],[Remove final Housing]] )</f>
        <v>Thirteen</v>
      </c>
    </row>
    <row r="1233" spans="2:6" x14ac:dyDescent="0.2">
      <c r="B1233" s="159" t="s" vm="174">
        <v>493</v>
      </c>
      <c r="C1233" s="122" t="str">
        <f xml:space="preserve">  SUBSTITUTE( SUBSTITUTE( SUBSTITUTE( SUBSTITUTE( SUBSTITUTE( SUBSTITUTE( SUBSTITUTE( ShortName[[#This Row],[RP_Name]], " Limited", "" ), " Housing Association", "" ), " Housing Group", "" ), " Group", "" ), " Housing Trust", "" ), " Housing Partnership", "" ), "The ", "" )</f>
        <v>Thrive Homes</v>
      </c>
      <c r="D1233" s="122" t="str">
        <f xml:space="preserve"> IF( RIGHT( ShortName[[#This Row],[Adjust]], 8 ) = " Housing", LEFT( ShortName[[#This Row],[Adjust]], LEN(ShortName[[#This Row],[Adjust]] ) - 8 ), ShortName[[#This Row],[Adjust]] )</f>
        <v>Thrive Homes</v>
      </c>
      <c r="E1233" s="159"/>
      <c r="F1233" s="122" t="str">
        <f xml:space="preserve"> IF( ISTEXT( ShortName[[#This Row],[Override]] ), ShortName[[#This Row],[Override]], ShortName[[#This Row],[Remove final Housing]] )</f>
        <v>Thrive Homes</v>
      </c>
    </row>
    <row r="1234" spans="2:6" x14ac:dyDescent="0.2">
      <c r="B1234" s="159" t="s" vm="175">
        <v>495</v>
      </c>
      <c r="C1234" s="122" t="str">
        <f xml:space="preserve">  SUBSTITUTE( SUBSTITUTE( SUBSTITUTE( SUBSTITUTE( SUBSTITUTE( SUBSTITUTE( SUBSTITUTE( ShortName[[#This Row],[RP_Name]], " Limited", "" ), " Housing Association", "" ), " Housing Group", "" ), " Group", "" ), " Housing Trust", "" ), " Housing Partnership", "" ), "The ", "" )</f>
        <v>Together</v>
      </c>
      <c r="D1234" s="122" t="str">
        <f xml:space="preserve"> IF( RIGHT( ShortName[[#This Row],[Adjust]], 8 ) = " Housing", LEFT( ShortName[[#This Row],[Adjust]], LEN(ShortName[[#This Row],[Adjust]] ) - 8 ), ShortName[[#This Row],[Adjust]] )</f>
        <v>Together</v>
      </c>
      <c r="E1234" s="159"/>
      <c r="F1234" s="122" t="str">
        <f xml:space="preserve"> IF( ISTEXT( ShortName[[#This Row],[Override]] ), ShortName[[#This Row],[Override]], ShortName[[#This Row],[Remove final Housing]] )</f>
        <v>Together</v>
      </c>
    </row>
    <row r="1235" spans="2:6" x14ac:dyDescent="0.2">
      <c r="B1235" s="159" t="s" vm="176">
        <v>497</v>
      </c>
      <c r="C1235" s="122" t="str">
        <f xml:space="preserve">  SUBSTITUTE( SUBSTITUTE( SUBSTITUTE( SUBSTITUTE( SUBSTITUTE( SUBSTITUTE( SUBSTITUTE( ShortName[[#This Row],[RP_Name]], " Limited", "" ), " Housing Association", "" ), " Housing Group", "" ), " Group", "" ), " Housing Trust", "" ), " Housing Partnership", "" ), "The ", "" )</f>
        <v>Torus62</v>
      </c>
      <c r="D1235" s="122" t="str">
        <f xml:space="preserve"> IF( RIGHT( ShortName[[#This Row],[Adjust]], 8 ) = " Housing", LEFT( ShortName[[#This Row],[Adjust]], LEN(ShortName[[#This Row],[Adjust]] ) - 8 ), ShortName[[#This Row],[Adjust]] )</f>
        <v>Torus62</v>
      </c>
      <c r="E1235" s="159"/>
      <c r="F1235" s="122" t="str">
        <f xml:space="preserve"> IF( ISTEXT( ShortName[[#This Row],[Override]] ), ShortName[[#This Row],[Override]], ShortName[[#This Row],[Remove final Housing]] )</f>
        <v>Torus62</v>
      </c>
    </row>
    <row r="1236" spans="2:6" x14ac:dyDescent="0.2">
      <c r="B1236" s="159" t="s" vm="177">
        <v>499</v>
      </c>
      <c r="C1236" s="122" t="str">
        <f xml:space="preserve">  SUBSTITUTE( SUBSTITUTE( SUBSTITUTE( SUBSTITUTE( SUBSTITUTE( SUBSTITUTE( SUBSTITUTE( ShortName[[#This Row],[RP_Name]], " Limited", "" ), " Housing Association", "" ), " Housing Group", "" ), " Group", "" ), " Housing Trust", "" ), " Housing Partnership", "" ), "The ", "" )</f>
        <v>Tower Hamlets Community Housing</v>
      </c>
      <c r="D1236" s="122" t="str">
        <f xml:space="preserve"> IF( RIGHT( ShortName[[#This Row],[Adjust]], 8 ) = " Housing", LEFT( ShortName[[#This Row],[Adjust]], LEN(ShortName[[#This Row],[Adjust]] ) - 8 ), ShortName[[#This Row],[Adjust]] )</f>
        <v>Tower Hamlets Community</v>
      </c>
      <c r="E1236" s="159" t="s">
        <v>771</v>
      </c>
      <c r="F1236" s="122" t="str">
        <f xml:space="preserve"> IF( ISTEXT( ShortName[[#This Row],[Override]] ), ShortName[[#This Row],[Override]], ShortName[[#This Row],[Remove final Housing]] )</f>
        <v>Tower Hamlets</v>
      </c>
    </row>
    <row r="1237" spans="2:6" x14ac:dyDescent="0.2">
      <c r="B1237" s="159" t="s" vm="178">
        <v>501</v>
      </c>
      <c r="C1237" s="122" t="str">
        <f xml:space="preserve">  SUBSTITUTE( SUBSTITUTE( SUBSTITUTE( SUBSTITUTE( SUBSTITUTE( SUBSTITUTE( SUBSTITUTE( ShortName[[#This Row],[RP_Name]], " Limited", "" ), " Housing Association", "" ), " Housing Group", "" ), " Group", "" ), " Housing Trust", "" ), " Housing Partnership", "" ), "The ", "" )</f>
        <v>Trent &amp; Dove Housing</v>
      </c>
      <c r="D1237" s="122" t="str">
        <f xml:space="preserve"> IF( RIGHT( ShortName[[#This Row],[Adjust]], 8 ) = " Housing", LEFT( ShortName[[#This Row],[Adjust]], LEN(ShortName[[#This Row],[Adjust]] ) - 8 ), ShortName[[#This Row],[Adjust]] )</f>
        <v>Trent &amp; Dove</v>
      </c>
      <c r="E1237" s="159"/>
      <c r="F1237" s="122" t="str">
        <f xml:space="preserve"> IF( ISTEXT( ShortName[[#This Row],[Override]] ), ShortName[[#This Row],[Override]], ShortName[[#This Row],[Remove final Housing]] )</f>
        <v>Trent &amp; Dove</v>
      </c>
    </row>
    <row r="1238" spans="2:6" x14ac:dyDescent="0.2">
      <c r="B1238" s="159" t="s" vm="179">
        <v>503</v>
      </c>
      <c r="C1238" s="122" t="str">
        <f xml:space="preserve">  SUBSTITUTE( SUBSTITUTE( SUBSTITUTE( SUBSTITUTE( SUBSTITUTE( SUBSTITUTE( SUBSTITUTE( ShortName[[#This Row],[RP_Name]], " Limited", "" ), " Housing Association", "" ), " Housing Group", "" ), " Group", "" ), " Housing Trust", "" ), " Housing Partnership", "" ), "The ", "" )</f>
        <v>Trident</v>
      </c>
      <c r="D1238" s="122" t="str">
        <f xml:space="preserve"> IF( RIGHT( ShortName[[#This Row],[Adjust]], 8 ) = " Housing", LEFT( ShortName[[#This Row],[Adjust]], LEN(ShortName[[#This Row],[Adjust]] ) - 8 ), ShortName[[#This Row],[Adjust]] )</f>
        <v>Trident</v>
      </c>
      <c r="E1238" s="159"/>
      <c r="F1238" s="122" t="str">
        <f xml:space="preserve"> IF( ISTEXT( ShortName[[#This Row],[Override]] ), ShortName[[#This Row],[Override]], ShortName[[#This Row],[Remove final Housing]] )</f>
        <v>Trident</v>
      </c>
    </row>
    <row r="1239" spans="2:6" x14ac:dyDescent="0.2">
      <c r="B1239" s="159" t="s" vm="180">
        <v>505</v>
      </c>
      <c r="C1239" s="122" t="str">
        <f xml:space="preserve">  SUBSTITUTE( SUBSTITUTE( SUBSTITUTE( SUBSTITUTE( SUBSTITUTE( SUBSTITUTE( SUBSTITUTE( ShortName[[#This Row],[RP_Name]], " Limited", "" ), " Housing Association", "" ), " Housing Group", "" ), " Group", "" ), " Housing Trust", "" ), " Housing Partnership", "" ), "The ", "" )</f>
        <v>Tuntum</v>
      </c>
      <c r="D1239" s="122" t="str">
        <f xml:space="preserve"> IF( RIGHT( ShortName[[#This Row],[Adjust]], 8 ) = " Housing", LEFT( ShortName[[#This Row],[Adjust]], LEN(ShortName[[#This Row],[Adjust]] ) - 8 ), ShortName[[#This Row],[Adjust]] )</f>
        <v>Tuntum</v>
      </c>
      <c r="E1239" s="159"/>
      <c r="F1239" s="122" t="str">
        <f xml:space="preserve"> IF( ISTEXT( ShortName[[#This Row],[Override]] ), ShortName[[#This Row],[Override]], ShortName[[#This Row],[Remove final Housing]] )</f>
        <v>Tuntum</v>
      </c>
    </row>
    <row r="1240" spans="2:6" x14ac:dyDescent="0.2">
      <c r="B1240" s="159" t="s" vm="181">
        <v>507</v>
      </c>
      <c r="C1240" s="122" t="str">
        <f xml:space="preserve">  SUBSTITUTE( SUBSTITUTE( SUBSTITUTE( SUBSTITUTE( SUBSTITUTE( SUBSTITUTE( SUBSTITUTE( ShortName[[#This Row],[RP_Name]], " Limited", "" ), " Housing Association", "" ), " Housing Group", "" ), " Group", "" ), " Housing Trust", "" ), " Housing Partnership", "" ), "The ", "" )</f>
        <v>Two Rivers Housing</v>
      </c>
      <c r="D1240" s="122" t="str">
        <f xml:space="preserve"> IF( RIGHT( ShortName[[#This Row],[Adjust]], 8 ) = " Housing", LEFT( ShortName[[#This Row],[Adjust]], LEN(ShortName[[#This Row],[Adjust]] ) - 8 ), ShortName[[#This Row],[Adjust]] )</f>
        <v>Two Rivers</v>
      </c>
      <c r="E1240" s="159"/>
      <c r="F1240" s="122" t="str">
        <f xml:space="preserve"> IF( ISTEXT( ShortName[[#This Row],[Override]] ), ShortName[[#This Row],[Override]], ShortName[[#This Row],[Remove final Housing]] )</f>
        <v>Two Rivers</v>
      </c>
    </row>
    <row r="1241" spans="2:6" x14ac:dyDescent="0.2">
      <c r="B1241" s="159" t="s" vm="182">
        <v>509</v>
      </c>
      <c r="C1241" s="122" t="str">
        <f xml:space="preserve">  SUBSTITUTE( SUBSTITUTE( SUBSTITUTE( SUBSTITUTE( SUBSTITUTE( SUBSTITUTE( SUBSTITUTE( ShortName[[#This Row],[RP_Name]], " Limited", "" ), " Housing Association", "" ), " Housing Group", "" ), " Group", "" ), " Housing Trust", "" ), " Housing Partnership", "" ), "The ", "" )</f>
        <v>Unity</v>
      </c>
      <c r="D1241" s="122" t="str">
        <f xml:space="preserve"> IF( RIGHT( ShortName[[#This Row],[Adjust]], 8 ) = " Housing", LEFT( ShortName[[#This Row],[Adjust]], LEN(ShortName[[#This Row],[Adjust]] ) - 8 ), ShortName[[#This Row],[Adjust]] )</f>
        <v>Unity</v>
      </c>
      <c r="E1241" s="159"/>
      <c r="F1241" s="122" t="str">
        <f xml:space="preserve"> IF( ISTEXT( ShortName[[#This Row],[Override]] ), ShortName[[#This Row],[Override]], ShortName[[#This Row],[Remove final Housing]] )</f>
        <v>Unity</v>
      </c>
    </row>
    <row r="1242" spans="2:6" x14ac:dyDescent="0.2">
      <c r="B1242" s="159" t="s" vm="183">
        <v>511</v>
      </c>
      <c r="C1242" s="122" t="str">
        <f xml:space="preserve">  SUBSTITUTE( SUBSTITUTE( SUBSTITUTE( SUBSTITUTE( SUBSTITUTE( SUBSTITUTE( SUBSTITUTE( ShortName[[#This Row],[RP_Name]], " Limited", "" ), " Housing Association", "" ), " Housing Group", "" ), " Group", "" ), " Housing Trust", "" ), " Housing Partnership", "" ), "The ", "" )</f>
        <v>Vivid Housing</v>
      </c>
      <c r="D1242" s="122" t="str">
        <f xml:space="preserve"> IF( RIGHT( ShortName[[#This Row],[Adjust]], 8 ) = " Housing", LEFT( ShortName[[#This Row],[Adjust]], LEN(ShortName[[#This Row],[Adjust]] ) - 8 ), ShortName[[#This Row],[Adjust]] )</f>
        <v>Vivid</v>
      </c>
      <c r="E1242" s="159"/>
      <c r="F1242" s="122" t="str">
        <f xml:space="preserve"> IF( ISTEXT( ShortName[[#This Row],[Override]] ), ShortName[[#This Row],[Override]], ShortName[[#This Row],[Remove final Housing]] )</f>
        <v>Vivid</v>
      </c>
    </row>
    <row r="1243" spans="2:6" x14ac:dyDescent="0.2">
      <c r="B1243" s="159" t="s" vm="184">
        <v>513</v>
      </c>
      <c r="C1243" s="122" t="str">
        <f xml:space="preserve">  SUBSTITUTE( SUBSTITUTE( SUBSTITUTE( SUBSTITUTE( SUBSTITUTE( SUBSTITUTE( SUBSTITUTE( ShortName[[#This Row],[RP_Name]], " Limited", "" ), " Housing Association", "" ), " Housing Group", "" ), " Group", "" ), " Housing Trust", "" ), " Housing Partnership", "" ), "The ", "" )</f>
        <v>Wakefield And District Housing</v>
      </c>
      <c r="D1243" s="122" t="str">
        <f xml:space="preserve"> IF( RIGHT( ShortName[[#This Row],[Adjust]], 8 ) = " Housing", LEFT( ShortName[[#This Row],[Adjust]], LEN(ShortName[[#This Row],[Adjust]] ) - 8 ), ShortName[[#This Row],[Adjust]] )</f>
        <v>Wakefield And District</v>
      </c>
      <c r="E1243" s="159"/>
      <c r="F1243" s="122" t="str">
        <f xml:space="preserve"> IF( ISTEXT( ShortName[[#This Row],[Override]] ), ShortName[[#This Row],[Override]], ShortName[[#This Row],[Remove final Housing]] )</f>
        <v>Wakefield And District</v>
      </c>
    </row>
    <row r="1244" spans="2:6" x14ac:dyDescent="0.2">
      <c r="B1244" s="159" t="s" vm="185">
        <v>515</v>
      </c>
      <c r="C1244" s="122" t="str">
        <f xml:space="preserve">  SUBSTITUTE( SUBSTITUTE( SUBSTITUTE( SUBSTITUTE( SUBSTITUTE( SUBSTITUTE( SUBSTITUTE( ShortName[[#This Row],[RP_Name]], " Limited", "" ), " Housing Association", "" ), " Housing Group", "" ), " Group", "" ), " Housing Trust", "" ), " Housing Partnership", "" ), "The ", "" )</f>
        <v>Walsall</v>
      </c>
      <c r="D1244" s="122" t="str">
        <f xml:space="preserve"> IF( RIGHT( ShortName[[#This Row],[Adjust]], 8 ) = " Housing", LEFT( ShortName[[#This Row],[Adjust]], LEN(ShortName[[#This Row],[Adjust]] ) - 8 ), ShortName[[#This Row],[Adjust]] )</f>
        <v>Walsall</v>
      </c>
      <c r="E1244" s="159"/>
      <c r="F1244" s="122" t="str">
        <f xml:space="preserve"> IF( ISTEXT( ShortName[[#This Row],[Override]] ), ShortName[[#This Row],[Override]], ShortName[[#This Row],[Remove final Housing]] )</f>
        <v>Walsall</v>
      </c>
    </row>
    <row r="1245" spans="2:6" x14ac:dyDescent="0.2">
      <c r="B1245" s="159" t="s" vm="186">
        <v>517</v>
      </c>
      <c r="C1245" s="122" t="str">
        <f xml:space="preserve">  SUBSTITUTE( SUBSTITUTE( SUBSTITUTE( SUBSTITUTE( SUBSTITUTE( SUBSTITUTE( SUBSTITUTE( ShortName[[#This Row],[RP_Name]], " Limited", "" ), " Housing Association", "" ), " Housing Group", "" ), " Group", "" ), " Housing Trust", "" ), " Housing Partnership", "" ), "The ", "" )</f>
        <v>Wandle</v>
      </c>
      <c r="D1245" s="122" t="str">
        <f xml:space="preserve"> IF( RIGHT( ShortName[[#This Row],[Adjust]], 8 ) = " Housing", LEFT( ShortName[[#This Row],[Adjust]], LEN(ShortName[[#This Row],[Adjust]] ) - 8 ), ShortName[[#This Row],[Adjust]] )</f>
        <v>Wandle</v>
      </c>
      <c r="E1245" s="159"/>
      <c r="F1245" s="122" t="str">
        <f xml:space="preserve"> IF( ISTEXT( ShortName[[#This Row],[Override]] ), ShortName[[#This Row],[Override]], ShortName[[#This Row],[Remove final Housing]] )</f>
        <v>Wandle</v>
      </c>
    </row>
    <row r="1246" spans="2:6" x14ac:dyDescent="0.2">
      <c r="B1246" s="159" t="s" vm="187">
        <v>519</v>
      </c>
      <c r="C1246" s="122" t="str">
        <f xml:space="preserve">  SUBSTITUTE( SUBSTITUTE( SUBSTITUTE( SUBSTITUTE( SUBSTITUTE( SUBSTITUTE( SUBSTITUTE( ShortName[[#This Row],[RP_Name]], " Limited", "" ), " Housing Association", "" ), " Housing Group", "" ), " Group", "" ), " Housing Trust", "" ), " Housing Partnership", "" ), "The ", "" )</f>
        <v>Warrington</v>
      </c>
      <c r="D1246" s="122" t="str">
        <f xml:space="preserve"> IF( RIGHT( ShortName[[#This Row],[Adjust]], 8 ) = " Housing", LEFT( ShortName[[#This Row],[Adjust]], LEN(ShortName[[#This Row],[Adjust]] ) - 8 ), ShortName[[#This Row],[Adjust]] )</f>
        <v>Warrington</v>
      </c>
      <c r="E1246" s="159"/>
      <c r="F1246" s="122" t="str">
        <f xml:space="preserve"> IF( ISTEXT( ShortName[[#This Row],[Override]] ), ShortName[[#This Row],[Override]], ShortName[[#This Row],[Remove final Housing]] )</f>
        <v>Warrington</v>
      </c>
    </row>
    <row r="1247" spans="2:6" x14ac:dyDescent="0.2">
      <c r="B1247" s="159" t="s" vm="188">
        <v>521</v>
      </c>
      <c r="C1247" s="122" t="str">
        <f xml:space="preserve">  SUBSTITUTE( SUBSTITUTE( SUBSTITUTE( SUBSTITUTE( SUBSTITUTE( SUBSTITUTE( SUBSTITUTE( ShortName[[#This Row],[RP_Name]], " Limited", "" ), " Housing Association", "" ), " Housing Group", "" ), " Group", "" ), " Housing Trust", "" ), " Housing Partnership", "" ), "The ", "" )</f>
        <v>Watford Community</v>
      </c>
      <c r="D1247" s="122" t="str">
        <f xml:space="preserve"> IF( RIGHT( ShortName[[#This Row],[Adjust]], 8 ) = " Housing", LEFT( ShortName[[#This Row],[Adjust]], LEN(ShortName[[#This Row],[Adjust]] ) - 8 ), ShortName[[#This Row],[Adjust]] )</f>
        <v>Watford Community</v>
      </c>
      <c r="E1247" s="159" t="s">
        <v>772</v>
      </c>
      <c r="F1247" s="122" t="str">
        <f xml:space="preserve"> IF( ISTEXT( ShortName[[#This Row],[Override]] ), ShortName[[#This Row],[Override]], ShortName[[#This Row],[Remove final Housing]] )</f>
        <v>Watford</v>
      </c>
    </row>
    <row r="1248" spans="2:6" x14ac:dyDescent="0.2">
      <c r="B1248" s="159" t="s" vm="189">
        <v>523</v>
      </c>
      <c r="C1248" s="122" t="str">
        <f xml:space="preserve">  SUBSTITUTE( SUBSTITUTE( SUBSTITUTE( SUBSTITUTE( SUBSTITUTE( SUBSTITUTE( SUBSTITUTE( ShortName[[#This Row],[RP_Name]], " Limited", "" ), " Housing Association", "" ), " Housing Group", "" ), " Group", "" ), " Housing Trust", "" ), " Housing Partnership", "" ), "The ", "" )</f>
        <v>Watmos Community Homes</v>
      </c>
      <c r="D1248" s="122" t="str">
        <f xml:space="preserve"> IF( RIGHT( ShortName[[#This Row],[Adjust]], 8 ) = " Housing", LEFT( ShortName[[#This Row],[Adjust]], LEN(ShortName[[#This Row],[Adjust]] ) - 8 ), ShortName[[#This Row],[Adjust]] )</f>
        <v>Watmos Community Homes</v>
      </c>
      <c r="E1248" s="159" t="s">
        <v>773</v>
      </c>
      <c r="F1248" s="122" t="str">
        <f xml:space="preserve"> IF( ISTEXT( ShortName[[#This Row],[Override]] ), ShortName[[#This Row],[Override]], ShortName[[#This Row],[Remove final Housing]] )</f>
        <v>Watmos</v>
      </c>
    </row>
    <row r="1249" spans="2:6" x14ac:dyDescent="0.2">
      <c r="B1249" s="159" t="s" vm="190">
        <v>525</v>
      </c>
      <c r="C1249" s="122" t="str">
        <f xml:space="preserve">  SUBSTITUTE( SUBSTITUTE( SUBSTITUTE( SUBSTITUTE( SUBSTITUTE( SUBSTITUTE( SUBSTITUTE( ShortName[[#This Row],[RP_Name]], " Limited", "" ), " Housing Association", "" ), " Housing Group", "" ), " Group", "" ), " Housing Trust", "" ), " Housing Partnership", "" ), "The ", "" )</f>
        <v>Weaver Vale</v>
      </c>
      <c r="D1249" s="122" t="str">
        <f xml:space="preserve"> IF( RIGHT( ShortName[[#This Row],[Adjust]], 8 ) = " Housing", LEFT( ShortName[[#This Row],[Adjust]], LEN(ShortName[[#This Row],[Adjust]] ) - 8 ), ShortName[[#This Row],[Adjust]] )</f>
        <v>Weaver Vale</v>
      </c>
      <c r="E1249" s="159"/>
      <c r="F1249" s="122" t="str">
        <f xml:space="preserve"> IF( ISTEXT( ShortName[[#This Row],[Override]] ), ShortName[[#This Row],[Override]], ShortName[[#This Row],[Remove final Housing]] )</f>
        <v>Weaver Vale</v>
      </c>
    </row>
    <row r="1250" spans="2:6" x14ac:dyDescent="0.2">
      <c r="B1250" s="159" t="s" vm="191">
        <v>527</v>
      </c>
      <c r="C1250" s="122" t="str">
        <f xml:space="preserve">  SUBSTITUTE( SUBSTITUTE( SUBSTITUTE( SUBSTITUTE( SUBSTITUTE( SUBSTITUTE( SUBSTITUTE( ShortName[[#This Row],[RP_Name]], " Limited", "" ), " Housing Association", "" ), " Housing Group", "" ), " Group", "" ), " Housing Trust", "" ), " Housing Partnership", "" ), "The ", "" )</f>
        <v>West Kent</v>
      </c>
      <c r="D1250" s="122" t="str">
        <f xml:space="preserve"> IF( RIGHT( ShortName[[#This Row],[Adjust]], 8 ) = " Housing", LEFT( ShortName[[#This Row],[Adjust]], LEN(ShortName[[#This Row],[Adjust]] ) - 8 ), ShortName[[#This Row],[Adjust]] )</f>
        <v>West Kent</v>
      </c>
      <c r="E1250" s="159"/>
      <c r="F1250" s="122" t="str">
        <f xml:space="preserve"> IF( ISTEXT( ShortName[[#This Row],[Override]] ), ShortName[[#This Row],[Override]], ShortName[[#This Row],[Remove final Housing]] )</f>
        <v>West Kent</v>
      </c>
    </row>
    <row r="1251" spans="2:6" x14ac:dyDescent="0.2">
      <c r="B1251" s="159" t="s" vm="192">
        <v>529</v>
      </c>
      <c r="C1251" s="122" t="str">
        <f xml:space="preserve">  SUBSTITUTE( SUBSTITUTE( SUBSTITUTE( SUBSTITUTE( SUBSTITUTE( SUBSTITUTE( SUBSTITUTE( ShortName[[#This Row],[RP_Name]], " Limited", "" ), " Housing Association", "" ), " Housing Group", "" ), " Group", "" ), " Housing Trust", "" ), " Housing Partnership", "" ), "The ", "" )</f>
        <v>Westward</v>
      </c>
      <c r="D1251" s="122" t="str">
        <f xml:space="preserve"> IF( RIGHT( ShortName[[#This Row],[Adjust]], 8 ) = " Housing", LEFT( ShortName[[#This Row],[Adjust]], LEN(ShortName[[#This Row],[Adjust]] ) - 8 ), ShortName[[#This Row],[Adjust]] )</f>
        <v>Westward</v>
      </c>
      <c r="E1251" s="159"/>
      <c r="F1251" s="122" t="str">
        <f xml:space="preserve"> IF( ISTEXT( ShortName[[#This Row],[Override]] ), ShortName[[#This Row],[Override]], ShortName[[#This Row],[Remove final Housing]] )</f>
        <v>Westward</v>
      </c>
    </row>
    <row r="1252" spans="2:6" x14ac:dyDescent="0.2">
      <c r="B1252" s="159" t="s" vm="193">
        <v>531</v>
      </c>
      <c r="C1252" s="122" t="str">
        <f xml:space="preserve">  SUBSTITUTE( SUBSTITUTE( SUBSTITUTE( SUBSTITUTE( SUBSTITUTE( SUBSTITUTE( SUBSTITUTE( ShortName[[#This Row],[RP_Name]], " Limited", "" ), " Housing Association", "" ), " Housing Group", "" ), " Group", "" ), " Housing Trust", "" ), " Housing Partnership", "" ), "The ", "" )</f>
        <v>Willow Tree</v>
      </c>
      <c r="D1252" s="122" t="str">
        <f xml:space="preserve"> IF( RIGHT( ShortName[[#This Row],[Adjust]], 8 ) = " Housing", LEFT( ShortName[[#This Row],[Adjust]], LEN(ShortName[[#This Row],[Adjust]] ) - 8 ), ShortName[[#This Row],[Adjust]] )</f>
        <v>Willow Tree</v>
      </c>
      <c r="E1252" s="159"/>
      <c r="F1252" s="122" t="str">
        <f xml:space="preserve"> IF( ISTEXT( ShortName[[#This Row],[Override]] ), ShortName[[#This Row],[Override]], ShortName[[#This Row],[Remove final Housing]] )</f>
        <v>Willow Tree</v>
      </c>
    </row>
    <row r="1253" spans="2:6" x14ac:dyDescent="0.2">
      <c r="B1253" s="159" t="s" vm="194">
        <v>533</v>
      </c>
      <c r="C1253" s="122" t="str">
        <f xml:space="preserve">  SUBSTITUTE( SUBSTITUTE( SUBSTITUTE( SUBSTITUTE( SUBSTITUTE( SUBSTITUTE( SUBSTITUTE( ShortName[[#This Row],[RP_Name]], " Limited", "" ), " Housing Association", "" ), " Housing Group", "" ), " Group", "" ), " Housing Trust", "" ), " Housing Partnership", "" ), "The ", "" )</f>
        <v>Worthing Homes</v>
      </c>
      <c r="D1253" s="122" t="str">
        <f xml:space="preserve"> IF( RIGHT( ShortName[[#This Row],[Adjust]], 8 ) = " Housing", LEFT( ShortName[[#This Row],[Adjust]], LEN(ShortName[[#This Row],[Adjust]] ) - 8 ), ShortName[[#This Row],[Adjust]] )</f>
        <v>Worthing Homes</v>
      </c>
      <c r="E1253" s="159" t="s">
        <v>774</v>
      </c>
      <c r="F1253" s="122" t="str">
        <f xml:space="preserve"> IF( ISTEXT( ShortName[[#This Row],[Override]] ), ShortName[[#This Row],[Override]], ShortName[[#This Row],[Remove final Housing]] )</f>
        <v>Worthing</v>
      </c>
    </row>
    <row r="1254" spans="2:6" x14ac:dyDescent="0.2">
      <c r="B1254" s="159" t="s" vm="195">
        <v>535</v>
      </c>
      <c r="C1254" s="122" t="str">
        <f xml:space="preserve">  SUBSTITUTE( SUBSTITUTE( SUBSTITUTE( SUBSTITUTE( SUBSTITUTE( SUBSTITUTE( SUBSTITUTE( ShortName[[#This Row],[RP_Name]], " Limited", "" ), " Housing Association", "" ), " Housing Group", "" ), " Group", "" ), " Housing Trust", "" ), " Housing Partnership", "" ), "The ", "" )</f>
        <v>Wythenshawe Community</v>
      </c>
      <c r="D1254" s="122" t="str">
        <f xml:space="preserve"> IF( RIGHT( ShortName[[#This Row],[Adjust]], 8 ) = " Housing", LEFT( ShortName[[#This Row],[Adjust]], LEN(ShortName[[#This Row],[Adjust]] ) - 8 ), ShortName[[#This Row],[Adjust]] )</f>
        <v>Wythenshawe Community</v>
      </c>
      <c r="E1254" s="159" t="s">
        <v>775</v>
      </c>
      <c r="F1254" s="122" t="str">
        <f xml:space="preserve"> IF( ISTEXT( ShortName[[#This Row],[Override]] ), ShortName[[#This Row],[Override]], ShortName[[#This Row],[Remove final Housing]] )</f>
        <v>Wythenshawe</v>
      </c>
    </row>
    <row r="1255" spans="2:6" x14ac:dyDescent="0.2">
      <c r="B1255" s="159" t="s" vm="196">
        <v>537</v>
      </c>
      <c r="C1255" s="122" t="str">
        <f xml:space="preserve">  SUBSTITUTE( SUBSTITUTE( SUBSTITUTE( SUBSTITUTE( SUBSTITUTE( SUBSTITUTE( SUBSTITUTE( ShortName[[#This Row],[RP_Name]], " Limited", "" ), " Housing Association", "" ), " Housing Group", "" ), " Group", "" ), " Housing Trust", "" ), " Housing Partnership", "" ), "The ", "" )</f>
        <v>YMCA St Paul's</v>
      </c>
      <c r="D1255" s="122" t="str">
        <f xml:space="preserve"> IF( RIGHT( ShortName[[#This Row],[Adjust]], 8 ) = " Housing", LEFT( ShortName[[#This Row],[Adjust]], LEN(ShortName[[#This Row],[Adjust]] ) - 8 ), ShortName[[#This Row],[Adjust]] )</f>
        <v>YMCA St Paul's</v>
      </c>
      <c r="E1255" s="159"/>
      <c r="F1255" s="122" t="str">
        <f xml:space="preserve"> IF( ISTEXT( ShortName[[#This Row],[Override]] ), ShortName[[#This Row],[Override]], ShortName[[#This Row],[Remove final Housing]] )</f>
        <v>YMCA St Paul's</v>
      </c>
    </row>
    <row r="1256" spans="2:6" x14ac:dyDescent="0.2">
      <c r="B1256" s="159" t="s" vm="197">
        <v>539</v>
      </c>
      <c r="C1256" s="122" t="str">
        <f xml:space="preserve">  SUBSTITUTE( SUBSTITUTE( SUBSTITUTE( SUBSTITUTE( SUBSTITUTE( SUBSTITUTE( SUBSTITUTE( ShortName[[#This Row],[RP_Name]], " Limited", "" ), " Housing Association", "" ), " Housing Group", "" ), " Group", "" ), " Housing Trust", "" ), " Housing Partnership", "" ), "The ", "" )</f>
        <v>Yorkshire Housing</v>
      </c>
      <c r="D1256" s="122" t="str">
        <f xml:space="preserve"> IF( RIGHT( ShortName[[#This Row],[Adjust]], 8 ) = " Housing", LEFT( ShortName[[#This Row],[Adjust]], LEN(ShortName[[#This Row],[Adjust]] ) - 8 ), ShortName[[#This Row],[Adjust]] )</f>
        <v>Yorkshire</v>
      </c>
      <c r="E1256" s="159" t="s">
        <v>776</v>
      </c>
      <c r="F1256" s="122" t="str">
        <f xml:space="preserve"> IF( ISTEXT( ShortName[[#This Row],[Override]] ), ShortName[[#This Row],[Override]], ShortName[[#This Row],[Remove final Housing]] )</f>
        <v>Yorkshire</v>
      </c>
    </row>
    <row r="1257" spans="2:6" x14ac:dyDescent="0.2">
      <c r="B1257" s="159" t="s" vm="198">
        <v>541</v>
      </c>
      <c r="C1257" s="122" t="str">
        <f xml:space="preserve">  SUBSTITUTE( SUBSTITUTE( SUBSTITUTE( SUBSTITUTE( SUBSTITUTE( SUBSTITUTE( SUBSTITUTE( ShortName[[#This Row],[RP_Name]], " Limited", "" ), " Housing Association", "" ), " Housing Group", "" ), " Group", "" ), " Housing Trust", "" ), " Housing Partnership", "" ), "The ", "" )</f>
        <v>Your</v>
      </c>
      <c r="D1257" s="122" t="str">
        <f xml:space="preserve"> IF( RIGHT( ShortName[[#This Row],[Adjust]], 8 ) = " Housing", LEFT( ShortName[[#This Row],[Adjust]], LEN(ShortName[[#This Row],[Adjust]] ) - 8 ), ShortName[[#This Row],[Adjust]] )</f>
        <v>Your</v>
      </c>
      <c r="E1257" s="159" t="s">
        <v>777</v>
      </c>
      <c r="F1257" s="122" t="str">
        <f xml:space="preserve"> IF( ISTEXT( ShortName[[#This Row],[Override]] ), ShortName[[#This Row],[Override]], ShortName[[#This Row],[Remove final Housing]] )</f>
        <v>Your HG</v>
      </c>
    </row>
  </sheetData>
  <sheetProtection algorithmName="SHA-512" hashValue="XKEGXb3BGdyqNdKtXAuM5FOyEx7jUIvY81zXEwZF6kmbrnQroA6mbZMzxo/ohk/ILLC8jMYbUgXOzsmbLhYXWg==" saltValue="Tn8PrfF3MO0gRyqmX8IMCA==" spinCount="100000" sheet="1" objects="1" scenarios="1"/>
  <mergeCells count="1">
    <mergeCell ref="B830:C832"/>
  </mergeCells>
  <phoneticPr fontId="5" type="noConversion"/>
  <hyperlinks>
    <hyperlink ref="B5" location="Filters!B14" display="Filter for region" xr:uid="{4B355A31-8FF1-440D-B757-5CA00E66F459}"/>
    <hyperlink ref="B6" location="Filters!B218" display="Filter for property type" xr:uid="{7B7758B0-D2F7-4BEF-8E8F-4DDF5085C036}"/>
    <hyperlink ref="B7" location="Filters!B420" display="Filter for size" xr:uid="{87B3C3D6-6136-40FA-9072-59683513EF61}"/>
    <hyperlink ref="B8" location="Filters!B622" display="Filter for RP type" xr:uid="{12A40D45-CE93-4A91-9B3F-A89CD05E1C4F}"/>
    <hyperlink ref="D5" location="Filters!B846" display="Combine filters, match in metrics and calc quartiles" xr:uid="{1928EBC4-134D-44EC-A29F-873C5675B35A}"/>
    <hyperlink ref="D7" location="Filters!B1054" display="Sorting Lookups" xr:uid="{3158CDC3-F56C-4BFC-91C2-59514B25ADF6}"/>
  </hyperlinks>
  <pageMargins left="0.7" right="0.7" top="0.75" bottom="0.75" header="0.3" footer="0.3"/>
  <pageSetup paperSize="9" orientation="portrait" r:id="rId1"/>
  <headerFooter>
    <oddFooter>&amp;C&amp;1#&amp;"Calibri"&amp;12&amp;K0078D7OFFICIAL</oddFooter>
  </headerFooter>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33</vt:i4>
      </vt:variant>
    </vt:vector>
  </HeadingPairs>
  <TitlesOfParts>
    <vt:vector size="42" baseType="lpstr">
      <vt:lpstr>Contents</vt:lpstr>
      <vt:lpstr>Introduction</vt:lpstr>
      <vt:lpstr>2023 VfM Metrics Consolidated</vt:lpstr>
      <vt:lpstr>2023 VfM Metrics Entity</vt:lpstr>
      <vt:lpstr>BYO peer group - instructions</vt:lpstr>
      <vt:lpstr>BYO peer group - selection</vt:lpstr>
      <vt:lpstr>BYO peer group - results</vt:lpstr>
      <vt:lpstr>Peer group source</vt:lpstr>
      <vt:lpstr>Filters</vt:lpstr>
      <vt:lpstr>ArrayHeaders</vt:lpstr>
      <vt:lpstr>CriteriaMet</vt:lpstr>
      <vt:lpstr>InitialList</vt:lpstr>
      <vt:lpstr>InvalidOverrides</vt:lpstr>
      <vt:lpstr>Override_If_Excl</vt:lpstr>
      <vt:lpstr>Override_If_Incl</vt:lpstr>
      <vt:lpstr>PropTypeMinMax</vt:lpstr>
      <vt:lpstr>PropTypeOnOff</vt:lpstr>
      <vt:lpstr>PropTypePercent</vt:lpstr>
      <vt:lpstr>PropTypeType</vt:lpstr>
      <vt:lpstr>RegionEE</vt:lpstr>
      <vt:lpstr>RegionEM</vt:lpstr>
      <vt:lpstr>RegionLon</vt:lpstr>
      <vt:lpstr>RegionMinimum</vt:lpstr>
      <vt:lpstr>RegionNE</vt:lpstr>
      <vt:lpstr>RegionNW</vt:lpstr>
      <vt:lpstr>RegionSE</vt:lpstr>
      <vt:lpstr>RegionSW</vt:lpstr>
      <vt:lpstr>RegionTestAnyOrTotal</vt:lpstr>
      <vt:lpstr>RegionWM</vt:lpstr>
      <vt:lpstr>RegionYH</vt:lpstr>
      <vt:lpstr>RP_TypeLSVT</vt:lpstr>
      <vt:lpstr>RP_TypeTrad</vt:lpstr>
      <vt:lpstr>SelectedProvider</vt:lpstr>
      <vt:lpstr>SizeMax</vt:lpstr>
      <vt:lpstr>SizeMin</vt:lpstr>
      <vt:lpstr>SizeOnOff</vt:lpstr>
      <vt:lpstr>SortColumnName</vt:lpstr>
      <vt:lpstr>SortColumnNumber</vt:lpstr>
      <vt:lpstr>SortList</vt:lpstr>
      <vt:lpstr>SortOrderName</vt:lpstr>
      <vt:lpstr>SortOrderNumber</vt:lpstr>
      <vt:lpstr>TotalProviders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 Baker</dc:creator>
  <cp:keywords/>
  <dc:description/>
  <cp:lastModifiedBy>Adam Baker</cp:lastModifiedBy>
  <cp:revision/>
  <dcterms:created xsi:type="dcterms:W3CDTF">2023-02-03T09:30:57Z</dcterms:created>
  <dcterms:modified xsi:type="dcterms:W3CDTF">2024-02-13T08:34:58Z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SIP_Label_727fb50e-81d5-40a5-b712-4eff31972ce4_SiteId">
    <vt:lpwstr>faa8e269-0811-4538-82e7-4d29009219bf</vt:lpwstr>
  </property>
  <property fmtid="{D5CDD505-2E9C-101B-9397-08002B2CF9AE}" pid="4" name="MSIP_Label_727fb50e-81d5-40a5-b712-4eff31972ce4_Owner">
    <vt:lpwstr>Adam.Baker@rsh.gov.uk</vt:lpwstr>
  </property>
  <property fmtid="{D5CDD505-2E9C-101B-9397-08002B2CF9AE}" pid="5" name="MSIP_Label_727fb50e-81d5-40a5-b712-4eff31972ce4_SetDate">
    <vt:lpwstr>2023-02-03T09:31:44.4809756Z</vt:lpwstr>
  </property>
  <property fmtid="{D5CDD505-2E9C-101B-9397-08002B2CF9AE}" pid="6" name="MSIP_Label_727fb50e-81d5-40a5-b712-4eff31972ce4_Name">
    <vt:lpwstr>Official</vt:lpwstr>
  </property>
  <property fmtid="{D5CDD505-2E9C-101B-9397-08002B2CF9AE}" pid="7" name="MSIP_Label_727fb50e-81d5-40a5-b712-4eff31972ce4_Application">
    <vt:lpwstr>Microsoft Azure Information Protection</vt:lpwstr>
  </property>
  <property fmtid="{D5CDD505-2E9C-101B-9397-08002B2CF9AE}" pid="8" name="MSIP_Label_727fb50e-81d5-40a5-b712-4eff31972ce4_ActionId">
    <vt:lpwstr>e71fd1ff-d93d-4854-94b7-0565c3e0555d</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ies>
</file>